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2"/>
  <workbookPr defaultThemeVersion="202300"/>
  <mc:AlternateContent xmlns:mc="http://schemas.openxmlformats.org/markup-compatibility/2006">
    <mc:Choice Requires="x15">
      <x15ac:absPath xmlns:x15ac="http://schemas.microsoft.com/office/spreadsheetml/2010/11/ac" url="/Users/toluwaniosabiya/Desktop/LIDA/Project 2/Project_2/data/"/>
    </mc:Choice>
  </mc:AlternateContent>
  <xr:revisionPtr revIDLastSave="0" documentId="8_{6477A58D-30FD-1B44-A57C-A021FF7F5359}" xr6:coauthVersionLast="47" xr6:coauthVersionMax="47" xr10:uidLastSave="{00000000-0000-0000-0000-000000000000}"/>
  <bookViews>
    <workbookView xWindow="4440" yWindow="760" windowWidth="25800" windowHeight="17720" xr2:uid="{BD1B1FEB-BCE2-8F40-AC29-061F6F795EF3}"/>
  </bookViews>
  <sheets>
    <sheet name="Cover" sheetId="1" r:id="rId1"/>
    <sheet name="Accessibility" sheetId="2" r:id="rId2"/>
    <sheet name="Contents" sheetId="3" r:id="rId3"/>
    <sheet name="Guidance" sheetId="4" r:id="rId4"/>
    <sheet name="Notes" sheetId="5" r:id="rId5"/>
    <sheet name="Meta-data" sheetId="6" r:id="rId6"/>
    <sheet name="LA_level_at_31_Mar_2022" sheetId="7" r:id="rId7"/>
    <sheet name="LA_level_in_year_2021-22" sheetId="8" r:id="rId8"/>
    <sheet name="Provider_level_at_31_Mar_2022" sheetId="9" r:id="rId9"/>
    <sheet name="Provider_level_in_year_2021-22" sheetId="10" r:id="rId10"/>
    <sheet name="Providers+places_at_31_Mar_2022" sheetId="11" r:id="rId11"/>
    <sheet name="Leavers+Joiners_at_31_Mar_2022" sheetId="12" r:id="rId12"/>
    <sheet name="Providers+places_six_monthly" sheetId="13" r:id="rId13"/>
    <sheet name="Latest_OE_31_Mar_Time_Series" sheetId="14" r:id="rId14"/>
    <sheet name="In_Year_Time_series" sheetId="15" r:id="rId15"/>
    <sheet name="LA_inspections_2009-2022" sheetId="16" r:id="rId16"/>
  </sheets>
  <externalReferences>
    <externalReference r:id="rId17"/>
    <externalReference r:id="rId18"/>
    <externalReference r:id="rId19"/>
  </externalReferences>
  <definedNames>
    <definedName name="_CH">!#REF!</definedName>
    <definedName name="_CH_plus" localSheetId="2">[3]dropdown_lookups!$D$8:$D$12</definedName>
    <definedName name="_CH_plus" localSheetId="0">[3]dropdown_lookups!$D$8:$D$12</definedName>
    <definedName name="_CH_plus" localSheetId="3">[3]dropdown_lookups!$D$8:$D$12</definedName>
    <definedName name="_CH_plus">!#REF!</definedName>
    <definedName name="_ProvisionType" localSheetId="2">[3]dropdown_lookups!$B$8:$B$21</definedName>
    <definedName name="_ProvisionType" localSheetId="0">[3]dropdown_lookups!$B$8:$B$21</definedName>
    <definedName name="_ProvisionType" localSheetId="3">[3]dropdown_lookups!$B$8:$B$21</definedName>
    <definedName name="_ProvisionType">!#REF!</definedName>
    <definedName name="Effective_Date">!#REF!</definedName>
    <definedName name="Inspections_From">!#REF!</definedName>
    <definedName name="Inspections_To" localSheetId="2">[3]Dates!$B$4</definedName>
    <definedName name="Inspections_To" localSheetId="0">[3]Dates!$B$4</definedName>
    <definedName name="Inspections_To" localSheetId="3">[3]Dates!$B$4</definedName>
    <definedName name="Inspections_To" localSheetId="5">[2]Dates!$B$4</definedName>
    <definedName name="Inspections_To">!#REF!</definedName>
    <definedName name="InYear" localSheetId="2">'[3]Provider_level_in_year_2019-20'!$A$3:$AA$3490</definedName>
    <definedName name="InYear" localSheetId="0">'[3]Provider_level_in_year_2019-20'!$A$3:$AA$3490</definedName>
    <definedName name="InYear" localSheetId="3">'[3]Provider_level_in_year_2019-20'!$A$3:$AA$3490</definedName>
    <definedName name="InYear">'Provider_level_in_year_2021-22'!$A$4:$AB$3491</definedName>
    <definedName name="Last_Pub_Date">[1]Dates!$B$4</definedName>
    <definedName name="Period_End">[1]Dates!$B$6</definedName>
    <definedName name="_xlnm.Print_Area" localSheetId="0">'Cover'!$A$1:$B$15</definedName>
    <definedName name="Published_By">!#REF!</definedName>
    <definedName name="Reporting_Period">[1]Dates!$B$3</definedName>
    <definedName name="Reporting_Year">!#REF!</definedName>
    <definedName name="Revised_Period">[1]Dates!$B$8</definedName>
    <definedName name="Revised_to">[1]Dates!$B$9</definedName>
    <definedName name="SoN" localSheetId="2">[3]Provider_level_at_31_Mar_2020!$A$3:$AA$2799</definedName>
    <definedName name="SoN" localSheetId="0">[3]Provider_level_at_31_Mar_2020!$A$3:$AA$2799</definedName>
    <definedName name="SoN" localSheetId="3">[3]Provider_level_at_31_Mar_2020!$A$3:$AA$2799</definedName>
    <definedName name="SoN">Provider_level_at_31_Mar_2022!$A$5:$AB$2801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65" i="16" l="1"/>
  <c r="A164" i="16"/>
  <c r="A163" i="16"/>
  <c r="A158" i="16"/>
  <c r="A157" i="16"/>
  <c r="A156" i="16"/>
  <c r="A155" i="16"/>
  <c r="A154" i="16"/>
  <c r="A153" i="16"/>
  <c r="A152" i="16"/>
  <c r="A151" i="16"/>
  <c r="A150" i="16"/>
  <c r="A149" i="16"/>
  <c r="A148" i="16"/>
  <c r="A147" i="16"/>
  <c r="A146" i="16"/>
  <c r="A145" i="16"/>
  <c r="A144" i="16"/>
  <c r="A143" i="16"/>
  <c r="A142" i="16"/>
  <c r="A141" i="16"/>
  <c r="A140" i="16"/>
  <c r="A139" i="16"/>
  <c r="A138" i="16"/>
  <c r="A137" i="16"/>
  <c r="A136" i="16"/>
  <c r="A135" i="16"/>
  <c r="A134" i="16"/>
  <c r="A133" i="16"/>
  <c r="A132" i="16"/>
  <c r="A131" i="16"/>
  <c r="A130" i="16"/>
  <c r="A129" i="16"/>
  <c r="A128" i="16"/>
  <c r="A127" i="16"/>
  <c r="A126" i="16"/>
  <c r="A125" i="16"/>
  <c r="A124" i="16"/>
  <c r="A123" i="16"/>
  <c r="A122" i="16"/>
  <c r="A121" i="16"/>
  <c r="A120" i="16"/>
  <c r="A119" i="16"/>
  <c r="A118" i="16"/>
  <c r="A117" i="16"/>
  <c r="A116" i="16"/>
  <c r="A115" i="16"/>
  <c r="A114" i="16"/>
  <c r="A113" i="16"/>
  <c r="A112" i="16"/>
  <c r="A111" i="16"/>
  <c r="A110" i="16"/>
  <c r="A109" i="16"/>
  <c r="A108" i="16"/>
  <c r="A107" i="16"/>
  <c r="A106" i="16"/>
  <c r="A105" i="16"/>
  <c r="A104" i="16"/>
  <c r="A103" i="16"/>
  <c r="A102" i="16"/>
  <c r="A101" i="16"/>
  <c r="A100" i="16"/>
  <c r="A99" i="16"/>
  <c r="A98" i="16"/>
  <c r="A97" i="16"/>
  <c r="A96" i="16"/>
  <c r="A95" i="16"/>
  <c r="A94" i="16"/>
  <c r="A93" i="16"/>
  <c r="A92" i="16"/>
  <c r="A91" i="16"/>
  <c r="A90" i="16"/>
  <c r="A89" i="16"/>
  <c r="A88" i="16"/>
  <c r="A87" i="16"/>
  <c r="A86" i="16"/>
  <c r="A85" i="16"/>
  <c r="A84" i="16"/>
  <c r="A83" i="16"/>
  <c r="A82" i="16"/>
  <c r="A81" i="16"/>
  <c r="A80" i="16"/>
  <c r="A79" i="16"/>
  <c r="A78" i="16"/>
  <c r="A77" i="16"/>
  <c r="A76" i="16"/>
  <c r="A75" i="16"/>
  <c r="A74" i="16"/>
  <c r="A73" i="16"/>
  <c r="A72" i="16"/>
  <c r="A71" i="16"/>
  <c r="A70" i="16"/>
  <c r="A69" i="16"/>
  <c r="A68" i="16"/>
  <c r="A67" i="16"/>
  <c r="A66" i="16"/>
  <c r="A65" i="16"/>
  <c r="A64" i="16"/>
  <c r="A63" i="16"/>
  <c r="A62" i="16"/>
  <c r="A61" i="16"/>
  <c r="A60" i="16"/>
  <c r="A59" i="16"/>
  <c r="A58" i="16"/>
  <c r="A57" i="16"/>
  <c r="A56" i="16"/>
  <c r="A55" i="16"/>
  <c r="A54" i="16"/>
  <c r="A53" i="16"/>
  <c r="A52" i="16"/>
  <c r="A51" i="16"/>
  <c r="A50" i="16"/>
  <c r="A49" i="16"/>
  <c r="A48" i="16"/>
  <c r="A47" i="16"/>
  <c r="A46" i="16"/>
  <c r="A45" i="16"/>
  <c r="A44" i="16"/>
  <c r="A43" i="16"/>
  <c r="A42" i="16"/>
  <c r="A41" i="16"/>
  <c r="A40" i="16"/>
  <c r="A39" i="16"/>
  <c r="A38" i="16"/>
  <c r="A37" i="16"/>
  <c r="A36" i="16"/>
  <c r="A35" i="16"/>
  <c r="A34" i="16"/>
  <c r="A33" i="16"/>
  <c r="A32" i="16"/>
  <c r="A31" i="16"/>
  <c r="A30" i="16"/>
  <c r="A29" i="16"/>
  <c r="A28" i="16"/>
  <c r="A27" i="16"/>
  <c r="A26" i="16"/>
  <c r="A25" i="16"/>
  <c r="A24" i="16"/>
  <c r="A23" i="16"/>
  <c r="A22" i="16"/>
  <c r="A21" i="16"/>
  <c r="A20" i="16"/>
  <c r="A19" i="16"/>
  <c r="A18" i="16"/>
  <c r="A17" i="16"/>
  <c r="A16" i="16"/>
  <c r="A15" i="16"/>
  <c r="A14" i="16"/>
  <c r="A13" i="16"/>
  <c r="A12" i="16"/>
  <c r="A11" i="16"/>
  <c r="A10" i="16"/>
  <c r="A9" i="16"/>
  <c r="A8" i="16"/>
  <c r="A7" i="16"/>
  <c r="A3580" i="11"/>
  <c r="A3579" i="11"/>
  <c r="A3578" i="11"/>
  <c r="A3577" i="11"/>
  <c r="A3576" i="11"/>
  <c r="A3575" i="11"/>
  <c r="A3574" i="11"/>
  <c r="A3573" i="11"/>
  <c r="A3572" i="11"/>
  <c r="A3571" i="11"/>
  <c r="A3570" i="11"/>
  <c r="A3569" i="11"/>
  <c r="A3568" i="11"/>
  <c r="A3567" i="11"/>
  <c r="A3566" i="11"/>
  <c r="A3565" i="11"/>
  <c r="A3564" i="11"/>
  <c r="A3563" i="11"/>
  <c r="A3562" i="11"/>
  <c r="A3561" i="11"/>
  <c r="A3560" i="11"/>
  <c r="A3559" i="11"/>
  <c r="A3558" i="11"/>
  <c r="A3557" i="11"/>
  <c r="A3556" i="11"/>
  <c r="A3555" i="11"/>
  <c r="A3554" i="11"/>
  <c r="A3553" i="11"/>
  <c r="A3552" i="11"/>
  <c r="A3551" i="11"/>
  <c r="A3550" i="11"/>
  <c r="A3549" i="11"/>
  <c r="A3548" i="11"/>
  <c r="A3547" i="11"/>
  <c r="A3546" i="11"/>
  <c r="A3545" i="11"/>
  <c r="A3544" i="11"/>
  <c r="A3543" i="11"/>
  <c r="A3542" i="11"/>
  <c r="A3541" i="11"/>
  <c r="A3540" i="11"/>
  <c r="A3539" i="11"/>
  <c r="A3538" i="11"/>
  <c r="A3537" i="11"/>
  <c r="A3536" i="11"/>
  <c r="A3535" i="11"/>
  <c r="A3534" i="11"/>
  <c r="A3533" i="11"/>
  <c r="A3532" i="11"/>
  <c r="A3531" i="11"/>
  <c r="A3530" i="11"/>
  <c r="A3529" i="11"/>
  <c r="A3528" i="11"/>
  <c r="A3527" i="11"/>
  <c r="A3526" i="11"/>
  <c r="A3525" i="11"/>
  <c r="A3524" i="11"/>
  <c r="A3523" i="11"/>
  <c r="A3522" i="11"/>
  <c r="A3521" i="11"/>
  <c r="A3520" i="11"/>
  <c r="A3519" i="11"/>
  <c r="A3518" i="11"/>
  <c r="A3517" i="11"/>
  <c r="A3516" i="11"/>
  <c r="A3515" i="11"/>
  <c r="A3514" i="11"/>
  <c r="A3513" i="11"/>
  <c r="A3512" i="11"/>
  <c r="A3511" i="11"/>
  <c r="A3510" i="11"/>
  <c r="A3509" i="11"/>
  <c r="A3508" i="11"/>
  <c r="A3507" i="11"/>
  <c r="A3506" i="11"/>
  <c r="A3505" i="11"/>
  <c r="A3504" i="11"/>
  <c r="A3503" i="11"/>
  <c r="A3502" i="11"/>
  <c r="A3501" i="11"/>
  <c r="A3500" i="11"/>
  <c r="A3499" i="11"/>
  <c r="A3498" i="11"/>
  <c r="A3497" i="11"/>
  <c r="A3496" i="11"/>
  <c r="A3495" i="11"/>
  <c r="A3494" i="11"/>
  <c r="A3493" i="11"/>
  <c r="A3492" i="11"/>
  <c r="A3491" i="11"/>
  <c r="A3490" i="11"/>
  <c r="A3489" i="11"/>
  <c r="A3488" i="11"/>
  <c r="A3487" i="11"/>
  <c r="A3486" i="11"/>
  <c r="A3485" i="11"/>
  <c r="A3484" i="11"/>
  <c r="A3483" i="11"/>
  <c r="A3482" i="11"/>
  <c r="A3481" i="11"/>
  <c r="A3480" i="11"/>
  <c r="A3479" i="11"/>
  <c r="A3478" i="11"/>
  <c r="A3477" i="11"/>
  <c r="A3476" i="11"/>
  <c r="A3475" i="11"/>
  <c r="A3474" i="11"/>
  <c r="A3473" i="11"/>
  <c r="A3472" i="11"/>
  <c r="A3471" i="11"/>
  <c r="A3470" i="11"/>
  <c r="A3469" i="11"/>
  <c r="A3468" i="11"/>
  <c r="A3467" i="11"/>
  <c r="A3466" i="11"/>
  <c r="A3465" i="11"/>
  <c r="A3464" i="11"/>
  <c r="A3463" i="11"/>
  <c r="A3462" i="11"/>
  <c r="A3461" i="11"/>
  <c r="A3460" i="11"/>
  <c r="A3459" i="11"/>
  <c r="A3458" i="11"/>
  <c r="A3457" i="11"/>
  <c r="A3456" i="11"/>
  <c r="A3455" i="11"/>
  <c r="A3454" i="11"/>
  <c r="A3453" i="11"/>
  <c r="A3452" i="11"/>
  <c r="A3451" i="11"/>
  <c r="A3450" i="11"/>
  <c r="A3449" i="11"/>
  <c r="A3448" i="11"/>
  <c r="A3447" i="11"/>
  <c r="A3446" i="11"/>
  <c r="A3445" i="11"/>
  <c r="A3444" i="11"/>
  <c r="A3443" i="11"/>
  <c r="A3442" i="11"/>
  <c r="A3441" i="11"/>
  <c r="A3440" i="11"/>
  <c r="A3439" i="11"/>
  <c r="A3438" i="11"/>
  <c r="A3437" i="11"/>
  <c r="A3436" i="11"/>
  <c r="A3435" i="11"/>
  <c r="A3434" i="11"/>
  <c r="A3433" i="11"/>
  <c r="A3432" i="11"/>
  <c r="A3431" i="11"/>
  <c r="A3430" i="11"/>
  <c r="A3429" i="11"/>
  <c r="A3428" i="11"/>
  <c r="A3427" i="11"/>
  <c r="A3426" i="11"/>
  <c r="A3425" i="11"/>
  <c r="A3424" i="11"/>
  <c r="A3423" i="11"/>
  <c r="A3422" i="11"/>
  <c r="A3421" i="11"/>
  <c r="A3420" i="11"/>
  <c r="A3419" i="11"/>
  <c r="A3418" i="11"/>
  <c r="A3417" i="11"/>
  <c r="A3416" i="11"/>
  <c r="A3415" i="11"/>
  <c r="A3414" i="11"/>
  <c r="A3413" i="11"/>
  <c r="A3412" i="11"/>
  <c r="A3411" i="11"/>
  <c r="A3410" i="11"/>
  <c r="A3409" i="11"/>
  <c r="A3408" i="11"/>
  <c r="A3407" i="11"/>
  <c r="A3406" i="11"/>
  <c r="A3405" i="11"/>
  <c r="A3404" i="11"/>
  <c r="A3403" i="11"/>
  <c r="A3402" i="11"/>
  <c r="A3401" i="11"/>
  <c r="A3400" i="11"/>
  <c r="A3399" i="11"/>
  <c r="A3398" i="11"/>
  <c r="A3397" i="11"/>
  <c r="A3396" i="11"/>
  <c r="A3395" i="11"/>
  <c r="A3394" i="11"/>
  <c r="A3393" i="11"/>
  <c r="A3392" i="11"/>
  <c r="A3391" i="11"/>
  <c r="A3390" i="11"/>
  <c r="A3389" i="11"/>
  <c r="A3388" i="11"/>
  <c r="A3387" i="11"/>
  <c r="A3386" i="11"/>
  <c r="A3385" i="11"/>
  <c r="A3384" i="11"/>
  <c r="A3383" i="11"/>
  <c r="A3382" i="11"/>
  <c r="A3381" i="11"/>
  <c r="A3380" i="11"/>
  <c r="A3379" i="11"/>
  <c r="A3378" i="11"/>
  <c r="A3377" i="11"/>
  <c r="A3376" i="11"/>
  <c r="A3375" i="11"/>
  <c r="A3374" i="11"/>
  <c r="A3373" i="11"/>
  <c r="A3372" i="11"/>
  <c r="A3371" i="11"/>
  <c r="A3370" i="11"/>
  <c r="A3369" i="11"/>
  <c r="A3368" i="11"/>
  <c r="A3367" i="11"/>
  <c r="A3366" i="11"/>
  <c r="A3365" i="11"/>
  <c r="A3364" i="11"/>
  <c r="A3363" i="11"/>
  <c r="A3362" i="11"/>
  <c r="A3361" i="11"/>
  <c r="A3360" i="11"/>
  <c r="A3359" i="11"/>
  <c r="A3358" i="11"/>
  <c r="A3357" i="11"/>
  <c r="A3356" i="11"/>
  <c r="A3355" i="11"/>
  <c r="A3354" i="11"/>
  <c r="A3353" i="11"/>
  <c r="A3352" i="11"/>
  <c r="A3351" i="11"/>
  <c r="A3350" i="11"/>
  <c r="A3349" i="11"/>
  <c r="A3348" i="11"/>
  <c r="A3347" i="11"/>
  <c r="A3346" i="11"/>
  <c r="A3345" i="11"/>
  <c r="A3344" i="11"/>
  <c r="A3343" i="11"/>
  <c r="A3342" i="11"/>
  <c r="A3341" i="11"/>
  <c r="A3340" i="11"/>
  <c r="A3339" i="11"/>
  <c r="A3338" i="11"/>
  <c r="A3337" i="11"/>
  <c r="A3336" i="11"/>
  <c r="A3335" i="11"/>
  <c r="A3334" i="11"/>
  <c r="A3333" i="11"/>
  <c r="A3332" i="11"/>
  <c r="A3331" i="11"/>
  <c r="A3330" i="11"/>
  <c r="A3329" i="11"/>
  <c r="A3328" i="11"/>
  <c r="A3327" i="11"/>
  <c r="A3326" i="11"/>
  <c r="A3325" i="11"/>
  <c r="A3324" i="11"/>
  <c r="A3323" i="11"/>
  <c r="A3322" i="11"/>
  <c r="A3321" i="11"/>
  <c r="A3320" i="11"/>
  <c r="A3319" i="11"/>
  <c r="A3318" i="11"/>
  <c r="A3317" i="11"/>
  <c r="A3316" i="11"/>
  <c r="A3315" i="11"/>
  <c r="A3314" i="11"/>
  <c r="A3313" i="11"/>
  <c r="A3312" i="11"/>
  <c r="A3311" i="11"/>
  <c r="A3310" i="11"/>
  <c r="A3309" i="11"/>
  <c r="A3308" i="11"/>
  <c r="A3307" i="11"/>
  <c r="A3306" i="11"/>
  <c r="A3305" i="11"/>
  <c r="A3304" i="11"/>
  <c r="A3303" i="11"/>
  <c r="A3302" i="11"/>
  <c r="A3301" i="11"/>
  <c r="A3300" i="11"/>
  <c r="A3299" i="11"/>
  <c r="A3298" i="11"/>
  <c r="A3297" i="11"/>
  <c r="A3296" i="11"/>
  <c r="A3295" i="11"/>
  <c r="A3294" i="11"/>
  <c r="A3293" i="11"/>
  <c r="A3292" i="11"/>
  <c r="A3291" i="11"/>
  <c r="A3290" i="11"/>
  <c r="A3289" i="11"/>
  <c r="A3288" i="11"/>
  <c r="A3287" i="11"/>
  <c r="A3286" i="11"/>
  <c r="A3285" i="11"/>
  <c r="A3284" i="11"/>
  <c r="A3283" i="11"/>
  <c r="A3282" i="11"/>
  <c r="A3281" i="11"/>
  <c r="A3280" i="11"/>
  <c r="A3279" i="11"/>
  <c r="A3278" i="11"/>
  <c r="A3277" i="11"/>
  <c r="A3276" i="11"/>
  <c r="A3275" i="11"/>
  <c r="A3274" i="11"/>
  <c r="A3273" i="11"/>
  <c r="A3272" i="11"/>
  <c r="A3271" i="11"/>
  <c r="A3270" i="11"/>
  <c r="A3269" i="11"/>
  <c r="A3268" i="11"/>
  <c r="A3267" i="11"/>
  <c r="A3266" i="11"/>
  <c r="A3265" i="11"/>
  <c r="A3264" i="11"/>
  <c r="A3263" i="11"/>
  <c r="A3262" i="11"/>
  <c r="A3261" i="11"/>
  <c r="A3260" i="11"/>
  <c r="A3259" i="11"/>
  <c r="A3258" i="11"/>
  <c r="A3257" i="11"/>
  <c r="A3256" i="11"/>
  <c r="A3255" i="11"/>
  <c r="A3254" i="11"/>
  <c r="A3253" i="11"/>
  <c r="A3252" i="11"/>
  <c r="A3251" i="11"/>
  <c r="A3250" i="11"/>
  <c r="A3249" i="11"/>
  <c r="A3248" i="11"/>
  <c r="A3247" i="11"/>
  <c r="A3246" i="11"/>
  <c r="A3245" i="11"/>
  <c r="A3244" i="11"/>
  <c r="A3243" i="11"/>
  <c r="A3242" i="11"/>
  <c r="A3241" i="11"/>
  <c r="A3240" i="11"/>
  <c r="A3239" i="11"/>
  <c r="A3238" i="11"/>
  <c r="A3237" i="11"/>
  <c r="A3236" i="11"/>
  <c r="A3235" i="11"/>
  <c r="A3234" i="11"/>
  <c r="A3233" i="11"/>
  <c r="A3232" i="11"/>
  <c r="A3231" i="11"/>
  <c r="A3230" i="11"/>
  <c r="A3229" i="11"/>
  <c r="A3228" i="11"/>
  <c r="A3227" i="11"/>
  <c r="A3226" i="11"/>
  <c r="A3225" i="11"/>
  <c r="A3224" i="11"/>
  <c r="A3223" i="11"/>
  <c r="A3222" i="11"/>
  <c r="A3221" i="11"/>
  <c r="A3220" i="11"/>
  <c r="A3219" i="11"/>
  <c r="A3218" i="11"/>
  <c r="A3217" i="11"/>
  <c r="A3216" i="11"/>
  <c r="A3215" i="11"/>
  <c r="A3214" i="11"/>
  <c r="A3213" i="11"/>
  <c r="A3212" i="11"/>
  <c r="A3211" i="11"/>
  <c r="A3210" i="11"/>
  <c r="A3209" i="11"/>
  <c r="A3208" i="11"/>
  <c r="A3207" i="11"/>
  <c r="A3206" i="11"/>
  <c r="A3205" i="11"/>
  <c r="A3204" i="11"/>
  <c r="A3203" i="11"/>
  <c r="A3202" i="11"/>
  <c r="A3201" i="11"/>
  <c r="A3200" i="11"/>
  <c r="A3199" i="11"/>
  <c r="A3198" i="11"/>
  <c r="A3197" i="11"/>
  <c r="A3196" i="11"/>
  <c r="A3195" i="11"/>
  <c r="A3194" i="11"/>
  <c r="A3193" i="11"/>
  <c r="A3192" i="11"/>
  <c r="A3191" i="11"/>
  <c r="A3190" i="11"/>
  <c r="A3189" i="11"/>
  <c r="A3188" i="11"/>
  <c r="A3187" i="11"/>
  <c r="A3186" i="11"/>
  <c r="A3185" i="11"/>
  <c r="A3184" i="11"/>
  <c r="A3183" i="11"/>
  <c r="A3182" i="11"/>
  <c r="A3181" i="11"/>
  <c r="A3180" i="11"/>
  <c r="A3179" i="11"/>
  <c r="A3178" i="11"/>
  <c r="A3177" i="11"/>
  <c r="A3176" i="11"/>
  <c r="A3175" i="11"/>
  <c r="A3174" i="11"/>
  <c r="A3173" i="11"/>
  <c r="A3172" i="11"/>
  <c r="A3171" i="11"/>
  <c r="A3170" i="11"/>
  <c r="A3169" i="11"/>
  <c r="A3168" i="11"/>
  <c r="A3167" i="11"/>
  <c r="A3166" i="11"/>
  <c r="A3165" i="11"/>
  <c r="A3164" i="11"/>
  <c r="A3163" i="11"/>
  <c r="A3162" i="11"/>
  <c r="A3161" i="11"/>
  <c r="A3160" i="11"/>
  <c r="A3159" i="11"/>
  <c r="A3158" i="11"/>
  <c r="A3157" i="11"/>
  <c r="A3156" i="11"/>
  <c r="A3155" i="11"/>
  <c r="A3154" i="11"/>
  <c r="A3153" i="11"/>
  <c r="A3152" i="11"/>
  <c r="A3151" i="11"/>
  <c r="A3150" i="11"/>
  <c r="A3149" i="11"/>
  <c r="A3148" i="11"/>
  <c r="A3147" i="11"/>
  <c r="A3146" i="11"/>
  <c r="A3145" i="11"/>
  <c r="A3144" i="11"/>
  <c r="A3143" i="11"/>
  <c r="A3142" i="11"/>
  <c r="A3141" i="11"/>
  <c r="A3140" i="11"/>
  <c r="A3139" i="11"/>
  <c r="A3138" i="11"/>
  <c r="A3137" i="11"/>
  <c r="A3136" i="11"/>
  <c r="A3135" i="11"/>
  <c r="A3134" i="11"/>
  <c r="A3133" i="11"/>
  <c r="A3132" i="11"/>
  <c r="A3131" i="11"/>
  <c r="A3130" i="11"/>
  <c r="A3129" i="11"/>
  <c r="A3128" i="11"/>
  <c r="A3127" i="11"/>
  <c r="A3126" i="11"/>
  <c r="A3125" i="11"/>
  <c r="A3124" i="11"/>
  <c r="A3123" i="11"/>
  <c r="A3122" i="11"/>
  <c r="A3121" i="11"/>
  <c r="A3120" i="11"/>
  <c r="A3119" i="11"/>
  <c r="A3118" i="11"/>
  <c r="A3117" i="11"/>
  <c r="A3116" i="11"/>
  <c r="A3115" i="11"/>
  <c r="A3114" i="11"/>
  <c r="A3113" i="11"/>
  <c r="A3112" i="11"/>
  <c r="A3111" i="11"/>
  <c r="A3110" i="11"/>
  <c r="A3109" i="11"/>
  <c r="A3108" i="11"/>
  <c r="A3107" i="11"/>
  <c r="A3106" i="11"/>
  <c r="A3105" i="11"/>
  <c r="A3104" i="11"/>
  <c r="A3103" i="11"/>
  <c r="A3102" i="11"/>
  <c r="A3101" i="11"/>
  <c r="A3100" i="11"/>
  <c r="A3099" i="11"/>
  <c r="A3098" i="11"/>
  <c r="A3097" i="11"/>
  <c r="A3096" i="11"/>
  <c r="A3095" i="11"/>
  <c r="A3094" i="11"/>
  <c r="A3093" i="11"/>
  <c r="A3092" i="11"/>
  <c r="A3091" i="11"/>
  <c r="A3090" i="11"/>
  <c r="A3089" i="11"/>
  <c r="A3088" i="11"/>
  <c r="A3087" i="11"/>
  <c r="A3086" i="11"/>
  <c r="A3085" i="11"/>
  <c r="A3084" i="11"/>
  <c r="A3083" i="11"/>
  <c r="A3082" i="11"/>
  <c r="A3081" i="11"/>
  <c r="A3080" i="11"/>
  <c r="A3079" i="11"/>
  <c r="A3078" i="11"/>
  <c r="A3077" i="11"/>
  <c r="A3076" i="11"/>
  <c r="A3075" i="11"/>
  <c r="A3074" i="11"/>
  <c r="A3073" i="11"/>
  <c r="A3072" i="11"/>
  <c r="A3071" i="11"/>
  <c r="A3070" i="11"/>
  <c r="A3069" i="11"/>
  <c r="A3068" i="11"/>
  <c r="A3067" i="11"/>
  <c r="A3066" i="11"/>
  <c r="A3065" i="11"/>
  <c r="A3064" i="11"/>
  <c r="A3063" i="11"/>
  <c r="A3062" i="11"/>
  <c r="A3061" i="11"/>
  <c r="A3060" i="11"/>
  <c r="A3059" i="11"/>
  <c r="A3058" i="11"/>
  <c r="A3057" i="11"/>
  <c r="A3056" i="11"/>
  <c r="A3055" i="11"/>
  <c r="A3054" i="11"/>
  <c r="A3053" i="11"/>
  <c r="A3052" i="11"/>
  <c r="A3051" i="11"/>
  <c r="A3050" i="11"/>
  <c r="A3049" i="11"/>
  <c r="A3048" i="11"/>
  <c r="A3047" i="11"/>
  <c r="A3046" i="11"/>
  <c r="A3045" i="11"/>
  <c r="A3044" i="11"/>
  <c r="A3043" i="11"/>
  <c r="A3042" i="11"/>
  <c r="A3041" i="11"/>
  <c r="A3040" i="11"/>
  <c r="A3039" i="11"/>
  <c r="A3038" i="11"/>
  <c r="A3037" i="11"/>
  <c r="A3036" i="11"/>
  <c r="A3035" i="11"/>
  <c r="A3034" i="11"/>
  <c r="A3033" i="11"/>
  <c r="A3032" i="11"/>
  <c r="A3031" i="11"/>
  <c r="A3030" i="11"/>
  <c r="A3029" i="11"/>
  <c r="A3028" i="11"/>
  <c r="A3027" i="11"/>
  <c r="A3026" i="11"/>
  <c r="A3025" i="11"/>
  <c r="A3024" i="11"/>
  <c r="A3023" i="11"/>
  <c r="A3022" i="11"/>
  <c r="A3021" i="11"/>
  <c r="A3020" i="11"/>
  <c r="A3019" i="11"/>
  <c r="A3018" i="11"/>
  <c r="A3017" i="11"/>
  <c r="A3016" i="11"/>
  <c r="A3015" i="11"/>
  <c r="A3014" i="11"/>
  <c r="A3013" i="11"/>
  <c r="A3012" i="11"/>
  <c r="A3011" i="11"/>
  <c r="A3010" i="11"/>
  <c r="A3009" i="11"/>
  <c r="A3008" i="11"/>
  <c r="A3007" i="11"/>
  <c r="A3006" i="11"/>
  <c r="A3005" i="11"/>
  <c r="A3004" i="11"/>
  <c r="A3003" i="11"/>
  <c r="A3002" i="11"/>
  <c r="A3001" i="11"/>
  <c r="A3000" i="11"/>
  <c r="A2999" i="11"/>
  <c r="A2998" i="11"/>
  <c r="A2997" i="11"/>
  <c r="A2996" i="11"/>
  <c r="A2995" i="11"/>
  <c r="A2994" i="11"/>
  <c r="A2993" i="11"/>
  <c r="A2992" i="11"/>
  <c r="A2991" i="11"/>
  <c r="A2990" i="11"/>
  <c r="A2989" i="11"/>
  <c r="A2988" i="11"/>
  <c r="A2987" i="11"/>
  <c r="A2986" i="11"/>
  <c r="A2985" i="11"/>
  <c r="A2984" i="11"/>
  <c r="A2983" i="11"/>
  <c r="A2982" i="11"/>
  <c r="A2981" i="11"/>
  <c r="A2980" i="11"/>
  <c r="A2979" i="11"/>
  <c r="A2978" i="11"/>
  <c r="A2977" i="11"/>
  <c r="A2976" i="11"/>
  <c r="A2975" i="11"/>
  <c r="A2974" i="11"/>
  <c r="A2973" i="11"/>
  <c r="A2972" i="11"/>
  <c r="A2971" i="11"/>
  <c r="A2970" i="11"/>
  <c r="A2969" i="11"/>
  <c r="A2968" i="11"/>
  <c r="A2967" i="11"/>
  <c r="A2966" i="11"/>
  <c r="A2965" i="11"/>
  <c r="A2964" i="11"/>
  <c r="A2963" i="11"/>
  <c r="A2962" i="11"/>
  <c r="A2961" i="11"/>
  <c r="A2960" i="11"/>
  <c r="A2959" i="11"/>
  <c r="A2958" i="11"/>
  <c r="A2957" i="11"/>
  <c r="A2956" i="11"/>
  <c r="A2955" i="11"/>
  <c r="A2954" i="11"/>
  <c r="A2953" i="11"/>
  <c r="A2952" i="11"/>
  <c r="A2951" i="11"/>
  <c r="A2950" i="11"/>
  <c r="A2949" i="11"/>
  <c r="A2948" i="11"/>
  <c r="A2947" i="11"/>
  <c r="A2946" i="11"/>
  <c r="A2945" i="11"/>
  <c r="A2944" i="11"/>
  <c r="A2943" i="11"/>
  <c r="A2942" i="11"/>
  <c r="A2941" i="11"/>
  <c r="A2940" i="11"/>
  <c r="A2939" i="11"/>
  <c r="A2938" i="11"/>
  <c r="A2937" i="11"/>
  <c r="A2936" i="11"/>
  <c r="A2935" i="11"/>
  <c r="A2934" i="11"/>
  <c r="A2933" i="11"/>
  <c r="A2932" i="11"/>
  <c r="A2931" i="11"/>
  <c r="A2930" i="11"/>
  <c r="A2929" i="11"/>
  <c r="A2928" i="11"/>
  <c r="A2927" i="11"/>
  <c r="A2926" i="11"/>
  <c r="A2925" i="11"/>
  <c r="A2924" i="11"/>
  <c r="A2923" i="11"/>
  <c r="A2922" i="11"/>
  <c r="A2921" i="11"/>
  <c r="A2920" i="11"/>
  <c r="A2919" i="11"/>
  <c r="A2918" i="11"/>
  <c r="A2917" i="11"/>
  <c r="A2916" i="11"/>
  <c r="A2915" i="11"/>
  <c r="A2914" i="11"/>
  <c r="A2913" i="11"/>
  <c r="A2912" i="11"/>
  <c r="A2911" i="11"/>
  <c r="A2910" i="11"/>
  <c r="A2909" i="11"/>
  <c r="A2908" i="11"/>
  <c r="A2907" i="11"/>
  <c r="A2906" i="11"/>
  <c r="A2905" i="11"/>
  <c r="A2904" i="11"/>
  <c r="A2903" i="11"/>
  <c r="A2902" i="11"/>
  <c r="A2901" i="11"/>
  <c r="A2900" i="11"/>
  <c r="A2899" i="11"/>
  <c r="A2898" i="11"/>
  <c r="A2897" i="11"/>
  <c r="A2896" i="11"/>
  <c r="A2895" i="11"/>
  <c r="A2894" i="11"/>
  <c r="A2893" i="11"/>
  <c r="A2892" i="11"/>
  <c r="A2891" i="11"/>
  <c r="A2890" i="11"/>
  <c r="A2889" i="11"/>
  <c r="A2888" i="11"/>
  <c r="A2887" i="11"/>
  <c r="A2886" i="11"/>
  <c r="A2885" i="11"/>
  <c r="A2884" i="11"/>
  <c r="A2883" i="11"/>
  <c r="A2882" i="11"/>
  <c r="A2881" i="11"/>
  <c r="A2880" i="11"/>
  <c r="A2879" i="11"/>
  <c r="A2878" i="11"/>
  <c r="A2877" i="11"/>
  <c r="A2876" i="11"/>
  <c r="A2875" i="11"/>
  <c r="A2874" i="11"/>
  <c r="A2873" i="11"/>
  <c r="A2872" i="11"/>
  <c r="A2871" i="11"/>
  <c r="A2870" i="11"/>
  <c r="A2869" i="11"/>
  <c r="A2868" i="11"/>
  <c r="A2867" i="11"/>
  <c r="A2866" i="11"/>
  <c r="A2865" i="11"/>
  <c r="A2864" i="11"/>
  <c r="A2863" i="11"/>
  <c r="A2862" i="11"/>
  <c r="A2861" i="11"/>
  <c r="A2860" i="11"/>
  <c r="A2859" i="11"/>
  <c r="A2858" i="11"/>
  <c r="A2857" i="11"/>
  <c r="A2856" i="11"/>
  <c r="A2855" i="11"/>
  <c r="A2854" i="11"/>
  <c r="A2853" i="11"/>
  <c r="A2852" i="11"/>
  <c r="A2851" i="11"/>
  <c r="A2850" i="11"/>
  <c r="A2849" i="11"/>
  <c r="A2848" i="11"/>
  <c r="A2847" i="11"/>
  <c r="A2846" i="11"/>
  <c r="A2845" i="11"/>
  <c r="A2844" i="11"/>
  <c r="A2843" i="11"/>
  <c r="A2842" i="11"/>
  <c r="A2841" i="11"/>
  <c r="A2840" i="11"/>
  <c r="A2839" i="11"/>
  <c r="A2838" i="11"/>
  <c r="A2837" i="11"/>
  <c r="A2836" i="11"/>
  <c r="A2835" i="11"/>
  <c r="A2834" i="11"/>
  <c r="A2833" i="11"/>
  <c r="A2832" i="11"/>
  <c r="A2831" i="11"/>
  <c r="A2830" i="11"/>
  <c r="A2829" i="11"/>
  <c r="A2828" i="11"/>
  <c r="A2827" i="11"/>
  <c r="A2826" i="11"/>
  <c r="A2825" i="11"/>
  <c r="A2824" i="11"/>
  <c r="A2823" i="11"/>
  <c r="A2822" i="11"/>
  <c r="A2821" i="11"/>
  <c r="A2820" i="11"/>
  <c r="A2819" i="11"/>
  <c r="A2818" i="11"/>
  <c r="A2817" i="11"/>
  <c r="A2816" i="11"/>
  <c r="A2815" i="11"/>
  <c r="A2814" i="11"/>
  <c r="A2813" i="11"/>
  <c r="A2812" i="11"/>
  <c r="A2811" i="11"/>
  <c r="A2810" i="11"/>
  <c r="A2809" i="11"/>
  <c r="A2808" i="11"/>
  <c r="A2807" i="11"/>
  <c r="A2806" i="11"/>
  <c r="A2805" i="11"/>
  <c r="A2804" i="11"/>
  <c r="A2803" i="11"/>
  <c r="A2802" i="11"/>
  <c r="A2801" i="11"/>
  <c r="A2800" i="11"/>
  <c r="A2799" i="11"/>
  <c r="A2798" i="11"/>
  <c r="A2797" i="11"/>
  <c r="A2796" i="11"/>
  <c r="A2795" i="11"/>
  <c r="A2794" i="11"/>
  <c r="A2793" i="11"/>
  <c r="A2792" i="11"/>
  <c r="A2791" i="11"/>
  <c r="A2790" i="11"/>
  <c r="A2789" i="11"/>
  <c r="A2788" i="11"/>
  <c r="A2787" i="11"/>
  <c r="A2786" i="11"/>
  <c r="A2785" i="11"/>
  <c r="A2784" i="11"/>
  <c r="A2783" i="11"/>
  <c r="A2782" i="11"/>
  <c r="A2781" i="11"/>
  <c r="A2780" i="11"/>
  <c r="A2779" i="11"/>
  <c r="A2778" i="11"/>
  <c r="A2777" i="11"/>
  <c r="A2776" i="11"/>
  <c r="A2775" i="11"/>
  <c r="A2774" i="11"/>
  <c r="A2773" i="11"/>
  <c r="A2772" i="11"/>
  <c r="A2771" i="11"/>
  <c r="A2770" i="11"/>
  <c r="A2769" i="11"/>
  <c r="A2768" i="11"/>
  <c r="A2767" i="11"/>
  <c r="A2766" i="11"/>
  <c r="A2765" i="11"/>
  <c r="A2764" i="11"/>
  <c r="A2763" i="11"/>
  <c r="A2762" i="11"/>
  <c r="A2761" i="11"/>
  <c r="A2760" i="11"/>
  <c r="A2759" i="11"/>
  <c r="A2758" i="11"/>
  <c r="A2757" i="11"/>
  <c r="A2756" i="11"/>
  <c r="A2755" i="11"/>
  <c r="A2754" i="11"/>
  <c r="A2753" i="11"/>
  <c r="A2752" i="11"/>
  <c r="A2751" i="11"/>
  <c r="A2750" i="11"/>
  <c r="A2749" i="11"/>
  <c r="A2748" i="11"/>
  <c r="A2747" i="11"/>
  <c r="A2746" i="11"/>
  <c r="A2745" i="11"/>
  <c r="A2744" i="11"/>
  <c r="A2743" i="11"/>
  <c r="A2742" i="11"/>
  <c r="A2741" i="11"/>
  <c r="A2740" i="11"/>
  <c r="A2739" i="11"/>
  <c r="A2738" i="11"/>
  <c r="A2737" i="11"/>
  <c r="A2736" i="11"/>
  <c r="A2735" i="11"/>
  <c r="A2734" i="11"/>
  <c r="A2733" i="11"/>
  <c r="A2732" i="11"/>
  <c r="A2731" i="11"/>
  <c r="A2730" i="11"/>
  <c r="A2729" i="11"/>
  <c r="A2728" i="11"/>
  <c r="A2727" i="11"/>
  <c r="A2726" i="11"/>
  <c r="A2725" i="11"/>
  <c r="A2724" i="11"/>
  <c r="A2723" i="11"/>
  <c r="A2722" i="11"/>
  <c r="A2721" i="11"/>
  <c r="A2720" i="11"/>
  <c r="A2719" i="11"/>
  <c r="A2718" i="11"/>
  <c r="A2717" i="11"/>
  <c r="A2716" i="11"/>
  <c r="A2715" i="11"/>
  <c r="A2714" i="11"/>
  <c r="A2713" i="11"/>
  <c r="A2712" i="11"/>
  <c r="A2711" i="11"/>
  <c r="A2710" i="11"/>
  <c r="A2709" i="11"/>
  <c r="A2708" i="11"/>
  <c r="A2707" i="11"/>
  <c r="A2706" i="11"/>
  <c r="A2705" i="11"/>
  <c r="A2704" i="11"/>
  <c r="A2703" i="11"/>
  <c r="A2702" i="11"/>
  <c r="A2701" i="11"/>
  <c r="A2700" i="11"/>
  <c r="A2699" i="11"/>
  <c r="A2698" i="11"/>
  <c r="A2697" i="11"/>
  <c r="A2696" i="11"/>
  <c r="A2695" i="11"/>
  <c r="A2694" i="11"/>
  <c r="A2693" i="11"/>
  <c r="A2692" i="11"/>
  <c r="A2691" i="11"/>
  <c r="A2690" i="11"/>
  <c r="A2689" i="11"/>
  <c r="A2688" i="11"/>
  <c r="A2687" i="11"/>
  <c r="A2686" i="11"/>
  <c r="A2685" i="11"/>
  <c r="A2684" i="11"/>
  <c r="A2683" i="11"/>
  <c r="A2682" i="11"/>
  <c r="A2681" i="11"/>
  <c r="A2680" i="11"/>
  <c r="A2679" i="11"/>
  <c r="A2678" i="11"/>
  <c r="A2677" i="11"/>
  <c r="A2676" i="11"/>
  <c r="A2675" i="11"/>
  <c r="A2674" i="11"/>
  <c r="A2673" i="11"/>
  <c r="A2672" i="11"/>
  <c r="A2671" i="11"/>
  <c r="A2670" i="11"/>
  <c r="A2669" i="11"/>
  <c r="A2668" i="11"/>
  <c r="A2667" i="11"/>
  <c r="A2666" i="11"/>
  <c r="A2665" i="11"/>
  <c r="A2664" i="11"/>
  <c r="A2663" i="11"/>
  <c r="A2662" i="11"/>
  <c r="A2661" i="11"/>
  <c r="A2660" i="11"/>
  <c r="A2659" i="11"/>
  <c r="A2658" i="11"/>
  <c r="A2657" i="11"/>
  <c r="A2656" i="11"/>
  <c r="A2655" i="11"/>
  <c r="A2654" i="11"/>
  <c r="A2653" i="11"/>
  <c r="A2652" i="11"/>
  <c r="A2651" i="11"/>
  <c r="A2650" i="11"/>
  <c r="A2649" i="11"/>
  <c r="A2648" i="11"/>
  <c r="A2647" i="11"/>
  <c r="A2646" i="11"/>
  <c r="A2645" i="11"/>
  <c r="A2644" i="11"/>
  <c r="A2643" i="11"/>
  <c r="A2642" i="11"/>
  <c r="A2641" i="11"/>
  <c r="A2640" i="11"/>
  <c r="A2639" i="11"/>
  <c r="A2638" i="11"/>
  <c r="A2637" i="11"/>
  <c r="A2636" i="11"/>
  <c r="A2635" i="11"/>
  <c r="A2634" i="11"/>
  <c r="A2633" i="11"/>
  <c r="A2632" i="11"/>
  <c r="A2631" i="11"/>
  <c r="A2630" i="11"/>
  <c r="A2629" i="11"/>
  <c r="A2628" i="11"/>
  <c r="A2627" i="11"/>
  <c r="A2626" i="11"/>
  <c r="A2625" i="11"/>
  <c r="A2624" i="11"/>
  <c r="A2623" i="11"/>
  <c r="A2622" i="11"/>
  <c r="A2621" i="11"/>
  <c r="A2620" i="11"/>
  <c r="A2619" i="11"/>
  <c r="A2618" i="11"/>
  <c r="A2617" i="11"/>
  <c r="A2616" i="11"/>
  <c r="A2615" i="11"/>
  <c r="A2614" i="11"/>
  <c r="A2613" i="11"/>
  <c r="A2612" i="11"/>
  <c r="A2611" i="11"/>
  <c r="A2610" i="11"/>
  <c r="A2609" i="11"/>
  <c r="A2608" i="11"/>
  <c r="A2607" i="11"/>
  <c r="A2606" i="11"/>
  <c r="A2605" i="11"/>
  <c r="A2604" i="11"/>
  <c r="A2603" i="11"/>
  <c r="A2602" i="11"/>
  <c r="A2601" i="11"/>
  <c r="A2600" i="11"/>
  <c r="A2599" i="11"/>
  <c r="A2598" i="11"/>
  <c r="A2597" i="11"/>
  <c r="A2596" i="11"/>
  <c r="A2595" i="11"/>
  <c r="A2594" i="11"/>
  <c r="A2593" i="11"/>
  <c r="A2592" i="11"/>
  <c r="A2591" i="11"/>
  <c r="A2590" i="11"/>
  <c r="A2589" i="11"/>
  <c r="A2588" i="11"/>
  <c r="A2587" i="11"/>
  <c r="A2586" i="11"/>
  <c r="A2585" i="11"/>
  <c r="A2584" i="11"/>
  <c r="A2583" i="11"/>
  <c r="A2582" i="11"/>
  <c r="A2581" i="11"/>
  <c r="A2580" i="11"/>
  <c r="A2579" i="11"/>
  <c r="A2578" i="11"/>
  <c r="A2577" i="11"/>
  <c r="A2576" i="11"/>
  <c r="A2575" i="11"/>
  <c r="A2574" i="11"/>
  <c r="A2573" i="11"/>
  <c r="A2572" i="11"/>
  <c r="A2571" i="11"/>
  <c r="A2570" i="11"/>
  <c r="A2569" i="11"/>
  <c r="A2568" i="11"/>
  <c r="A2567" i="11"/>
  <c r="A2566" i="11"/>
  <c r="A2565" i="11"/>
  <c r="A2564" i="11"/>
  <c r="A2563" i="11"/>
  <c r="A2562" i="11"/>
  <c r="A2561" i="11"/>
  <c r="A2560" i="11"/>
  <c r="A2559" i="11"/>
  <c r="A2558" i="11"/>
  <c r="A2557" i="11"/>
  <c r="A2556" i="11"/>
  <c r="A2555" i="11"/>
  <c r="A2554" i="11"/>
  <c r="A2553" i="11"/>
  <c r="A2552" i="11"/>
  <c r="A2551" i="11"/>
  <c r="A2550" i="11"/>
  <c r="A2549" i="11"/>
  <c r="A2548" i="11"/>
  <c r="A2547" i="11"/>
  <c r="A2546" i="11"/>
  <c r="A2545" i="11"/>
  <c r="A2544" i="11"/>
  <c r="A2543" i="11"/>
  <c r="A2542" i="11"/>
  <c r="A2541" i="11"/>
  <c r="A2540" i="11"/>
  <c r="A2539" i="11"/>
  <c r="A2538" i="11"/>
  <c r="A2537" i="11"/>
  <c r="A2536" i="11"/>
  <c r="A2535" i="11"/>
  <c r="A2534" i="11"/>
  <c r="A2533" i="11"/>
  <c r="A2532" i="11"/>
  <c r="A2531" i="11"/>
  <c r="A2530" i="11"/>
  <c r="A2529" i="11"/>
  <c r="A2528" i="11"/>
  <c r="A2527" i="11"/>
  <c r="A2526" i="11"/>
  <c r="A2525" i="11"/>
  <c r="A2524" i="11"/>
  <c r="A2523" i="11"/>
  <c r="A2522" i="11"/>
  <c r="A2521" i="11"/>
  <c r="A2520" i="11"/>
  <c r="A2519" i="11"/>
  <c r="A2518" i="11"/>
  <c r="A2517" i="11"/>
  <c r="A2516" i="11"/>
  <c r="A2515" i="11"/>
  <c r="A2514" i="11"/>
  <c r="A2513" i="11"/>
  <c r="A2512" i="11"/>
  <c r="A2511" i="11"/>
  <c r="A2510" i="11"/>
  <c r="A2509" i="11"/>
  <c r="A2508" i="11"/>
  <c r="A2507" i="11"/>
  <c r="A2506" i="11"/>
  <c r="A2505" i="11"/>
  <c r="A2504" i="11"/>
  <c r="A2503" i="11"/>
  <c r="A2502" i="11"/>
  <c r="A2501" i="11"/>
  <c r="A2500" i="11"/>
  <c r="A2499" i="11"/>
  <c r="A2498" i="11"/>
  <c r="A2497" i="11"/>
  <c r="A2496" i="11"/>
  <c r="A2495" i="11"/>
  <c r="A2494" i="11"/>
  <c r="A2493" i="11"/>
  <c r="A2492" i="11"/>
  <c r="A2491" i="11"/>
  <c r="A2490" i="11"/>
  <c r="A2489" i="11"/>
  <c r="A2488" i="11"/>
  <c r="A2487" i="11"/>
  <c r="A2486" i="11"/>
  <c r="A2485" i="11"/>
  <c r="A2484" i="11"/>
  <c r="A2483" i="11"/>
  <c r="A2482" i="11"/>
  <c r="A2481" i="11"/>
  <c r="A2480" i="11"/>
  <c r="A2479" i="11"/>
  <c r="A2478" i="11"/>
  <c r="A2477" i="11"/>
  <c r="A2476" i="11"/>
  <c r="A2475" i="11"/>
  <c r="A2474" i="11"/>
  <c r="A2473" i="11"/>
  <c r="A2472" i="11"/>
  <c r="A2471" i="11"/>
  <c r="A2470" i="11"/>
  <c r="A2469" i="11"/>
  <c r="A2468" i="11"/>
  <c r="A2467" i="11"/>
  <c r="A2466" i="11"/>
  <c r="A2465" i="11"/>
  <c r="A2464" i="11"/>
  <c r="A2463" i="11"/>
  <c r="A2462" i="11"/>
  <c r="A2461" i="11"/>
  <c r="A2460" i="11"/>
  <c r="A2459" i="11"/>
  <c r="A2458" i="11"/>
  <c r="A2457" i="11"/>
  <c r="A2456" i="11"/>
  <c r="A2455" i="11"/>
  <c r="A2454" i="11"/>
  <c r="A2453" i="11"/>
  <c r="A2452" i="11"/>
  <c r="A2451" i="11"/>
  <c r="A2450" i="11"/>
  <c r="A2449" i="11"/>
  <c r="A2448" i="11"/>
  <c r="A2447" i="11"/>
  <c r="A2446" i="11"/>
  <c r="A2445" i="11"/>
  <c r="A2444" i="11"/>
  <c r="A2443" i="11"/>
  <c r="A2442" i="11"/>
  <c r="A2441" i="11"/>
  <c r="A2440" i="11"/>
  <c r="A2439" i="11"/>
  <c r="A2438" i="11"/>
  <c r="A2437" i="11"/>
  <c r="A2436" i="11"/>
  <c r="A2435" i="11"/>
  <c r="A2434" i="11"/>
  <c r="A2433" i="11"/>
  <c r="A2432" i="11"/>
  <c r="A2431" i="11"/>
  <c r="A2430" i="11"/>
  <c r="A2429" i="11"/>
  <c r="A2428" i="11"/>
  <c r="A2427" i="11"/>
  <c r="A2426" i="11"/>
  <c r="A2425" i="11"/>
  <c r="A2424" i="11"/>
  <c r="A2423" i="11"/>
  <c r="A2422" i="11"/>
  <c r="A2421" i="11"/>
  <c r="A2420" i="11"/>
  <c r="A2419" i="11"/>
  <c r="A2418" i="11"/>
  <c r="A2417" i="11"/>
  <c r="A2416" i="11"/>
  <c r="A2415" i="11"/>
  <c r="A2414" i="11"/>
  <c r="A2413" i="11"/>
  <c r="A2412" i="11"/>
  <c r="A2411" i="11"/>
  <c r="A2410" i="11"/>
  <c r="A2409" i="11"/>
  <c r="A2408" i="11"/>
  <c r="A2407" i="11"/>
  <c r="A2406" i="11"/>
  <c r="A2405" i="11"/>
  <c r="A2404" i="11"/>
  <c r="A2403" i="11"/>
  <c r="A2402" i="11"/>
  <c r="A2401" i="11"/>
  <c r="A2400" i="11"/>
  <c r="A2399" i="11"/>
  <c r="A2398" i="11"/>
  <c r="A2397" i="11"/>
  <c r="A2396" i="11"/>
  <c r="A2395" i="11"/>
  <c r="A2394" i="11"/>
  <c r="A2393" i="11"/>
  <c r="A2392" i="11"/>
  <c r="A2391" i="11"/>
  <c r="A2390" i="11"/>
  <c r="A2389" i="11"/>
  <c r="A2388" i="11"/>
  <c r="A2387" i="11"/>
  <c r="A2386" i="11"/>
  <c r="A2385" i="11"/>
  <c r="A2384" i="11"/>
  <c r="A2383" i="11"/>
  <c r="A2382" i="11"/>
  <c r="A2381" i="11"/>
  <c r="A2380" i="11"/>
  <c r="A2379" i="11"/>
  <c r="A2378" i="11"/>
  <c r="A2377" i="11"/>
  <c r="A2376" i="11"/>
  <c r="A2375" i="11"/>
  <c r="A2374" i="11"/>
  <c r="A2373" i="11"/>
  <c r="A2372" i="11"/>
  <c r="A2371" i="11"/>
  <c r="A2370" i="11"/>
  <c r="A2369" i="11"/>
  <c r="A2368" i="11"/>
  <c r="A2367" i="11"/>
  <c r="A2366" i="11"/>
  <c r="A2365" i="11"/>
  <c r="A2364" i="11"/>
  <c r="A2363" i="11"/>
  <c r="A2362" i="11"/>
  <c r="A2361" i="11"/>
  <c r="A2360" i="11"/>
  <c r="A2359" i="11"/>
  <c r="A2358" i="11"/>
  <c r="A2357" i="11"/>
  <c r="A2356" i="11"/>
  <c r="A2355" i="11"/>
  <c r="A2354" i="11"/>
  <c r="A2353" i="11"/>
  <c r="A2352" i="11"/>
  <c r="A2351" i="11"/>
  <c r="A2350" i="11"/>
  <c r="A2349" i="11"/>
  <c r="A2348" i="11"/>
  <c r="A2347" i="11"/>
  <c r="A2346" i="11"/>
  <c r="A2345" i="11"/>
  <c r="A2344" i="11"/>
  <c r="A2343" i="11"/>
  <c r="A2342" i="11"/>
  <c r="A2341" i="11"/>
  <c r="A2340" i="11"/>
  <c r="A2339" i="11"/>
  <c r="A2338" i="11"/>
  <c r="A2337" i="11"/>
  <c r="A2336" i="11"/>
  <c r="A2335" i="11"/>
  <c r="A2334" i="11"/>
  <c r="A2333" i="11"/>
  <c r="A2332" i="11"/>
  <c r="A2331" i="11"/>
  <c r="A2330" i="11"/>
  <c r="A2329" i="11"/>
  <c r="A2328" i="11"/>
  <c r="A2327" i="11"/>
  <c r="A2326" i="11"/>
  <c r="A2325" i="11"/>
  <c r="A2324" i="11"/>
  <c r="A2323" i="11"/>
  <c r="A2322" i="11"/>
  <c r="A2321" i="11"/>
  <c r="A2320" i="11"/>
  <c r="A2319" i="11"/>
  <c r="A2318" i="11"/>
  <c r="A2317" i="11"/>
  <c r="A2316" i="11"/>
  <c r="A2315" i="11"/>
  <c r="A2314" i="11"/>
  <c r="A2313" i="11"/>
  <c r="A2312" i="11"/>
  <c r="A2311" i="11"/>
  <c r="A2310" i="11"/>
  <c r="A2309" i="11"/>
  <c r="A2308" i="11"/>
  <c r="A2307" i="11"/>
  <c r="A2306" i="11"/>
  <c r="A2305" i="11"/>
  <c r="A2304" i="11"/>
  <c r="A2303" i="11"/>
  <c r="A2302" i="11"/>
  <c r="A2301" i="11"/>
  <c r="A2300" i="11"/>
  <c r="A2299" i="11"/>
  <c r="A2298" i="11"/>
  <c r="A2297" i="11"/>
  <c r="A2296" i="11"/>
  <c r="A2295" i="11"/>
  <c r="A2294" i="11"/>
  <c r="A2293" i="11"/>
  <c r="A2292" i="11"/>
  <c r="A2291" i="11"/>
  <c r="A2290" i="11"/>
  <c r="A2289" i="11"/>
  <c r="A2288" i="11"/>
  <c r="A2287" i="11"/>
  <c r="A2286" i="11"/>
  <c r="A2285" i="11"/>
  <c r="A2284" i="11"/>
  <c r="A2283" i="11"/>
  <c r="A2282" i="11"/>
  <c r="A2281" i="11"/>
  <c r="A2280" i="11"/>
  <c r="A2279" i="11"/>
  <c r="A2278" i="11"/>
  <c r="A2277" i="11"/>
  <c r="A2276" i="11"/>
  <c r="A2275" i="11"/>
  <c r="A2274" i="11"/>
  <c r="A2273" i="11"/>
  <c r="A2272" i="11"/>
  <c r="A2271" i="11"/>
  <c r="A2270" i="11"/>
  <c r="A2269" i="11"/>
  <c r="A2268" i="11"/>
  <c r="A2267" i="11"/>
  <c r="A2266" i="11"/>
  <c r="A2265" i="11"/>
  <c r="A2264" i="11"/>
  <c r="A2263" i="11"/>
  <c r="A2262" i="11"/>
  <c r="A2261" i="11"/>
  <c r="A2260" i="11"/>
  <c r="A2259" i="11"/>
  <c r="A2258" i="11"/>
  <c r="A2257" i="11"/>
  <c r="A2256" i="11"/>
  <c r="A2255" i="11"/>
  <c r="A2254" i="11"/>
  <c r="A2253" i="11"/>
  <c r="A2252" i="11"/>
  <c r="A2251" i="11"/>
  <c r="A2250" i="11"/>
  <c r="A2249" i="11"/>
  <c r="A2248" i="11"/>
  <c r="A2247" i="11"/>
  <c r="A2246" i="11"/>
  <c r="A2245" i="11"/>
  <c r="A2244" i="11"/>
  <c r="A2243" i="11"/>
  <c r="A2242" i="11"/>
  <c r="A2241" i="11"/>
  <c r="A2240" i="11"/>
  <c r="A2239" i="11"/>
  <c r="A2238" i="11"/>
  <c r="A2237" i="11"/>
  <c r="A2236" i="11"/>
  <c r="A2235" i="11"/>
  <c r="A2234" i="11"/>
  <c r="A2233" i="11"/>
  <c r="A2232" i="11"/>
  <c r="A2231" i="11"/>
  <c r="A2230" i="11"/>
  <c r="A2229" i="11"/>
  <c r="A2228" i="11"/>
  <c r="A2227" i="11"/>
  <c r="A2226" i="11"/>
  <c r="A2225" i="11"/>
  <c r="A2224" i="11"/>
  <c r="A2223" i="11"/>
  <c r="A2222" i="11"/>
  <c r="A2221" i="11"/>
  <c r="A2220" i="11"/>
  <c r="A2219" i="11"/>
  <c r="A2218" i="11"/>
  <c r="A2217" i="11"/>
  <c r="A2216" i="11"/>
  <c r="A2215" i="11"/>
  <c r="A2214" i="11"/>
  <c r="A2213" i="11"/>
  <c r="A2212" i="11"/>
  <c r="A2211" i="11"/>
  <c r="A2210" i="11"/>
  <c r="A2209" i="11"/>
  <c r="A2208" i="11"/>
  <c r="A2207" i="11"/>
  <c r="A2206" i="11"/>
  <c r="A2205" i="11"/>
  <c r="A2204" i="11"/>
  <c r="A2203" i="11"/>
  <c r="A2202" i="11"/>
  <c r="A2201" i="11"/>
  <c r="A2200" i="11"/>
  <c r="A2199" i="11"/>
  <c r="A2198" i="11"/>
  <c r="A2197" i="11"/>
  <c r="A2196" i="11"/>
  <c r="A2195" i="11"/>
  <c r="A2194" i="11"/>
  <c r="A2193" i="11"/>
  <c r="A2192" i="11"/>
  <c r="A2191" i="11"/>
  <c r="A2190" i="11"/>
  <c r="A2189" i="11"/>
  <c r="A2188" i="11"/>
  <c r="A2187" i="11"/>
  <c r="A2186" i="11"/>
  <c r="A2185" i="11"/>
  <c r="A2184" i="11"/>
  <c r="A2183" i="11"/>
  <c r="A2182" i="11"/>
  <c r="A2181" i="11"/>
  <c r="A2180" i="11"/>
  <c r="A2179" i="11"/>
  <c r="A2178" i="11"/>
  <c r="A2177" i="11"/>
  <c r="A2176" i="11"/>
  <c r="A2175" i="11"/>
  <c r="A2174" i="11"/>
  <c r="A2173" i="11"/>
  <c r="A2172" i="11"/>
  <c r="A2171" i="11"/>
  <c r="A2170" i="11"/>
  <c r="A2169" i="11"/>
  <c r="A2168" i="11"/>
  <c r="A2167" i="11"/>
  <c r="A2166" i="11"/>
  <c r="A2165" i="11"/>
  <c r="A2164" i="11"/>
  <c r="A2163" i="11"/>
  <c r="A2162" i="11"/>
  <c r="A2161" i="11"/>
  <c r="A2160" i="11"/>
  <c r="A2159" i="11"/>
  <c r="A2158" i="11"/>
  <c r="A2157" i="11"/>
  <c r="A2156" i="11"/>
  <c r="A2155" i="11"/>
  <c r="A2154" i="11"/>
  <c r="A2153" i="11"/>
  <c r="A2152" i="11"/>
  <c r="A2151" i="11"/>
  <c r="A2150" i="11"/>
  <c r="A2149" i="11"/>
  <c r="A2148" i="11"/>
  <c r="A2147" i="11"/>
  <c r="A2146" i="11"/>
  <c r="A2145" i="11"/>
  <c r="A2144" i="11"/>
  <c r="A2143" i="11"/>
  <c r="A2142" i="11"/>
  <c r="A2141" i="11"/>
  <c r="A2140" i="11"/>
  <c r="A2139" i="11"/>
  <c r="A2138" i="11"/>
  <c r="A2137" i="11"/>
  <c r="A2136" i="11"/>
  <c r="A2135" i="11"/>
  <c r="A2134" i="11"/>
  <c r="A2133" i="11"/>
  <c r="A2132" i="11"/>
  <c r="A2131" i="11"/>
  <c r="A2130" i="11"/>
  <c r="A2129" i="11"/>
  <c r="A2128" i="11"/>
  <c r="A2127" i="11"/>
  <c r="A2126" i="11"/>
  <c r="A2125" i="11"/>
  <c r="A2124" i="11"/>
  <c r="A2123" i="11"/>
  <c r="A2122" i="11"/>
  <c r="A2121" i="11"/>
  <c r="A2120" i="11"/>
  <c r="A2119" i="11"/>
  <c r="A2118" i="11"/>
  <c r="A2117" i="11"/>
  <c r="A2116" i="11"/>
  <c r="A2115" i="11"/>
  <c r="A2114" i="11"/>
  <c r="A2113" i="11"/>
  <c r="A2112" i="11"/>
  <c r="A2111" i="11"/>
  <c r="A2110" i="11"/>
  <c r="A2109" i="11"/>
  <c r="A2108" i="11"/>
  <c r="A2107" i="11"/>
  <c r="A2106" i="11"/>
  <c r="A2105" i="11"/>
  <c r="A2104" i="11"/>
  <c r="A2103" i="11"/>
  <c r="A2102" i="11"/>
  <c r="A2101" i="11"/>
  <c r="A2100" i="11"/>
  <c r="A2099" i="11"/>
  <c r="A2098" i="11"/>
  <c r="A2097" i="11"/>
  <c r="A2096" i="11"/>
  <c r="A2095" i="11"/>
  <c r="A2094" i="11"/>
  <c r="A2093" i="11"/>
  <c r="A2092" i="11"/>
  <c r="A2091" i="11"/>
  <c r="A2090" i="11"/>
  <c r="A2089" i="11"/>
  <c r="A2088" i="11"/>
  <c r="A2087" i="11"/>
  <c r="A2086" i="11"/>
  <c r="A2085" i="11"/>
  <c r="A2084" i="11"/>
  <c r="A2083" i="11"/>
  <c r="A2082" i="11"/>
  <c r="A2081" i="11"/>
  <c r="A2080" i="11"/>
  <c r="A2079" i="11"/>
  <c r="A2078" i="11"/>
  <c r="A2077" i="11"/>
  <c r="A2076" i="11"/>
  <c r="A2075" i="11"/>
  <c r="A2074" i="11"/>
  <c r="A2073" i="11"/>
  <c r="A2072" i="11"/>
  <c r="A2071" i="11"/>
  <c r="A2070" i="11"/>
  <c r="A2069" i="11"/>
  <c r="A2068" i="11"/>
  <c r="A2067" i="11"/>
  <c r="A2066" i="11"/>
  <c r="A2065" i="11"/>
  <c r="A2064" i="11"/>
  <c r="A2063" i="11"/>
  <c r="A2062" i="11"/>
  <c r="A2061" i="11"/>
  <c r="A2060" i="11"/>
  <c r="A2059" i="11"/>
  <c r="A2058" i="11"/>
  <c r="A2057" i="11"/>
  <c r="A2056" i="11"/>
  <c r="A2055" i="11"/>
  <c r="A2054" i="11"/>
  <c r="A2053" i="11"/>
  <c r="A2052" i="11"/>
  <c r="A2051" i="11"/>
  <c r="A2050" i="11"/>
  <c r="A2049" i="11"/>
  <c r="A2048" i="11"/>
  <c r="A2047" i="11"/>
  <c r="A2046" i="11"/>
  <c r="A2045" i="11"/>
  <c r="A2044" i="11"/>
  <c r="A2043" i="11"/>
  <c r="A2042" i="11"/>
  <c r="A2041" i="11"/>
  <c r="A2040" i="11"/>
  <c r="A2039" i="11"/>
  <c r="A2038" i="11"/>
  <c r="A2037" i="11"/>
  <c r="A2036" i="11"/>
  <c r="A2035" i="11"/>
  <c r="A2034" i="11"/>
  <c r="A2033" i="11"/>
  <c r="A2032" i="11"/>
  <c r="A2031" i="11"/>
  <c r="A2030" i="11"/>
  <c r="A2029" i="11"/>
  <c r="A2028" i="11"/>
  <c r="A2027" i="11"/>
  <c r="A2026" i="11"/>
  <c r="A2025" i="11"/>
  <c r="A2024" i="11"/>
  <c r="A2023" i="11"/>
  <c r="A2022" i="11"/>
  <c r="A2021" i="11"/>
  <c r="A2020" i="11"/>
  <c r="A2019" i="11"/>
  <c r="A2018" i="11"/>
  <c r="A2017" i="11"/>
  <c r="A2016" i="11"/>
  <c r="A2015" i="11"/>
  <c r="A2014" i="11"/>
  <c r="A2013" i="11"/>
  <c r="A2012" i="11"/>
  <c r="A2011" i="11"/>
  <c r="A2010" i="11"/>
  <c r="A2009" i="11"/>
  <c r="A2008" i="11"/>
  <c r="A2007" i="11"/>
  <c r="A2006" i="11"/>
  <c r="A2005" i="11"/>
  <c r="A2004" i="11"/>
  <c r="A2003" i="11"/>
  <c r="A2002" i="11"/>
  <c r="A2001" i="11"/>
  <c r="A2000" i="11"/>
  <c r="A1999" i="11"/>
  <c r="A1998" i="11"/>
  <c r="A1997" i="11"/>
  <c r="A1996" i="11"/>
  <c r="A1995" i="11"/>
  <c r="A1994" i="11"/>
  <c r="A1993" i="11"/>
  <c r="A1992" i="11"/>
  <c r="A1991" i="11"/>
  <c r="A1990" i="11"/>
  <c r="A1989" i="11"/>
  <c r="A1988" i="11"/>
  <c r="A1987" i="11"/>
  <c r="A1986" i="11"/>
  <c r="A1985" i="11"/>
  <c r="A1984" i="11"/>
  <c r="A1983" i="11"/>
  <c r="A1982" i="11"/>
  <c r="A1981" i="11"/>
  <c r="A1980" i="11"/>
  <c r="A1979" i="11"/>
  <c r="A1978" i="11"/>
  <c r="A1977" i="11"/>
  <c r="A1976" i="11"/>
  <c r="A1975" i="11"/>
  <c r="A1974" i="11"/>
  <c r="A1973" i="11"/>
  <c r="A1972" i="11"/>
  <c r="A1971" i="11"/>
  <c r="A1970" i="11"/>
  <c r="A1969" i="11"/>
  <c r="A1968" i="11"/>
  <c r="A1967" i="11"/>
  <c r="A1966" i="11"/>
  <c r="A1965" i="11"/>
  <c r="A1964" i="11"/>
  <c r="A1963" i="11"/>
  <c r="A1962" i="11"/>
  <c r="A1961" i="11"/>
  <c r="A1960" i="11"/>
  <c r="A1959" i="11"/>
  <c r="A1958" i="11"/>
  <c r="A1957" i="11"/>
  <c r="A1956" i="11"/>
  <c r="A1955" i="11"/>
  <c r="A1954" i="11"/>
  <c r="A1953" i="11"/>
  <c r="A1952" i="11"/>
  <c r="A1951" i="11"/>
  <c r="A1950" i="11"/>
  <c r="A1949" i="11"/>
  <c r="A1948" i="11"/>
  <c r="A1947" i="11"/>
  <c r="A1946" i="11"/>
  <c r="A1945" i="11"/>
  <c r="A1944" i="11"/>
  <c r="A1943" i="11"/>
  <c r="A1942" i="11"/>
  <c r="A1941" i="11"/>
  <c r="A1940" i="11"/>
  <c r="A1939" i="11"/>
  <c r="A1938" i="11"/>
  <c r="A1937" i="11"/>
  <c r="A1936" i="11"/>
  <c r="A1935" i="11"/>
  <c r="A1934" i="11"/>
  <c r="A1933" i="11"/>
  <c r="A1932" i="11"/>
  <c r="A1931" i="11"/>
  <c r="A1930" i="11"/>
  <c r="A1929" i="11"/>
  <c r="A1928" i="11"/>
  <c r="A1927" i="11"/>
  <c r="A1926" i="11"/>
  <c r="A1925" i="11"/>
  <c r="A1924" i="11"/>
  <c r="A1923" i="11"/>
  <c r="A1922" i="11"/>
  <c r="A1921" i="11"/>
  <c r="A1920" i="11"/>
  <c r="A1919" i="11"/>
  <c r="A1918" i="11"/>
  <c r="A1917" i="11"/>
  <c r="A1916" i="11"/>
  <c r="A1915" i="11"/>
  <c r="A1914" i="11"/>
  <c r="A1913" i="11"/>
  <c r="A1912" i="11"/>
  <c r="A1911" i="11"/>
  <c r="A1910" i="11"/>
  <c r="A1909" i="11"/>
  <c r="A1908" i="11"/>
  <c r="A1907" i="11"/>
  <c r="A1906" i="11"/>
  <c r="A1905" i="11"/>
  <c r="A1904" i="11"/>
  <c r="A1903" i="11"/>
  <c r="A1902" i="11"/>
  <c r="A1901" i="11"/>
  <c r="A1900" i="11"/>
  <c r="A1899" i="11"/>
  <c r="A1898" i="11"/>
  <c r="A1897" i="11"/>
  <c r="A1896" i="11"/>
  <c r="A1895" i="11"/>
  <c r="A1894" i="11"/>
  <c r="A1893" i="11"/>
  <c r="A1892" i="11"/>
  <c r="A1891" i="11"/>
  <c r="A1890" i="11"/>
  <c r="A1889" i="11"/>
  <c r="A1888" i="11"/>
  <c r="A1887" i="11"/>
  <c r="A1886" i="11"/>
  <c r="A1885" i="11"/>
  <c r="A1884" i="11"/>
  <c r="A1883" i="11"/>
  <c r="A1882" i="11"/>
  <c r="A1881" i="11"/>
  <c r="A1880" i="11"/>
  <c r="A1879" i="11"/>
  <c r="A1878" i="11"/>
  <c r="A1877" i="11"/>
  <c r="A1876" i="11"/>
  <c r="A1875" i="11"/>
  <c r="A1874" i="11"/>
  <c r="A1873" i="11"/>
  <c r="A1872" i="11"/>
  <c r="A1871" i="11"/>
  <c r="A1870" i="11"/>
  <c r="A1869" i="11"/>
  <c r="A1868" i="11"/>
  <c r="A1867" i="11"/>
  <c r="A1866" i="11"/>
  <c r="A1865" i="11"/>
  <c r="A1864" i="11"/>
  <c r="A1863" i="11"/>
  <c r="A1862" i="11"/>
  <c r="A1861" i="11"/>
  <c r="A1860" i="11"/>
  <c r="A1859" i="11"/>
  <c r="A1858" i="11"/>
  <c r="A1857" i="11"/>
  <c r="A1856" i="11"/>
  <c r="A1855" i="11"/>
  <c r="A1854" i="11"/>
  <c r="A1853" i="11"/>
  <c r="A1852" i="11"/>
  <c r="A1851" i="11"/>
  <c r="A1850" i="11"/>
  <c r="A1849" i="11"/>
  <c r="A1848" i="11"/>
  <c r="A1847" i="11"/>
  <c r="A1846" i="11"/>
  <c r="A1845" i="11"/>
  <c r="A1844" i="11"/>
  <c r="A1843" i="11"/>
  <c r="A1842" i="11"/>
  <c r="A1841" i="11"/>
  <c r="A1840" i="11"/>
  <c r="A1839" i="11"/>
  <c r="A1838" i="11"/>
  <c r="A1837" i="11"/>
  <c r="A1836" i="11"/>
  <c r="A1835" i="11"/>
  <c r="A1834" i="11"/>
  <c r="A1833" i="11"/>
  <c r="A1832" i="11"/>
  <c r="A1831" i="11"/>
  <c r="A1830" i="11"/>
  <c r="A1829" i="11"/>
  <c r="A1828" i="11"/>
  <c r="A1827" i="11"/>
  <c r="A1826" i="11"/>
  <c r="A1825" i="11"/>
  <c r="A1824" i="11"/>
  <c r="A1823" i="11"/>
  <c r="A1822" i="11"/>
  <c r="A1821" i="11"/>
  <c r="A1820" i="11"/>
  <c r="A1819" i="11"/>
  <c r="A1818" i="11"/>
  <c r="A1817" i="11"/>
  <c r="A1816" i="11"/>
  <c r="A1815" i="11"/>
  <c r="A1814" i="11"/>
  <c r="A1813" i="11"/>
  <c r="A1812" i="11"/>
  <c r="A1811" i="11"/>
  <c r="A1810" i="11"/>
  <c r="A1809" i="11"/>
  <c r="A1808" i="11"/>
  <c r="A1807" i="11"/>
  <c r="A1806" i="11"/>
  <c r="A1805" i="11"/>
  <c r="A1804" i="11"/>
  <c r="A1803" i="11"/>
  <c r="A1802" i="11"/>
  <c r="A1801" i="11"/>
  <c r="A1800" i="11"/>
  <c r="A1799" i="11"/>
  <c r="A1798" i="11"/>
  <c r="A1797" i="11"/>
  <c r="A1796" i="11"/>
  <c r="A1795" i="11"/>
  <c r="A1794" i="11"/>
  <c r="A1793" i="11"/>
  <c r="A1792" i="11"/>
  <c r="A1791" i="11"/>
  <c r="A1790" i="11"/>
  <c r="A1789" i="11"/>
  <c r="A1788" i="11"/>
  <c r="A1787" i="11"/>
  <c r="A1786" i="11"/>
  <c r="A1785" i="11"/>
  <c r="A1784" i="11"/>
  <c r="A1783" i="11"/>
  <c r="A1782" i="11"/>
  <c r="A1781" i="11"/>
  <c r="A1780" i="11"/>
  <c r="A1779" i="11"/>
  <c r="A1778" i="11"/>
  <c r="A1777" i="11"/>
  <c r="A1776" i="11"/>
  <c r="A1775" i="11"/>
  <c r="A1774" i="11"/>
  <c r="A1773" i="11"/>
  <c r="A1772" i="11"/>
  <c r="A1771" i="11"/>
  <c r="A1770" i="11"/>
  <c r="A1769" i="11"/>
  <c r="A1768" i="11"/>
  <c r="A1767" i="11"/>
  <c r="A1766" i="11"/>
  <c r="A1765" i="11"/>
  <c r="A1764" i="11"/>
  <c r="A1763" i="11"/>
  <c r="A1762" i="11"/>
  <c r="A1761" i="11"/>
  <c r="A1760" i="11"/>
  <c r="A1759" i="11"/>
  <c r="A1758" i="11"/>
  <c r="A1757" i="11"/>
  <c r="A1756" i="11"/>
  <c r="A1755" i="11"/>
  <c r="A1754" i="11"/>
  <c r="A1753" i="11"/>
  <c r="A1752" i="11"/>
  <c r="A1751" i="11"/>
  <c r="A1750" i="11"/>
  <c r="A1749" i="11"/>
  <c r="A1748" i="11"/>
  <c r="A1747" i="11"/>
  <c r="A1746" i="11"/>
  <c r="A1745" i="11"/>
  <c r="A1744" i="11"/>
  <c r="A1743" i="11"/>
  <c r="A1742" i="11"/>
  <c r="A1741" i="11"/>
  <c r="A1740" i="11"/>
  <c r="A1739" i="11"/>
  <c r="A1738" i="11"/>
  <c r="A1737" i="11"/>
  <c r="A1736" i="11"/>
  <c r="A1735" i="11"/>
  <c r="A1734" i="11"/>
  <c r="A1733" i="11"/>
  <c r="A1732" i="11"/>
  <c r="A1731" i="11"/>
  <c r="A1730" i="11"/>
  <c r="A1729" i="11"/>
  <c r="A1728" i="11"/>
  <c r="A1727" i="11"/>
  <c r="A1726" i="11"/>
  <c r="A1725" i="11"/>
  <c r="A1724" i="11"/>
  <c r="A1723" i="11"/>
  <c r="A1722" i="11"/>
  <c r="A1721" i="11"/>
  <c r="A1720" i="11"/>
  <c r="A1719" i="11"/>
  <c r="A1718" i="11"/>
  <c r="A1717" i="11"/>
  <c r="A1716" i="11"/>
  <c r="A1715" i="11"/>
  <c r="A1714" i="11"/>
  <c r="A1713" i="11"/>
  <c r="A1712" i="11"/>
  <c r="A1711" i="11"/>
  <c r="A1710" i="11"/>
  <c r="A1709" i="11"/>
  <c r="A1708" i="11"/>
  <c r="A1707" i="11"/>
  <c r="A1706" i="11"/>
  <c r="A1705" i="11"/>
  <c r="A1704" i="11"/>
  <c r="A1703" i="11"/>
  <c r="A1702" i="11"/>
  <c r="A1701" i="11"/>
  <c r="A1700" i="11"/>
  <c r="A1699" i="11"/>
  <c r="A1698" i="11"/>
  <c r="A1697" i="11"/>
  <c r="A1696" i="11"/>
  <c r="A1695" i="11"/>
  <c r="A1694" i="11"/>
  <c r="A1693" i="11"/>
  <c r="A1692" i="11"/>
  <c r="A1691" i="11"/>
  <c r="A1690" i="11"/>
  <c r="A1689" i="11"/>
  <c r="A1688" i="11"/>
  <c r="A1687" i="11"/>
  <c r="A1686" i="11"/>
  <c r="A1685" i="11"/>
  <c r="A1684" i="11"/>
  <c r="A1683" i="11"/>
  <c r="A1682" i="11"/>
  <c r="A1681" i="11"/>
  <c r="A1680" i="11"/>
  <c r="A1679" i="11"/>
  <c r="A1678" i="11"/>
  <c r="A1677" i="11"/>
  <c r="A1676" i="11"/>
  <c r="A1675" i="11"/>
  <c r="A1674" i="11"/>
  <c r="A1673" i="11"/>
  <c r="A1672" i="11"/>
  <c r="A1671" i="11"/>
  <c r="A1670" i="11"/>
  <c r="A1669" i="11"/>
  <c r="A1668" i="11"/>
  <c r="A1667" i="11"/>
  <c r="A1666" i="11"/>
  <c r="A1665" i="11"/>
  <c r="A1664" i="11"/>
  <c r="A1663" i="11"/>
  <c r="A1662" i="11"/>
  <c r="A1661" i="11"/>
  <c r="A1660" i="11"/>
  <c r="A1659" i="11"/>
  <c r="A1658" i="11"/>
  <c r="A1657" i="11"/>
  <c r="A1656" i="11"/>
  <c r="A1655" i="11"/>
  <c r="A1654" i="11"/>
  <c r="A1653" i="11"/>
  <c r="A1652" i="11"/>
  <c r="A1651" i="11"/>
  <c r="A1650" i="11"/>
  <c r="A1649" i="11"/>
  <c r="A1648" i="11"/>
  <c r="A1647" i="11"/>
  <c r="A1646" i="11"/>
  <c r="A1645" i="11"/>
  <c r="A1644" i="11"/>
  <c r="A1643" i="11"/>
  <c r="A1642" i="11"/>
  <c r="A1641" i="11"/>
  <c r="A1640" i="11"/>
  <c r="A1639" i="11"/>
  <c r="A1638" i="11"/>
  <c r="A1637" i="11"/>
  <c r="A1636" i="11"/>
  <c r="A1635" i="11"/>
  <c r="A1634" i="11"/>
  <c r="A1633" i="11"/>
  <c r="A1632" i="11"/>
  <c r="A1631" i="11"/>
  <c r="A1630" i="11"/>
  <c r="A1629" i="11"/>
  <c r="A1628" i="11"/>
  <c r="A1627" i="11"/>
  <c r="A1626" i="11"/>
  <c r="A1625" i="11"/>
  <c r="A1624" i="11"/>
  <c r="A1623" i="11"/>
  <c r="A1622" i="11"/>
  <c r="A1621" i="11"/>
  <c r="A1620" i="11"/>
  <c r="A1619" i="11"/>
  <c r="A1618" i="11"/>
  <c r="A1617" i="11"/>
  <c r="A1616" i="11"/>
  <c r="A1615" i="11"/>
  <c r="A1614" i="11"/>
  <c r="A1613" i="11"/>
  <c r="A1612" i="11"/>
  <c r="A1611" i="11"/>
  <c r="A1610" i="11"/>
  <c r="A1609" i="11"/>
  <c r="A1608" i="11"/>
  <c r="A1607" i="11"/>
  <c r="A1606" i="11"/>
  <c r="A1605" i="11"/>
  <c r="A1604" i="11"/>
  <c r="A1603" i="11"/>
  <c r="A1602" i="11"/>
  <c r="A1601" i="11"/>
  <c r="A1600" i="11"/>
  <c r="A1599" i="11"/>
  <c r="A1598" i="11"/>
  <c r="A1597" i="11"/>
  <c r="A1596" i="11"/>
  <c r="A1595" i="11"/>
  <c r="A1594" i="11"/>
  <c r="A1593" i="11"/>
  <c r="A1592" i="11"/>
  <c r="A1591" i="11"/>
  <c r="A1590" i="11"/>
  <c r="A1589" i="11"/>
  <c r="A1588" i="11"/>
  <c r="A1587" i="11"/>
  <c r="A1586" i="11"/>
  <c r="A1585" i="11"/>
  <c r="A1584" i="11"/>
  <c r="A1583" i="11"/>
  <c r="A1582" i="11"/>
  <c r="A1581" i="11"/>
  <c r="A1580" i="11"/>
  <c r="A1579" i="11"/>
  <c r="A1578" i="11"/>
  <c r="A1577" i="11"/>
  <c r="A1576" i="11"/>
  <c r="A1575" i="11"/>
  <c r="A1574" i="11"/>
  <c r="A1573" i="11"/>
  <c r="A1572" i="11"/>
  <c r="A1571" i="11"/>
  <c r="A1570" i="11"/>
  <c r="A1569" i="11"/>
  <c r="A1568" i="11"/>
  <c r="A1567" i="11"/>
  <c r="A1566" i="11"/>
  <c r="A1565" i="11"/>
  <c r="A1564" i="11"/>
  <c r="A1563" i="11"/>
  <c r="A1562" i="11"/>
  <c r="A1561" i="11"/>
  <c r="A1560" i="11"/>
  <c r="A1559" i="11"/>
  <c r="A1558" i="11"/>
  <c r="A1557" i="11"/>
  <c r="A1556" i="11"/>
  <c r="A1555" i="11"/>
  <c r="A1554" i="11"/>
  <c r="A1553" i="11"/>
  <c r="A1552" i="11"/>
  <c r="A1551" i="11"/>
  <c r="A1550" i="11"/>
  <c r="A1549" i="11"/>
  <c r="A1548" i="11"/>
  <c r="A1547" i="11"/>
  <c r="A1546" i="11"/>
  <c r="A1545" i="11"/>
  <c r="A1544" i="11"/>
  <c r="A1543" i="11"/>
  <c r="A1542" i="11"/>
  <c r="A1541" i="11"/>
  <c r="A1540" i="11"/>
  <c r="A1539" i="11"/>
  <c r="A1538" i="11"/>
  <c r="A1537" i="11"/>
  <c r="A1536" i="11"/>
  <c r="A1535" i="11"/>
  <c r="A1534" i="11"/>
  <c r="A1533" i="11"/>
  <c r="A1532" i="11"/>
  <c r="A1531" i="11"/>
  <c r="A1530" i="11"/>
  <c r="A1529" i="11"/>
  <c r="A1528" i="11"/>
  <c r="A1527" i="11"/>
  <c r="A1526" i="11"/>
  <c r="A1525" i="11"/>
  <c r="A1524" i="11"/>
  <c r="A1523" i="11"/>
  <c r="A1522" i="11"/>
  <c r="A1521" i="11"/>
  <c r="A1520" i="11"/>
  <c r="A1519" i="11"/>
  <c r="A1518" i="11"/>
  <c r="A1517" i="11"/>
  <c r="A1516" i="11"/>
  <c r="A1515" i="11"/>
  <c r="A1514" i="11"/>
  <c r="A1513" i="11"/>
  <c r="A1512" i="11"/>
  <c r="A1511" i="11"/>
  <c r="A1510" i="11"/>
  <c r="A1509" i="11"/>
  <c r="A1508" i="11"/>
  <c r="A1507" i="11"/>
  <c r="A1506" i="11"/>
  <c r="A1505" i="11"/>
  <c r="A1504" i="11"/>
  <c r="A1503" i="11"/>
  <c r="A1502" i="11"/>
  <c r="A1501" i="11"/>
  <c r="A1500" i="11"/>
  <c r="A1499" i="11"/>
  <c r="A1498" i="11"/>
  <c r="A1497" i="11"/>
  <c r="A1496" i="11"/>
  <c r="A1495" i="11"/>
  <c r="A1494" i="11"/>
  <c r="A1493" i="11"/>
  <c r="A1492" i="11"/>
  <c r="A1491" i="11"/>
  <c r="A1490" i="11"/>
  <c r="A1489" i="11"/>
  <c r="A1488" i="11"/>
  <c r="A1487" i="11"/>
  <c r="A1486" i="11"/>
  <c r="A1485" i="11"/>
  <c r="A1484" i="11"/>
  <c r="A1483" i="11"/>
  <c r="A1482" i="11"/>
  <c r="A1481" i="11"/>
  <c r="A1480" i="11"/>
  <c r="A1479" i="11"/>
  <c r="A1478" i="11"/>
  <c r="A1477" i="11"/>
  <c r="A1476" i="11"/>
  <c r="A1475" i="11"/>
  <c r="A1474" i="11"/>
  <c r="A1473" i="11"/>
  <c r="A1472" i="11"/>
  <c r="A1471" i="11"/>
  <c r="A1470" i="11"/>
  <c r="A1469" i="11"/>
  <c r="A1468" i="11"/>
  <c r="A1467" i="11"/>
  <c r="A1466" i="11"/>
  <c r="A1465" i="11"/>
  <c r="A1464" i="11"/>
  <c r="A1463" i="11"/>
  <c r="A1462" i="11"/>
  <c r="A1461" i="11"/>
  <c r="A1460" i="11"/>
  <c r="A1459" i="11"/>
  <c r="A1458" i="11"/>
  <c r="A1457" i="11"/>
  <c r="A1456" i="11"/>
  <c r="A1455" i="11"/>
  <c r="A1454" i="11"/>
  <c r="A1453" i="11"/>
  <c r="A1452" i="11"/>
  <c r="A1451" i="11"/>
  <c r="A1450" i="11"/>
  <c r="A1449" i="11"/>
  <c r="A1448" i="11"/>
  <c r="A1447" i="11"/>
  <c r="A1446" i="11"/>
  <c r="A1445" i="11"/>
  <c r="A1444" i="11"/>
  <c r="A1443" i="11"/>
  <c r="A1442" i="11"/>
  <c r="A1441" i="11"/>
  <c r="A1440" i="11"/>
  <c r="A1439" i="11"/>
  <c r="A1438" i="11"/>
  <c r="A1437" i="11"/>
  <c r="A1436" i="11"/>
  <c r="A1435" i="11"/>
  <c r="A1434" i="11"/>
  <c r="A1433" i="11"/>
  <c r="A1432" i="11"/>
  <c r="A1431" i="11"/>
  <c r="A1430" i="11"/>
  <c r="A1429" i="11"/>
  <c r="A1428" i="11"/>
  <c r="A1427" i="11"/>
  <c r="A1426" i="11"/>
  <c r="A1425" i="11"/>
  <c r="A1424" i="11"/>
  <c r="A1423" i="11"/>
  <c r="A1422" i="11"/>
  <c r="A1421" i="11"/>
  <c r="A1420" i="11"/>
  <c r="A1419" i="11"/>
  <c r="A1418" i="11"/>
  <c r="A1417" i="11"/>
  <c r="A1416" i="11"/>
  <c r="A1415" i="11"/>
  <c r="A1414" i="11"/>
  <c r="A1413" i="11"/>
  <c r="A1412" i="11"/>
  <c r="A1411" i="11"/>
  <c r="A1410" i="11"/>
  <c r="A1409" i="11"/>
  <c r="A1408" i="11"/>
  <c r="A1407" i="11"/>
  <c r="A1406" i="11"/>
  <c r="A1405" i="11"/>
  <c r="A1404" i="11"/>
  <c r="A1403" i="11"/>
  <c r="A1402" i="11"/>
  <c r="A1401" i="11"/>
  <c r="A1400" i="11"/>
  <c r="A1399" i="11"/>
  <c r="A1398" i="11"/>
  <c r="A1397" i="11"/>
  <c r="A1396" i="11"/>
  <c r="A1395" i="11"/>
  <c r="A1394" i="11"/>
  <c r="A1393" i="11"/>
  <c r="A1392" i="11"/>
  <c r="A1391" i="11"/>
  <c r="A1390" i="11"/>
  <c r="A1389" i="11"/>
  <c r="A1388" i="11"/>
  <c r="A1387" i="11"/>
  <c r="A1386" i="11"/>
  <c r="A1385" i="11"/>
  <c r="A1384" i="11"/>
  <c r="A1383" i="11"/>
  <c r="A1382" i="11"/>
  <c r="A1381" i="11"/>
  <c r="A1380" i="11"/>
  <c r="A1379" i="11"/>
  <c r="A1378" i="11"/>
  <c r="A1377" i="11"/>
  <c r="A1376" i="11"/>
  <c r="A1375" i="11"/>
  <c r="A1374" i="11"/>
  <c r="A1373" i="11"/>
  <c r="A1372" i="11"/>
  <c r="A1371" i="11"/>
  <c r="A1370" i="11"/>
  <c r="A1369" i="11"/>
  <c r="A1368" i="11"/>
  <c r="A1367" i="11"/>
  <c r="A1366" i="11"/>
  <c r="A1365" i="11"/>
  <c r="A1364" i="11"/>
  <c r="A1363" i="11"/>
  <c r="A1362" i="11"/>
  <c r="A1361" i="11"/>
  <c r="A1360" i="11"/>
  <c r="A1359" i="11"/>
  <c r="A1358" i="11"/>
  <c r="A1357" i="11"/>
  <c r="A1356" i="11"/>
  <c r="A1355" i="11"/>
  <c r="A1354" i="11"/>
  <c r="A1353" i="11"/>
  <c r="A1352" i="11"/>
  <c r="A1351" i="11"/>
  <c r="A1350" i="11"/>
  <c r="A1349" i="11"/>
  <c r="A1348" i="11"/>
  <c r="A1347" i="11"/>
  <c r="A1346" i="11"/>
  <c r="A1345" i="11"/>
  <c r="A1344" i="11"/>
  <c r="A1343" i="11"/>
  <c r="A1342" i="11"/>
  <c r="A1341" i="11"/>
  <c r="A1340" i="11"/>
  <c r="A1339" i="11"/>
  <c r="A1338" i="11"/>
  <c r="A1337" i="11"/>
  <c r="A1336" i="11"/>
  <c r="A1335" i="11"/>
  <c r="A1334" i="11"/>
  <c r="A1333" i="11"/>
  <c r="A1332" i="11"/>
  <c r="A1331" i="11"/>
  <c r="A1330" i="11"/>
  <c r="A1329" i="11"/>
  <c r="A1328" i="11"/>
  <c r="A1327" i="11"/>
  <c r="A1326" i="11"/>
  <c r="A1325" i="11"/>
  <c r="A1324" i="11"/>
  <c r="A1323" i="11"/>
  <c r="A1322" i="11"/>
  <c r="A1321" i="11"/>
  <c r="A1320" i="11"/>
  <c r="A1319" i="11"/>
  <c r="A1318" i="11"/>
  <c r="A1317" i="11"/>
  <c r="A1316" i="11"/>
  <c r="A1315" i="11"/>
  <c r="A1314" i="11"/>
  <c r="A1313" i="11"/>
  <c r="A1312" i="11"/>
  <c r="A1311" i="11"/>
  <c r="A1310" i="11"/>
  <c r="A1309" i="11"/>
  <c r="A1308" i="11"/>
  <c r="A1307" i="11"/>
  <c r="A1306" i="11"/>
  <c r="A1305" i="11"/>
  <c r="A1304" i="11"/>
  <c r="A1303" i="11"/>
  <c r="A1302" i="11"/>
  <c r="A1301" i="11"/>
  <c r="A1300" i="11"/>
  <c r="A1299" i="11"/>
  <c r="A1298" i="11"/>
  <c r="A1297" i="11"/>
  <c r="A1296" i="11"/>
  <c r="A1295" i="11"/>
  <c r="A1294" i="11"/>
  <c r="A1293" i="11"/>
  <c r="A1292" i="11"/>
  <c r="A1291" i="11"/>
  <c r="A1290" i="11"/>
  <c r="A1289" i="11"/>
  <c r="A1288" i="11"/>
  <c r="A1287" i="11"/>
  <c r="A1286" i="11"/>
  <c r="A1285" i="11"/>
  <c r="A1284" i="11"/>
  <c r="A1283" i="11"/>
  <c r="A1282" i="11"/>
  <c r="A1281" i="11"/>
  <c r="A1280" i="11"/>
  <c r="A1279" i="11"/>
  <c r="A1278" i="11"/>
  <c r="A1277" i="11"/>
  <c r="A1276" i="11"/>
  <c r="A1275" i="11"/>
  <c r="A1274" i="11"/>
  <c r="A1273" i="11"/>
  <c r="A1272" i="11"/>
  <c r="A1271" i="11"/>
  <c r="A1270" i="11"/>
  <c r="A1269" i="11"/>
  <c r="A1268" i="11"/>
  <c r="A1267" i="11"/>
  <c r="A1266" i="11"/>
  <c r="A1265" i="11"/>
  <c r="A1264" i="11"/>
  <c r="A1263" i="11"/>
  <c r="A1262" i="11"/>
  <c r="A1261" i="11"/>
  <c r="A1260" i="11"/>
  <c r="A1259" i="11"/>
  <c r="A1258" i="11"/>
  <c r="A1257" i="11"/>
  <c r="A1256" i="11"/>
  <c r="A1255" i="11"/>
  <c r="A1254" i="11"/>
  <c r="A1253" i="11"/>
  <c r="A1252" i="11"/>
  <c r="A1251" i="11"/>
  <c r="A1250" i="11"/>
  <c r="A1249" i="11"/>
  <c r="A1248" i="11"/>
  <c r="A1247" i="11"/>
  <c r="A1246" i="11"/>
  <c r="A1245" i="11"/>
  <c r="A1244" i="11"/>
  <c r="A1243" i="11"/>
  <c r="A1242" i="11"/>
  <c r="A1241" i="11"/>
  <c r="A1240" i="11"/>
  <c r="A1239" i="11"/>
  <c r="A1238" i="11"/>
  <c r="A1237" i="11"/>
  <c r="A1236" i="11"/>
  <c r="A1235" i="11"/>
  <c r="A1234" i="11"/>
  <c r="A1233" i="11"/>
  <c r="A1232" i="11"/>
  <c r="A1231" i="11"/>
  <c r="A1230" i="11"/>
  <c r="A1229" i="11"/>
  <c r="A1228" i="11"/>
  <c r="A1227" i="11"/>
  <c r="A1226" i="11"/>
  <c r="A1225" i="11"/>
  <c r="A1224" i="11"/>
  <c r="A1223" i="11"/>
  <c r="A1222" i="11"/>
  <c r="A1221" i="11"/>
  <c r="A1220" i="11"/>
  <c r="A1219" i="11"/>
  <c r="A1218" i="11"/>
  <c r="A1217" i="11"/>
  <c r="A1216" i="11"/>
  <c r="A1215" i="11"/>
  <c r="A1214" i="11"/>
  <c r="A1213" i="11"/>
  <c r="A1212" i="11"/>
  <c r="A1211" i="11"/>
  <c r="A1210" i="11"/>
  <c r="A1209" i="11"/>
  <c r="A1208" i="11"/>
  <c r="A1207" i="11"/>
  <c r="A1206" i="11"/>
  <c r="A1205" i="11"/>
  <c r="A1204" i="11"/>
  <c r="A1203" i="11"/>
  <c r="A1202" i="11"/>
  <c r="A1201" i="11"/>
  <c r="A1200" i="11"/>
  <c r="A1199" i="11"/>
  <c r="A1198" i="11"/>
  <c r="A1197" i="11"/>
  <c r="A1196" i="11"/>
  <c r="A1195" i="11"/>
  <c r="A1194" i="11"/>
  <c r="A1193" i="11"/>
  <c r="A1192" i="11"/>
  <c r="A1191" i="11"/>
  <c r="A1190" i="11"/>
  <c r="A1189" i="11"/>
  <c r="A1188" i="11"/>
  <c r="A1187" i="11"/>
  <c r="A1186" i="11"/>
  <c r="A1185" i="11"/>
  <c r="A1184" i="11"/>
  <c r="A1183" i="11"/>
  <c r="A1182" i="11"/>
  <c r="A1181" i="11"/>
  <c r="A1180" i="11"/>
  <c r="A1179" i="11"/>
  <c r="A1178" i="11"/>
  <c r="A1177" i="11"/>
  <c r="A1176" i="11"/>
  <c r="A1175" i="11"/>
  <c r="A1174" i="11"/>
  <c r="A1173" i="11"/>
  <c r="A1172" i="11"/>
  <c r="A1171" i="11"/>
  <c r="A1170" i="11"/>
  <c r="A1169" i="11"/>
  <c r="A1168" i="11"/>
  <c r="A1167" i="11"/>
  <c r="A1166" i="11"/>
  <c r="A1165" i="11"/>
  <c r="A1164" i="11"/>
  <c r="A1163" i="11"/>
  <c r="A1162" i="11"/>
  <c r="A1161" i="11"/>
  <c r="A1160" i="11"/>
  <c r="A1159" i="11"/>
  <c r="A1158" i="11"/>
  <c r="A1157" i="11"/>
  <c r="A1156" i="11"/>
  <c r="A1155" i="11"/>
  <c r="A1154" i="11"/>
  <c r="A1153" i="11"/>
  <c r="A1152" i="11"/>
  <c r="A1151" i="11"/>
  <c r="A1150" i="11"/>
  <c r="A1149" i="11"/>
  <c r="A1148" i="11"/>
  <c r="A1147" i="11"/>
  <c r="A1146" i="11"/>
  <c r="A1145" i="11"/>
  <c r="A1144" i="11"/>
  <c r="A1143" i="11"/>
  <c r="A1142" i="11"/>
  <c r="A1141" i="11"/>
  <c r="A1140" i="11"/>
  <c r="A1139" i="11"/>
  <c r="A1138" i="11"/>
  <c r="A1137" i="11"/>
  <c r="A1136" i="11"/>
  <c r="A1135" i="11"/>
  <c r="A1134" i="11"/>
  <c r="A1133" i="11"/>
  <c r="A1132" i="11"/>
  <c r="A1131" i="11"/>
  <c r="A1130" i="11"/>
  <c r="A1129" i="11"/>
  <c r="A1128" i="11"/>
  <c r="A1127" i="11"/>
  <c r="A1126" i="11"/>
  <c r="A1125" i="11"/>
  <c r="A1124" i="11"/>
  <c r="A1123" i="11"/>
  <c r="A1122" i="11"/>
  <c r="A1121" i="11"/>
  <c r="A1120" i="11"/>
  <c r="A1119" i="11"/>
  <c r="A1118" i="11"/>
  <c r="A1117" i="11"/>
  <c r="A1116" i="11"/>
  <c r="A1115" i="11"/>
  <c r="A1114" i="11"/>
  <c r="A1113" i="11"/>
  <c r="A1112" i="11"/>
  <c r="A1111" i="11"/>
  <c r="A1110" i="11"/>
  <c r="A1109" i="11"/>
  <c r="A1108" i="11"/>
  <c r="A1107" i="11"/>
  <c r="A1106" i="11"/>
  <c r="A1105" i="11"/>
  <c r="A1104" i="11"/>
  <c r="A1103" i="11"/>
  <c r="A1102" i="11"/>
  <c r="A1101" i="11"/>
  <c r="A1100" i="11"/>
  <c r="A1099" i="11"/>
  <c r="A1098" i="11"/>
  <c r="A1097" i="11"/>
  <c r="A1096" i="11"/>
  <c r="A1095" i="11"/>
  <c r="A1094" i="11"/>
  <c r="A1093" i="11"/>
  <c r="A1092" i="11"/>
  <c r="A1091" i="11"/>
  <c r="A1090" i="11"/>
  <c r="A1089" i="11"/>
  <c r="A1088" i="11"/>
  <c r="A1087" i="11"/>
  <c r="A1086" i="11"/>
  <c r="A1085" i="11"/>
  <c r="A1084" i="11"/>
  <c r="A1083" i="11"/>
  <c r="A1082" i="11"/>
  <c r="A1081" i="11"/>
  <c r="A1080" i="11"/>
  <c r="A1079" i="11"/>
  <c r="A1078" i="11"/>
  <c r="A1077" i="11"/>
  <c r="A1076" i="11"/>
  <c r="A1075" i="11"/>
  <c r="A1074" i="11"/>
  <c r="A1073" i="11"/>
  <c r="A1072" i="11"/>
  <c r="A1071" i="11"/>
  <c r="A1070" i="11"/>
  <c r="A1069" i="11"/>
  <c r="A1068" i="11"/>
  <c r="A1067" i="11"/>
  <c r="A1066" i="11"/>
  <c r="A1065" i="11"/>
  <c r="A1064" i="11"/>
  <c r="A1063" i="11"/>
  <c r="A1062" i="11"/>
  <c r="A1061" i="11"/>
  <c r="A1060" i="11"/>
  <c r="A1059" i="11"/>
  <c r="A1058" i="11"/>
  <c r="A1057" i="11"/>
  <c r="A1056" i="11"/>
  <c r="A1055" i="11"/>
  <c r="A1054" i="11"/>
  <c r="A1053" i="11"/>
  <c r="A1052" i="11"/>
  <c r="A1051" i="11"/>
  <c r="A1050" i="11"/>
  <c r="A1049" i="11"/>
  <c r="A1048" i="11"/>
  <c r="A1047" i="11"/>
  <c r="A1046" i="11"/>
  <c r="A1045" i="11"/>
  <c r="A1044" i="11"/>
  <c r="A1043" i="11"/>
  <c r="A1042" i="11"/>
  <c r="A1041" i="11"/>
  <c r="A1040" i="11"/>
  <c r="A1039" i="11"/>
  <c r="A1038" i="11"/>
  <c r="A1037" i="11"/>
  <c r="A1036" i="11"/>
  <c r="A1035" i="11"/>
  <c r="A1034" i="11"/>
  <c r="A1033" i="11"/>
  <c r="A1032" i="11"/>
  <c r="A1031" i="11"/>
  <c r="A1030" i="11"/>
  <c r="A1029" i="11"/>
  <c r="A1028" i="11"/>
  <c r="A1027" i="11"/>
  <c r="A1026" i="11"/>
  <c r="A1025" i="11"/>
  <c r="A1024" i="11"/>
  <c r="A1023" i="11"/>
  <c r="A1022" i="11"/>
  <c r="A1021" i="11"/>
  <c r="A1020" i="11"/>
  <c r="A1019" i="11"/>
  <c r="A1018" i="11"/>
  <c r="A1017" i="11"/>
  <c r="A1016" i="11"/>
  <c r="A1015" i="11"/>
  <c r="A1014" i="11"/>
  <c r="A1013" i="11"/>
  <c r="A1012" i="11"/>
  <c r="A1011" i="11"/>
  <c r="A1010" i="11"/>
  <c r="A1009" i="11"/>
  <c r="A1008" i="11"/>
  <c r="A1007" i="11"/>
  <c r="A1006" i="11"/>
  <c r="A1005" i="11"/>
  <c r="A1004" i="11"/>
  <c r="A1003" i="11"/>
  <c r="A1002" i="11"/>
  <c r="A1001" i="11"/>
  <c r="A1000" i="11"/>
  <c r="A999" i="11"/>
  <c r="A998" i="11"/>
  <c r="A997" i="11"/>
  <c r="A996" i="11"/>
  <c r="A995" i="11"/>
  <c r="A994" i="11"/>
  <c r="A993" i="11"/>
  <c r="A992" i="11"/>
  <c r="A991" i="11"/>
  <c r="A990" i="11"/>
  <c r="A989" i="11"/>
  <c r="A988" i="11"/>
  <c r="A987" i="11"/>
  <c r="A986" i="11"/>
  <c r="A985" i="11"/>
  <c r="A984" i="11"/>
  <c r="A983" i="11"/>
  <c r="A982" i="11"/>
  <c r="A981" i="11"/>
  <c r="A980" i="11"/>
  <c r="A979" i="11"/>
  <c r="A978" i="11"/>
  <c r="A977" i="11"/>
  <c r="A976" i="11"/>
  <c r="A975" i="11"/>
  <c r="A974" i="11"/>
  <c r="A973" i="11"/>
  <c r="A972" i="11"/>
  <c r="A971" i="11"/>
  <c r="A970" i="11"/>
  <c r="A969" i="11"/>
  <c r="A968" i="11"/>
  <c r="A967" i="11"/>
  <c r="A966" i="11"/>
  <c r="A965" i="11"/>
  <c r="A964" i="11"/>
  <c r="A963" i="11"/>
  <c r="A962" i="11"/>
  <c r="A961" i="11"/>
  <c r="A960" i="11"/>
  <c r="A959" i="11"/>
  <c r="A958" i="11"/>
  <c r="A957" i="11"/>
  <c r="A956" i="11"/>
  <c r="A955" i="11"/>
  <c r="A954" i="11"/>
  <c r="A953" i="11"/>
  <c r="A952" i="11"/>
  <c r="A951" i="11"/>
  <c r="A950" i="11"/>
  <c r="A949" i="11"/>
  <c r="A948" i="11"/>
  <c r="A947" i="11"/>
  <c r="A946" i="11"/>
  <c r="A945" i="11"/>
  <c r="A944" i="11"/>
  <c r="A943" i="11"/>
  <c r="A942" i="11"/>
  <c r="A941" i="11"/>
  <c r="A940" i="11"/>
  <c r="A939" i="11"/>
  <c r="A938" i="11"/>
  <c r="A937" i="11"/>
  <c r="A936" i="11"/>
  <c r="A935" i="11"/>
  <c r="A934" i="11"/>
  <c r="A933" i="11"/>
  <c r="A932" i="11"/>
  <c r="A931" i="11"/>
  <c r="A930" i="11"/>
  <c r="A929" i="11"/>
  <c r="A928" i="11"/>
  <c r="A927" i="11"/>
  <c r="A926" i="11"/>
  <c r="A925" i="11"/>
  <c r="A924" i="11"/>
  <c r="A923" i="11"/>
  <c r="A922" i="11"/>
  <c r="A921" i="11"/>
  <c r="A920" i="11"/>
  <c r="A919" i="11"/>
  <c r="A918" i="11"/>
  <c r="A917" i="11"/>
  <c r="A916" i="11"/>
  <c r="A915" i="11"/>
  <c r="A914" i="11"/>
  <c r="A913" i="11"/>
  <c r="A912" i="11"/>
  <c r="A911" i="11"/>
  <c r="A910" i="11"/>
  <c r="A909" i="11"/>
  <c r="A908" i="11"/>
  <c r="A907" i="11"/>
  <c r="A906" i="11"/>
  <c r="A905" i="11"/>
  <c r="A904" i="11"/>
  <c r="A903" i="11"/>
  <c r="A902" i="11"/>
  <c r="A901" i="11"/>
  <c r="A900" i="11"/>
  <c r="A899" i="11"/>
  <c r="A898" i="11"/>
  <c r="A897" i="11"/>
  <c r="A896" i="11"/>
  <c r="A895" i="11"/>
  <c r="A894" i="11"/>
  <c r="A893" i="11"/>
  <c r="A892" i="11"/>
  <c r="A891" i="11"/>
  <c r="A890" i="11"/>
  <c r="A889" i="11"/>
  <c r="A888" i="11"/>
  <c r="A887" i="11"/>
  <c r="A886" i="11"/>
  <c r="A885" i="11"/>
  <c r="A884" i="11"/>
  <c r="A883" i="11"/>
  <c r="A882" i="11"/>
  <c r="A881" i="11"/>
  <c r="A880" i="11"/>
  <c r="A879" i="11"/>
  <c r="A878" i="11"/>
  <c r="A877" i="11"/>
  <c r="A876" i="11"/>
  <c r="A875" i="11"/>
  <c r="A874" i="11"/>
  <c r="A873" i="11"/>
  <c r="A872" i="11"/>
  <c r="A871" i="11"/>
  <c r="A870" i="11"/>
  <c r="A869" i="11"/>
  <c r="A868" i="11"/>
  <c r="A867" i="11"/>
  <c r="A866" i="11"/>
  <c r="A865" i="11"/>
  <c r="A864" i="11"/>
  <c r="A863" i="11"/>
  <c r="A862" i="11"/>
  <c r="A861" i="11"/>
  <c r="A860" i="11"/>
  <c r="A859" i="11"/>
  <c r="A858" i="11"/>
  <c r="A857" i="11"/>
  <c r="A856" i="11"/>
  <c r="A855" i="11"/>
  <c r="A854" i="11"/>
  <c r="A853" i="11"/>
  <c r="A852" i="11"/>
  <c r="A851" i="11"/>
  <c r="A850" i="11"/>
  <c r="A849" i="11"/>
  <c r="A848" i="11"/>
  <c r="A847" i="11"/>
  <c r="A846" i="11"/>
  <c r="A845" i="11"/>
  <c r="A844" i="11"/>
  <c r="A843" i="11"/>
  <c r="A842" i="11"/>
  <c r="A841" i="11"/>
  <c r="A840" i="11"/>
  <c r="A839" i="11"/>
  <c r="A838" i="11"/>
  <c r="A837" i="11"/>
  <c r="A836" i="11"/>
  <c r="A835" i="11"/>
  <c r="A834" i="11"/>
  <c r="A833" i="11"/>
  <c r="A832" i="11"/>
  <c r="A831" i="11"/>
  <c r="A830" i="11"/>
  <c r="A829" i="11"/>
  <c r="A828" i="11"/>
  <c r="A827" i="11"/>
  <c r="A826" i="11"/>
  <c r="A825" i="11"/>
  <c r="A824" i="11"/>
  <c r="A823" i="11"/>
  <c r="A822" i="11"/>
  <c r="A821" i="11"/>
  <c r="A820" i="11"/>
  <c r="A819" i="11"/>
  <c r="A818" i="11"/>
  <c r="A817" i="11"/>
  <c r="A816" i="11"/>
  <c r="A815" i="11"/>
  <c r="A814" i="11"/>
  <c r="A813" i="11"/>
  <c r="A812" i="11"/>
  <c r="A811" i="11"/>
  <c r="A810" i="11"/>
  <c r="A809" i="11"/>
  <c r="A808" i="11"/>
  <c r="A807" i="11"/>
  <c r="A806" i="11"/>
  <c r="A805" i="11"/>
  <c r="A804" i="11"/>
  <c r="A803" i="11"/>
  <c r="A802" i="11"/>
  <c r="A801" i="11"/>
  <c r="A800" i="11"/>
  <c r="A799" i="11"/>
  <c r="A798" i="11"/>
  <c r="A797" i="11"/>
  <c r="A796" i="11"/>
  <c r="A795" i="11"/>
  <c r="A794" i="11"/>
  <c r="A793" i="11"/>
  <c r="A792" i="11"/>
  <c r="A791" i="11"/>
  <c r="A790" i="11"/>
  <c r="A789" i="11"/>
  <c r="A788" i="11"/>
  <c r="A787" i="11"/>
  <c r="A786" i="11"/>
  <c r="A785" i="11"/>
  <c r="A784" i="11"/>
  <c r="A783" i="11"/>
  <c r="A782" i="11"/>
  <c r="A781" i="11"/>
  <c r="A780" i="11"/>
  <c r="A779" i="11"/>
  <c r="A778" i="11"/>
  <c r="A777" i="11"/>
  <c r="A776" i="11"/>
  <c r="A775" i="11"/>
  <c r="A774" i="11"/>
  <c r="A773" i="11"/>
  <c r="A772" i="11"/>
  <c r="A771" i="11"/>
  <c r="A770" i="11"/>
  <c r="A769" i="11"/>
  <c r="A768" i="11"/>
  <c r="A767" i="11"/>
  <c r="A766" i="11"/>
  <c r="A765" i="11"/>
  <c r="A764" i="11"/>
  <c r="A763" i="11"/>
  <c r="A762" i="11"/>
  <c r="A761" i="11"/>
  <c r="A760" i="11"/>
  <c r="A759" i="11"/>
  <c r="A758" i="11"/>
  <c r="A757" i="11"/>
  <c r="A756" i="11"/>
  <c r="A755" i="11"/>
  <c r="A754" i="11"/>
  <c r="A753" i="11"/>
  <c r="A752" i="11"/>
  <c r="A751" i="11"/>
  <c r="A750" i="11"/>
  <c r="A749" i="11"/>
  <c r="A748" i="11"/>
  <c r="A747" i="11"/>
  <c r="A746" i="11"/>
  <c r="A745" i="11"/>
  <c r="A744" i="11"/>
  <c r="A743" i="11"/>
  <c r="A742" i="11"/>
  <c r="A741" i="11"/>
  <c r="A740" i="11"/>
  <c r="A739" i="11"/>
  <c r="A738" i="11"/>
  <c r="A737" i="11"/>
  <c r="A736" i="11"/>
  <c r="A735" i="11"/>
  <c r="A734" i="11"/>
  <c r="A733" i="11"/>
  <c r="A732" i="11"/>
  <c r="A731" i="11"/>
  <c r="A730" i="11"/>
  <c r="A729" i="11"/>
  <c r="A728" i="11"/>
  <c r="A727" i="11"/>
  <c r="A726" i="11"/>
  <c r="A725" i="11"/>
  <c r="A724" i="11"/>
  <c r="A723" i="11"/>
  <c r="A722" i="11"/>
  <c r="A721" i="11"/>
  <c r="A720" i="11"/>
  <c r="A719" i="11"/>
  <c r="A718" i="11"/>
  <c r="A717" i="11"/>
  <c r="A716" i="11"/>
  <c r="A715" i="11"/>
  <c r="A714" i="11"/>
  <c r="A713" i="11"/>
  <c r="A712" i="11"/>
  <c r="A711" i="11"/>
  <c r="A710" i="11"/>
  <c r="A709" i="11"/>
  <c r="A708" i="11"/>
  <c r="A707" i="11"/>
  <c r="A706" i="11"/>
  <c r="A705" i="11"/>
  <c r="A704" i="11"/>
  <c r="A703" i="11"/>
  <c r="A702" i="11"/>
  <c r="A701" i="11"/>
  <c r="A700" i="11"/>
  <c r="A699" i="11"/>
  <c r="A698" i="11"/>
  <c r="A697" i="11"/>
  <c r="A696" i="11"/>
  <c r="A695" i="11"/>
  <c r="A694" i="11"/>
  <c r="A693" i="11"/>
  <c r="A692" i="11"/>
  <c r="A691" i="11"/>
  <c r="A690" i="11"/>
  <c r="A689" i="11"/>
  <c r="A688" i="11"/>
  <c r="A687" i="11"/>
  <c r="A686" i="11"/>
  <c r="A685" i="11"/>
  <c r="A684" i="11"/>
  <c r="A683" i="11"/>
  <c r="A682" i="11"/>
  <c r="A681" i="11"/>
  <c r="A680" i="11"/>
  <c r="A679" i="11"/>
  <c r="A678" i="11"/>
  <c r="A677" i="11"/>
  <c r="A676" i="11"/>
  <c r="A675" i="11"/>
  <c r="A674" i="11"/>
  <c r="A673" i="11"/>
  <c r="A672" i="11"/>
  <c r="A671" i="11"/>
  <c r="A670" i="11"/>
  <c r="A669" i="11"/>
  <c r="A668" i="11"/>
  <c r="A667" i="11"/>
  <c r="A666" i="11"/>
  <c r="A665" i="11"/>
  <c r="A664" i="11"/>
  <c r="A663" i="11"/>
  <c r="A662" i="11"/>
  <c r="A661" i="11"/>
  <c r="A660" i="11"/>
  <c r="A659" i="11"/>
  <c r="A658" i="11"/>
  <c r="A657" i="11"/>
  <c r="A656" i="11"/>
  <c r="A655" i="11"/>
  <c r="A654" i="11"/>
  <c r="A653" i="11"/>
  <c r="A652" i="11"/>
  <c r="A651" i="11"/>
  <c r="A650" i="11"/>
  <c r="A649" i="11"/>
  <c r="A648" i="11"/>
  <c r="A647" i="11"/>
  <c r="A646" i="11"/>
  <c r="A645" i="11"/>
  <c r="A644" i="11"/>
  <c r="A643" i="11"/>
  <c r="A642" i="11"/>
  <c r="A641" i="11"/>
  <c r="A640" i="11"/>
  <c r="A639" i="11"/>
  <c r="A638" i="11"/>
  <c r="A637" i="11"/>
  <c r="A636" i="11"/>
  <c r="A635" i="11"/>
  <c r="A634" i="11"/>
  <c r="A633" i="11"/>
  <c r="A632" i="11"/>
  <c r="A631" i="11"/>
  <c r="A630" i="11"/>
  <c r="A629" i="11"/>
  <c r="A628" i="11"/>
  <c r="A627" i="11"/>
  <c r="A626" i="11"/>
  <c r="A625" i="11"/>
  <c r="A624" i="11"/>
  <c r="A623" i="11"/>
  <c r="A622" i="11"/>
  <c r="A621" i="11"/>
  <c r="A620" i="11"/>
  <c r="A619" i="11"/>
  <c r="A618" i="11"/>
  <c r="A617" i="11"/>
  <c r="A616" i="11"/>
  <c r="A615" i="11"/>
  <c r="A614" i="11"/>
  <c r="A613" i="11"/>
  <c r="A612" i="11"/>
  <c r="A611" i="11"/>
  <c r="A610" i="11"/>
  <c r="A609" i="11"/>
  <c r="A608" i="11"/>
  <c r="A607" i="11"/>
  <c r="A606" i="11"/>
  <c r="A605" i="11"/>
  <c r="A604" i="11"/>
  <c r="A603" i="11"/>
  <c r="A602" i="11"/>
  <c r="A601" i="11"/>
  <c r="A600" i="11"/>
  <c r="A599" i="11"/>
  <c r="A598" i="11"/>
  <c r="A597" i="11"/>
  <c r="A596" i="11"/>
  <c r="A595" i="11"/>
  <c r="A594" i="11"/>
  <c r="A593" i="11"/>
  <c r="A592" i="11"/>
  <c r="A591" i="11"/>
  <c r="A590" i="11"/>
  <c r="A589" i="11"/>
  <c r="A588" i="11"/>
  <c r="A587" i="11"/>
  <c r="A586" i="11"/>
  <c r="A585" i="11"/>
  <c r="A584" i="11"/>
  <c r="A583" i="11"/>
  <c r="A582" i="11"/>
  <c r="A581" i="11"/>
  <c r="A580" i="11"/>
  <c r="A579" i="11"/>
  <c r="A578" i="11"/>
  <c r="A577" i="11"/>
  <c r="A576" i="11"/>
  <c r="A575" i="11"/>
  <c r="A574" i="11"/>
  <c r="A573" i="11"/>
  <c r="A572" i="11"/>
  <c r="A571" i="11"/>
  <c r="A570" i="11"/>
  <c r="A569" i="11"/>
  <c r="A568" i="11"/>
  <c r="A567" i="11"/>
  <c r="A566" i="11"/>
  <c r="A565" i="11"/>
  <c r="A564" i="11"/>
  <c r="A563" i="11"/>
  <c r="A562" i="11"/>
  <c r="A561" i="11"/>
  <c r="A560" i="11"/>
  <c r="A559" i="11"/>
  <c r="A558" i="11"/>
  <c r="A557" i="11"/>
  <c r="A556" i="11"/>
  <c r="A555" i="11"/>
  <c r="A554" i="11"/>
  <c r="A553" i="11"/>
  <c r="A552" i="11"/>
  <c r="A551" i="11"/>
  <c r="A550" i="11"/>
  <c r="A549" i="11"/>
  <c r="A548" i="11"/>
  <c r="A547" i="11"/>
  <c r="A546" i="11"/>
  <c r="A545" i="11"/>
  <c r="A544" i="11"/>
  <c r="A543" i="11"/>
  <c r="A542" i="11"/>
  <c r="A541" i="11"/>
  <c r="A540" i="11"/>
  <c r="A539" i="11"/>
  <c r="A538" i="11"/>
  <c r="A537" i="11"/>
  <c r="A536" i="11"/>
  <c r="A535" i="11"/>
  <c r="A534" i="11"/>
  <c r="A533" i="11"/>
  <c r="A532" i="11"/>
  <c r="A531" i="11"/>
  <c r="A530" i="11"/>
  <c r="A529" i="11"/>
  <c r="A528" i="11"/>
  <c r="A527" i="11"/>
  <c r="A526" i="11"/>
  <c r="A525" i="11"/>
  <c r="A524" i="11"/>
  <c r="A523" i="11"/>
  <c r="A522" i="11"/>
  <c r="A521" i="11"/>
  <c r="A520" i="11"/>
  <c r="A519" i="11"/>
  <c r="A518" i="11"/>
  <c r="A517" i="11"/>
  <c r="A516" i="11"/>
  <c r="A515" i="11"/>
  <c r="A514" i="11"/>
  <c r="A513" i="11"/>
  <c r="A512" i="11"/>
  <c r="A511" i="11"/>
  <c r="A510" i="11"/>
  <c r="A509" i="11"/>
  <c r="A508" i="11"/>
  <c r="A507" i="11"/>
  <c r="A506" i="11"/>
  <c r="A505" i="11"/>
  <c r="A504" i="11"/>
  <c r="A503" i="11"/>
  <c r="A502" i="11"/>
  <c r="A501" i="11"/>
  <c r="A500" i="11"/>
  <c r="A499" i="11"/>
  <c r="A498" i="11"/>
  <c r="A497" i="11"/>
  <c r="A496" i="11"/>
  <c r="A495" i="11"/>
  <c r="A494" i="11"/>
  <c r="A493" i="11"/>
  <c r="A492" i="11"/>
  <c r="A491" i="11"/>
  <c r="A490" i="11"/>
  <c r="A489" i="11"/>
  <c r="A488" i="11"/>
  <c r="A487" i="11"/>
  <c r="A486" i="11"/>
  <c r="A485" i="11"/>
  <c r="A484" i="11"/>
  <c r="A483" i="11"/>
  <c r="A482" i="11"/>
  <c r="A481" i="11"/>
  <c r="A480" i="11"/>
  <c r="A479" i="11"/>
  <c r="A478" i="11"/>
  <c r="A477" i="11"/>
  <c r="A476" i="11"/>
  <c r="A475" i="11"/>
  <c r="A474" i="11"/>
  <c r="A473" i="11"/>
  <c r="A472" i="11"/>
  <c r="A471" i="11"/>
  <c r="A470" i="11"/>
  <c r="A469" i="11"/>
  <c r="A468" i="11"/>
  <c r="A467" i="11"/>
  <c r="A466" i="11"/>
  <c r="A465" i="11"/>
  <c r="A464" i="11"/>
  <c r="A463" i="11"/>
  <c r="A462" i="11"/>
  <c r="A461" i="11"/>
  <c r="A460" i="11"/>
  <c r="A459" i="11"/>
  <c r="A458" i="11"/>
  <c r="A457" i="11"/>
  <c r="A456" i="11"/>
  <c r="A455" i="11"/>
  <c r="A454" i="11"/>
  <c r="A453" i="11"/>
  <c r="A452" i="11"/>
  <c r="A451" i="11"/>
  <c r="A450" i="11"/>
  <c r="A449" i="11"/>
  <c r="A448" i="11"/>
  <c r="A447" i="11"/>
  <c r="A446" i="11"/>
  <c r="A445" i="11"/>
  <c r="A444" i="11"/>
  <c r="A443" i="11"/>
  <c r="A442" i="11"/>
  <c r="A441" i="11"/>
  <c r="A440" i="11"/>
  <c r="A439" i="11"/>
  <c r="A438" i="11"/>
  <c r="A437" i="11"/>
  <c r="A436" i="11"/>
  <c r="A435" i="11"/>
  <c r="A434" i="11"/>
  <c r="A433" i="11"/>
  <c r="A432" i="11"/>
  <c r="A431" i="11"/>
  <c r="A430" i="11"/>
  <c r="A429" i="11"/>
  <c r="A428" i="11"/>
  <c r="A427" i="11"/>
  <c r="A426" i="11"/>
  <c r="A425" i="11"/>
  <c r="A424" i="11"/>
  <c r="A423" i="11"/>
  <c r="A422" i="11"/>
  <c r="A421" i="11"/>
  <c r="A420" i="11"/>
  <c r="A419" i="11"/>
  <c r="A418" i="11"/>
  <c r="A417" i="11"/>
  <c r="A416" i="11"/>
  <c r="A415" i="11"/>
  <c r="A414" i="11"/>
  <c r="A413" i="11"/>
  <c r="A412" i="11"/>
  <c r="A411" i="11"/>
  <c r="A410" i="11"/>
  <c r="A409" i="11"/>
  <c r="A408" i="11"/>
  <c r="A407" i="11"/>
  <c r="A406" i="11"/>
  <c r="A405" i="11"/>
  <c r="A404" i="11"/>
  <c r="A403" i="11"/>
  <c r="A402" i="11"/>
  <c r="A401" i="11"/>
  <c r="A400" i="11"/>
  <c r="A399" i="11"/>
  <c r="A398" i="11"/>
  <c r="A397" i="11"/>
  <c r="A396" i="11"/>
  <c r="A395" i="11"/>
  <c r="A394" i="11"/>
  <c r="A393" i="11"/>
  <c r="A392" i="11"/>
  <c r="A391" i="11"/>
  <c r="A390" i="11"/>
  <c r="A389" i="11"/>
  <c r="A388" i="11"/>
  <c r="A387" i="11"/>
  <c r="A386" i="11"/>
  <c r="A385" i="11"/>
  <c r="A384" i="11"/>
  <c r="A383" i="11"/>
  <c r="A382" i="11"/>
  <c r="A381" i="11"/>
  <c r="A380" i="11"/>
  <c r="A379" i="11"/>
  <c r="A378" i="11"/>
  <c r="A377" i="11"/>
  <c r="A376" i="11"/>
  <c r="A375" i="11"/>
  <c r="A374" i="11"/>
  <c r="A373" i="11"/>
  <c r="A372" i="11"/>
  <c r="A371" i="11"/>
  <c r="A370" i="11"/>
  <c r="A369" i="11"/>
  <c r="A368" i="11"/>
  <c r="A367" i="11"/>
  <c r="A366" i="11"/>
  <c r="A365" i="11"/>
  <c r="A364" i="11"/>
  <c r="A363" i="11"/>
  <c r="A362" i="11"/>
  <c r="A361" i="11"/>
  <c r="A360" i="11"/>
  <c r="A359" i="11"/>
  <c r="A358" i="11"/>
  <c r="A357" i="11"/>
  <c r="A356" i="11"/>
  <c r="A355" i="11"/>
  <c r="A354" i="11"/>
  <c r="A353" i="11"/>
  <c r="A352" i="11"/>
  <c r="A351" i="11"/>
  <c r="A350" i="11"/>
  <c r="A349" i="11"/>
  <c r="A348" i="11"/>
  <c r="A347" i="11"/>
  <c r="A346" i="11"/>
  <c r="A345" i="11"/>
  <c r="A344" i="11"/>
  <c r="A343" i="11"/>
  <c r="A342" i="11"/>
  <c r="A341" i="11"/>
  <c r="A340" i="11"/>
  <c r="A339" i="11"/>
  <c r="A338" i="11"/>
  <c r="A337" i="11"/>
  <c r="A336" i="11"/>
  <c r="A335" i="11"/>
  <c r="A334" i="11"/>
  <c r="A333" i="11"/>
  <c r="A332" i="11"/>
  <c r="A331" i="11"/>
  <c r="A330" i="11"/>
  <c r="A329" i="11"/>
  <c r="A328" i="11"/>
  <c r="A327" i="11"/>
  <c r="A326" i="11"/>
  <c r="A325" i="11"/>
  <c r="A324" i="11"/>
  <c r="A323" i="11"/>
  <c r="A322" i="11"/>
  <c r="A321" i="11"/>
  <c r="A320" i="11"/>
  <c r="A319" i="11"/>
  <c r="A318" i="11"/>
  <c r="A317" i="11"/>
  <c r="A316" i="11"/>
  <c r="A315" i="11"/>
  <c r="A314" i="11"/>
  <c r="A313" i="11"/>
  <c r="A312" i="11"/>
  <c r="A311" i="11"/>
  <c r="A310" i="11"/>
  <c r="A309" i="11"/>
  <c r="A308" i="11"/>
  <c r="A307" i="11"/>
  <c r="A306" i="11"/>
  <c r="A305" i="11"/>
  <c r="A304" i="11"/>
  <c r="A303" i="11"/>
  <c r="A302" i="11"/>
  <c r="A301" i="11"/>
  <c r="A300" i="11"/>
  <c r="A299" i="11"/>
  <c r="A298" i="11"/>
  <c r="A297" i="11"/>
  <c r="A296" i="11"/>
  <c r="A295" i="11"/>
  <c r="A294" i="11"/>
  <c r="A293" i="11"/>
  <c r="A292" i="11"/>
  <c r="A291" i="11"/>
  <c r="A290" i="11"/>
  <c r="A289" i="11"/>
  <c r="A288" i="11"/>
  <c r="A287" i="11"/>
  <c r="A286" i="11"/>
  <c r="A285" i="11"/>
  <c r="A284" i="11"/>
  <c r="A283" i="11"/>
  <c r="A282" i="11"/>
  <c r="A281" i="11"/>
  <c r="A280" i="11"/>
  <c r="A279" i="11"/>
  <c r="A278" i="11"/>
  <c r="A277" i="11"/>
  <c r="A276" i="11"/>
  <c r="A275" i="11"/>
  <c r="A274" i="11"/>
  <c r="A273" i="11"/>
  <c r="A272" i="11"/>
  <c r="A271" i="11"/>
  <c r="A270" i="11"/>
  <c r="A269" i="11"/>
  <c r="A268" i="11"/>
  <c r="A267" i="11"/>
  <c r="A266" i="11"/>
  <c r="A265" i="11"/>
  <c r="A264" i="11"/>
  <c r="A263" i="11"/>
  <c r="A262" i="11"/>
  <c r="A261" i="11"/>
  <c r="A260" i="11"/>
  <c r="A259" i="11"/>
  <c r="A258" i="11"/>
  <c r="A257" i="11"/>
  <c r="A256" i="11"/>
  <c r="A255" i="11"/>
  <c r="A254" i="11"/>
  <c r="A253" i="11"/>
  <c r="A252" i="11"/>
  <c r="A251" i="11"/>
  <c r="A250" i="11"/>
  <c r="A249" i="11"/>
  <c r="A248" i="11"/>
  <c r="A247" i="11"/>
  <c r="A246" i="11"/>
  <c r="A245" i="11"/>
  <c r="A244" i="11"/>
  <c r="A243" i="11"/>
  <c r="A242" i="11"/>
  <c r="A241" i="11"/>
  <c r="A240" i="11"/>
  <c r="A239" i="11"/>
  <c r="A238" i="11"/>
  <c r="A237" i="11"/>
  <c r="A236" i="11"/>
  <c r="A235" i="11"/>
  <c r="A234" i="11"/>
  <c r="A233" i="11"/>
  <c r="A232" i="11"/>
  <c r="A231" i="11"/>
  <c r="A230" i="11"/>
  <c r="A229" i="11"/>
  <c r="A228" i="11"/>
  <c r="A227" i="11"/>
  <c r="A226" i="11"/>
  <c r="A225" i="11"/>
  <c r="A224" i="11"/>
  <c r="A223" i="11"/>
  <c r="A222" i="11"/>
  <c r="A221" i="11"/>
  <c r="A220" i="11"/>
  <c r="A219" i="11"/>
  <c r="A218" i="11"/>
  <c r="A217" i="11"/>
  <c r="A216" i="11"/>
  <c r="A215" i="11"/>
  <c r="A214" i="11"/>
  <c r="A213" i="11"/>
  <c r="A212" i="11"/>
  <c r="A211" i="11"/>
  <c r="A210" i="11"/>
  <c r="A209" i="11"/>
  <c r="A208" i="11"/>
  <c r="A207" i="11"/>
  <c r="A206" i="11"/>
  <c r="A205" i="11"/>
  <c r="A204" i="11"/>
  <c r="A203" i="11"/>
  <c r="A202" i="11"/>
  <c r="A201" i="11"/>
  <c r="A200" i="11"/>
  <c r="A199" i="11"/>
  <c r="A198" i="11"/>
  <c r="A197" i="11"/>
  <c r="A196" i="11"/>
  <c r="A195" i="11"/>
  <c r="A194" i="11"/>
  <c r="A193" i="11"/>
  <c r="A192" i="11"/>
  <c r="A191" i="11"/>
  <c r="A190" i="11"/>
  <c r="A189" i="11"/>
  <c r="A188" i="11"/>
  <c r="A187" i="11"/>
  <c r="A186" i="11"/>
  <c r="A185" i="11"/>
  <c r="A184" i="11"/>
  <c r="A183" i="11"/>
  <c r="A182" i="11"/>
  <c r="A181" i="11"/>
  <c r="A180" i="11"/>
  <c r="A179" i="11"/>
  <c r="A178" i="11"/>
  <c r="A177" i="11"/>
  <c r="A176" i="11"/>
  <c r="A175" i="11"/>
  <c r="A174" i="11"/>
  <c r="A173" i="11"/>
  <c r="A172" i="11"/>
  <c r="A171" i="11"/>
  <c r="A170" i="11"/>
  <c r="A169" i="11"/>
  <c r="A168" i="11"/>
  <c r="A167" i="11"/>
  <c r="A166" i="11"/>
  <c r="A165" i="11"/>
  <c r="A164" i="11"/>
  <c r="A163" i="11"/>
  <c r="A162" i="11"/>
  <c r="A161" i="11"/>
  <c r="A160" i="11"/>
  <c r="A159" i="11"/>
  <c r="A158" i="11"/>
  <c r="A157" i="11"/>
  <c r="A156" i="11"/>
  <c r="A155" i="11"/>
  <c r="A154" i="11"/>
  <c r="A153" i="11"/>
  <c r="A152" i="11"/>
  <c r="A151" i="11"/>
  <c r="A150" i="11"/>
  <c r="A149" i="11"/>
  <c r="A148" i="11"/>
  <c r="A147" i="11"/>
  <c r="A146" i="11"/>
  <c r="A145" i="11"/>
  <c r="A144" i="11"/>
  <c r="A143" i="11"/>
  <c r="A142" i="11"/>
  <c r="A141" i="11"/>
  <c r="A140" i="11"/>
  <c r="A139" i="11"/>
  <c r="A138" i="11"/>
  <c r="A137" i="11"/>
  <c r="A136" i="11"/>
  <c r="A135" i="11"/>
  <c r="A134" i="11"/>
  <c r="A133" i="11"/>
  <c r="A132" i="11"/>
  <c r="A131" i="11"/>
  <c r="A130" i="11"/>
  <c r="A129" i="11"/>
  <c r="A128" i="11"/>
  <c r="A127" i="11"/>
  <c r="A126" i="11"/>
  <c r="A125" i="11"/>
  <c r="A124" i="11"/>
  <c r="A123" i="11"/>
  <c r="A122" i="11"/>
  <c r="A121" i="11"/>
  <c r="A120" i="11"/>
  <c r="A119" i="11"/>
  <c r="A118" i="11"/>
  <c r="A117" i="11"/>
  <c r="A116" i="11"/>
  <c r="A115" i="11"/>
  <c r="A114" i="11"/>
  <c r="A113" i="11"/>
  <c r="A112" i="11"/>
  <c r="A111" i="11"/>
  <c r="A110" i="11"/>
  <c r="A109" i="11"/>
  <c r="A108" i="11"/>
  <c r="A107" i="11"/>
  <c r="A106" i="11"/>
  <c r="A105" i="11"/>
  <c r="A104" i="11"/>
  <c r="A103" i="11"/>
  <c r="A102" i="11"/>
  <c r="A101" i="11"/>
  <c r="A100" i="11"/>
  <c r="A99" i="11"/>
  <c r="A98" i="11"/>
  <c r="A97" i="11"/>
  <c r="A96" i="11"/>
  <c r="A95" i="11"/>
  <c r="A94" i="11"/>
  <c r="A93" i="11"/>
  <c r="A92" i="11"/>
  <c r="A91" i="11"/>
  <c r="A90" i="11"/>
  <c r="A89" i="11"/>
  <c r="A88" i="11"/>
  <c r="A87" i="11"/>
  <c r="A86" i="11"/>
  <c r="A85" i="11"/>
  <c r="A84" i="11"/>
  <c r="A83" i="11"/>
  <c r="A82" i="11"/>
  <c r="A81" i="11"/>
  <c r="A80" i="11"/>
  <c r="A79" i="11"/>
  <c r="A78" i="11"/>
  <c r="A77" i="11"/>
  <c r="A76" i="11"/>
  <c r="A75" i="11"/>
  <c r="A74" i="11"/>
  <c r="A73" i="11"/>
  <c r="A72" i="11"/>
  <c r="A71" i="11"/>
  <c r="A70" i="11"/>
  <c r="A69" i="11"/>
  <c r="A68" i="11"/>
  <c r="A67" i="11"/>
  <c r="A66" i="11"/>
  <c r="A65" i="11"/>
  <c r="A64" i="11"/>
  <c r="A63" i="11"/>
  <c r="A62" i="11"/>
  <c r="A61" i="11"/>
  <c r="A60" i="11"/>
  <c r="A59" i="11"/>
  <c r="A58" i="11"/>
  <c r="A57" i="11"/>
  <c r="A56" i="11"/>
  <c r="A55" i="11"/>
  <c r="A54" i="11"/>
  <c r="A53" i="11"/>
  <c r="A52" i="11"/>
  <c r="A51" i="11"/>
  <c r="A50" i="11"/>
  <c r="A49" i="11"/>
  <c r="A48" i="11"/>
  <c r="A47" i="11"/>
  <c r="A46" i="11"/>
  <c r="A45" i="11"/>
  <c r="A44" i="11"/>
  <c r="A43" i="11"/>
  <c r="A42" i="11"/>
  <c r="A41" i="11"/>
  <c r="A40" i="11"/>
  <c r="A39" i="11"/>
  <c r="A38" i="11"/>
  <c r="A37" i="11"/>
  <c r="A36" i="11"/>
  <c r="A35" i="11"/>
  <c r="A34" i="11"/>
  <c r="A33" i="11"/>
  <c r="A32" i="11"/>
  <c r="A31" i="11"/>
  <c r="A30" i="11"/>
  <c r="A29" i="11"/>
  <c r="A28" i="11"/>
  <c r="A27" i="11"/>
  <c r="A26" i="11"/>
  <c r="A25" i="11"/>
  <c r="A24" i="11"/>
  <c r="A23" i="11"/>
  <c r="A22" i="11"/>
  <c r="A21" i="11"/>
  <c r="A20" i="11"/>
  <c r="A19" i="11"/>
  <c r="A18" i="11"/>
  <c r="A17" i="11"/>
  <c r="A16" i="11"/>
  <c r="A15" i="11"/>
  <c r="A14" i="11"/>
  <c r="A13" i="11"/>
  <c r="A12" i="11"/>
  <c r="A11" i="11"/>
  <c r="A10" i="11"/>
  <c r="A9" i="11"/>
  <c r="A8" i="11"/>
  <c r="A7" i="11"/>
  <c r="A6" i="11"/>
  <c r="A5" i="11"/>
  <c r="A3616" i="10"/>
  <c r="A3615" i="10"/>
  <c r="A3614" i="10"/>
  <c r="A3613" i="10"/>
  <c r="A3612" i="10"/>
  <c r="A3611" i="10"/>
  <c r="A3610" i="10"/>
  <c r="A3609" i="10"/>
  <c r="A3608" i="10"/>
  <c r="A3607" i="10"/>
  <c r="A3606" i="10"/>
  <c r="A3605" i="10"/>
  <c r="A3604" i="10"/>
  <c r="A3603" i="10"/>
  <c r="A3602" i="10"/>
  <c r="A3601" i="10"/>
  <c r="A3600" i="10"/>
  <c r="A3599" i="10"/>
  <c r="A3598" i="10"/>
  <c r="A3597" i="10"/>
  <c r="A3596" i="10"/>
  <c r="A3595" i="10"/>
  <c r="A3594" i="10"/>
  <c r="A3593" i="10"/>
  <c r="A3592" i="10"/>
  <c r="A3591" i="10"/>
  <c r="A3590" i="10"/>
  <c r="A3589" i="10"/>
  <c r="A3588" i="10"/>
  <c r="A3587" i="10"/>
  <c r="A3586" i="10"/>
  <c r="A3585" i="10"/>
  <c r="A3584" i="10"/>
  <c r="A3583" i="10"/>
  <c r="A3582" i="10"/>
  <c r="A3581" i="10"/>
  <c r="A3580" i="10"/>
  <c r="A3579" i="10"/>
  <c r="A3578" i="10"/>
  <c r="A3577" i="10"/>
  <c r="A3576" i="10"/>
  <c r="A3575" i="10"/>
  <c r="A3574" i="10"/>
  <c r="A3573" i="10"/>
  <c r="A3572" i="10"/>
  <c r="A3571" i="10"/>
  <c r="A3570" i="10"/>
  <c r="A3569" i="10"/>
  <c r="A3568" i="10"/>
  <c r="A3567" i="10"/>
  <c r="A3566" i="10"/>
  <c r="A3565" i="10"/>
  <c r="A3564" i="10"/>
  <c r="A3563" i="10"/>
  <c r="A3562" i="10"/>
  <c r="A3561" i="10"/>
  <c r="A3560" i="10"/>
  <c r="A3559" i="10"/>
  <c r="A3558" i="10"/>
  <c r="A3557" i="10"/>
  <c r="A3556" i="10"/>
  <c r="A3555" i="10"/>
  <c r="A3554" i="10"/>
  <c r="A3553" i="10"/>
  <c r="A3552" i="10"/>
  <c r="A3551" i="10"/>
  <c r="A3550" i="10"/>
  <c r="A3549" i="10"/>
  <c r="A3548" i="10"/>
  <c r="A3547" i="10"/>
  <c r="A3546" i="10"/>
  <c r="A3545" i="10"/>
  <c r="A3544" i="10"/>
  <c r="A3543" i="10"/>
  <c r="A3542" i="10"/>
  <c r="A3541" i="10"/>
  <c r="A3540" i="10"/>
  <c r="A3539" i="10"/>
  <c r="A3538" i="10"/>
  <c r="A3537" i="10"/>
  <c r="A3536" i="10"/>
  <c r="A3535" i="10"/>
  <c r="A3534" i="10"/>
  <c r="A3533" i="10"/>
  <c r="A3532" i="10"/>
  <c r="A3531" i="10"/>
  <c r="A3530" i="10"/>
  <c r="A3529" i="10"/>
  <c r="A3528" i="10"/>
  <c r="A3527" i="10"/>
  <c r="A3526" i="10"/>
  <c r="A3525" i="10"/>
  <c r="A3524" i="10"/>
  <c r="A3523" i="10"/>
  <c r="A3522" i="10"/>
  <c r="A3521" i="10"/>
  <c r="A3520" i="10"/>
  <c r="A3519" i="10"/>
  <c r="A3518" i="10"/>
  <c r="A3517" i="10"/>
  <c r="A3516" i="10"/>
  <c r="A3515" i="10"/>
  <c r="A3514" i="10"/>
  <c r="A3513" i="10"/>
  <c r="A3512" i="10"/>
  <c r="A3511" i="10"/>
  <c r="A3510" i="10"/>
  <c r="A3509" i="10"/>
  <c r="A3508" i="10"/>
  <c r="A3507" i="10"/>
  <c r="A3506" i="10"/>
  <c r="A3505" i="10"/>
  <c r="A3504" i="10"/>
  <c r="A3503" i="10"/>
  <c r="A3502" i="10"/>
  <c r="A3501" i="10"/>
  <c r="A3500" i="10"/>
  <c r="A3499" i="10"/>
  <c r="A3498" i="10"/>
  <c r="A3497" i="10"/>
  <c r="A3496" i="10"/>
  <c r="A3495" i="10"/>
  <c r="A3494" i="10"/>
  <c r="A3493" i="10"/>
  <c r="A3492" i="10"/>
  <c r="A3491" i="10"/>
  <c r="A3490" i="10"/>
  <c r="A3489" i="10"/>
  <c r="A3488" i="10"/>
  <c r="A3487" i="10"/>
  <c r="A3486" i="10"/>
  <c r="A3485" i="10"/>
  <c r="A3484" i="10"/>
  <c r="A3483" i="10"/>
  <c r="A3482" i="10"/>
  <c r="A3481" i="10"/>
  <c r="A3480" i="10"/>
  <c r="A3479" i="10"/>
  <c r="A3478" i="10"/>
  <c r="A3477" i="10"/>
  <c r="A3476" i="10"/>
  <c r="A3475" i="10"/>
  <c r="A3474" i="10"/>
  <c r="A3473" i="10"/>
  <c r="A3472" i="10"/>
  <c r="A3471" i="10"/>
  <c r="A3470" i="10"/>
  <c r="A3469" i="10"/>
  <c r="A3468" i="10"/>
  <c r="A3467" i="10"/>
  <c r="A3466" i="10"/>
  <c r="A3465" i="10"/>
  <c r="A3464" i="10"/>
  <c r="A3463" i="10"/>
  <c r="A3462" i="10"/>
  <c r="A3461" i="10"/>
  <c r="A3460" i="10"/>
  <c r="A3459" i="10"/>
  <c r="A3458" i="10"/>
  <c r="A3457" i="10"/>
  <c r="A3456" i="10"/>
  <c r="A3455" i="10"/>
  <c r="A3454" i="10"/>
  <c r="A3453" i="10"/>
  <c r="A3452" i="10"/>
  <c r="A3451" i="10"/>
  <c r="A3450" i="10"/>
  <c r="A3449" i="10"/>
  <c r="A3448" i="10"/>
  <c r="A3447" i="10"/>
  <c r="A3446" i="10"/>
  <c r="A3445" i="10"/>
  <c r="A3444" i="10"/>
  <c r="A3443" i="10"/>
  <c r="A3442" i="10"/>
  <c r="A3441" i="10"/>
  <c r="A3440" i="10"/>
  <c r="A3439" i="10"/>
  <c r="A3438" i="10"/>
  <c r="A3437" i="10"/>
  <c r="A3436" i="10"/>
  <c r="A3435" i="10"/>
  <c r="A3434" i="10"/>
  <c r="A3433" i="10"/>
  <c r="A3432" i="10"/>
  <c r="A3431" i="10"/>
  <c r="A3430" i="10"/>
  <c r="A3429" i="10"/>
  <c r="A3428" i="10"/>
  <c r="A3427" i="10"/>
  <c r="A3426" i="10"/>
  <c r="A3425" i="10"/>
  <c r="A3424" i="10"/>
  <c r="A3423" i="10"/>
  <c r="A3422" i="10"/>
  <c r="A3421" i="10"/>
  <c r="A3420" i="10"/>
  <c r="A3419" i="10"/>
  <c r="A3418" i="10"/>
  <c r="A3417" i="10"/>
  <c r="A3416" i="10"/>
  <c r="A3415" i="10"/>
  <c r="A3414" i="10"/>
  <c r="A3413" i="10"/>
  <c r="A3412" i="10"/>
  <c r="A3411" i="10"/>
  <c r="A3410" i="10"/>
  <c r="A3409" i="10"/>
  <c r="A3408" i="10"/>
  <c r="A3407" i="10"/>
  <c r="A3406" i="10"/>
  <c r="A3405" i="10"/>
  <c r="A3404" i="10"/>
  <c r="A3403" i="10"/>
  <c r="A3402" i="10"/>
  <c r="A3401" i="10"/>
  <c r="A3400" i="10"/>
  <c r="A3399" i="10"/>
  <c r="A3398" i="10"/>
  <c r="A3397" i="10"/>
  <c r="A3396" i="10"/>
  <c r="A3395" i="10"/>
  <c r="A3394" i="10"/>
  <c r="A3393" i="10"/>
  <c r="A3392" i="10"/>
  <c r="A3391" i="10"/>
  <c r="A3390" i="10"/>
  <c r="A3389" i="10"/>
  <c r="A3388" i="10"/>
  <c r="A3387" i="10"/>
  <c r="A3386" i="10"/>
  <c r="A3385" i="10"/>
  <c r="A3384" i="10"/>
  <c r="A3383" i="10"/>
  <c r="A3382" i="10"/>
  <c r="A3381" i="10"/>
  <c r="A3380" i="10"/>
  <c r="A3379" i="10"/>
  <c r="A3378" i="10"/>
  <c r="A3377" i="10"/>
  <c r="A3376" i="10"/>
  <c r="A3375" i="10"/>
  <c r="A3374" i="10"/>
  <c r="A3373" i="10"/>
  <c r="A3372" i="10"/>
  <c r="A3371" i="10"/>
  <c r="A3370" i="10"/>
  <c r="A3369" i="10"/>
  <c r="A3368" i="10"/>
  <c r="A3367" i="10"/>
  <c r="A3366" i="10"/>
  <c r="A3365" i="10"/>
  <c r="A3364" i="10"/>
  <c r="A3363" i="10"/>
  <c r="A3362" i="10"/>
  <c r="A3361" i="10"/>
  <c r="A3360" i="10"/>
  <c r="A3359" i="10"/>
  <c r="A3358" i="10"/>
  <c r="A3357" i="10"/>
  <c r="A3356" i="10"/>
  <c r="A3355" i="10"/>
  <c r="A3354" i="10"/>
  <c r="A3353" i="10"/>
  <c r="A3352" i="10"/>
  <c r="A3351" i="10"/>
  <c r="A3350" i="10"/>
  <c r="A3349" i="10"/>
  <c r="A3348" i="10"/>
  <c r="A3347" i="10"/>
  <c r="A3346" i="10"/>
  <c r="A3345" i="10"/>
  <c r="A3344" i="10"/>
  <c r="A3343" i="10"/>
  <c r="A3342" i="10"/>
  <c r="A3341" i="10"/>
  <c r="A3340" i="10"/>
  <c r="A3339" i="10"/>
  <c r="A3338" i="10"/>
  <c r="A3337" i="10"/>
  <c r="A3336" i="10"/>
  <c r="A3335" i="10"/>
  <c r="A3334" i="10"/>
  <c r="A3333" i="10"/>
  <c r="A3332" i="10"/>
  <c r="A3331" i="10"/>
  <c r="A3330" i="10"/>
  <c r="A3329" i="10"/>
  <c r="A3328" i="10"/>
  <c r="A3327" i="10"/>
  <c r="A3326" i="10"/>
  <c r="A3325" i="10"/>
  <c r="A3324" i="10"/>
  <c r="A3323" i="10"/>
  <c r="A3322" i="10"/>
  <c r="A3321" i="10"/>
  <c r="A3320" i="10"/>
  <c r="A3319" i="10"/>
  <c r="A3318" i="10"/>
  <c r="A3317" i="10"/>
  <c r="A3316" i="10"/>
  <c r="A3315" i="10"/>
  <c r="A3314" i="10"/>
  <c r="A3313" i="10"/>
  <c r="A3312" i="10"/>
  <c r="A3311" i="10"/>
  <c r="A3310" i="10"/>
  <c r="A3309" i="10"/>
  <c r="A3308" i="10"/>
  <c r="A3307" i="10"/>
  <c r="A3306" i="10"/>
  <c r="A3305" i="10"/>
  <c r="A3304" i="10"/>
  <c r="A3303" i="10"/>
  <c r="A3302" i="10"/>
  <c r="A3301" i="10"/>
  <c r="A3300" i="10"/>
  <c r="A3299" i="10"/>
  <c r="A3298" i="10"/>
  <c r="A3297" i="10"/>
  <c r="A3296" i="10"/>
  <c r="A3295" i="10"/>
  <c r="A3294" i="10"/>
  <c r="A3293" i="10"/>
  <c r="A3292" i="10"/>
  <c r="A3291" i="10"/>
  <c r="A3290" i="10"/>
  <c r="A3289" i="10"/>
  <c r="A3288" i="10"/>
  <c r="A3287" i="10"/>
  <c r="A3286" i="10"/>
  <c r="A3285" i="10"/>
  <c r="A3284" i="10"/>
  <c r="A3283" i="10"/>
  <c r="A3282" i="10"/>
  <c r="A3281" i="10"/>
  <c r="A3280" i="10"/>
  <c r="A3279" i="10"/>
  <c r="A3278" i="10"/>
  <c r="A3277" i="10"/>
  <c r="A3276" i="10"/>
  <c r="A3275" i="10"/>
  <c r="A3274" i="10"/>
  <c r="A3273" i="10"/>
  <c r="A3272" i="10"/>
  <c r="A3271" i="10"/>
  <c r="A3270" i="10"/>
  <c r="A3269" i="10"/>
  <c r="A3268" i="10"/>
  <c r="A3267" i="10"/>
  <c r="A3266" i="10"/>
  <c r="A3265" i="10"/>
  <c r="A3264" i="10"/>
  <c r="A3263" i="10"/>
  <c r="A3262" i="10"/>
  <c r="A3261" i="10"/>
  <c r="A3260" i="10"/>
  <c r="A3259" i="10"/>
  <c r="A3258" i="10"/>
  <c r="A3257" i="10"/>
  <c r="A3256" i="10"/>
  <c r="A3255" i="10"/>
  <c r="A3254" i="10"/>
  <c r="A3253" i="10"/>
  <c r="A3252" i="10"/>
  <c r="A3251" i="10"/>
  <c r="A3250" i="10"/>
  <c r="A3249" i="10"/>
  <c r="A3248" i="10"/>
  <c r="A3247" i="10"/>
  <c r="A3246" i="10"/>
  <c r="A3245" i="10"/>
  <c r="A3244" i="10"/>
  <c r="A3243" i="10"/>
  <c r="A3242" i="10"/>
  <c r="A3241" i="10"/>
  <c r="A3240" i="10"/>
  <c r="A3239" i="10"/>
  <c r="A3238" i="10"/>
  <c r="A3237" i="10"/>
  <c r="A3236" i="10"/>
  <c r="A3235" i="10"/>
  <c r="A3234" i="10"/>
  <c r="A3233" i="10"/>
  <c r="A3232" i="10"/>
  <c r="A3231" i="10"/>
  <c r="A3230" i="10"/>
  <c r="A3229" i="10"/>
  <c r="A3228" i="10"/>
  <c r="A3227" i="10"/>
  <c r="A3226" i="10"/>
  <c r="A3225" i="10"/>
  <c r="A3224" i="10"/>
  <c r="A3223" i="10"/>
  <c r="A3222" i="10"/>
  <c r="A3221" i="10"/>
  <c r="A3220" i="10"/>
  <c r="A3219" i="10"/>
  <c r="A3218" i="10"/>
  <c r="A3217" i="10"/>
  <c r="A3216" i="10"/>
  <c r="A3215" i="10"/>
  <c r="A3214" i="10"/>
  <c r="A3213" i="10"/>
  <c r="A3212" i="10"/>
  <c r="A3211" i="10"/>
  <c r="A3210" i="10"/>
  <c r="A3209" i="10"/>
  <c r="A3208" i="10"/>
  <c r="A3207" i="10"/>
  <c r="A3206" i="10"/>
  <c r="A3205" i="10"/>
  <c r="A3204" i="10"/>
  <c r="A3203" i="10"/>
  <c r="A3202" i="10"/>
  <c r="A3201" i="10"/>
  <c r="A3200" i="10"/>
  <c r="A3199" i="10"/>
  <c r="A3198" i="10"/>
  <c r="A3197" i="10"/>
  <c r="A3196" i="10"/>
  <c r="A3195" i="10"/>
  <c r="A3194" i="10"/>
  <c r="A3193" i="10"/>
  <c r="A3192" i="10"/>
  <c r="A3191" i="10"/>
  <c r="A3190" i="10"/>
  <c r="A3189" i="10"/>
  <c r="A3188" i="10"/>
  <c r="A3187" i="10"/>
  <c r="A3186" i="10"/>
  <c r="A3185" i="10"/>
  <c r="A3184" i="10"/>
  <c r="A3183" i="10"/>
  <c r="A3182" i="10"/>
  <c r="A3181" i="10"/>
  <c r="A3180" i="10"/>
  <c r="A3179" i="10"/>
  <c r="A3178" i="10"/>
  <c r="A3177" i="10"/>
  <c r="A3176" i="10"/>
  <c r="A3175" i="10"/>
  <c r="A3174" i="10"/>
  <c r="A3173" i="10"/>
  <c r="A3172" i="10"/>
  <c r="A3171" i="10"/>
  <c r="A3170" i="10"/>
  <c r="A3169" i="10"/>
  <c r="A3168" i="10"/>
  <c r="A3167" i="10"/>
  <c r="A3166" i="10"/>
  <c r="A3165" i="10"/>
  <c r="A3164" i="10"/>
  <c r="A3163" i="10"/>
  <c r="A3162" i="10"/>
  <c r="A3161" i="10"/>
  <c r="A3160" i="10"/>
  <c r="A3159" i="10"/>
  <c r="A3158" i="10"/>
  <c r="A3157" i="10"/>
  <c r="A3156" i="10"/>
  <c r="A3155" i="10"/>
  <c r="A3154" i="10"/>
  <c r="A3153" i="10"/>
  <c r="A3152" i="10"/>
  <c r="A3151" i="10"/>
  <c r="A3150" i="10"/>
  <c r="A3149" i="10"/>
  <c r="A3148" i="10"/>
  <c r="A3147" i="10"/>
  <c r="A3146" i="10"/>
  <c r="A3145" i="10"/>
  <c r="A3144" i="10"/>
  <c r="A3143" i="10"/>
  <c r="A3142" i="10"/>
  <c r="A3141" i="10"/>
  <c r="A3140" i="10"/>
  <c r="A3139" i="10"/>
  <c r="A3138" i="10"/>
  <c r="A3137" i="10"/>
  <c r="A3136" i="10"/>
  <c r="A3135" i="10"/>
  <c r="A3134" i="10"/>
  <c r="A3133" i="10"/>
  <c r="A3132" i="10"/>
  <c r="A3131" i="10"/>
  <c r="A3130" i="10"/>
  <c r="A3129" i="10"/>
  <c r="A3128" i="10"/>
  <c r="A3127" i="10"/>
  <c r="A3126" i="10"/>
  <c r="A3125" i="10"/>
  <c r="A3124" i="10"/>
  <c r="A3123" i="10"/>
  <c r="A3122" i="10"/>
  <c r="A3121" i="10"/>
  <c r="A3120" i="10"/>
  <c r="A3119" i="10"/>
  <c r="A3118" i="10"/>
  <c r="A3117" i="10"/>
  <c r="A3116" i="10"/>
  <c r="A3115" i="10"/>
  <c r="A3114" i="10"/>
  <c r="A3113" i="10"/>
  <c r="A3112" i="10"/>
  <c r="A3111" i="10"/>
  <c r="A3110" i="10"/>
  <c r="A3109" i="10"/>
  <c r="A3108" i="10"/>
  <c r="A3107" i="10"/>
  <c r="A3106" i="10"/>
  <c r="A3105" i="10"/>
  <c r="A3104" i="10"/>
  <c r="A3103" i="10"/>
  <c r="A3102" i="10"/>
  <c r="A3101" i="10"/>
  <c r="A3100" i="10"/>
  <c r="A3099" i="10"/>
  <c r="A3098" i="10"/>
  <c r="A3097" i="10"/>
  <c r="A3096" i="10"/>
  <c r="A3095" i="10"/>
  <c r="A3094" i="10"/>
  <c r="A3093" i="10"/>
  <c r="A3092" i="10"/>
  <c r="A3091" i="10"/>
  <c r="A3090" i="10"/>
  <c r="A3089" i="10"/>
  <c r="A3088" i="10"/>
  <c r="A3087" i="10"/>
  <c r="A3086" i="10"/>
  <c r="A3085" i="10"/>
  <c r="A3084" i="10"/>
  <c r="A3083" i="10"/>
  <c r="A3082" i="10"/>
  <c r="A3081" i="10"/>
  <c r="A3080" i="10"/>
  <c r="A3079" i="10"/>
  <c r="A3078" i="10"/>
  <c r="A3077" i="10"/>
  <c r="A3076" i="10"/>
  <c r="A3075" i="10"/>
  <c r="A3074" i="10"/>
  <c r="A3073" i="10"/>
  <c r="A3072" i="10"/>
  <c r="A3071" i="10"/>
  <c r="A3070" i="10"/>
  <c r="A3069" i="10"/>
  <c r="A3068" i="10"/>
  <c r="A3067" i="10"/>
  <c r="A3066" i="10"/>
  <c r="A3065" i="10"/>
  <c r="A3064" i="10"/>
  <c r="A3063" i="10"/>
  <c r="A3062" i="10"/>
  <c r="A3061" i="10"/>
  <c r="A3060" i="10"/>
  <c r="A3059" i="10"/>
  <c r="A3058" i="10"/>
  <c r="A3057" i="10"/>
  <c r="A3056" i="10"/>
  <c r="A3055" i="10"/>
  <c r="A3054" i="10"/>
  <c r="A3053" i="10"/>
  <c r="A3052" i="10"/>
  <c r="A3051" i="10"/>
  <c r="A3050" i="10"/>
  <c r="A3049" i="10"/>
  <c r="A3048" i="10"/>
  <c r="A3047" i="10"/>
  <c r="A3046" i="10"/>
  <c r="A3045" i="10"/>
  <c r="A3044" i="10"/>
  <c r="A3043" i="10"/>
  <c r="A3042" i="10"/>
  <c r="A3041" i="10"/>
  <c r="A3040" i="10"/>
  <c r="A3039" i="10"/>
  <c r="A3038" i="10"/>
  <c r="A3037" i="10"/>
  <c r="A3036" i="10"/>
  <c r="A3035" i="10"/>
  <c r="A3034" i="10"/>
  <c r="A3033" i="10"/>
  <c r="A3032" i="10"/>
  <c r="A3031" i="10"/>
  <c r="A3030" i="10"/>
  <c r="A3029" i="10"/>
  <c r="A3028" i="10"/>
  <c r="A3027" i="10"/>
  <c r="A3026" i="10"/>
  <c r="A3025" i="10"/>
  <c r="A3024" i="10"/>
  <c r="A3023" i="10"/>
  <c r="A3022" i="10"/>
  <c r="A3021" i="10"/>
  <c r="A3020" i="10"/>
  <c r="A3019" i="10"/>
  <c r="A3018" i="10"/>
  <c r="A3017" i="10"/>
  <c r="A3016" i="10"/>
  <c r="A3015" i="10"/>
  <c r="A3014" i="10"/>
  <c r="A3013" i="10"/>
  <c r="A3012" i="10"/>
  <c r="A3011" i="10"/>
  <c r="A3010" i="10"/>
  <c r="A3009" i="10"/>
  <c r="A3008" i="10"/>
  <c r="A3007" i="10"/>
  <c r="A3006" i="10"/>
  <c r="A3005" i="10"/>
  <c r="A3004" i="10"/>
  <c r="A3003" i="10"/>
  <c r="A3002" i="10"/>
  <c r="A3001" i="10"/>
  <c r="A3000" i="10"/>
  <c r="A2999" i="10"/>
  <c r="A2998" i="10"/>
  <c r="A2997" i="10"/>
  <c r="A2996" i="10"/>
  <c r="A2995" i="10"/>
  <c r="A2994" i="10"/>
  <c r="A2993" i="10"/>
  <c r="A2992" i="10"/>
  <c r="A2991" i="10"/>
  <c r="A2990" i="10"/>
  <c r="A2989" i="10"/>
  <c r="A2988" i="10"/>
  <c r="A2987" i="10"/>
  <c r="A2986" i="10"/>
  <c r="A2985" i="10"/>
  <c r="A2984" i="10"/>
  <c r="A2983" i="10"/>
  <c r="A2982" i="10"/>
  <c r="A2981" i="10"/>
  <c r="A2980" i="10"/>
  <c r="A2979" i="10"/>
  <c r="A2978" i="10"/>
  <c r="A2977" i="10"/>
  <c r="A2976" i="10"/>
  <c r="A2975" i="10"/>
  <c r="A2974" i="10"/>
  <c r="A2973" i="10"/>
  <c r="A2972" i="10"/>
  <c r="A2971" i="10"/>
  <c r="A2970" i="10"/>
  <c r="A2969" i="10"/>
  <c r="A2968" i="10"/>
  <c r="A2967" i="10"/>
  <c r="A2966" i="10"/>
  <c r="A2965" i="10"/>
  <c r="A2964" i="10"/>
  <c r="A2963" i="10"/>
  <c r="A2962" i="10"/>
  <c r="A2961" i="10"/>
  <c r="A2960" i="10"/>
  <c r="A2959" i="10"/>
  <c r="A2958" i="10"/>
  <c r="A2957" i="10"/>
  <c r="A2956" i="10"/>
  <c r="A2955" i="10"/>
  <c r="A2954" i="10"/>
  <c r="A2953" i="10"/>
  <c r="A2952" i="10"/>
  <c r="A2951" i="10"/>
  <c r="A2950" i="10"/>
  <c r="A2949" i="10"/>
  <c r="A2948" i="10"/>
  <c r="A2947" i="10"/>
  <c r="A2946" i="10"/>
  <c r="A2945" i="10"/>
  <c r="A2944" i="10"/>
  <c r="A2943" i="10"/>
  <c r="A2942" i="10"/>
  <c r="A2941" i="10"/>
  <c r="A2940" i="10"/>
  <c r="A2939" i="10"/>
  <c r="A2938" i="10"/>
  <c r="A2937" i="10"/>
  <c r="A2936" i="10"/>
  <c r="A2935" i="10"/>
  <c r="A2934" i="10"/>
  <c r="A2933" i="10"/>
  <c r="A2932" i="10"/>
  <c r="A2931" i="10"/>
  <c r="A2930" i="10"/>
  <c r="A2929" i="10"/>
  <c r="A2928" i="10"/>
  <c r="A2927" i="10"/>
  <c r="A2926" i="10"/>
  <c r="A2925" i="10"/>
  <c r="A2924" i="10"/>
  <c r="A2923" i="10"/>
  <c r="A2922" i="10"/>
  <c r="A2921" i="10"/>
  <c r="A2920" i="10"/>
  <c r="A2919" i="10"/>
  <c r="A2918" i="10"/>
  <c r="A2917" i="10"/>
  <c r="A2916" i="10"/>
  <c r="A2915" i="10"/>
  <c r="A2914" i="10"/>
  <c r="A2913" i="10"/>
  <c r="A2912" i="10"/>
  <c r="A2911" i="10"/>
  <c r="A2910" i="10"/>
  <c r="A2909" i="10"/>
  <c r="A2908" i="10"/>
  <c r="A2907" i="10"/>
  <c r="A2906" i="10"/>
  <c r="A2905" i="10"/>
  <c r="A2904" i="10"/>
  <c r="A2903" i="10"/>
  <c r="A2902" i="10"/>
  <c r="A2901" i="10"/>
  <c r="A2900" i="10"/>
  <c r="A2899" i="10"/>
  <c r="A2898" i="10"/>
  <c r="A2897" i="10"/>
  <c r="A2896" i="10"/>
  <c r="A2895" i="10"/>
  <c r="A2894" i="10"/>
  <c r="A2893" i="10"/>
  <c r="A2892" i="10"/>
  <c r="A2891" i="10"/>
  <c r="A2890" i="10"/>
  <c r="A2889" i="10"/>
  <c r="A2888" i="10"/>
  <c r="A2887" i="10"/>
  <c r="A2886" i="10"/>
  <c r="A2885" i="10"/>
  <c r="A2884" i="10"/>
  <c r="A2883" i="10"/>
  <c r="A2882" i="10"/>
  <c r="A2881" i="10"/>
  <c r="A2880" i="10"/>
  <c r="A2879" i="10"/>
  <c r="A2878" i="10"/>
  <c r="A2877" i="10"/>
  <c r="A2876" i="10"/>
  <c r="A2875" i="10"/>
  <c r="A2874" i="10"/>
  <c r="A2873" i="10"/>
  <c r="A2872" i="10"/>
  <c r="A2871" i="10"/>
  <c r="A2870" i="10"/>
  <c r="A2869" i="10"/>
  <c r="A2868" i="10"/>
  <c r="A2867" i="10"/>
  <c r="A2866" i="10"/>
  <c r="A2865" i="10"/>
  <c r="A2864" i="10"/>
  <c r="A2863" i="10"/>
  <c r="A2862" i="10"/>
  <c r="A2861" i="10"/>
  <c r="A2860" i="10"/>
  <c r="A2859" i="10"/>
  <c r="A2858" i="10"/>
  <c r="A2857" i="10"/>
  <c r="A2856" i="10"/>
  <c r="A2855" i="10"/>
  <c r="A2854" i="10"/>
  <c r="A2853" i="10"/>
  <c r="A2852" i="10"/>
  <c r="A2851" i="10"/>
  <c r="A2850" i="10"/>
  <c r="A2849" i="10"/>
  <c r="A2848" i="10"/>
  <c r="A2847" i="10"/>
  <c r="A2846" i="10"/>
  <c r="A2845" i="10"/>
  <c r="A2844" i="10"/>
  <c r="A2843" i="10"/>
  <c r="A2842" i="10"/>
  <c r="A2841" i="10"/>
  <c r="A2840" i="10"/>
  <c r="A2839" i="10"/>
  <c r="A2838" i="10"/>
  <c r="A2837" i="10"/>
  <c r="A2836" i="10"/>
  <c r="A2835" i="10"/>
  <c r="A2834" i="10"/>
  <c r="A2833" i="10"/>
  <c r="A2832" i="10"/>
  <c r="A2831" i="10"/>
  <c r="A2830" i="10"/>
  <c r="A2829" i="10"/>
  <c r="A2828" i="10"/>
  <c r="A2827" i="10"/>
  <c r="A2826" i="10"/>
  <c r="A2825" i="10"/>
  <c r="A2824" i="10"/>
  <c r="A2823" i="10"/>
  <c r="A2822" i="10"/>
  <c r="A2821" i="10"/>
  <c r="A2820" i="10"/>
  <c r="A2819" i="10"/>
  <c r="A2818" i="10"/>
  <c r="A2817" i="10"/>
  <c r="A2816" i="10"/>
  <c r="A2815" i="10"/>
  <c r="A2814" i="10"/>
  <c r="A2813" i="10"/>
  <c r="A2812" i="10"/>
  <c r="A2811" i="10"/>
  <c r="A2810" i="10"/>
  <c r="A2809" i="10"/>
  <c r="A2808" i="10"/>
  <c r="A2807" i="10"/>
  <c r="A2806" i="10"/>
  <c r="A2805" i="10"/>
  <c r="A2804" i="10"/>
  <c r="A2803" i="10"/>
  <c r="A2802" i="10"/>
  <c r="A2801" i="10"/>
  <c r="A2800" i="10"/>
  <c r="A2799" i="10"/>
  <c r="A2798" i="10"/>
  <c r="A2797" i="10"/>
  <c r="A2796" i="10"/>
  <c r="A2795" i="10"/>
  <c r="A2794" i="10"/>
  <c r="A2793" i="10"/>
  <c r="A2792" i="10"/>
  <c r="A2791" i="10"/>
  <c r="A2790" i="10"/>
  <c r="A2789" i="10"/>
  <c r="A2788" i="10"/>
  <c r="A2787" i="10"/>
  <c r="A2786" i="10"/>
  <c r="A2785" i="10"/>
  <c r="A2784" i="10"/>
  <c r="A2783" i="10"/>
  <c r="A2782" i="10"/>
  <c r="A2781" i="10"/>
  <c r="A2780" i="10"/>
  <c r="A2779" i="10"/>
  <c r="A2778" i="10"/>
  <c r="A2777" i="10"/>
  <c r="A2776" i="10"/>
  <c r="A2775" i="10"/>
  <c r="A2774" i="10"/>
  <c r="A2773" i="10"/>
  <c r="A2772" i="10"/>
  <c r="A2771" i="10"/>
  <c r="A2770" i="10"/>
  <c r="A2769" i="10"/>
  <c r="A2768" i="10"/>
  <c r="A2767" i="10"/>
  <c r="A2766" i="10"/>
  <c r="A2765" i="10"/>
  <c r="A2764" i="10"/>
  <c r="A2763" i="10"/>
  <c r="A2762" i="10"/>
  <c r="A2761" i="10"/>
  <c r="A2760" i="10"/>
  <c r="A2759" i="10"/>
  <c r="A2758" i="10"/>
  <c r="A2757" i="10"/>
  <c r="A2756" i="10"/>
  <c r="A2755" i="10"/>
  <c r="A2754" i="10"/>
  <c r="A2753" i="10"/>
  <c r="A2752" i="10"/>
  <c r="A2751" i="10"/>
  <c r="A2750" i="10"/>
  <c r="A2749" i="10"/>
  <c r="A2748" i="10"/>
  <c r="A2747" i="10"/>
  <c r="A2746" i="10"/>
  <c r="A2745" i="10"/>
  <c r="A2744" i="10"/>
  <c r="A2743" i="10"/>
  <c r="A2742" i="10"/>
  <c r="A2741" i="10"/>
  <c r="A2740" i="10"/>
  <c r="A2739" i="10"/>
  <c r="A2738" i="10"/>
  <c r="A2737" i="10"/>
  <c r="A2736" i="10"/>
  <c r="A2735" i="10"/>
  <c r="A2734" i="10"/>
  <c r="A2733" i="10"/>
  <c r="A2732" i="10"/>
  <c r="A2731" i="10"/>
  <c r="A2730" i="10"/>
  <c r="A2729" i="10"/>
  <c r="A2728" i="10"/>
  <c r="A2727" i="10"/>
  <c r="A2726" i="10"/>
  <c r="A2725" i="10"/>
  <c r="A2724" i="10"/>
  <c r="A2723" i="10"/>
  <c r="A2722" i="10"/>
  <c r="A2721" i="10"/>
  <c r="A2720" i="10"/>
  <c r="A2719" i="10"/>
  <c r="A2718" i="10"/>
  <c r="A2717" i="10"/>
  <c r="A2716" i="10"/>
  <c r="A2715" i="10"/>
  <c r="A2714" i="10"/>
  <c r="A2713" i="10"/>
  <c r="A2712" i="10"/>
  <c r="A2711" i="10"/>
  <c r="A2710" i="10"/>
  <c r="A2709" i="10"/>
  <c r="A2708" i="10"/>
  <c r="A2707" i="10"/>
  <c r="A2706" i="10"/>
  <c r="A2705" i="10"/>
  <c r="A2704" i="10"/>
  <c r="A2703" i="10"/>
  <c r="A2702" i="10"/>
  <c r="A2701" i="10"/>
  <c r="A2700" i="10"/>
  <c r="A2699" i="10"/>
  <c r="A2698" i="10"/>
  <c r="A2697" i="10"/>
  <c r="A2696" i="10"/>
  <c r="A2695" i="10"/>
  <c r="A2694" i="10"/>
  <c r="A2693" i="10"/>
  <c r="A2692" i="10"/>
  <c r="A2691" i="10"/>
  <c r="A2690" i="10"/>
  <c r="A2689" i="10"/>
  <c r="A2688" i="10"/>
  <c r="A2687" i="10"/>
  <c r="A2686" i="10"/>
  <c r="A2685" i="10"/>
  <c r="A2684" i="10"/>
  <c r="A2683" i="10"/>
  <c r="A2682" i="10"/>
  <c r="A2681" i="10"/>
  <c r="A2680" i="10"/>
  <c r="A2679" i="10"/>
  <c r="A2678" i="10"/>
  <c r="A2677" i="10"/>
  <c r="A2676" i="10"/>
  <c r="A2675" i="10"/>
  <c r="A2674" i="10"/>
  <c r="A2673" i="10"/>
  <c r="A2672" i="10"/>
  <c r="A2671" i="10"/>
  <c r="A2670" i="10"/>
  <c r="A2669" i="10"/>
  <c r="A2668" i="10"/>
  <c r="A2667" i="10"/>
  <c r="A2666" i="10"/>
  <c r="A2665" i="10"/>
  <c r="A2664" i="10"/>
  <c r="A2663" i="10"/>
  <c r="A2662" i="10"/>
  <c r="A2661" i="10"/>
  <c r="A2660" i="10"/>
  <c r="A2659" i="10"/>
  <c r="A2658" i="10"/>
  <c r="A2657" i="10"/>
  <c r="A2656" i="10"/>
  <c r="A2655" i="10"/>
  <c r="A2654" i="10"/>
  <c r="A2653" i="10"/>
  <c r="A2652" i="10"/>
  <c r="A2651" i="10"/>
  <c r="A2650" i="10"/>
  <c r="A2649" i="10"/>
  <c r="A2648" i="10"/>
  <c r="A2647" i="10"/>
  <c r="A2646" i="10"/>
  <c r="A2645" i="10"/>
  <c r="A2644" i="10"/>
  <c r="A2643" i="10"/>
  <c r="A2642" i="10"/>
  <c r="A2641" i="10"/>
  <c r="A2640" i="10"/>
  <c r="A2639" i="10"/>
  <c r="A2638" i="10"/>
  <c r="A2637" i="10"/>
  <c r="A2636" i="10"/>
  <c r="A2635" i="10"/>
  <c r="A2634" i="10"/>
  <c r="A2633" i="10"/>
  <c r="A2632" i="10"/>
  <c r="A2631" i="10"/>
  <c r="A2630" i="10"/>
  <c r="A2629" i="10"/>
  <c r="A2628" i="10"/>
  <c r="A2627" i="10"/>
  <c r="A2626" i="10"/>
  <c r="A2625" i="10"/>
  <c r="A2624" i="10"/>
  <c r="A2623" i="10"/>
  <c r="A2622" i="10"/>
  <c r="A2621" i="10"/>
  <c r="A2620" i="10"/>
  <c r="A2619" i="10"/>
  <c r="A2618" i="10"/>
  <c r="A2617" i="10"/>
  <c r="A2616" i="10"/>
  <c r="A2615" i="10"/>
  <c r="A2614" i="10"/>
  <c r="A2613" i="10"/>
  <c r="A2612" i="10"/>
  <c r="A2611" i="10"/>
  <c r="A2610" i="10"/>
  <c r="A2609" i="10"/>
  <c r="A2608" i="10"/>
  <c r="A2607" i="10"/>
  <c r="A2606" i="10"/>
  <c r="A2605" i="10"/>
  <c r="A2604" i="10"/>
  <c r="A2603" i="10"/>
  <c r="A2602" i="10"/>
  <c r="A2601" i="10"/>
  <c r="A2600" i="10"/>
  <c r="A2599" i="10"/>
  <c r="A2598" i="10"/>
  <c r="A2597" i="10"/>
  <c r="A2596" i="10"/>
  <c r="A2595" i="10"/>
  <c r="A2594" i="10"/>
  <c r="A2593" i="10"/>
  <c r="A2592" i="10"/>
  <c r="A2591" i="10"/>
  <c r="A2590" i="10"/>
  <c r="A2589" i="10"/>
  <c r="A2588" i="10"/>
  <c r="A2587" i="10"/>
  <c r="A2586" i="10"/>
  <c r="A2585" i="10"/>
  <c r="A2584" i="10"/>
  <c r="A2583" i="10"/>
  <c r="A2582" i="10"/>
  <c r="A2581" i="10"/>
  <c r="A2580" i="10"/>
  <c r="A2579" i="10"/>
  <c r="A2578" i="10"/>
  <c r="A2577" i="10"/>
  <c r="A2576" i="10"/>
  <c r="A2575" i="10"/>
  <c r="A2574" i="10"/>
  <c r="A2573" i="10"/>
  <c r="A2572" i="10"/>
  <c r="A2571" i="10"/>
  <c r="A2570" i="10"/>
  <c r="A2569" i="10"/>
  <c r="A2568" i="10"/>
  <c r="A2567" i="10"/>
  <c r="A2566" i="10"/>
  <c r="A2565" i="10"/>
  <c r="A2564" i="10"/>
  <c r="A2563" i="10"/>
  <c r="A2562" i="10"/>
  <c r="A2561" i="10"/>
  <c r="A2560" i="10"/>
  <c r="A2559" i="10"/>
  <c r="A2558" i="10"/>
  <c r="A2557" i="10"/>
  <c r="A2556" i="10"/>
  <c r="A2555" i="10"/>
  <c r="A2554" i="10"/>
  <c r="A2553" i="10"/>
  <c r="A2552" i="10"/>
  <c r="A2551" i="10"/>
  <c r="A2550" i="10"/>
  <c r="A2549" i="10"/>
  <c r="A2548" i="10"/>
  <c r="A2547" i="10"/>
  <c r="A2546" i="10"/>
  <c r="A2545" i="10"/>
  <c r="A2544" i="10"/>
  <c r="A2543" i="10"/>
  <c r="A2542" i="10"/>
  <c r="A2541" i="10"/>
  <c r="A2540" i="10"/>
  <c r="A2539" i="10"/>
  <c r="A2538" i="10"/>
  <c r="A2537" i="10"/>
  <c r="A2536" i="10"/>
  <c r="A2535" i="10"/>
  <c r="A2534" i="10"/>
  <c r="A2533" i="10"/>
  <c r="A2532" i="10"/>
  <c r="A2531" i="10"/>
  <c r="A2530" i="10"/>
  <c r="A2529" i="10"/>
  <c r="A2528" i="10"/>
  <c r="A2527" i="10"/>
  <c r="A2526" i="10"/>
  <c r="A2525" i="10"/>
  <c r="A2524" i="10"/>
  <c r="A2523" i="10"/>
  <c r="A2522" i="10"/>
  <c r="A2521" i="10"/>
  <c r="A2520" i="10"/>
  <c r="A2519" i="10"/>
  <c r="A2518" i="10"/>
  <c r="A2517" i="10"/>
  <c r="A2516" i="10"/>
  <c r="A2515" i="10"/>
  <c r="A2514" i="10"/>
  <c r="A2513" i="10"/>
  <c r="A2512" i="10"/>
  <c r="A2511" i="10"/>
  <c r="A2510" i="10"/>
  <c r="A2509" i="10"/>
  <c r="A2508" i="10"/>
  <c r="A2507" i="10"/>
  <c r="A2506" i="10"/>
  <c r="A2505" i="10"/>
  <c r="A2504" i="10"/>
  <c r="A2503" i="10"/>
  <c r="A2502" i="10"/>
  <c r="A2501" i="10"/>
  <c r="A2500" i="10"/>
  <c r="A2499" i="10"/>
  <c r="A2498" i="10"/>
  <c r="A2497" i="10"/>
  <c r="A2496" i="10"/>
  <c r="A2495" i="10"/>
  <c r="A2494" i="10"/>
  <c r="A2493" i="10"/>
  <c r="A2492" i="10"/>
  <c r="A2491" i="10"/>
  <c r="A2490" i="10"/>
  <c r="A2489" i="10"/>
  <c r="A2488" i="10"/>
  <c r="A2487" i="10"/>
  <c r="A2486" i="10"/>
  <c r="A2485" i="10"/>
  <c r="A2484" i="10"/>
  <c r="A2483" i="10"/>
  <c r="A2482" i="10"/>
  <c r="A2481" i="10"/>
  <c r="A2480" i="10"/>
  <c r="A2479" i="10"/>
  <c r="A2478" i="10"/>
  <c r="A2477" i="10"/>
  <c r="A2476" i="10"/>
  <c r="A2475" i="10"/>
  <c r="A2474" i="10"/>
  <c r="A2473" i="10"/>
  <c r="A2472" i="10"/>
  <c r="A2471" i="10"/>
  <c r="A2470" i="10"/>
  <c r="A2469" i="10"/>
  <c r="A2468" i="10"/>
  <c r="A2467" i="10"/>
  <c r="A2466" i="10"/>
  <c r="A2465" i="10"/>
  <c r="A2464" i="10"/>
  <c r="A2463" i="10"/>
  <c r="A2462" i="10"/>
  <c r="A2461" i="10"/>
  <c r="A2460" i="10"/>
  <c r="A2459" i="10"/>
  <c r="A2458" i="10"/>
  <c r="A2457" i="10"/>
  <c r="A2456" i="10"/>
  <c r="A2455" i="10"/>
  <c r="A2454" i="10"/>
  <c r="A2453" i="10"/>
  <c r="A2452" i="10"/>
  <c r="A2451" i="10"/>
  <c r="A2450" i="10"/>
  <c r="A2449" i="10"/>
  <c r="A2448" i="10"/>
  <c r="A2447" i="10"/>
  <c r="A2446" i="10"/>
  <c r="A2445" i="10"/>
  <c r="A2444" i="10"/>
  <c r="A2443" i="10"/>
  <c r="A2442" i="10"/>
  <c r="A2441" i="10"/>
  <c r="A2440" i="10"/>
  <c r="A2439" i="10"/>
  <c r="A2438" i="10"/>
  <c r="A2437" i="10"/>
  <c r="A2436" i="10"/>
  <c r="A2435" i="10"/>
  <c r="A2434" i="10"/>
  <c r="A2433" i="10"/>
  <c r="A2432" i="10"/>
  <c r="A2431" i="10"/>
  <c r="A2430" i="10"/>
  <c r="A2429" i="10"/>
  <c r="A2428" i="10"/>
  <c r="A2427" i="10"/>
  <c r="A2426" i="10"/>
  <c r="A2425" i="10"/>
  <c r="A2424" i="10"/>
  <c r="A2423" i="10"/>
  <c r="A2422" i="10"/>
  <c r="A2421" i="10"/>
  <c r="A2420" i="10"/>
  <c r="A2419" i="10"/>
  <c r="A2418" i="10"/>
  <c r="A2417" i="10"/>
  <c r="A2416" i="10"/>
  <c r="A2415" i="10"/>
  <c r="A2414" i="10"/>
  <c r="A2413" i="10"/>
  <c r="A2412" i="10"/>
  <c r="A2411" i="10"/>
  <c r="A2410" i="10"/>
  <c r="A2409" i="10"/>
  <c r="A2408" i="10"/>
  <c r="A2407" i="10"/>
  <c r="A2406" i="10"/>
  <c r="A2405" i="10"/>
  <c r="A2404" i="10"/>
  <c r="A2403" i="10"/>
  <c r="A2402" i="10"/>
  <c r="A2401" i="10"/>
  <c r="A2400" i="10"/>
  <c r="A2399" i="10"/>
  <c r="A2398" i="10"/>
  <c r="A2397" i="10"/>
  <c r="A2396" i="10"/>
  <c r="A2395" i="10"/>
  <c r="A2394" i="10"/>
  <c r="A2393" i="10"/>
  <c r="A2392" i="10"/>
  <c r="A2391" i="10"/>
  <c r="A2390" i="10"/>
  <c r="A2389" i="10"/>
  <c r="A2388" i="10"/>
  <c r="A2387" i="10"/>
  <c r="A2386" i="10"/>
  <c r="A2385" i="10"/>
  <c r="A2384" i="10"/>
  <c r="A2383" i="10"/>
  <c r="A2382" i="10"/>
  <c r="A2381" i="10"/>
  <c r="A2380" i="10"/>
  <c r="A2379" i="10"/>
  <c r="A2378" i="10"/>
  <c r="A2377" i="10"/>
  <c r="A2376" i="10"/>
  <c r="A2375" i="10"/>
  <c r="A2374" i="10"/>
  <c r="A2373" i="10"/>
  <c r="A2372" i="10"/>
  <c r="A2371" i="10"/>
  <c r="A2370" i="10"/>
  <c r="A2369" i="10"/>
  <c r="A2368" i="10"/>
  <c r="A2367" i="10"/>
  <c r="A2366" i="10"/>
  <c r="A2365" i="10"/>
  <c r="A2364" i="10"/>
  <c r="A2363" i="10"/>
  <c r="A2362" i="10"/>
  <c r="A2361" i="10"/>
  <c r="A2360" i="10"/>
  <c r="A2359" i="10"/>
  <c r="A2358" i="10"/>
  <c r="A2357" i="10"/>
  <c r="A2356" i="10"/>
  <c r="A2355" i="10"/>
  <c r="A2354" i="10"/>
  <c r="A2353" i="10"/>
  <c r="A2352" i="10"/>
  <c r="A2351" i="10"/>
  <c r="A2350" i="10"/>
  <c r="A2349" i="10"/>
  <c r="A2348" i="10"/>
  <c r="A2347" i="10"/>
  <c r="A2346" i="10"/>
  <c r="A2345" i="10"/>
  <c r="A2344" i="10"/>
  <c r="A2343" i="10"/>
  <c r="A2342" i="10"/>
  <c r="A2341" i="10"/>
  <c r="A2340" i="10"/>
  <c r="A2339" i="10"/>
  <c r="A2338" i="10"/>
  <c r="A2337" i="10"/>
  <c r="A2336" i="10"/>
  <c r="A2335" i="10"/>
  <c r="A2334" i="10"/>
  <c r="A2333" i="10"/>
  <c r="A2332" i="10"/>
  <c r="A2331" i="10"/>
  <c r="A2330" i="10"/>
  <c r="A2329" i="10"/>
  <c r="A2328" i="10"/>
  <c r="A2327" i="10"/>
  <c r="A2326" i="10"/>
  <c r="A2325" i="10"/>
  <c r="A2324" i="10"/>
  <c r="A2323" i="10"/>
  <c r="A2322" i="10"/>
  <c r="A2321" i="10"/>
  <c r="A2320" i="10"/>
  <c r="A2319" i="10"/>
  <c r="A2318" i="10"/>
  <c r="A2317" i="10"/>
  <c r="A2316" i="10"/>
  <c r="A2315" i="10"/>
  <c r="A2314" i="10"/>
  <c r="A2313" i="10"/>
  <c r="A2312" i="10"/>
  <c r="A2311" i="10"/>
  <c r="A2310" i="10"/>
  <c r="A2309" i="10"/>
  <c r="A2308" i="10"/>
  <c r="A2307" i="10"/>
  <c r="A2306" i="10"/>
  <c r="A2305" i="10"/>
  <c r="A2304" i="10"/>
  <c r="A2303" i="10"/>
  <c r="A2302" i="10"/>
  <c r="A2301" i="10"/>
  <c r="A2300" i="10"/>
  <c r="A2299" i="10"/>
  <c r="A2298" i="10"/>
  <c r="A2297" i="10"/>
  <c r="A2296" i="10"/>
  <c r="A2295" i="10"/>
  <c r="A2294" i="10"/>
  <c r="A2293" i="10"/>
  <c r="A2292" i="10"/>
  <c r="A2291" i="10"/>
  <c r="A2290" i="10"/>
  <c r="A2289" i="10"/>
  <c r="A2288" i="10"/>
  <c r="A2287" i="10"/>
  <c r="A2286" i="10"/>
  <c r="A2285" i="10"/>
  <c r="A2284" i="10"/>
  <c r="A2283" i="10"/>
  <c r="A2282" i="10"/>
  <c r="A2281" i="10"/>
  <c r="A2280" i="10"/>
  <c r="A2279" i="10"/>
  <c r="A2278" i="10"/>
  <c r="A2277" i="10"/>
  <c r="A2276" i="10"/>
  <c r="A2275" i="10"/>
  <c r="A2274" i="10"/>
  <c r="A2273" i="10"/>
  <c r="A2272" i="10"/>
  <c r="A2271" i="10"/>
  <c r="A2270" i="10"/>
  <c r="A2269" i="10"/>
  <c r="A2268" i="10"/>
  <c r="A2267" i="10"/>
  <c r="A2266" i="10"/>
  <c r="A2265" i="10"/>
  <c r="A2264" i="10"/>
  <c r="A2263" i="10"/>
  <c r="A2262" i="10"/>
  <c r="A2261" i="10"/>
  <c r="A2260" i="10"/>
  <c r="A2259" i="10"/>
  <c r="A2258" i="10"/>
  <c r="A2257" i="10"/>
  <c r="A2256" i="10"/>
  <c r="A2255" i="10"/>
  <c r="A2254" i="10"/>
  <c r="A2253" i="10"/>
  <c r="A2252" i="10"/>
  <c r="A2251" i="10"/>
  <c r="A2250" i="10"/>
  <c r="A2249" i="10"/>
  <c r="A2248" i="10"/>
  <c r="A2247" i="10"/>
  <c r="A2246" i="10"/>
  <c r="A2245" i="10"/>
  <c r="A2244" i="10"/>
  <c r="A2243" i="10"/>
  <c r="A2242" i="10"/>
  <c r="A2241" i="10"/>
  <c r="A2240" i="10"/>
  <c r="A2239" i="10"/>
  <c r="A2238" i="10"/>
  <c r="A2237" i="10"/>
  <c r="A2236" i="10"/>
  <c r="A2235" i="10"/>
  <c r="A2234" i="10"/>
  <c r="A2233" i="10"/>
  <c r="A2232" i="10"/>
  <c r="A2231" i="10"/>
  <c r="A2230" i="10"/>
  <c r="A2229" i="10"/>
  <c r="A2228" i="10"/>
  <c r="A2227" i="10"/>
  <c r="A2226" i="10"/>
  <c r="A2225" i="10"/>
  <c r="A2224" i="10"/>
  <c r="A2223" i="10"/>
  <c r="A2222" i="10"/>
  <c r="A2221" i="10"/>
  <c r="A2220" i="10"/>
  <c r="A2219" i="10"/>
  <c r="A2218" i="10"/>
  <c r="A2217" i="10"/>
  <c r="A2216" i="10"/>
  <c r="A2215" i="10"/>
  <c r="A2214" i="10"/>
  <c r="A2213" i="10"/>
  <c r="A2212" i="10"/>
  <c r="A2211" i="10"/>
  <c r="A2210" i="10"/>
  <c r="A2209" i="10"/>
  <c r="A2208" i="10"/>
  <c r="A2207" i="10"/>
  <c r="A2206" i="10"/>
  <c r="A2205" i="10"/>
  <c r="A2204" i="10"/>
  <c r="A2203" i="10"/>
  <c r="A2202" i="10"/>
  <c r="A2201" i="10"/>
  <c r="A2200" i="10"/>
  <c r="A2199" i="10"/>
  <c r="A2198" i="10"/>
  <c r="A2197" i="10"/>
  <c r="A2196" i="10"/>
  <c r="A2195" i="10"/>
  <c r="A2194" i="10"/>
  <c r="A2193" i="10"/>
  <c r="A2192" i="10"/>
  <c r="A2191" i="10"/>
  <c r="A2190" i="10"/>
  <c r="A2189" i="10"/>
  <c r="A2188" i="10"/>
  <c r="A2187" i="10"/>
  <c r="A2186" i="10"/>
  <c r="A2185" i="10"/>
  <c r="A2184" i="10"/>
  <c r="A2183" i="10"/>
  <c r="A2182" i="10"/>
  <c r="A2181" i="10"/>
  <c r="A2180" i="10"/>
  <c r="A2179" i="10"/>
  <c r="A2178" i="10"/>
  <c r="A2177" i="10"/>
  <c r="A2176" i="10"/>
  <c r="A2175" i="10"/>
  <c r="A2174" i="10"/>
  <c r="A2173" i="10"/>
  <c r="A2172" i="10"/>
  <c r="A2171" i="10"/>
  <c r="A2170" i="10"/>
  <c r="A2169" i="10"/>
  <c r="A2168" i="10"/>
  <c r="A2167" i="10"/>
  <c r="A2166" i="10"/>
  <c r="A2165" i="10"/>
  <c r="A2164" i="10"/>
  <c r="A2163" i="10"/>
  <c r="A2162" i="10"/>
  <c r="A2161" i="10"/>
  <c r="A2160" i="10"/>
  <c r="A2159" i="10"/>
  <c r="A2158" i="10"/>
  <c r="A2157" i="10"/>
  <c r="A2156" i="10"/>
  <c r="A2155" i="10"/>
  <c r="A2154" i="10"/>
  <c r="A2153" i="10"/>
  <c r="A2152" i="10"/>
  <c r="A2151" i="10"/>
  <c r="A2150" i="10"/>
  <c r="A2149" i="10"/>
  <c r="A2148" i="10"/>
  <c r="A2147" i="10"/>
  <c r="A2146" i="10"/>
  <c r="A2145" i="10"/>
  <c r="A2144" i="10"/>
  <c r="A2143" i="10"/>
  <c r="A2142" i="10"/>
  <c r="A2141" i="10"/>
  <c r="A2140" i="10"/>
  <c r="A2139" i="10"/>
  <c r="A2138" i="10"/>
  <c r="A2137" i="10"/>
  <c r="A2136" i="10"/>
  <c r="A2135" i="10"/>
  <c r="A2134" i="10"/>
  <c r="A2133" i="10"/>
  <c r="A2132" i="10"/>
  <c r="A2131" i="10"/>
  <c r="A2130" i="10"/>
  <c r="A2129" i="10"/>
  <c r="A2128" i="10"/>
  <c r="A2127" i="10"/>
  <c r="A2126" i="10"/>
  <c r="A2125" i="10"/>
  <c r="A2124" i="10"/>
  <c r="A2123" i="10"/>
  <c r="A2122" i="10"/>
  <c r="A2121" i="10"/>
  <c r="A2120" i="10"/>
  <c r="A2119" i="10"/>
  <c r="A2118" i="10"/>
  <c r="A2117" i="10"/>
  <c r="A2116" i="10"/>
  <c r="A2115" i="10"/>
  <c r="A2114" i="10"/>
  <c r="A2113" i="10"/>
  <c r="A2112" i="10"/>
  <c r="A2111" i="10"/>
  <c r="A2110" i="10"/>
  <c r="A2109" i="10"/>
  <c r="A2108" i="10"/>
  <c r="A2107" i="10"/>
  <c r="A2106" i="10"/>
  <c r="A2105" i="10"/>
  <c r="A2104" i="10"/>
  <c r="A2103" i="10"/>
  <c r="A2102" i="10"/>
  <c r="A2101" i="10"/>
  <c r="A2100" i="10"/>
  <c r="A2099" i="10"/>
  <c r="A2098" i="10"/>
  <c r="A2097" i="10"/>
  <c r="A2096" i="10"/>
  <c r="A2095" i="10"/>
  <c r="A2094" i="10"/>
  <c r="A2093" i="10"/>
  <c r="A2092" i="10"/>
  <c r="A2091" i="10"/>
  <c r="A2090" i="10"/>
  <c r="A2089" i="10"/>
  <c r="A2088" i="10"/>
  <c r="A2087" i="10"/>
  <c r="A2086" i="10"/>
  <c r="A2085" i="10"/>
  <c r="A2084" i="10"/>
  <c r="A2083" i="10"/>
  <c r="A2082" i="10"/>
  <c r="A2081" i="10"/>
  <c r="A2080" i="10"/>
  <c r="A2079" i="10"/>
  <c r="A2078" i="10"/>
  <c r="A2077" i="10"/>
  <c r="A2076" i="10"/>
  <c r="A2075" i="10"/>
  <c r="A2074" i="10"/>
  <c r="A2073" i="10"/>
  <c r="A2072" i="10"/>
  <c r="A2071" i="10"/>
  <c r="A2070" i="10"/>
  <c r="A2069" i="10"/>
  <c r="A2068" i="10"/>
  <c r="A2067" i="10"/>
  <c r="A2066" i="10"/>
  <c r="A2065" i="10"/>
  <c r="A2064" i="10"/>
  <c r="A2063" i="10"/>
  <c r="A2062" i="10"/>
  <c r="A2061" i="10"/>
  <c r="A2060" i="10"/>
  <c r="A2059" i="10"/>
  <c r="A2058" i="10"/>
  <c r="A2057" i="10"/>
  <c r="A2056" i="10"/>
  <c r="A2055" i="10"/>
  <c r="A2054" i="10"/>
  <c r="A2053" i="10"/>
  <c r="A2052" i="10"/>
  <c r="A2051" i="10"/>
  <c r="A2050" i="10"/>
  <c r="A2049" i="10"/>
  <c r="A2048" i="10"/>
  <c r="A2047" i="10"/>
  <c r="A2046" i="10"/>
  <c r="A2045" i="10"/>
  <c r="A2044" i="10"/>
  <c r="A2043" i="10"/>
  <c r="A2042" i="10"/>
  <c r="A2041" i="10"/>
  <c r="A2040" i="10"/>
  <c r="A2039" i="10"/>
  <c r="A2038" i="10"/>
  <c r="A2037" i="10"/>
  <c r="A2036" i="10"/>
  <c r="A2035" i="10"/>
  <c r="A2034" i="10"/>
  <c r="A2033" i="10"/>
  <c r="A2032" i="10"/>
  <c r="A2031" i="10"/>
  <c r="A2030" i="10"/>
  <c r="A2029" i="10"/>
  <c r="A2028" i="10"/>
  <c r="A2027" i="10"/>
  <c r="A2026" i="10"/>
  <c r="A2025" i="10"/>
  <c r="A2024" i="10"/>
  <c r="A2023" i="10"/>
  <c r="A2022" i="10"/>
  <c r="A2021" i="10"/>
  <c r="A2020" i="10"/>
  <c r="A2019" i="10"/>
  <c r="A2018" i="10"/>
  <c r="A2017" i="10"/>
  <c r="A2016" i="10"/>
  <c r="A2015" i="10"/>
  <c r="A2014" i="10"/>
  <c r="A2013" i="10"/>
  <c r="A2012" i="10"/>
  <c r="A2011" i="10"/>
  <c r="A2010" i="10"/>
  <c r="A2009" i="10"/>
  <c r="A2008" i="10"/>
  <c r="A2007" i="10"/>
  <c r="A2006" i="10"/>
  <c r="A2005" i="10"/>
  <c r="A2004" i="10"/>
  <c r="A2003" i="10"/>
  <c r="A2002" i="10"/>
  <c r="A2001" i="10"/>
  <c r="A2000" i="10"/>
  <c r="A1999" i="10"/>
  <c r="A1998" i="10"/>
  <c r="A1997" i="10"/>
  <c r="A1996" i="10"/>
  <c r="A1995" i="10"/>
  <c r="A1994" i="10"/>
  <c r="A1993" i="10"/>
  <c r="A1992" i="10"/>
  <c r="A1991" i="10"/>
  <c r="A1990" i="10"/>
  <c r="A1989" i="10"/>
  <c r="A1988" i="10"/>
  <c r="A1987" i="10"/>
  <c r="A1986" i="10"/>
  <c r="A1985" i="10"/>
  <c r="A1984" i="10"/>
  <c r="A1983" i="10"/>
  <c r="A1982" i="10"/>
  <c r="A1981" i="10"/>
  <c r="A1980" i="10"/>
  <c r="A1979" i="10"/>
  <c r="A1978" i="10"/>
  <c r="A1977" i="10"/>
  <c r="A1976" i="10"/>
  <c r="A1975" i="10"/>
  <c r="A1974" i="10"/>
  <c r="A1973" i="10"/>
  <c r="A1972" i="10"/>
  <c r="A1971" i="10"/>
  <c r="A1970" i="10"/>
  <c r="A1969" i="10"/>
  <c r="A1968" i="10"/>
  <c r="A1967" i="10"/>
  <c r="A1966" i="10"/>
  <c r="A1965" i="10"/>
  <c r="A1964" i="10"/>
  <c r="A1963" i="10"/>
  <c r="A1962" i="10"/>
  <c r="A1961" i="10"/>
  <c r="A1960" i="10"/>
  <c r="A1959" i="10"/>
  <c r="A1958" i="10"/>
  <c r="A1957" i="10"/>
  <c r="A1956" i="10"/>
  <c r="A1955" i="10"/>
  <c r="A1954" i="10"/>
  <c r="A1953" i="10"/>
  <c r="A1952" i="10"/>
  <c r="A1951" i="10"/>
  <c r="A1950" i="10"/>
  <c r="A1949" i="10"/>
  <c r="A1948" i="10"/>
  <c r="A1947" i="10"/>
  <c r="A1946" i="10"/>
  <c r="A1945" i="10"/>
  <c r="A1944" i="10"/>
  <c r="A1943" i="10"/>
  <c r="A1942" i="10"/>
  <c r="A1941" i="10"/>
  <c r="A1940" i="10"/>
  <c r="A1939" i="10"/>
  <c r="A1938" i="10"/>
  <c r="A1937" i="10"/>
  <c r="A1936" i="10"/>
  <c r="A1935" i="10"/>
  <c r="A1934" i="10"/>
  <c r="A1933" i="10"/>
  <c r="A1932" i="10"/>
  <c r="A1931" i="10"/>
  <c r="A1930" i="10"/>
  <c r="A1929" i="10"/>
  <c r="A1928" i="10"/>
  <c r="A1927" i="10"/>
  <c r="A1926" i="10"/>
  <c r="A1925" i="10"/>
  <c r="A1924" i="10"/>
  <c r="A1923" i="10"/>
  <c r="A1922" i="10"/>
  <c r="A1921" i="10"/>
  <c r="A1920" i="10"/>
  <c r="A1919" i="10"/>
  <c r="A1918" i="10"/>
  <c r="A1917" i="10"/>
  <c r="A1916" i="10"/>
  <c r="A1915" i="10"/>
  <c r="A1914" i="10"/>
  <c r="A1913" i="10"/>
  <c r="A1912" i="10"/>
  <c r="A1911" i="10"/>
  <c r="A1910" i="10"/>
  <c r="A1909" i="10"/>
  <c r="A1908" i="10"/>
  <c r="A1907" i="10"/>
  <c r="A1906" i="10"/>
  <c r="A1905" i="10"/>
  <c r="A1904" i="10"/>
  <c r="A1903" i="10"/>
  <c r="A1902" i="10"/>
  <c r="A1901" i="10"/>
  <c r="A1900" i="10"/>
  <c r="A1899" i="10"/>
  <c r="A1898" i="10"/>
  <c r="A1897" i="10"/>
  <c r="A1896" i="10"/>
  <c r="A1895" i="10"/>
  <c r="A1894" i="10"/>
  <c r="A1893" i="10"/>
  <c r="A1892" i="10"/>
  <c r="A1891" i="10"/>
  <c r="A1890" i="10"/>
  <c r="A1889" i="10"/>
  <c r="A1888" i="10"/>
  <c r="A1887" i="10"/>
  <c r="A1886" i="10"/>
  <c r="A1885" i="10"/>
  <c r="A1884" i="10"/>
  <c r="A1883" i="10"/>
  <c r="A1882" i="10"/>
  <c r="A1881" i="10"/>
  <c r="A1880" i="10"/>
  <c r="A1879" i="10"/>
  <c r="A1878" i="10"/>
  <c r="A1877" i="10"/>
  <c r="A1876" i="10"/>
  <c r="A1875" i="10"/>
  <c r="A1874" i="10"/>
  <c r="A1873" i="10"/>
  <c r="A1872" i="10"/>
  <c r="A1871" i="10"/>
  <c r="A1870" i="10"/>
  <c r="A1869" i="10"/>
  <c r="A1868" i="10"/>
  <c r="A1867" i="10"/>
  <c r="A1866" i="10"/>
  <c r="A1865" i="10"/>
  <c r="A1864" i="10"/>
  <c r="A1863" i="10"/>
  <c r="A1862" i="10"/>
  <c r="A1861" i="10"/>
  <c r="A1860" i="10"/>
  <c r="A1859" i="10"/>
  <c r="A1858" i="10"/>
  <c r="A1857" i="10"/>
  <c r="A1856" i="10"/>
  <c r="A1855" i="10"/>
  <c r="A1854" i="10"/>
  <c r="A1853" i="10"/>
  <c r="A1852" i="10"/>
  <c r="A1851" i="10"/>
  <c r="A1850" i="10"/>
  <c r="A1849" i="10"/>
  <c r="A1848" i="10"/>
  <c r="A1847" i="10"/>
  <c r="A1846" i="10"/>
  <c r="A1845" i="10"/>
  <c r="A1844" i="10"/>
  <c r="A1843" i="10"/>
  <c r="A1842" i="10"/>
  <c r="A1841" i="10"/>
  <c r="A1840" i="10"/>
  <c r="A1839" i="10"/>
  <c r="A1838" i="10"/>
  <c r="A1837" i="10"/>
  <c r="A1836" i="10"/>
  <c r="A1835" i="10"/>
  <c r="A1834" i="10"/>
  <c r="A1833" i="10"/>
  <c r="A1832" i="10"/>
  <c r="A1831" i="10"/>
  <c r="A1830" i="10"/>
  <c r="A1829" i="10"/>
  <c r="A1828" i="10"/>
  <c r="A1827" i="10"/>
  <c r="A1826" i="10"/>
  <c r="A1825" i="10"/>
  <c r="A1824" i="10"/>
  <c r="A1823" i="10"/>
  <c r="A1822" i="10"/>
  <c r="A1821" i="10"/>
  <c r="A1820" i="10"/>
  <c r="A1819" i="10"/>
  <c r="A1818" i="10"/>
  <c r="A1817" i="10"/>
  <c r="A1816" i="10"/>
  <c r="A1815" i="10"/>
  <c r="A1814" i="10"/>
  <c r="A1813" i="10"/>
  <c r="A1812" i="10"/>
  <c r="A1811" i="10"/>
  <c r="A1810" i="10"/>
  <c r="A1809" i="10"/>
  <c r="A1808" i="10"/>
  <c r="A1807" i="10"/>
  <c r="A1806" i="10"/>
  <c r="A1805" i="10"/>
  <c r="A1804" i="10"/>
  <c r="A1803" i="10"/>
  <c r="A1802" i="10"/>
  <c r="A1801" i="10"/>
  <c r="A1800" i="10"/>
  <c r="A1799" i="10"/>
  <c r="A1798" i="10"/>
  <c r="A1797" i="10"/>
  <c r="A1796" i="10"/>
  <c r="A1795" i="10"/>
  <c r="A1794" i="10"/>
  <c r="A1793" i="10"/>
  <c r="A1792" i="10"/>
  <c r="A1791" i="10"/>
  <c r="A1790" i="10"/>
  <c r="A1789" i="10"/>
  <c r="A1788" i="10"/>
  <c r="A1787" i="10"/>
  <c r="A1786" i="10"/>
  <c r="A1785" i="10"/>
  <c r="A1784" i="10"/>
  <c r="A1783" i="10"/>
  <c r="A1782" i="10"/>
  <c r="A1781" i="10"/>
  <c r="A1780" i="10"/>
  <c r="A1779" i="10"/>
  <c r="A1778" i="10"/>
  <c r="A1777" i="10"/>
  <c r="A1776" i="10"/>
  <c r="A1775" i="10"/>
  <c r="A1774" i="10"/>
  <c r="A1773" i="10"/>
  <c r="A1772" i="10"/>
  <c r="A1771" i="10"/>
  <c r="A1770" i="10"/>
  <c r="A1769" i="10"/>
  <c r="A1768" i="10"/>
  <c r="A1767" i="10"/>
  <c r="A1766" i="10"/>
  <c r="A1765" i="10"/>
  <c r="A1764" i="10"/>
  <c r="A1763" i="10"/>
  <c r="A1762" i="10"/>
  <c r="A1761" i="10"/>
  <c r="A1760" i="10"/>
  <c r="A1759" i="10"/>
  <c r="A1758" i="10"/>
  <c r="A1757" i="10"/>
  <c r="A1756" i="10"/>
  <c r="A1755" i="10"/>
  <c r="A1754" i="10"/>
  <c r="A1753" i="10"/>
  <c r="A1752" i="10"/>
  <c r="A1751" i="10"/>
  <c r="A1750" i="10"/>
  <c r="A1749" i="10"/>
  <c r="A1748" i="10"/>
  <c r="A1747" i="10"/>
  <c r="A1746" i="10"/>
  <c r="A1745" i="10"/>
  <c r="A1744" i="10"/>
  <c r="A1743" i="10"/>
  <c r="A1742" i="10"/>
  <c r="A1741" i="10"/>
  <c r="A1740" i="10"/>
  <c r="A1739" i="10"/>
  <c r="A1738" i="10"/>
  <c r="A1737" i="10"/>
  <c r="A1736" i="10"/>
  <c r="A1735" i="10"/>
  <c r="A1734" i="10"/>
  <c r="A1733" i="10"/>
  <c r="A1732" i="10"/>
  <c r="A1731" i="10"/>
  <c r="A1730" i="10"/>
  <c r="A1729" i="10"/>
  <c r="A1728" i="10"/>
  <c r="A1727" i="10"/>
  <c r="A1726" i="10"/>
  <c r="A1725" i="10"/>
  <c r="A1724" i="10"/>
  <c r="A1723" i="10"/>
  <c r="A1722" i="10"/>
  <c r="A1721" i="10"/>
  <c r="A1720" i="10"/>
  <c r="A1719" i="10"/>
  <c r="A1718" i="10"/>
  <c r="A1717" i="10"/>
  <c r="A1716" i="10"/>
  <c r="A1715" i="10"/>
  <c r="A1714" i="10"/>
  <c r="A1713" i="10"/>
  <c r="A1712" i="10"/>
  <c r="A1711" i="10"/>
  <c r="A1710" i="10"/>
  <c r="A1709" i="10"/>
  <c r="A1708" i="10"/>
  <c r="A1707" i="10"/>
  <c r="A1706" i="10"/>
  <c r="A1705" i="10"/>
  <c r="A1704" i="10"/>
  <c r="A1703" i="10"/>
  <c r="A1702" i="10"/>
  <c r="A1701" i="10"/>
  <c r="A1700" i="10"/>
  <c r="A1699" i="10"/>
  <c r="A1698" i="10"/>
  <c r="A1697" i="10"/>
  <c r="A1696" i="10"/>
  <c r="A1695" i="10"/>
  <c r="A1694" i="10"/>
  <c r="A1693" i="10"/>
  <c r="A1692" i="10"/>
  <c r="A1691" i="10"/>
  <c r="A1690" i="10"/>
  <c r="A1689" i="10"/>
  <c r="A1688" i="10"/>
  <c r="A1687" i="10"/>
  <c r="A1686" i="10"/>
  <c r="A1685" i="10"/>
  <c r="A1684" i="10"/>
  <c r="A1683" i="10"/>
  <c r="A1682" i="10"/>
  <c r="A1681" i="10"/>
  <c r="A1680" i="10"/>
  <c r="A1679" i="10"/>
  <c r="A1678" i="10"/>
  <c r="A1677" i="10"/>
  <c r="A1676" i="10"/>
  <c r="A1675" i="10"/>
  <c r="A1674" i="10"/>
  <c r="A1673" i="10"/>
  <c r="A1672" i="10"/>
  <c r="A1671" i="10"/>
  <c r="A1670" i="10"/>
  <c r="A1669" i="10"/>
  <c r="A1668" i="10"/>
  <c r="A1667" i="10"/>
  <c r="A1666" i="10"/>
  <c r="A1665" i="10"/>
  <c r="A1664" i="10"/>
  <c r="A1663" i="10"/>
  <c r="A1662" i="10"/>
  <c r="A1661" i="10"/>
  <c r="A1660" i="10"/>
  <c r="A1659" i="10"/>
  <c r="A1658" i="10"/>
  <c r="A1657" i="10"/>
  <c r="A1656" i="10"/>
  <c r="A1655" i="10"/>
  <c r="A1654" i="10"/>
  <c r="A1653" i="10"/>
  <c r="A1652" i="10"/>
  <c r="A1651" i="10"/>
  <c r="A1650" i="10"/>
  <c r="A1649" i="10"/>
  <c r="A1648" i="10"/>
  <c r="A1647" i="10"/>
  <c r="A1646" i="10"/>
  <c r="A1645" i="10"/>
  <c r="A1644" i="10"/>
  <c r="A1643" i="10"/>
  <c r="A1642" i="10"/>
  <c r="A1641" i="10"/>
  <c r="A1640" i="10"/>
  <c r="A1639" i="10"/>
  <c r="A1638" i="10"/>
  <c r="A1637" i="10"/>
  <c r="A1636" i="10"/>
  <c r="A1635" i="10"/>
  <c r="A1634" i="10"/>
  <c r="A1633" i="10"/>
  <c r="A1632" i="10"/>
  <c r="A1631" i="10"/>
  <c r="A1630" i="10"/>
  <c r="A1629" i="10"/>
  <c r="A1628" i="10"/>
  <c r="A1627" i="10"/>
  <c r="A1626" i="10"/>
  <c r="A1625" i="10"/>
  <c r="A1624" i="10"/>
  <c r="A1623" i="10"/>
  <c r="A1622" i="10"/>
  <c r="A1621" i="10"/>
  <c r="A1620" i="10"/>
  <c r="A1619" i="10"/>
  <c r="A1618" i="10"/>
  <c r="A1617" i="10"/>
  <c r="A1616" i="10"/>
  <c r="A1615" i="10"/>
  <c r="A1614" i="10"/>
  <c r="A1613" i="10"/>
  <c r="A1612" i="10"/>
  <c r="A1611" i="10"/>
  <c r="A1610" i="10"/>
  <c r="A1609" i="10"/>
  <c r="A1608" i="10"/>
  <c r="A1607" i="10"/>
  <c r="A1606" i="10"/>
  <c r="A1605" i="10"/>
  <c r="A1604" i="10"/>
  <c r="A1603" i="10"/>
  <c r="A1602" i="10"/>
  <c r="A1601" i="10"/>
  <c r="A1600" i="10"/>
  <c r="A1599" i="10"/>
  <c r="A1598" i="10"/>
  <c r="A1597" i="10"/>
  <c r="A1596" i="10"/>
  <c r="A1595" i="10"/>
  <c r="A1594" i="10"/>
  <c r="A1593" i="10"/>
  <c r="A1592" i="10"/>
  <c r="A1591" i="10"/>
  <c r="A1590" i="10"/>
  <c r="A1589" i="10"/>
  <c r="A1588" i="10"/>
  <c r="A1587" i="10"/>
  <c r="A1586" i="10"/>
  <c r="A1585" i="10"/>
  <c r="A1584" i="10"/>
  <c r="A1583" i="10"/>
  <c r="A1582" i="10"/>
  <c r="A1581" i="10"/>
  <c r="A1580" i="10"/>
  <c r="A1579" i="10"/>
  <c r="A1578" i="10"/>
  <c r="A1577" i="10"/>
  <c r="A1576" i="10"/>
  <c r="A1575" i="10"/>
  <c r="A1574" i="10"/>
  <c r="A1573" i="10"/>
  <c r="A1572" i="10"/>
  <c r="A1571" i="10"/>
  <c r="A1570" i="10"/>
  <c r="A1569" i="10"/>
  <c r="A1568" i="10"/>
  <c r="A1567" i="10"/>
  <c r="A1566" i="10"/>
  <c r="A1565" i="10"/>
  <c r="A1564" i="10"/>
  <c r="A1563" i="10"/>
  <c r="A1562" i="10"/>
  <c r="A1561" i="10"/>
  <c r="A1560" i="10"/>
  <c r="A1559" i="10"/>
  <c r="A1558" i="10"/>
  <c r="A1557" i="10"/>
  <c r="A1556" i="10"/>
  <c r="A1555" i="10"/>
  <c r="A1554" i="10"/>
  <c r="A1553" i="10"/>
  <c r="A1552" i="10"/>
  <c r="A1551" i="10"/>
  <c r="A1550" i="10"/>
  <c r="A1549" i="10"/>
  <c r="A1548" i="10"/>
  <c r="A1547" i="10"/>
  <c r="A1546" i="10"/>
  <c r="A1545" i="10"/>
  <c r="A1544" i="10"/>
  <c r="A1543" i="10"/>
  <c r="A1542" i="10"/>
  <c r="A1541" i="10"/>
  <c r="A1540" i="10"/>
  <c r="A1539" i="10"/>
  <c r="A1538" i="10"/>
  <c r="A1537" i="10"/>
  <c r="A1536" i="10"/>
  <c r="A1535" i="10"/>
  <c r="A1534" i="10"/>
  <c r="A1533" i="10"/>
  <c r="A1532" i="10"/>
  <c r="A1531" i="10"/>
  <c r="A1530" i="10"/>
  <c r="A1529" i="10"/>
  <c r="A1528" i="10"/>
  <c r="A1527" i="10"/>
  <c r="A1526" i="10"/>
  <c r="A1525" i="10"/>
  <c r="A1524" i="10"/>
  <c r="A1523" i="10"/>
  <c r="A1522" i="10"/>
  <c r="A1521" i="10"/>
  <c r="A1520" i="10"/>
  <c r="A1519" i="10"/>
  <c r="A1518" i="10"/>
  <c r="A1517" i="10"/>
  <c r="A1516" i="10"/>
  <c r="A1515" i="10"/>
  <c r="A1514" i="10"/>
  <c r="A1513" i="10"/>
  <c r="A1512" i="10"/>
  <c r="A1511" i="10"/>
  <c r="A1510" i="10"/>
  <c r="A1509" i="10"/>
  <c r="A1508" i="10"/>
  <c r="A1507" i="10"/>
  <c r="A1506" i="10"/>
  <c r="A1505" i="10"/>
  <c r="A1504" i="10"/>
  <c r="A1503" i="10"/>
  <c r="A1502" i="10"/>
  <c r="A1501" i="10"/>
  <c r="A1500" i="10"/>
  <c r="A1499" i="10"/>
  <c r="A1498" i="10"/>
  <c r="A1497" i="10"/>
  <c r="A1496" i="10"/>
  <c r="A1495" i="10"/>
  <c r="A1494" i="10"/>
  <c r="A1493" i="10"/>
  <c r="A1492" i="10"/>
  <c r="A1491" i="10"/>
  <c r="A1490" i="10"/>
  <c r="A1489" i="10"/>
  <c r="A1488" i="10"/>
  <c r="A1487" i="10"/>
  <c r="A1486" i="10"/>
  <c r="A1485" i="10"/>
  <c r="A1484" i="10"/>
  <c r="A1483" i="10"/>
  <c r="A1482" i="10"/>
  <c r="A1481" i="10"/>
  <c r="A1480" i="10"/>
  <c r="A1479" i="10"/>
  <c r="A1478" i="10"/>
  <c r="A1477" i="10"/>
  <c r="A1476" i="10"/>
  <c r="A1475" i="10"/>
  <c r="A1474" i="10"/>
  <c r="A1473" i="10"/>
  <c r="A1472" i="10"/>
  <c r="A1471" i="10"/>
  <c r="A1470" i="10"/>
  <c r="A1469" i="10"/>
  <c r="A1468" i="10"/>
  <c r="A1467" i="10"/>
  <c r="A1466" i="10"/>
  <c r="A1465" i="10"/>
  <c r="A1464" i="10"/>
  <c r="A1463" i="10"/>
  <c r="A1462" i="10"/>
  <c r="A1461" i="10"/>
  <c r="A1460" i="10"/>
  <c r="A1459" i="10"/>
  <c r="A1458" i="10"/>
  <c r="A1457" i="10"/>
  <c r="A1456" i="10"/>
  <c r="A1455" i="10"/>
  <c r="A1454" i="10"/>
  <c r="A1453" i="10"/>
  <c r="A1452" i="10"/>
  <c r="A1451" i="10"/>
  <c r="A1450" i="10"/>
  <c r="A1449" i="10"/>
  <c r="A1448" i="10"/>
  <c r="A1447" i="10"/>
  <c r="A1446" i="10"/>
  <c r="A1445" i="10"/>
  <c r="A1444" i="10"/>
  <c r="A1443" i="10"/>
  <c r="A1442" i="10"/>
  <c r="A1441" i="10"/>
  <c r="A1440" i="10"/>
  <c r="A1439" i="10"/>
  <c r="A1438" i="10"/>
  <c r="A1437" i="10"/>
  <c r="A1436" i="10"/>
  <c r="A1435" i="10"/>
  <c r="A1434" i="10"/>
  <c r="A1433" i="10"/>
  <c r="A1432" i="10"/>
  <c r="A1431" i="10"/>
  <c r="A1430" i="10"/>
  <c r="A1429" i="10"/>
  <c r="A1428" i="10"/>
  <c r="A1427" i="10"/>
  <c r="A1426" i="10"/>
  <c r="A1425" i="10"/>
  <c r="A1424" i="10"/>
  <c r="A1423" i="10"/>
  <c r="A1422" i="10"/>
  <c r="A1421" i="10"/>
  <c r="A1420" i="10"/>
  <c r="A1419" i="10"/>
  <c r="A1418" i="10"/>
  <c r="A1417" i="10"/>
  <c r="A1416" i="10"/>
  <c r="A1415" i="10"/>
  <c r="A1414" i="10"/>
  <c r="A1413" i="10"/>
  <c r="A1412" i="10"/>
  <c r="A1411" i="10"/>
  <c r="A1410" i="10"/>
  <c r="A1409" i="10"/>
  <c r="A1408" i="10"/>
  <c r="A1407" i="10"/>
  <c r="A1406" i="10"/>
  <c r="A1405" i="10"/>
  <c r="A1404" i="10"/>
  <c r="A1403" i="10"/>
  <c r="A1402" i="10"/>
  <c r="A1401" i="10"/>
  <c r="A1400" i="10"/>
  <c r="A1399" i="10"/>
  <c r="A1398" i="10"/>
  <c r="A1397" i="10"/>
  <c r="A1396" i="10"/>
  <c r="A1395" i="10"/>
  <c r="A1394" i="10"/>
  <c r="A1393" i="10"/>
  <c r="A1392" i="10"/>
  <c r="A1391" i="10"/>
  <c r="A1390" i="10"/>
  <c r="A1389" i="10"/>
  <c r="A1388" i="10"/>
  <c r="A1387" i="10"/>
  <c r="A1386" i="10"/>
  <c r="A1385" i="10"/>
  <c r="A1384" i="10"/>
  <c r="A1383" i="10"/>
  <c r="A1382" i="10"/>
  <c r="A1381" i="10"/>
  <c r="A1380" i="10"/>
  <c r="A1379" i="10"/>
  <c r="A1378" i="10"/>
  <c r="A1377" i="10"/>
  <c r="A1376" i="10"/>
  <c r="A1375" i="10"/>
  <c r="A1374" i="10"/>
  <c r="A1373" i="10"/>
  <c r="A1372" i="10"/>
  <c r="A1371" i="10"/>
  <c r="A1370" i="10"/>
  <c r="A1369" i="10"/>
  <c r="A1368" i="10"/>
  <c r="A1367" i="10"/>
  <c r="A1366" i="10"/>
  <c r="A1365" i="10"/>
  <c r="A1364" i="10"/>
  <c r="A1363" i="10"/>
  <c r="A1362" i="10"/>
  <c r="A1361" i="10"/>
  <c r="A1360" i="10"/>
  <c r="A1359" i="10"/>
  <c r="A1358" i="10"/>
  <c r="A1357" i="10"/>
  <c r="A1356" i="10"/>
  <c r="A1355" i="10"/>
  <c r="A1354" i="10"/>
  <c r="A1353" i="10"/>
  <c r="A1352" i="10"/>
  <c r="A1351" i="10"/>
  <c r="A1350" i="10"/>
  <c r="A1349" i="10"/>
  <c r="A1348" i="10"/>
  <c r="A1347" i="10"/>
  <c r="A1346" i="10"/>
  <c r="A1345" i="10"/>
  <c r="A1344" i="10"/>
  <c r="A1343" i="10"/>
  <c r="A1342" i="10"/>
  <c r="A1341" i="10"/>
  <c r="A1340" i="10"/>
  <c r="A1339" i="10"/>
  <c r="A1338" i="10"/>
  <c r="A1337" i="10"/>
  <c r="A1336" i="10"/>
  <c r="A1335" i="10"/>
  <c r="A1334" i="10"/>
  <c r="A1333" i="10"/>
  <c r="A1332" i="10"/>
  <c r="A1331" i="10"/>
  <c r="A1330" i="10"/>
  <c r="A1329" i="10"/>
  <c r="A1328" i="10"/>
  <c r="A1327" i="10"/>
  <c r="A1326" i="10"/>
  <c r="A1325" i="10"/>
  <c r="A1324" i="10"/>
  <c r="A1323" i="10"/>
  <c r="A1322" i="10"/>
  <c r="A1321" i="10"/>
  <c r="A1320" i="10"/>
  <c r="A1319" i="10"/>
  <c r="A1318" i="10"/>
  <c r="A1317" i="10"/>
  <c r="A1316" i="10"/>
  <c r="A1315" i="10"/>
  <c r="A1314" i="10"/>
  <c r="A1313" i="10"/>
  <c r="A1312" i="10"/>
  <c r="A1311" i="10"/>
  <c r="A1310" i="10"/>
  <c r="A1309" i="10"/>
  <c r="A1308" i="10"/>
  <c r="A1307" i="10"/>
  <c r="A1306" i="10"/>
  <c r="A1305" i="10"/>
  <c r="A1304" i="10"/>
  <c r="A1303" i="10"/>
  <c r="A1302" i="10"/>
  <c r="A1301" i="10"/>
  <c r="A1300" i="10"/>
  <c r="A1299" i="10"/>
  <c r="A1298" i="10"/>
  <c r="A1297" i="10"/>
  <c r="A1296" i="10"/>
  <c r="A1295" i="10"/>
  <c r="A1294" i="10"/>
  <c r="A1293" i="10"/>
  <c r="A1292" i="10"/>
  <c r="A1291" i="10"/>
  <c r="A1290" i="10"/>
  <c r="A1289" i="10"/>
  <c r="A1288" i="10"/>
  <c r="A1287" i="10"/>
  <c r="A1286" i="10"/>
  <c r="A1285" i="10"/>
  <c r="A1284" i="10"/>
  <c r="A1283" i="10"/>
  <c r="A1282" i="10"/>
  <c r="A1281" i="10"/>
  <c r="A1280" i="10"/>
  <c r="A1279" i="10"/>
  <c r="A1278" i="10"/>
  <c r="A1277" i="10"/>
  <c r="A1276" i="10"/>
  <c r="A1275" i="10"/>
  <c r="A1274" i="10"/>
  <c r="A1273" i="10"/>
  <c r="A1272" i="10"/>
  <c r="A1271" i="10"/>
  <c r="A1270" i="10"/>
  <c r="A1269" i="10"/>
  <c r="A1268" i="10"/>
  <c r="A1267" i="10"/>
  <c r="A1266" i="10"/>
  <c r="A1265" i="10"/>
  <c r="A1264" i="10"/>
  <c r="A1263" i="10"/>
  <c r="A1262" i="10"/>
  <c r="A1261" i="10"/>
  <c r="A1260" i="10"/>
  <c r="A1259" i="10"/>
  <c r="A1258" i="10"/>
  <c r="A1257" i="10"/>
  <c r="A1256" i="10"/>
  <c r="A1255" i="10"/>
  <c r="A1254" i="10"/>
  <c r="A1253" i="10"/>
  <c r="A1252" i="10"/>
  <c r="A1251" i="10"/>
  <c r="A1250" i="10"/>
  <c r="A1249" i="10"/>
  <c r="A1248" i="10"/>
  <c r="A1247" i="10"/>
  <c r="A1246" i="10"/>
  <c r="A1245" i="10"/>
  <c r="A1244" i="10"/>
  <c r="A1243" i="10"/>
  <c r="A1242" i="10"/>
  <c r="A1241" i="10"/>
  <c r="A1240" i="10"/>
  <c r="A1239" i="10"/>
  <c r="A1238" i="10"/>
  <c r="A1237" i="10"/>
  <c r="A1236" i="10"/>
  <c r="A1235" i="10"/>
  <c r="A1234" i="10"/>
  <c r="A1233" i="10"/>
  <c r="A1232" i="10"/>
  <c r="A1231" i="10"/>
  <c r="A1230" i="10"/>
  <c r="A1229" i="10"/>
  <c r="A1228" i="10"/>
  <c r="A1227" i="10"/>
  <c r="A1226" i="10"/>
  <c r="A1225" i="10"/>
  <c r="A1224" i="10"/>
  <c r="A1223" i="10"/>
  <c r="A1222" i="10"/>
  <c r="A1221" i="10"/>
  <c r="A1220" i="10"/>
  <c r="A1219" i="10"/>
  <c r="A1218" i="10"/>
  <c r="A1217" i="10"/>
  <c r="A1216" i="10"/>
  <c r="A1215" i="10"/>
  <c r="A1214" i="10"/>
  <c r="A1213" i="10"/>
  <c r="A1212" i="10"/>
  <c r="A1211" i="10"/>
  <c r="A1210" i="10"/>
  <c r="A1209" i="10"/>
  <c r="A1208" i="10"/>
  <c r="A1207" i="10"/>
  <c r="A1206" i="10"/>
  <c r="A1205" i="10"/>
  <c r="A1204" i="10"/>
  <c r="A1203" i="10"/>
  <c r="A1202" i="10"/>
  <c r="A1201" i="10"/>
  <c r="A1200" i="10"/>
  <c r="A1199" i="10"/>
  <c r="A1198" i="10"/>
  <c r="A1197" i="10"/>
  <c r="A1196" i="10"/>
  <c r="A1195" i="10"/>
  <c r="A1194" i="10"/>
  <c r="A1193" i="10"/>
  <c r="A1192" i="10"/>
  <c r="A1191" i="10"/>
  <c r="A1190" i="10"/>
  <c r="A1189" i="10"/>
  <c r="A1188" i="10"/>
  <c r="A1187" i="10"/>
  <c r="A1186" i="10"/>
  <c r="A1185" i="10"/>
  <c r="A1184" i="10"/>
  <c r="A1183" i="10"/>
  <c r="A1182" i="10"/>
  <c r="A1181" i="10"/>
  <c r="A1180" i="10"/>
  <c r="A1179" i="10"/>
  <c r="A1178" i="10"/>
  <c r="A1177" i="10"/>
  <c r="A1176" i="10"/>
  <c r="A1175" i="10"/>
  <c r="A1174" i="10"/>
  <c r="A1173" i="10"/>
  <c r="A1172" i="10"/>
  <c r="A1171" i="10"/>
  <c r="A1170" i="10"/>
  <c r="A1169" i="10"/>
  <c r="A1168" i="10"/>
  <c r="A1167" i="10"/>
  <c r="A1166" i="10"/>
  <c r="A1165" i="10"/>
  <c r="A1164" i="10"/>
  <c r="A1163" i="10"/>
  <c r="A1162" i="10"/>
  <c r="A1161" i="10"/>
  <c r="A1160" i="10"/>
  <c r="A1159" i="10"/>
  <c r="A1158" i="10"/>
  <c r="A1157" i="10"/>
  <c r="A1156" i="10"/>
  <c r="A1155" i="10"/>
  <c r="A1154" i="10"/>
  <c r="A1153" i="10"/>
  <c r="A1152" i="10"/>
  <c r="A1151" i="10"/>
  <c r="A1150" i="10"/>
  <c r="A1149" i="10"/>
  <c r="A1148" i="10"/>
  <c r="A1147" i="10"/>
  <c r="A1146" i="10"/>
  <c r="A1145" i="10"/>
  <c r="A1144" i="10"/>
  <c r="A1143" i="10"/>
  <c r="A1142" i="10"/>
  <c r="A1141" i="10"/>
  <c r="A1140" i="10"/>
  <c r="A1139" i="10"/>
  <c r="A1138" i="10"/>
  <c r="A1137" i="10"/>
  <c r="A1136" i="10"/>
  <c r="A1135" i="10"/>
  <c r="A1134" i="10"/>
  <c r="A1133" i="10"/>
  <c r="A1132" i="10"/>
  <c r="A1131" i="10"/>
  <c r="A1130" i="10"/>
  <c r="A1129" i="10"/>
  <c r="A1128" i="10"/>
  <c r="A1127" i="10"/>
  <c r="A1126" i="10"/>
  <c r="A1125" i="10"/>
  <c r="A1124" i="10"/>
  <c r="A1123" i="10"/>
  <c r="A1122" i="10"/>
  <c r="A1121" i="10"/>
  <c r="A1120" i="10"/>
  <c r="A1119" i="10"/>
  <c r="A1118" i="10"/>
  <c r="A1117" i="10"/>
  <c r="A1116" i="10"/>
  <c r="A1115" i="10"/>
  <c r="A1114" i="10"/>
  <c r="A1113" i="10"/>
  <c r="A1112" i="10"/>
  <c r="A1111" i="10"/>
  <c r="A1110" i="10"/>
  <c r="A1109" i="10"/>
  <c r="A1108" i="10"/>
  <c r="A1107" i="10"/>
  <c r="A1106" i="10"/>
  <c r="A1105" i="10"/>
  <c r="A1104" i="10"/>
  <c r="A1103" i="10"/>
  <c r="A1102" i="10"/>
  <c r="A1101" i="10"/>
  <c r="A1100" i="10"/>
  <c r="A1099" i="10"/>
  <c r="A1098" i="10"/>
  <c r="A1097" i="10"/>
  <c r="A1096" i="10"/>
  <c r="A1095" i="10"/>
  <c r="A1094" i="10"/>
  <c r="A1093" i="10"/>
  <c r="A1092" i="10"/>
  <c r="A1091" i="10"/>
  <c r="A1090" i="10"/>
  <c r="A1089" i="10"/>
  <c r="A1088" i="10"/>
  <c r="A1087" i="10"/>
  <c r="A1086" i="10"/>
  <c r="A1085" i="10"/>
  <c r="A1084" i="10"/>
  <c r="A1083" i="10"/>
  <c r="A1082" i="10"/>
  <c r="A1081" i="10"/>
  <c r="A1080" i="10"/>
  <c r="A1079" i="10"/>
  <c r="A1078" i="10"/>
  <c r="A1077" i="10"/>
  <c r="A1076" i="10"/>
  <c r="A1075" i="10"/>
  <c r="A1074" i="10"/>
  <c r="A1073" i="10"/>
  <c r="A1072" i="10"/>
  <c r="A1071" i="10"/>
  <c r="A1070" i="10"/>
  <c r="A1069" i="10"/>
  <c r="A1068" i="10"/>
  <c r="A1067" i="10"/>
  <c r="A1066" i="10"/>
  <c r="A1065" i="10"/>
  <c r="A1064" i="10"/>
  <c r="A1063" i="10"/>
  <c r="A1062" i="10"/>
  <c r="A1061" i="10"/>
  <c r="A1060" i="10"/>
  <c r="A1059" i="10"/>
  <c r="A1058" i="10"/>
  <c r="A1057" i="10"/>
  <c r="A1056" i="10"/>
  <c r="A1055" i="10"/>
  <c r="A1054" i="10"/>
  <c r="A1053" i="10"/>
  <c r="A1052" i="10"/>
  <c r="A1051" i="10"/>
  <c r="A1050" i="10"/>
  <c r="A1049" i="10"/>
  <c r="A1048" i="10"/>
  <c r="A1047" i="10"/>
  <c r="A1046" i="10"/>
  <c r="A1045" i="10"/>
  <c r="A1044" i="10"/>
  <c r="A1043" i="10"/>
  <c r="A1042" i="10"/>
  <c r="A1041" i="10"/>
  <c r="A1040" i="10"/>
  <c r="A1039" i="10"/>
  <c r="A1038" i="10"/>
  <c r="A1037" i="10"/>
  <c r="A1036" i="10"/>
  <c r="A1035" i="10"/>
  <c r="A1034" i="10"/>
  <c r="A1033" i="10"/>
  <c r="A1032" i="10"/>
  <c r="A1031" i="10"/>
  <c r="A1030" i="10"/>
  <c r="A1029" i="10"/>
  <c r="A1028" i="10"/>
  <c r="A1027" i="10"/>
  <c r="A1026" i="10"/>
  <c r="A1025" i="10"/>
  <c r="A1024" i="10"/>
  <c r="A1023" i="10"/>
  <c r="A1022" i="10"/>
  <c r="A1021" i="10"/>
  <c r="A1020" i="10"/>
  <c r="A1019" i="10"/>
  <c r="A1018" i="10"/>
  <c r="A1017" i="10"/>
  <c r="A1016" i="10"/>
  <c r="A1015" i="10"/>
  <c r="A1014" i="10"/>
  <c r="A1013" i="10"/>
  <c r="A1012" i="10"/>
  <c r="A1011" i="10"/>
  <c r="A1010" i="10"/>
  <c r="A1009" i="10"/>
  <c r="A1008" i="10"/>
  <c r="A1007" i="10"/>
  <c r="A1006" i="10"/>
  <c r="A1005" i="10"/>
  <c r="A1004" i="10"/>
  <c r="A1003" i="10"/>
  <c r="A1002" i="10"/>
  <c r="A1001" i="10"/>
  <c r="A1000" i="10"/>
  <c r="A999" i="10"/>
  <c r="A998" i="10"/>
  <c r="A997" i="10"/>
  <c r="A996" i="10"/>
  <c r="A995" i="10"/>
  <c r="A994" i="10"/>
  <c r="A993" i="10"/>
  <c r="A992" i="10"/>
  <c r="A991" i="10"/>
  <c r="A990" i="10"/>
  <c r="A989" i="10"/>
  <c r="A988" i="10"/>
  <c r="A987" i="10"/>
  <c r="A986" i="10"/>
  <c r="A985" i="10"/>
  <c r="A984" i="10"/>
  <c r="A983" i="10"/>
  <c r="A982" i="10"/>
  <c r="A981" i="10"/>
  <c r="A980" i="10"/>
  <c r="A979" i="10"/>
  <c r="A978" i="10"/>
  <c r="A977" i="10"/>
  <c r="A976" i="10"/>
  <c r="A975" i="10"/>
  <c r="A974" i="10"/>
  <c r="A973" i="10"/>
  <c r="A972" i="10"/>
  <c r="A971" i="10"/>
  <c r="A970" i="10"/>
  <c r="A969" i="10"/>
  <c r="A968" i="10"/>
  <c r="A967" i="10"/>
  <c r="A966" i="10"/>
  <c r="A965" i="10"/>
  <c r="A964" i="10"/>
  <c r="A963" i="10"/>
  <c r="A962" i="10"/>
  <c r="A961" i="10"/>
  <c r="A960" i="10"/>
  <c r="A959" i="10"/>
  <c r="A958" i="10"/>
  <c r="A957" i="10"/>
  <c r="A956" i="10"/>
  <c r="A955" i="10"/>
  <c r="A954" i="10"/>
  <c r="A953" i="10"/>
  <c r="A952" i="10"/>
  <c r="A951" i="10"/>
  <c r="A950" i="10"/>
  <c r="A949" i="10"/>
  <c r="A948" i="10"/>
  <c r="A947" i="10"/>
  <c r="A946" i="10"/>
  <c r="A945" i="10"/>
  <c r="A944" i="10"/>
  <c r="A943" i="10"/>
  <c r="A942" i="10"/>
  <c r="A941" i="10"/>
  <c r="A940" i="10"/>
  <c r="A939" i="10"/>
  <c r="A938" i="10"/>
  <c r="A937" i="10"/>
  <c r="A936" i="10"/>
  <c r="A935" i="10"/>
  <c r="A934" i="10"/>
  <c r="A933" i="10"/>
  <c r="A932" i="10"/>
  <c r="A931" i="10"/>
  <c r="A930" i="10"/>
  <c r="A929" i="10"/>
  <c r="A928" i="10"/>
  <c r="A927" i="10"/>
  <c r="A926" i="10"/>
  <c r="A925" i="10"/>
  <c r="A924" i="10"/>
  <c r="A923" i="10"/>
  <c r="A922" i="10"/>
  <c r="A921" i="10"/>
  <c r="A920" i="10"/>
  <c r="A919" i="10"/>
  <c r="A918" i="10"/>
  <c r="A917" i="10"/>
  <c r="A916" i="10"/>
  <c r="A915" i="10"/>
  <c r="A914" i="10"/>
  <c r="A913" i="10"/>
  <c r="A912" i="10"/>
  <c r="A911" i="10"/>
  <c r="A910" i="10"/>
  <c r="A909" i="10"/>
  <c r="A908" i="10"/>
  <c r="A907" i="10"/>
  <c r="A906" i="10"/>
  <c r="A905" i="10"/>
  <c r="A904" i="10"/>
  <c r="A903" i="10"/>
  <c r="A902" i="10"/>
  <c r="A901" i="10"/>
  <c r="A900" i="10"/>
  <c r="A899" i="10"/>
  <c r="A898" i="10"/>
  <c r="A897" i="10"/>
  <c r="A896" i="10"/>
  <c r="A895" i="10"/>
  <c r="A894" i="10"/>
  <c r="A893" i="10"/>
  <c r="A892" i="10"/>
  <c r="A891" i="10"/>
  <c r="A890" i="10"/>
  <c r="A889" i="10"/>
  <c r="A888" i="10"/>
  <c r="A887" i="10"/>
  <c r="A886" i="10"/>
  <c r="A885" i="10"/>
  <c r="A884" i="10"/>
  <c r="A883" i="10"/>
  <c r="A882" i="10"/>
  <c r="A881" i="10"/>
  <c r="A880" i="10"/>
  <c r="A879" i="10"/>
  <c r="A878" i="10"/>
  <c r="A877" i="10"/>
  <c r="A876" i="10"/>
  <c r="A875" i="10"/>
  <c r="A874" i="10"/>
  <c r="A873" i="10"/>
  <c r="A872" i="10"/>
  <c r="A871" i="10"/>
  <c r="A870" i="10"/>
  <c r="A869" i="10"/>
  <c r="A868" i="10"/>
  <c r="A867" i="10"/>
  <c r="A866" i="10"/>
  <c r="A865" i="10"/>
  <c r="A864" i="10"/>
  <c r="A863" i="10"/>
  <c r="A862" i="10"/>
  <c r="A861" i="10"/>
  <c r="A860" i="10"/>
  <c r="A859" i="10"/>
  <c r="A858" i="10"/>
  <c r="A857" i="10"/>
  <c r="A856" i="10"/>
  <c r="A855" i="10"/>
  <c r="A854" i="10"/>
  <c r="A853" i="10"/>
  <c r="A852" i="10"/>
  <c r="A851" i="10"/>
  <c r="A850" i="10"/>
  <c r="A849" i="10"/>
  <c r="A848" i="10"/>
  <c r="A847" i="10"/>
  <c r="A846" i="10"/>
  <c r="A845" i="10"/>
  <c r="A844" i="10"/>
  <c r="A843" i="10"/>
  <c r="A842" i="10"/>
  <c r="A841" i="10"/>
  <c r="A840" i="10"/>
  <c r="A839" i="10"/>
  <c r="A838" i="10"/>
  <c r="A837" i="10"/>
  <c r="A836" i="10"/>
  <c r="A835" i="10"/>
  <c r="A834" i="10"/>
  <c r="A833" i="10"/>
  <c r="A832" i="10"/>
  <c r="A831" i="10"/>
  <c r="A830" i="10"/>
  <c r="A829" i="10"/>
  <c r="A828" i="10"/>
  <c r="A827" i="10"/>
  <c r="A826" i="10"/>
  <c r="A825" i="10"/>
  <c r="A824" i="10"/>
  <c r="A823" i="10"/>
  <c r="A822" i="10"/>
  <c r="A821" i="10"/>
  <c r="A820" i="10"/>
  <c r="A819" i="10"/>
  <c r="A818" i="10"/>
  <c r="A817" i="10"/>
  <c r="A816" i="10"/>
  <c r="A815" i="10"/>
  <c r="A814" i="10"/>
  <c r="A813" i="10"/>
  <c r="A812" i="10"/>
  <c r="A811" i="10"/>
  <c r="A810" i="10"/>
  <c r="A809" i="10"/>
  <c r="A808" i="10"/>
  <c r="A807" i="10"/>
  <c r="A806" i="10"/>
  <c r="A805" i="10"/>
  <c r="A804" i="10"/>
  <c r="A803" i="10"/>
  <c r="A802" i="10"/>
  <c r="A801" i="10"/>
  <c r="A800" i="10"/>
  <c r="A799" i="10"/>
  <c r="A798" i="10"/>
  <c r="A797" i="10"/>
  <c r="A796" i="10"/>
  <c r="A795" i="10"/>
  <c r="A794" i="10"/>
  <c r="A793" i="10"/>
  <c r="A792" i="10"/>
  <c r="A791" i="10"/>
  <c r="A790" i="10"/>
  <c r="A789" i="10"/>
  <c r="A788" i="10"/>
  <c r="A787" i="10"/>
  <c r="A786" i="10"/>
  <c r="A785" i="10"/>
  <c r="A784" i="10"/>
  <c r="A783" i="10"/>
  <c r="A782" i="10"/>
  <c r="A781" i="10"/>
  <c r="A780" i="10"/>
  <c r="A779" i="10"/>
  <c r="A778" i="10"/>
  <c r="A777" i="10"/>
  <c r="A776" i="10"/>
  <c r="A775" i="10"/>
  <c r="A774" i="10"/>
  <c r="A773" i="10"/>
  <c r="A772" i="10"/>
  <c r="A771" i="10"/>
  <c r="A770" i="10"/>
  <c r="A769" i="10"/>
  <c r="A768" i="10"/>
  <c r="A767" i="10"/>
  <c r="A766" i="10"/>
  <c r="A765" i="10"/>
  <c r="A764" i="10"/>
  <c r="A763" i="10"/>
  <c r="A762" i="10"/>
  <c r="A761" i="10"/>
  <c r="A760" i="10"/>
  <c r="A759" i="10"/>
  <c r="A758" i="10"/>
  <c r="A757" i="10"/>
  <c r="A756" i="10"/>
  <c r="A755" i="10"/>
  <c r="A754" i="10"/>
  <c r="A753" i="10"/>
  <c r="A752" i="10"/>
  <c r="A751" i="10"/>
  <c r="A750" i="10"/>
  <c r="A749" i="10"/>
  <c r="A748" i="10"/>
  <c r="A747" i="10"/>
  <c r="A746" i="10"/>
  <c r="A745" i="10"/>
  <c r="A744" i="10"/>
  <c r="A743" i="10"/>
  <c r="A742" i="10"/>
  <c r="A741" i="10"/>
  <c r="A740" i="10"/>
  <c r="A739" i="10"/>
  <c r="A738" i="10"/>
  <c r="A737" i="10"/>
  <c r="A736" i="10"/>
  <c r="A735" i="10"/>
  <c r="A734" i="10"/>
  <c r="A733" i="10"/>
  <c r="A732" i="10"/>
  <c r="A731" i="10"/>
  <c r="A730" i="10"/>
  <c r="A729" i="10"/>
  <c r="A728" i="10"/>
  <c r="A727" i="10"/>
  <c r="A726" i="10"/>
  <c r="A725" i="10"/>
  <c r="A724" i="10"/>
  <c r="A723" i="10"/>
  <c r="A722" i="10"/>
  <c r="A721" i="10"/>
  <c r="A720" i="10"/>
  <c r="A719" i="10"/>
  <c r="A718" i="10"/>
  <c r="A717" i="10"/>
  <c r="A716" i="10"/>
  <c r="A715" i="10"/>
  <c r="A714" i="10"/>
  <c r="A713" i="10"/>
  <c r="A712" i="10"/>
  <c r="A711" i="10"/>
  <c r="A710" i="10"/>
  <c r="A709" i="10"/>
  <c r="A708" i="10"/>
  <c r="A707" i="10"/>
  <c r="A706" i="10"/>
  <c r="A705" i="10"/>
  <c r="A704" i="10"/>
  <c r="A703" i="10"/>
  <c r="A702" i="10"/>
  <c r="A701" i="10"/>
  <c r="A700" i="10"/>
  <c r="A699" i="10"/>
  <c r="A698" i="10"/>
  <c r="A697" i="10"/>
  <c r="A696" i="10"/>
  <c r="A695" i="10"/>
  <c r="A694" i="10"/>
  <c r="A693" i="10"/>
  <c r="A692" i="10"/>
  <c r="A691" i="10"/>
  <c r="A690" i="10"/>
  <c r="A689" i="10"/>
  <c r="A688" i="10"/>
  <c r="A687" i="10"/>
  <c r="A686" i="10"/>
  <c r="A685" i="10"/>
  <c r="A684" i="10"/>
  <c r="A683" i="10"/>
  <c r="A682" i="10"/>
  <c r="A681" i="10"/>
  <c r="A680" i="10"/>
  <c r="A679" i="10"/>
  <c r="A678" i="10"/>
  <c r="A677" i="10"/>
  <c r="A676" i="10"/>
  <c r="A675" i="10"/>
  <c r="A674" i="10"/>
  <c r="A673" i="10"/>
  <c r="A672" i="10"/>
  <c r="A671" i="10"/>
  <c r="A670" i="10"/>
  <c r="A669" i="10"/>
  <c r="A668" i="10"/>
  <c r="A667" i="10"/>
  <c r="A666" i="10"/>
  <c r="A665" i="10"/>
  <c r="A664" i="10"/>
  <c r="A663" i="10"/>
  <c r="A662" i="10"/>
  <c r="A661" i="10"/>
  <c r="A660" i="10"/>
  <c r="A659" i="10"/>
  <c r="A658" i="10"/>
  <c r="A657" i="10"/>
  <c r="A656" i="10"/>
  <c r="A655" i="10"/>
  <c r="A654" i="10"/>
  <c r="A653" i="10"/>
  <c r="A652" i="10"/>
  <c r="A651" i="10"/>
  <c r="A650" i="10"/>
  <c r="A649" i="10"/>
  <c r="A648" i="10"/>
  <c r="A647" i="10"/>
  <c r="A646" i="10"/>
  <c r="A645" i="10"/>
  <c r="A644" i="10"/>
  <c r="A643" i="10"/>
  <c r="A642" i="10"/>
  <c r="A641" i="10"/>
  <c r="A640" i="10"/>
  <c r="A639" i="10"/>
  <c r="A638" i="10"/>
  <c r="A637" i="10"/>
  <c r="A636" i="10"/>
  <c r="A635" i="10"/>
  <c r="A634" i="10"/>
  <c r="A633" i="10"/>
  <c r="A632" i="10"/>
  <c r="A631" i="10"/>
  <c r="A630" i="10"/>
  <c r="A629" i="10"/>
  <c r="A628" i="10"/>
  <c r="A627" i="10"/>
  <c r="A626" i="10"/>
  <c r="A625" i="10"/>
  <c r="A624" i="10"/>
  <c r="A623" i="10"/>
  <c r="A622" i="10"/>
  <c r="A621" i="10"/>
  <c r="A620" i="10"/>
  <c r="A619" i="10"/>
  <c r="A618" i="10"/>
  <c r="A617" i="10"/>
  <c r="A616" i="10"/>
  <c r="A615" i="10"/>
  <c r="A614" i="10"/>
  <c r="A613" i="10"/>
  <c r="A612" i="10"/>
  <c r="A611" i="10"/>
  <c r="A610" i="10"/>
  <c r="A609" i="10"/>
  <c r="A608" i="10"/>
  <c r="A607" i="10"/>
  <c r="A606" i="10"/>
  <c r="A605" i="10"/>
  <c r="A604" i="10"/>
  <c r="A603" i="10"/>
  <c r="A602" i="10"/>
  <c r="A601" i="10"/>
  <c r="A600" i="10"/>
  <c r="A599" i="10"/>
  <c r="A598" i="10"/>
  <c r="A597" i="10"/>
  <c r="A596" i="10"/>
  <c r="A595" i="10"/>
  <c r="A594" i="10"/>
  <c r="A593" i="10"/>
  <c r="A592" i="10"/>
  <c r="A591" i="10"/>
  <c r="A590" i="10"/>
  <c r="A589" i="10"/>
  <c r="A588" i="10"/>
  <c r="A587" i="10"/>
  <c r="A586" i="10"/>
  <c r="A585" i="10"/>
  <c r="A584" i="10"/>
  <c r="A583" i="10"/>
  <c r="A582" i="10"/>
  <c r="A581" i="10"/>
  <c r="A580" i="10"/>
  <c r="A579" i="10"/>
  <c r="A578" i="10"/>
  <c r="A577" i="10"/>
  <c r="A576" i="10"/>
  <c r="A575" i="10"/>
  <c r="A574" i="10"/>
  <c r="A573" i="10"/>
  <c r="A572" i="10"/>
  <c r="A571" i="10"/>
  <c r="A570" i="10"/>
  <c r="A569" i="10"/>
  <c r="A568" i="10"/>
  <c r="A567" i="10"/>
  <c r="A566" i="10"/>
  <c r="A565" i="10"/>
  <c r="A564" i="10"/>
  <c r="A563" i="10"/>
  <c r="A562" i="10"/>
  <c r="A561" i="10"/>
  <c r="A560" i="10"/>
  <c r="A559" i="10"/>
  <c r="A558" i="10"/>
  <c r="A557" i="10"/>
  <c r="A556" i="10"/>
  <c r="A555" i="10"/>
  <c r="A554" i="10"/>
  <c r="A553" i="10"/>
  <c r="A552" i="10"/>
  <c r="A551" i="10"/>
  <c r="A550" i="10"/>
  <c r="A549" i="10"/>
  <c r="A548" i="10"/>
  <c r="A547" i="10"/>
  <c r="A546" i="10"/>
  <c r="A545" i="10"/>
  <c r="A544" i="10"/>
  <c r="A543" i="10"/>
  <c r="A542" i="10"/>
  <c r="A541" i="10"/>
  <c r="A540" i="10"/>
  <c r="A539" i="10"/>
  <c r="A538" i="10"/>
  <c r="A537" i="10"/>
  <c r="A536" i="10"/>
  <c r="A535" i="10"/>
  <c r="A534" i="10"/>
  <c r="A533" i="10"/>
  <c r="A532" i="10"/>
  <c r="A531" i="10"/>
  <c r="A530" i="10"/>
  <c r="A529" i="10"/>
  <c r="A528" i="10"/>
  <c r="A527" i="10"/>
  <c r="A526" i="10"/>
  <c r="A525" i="10"/>
  <c r="A524" i="10"/>
  <c r="A523" i="10"/>
  <c r="A522" i="10"/>
  <c r="A521" i="10"/>
  <c r="A520" i="10"/>
  <c r="A519" i="10"/>
  <c r="A518" i="10"/>
  <c r="A517" i="10"/>
  <c r="A516" i="10"/>
  <c r="A515" i="10"/>
  <c r="A514" i="10"/>
  <c r="A513" i="10"/>
  <c r="A512" i="10"/>
  <c r="A511" i="10"/>
  <c r="A510" i="10"/>
  <c r="A509" i="10"/>
  <c r="A508" i="10"/>
  <c r="A507" i="10"/>
  <c r="A506" i="10"/>
  <c r="A505" i="10"/>
  <c r="A504" i="10"/>
  <c r="A503" i="10"/>
  <c r="A502" i="10"/>
  <c r="A501" i="10"/>
  <c r="A500" i="10"/>
  <c r="A499" i="10"/>
  <c r="A498" i="10"/>
  <c r="A497" i="10"/>
  <c r="A496" i="10"/>
  <c r="A495" i="10"/>
  <c r="A494" i="10"/>
  <c r="A493" i="10"/>
  <c r="A492" i="10"/>
  <c r="A491" i="10"/>
  <c r="A490" i="10"/>
  <c r="A489" i="10"/>
  <c r="A488" i="10"/>
  <c r="A487" i="10"/>
  <c r="A486" i="10"/>
  <c r="A485" i="10"/>
  <c r="A484" i="10"/>
  <c r="A483" i="10"/>
  <c r="A482" i="10"/>
  <c r="A481" i="10"/>
  <c r="A480" i="10"/>
  <c r="A479" i="10"/>
  <c r="A478" i="10"/>
  <c r="A477" i="10"/>
  <c r="A476" i="10"/>
  <c r="A475" i="10"/>
  <c r="A474" i="10"/>
  <c r="A473" i="10"/>
  <c r="A472" i="10"/>
  <c r="A471" i="10"/>
  <c r="A470" i="10"/>
  <c r="A469" i="10"/>
  <c r="A468" i="10"/>
  <c r="A467" i="10"/>
  <c r="A466" i="10"/>
  <c r="A465" i="10"/>
  <c r="A464" i="10"/>
  <c r="A463" i="10"/>
  <c r="A462" i="10"/>
  <c r="A461" i="10"/>
  <c r="A460" i="10"/>
  <c r="A459" i="10"/>
  <c r="A458" i="10"/>
  <c r="A457" i="10"/>
  <c r="A456" i="10"/>
  <c r="A455" i="10"/>
  <c r="A454" i="10"/>
  <c r="A453" i="10"/>
  <c r="A452" i="10"/>
  <c r="A451" i="10"/>
  <c r="A450" i="10"/>
  <c r="A449" i="10"/>
  <c r="A448" i="10"/>
  <c r="A447" i="10"/>
  <c r="A446" i="10"/>
  <c r="A445" i="10"/>
  <c r="A444" i="10"/>
  <c r="A443" i="10"/>
  <c r="A442" i="10"/>
  <c r="A441" i="10"/>
  <c r="A440" i="10"/>
  <c r="A439" i="10"/>
  <c r="A438" i="10"/>
  <c r="A437" i="10"/>
  <c r="A436" i="10"/>
  <c r="A435" i="10"/>
  <c r="A434" i="10"/>
  <c r="A433" i="10"/>
  <c r="A432" i="10"/>
  <c r="A431" i="10"/>
  <c r="A430" i="10"/>
  <c r="A429" i="10"/>
  <c r="A428" i="10"/>
  <c r="A427" i="10"/>
  <c r="A426" i="10"/>
  <c r="A425" i="10"/>
  <c r="A424" i="10"/>
  <c r="A423" i="10"/>
  <c r="A422" i="10"/>
  <c r="A421" i="10"/>
  <c r="A420" i="10"/>
  <c r="A419" i="10"/>
  <c r="A418" i="10"/>
  <c r="A417" i="10"/>
  <c r="A416" i="10"/>
  <c r="A415" i="10"/>
  <c r="A414" i="10"/>
  <c r="A413" i="10"/>
  <c r="A412" i="10"/>
  <c r="A411" i="10"/>
  <c r="A410" i="10"/>
  <c r="A409" i="10"/>
  <c r="A408" i="10"/>
  <c r="A407" i="10"/>
  <c r="A406" i="10"/>
  <c r="A405" i="10"/>
  <c r="A404" i="10"/>
  <c r="A403" i="10"/>
  <c r="A402" i="10"/>
  <c r="A401" i="10"/>
  <c r="A400" i="10"/>
  <c r="A399" i="10"/>
  <c r="A398" i="10"/>
  <c r="A397" i="10"/>
  <c r="A396" i="10"/>
  <c r="A395" i="10"/>
  <c r="A394" i="10"/>
  <c r="A393" i="10"/>
  <c r="A392" i="10"/>
  <c r="A391" i="10"/>
  <c r="A390" i="10"/>
  <c r="A389" i="10"/>
  <c r="A388" i="10"/>
  <c r="A387" i="10"/>
  <c r="A386" i="10"/>
  <c r="A385" i="10"/>
  <c r="A384" i="10"/>
  <c r="A383" i="10"/>
  <c r="A382" i="10"/>
  <c r="A381" i="10"/>
  <c r="A380" i="10"/>
  <c r="A379" i="10"/>
  <c r="A378" i="10"/>
  <c r="A377" i="10"/>
  <c r="A376" i="10"/>
  <c r="A375" i="10"/>
  <c r="A374" i="10"/>
  <c r="A373" i="10"/>
  <c r="A372" i="10"/>
  <c r="A371" i="10"/>
  <c r="A370" i="10"/>
  <c r="A369" i="10"/>
  <c r="A368" i="10"/>
  <c r="A367" i="10"/>
  <c r="A366" i="10"/>
  <c r="A365" i="10"/>
  <c r="A364" i="10"/>
  <c r="A363" i="10"/>
  <c r="A362" i="10"/>
  <c r="A361" i="10"/>
  <c r="A360" i="10"/>
  <c r="A359" i="10"/>
  <c r="A358" i="10"/>
  <c r="A357" i="10"/>
  <c r="A356" i="10"/>
  <c r="A355" i="10"/>
  <c r="A354" i="10"/>
  <c r="A353" i="10"/>
  <c r="A352" i="10"/>
  <c r="A351" i="10"/>
  <c r="A350" i="10"/>
  <c r="A349" i="10"/>
  <c r="A348" i="10"/>
  <c r="A347" i="10"/>
  <c r="A346" i="10"/>
  <c r="A345" i="10"/>
  <c r="A344" i="10"/>
  <c r="A343" i="10"/>
  <c r="A342" i="10"/>
  <c r="A341" i="10"/>
  <c r="A340" i="10"/>
  <c r="A339" i="10"/>
  <c r="A338" i="10"/>
  <c r="A337" i="10"/>
  <c r="A336" i="10"/>
  <c r="A335" i="10"/>
  <c r="A334" i="10"/>
  <c r="A333" i="10"/>
  <c r="A332" i="10"/>
  <c r="A331" i="10"/>
  <c r="A330" i="10"/>
  <c r="A329" i="10"/>
  <c r="A328" i="10"/>
  <c r="A327" i="10"/>
  <c r="A326" i="10"/>
  <c r="A325" i="10"/>
  <c r="A324" i="10"/>
  <c r="A323" i="10"/>
  <c r="A322" i="10"/>
  <c r="A321" i="10"/>
  <c r="A320" i="10"/>
  <c r="A319" i="10"/>
  <c r="A318" i="10"/>
  <c r="A317" i="10"/>
  <c r="A316" i="10"/>
  <c r="A315" i="10"/>
  <c r="A314" i="10"/>
  <c r="A313" i="10"/>
  <c r="A312" i="10"/>
  <c r="A311" i="10"/>
  <c r="A310" i="10"/>
  <c r="A309" i="10"/>
  <c r="A308" i="10"/>
  <c r="A307" i="10"/>
  <c r="A306" i="10"/>
  <c r="A305" i="10"/>
  <c r="A304" i="10"/>
  <c r="A303" i="10"/>
  <c r="A302" i="10"/>
  <c r="A301" i="10"/>
  <c r="A300" i="10"/>
  <c r="A299" i="10"/>
  <c r="A298" i="10"/>
  <c r="A297" i="10"/>
  <c r="A296" i="10"/>
  <c r="A295" i="10"/>
  <c r="A294" i="10"/>
  <c r="A293" i="10"/>
  <c r="A292" i="10"/>
  <c r="A291" i="10"/>
  <c r="A290" i="10"/>
  <c r="A289" i="10"/>
  <c r="A288" i="10"/>
  <c r="A287" i="10"/>
  <c r="A286" i="10"/>
  <c r="A285" i="10"/>
  <c r="A284" i="10"/>
  <c r="A283" i="10"/>
  <c r="A282" i="10"/>
  <c r="A281" i="10"/>
  <c r="A280" i="10"/>
  <c r="A279" i="10"/>
  <c r="A278" i="10"/>
  <c r="A277" i="10"/>
  <c r="A276" i="10"/>
  <c r="A275" i="10"/>
  <c r="A274" i="10"/>
  <c r="A273" i="10"/>
  <c r="A272" i="10"/>
  <c r="A271" i="10"/>
  <c r="A270" i="10"/>
  <c r="A269" i="10"/>
  <c r="A268" i="10"/>
  <c r="A267" i="10"/>
  <c r="A266" i="10"/>
  <c r="A265" i="10"/>
  <c r="A264" i="10"/>
  <c r="A263" i="10"/>
  <c r="A262" i="10"/>
  <c r="A261" i="10"/>
  <c r="A260" i="10"/>
  <c r="A259" i="10"/>
  <c r="A258" i="10"/>
  <c r="A257" i="10"/>
  <c r="A256" i="10"/>
  <c r="A255" i="10"/>
  <c r="A254" i="10"/>
  <c r="A253" i="10"/>
  <c r="A252" i="10"/>
  <c r="A251" i="10"/>
  <c r="A250" i="10"/>
  <c r="A249" i="10"/>
  <c r="A248" i="10"/>
  <c r="A247" i="10"/>
  <c r="A246" i="10"/>
  <c r="A245" i="10"/>
  <c r="A244" i="10"/>
  <c r="A243" i="10"/>
  <c r="A242" i="10"/>
  <c r="A241" i="10"/>
  <c r="A240" i="10"/>
  <c r="A239" i="10"/>
  <c r="A238" i="10"/>
  <c r="A237" i="10"/>
  <c r="A236" i="10"/>
  <c r="A235" i="10"/>
  <c r="A234" i="10"/>
  <c r="A233" i="10"/>
  <c r="A232" i="10"/>
  <c r="A231" i="10"/>
  <c r="A230" i="10"/>
  <c r="A229" i="10"/>
  <c r="A228" i="10"/>
  <c r="A227" i="10"/>
  <c r="A226" i="10"/>
  <c r="A225" i="10"/>
  <c r="A224" i="10"/>
  <c r="A223" i="10"/>
  <c r="A222" i="10"/>
  <c r="A221" i="10"/>
  <c r="A220" i="10"/>
  <c r="A219" i="10"/>
  <c r="A218" i="10"/>
  <c r="A217" i="10"/>
  <c r="A216" i="10"/>
  <c r="A215" i="10"/>
  <c r="A214" i="10"/>
  <c r="A213" i="10"/>
  <c r="A212" i="10"/>
  <c r="A211" i="10"/>
  <c r="A210" i="10"/>
  <c r="A209" i="10"/>
  <c r="A208" i="10"/>
  <c r="A207" i="10"/>
  <c r="A206" i="10"/>
  <c r="A205" i="10"/>
  <c r="A204" i="10"/>
  <c r="A203" i="10"/>
  <c r="A202" i="10"/>
  <c r="A201" i="10"/>
  <c r="A200" i="10"/>
  <c r="A199" i="10"/>
  <c r="A198" i="10"/>
  <c r="A197" i="10"/>
  <c r="A196" i="10"/>
  <c r="A195" i="10"/>
  <c r="A194" i="10"/>
  <c r="A193" i="10"/>
  <c r="A192" i="10"/>
  <c r="A191" i="10"/>
  <c r="A190" i="10"/>
  <c r="A189" i="10"/>
  <c r="A188" i="10"/>
  <c r="A187" i="10"/>
  <c r="A186" i="10"/>
  <c r="A185" i="10"/>
  <c r="A184" i="10"/>
  <c r="A183" i="10"/>
  <c r="A182" i="10"/>
  <c r="A181" i="10"/>
  <c r="A180" i="10"/>
  <c r="A179" i="10"/>
  <c r="A178" i="10"/>
  <c r="A177" i="10"/>
  <c r="A176" i="10"/>
  <c r="A175" i="10"/>
  <c r="A174" i="10"/>
  <c r="A173" i="10"/>
  <c r="A172" i="10"/>
  <c r="A171" i="10"/>
  <c r="A170" i="10"/>
  <c r="A169" i="10"/>
  <c r="A168" i="10"/>
  <c r="A167" i="10"/>
  <c r="A166" i="10"/>
  <c r="A165" i="10"/>
  <c r="A164" i="10"/>
  <c r="A163" i="10"/>
  <c r="A162" i="10"/>
  <c r="A161" i="10"/>
  <c r="A160" i="10"/>
  <c r="A159" i="10"/>
  <c r="A158" i="10"/>
  <c r="A157" i="10"/>
  <c r="A156" i="10"/>
  <c r="A155" i="10"/>
  <c r="A154" i="10"/>
  <c r="A153" i="10"/>
  <c r="A152" i="10"/>
  <c r="A151" i="10"/>
  <c r="A150" i="10"/>
  <c r="A149" i="10"/>
  <c r="A148" i="10"/>
  <c r="A147" i="10"/>
  <c r="A146" i="10"/>
  <c r="A145" i="10"/>
  <c r="A144" i="10"/>
  <c r="A143" i="10"/>
  <c r="A142" i="10"/>
  <c r="A141" i="10"/>
  <c r="A140" i="10"/>
  <c r="A139" i="10"/>
  <c r="A138" i="10"/>
  <c r="A137" i="10"/>
  <c r="A136" i="10"/>
  <c r="A135" i="10"/>
  <c r="A134" i="10"/>
  <c r="A133" i="10"/>
  <c r="A132" i="10"/>
  <c r="A131" i="10"/>
  <c r="A130" i="10"/>
  <c r="A129" i="10"/>
  <c r="A128" i="10"/>
  <c r="A127" i="10"/>
  <c r="A126" i="10"/>
  <c r="A125" i="10"/>
  <c r="A124" i="10"/>
  <c r="A123" i="10"/>
  <c r="A122" i="10"/>
  <c r="A121" i="10"/>
  <c r="A120" i="10"/>
  <c r="A119" i="10"/>
  <c r="A118" i="10"/>
  <c r="A117" i="10"/>
  <c r="A116" i="10"/>
  <c r="A115" i="10"/>
  <c r="A114" i="10"/>
  <c r="A113" i="10"/>
  <c r="A112" i="10"/>
  <c r="A111" i="10"/>
  <c r="A110" i="10"/>
  <c r="A109" i="10"/>
  <c r="A108" i="10"/>
  <c r="A107" i="10"/>
  <c r="A106" i="10"/>
  <c r="A105" i="10"/>
  <c r="A104" i="10"/>
  <c r="A103" i="10"/>
  <c r="A102" i="10"/>
  <c r="A101" i="10"/>
  <c r="A100" i="10"/>
  <c r="A99" i="10"/>
  <c r="A98" i="10"/>
  <c r="A97" i="10"/>
  <c r="A96" i="10"/>
  <c r="A95" i="10"/>
  <c r="A94" i="10"/>
  <c r="A93" i="10"/>
  <c r="A92" i="10"/>
  <c r="A91" i="10"/>
  <c r="A90" i="10"/>
  <c r="A89" i="10"/>
  <c r="A88" i="10"/>
  <c r="A87" i="10"/>
  <c r="A86" i="10"/>
  <c r="A85" i="10"/>
  <c r="A84" i="10"/>
  <c r="A83" i="10"/>
  <c r="A82" i="10"/>
  <c r="A81" i="10"/>
  <c r="A80" i="10"/>
  <c r="A79" i="10"/>
  <c r="A78" i="10"/>
  <c r="A77" i="10"/>
  <c r="A76" i="10"/>
  <c r="A75" i="10"/>
  <c r="A74" i="10"/>
  <c r="A73" i="10"/>
  <c r="A72" i="10"/>
  <c r="A71" i="10"/>
  <c r="A70" i="10"/>
  <c r="A69" i="10"/>
  <c r="A68" i="10"/>
  <c r="A67" i="10"/>
  <c r="A66" i="10"/>
  <c r="A65" i="10"/>
  <c r="A64" i="10"/>
  <c r="A63" i="10"/>
  <c r="A62" i="10"/>
  <c r="A61" i="10"/>
  <c r="A60" i="10"/>
  <c r="A59" i="10"/>
  <c r="A58" i="10"/>
  <c r="A57" i="10"/>
  <c r="A56" i="10"/>
  <c r="A55" i="10"/>
  <c r="A54" i="10"/>
  <c r="A53" i="10"/>
  <c r="A52" i="10"/>
  <c r="A51" i="10"/>
  <c r="A50" i="10"/>
  <c r="A49" i="10"/>
  <c r="A48" i="10"/>
  <c r="A47" i="10"/>
  <c r="A46" i="10"/>
  <c r="A45" i="10"/>
  <c r="A44" i="10"/>
  <c r="A43" i="10"/>
  <c r="A42" i="10"/>
  <c r="A41" i="10"/>
  <c r="A40" i="10"/>
  <c r="A39" i="10"/>
  <c r="A38" i="10"/>
  <c r="A37" i="10"/>
  <c r="A36" i="10"/>
  <c r="A35" i="10"/>
  <c r="A34" i="10"/>
  <c r="A33" i="10"/>
  <c r="A32" i="10"/>
  <c r="A31" i="10"/>
  <c r="A30" i="10"/>
  <c r="A29" i="10"/>
  <c r="A28" i="10"/>
  <c r="A27" i="10"/>
  <c r="A26" i="10"/>
  <c r="A25" i="10"/>
  <c r="A24" i="10"/>
  <c r="A23" i="10"/>
  <c r="A22" i="10"/>
  <c r="A21" i="10"/>
  <c r="A20" i="10"/>
  <c r="A19" i="10"/>
  <c r="A18" i="10"/>
  <c r="A17" i="10"/>
  <c r="A16" i="10"/>
  <c r="A15" i="10"/>
  <c r="A14" i="10"/>
  <c r="A13" i="10"/>
  <c r="A12" i="10"/>
  <c r="A11" i="10"/>
  <c r="A10" i="10"/>
  <c r="A9" i="10"/>
  <c r="A8" i="10"/>
  <c r="A7" i="10"/>
  <c r="A6" i="10"/>
  <c r="A5" i="10"/>
  <c r="A3581" i="9"/>
  <c r="A3580" i="9"/>
  <c r="A3579" i="9"/>
  <c r="A3578" i="9"/>
  <c r="A3577" i="9"/>
  <c r="A3576" i="9"/>
  <c r="A3575" i="9"/>
  <c r="A3574" i="9"/>
  <c r="A3573" i="9"/>
  <c r="A3572" i="9"/>
  <c r="A3571" i="9"/>
  <c r="A3570" i="9"/>
  <c r="A3569" i="9"/>
  <c r="A3568" i="9"/>
  <c r="A3567" i="9"/>
  <c r="A3566" i="9"/>
  <c r="A3565" i="9"/>
  <c r="A3564" i="9"/>
  <c r="A3563" i="9"/>
  <c r="A3562" i="9"/>
  <c r="A3561" i="9"/>
  <c r="A3560" i="9"/>
  <c r="A3559" i="9"/>
  <c r="A3558" i="9"/>
  <c r="A3557" i="9"/>
  <c r="A3556" i="9"/>
  <c r="A3555" i="9"/>
  <c r="A3554" i="9"/>
  <c r="A3553" i="9"/>
  <c r="A3552" i="9"/>
  <c r="A3551" i="9"/>
  <c r="A3550" i="9"/>
  <c r="A3549" i="9"/>
  <c r="A3548" i="9"/>
  <c r="A3547" i="9"/>
  <c r="A3546" i="9"/>
  <c r="A3545" i="9"/>
  <c r="A3544" i="9"/>
  <c r="A3543" i="9"/>
  <c r="A3542" i="9"/>
  <c r="A3541" i="9"/>
  <c r="A3540" i="9"/>
  <c r="A3539" i="9"/>
  <c r="A3538" i="9"/>
  <c r="A3537" i="9"/>
  <c r="A3536" i="9"/>
  <c r="A3535" i="9"/>
  <c r="A3534" i="9"/>
  <c r="A3533" i="9"/>
  <c r="A3532" i="9"/>
  <c r="A3531" i="9"/>
  <c r="A3530" i="9"/>
  <c r="A3529" i="9"/>
  <c r="A3528" i="9"/>
  <c r="A3527" i="9"/>
  <c r="A3526" i="9"/>
  <c r="A3525" i="9"/>
  <c r="A3524" i="9"/>
  <c r="A3523" i="9"/>
  <c r="A3522" i="9"/>
  <c r="A3521" i="9"/>
  <c r="A3520" i="9"/>
  <c r="A3519" i="9"/>
  <c r="A3518" i="9"/>
  <c r="A3517" i="9"/>
  <c r="A3516" i="9"/>
  <c r="A3515" i="9"/>
  <c r="A3514" i="9"/>
  <c r="A3513" i="9"/>
  <c r="A3512" i="9"/>
  <c r="A3511" i="9"/>
  <c r="A3510" i="9"/>
  <c r="A3509" i="9"/>
  <c r="A3508" i="9"/>
  <c r="A3507" i="9"/>
  <c r="A3506" i="9"/>
  <c r="A3505" i="9"/>
  <c r="A3504" i="9"/>
  <c r="A3503" i="9"/>
  <c r="A3502" i="9"/>
  <c r="A3501" i="9"/>
  <c r="A3500" i="9"/>
  <c r="A3499" i="9"/>
  <c r="A3498" i="9"/>
  <c r="A3497" i="9"/>
  <c r="A3496" i="9"/>
  <c r="A3495" i="9"/>
  <c r="A3494" i="9"/>
  <c r="A3493" i="9"/>
  <c r="A3492" i="9"/>
  <c r="A3491" i="9"/>
  <c r="A3490" i="9"/>
  <c r="A3489" i="9"/>
  <c r="A3488" i="9"/>
  <c r="A3487" i="9"/>
  <c r="A3486" i="9"/>
  <c r="A3485" i="9"/>
  <c r="A3484" i="9"/>
  <c r="A3483" i="9"/>
  <c r="A3482" i="9"/>
  <c r="A3481" i="9"/>
  <c r="A3480" i="9"/>
  <c r="A3479" i="9"/>
  <c r="A3478" i="9"/>
  <c r="A3477" i="9"/>
  <c r="A3476" i="9"/>
  <c r="A3475" i="9"/>
  <c r="A3474" i="9"/>
  <c r="A3473" i="9"/>
  <c r="A3472" i="9"/>
  <c r="A3471" i="9"/>
  <c r="A3470" i="9"/>
  <c r="A3469" i="9"/>
  <c r="A3468" i="9"/>
  <c r="A3467" i="9"/>
  <c r="A3466" i="9"/>
  <c r="A3465" i="9"/>
  <c r="A3464" i="9"/>
  <c r="A3463" i="9"/>
  <c r="A3462" i="9"/>
  <c r="A3461" i="9"/>
  <c r="A3460" i="9"/>
  <c r="A3459" i="9"/>
  <c r="A3458" i="9"/>
  <c r="A3457" i="9"/>
  <c r="A3456" i="9"/>
  <c r="A3455" i="9"/>
  <c r="A3454" i="9"/>
  <c r="A3453" i="9"/>
  <c r="A3452" i="9"/>
  <c r="A3451" i="9"/>
  <c r="A3450" i="9"/>
  <c r="A3449" i="9"/>
  <c r="A3448" i="9"/>
  <c r="A3447" i="9"/>
  <c r="A3446" i="9"/>
  <c r="A3445" i="9"/>
  <c r="A3444" i="9"/>
  <c r="A3443" i="9"/>
  <c r="A3442" i="9"/>
  <c r="A3441" i="9"/>
  <c r="A3440" i="9"/>
  <c r="A3439" i="9"/>
  <c r="A3438" i="9"/>
  <c r="A3437" i="9"/>
  <c r="A3436" i="9"/>
  <c r="A3435" i="9"/>
  <c r="A3434" i="9"/>
  <c r="A3433" i="9"/>
  <c r="A3432" i="9"/>
  <c r="A3431" i="9"/>
  <c r="A3430" i="9"/>
  <c r="A3429" i="9"/>
  <c r="A3428" i="9"/>
  <c r="A3427" i="9"/>
  <c r="A3426" i="9"/>
  <c r="A3425" i="9"/>
  <c r="A3424" i="9"/>
  <c r="A3423" i="9"/>
  <c r="A3422" i="9"/>
  <c r="A3421" i="9"/>
  <c r="A3420" i="9"/>
  <c r="A3419" i="9"/>
  <c r="A3418" i="9"/>
  <c r="A3417" i="9"/>
  <c r="A3416" i="9"/>
  <c r="A3415" i="9"/>
  <c r="A3414" i="9"/>
  <c r="A3413" i="9"/>
  <c r="A3412" i="9"/>
  <c r="A3411" i="9"/>
  <c r="A3410" i="9"/>
  <c r="A3409" i="9"/>
  <c r="A3408" i="9"/>
  <c r="A3407" i="9"/>
  <c r="A3406" i="9"/>
  <c r="A3405" i="9"/>
  <c r="A3404" i="9"/>
  <c r="A3403" i="9"/>
  <c r="A3402" i="9"/>
  <c r="A3401" i="9"/>
  <c r="A3400" i="9"/>
  <c r="A3399" i="9"/>
  <c r="A3398" i="9"/>
  <c r="A3397" i="9"/>
  <c r="A3396" i="9"/>
  <c r="A3395" i="9"/>
  <c r="A3394" i="9"/>
  <c r="A3393" i="9"/>
  <c r="A3392" i="9"/>
  <c r="A3391" i="9"/>
  <c r="A3390" i="9"/>
  <c r="A3389" i="9"/>
  <c r="A3388" i="9"/>
  <c r="A3387" i="9"/>
  <c r="A3386" i="9"/>
  <c r="A3385" i="9"/>
  <c r="A3384" i="9"/>
  <c r="A3383" i="9"/>
  <c r="A3382" i="9"/>
  <c r="A3381" i="9"/>
  <c r="A3380" i="9"/>
  <c r="A3379" i="9"/>
  <c r="A3378" i="9"/>
  <c r="A3377" i="9"/>
  <c r="A3376" i="9"/>
  <c r="A3375" i="9"/>
  <c r="A3374" i="9"/>
  <c r="A3373" i="9"/>
  <c r="A3372" i="9"/>
  <c r="A3371" i="9"/>
  <c r="A3370" i="9"/>
  <c r="A3369" i="9"/>
  <c r="A3368" i="9"/>
  <c r="A3367" i="9"/>
  <c r="A3366" i="9"/>
  <c r="A3365" i="9"/>
  <c r="A3364" i="9"/>
  <c r="A3363" i="9"/>
  <c r="A3362" i="9"/>
  <c r="A3361" i="9"/>
  <c r="A3360" i="9"/>
  <c r="A3359" i="9"/>
  <c r="A3358" i="9"/>
  <c r="A3357" i="9"/>
  <c r="A3356" i="9"/>
  <c r="A3355" i="9"/>
  <c r="A3354" i="9"/>
  <c r="A3353" i="9"/>
  <c r="A3352" i="9"/>
  <c r="A3351" i="9"/>
  <c r="A3350" i="9"/>
  <c r="A3349" i="9"/>
  <c r="A3348" i="9"/>
  <c r="A3347" i="9"/>
  <c r="A3346" i="9"/>
  <c r="A3345" i="9"/>
  <c r="A3344" i="9"/>
  <c r="A3343" i="9"/>
  <c r="A3342" i="9"/>
  <c r="A3341" i="9"/>
  <c r="A3340" i="9"/>
  <c r="A3339" i="9"/>
  <c r="A3338" i="9"/>
  <c r="A3337" i="9"/>
  <c r="A3336" i="9"/>
  <c r="A3335" i="9"/>
  <c r="A3334" i="9"/>
  <c r="A3333" i="9"/>
  <c r="A3332" i="9"/>
  <c r="A3331" i="9"/>
  <c r="A3330" i="9"/>
  <c r="A3329" i="9"/>
  <c r="A3328" i="9"/>
  <c r="A3327" i="9"/>
  <c r="A3326" i="9"/>
  <c r="A3325" i="9"/>
  <c r="A3324" i="9"/>
  <c r="A3323" i="9"/>
  <c r="A3322" i="9"/>
  <c r="A3321" i="9"/>
  <c r="A3320" i="9"/>
  <c r="A3319" i="9"/>
  <c r="A3318" i="9"/>
  <c r="A3317" i="9"/>
  <c r="A3316" i="9"/>
  <c r="A3315" i="9"/>
  <c r="A3314" i="9"/>
  <c r="A3313" i="9"/>
  <c r="A3312" i="9"/>
  <c r="A3311" i="9"/>
  <c r="A3310" i="9"/>
  <c r="A3309" i="9"/>
  <c r="A3308" i="9"/>
  <c r="A3307" i="9"/>
  <c r="A3306" i="9"/>
  <c r="A3305" i="9"/>
  <c r="A3304" i="9"/>
  <c r="A3303" i="9"/>
  <c r="A3302" i="9"/>
  <c r="A3301" i="9"/>
  <c r="A3300" i="9"/>
  <c r="A3299" i="9"/>
  <c r="A3298" i="9"/>
  <c r="A3297" i="9"/>
  <c r="A3296" i="9"/>
  <c r="A3295" i="9"/>
  <c r="A3294" i="9"/>
  <c r="A3293" i="9"/>
  <c r="A3292" i="9"/>
  <c r="A3291" i="9"/>
  <c r="A3290" i="9"/>
  <c r="A3289" i="9"/>
  <c r="A3288" i="9"/>
  <c r="A3287" i="9"/>
  <c r="A3286" i="9"/>
  <c r="A3285" i="9"/>
  <c r="A3284" i="9"/>
  <c r="A3283" i="9"/>
  <c r="A3282" i="9"/>
  <c r="A3281" i="9"/>
  <c r="A3280" i="9"/>
  <c r="A3279" i="9"/>
  <c r="A3278" i="9"/>
  <c r="A3277" i="9"/>
  <c r="A3276" i="9"/>
  <c r="A3275" i="9"/>
  <c r="A3274" i="9"/>
  <c r="A3273" i="9"/>
  <c r="A3272" i="9"/>
  <c r="A3271" i="9"/>
  <c r="A3270" i="9"/>
  <c r="A3269" i="9"/>
  <c r="A3268" i="9"/>
  <c r="A3267" i="9"/>
  <c r="A3266" i="9"/>
  <c r="A3265" i="9"/>
  <c r="A3264" i="9"/>
  <c r="A3263" i="9"/>
  <c r="A3262" i="9"/>
  <c r="A3261" i="9"/>
  <c r="A3260" i="9"/>
  <c r="A3259" i="9"/>
  <c r="A3258" i="9"/>
  <c r="A3257" i="9"/>
  <c r="A3256" i="9"/>
  <c r="A3255" i="9"/>
  <c r="A3254" i="9"/>
  <c r="A3253" i="9"/>
  <c r="A3252" i="9"/>
  <c r="A3251" i="9"/>
  <c r="A3250" i="9"/>
  <c r="A3249" i="9"/>
  <c r="A3248" i="9"/>
  <c r="A3247" i="9"/>
  <c r="A3246" i="9"/>
  <c r="A3245" i="9"/>
  <c r="A3244" i="9"/>
  <c r="A3243" i="9"/>
  <c r="A3242" i="9"/>
  <c r="A3241" i="9"/>
  <c r="A3240" i="9"/>
  <c r="A3239" i="9"/>
  <c r="A3238" i="9"/>
  <c r="A3237" i="9"/>
  <c r="A3236" i="9"/>
  <c r="A3235" i="9"/>
  <c r="A3234" i="9"/>
  <c r="A3233" i="9"/>
  <c r="A3232" i="9"/>
  <c r="A3231" i="9"/>
  <c r="A3230" i="9"/>
  <c r="A3229" i="9"/>
  <c r="A3228" i="9"/>
  <c r="A3227" i="9"/>
  <c r="A3226" i="9"/>
  <c r="A3225" i="9"/>
  <c r="A3224" i="9"/>
  <c r="A3223" i="9"/>
  <c r="A3222" i="9"/>
  <c r="A3221" i="9"/>
  <c r="A3220" i="9"/>
  <c r="A3219" i="9"/>
  <c r="A3218" i="9"/>
  <c r="A3217" i="9"/>
  <c r="A3216" i="9"/>
  <c r="A3215" i="9"/>
  <c r="A3214" i="9"/>
  <c r="A3213" i="9"/>
  <c r="A3212" i="9"/>
  <c r="A3211" i="9"/>
  <c r="A3210" i="9"/>
  <c r="A3209" i="9"/>
  <c r="A3208" i="9"/>
  <c r="A3207" i="9"/>
  <c r="A3206" i="9"/>
  <c r="A3205" i="9"/>
  <c r="A3204" i="9"/>
  <c r="A3203" i="9"/>
  <c r="A3202" i="9"/>
  <c r="A3201" i="9"/>
  <c r="A3200" i="9"/>
  <c r="A3199" i="9"/>
  <c r="A3198" i="9"/>
  <c r="A3197" i="9"/>
  <c r="A3196" i="9"/>
  <c r="A3195" i="9"/>
  <c r="A3194" i="9"/>
  <c r="A3193" i="9"/>
  <c r="A3192" i="9"/>
  <c r="A3191" i="9"/>
  <c r="A3190" i="9"/>
  <c r="A3189" i="9"/>
  <c r="A3188" i="9"/>
  <c r="A3187" i="9"/>
  <c r="A3186" i="9"/>
  <c r="A3185" i="9"/>
  <c r="A3184" i="9"/>
  <c r="A3183" i="9"/>
  <c r="A3182" i="9"/>
  <c r="A3181" i="9"/>
  <c r="A3180" i="9"/>
  <c r="A3179" i="9"/>
  <c r="A3178" i="9"/>
  <c r="A3177" i="9"/>
  <c r="A3176" i="9"/>
  <c r="A3175" i="9"/>
  <c r="A3174" i="9"/>
  <c r="A3173" i="9"/>
  <c r="A3172" i="9"/>
  <c r="A3171" i="9"/>
  <c r="A3170" i="9"/>
  <c r="A3169" i="9"/>
  <c r="A3168" i="9"/>
  <c r="A3167" i="9"/>
  <c r="A3166" i="9"/>
  <c r="A3165" i="9"/>
  <c r="A3164" i="9"/>
  <c r="A3163" i="9"/>
  <c r="A3162" i="9"/>
  <c r="A3161" i="9"/>
  <c r="A3160" i="9"/>
  <c r="A3159" i="9"/>
  <c r="A3158" i="9"/>
  <c r="A3157" i="9"/>
  <c r="A3156" i="9"/>
  <c r="A3155" i="9"/>
  <c r="A3154" i="9"/>
  <c r="A3153" i="9"/>
  <c r="A3152" i="9"/>
  <c r="A3151" i="9"/>
  <c r="A3150" i="9"/>
  <c r="A3149" i="9"/>
  <c r="A3148" i="9"/>
  <c r="A3147" i="9"/>
  <c r="A3146" i="9"/>
  <c r="A3145" i="9"/>
  <c r="A3144" i="9"/>
  <c r="A3143" i="9"/>
  <c r="A3142" i="9"/>
  <c r="A3141" i="9"/>
  <c r="A3140" i="9"/>
  <c r="A3139" i="9"/>
  <c r="A3138" i="9"/>
  <c r="A3137" i="9"/>
  <c r="A3136" i="9"/>
  <c r="A3135" i="9"/>
  <c r="A3134" i="9"/>
  <c r="A3133" i="9"/>
  <c r="A3132" i="9"/>
  <c r="A3131" i="9"/>
  <c r="A3130" i="9"/>
  <c r="A3129" i="9"/>
  <c r="A3128" i="9"/>
  <c r="A3127" i="9"/>
  <c r="A3126" i="9"/>
  <c r="A3125" i="9"/>
  <c r="A3124" i="9"/>
  <c r="A3123" i="9"/>
  <c r="A3122" i="9"/>
  <c r="A3121" i="9"/>
  <c r="A3120" i="9"/>
  <c r="A3119" i="9"/>
  <c r="A3118" i="9"/>
  <c r="A3117" i="9"/>
  <c r="A3116" i="9"/>
  <c r="A3115" i="9"/>
  <c r="A3114" i="9"/>
  <c r="A3113" i="9"/>
  <c r="A3112" i="9"/>
  <c r="A3111" i="9"/>
  <c r="A3110" i="9"/>
  <c r="A3109" i="9"/>
  <c r="A3108" i="9"/>
  <c r="A3107" i="9"/>
  <c r="A3106" i="9"/>
  <c r="A3105" i="9"/>
  <c r="A3104" i="9"/>
  <c r="A3103" i="9"/>
  <c r="A3102" i="9"/>
  <c r="A3101" i="9"/>
  <c r="A3100" i="9"/>
  <c r="A3099" i="9"/>
  <c r="A3098" i="9"/>
  <c r="A3097" i="9"/>
  <c r="A3096" i="9"/>
  <c r="A3095" i="9"/>
  <c r="A3094" i="9"/>
  <c r="A3093" i="9"/>
  <c r="A3092" i="9"/>
  <c r="A3091" i="9"/>
  <c r="A3090" i="9"/>
  <c r="A3089" i="9"/>
  <c r="A3088" i="9"/>
  <c r="A3087" i="9"/>
  <c r="A3086" i="9"/>
  <c r="A3085" i="9"/>
  <c r="A3084" i="9"/>
  <c r="A3083" i="9"/>
  <c r="A3082" i="9"/>
  <c r="A3081" i="9"/>
  <c r="A3080" i="9"/>
  <c r="A3079" i="9"/>
  <c r="A3078" i="9"/>
  <c r="A3077" i="9"/>
  <c r="A3076" i="9"/>
  <c r="A3075" i="9"/>
  <c r="A3074" i="9"/>
  <c r="A3073" i="9"/>
  <c r="A3072" i="9"/>
  <c r="A3071" i="9"/>
  <c r="A3070" i="9"/>
  <c r="A3069" i="9"/>
  <c r="A3068" i="9"/>
  <c r="A3067" i="9"/>
  <c r="A3066" i="9"/>
  <c r="A3065" i="9"/>
  <c r="A3064" i="9"/>
  <c r="A3063" i="9"/>
  <c r="A3062" i="9"/>
  <c r="A3061" i="9"/>
  <c r="A3060" i="9"/>
  <c r="A3059" i="9"/>
  <c r="A3058" i="9"/>
  <c r="A3057" i="9"/>
  <c r="A3056" i="9"/>
  <c r="A3055" i="9"/>
  <c r="A3054" i="9"/>
  <c r="A3053" i="9"/>
  <c r="A3052" i="9"/>
  <c r="A3051" i="9"/>
  <c r="A3050" i="9"/>
  <c r="A3049" i="9"/>
  <c r="A3048" i="9"/>
  <c r="A3047" i="9"/>
  <c r="A3046" i="9"/>
  <c r="A3045" i="9"/>
  <c r="A3044" i="9"/>
  <c r="A3043" i="9"/>
  <c r="A3042" i="9"/>
  <c r="A3041" i="9"/>
  <c r="A3040" i="9"/>
  <c r="A3039" i="9"/>
  <c r="A3038" i="9"/>
  <c r="A3037" i="9"/>
  <c r="A3036" i="9"/>
  <c r="A3035" i="9"/>
  <c r="A3034" i="9"/>
  <c r="A3033" i="9"/>
  <c r="A3032" i="9"/>
  <c r="A3031" i="9"/>
  <c r="A3030" i="9"/>
  <c r="A3029" i="9"/>
  <c r="A3028" i="9"/>
  <c r="A3027" i="9"/>
  <c r="A3026" i="9"/>
  <c r="A3025" i="9"/>
  <c r="A3024" i="9"/>
  <c r="A3023" i="9"/>
  <c r="A3022" i="9"/>
  <c r="A3021" i="9"/>
  <c r="A3020" i="9"/>
  <c r="A3019" i="9"/>
  <c r="A3018" i="9"/>
  <c r="A3017" i="9"/>
  <c r="A3016" i="9"/>
  <c r="A3015" i="9"/>
  <c r="A3014" i="9"/>
  <c r="A3013" i="9"/>
  <c r="A3012" i="9"/>
  <c r="A3011" i="9"/>
  <c r="A3010" i="9"/>
  <c r="A3009" i="9"/>
  <c r="A3008" i="9"/>
  <c r="A3007" i="9"/>
  <c r="A3006" i="9"/>
  <c r="A3005" i="9"/>
  <c r="A3004" i="9"/>
  <c r="A3003" i="9"/>
  <c r="A3002" i="9"/>
  <c r="A3001" i="9"/>
  <c r="A3000" i="9"/>
  <c r="A2999" i="9"/>
  <c r="A2998" i="9"/>
  <c r="A2997" i="9"/>
  <c r="A2996" i="9"/>
  <c r="A2995" i="9"/>
  <c r="A2994" i="9"/>
  <c r="A2993" i="9"/>
  <c r="A2992" i="9"/>
  <c r="A2991" i="9"/>
  <c r="A2990" i="9"/>
  <c r="A2989" i="9"/>
  <c r="A2988" i="9"/>
  <c r="A2987" i="9"/>
  <c r="A2986" i="9"/>
  <c r="A2985" i="9"/>
  <c r="A2984" i="9"/>
  <c r="A2983" i="9"/>
  <c r="A2982" i="9"/>
  <c r="A2981" i="9"/>
  <c r="A2980" i="9"/>
  <c r="A2979" i="9"/>
  <c r="A2978" i="9"/>
  <c r="A2977" i="9"/>
  <c r="A2976" i="9"/>
  <c r="A2975" i="9"/>
  <c r="A2974" i="9"/>
  <c r="A2973" i="9"/>
  <c r="A2972" i="9"/>
  <c r="A2971" i="9"/>
  <c r="A2970" i="9"/>
  <c r="A2969" i="9"/>
  <c r="A2968" i="9"/>
  <c r="A2967" i="9"/>
  <c r="A2966" i="9"/>
  <c r="A2965" i="9"/>
  <c r="A2964" i="9"/>
  <c r="A2963" i="9"/>
  <c r="A2962" i="9"/>
  <c r="A2961" i="9"/>
  <c r="A2960" i="9"/>
  <c r="A2959" i="9"/>
  <c r="A2958" i="9"/>
  <c r="A2957" i="9"/>
  <c r="A2956" i="9"/>
  <c r="A2955" i="9"/>
  <c r="A2954" i="9"/>
  <c r="A2953" i="9"/>
  <c r="A2952" i="9"/>
  <c r="A2951" i="9"/>
  <c r="A2950" i="9"/>
  <c r="A2949" i="9"/>
  <c r="A2948" i="9"/>
  <c r="A2947" i="9"/>
  <c r="A2946" i="9"/>
  <c r="A2945" i="9"/>
  <c r="A2944" i="9"/>
  <c r="A2943" i="9"/>
  <c r="A2942" i="9"/>
  <c r="A2941" i="9"/>
  <c r="A2940" i="9"/>
  <c r="A2939" i="9"/>
  <c r="A2938" i="9"/>
  <c r="A2937" i="9"/>
  <c r="A2936" i="9"/>
  <c r="A2935" i="9"/>
  <c r="A2934" i="9"/>
  <c r="A2933" i="9"/>
  <c r="A2932" i="9"/>
  <c r="A2931" i="9"/>
  <c r="A2930" i="9"/>
  <c r="A2929" i="9"/>
  <c r="A2928" i="9"/>
  <c r="A2927" i="9"/>
  <c r="A2926" i="9"/>
  <c r="A2925" i="9"/>
  <c r="A2924" i="9"/>
  <c r="A2923" i="9"/>
  <c r="A2922" i="9"/>
  <c r="A2921" i="9"/>
  <c r="A2920" i="9"/>
  <c r="A2919" i="9"/>
  <c r="A2918" i="9"/>
  <c r="A2917" i="9"/>
  <c r="A2916" i="9"/>
  <c r="A2915" i="9"/>
  <c r="A2914" i="9"/>
  <c r="A2913" i="9"/>
  <c r="A2912" i="9"/>
  <c r="A2911" i="9"/>
  <c r="A2910" i="9"/>
  <c r="A2909" i="9"/>
  <c r="A2908" i="9"/>
  <c r="A2907" i="9"/>
  <c r="A2906" i="9"/>
  <c r="A2905" i="9"/>
  <c r="A2904" i="9"/>
  <c r="A2903" i="9"/>
  <c r="A2902" i="9"/>
  <c r="A2901" i="9"/>
  <c r="A2900" i="9"/>
  <c r="A2899" i="9"/>
  <c r="A2898" i="9"/>
  <c r="A2897" i="9"/>
  <c r="A2896" i="9"/>
  <c r="A2895" i="9"/>
  <c r="A2894" i="9"/>
  <c r="A2893" i="9"/>
  <c r="A2892" i="9"/>
  <c r="A2891" i="9"/>
  <c r="A2890" i="9"/>
  <c r="A2889" i="9"/>
  <c r="A2888" i="9"/>
  <c r="A2887" i="9"/>
  <c r="A2886" i="9"/>
  <c r="A2885" i="9"/>
  <c r="A2884" i="9"/>
  <c r="A2883" i="9"/>
  <c r="A2882" i="9"/>
  <c r="A2881" i="9"/>
  <c r="A2880" i="9"/>
  <c r="A2879" i="9"/>
  <c r="A2878" i="9"/>
  <c r="A2877" i="9"/>
  <c r="A2876" i="9"/>
  <c r="A2875" i="9"/>
  <c r="A2874" i="9"/>
  <c r="A2873" i="9"/>
  <c r="A2872" i="9"/>
  <c r="A2871" i="9"/>
  <c r="A2870" i="9"/>
  <c r="A2869" i="9"/>
  <c r="A2868" i="9"/>
  <c r="A2867" i="9"/>
  <c r="A2866" i="9"/>
  <c r="A2865" i="9"/>
  <c r="A2864" i="9"/>
  <c r="A2863" i="9"/>
  <c r="A2862" i="9"/>
  <c r="A2861" i="9"/>
  <c r="A2860" i="9"/>
  <c r="A2859" i="9"/>
  <c r="A2858" i="9"/>
  <c r="A2857" i="9"/>
  <c r="A2856" i="9"/>
  <c r="A2855" i="9"/>
  <c r="A2854" i="9"/>
  <c r="A2853" i="9"/>
  <c r="A2852" i="9"/>
  <c r="A2851" i="9"/>
  <c r="A2850" i="9"/>
  <c r="A2849" i="9"/>
  <c r="A2848" i="9"/>
  <c r="A2847" i="9"/>
  <c r="A2846" i="9"/>
  <c r="A2845" i="9"/>
  <c r="A2844" i="9"/>
  <c r="A2843" i="9"/>
  <c r="A2842" i="9"/>
  <c r="A2841" i="9"/>
  <c r="A2840" i="9"/>
  <c r="A2839" i="9"/>
  <c r="A2838" i="9"/>
  <c r="A2837" i="9"/>
  <c r="A2836" i="9"/>
  <c r="A2835" i="9"/>
  <c r="A2834" i="9"/>
  <c r="A2833" i="9"/>
  <c r="A2832" i="9"/>
  <c r="A2831" i="9"/>
  <c r="A2830" i="9"/>
  <c r="A2829" i="9"/>
  <c r="A2828" i="9"/>
  <c r="A2827" i="9"/>
  <c r="A2826" i="9"/>
  <c r="A2825" i="9"/>
  <c r="A2824" i="9"/>
  <c r="A2823" i="9"/>
  <c r="A2822" i="9"/>
  <c r="A2821" i="9"/>
  <c r="A2820" i="9"/>
  <c r="A2819" i="9"/>
  <c r="A2818" i="9"/>
  <c r="A2817" i="9"/>
  <c r="A2816" i="9"/>
  <c r="A2815" i="9"/>
  <c r="A2814" i="9"/>
  <c r="A2813" i="9"/>
  <c r="A2812" i="9"/>
  <c r="A2811" i="9"/>
  <c r="A2810" i="9"/>
  <c r="A2809" i="9"/>
  <c r="A2808" i="9"/>
  <c r="A2807" i="9"/>
  <c r="A2806" i="9"/>
  <c r="A2805" i="9"/>
  <c r="A2804" i="9"/>
  <c r="A2803" i="9"/>
  <c r="A2802" i="9"/>
  <c r="A2801" i="9"/>
  <c r="A2800" i="9"/>
  <c r="A2799" i="9"/>
  <c r="A2798" i="9"/>
  <c r="A2797" i="9"/>
  <c r="A2796" i="9"/>
  <c r="A2795" i="9"/>
  <c r="A2794" i="9"/>
  <c r="A2793" i="9"/>
  <c r="A2792" i="9"/>
  <c r="A2791" i="9"/>
  <c r="A2790" i="9"/>
  <c r="A2789" i="9"/>
  <c r="A2788" i="9"/>
  <c r="A2787" i="9"/>
  <c r="A2786" i="9"/>
  <c r="A2785" i="9"/>
  <c r="A2784" i="9"/>
  <c r="A2783" i="9"/>
  <c r="A2782" i="9"/>
  <c r="A2781" i="9"/>
  <c r="A2780" i="9"/>
  <c r="A2779" i="9"/>
  <c r="A2778" i="9"/>
  <c r="A2777" i="9"/>
  <c r="A2776" i="9"/>
  <c r="A2775" i="9"/>
  <c r="A2774" i="9"/>
  <c r="A2773" i="9"/>
  <c r="A2772" i="9"/>
  <c r="A2771" i="9"/>
  <c r="A2770" i="9"/>
  <c r="A2769" i="9"/>
  <c r="A2768" i="9"/>
  <c r="A2767" i="9"/>
  <c r="A2766" i="9"/>
  <c r="A2765" i="9"/>
  <c r="A2764" i="9"/>
  <c r="A2763" i="9"/>
  <c r="A2762" i="9"/>
  <c r="A2761" i="9"/>
  <c r="A2760" i="9"/>
  <c r="A2759" i="9"/>
  <c r="A2758" i="9"/>
  <c r="A2757" i="9"/>
  <c r="A2756" i="9"/>
  <c r="A2755" i="9"/>
  <c r="A2754" i="9"/>
  <c r="A2753" i="9"/>
  <c r="A2752" i="9"/>
  <c r="A2751" i="9"/>
  <c r="A2750" i="9"/>
  <c r="A2749" i="9"/>
  <c r="A2748" i="9"/>
  <c r="A2747" i="9"/>
  <c r="A2746" i="9"/>
  <c r="A2745" i="9"/>
  <c r="A2744" i="9"/>
  <c r="A2743" i="9"/>
  <c r="A2742" i="9"/>
  <c r="A2741" i="9"/>
  <c r="A2740" i="9"/>
  <c r="A2739" i="9"/>
  <c r="A2738" i="9"/>
  <c r="A2737" i="9"/>
  <c r="A2736" i="9"/>
  <c r="A2735" i="9"/>
  <c r="A2734" i="9"/>
  <c r="A2733" i="9"/>
  <c r="A2732" i="9"/>
  <c r="A2731" i="9"/>
  <c r="A2730" i="9"/>
  <c r="A2729" i="9"/>
  <c r="A2728" i="9"/>
  <c r="A2727" i="9"/>
  <c r="A2726" i="9"/>
  <c r="A2725" i="9"/>
  <c r="A2724" i="9"/>
  <c r="A2723" i="9"/>
  <c r="A2722" i="9"/>
  <c r="A2721" i="9"/>
  <c r="A2720" i="9"/>
  <c r="A2719" i="9"/>
  <c r="A2718" i="9"/>
  <c r="A2717" i="9"/>
  <c r="A2716" i="9"/>
  <c r="A2715" i="9"/>
  <c r="A2714" i="9"/>
  <c r="A2713" i="9"/>
  <c r="A2712" i="9"/>
  <c r="A2711" i="9"/>
  <c r="A2710" i="9"/>
  <c r="A2709" i="9"/>
  <c r="A2708" i="9"/>
  <c r="A2707" i="9"/>
  <c r="A2706" i="9"/>
  <c r="A2705" i="9"/>
  <c r="A2704" i="9"/>
  <c r="A2703" i="9"/>
  <c r="A2702" i="9"/>
  <c r="A2701" i="9"/>
  <c r="A2700" i="9"/>
  <c r="A2699" i="9"/>
  <c r="A2698" i="9"/>
  <c r="A2697" i="9"/>
  <c r="A2696" i="9"/>
  <c r="A2695" i="9"/>
  <c r="A2694" i="9"/>
  <c r="A2693" i="9"/>
  <c r="A2692" i="9"/>
  <c r="A2691" i="9"/>
  <c r="A2690" i="9"/>
  <c r="A2689" i="9"/>
  <c r="A2688" i="9"/>
  <c r="A2687" i="9"/>
  <c r="A2686" i="9"/>
  <c r="A2685" i="9"/>
  <c r="A2684" i="9"/>
  <c r="A2683" i="9"/>
  <c r="A2682" i="9"/>
  <c r="A2681" i="9"/>
  <c r="A2680" i="9"/>
  <c r="A2679" i="9"/>
  <c r="A2678" i="9"/>
  <c r="A2677" i="9"/>
  <c r="A2676" i="9"/>
  <c r="A2675" i="9"/>
  <c r="A2674" i="9"/>
  <c r="A2673" i="9"/>
  <c r="A2672" i="9"/>
  <c r="A2671" i="9"/>
  <c r="A2670" i="9"/>
  <c r="A2669" i="9"/>
  <c r="A2668" i="9"/>
  <c r="A2667" i="9"/>
  <c r="A2666" i="9"/>
  <c r="A2665" i="9"/>
  <c r="A2664" i="9"/>
  <c r="A2663" i="9"/>
  <c r="A2662" i="9"/>
  <c r="A2661" i="9"/>
  <c r="A2660" i="9"/>
  <c r="A2659" i="9"/>
  <c r="A2658" i="9"/>
  <c r="A2657" i="9"/>
  <c r="A2656" i="9"/>
  <c r="A2655" i="9"/>
  <c r="A2654" i="9"/>
  <c r="A2653" i="9"/>
  <c r="A2652" i="9"/>
  <c r="A2651" i="9"/>
  <c r="A2650" i="9"/>
  <c r="A2649" i="9"/>
  <c r="A2648" i="9"/>
  <c r="A2647" i="9"/>
  <c r="A2646" i="9"/>
  <c r="A2645" i="9"/>
  <c r="A2644" i="9"/>
  <c r="A2643" i="9"/>
  <c r="A2642" i="9"/>
  <c r="A2641" i="9"/>
  <c r="A2640" i="9"/>
  <c r="A2639" i="9"/>
  <c r="A2638" i="9"/>
  <c r="A2637" i="9"/>
  <c r="A2636" i="9"/>
  <c r="A2635" i="9"/>
  <c r="A2634" i="9"/>
  <c r="A2633" i="9"/>
  <c r="A2632" i="9"/>
  <c r="A2631" i="9"/>
  <c r="A2630" i="9"/>
  <c r="A2629" i="9"/>
  <c r="A2628" i="9"/>
  <c r="A2627" i="9"/>
  <c r="A2626" i="9"/>
  <c r="A2625" i="9"/>
  <c r="A2624" i="9"/>
  <c r="A2623" i="9"/>
  <c r="A2622" i="9"/>
  <c r="A2621" i="9"/>
  <c r="A2620" i="9"/>
  <c r="A2619" i="9"/>
  <c r="A2618" i="9"/>
  <c r="A2617" i="9"/>
  <c r="A2616" i="9"/>
  <c r="A2615" i="9"/>
  <c r="A2614" i="9"/>
  <c r="A2613" i="9"/>
  <c r="A2612" i="9"/>
  <c r="A2611" i="9"/>
  <c r="A2610" i="9"/>
  <c r="A2609" i="9"/>
  <c r="A2608" i="9"/>
  <c r="A2607" i="9"/>
  <c r="A2606" i="9"/>
  <c r="A2605" i="9"/>
  <c r="A2604" i="9"/>
  <c r="A2603" i="9"/>
  <c r="A2602" i="9"/>
  <c r="A2601" i="9"/>
  <c r="A2600" i="9"/>
  <c r="A2599" i="9"/>
  <c r="A2598" i="9"/>
  <c r="A2597" i="9"/>
  <c r="A2596" i="9"/>
  <c r="A2595" i="9"/>
  <c r="A2594" i="9"/>
  <c r="A2593" i="9"/>
  <c r="A2592" i="9"/>
  <c r="A2591" i="9"/>
  <c r="A2590" i="9"/>
  <c r="A2589" i="9"/>
  <c r="A2588" i="9"/>
  <c r="A2587" i="9"/>
  <c r="A2586" i="9"/>
  <c r="A2585" i="9"/>
  <c r="A2584" i="9"/>
  <c r="A2583" i="9"/>
  <c r="A2582" i="9"/>
  <c r="A2581" i="9"/>
  <c r="A2580" i="9"/>
  <c r="A2579" i="9"/>
  <c r="A2578" i="9"/>
  <c r="A2577" i="9"/>
  <c r="A2576" i="9"/>
  <c r="A2575" i="9"/>
  <c r="A2574" i="9"/>
  <c r="A2573" i="9"/>
  <c r="A2572" i="9"/>
  <c r="A2571" i="9"/>
  <c r="A2570" i="9"/>
  <c r="A2569" i="9"/>
  <c r="A2568" i="9"/>
  <c r="A2567" i="9"/>
  <c r="A2566" i="9"/>
  <c r="A2565" i="9"/>
  <c r="A2564" i="9"/>
  <c r="A2563" i="9"/>
  <c r="A2562" i="9"/>
  <c r="A2561" i="9"/>
  <c r="A2560" i="9"/>
  <c r="A2559" i="9"/>
  <c r="A2558" i="9"/>
  <c r="A2557" i="9"/>
  <c r="A2556" i="9"/>
  <c r="A2555" i="9"/>
  <c r="A2554" i="9"/>
  <c r="A2553" i="9"/>
  <c r="A2552" i="9"/>
  <c r="A2551" i="9"/>
  <c r="A2550" i="9"/>
  <c r="A2549" i="9"/>
  <c r="A2548" i="9"/>
  <c r="A2547" i="9"/>
  <c r="A2546" i="9"/>
  <c r="A2545" i="9"/>
  <c r="A2544" i="9"/>
  <c r="A2543" i="9"/>
  <c r="A2542" i="9"/>
  <c r="A2541" i="9"/>
  <c r="A2540" i="9"/>
  <c r="A2539" i="9"/>
  <c r="A2538" i="9"/>
  <c r="A2537" i="9"/>
  <c r="A2536" i="9"/>
  <c r="A2535" i="9"/>
  <c r="A2534" i="9"/>
  <c r="A2533" i="9"/>
  <c r="A2532" i="9"/>
  <c r="A2531" i="9"/>
  <c r="A2530" i="9"/>
  <c r="A2529" i="9"/>
  <c r="A2528" i="9"/>
  <c r="A2527" i="9"/>
  <c r="A2526" i="9"/>
  <c r="A2525" i="9"/>
  <c r="A2524" i="9"/>
  <c r="A2523" i="9"/>
  <c r="A2522" i="9"/>
  <c r="A2521" i="9"/>
  <c r="A2520" i="9"/>
  <c r="A2519" i="9"/>
  <c r="A2518" i="9"/>
  <c r="A2517" i="9"/>
  <c r="A2516" i="9"/>
  <c r="A2515" i="9"/>
  <c r="A2514" i="9"/>
  <c r="A2513" i="9"/>
  <c r="A2512" i="9"/>
  <c r="A2511" i="9"/>
  <c r="A2510" i="9"/>
  <c r="A2509" i="9"/>
  <c r="A2508" i="9"/>
  <c r="A2507" i="9"/>
  <c r="A2506" i="9"/>
  <c r="A2505" i="9"/>
  <c r="A2504" i="9"/>
  <c r="A2503" i="9"/>
  <c r="A2502" i="9"/>
  <c r="A2501" i="9"/>
  <c r="A2500" i="9"/>
  <c r="A2499" i="9"/>
  <c r="A2498" i="9"/>
  <c r="A2497" i="9"/>
  <c r="A2496" i="9"/>
  <c r="A2495" i="9"/>
  <c r="A2494" i="9"/>
  <c r="A2493" i="9"/>
  <c r="A2492" i="9"/>
  <c r="A2491" i="9"/>
  <c r="A2490" i="9"/>
  <c r="A2489" i="9"/>
  <c r="A2488" i="9"/>
  <c r="A2487" i="9"/>
  <c r="A2486" i="9"/>
  <c r="A2485" i="9"/>
  <c r="A2484" i="9"/>
  <c r="A2483" i="9"/>
  <c r="A2482" i="9"/>
  <c r="A2481" i="9"/>
  <c r="A2480" i="9"/>
  <c r="A2479" i="9"/>
  <c r="A2478" i="9"/>
  <c r="A2477" i="9"/>
  <c r="A2476" i="9"/>
  <c r="A2475" i="9"/>
  <c r="A2474" i="9"/>
  <c r="A2473" i="9"/>
  <c r="A2472" i="9"/>
  <c r="A2471" i="9"/>
  <c r="A2470" i="9"/>
  <c r="A2469" i="9"/>
  <c r="A2468" i="9"/>
  <c r="A2467" i="9"/>
  <c r="A2466" i="9"/>
  <c r="A2465" i="9"/>
  <c r="A2464" i="9"/>
  <c r="A2463" i="9"/>
  <c r="A2462" i="9"/>
  <c r="A2461" i="9"/>
  <c r="A2460" i="9"/>
  <c r="A2459" i="9"/>
  <c r="A2458" i="9"/>
  <c r="A2457" i="9"/>
  <c r="A2456" i="9"/>
  <c r="A2455" i="9"/>
  <c r="A2454" i="9"/>
  <c r="A2453" i="9"/>
  <c r="A2452" i="9"/>
  <c r="A2451" i="9"/>
  <c r="A2450" i="9"/>
  <c r="A2449" i="9"/>
  <c r="A2448" i="9"/>
  <c r="A2447" i="9"/>
  <c r="A2446" i="9"/>
  <c r="A2445" i="9"/>
  <c r="A2444" i="9"/>
  <c r="A2443" i="9"/>
  <c r="A2442" i="9"/>
  <c r="A2441" i="9"/>
  <c r="A2440" i="9"/>
  <c r="A2439" i="9"/>
  <c r="A2438" i="9"/>
  <c r="A2437" i="9"/>
  <c r="A2436" i="9"/>
  <c r="A2435" i="9"/>
  <c r="A2434" i="9"/>
  <c r="A2433" i="9"/>
  <c r="A2432" i="9"/>
  <c r="A2431" i="9"/>
  <c r="A2430" i="9"/>
  <c r="A2429" i="9"/>
  <c r="A2428" i="9"/>
  <c r="A2427" i="9"/>
  <c r="A2426" i="9"/>
  <c r="A2425" i="9"/>
  <c r="A2424" i="9"/>
  <c r="A2423" i="9"/>
  <c r="A2422" i="9"/>
  <c r="A2421" i="9"/>
  <c r="A2420" i="9"/>
  <c r="A2419" i="9"/>
  <c r="A2418" i="9"/>
  <c r="A2417" i="9"/>
  <c r="A2416" i="9"/>
  <c r="A2415" i="9"/>
  <c r="A2414" i="9"/>
  <c r="A2413" i="9"/>
  <c r="A2412" i="9"/>
  <c r="A2411" i="9"/>
  <c r="A2410" i="9"/>
  <c r="A2409" i="9"/>
  <c r="A2408" i="9"/>
  <c r="A2407" i="9"/>
  <c r="A2406" i="9"/>
  <c r="A2405" i="9"/>
  <c r="A2404" i="9"/>
  <c r="A2403" i="9"/>
  <c r="A2402" i="9"/>
  <c r="A2401" i="9"/>
  <c r="A2400" i="9"/>
  <c r="A2399" i="9"/>
  <c r="A2398" i="9"/>
  <c r="A2397" i="9"/>
  <c r="A2396" i="9"/>
  <c r="A2395" i="9"/>
  <c r="A2394" i="9"/>
  <c r="A2393" i="9"/>
  <c r="A2392" i="9"/>
  <c r="A2391" i="9"/>
  <c r="A2390" i="9"/>
  <c r="A2389" i="9"/>
  <c r="A2388" i="9"/>
  <c r="A2387" i="9"/>
  <c r="A2386" i="9"/>
  <c r="A2385" i="9"/>
  <c r="A2384" i="9"/>
  <c r="A2383" i="9"/>
  <c r="A2382" i="9"/>
  <c r="A2381" i="9"/>
  <c r="A2380" i="9"/>
  <c r="A2379" i="9"/>
  <c r="A2378" i="9"/>
  <c r="A2377" i="9"/>
  <c r="A2376" i="9"/>
  <c r="A2375" i="9"/>
  <c r="A2374" i="9"/>
  <c r="A2373" i="9"/>
  <c r="A2372" i="9"/>
  <c r="A2371" i="9"/>
  <c r="A2370" i="9"/>
  <c r="A2369" i="9"/>
  <c r="A2368" i="9"/>
  <c r="A2367" i="9"/>
  <c r="A2366" i="9"/>
  <c r="A2365" i="9"/>
  <c r="A2364" i="9"/>
  <c r="A2363" i="9"/>
  <c r="A2362" i="9"/>
  <c r="A2361" i="9"/>
  <c r="A2360" i="9"/>
  <c r="A2359" i="9"/>
  <c r="A2358" i="9"/>
  <c r="A2357" i="9"/>
  <c r="A2356" i="9"/>
  <c r="A2355" i="9"/>
  <c r="A2354" i="9"/>
  <c r="A2353" i="9"/>
  <c r="A2352" i="9"/>
  <c r="A2351" i="9"/>
  <c r="A2350" i="9"/>
  <c r="A2349" i="9"/>
  <c r="A2348" i="9"/>
  <c r="A2347" i="9"/>
  <c r="A2346" i="9"/>
  <c r="A2345" i="9"/>
  <c r="A2344" i="9"/>
  <c r="A2343" i="9"/>
  <c r="A2342" i="9"/>
  <c r="A2341" i="9"/>
  <c r="A2340" i="9"/>
  <c r="A2339" i="9"/>
  <c r="A2338" i="9"/>
  <c r="A2337" i="9"/>
  <c r="A2336" i="9"/>
  <c r="A2335" i="9"/>
  <c r="A2334" i="9"/>
  <c r="A2333" i="9"/>
  <c r="A2332" i="9"/>
  <c r="A2331" i="9"/>
  <c r="A2330" i="9"/>
  <c r="A2329" i="9"/>
  <c r="A2328" i="9"/>
  <c r="A2327" i="9"/>
  <c r="A2326" i="9"/>
  <c r="A2325" i="9"/>
  <c r="A2324" i="9"/>
  <c r="A2323" i="9"/>
  <c r="A2322" i="9"/>
  <c r="A2321" i="9"/>
  <c r="A2320" i="9"/>
  <c r="A2319" i="9"/>
  <c r="A2318" i="9"/>
  <c r="A2317" i="9"/>
  <c r="A2316" i="9"/>
  <c r="A2315" i="9"/>
  <c r="A2314" i="9"/>
  <c r="A2313" i="9"/>
  <c r="A2312" i="9"/>
  <c r="A2311" i="9"/>
  <c r="A2310" i="9"/>
  <c r="A2309" i="9"/>
  <c r="A2308" i="9"/>
  <c r="A2307" i="9"/>
  <c r="A2306" i="9"/>
  <c r="A2305" i="9"/>
  <c r="A2304" i="9"/>
  <c r="A2303" i="9"/>
  <c r="A2302" i="9"/>
  <c r="A2301" i="9"/>
  <c r="A2300" i="9"/>
  <c r="A2299" i="9"/>
  <c r="A2298" i="9"/>
  <c r="A2297" i="9"/>
  <c r="A2296" i="9"/>
  <c r="A2295" i="9"/>
  <c r="A2294" i="9"/>
  <c r="A2293" i="9"/>
  <c r="A2292" i="9"/>
  <c r="A2291" i="9"/>
  <c r="A2290" i="9"/>
  <c r="A2289" i="9"/>
  <c r="A2288" i="9"/>
  <c r="A2287" i="9"/>
  <c r="A2286" i="9"/>
  <c r="A2285" i="9"/>
  <c r="A2284" i="9"/>
  <c r="A2283" i="9"/>
  <c r="A2282" i="9"/>
  <c r="A2281" i="9"/>
  <c r="A2280" i="9"/>
  <c r="A2279" i="9"/>
  <c r="A2278" i="9"/>
  <c r="A2277" i="9"/>
  <c r="A2276" i="9"/>
  <c r="A2275" i="9"/>
  <c r="A2274" i="9"/>
  <c r="A2273" i="9"/>
  <c r="A2272" i="9"/>
  <c r="A2271" i="9"/>
  <c r="A2270" i="9"/>
  <c r="A2269" i="9"/>
  <c r="A2268" i="9"/>
  <c r="A2267" i="9"/>
  <c r="A2266" i="9"/>
  <c r="A2265" i="9"/>
  <c r="A2264" i="9"/>
  <c r="A2263" i="9"/>
  <c r="A2262" i="9"/>
  <c r="A2261" i="9"/>
  <c r="A2260" i="9"/>
  <c r="A2259" i="9"/>
  <c r="A2258" i="9"/>
  <c r="A2257" i="9"/>
  <c r="A2256" i="9"/>
  <c r="A2255" i="9"/>
  <c r="A2254" i="9"/>
  <c r="A2253" i="9"/>
  <c r="A2252" i="9"/>
  <c r="A2251" i="9"/>
  <c r="A2250" i="9"/>
  <c r="A2249" i="9"/>
  <c r="A2248" i="9"/>
  <c r="A2247" i="9"/>
  <c r="A2246" i="9"/>
  <c r="A2245" i="9"/>
  <c r="A2244" i="9"/>
  <c r="A2243" i="9"/>
  <c r="A2242" i="9"/>
  <c r="A2241" i="9"/>
  <c r="A2240" i="9"/>
  <c r="A2239" i="9"/>
  <c r="A2238" i="9"/>
  <c r="A2237" i="9"/>
  <c r="A2236" i="9"/>
  <c r="A2235" i="9"/>
  <c r="A2234" i="9"/>
  <c r="A2233" i="9"/>
  <c r="A2232" i="9"/>
  <c r="A2231" i="9"/>
  <c r="A2230" i="9"/>
  <c r="A2229" i="9"/>
  <c r="A2228" i="9"/>
  <c r="A2227" i="9"/>
  <c r="A2226" i="9"/>
  <c r="A2225" i="9"/>
  <c r="A2224" i="9"/>
  <c r="A2223" i="9"/>
  <c r="A2222" i="9"/>
  <c r="A2221" i="9"/>
  <c r="A2220" i="9"/>
  <c r="A2219" i="9"/>
  <c r="A2218" i="9"/>
  <c r="A2217" i="9"/>
  <c r="A2216" i="9"/>
  <c r="A2215" i="9"/>
  <c r="A2214" i="9"/>
  <c r="A2213" i="9"/>
  <c r="A2212" i="9"/>
  <c r="A2211" i="9"/>
  <c r="A2210" i="9"/>
  <c r="A2209" i="9"/>
  <c r="A2208" i="9"/>
  <c r="A2207" i="9"/>
  <c r="A2206" i="9"/>
  <c r="A2205" i="9"/>
  <c r="A2204" i="9"/>
  <c r="A2203" i="9"/>
  <c r="A2202" i="9"/>
  <c r="A2201" i="9"/>
  <c r="A2200" i="9"/>
  <c r="A2199" i="9"/>
  <c r="A2198" i="9"/>
  <c r="A2197" i="9"/>
  <c r="A2196" i="9"/>
  <c r="A2195" i="9"/>
  <c r="A2194" i="9"/>
  <c r="A2193" i="9"/>
  <c r="A2192" i="9"/>
  <c r="A2191" i="9"/>
  <c r="A2190" i="9"/>
  <c r="A2189" i="9"/>
  <c r="A2188" i="9"/>
  <c r="A2187" i="9"/>
  <c r="A2186" i="9"/>
  <c r="A2185" i="9"/>
  <c r="A2184" i="9"/>
  <c r="A2183" i="9"/>
  <c r="A2182" i="9"/>
  <c r="A2181" i="9"/>
  <c r="A2180" i="9"/>
  <c r="A2179" i="9"/>
  <c r="A2178" i="9"/>
  <c r="A2177" i="9"/>
  <c r="A2176" i="9"/>
  <c r="A2175" i="9"/>
  <c r="A2174" i="9"/>
  <c r="A2173" i="9"/>
  <c r="A2172" i="9"/>
  <c r="A2171" i="9"/>
  <c r="A2170" i="9"/>
  <c r="A2169" i="9"/>
  <c r="A2168" i="9"/>
  <c r="A2167" i="9"/>
  <c r="A2166" i="9"/>
  <c r="A2165" i="9"/>
  <c r="A2164" i="9"/>
  <c r="A2163" i="9"/>
  <c r="A2162" i="9"/>
  <c r="A2161" i="9"/>
  <c r="A2160" i="9"/>
  <c r="A2159" i="9"/>
  <c r="A2158" i="9"/>
  <c r="A2157" i="9"/>
  <c r="A2156" i="9"/>
  <c r="A2155" i="9"/>
  <c r="A2154" i="9"/>
  <c r="A2153" i="9"/>
  <c r="A2152" i="9"/>
  <c r="A2151" i="9"/>
  <c r="A2150" i="9"/>
  <c r="A2149" i="9"/>
  <c r="A2148" i="9"/>
  <c r="A2147" i="9"/>
  <c r="A2146" i="9"/>
  <c r="A2145" i="9"/>
  <c r="A2144" i="9"/>
  <c r="A2143" i="9"/>
  <c r="A2142" i="9"/>
  <c r="A2141" i="9"/>
  <c r="A2140" i="9"/>
  <c r="A2139" i="9"/>
  <c r="A2138" i="9"/>
  <c r="A2137" i="9"/>
  <c r="A2136" i="9"/>
  <c r="A2135" i="9"/>
  <c r="A2134" i="9"/>
  <c r="A2133" i="9"/>
  <c r="A2132" i="9"/>
  <c r="A2131" i="9"/>
  <c r="A2130" i="9"/>
  <c r="A2129" i="9"/>
  <c r="A2128" i="9"/>
  <c r="A2127" i="9"/>
  <c r="A2126" i="9"/>
  <c r="A2125" i="9"/>
  <c r="A2124" i="9"/>
  <c r="A2123" i="9"/>
  <c r="A2122" i="9"/>
  <c r="A2121" i="9"/>
  <c r="A2120" i="9"/>
  <c r="A2119" i="9"/>
  <c r="A2118" i="9"/>
  <c r="A2117" i="9"/>
  <c r="A2116" i="9"/>
  <c r="A2115" i="9"/>
  <c r="A2114" i="9"/>
  <c r="A2113" i="9"/>
  <c r="A2112" i="9"/>
  <c r="A2111" i="9"/>
  <c r="A2110" i="9"/>
  <c r="A2109" i="9"/>
  <c r="A2108" i="9"/>
  <c r="A2107" i="9"/>
  <c r="A2106" i="9"/>
  <c r="A2105" i="9"/>
  <c r="A2104" i="9"/>
  <c r="A2103" i="9"/>
  <c r="A2102" i="9"/>
  <c r="A2101" i="9"/>
  <c r="A2100" i="9"/>
  <c r="A2099" i="9"/>
  <c r="A2098" i="9"/>
  <c r="A2097" i="9"/>
  <c r="A2096" i="9"/>
  <c r="A2095" i="9"/>
  <c r="A2094" i="9"/>
  <c r="A2093" i="9"/>
  <c r="A2092" i="9"/>
  <c r="A2091" i="9"/>
  <c r="A2090" i="9"/>
  <c r="A2089" i="9"/>
  <c r="A2088" i="9"/>
  <c r="A2087" i="9"/>
  <c r="A2086" i="9"/>
  <c r="A2085" i="9"/>
  <c r="A2084" i="9"/>
  <c r="A2083" i="9"/>
  <c r="A2082" i="9"/>
  <c r="A2081" i="9"/>
  <c r="A2080" i="9"/>
  <c r="A2079" i="9"/>
  <c r="A2078" i="9"/>
  <c r="A2077" i="9"/>
  <c r="A2076" i="9"/>
  <c r="A2075" i="9"/>
  <c r="A2074" i="9"/>
  <c r="A2073" i="9"/>
  <c r="A2072" i="9"/>
  <c r="A2071" i="9"/>
  <c r="A2070" i="9"/>
  <c r="A2069" i="9"/>
  <c r="A2068" i="9"/>
  <c r="A2067" i="9"/>
  <c r="A2066" i="9"/>
  <c r="A2065" i="9"/>
  <c r="A2064" i="9"/>
  <c r="A2063" i="9"/>
  <c r="A2062" i="9"/>
  <c r="A2061" i="9"/>
  <c r="A2060" i="9"/>
  <c r="A2059" i="9"/>
  <c r="A2058" i="9"/>
  <c r="A2057" i="9"/>
  <c r="A2056" i="9"/>
  <c r="A2055" i="9"/>
  <c r="A2054" i="9"/>
  <c r="A2053" i="9"/>
  <c r="A2052" i="9"/>
  <c r="A2051" i="9"/>
  <c r="A2050" i="9"/>
  <c r="A2049" i="9"/>
  <c r="A2048" i="9"/>
  <c r="A2047" i="9"/>
  <c r="A2046" i="9"/>
  <c r="A2045" i="9"/>
  <c r="A2044" i="9"/>
  <c r="A2043" i="9"/>
  <c r="A2042" i="9"/>
  <c r="A2041" i="9"/>
  <c r="A2040" i="9"/>
  <c r="A2039" i="9"/>
  <c r="A2038" i="9"/>
  <c r="A2037" i="9"/>
  <c r="A2036" i="9"/>
  <c r="A2035" i="9"/>
  <c r="A2034" i="9"/>
  <c r="A2033" i="9"/>
  <c r="A2032" i="9"/>
  <c r="A2031" i="9"/>
  <c r="A2030" i="9"/>
  <c r="A2029" i="9"/>
  <c r="A2028" i="9"/>
  <c r="A2027" i="9"/>
  <c r="A2026" i="9"/>
  <c r="A2025" i="9"/>
  <c r="A2024" i="9"/>
  <c r="A2023" i="9"/>
  <c r="A2022" i="9"/>
  <c r="A2021" i="9"/>
  <c r="A2020" i="9"/>
  <c r="A2019" i="9"/>
  <c r="A2018" i="9"/>
  <c r="A2017" i="9"/>
  <c r="A2016" i="9"/>
  <c r="A2015" i="9"/>
  <c r="A2014" i="9"/>
  <c r="A2013" i="9"/>
  <c r="A2012" i="9"/>
  <c r="A2011" i="9"/>
  <c r="A2010" i="9"/>
  <c r="A2009" i="9"/>
  <c r="A2008" i="9"/>
  <c r="A2007" i="9"/>
  <c r="A2006" i="9"/>
  <c r="A2005" i="9"/>
  <c r="A2004" i="9"/>
  <c r="A2003" i="9"/>
  <c r="A2002" i="9"/>
  <c r="A2001" i="9"/>
  <c r="A2000" i="9"/>
  <c r="A1999" i="9"/>
  <c r="A1998" i="9"/>
  <c r="A1997" i="9"/>
  <c r="A1996" i="9"/>
  <c r="A1995" i="9"/>
  <c r="A1994" i="9"/>
  <c r="A1993" i="9"/>
  <c r="A1992" i="9"/>
  <c r="A1991" i="9"/>
  <c r="A1990" i="9"/>
  <c r="A1989" i="9"/>
  <c r="A1988" i="9"/>
  <c r="A1987" i="9"/>
  <c r="A1986" i="9"/>
  <c r="A1985" i="9"/>
  <c r="A1984" i="9"/>
  <c r="A1983" i="9"/>
  <c r="A1982" i="9"/>
  <c r="A1981" i="9"/>
  <c r="A1980" i="9"/>
  <c r="A1979" i="9"/>
  <c r="A1978" i="9"/>
  <c r="A1977" i="9"/>
  <c r="A1976" i="9"/>
  <c r="A1975" i="9"/>
  <c r="A1974" i="9"/>
  <c r="A1973" i="9"/>
  <c r="A1972" i="9"/>
  <c r="A1971" i="9"/>
  <c r="A1970" i="9"/>
  <c r="A1969" i="9"/>
  <c r="A1968" i="9"/>
  <c r="A1967" i="9"/>
  <c r="A1966" i="9"/>
  <c r="A1965" i="9"/>
  <c r="A1964" i="9"/>
  <c r="A1963" i="9"/>
  <c r="A1962" i="9"/>
  <c r="A1961" i="9"/>
  <c r="A1960" i="9"/>
  <c r="A1959" i="9"/>
  <c r="A1958" i="9"/>
  <c r="A1957" i="9"/>
  <c r="A1956" i="9"/>
  <c r="A1955" i="9"/>
  <c r="A1954" i="9"/>
  <c r="A1953" i="9"/>
  <c r="A1952" i="9"/>
  <c r="A1951" i="9"/>
  <c r="A1950" i="9"/>
  <c r="A1949" i="9"/>
  <c r="A1948" i="9"/>
  <c r="A1947" i="9"/>
  <c r="A1946" i="9"/>
  <c r="A1945" i="9"/>
  <c r="A1944" i="9"/>
  <c r="A1943" i="9"/>
  <c r="A1942" i="9"/>
  <c r="A1941" i="9"/>
  <c r="A1940" i="9"/>
  <c r="A1939" i="9"/>
  <c r="A1938" i="9"/>
  <c r="A1937" i="9"/>
  <c r="A1936" i="9"/>
  <c r="A1935" i="9"/>
  <c r="A1934" i="9"/>
  <c r="A1933" i="9"/>
  <c r="A1932" i="9"/>
  <c r="A1931" i="9"/>
  <c r="A1930" i="9"/>
  <c r="A1929" i="9"/>
  <c r="A1928" i="9"/>
  <c r="A1927" i="9"/>
  <c r="A1926" i="9"/>
  <c r="A1925" i="9"/>
  <c r="A1924" i="9"/>
  <c r="A1923" i="9"/>
  <c r="A1922" i="9"/>
  <c r="A1921" i="9"/>
  <c r="A1920" i="9"/>
  <c r="A1919" i="9"/>
  <c r="A1918" i="9"/>
  <c r="A1917" i="9"/>
  <c r="A1916" i="9"/>
  <c r="A1915" i="9"/>
  <c r="A1914" i="9"/>
  <c r="A1913" i="9"/>
  <c r="A1912" i="9"/>
  <c r="A1911" i="9"/>
  <c r="A1910" i="9"/>
  <c r="A1909" i="9"/>
  <c r="A1908" i="9"/>
  <c r="A1907" i="9"/>
  <c r="A1906" i="9"/>
  <c r="A1905" i="9"/>
  <c r="A1904" i="9"/>
  <c r="A1903" i="9"/>
  <c r="A1902" i="9"/>
  <c r="A1901" i="9"/>
  <c r="A1900" i="9"/>
  <c r="A1899" i="9"/>
  <c r="A1898" i="9"/>
  <c r="A1897" i="9"/>
  <c r="A1896" i="9"/>
  <c r="A1895" i="9"/>
  <c r="A1894" i="9"/>
  <c r="A1893" i="9"/>
  <c r="A1892" i="9"/>
  <c r="A1891" i="9"/>
  <c r="A1890" i="9"/>
  <c r="A1889" i="9"/>
  <c r="A1888" i="9"/>
  <c r="A1887" i="9"/>
  <c r="A1886" i="9"/>
  <c r="A1885" i="9"/>
  <c r="A1884" i="9"/>
  <c r="A1883" i="9"/>
  <c r="A1882" i="9"/>
  <c r="A1881" i="9"/>
  <c r="A1880" i="9"/>
  <c r="A1879" i="9"/>
  <c r="A1878" i="9"/>
  <c r="A1877" i="9"/>
  <c r="A1876" i="9"/>
  <c r="A1875" i="9"/>
  <c r="A1874" i="9"/>
  <c r="A1873" i="9"/>
  <c r="A1872" i="9"/>
  <c r="A1871" i="9"/>
  <c r="A1870" i="9"/>
  <c r="A1869" i="9"/>
  <c r="A1868" i="9"/>
  <c r="A1867" i="9"/>
  <c r="A1866" i="9"/>
  <c r="A1865" i="9"/>
  <c r="A1864" i="9"/>
  <c r="A1863" i="9"/>
  <c r="A1862" i="9"/>
  <c r="A1861" i="9"/>
  <c r="A1860" i="9"/>
  <c r="A1859" i="9"/>
  <c r="A1858" i="9"/>
  <c r="A1857" i="9"/>
  <c r="A1856" i="9"/>
  <c r="A1855" i="9"/>
  <c r="A1854" i="9"/>
  <c r="A1853" i="9"/>
  <c r="A1852" i="9"/>
  <c r="A1851" i="9"/>
  <c r="A1850" i="9"/>
  <c r="A1849" i="9"/>
  <c r="A1848" i="9"/>
  <c r="A1847" i="9"/>
  <c r="A1846" i="9"/>
  <c r="A1845" i="9"/>
  <c r="A1844" i="9"/>
  <c r="A1843" i="9"/>
  <c r="A1842" i="9"/>
  <c r="A1841" i="9"/>
  <c r="A1840" i="9"/>
  <c r="A1839" i="9"/>
  <c r="A1838" i="9"/>
  <c r="A1837" i="9"/>
  <c r="A1836" i="9"/>
  <c r="A1835" i="9"/>
  <c r="A1834" i="9"/>
  <c r="A1833" i="9"/>
  <c r="A1832" i="9"/>
  <c r="A1831" i="9"/>
  <c r="A1830" i="9"/>
  <c r="A1829" i="9"/>
  <c r="A1828" i="9"/>
  <c r="A1827" i="9"/>
  <c r="A1826" i="9"/>
  <c r="A1825" i="9"/>
  <c r="A1824" i="9"/>
  <c r="A1823" i="9"/>
  <c r="A1822" i="9"/>
  <c r="A1821" i="9"/>
  <c r="A1820" i="9"/>
  <c r="A1819" i="9"/>
  <c r="A1818" i="9"/>
  <c r="A1817" i="9"/>
  <c r="A1816" i="9"/>
  <c r="A1815" i="9"/>
  <c r="A1814" i="9"/>
  <c r="A1813" i="9"/>
  <c r="A1812" i="9"/>
  <c r="A1811" i="9"/>
  <c r="A1810" i="9"/>
  <c r="A1809" i="9"/>
  <c r="A1808" i="9"/>
  <c r="A1807" i="9"/>
  <c r="A1806" i="9"/>
  <c r="A1805" i="9"/>
  <c r="A1804" i="9"/>
  <c r="A1803" i="9"/>
  <c r="A1802" i="9"/>
  <c r="A1801" i="9"/>
  <c r="A1800" i="9"/>
  <c r="A1799" i="9"/>
  <c r="A1798" i="9"/>
  <c r="A1797" i="9"/>
  <c r="A1796" i="9"/>
  <c r="A1795" i="9"/>
  <c r="A1794" i="9"/>
  <c r="A1793" i="9"/>
  <c r="A1792" i="9"/>
  <c r="A1791" i="9"/>
  <c r="A1790" i="9"/>
  <c r="A1789" i="9"/>
  <c r="A1788" i="9"/>
  <c r="A1787" i="9"/>
  <c r="A1786" i="9"/>
  <c r="A1785" i="9"/>
  <c r="A1784" i="9"/>
  <c r="A1783" i="9"/>
  <c r="A1782" i="9"/>
  <c r="A1781" i="9"/>
  <c r="A1780" i="9"/>
  <c r="A1779" i="9"/>
  <c r="A1778" i="9"/>
  <c r="A1777" i="9"/>
  <c r="A1776" i="9"/>
  <c r="A1775" i="9"/>
  <c r="A1774" i="9"/>
  <c r="A1773" i="9"/>
  <c r="A1772" i="9"/>
  <c r="A1771" i="9"/>
  <c r="A1770" i="9"/>
  <c r="A1769" i="9"/>
  <c r="A1768" i="9"/>
  <c r="A1767" i="9"/>
  <c r="A1766" i="9"/>
  <c r="A1765" i="9"/>
  <c r="A1764" i="9"/>
  <c r="A1763" i="9"/>
  <c r="A1762" i="9"/>
  <c r="A1761" i="9"/>
  <c r="A1760" i="9"/>
  <c r="A1759" i="9"/>
  <c r="A1758" i="9"/>
  <c r="A1757" i="9"/>
  <c r="A1756" i="9"/>
  <c r="A1755" i="9"/>
  <c r="A1754" i="9"/>
  <c r="A1753" i="9"/>
  <c r="A1752" i="9"/>
  <c r="A1751" i="9"/>
  <c r="A1750" i="9"/>
  <c r="A1749" i="9"/>
  <c r="A1748" i="9"/>
  <c r="A1747" i="9"/>
  <c r="A1746" i="9"/>
  <c r="A1745" i="9"/>
  <c r="A1744" i="9"/>
  <c r="A1743" i="9"/>
  <c r="A1742" i="9"/>
  <c r="A1741" i="9"/>
  <c r="A1740" i="9"/>
  <c r="A1739" i="9"/>
  <c r="A1738" i="9"/>
  <c r="A1737" i="9"/>
  <c r="A1736" i="9"/>
  <c r="A1735" i="9"/>
  <c r="A1734" i="9"/>
  <c r="A1733" i="9"/>
  <c r="A1732" i="9"/>
  <c r="A1731" i="9"/>
  <c r="A1730" i="9"/>
  <c r="A1729" i="9"/>
  <c r="A1728" i="9"/>
  <c r="A1727" i="9"/>
  <c r="A1726" i="9"/>
  <c r="A1725" i="9"/>
  <c r="A1724" i="9"/>
  <c r="A1723" i="9"/>
  <c r="A1722" i="9"/>
  <c r="A1721" i="9"/>
  <c r="A1720" i="9"/>
  <c r="A1719" i="9"/>
  <c r="A1718" i="9"/>
  <c r="A1717" i="9"/>
  <c r="A1716" i="9"/>
  <c r="A1715" i="9"/>
  <c r="A1714" i="9"/>
  <c r="A1713" i="9"/>
  <c r="A1712" i="9"/>
  <c r="A1711" i="9"/>
  <c r="A1710" i="9"/>
  <c r="A1709" i="9"/>
  <c r="A1708" i="9"/>
  <c r="A1707" i="9"/>
  <c r="A1706" i="9"/>
  <c r="A1705" i="9"/>
  <c r="A1704" i="9"/>
  <c r="A1703" i="9"/>
  <c r="A1702" i="9"/>
  <c r="A1701" i="9"/>
  <c r="A1700" i="9"/>
  <c r="A1699" i="9"/>
  <c r="A1698" i="9"/>
  <c r="A1697" i="9"/>
  <c r="A1696" i="9"/>
  <c r="A1695" i="9"/>
  <c r="A1694" i="9"/>
  <c r="A1693" i="9"/>
  <c r="A1692" i="9"/>
  <c r="A1691" i="9"/>
  <c r="A1690" i="9"/>
  <c r="A1689" i="9"/>
  <c r="A1688" i="9"/>
  <c r="A1687" i="9"/>
  <c r="A1686" i="9"/>
  <c r="A1685" i="9"/>
  <c r="A1684" i="9"/>
  <c r="A1683" i="9"/>
  <c r="A1682" i="9"/>
  <c r="A1681" i="9"/>
  <c r="A1680" i="9"/>
  <c r="A1679" i="9"/>
  <c r="A1678" i="9"/>
  <c r="A1677" i="9"/>
  <c r="A1676" i="9"/>
  <c r="A1675" i="9"/>
  <c r="A1674" i="9"/>
  <c r="A1673" i="9"/>
  <c r="A1672" i="9"/>
  <c r="A1671" i="9"/>
  <c r="A1670" i="9"/>
  <c r="A1669" i="9"/>
  <c r="A1668" i="9"/>
  <c r="A1667" i="9"/>
  <c r="A1666" i="9"/>
  <c r="A1665" i="9"/>
  <c r="A1664" i="9"/>
  <c r="A1663" i="9"/>
  <c r="A1662" i="9"/>
  <c r="A1661" i="9"/>
  <c r="A1660" i="9"/>
  <c r="A1659" i="9"/>
  <c r="A1658" i="9"/>
  <c r="A1657" i="9"/>
  <c r="A1656" i="9"/>
  <c r="A1655" i="9"/>
  <c r="A1654" i="9"/>
  <c r="A1653" i="9"/>
  <c r="A1652" i="9"/>
  <c r="A1651" i="9"/>
  <c r="A1650" i="9"/>
  <c r="A1649" i="9"/>
  <c r="A1648" i="9"/>
  <c r="A1647" i="9"/>
  <c r="A1646" i="9"/>
  <c r="A1645" i="9"/>
  <c r="A1644" i="9"/>
  <c r="A1643" i="9"/>
  <c r="A1642" i="9"/>
  <c r="A1641" i="9"/>
  <c r="A1640" i="9"/>
  <c r="A1639" i="9"/>
  <c r="A1638" i="9"/>
  <c r="A1637" i="9"/>
  <c r="A1636" i="9"/>
  <c r="A1635" i="9"/>
  <c r="A1634" i="9"/>
  <c r="A1633" i="9"/>
  <c r="A1632" i="9"/>
  <c r="A1631" i="9"/>
  <c r="A1630" i="9"/>
  <c r="A1629" i="9"/>
  <c r="A1628" i="9"/>
  <c r="A1627" i="9"/>
  <c r="A1626" i="9"/>
  <c r="A1625" i="9"/>
  <c r="A1624" i="9"/>
  <c r="A1623" i="9"/>
  <c r="A1622" i="9"/>
  <c r="A1621" i="9"/>
  <c r="A1620" i="9"/>
  <c r="A1619" i="9"/>
  <c r="A1618" i="9"/>
  <c r="A1617" i="9"/>
  <c r="A1616" i="9"/>
  <c r="A1615" i="9"/>
  <c r="A1614" i="9"/>
  <c r="A1613" i="9"/>
  <c r="A1612" i="9"/>
  <c r="A1611" i="9"/>
  <c r="A1610" i="9"/>
  <c r="A1609" i="9"/>
  <c r="A1608" i="9"/>
  <c r="A1607" i="9"/>
  <c r="A1606" i="9"/>
  <c r="A1605" i="9"/>
  <c r="A1604" i="9"/>
  <c r="A1603" i="9"/>
  <c r="A1602" i="9"/>
  <c r="A1601" i="9"/>
  <c r="A1600" i="9"/>
  <c r="A1599" i="9"/>
  <c r="A1598" i="9"/>
  <c r="A1597" i="9"/>
  <c r="A1596" i="9"/>
  <c r="A1595" i="9"/>
  <c r="A1594" i="9"/>
  <c r="A1593" i="9"/>
  <c r="A1592" i="9"/>
  <c r="A1591" i="9"/>
  <c r="A1590" i="9"/>
  <c r="A1589" i="9"/>
  <c r="A1588" i="9"/>
  <c r="A1587" i="9"/>
  <c r="A1586" i="9"/>
  <c r="A1585" i="9"/>
  <c r="A1584" i="9"/>
  <c r="A1583" i="9"/>
  <c r="A1582" i="9"/>
  <c r="A1581" i="9"/>
  <c r="A1580" i="9"/>
  <c r="A1579" i="9"/>
  <c r="A1578" i="9"/>
  <c r="A1577" i="9"/>
  <c r="A1576" i="9"/>
  <c r="A1575" i="9"/>
  <c r="A1574" i="9"/>
  <c r="A1573" i="9"/>
  <c r="A1572" i="9"/>
  <c r="A1571" i="9"/>
  <c r="A1570" i="9"/>
  <c r="A1569" i="9"/>
  <c r="A1568" i="9"/>
  <c r="A1567" i="9"/>
  <c r="A1566" i="9"/>
  <c r="A1565" i="9"/>
  <c r="A1564" i="9"/>
  <c r="A1563" i="9"/>
  <c r="A1562" i="9"/>
  <c r="A1561" i="9"/>
  <c r="A1560" i="9"/>
  <c r="A1559" i="9"/>
  <c r="A1558" i="9"/>
  <c r="A1557" i="9"/>
  <c r="A1556" i="9"/>
  <c r="A1555" i="9"/>
  <c r="A1554" i="9"/>
  <c r="A1553" i="9"/>
  <c r="A1552" i="9"/>
  <c r="A1551" i="9"/>
  <c r="A1550" i="9"/>
  <c r="A1549" i="9"/>
  <c r="A1548" i="9"/>
  <c r="A1547" i="9"/>
  <c r="A1546" i="9"/>
  <c r="A1545" i="9"/>
  <c r="A1544" i="9"/>
  <c r="A1543" i="9"/>
  <c r="A1542" i="9"/>
  <c r="A1541" i="9"/>
  <c r="A1540" i="9"/>
  <c r="A1539" i="9"/>
  <c r="A1538" i="9"/>
  <c r="A1537" i="9"/>
  <c r="A1536" i="9"/>
  <c r="A1535" i="9"/>
  <c r="A1534" i="9"/>
  <c r="A1533" i="9"/>
  <c r="A1532" i="9"/>
  <c r="A1531" i="9"/>
  <c r="A1530" i="9"/>
  <c r="A1529" i="9"/>
  <c r="A1528" i="9"/>
  <c r="A1527" i="9"/>
  <c r="A1526" i="9"/>
  <c r="A1525" i="9"/>
  <c r="A1524" i="9"/>
  <c r="A1523" i="9"/>
  <c r="A1522" i="9"/>
  <c r="A1521" i="9"/>
  <c r="A1520" i="9"/>
  <c r="A1519" i="9"/>
  <c r="A1518" i="9"/>
  <c r="A1517" i="9"/>
  <c r="A1516" i="9"/>
  <c r="A1515" i="9"/>
  <c r="A1514" i="9"/>
  <c r="A1513" i="9"/>
  <c r="A1512" i="9"/>
  <c r="A1511" i="9"/>
  <c r="A1510" i="9"/>
  <c r="A1509" i="9"/>
  <c r="A1508" i="9"/>
  <c r="A1507" i="9"/>
  <c r="A1506" i="9"/>
  <c r="A1505" i="9"/>
  <c r="A1504" i="9"/>
  <c r="A1503" i="9"/>
  <c r="A1502" i="9"/>
  <c r="A1501" i="9"/>
  <c r="A1500" i="9"/>
  <c r="A1499" i="9"/>
  <c r="A1498" i="9"/>
  <c r="A1497" i="9"/>
  <c r="A1496" i="9"/>
  <c r="A1495" i="9"/>
  <c r="A1494" i="9"/>
  <c r="A1493" i="9"/>
  <c r="A1492" i="9"/>
  <c r="A1491" i="9"/>
  <c r="A1490" i="9"/>
  <c r="A1489" i="9"/>
  <c r="A1488" i="9"/>
  <c r="A1487" i="9"/>
  <c r="A1486" i="9"/>
  <c r="A1485" i="9"/>
  <c r="A1484" i="9"/>
  <c r="A1483" i="9"/>
  <c r="A1482" i="9"/>
  <c r="A1481" i="9"/>
  <c r="A1480" i="9"/>
  <c r="A1479" i="9"/>
  <c r="A1478" i="9"/>
  <c r="A1477" i="9"/>
  <c r="A1476" i="9"/>
  <c r="A1475" i="9"/>
  <c r="A1474" i="9"/>
  <c r="A1473" i="9"/>
  <c r="A1472" i="9"/>
  <c r="A1471" i="9"/>
  <c r="A1470" i="9"/>
  <c r="A1469" i="9"/>
  <c r="A1468" i="9"/>
  <c r="A1467" i="9"/>
  <c r="A1466" i="9"/>
  <c r="A1465" i="9"/>
  <c r="A1464" i="9"/>
  <c r="A1463" i="9"/>
  <c r="A1462" i="9"/>
  <c r="A1461" i="9"/>
  <c r="A1460" i="9"/>
  <c r="A1459" i="9"/>
  <c r="A1458" i="9"/>
  <c r="A1457" i="9"/>
  <c r="A1456" i="9"/>
  <c r="A1455" i="9"/>
  <c r="A1454" i="9"/>
  <c r="A1453" i="9"/>
  <c r="A1452" i="9"/>
  <c r="A1451" i="9"/>
  <c r="A1450" i="9"/>
  <c r="A1449" i="9"/>
  <c r="A1448" i="9"/>
  <c r="A1447" i="9"/>
  <c r="A1446" i="9"/>
  <c r="A1445" i="9"/>
  <c r="A1444" i="9"/>
  <c r="A1443" i="9"/>
  <c r="A1442" i="9"/>
  <c r="A1441" i="9"/>
  <c r="A1440" i="9"/>
  <c r="A1439" i="9"/>
  <c r="A1438" i="9"/>
  <c r="A1437" i="9"/>
  <c r="A1436" i="9"/>
  <c r="A1435" i="9"/>
  <c r="A1434" i="9"/>
  <c r="A1433" i="9"/>
  <c r="A1432" i="9"/>
  <c r="A1431" i="9"/>
  <c r="A1430" i="9"/>
  <c r="A1429" i="9"/>
  <c r="A1428" i="9"/>
  <c r="A1427" i="9"/>
  <c r="A1426" i="9"/>
  <c r="A1425" i="9"/>
  <c r="A1424" i="9"/>
  <c r="A1423" i="9"/>
  <c r="A1422" i="9"/>
  <c r="A1421" i="9"/>
  <c r="A1420" i="9"/>
  <c r="A1419" i="9"/>
  <c r="A1418" i="9"/>
  <c r="A1417" i="9"/>
  <c r="A1416" i="9"/>
  <c r="A1415" i="9"/>
  <c r="A1414" i="9"/>
  <c r="A1413" i="9"/>
  <c r="A1412" i="9"/>
  <c r="A1411" i="9"/>
  <c r="A1410" i="9"/>
  <c r="A1409" i="9"/>
  <c r="A1408" i="9"/>
  <c r="A1407" i="9"/>
  <c r="A1406" i="9"/>
  <c r="A1405" i="9"/>
  <c r="A1404" i="9"/>
  <c r="A1403" i="9"/>
  <c r="A1402" i="9"/>
  <c r="A1401" i="9"/>
  <c r="A1400" i="9"/>
  <c r="A1399" i="9"/>
  <c r="A1398" i="9"/>
  <c r="A1397" i="9"/>
  <c r="A1396" i="9"/>
  <c r="A1395" i="9"/>
  <c r="A1394" i="9"/>
  <c r="A1393" i="9"/>
  <c r="A1392" i="9"/>
  <c r="A1391" i="9"/>
  <c r="A1390" i="9"/>
  <c r="A1389" i="9"/>
  <c r="A1388" i="9"/>
  <c r="A1387" i="9"/>
  <c r="A1386" i="9"/>
  <c r="A1385" i="9"/>
  <c r="A1384" i="9"/>
  <c r="A1383" i="9"/>
  <c r="A1382" i="9"/>
  <c r="A1381" i="9"/>
  <c r="A1380" i="9"/>
  <c r="A1379" i="9"/>
  <c r="A1378" i="9"/>
  <c r="A1377" i="9"/>
  <c r="A1376" i="9"/>
  <c r="A1375" i="9"/>
  <c r="A1374" i="9"/>
  <c r="A1373" i="9"/>
  <c r="A1372" i="9"/>
  <c r="A1371" i="9"/>
  <c r="A1370" i="9"/>
  <c r="A1369" i="9"/>
  <c r="A1368" i="9"/>
  <c r="A1367" i="9"/>
  <c r="A1366" i="9"/>
  <c r="A1365" i="9"/>
  <c r="A1364" i="9"/>
  <c r="A1363" i="9"/>
  <c r="A1362" i="9"/>
  <c r="A1361" i="9"/>
  <c r="A1360" i="9"/>
  <c r="A1359" i="9"/>
  <c r="A1358" i="9"/>
  <c r="A1357" i="9"/>
  <c r="A1356" i="9"/>
  <c r="A1355" i="9"/>
  <c r="A1354" i="9"/>
  <c r="A1353" i="9"/>
  <c r="A1352" i="9"/>
  <c r="A1351" i="9"/>
  <c r="A1350" i="9"/>
  <c r="A1349" i="9"/>
  <c r="A1348" i="9"/>
  <c r="A1347" i="9"/>
  <c r="A1346" i="9"/>
  <c r="A1345" i="9"/>
  <c r="A1344" i="9"/>
  <c r="A1343" i="9"/>
  <c r="A1342" i="9"/>
  <c r="A1341" i="9"/>
  <c r="A1340" i="9"/>
  <c r="A1339" i="9"/>
  <c r="A1338" i="9"/>
  <c r="A1337" i="9"/>
  <c r="A1336" i="9"/>
  <c r="A1335" i="9"/>
  <c r="A1334" i="9"/>
  <c r="A1333" i="9"/>
  <c r="A1332" i="9"/>
  <c r="A1331" i="9"/>
  <c r="A1330" i="9"/>
  <c r="A1329" i="9"/>
  <c r="A1328" i="9"/>
  <c r="A1327" i="9"/>
  <c r="A1326" i="9"/>
  <c r="A1325" i="9"/>
  <c r="A1324" i="9"/>
  <c r="A1323" i="9"/>
  <c r="A1322" i="9"/>
  <c r="A1321" i="9"/>
  <c r="A1320" i="9"/>
  <c r="A1319" i="9"/>
  <c r="A1318" i="9"/>
  <c r="A1317" i="9"/>
  <c r="A1316" i="9"/>
  <c r="A1315" i="9"/>
  <c r="A1314" i="9"/>
  <c r="A1313" i="9"/>
  <c r="A1312" i="9"/>
  <c r="A1311" i="9"/>
  <c r="A1310" i="9"/>
  <c r="A1309" i="9"/>
  <c r="A1308" i="9"/>
  <c r="A1307" i="9"/>
  <c r="A1306" i="9"/>
  <c r="A1305" i="9"/>
  <c r="A1304" i="9"/>
  <c r="A1303" i="9"/>
  <c r="A1302" i="9"/>
  <c r="A1301" i="9"/>
  <c r="A1300" i="9"/>
  <c r="A1299" i="9"/>
  <c r="A1298" i="9"/>
  <c r="A1297" i="9"/>
  <c r="A1296" i="9"/>
  <c r="A1295" i="9"/>
  <c r="A1294" i="9"/>
  <c r="A1293" i="9"/>
  <c r="A1292" i="9"/>
  <c r="A1291" i="9"/>
  <c r="A1290" i="9"/>
  <c r="A1289" i="9"/>
  <c r="A1288" i="9"/>
  <c r="A1287" i="9"/>
  <c r="A1286" i="9"/>
  <c r="A1285" i="9"/>
  <c r="A1284" i="9"/>
  <c r="A1283" i="9"/>
  <c r="A1282" i="9"/>
  <c r="A1281" i="9"/>
  <c r="A1280" i="9"/>
  <c r="A1279" i="9"/>
  <c r="A1278" i="9"/>
  <c r="A1277" i="9"/>
  <c r="A1276" i="9"/>
  <c r="A1275" i="9"/>
  <c r="A1274" i="9"/>
  <c r="A1273" i="9"/>
  <c r="A1272" i="9"/>
  <c r="A1271" i="9"/>
  <c r="A1270" i="9"/>
  <c r="A1269" i="9"/>
  <c r="A1268" i="9"/>
  <c r="A1267" i="9"/>
  <c r="A1266" i="9"/>
  <c r="A1265" i="9"/>
  <c r="A1264" i="9"/>
  <c r="A1263" i="9"/>
  <c r="A1262" i="9"/>
  <c r="A1261" i="9"/>
  <c r="A1260" i="9"/>
  <c r="A1259" i="9"/>
  <c r="A1258" i="9"/>
  <c r="A1257" i="9"/>
  <c r="A1256" i="9"/>
  <c r="A1255" i="9"/>
  <c r="A1254" i="9"/>
  <c r="A1253" i="9"/>
  <c r="A1252" i="9"/>
  <c r="A1251" i="9"/>
  <c r="A1250" i="9"/>
  <c r="A1249" i="9"/>
  <c r="A1248" i="9"/>
  <c r="A1247" i="9"/>
  <c r="A1246" i="9"/>
  <c r="A1245" i="9"/>
  <c r="A1244" i="9"/>
  <c r="A1243" i="9"/>
  <c r="A1242" i="9"/>
  <c r="A1241" i="9"/>
  <c r="A1240" i="9"/>
  <c r="A1239" i="9"/>
  <c r="A1238" i="9"/>
  <c r="A1237" i="9"/>
  <c r="A1236" i="9"/>
  <c r="A1235" i="9"/>
  <c r="A1234" i="9"/>
  <c r="A1233" i="9"/>
  <c r="A1232" i="9"/>
  <c r="A1231" i="9"/>
  <c r="A1230" i="9"/>
  <c r="A1229" i="9"/>
  <c r="A1228" i="9"/>
  <c r="A1227" i="9"/>
  <c r="A1226" i="9"/>
  <c r="A1225" i="9"/>
  <c r="A1224" i="9"/>
  <c r="A1223" i="9"/>
  <c r="A1222" i="9"/>
  <c r="A1221" i="9"/>
  <c r="A1220" i="9"/>
  <c r="A1219" i="9"/>
  <c r="A1218" i="9"/>
  <c r="A1217" i="9"/>
  <c r="A1216" i="9"/>
  <c r="A1215" i="9"/>
  <c r="A1214" i="9"/>
  <c r="A1213" i="9"/>
  <c r="A1212" i="9"/>
  <c r="A1211" i="9"/>
  <c r="A1210" i="9"/>
  <c r="A1209" i="9"/>
  <c r="A1208" i="9"/>
  <c r="A1207" i="9"/>
  <c r="A1206" i="9"/>
  <c r="A1205" i="9"/>
  <c r="A1204" i="9"/>
  <c r="A1203" i="9"/>
  <c r="A1202" i="9"/>
  <c r="A1201" i="9"/>
  <c r="A1200" i="9"/>
  <c r="A1199" i="9"/>
  <c r="A1198" i="9"/>
  <c r="A1197" i="9"/>
  <c r="A1196" i="9"/>
  <c r="A1195" i="9"/>
  <c r="A1194" i="9"/>
  <c r="A1193" i="9"/>
  <c r="A1192" i="9"/>
  <c r="A1191" i="9"/>
  <c r="A1190" i="9"/>
  <c r="A1189" i="9"/>
  <c r="A1188" i="9"/>
  <c r="A1187" i="9"/>
  <c r="A1186" i="9"/>
  <c r="A1185" i="9"/>
  <c r="A1184" i="9"/>
  <c r="A1183" i="9"/>
  <c r="A1182" i="9"/>
  <c r="A1181" i="9"/>
  <c r="A1180" i="9"/>
  <c r="A1179" i="9"/>
  <c r="A1178" i="9"/>
  <c r="A1177" i="9"/>
  <c r="A1176" i="9"/>
  <c r="A1175" i="9"/>
  <c r="A1174" i="9"/>
  <c r="A1173" i="9"/>
  <c r="A1172" i="9"/>
  <c r="A1171" i="9"/>
  <c r="A1170" i="9"/>
  <c r="A1169" i="9"/>
  <c r="A1168" i="9"/>
  <c r="A1167" i="9"/>
  <c r="A1166" i="9"/>
  <c r="A1165" i="9"/>
  <c r="A1164" i="9"/>
  <c r="A1163" i="9"/>
  <c r="A1162" i="9"/>
  <c r="A1161" i="9"/>
  <c r="A1160" i="9"/>
  <c r="A1159" i="9"/>
  <c r="A1158" i="9"/>
  <c r="A1157" i="9"/>
  <c r="A1156" i="9"/>
  <c r="A1155" i="9"/>
  <c r="A1154" i="9"/>
  <c r="A1153" i="9"/>
  <c r="A1152" i="9"/>
  <c r="A1151" i="9"/>
  <c r="A1150" i="9"/>
  <c r="A1149" i="9"/>
  <c r="A1148" i="9"/>
  <c r="A1147" i="9"/>
  <c r="A1146" i="9"/>
  <c r="A1145" i="9"/>
  <c r="A1144" i="9"/>
  <c r="A1143" i="9"/>
  <c r="A1142" i="9"/>
  <c r="A1141" i="9"/>
  <c r="A1140" i="9"/>
  <c r="A1139" i="9"/>
  <c r="A1138" i="9"/>
  <c r="A1137" i="9"/>
  <c r="A1136" i="9"/>
  <c r="A1135" i="9"/>
  <c r="A1134" i="9"/>
  <c r="A1133" i="9"/>
  <c r="A1132" i="9"/>
  <c r="A1131" i="9"/>
  <c r="A1130" i="9"/>
  <c r="A1129" i="9"/>
  <c r="A1128" i="9"/>
  <c r="A1127" i="9"/>
  <c r="A1126" i="9"/>
  <c r="A1125" i="9"/>
  <c r="A1124" i="9"/>
  <c r="A1123" i="9"/>
  <c r="A1122" i="9"/>
  <c r="A1121" i="9"/>
  <c r="A1120" i="9"/>
  <c r="A1119" i="9"/>
  <c r="A1118" i="9"/>
  <c r="A1117" i="9"/>
  <c r="A1116" i="9"/>
  <c r="A1115" i="9"/>
  <c r="A1114" i="9"/>
  <c r="A1113" i="9"/>
  <c r="A1112" i="9"/>
  <c r="A1111" i="9"/>
  <c r="A1110" i="9"/>
  <c r="A1109" i="9"/>
  <c r="A1108" i="9"/>
  <c r="A1107" i="9"/>
  <c r="A1106" i="9"/>
  <c r="A1105" i="9"/>
  <c r="A1104" i="9"/>
  <c r="A1103" i="9"/>
  <c r="A1102" i="9"/>
  <c r="A1101" i="9"/>
  <c r="A1100" i="9"/>
  <c r="A1099" i="9"/>
  <c r="A1098" i="9"/>
  <c r="A1097" i="9"/>
  <c r="A1096" i="9"/>
  <c r="A1095" i="9"/>
  <c r="A1094" i="9"/>
  <c r="A1093" i="9"/>
  <c r="A1092" i="9"/>
  <c r="A1091" i="9"/>
  <c r="A1090" i="9"/>
  <c r="A1089" i="9"/>
  <c r="A1088" i="9"/>
  <c r="A1087" i="9"/>
  <c r="A1086" i="9"/>
  <c r="A1085" i="9"/>
  <c r="A1084" i="9"/>
  <c r="A1083" i="9"/>
  <c r="A1082" i="9"/>
  <c r="A1081" i="9"/>
  <c r="A1080" i="9"/>
  <c r="A1079" i="9"/>
  <c r="A1078" i="9"/>
  <c r="A1077" i="9"/>
  <c r="A1076" i="9"/>
  <c r="A1075" i="9"/>
  <c r="A1074" i="9"/>
  <c r="A1073" i="9"/>
  <c r="A1072" i="9"/>
  <c r="A1071" i="9"/>
  <c r="A1070" i="9"/>
  <c r="A1069" i="9"/>
  <c r="A1068" i="9"/>
  <c r="A1067" i="9"/>
  <c r="A1066" i="9"/>
  <c r="A1065" i="9"/>
  <c r="A1064" i="9"/>
  <c r="A1063" i="9"/>
  <c r="A1062" i="9"/>
  <c r="A1061" i="9"/>
  <c r="A1060" i="9"/>
  <c r="A1059" i="9"/>
  <c r="A1058" i="9"/>
  <c r="A1057" i="9"/>
  <c r="A1056" i="9"/>
  <c r="A1055" i="9"/>
  <c r="A1054" i="9"/>
  <c r="A1053" i="9"/>
  <c r="A1052" i="9"/>
  <c r="A1051" i="9"/>
  <c r="A1050" i="9"/>
  <c r="A1049" i="9"/>
  <c r="A1048" i="9"/>
  <c r="A1047" i="9"/>
  <c r="A1046" i="9"/>
  <c r="A1045" i="9"/>
  <c r="A1044" i="9"/>
  <c r="A1043" i="9"/>
  <c r="A1042" i="9"/>
  <c r="A1041" i="9"/>
  <c r="A1040" i="9"/>
  <c r="A1039" i="9"/>
  <c r="A1038" i="9"/>
  <c r="A1037" i="9"/>
  <c r="A1036" i="9"/>
  <c r="A1035" i="9"/>
  <c r="A1034" i="9"/>
  <c r="A1033" i="9"/>
  <c r="A1032" i="9"/>
  <c r="A1031" i="9"/>
  <c r="A1030" i="9"/>
  <c r="A1029" i="9"/>
  <c r="A1028" i="9"/>
  <c r="A1027" i="9"/>
  <c r="A1026" i="9"/>
  <c r="A1025" i="9"/>
  <c r="A1024" i="9"/>
  <c r="A1023" i="9"/>
  <c r="A1022" i="9"/>
  <c r="A1021" i="9"/>
  <c r="A1020" i="9"/>
  <c r="A1019" i="9"/>
  <c r="A1018" i="9"/>
  <c r="A1017" i="9"/>
  <c r="A1016" i="9"/>
  <c r="A1015" i="9"/>
  <c r="A1014" i="9"/>
  <c r="A1013" i="9"/>
  <c r="A1012" i="9"/>
  <c r="A1011" i="9"/>
  <c r="A1010" i="9"/>
  <c r="A1009" i="9"/>
  <c r="A1008" i="9"/>
  <c r="A1007" i="9"/>
  <c r="A1006" i="9"/>
  <c r="A1005" i="9"/>
  <c r="A1004" i="9"/>
  <c r="A1003" i="9"/>
  <c r="A1002" i="9"/>
  <c r="A1001" i="9"/>
  <c r="A1000" i="9"/>
  <c r="A999" i="9"/>
  <c r="A998" i="9"/>
  <c r="A997" i="9"/>
  <c r="A996" i="9"/>
  <c r="A995" i="9"/>
  <c r="A994" i="9"/>
  <c r="A993" i="9"/>
  <c r="A992" i="9"/>
  <c r="A991" i="9"/>
  <c r="A990" i="9"/>
  <c r="A989" i="9"/>
  <c r="A988" i="9"/>
  <c r="A987" i="9"/>
  <c r="A986" i="9"/>
  <c r="A985" i="9"/>
  <c r="A984" i="9"/>
  <c r="A983" i="9"/>
  <c r="A982" i="9"/>
  <c r="A981" i="9"/>
  <c r="A980" i="9"/>
  <c r="A979" i="9"/>
  <c r="A978" i="9"/>
  <c r="A977" i="9"/>
  <c r="A976" i="9"/>
  <c r="A975" i="9"/>
  <c r="A974" i="9"/>
  <c r="A973" i="9"/>
  <c r="A972" i="9"/>
  <c r="A971" i="9"/>
  <c r="A970" i="9"/>
  <c r="A969" i="9"/>
  <c r="A968" i="9"/>
  <c r="A967" i="9"/>
  <c r="A966" i="9"/>
  <c r="A965" i="9"/>
  <c r="A964" i="9"/>
  <c r="A963" i="9"/>
  <c r="A962" i="9"/>
  <c r="A961" i="9"/>
  <c r="A960" i="9"/>
  <c r="A959" i="9"/>
  <c r="A958" i="9"/>
  <c r="A957" i="9"/>
  <c r="A956" i="9"/>
  <c r="A955" i="9"/>
  <c r="A954" i="9"/>
  <c r="A953" i="9"/>
  <c r="A952" i="9"/>
  <c r="A951" i="9"/>
  <c r="A950" i="9"/>
  <c r="A949" i="9"/>
  <c r="A948" i="9"/>
  <c r="A947" i="9"/>
  <c r="A946" i="9"/>
  <c r="A945" i="9"/>
  <c r="A944" i="9"/>
  <c r="A943" i="9"/>
  <c r="A942" i="9"/>
  <c r="A941" i="9"/>
  <c r="A940" i="9"/>
  <c r="A939" i="9"/>
  <c r="A938" i="9"/>
  <c r="A937" i="9"/>
  <c r="A936" i="9"/>
  <c r="A935" i="9"/>
  <c r="A934" i="9"/>
  <c r="A933" i="9"/>
  <c r="A932" i="9"/>
  <c r="A931" i="9"/>
  <c r="A930" i="9"/>
  <c r="A929" i="9"/>
  <c r="A928" i="9"/>
  <c r="A927" i="9"/>
  <c r="A926" i="9"/>
  <c r="A925" i="9"/>
  <c r="A924" i="9"/>
  <c r="A923" i="9"/>
  <c r="A922" i="9"/>
  <c r="A921" i="9"/>
  <c r="A920" i="9"/>
  <c r="A919" i="9"/>
  <c r="A918" i="9"/>
  <c r="A917" i="9"/>
  <c r="A916" i="9"/>
  <c r="A915" i="9"/>
  <c r="A914" i="9"/>
  <c r="A913" i="9"/>
  <c r="A912" i="9"/>
  <c r="A911" i="9"/>
  <c r="A910" i="9"/>
  <c r="A909" i="9"/>
  <c r="A908" i="9"/>
  <c r="A907" i="9"/>
  <c r="A906" i="9"/>
  <c r="A905" i="9"/>
  <c r="A904" i="9"/>
  <c r="A903" i="9"/>
  <c r="A902" i="9"/>
  <c r="A901" i="9"/>
  <c r="A900" i="9"/>
  <c r="A899" i="9"/>
  <c r="A898" i="9"/>
  <c r="A897" i="9"/>
  <c r="A896" i="9"/>
  <c r="A895" i="9"/>
  <c r="A894" i="9"/>
  <c r="A893" i="9"/>
  <c r="A892" i="9"/>
  <c r="A891" i="9"/>
  <c r="A890" i="9"/>
  <c r="A889" i="9"/>
  <c r="A888" i="9"/>
  <c r="A887" i="9"/>
  <c r="A886" i="9"/>
  <c r="A885" i="9"/>
  <c r="A884" i="9"/>
  <c r="A883" i="9"/>
  <c r="A882" i="9"/>
  <c r="A881" i="9"/>
  <c r="A880" i="9"/>
  <c r="A879" i="9"/>
  <c r="A878" i="9"/>
  <c r="A877" i="9"/>
  <c r="A876" i="9"/>
  <c r="A875" i="9"/>
  <c r="A874" i="9"/>
  <c r="A873" i="9"/>
  <c r="A872" i="9"/>
  <c r="A871" i="9"/>
  <c r="A870" i="9"/>
  <c r="A869" i="9"/>
  <c r="A868" i="9"/>
  <c r="A867" i="9"/>
  <c r="A866" i="9"/>
  <c r="A865" i="9"/>
  <c r="A864" i="9"/>
  <c r="A863" i="9"/>
  <c r="A862" i="9"/>
  <c r="A861" i="9"/>
  <c r="A860" i="9"/>
  <c r="A859" i="9"/>
  <c r="A858" i="9"/>
  <c r="A857" i="9"/>
  <c r="A856" i="9"/>
  <c r="A855" i="9"/>
  <c r="A854" i="9"/>
  <c r="A853" i="9"/>
  <c r="A852" i="9"/>
  <c r="A851" i="9"/>
  <c r="A850" i="9"/>
  <c r="A849" i="9"/>
  <c r="A848" i="9"/>
  <c r="A847" i="9"/>
  <c r="A846" i="9"/>
  <c r="A845" i="9"/>
  <c r="A844" i="9"/>
  <c r="A843" i="9"/>
  <c r="A842" i="9"/>
  <c r="A841" i="9"/>
  <c r="A840" i="9"/>
  <c r="A839" i="9"/>
  <c r="A838" i="9"/>
  <c r="A837" i="9"/>
  <c r="A836" i="9"/>
  <c r="A835" i="9"/>
  <c r="A834" i="9"/>
  <c r="A833" i="9"/>
  <c r="A832" i="9"/>
  <c r="A831" i="9"/>
  <c r="A830" i="9"/>
  <c r="A829" i="9"/>
  <c r="A828" i="9"/>
  <c r="A827" i="9"/>
  <c r="A826" i="9"/>
  <c r="A825" i="9"/>
  <c r="A824" i="9"/>
  <c r="A823" i="9"/>
  <c r="A822" i="9"/>
  <c r="A821" i="9"/>
  <c r="A820" i="9"/>
  <c r="A819" i="9"/>
  <c r="A818" i="9"/>
  <c r="A817" i="9"/>
  <c r="A816" i="9"/>
  <c r="A815" i="9"/>
  <c r="A814" i="9"/>
  <c r="A813" i="9"/>
  <c r="A812" i="9"/>
  <c r="A811" i="9"/>
  <c r="A810" i="9"/>
  <c r="A809" i="9"/>
  <c r="A808" i="9"/>
  <c r="A807" i="9"/>
  <c r="A806" i="9"/>
  <c r="A805" i="9"/>
  <c r="A804" i="9"/>
  <c r="A803" i="9"/>
  <c r="A802" i="9"/>
  <c r="A801" i="9"/>
  <c r="A800" i="9"/>
  <c r="A799" i="9"/>
  <c r="A798" i="9"/>
  <c r="A797" i="9"/>
  <c r="A796" i="9"/>
  <c r="A795" i="9"/>
  <c r="A794" i="9"/>
  <c r="A793" i="9"/>
  <c r="A792" i="9"/>
  <c r="A791" i="9"/>
  <c r="A790" i="9"/>
  <c r="A789" i="9"/>
  <c r="A788" i="9"/>
  <c r="A787" i="9"/>
  <c r="A786" i="9"/>
  <c r="A785" i="9"/>
  <c r="A784" i="9"/>
  <c r="A783" i="9"/>
  <c r="A782" i="9"/>
  <c r="A781" i="9"/>
  <c r="A780" i="9"/>
  <c r="A779" i="9"/>
  <c r="A778" i="9"/>
  <c r="A777" i="9"/>
  <c r="A776" i="9"/>
  <c r="A775" i="9"/>
  <c r="A774" i="9"/>
  <c r="A773" i="9"/>
  <c r="A772" i="9"/>
  <c r="A771" i="9"/>
  <c r="A770" i="9"/>
  <c r="A769" i="9"/>
  <c r="A768" i="9"/>
  <c r="A767" i="9"/>
  <c r="A766" i="9"/>
  <c r="A765" i="9"/>
  <c r="A764" i="9"/>
  <c r="A763" i="9"/>
  <c r="A762" i="9"/>
  <c r="A761" i="9"/>
  <c r="A760" i="9"/>
  <c r="A759" i="9"/>
  <c r="A758" i="9"/>
  <c r="A757" i="9"/>
  <c r="A756" i="9"/>
  <c r="A755" i="9"/>
  <c r="A754" i="9"/>
  <c r="A753" i="9"/>
  <c r="A752" i="9"/>
  <c r="A751" i="9"/>
  <c r="A750" i="9"/>
  <c r="A749" i="9"/>
  <c r="A748" i="9"/>
  <c r="A747" i="9"/>
  <c r="A746" i="9"/>
  <c r="A745" i="9"/>
  <c r="A744" i="9"/>
  <c r="A743" i="9"/>
  <c r="A742" i="9"/>
  <c r="A741" i="9"/>
  <c r="A740" i="9"/>
  <c r="A739" i="9"/>
  <c r="A738" i="9"/>
  <c r="A737" i="9"/>
  <c r="A736" i="9"/>
  <c r="A735" i="9"/>
  <c r="A734" i="9"/>
  <c r="A733" i="9"/>
  <c r="A732" i="9"/>
  <c r="A731" i="9"/>
  <c r="A730" i="9"/>
  <c r="A729" i="9"/>
  <c r="A728" i="9"/>
  <c r="A727" i="9"/>
  <c r="A726" i="9"/>
  <c r="A725" i="9"/>
  <c r="A724" i="9"/>
  <c r="A723" i="9"/>
  <c r="A722" i="9"/>
  <c r="A721" i="9"/>
  <c r="A720" i="9"/>
  <c r="A719" i="9"/>
  <c r="A718" i="9"/>
  <c r="A717" i="9"/>
  <c r="A716" i="9"/>
  <c r="A715" i="9"/>
  <c r="A714" i="9"/>
  <c r="A713" i="9"/>
  <c r="A712" i="9"/>
  <c r="A711" i="9"/>
  <c r="A710" i="9"/>
  <c r="A709" i="9"/>
  <c r="A708" i="9"/>
  <c r="A707" i="9"/>
  <c r="A706" i="9"/>
  <c r="A705" i="9"/>
  <c r="A704" i="9"/>
  <c r="A703" i="9"/>
  <c r="A702" i="9"/>
  <c r="A701" i="9"/>
  <c r="A700" i="9"/>
  <c r="A699" i="9"/>
  <c r="A698" i="9"/>
  <c r="A697" i="9"/>
  <c r="A696" i="9"/>
  <c r="A695" i="9"/>
  <c r="A694" i="9"/>
  <c r="A693" i="9"/>
  <c r="A692" i="9"/>
  <c r="A691" i="9"/>
  <c r="A690" i="9"/>
  <c r="A689" i="9"/>
  <c r="A688" i="9"/>
  <c r="A687" i="9"/>
  <c r="A686" i="9"/>
  <c r="A685" i="9"/>
  <c r="A684" i="9"/>
  <c r="A683" i="9"/>
  <c r="A682" i="9"/>
  <c r="A681" i="9"/>
  <c r="A680" i="9"/>
  <c r="A679" i="9"/>
  <c r="A678" i="9"/>
  <c r="A677" i="9"/>
  <c r="A676" i="9"/>
  <c r="A675" i="9"/>
  <c r="A674" i="9"/>
  <c r="A673" i="9"/>
  <c r="A672" i="9"/>
  <c r="A671" i="9"/>
  <c r="A670" i="9"/>
  <c r="A669" i="9"/>
  <c r="A668" i="9"/>
  <c r="A667" i="9"/>
  <c r="A666" i="9"/>
  <c r="A665" i="9"/>
  <c r="A664" i="9"/>
  <c r="A663" i="9"/>
  <c r="A662" i="9"/>
  <c r="A661" i="9"/>
  <c r="A660" i="9"/>
  <c r="A659" i="9"/>
  <c r="A658" i="9"/>
  <c r="A657" i="9"/>
  <c r="A656" i="9"/>
  <c r="A655" i="9"/>
  <c r="A654" i="9"/>
  <c r="A653" i="9"/>
  <c r="A652" i="9"/>
  <c r="A651" i="9"/>
  <c r="A650" i="9"/>
  <c r="A649" i="9"/>
  <c r="A648" i="9"/>
  <c r="A647" i="9"/>
  <c r="A646" i="9"/>
  <c r="A645" i="9"/>
  <c r="A644" i="9"/>
  <c r="A643" i="9"/>
  <c r="A642" i="9"/>
  <c r="A641" i="9"/>
  <c r="A640" i="9"/>
  <c r="A639" i="9"/>
  <c r="A638" i="9"/>
  <c r="A637" i="9"/>
  <c r="A636" i="9"/>
  <c r="A635" i="9"/>
  <c r="A634" i="9"/>
  <c r="A633" i="9"/>
  <c r="A632" i="9"/>
  <c r="A631" i="9"/>
  <c r="A630" i="9"/>
  <c r="A629" i="9"/>
  <c r="A628" i="9"/>
  <c r="A627" i="9"/>
  <c r="A626" i="9"/>
  <c r="A625" i="9"/>
  <c r="A624" i="9"/>
  <c r="A623" i="9"/>
  <c r="A622" i="9"/>
  <c r="A621" i="9"/>
  <c r="A620" i="9"/>
  <c r="A619" i="9"/>
  <c r="A618" i="9"/>
  <c r="A617" i="9"/>
  <c r="A616" i="9"/>
  <c r="A615" i="9"/>
  <c r="A614" i="9"/>
  <c r="A613" i="9"/>
  <c r="A612" i="9"/>
  <c r="A611" i="9"/>
  <c r="A610" i="9"/>
  <c r="A609" i="9"/>
  <c r="A608" i="9"/>
  <c r="A607" i="9"/>
  <c r="A606" i="9"/>
  <c r="A605" i="9"/>
  <c r="A604" i="9"/>
  <c r="A603" i="9"/>
  <c r="A602" i="9"/>
  <c r="A601" i="9"/>
  <c r="A600" i="9"/>
  <c r="A599" i="9"/>
  <c r="A598" i="9"/>
  <c r="A597" i="9"/>
  <c r="A596" i="9"/>
  <c r="A595" i="9"/>
  <c r="A594" i="9"/>
  <c r="A593" i="9"/>
  <c r="A592" i="9"/>
  <c r="A591" i="9"/>
  <c r="A590" i="9"/>
  <c r="A589" i="9"/>
  <c r="A588" i="9"/>
  <c r="A587" i="9"/>
  <c r="A586" i="9"/>
  <c r="A585" i="9"/>
  <c r="A584" i="9"/>
  <c r="A583" i="9"/>
  <c r="A582" i="9"/>
  <c r="A581" i="9"/>
  <c r="A580" i="9"/>
  <c r="A579" i="9"/>
  <c r="A578" i="9"/>
  <c r="A577" i="9"/>
  <c r="A576" i="9"/>
  <c r="A575" i="9"/>
  <c r="A574" i="9"/>
  <c r="A573" i="9"/>
  <c r="A572" i="9"/>
  <c r="A571" i="9"/>
  <c r="A570" i="9"/>
  <c r="A569" i="9"/>
  <c r="A568" i="9"/>
  <c r="A567" i="9"/>
  <c r="A566" i="9"/>
  <c r="A565" i="9"/>
  <c r="A564" i="9"/>
  <c r="A563" i="9"/>
  <c r="A562" i="9"/>
  <c r="A561" i="9"/>
  <c r="A560" i="9"/>
  <c r="A559" i="9"/>
  <c r="A558" i="9"/>
  <c r="A557" i="9"/>
  <c r="A556" i="9"/>
  <c r="A555" i="9"/>
  <c r="A554" i="9"/>
  <c r="A553" i="9"/>
  <c r="A552" i="9"/>
  <c r="A551" i="9"/>
  <c r="A550" i="9"/>
  <c r="A549" i="9"/>
  <c r="A548" i="9"/>
  <c r="A547" i="9"/>
  <c r="A546" i="9"/>
  <c r="A545" i="9"/>
  <c r="A544" i="9"/>
  <c r="A543" i="9"/>
  <c r="A542" i="9"/>
  <c r="A541" i="9"/>
  <c r="A540" i="9"/>
  <c r="A539" i="9"/>
  <c r="A538" i="9"/>
  <c r="A537" i="9"/>
  <c r="A536" i="9"/>
  <c r="A535" i="9"/>
  <c r="A534" i="9"/>
  <c r="A533" i="9"/>
  <c r="A532" i="9"/>
  <c r="A531" i="9"/>
  <c r="A530" i="9"/>
  <c r="A529" i="9"/>
  <c r="A528" i="9"/>
  <c r="A527" i="9"/>
  <c r="A526" i="9"/>
  <c r="A525" i="9"/>
  <c r="A524" i="9"/>
  <c r="A523" i="9"/>
  <c r="A522" i="9"/>
  <c r="A521" i="9"/>
  <c r="A520" i="9"/>
  <c r="A519" i="9"/>
  <c r="A518" i="9"/>
  <c r="A517" i="9"/>
  <c r="A516" i="9"/>
  <c r="A515" i="9"/>
  <c r="A514" i="9"/>
  <c r="A513" i="9"/>
  <c r="A512" i="9"/>
  <c r="A511" i="9"/>
  <c r="A510" i="9"/>
  <c r="A509" i="9"/>
  <c r="A508" i="9"/>
  <c r="A507" i="9"/>
  <c r="A506" i="9"/>
  <c r="A505" i="9"/>
  <c r="A504" i="9"/>
  <c r="A503" i="9"/>
  <c r="A502" i="9"/>
  <c r="A501" i="9"/>
  <c r="A500" i="9"/>
  <c r="A499" i="9"/>
  <c r="A498" i="9"/>
  <c r="A497" i="9"/>
  <c r="A496" i="9"/>
  <c r="A495" i="9"/>
  <c r="A494" i="9"/>
  <c r="A493" i="9"/>
  <c r="A492" i="9"/>
  <c r="A491" i="9"/>
  <c r="A490" i="9"/>
  <c r="A489" i="9"/>
  <c r="A488" i="9"/>
  <c r="A487" i="9"/>
  <c r="A486" i="9"/>
  <c r="A485" i="9"/>
  <c r="A484" i="9"/>
  <c r="A483" i="9"/>
  <c r="A482" i="9"/>
  <c r="A481" i="9"/>
  <c r="A480" i="9"/>
  <c r="A479" i="9"/>
  <c r="A478" i="9"/>
  <c r="A477" i="9"/>
  <c r="A476" i="9"/>
  <c r="A475" i="9"/>
  <c r="A474" i="9"/>
  <c r="A473" i="9"/>
  <c r="A472" i="9"/>
  <c r="A471" i="9"/>
  <c r="A470" i="9"/>
  <c r="A469" i="9"/>
  <c r="A468" i="9"/>
  <c r="A467" i="9"/>
  <c r="A466" i="9"/>
  <c r="A465" i="9"/>
  <c r="A464" i="9"/>
  <c r="A463" i="9"/>
  <c r="A462" i="9"/>
  <c r="A461" i="9"/>
  <c r="A460" i="9"/>
  <c r="A459" i="9"/>
  <c r="A458" i="9"/>
  <c r="A457" i="9"/>
  <c r="A456" i="9"/>
  <c r="A455" i="9"/>
  <c r="A454" i="9"/>
  <c r="A453" i="9"/>
  <c r="A452" i="9"/>
  <c r="A451" i="9"/>
  <c r="A450" i="9"/>
  <c r="A449" i="9"/>
  <c r="A448" i="9"/>
  <c r="A447" i="9"/>
  <c r="A446" i="9"/>
  <c r="A445" i="9"/>
  <c r="A444" i="9"/>
  <c r="A443" i="9"/>
  <c r="A442" i="9"/>
  <c r="A441" i="9"/>
  <c r="A440" i="9"/>
  <c r="A439" i="9"/>
  <c r="A438" i="9"/>
  <c r="A437" i="9"/>
  <c r="A436" i="9"/>
  <c r="A435" i="9"/>
  <c r="A434" i="9"/>
  <c r="A433" i="9"/>
  <c r="A432" i="9"/>
  <c r="A431" i="9"/>
  <c r="A430" i="9"/>
  <c r="A429" i="9"/>
  <c r="A428" i="9"/>
  <c r="A427" i="9"/>
  <c r="A426" i="9"/>
  <c r="A425" i="9"/>
  <c r="A424" i="9"/>
  <c r="A423" i="9"/>
  <c r="A422" i="9"/>
  <c r="A421" i="9"/>
  <c r="A420" i="9"/>
  <c r="A419" i="9"/>
  <c r="A418" i="9"/>
  <c r="A417" i="9"/>
  <c r="A416" i="9"/>
  <c r="A415" i="9"/>
  <c r="A414" i="9"/>
  <c r="A413" i="9"/>
  <c r="A412" i="9"/>
  <c r="A411" i="9"/>
  <c r="A410" i="9"/>
  <c r="A409" i="9"/>
  <c r="A408" i="9"/>
  <c r="A407" i="9"/>
  <c r="A406" i="9"/>
  <c r="A405" i="9"/>
  <c r="A404" i="9"/>
  <c r="A403" i="9"/>
  <c r="A402" i="9"/>
  <c r="A401" i="9"/>
  <c r="A400" i="9"/>
  <c r="A399" i="9"/>
  <c r="A398" i="9"/>
  <c r="A397" i="9"/>
  <c r="A396" i="9"/>
  <c r="A395" i="9"/>
  <c r="A394" i="9"/>
  <c r="A393" i="9"/>
  <c r="A392" i="9"/>
  <c r="A391" i="9"/>
  <c r="A390" i="9"/>
  <c r="A389" i="9"/>
  <c r="A388" i="9"/>
  <c r="A387" i="9"/>
  <c r="A386" i="9"/>
  <c r="A385" i="9"/>
  <c r="A384" i="9"/>
  <c r="A383" i="9"/>
  <c r="A382" i="9"/>
  <c r="A381" i="9"/>
  <c r="A380" i="9"/>
  <c r="A379" i="9"/>
  <c r="A378" i="9"/>
  <c r="A377" i="9"/>
  <c r="A376" i="9"/>
  <c r="A375" i="9"/>
  <c r="A374" i="9"/>
  <c r="A373" i="9"/>
  <c r="A372" i="9"/>
  <c r="A371" i="9"/>
  <c r="A370" i="9"/>
  <c r="A369" i="9"/>
  <c r="A368" i="9"/>
  <c r="A367" i="9"/>
  <c r="A366" i="9"/>
  <c r="A365" i="9"/>
  <c r="A364" i="9"/>
  <c r="A363" i="9"/>
  <c r="A362" i="9"/>
  <c r="A361" i="9"/>
  <c r="A360" i="9"/>
  <c r="A359" i="9"/>
  <c r="A358" i="9"/>
  <c r="A357" i="9"/>
  <c r="A356" i="9"/>
  <c r="A355" i="9"/>
  <c r="A354" i="9"/>
  <c r="A353" i="9"/>
  <c r="A352" i="9"/>
  <c r="A351" i="9"/>
  <c r="A350" i="9"/>
  <c r="A349" i="9"/>
  <c r="A348" i="9"/>
  <c r="A347" i="9"/>
  <c r="A346" i="9"/>
  <c r="A345" i="9"/>
  <c r="A344" i="9"/>
  <c r="A343" i="9"/>
  <c r="A342" i="9"/>
  <c r="A341" i="9"/>
  <c r="A340" i="9"/>
  <c r="A339" i="9"/>
  <c r="A338" i="9"/>
  <c r="A337" i="9"/>
  <c r="A336" i="9"/>
  <c r="A335" i="9"/>
  <c r="A334" i="9"/>
  <c r="A333" i="9"/>
  <c r="A332" i="9"/>
  <c r="A331" i="9"/>
  <c r="A330" i="9"/>
  <c r="A329" i="9"/>
  <c r="A328" i="9"/>
  <c r="A327" i="9"/>
  <c r="A326" i="9"/>
  <c r="A325" i="9"/>
  <c r="A324" i="9"/>
  <c r="A323" i="9"/>
  <c r="A322" i="9"/>
  <c r="A321" i="9"/>
  <c r="A320" i="9"/>
  <c r="A319" i="9"/>
  <c r="A318" i="9"/>
  <c r="A317" i="9"/>
  <c r="A316" i="9"/>
  <c r="A315" i="9"/>
  <c r="A314" i="9"/>
  <c r="A313" i="9"/>
  <c r="A312" i="9"/>
  <c r="A311" i="9"/>
  <c r="A310" i="9"/>
  <c r="A309" i="9"/>
  <c r="A308" i="9"/>
  <c r="A307" i="9"/>
  <c r="A306" i="9"/>
  <c r="A305" i="9"/>
  <c r="A304" i="9"/>
  <c r="A303" i="9"/>
  <c r="A302" i="9"/>
  <c r="A301" i="9"/>
  <c r="A300" i="9"/>
  <c r="A299" i="9"/>
  <c r="A298" i="9"/>
  <c r="A297" i="9"/>
  <c r="A296" i="9"/>
  <c r="A295" i="9"/>
  <c r="A294" i="9"/>
  <c r="A293" i="9"/>
  <c r="A292" i="9"/>
  <c r="A291" i="9"/>
  <c r="A290" i="9"/>
  <c r="A289" i="9"/>
  <c r="A288" i="9"/>
  <c r="A287" i="9"/>
  <c r="A286" i="9"/>
  <c r="A285" i="9"/>
  <c r="A284" i="9"/>
  <c r="A283" i="9"/>
  <c r="A282" i="9"/>
  <c r="A281" i="9"/>
  <c r="A280" i="9"/>
  <c r="A279" i="9"/>
  <c r="A278" i="9"/>
  <c r="A277" i="9"/>
  <c r="A276" i="9"/>
  <c r="A275" i="9"/>
  <c r="A274" i="9"/>
  <c r="A273" i="9"/>
  <c r="A272" i="9"/>
  <c r="A271" i="9"/>
  <c r="A270" i="9"/>
  <c r="A269" i="9"/>
  <c r="A268" i="9"/>
  <c r="A267" i="9"/>
  <c r="A266" i="9"/>
  <c r="A265" i="9"/>
  <c r="A264" i="9"/>
  <c r="A263" i="9"/>
  <c r="A262" i="9"/>
  <c r="A261" i="9"/>
  <c r="A260" i="9"/>
  <c r="A259" i="9"/>
  <c r="A258" i="9"/>
  <c r="A257" i="9"/>
  <c r="A256" i="9"/>
  <c r="A255" i="9"/>
  <c r="A254" i="9"/>
  <c r="A253" i="9"/>
  <c r="A252" i="9"/>
  <c r="A251" i="9"/>
  <c r="A250" i="9"/>
  <c r="A249" i="9"/>
  <c r="A248" i="9"/>
  <c r="A247" i="9"/>
  <c r="A246" i="9"/>
  <c r="A245" i="9"/>
  <c r="A244" i="9"/>
  <c r="A243" i="9"/>
  <c r="A242" i="9"/>
  <c r="A241" i="9"/>
  <c r="A240" i="9"/>
  <c r="A239" i="9"/>
  <c r="A238" i="9"/>
  <c r="A237" i="9"/>
  <c r="A236" i="9"/>
  <c r="A235" i="9"/>
  <c r="A234" i="9"/>
  <c r="A233" i="9"/>
  <c r="A232" i="9"/>
  <c r="A231" i="9"/>
  <c r="A230" i="9"/>
  <c r="A229" i="9"/>
  <c r="A228" i="9"/>
  <c r="A227" i="9"/>
  <c r="A226" i="9"/>
  <c r="A225" i="9"/>
  <c r="A224" i="9"/>
  <c r="A223" i="9"/>
  <c r="A222" i="9"/>
  <c r="A221" i="9"/>
  <c r="A220" i="9"/>
  <c r="A219" i="9"/>
  <c r="A218" i="9"/>
  <c r="A217" i="9"/>
  <c r="A216" i="9"/>
  <c r="A215" i="9"/>
  <c r="A214" i="9"/>
  <c r="A213" i="9"/>
  <c r="A212" i="9"/>
  <c r="A211" i="9"/>
  <c r="A210" i="9"/>
  <c r="A209" i="9"/>
  <c r="A208" i="9"/>
  <c r="A207" i="9"/>
  <c r="A206" i="9"/>
  <c r="A205" i="9"/>
  <c r="A204" i="9"/>
  <c r="A203" i="9"/>
  <c r="A202" i="9"/>
  <c r="A201" i="9"/>
  <c r="A200" i="9"/>
  <c r="A199" i="9"/>
  <c r="A198" i="9"/>
  <c r="A197" i="9"/>
  <c r="A196" i="9"/>
  <c r="A195" i="9"/>
  <c r="A194" i="9"/>
  <c r="A193" i="9"/>
  <c r="A192" i="9"/>
  <c r="A191" i="9"/>
  <c r="A190" i="9"/>
  <c r="A189" i="9"/>
  <c r="A188" i="9"/>
  <c r="A187" i="9"/>
  <c r="A186" i="9"/>
  <c r="A185" i="9"/>
  <c r="A184" i="9"/>
  <c r="A183" i="9"/>
  <c r="A182" i="9"/>
  <c r="A181" i="9"/>
  <c r="A180" i="9"/>
  <c r="A179" i="9"/>
  <c r="A178" i="9"/>
  <c r="A177" i="9"/>
  <c r="A176" i="9"/>
  <c r="A175" i="9"/>
  <c r="A174" i="9"/>
  <c r="A173" i="9"/>
  <c r="A172" i="9"/>
  <c r="A171" i="9"/>
  <c r="A170" i="9"/>
  <c r="A169" i="9"/>
  <c r="A168" i="9"/>
  <c r="A167" i="9"/>
  <c r="A166" i="9"/>
  <c r="A165" i="9"/>
  <c r="A164" i="9"/>
  <c r="A163" i="9"/>
  <c r="A162" i="9"/>
  <c r="A161" i="9"/>
  <c r="A160" i="9"/>
  <c r="A159" i="9"/>
  <c r="A158" i="9"/>
  <c r="A157" i="9"/>
  <c r="A156" i="9"/>
  <c r="A155" i="9"/>
  <c r="A154" i="9"/>
  <c r="A153" i="9"/>
  <c r="A152" i="9"/>
  <c r="A151" i="9"/>
  <c r="A150" i="9"/>
  <c r="A149" i="9"/>
  <c r="A148" i="9"/>
  <c r="A147" i="9"/>
  <c r="A146" i="9"/>
  <c r="A145" i="9"/>
  <c r="A144" i="9"/>
  <c r="A143" i="9"/>
  <c r="A142" i="9"/>
  <c r="A141" i="9"/>
  <c r="A140" i="9"/>
  <c r="A139" i="9"/>
  <c r="A138" i="9"/>
  <c r="A137" i="9"/>
  <c r="A136" i="9"/>
  <c r="A135" i="9"/>
  <c r="A134" i="9"/>
  <c r="A133" i="9"/>
  <c r="A132" i="9"/>
  <c r="A131" i="9"/>
  <c r="A130" i="9"/>
  <c r="A129" i="9"/>
  <c r="A128" i="9"/>
  <c r="A127" i="9"/>
  <c r="A126" i="9"/>
  <c r="A125" i="9"/>
  <c r="A124" i="9"/>
  <c r="A123" i="9"/>
  <c r="A122" i="9"/>
  <c r="A121" i="9"/>
  <c r="A120" i="9"/>
  <c r="A119" i="9"/>
  <c r="A118" i="9"/>
  <c r="A117" i="9"/>
  <c r="A116" i="9"/>
  <c r="A115" i="9"/>
  <c r="A114" i="9"/>
  <c r="A113" i="9"/>
  <c r="A112" i="9"/>
  <c r="A111" i="9"/>
  <c r="A110" i="9"/>
  <c r="A109" i="9"/>
  <c r="A108" i="9"/>
  <c r="A107" i="9"/>
  <c r="A106" i="9"/>
  <c r="A105" i="9"/>
  <c r="A104" i="9"/>
  <c r="A103" i="9"/>
  <c r="A102" i="9"/>
  <c r="A101" i="9"/>
  <c r="A100" i="9"/>
  <c r="A99" i="9"/>
  <c r="A98" i="9"/>
  <c r="A97" i="9"/>
  <c r="A96" i="9"/>
  <c r="A95" i="9"/>
  <c r="A94" i="9"/>
  <c r="A93" i="9"/>
  <c r="A92" i="9"/>
  <c r="A91" i="9"/>
  <c r="A90" i="9"/>
  <c r="A89" i="9"/>
  <c r="A88" i="9"/>
  <c r="A87" i="9"/>
  <c r="A86" i="9"/>
  <c r="A85" i="9"/>
  <c r="A84" i="9"/>
  <c r="A83" i="9"/>
  <c r="A82" i="9"/>
  <c r="A81" i="9"/>
  <c r="A80" i="9"/>
  <c r="A79" i="9"/>
  <c r="A78" i="9"/>
  <c r="A77" i="9"/>
  <c r="A76" i="9"/>
  <c r="A75" i="9"/>
  <c r="A74" i="9"/>
  <c r="A73" i="9"/>
  <c r="A72" i="9"/>
  <c r="A71" i="9"/>
  <c r="A70" i="9"/>
  <c r="A69" i="9"/>
  <c r="A68" i="9"/>
  <c r="A67" i="9"/>
  <c r="A66" i="9"/>
  <c r="A65" i="9"/>
  <c r="A64" i="9"/>
  <c r="A63" i="9"/>
  <c r="A62" i="9"/>
  <c r="A61" i="9"/>
  <c r="A60" i="9"/>
  <c r="A59" i="9"/>
  <c r="A58" i="9"/>
  <c r="A57" i="9"/>
  <c r="A56" i="9"/>
  <c r="A55" i="9"/>
  <c r="A54" i="9"/>
  <c r="A53" i="9"/>
  <c r="A52" i="9"/>
  <c r="A51" i="9"/>
  <c r="A50" i="9"/>
  <c r="A49" i="9"/>
  <c r="A48" i="9"/>
  <c r="A47" i="9"/>
  <c r="A46" i="9"/>
  <c r="A45" i="9"/>
  <c r="A44" i="9"/>
  <c r="A43" i="9"/>
  <c r="A42" i="9"/>
  <c r="A41" i="9"/>
  <c r="A40" i="9"/>
  <c r="A39" i="9"/>
  <c r="A38" i="9"/>
  <c r="A37" i="9"/>
  <c r="A36" i="9"/>
  <c r="A35" i="9"/>
  <c r="A34" i="9"/>
  <c r="A33" i="9"/>
  <c r="A32" i="9"/>
  <c r="A31" i="9"/>
  <c r="A30" i="9"/>
  <c r="A29" i="9"/>
  <c r="A28" i="9"/>
  <c r="A27" i="9"/>
  <c r="A26" i="9"/>
  <c r="A25" i="9"/>
  <c r="A24" i="9"/>
  <c r="A23" i="9"/>
  <c r="A22" i="9"/>
  <c r="A21" i="9"/>
  <c r="A20" i="9"/>
  <c r="A19" i="9"/>
  <c r="A18" i="9"/>
  <c r="A17" i="9"/>
  <c r="A16" i="9"/>
  <c r="A15" i="9"/>
  <c r="A14" i="9"/>
  <c r="A13" i="9"/>
  <c r="A12" i="9"/>
  <c r="A11" i="9"/>
  <c r="A10" i="9"/>
  <c r="A9" i="9"/>
  <c r="A8" i="9"/>
  <c r="A7" i="9"/>
  <c r="A6" i="9"/>
  <c r="A132" i="8"/>
  <c r="A131" i="8"/>
  <c r="A130" i="8"/>
  <c r="A129" i="8"/>
  <c r="A128" i="8"/>
  <c r="A127" i="8"/>
  <c r="A126" i="8"/>
  <c r="A125" i="8"/>
  <c r="A123" i="8"/>
  <c r="A122" i="8"/>
  <c r="A121" i="8"/>
  <c r="A120" i="8"/>
  <c r="A119" i="8"/>
  <c r="A118" i="8"/>
  <c r="A117" i="8"/>
  <c r="A116" i="8"/>
  <c r="A115" i="8"/>
  <c r="A114" i="8"/>
  <c r="A113" i="8"/>
  <c r="A112" i="8"/>
  <c r="A111" i="8"/>
  <c r="A110" i="8"/>
  <c r="A109" i="8"/>
  <c r="A108" i="8"/>
  <c r="A107" i="8"/>
  <c r="A106" i="8"/>
  <c r="A105" i="8"/>
  <c r="A104" i="8"/>
  <c r="A103" i="8"/>
  <c r="A102" i="8"/>
  <c r="A101" i="8"/>
  <c r="A100" i="8"/>
  <c r="A99" i="8"/>
  <c r="A98" i="8"/>
  <c r="A97" i="8"/>
  <c r="A96" i="8"/>
  <c r="A95" i="8"/>
  <c r="A94" i="8"/>
  <c r="A93" i="8"/>
  <c r="A92" i="8"/>
  <c r="A91" i="8"/>
  <c r="A90" i="8"/>
  <c r="A89" i="8"/>
  <c r="A88" i="8"/>
  <c r="A87" i="8"/>
  <c r="A86" i="8"/>
  <c r="A84" i="8"/>
  <c r="A83" i="8"/>
  <c r="A82" i="8"/>
  <c r="A81" i="8"/>
  <c r="A80" i="8"/>
  <c r="A79" i="8"/>
  <c r="A78" i="8"/>
  <c r="A77" i="8"/>
  <c r="A76" i="8"/>
  <c r="A75" i="8"/>
  <c r="A74" i="8"/>
  <c r="A73" i="8"/>
  <c r="A72" i="8"/>
  <c r="A71" i="8"/>
  <c r="A70" i="8"/>
  <c r="A69" i="8"/>
  <c r="A68" i="8"/>
  <c r="A67" i="8"/>
  <c r="A66" i="8"/>
  <c r="A65" i="8"/>
  <c r="A64" i="8"/>
  <c r="A63" i="8"/>
  <c r="A62" i="8"/>
  <c r="A61" i="8"/>
  <c r="A60" i="8"/>
  <c r="A59" i="8"/>
  <c r="A58" i="8"/>
  <c r="A57" i="8"/>
  <c r="A56" i="8"/>
  <c r="A55" i="8"/>
  <c r="A54" i="8"/>
  <c r="A53" i="8"/>
  <c r="A52" i="8"/>
  <c r="A51" i="8"/>
  <c r="A50" i="8"/>
  <c r="A49" i="8"/>
  <c r="A48" i="8"/>
  <c r="A47" i="8"/>
  <c r="A46" i="8"/>
  <c r="A45" i="8"/>
  <c r="A44" i="8"/>
  <c r="A43" i="8"/>
  <c r="A42" i="8"/>
  <c r="A41" i="8"/>
  <c r="A40" i="8"/>
  <c r="A39" i="8"/>
  <c r="A38" i="8"/>
  <c r="A37" i="8"/>
  <c r="A36" i="8"/>
  <c r="A35" i="8"/>
  <c r="A34" i="8"/>
  <c r="A33" i="8"/>
  <c r="A32" i="8"/>
  <c r="A31" i="8"/>
  <c r="A30" i="8"/>
  <c r="A29" i="8"/>
  <c r="A28" i="8"/>
  <c r="A27" i="8"/>
  <c r="A26" i="8"/>
  <c r="A25" i="8"/>
  <c r="A24" i="8"/>
  <c r="A23" i="8"/>
  <c r="A22" i="8"/>
  <c r="A21" i="8"/>
  <c r="A20" i="8"/>
  <c r="A19" i="8"/>
  <c r="A18" i="8"/>
  <c r="A17" i="8"/>
  <c r="A16" i="8"/>
  <c r="A15" i="8"/>
  <c r="A14" i="8"/>
  <c r="A13" i="8"/>
  <c r="A12" i="8"/>
  <c r="A11" i="8"/>
  <c r="A10" i="8"/>
  <c r="A9" i="8"/>
  <c r="A8" i="8"/>
  <c r="A7" i="8"/>
  <c r="A6" i="8"/>
  <c r="A5" i="8"/>
  <c r="A4" i="8"/>
  <c r="A155" i="7"/>
  <c r="A154" i="7"/>
  <c r="A153" i="7"/>
  <c r="A152" i="7"/>
  <c r="A151" i="7"/>
  <c r="A150" i="7"/>
  <c r="A149" i="7"/>
  <c r="A148" i="7"/>
  <c r="A147" i="7"/>
  <c r="A146" i="7"/>
  <c r="A144" i="7"/>
  <c r="A143" i="7"/>
  <c r="A142" i="7"/>
  <c r="A141" i="7"/>
  <c r="A140" i="7"/>
  <c r="A139" i="7"/>
  <c r="A138" i="7"/>
  <c r="A137" i="7"/>
  <c r="A136" i="7"/>
  <c r="A135" i="7"/>
  <c r="A134" i="7"/>
  <c r="A133" i="7"/>
  <c r="A132" i="7"/>
  <c r="A131" i="7"/>
  <c r="A130" i="7"/>
  <c r="A129" i="7"/>
  <c r="A128" i="7"/>
  <c r="A127" i="7"/>
  <c r="A126" i="7"/>
  <c r="A125" i="7"/>
  <c r="A124" i="7"/>
  <c r="A123" i="7"/>
  <c r="A122" i="7"/>
  <c r="A121" i="7"/>
  <c r="A120" i="7"/>
  <c r="A119" i="7"/>
  <c r="A118" i="7"/>
  <c r="A117" i="7"/>
  <c r="A116" i="7"/>
  <c r="A115" i="7"/>
  <c r="A114" i="7"/>
  <c r="A113" i="7"/>
  <c r="A112" i="7"/>
  <c r="A111" i="7"/>
  <c r="A110" i="7"/>
  <c r="A109" i="7"/>
  <c r="A108" i="7"/>
  <c r="A107" i="7"/>
  <c r="A106" i="7"/>
  <c r="A105" i="7"/>
  <c r="A104" i="7"/>
  <c r="A103" i="7"/>
  <c r="A102" i="7"/>
  <c r="A101" i="7"/>
  <c r="A100" i="7"/>
  <c r="A99" i="7"/>
  <c r="A98" i="7"/>
  <c r="A97" i="7"/>
  <c r="A96" i="7"/>
  <c r="A95" i="7"/>
  <c r="A94" i="7"/>
  <c r="A93" i="7"/>
  <c r="A92" i="7"/>
  <c r="A91" i="7"/>
  <c r="A89" i="7"/>
  <c r="A88" i="7"/>
  <c r="A87" i="7"/>
  <c r="A86" i="7"/>
  <c r="A85" i="7"/>
  <c r="A84" i="7"/>
  <c r="A83" i="7"/>
  <c r="A82" i="7"/>
  <c r="A81" i="7"/>
  <c r="A80" i="7"/>
  <c r="A79" i="7"/>
  <c r="A78" i="7"/>
  <c r="A77" i="7"/>
  <c r="A76" i="7"/>
  <c r="A75" i="7"/>
  <c r="A74" i="7"/>
  <c r="A73" i="7"/>
  <c r="A72" i="7"/>
  <c r="A71" i="7"/>
  <c r="A70" i="7"/>
  <c r="A69" i="7"/>
  <c r="A68" i="7"/>
  <c r="A67" i="7"/>
  <c r="A66" i="7"/>
  <c r="A65" i="7"/>
  <c r="A64" i="7"/>
  <c r="A63" i="7"/>
  <c r="A62" i="7"/>
  <c r="A61" i="7"/>
  <c r="A60" i="7"/>
  <c r="A59" i="7"/>
  <c r="A58" i="7"/>
  <c r="A57" i="7"/>
  <c r="A56" i="7"/>
  <c r="A55" i="7"/>
  <c r="A54" i="7"/>
  <c r="A53" i="7"/>
  <c r="A52" i="7"/>
  <c r="A51" i="7"/>
  <c r="A50" i="7"/>
  <c r="A49" i="7"/>
  <c r="A48" i="7"/>
  <c r="A47" i="7"/>
  <c r="A46" i="7"/>
  <c r="A45" i="7"/>
  <c r="A44" i="7"/>
  <c r="A43" i="7"/>
  <c r="A42" i="7"/>
  <c r="A41" i="7"/>
  <c r="A40" i="7"/>
  <c r="A39" i="7"/>
  <c r="A38" i="7"/>
  <c r="A37" i="7"/>
  <c r="A36" i="7"/>
  <c r="A35" i="7"/>
  <c r="A34" i="7"/>
  <c r="A33" i="7"/>
  <c r="A32" i="7"/>
  <c r="A31" i="7"/>
  <c r="A30" i="7"/>
  <c r="A29" i="7"/>
  <c r="A28" i="7"/>
  <c r="A27" i="7"/>
  <c r="A26" i="7"/>
  <c r="A25" i="7"/>
  <c r="A24" i="7"/>
  <c r="A23" i="7"/>
  <c r="A22" i="7"/>
  <c r="A21" i="7"/>
  <c r="A20" i="7"/>
  <c r="A19" i="7"/>
  <c r="A18" i="7"/>
  <c r="A17" i="7"/>
  <c r="A16" i="7"/>
  <c r="A15" i="7"/>
  <c r="A14" i="7"/>
  <c r="A13" i="7"/>
  <c r="A12" i="7"/>
  <c r="A11" i="7"/>
  <c r="A10" i="7"/>
  <c r="A9" i="7"/>
  <c r="A8" i="7"/>
  <c r="A7" i="7"/>
  <c r="A6" i="7"/>
  <c r="A5" i="7"/>
  <c r="A4" i="7"/>
</calcChain>
</file>

<file path=xl/sharedStrings.xml><?xml version="1.0" encoding="utf-8"?>
<sst xmlns="http://schemas.openxmlformats.org/spreadsheetml/2006/main" count="191377" uniqueCount="6988">
  <si>
    <t>Cover sheet - Official statistics</t>
  </si>
  <si>
    <t>Section</t>
  </si>
  <si>
    <t>Detail</t>
  </si>
  <si>
    <t>Policy area:</t>
  </si>
  <si>
    <t>Children's social care data in England 2022</t>
  </si>
  <si>
    <t>Theme:</t>
  </si>
  <si>
    <t>Social care</t>
  </si>
  <si>
    <t>Published on:</t>
  </si>
  <si>
    <t>Coverage:</t>
  </si>
  <si>
    <t>England</t>
  </si>
  <si>
    <t>Period covered:</t>
  </si>
  <si>
    <t xml:space="preserve">Inspection outcomes for local authority children’s services inspections, as at 31 March 2022, published by 30 April 2022.
Inspection outcomes for all regulated, and other, children’s social care provision, 01 April 2021 to 31 March 2022, published by 30 April 2022.
Inspection outcome of most recent inspection for all regulated, and other, children’s social care provision, as at 31 March 2022, published by 30 April 2022.
Information about the providers of children’s social care, including the numbers of providers and places, as at 31 March 2022.
</t>
  </si>
  <si>
    <t>Status:</t>
  </si>
  <si>
    <t>Offical statistics</t>
  </si>
  <si>
    <t>Issued by:</t>
  </si>
  <si>
    <t>Office for Standards in Education, 
Children’s Services and Skills (Ofsted)
70 Petty France
Westminster
London 
SW1H 9EX</t>
  </si>
  <si>
    <t>Chief Statistician:</t>
  </si>
  <si>
    <t>Jason Bradbury</t>
  </si>
  <si>
    <t>Statistician:</t>
  </si>
  <si>
    <t>Adam King</t>
  </si>
  <si>
    <t>Public enquiries:</t>
  </si>
  <si>
    <t>If you have any comments or feedback on this publication, please contact the Social Care Data Team on 03000 130 020 or socialcaredata@ofsted.gov.uk</t>
  </si>
  <si>
    <t>Press enquiries:</t>
  </si>
  <si>
    <t>Link to press enquires email (opens in new window)</t>
  </si>
  <si>
    <t>Publication frequency:</t>
  </si>
  <si>
    <t xml:space="preserve">Annual </t>
  </si>
  <si>
    <t>Link to official statistics release web page:</t>
  </si>
  <si>
    <t>Link to official statistics release page (opens in new window)</t>
  </si>
  <si>
    <t>© Crown copyright 2022</t>
  </si>
  <si>
    <t xml:space="preserve">You may use and re-use this information (not including logos) free of charge in any format or medium, </t>
  </si>
  <si>
    <t xml:space="preserve">under the terms of the Open Government Licence. </t>
  </si>
  <si>
    <t>To view this licence, visit:</t>
  </si>
  <si>
    <t>Link to the open government licence in the national archives (opens in new window)</t>
  </si>
  <si>
    <t>Or write to the Information Policy Team, The National Archives, Kew, London, TW9 4DU</t>
  </si>
  <si>
    <t>Or email:</t>
  </si>
  <si>
    <t>Link to the policy team email at the national archives (opens in new window)</t>
  </si>
  <si>
    <t>The format of this release has been changed to meet the Web Content Accessibility Guidelines (WCAG) 2.1 accessibility requirements. Use the two below links for further details.</t>
  </si>
  <si>
    <t>Link to GSS guidance on releasing statistics in spreadsheets (opens in new window)</t>
  </si>
  <si>
    <t>Link to Web Content Accessibility Guidelines (WCAG) Overview (opens in new window)</t>
  </si>
  <si>
    <t>Contents</t>
  </si>
  <si>
    <t>Worksheet title and link</t>
  </si>
  <si>
    <t>Description of contents of worksheet</t>
  </si>
  <si>
    <t>Notes</t>
  </si>
  <si>
    <t>These are notes about the document and data within it to aid the use and interpretation of the data.</t>
  </si>
  <si>
    <t>Meta-data</t>
  </si>
  <si>
    <t>This is a headline guide to what data is contained in each tab.</t>
  </si>
  <si>
    <t>LA level at 31 March 2022</t>
  </si>
  <si>
    <t>This is a list of all the local authorities in England. Where they have received an inspection in the current cycle, their inspection judgements are shown.</t>
  </si>
  <si>
    <t>LA level in year 2021-22</t>
  </si>
  <si>
    <t>This is a list of all short and standard inspections, monitoring visits and focused visits which have taken place in 2021-22 under the Inspections of Local Authorities' Children's Services (ILACS) framework.</t>
  </si>
  <si>
    <t>Provider level at 31 March 2022</t>
  </si>
  <si>
    <t>This is a list of all active inspected social care provisions as at 31 March 2022 with the inspection judgements from their latest full inspection.</t>
  </si>
  <si>
    <t>Provider level in year 2021-22</t>
  </si>
  <si>
    <t>This is a list of all social care provisions inspected between 01 April 2021 and 31 March 2022 with the inspection judgements from all the different types of inspections/visits. If a provision is inspected more than once in the year it has an entry for each inspection.</t>
  </si>
  <si>
    <t>Providers+places at 31 March 2022</t>
  </si>
  <si>
    <t>This is a list of all social care provisions active on 31 March 2022, with the number of places they offer where applicable, and details of the organisation which owns the provision. This tab does not include inspection outcomes.</t>
  </si>
  <si>
    <t>Leavers+Joiners at 31 Mar 2022</t>
  </si>
  <si>
    <t xml:space="preserve">This is a list of all social care provisions that registered and/or deregistered between 01 April 2021 and 31 March 2022. </t>
  </si>
  <si>
    <t>Providers + Places six monthly</t>
  </si>
  <si>
    <t>This is a table showing the providers and places data at six month intervals, since 30 September 2011.</t>
  </si>
  <si>
    <t>Latest OE 31 March Time Series</t>
  </si>
  <si>
    <t>This is a set of  time series tables and overall effectiveness of all the different types of social care provisions, as at 31 March each year.</t>
  </si>
  <si>
    <t>In year Time Series</t>
  </si>
  <si>
    <t>This is a set of time series tables showing overall effectiveness of the larger provision types which have a one year inspection cycle, that is, children's homes and residential special schools. The inspection cycle runs from 1 April to 31 March each year. The children's homes data is broken down by children's homes sub-type.</t>
  </si>
  <si>
    <t>LA inspections 2009 to 2022</t>
  </si>
  <si>
    <t>The list of all the local authorities in England and their inspection history from 2009 to 31 March 2022.</t>
  </si>
  <si>
    <t>Guidance</t>
  </si>
  <si>
    <t>Data</t>
  </si>
  <si>
    <t>The inspection outcomes data relates to inspections of:</t>
  </si>
  <si>
    <t>local authority (LA) services for children who need help and protection, children looked after and care leavers. The inspections of LA children’s services are carried out under the Inspection of Local Authorities Children's Services (ILACS).</t>
  </si>
  <si>
    <t>other children’s social care providers and residential accommodation for children in boarding schools and further education colleges.</t>
  </si>
  <si>
    <t>The providers and places data includes:</t>
  </si>
  <si>
    <t>children’s social care providers, for which Ofsted has a regulatory and inspection responsibility;</t>
  </si>
  <si>
    <t>providers of residential accommodation for children in special schools, boarding schools and further education colleges, for which Ofsted has an inspection responsibility.</t>
  </si>
  <si>
    <t>Notes to help use/interpret the data</t>
  </si>
  <si>
    <t>Where the term 'Residential special school (registered as a children's home)' is used, this refers to residential special schools that are registered as children's homes as they care for pupils for more than 295 days in a year.</t>
  </si>
  <si>
    <t>Some inspections may have an overall effectiveness outcome of 'not judged'. This is usually because the provider had no children present at the time of inspection and so could not receive an inspection judgement.</t>
  </si>
  <si>
    <t xml:space="preserve">The tables show the number of joiners and leavers for each social care provision type. It should be noted however that simply comparing these two will not show the actual change in the number of places each year. This is because a number or providers who are active at both the start and end of the period will change the number of places they are registered for. In addition, it is not always possible to easily distinguish residential special schools registered as children's homes from children's homes and as such changes in the numbers of places for these provision types are sometimes the result of updated information rather than new registrations or de-registrations. </t>
  </si>
  <si>
    <t>Ofsted has brought in a more standardised set of sub-judgements for all its social care inspections, in conjunction with changes to inspection frameworks, and these are reported in the tables and underlying data. When reporting on the latest inspection judgements, there are some inspections that took place before these standardised sub-judgements came in, and so their sub-judgements are not included as they are not comparable to the new sub-judgements.</t>
  </si>
  <si>
    <t>In the as at 31 March 2022 data, we have used the 2019-20 inspection framework's sub judgement wording rather than the wording at the time of inspection. Where the sub judgements are looking at all provider types as one, we have used a standardised set of sub judgement names to best convey what that sub judgement covers.</t>
  </si>
  <si>
    <t xml:space="preserve">Caution should be used when comparing inspection judgements from year to year in the time series charts and tables. Inspection framework changes may have an impact on inspection judgements and so a changing grade profile from one year to the next may not solely indicate a change in the quality of provisions. </t>
  </si>
  <si>
    <t>Revisions</t>
  </si>
  <si>
    <t xml:space="preserve">Any revisions to the inspection data for 2021-22 will be included with the additional release (local authority and children’s homes inspections and outcomes only, which will be published in November from this year onwards). This will include advisory notes about any impact to figures and findings from the first full release of provisional data. Revisions are published in line with Ofsted’s revisions policy for official statistics. For more information about the policy, please visit the Ofsted website or access the policy via the following link: </t>
  </si>
  <si>
    <t>https://www.gov.uk/government/publications/ofsted-standards-for-official-statistics (opens in new window)</t>
  </si>
  <si>
    <t>Other available data</t>
  </si>
  <si>
    <t>Previously published data regarding LA inspections, children’s social care inspections and providers and places can be found at the following links on GOV.UK:</t>
  </si>
  <si>
    <t>https://www.gov.uk/government/collections/childrens-social-care-statistics (opens in new window)</t>
  </si>
  <si>
    <t>and in the National Archives:</t>
  </si>
  <si>
    <t>http://webarchive.nationalarchives.gov.uk/20141124154759/http:/www.ofsted.gov.uk/resources/statistics (opens in new window)</t>
  </si>
  <si>
    <t>These pages also contain data on adoption, fostering, children looked after placements and serious incident notifications which the reader may find relevant.</t>
  </si>
  <si>
    <t>Quality Report</t>
  </si>
  <si>
    <t xml:space="preserve">An explanation about key uses of this data and further contextual information is provided in the accompanying Quality and Methodology report. The report also provides information about the arrangements for quality assurance, strengths and limitations of the statistics: </t>
  </si>
  <si>
    <t>www.gov.uk/government/collections/childrens-social-care-statistics  (opens in new window)</t>
  </si>
  <si>
    <t>Pivot table guide</t>
  </si>
  <si>
    <t>If you require guidance on how to create pivot tables from the data, please contact the Social Care Data Team on socialcaredata@ofsted.gov.uk.</t>
  </si>
  <si>
    <t>This worksheet contains one table.</t>
  </si>
  <si>
    <t>The table provides details on the notes appended to tables throughout the underlying data tabs.</t>
  </si>
  <si>
    <t>Note Number</t>
  </si>
  <si>
    <t>Note Text</t>
  </si>
  <si>
    <t>Residential special schools that care for pupils for more than 295 days per year must register as children’s homes. They are separated from other children's homes for reporting purposes. The data has been available since 31 March 2012 and therefore this date is where the distinction is made in the table above.</t>
  </si>
  <si>
    <t>Data on local authority fostering agencies and adoption agencies was excluded from this point which accounts for the sharp reduction in total providers</t>
  </si>
  <si>
    <t>Residential holiday schemes for disabled children were added to the dataset when the data became of sufficient quality.</t>
  </si>
  <si>
    <t>Metadata guide</t>
  </si>
  <si>
    <t>This worksheet contains one table, which begins in cell A4.</t>
  </si>
  <si>
    <t>The table details the type of data shown in each tab. If the data is present in a tab, this is marked with "Yes" if the data is not present in a tab this is marked with "No".</t>
  </si>
  <si>
    <t>Topic</t>
  </si>
  <si>
    <t>Local authorities</t>
  </si>
  <si>
    <t>Children's homes only</t>
  </si>
  <si>
    <t>All social care providers</t>
  </si>
  <si>
    <t>In year/period</t>
  </si>
  <si>
    <t>State of the nation 
(31 March)</t>
  </si>
  <si>
    <t>Yes</t>
  </si>
  <si>
    <t>No</t>
  </si>
  <si>
    <t>LA level in year 2021–22</t>
  </si>
  <si>
    <t>Provider level in year 2021–22</t>
  </si>
  <si>
    <t>Leavers + joiners at 31 March 2022</t>
  </si>
  <si>
    <t>In Year Time series</t>
  </si>
  <si>
    <t>LA inspections 2009-2022</t>
  </si>
  <si>
    <t>Children's social care data in England 2022 - LA level at Mar 2022</t>
  </si>
  <si>
    <t>This worksheet contains one table with no blank rows. This table begins in cell A3. Column A includes a link to the Local Authority Webpage for each local authority, links will open in a new window. Some cells are empty in the subjudgement columns where no judgement was made.</t>
  </si>
  <si>
    <t>Web link</t>
  </si>
  <si>
    <t>Local authority name</t>
  </si>
  <si>
    <t>Ofsted region</t>
  </si>
  <si>
    <t>Inspection date</t>
  </si>
  <si>
    <t>Overall effectiveness</t>
  </si>
  <si>
    <t>Impact of leaders</t>
  </si>
  <si>
    <t>Experiences and progress of children who need help and protection</t>
  </si>
  <si>
    <t>Experiences and progress of children in care and care leavers</t>
  </si>
  <si>
    <t>Barking and Dagenham</t>
  </si>
  <si>
    <t>London</t>
  </si>
  <si>
    <t>Requires improvement to be good</t>
  </si>
  <si>
    <t>Barnet</t>
  </si>
  <si>
    <t>Good</t>
  </si>
  <si>
    <t>Barnsley</t>
  </si>
  <si>
    <t>Yorkshire and The Humber</t>
  </si>
  <si>
    <t>Bath and North East Somerset</t>
  </si>
  <si>
    <t>South West</t>
  </si>
  <si>
    <t>Bedford</t>
  </si>
  <si>
    <t>East of England</t>
  </si>
  <si>
    <t>Bexley</t>
  </si>
  <si>
    <t>Outstanding</t>
  </si>
  <si>
    <t>Birmingham</t>
  </si>
  <si>
    <t>West Midlands</t>
  </si>
  <si>
    <t>Blackburn with Darwen</t>
  </si>
  <si>
    <t>North West</t>
  </si>
  <si>
    <t>Blackpool</t>
  </si>
  <si>
    <t>Inadequate</t>
  </si>
  <si>
    <t>Bolton</t>
  </si>
  <si>
    <t>Bournemouth, Christchurch and Poole</t>
  </si>
  <si>
    <t>Bracknell Forest</t>
  </si>
  <si>
    <t>South East</t>
  </si>
  <si>
    <t>Bradford</t>
  </si>
  <si>
    <t>Brent</t>
  </si>
  <si>
    <t>Brighton and Hove</t>
  </si>
  <si>
    <t>Bristol</t>
  </si>
  <si>
    <t>Bromley</t>
  </si>
  <si>
    <t>Buckinghamshire</t>
  </si>
  <si>
    <t>Bury</t>
  </si>
  <si>
    <t>Calderdale</t>
  </si>
  <si>
    <t>Cambridgeshire</t>
  </si>
  <si>
    <t>Camden</t>
  </si>
  <si>
    <t>Central Bedfordshire</t>
  </si>
  <si>
    <t>Cheshire East</t>
  </si>
  <si>
    <t>Cheshire West and Chester</t>
  </si>
  <si>
    <t>City of London</t>
  </si>
  <si>
    <t>Cornwall</t>
  </si>
  <si>
    <t>Coventry</t>
  </si>
  <si>
    <t>Croydon</t>
  </si>
  <si>
    <t>Cumbria</t>
  </si>
  <si>
    <t>Darlington</t>
  </si>
  <si>
    <t>North East</t>
  </si>
  <si>
    <t>Derby</t>
  </si>
  <si>
    <t>East Midlands</t>
  </si>
  <si>
    <t>Derbyshire</t>
  </si>
  <si>
    <t>Devon</t>
  </si>
  <si>
    <t>Doncaster</t>
  </si>
  <si>
    <t>Dorset</t>
  </si>
  <si>
    <t>Dudley</t>
  </si>
  <si>
    <t>Durham</t>
  </si>
  <si>
    <t>Ealing</t>
  </si>
  <si>
    <t>East Riding of Yorkshire</t>
  </si>
  <si>
    <t>East Sussex</t>
  </si>
  <si>
    <t>Enfield</t>
  </si>
  <si>
    <t>Essex</t>
  </si>
  <si>
    <t>Gateshead</t>
  </si>
  <si>
    <t>Gloucestershire</t>
  </si>
  <si>
    <t>Greenwich</t>
  </si>
  <si>
    <t>Hackney</t>
  </si>
  <si>
    <t>Halton</t>
  </si>
  <si>
    <t>Hammersmith and Fulham</t>
  </si>
  <si>
    <t>Hampshire</t>
  </si>
  <si>
    <t>Haringey</t>
  </si>
  <si>
    <t>Harrow</t>
  </si>
  <si>
    <t>Hartlepool</t>
  </si>
  <si>
    <t>Havering</t>
  </si>
  <si>
    <t>Herefordshire</t>
  </si>
  <si>
    <t>Hertfordshire</t>
  </si>
  <si>
    <t>Hillingdon</t>
  </si>
  <si>
    <t>Hounslow</t>
  </si>
  <si>
    <t>Isle of Wight</t>
  </si>
  <si>
    <t>Isles of Scilly</t>
  </si>
  <si>
    <t>Islington</t>
  </si>
  <si>
    <t>Kensington and Chelsea</t>
  </si>
  <si>
    <t>Kent</t>
  </si>
  <si>
    <t>Kingston upon Hull</t>
  </si>
  <si>
    <t>Kingston upon Thames</t>
  </si>
  <si>
    <t>Kirklees</t>
  </si>
  <si>
    <t>Knowsley</t>
  </si>
  <si>
    <t>Lambeth</t>
  </si>
  <si>
    <t>Lancashire</t>
  </si>
  <si>
    <t>Leeds</t>
  </si>
  <si>
    <t>Leicester</t>
  </si>
  <si>
    <t>Leicestershire</t>
  </si>
  <si>
    <t>Lewisham</t>
  </si>
  <si>
    <t>Lincolnshire</t>
  </si>
  <si>
    <t>Liverpool</t>
  </si>
  <si>
    <t>Luton</t>
  </si>
  <si>
    <t>Manchester</t>
  </si>
  <si>
    <t>Medway</t>
  </si>
  <si>
    <t>Merton</t>
  </si>
  <si>
    <t>Middlesbrough</t>
  </si>
  <si>
    <t>Milton Keynes</t>
  </si>
  <si>
    <t>Newcastle upon Tyne</t>
  </si>
  <si>
    <t>Newham</t>
  </si>
  <si>
    <t>Norfolk</t>
  </si>
  <si>
    <t>North East Lincolnshire</t>
  </si>
  <si>
    <t>North Lincolnshire</t>
  </si>
  <si>
    <t>Ofsted Local Authority Webpage</t>
  </si>
  <si>
    <t>North Northamptonshire</t>
  </si>
  <si>
    <t>No full inspection</t>
  </si>
  <si>
    <t>North Somerset</t>
  </si>
  <si>
    <t>North Tyneside</t>
  </si>
  <si>
    <t>North Yorkshire</t>
  </si>
  <si>
    <t>Northumberland</t>
  </si>
  <si>
    <t>Nottingham</t>
  </si>
  <si>
    <t>Nottinghamshire</t>
  </si>
  <si>
    <t>Oldham</t>
  </si>
  <si>
    <t>Oxfordshire</t>
  </si>
  <si>
    <t>Peterborough</t>
  </si>
  <si>
    <t>Plymouth</t>
  </si>
  <si>
    <t>Portsmouth</t>
  </si>
  <si>
    <t>Reading</t>
  </si>
  <si>
    <t>Redbridge</t>
  </si>
  <si>
    <t>Redcar and Cleveland</t>
  </si>
  <si>
    <t>Richmond Upon Thames</t>
  </si>
  <si>
    <t>Rochdale</t>
  </si>
  <si>
    <t>Rotherham</t>
  </si>
  <si>
    <t>Rutland</t>
  </si>
  <si>
    <t>Salford</t>
  </si>
  <si>
    <t>Sandwell</t>
  </si>
  <si>
    <t>Sefton</t>
  </si>
  <si>
    <t>Sheffield</t>
  </si>
  <si>
    <t>Shropshire</t>
  </si>
  <si>
    <t>Slough</t>
  </si>
  <si>
    <t>Solihull</t>
  </si>
  <si>
    <t>Somerset</t>
  </si>
  <si>
    <t>South Gloucestershire</t>
  </si>
  <si>
    <t>South Tyneside</t>
  </si>
  <si>
    <t>Southampton</t>
  </si>
  <si>
    <t>Southend on Sea</t>
  </si>
  <si>
    <t>Southwark</t>
  </si>
  <si>
    <t>St Helens</t>
  </si>
  <si>
    <t>Staffordshire</t>
  </si>
  <si>
    <t>Stockport</t>
  </si>
  <si>
    <t>Stockton-on-Tees</t>
  </si>
  <si>
    <t>Stoke-on-Trent</t>
  </si>
  <si>
    <t>Suffolk</t>
  </si>
  <si>
    <t>Sunderland</t>
  </si>
  <si>
    <t>Surrey</t>
  </si>
  <si>
    <t>Sutton</t>
  </si>
  <si>
    <t>Swindon</t>
  </si>
  <si>
    <t>Tameside</t>
  </si>
  <si>
    <t>Telford and Wrekin</t>
  </si>
  <si>
    <t>Thurrock</t>
  </si>
  <si>
    <t>Torbay</t>
  </si>
  <si>
    <t>Tower Hamlets</t>
  </si>
  <si>
    <t>Trafford</t>
  </si>
  <si>
    <t>Wakefield</t>
  </si>
  <si>
    <t>Walsall</t>
  </si>
  <si>
    <t>Waltham Forest</t>
  </si>
  <si>
    <t>Wandsworth</t>
  </si>
  <si>
    <t>Warrington</t>
  </si>
  <si>
    <t>Warwickshire</t>
  </si>
  <si>
    <t>West Berkshire</t>
  </si>
  <si>
    <t>West Northamptonshire</t>
  </si>
  <si>
    <t>West Sussex</t>
  </si>
  <si>
    <t>Westminster</t>
  </si>
  <si>
    <t>Wigan</t>
  </si>
  <si>
    <t>Wiltshire</t>
  </si>
  <si>
    <t>Windsor and Maidenhead</t>
  </si>
  <si>
    <t>Wirral</t>
  </si>
  <si>
    <t>Wokingham</t>
  </si>
  <si>
    <t>Wolverhampton</t>
  </si>
  <si>
    <t>Worcestershire</t>
  </si>
  <si>
    <t>York</t>
  </si>
  <si>
    <t>Children's social care data in England 2022 - LA level in year 2021-22</t>
  </si>
  <si>
    <t>This worksheet contains one table with no blank rows. This table begins in cell A3. Column A includes a link to the Local Authority Webpage for each local authority, links will open in a new window. Some cells are left intentionally blank where judgements were not applicable or available.</t>
  </si>
  <si>
    <t>Inspection/Visit date</t>
  </si>
  <si>
    <t>Inspection/Visit type</t>
  </si>
  <si>
    <t>Visit Theme</t>
  </si>
  <si>
    <t>ILACS Focused Visit</t>
  </si>
  <si>
    <t>Assurance visit</t>
  </si>
  <si>
    <t>Children in care</t>
  </si>
  <si>
    <t>ILACS Short Inspection</t>
  </si>
  <si>
    <t>ILACS Standard Inspection</t>
  </si>
  <si>
    <t>LA Monitoring visit</t>
  </si>
  <si>
    <t>Front door</t>
  </si>
  <si>
    <t>Achieving permanence</t>
  </si>
  <si>
    <t>Children in need/subject to a plan</t>
  </si>
  <si>
    <t>North East, Yorkshire and The Humber</t>
  </si>
  <si>
    <t>Vulnerable adolescents</t>
  </si>
  <si>
    <t>Care leavers</t>
  </si>
  <si>
    <t>Kingston Upon Hull</t>
  </si>
  <si>
    <t>Children's social care data in England 2022 - Provider level as at March 2022</t>
  </si>
  <si>
    <t>This worksheet contains one table, this table begins in cell A5. Column A includes a link to the Oftsed Social Care Provider Webpage for each provider, links will open in a new window.</t>
  </si>
  <si>
    <t>Some cells in this table are empty. This is in instances where the column refers to data that is not applicable for that provider type.</t>
  </si>
  <si>
    <t>URN</t>
  </si>
  <si>
    <t>Linked Education URN</t>
  </si>
  <si>
    <t>Provision type</t>
  </si>
  <si>
    <t>Registration date</t>
  </si>
  <si>
    <t>Registration status</t>
  </si>
  <si>
    <t>Name</t>
  </si>
  <si>
    <t>Address 1</t>
  </si>
  <si>
    <t>Address 2</t>
  </si>
  <si>
    <t>Town</t>
  </si>
  <si>
    <t>County</t>
  </si>
  <si>
    <t>Postcode</t>
  </si>
  <si>
    <t>Government Office Region</t>
  </si>
  <si>
    <t>Local authority</t>
  </si>
  <si>
    <t>Parliamentary constituency</t>
  </si>
  <si>
    <t>Sector</t>
  </si>
  <si>
    <t>Places</t>
  </si>
  <si>
    <t>Short-break-only children's home</t>
  </si>
  <si>
    <t>Organisation which owns the provider</t>
  </si>
  <si>
    <t>Latest full inspection event type</t>
  </si>
  <si>
    <t>Latest full inspection date</t>
  </si>
  <si>
    <t>Latest full inspection publication date</t>
  </si>
  <si>
    <t>Latest full inspection event number</t>
  </si>
  <si>
    <t>Latest full inspection overall experiences and progress of children and young people</t>
  </si>
  <si>
    <t>Latest full inspection outcomes in education and related learning activities</t>
  </si>
  <si>
    <t>Latest full inspectio health services</t>
  </si>
  <si>
    <t>Latest full inspection how well children and young people are helped and protected</t>
  </si>
  <si>
    <t>Latest full inspection the effectiveness of leaders and managers</t>
  </si>
  <si>
    <t>Secure Training Centre</t>
  </si>
  <si>
    <t>Active</t>
  </si>
  <si>
    <t>Oakhill Secure Training Centre</t>
  </si>
  <si>
    <t>Chalgrove Field</t>
  </si>
  <si>
    <t xml:space="preserve">Oakhill  </t>
  </si>
  <si>
    <t>MK5 6AJ</t>
  </si>
  <si>
    <t>Milton Keynes South</t>
  </si>
  <si>
    <t>Private</t>
  </si>
  <si>
    <t>Full inspection</t>
  </si>
  <si>
    <t>Rainsbrook Secure Training Centre</t>
  </si>
  <si>
    <t>Willoughby</t>
  </si>
  <si>
    <t xml:space="preserve"> </t>
  </si>
  <si>
    <t>Rugby</t>
  </si>
  <si>
    <t>CV23 8SY</t>
  </si>
  <si>
    <t>Daventry</t>
  </si>
  <si>
    <t>Residential Holiday Scheme for Disabled Children</t>
  </si>
  <si>
    <t>Heswall Disabled Children's Holiday Fund</t>
  </si>
  <si>
    <t>REDACTED</t>
  </si>
  <si>
    <t>Bootle</t>
  </si>
  <si>
    <t>Voluntary</t>
  </si>
  <si>
    <t>The Newman Holiday Trust</t>
  </si>
  <si>
    <t>Morecambe and Lunesdale</t>
  </si>
  <si>
    <t>The Newman Trust For The Handicapped</t>
  </si>
  <si>
    <t>Action Breaks</t>
  </si>
  <si>
    <t>Action for Children</t>
  </si>
  <si>
    <t xml:space="preserve">The Ear Foundation for Deaf Teenagers </t>
  </si>
  <si>
    <t>Nottingham South</t>
  </si>
  <si>
    <t>Over the Wall</t>
  </si>
  <si>
    <t>Havant</t>
  </si>
  <si>
    <t xml:space="preserve">Over The Wall </t>
  </si>
  <si>
    <t>Children's home</t>
  </si>
  <si>
    <t>South West Norfolk</t>
  </si>
  <si>
    <t>Unique Care Homes Support Limited</t>
  </si>
  <si>
    <t>Eddisbury</t>
  </si>
  <si>
    <t>Care 4 Children Residential Services Limited</t>
  </si>
  <si>
    <t>North East, Yorkshire and the Humber</t>
  </si>
  <si>
    <t>Wansbeck</t>
  </si>
  <si>
    <t>Local Authority</t>
  </si>
  <si>
    <t>Northumberland County Council</t>
  </si>
  <si>
    <t>Gloucester</t>
  </si>
  <si>
    <t>Carbrey Care Ltd</t>
  </si>
  <si>
    <t>Manchester, Gorton</t>
  </si>
  <si>
    <t>Cambian Childcare Limited</t>
  </si>
  <si>
    <t>North Shropshire</t>
  </si>
  <si>
    <t>Bolton South East</t>
  </si>
  <si>
    <t>Shrewsbury and Atcham</t>
  </si>
  <si>
    <t>Independent Fostering Agency</t>
  </si>
  <si>
    <t>Parent And Child Fostering Assessments</t>
  </si>
  <si>
    <t>Alfa House</t>
  </si>
  <si>
    <t xml:space="preserve">Molesey Road  </t>
  </si>
  <si>
    <t>Walton On Thames</t>
  </si>
  <si>
    <t>KT12 3PD</t>
  </si>
  <si>
    <t>Esher and Walton</t>
  </si>
  <si>
    <t>Parent And Child Fostering Assessments Ltd</t>
  </si>
  <si>
    <t>Blackley and Broughton</t>
  </si>
  <si>
    <t>Boarding School</t>
  </si>
  <si>
    <t>Kings Oxford</t>
  </si>
  <si>
    <t>St Joseph's Hall</t>
  </si>
  <si>
    <t xml:space="preserve">Temple Road  </t>
  </si>
  <si>
    <t>Oxford</t>
  </si>
  <si>
    <t>OX4 2UJ</t>
  </si>
  <si>
    <t>Oxford East</t>
  </si>
  <si>
    <t>Touchload Ltd</t>
  </si>
  <si>
    <t>Kings London</t>
  </si>
  <si>
    <t>25 Beckenham Road</t>
  </si>
  <si>
    <t xml:space="preserve">Beckenham  </t>
  </si>
  <si>
    <t>BR3 4PR</t>
  </si>
  <si>
    <t>Lewisham West and Penge</t>
  </si>
  <si>
    <t>United Language Schools Ltd</t>
  </si>
  <si>
    <t>Selby and Ainsty</t>
  </si>
  <si>
    <t>Residential Special School</t>
  </si>
  <si>
    <t>Parkwood Hall Co-Operative Academy</t>
  </si>
  <si>
    <t>Parkwood Hall School</t>
  </si>
  <si>
    <t xml:space="preserve">Beechenlea Lane  </t>
  </si>
  <si>
    <t>Swanley</t>
  </si>
  <si>
    <t>BR8 8DR</t>
  </si>
  <si>
    <t>Sevenoaks</t>
  </si>
  <si>
    <t>Academy</t>
  </si>
  <si>
    <t>Parkwood Hall Co-Operative Academy Trust 09494940</t>
  </si>
  <si>
    <t>Oundle Mencap Holidays</t>
  </si>
  <si>
    <t>Corby</t>
  </si>
  <si>
    <t>Oundle Mencap Holidays Ltd 05393382</t>
  </si>
  <si>
    <t>Claremont School</t>
  </si>
  <si>
    <t xml:space="preserve">Baldslow  </t>
  </si>
  <si>
    <t>St. Leonards-On-Sea</t>
  </si>
  <si>
    <t>TN37 7PW</t>
  </si>
  <si>
    <t>Hastings and Rye</t>
  </si>
  <si>
    <t>Claremont School (St Leonards) Limited 02827000</t>
  </si>
  <si>
    <t>Islington South and Finsbury</t>
  </si>
  <si>
    <t>St Christopher's Fellowship</t>
  </si>
  <si>
    <t>Ealing Central and Acton</t>
  </si>
  <si>
    <t>Sedgefield</t>
  </si>
  <si>
    <t>Witherslack Group</t>
  </si>
  <si>
    <t>West Dorset</t>
  </si>
  <si>
    <t>Stockton North</t>
  </si>
  <si>
    <t>Spark Of Genius North East Llp</t>
  </si>
  <si>
    <t>Salford and Eccles</t>
  </si>
  <si>
    <t>Holistic Approach Ltd</t>
  </si>
  <si>
    <t>St Albans</t>
  </si>
  <si>
    <t>Keys BR Limited</t>
  </si>
  <si>
    <t>Adoption Support Agency</t>
  </si>
  <si>
    <t xml:space="preserve">Tavistock Relationships </t>
  </si>
  <si>
    <t>70 Warren Street</t>
  </si>
  <si>
    <t>W1T 5PB</t>
  </si>
  <si>
    <t>Holborn and St Pancras</t>
  </si>
  <si>
    <t>The Tavistock Institute Of Medical Psychology</t>
  </si>
  <si>
    <t>Ipswich</t>
  </si>
  <si>
    <t>Aspris Children's Services Limited</t>
  </si>
  <si>
    <t>Residential Family Centre</t>
  </si>
  <si>
    <t>Fairways Residential Family Centre</t>
  </si>
  <si>
    <t>20 Salerno Road</t>
  </si>
  <si>
    <t>SO16 5PJ</t>
  </si>
  <si>
    <t>Southampton, Test</t>
  </si>
  <si>
    <t>Fairways Care (uk) Limited</t>
  </si>
  <si>
    <t>Nottingham North</t>
  </si>
  <si>
    <t>YMCA ROBIN HOOD GROUP</t>
  </si>
  <si>
    <t>Wellingborough</t>
  </si>
  <si>
    <t>TLC Youth Care Ltd</t>
  </si>
  <si>
    <t>Hemsworth</t>
  </si>
  <si>
    <t>KESWICK CARE LTD</t>
  </si>
  <si>
    <t>Slough Children First Limited</t>
  </si>
  <si>
    <t>Slough Children First</t>
  </si>
  <si>
    <t>Observatory House</t>
  </si>
  <si>
    <t xml:space="preserve">25 Windsor Rd  </t>
  </si>
  <si>
    <t>SL1 2EL</t>
  </si>
  <si>
    <t>Voluntary Adoption Agency</t>
  </si>
  <si>
    <t>Slough Adoption Service</t>
  </si>
  <si>
    <t>St Martin's Place</t>
  </si>
  <si>
    <t xml:space="preserve">51 Bath Rd  </t>
  </si>
  <si>
    <t>City of Chester</t>
  </si>
  <si>
    <t>Cheshire West And Chester Council</t>
  </si>
  <si>
    <t>Lancaster and Fleetwood</t>
  </si>
  <si>
    <t>Lonsdale Care Ltd</t>
  </si>
  <si>
    <t>Quality Care Homes (uk) Limited</t>
  </si>
  <si>
    <t>Sunderland Central</t>
  </si>
  <si>
    <t>Sunderland Care And Support Limited</t>
  </si>
  <si>
    <t>Residential special school (registered as a children's home)</t>
  </si>
  <si>
    <t>Halifax</t>
  </si>
  <si>
    <t>Young Foundations Limited</t>
  </si>
  <si>
    <t>Bromley and Chislehurst</t>
  </si>
  <si>
    <t>Acorn Homes (UK) Ltd</t>
  </si>
  <si>
    <t>Blackpool North and Cleveleys</t>
  </si>
  <si>
    <t>Sandcastle Care Ltd</t>
  </si>
  <si>
    <t>Reading East</t>
  </si>
  <si>
    <t>Kennet Care Limited</t>
  </si>
  <si>
    <t>Cannock Chase</t>
  </si>
  <si>
    <t>Horizon Care and Education Group Limited</t>
  </si>
  <si>
    <t>Next Stage 4Life LTD</t>
  </si>
  <si>
    <t>Richmond (Yorks)</t>
  </si>
  <si>
    <t>Worsley and Eccles South</t>
  </si>
  <si>
    <t>Hexagon Care Services Ltd</t>
  </si>
  <si>
    <t>Gedling</t>
  </si>
  <si>
    <t>Pathway Care Solutions Ltd 04004053</t>
  </si>
  <si>
    <t>Skipton and Ripon</t>
  </si>
  <si>
    <t>Fusion Fostering South Central</t>
  </si>
  <si>
    <t>Fusion Fostering Ltd</t>
  </si>
  <si>
    <t>FF4 Cams Hall</t>
  </si>
  <si>
    <t>Fareham</t>
  </si>
  <si>
    <t>PO16 8AB</t>
  </si>
  <si>
    <t>Fusion Fostering Limited</t>
  </si>
  <si>
    <t>Ludlow</t>
  </si>
  <si>
    <t>Reflexion Care Group Limited</t>
  </si>
  <si>
    <t>Langham Oaks</t>
  </si>
  <si>
    <t>School Road</t>
  </si>
  <si>
    <t xml:space="preserve">Langham  </t>
  </si>
  <si>
    <t>Colchester</t>
  </si>
  <si>
    <t>CO4 5PA</t>
  </si>
  <si>
    <t>Harwich and North Essex</t>
  </si>
  <si>
    <t>Seax Trust (07747149)</t>
  </si>
  <si>
    <t>St Helens North</t>
  </si>
  <si>
    <t>Inspire Childrens Services Limited</t>
  </si>
  <si>
    <t>Harborough</t>
  </si>
  <si>
    <t>Platform Childcare Ltd</t>
  </si>
  <si>
    <t>Macclesfield</t>
  </si>
  <si>
    <t>Esland North Limited</t>
  </si>
  <si>
    <t>North Herefordshire</t>
  </si>
  <si>
    <t>River Valley Care Ltd</t>
  </si>
  <si>
    <t>Resolute Care Ltd</t>
  </si>
  <si>
    <t>Newcastle upon Tyne East</t>
  </si>
  <si>
    <t>Hennessy Living Group Limited</t>
  </si>
  <si>
    <t>Stafford</t>
  </si>
  <si>
    <t>Hygge Care Ltd</t>
  </si>
  <si>
    <t>Blackpool South</t>
  </si>
  <si>
    <t>South Dorset</t>
  </si>
  <si>
    <t>Potensial Ltd</t>
  </si>
  <si>
    <t>Fostering Innovations</t>
  </si>
  <si>
    <t>Room 519 &amp; 520</t>
  </si>
  <si>
    <t>The Atrium 1 Harefield Road,Uxbridge</t>
  </si>
  <si>
    <t>UB8 1EX</t>
  </si>
  <si>
    <t>Uxbridge and South Ruislip</t>
  </si>
  <si>
    <t>Fostering Innovations Limited</t>
  </si>
  <si>
    <t>Ribble Valley</t>
  </si>
  <si>
    <t>Hatols Fostering Service</t>
  </si>
  <si>
    <t>55 Jasmine Court</t>
  </si>
  <si>
    <t xml:space="preserve">Anerley  </t>
  </si>
  <si>
    <t>SE20 8JY</t>
  </si>
  <si>
    <t>Hatols Fostering Services Ltd</t>
  </si>
  <si>
    <t>Stoke-on-Trent South</t>
  </si>
  <si>
    <t>Platinum Services For Children (residential Care) Ltd</t>
  </si>
  <si>
    <t>Leeds Central</t>
  </si>
  <si>
    <t>Leeds City Council</t>
  </si>
  <si>
    <t>Fylde</t>
  </si>
  <si>
    <t>Burnley</t>
  </si>
  <si>
    <t>Hemel Hempstead</t>
  </si>
  <si>
    <t>Charnwood</t>
  </si>
  <si>
    <t>Shining Stars Fostering Agency Ltd</t>
  </si>
  <si>
    <t>The Lansdowne Building</t>
  </si>
  <si>
    <t xml:space="preserve">2 Lansdowne Road  </t>
  </si>
  <si>
    <t>CROYDON</t>
  </si>
  <si>
    <t>CR9 2ER</t>
  </si>
  <si>
    <t>Croydon Central</t>
  </si>
  <si>
    <t>Shining Stars Fostering Agency Limited</t>
  </si>
  <si>
    <t>Preston</t>
  </si>
  <si>
    <t>Warrington South</t>
  </si>
  <si>
    <t>Break</t>
  </si>
  <si>
    <t>Fusion Fostering North West</t>
  </si>
  <si>
    <t>Office 11 and 12</t>
  </si>
  <si>
    <t>Chorley Business &amp; Technology Centre Euxton Lane</t>
  </si>
  <si>
    <t>Chorley</t>
  </si>
  <si>
    <t>PR7 6TE</t>
  </si>
  <si>
    <t>Sittingbourne and Sheppey</t>
  </si>
  <si>
    <t>Benecare Limited</t>
  </si>
  <si>
    <t>Arundel and South Downs</t>
  </si>
  <si>
    <t>Keys KIN Ltd</t>
  </si>
  <si>
    <t>The Children's Consultancy Limited</t>
  </si>
  <si>
    <t>West Grange</t>
  </si>
  <si>
    <t xml:space="preserve">Clyst Heath  </t>
  </si>
  <si>
    <t>Exeter</t>
  </si>
  <si>
    <t>EX2 7EY</t>
  </si>
  <si>
    <t>East Devon</t>
  </si>
  <si>
    <t>Birmingham, Erdington</t>
  </si>
  <si>
    <t>Compass Childrens Homes Limited</t>
  </si>
  <si>
    <t>East Worthing and Shoreham</t>
  </si>
  <si>
    <t>Harlow</t>
  </si>
  <si>
    <t xml:space="preserve">Harmony Residential Homes Ltd </t>
  </si>
  <si>
    <t>Fusion Fostering South West</t>
  </si>
  <si>
    <t>Fusion Fostering</t>
  </si>
  <si>
    <t xml:space="preserve">Richmond House  </t>
  </si>
  <si>
    <t>Taunton</t>
  </si>
  <si>
    <t>TA3 6BY</t>
  </si>
  <si>
    <t>Taunton Deane</t>
  </si>
  <si>
    <t>South Basildon and East Thurrock</t>
  </si>
  <si>
    <t>Potton Homes Ltd</t>
  </si>
  <si>
    <t>North West Fostering</t>
  </si>
  <si>
    <t>Unit A</t>
  </si>
  <si>
    <t>8th Floor St James House Pendleton Way</t>
  </si>
  <si>
    <t>M6 5FW</t>
  </si>
  <si>
    <t>Thornbury and Yate</t>
  </si>
  <si>
    <t>Thornleigh Camphill Communities Limited</t>
  </si>
  <si>
    <t>Bosworth</t>
  </si>
  <si>
    <t>Dover</t>
  </si>
  <si>
    <t>Moonreach Limited</t>
  </si>
  <si>
    <t>Scarborough and Whitby</t>
  </si>
  <si>
    <t>Cambian Autism Services Ltd</t>
  </si>
  <si>
    <t>West Lancashire</t>
  </si>
  <si>
    <t>Exceptional Care Limited</t>
  </si>
  <si>
    <t>Pafa (parenting Assessments For All) Ltd</t>
  </si>
  <si>
    <t>Oakfield</t>
  </si>
  <si>
    <t xml:space="preserve">Old Lane  </t>
  </si>
  <si>
    <t>CH60 1XX</t>
  </si>
  <si>
    <t>Wirral South</t>
  </si>
  <si>
    <t>Aspirations Fostering Limited</t>
  </si>
  <si>
    <t>Longacre Farm Business park</t>
  </si>
  <si>
    <t>Hockley</t>
  </si>
  <si>
    <t>SS5 5LR</t>
  </si>
  <si>
    <t>Rayleigh and Wickford</t>
  </si>
  <si>
    <t>Somerton and Frome</t>
  </si>
  <si>
    <t>Solent Childcare LTD</t>
  </si>
  <si>
    <t>Aldridge-Brownhills</t>
  </si>
  <si>
    <t>Sutton Coldfield</t>
  </si>
  <si>
    <t>Meadows Care Limited</t>
  </si>
  <si>
    <t>Ellesmere Port and Neston</t>
  </si>
  <si>
    <t>Phoenix Care &amp; Education Ltd</t>
  </si>
  <si>
    <t>Witham</t>
  </si>
  <si>
    <t>Pss Care Group Limited</t>
  </si>
  <si>
    <t>Staffordshire Moorlands</t>
  </si>
  <si>
    <t>Aspireone Care Ltd</t>
  </si>
  <si>
    <t>Unity Foster Care</t>
  </si>
  <si>
    <t>First Floor</t>
  </si>
  <si>
    <t>4340 The Pentagon Park Approach,Thorpe Park</t>
  </si>
  <si>
    <t>LS15 8GB</t>
  </si>
  <si>
    <t>Leeds East</t>
  </si>
  <si>
    <t>Unity Foster Care Ltd</t>
  </si>
  <si>
    <t>Bexhill and Battle</t>
  </si>
  <si>
    <t>Anderida Adolescent Care Ltd</t>
  </si>
  <si>
    <t>Newark</t>
  </si>
  <si>
    <t>Hyndburn</t>
  </si>
  <si>
    <t>Halliwell Homes Limited</t>
  </si>
  <si>
    <t>Imago Community</t>
  </si>
  <si>
    <t>Tunbridge Wells</t>
  </si>
  <si>
    <t>South Cambridgeshire</t>
  </si>
  <si>
    <t>Aurora Care and Education Opco Limited</t>
  </si>
  <si>
    <t>Henley</t>
  </si>
  <si>
    <t>Oxfordshire County Council</t>
  </si>
  <si>
    <t>Southend West</t>
  </si>
  <si>
    <t>Kites Children Services Limited</t>
  </si>
  <si>
    <t>Guildford</t>
  </si>
  <si>
    <t>Surrey County Council</t>
  </si>
  <si>
    <t>Birmingham, Perry Barr</t>
  </si>
  <si>
    <t>Beacon Childcare Ltd</t>
  </si>
  <si>
    <t>North East Bedfordshire</t>
  </si>
  <si>
    <t>Pathways Care Group</t>
  </si>
  <si>
    <t>Olive Branch Fostering Ltd</t>
  </si>
  <si>
    <t>Hardmans Business Centre</t>
  </si>
  <si>
    <t xml:space="preserve">New Hall Hey Road  </t>
  </si>
  <si>
    <t>ROSSENDALE</t>
  </si>
  <si>
    <t>BB4 6HH</t>
  </si>
  <si>
    <t>Rossendale and Darwen</t>
  </si>
  <si>
    <t>Newton Abbot</t>
  </si>
  <si>
    <t>One To One Crisis Intervention Ltd</t>
  </si>
  <si>
    <t>The Wrekin</t>
  </si>
  <si>
    <t>Cove Care Residential Limited</t>
  </si>
  <si>
    <t>Liverpool, Walton</t>
  </si>
  <si>
    <t>Courtyard Care Limited</t>
  </si>
  <si>
    <t>Lancashire County Council</t>
  </si>
  <si>
    <t>KIDS</t>
  </si>
  <si>
    <t>Kids</t>
  </si>
  <si>
    <t>Birmingham, Selly Oak</t>
  </si>
  <si>
    <t>Sherlock Healthcare Services Ltd</t>
  </si>
  <si>
    <t>Brigg and Goole</t>
  </si>
  <si>
    <t xml:space="preserve">Lambourne End Centre </t>
  </si>
  <si>
    <t>Brentwood and Ongar</t>
  </si>
  <si>
    <t>Lambourne End Ltd</t>
  </si>
  <si>
    <t>Doncaster Central</t>
  </si>
  <si>
    <t>In Safe Hands Care Ltd</t>
  </si>
  <si>
    <t>Total Care Matters Limited</t>
  </si>
  <si>
    <t>A1 Foster Care</t>
  </si>
  <si>
    <t>GA1 Management Suite</t>
  </si>
  <si>
    <t>Technology Court Bradbury Road</t>
  </si>
  <si>
    <t>Newton Aycliffe</t>
  </si>
  <si>
    <t>DL5 6DA</t>
  </si>
  <si>
    <t>Bolton North East</t>
  </si>
  <si>
    <t>Birtenshaw</t>
  </si>
  <si>
    <t>Blaydon</t>
  </si>
  <si>
    <t>Artemis Support Limited</t>
  </si>
  <si>
    <t>Don Valley</t>
  </si>
  <si>
    <t>Friends Together Care Homes Ltd</t>
  </si>
  <si>
    <t>Safe Base Fostering Ltd</t>
  </si>
  <si>
    <t>Unit 1 A The Patrick Tobin Businesss Park</t>
  </si>
  <si>
    <t xml:space="preserve">Manvers  </t>
  </si>
  <si>
    <t>South Yorkshire</t>
  </si>
  <si>
    <t>S63 7LL</t>
  </si>
  <si>
    <t>Wentworth and Dearne</t>
  </si>
  <si>
    <t>Congleton</t>
  </si>
  <si>
    <t>Newcastle City Council</t>
  </si>
  <si>
    <t>The Midlands</t>
  </si>
  <si>
    <t>Hilton Hall</t>
  </si>
  <si>
    <t>Hilton Lane Essington</t>
  </si>
  <si>
    <t>WV11 2BQ</t>
  </si>
  <si>
    <t>South Staffordshire</t>
  </si>
  <si>
    <t>Further Education College with Residential Accommodation</t>
  </si>
  <si>
    <t>Cornwall College</t>
  </si>
  <si>
    <t>Corporate Headquarters</t>
  </si>
  <si>
    <t>Cornwall College St Austell Tregonissey Road</t>
  </si>
  <si>
    <t>St Austell</t>
  </si>
  <si>
    <t>PL25 4DJ</t>
  </si>
  <si>
    <t>St Austell and Newquay</t>
  </si>
  <si>
    <t>Cornwall College Corporation</t>
  </si>
  <si>
    <t>Kings Bournemouth</t>
  </si>
  <si>
    <t>58 Braidley Road</t>
  </si>
  <si>
    <t>Bournemouth</t>
  </si>
  <si>
    <t>BH2 6LD</t>
  </si>
  <si>
    <t>Bournemouth, Christchurch &amp; Poole</t>
  </si>
  <si>
    <t>Bournemouth West</t>
  </si>
  <si>
    <t>Kings Bournmouth</t>
  </si>
  <si>
    <t>Carlisle</t>
  </si>
  <si>
    <t>Active Ark Limited</t>
  </si>
  <si>
    <t>Huddersfield</t>
  </si>
  <si>
    <t>Time-Out Childrens Homes Limited</t>
  </si>
  <si>
    <t>West Ham</t>
  </si>
  <si>
    <t>Jamores Limited</t>
  </si>
  <si>
    <t>Loughborough</t>
  </si>
  <si>
    <t xml:space="preserve">Granary Families Assessment Centre </t>
  </si>
  <si>
    <t>60 Vaughan Road</t>
  </si>
  <si>
    <t>HA1 4EE</t>
  </si>
  <si>
    <t>Harrow West</t>
  </si>
  <si>
    <t>Granary Care Limited</t>
  </si>
  <si>
    <t>North Cornwall</t>
  </si>
  <si>
    <t>Phoenix Childcare Ltd</t>
  </si>
  <si>
    <t>National Fostering Agency</t>
  </si>
  <si>
    <t>920 Birchwood Boulevard</t>
  </si>
  <si>
    <t>WA3 7QS</t>
  </si>
  <si>
    <t>Warrington North</t>
  </si>
  <si>
    <t>The National Fostering Agency Ltd</t>
  </si>
  <si>
    <t>Positive Pathways Limited</t>
  </si>
  <si>
    <t>Suspended</t>
  </si>
  <si>
    <t>Lytham Care Limited</t>
  </si>
  <si>
    <t>Clacton</t>
  </si>
  <si>
    <t>CMB Counselling</t>
  </si>
  <si>
    <t>19 Frog Lane</t>
  </si>
  <si>
    <t>Titchfield</t>
  </si>
  <si>
    <t>PO14 4DU</t>
  </si>
  <si>
    <t>Cmb Counselling</t>
  </si>
  <si>
    <t>South Ribble</t>
  </si>
  <si>
    <t>New Horizons nw ltd</t>
  </si>
  <si>
    <t>Plymouth, Sutton and Devonport</t>
  </si>
  <si>
    <t>South West Childcare Services</t>
  </si>
  <si>
    <t>Wimbledon</t>
  </si>
  <si>
    <t>Children Of The Mangrove Limited</t>
  </si>
  <si>
    <t>Mulberry Foster Care Ltd</t>
  </si>
  <si>
    <t>Office 42</t>
  </si>
  <si>
    <t>Rural Enterprise Centre Vincent Carey Road</t>
  </si>
  <si>
    <t>Hereford</t>
  </si>
  <si>
    <t>HR2 6FE</t>
  </si>
  <si>
    <t>Hereford and South Herefordshire</t>
  </si>
  <si>
    <t>South East Cornwall</t>
  </si>
  <si>
    <t>New Forest East</t>
  </si>
  <si>
    <t>Dewsbury</t>
  </si>
  <si>
    <t>CareTech Community Services Limited</t>
  </si>
  <si>
    <t>Whizz-Kidz</t>
  </si>
  <si>
    <t>Bermondsey and Old Southwark</t>
  </si>
  <si>
    <t>The Movement For Non-Mobile Children (Whizz-Kidz)</t>
  </si>
  <si>
    <t>Calcot Services for Children Limited</t>
  </si>
  <si>
    <t>Calderdale Metropolitan Borough Council</t>
  </si>
  <si>
    <t>Bridgwater and West Somerset</t>
  </si>
  <si>
    <t>Happy Group (uk) Limited</t>
  </si>
  <si>
    <t>Southport</t>
  </si>
  <si>
    <t>Batley and Spen</t>
  </si>
  <si>
    <t>South West Bedfordshire</t>
  </si>
  <si>
    <t>Benjamin UK Ltd</t>
  </si>
  <si>
    <t>Therapeutic Fostering Ltd</t>
  </si>
  <si>
    <t>Astra Office Suites</t>
  </si>
  <si>
    <t>Astra Business Centre (E) Roman Way</t>
  </si>
  <si>
    <t>PR2 5AP</t>
  </si>
  <si>
    <t>Weston-Super-Mare</t>
  </si>
  <si>
    <t>Utopia Children's Services Ltd</t>
  </si>
  <si>
    <t>Eltham</t>
  </si>
  <si>
    <t>Capstone Foster Care (South East) Limited</t>
  </si>
  <si>
    <t>Capstone Foster Care</t>
  </si>
  <si>
    <t>28 The Green Kings Norton</t>
  </si>
  <si>
    <t>B38 8SD</t>
  </si>
  <si>
    <t>Birmingham, Northfield</t>
  </si>
  <si>
    <t>Capstone Foster Care (south East) Ltd</t>
  </si>
  <si>
    <t>Rochdale Metropolitan Borough Council</t>
  </si>
  <si>
    <t>Wyre and Preston North</t>
  </si>
  <si>
    <t>Nurture Childcare Services Ltd</t>
  </si>
  <si>
    <t>Exeter Mathematics School</t>
  </si>
  <si>
    <t>Rougemont House</t>
  </si>
  <si>
    <t xml:space="preserve">Castle Road  </t>
  </si>
  <si>
    <t>EX4 3PU</t>
  </si>
  <si>
    <t>Amber Lodge</t>
  </si>
  <si>
    <t>45 Part Street</t>
  </si>
  <si>
    <t>PR8 1HY</t>
  </si>
  <si>
    <t>Amber Family Ltd</t>
  </si>
  <si>
    <t>Portsmouth South</t>
  </si>
  <si>
    <t>Portsmouth City Council</t>
  </si>
  <si>
    <t>Keys Educational Services Limited</t>
  </si>
  <si>
    <t>South Holland and The Deepings</t>
  </si>
  <si>
    <t>Keys Direct Care Limited</t>
  </si>
  <si>
    <t>St Helens South and Whiston</t>
  </si>
  <si>
    <t>Idem Living Ltd</t>
  </si>
  <si>
    <t>Care 4 Children Holdco Limited</t>
  </si>
  <si>
    <t>Birmingham, Hall Green</t>
  </si>
  <si>
    <t>Horsham</t>
  </si>
  <si>
    <t>Treehouse Educare Limited</t>
  </si>
  <si>
    <t>Rutland and Melton</t>
  </si>
  <si>
    <t>The Place Young People's Company Limited</t>
  </si>
  <si>
    <t>North Thanet</t>
  </si>
  <si>
    <t>Aspire Care and Education Services Ltd</t>
  </si>
  <si>
    <t>Next Stage For Fostering Ltd</t>
  </si>
  <si>
    <t>Next Stage For Fostering</t>
  </si>
  <si>
    <t xml:space="preserve">28 Manchester Road  </t>
  </si>
  <si>
    <t>Westhoughton</t>
  </si>
  <si>
    <t>BL5 3QJ</t>
  </si>
  <si>
    <t>Bolton West</t>
  </si>
  <si>
    <t>Aim High Fostering Services</t>
  </si>
  <si>
    <t>M25 Business Centre Ltd</t>
  </si>
  <si>
    <t xml:space="preserve">121 Brooker Road  </t>
  </si>
  <si>
    <t>Waltham Abbey</t>
  </si>
  <si>
    <t>EN9 1JH</t>
  </si>
  <si>
    <t>Epping Forest</t>
  </si>
  <si>
    <t>Aim High Fostering Services Ltd</t>
  </si>
  <si>
    <t>Makerfield</t>
  </si>
  <si>
    <t>Future Focused Ltd</t>
  </si>
  <si>
    <t>Oak Fostering Ltd</t>
  </si>
  <si>
    <t>3 Doolittle Yard</t>
  </si>
  <si>
    <t>Ampthill</t>
  </si>
  <si>
    <t>Bedfordshire</t>
  </si>
  <si>
    <t>MK45 2NW</t>
  </si>
  <si>
    <t>Mid Bedfordshire</t>
  </si>
  <si>
    <t>Oak Fostering Limited</t>
  </si>
  <si>
    <t>The Caldecott Foundation Limited</t>
  </si>
  <si>
    <t>Kings Brighton</t>
  </si>
  <si>
    <t>27-33 Ditchling Road</t>
  </si>
  <si>
    <t>Brighton</t>
  </si>
  <si>
    <t>BN1 4SB</t>
  </si>
  <si>
    <t>Brighton, Pavilion</t>
  </si>
  <si>
    <t>North West Hampshire</t>
  </si>
  <si>
    <t>North East Somerset</t>
  </si>
  <si>
    <t>Wessex College Limited</t>
  </si>
  <si>
    <t>Island Choices Ltd</t>
  </si>
  <si>
    <t>Westmorland and Lonsdale</t>
  </si>
  <si>
    <t>Dudley North</t>
  </si>
  <si>
    <t>Family Works Fostering Limited</t>
  </si>
  <si>
    <t>Suite 19-20</t>
  </si>
  <si>
    <t>Business Centre 8 Madeira Avenue</t>
  </si>
  <si>
    <t>LEIGH-ON-SEA</t>
  </si>
  <si>
    <t>SS9 3EB</t>
  </si>
  <si>
    <t>Knowsley Metropolitan Borough Council</t>
  </si>
  <si>
    <t>North West Leicestershire</t>
  </si>
  <si>
    <t>Keys Care Limited</t>
  </si>
  <si>
    <t>Fostering UK</t>
  </si>
  <si>
    <t>Maple House</t>
  </si>
  <si>
    <t>Potters Bar</t>
  </si>
  <si>
    <t>EN6 5BS</t>
  </si>
  <si>
    <t>Hertsmere</t>
  </si>
  <si>
    <t>Fosteringuk Ltd</t>
  </si>
  <si>
    <t>Newcastle-under-Lyme</t>
  </si>
  <si>
    <t>Health Authority</t>
  </si>
  <si>
    <t>North Staffordshire Combined Healthcare Nhs Trust</t>
  </si>
  <si>
    <t>Gravesham</t>
  </si>
  <si>
    <t>Bay Tree House (gravesend) Limited</t>
  </si>
  <si>
    <t>Bassetlaw</t>
  </si>
  <si>
    <t>Caldecott Foundation Limited</t>
  </si>
  <si>
    <t>Torridge and West Devon</t>
  </si>
  <si>
    <t>Phoenix Learning &amp; Care Holdings Limited</t>
  </si>
  <si>
    <t>Oxford West and Abingdon</t>
  </si>
  <si>
    <t>Erewash</t>
  </si>
  <si>
    <t>Blue Mountain Homes Ltd</t>
  </si>
  <si>
    <t>Bradford South</t>
  </si>
  <si>
    <t xml:space="preserve">ROC Northwest Limited </t>
  </si>
  <si>
    <t>Birmingham, Hodge Hill</t>
  </si>
  <si>
    <t>Haven Care Group Ltd</t>
  </si>
  <si>
    <t>Croydon North</t>
  </si>
  <si>
    <t>Sankofa Care Ltd</t>
  </si>
  <si>
    <t>No. 57 Ltd</t>
  </si>
  <si>
    <t>Witney</t>
  </si>
  <si>
    <t>Stalybridge and Hyde</t>
  </si>
  <si>
    <t>Stepping Stones Childrens Homes Limited</t>
  </si>
  <si>
    <t>The Fostering Team</t>
  </si>
  <si>
    <t>1 Stuart Road</t>
  </si>
  <si>
    <t>Bredbury Park Industrial Estate Bredbury</t>
  </si>
  <si>
    <t>SK6 2SR</t>
  </si>
  <si>
    <t>Hazel Grove</t>
  </si>
  <si>
    <t>Fostering Solutions - Oundle</t>
  </si>
  <si>
    <t>Foster Solutions</t>
  </si>
  <si>
    <t>Wharf House Station Road, Oundle</t>
  </si>
  <si>
    <t>PE8 4DE</t>
  </si>
  <si>
    <t>Acorn Care &amp; Education Limited</t>
  </si>
  <si>
    <t>Wigan Council</t>
  </si>
  <si>
    <t>South Leicestershire</t>
  </si>
  <si>
    <t>Bradford West</t>
  </si>
  <si>
    <t>Stourbridge</t>
  </si>
  <si>
    <t>My3 Limited</t>
  </si>
  <si>
    <t>Romsey and Southampton North</t>
  </si>
  <si>
    <t>New Forest Care</t>
  </si>
  <si>
    <t>Meon Valley</t>
  </si>
  <si>
    <t>Hillcrest Children's Services Ltd</t>
  </si>
  <si>
    <t>Bournemouth East</t>
  </si>
  <si>
    <t>Beaufort Care Group Limited</t>
  </si>
  <si>
    <t>Bognor Regis and Littlehampton</t>
  </si>
  <si>
    <t>The Amicus Community Arundel Limited</t>
  </si>
  <si>
    <t>Derby North</t>
  </si>
  <si>
    <t>Watermead Care Ltd</t>
  </si>
  <si>
    <t>New Forest West</t>
  </si>
  <si>
    <t>Stroud</t>
  </si>
  <si>
    <t>Partnerships In Care 1 Limited</t>
  </si>
  <si>
    <t>Keys Group Progressive Care &amp; Education Limited</t>
  </si>
  <si>
    <t>Workington</t>
  </si>
  <si>
    <t>West Cumbria Care and Support</t>
  </si>
  <si>
    <t>Manchester Central</t>
  </si>
  <si>
    <t>Good News Nwk Ltd</t>
  </si>
  <si>
    <t>North Durham</t>
  </si>
  <si>
    <t>Resilience North East Limited</t>
  </si>
  <si>
    <t>Saffron Walden</t>
  </si>
  <si>
    <t>Little Belsteads Care Home Limited</t>
  </si>
  <si>
    <t>Wirral West</t>
  </si>
  <si>
    <t>Searchlight Care Services Ltd</t>
  </si>
  <si>
    <t>Serenity Care Homes Ltd</t>
  </si>
  <si>
    <t>Calder Valley</t>
  </si>
  <si>
    <t>Penrith and The Border</t>
  </si>
  <si>
    <t>Headway Adolescent Resources Limited</t>
  </si>
  <si>
    <t>Radical Services Limited</t>
  </si>
  <si>
    <t>Stone</t>
  </si>
  <si>
    <t>Unity Residential Care Services Limited</t>
  </si>
  <si>
    <t>Focus Foster Care Ltd</t>
  </si>
  <si>
    <t>Rural Innovation Centre Avenue H,stoneleigh Park</t>
  </si>
  <si>
    <t>Kenilworth</t>
  </si>
  <si>
    <t>CV8 2LG</t>
  </si>
  <si>
    <t>Kenilworth and Southam</t>
  </si>
  <si>
    <t>Building Bridges Care Homes Ltd</t>
  </si>
  <si>
    <t>Time To Listen</t>
  </si>
  <si>
    <t>Marvell House Children's Centre</t>
  </si>
  <si>
    <t xml:space="preserve">Cranbourne Street  </t>
  </si>
  <si>
    <t>Hull</t>
  </si>
  <si>
    <t>HU3 1PP</t>
  </si>
  <si>
    <t>Kingston upon Hull North</t>
  </si>
  <si>
    <t>Time To Listen Ltd</t>
  </si>
  <si>
    <t>My Choice Children's Homes ltd</t>
  </si>
  <si>
    <t>Doncaster North</t>
  </si>
  <si>
    <t>First 4 Care Ltd</t>
  </si>
  <si>
    <t>Bury St Edmunds</t>
  </si>
  <si>
    <t>Achieving Aspirations  Community Interest Company</t>
  </si>
  <si>
    <t>Basingstoke</t>
  </si>
  <si>
    <t>Lewes</t>
  </si>
  <si>
    <t>Manchester City Council</t>
  </si>
  <si>
    <t xml:space="preserve">Area Camden Limited </t>
  </si>
  <si>
    <t>Brockenhurst College</t>
  </si>
  <si>
    <t>Lyndhurst Road</t>
  </si>
  <si>
    <t>Brockenhurst</t>
  </si>
  <si>
    <t>SO42 7ZE</t>
  </si>
  <si>
    <t>Nottingham College</t>
  </si>
  <si>
    <t>Ruddington Fields Business Park</t>
  </si>
  <si>
    <t>Ruddington</t>
  </si>
  <si>
    <t>NG11 6JZ</t>
  </si>
  <si>
    <t>Rushcliffe</t>
  </si>
  <si>
    <t>Burton</t>
  </si>
  <si>
    <t>T-Junction Children's Services Ltd</t>
  </si>
  <si>
    <t>Restorative Social Care Services Ltd</t>
  </si>
  <si>
    <t>Easington</t>
  </si>
  <si>
    <t>Paddock House Limited</t>
  </si>
  <si>
    <t>The Spring Children's And Transitional Care Ltd</t>
  </si>
  <si>
    <t>Oaktree Childcare Ltd</t>
  </si>
  <si>
    <t>DMR Services Limited</t>
  </si>
  <si>
    <t>D M R Services</t>
  </si>
  <si>
    <t xml:space="preserve">102 Queslett Road East  </t>
  </si>
  <si>
    <t>B74 2EZ</t>
  </si>
  <si>
    <t>DMR Services Ltd</t>
  </si>
  <si>
    <t>Chesterfield</t>
  </si>
  <si>
    <t>Homes 2 Inspire Limited</t>
  </si>
  <si>
    <t>Rite Directions Ltd</t>
  </si>
  <si>
    <t>Plymouth, Moor View</t>
  </si>
  <si>
    <t>Nottingham East</t>
  </si>
  <si>
    <t>Winchester</t>
  </si>
  <si>
    <t>Hampshire County Council</t>
  </si>
  <si>
    <t>Together For Children Fostering - Sunderland</t>
  </si>
  <si>
    <t>Sandhill Centre</t>
  </si>
  <si>
    <t xml:space="preserve">Grindon Lane  </t>
  </si>
  <si>
    <t>SR3 4EN</t>
  </si>
  <si>
    <t>Houghton and Sunderland South</t>
  </si>
  <si>
    <t>Together for Children Sunderland Limited</t>
  </si>
  <si>
    <t>Together For Children Adoption - Sunderland</t>
  </si>
  <si>
    <t>Washington and Sunderland West</t>
  </si>
  <si>
    <t>Wolverhampton South West</t>
  </si>
  <si>
    <t>All4u Fostering Ltd</t>
  </si>
  <si>
    <t>Wood Farm</t>
  </si>
  <si>
    <t>Burlings Lane Knockholt</t>
  </si>
  <si>
    <t>TN14 7PF</t>
  </si>
  <si>
    <t xml:space="preserve"> all4u Fostering Ltd</t>
  </si>
  <si>
    <t>Tiverton and Honiton</t>
  </si>
  <si>
    <t>Derby South</t>
  </si>
  <si>
    <t>West Worcestershire</t>
  </si>
  <si>
    <t>Northampton North</t>
  </si>
  <si>
    <t>South Northamptonshire</t>
  </si>
  <si>
    <t>Fusion Fostering North East</t>
  </si>
  <si>
    <t>Suite 34 Hilton Hall</t>
  </si>
  <si>
    <t xml:space="preserve">Hilton Lane  </t>
  </si>
  <si>
    <t>Banbury</t>
  </si>
  <si>
    <t>Kettering</t>
  </si>
  <si>
    <t>Richard Huish College</t>
  </si>
  <si>
    <t>South Road</t>
  </si>
  <si>
    <t>Taunton, Somerset</t>
  </si>
  <si>
    <t>TA1 3EA</t>
  </si>
  <si>
    <t>Oldham East and Saddleworth</t>
  </si>
  <si>
    <t>SureCare Residential Ltd</t>
  </si>
  <si>
    <t>North Yorkshire County Council</t>
  </si>
  <si>
    <t>Isp Teynham</t>
  </si>
  <si>
    <t>Castlewood Farm</t>
  </si>
  <si>
    <t xml:space="preserve">Conyer Road  </t>
  </si>
  <si>
    <t>Teynham Sittingbourne</t>
  </si>
  <si>
    <t>ME9 9EA</t>
  </si>
  <si>
    <t>Isp</t>
  </si>
  <si>
    <t>Autumn House</t>
  </si>
  <si>
    <t>11 Muirhead Avenue</t>
  </si>
  <si>
    <t>L13 9BG</t>
  </si>
  <si>
    <t>Liverpool, West Derby</t>
  </si>
  <si>
    <t>U5 Limited</t>
  </si>
  <si>
    <t>North Devon</t>
  </si>
  <si>
    <t>Cameron &amp; Cooper Limited</t>
  </si>
  <si>
    <t>Hornchurch and Upminster</t>
  </si>
  <si>
    <t>Children Assisted in a Real Environment (care) Ltd</t>
  </si>
  <si>
    <t>Branas Isaf (holdings) Limited</t>
  </si>
  <si>
    <t>Bexleyheath and Crayford</t>
  </si>
  <si>
    <t>The Drive Care Homes Ltd</t>
  </si>
  <si>
    <t>Hendon</t>
  </si>
  <si>
    <t>Curam Domi Solutions Ltd</t>
  </si>
  <si>
    <t>Motivations Activity Projects Ltd</t>
  </si>
  <si>
    <t>Lewisham East</t>
  </si>
  <si>
    <t>Ravensbourne Project</t>
  </si>
  <si>
    <t>Oasis Places Limited</t>
  </si>
  <si>
    <t>Gravitas Care LTD</t>
  </si>
  <si>
    <t>Orchard Children Homes Ltd</t>
  </si>
  <si>
    <t>North East Cambridgeshire</t>
  </si>
  <si>
    <t>Oxford International College</t>
  </si>
  <si>
    <t>Oxford International House</t>
  </si>
  <si>
    <t xml:space="preserve">1-5 London Place  </t>
  </si>
  <si>
    <t>OX4 1BD</t>
  </si>
  <si>
    <t>Oxford International College Ltd</t>
  </si>
  <si>
    <t>Savannah Lodge Limited</t>
  </si>
  <si>
    <t>65 Fir Park</t>
  </si>
  <si>
    <t>CM19 4JU</t>
  </si>
  <si>
    <t>Morley and Outwood</t>
  </si>
  <si>
    <t>Tamworth</t>
  </si>
  <si>
    <t>Mansfield</t>
  </si>
  <si>
    <t>Salisbury</t>
  </si>
  <si>
    <t>Ashford</t>
  </si>
  <si>
    <t>Parkview Care (Broadstairs) Limited</t>
  </si>
  <si>
    <t>Sense</t>
  </si>
  <si>
    <t>Sense, The National Deafblind And Rubella Association</t>
  </si>
  <si>
    <t>Walsall North</t>
  </si>
  <si>
    <t>Triangle Project</t>
  </si>
  <si>
    <t>Ts3 Pinewood Business Park</t>
  </si>
  <si>
    <t xml:space="preserve">Coleshill Road  </t>
  </si>
  <si>
    <t>Marston Green, Birmingham</t>
  </si>
  <si>
    <t>B37 7HG</t>
  </si>
  <si>
    <t>Meriden</t>
  </si>
  <si>
    <t>Doncaster Children's Services Trust Limited</t>
  </si>
  <si>
    <t>Maldon</t>
  </si>
  <si>
    <t>Arc-HD Services Ltd</t>
  </si>
  <si>
    <t>Wolverhampton South East</t>
  </si>
  <si>
    <t>Friends &amp; Co Limited</t>
  </si>
  <si>
    <t>Choice Fostering Ltd</t>
  </si>
  <si>
    <t>19a Studio House Business Centre</t>
  </si>
  <si>
    <t xml:space="preserve">Delamare Road  </t>
  </si>
  <si>
    <t>Waltham Cross</t>
  </si>
  <si>
    <t>EN8 9SH</t>
  </si>
  <si>
    <t>Broxbourne</t>
  </si>
  <si>
    <t>Worcester</t>
  </si>
  <si>
    <t xml:space="preserve"> Swan Cottage Limited</t>
  </si>
  <si>
    <t>Leicester East</t>
  </si>
  <si>
    <t>Happy Children Home Limited</t>
  </si>
  <si>
    <t>Oasis Adolescent Services Ltd</t>
  </si>
  <si>
    <t>Outbound Care Ltd</t>
  </si>
  <si>
    <t>Stoke-on-Trent Central</t>
  </si>
  <si>
    <t>Stoke On Trent City Council</t>
  </si>
  <si>
    <t>Solid Global Limited</t>
  </si>
  <si>
    <t>South Derbyshire</t>
  </si>
  <si>
    <t>Ashwood Childrens Care Home Ltd</t>
  </si>
  <si>
    <t>To The Moon And Back Foster Care Limited</t>
  </si>
  <si>
    <t xml:space="preserve">Future Business Centre Kings Hedges Road  </t>
  </si>
  <si>
    <t>Cambridge</t>
  </si>
  <si>
    <t>CB4 2HY</t>
  </si>
  <si>
    <t>Oneonecoco</t>
  </si>
  <si>
    <t>51 Redbridge Lane West</t>
  </si>
  <si>
    <t>E11 2JY</t>
  </si>
  <si>
    <t>Leyton and Wanstead</t>
  </si>
  <si>
    <t>Semi-Independent House Limited</t>
  </si>
  <si>
    <t>North West Cambridgeshire</t>
  </si>
  <si>
    <t>People Who Foster</t>
  </si>
  <si>
    <t>Unit 8</t>
  </si>
  <si>
    <t>Innovation Studios Canal Road,Strood</t>
  </si>
  <si>
    <t>Rochester</t>
  </si>
  <si>
    <t>ME2 4DT</t>
  </si>
  <si>
    <t>Rochester and Strood</t>
  </si>
  <si>
    <t>People Who Foster Ltd</t>
  </si>
  <si>
    <t>Fostering To Inspire</t>
  </si>
  <si>
    <t>1 Red Hall Court</t>
  </si>
  <si>
    <t>WF1 2UN</t>
  </si>
  <si>
    <t>Brythan House Limited</t>
  </si>
  <si>
    <t>Bury North</t>
  </si>
  <si>
    <t>New Horizons-(stockport) Ltd</t>
  </si>
  <si>
    <t xml:space="preserve">Acorn House New Spring Residential Family Centre </t>
  </si>
  <si>
    <t>1 Lostock Gardens</t>
  </si>
  <si>
    <t>FY4 3PP</t>
  </si>
  <si>
    <t>New Spring Family Care Ltd</t>
  </si>
  <si>
    <t>A Wilderness Way Ltd</t>
  </si>
  <si>
    <t>Birkenhead</t>
  </si>
  <si>
    <t>Apex Childrens Services Ltd</t>
  </si>
  <si>
    <t>Chippenham</t>
  </si>
  <si>
    <t>Autonomy Plus Limited</t>
  </si>
  <si>
    <t>Leigh</t>
  </si>
  <si>
    <t>Rother Valley</t>
  </si>
  <si>
    <t>Pathway Care Solutions Ltd</t>
  </si>
  <si>
    <t>Albrighton Care Limited</t>
  </si>
  <si>
    <t>Social Care Services (Clayton) Limited</t>
  </si>
  <si>
    <t>Isp Rainham</t>
  </si>
  <si>
    <t>Integrated Services Programme</t>
  </si>
  <si>
    <t>The Old Church High Street, Rainham</t>
  </si>
  <si>
    <t>Gillingham</t>
  </si>
  <si>
    <t>ME8 8AY</t>
  </si>
  <si>
    <t>Gillingham and Rainham</t>
  </si>
  <si>
    <t>Tewkesbury</t>
  </si>
  <si>
    <t>Flourish (Gloucestershire) Limited</t>
  </si>
  <si>
    <t>Childhood First</t>
  </si>
  <si>
    <t>210 Borough High Street</t>
  </si>
  <si>
    <t>SE1 1JX</t>
  </si>
  <si>
    <t>Institute of Integrated Systemic Therapy</t>
  </si>
  <si>
    <t>Denton and Reddish</t>
  </si>
  <si>
    <t xml:space="preserve">Tameside Metropolitan Borough Council </t>
  </si>
  <si>
    <t>Ashton-under-Lyne</t>
  </si>
  <si>
    <t>Broadland</t>
  </si>
  <si>
    <t>Clover Childcare Services Ltd</t>
  </si>
  <si>
    <t>Mid Derbyshire</t>
  </si>
  <si>
    <t>Walsall South</t>
  </si>
  <si>
    <t>Care Perspectives Limited</t>
  </si>
  <si>
    <t>Chingford and Woodford Green</t>
  </si>
  <si>
    <t>Care 2 Share Ltd</t>
  </si>
  <si>
    <t>Brent North</t>
  </si>
  <si>
    <t>Stonelake London Limited</t>
  </si>
  <si>
    <t>Foundation Fostering Limited</t>
  </si>
  <si>
    <t>White Lodge</t>
  </si>
  <si>
    <t xml:space="preserve">Bevere Lane  </t>
  </si>
  <si>
    <t>WR3 7RQ</t>
  </si>
  <si>
    <t>Mid Worcestershire</t>
  </si>
  <si>
    <t>The Montessori Place</t>
  </si>
  <si>
    <t>Easons Green</t>
  </si>
  <si>
    <t>Lewes Road Framfield</t>
  </si>
  <si>
    <t>Uckfield</t>
  </si>
  <si>
    <t>TN22 5RE</t>
  </si>
  <si>
    <t>Wealden</t>
  </si>
  <si>
    <t>The Montessori Place (Holdings) Limited</t>
  </si>
  <si>
    <t>Sandwell Children's Trust Adoption</t>
  </si>
  <si>
    <t>Sandwell Metropolitan Borough Council</t>
  </si>
  <si>
    <t xml:space="preserve">P O Box 2374  </t>
  </si>
  <si>
    <t>Oldbury</t>
  </si>
  <si>
    <t>B69 3DE</t>
  </si>
  <si>
    <t>West Bromwich West</t>
  </si>
  <si>
    <t>Sandwell Children's Trust</t>
  </si>
  <si>
    <t>Impact For Change Ltd</t>
  </si>
  <si>
    <t>Coventry South</t>
  </si>
  <si>
    <t>Old Bexley and Sidcup</t>
  </si>
  <si>
    <t>Autism Sussex Ltd</t>
  </si>
  <si>
    <t>Nurture Fostering Ltd</t>
  </si>
  <si>
    <t>The Old Fire Station</t>
  </si>
  <si>
    <t xml:space="preserve">340 Lewisham High Street  </t>
  </si>
  <si>
    <t>Greater London</t>
  </si>
  <si>
    <t>SE13 6LE</t>
  </si>
  <si>
    <t>Lewisham, Deptford</t>
  </si>
  <si>
    <t>4 Pure Heart Limited</t>
  </si>
  <si>
    <t>Wolverhampton North East</t>
  </si>
  <si>
    <t>Skyline Child Care Ltd</t>
  </si>
  <si>
    <t>Progress Children's Services Limited</t>
  </si>
  <si>
    <t>Bath</t>
  </si>
  <si>
    <t>Swalcliffe Park School</t>
  </si>
  <si>
    <t>Swalcliffe</t>
  </si>
  <si>
    <t>OX15 5EP</t>
  </si>
  <si>
    <t>Swalcliffe Park School CIO</t>
  </si>
  <si>
    <t>The Royal School Wolverhampton</t>
  </si>
  <si>
    <t>Penn Road</t>
  </si>
  <si>
    <t xml:space="preserve">Wolverhampton  </t>
  </si>
  <si>
    <t>WV3 0EG</t>
  </si>
  <si>
    <t>The Royal School Wolverhampton Academy Trust</t>
  </si>
  <si>
    <t>Sandwell Children's Trust Fostering</t>
  </si>
  <si>
    <t>The British Muslim School</t>
  </si>
  <si>
    <t>Ryland Buildings</t>
  </si>
  <si>
    <t xml:space="preserve">Lodge Road  </t>
  </si>
  <si>
    <t>West Bromwich</t>
  </si>
  <si>
    <t>B70 8NX</t>
  </si>
  <si>
    <t>West Bromwich East</t>
  </si>
  <si>
    <t>Keys Nhcc Ltd</t>
  </si>
  <si>
    <t>South Shields</t>
  </si>
  <si>
    <t>South Tyneside Council</t>
  </si>
  <si>
    <t>Horizon Transitional Care Limited</t>
  </si>
  <si>
    <t>Caring Hearts Fostering Ltd</t>
  </si>
  <si>
    <t>Suite 105</t>
  </si>
  <si>
    <t>Stanmore Business Centre Howard Road</t>
  </si>
  <si>
    <t>Stanmore</t>
  </si>
  <si>
    <t>HA7 1FW</t>
  </si>
  <si>
    <t>Harrow East</t>
  </si>
  <si>
    <t>Ilford North</t>
  </si>
  <si>
    <t>Woodford Children's Home Ltd</t>
  </si>
  <si>
    <t>Diversity Foster Care Ltd</t>
  </si>
  <si>
    <t>26 Havelock Walk</t>
  </si>
  <si>
    <t>Forest Hill</t>
  </si>
  <si>
    <t>SE23 3HG</t>
  </si>
  <si>
    <t>North East Derbyshire</t>
  </si>
  <si>
    <t>Hammersmith</t>
  </si>
  <si>
    <t>Q+</t>
  </si>
  <si>
    <t>Dagenham and Rainham</t>
  </si>
  <si>
    <t>Restoration Care &amp; Services Limited</t>
  </si>
  <si>
    <t>Garston and Halewood</t>
  </si>
  <si>
    <t>Garway Young People Ltd</t>
  </si>
  <si>
    <t>Nurture Me Psychological Services Limited</t>
  </si>
  <si>
    <t>The Partnership Of Care Today Children's Services</t>
  </si>
  <si>
    <t>Liverpool, Riverside</t>
  </si>
  <si>
    <t>Tab Care and Support Ltd</t>
  </si>
  <si>
    <t>Headstart Residential Care Ltd</t>
  </si>
  <si>
    <t>K&amp;g Care Ltd</t>
  </si>
  <si>
    <t>Cheadle</t>
  </si>
  <si>
    <t>Stockport Metropolitan Borough Council</t>
  </si>
  <si>
    <t>Foundations Children &amp; Family Services Ltd</t>
  </si>
  <si>
    <t>GS Social Care Solutions Ltd</t>
  </si>
  <si>
    <t>Stoke-on-Trent North</t>
  </si>
  <si>
    <t>Inspire Care (UK) Limited</t>
  </si>
  <si>
    <t>Wycombe</t>
  </si>
  <si>
    <t>Nestlings Care Ltd</t>
  </si>
  <si>
    <t>Greenfields Adolescent Development Limited</t>
  </si>
  <si>
    <t>City of Bradford Metropolitan District Council</t>
  </si>
  <si>
    <t>4d Care Ltd</t>
  </si>
  <si>
    <t>Middlesbrough South and East Cleveland</t>
  </si>
  <si>
    <t>Tees-Valley Care Limited</t>
  </si>
  <si>
    <t>Hornsey and Wood Green</t>
  </si>
  <si>
    <t>Inroads Essex Limited</t>
  </si>
  <si>
    <t>Birmingham, Yardley</t>
  </si>
  <si>
    <t>Birmingham Children's Trust Community Interest Company</t>
  </si>
  <si>
    <t>Birmingham Children's Trust Adoption Agency</t>
  </si>
  <si>
    <t>1 Lancaster Circus</t>
  </si>
  <si>
    <t>B4 7DJ</t>
  </si>
  <si>
    <t>Birmingham, Ladywood</t>
  </si>
  <si>
    <t>Birmingham Children's Trust Fostering Agency</t>
  </si>
  <si>
    <t>Evoke Care Ltd</t>
  </si>
  <si>
    <t>Oak Childcare Plus Ltd</t>
  </si>
  <si>
    <t>North Wiltshire</t>
  </si>
  <si>
    <t>Park Blue Homes Limited</t>
  </si>
  <si>
    <t xml:space="preserve">Harmony Childrens Services </t>
  </si>
  <si>
    <t>Project Phoenix Ltd</t>
  </si>
  <si>
    <t>11 Wentworth Street</t>
  </si>
  <si>
    <t>Yorkshire</t>
  </si>
  <si>
    <t>HD1 5PX</t>
  </si>
  <si>
    <t>Exeter College</t>
  </si>
  <si>
    <t xml:space="preserve">Hele Road  </t>
  </si>
  <si>
    <t>EX4 4JS</t>
  </si>
  <si>
    <t>The Ethical Fostering Service Limited</t>
  </si>
  <si>
    <t>123 Hallgate</t>
  </si>
  <si>
    <t>Cottingham</t>
  </si>
  <si>
    <t>HU16 4DA</t>
  </si>
  <si>
    <t>Haltemprice and Howden</t>
  </si>
  <si>
    <t>Leeds West</t>
  </si>
  <si>
    <t>Pebbles Care Limited</t>
  </si>
  <si>
    <t>The Mulberry Bush Organisation Ltd</t>
  </si>
  <si>
    <t>Hillcrest Children's Services (2) Limited</t>
  </si>
  <si>
    <t>Foundations Matlock</t>
  </si>
  <si>
    <t>Apartments 1 - 7 Lilybank Court</t>
  </si>
  <si>
    <t>Matlock</t>
  </si>
  <si>
    <t>DE4 3DQ</t>
  </si>
  <si>
    <t>Derbyshire Dales</t>
  </si>
  <si>
    <t xml:space="preserve">Progressive Care Ltd </t>
  </si>
  <si>
    <t>Bryn Melyn Care Limited</t>
  </si>
  <si>
    <t>N H Care Limited</t>
  </si>
  <si>
    <t>Invested Childcare Ltd</t>
  </si>
  <si>
    <t>South Thanet</t>
  </si>
  <si>
    <t>The Caldecott School</t>
  </si>
  <si>
    <t>Station Road</t>
  </si>
  <si>
    <t xml:space="preserve">Smeeth  </t>
  </si>
  <si>
    <t>TN25 6PW</t>
  </si>
  <si>
    <t>Folkestone and Hythe</t>
  </si>
  <si>
    <t>Camborne and Redruth</t>
  </si>
  <si>
    <t>Devon &amp; Cornwall Autistic Community Trust (t/a Spectrum)</t>
  </si>
  <si>
    <t>Nottingham City Council</t>
  </si>
  <si>
    <t>All Round Care Ltd</t>
  </si>
  <si>
    <t>F5 Foster Care Limited</t>
  </si>
  <si>
    <t>First Floor Amington House</t>
  </si>
  <si>
    <t xml:space="preserve">95 Amington Road  </t>
  </si>
  <si>
    <t>B25 8EP</t>
  </si>
  <si>
    <t>Aylesbury</t>
  </si>
  <si>
    <t>Buckinghamshire County Council</t>
  </si>
  <si>
    <t>Hopscotch Care Ltd</t>
  </si>
  <si>
    <t>Redditch</t>
  </si>
  <si>
    <t>Keys Specialist Residential Children's Services Ltd</t>
  </si>
  <si>
    <t>De Novo Care Ltd</t>
  </si>
  <si>
    <t>Silver Lining Fostering</t>
  </si>
  <si>
    <t>Suite B607</t>
  </si>
  <si>
    <t>6th Floor Vista Centre,50 Salisbury Road,Hounslow</t>
  </si>
  <si>
    <t>TW4 6JQ</t>
  </si>
  <si>
    <t>Feltham and Heston</t>
  </si>
  <si>
    <t>Silver Lining Fostering Ltd.</t>
  </si>
  <si>
    <t>New Roots Children's Services</t>
  </si>
  <si>
    <t>Kisimul Group Ltd</t>
  </si>
  <si>
    <t>Telford</t>
  </si>
  <si>
    <t>Forest of Dean</t>
  </si>
  <si>
    <t>Genesis CTE Ltd</t>
  </si>
  <si>
    <t>Mid Norfolk</t>
  </si>
  <si>
    <t>Blue Elephant Childcare Ltd</t>
  </si>
  <si>
    <t>Independent Living Services (North West) Limited</t>
  </si>
  <si>
    <t>North East Specialist Therapeutic Services Cic</t>
  </si>
  <si>
    <t>Amber Grange / Amber Family</t>
  </si>
  <si>
    <t>18 Windsor Road</t>
  </si>
  <si>
    <t>PR9 0SG</t>
  </si>
  <si>
    <t>Coventry North West</t>
  </si>
  <si>
    <t>Coventry City Council</t>
  </si>
  <si>
    <t>Mig House Residential Care Home Ltd</t>
  </si>
  <si>
    <t>Aspire House Ltd</t>
  </si>
  <si>
    <t>Amber Valley</t>
  </si>
  <si>
    <t>Smooth Stone Care &amp; Education Ltd</t>
  </si>
  <si>
    <t>First Blue Healthcare Limited</t>
  </si>
  <si>
    <t>Achieving For Children</t>
  </si>
  <si>
    <t>Guildhall 2 High Street</t>
  </si>
  <si>
    <t>Kingston Upon Thames</t>
  </si>
  <si>
    <t>KT1 1EU</t>
  </si>
  <si>
    <t>Kingston and Surbiton</t>
  </si>
  <si>
    <t>Achieving For Children Community Interest Company</t>
  </si>
  <si>
    <t>Elite Fostering Limited</t>
  </si>
  <si>
    <t>International House</t>
  </si>
  <si>
    <t xml:space="preserve">963 Wolverhampton Road  </t>
  </si>
  <si>
    <t>B69 4RJ</t>
  </si>
  <si>
    <t>Warley</t>
  </si>
  <si>
    <t>Keys QTC Limited</t>
  </si>
  <si>
    <t>Wrottesley Care Limited</t>
  </si>
  <si>
    <t>The Fostering Foundation</t>
  </si>
  <si>
    <t>46-47 Brook Street</t>
  </si>
  <si>
    <t>Tavistock</t>
  </si>
  <si>
    <t>PL19 0HE</t>
  </si>
  <si>
    <t>The Fostering Foundation Limited</t>
  </si>
  <si>
    <t>Phoenix Family Care Ltd</t>
  </si>
  <si>
    <t>Anchor Bank House</t>
  </si>
  <si>
    <t xml:space="preserve">Anchor Bank  </t>
  </si>
  <si>
    <t>Darwen</t>
  </si>
  <si>
    <t>BB3 0RR</t>
  </si>
  <si>
    <t>Hove</t>
  </si>
  <si>
    <t>Lioncare Ltd Operating As The Lioncare Group</t>
  </si>
  <si>
    <t>Newbury</t>
  </si>
  <si>
    <t>Stockton South</t>
  </si>
  <si>
    <t>Josh's Place Limited</t>
  </si>
  <si>
    <t>Selina Cooper House</t>
  </si>
  <si>
    <t>12 Tickle Avenue</t>
  </si>
  <si>
    <t>St. Helens</t>
  </si>
  <si>
    <t>Merseyside</t>
  </si>
  <si>
    <t>WA9 1RZ</t>
  </si>
  <si>
    <t>Shap Ltd</t>
  </si>
  <si>
    <t>Milestones Care Homes Ltd</t>
  </si>
  <si>
    <t>Leicester West</t>
  </si>
  <si>
    <t>Ivie Lodge Ltd</t>
  </si>
  <si>
    <t>Grantham and Stamford</t>
  </si>
  <si>
    <t>County Fostering Service Ltd</t>
  </si>
  <si>
    <t>Flexspace</t>
  </si>
  <si>
    <t>Unit 22 4 Summerhouse Road, Moulton Park</t>
  </si>
  <si>
    <t>Northampton</t>
  </si>
  <si>
    <t>Northamptonshire</t>
  </si>
  <si>
    <t>NN3 6BJ</t>
  </si>
  <si>
    <t>County Fostering Services Ltd</t>
  </si>
  <si>
    <t>Hartlepool Borough Council</t>
  </si>
  <si>
    <t>London Borough of Hillingdon</t>
  </si>
  <si>
    <t>Broxtowe</t>
  </si>
  <si>
    <t>Jigsaw Therapeutic Care Limited</t>
  </si>
  <si>
    <t>Changing Lives Care Group Ltd</t>
  </si>
  <si>
    <t>Wyncare Limited</t>
  </si>
  <si>
    <t>1848 Ltd</t>
  </si>
  <si>
    <t>Hitchin and Harpenden</t>
  </si>
  <si>
    <t>Cornerways Care Ltd</t>
  </si>
  <si>
    <t>Normanton, Pontefract and Castleford</t>
  </si>
  <si>
    <t>Keys Child Care Limited</t>
  </si>
  <si>
    <t>Accalia Care Services Ltd</t>
  </si>
  <si>
    <t>Keys Education Ltd</t>
  </si>
  <si>
    <t>Protea Care Limited</t>
  </si>
  <si>
    <t>Tooting</t>
  </si>
  <si>
    <t>Hertford and Stortford</t>
  </si>
  <si>
    <t>St Elizabeth's Centre</t>
  </si>
  <si>
    <t>Clouds Children's Care Ltd</t>
  </si>
  <si>
    <t>Harmony Childcare Residential Homes Ltd</t>
  </si>
  <si>
    <t>Sefton Central</t>
  </si>
  <si>
    <t>Family Care Associates Limited</t>
  </si>
  <si>
    <t>North West Durham</t>
  </si>
  <si>
    <t>A&amp;m Care Solutions Ltd - T/a Metropolitan Care Solutions</t>
  </si>
  <si>
    <t>Blyth Valley</t>
  </si>
  <si>
    <t>Adecyn Childrens Homes Ltd</t>
  </si>
  <si>
    <t>Heartwood RSC Ltd</t>
  </si>
  <si>
    <t>True Fostering Limited</t>
  </si>
  <si>
    <t>The Fort Business Centre</t>
  </si>
  <si>
    <t>Artillery Business Park Oswestry</t>
  </si>
  <si>
    <t>SY11 4AD</t>
  </si>
  <si>
    <t>Adoption West</t>
  </si>
  <si>
    <t>Floor 2</t>
  </si>
  <si>
    <t>Old County Hall Bythesea Road</t>
  </si>
  <si>
    <t>Trowbridge</t>
  </si>
  <si>
    <t>BA14 8JN</t>
  </si>
  <si>
    <t>South West Wiltshire</t>
  </si>
  <si>
    <t>Wiltshire Council</t>
  </si>
  <si>
    <t>Young People At Heart</t>
  </si>
  <si>
    <t>Gresley House</t>
  </si>
  <si>
    <t xml:space="preserve">Ten Pound Walk  </t>
  </si>
  <si>
    <t>DONCASTER</t>
  </si>
  <si>
    <t>DN4 5HX</t>
  </si>
  <si>
    <t>Young People At Heart Limited</t>
  </si>
  <si>
    <t>Ashfield</t>
  </si>
  <si>
    <t>Vitality Care Residential Limited</t>
  </si>
  <si>
    <t>Nuevavida Ne Ltd</t>
  </si>
  <si>
    <t>Brighter Futures For Children: Fostering Service</t>
  </si>
  <si>
    <t>Reading Borough Council</t>
  </si>
  <si>
    <t xml:space="preserve">Bridge Street  </t>
  </si>
  <si>
    <t>Berkshire</t>
  </si>
  <si>
    <t>RG1 2LU</t>
  </si>
  <si>
    <t>Brighter Futures For Children Limited</t>
  </si>
  <si>
    <t>St Joseph's Specialist Trust</t>
  </si>
  <si>
    <t>Halesowen and Rowley Regis</t>
  </si>
  <si>
    <t>PCF Residential Childcare Ltd</t>
  </si>
  <si>
    <t>CFS Care Limited</t>
  </si>
  <si>
    <t>C/O Tristone Capital</t>
  </si>
  <si>
    <t>Floor 2 3 Hardman Square,Spinningfields</t>
  </si>
  <si>
    <t>M3 3EB</t>
  </si>
  <si>
    <t>Edmonton</t>
  </si>
  <si>
    <t>Solace Care Partners Limited</t>
  </si>
  <si>
    <t>Teen-Works Care Ltd</t>
  </si>
  <si>
    <t>ASTON CHILDREN'S CARE LTD</t>
  </si>
  <si>
    <t>Steps 4 Life Care Limited</t>
  </si>
  <si>
    <t>Solace for Children Limited</t>
  </si>
  <si>
    <t>Victoria Villa</t>
  </si>
  <si>
    <t>4 Lion Hill</t>
  </si>
  <si>
    <t>Stourport-On-Severn</t>
  </si>
  <si>
    <t>DY13 9HD</t>
  </si>
  <si>
    <t>Wyre Forest</t>
  </si>
  <si>
    <t>Keys Family assessment Centre Limited</t>
  </si>
  <si>
    <t>Inspirations Leicestershire Limited</t>
  </si>
  <si>
    <t>Purple Oak Support</t>
  </si>
  <si>
    <t>Sleaford and North Hykeham</t>
  </si>
  <si>
    <t>Islington North</t>
  </si>
  <si>
    <t>North East Hampshire</t>
  </si>
  <si>
    <t>Leicester Young Mens Christian Association (incorporated) (the)</t>
  </si>
  <si>
    <t>Future In Mind</t>
  </si>
  <si>
    <t>Derbyshire County Council</t>
  </si>
  <si>
    <t>Cumbria County Council</t>
  </si>
  <si>
    <t>Abbey Green Therapeutic Children's Services Ltd</t>
  </si>
  <si>
    <t>Evergreen Foster Care Service</t>
  </si>
  <si>
    <t>Bluebell School</t>
  </si>
  <si>
    <t>Gloucester Road Kidsgrove</t>
  </si>
  <si>
    <t>Stoke-On-Trent</t>
  </si>
  <si>
    <t>ST7 1EH</t>
  </si>
  <si>
    <t>Evergreen Foster Care Limited</t>
  </si>
  <si>
    <t>Liverpool, Wavertree</t>
  </si>
  <si>
    <t>Supporting Futures Limited</t>
  </si>
  <si>
    <t>Back On Track Children's Services Se Ltd.</t>
  </si>
  <si>
    <t>Brighter Futures For Children</t>
  </si>
  <si>
    <t>Reading B C</t>
  </si>
  <si>
    <t>Civic Offices Bridge Street</t>
  </si>
  <si>
    <t>Crystal Care Solutions Limited</t>
  </si>
  <si>
    <t>Yeovil</t>
  </si>
  <si>
    <t>Acorn Residential Care Ltd</t>
  </si>
  <si>
    <t>Continuum Support - Care Services Ltd</t>
  </si>
  <si>
    <t>Bishop Auckland</t>
  </si>
  <si>
    <t>Paramount Foster Care</t>
  </si>
  <si>
    <t>Sma House</t>
  </si>
  <si>
    <t xml:space="preserve">172 Birmingham Road  </t>
  </si>
  <si>
    <t>B70 6QG</t>
  </si>
  <si>
    <t>Herefordshire, Ludlow and North Shropshire College</t>
  </si>
  <si>
    <t>Folly Lane</t>
  </si>
  <si>
    <t>HEREFORD</t>
  </si>
  <si>
    <t>HR1 1LS</t>
  </si>
  <si>
    <t>MacIntyre Care</t>
  </si>
  <si>
    <t>Leeward Care Ltd</t>
  </si>
  <si>
    <t>Hand In Hand Childcare</t>
  </si>
  <si>
    <t>Bury South</t>
  </si>
  <si>
    <t>Pelican Care Group Ltd</t>
  </si>
  <si>
    <t>Love For Fostering Ltd</t>
  </si>
  <si>
    <t>Jhumat House</t>
  </si>
  <si>
    <t xml:space="preserve">160 London Road  </t>
  </si>
  <si>
    <t>Barking</t>
  </si>
  <si>
    <t>IG11 8BB</t>
  </si>
  <si>
    <t>Foundations Stalybridge</t>
  </si>
  <si>
    <t>217 Mottram Road</t>
  </si>
  <si>
    <t>Stalybridge</t>
  </si>
  <si>
    <t>SK15 2QX</t>
  </si>
  <si>
    <t>5ab Care Ltd</t>
  </si>
  <si>
    <t>Central Bedfordshire Council</t>
  </si>
  <si>
    <t>Northampton South</t>
  </si>
  <si>
    <t>Coventry North East</t>
  </si>
  <si>
    <t>Herefordshire and Worcestershire Health and Care NHS Trust</t>
  </si>
  <si>
    <t>Kingston upon Hull West and Hessle</t>
  </si>
  <si>
    <t>Hull City Council</t>
  </si>
  <si>
    <t>Kennedy And Elliott Partnership LLP</t>
  </si>
  <si>
    <t>Roc Family Support Ltd</t>
  </si>
  <si>
    <t>SBL CARESERVICES (UK) LTD</t>
  </si>
  <si>
    <t>East Yorkshire</t>
  </si>
  <si>
    <t>Vcare - 24 Limited</t>
  </si>
  <si>
    <t>Interactive Development Residential Limited</t>
  </si>
  <si>
    <t>Holywell Children's Services Limited</t>
  </si>
  <si>
    <t>Devizes</t>
  </si>
  <si>
    <t>New Futures (children) Services</t>
  </si>
  <si>
    <t>Nisa Care Home Limited</t>
  </si>
  <si>
    <t>Investing In Children Cic</t>
  </si>
  <si>
    <t>Florinee Homes Ltd</t>
  </si>
  <si>
    <t>Reading West</t>
  </si>
  <si>
    <t>Children's Home</t>
  </si>
  <si>
    <t>Longboat Special Education Ltd</t>
  </si>
  <si>
    <t>Family Affect Ltd</t>
  </si>
  <si>
    <t>Tarrihere</t>
  </si>
  <si>
    <t>High Street Thorpe-Le-Soken</t>
  </si>
  <si>
    <t>Clacton-On-Sea</t>
  </si>
  <si>
    <t>CO16 0EA</t>
  </si>
  <si>
    <t>Braintree</t>
  </si>
  <si>
    <t>Absolute Children's Care Limited</t>
  </si>
  <si>
    <t>Crewe and Nantwich</t>
  </si>
  <si>
    <t>Homes for Support Limited</t>
  </si>
  <si>
    <t>Shalamar Children Limited</t>
  </si>
  <si>
    <t>The Partnership Of Care Today</t>
  </si>
  <si>
    <t>Welwyn Hatfield</t>
  </si>
  <si>
    <t>Jasmine Gardens Private Ltd</t>
  </si>
  <si>
    <t>Family Ace Limited</t>
  </si>
  <si>
    <t>1 Buckingham Road</t>
  </si>
  <si>
    <t xml:space="preserve">Tue Brook  </t>
  </si>
  <si>
    <t>L13 8AY</t>
  </si>
  <si>
    <t>Wallasey</t>
  </si>
  <si>
    <t>Hapin Care Ltd</t>
  </si>
  <si>
    <t>The Cherrycroft Practice</t>
  </si>
  <si>
    <t xml:space="preserve">90 Park Street  </t>
  </si>
  <si>
    <t>Camberley</t>
  </si>
  <si>
    <t>GU15 3NY</t>
  </si>
  <si>
    <t>Surrey Heath</t>
  </si>
  <si>
    <t>Ilford South</t>
  </si>
  <si>
    <t>Heartwood RSL Ltd</t>
  </si>
  <si>
    <t>Mutual Care Ltd</t>
  </si>
  <si>
    <t>Suffolk Coastal</t>
  </si>
  <si>
    <t>Eastleigh</t>
  </si>
  <si>
    <t>Assure Care Homes Ltd</t>
  </si>
  <si>
    <t>Devon County Council</t>
  </si>
  <si>
    <t>Central Devon</t>
  </si>
  <si>
    <t>Able Health Care Ltd</t>
  </si>
  <si>
    <t>Right-Trak Limited</t>
  </si>
  <si>
    <t>Higher Hopes Ltd</t>
  </si>
  <si>
    <t>Norwich South</t>
  </si>
  <si>
    <t>Cascade (Banks House) Limited</t>
  </si>
  <si>
    <t>The Vine Residential Services (tvrs) Ltd.</t>
  </si>
  <si>
    <t>CF Support Services Limited</t>
  </si>
  <si>
    <t>National Fostering Agency North</t>
  </si>
  <si>
    <t>Elant House Unit A3</t>
  </si>
  <si>
    <t>Old Power Way Lowfields Business Park</t>
  </si>
  <si>
    <t>Elland</t>
  </si>
  <si>
    <t>HX5 9DE</t>
  </si>
  <si>
    <t>Bay View Child Care</t>
  </si>
  <si>
    <t>High Peak</t>
  </si>
  <si>
    <t>Care 4 Every Child Ltd</t>
  </si>
  <si>
    <t>Shropshire Council</t>
  </si>
  <si>
    <t>Brinscall Care</t>
  </si>
  <si>
    <t>Lighthouse Southwest Ltd</t>
  </si>
  <si>
    <t>Kelwel Care Limited</t>
  </si>
  <si>
    <t>Kattz (yh) Ltd</t>
  </si>
  <si>
    <t>Kent County Council</t>
  </si>
  <si>
    <t>Infinity Foster Care</t>
  </si>
  <si>
    <t>1st Floor Cranbrook House, 61 Cranbrook Road,Ilford</t>
  </si>
  <si>
    <t>IG1 4PG</t>
  </si>
  <si>
    <t>Infinity Foster Care Ltd</t>
  </si>
  <si>
    <t>North Norfolk</t>
  </si>
  <si>
    <t>The Ryes College LTD</t>
  </si>
  <si>
    <t>Union House Nw Ltd</t>
  </si>
  <si>
    <t>St John's School Community Holiday</t>
  </si>
  <si>
    <t>Mole Valley</t>
  </si>
  <si>
    <t>The Saint John's School Foundation</t>
  </si>
  <si>
    <t>Caterpillar Care Services Ltd</t>
  </si>
  <si>
    <t>Footsteps Care Limited</t>
  </si>
  <si>
    <t>Tressell Homes Ltd</t>
  </si>
  <si>
    <t>Gainsborough</t>
  </si>
  <si>
    <t>Altrincham and Sale West</t>
  </si>
  <si>
    <t>Pure Care Homes ltd</t>
  </si>
  <si>
    <t>Berry Gifford Ltd</t>
  </si>
  <si>
    <t>Safe Places For Children Uk</t>
  </si>
  <si>
    <t>Barnardo Services Limited</t>
  </si>
  <si>
    <t>40 Rural Enterprise Centre Vincent Carey Road</t>
  </si>
  <si>
    <t xml:space="preserve">Rotherwas Industrial Estate  </t>
  </si>
  <si>
    <t>Herefordshire, County Of</t>
  </si>
  <si>
    <t>Proactive Care (manchester) ltd</t>
  </si>
  <si>
    <t>Diverse Fostering Limited</t>
  </si>
  <si>
    <t>Diverse House 481</t>
  </si>
  <si>
    <t xml:space="preserve">High Street  </t>
  </si>
  <si>
    <t>ST6 5EP</t>
  </si>
  <si>
    <t>Wakefield Metropolitan District Council</t>
  </si>
  <si>
    <t>Buckingham</t>
  </si>
  <si>
    <t>Life Change Care Ltd</t>
  </si>
  <si>
    <t>Beech Grove</t>
  </si>
  <si>
    <t>Forest Drive</t>
  </si>
  <si>
    <t xml:space="preserve">Nonington  </t>
  </si>
  <si>
    <t>CT15 4FB</t>
  </si>
  <si>
    <t>Absolute Childrens Services Ltd</t>
  </si>
  <si>
    <t>Alexanders House Ltd</t>
  </si>
  <si>
    <t>Ealing, Southall</t>
  </si>
  <si>
    <t>Alicie Enterprises Limited</t>
  </si>
  <si>
    <t>Discovered Limited</t>
  </si>
  <si>
    <t>Tatton</t>
  </si>
  <si>
    <t>Footsteps A Path To Change 08 Ltd</t>
  </si>
  <si>
    <t>Gracewells Care Ltd</t>
  </si>
  <si>
    <t>Jasper Education And Support Services Limited</t>
  </si>
  <si>
    <t>Azalea House</t>
  </si>
  <si>
    <t>71 Spring Road</t>
  </si>
  <si>
    <t xml:space="preserve">Kempston  </t>
  </si>
  <si>
    <t>MK42 8LT</t>
  </si>
  <si>
    <t>Athena Family Services Limited</t>
  </si>
  <si>
    <t>Allinonecare Limited</t>
  </si>
  <si>
    <t>Ownlife Limited</t>
  </si>
  <si>
    <t>James Kids Home Ltd</t>
  </si>
  <si>
    <t>Cherish Children's Care Ltd</t>
  </si>
  <si>
    <t>After Care Nw Limited</t>
  </si>
  <si>
    <t>Empower Residentials Limited</t>
  </si>
  <si>
    <t>East Ham</t>
  </si>
  <si>
    <t>Oak House Childrens Home Ltd</t>
  </si>
  <si>
    <t>Octagon Care Ltd</t>
  </si>
  <si>
    <t>Worcestershire Children First</t>
  </si>
  <si>
    <t>Finchley and Golders Green</t>
  </si>
  <si>
    <t>Seva Childcare Ltd</t>
  </si>
  <si>
    <t>Worcestershire Children First Fostering</t>
  </si>
  <si>
    <t>Worcestershire County Hall Campus</t>
  </si>
  <si>
    <t xml:space="preserve">Spetchley Road  </t>
  </si>
  <si>
    <t>WR5 2NP</t>
  </si>
  <si>
    <t>Foundations For Families</t>
  </si>
  <si>
    <t>17 Longford Road</t>
  </si>
  <si>
    <t>Bognor Regis</t>
  </si>
  <si>
    <t>Sussex</t>
  </si>
  <si>
    <t>PO21 1AA</t>
  </si>
  <si>
    <t>Foundations For Families Ltd</t>
  </si>
  <si>
    <t>Rainbows Corner Ltd</t>
  </si>
  <si>
    <t>Flowers Fostering Ltd</t>
  </si>
  <si>
    <t>Ability House</t>
  </si>
  <si>
    <t>One Step Care Limited</t>
  </si>
  <si>
    <t>South Suffolk</t>
  </si>
  <si>
    <t>Care Focus Limited</t>
  </si>
  <si>
    <t>Lakeside @ Our Place Limited</t>
  </si>
  <si>
    <t>Ivy House Fostering Agency</t>
  </si>
  <si>
    <t>Office 38</t>
  </si>
  <si>
    <t>The Turbine Business Centre Coach Close,Shireoaks Triangle Business Park</t>
  </si>
  <si>
    <t>Worksop</t>
  </si>
  <si>
    <t>S81 8AP</t>
  </si>
  <si>
    <t>Ivy House Fostering Agency Ltd</t>
  </si>
  <si>
    <t>New Beginnings Young Peoples Care And Support Services Ltd</t>
  </si>
  <si>
    <t>Boston and Skegness</t>
  </si>
  <si>
    <t>Aspiration House Ltd</t>
  </si>
  <si>
    <t>292 Old Church Road</t>
  </si>
  <si>
    <t>E4 8BN</t>
  </si>
  <si>
    <t>Gracebridge Care Ltd</t>
  </si>
  <si>
    <t>BTTLR LIMITED</t>
  </si>
  <si>
    <t>A-Triangle Care Ltd</t>
  </si>
  <si>
    <t>Erith and Thamesmead</t>
  </si>
  <si>
    <t>D &amp; J Care Services-Residential Ltd</t>
  </si>
  <si>
    <t>Bromsgrove</t>
  </si>
  <si>
    <t>Cheltenham</t>
  </si>
  <si>
    <t>Guidance Care Limited</t>
  </si>
  <si>
    <t>Chatham and Aylesford</t>
  </si>
  <si>
    <t>Windows For Children Ltd</t>
  </si>
  <si>
    <t>Woodford Children's Services Limited</t>
  </si>
  <si>
    <t>Amber Fostering</t>
  </si>
  <si>
    <t>Suite 310</t>
  </si>
  <si>
    <t>Olympic House 28-42 Clements Road</t>
  </si>
  <si>
    <t>Ilford</t>
  </si>
  <si>
    <t>IG1 1BA</t>
  </si>
  <si>
    <t>Amber Fostering Ltd</t>
  </si>
  <si>
    <t>Omega Care Group Ltd</t>
  </si>
  <si>
    <t>Blossom Care Group Limited</t>
  </si>
  <si>
    <t>Colne Valley</t>
  </si>
  <si>
    <t>Daffodil Family Centre</t>
  </si>
  <si>
    <t>10 North Road East</t>
  </si>
  <si>
    <t>PL4 6AS</t>
  </si>
  <si>
    <t>Trevi Women Ltd</t>
  </si>
  <si>
    <t>Enfield North</t>
  </si>
  <si>
    <t>Smartcare Services</t>
  </si>
  <si>
    <t>Bath Area Play Project</t>
  </si>
  <si>
    <t>Bath Area Play Project Committee</t>
  </si>
  <si>
    <t>Hazelmont Social Care Limited</t>
  </si>
  <si>
    <t>Pbs Care Homes Ltd</t>
  </si>
  <si>
    <t>Flourish Childrens Services Ltd</t>
  </si>
  <si>
    <t>Great Grimsby</t>
  </si>
  <si>
    <t>North East Lincolnshire Council</t>
  </si>
  <si>
    <t>London Borough Of Waltham Forest</t>
  </si>
  <si>
    <t>Lotus Foster Care Ltd</t>
  </si>
  <si>
    <t>CR0 2RD</t>
  </si>
  <si>
    <t>The Hesley Group Limited</t>
  </si>
  <si>
    <t>Nirmal Homes Limited</t>
  </si>
  <si>
    <t>Middlesbrough Borough Council</t>
  </si>
  <si>
    <t>South Norfolk</t>
  </si>
  <si>
    <t>Juventas Services Limited</t>
  </si>
  <si>
    <t>Champion Children (NW London) Limited</t>
  </si>
  <si>
    <t>Star Fostering Ltd</t>
  </si>
  <si>
    <t>Unit 2b</t>
  </si>
  <si>
    <t>East Bridgford Business Park Kneeton Road,East Bridgford</t>
  </si>
  <si>
    <t>NG13 8PJ</t>
  </si>
  <si>
    <t>Almond Care Children's Services Ltd</t>
  </si>
  <si>
    <t>Amber House</t>
  </si>
  <si>
    <t>43 Scarisbrick New Road</t>
  </si>
  <si>
    <t>PR8 6PE</t>
  </si>
  <si>
    <t>Bristol East</t>
  </si>
  <si>
    <t>Bristol City Council</t>
  </si>
  <si>
    <t>Laska Care And Education Ltd</t>
  </si>
  <si>
    <t>Keys Cwc Ltd</t>
  </si>
  <si>
    <t>Flourish Fostering</t>
  </si>
  <si>
    <t>The Cedars</t>
  </si>
  <si>
    <t xml:space="preserve">Holborough Road  </t>
  </si>
  <si>
    <t>Snodland</t>
  </si>
  <si>
    <t>ME6 5PL</t>
  </si>
  <si>
    <t>Flourish Fostering Limited</t>
  </si>
  <si>
    <t>Stockton On Tees Borough Council</t>
  </si>
  <si>
    <t>Future 19 Social Care Limited</t>
  </si>
  <si>
    <t>Educare Support Limited</t>
  </si>
  <si>
    <t>HMO NE LTD</t>
  </si>
  <si>
    <t>Lavender Grove Cares Limited</t>
  </si>
  <si>
    <t>Penn Inspires Ltd</t>
  </si>
  <si>
    <t>Attivo Care Ltd</t>
  </si>
  <si>
    <t>East Hampshire</t>
  </si>
  <si>
    <t>Consistent Quality Support Ltd</t>
  </si>
  <si>
    <t>Pasture View Nurturing Homes Ltd</t>
  </si>
  <si>
    <t>The Apple Tree Centre</t>
  </si>
  <si>
    <t>27 Brocco Bank</t>
  </si>
  <si>
    <t>S11 8RQ</t>
  </si>
  <si>
    <t>Sheffield Central</t>
  </si>
  <si>
    <t>The Apple Tree Centre (south Yorkshire) Ltd</t>
  </si>
  <si>
    <t>Gateshead Council</t>
  </si>
  <si>
    <t>Onextra Care Ltd</t>
  </si>
  <si>
    <t>Enabling Futures Ltd</t>
  </si>
  <si>
    <t>Medway Council</t>
  </si>
  <si>
    <t>Chroma</t>
  </si>
  <si>
    <t>Overross House</t>
  </si>
  <si>
    <t xml:space="preserve">Ross Park  </t>
  </si>
  <si>
    <t>Ross-On-Wye</t>
  </si>
  <si>
    <t>HR9 7US</t>
  </si>
  <si>
    <t>Chroma Therapies Ltd</t>
  </si>
  <si>
    <t>Chipping Barnet</t>
  </si>
  <si>
    <t>Aspire 2 Be Ltd</t>
  </si>
  <si>
    <t>Northern Community Pathways Childrens Residential Services Limited</t>
  </si>
  <si>
    <t>Fostering Hearts Limited</t>
  </si>
  <si>
    <t>The Maylands Building</t>
  </si>
  <si>
    <t>Maylands Avenue Hemel Hempstead Industrial Estate</t>
  </si>
  <si>
    <t>HP2 7TG</t>
  </si>
  <si>
    <t>Oak House New Spring Residential Centre</t>
  </si>
  <si>
    <t>74 Pedders Lane</t>
  </si>
  <si>
    <t xml:space="preserve">Ashton-On-Ribble  </t>
  </si>
  <si>
    <t>PR2 1HN</t>
  </si>
  <si>
    <t>New Spring Family Care (preston) Ltd</t>
  </si>
  <si>
    <t>Midas Manors Ltd</t>
  </si>
  <si>
    <t>Families First Fostering Ltd</t>
  </si>
  <si>
    <t>7D Whitebridge Estate</t>
  </si>
  <si>
    <t xml:space="preserve">Whitebridge Lane  </t>
  </si>
  <si>
    <t>ST15 8LQ</t>
  </si>
  <si>
    <t>Fostering Together</t>
  </si>
  <si>
    <t>The Cobalt Building</t>
  </si>
  <si>
    <t xml:space="preserve">1600 Lower Pemberton  </t>
  </si>
  <si>
    <t>TN25 4BF</t>
  </si>
  <si>
    <t>Fostering Together Ltd</t>
  </si>
  <si>
    <t>Aurora Fostering Agency</t>
  </si>
  <si>
    <t>20 Kewferry Drive</t>
  </si>
  <si>
    <t>NORTHWOOD</t>
  </si>
  <si>
    <t>Middlesex</t>
  </si>
  <si>
    <t>HA6 2PA</t>
  </si>
  <si>
    <t>Ruislip, Northwood and Pinner</t>
  </si>
  <si>
    <t>Aurora Fostering Agency limited</t>
  </si>
  <si>
    <t>Capital Childrens Care Ltd</t>
  </si>
  <si>
    <t>Advanced Adolescent Care Solutions Ltd</t>
  </si>
  <si>
    <t>North Swindon</t>
  </si>
  <si>
    <t>Eventus Achieves Limited</t>
  </si>
  <si>
    <t>The Royal Borough of Windsor &amp; Maidenhead</t>
  </si>
  <si>
    <t>Town Hall St. Ives Road</t>
  </si>
  <si>
    <t>Maidenhead</t>
  </si>
  <si>
    <t>SL6 1RF</t>
  </si>
  <si>
    <t>Richmond upon Thames</t>
  </si>
  <si>
    <t>Twickenham</t>
  </si>
  <si>
    <t>icanfoster</t>
  </si>
  <si>
    <t>Suite 9</t>
  </si>
  <si>
    <t>Unit B5 Halesfield 8</t>
  </si>
  <si>
    <t>TF7 4QN</t>
  </si>
  <si>
    <t>Ican Foster Ltd</t>
  </si>
  <si>
    <t>City College Norwich, Paston College and Easton College</t>
  </si>
  <si>
    <t>Easton College</t>
  </si>
  <si>
    <t xml:space="preserve">Easton  </t>
  </si>
  <si>
    <t>Norwich</t>
  </si>
  <si>
    <t>NR9 5DX</t>
  </si>
  <si>
    <t>Pathways Residential Child Care Larkhill House Limited</t>
  </si>
  <si>
    <t>Reigate</t>
  </si>
  <si>
    <t>Sw Education &amp; Care</t>
  </si>
  <si>
    <t>Dorset Emergency Placement Services Ltd.</t>
  </si>
  <si>
    <t>Oikos Family Assessment Centres</t>
  </si>
  <si>
    <t>Walk Hill Farm</t>
  </si>
  <si>
    <t xml:space="preserve">Apperley Lane  </t>
  </si>
  <si>
    <t>BD10 0PD</t>
  </si>
  <si>
    <t>Bradford East</t>
  </si>
  <si>
    <t>Oikos Family Centres Limited</t>
  </si>
  <si>
    <t>South Coast Fostering Limited</t>
  </si>
  <si>
    <t>Ground Floor</t>
  </si>
  <si>
    <t>Building 1000 Lakeside North Harbour</t>
  </si>
  <si>
    <t>PO6 3EZ</t>
  </si>
  <si>
    <t xml:space="preserve">Portsmouth North </t>
  </si>
  <si>
    <t>South Coast Fostering</t>
  </si>
  <si>
    <t>Redcar</t>
  </si>
  <si>
    <t>Outset Fostering Agency Ltd</t>
  </si>
  <si>
    <t>Vision 25</t>
  </si>
  <si>
    <t xml:space="preserve">Electric Avenue  </t>
  </si>
  <si>
    <t>EN3 7GD</t>
  </si>
  <si>
    <t>Senad Limited</t>
  </si>
  <si>
    <t>Lexden Springs</t>
  </si>
  <si>
    <t>Winstree Road</t>
  </si>
  <si>
    <t>CO3 0PZ</t>
  </si>
  <si>
    <t>Essex County Council</t>
  </si>
  <si>
    <t>Heywood and Middleton</t>
  </si>
  <si>
    <t>The Exeter Royal Academy For Deaf Education</t>
  </si>
  <si>
    <t>XYP Childcare Limited</t>
  </si>
  <si>
    <t>Fonjock's Social Work Practice</t>
  </si>
  <si>
    <t>Foundations Carlton</t>
  </si>
  <si>
    <t>Apartments 1 -15 (Apt 1 Office)</t>
  </si>
  <si>
    <t>Crookes Lane Carlton</t>
  </si>
  <si>
    <t>S71 3BL</t>
  </si>
  <si>
    <t>Barnsley Central</t>
  </si>
  <si>
    <t>Physis Quantum Limited</t>
  </si>
  <si>
    <t>Beacon House Therapeutic Services And Trauma Team</t>
  </si>
  <si>
    <t>The Old Hospital Chapelfields, Ardingly Road</t>
  </si>
  <si>
    <t>Cuckfield</t>
  </si>
  <si>
    <t>RH17 5JR</t>
  </si>
  <si>
    <t>Mid Sussex</t>
  </si>
  <si>
    <t>Beacon House Psychological Services Ltd</t>
  </si>
  <si>
    <t>Nuneaton</t>
  </si>
  <si>
    <t>Ivory Cottage Ltd</t>
  </si>
  <si>
    <t>Fostering Changes Life</t>
  </si>
  <si>
    <t>138 Rochdale Road</t>
  </si>
  <si>
    <t>BL9 7BD</t>
  </si>
  <si>
    <t>Fostering Changes Life Ltd</t>
  </si>
  <si>
    <t>Bristol North West</t>
  </si>
  <si>
    <t>Footsteps to Futures Limited</t>
  </si>
  <si>
    <t>Avanti Fostering</t>
  </si>
  <si>
    <t>Devonshire House 582 Honeypot Lane</t>
  </si>
  <si>
    <t>HA7 1JS</t>
  </si>
  <si>
    <t>Avanti Fostering Ltd</t>
  </si>
  <si>
    <t>Outdoor Care Limited</t>
  </si>
  <si>
    <t>Uk Fostering North East</t>
  </si>
  <si>
    <t>Room L1</t>
  </si>
  <si>
    <t>Business &amp; Innovation Centre Wearfield</t>
  </si>
  <si>
    <t>SR5 2TA</t>
  </si>
  <si>
    <t>Uk Fostering (ne) Limited</t>
  </si>
  <si>
    <t>Safe Haven Adolescent Care Group Limited</t>
  </si>
  <si>
    <t>MERCIA CHILDREN SERVICES LIMITED</t>
  </si>
  <si>
    <t>Christchurch</t>
  </si>
  <si>
    <t>Romford</t>
  </si>
  <si>
    <t>Stepping Stones Care Ltd</t>
  </si>
  <si>
    <t>Canterbury</t>
  </si>
  <si>
    <t xml:space="preserve">Starz Fostering </t>
  </si>
  <si>
    <t>36 Hungate Road</t>
  </si>
  <si>
    <t xml:space="preserve">Emneth  </t>
  </si>
  <si>
    <t>Wisbech</t>
  </si>
  <si>
    <t>PE14 8DE</t>
  </si>
  <si>
    <t>Starz Fostering C.I.C</t>
  </si>
  <si>
    <t xml:space="preserve">Solo Independent Living Adolescent Care Services Ltd </t>
  </si>
  <si>
    <t>Nationwide Fostering</t>
  </si>
  <si>
    <t>The Atrium</t>
  </si>
  <si>
    <t xml:space="preserve">1 Harefield Road  </t>
  </si>
  <si>
    <t>Uxbridge</t>
  </si>
  <si>
    <t>Seashell Trust</t>
  </si>
  <si>
    <t>Country Care Childrens Homes Ltd</t>
  </si>
  <si>
    <t>Adoption UK</t>
  </si>
  <si>
    <t>Unit 11-12</t>
  </si>
  <si>
    <t>Vantage Business Park Bloxham Road</t>
  </si>
  <si>
    <t>OX16 9UX</t>
  </si>
  <si>
    <t>Adoption Uk Charity</t>
  </si>
  <si>
    <t>Ealing North</t>
  </si>
  <si>
    <t>Thrive Childcare Services Ltd</t>
  </si>
  <si>
    <t>Zone Central Ltd</t>
  </si>
  <si>
    <t>Bfg Together Limited</t>
  </si>
  <si>
    <t>Pendle</t>
  </si>
  <si>
    <t>Lichfield</t>
  </si>
  <si>
    <t>Swan Children's Homes Ltd</t>
  </si>
  <si>
    <t>J &amp; R Care Limited</t>
  </si>
  <si>
    <t>Sunlight Children's Care Limited</t>
  </si>
  <si>
    <t>Carlar Care Limited</t>
  </si>
  <si>
    <t>Green Frog Holidays</t>
  </si>
  <si>
    <t>Green Frog Holidays Ltd</t>
  </si>
  <si>
    <t>Raise House Limited</t>
  </si>
  <si>
    <t>Cuffe And Lacey Fostering</t>
  </si>
  <si>
    <t>Burnley Business Centre</t>
  </si>
  <si>
    <t>2 Empire Way Liverpool Road</t>
  </si>
  <si>
    <t>BB12 6HH</t>
  </si>
  <si>
    <t>Cuffe And Lacey Associates Limited</t>
  </si>
  <si>
    <t>North West Norfolk</t>
  </si>
  <si>
    <t>Clervaux Garden School</t>
  </si>
  <si>
    <t>Halliwell Homes (Midlands Division) Limited</t>
  </si>
  <si>
    <t>South West Complex Care Services</t>
  </si>
  <si>
    <t>Fusion Fostering South East</t>
  </si>
  <si>
    <t>Unit C3b</t>
  </si>
  <si>
    <t>Knoll Business Centre 325-327 Old Shoreham Road</t>
  </si>
  <si>
    <t>BN3 7GS</t>
  </si>
  <si>
    <t>Pennine View Residential Family Centre</t>
  </si>
  <si>
    <t>Pennine View</t>
  </si>
  <si>
    <t xml:space="preserve">Trafalgar Street  </t>
  </si>
  <si>
    <t>BB11 1TQ</t>
  </si>
  <si>
    <t>Barnardo's</t>
  </si>
  <si>
    <t>Bright Futures Care Ltd</t>
  </si>
  <si>
    <t>Sunrise Hill Care Ltd.</t>
  </si>
  <si>
    <t>Pathway Care Solutions Group Limited</t>
  </si>
  <si>
    <t>Pudsey</t>
  </si>
  <si>
    <t>Cleethorpes</t>
  </si>
  <si>
    <t>Gordon Care Services Limited</t>
  </si>
  <si>
    <t>Children &amp; Adolescents Placement Provisions Ltd</t>
  </si>
  <si>
    <t>Beverley and Holderness</t>
  </si>
  <si>
    <t>Hill Top Childrens Care Limited</t>
  </si>
  <si>
    <t>Changing Futures Fostering Limited</t>
  </si>
  <si>
    <t>3 Abbey Street</t>
  </si>
  <si>
    <t xml:space="preserve">Headland  </t>
  </si>
  <si>
    <t>TS24 0JR</t>
  </si>
  <si>
    <t>Conquered Limited</t>
  </si>
  <si>
    <t>The Beeches UK Limited</t>
  </si>
  <si>
    <t>Unit B Madam Green</t>
  </si>
  <si>
    <t>High Street Oving</t>
  </si>
  <si>
    <t>Chichester</t>
  </si>
  <si>
    <t>PO20 2DD</t>
  </si>
  <si>
    <t>Casaegis Ltd</t>
  </si>
  <si>
    <t>Unique Care Group Limited</t>
  </si>
  <si>
    <t>Solace Care 7kings Ltd</t>
  </si>
  <si>
    <t>Family Futures - We-Foster</t>
  </si>
  <si>
    <t>440A Hornsey Road</t>
  </si>
  <si>
    <t>N19 4EB</t>
  </si>
  <si>
    <t>Family Futures Cic</t>
  </si>
  <si>
    <t>Champion Children (fig Tree) Limited</t>
  </si>
  <si>
    <t>Kef Kids Ltd</t>
  </si>
  <si>
    <t>Care And Management Services Limited</t>
  </si>
  <si>
    <t>Rochford and Southend East</t>
  </si>
  <si>
    <t>Indigo Children's Care Homes Ltd</t>
  </si>
  <si>
    <t>Rotherham Metropolitan Borough Council</t>
  </si>
  <si>
    <t>Willows (Devon) Ltd</t>
  </si>
  <si>
    <t>Luton North</t>
  </si>
  <si>
    <t>Strive To Care Ltd</t>
  </si>
  <si>
    <t>Kingston upon Hull East</t>
  </si>
  <si>
    <t>Keighley</t>
  </si>
  <si>
    <t>Supporting Hands Care Services Ltd</t>
  </si>
  <si>
    <t>G&amp;S Caring for Children and Young People Ltd</t>
  </si>
  <si>
    <t>Willows21 Limited</t>
  </si>
  <si>
    <t>T. How Homely Limited</t>
  </si>
  <si>
    <t>Castle Care Homes</t>
  </si>
  <si>
    <t>Compass Fostering East</t>
  </si>
  <si>
    <t>Exhibit House</t>
  </si>
  <si>
    <t xml:space="preserve">Dunmow Road  </t>
  </si>
  <si>
    <t>Felsted</t>
  </si>
  <si>
    <t>CM6 3LD</t>
  </si>
  <si>
    <t>Compass Fostering East Limited</t>
  </si>
  <si>
    <t>Compass Fostering South East</t>
  </si>
  <si>
    <t>Pean Hill Park</t>
  </si>
  <si>
    <t xml:space="preserve">Pean Hill  </t>
  </si>
  <si>
    <t>Whitstable</t>
  </si>
  <si>
    <t>CT5 3BJ</t>
  </si>
  <si>
    <t>Compass Fostering South Limited</t>
  </si>
  <si>
    <t>St Piers Residential Special School</t>
  </si>
  <si>
    <t>St Piers Lane</t>
  </si>
  <si>
    <t>Lingfield</t>
  </si>
  <si>
    <t>RH7 6PW</t>
  </si>
  <si>
    <t>East Surrey</t>
  </si>
  <si>
    <t>The National Centre For Young People With Epilepsy</t>
  </si>
  <si>
    <t>North Tyneside Council</t>
  </si>
  <si>
    <t>Enhanced Young Persons Care Limited</t>
  </si>
  <si>
    <t>Keir Lock Children's Homes Ltd</t>
  </si>
  <si>
    <t>Cambridgeshire County Council</t>
  </si>
  <si>
    <t>Support And Sustain Care Ltd</t>
  </si>
  <si>
    <t>Elmet and Rothwell</t>
  </si>
  <si>
    <t>Carshalton and Wallington</t>
  </si>
  <si>
    <t>London Borough of Sutton</t>
  </si>
  <si>
    <t>The Open Care Group Limited</t>
  </si>
  <si>
    <t>Northamptonshire Children's Trust Adoption Agency</t>
  </si>
  <si>
    <t>One Angel Square</t>
  </si>
  <si>
    <t xml:space="preserve">Angel Street  </t>
  </si>
  <si>
    <t>NN1 1ED</t>
  </si>
  <si>
    <t>Northamptonshire Childrens Trust Limited</t>
  </si>
  <si>
    <t>Invigor Adolescent Care Limited</t>
  </si>
  <si>
    <t>The Serendipity Centre Limited</t>
  </si>
  <si>
    <t>Huntingdon</t>
  </si>
  <si>
    <t>Child First Limited</t>
  </si>
  <si>
    <t>Chillington Close</t>
  </si>
  <si>
    <t>Vineyard Fostering</t>
  </si>
  <si>
    <t>Hart House</t>
  </si>
  <si>
    <t xml:space="preserve">Kimpton Road  </t>
  </si>
  <si>
    <t>LU2 0LB</t>
  </si>
  <si>
    <t>Luton South</t>
  </si>
  <si>
    <t>Manchester, Withington</t>
  </si>
  <si>
    <t>Paramount Children's Services Ltd</t>
  </si>
  <si>
    <t>Connect Care solutions limited</t>
  </si>
  <si>
    <t>Apricot Centre Wellbeing Service</t>
  </si>
  <si>
    <t>Apricot Centre</t>
  </si>
  <si>
    <t>Huxhams Cross Farm Dartington</t>
  </si>
  <si>
    <t>Totnes</t>
  </si>
  <si>
    <t>TQ9 6AA</t>
  </si>
  <si>
    <t>Apricot Centre CIC</t>
  </si>
  <si>
    <t>Evolve Therapeutic Fostering Ltd</t>
  </si>
  <si>
    <t>Office 34</t>
  </si>
  <si>
    <t>Discovery Park Innovation House, Innovation Way</t>
  </si>
  <si>
    <t>Sandwich</t>
  </si>
  <si>
    <t>CT13 9FF</t>
  </si>
  <si>
    <t>York Central</t>
  </si>
  <si>
    <t>City of York Council</t>
  </si>
  <si>
    <t>South East Cambridgeshire</t>
  </si>
  <si>
    <t>Madiba ltd</t>
  </si>
  <si>
    <t>Child First Residential LTD</t>
  </si>
  <si>
    <t>Oakley House Children's Home Limited</t>
  </si>
  <si>
    <t>Leeds North East</t>
  </si>
  <si>
    <t>A &amp; S Children's Services LTD</t>
  </si>
  <si>
    <t>Central &amp; Southern Homes Ltd</t>
  </si>
  <si>
    <t>247 Bluebell Care Limited</t>
  </si>
  <si>
    <t>PURE GRACE HOMES LIMITED</t>
  </si>
  <si>
    <t>Brent Central</t>
  </si>
  <si>
    <t>Blossom Children's Homes Limited</t>
  </si>
  <si>
    <t>Serenity Specialist Care Ltd</t>
  </si>
  <si>
    <t>Weaver Vale</t>
  </si>
  <si>
    <t>iMapcentre Ltd</t>
  </si>
  <si>
    <t>Berwick-upon-Tweed</t>
  </si>
  <si>
    <t>Solace Care Redbridge Ltd</t>
  </si>
  <si>
    <t>Worthing West</t>
  </si>
  <si>
    <t>Fostering Connections</t>
  </si>
  <si>
    <t>Warlies Park House</t>
  </si>
  <si>
    <t>Upshire</t>
  </si>
  <si>
    <t>EN9 3SL</t>
  </si>
  <si>
    <t>Fostering Connections Ltd</t>
  </si>
  <si>
    <t>Jennens House</t>
  </si>
  <si>
    <t>66-68 Wednesbury Road</t>
  </si>
  <si>
    <t>WS1 3RR</t>
  </si>
  <si>
    <t>J.A.C.S Specialist Ltd</t>
  </si>
  <si>
    <t>Clearwater Care (Hackney) Ltd</t>
  </si>
  <si>
    <t>Clear Water Care Homes Ltd</t>
  </si>
  <si>
    <t>GAC Family Services Ltd</t>
  </si>
  <si>
    <t>City of Durham</t>
  </si>
  <si>
    <t>VITA NOVA NE LTD</t>
  </si>
  <si>
    <t>Care Today ( Childrens Services ) Ltd</t>
  </si>
  <si>
    <t>Northamptonshire Children's Trust  Fostering Agency</t>
  </si>
  <si>
    <t>Sure Start Fostering Agency</t>
  </si>
  <si>
    <t>Sir Robert Peel House</t>
  </si>
  <si>
    <t>Suite 101 344-348 High Road</t>
  </si>
  <si>
    <t>IG1 1QP</t>
  </si>
  <si>
    <t>Sure Start Fostering Agency  Limited</t>
  </si>
  <si>
    <t>Empower Fostering Limited</t>
  </si>
  <si>
    <t>Unit 2 Prockters Farm Offices</t>
  </si>
  <si>
    <t xml:space="preserve">West Monkton  </t>
  </si>
  <si>
    <t>TA2 8QN</t>
  </si>
  <si>
    <t>Joanna North Adoption Ltd</t>
  </si>
  <si>
    <t>2 Stable Farm</t>
  </si>
  <si>
    <t xml:space="preserve">Collipriest  </t>
  </si>
  <si>
    <t>Tiverton</t>
  </si>
  <si>
    <t>EX16 4PT</t>
  </si>
  <si>
    <t>Joanna North Adoption Limited</t>
  </si>
  <si>
    <t>TJY Care lytd</t>
  </si>
  <si>
    <t>First for Fostering Ltd</t>
  </si>
  <si>
    <t>181 Coniscliffe Road</t>
  </si>
  <si>
    <t>DL3 8DE</t>
  </si>
  <si>
    <t>Forte Care Ltd</t>
  </si>
  <si>
    <t xml:space="preserve">Fortitude Fostering </t>
  </si>
  <si>
    <t>Blue Sky</t>
  </si>
  <si>
    <t>25 Cecil Pashley Way Brighton City Airport</t>
  </si>
  <si>
    <t>Shoreham-By-Sea</t>
  </si>
  <si>
    <t>BN43 5FF</t>
  </si>
  <si>
    <t>Fortitude Fostering Community Interest Company</t>
  </si>
  <si>
    <t>Young Birch Ltd</t>
  </si>
  <si>
    <t>Prosper and Enterprise Limited</t>
  </si>
  <si>
    <t>Coastal Quality Care Ltd</t>
  </si>
  <si>
    <t>Budwood Limited</t>
  </si>
  <si>
    <t>Birmingham, Edgbaston</t>
  </si>
  <si>
    <t>Stepping Stones Care (Midlands) Limited</t>
  </si>
  <si>
    <t>North West Youth Services Limited</t>
  </si>
  <si>
    <t>Castle Point</t>
  </si>
  <si>
    <t>Momentum Residential Care Home Ltd</t>
  </si>
  <si>
    <t>Monitoring inspection</t>
  </si>
  <si>
    <t>Inspirations Care Limited</t>
  </si>
  <si>
    <t>The Orchards Hounslow</t>
  </si>
  <si>
    <t>22 Moulton Avenue</t>
  </si>
  <si>
    <t>MIDDLESEX</t>
  </si>
  <si>
    <t>TW3 4LR</t>
  </si>
  <si>
    <t>Smith and Massen Ltd</t>
  </si>
  <si>
    <t>North Dorset</t>
  </si>
  <si>
    <t>Highlands (Fareham) Limited</t>
  </si>
  <si>
    <t>Evolve Childcare Ltd</t>
  </si>
  <si>
    <t>Anderida Foster Care</t>
  </si>
  <si>
    <t>Anderida Foster Care Ltd</t>
  </si>
  <si>
    <t>Neville Mews 6a Neville Road</t>
  </si>
  <si>
    <t>Eastbourne</t>
  </si>
  <si>
    <t>BN22 8HR</t>
  </si>
  <si>
    <t>Durham County Council</t>
  </si>
  <si>
    <t>Resi-Action Staffordshire Ltd</t>
  </si>
  <si>
    <t>Channels &amp; Choices Kent LLP</t>
  </si>
  <si>
    <t>Huntercombe Young People Ltd</t>
  </si>
  <si>
    <t>Monarch Intervention Services Ltd</t>
  </si>
  <si>
    <t>Mid Dorset and North Poole</t>
  </si>
  <si>
    <t>Dorset Council</t>
  </si>
  <si>
    <t>Care2Care Children's Home Ltd</t>
  </si>
  <si>
    <t>I.M.P.A.C.T Children's Residential Care Ltd</t>
  </si>
  <si>
    <t>Parallel Parents Ltd</t>
  </si>
  <si>
    <t>Faversham and Mid Kent</t>
  </si>
  <si>
    <t>Oakley House (Kent) Limited</t>
  </si>
  <si>
    <t>R G CARE LTD</t>
  </si>
  <si>
    <t>Warrington Borough Council</t>
  </si>
  <si>
    <t>Hertfordshire County Council</t>
  </si>
  <si>
    <t>Protea Care 2 Limited</t>
  </si>
  <si>
    <t>Paramount Children Care Ltd</t>
  </si>
  <si>
    <t>Dandelion Clock Counselling Adoption Support</t>
  </si>
  <si>
    <t>9 Katherine Road</t>
  </si>
  <si>
    <t>SK2 7QA</t>
  </si>
  <si>
    <t>Oldham West and Royton</t>
  </si>
  <si>
    <t>Supreme Child Care ltd</t>
  </si>
  <si>
    <t>International School of Creative Arts</t>
  </si>
  <si>
    <t>Framewood Road</t>
  </si>
  <si>
    <t xml:space="preserve">Wexham  </t>
  </si>
  <si>
    <t>SL2 4QS</t>
  </si>
  <si>
    <t>Beaconsfield</t>
  </si>
  <si>
    <t>International School of Creative Arts Limited</t>
  </si>
  <si>
    <t>Camino Care Limited</t>
  </si>
  <si>
    <t>Halls Homes For Young People Ltd</t>
  </si>
  <si>
    <t>Aegis 24/7 Ltd</t>
  </si>
  <si>
    <t>Hopespring</t>
  </si>
  <si>
    <t>SMB Group</t>
  </si>
  <si>
    <t>Stephenson College</t>
  </si>
  <si>
    <t xml:space="preserve">Thornborough Road  </t>
  </si>
  <si>
    <t>Coalville</t>
  </si>
  <si>
    <t>LE67 3TN</t>
  </si>
  <si>
    <t>Safety &amp; Focused Care Ltd</t>
  </si>
  <si>
    <t>Daffodils Fostering Limited</t>
  </si>
  <si>
    <t>Suite 219</t>
  </si>
  <si>
    <t>Second Floor Devonshire House,582 Honeypot lane</t>
  </si>
  <si>
    <t>HA7 1JZ</t>
  </si>
  <si>
    <t>Barrow and Furness</t>
  </si>
  <si>
    <t xml:space="preserve">CASC (Barrow) Limited </t>
  </si>
  <si>
    <t>Excel Residential Care LTD</t>
  </si>
  <si>
    <t>Positive Steps Specialist Care Services Limited</t>
  </si>
  <si>
    <t>Ashdown Care Homes Limited</t>
  </si>
  <si>
    <t>Applecast Limited</t>
  </si>
  <si>
    <t>Truly Care Services Ltd</t>
  </si>
  <si>
    <t>Charis Services for Children Ltd</t>
  </si>
  <si>
    <t>Treasure Nest Limited</t>
  </si>
  <si>
    <t>Positive Outcomes Childcare Limited</t>
  </si>
  <si>
    <t>Cornwall Council</t>
  </si>
  <si>
    <t>Positive Homes for Positive Futures ltd</t>
  </si>
  <si>
    <t>PALS Residential Services Ltd</t>
  </si>
  <si>
    <t>MJ Residential Services</t>
  </si>
  <si>
    <t>Horizon Care Mayfield Lodge Limited</t>
  </si>
  <si>
    <t>Greenwich and Woolwich</t>
  </si>
  <si>
    <t>Cherry Care Children's Home Ltd</t>
  </si>
  <si>
    <t>Vita Spirit Limited</t>
  </si>
  <si>
    <t>Trax MX Ltd</t>
  </si>
  <si>
    <t>Apex Fostering Limited</t>
  </si>
  <si>
    <t>Brickfield House</t>
  </si>
  <si>
    <t>High Road Thornwood</t>
  </si>
  <si>
    <t>Epping</t>
  </si>
  <si>
    <t>CM16 6TH</t>
  </si>
  <si>
    <t>Purple Heart Project - Children's Services</t>
  </si>
  <si>
    <t>St. Chads Vicarage</t>
  </si>
  <si>
    <t xml:space="preserve">Ragpath Lane  </t>
  </si>
  <si>
    <t>Stockton-on-tees</t>
  </si>
  <si>
    <t>TS19 9JN</t>
  </si>
  <si>
    <t>VKYB Enterprises Ltd</t>
  </si>
  <si>
    <t>Spelthorne</t>
  </si>
  <si>
    <t>Ashford Children's Care Limited</t>
  </si>
  <si>
    <t>Family First Care Services Ltd</t>
  </si>
  <si>
    <t>First Steps Care Ltd</t>
  </si>
  <si>
    <t>Anchor Care and Education Ltd</t>
  </si>
  <si>
    <t>Britannia Fostering Agency Limited</t>
  </si>
  <si>
    <t>Balfour Business Centre</t>
  </si>
  <si>
    <t>Unit 1 Balfour House, 390-392 High Road</t>
  </si>
  <si>
    <t>IG1 1BF</t>
  </si>
  <si>
    <t>Jump Start Centre Limited</t>
  </si>
  <si>
    <t>Park House</t>
  </si>
  <si>
    <t xml:space="preserve">50 Maldon Road  </t>
  </si>
  <si>
    <t>CM8 1HN</t>
  </si>
  <si>
    <t>Savannah Lodge - Primrose Cottage</t>
  </si>
  <si>
    <t>Primrose Cottage</t>
  </si>
  <si>
    <t xml:space="preserve">High Wych Road  </t>
  </si>
  <si>
    <t>Sawbridgeworth</t>
  </si>
  <si>
    <t>CM21 0HH</t>
  </si>
  <si>
    <t>St. Caspian Care Limited</t>
  </si>
  <si>
    <t>GREEN HARVEST CAPITAL CONSULTING LTD</t>
  </si>
  <si>
    <t>24/7 SUPPORT UK LIMITED</t>
  </si>
  <si>
    <t>Acorn Norfolk Limited</t>
  </si>
  <si>
    <t>Abundantia Care Limited</t>
  </si>
  <si>
    <t>Moncur Group Ltd</t>
  </si>
  <si>
    <t>The Laurels Family Assessment Ltd</t>
  </si>
  <si>
    <t>Heath Hill</t>
  </si>
  <si>
    <t xml:space="preserve">Booth Road  </t>
  </si>
  <si>
    <t>Bacup</t>
  </si>
  <si>
    <t>OL13 0SF</t>
  </si>
  <si>
    <t>Acheron Care Limited</t>
  </si>
  <si>
    <t>Roxwell Care Gidea Park Limited</t>
  </si>
  <si>
    <t>South Swindon</t>
  </si>
  <si>
    <t>Next Step Independence Ltd</t>
  </si>
  <si>
    <t>ARGF LIMITED</t>
  </si>
  <si>
    <t>Bethel Children's Care Ltd</t>
  </si>
  <si>
    <t>Contemporary Concept Care Limited</t>
  </si>
  <si>
    <t>Great Yarmouth</t>
  </si>
  <si>
    <t>Flying Spur Limited</t>
  </si>
  <si>
    <t>Northridge Care Group Ltd</t>
  </si>
  <si>
    <t>Clairmont</t>
  </si>
  <si>
    <t>54 Haygate Road</t>
  </si>
  <si>
    <t xml:space="preserve">Wellington  </t>
  </si>
  <si>
    <t>TF1 1QN</t>
  </si>
  <si>
    <t>Chalk Hill</t>
  </si>
  <si>
    <t>Cats Lane</t>
  </si>
  <si>
    <t>Sudbury</t>
  </si>
  <si>
    <t>CO10 2SF</t>
  </si>
  <si>
    <t>SENDAT</t>
  </si>
  <si>
    <t>Newcastle upon Tyne Central</t>
  </si>
  <si>
    <t>Foundations Strathmore</t>
  </si>
  <si>
    <t>39 Sandygate</t>
  </si>
  <si>
    <t xml:space="preserve">Wath-upon-Dearne  </t>
  </si>
  <si>
    <t>S63 7LN</t>
  </si>
  <si>
    <t>Real Care Support Ltd.</t>
  </si>
  <si>
    <t>Nurture Care Group Ltd</t>
  </si>
  <si>
    <t>Infinity Care Home Ltd</t>
  </si>
  <si>
    <t>Creating Care Choices Limited</t>
  </si>
  <si>
    <t>Five Rivers Child Care Limited</t>
  </si>
  <si>
    <t>Treasure Keepers</t>
  </si>
  <si>
    <t>Oaktree Resource Centre</t>
  </si>
  <si>
    <t xml:space="preserve">62-64 Hogg Lane  </t>
  </si>
  <si>
    <t>Grays</t>
  </si>
  <si>
    <t>RM17 5QS</t>
  </si>
  <si>
    <t>Treasure Keepers Ltd</t>
  </si>
  <si>
    <t>Sankofa Specialist Care Ltd</t>
  </si>
  <si>
    <t>Carterhatch Homes Limited</t>
  </si>
  <si>
    <t>Williams Welfare Ltd</t>
  </si>
  <si>
    <t>Glenwood School</t>
  </si>
  <si>
    <t>Rushbottom Lane</t>
  </si>
  <si>
    <t xml:space="preserve">New Thundersley  </t>
  </si>
  <si>
    <t>Benfleet</t>
  </si>
  <si>
    <t>SS7 4LW</t>
  </si>
  <si>
    <t>Poplar and Limehouse</t>
  </si>
  <si>
    <t>Centre 404</t>
  </si>
  <si>
    <t>Bure Park Specialist Academy</t>
  </si>
  <si>
    <t>Beresford Road</t>
  </si>
  <si>
    <t>NR30 4AB</t>
  </si>
  <si>
    <t>Boudica Schools Trust</t>
  </si>
  <si>
    <t>Solace Care ClayHall Ltd</t>
  </si>
  <si>
    <t>EnhanceAble</t>
  </si>
  <si>
    <t>Southampton, Itchen</t>
  </si>
  <si>
    <t>A&amp;R Guardian Services Limited</t>
  </si>
  <si>
    <t>Kedleston (Wood Grove Childcare) Limited</t>
  </si>
  <si>
    <t>Worcestershire Children First Voluntary Adoption Service</t>
  </si>
  <si>
    <t>Worcestershire County Council</t>
  </si>
  <si>
    <t>County Hall Spetchley Road</t>
  </si>
  <si>
    <t>WORCESTER</t>
  </si>
  <si>
    <t>Helpful Investments Limited</t>
  </si>
  <si>
    <t>Leicester South</t>
  </si>
  <si>
    <t>Trauma in Mind Ltd</t>
  </si>
  <si>
    <t>Inspired Fostering</t>
  </si>
  <si>
    <t>Unit 4</t>
  </si>
  <si>
    <t>Prestige House Landews Meadow,Green Lane</t>
  </si>
  <si>
    <t>Challock</t>
  </si>
  <si>
    <t>TN25 4FN</t>
  </si>
  <si>
    <t>Inspired Fostering Limited</t>
  </si>
  <si>
    <t>Barracare Ltd</t>
  </si>
  <si>
    <t>Allesley Childrens Care Ltd</t>
  </si>
  <si>
    <t>West Sussex County Council</t>
  </si>
  <si>
    <t>Croydon South</t>
  </si>
  <si>
    <t>Ascent Fostering Agency</t>
  </si>
  <si>
    <t>Ohana Parental Assessment Centre</t>
  </si>
  <si>
    <t>53 Palmers Drive</t>
  </si>
  <si>
    <t>RM17 5RA</t>
  </si>
  <si>
    <t>Ohana Parental Assessment Centre Limited</t>
  </si>
  <si>
    <t>Dimensions Care Ltd</t>
  </si>
  <si>
    <t>The Sisu Nest</t>
  </si>
  <si>
    <t>240 Grane Road</t>
  </si>
  <si>
    <t xml:space="preserve">Haslingden  </t>
  </si>
  <si>
    <t>Rossendale</t>
  </si>
  <si>
    <t>BB4 4PB</t>
  </si>
  <si>
    <t>Sisu Services Ltd</t>
  </si>
  <si>
    <t>SV Care Services Limited</t>
  </si>
  <si>
    <t>We Care Bespoke Limited</t>
  </si>
  <si>
    <t>Lily Residential Services LTd</t>
  </si>
  <si>
    <t>Ubuntu Group Limited</t>
  </si>
  <si>
    <t>ALTERNATIVE APPROACH CARE LTD</t>
  </si>
  <si>
    <t>Procure Care Providers Limited</t>
  </si>
  <si>
    <t>Brighter Fostering Limited</t>
  </si>
  <si>
    <t>Suite F</t>
  </si>
  <si>
    <t>2nd Floor Mill 2, Mabgate Mills, Mill 2</t>
  </si>
  <si>
    <t>LS9 7DZ</t>
  </si>
  <si>
    <t>Blossom Family Beginnings</t>
  </si>
  <si>
    <t>169 CHORLEY ROAD</t>
  </si>
  <si>
    <t>Heath Charnock</t>
  </si>
  <si>
    <t>PR6 9JL</t>
  </si>
  <si>
    <t>Blossom Family Beginnings Ltd</t>
  </si>
  <si>
    <t>Arnfield Care Limited</t>
  </si>
  <si>
    <t>Kids Inc Residential Services Ltd</t>
  </si>
  <si>
    <t>Willcob Care Ltd</t>
  </si>
  <si>
    <t>Caritas Homes Limited</t>
  </si>
  <si>
    <t>Norwich North</t>
  </si>
  <si>
    <t>Norfolk County Council</t>
  </si>
  <si>
    <t>Poole</t>
  </si>
  <si>
    <t>Bess Solutions Limited</t>
  </si>
  <si>
    <t>Loyal Care Limited</t>
  </si>
  <si>
    <t>Pinnacle Care Provisions Ltd</t>
  </si>
  <si>
    <t>Caring feathers Ltd</t>
  </si>
  <si>
    <t>Hackney South and Shoreditch</t>
  </si>
  <si>
    <t>Montage Services Limited</t>
  </si>
  <si>
    <t>Illuminance Fostering Service</t>
  </si>
  <si>
    <t>Regus</t>
  </si>
  <si>
    <t>Jubilee House The Drive, Great Warley</t>
  </si>
  <si>
    <t>Brentwood</t>
  </si>
  <si>
    <t>CM13 3FR</t>
  </si>
  <si>
    <t>Residential Child Care Community (North West) Limited</t>
  </si>
  <si>
    <t>Direct Care Children's Homes</t>
  </si>
  <si>
    <t>Bright Life Living (Stirchley) Ltd</t>
  </si>
  <si>
    <t>Advocate Recruitment Ltd</t>
  </si>
  <si>
    <t>Ash House Care Ltd</t>
  </si>
  <si>
    <t>Bristol South</t>
  </si>
  <si>
    <t>RESILIENCE RESIDENTIAL SERVICES LTD</t>
  </si>
  <si>
    <t>Elite Children's Care Group Ltd</t>
  </si>
  <si>
    <t>The Woodbridge Family Centre Upton House</t>
  </si>
  <si>
    <t>2 Knot Tiers Drive</t>
  </si>
  <si>
    <t>Upton</t>
  </si>
  <si>
    <t>NN5 4AY</t>
  </si>
  <si>
    <t>The Woodbridge Family Centre Family Residential Assessments Ltd</t>
  </si>
  <si>
    <t>Khin Family Services</t>
  </si>
  <si>
    <t>Southlands Rest Home</t>
  </si>
  <si>
    <t xml:space="preserve">7 Linkfield Lane  </t>
  </si>
  <si>
    <t>Redhill</t>
  </si>
  <si>
    <t>RH1 1JF</t>
  </si>
  <si>
    <t>Khin Family Services Ltd</t>
  </si>
  <si>
    <t>Sutton and Cheam</t>
  </si>
  <si>
    <t>Catch22 Charity Limited</t>
  </si>
  <si>
    <t>Prime Calibre Care Group Ltd</t>
  </si>
  <si>
    <t>Bolsover</t>
  </si>
  <si>
    <t>My House Calow Ltd</t>
  </si>
  <si>
    <t>Treetops Children's Homes Limited</t>
  </si>
  <si>
    <t>Bethnal Green and Bow</t>
  </si>
  <si>
    <t>Nelbro Group Limited</t>
  </si>
  <si>
    <t>Embrace Fostering Service</t>
  </si>
  <si>
    <t>Mayflower Cottage</t>
  </si>
  <si>
    <t xml:space="preserve">Clumber Park  </t>
  </si>
  <si>
    <t>S80 3BQ</t>
  </si>
  <si>
    <t>Embrace Therapeutic Fostering Services</t>
  </si>
  <si>
    <t>Tutelage Care Barking Ltd</t>
  </si>
  <si>
    <t>Truro and Falmouth</t>
  </si>
  <si>
    <t>Manuel Cornwall Ltd</t>
  </si>
  <si>
    <t>York Outer</t>
  </si>
  <si>
    <t>Care Acre Ltd</t>
  </si>
  <si>
    <t>Restoring Lives Ltd</t>
  </si>
  <si>
    <t>Brighton, Kemptown</t>
  </si>
  <si>
    <t>Lighthouse Children's Care LTD</t>
  </si>
  <si>
    <t>Families Empowered Limited</t>
  </si>
  <si>
    <t>Flat 29</t>
  </si>
  <si>
    <t>Free Rodwell House School Lane, Mistley</t>
  </si>
  <si>
    <t>Manningtree</t>
  </si>
  <si>
    <t>CO11 1HW</t>
  </si>
  <si>
    <t>Wythenshawe and Sale East</t>
  </si>
  <si>
    <t>Tutelage care Redbridge Ltd</t>
  </si>
  <si>
    <t>Soundly Fostering</t>
  </si>
  <si>
    <t>Charles Burrell Centre Ltd</t>
  </si>
  <si>
    <t>Charles Burrell Centre Staniforth Road</t>
  </si>
  <si>
    <t>Thetford</t>
  </si>
  <si>
    <t>IP24 3LH</t>
  </si>
  <si>
    <t>SOUNDLY FOSTERING LTD</t>
  </si>
  <si>
    <t>Sherwood</t>
  </si>
  <si>
    <t>Prime Nurture Services Limited</t>
  </si>
  <si>
    <t>CF Social Work Ltd</t>
  </si>
  <si>
    <t>Rubicon Children and Family Services Ltd</t>
  </si>
  <si>
    <t>Cynhenid Care Ltd</t>
  </si>
  <si>
    <t>Heathfield (Parkgate) Ltd</t>
  </si>
  <si>
    <t>AMMA Childcare Services Ltd</t>
  </si>
  <si>
    <t>Within Reach Services Limited</t>
  </si>
  <si>
    <t>GSM Ardent Ltd</t>
  </si>
  <si>
    <t>North East Hertfordshire</t>
  </si>
  <si>
    <t>The Oval</t>
  </si>
  <si>
    <t xml:space="preserve">2 Duncan Street  </t>
  </si>
  <si>
    <t>WA10 3TE</t>
  </si>
  <si>
    <t>Shape Care ltd</t>
  </si>
  <si>
    <t>Sheiling School</t>
  </si>
  <si>
    <t>Horton Road</t>
  </si>
  <si>
    <t xml:space="preserve">Ashley  </t>
  </si>
  <si>
    <t>Ringwood</t>
  </si>
  <si>
    <t>BH24 2EB</t>
  </si>
  <si>
    <t>The Sheiling Special Education Trust</t>
  </si>
  <si>
    <t>North Lakes Children's Service Limited</t>
  </si>
  <si>
    <t>Choices Home for Children Limited</t>
  </si>
  <si>
    <t>Nugent Care 2019</t>
  </si>
  <si>
    <t>East Riding of Yorkshire Council</t>
  </si>
  <si>
    <t>SC000673</t>
  </si>
  <si>
    <t>Hexham</t>
  </si>
  <si>
    <t>SC000802</t>
  </si>
  <si>
    <t>Arronbeth Ltd</t>
  </si>
  <si>
    <t>SC000803</t>
  </si>
  <si>
    <t>Pear Tree Projects Limited</t>
  </si>
  <si>
    <t>SC000820</t>
  </si>
  <si>
    <t>SC001016</t>
  </si>
  <si>
    <t>SC001038</t>
  </si>
  <si>
    <t>William Henry Smith School</t>
  </si>
  <si>
    <t xml:space="preserve">Boothroyd Lane  </t>
  </si>
  <si>
    <t>Brighouse</t>
  </si>
  <si>
    <t>West Yorkshire</t>
  </si>
  <si>
    <t>HD6 3JW</t>
  </si>
  <si>
    <t>The Smith Foundation</t>
  </si>
  <si>
    <t>SC001452</t>
  </si>
  <si>
    <t>SC001531</t>
  </si>
  <si>
    <t>Catholic Care (Diocese of Leeds)</t>
  </si>
  <si>
    <t>SC001535</t>
  </si>
  <si>
    <t>St John's Catholic Specialist School, Boston Spa</t>
  </si>
  <si>
    <t>Church Street</t>
  </si>
  <si>
    <t xml:space="preserve">Boston Spa  </t>
  </si>
  <si>
    <t>Wetherby</t>
  </si>
  <si>
    <t>LS23 6DF</t>
  </si>
  <si>
    <t>St John's Catholic School For The Deaf</t>
  </si>
  <si>
    <t>SC001831</t>
  </si>
  <si>
    <t>The Grange Therapeutic School</t>
  </si>
  <si>
    <t>15-17 Somerby Road</t>
  </si>
  <si>
    <t xml:space="preserve">Knossington  </t>
  </si>
  <si>
    <t>OAKHAM</t>
  </si>
  <si>
    <t>LE15 8LY</t>
  </si>
  <si>
    <t>SC002015</t>
  </si>
  <si>
    <t>Royal School for the Deaf Derby</t>
  </si>
  <si>
    <t>Royal School for the Deaf</t>
  </si>
  <si>
    <t xml:space="preserve">180 Ashbourne Road  </t>
  </si>
  <si>
    <t>DERBY</t>
  </si>
  <si>
    <t>DE22 3BH</t>
  </si>
  <si>
    <t>Royal School for the Deaf Trust</t>
  </si>
  <si>
    <t>SC002270</t>
  </si>
  <si>
    <t>Jamia Al-Hudaa (Muslim School - Girls)</t>
  </si>
  <si>
    <t>Jamia Al Hudaa</t>
  </si>
  <si>
    <t>Forest House Berkeley Avenue</t>
  </si>
  <si>
    <t>NOTTINGHAM</t>
  </si>
  <si>
    <t>NG3 5TT</t>
  </si>
  <si>
    <t>Board of Trustees of Madni Trust</t>
  </si>
  <si>
    <t>SC002930</t>
  </si>
  <si>
    <t>Sheffield, Brightside and Hillsborough</t>
  </si>
  <si>
    <t>SC003792</t>
  </si>
  <si>
    <t>Lifeworks Charity Limited</t>
  </si>
  <si>
    <t>SC003884</t>
  </si>
  <si>
    <t>SC003895</t>
  </si>
  <si>
    <t>Orchard Manor School</t>
  </si>
  <si>
    <t xml:space="preserve">John Nash Drive  </t>
  </si>
  <si>
    <t>DAWLISH</t>
  </si>
  <si>
    <t>EX7 9SF</t>
  </si>
  <si>
    <t>SC004085</t>
  </si>
  <si>
    <t>Diverse Abilities Plus Ltd.</t>
  </si>
  <si>
    <t>SC004429</t>
  </si>
  <si>
    <t>SC005040</t>
  </si>
  <si>
    <t>SC005041</t>
  </si>
  <si>
    <t>Caretech Community Services Limited</t>
  </si>
  <si>
    <t>SC005042</t>
  </si>
  <si>
    <t>SC005045</t>
  </si>
  <si>
    <t>SC005048</t>
  </si>
  <si>
    <t>SC005050</t>
  </si>
  <si>
    <t>SC005066</t>
  </si>
  <si>
    <t>SC005204</t>
  </si>
  <si>
    <t>SC005553</t>
  </si>
  <si>
    <t>Dalepeak Limited</t>
  </si>
  <si>
    <t>SC005567</t>
  </si>
  <si>
    <t>Keys Stepping Stones Limited</t>
  </si>
  <si>
    <t>SC005589</t>
  </si>
  <si>
    <t>SC005751</t>
  </si>
  <si>
    <t>Care Afloat Ltd</t>
  </si>
  <si>
    <t>SC005870</t>
  </si>
  <si>
    <t>Jamiatul-ilm Wal Huda</t>
  </si>
  <si>
    <t>30 Moss Street</t>
  </si>
  <si>
    <t>Blackburn</t>
  </si>
  <si>
    <t>BB1 5JT</t>
  </si>
  <si>
    <t>Jamiatul-Ilm Wal-Huda UK</t>
  </si>
  <si>
    <t>SC006010</t>
  </si>
  <si>
    <t>SC006011</t>
  </si>
  <si>
    <t>SC006013</t>
  </si>
  <si>
    <t>SC006014</t>
  </si>
  <si>
    <t>SC006017</t>
  </si>
  <si>
    <t>SC006294</t>
  </si>
  <si>
    <t>Dove Adolescent Services Limited</t>
  </si>
  <si>
    <t>SC006329</t>
  </si>
  <si>
    <t>Darul Uloom Leicester</t>
  </si>
  <si>
    <t xml:space="preserve">117-119 Loughborough Road  </t>
  </si>
  <si>
    <t>LE4 5LN</t>
  </si>
  <si>
    <t>SC006451</t>
  </si>
  <si>
    <t>Ash Field Academy</t>
  </si>
  <si>
    <t>Ash Field School</t>
  </si>
  <si>
    <t xml:space="preserve">Broad Avenue  </t>
  </si>
  <si>
    <t>LEICESTER</t>
  </si>
  <si>
    <t>LE5 4PY</t>
  </si>
  <si>
    <t>Ash Field Academy Trust</t>
  </si>
  <si>
    <t>SC006452</t>
  </si>
  <si>
    <t>Millgate School</t>
  </si>
  <si>
    <t xml:space="preserve">18 Scott Street  </t>
  </si>
  <si>
    <t>LE2 6DW</t>
  </si>
  <si>
    <t>Leicester City Council</t>
  </si>
  <si>
    <t>SC006614</t>
  </si>
  <si>
    <t>Hebden Green Special School</t>
  </si>
  <si>
    <t>1 Hebden Green Special School Grounds</t>
  </si>
  <si>
    <t>WINSFORD</t>
  </si>
  <si>
    <t>Cheshire</t>
  </si>
  <si>
    <t>CW7 4EJ</t>
  </si>
  <si>
    <t>SC006621</t>
  </si>
  <si>
    <t>Archers Brook SEMH Residential School</t>
  </si>
  <si>
    <t>Chester Road</t>
  </si>
  <si>
    <t xml:space="preserve">Great Sutton  </t>
  </si>
  <si>
    <t>Ellesmere Port</t>
  </si>
  <si>
    <t>CH66 2NA</t>
  </si>
  <si>
    <t>SC006624</t>
  </si>
  <si>
    <t>Greenbank Residential School</t>
  </si>
  <si>
    <t>Greenbank Lane</t>
  </si>
  <si>
    <t xml:space="preserve">Hartford  </t>
  </si>
  <si>
    <t>Northwich</t>
  </si>
  <si>
    <t>CW8 1LD</t>
  </si>
  <si>
    <t>SC006625</t>
  </si>
  <si>
    <t>Cloughwood Academy</t>
  </si>
  <si>
    <t>Stones Manor Lane Hartford</t>
  </si>
  <si>
    <t>NORTHWICH</t>
  </si>
  <si>
    <t>CW8 1NU</t>
  </si>
  <si>
    <t>Cloughwood Academy Trust</t>
  </si>
  <si>
    <t>SC006921</t>
  </si>
  <si>
    <t>Orpington</t>
  </si>
  <si>
    <t>SC006927</t>
  </si>
  <si>
    <t>Darul Uloom School</t>
  </si>
  <si>
    <t>Darul Uloom</t>
  </si>
  <si>
    <t xml:space="preserve">Foxbury Avenue  </t>
  </si>
  <si>
    <t>CHISLEHURST</t>
  </si>
  <si>
    <t>BR7 6SD</t>
  </si>
  <si>
    <t>Trustees of Darul Uloom Madrassa</t>
  </si>
  <si>
    <t>SC007284</t>
  </si>
  <si>
    <t>Walthamstow</t>
  </si>
  <si>
    <t>Horizon Residential Children's Home</t>
  </si>
  <si>
    <t>SC007290</t>
  </si>
  <si>
    <t>SC007608</t>
  </si>
  <si>
    <t>SC007916</t>
  </si>
  <si>
    <t>Ampleforth College</t>
  </si>
  <si>
    <t>YO62 4ER</t>
  </si>
  <si>
    <t>Thirsk and Malton</t>
  </si>
  <si>
    <t>St Laurence Education Trust</t>
  </si>
  <si>
    <t>SC007922</t>
  </si>
  <si>
    <t>Breckenbrough School Limited</t>
  </si>
  <si>
    <t>Sandhutton</t>
  </si>
  <si>
    <t>Thirsk</t>
  </si>
  <si>
    <t>YO7 4EN</t>
  </si>
  <si>
    <t>SC007923</t>
  </si>
  <si>
    <t>Brompton Hall School</t>
  </si>
  <si>
    <t>High Street Brompton-by-Sawdon</t>
  </si>
  <si>
    <t>SCARBOROUGH</t>
  </si>
  <si>
    <t>YO13 9DB</t>
  </si>
  <si>
    <t>SC007938</t>
  </si>
  <si>
    <t>Ripon Grammar School</t>
  </si>
  <si>
    <t xml:space="preserve">16 Clotherholme Road  </t>
  </si>
  <si>
    <t>Ripon</t>
  </si>
  <si>
    <t>HG4 2DG</t>
  </si>
  <si>
    <t>SC007943</t>
  </si>
  <si>
    <t>Welburn Hall School</t>
  </si>
  <si>
    <t>Welburn Kirkbymoorside</t>
  </si>
  <si>
    <t>YORK</t>
  </si>
  <si>
    <t>YO62 7HQ</t>
  </si>
  <si>
    <t>SC008016</t>
  </si>
  <si>
    <t>Communication Specialist College Doncaster</t>
  </si>
  <si>
    <t xml:space="preserve">Leger Way  </t>
  </si>
  <si>
    <t>DN2 6AY</t>
  </si>
  <si>
    <t>Doncaster Deaf Trust</t>
  </si>
  <si>
    <t>SC008268</t>
  </si>
  <si>
    <t>SC008269</t>
  </si>
  <si>
    <t>SC008270</t>
  </si>
  <si>
    <t>SC008271</t>
  </si>
  <si>
    <t>SC008273</t>
  </si>
  <si>
    <t>SC008274</t>
  </si>
  <si>
    <t>SC008476</t>
  </si>
  <si>
    <t>Holcombe Hall</t>
  </si>
  <si>
    <t>149 Holcombe Old Road Holcombe</t>
  </si>
  <si>
    <t>BURY</t>
  </si>
  <si>
    <t>BL8 4NG</t>
  </si>
  <si>
    <t>SC008484</t>
  </si>
  <si>
    <t>SC008485</t>
  </si>
  <si>
    <t>SC008486</t>
  </si>
  <si>
    <t>SC008487</t>
  </si>
  <si>
    <t>SC008488</t>
  </si>
  <si>
    <t>SC008490</t>
  </si>
  <si>
    <t>SC008575</t>
  </si>
  <si>
    <t>The Together Trust</t>
  </si>
  <si>
    <t>SC008600</t>
  </si>
  <si>
    <t>SC008607</t>
  </si>
  <si>
    <t>SC008608</t>
  </si>
  <si>
    <t>SC008761</t>
  </si>
  <si>
    <t>Dawn House Residential School</t>
  </si>
  <si>
    <t>Dawn House School</t>
  </si>
  <si>
    <t>Helmsley Road Rainworth</t>
  </si>
  <si>
    <t>MANSFIELD</t>
  </si>
  <si>
    <t>NG21 0DQ</t>
  </si>
  <si>
    <t>I Can</t>
  </si>
  <si>
    <t>SC008810</t>
  </si>
  <si>
    <t>SC009423</t>
  </si>
  <si>
    <t>Al Jamiah Al Islamiyyah</t>
  </si>
  <si>
    <t>Willows Lane</t>
  </si>
  <si>
    <t>BL3 4HF</t>
  </si>
  <si>
    <t>SC009651</t>
  </si>
  <si>
    <t>SC009656</t>
  </si>
  <si>
    <t>Rossendale School</t>
  </si>
  <si>
    <t>Moor Side Farm</t>
  </si>
  <si>
    <t>Bamford Road Ramsbottom</t>
  </si>
  <si>
    <t>BL0 0RT</t>
  </si>
  <si>
    <t>SC010090</t>
  </si>
  <si>
    <t>Partners in Care Limited</t>
  </si>
  <si>
    <t>SC010255</t>
  </si>
  <si>
    <t>Linden Lodge School</t>
  </si>
  <si>
    <t xml:space="preserve">61 Princes Way  </t>
  </si>
  <si>
    <t>LONDON</t>
  </si>
  <si>
    <t>SW19 6JB</t>
  </si>
  <si>
    <t>Putney</t>
  </si>
  <si>
    <t>Wandsworth Borough Council</t>
  </si>
  <si>
    <t>SC010415</t>
  </si>
  <si>
    <t>Norwood Ravenswood</t>
  </si>
  <si>
    <t>SC010699</t>
  </si>
  <si>
    <t>SC011137</t>
  </si>
  <si>
    <t>Mary Hare School for the Deaf</t>
  </si>
  <si>
    <t>Mary Hare School</t>
  </si>
  <si>
    <t>Arlington Manor Snelsmore Common</t>
  </si>
  <si>
    <t>RG14 3BQ</t>
  </si>
  <si>
    <t>SC011185</t>
  </si>
  <si>
    <t>SC011327</t>
  </si>
  <si>
    <t>High Close School</t>
  </si>
  <si>
    <t>Barnardos</t>
  </si>
  <si>
    <t>High Close School High Close, Wiltshire Road</t>
  </si>
  <si>
    <t>RG40 1TT</t>
  </si>
  <si>
    <t>SC011972</t>
  </si>
  <si>
    <t>SC012001</t>
  </si>
  <si>
    <t>SC012014</t>
  </si>
  <si>
    <t>St Edward's School</t>
  </si>
  <si>
    <t>St. Edwards School</t>
  </si>
  <si>
    <t>Melchet Court Sherfield English</t>
  </si>
  <si>
    <t>Romsey</t>
  </si>
  <si>
    <t>SO51 6ZR</t>
  </si>
  <si>
    <t>SC012016</t>
  </si>
  <si>
    <t>St Michael's School</t>
  </si>
  <si>
    <t>St. Michaels School</t>
  </si>
  <si>
    <t>Harts Lane Burghclere</t>
  </si>
  <si>
    <t>RG20 9JW</t>
  </si>
  <si>
    <t>The Society of St Pius X</t>
  </si>
  <si>
    <t>SC012021</t>
  </si>
  <si>
    <t>The Loddon Foundation Ltd</t>
  </si>
  <si>
    <t>SC012024</t>
  </si>
  <si>
    <t>Treloar School</t>
  </si>
  <si>
    <t>London Road</t>
  </si>
  <si>
    <t xml:space="preserve">Holybourne  </t>
  </si>
  <si>
    <t>Alton</t>
  </si>
  <si>
    <t>GU34 4GL</t>
  </si>
  <si>
    <t>Treloar Trust</t>
  </si>
  <si>
    <t>SC012029</t>
  </si>
  <si>
    <t>Wolverdene Special School</t>
  </si>
  <si>
    <t>Wolverdene School</t>
  </si>
  <si>
    <t xml:space="preserve">22 Love Lane  </t>
  </si>
  <si>
    <t>Andover</t>
  </si>
  <si>
    <t>SP10 2AF</t>
  </si>
  <si>
    <t>SC012450</t>
  </si>
  <si>
    <t>Grateley House School</t>
  </si>
  <si>
    <t>Pond Lane Grateley</t>
  </si>
  <si>
    <t>SP11 8TA</t>
  </si>
  <si>
    <t>Cambian Asperger Syndrome Services Limited</t>
  </si>
  <si>
    <t>SC012456</t>
  </si>
  <si>
    <t>Lakeside School</t>
  </si>
  <si>
    <t>Winchester Road Chandler's Ford</t>
  </si>
  <si>
    <t>EASTLEIGH</t>
  </si>
  <si>
    <t>SO53 2DW</t>
  </si>
  <si>
    <t>SC012597</t>
  </si>
  <si>
    <t>St Catherine's School</t>
  </si>
  <si>
    <t>St. Catherines School</t>
  </si>
  <si>
    <t xml:space="preserve">Grove Road  </t>
  </si>
  <si>
    <t>Ventnor</t>
  </si>
  <si>
    <t>PO38 1TT</t>
  </si>
  <si>
    <t>SC013029</t>
  </si>
  <si>
    <t>Burford School</t>
  </si>
  <si>
    <t xml:space="preserve">Cheltenham Road  </t>
  </si>
  <si>
    <t>Burford</t>
  </si>
  <si>
    <t>OX18 4PL</t>
  </si>
  <si>
    <t>SC013056</t>
  </si>
  <si>
    <t>Woodeaton Manor School</t>
  </si>
  <si>
    <t xml:space="preserve">Woodeaton  </t>
  </si>
  <si>
    <t>OX3 9TS</t>
  </si>
  <si>
    <t>SC013143</t>
  </si>
  <si>
    <t>SC013144</t>
  </si>
  <si>
    <t>SC013553</t>
  </si>
  <si>
    <t>South West Surrey</t>
  </si>
  <si>
    <t>Bramley Care Limited</t>
  </si>
  <si>
    <t>SC013598</t>
  </si>
  <si>
    <t>Cherry Trees Limited</t>
  </si>
  <si>
    <t>SC013743</t>
  </si>
  <si>
    <t>SC013828</t>
  </si>
  <si>
    <t>Runnymede and Weybridge</t>
  </si>
  <si>
    <t>White Lodge Centre</t>
  </si>
  <si>
    <t>SC013884</t>
  </si>
  <si>
    <t>Linden Bridge School</t>
  </si>
  <si>
    <t xml:space="preserve">Grafton Road  </t>
  </si>
  <si>
    <t>Worcester Park</t>
  </si>
  <si>
    <t>KT4 7JW</t>
  </si>
  <si>
    <t>Epsom and Ewell</t>
  </si>
  <si>
    <t>Learning and Inspiration For Tomorrow Partnership</t>
  </si>
  <si>
    <t>SC013885</t>
  </si>
  <si>
    <t>Limpsfield Grange School</t>
  </si>
  <si>
    <t xml:space="preserve">89 Bluehouse Lane  </t>
  </si>
  <si>
    <t>OXTED</t>
  </si>
  <si>
    <t>RH8 0RZ</t>
  </si>
  <si>
    <t>SC013896</t>
  </si>
  <si>
    <t>Sunnydown School</t>
  </si>
  <si>
    <t xml:space="preserve">Whyteleafe Road  </t>
  </si>
  <si>
    <t>CATERHAM</t>
  </si>
  <si>
    <t>CR3 5ED</t>
  </si>
  <si>
    <t>SC013919</t>
  </si>
  <si>
    <t>Gordon's School</t>
  </si>
  <si>
    <t>Gordons School</t>
  </si>
  <si>
    <t>Bagshot Road West End</t>
  </si>
  <si>
    <t>Woking</t>
  </si>
  <si>
    <t>GU24 9PT</t>
  </si>
  <si>
    <t>Gordon's School Academy Trust</t>
  </si>
  <si>
    <t>SC013925</t>
  </si>
  <si>
    <t>Meath School</t>
  </si>
  <si>
    <t>Brox Road</t>
  </si>
  <si>
    <t xml:space="preserve">Ottershaw  </t>
  </si>
  <si>
    <t>Chertsey</t>
  </si>
  <si>
    <t>KT16 0LF</t>
  </si>
  <si>
    <t>SC013926</t>
  </si>
  <si>
    <t>Moor House School &amp; College</t>
  </si>
  <si>
    <t xml:space="preserve">Mill Lane  </t>
  </si>
  <si>
    <t>Oxted</t>
  </si>
  <si>
    <t>RH8 9AQ</t>
  </si>
  <si>
    <t>Moor House School Trust limited</t>
  </si>
  <si>
    <t>SC013927</t>
  </si>
  <si>
    <t>More House School</t>
  </si>
  <si>
    <t>Moons Hill</t>
  </si>
  <si>
    <t xml:space="preserve">Frensham  </t>
  </si>
  <si>
    <t>Farnham</t>
  </si>
  <si>
    <t>GU10 3AP</t>
  </si>
  <si>
    <t>Gard'ner Memorial Limited</t>
  </si>
  <si>
    <t>SC013933</t>
  </si>
  <si>
    <t>Royal Alexandra &amp; Albert School (The)</t>
  </si>
  <si>
    <t>Royal Alexandra &amp; Albert School</t>
  </si>
  <si>
    <t xml:space="preserve">Gatton Park  </t>
  </si>
  <si>
    <t>RH2 0TD</t>
  </si>
  <si>
    <t>The Royal Alexandra &amp; Albert School</t>
  </si>
  <si>
    <t>SC014235</t>
  </si>
  <si>
    <t>SC014513</t>
  </si>
  <si>
    <t>Farney Close School</t>
  </si>
  <si>
    <t>Bolney Court</t>
  </si>
  <si>
    <t>Crossways Bolney</t>
  </si>
  <si>
    <t>Haywards Heath</t>
  </si>
  <si>
    <t>RH17 5RD</t>
  </si>
  <si>
    <t>Farney Close School Limited</t>
  </si>
  <si>
    <t>SC014584</t>
  </si>
  <si>
    <t>Ingfield Manor School</t>
  </si>
  <si>
    <t>Ingfield Manor Drive Five Oaks</t>
  </si>
  <si>
    <t>Billingshurst</t>
  </si>
  <si>
    <t>RH14 9AX</t>
  </si>
  <si>
    <t>Ambito Education</t>
  </si>
  <si>
    <t>SC014636</t>
  </si>
  <si>
    <t>Muntham House School</t>
  </si>
  <si>
    <t>Barns Green</t>
  </si>
  <si>
    <t>HORSHAM</t>
  </si>
  <si>
    <t>RH13 0NJ</t>
  </si>
  <si>
    <t>Muntham House School Trust</t>
  </si>
  <si>
    <t>SC014650</t>
  </si>
  <si>
    <t>SC014681</t>
  </si>
  <si>
    <t>Rikkyo School in England</t>
  </si>
  <si>
    <t>The Rikkyo School in England</t>
  </si>
  <si>
    <t>Guildford Road Rudgwick</t>
  </si>
  <si>
    <t>RH12 3BE</t>
  </si>
  <si>
    <t>Rikkyo School In England Trust</t>
  </si>
  <si>
    <t>SC014848</t>
  </si>
  <si>
    <t>Crawley</t>
  </si>
  <si>
    <t>Cornerways Children's Services Limited</t>
  </si>
  <si>
    <t>SC015254</t>
  </si>
  <si>
    <t>Castle Homes Limited</t>
  </si>
  <si>
    <t>SC015266</t>
  </si>
  <si>
    <t xml:space="preserve">The Partnership of The Chartwell Group </t>
  </si>
  <si>
    <t>SC016124</t>
  </si>
  <si>
    <t>SC016600</t>
  </si>
  <si>
    <t>Bridge Communities Limited</t>
  </si>
  <si>
    <t>SC016697</t>
  </si>
  <si>
    <t>Chances CCFSS Limited</t>
  </si>
  <si>
    <t>SC017168</t>
  </si>
  <si>
    <t>Baskerville School</t>
  </si>
  <si>
    <t>The Baskerville School</t>
  </si>
  <si>
    <t xml:space="preserve">Fellows Lane  </t>
  </si>
  <si>
    <t>BIRMINGHAM</t>
  </si>
  <si>
    <t>B17 9TS</t>
  </si>
  <si>
    <t>Birmingham City Council</t>
  </si>
  <si>
    <t>SC017171</t>
  </si>
  <si>
    <t>Lindsworth School</t>
  </si>
  <si>
    <t>Monyhull Hall Road</t>
  </si>
  <si>
    <t xml:space="preserve">Kings Norton  </t>
  </si>
  <si>
    <t>B30 3QA</t>
  </si>
  <si>
    <t>SC017403</t>
  </si>
  <si>
    <t>The Swedish School Society</t>
  </si>
  <si>
    <t xml:space="preserve">82 Lonsdale Road  </t>
  </si>
  <si>
    <t>SW13 9JS</t>
  </si>
  <si>
    <t>Richmond Park</t>
  </si>
  <si>
    <t>Swedish School Society Ltd</t>
  </si>
  <si>
    <t>SC018009</t>
  </si>
  <si>
    <t>Colchester Royal Grammar School</t>
  </si>
  <si>
    <t xml:space="preserve">6 Lexden Road  </t>
  </si>
  <si>
    <t>COLCHESTER</t>
  </si>
  <si>
    <t>CO3 3ND</t>
  </si>
  <si>
    <t>SC018010</t>
  </si>
  <si>
    <t>Doucecroft School</t>
  </si>
  <si>
    <t>Abbotts Lane Eight Ash Green</t>
  </si>
  <si>
    <t>CO6 3QL</t>
  </si>
  <si>
    <t>Autism Anglia</t>
  </si>
  <si>
    <t>SC018021</t>
  </si>
  <si>
    <t>Wells Park School</t>
  </si>
  <si>
    <t xml:space="preserve">Lambourne Road  </t>
  </si>
  <si>
    <t>Chigwell</t>
  </si>
  <si>
    <t>IG7 6NN</t>
  </si>
  <si>
    <t>SC018026</t>
  </si>
  <si>
    <t>Ramsden Hall Academy</t>
  </si>
  <si>
    <t>Heath Road Ramsden Heath</t>
  </si>
  <si>
    <t>Billericay</t>
  </si>
  <si>
    <t>CM11 1HN</t>
  </si>
  <si>
    <t>Parallel Learning Trust</t>
  </si>
  <si>
    <t>SC018238</t>
  </si>
  <si>
    <t>Barnsley East</t>
  </si>
  <si>
    <t>SC018241</t>
  </si>
  <si>
    <t>SC018958</t>
  </si>
  <si>
    <t>West Kirby Residential School</t>
  </si>
  <si>
    <t>107-119 Meols Drive West Kirby</t>
  </si>
  <si>
    <t>WIRRAL</t>
  </si>
  <si>
    <t>CH48 5DH</t>
  </si>
  <si>
    <t>SC019441</t>
  </si>
  <si>
    <t>Jubilee House Care Trust Limited</t>
  </si>
  <si>
    <t>SC019505</t>
  </si>
  <si>
    <t>Radlett Lodge Schools</t>
  </si>
  <si>
    <t>Radlett Lodge School</t>
  </si>
  <si>
    <t xml:space="preserve">Harper Lane  </t>
  </si>
  <si>
    <t>RADLETT</t>
  </si>
  <si>
    <t>WD7 9HW</t>
  </si>
  <si>
    <t>National Autistic Society (The)</t>
  </si>
  <si>
    <t>SC020133</t>
  </si>
  <si>
    <t>SC020151</t>
  </si>
  <si>
    <t>SC020171</t>
  </si>
  <si>
    <t>SC020193</t>
  </si>
  <si>
    <t>The SENAD Group Limited</t>
  </si>
  <si>
    <t>SC020545</t>
  </si>
  <si>
    <t>Castle Homes Care Limited</t>
  </si>
  <si>
    <t>SC020558</t>
  </si>
  <si>
    <t>Overley Hall  Limited</t>
  </si>
  <si>
    <t>SC020576</t>
  </si>
  <si>
    <t>SC020589</t>
  </si>
  <si>
    <t>Haberdashers Adams</t>
  </si>
  <si>
    <t>Haberdashers' Adams Grammar School</t>
  </si>
  <si>
    <t>NEWPORT</t>
  </si>
  <si>
    <t>TF10 7BD</t>
  </si>
  <si>
    <t>Haberdashers Co</t>
  </si>
  <si>
    <t>SC020594</t>
  </si>
  <si>
    <t>SC020595</t>
  </si>
  <si>
    <t>SC020602</t>
  </si>
  <si>
    <t>SC020606</t>
  </si>
  <si>
    <t>SC020607</t>
  </si>
  <si>
    <t>SC020608</t>
  </si>
  <si>
    <t>SC020610</t>
  </si>
  <si>
    <t>SC020611</t>
  </si>
  <si>
    <t>SC020630</t>
  </si>
  <si>
    <t>SC020675</t>
  </si>
  <si>
    <t>SC020780</t>
  </si>
  <si>
    <t>Thomas Adams School</t>
  </si>
  <si>
    <t>Lowe Hill</t>
  </si>
  <si>
    <t xml:space="preserve">Wem  </t>
  </si>
  <si>
    <t>SHREWSBURY</t>
  </si>
  <si>
    <t>SY4 5UB</t>
  </si>
  <si>
    <t>SC020859</t>
  </si>
  <si>
    <t>SC021677</t>
  </si>
  <si>
    <t>SC021679</t>
  </si>
  <si>
    <t>SC021683</t>
  </si>
  <si>
    <t>SC021684</t>
  </si>
  <si>
    <t>Social Care Services Limited</t>
  </si>
  <si>
    <t>SC022216</t>
  </si>
  <si>
    <t>Deaf Academy</t>
  </si>
  <si>
    <t>The Deaf Academy</t>
  </si>
  <si>
    <t xml:space="preserve">1 Douglas Avenue  </t>
  </si>
  <si>
    <t>Exmouth</t>
  </si>
  <si>
    <t>EX8 2AU</t>
  </si>
  <si>
    <t>SC022223</t>
  </si>
  <si>
    <t>InFocus Charity</t>
  </si>
  <si>
    <t>Topsham Road Countess Wear</t>
  </si>
  <si>
    <t>EXETER</t>
  </si>
  <si>
    <t>EX2 6HA</t>
  </si>
  <si>
    <t>SC022231</t>
  </si>
  <si>
    <t>Marland School</t>
  </si>
  <si>
    <t>Marland School Peters Marland</t>
  </si>
  <si>
    <t>Torrington</t>
  </si>
  <si>
    <t>EX38 8QQ</t>
  </si>
  <si>
    <t>SC022438</t>
  </si>
  <si>
    <t>PIC Children's Services Limited</t>
  </si>
  <si>
    <t>SC022442</t>
  </si>
  <si>
    <t>SC022447</t>
  </si>
  <si>
    <t>SC022448</t>
  </si>
  <si>
    <t>Secure children's home</t>
  </si>
  <si>
    <t>SC022464</t>
  </si>
  <si>
    <t>SC023097</t>
  </si>
  <si>
    <t>Alfriston School</t>
  </si>
  <si>
    <t>Penn Road Knotty Green</t>
  </si>
  <si>
    <t>HP9 2TS</t>
  </si>
  <si>
    <t>Chesham and Amersham</t>
  </si>
  <si>
    <t>SC023636</t>
  </si>
  <si>
    <t>SC023637</t>
  </si>
  <si>
    <t>Compass Children's Homes Kent Limited</t>
  </si>
  <si>
    <t>SC023645</t>
  </si>
  <si>
    <t>SC023646</t>
  </si>
  <si>
    <t>SC023651</t>
  </si>
  <si>
    <t>Little Acorns London Beach Farm Limited</t>
  </si>
  <si>
    <t>SC023666</t>
  </si>
  <si>
    <t>Duke Of York's Royal Military School</t>
  </si>
  <si>
    <t>Duke of Yorks Royal Military School</t>
  </si>
  <si>
    <t xml:space="preserve">Guston  </t>
  </si>
  <si>
    <t>CT15 5EQ</t>
  </si>
  <si>
    <t>DYRMS - An Academy With Military Traditions</t>
  </si>
  <si>
    <t>SC023693</t>
  </si>
  <si>
    <t>Stone Bay School</t>
  </si>
  <si>
    <t>Stone Bay Special School</t>
  </si>
  <si>
    <t xml:space="preserve">70 Stone Road  </t>
  </si>
  <si>
    <t>Broadstairs</t>
  </si>
  <si>
    <t>CT10 1EB</t>
  </si>
  <si>
    <t>SC023736</t>
  </si>
  <si>
    <t>Ethelbert Specialist Homes Limited</t>
  </si>
  <si>
    <t>SC023737</t>
  </si>
  <si>
    <t>SC023739</t>
  </si>
  <si>
    <t>SC023740</t>
  </si>
  <si>
    <t>SC023741</t>
  </si>
  <si>
    <t>SC023743</t>
  </si>
  <si>
    <t>SC023744</t>
  </si>
  <si>
    <t>SC023745</t>
  </si>
  <si>
    <t>SC023746</t>
  </si>
  <si>
    <t>SC024063</t>
  </si>
  <si>
    <t>West Heath School</t>
  </si>
  <si>
    <t>The New School at West Heath</t>
  </si>
  <si>
    <t xml:space="preserve">Ashgrove Road  </t>
  </si>
  <si>
    <t>TN13 1SR</t>
  </si>
  <si>
    <t>SC024089</t>
  </si>
  <si>
    <t>Esland South Limited</t>
  </si>
  <si>
    <t>SC024573</t>
  </si>
  <si>
    <t>The Ashley School Academy Trust</t>
  </si>
  <si>
    <t xml:space="preserve">Ashley Downs  </t>
  </si>
  <si>
    <t>LOWESTOFT</t>
  </si>
  <si>
    <t>NR32 4EU</t>
  </si>
  <si>
    <t>Waveney</t>
  </si>
  <si>
    <t>SC024575</t>
  </si>
  <si>
    <t>Bramfield House School</t>
  </si>
  <si>
    <t>Walpole Road Bramfield</t>
  </si>
  <si>
    <t>Halesworth</t>
  </si>
  <si>
    <t>IP19 9AB</t>
  </si>
  <si>
    <t>SC024579</t>
  </si>
  <si>
    <t>Felixstowe International College</t>
  </si>
  <si>
    <t xml:space="preserve">Maybush Lane  </t>
  </si>
  <si>
    <t>Felixstowe</t>
  </si>
  <si>
    <t>IP11 7NA</t>
  </si>
  <si>
    <t>SC024588</t>
  </si>
  <si>
    <t>Centre Academy East Anglia</t>
  </si>
  <si>
    <t>Church Road</t>
  </si>
  <si>
    <t xml:space="preserve">Brettenham  </t>
  </si>
  <si>
    <t>IPSWICH</t>
  </si>
  <si>
    <t>IP7 7QR</t>
  </si>
  <si>
    <t>Centre Academy Free Schools Limited</t>
  </si>
  <si>
    <t>SC024610</t>
  </si>
  <si>
    <t>Priory School</t>
  </si>
  <si>
    <t xml:space="preserve">Mount Road  </t>
  </si>
  <si>
    <t>Bury St. Edmunds</t>
  </si>
  <si>
    <t>IP32 7BH</t>
  </si>
  <si>
    <t>SC024808</t>
  </si>
  <si>
    <t>SC025000</t>
  </si>
  <si>
    <t>Elmfield Rudolf Steiner School</t>
  </si>
  <si>
    <t>Elmfield School</t>
  </si>
  <si>
    <t xml:space="preserve">Love Lane  </t>
  </si>
  <si>
    <t>STOURBRIDGE</t>
  </si>
  <si>
    <t>DY8 2EA</t>
  </si>
  <si>
    <t>Elmfield Rudolf Steiner School Ltd</t>
  </si>
  <si>
    <t>SC025395</t>
  </si>
  <si>
    <t>SC025409</t>
  </si>
  <si>
    <t>SC025417</t>
  </si>
  <si>
    <t>SC025420</t>
  </si>
  <si>
    <t>Quality Protects Children Ltd</t>
  </si>
  <si>
    <t>SC025657</t>
  </si>
  <si>
    <t>SC025664</t>
  </si>
  <si>
    <t>SC025695</t>
  </si>
  <si>
    <t>Hampstead and Kilburn</t>
  </si>
  <si>
    <t>SC025700</t>
  </si>
  <si>
    <t>SC025712</t>
  </si>
  <si>
    <t>SC025713</t>
  </si>
  <si>
    <t>SC025714</t>
  </si>
  <si>
    <t>SC025715</t>
  </si>
  <si>
    <t>SC025718</t>
  </si>
  <si>
    <t>SC025733</t>
  </si>
  <si>
    <t>Friends Therapeutic Community Trust</t>
  </si>
  <si>
    <t>SC025739</t>
  </si>
  <si>
    <t>SC025740</t>
  </si>
  <si>
    <t>SC025744</t>
  </si>
  <si>
    <t>SC025745</t>
  </si>
  <si>
    <t>SC025747</t>
  </si>
  <si>
    <t>SC025812</t>
  </si>
  <si>
    <t>McRae Residential Care Services Limited</t>
  </si>
  <si>
    <t>SC025813</t>
  </si>
  <si>
    <t>SC025940</t>
  </si>
  <si>
    <t>SC026910</t>
  </si>
  <si>
    <t>SC026991</t>
  </si>
  <si>
    <t>SC027138</t>
  </si>
  <si>
    <t>Pield Heath School</t>
  </si>
  <si>
    <t>Pield Heath House RC School</t>
  </si>
  <si>
    <t xml:space="preserve">Pield Heath Road  </t>
  </si>
  <si>
    <t>UXBRIDGE</t>
  </si>
  <si>
    <t>UB8 3NW</t>
  </si>
  <si>
    <t>SC027663</t>
  </si>
  <si>
    <t>Riddlesworth Hall School</t>
  </si>
  <si>
    <t>Riddlesworth Hall</t>
  </si>
  <si>
    <t>Hall Lane Riddlesworth</t>
  </si>
  <si>
    <t>DISS</t>
  </si>
  <si>
    <t>IP22 2TA</t>
  </si>
  <si>
    <t>SC028174</t>
  </si>
  <si>
    <t>SC028460</t>
  </si>
  <si>
    <t>Tottenham</t>
  </si>
  <si>
    <t>SC028505</t>
  </si>
  <si>
    <t>SC028526</t>
  </si>
  <si>
    <t>SC028536</t>
  </si>
  <si>
    <t>SC028598</t>
  </si>
  <si>
    <t>Ja Nailah Limited</t>
  </si>
  <si>
    <t>SC028599</t>
  </si>
  <si>
    <t>Children and Family Services Limited</t>
  </si>
  <si>
    <t>SC028868</t>
  </si>
  <si>
    <t>Step-a-Side Company Limited</t>
  </si>
  <si>
    <t>SC028905</t>
  </si>
  <si>
    <t>Staffordshire County Council</t>
  </si>
  <si>
    <t>SC029504</t>
  </si>
  <si>
    <t>SC029560</t>
  </si>
  <si>
    <t>SC029865</t>
  </si>
  <si>
    <t>SC029950</t>
  </si>
  <si>
    <t>Somerset County Council</t>
  </si>
  <si>
    <t>SC030367</t>
  </si>
  <si>
    <t>The Cotswolds</t>
  </si>
  <si>
    <t>Cotswold Chine School</t>
  </si>
  <si>
    <t>SC030439</t>
  </si>
  <si>
    <t>SC030650</t>
  </si>
  <si>
    <t>SC030677</t>
  </si>
  <si>
    <t>West Berkshire Council</t>
  </si>
  <si>
    <t>SC030713</t>
  </si>
  <si>
    <t>Wokingham Borough Council</t>
  </si>
  <si>
    <t>SC030797</t>
  </si>
  <si>
    <t>SC030967</t>
  </si>
  <si>
    <t>SC031085</t>
  </si>
  <si>
    <t>Action for Children Fostering South West</t>
  </si>
  <si>
    <t>Horner Court</t>
  </si>
  <si>
    <t>637 Gloucester Road Horfield</t>
  </si>
  <si>
    <t>BRISTOL</t>
  </si>
  <si>
    <t>BS7 0BJ</t>
  </si>
  <si>
    <t>SC031220</t>
  </si>
  <si>
    <t>SC031288</t>
  </si>
  <si>
    <t>The Together Trust Fostering Service</t>
  </si>
  <si>
    <t>The Together Trust Centre</t>
  </si>
  <si>
    <t xml:space="preserve">Schools Hill  </t>
  </si>
  <si>
    <t>SK8 1JE</t>
  </si>
  <si>
    <t>SC031410</t>
  </si>
  <si>
    <t>East Sussex County Council</t>
  </si>
  <si>
    <t>SC031479</t>
  </si>
  <si>
    <t>London Borough of Southwark</t>
  </si>
  <si>
    <t>SC031490</t>
  </si>
  <si>
    <t>SC031504</t>
  </si>
  <si>
    <t>SC031621</t>
  </si>
  <si>
    <t>Rainbow Fostering Services Limited</t>
  </si>
  <si>
    <t>Rainbow Fostering Services</t>
  </si>
  <si>
    <t>Unit 10 Churchill Court,58 Station Road, North Harrow</t>
  </si>
  <si>
    <t>HARROW</t>
  </si>
  <si>
    <t>HA2 7SA</t>
  </si>
  <si>
    <t>Rainbow Fostering Services Ltd</t>
  </si>
  <si>
    <t>SC031698</t>
  </si>
  <si>
    <t>SC032058</t>
  </si>
  <si>
    <t>SC032069</t>
  </si>
  <si>
    <t>Praxis Care</t>
  </si>
  <si>
    <t>SC032083</t>
  </si>
  <si>
    <t>SC032154</t>
  </si>
  <si>
    <t>SC032163</t>
  </si>
  <si>
    <t>SC032167</t>
  </si>
  <si>
    <t>SC032315</t>
  </si>
  <si>
    <t>Brighton &amp; Hove City Council</t>
  </si>
  <si>
    <t>SC032439</t>
  </si>
  <si>
    <t>SC032468</t>
  </si>
  <si>
    <t>Adeza Care Homes Limited</t>
  </si>
  <si>
    <t>SC032475</t>
  </si>
  <si>
    <t>Stretford and Urmston</t>
  </si>
  <si>
    <t>Trafford Borough Council</t>
  </si>
  <si>
    <t>SC032496</t>
  </si>
  <si>
    <t>SC032502</t>
  </si>
  <si>
    <t>Hayes and Harlington</t>
  </si>
  <si>
    <t>The London Borough of Hillingdon</t>
  </si>
  <si>
    <t>SC032565</t>
  </si>
  <si>
    <t>SC032600</t>
  </si>
  <si>
    <t>London Borough of Hounslow</t>
  </si>
  <si>
    <t>SC032697</t>
  </si>
  <si>
    <t>Jarrow</t>
  </si>
  <si>
    <t>SC032701</t>
  </si>
  <si>
    <t>SC032760</t>
  </si>
  <si>
    <t>Capstone Foster Care (South West)</t>
  </si>
  <si>
    <t>Unit 5</t>
  </si>
  <si>
    <t>Scott Law House ,Lynch Road Business Park,,Lynch Road</t>
  </si>
  <si>
    <t>BERKELEY</t>
  </si>
  <si>
    <t>GL13 9TA</t>
  </si>
  <si>
    <t>Capstone Foster Care (South West) Limited</t>
  </si>
  <si>
    <t>SC032838</t>
  </si>
  <si>
    <t>Appletree Treatment Centre Limited</t>
  </si>
  <si>
    <t>SC033014</t>
  </si>
  <si>
    <t>North Hill House</t>
  </si>
  <si>
    <t xml:space="preserve">Fromefield  </t>
  </si>
  <si>
    <t>FROME</t>
  </si>
  <si>
    <t>BA11 2HB</t>
  </si>
  <si>
    <t>SC033016</t>
  </si>
  <si>
    <t>Newbury Manor School</t>
  </si>
  <si>
    <t xml:space="preserve">Near Mells  </t>
  </si>
  <si>
    <t>Frome</t>
  </si>
  <si>
    <t>BA11 3RG</t>
  </si>
  <si>
    <t>SC033056</t>
  </si>
  <si>
    <t>SC033089</t>
  </si>
  <si>
    <t>The Marchant-Holliday School</t>
  </si>
  <si>
    <t>Marchant Holliday School</t>
  </si>
  <si>
    <t xml:space="preserve">North Cheriton  </t>
  </si>
  <si>
    <t>TEMPLECOMBE</t>
  </si>
  <si>
    <t>BA8 0AH</t>
  </si>
  <si>
    <t>SC033120</t>
  </si>
  <si>
    <t>Luton Borough Council</t>
  </si>
  <si>
    <t>SC033127</t>
  </si>
  <si>
    <t>SC033152</t>
  </si>
  <si>
    <t>Scunthorpe</t>
  </si>
  <si>
    <t>North Lincolnshire Council</t>
  </si>
  <si>
    <t>SC033174</t>
  </si>
  <si>
    <t>SC033189</t>
  </si>
  <si>
    <t>Tree House Care Fostering Solutions</t>
  </si>
  <si>
    <t>The Old Vicarage 17 Heneage Road</t>
  </si>
  <si>
    <t>Grimsby</t>
  </si>
  <si>
    <t>North East Lincs</t>
  </si>
  <si>
    <t>DN32 9DZ</t>
  </si>
  <si>
    <t>Tree House Care Fostering Solutions Ltd</t>
  </si>
  <si>
    <t>SC033219</t>
  </si>
  <si>
    <t>Fostering Solutions</t>
  </si>
  <si>
    <t>1 Merchants Place</t>
  </si>
  <si>
    <t xml:space="preserve">River Street  </t>
  </si>
  <si>
    <t>BOLTON</t>
  </si>
  <si>
    <t>BL2 1BX</t>
  </si>
  <si>
    <t>Fostering Solutions Ltd</t>
  </si>
  <si>
    <t>SC033268</t>
  </si>
  <si>
    <t>SC033326</t>
  </si>
  <si>
    <t>Kirklees Council</t>
  </si>
  <si>
    <t>SC033362</t>
  </si>
  <si>
    <t>Peterborough City &amp; Cambridgeshire County Councils</t>
  </si>
  <si>
    <t>SC033367</t>
  </si>
  <si>
    <t>SC033370</t>
  </si>
  <si>
    <t>SC033387</t>
  </si>
  <si>
    <t>SC033389</t>
  </si>
  <si>
    <t>Leeds North West</t>
  </si>
  <si>
    <t>SC033433</t>
  </si>
  <si>
    <t>Team Fostering</t>
  </si>
  <si>
    <t>Unit 6</t>
  </si>
  <si>
    <t>Hedley Court Orion Business Park</t>
  </si>
  <si>
    <t>NORTH SHIELDS</t>
  </si>
  <si>
    <t>Tyne and Wear</t>
  </si>
  <si>
    <t>NE29 7ST</t>
  </si>
  <si>
    <t>Tynemouth</t>
  </si>
  <si>
    <t>SC033457</t>
  </si>
  <si>
    <t>SC033467</t>
  </si>
  <si>
    <t>Newcastle upon Tyne North</t>
  </si>
  <si>
    <t>St Cuthbert's Care</t>
  </si>
  <si>
    <t>SC033478</t>
  </si>
  <si>
    <t>Familyplacement.com</t>
  </si>
  <si>
    <t>Unit 2</t>
  </si>
  <si>
    <t>The Old Power Station ,Ardington,Wantage</t>
  </si>
  <si>
    <t>OX12 8QJ</t>
  </si>
  <si>
    <t>Wantage</t>
  </si>
  <si>
    <t>Family Placement.com Limited</t>
  </si>
  <si>
    <t>SC033492</t>
  </si>
  <si>
    <t>Shipley</t>
  </si>
  <si>
    <t>SC033502</t>
  </si>
  <si>
    <t>SC033542</t>
  </si>
  <si>
    <t>Fostering North East</t>
  </si>
  <si>
    <t>St. Cuthberts Care</t>
  </si>
  <si>
    <t>St. Cuthberts House West Road</t>
  </si>
  <si>
    <t>Newcastle Upon Tyne</t>
  </si>
  <si>
    <t>NE15 7PY</t>
  </si>
  <si>
    <t>SC033611</t>
  </si>
  <si>
    <t>Blackpool Borough Council</t>
  </si>
  <si>
    <t>SC033628</t>
  </si>
  <si>
    <t>SC033642</t>
  </si>
  <si>
    <t>SC033645</t>
  </si>
  <si>
    <t>SC033657</t>
  </si>
  <si>
    <t>SC033723</t>
  </si>
  <si>
    <t>SC033794</t>
  </si>
  <si>
    <t>Alliance Foster Care</t>
  </si>
  <si>
    <t>1 Maple Court</t>
  </si>
  <si>
    <t>Ash Lane Collingtree</t>
  </si>
  <si>
    <t>NORTHAMPTON</t>
  </si>
  <si>
    <t>NN4 0NB</t>
  </si>
  <si>
    <t xml:space="preserve">Alliance Foster Care Limited 04249271 </t>
  </si>
  <si>
    <t>SC033805</t>
  </si>
  <si>
    <t>London Borough of Barnet</t>
  </si>
  <si>
    <t>SC033806</t>
  </si>
  <si>
    <t>Compass Fostering London Limited</t>
  </si>
  <si>
    <t>135 Albany Road</t>
  </si>
  <si>
    <t>Hornchurch</t>
  </si>
  <si>
    <t>RM12 4AQ</t>
  </si>
  <si>
    <t>Compass Fostering London and Eastern Limited</t>
  </si>
  <si>
    <t>SC033808</t>
  </si>
  <si>
    <t>SC033817</t>
  </si>
  <si>
    <t>SC033818</t>
  </si>
  <si>
    <t>Banya Family Placement Agency</t>
  </si>
  <si>
    <t>Unit 1</t>
  </si>
  <si>
    <t>6 and 7 286a-288 Croxted Road</t>
  </si>
  <si>
    <t>SE24 9DA</t>
  </si>
  <si>
    <t>Dulwich and West Norwood</t>
  </si>
  <si>
    <t>Banya Family Placement Agency Limited</t>
  </si>
  <si>
    <t>SC033840</t>
  </si>
  <si>
    <t>SC033896</t>
  </si>
  <si>
    <t>SC033919</t>
  </si>
  <si>
    <t>London Borough of Harrow</t>
  </si>
  <si>
    <t>SC033934</t>
  </si>
  <si>
    <t>Aspris Fostering Services</t>
  </si>
  <si>
    <t>The Dairy House</t>
  </si>
  <si>
    <t>1 Mathon Place West Malvern Road, Mathon</t>
  </si>
  <si>
    <t>MALVERN</t>
  </si>
  <si>
    <t>WR13 5NZ</t>
  </si>
  <si>
    <t>SC034000</t>
  </si>
  <si>
    <t>TACT Fostering - London and the South East</t>
  </si>
  <si>
    <t>Innovation House</t>
  </si>
  <si>
    <t>Coniston Court PO Box 137</t>
  </si>
  <si>
    <t>Blyth</t>
  </si>
  <si>
    <t>NE24 9FJ</t>
  </si>
  <si>
    <t>The Adolescent And Children's Trust</t>
  </si>
  <si>
    <t>SC034012</t>
  </si>
  <si>
    <t>SC034083</t>
  </si>
  <si>
    <t>Copeland</t>
  </si>
  <si>
    <t>SC034087</t>
  </si>
  <si>
    <t>Coram Fostering Service</t>
  </si>
  <si>
    <t>Coram Family</t>
  </si>
  <si>
    <t xml:space="preserve">49 Mecklenburgh Square  </t>
  </si>
  <si>
    <t>WC1N 2QA</t>
  </si>
  <si>
    <t>Thomas Coram Foundation for Children</t>
  </si>
  <si>
    <t>SC034108</t>
  </si>
  <si>
    <t>SC034158</t>
  </si>
  <si>
    <t>SC034162</t>
  </si>
  <si>
    <t>SC034189</t>
  </si>
  <si>
    <t>Harrogate and Knaresborough</t>
  </si>
  <si>
    <t>SC034210</t>
  </si>
  <si>
    <t>SC034211</t>
  </si>
  <si>
    <t>SC034220</t>
  </si>
  <si>
    <t>SC034225</t>
  </si>
  <si>
    <t>Warwickshire College</t>
  </si>
  <si>
    <t>Royal Leamington Spa &amp; Moreton Morrell Warwick New Road</t>
  </si>
  <si>
    <t>LEAMINGTON SPA</t>
  </si>
  <si>
    <t>CV32 5JE</t>
  </si>
  <si>
    <t>Warwick and Leamington</t>
  </si>
  <si>
    <t>SC034235</t>
  </si>
  <si>
    <t>SC034241</t>
  </si>
  <si>
    <t>SC034253</t>
  </si>
  <si>
    <t>Children First Fostering Agency</t>
  </si>
  <si>
    <t>3 Lords Court</t>
  </si>
  <si>
    <t xml:space="preserve">Cricketers Way  </t>
  </si>
  <si>
    <t>BASILDON</t>
  </si>
  <si>
    <t>SS13 1SS</t>
  </si>
  <si>
    <t xml:space="preserve">Children First Fostering Agency Limited 03894588 </t>
  </si>
  <si>
    <t>SC034301</t>
  </si>
  <si>
    <t>SC034313</t>
  </si>
  <si>
    <t>SC034383</t>
  </si>
  <si>
    <t>St Rose's School</t>
  </si>
  <si>
    <t>St. Roses Special School</t>
  </si>
  <si>
    <t xml:space="preserve">Stratford Lawn  </t>
  </si>
  <si>
    <t>STROUD</t>
  </si>
  <si>
    <t>GL5 4AP</t>
  </si>
  <si>
    <t>The English Dominican Congregation (STONE) Charitable Fund</t>
  </si>
  <si>
    <t>SC034415</t>
  </si>
  <si>
    <t>Hollybank Trust 1043129</t>
  </si>
  <si>
    <t>SC034419</t>
  </si>
  <si>
    <t>SC034441</t>
  </si>
  <si>
    <t>SC034480</t>
  </si>
  <si>
    <t>SC034495</t>
  </si>
  <si>
    <t>SC034686</t>
  </si>
  <si>
    <t>SC034706</t>
  </si>
  <si>
    <t>SC034746</t>
  </si>
  <si>
    <t>SC034788</t>
  </si>
  <si>
    <t>Child Care Bureau Fostering Services</t>
  </si>
  <si>
    <t>Unit 11-13 Elgar Business Centre</t>
  </si>
  <si>
    <t>Moseley Road</t>
  </si>
  <si>
    <t>WR2 6NJ</t>
  </si>
  <si>
    <t>Child Care Bureau Limited</t>
  </si>
  <si>
    <t>SC034797</t>
  </si>
  <si>
    <t>SC034804</t>
  </si>
  <si>
    <t>The Children's Family Trust</t>
  </si>
  <si>
    <t>Hanbury Court</t>
  </si>
  <si>
    <t>Harris Business Park Hanbury Road,Stoke Prior</t>
  </si>
  <si>
    <t>B60 4DJ</t>
  </si>
  <si>
    <t>SC034849</t>
  </si>
  <si>
    <t>SC034851</t>
  </si>
  <si>
    <t>SC034855</t>
  </si>
  <si>
    <t>New Routes Fostering</t>
  </si>
  <si>
    <t>Father Hudson's Society</t>
  </si>
  <si>
    <t>Coventry Road Coleshill</t>
  </si>
  <si>
    <t>B46 3FG</t>
  </si>
  <si>
    <t>North Warwickshire</t>
  </si>
  <si>
    <t>SC034900</t>
  </si>
  <si>
    <t>SC034907</t>
  </si>
  <si>
    <t>Keswick School</t>
  </si>
  <si>
    <t>Vicarage Hill</t>
  </si>
  <si>
    <t>KESWICK</t>
  </si>
  <si>
    <t>CA12 5QB</t>
  </si>
  <si>
    <t>Keswick School Multi Academy Trust</t>
  </si>
  <si>
    <t>SC034908</t>
  </si>
  <si>
    <t>Horizon Fostering Services</t>
  </si>
  <si>
    <t>Kingsbury House</t>
  </si>
  <si>
    <t xml:space="preserve">468 Church Lane  </t>
  </si>
  <si>
    <t>Kingsbury</t>
  </si>
  <si>
    <t>NW9 8UA</t>
  </si>
  <si>
    <t>Horizon Fostering Services Ltd</t>
  </si>
  <si>
    <t>SC034922</t>
  </si>
  <si>
    <t>SC034944</t>
  </si>
  <si>
    <t>SC034953</t>
  </si>
  <si>
    <t>SC034969</t>
  </si>
  <si>
    <t>SC035026</t>
  </si>
  <si>
    <t>Sunbeam Fostering Agency</t>
  </si>
  <si>
    <t>12 Waterside Drive</t>
  </si>
  <si>
    <t xml:space="preserve">Langley  </t>
  </si>
  <si>
    <t>SL3 6EZ</t>
  </si>
  <si>
    <t>Sunbeam Fostering Agency Limited</t>
  </si>
  <si>
    <t>SC035049</t>
  </si>
  <si>
    <t>SC035137</t>
  </si>
  <si>
    <t>SC035154</t>
  </si>
  <si>
    <t>SC035155</t>
  </si>
  <si>
    <t>SC035181</t>
  </si>
  <si>
    <t>SC035220</t>
  </si>
  <si>
    <t>SC035222</t>
  </si>
  <si>
    <t>SC035235</t>
  </si>
  <si>
    <t>SC035241</t>
  </si>
  <si>
    <t>SC035247</t>
  </si>
  <si>
    <t>SC035250</t>
  </si>
  <si>
    <t>Credo Care</t>
  </si>
  <si>
    <t>12 High Street</t>
  </si>
  <si>
    <t xml:space="preserve">Lydd  </t>
  </si>
  <si>
    <t>Romney Marsh</t>
  </si>
  <si>
    <t>TN29 9AJ</t>
  </si>
  <si>
    <t>Credo Care Ltd</t>
  </si>
  <si>
    <t>SC035327</t>
  </si>
  <si>
    <t>Greater London Fostering</t>
  </si>
  <si>
    <t>20-22 Gipsy Hill</t>
  </si>
  <si>
    <t>SE19 1NL</t>
  </si>
  <si>
    <t>Greater London Fostering Limited</t>
  </si>
  <si>
    <t>SC035339</t>
  </si>
  <si>
    <t>Oldham Metropolitan Borough Council</t>
  </si>
  <si>
    <t>SC035380</t>
  </si>
  <si>
    <t>SC035387</t>
  </si>
  <si>
    <t>SC035409</t>
  </si>
  <si>
    <t>SC035415</t>
  </si>
  <si>
    <t>Community Foster Care</t>
  </si>
  <si>
    <t>Kingsholm Mews Kingsholm Road</t>
  </si>
  <si>
    <t>GL1 3BD</t>
  </si>
  <si>
    <t>SC035428</t>
  </si>
  <si>
    <t>SC035439</t>
  </si>
  <si>
    <t>SC035459</t>
  </si>
  <si>
    <t>SC035477</t>
  </si>
  <si>
    <t>SC035492</t>
  </si>
  <si>
    <t>SC035499</t>
  </si>
  <si>
    <t>SC035500</t>
  </si>
  <si>
    <t>Kingswood</t>
  </si>
  <si>
    <t>South Gloucestershire Council</t>
  </si>
  <si>
    <t>SC035518</t>
  </si>
  <si>
    <t>SC035543</t>
  </si>
  <si>
    <t>SC035553</t>
  </si>
  <si>
    <t>NFA South East</t>
  </si>
  <si>
    <t>Basepoint Business And Innovation Centre</t>
  </si>
  <si>
    <t xml:space="preserve">Metcalf Way  </t>
  </si>
  <si>
    <t>RH11 7XX</t>
  </si>
  <si>
    <t>SC035593</t>
  </si>
  <si>
    <t>SC035625</t>
  </si>
  <si>
    <t>Rowden House School Limited</t>
  </si>
  <si>
    <t>SC035648</t>
  </si>
  <si>
    <t>SC035657</t>
  </si>
  <si>
    <t>SC035805</t>
  </si>
  <si>
    <t>Wennington Hall School</t>
  </si>
  <si>
    <t>Lodge Lane</t>
  </si>
  <si>
    <t xml:space="preserve">Wennington  </t>
  </si>
  <si>
    <t>LANCASTER</t>
  </si>
  <si>
    <t>LA2 8NS</t>
  </si>
  <si>
    <t>SC035954</t>
  </si>
  <si>
    <t>Metropolitan Borough of Wirral</t>
  </si>
  <si>
    <t>SC035969</t>
  </si>
  <si>
    <t>Liverpool City Council</t>
  </si>
  <si>
    <t>SC035971</t>
  </si>
  <si>
    <t>St Helens Metropolitan Borough Council</t>
  </si>
  <si>
    <t>SC035976</t>
  </si>
  <si>
    <t>SC036009</t>
  </si>
  <si>
    <t>Sheffield, Heeley</t>
  </si>
  <si>
    <t>Sheffield City Council</t>
  </si>
  <si>
    <t>SC036019</t>
  </si>
  <si>
    <t>Derby City Council</t>
  </si>
  <si>
    <t>SC036023</t>
  </si>
  <si>
    <t>SC036026</t>
  </si>
  <si>
    <t>Sheffield South East</t>
  </si>
  <si>
    <t>SC036057</t>
  </si>
  <si>
    <t>Foster Cares Ltd</t>
  </si>
  <si>
    <t>7 Fern Court Bracken Hill Business Park</t>
  </si>
  <si>
    <t>Peterlee</t>
  </si>
  <si>
    <t>County Durham</t>
  </si>
  <si>
    <t>SR8 2RR</t>
  </si>
  <si>
    <t>Foster Cares Limited</t>
  </si>
  <si>
    <t>SC036081</t>
  </si>
  <si>
    <t>SWIIS Foster Care Limited</t>
  </si>
  <si>
    <t>Swiis Foster care</t>
  </si>
  <si>
    <t>Severn House Mandale Park,Belmont Industrial Estate</t>
  </si>
  <si>
    <t>DH1 1TH</t>
  </si>
  <si>
    <t>SC036157</t>
  </si>
  <si>
    <t>SC036186</t>
  </si>
  <si>
    <t>SC036188</t>
  </si>
  <si>
    <t>Reach-Out Care</t>
  </si>
  <si>
    <t>Reach Out Care</t>
  </si>
  <si>
    <t>Hope House Burnhope</t>
  </si>
  <si>
    <t>NEWTON AYCLIFFE</t>
  </si>
  <si>
    <t>DL5 7ER</t>
  </si>
  <si>
    <t>Reach-Out Care Ltd</t>
  </si>
  <si>
    <t>SC036240</t>
  </si>
  <si>
    <t>SC036242</t>
  </si>
  <si>
    <t>Action For Children Fostering</t>
  </si>
  <si>
    <t>Cargo Fleet Offices</t>
  </si>
  <si>
    <t>Dormor Way South Bank,Middlesbrough Road,South Bank</t>
  </si>
  <si>
    <t>MIDDLESBROUGH</t>
  </si>
  <si>
    <t>TS6 6XH</t>
  </si>
  <si>
    <t>SC036243</t>
  </si>
  <si>
    <t>SC036248</t>
  </si>
  <si>
    <t>SC036261</t>
  </si>
  <si>
    <t>Five Rivers Fostering Service</t>
  </si>
  <si>
    <t>Unit 3</t>
  </si>
  <si>
    <t xml:space="preserve">London Road Office Park  </t>
  </si>
  <si>
    <t>SP1 3HP</t>
  </si>
  <si>
    <t>SC036262</t>
  </si>
  <si>
    <t>SC036298</t>
  </si>
  <si>
    <t>Sefton Metropolitan Borough Council</t>
  </si>
  <si>
    <t>SC036304</t>
  </si>
  <si>
    <t>SC036400</t>
  </si>
  <si>
    <t>Suite 7</t>
  </si>
  <si>
    <t>Westbury Court Church Road, Westbury-on-Trym</t>
  </si>
  <si>
    <t>BS9 3EF</t>
  </si>
  <si>
    <t>SC036488</t>
  </si>
  <si>
    <t>Xcel 2000 Fostercare Services</t>
  </si>
  <si>
    <t>Xcel 2000</t>
  </si>
  <si>
    <t xml:space="preserve">8 London Road  </t>
  </si>
  <si>
    <t>SITTINGBOURNE</t>
  </si>
  <si>
    <t>ME10 1NA</t>
  </si>
  <si>
    <t>Xcel 2000 Fostercare Services Limited</t>
  </si>
  <si>
    <t>SC036530</t>
  </si>
  <si>
    <t>Kasper</t>
  </si>
  <si>
    <t>Kasper Fostering</t>
  </si>
  <si>
    <t xml:space="preserve">79 Nelson Road  </t>
  </si>
  <si>
    <t>WHITSTABLE</t>
  </si>
  <si>
    <t>CT5 1DX</t>
  </si>
  <si>
    <t>Kasper Limited</t>
  </si>
  <si>
    <t>SC036540</t>
  </si>
  <si>
    <t>Next Step Fostering Services</t>
  </si>
  <si>
    <t>41 Stone Street</t>
  </si>
  <si>
    <t>Faversham</t>
  </si>
  <si>
    <t>ME13 8PH</t>
  </si>
  <si>
    <t>Next Step Fostering Services Limited</t>
  </si>
  <si>
    <t>SC036583</t>
  </si>
  <si>
    <t>Ethelbert Fostering Service</t>
  </si>
  <si>
    <t>17 Leigh Road</t>
  </si>
  <si>
    <t>Ramsgate</t>
  </si>
  <si>
    <t>CT12 5EU</t>
  </si>
  <si>
    <t>SC036584</t>
  </si>
  <si>
    <t>Walsall Metropolitan Borough Council</t>
  </si>
  <si>
    <t>SC036587</t>
  </si>
  <si>
    <t>Chrysalis Care</t>
  </si>
  <si>
    <t xml:space="preserve">7 Princes Street  </t>
  </si>
  <si>
    <t>BEXLEYHEATH</t>
  </si>
  <si>
    <t>DA7 4BQ</t>
  </si>
  <si>
    <t>Chrysalis Care Ltd</t>
  </si>
  <si>
    <t>SC036598</t>
  </si>
  <si>
    <t>Anchor Foster Care Services</t>
  </si>
  <si>
    <t>69A Maidstone Road</t>
  </si>
  <si>
    <t>Chatham</t>
  </si>
  <si>
    <t>ME4 6DP</t>
  </si>
  <si>
    <t>Anchor Foster Care Services Limited</t>
  </si>
  <si>
    <t>SC036616</t>
  </si>
  <si>
    <t>Five Rivers Fostering Service London and East</t>
  </si>
  <si>
    <t>Bates Business Centre</t>
  </si>
  <si>
    <t>Church Road Harold Wood</t>
  </si>
  <si>
    <t>RM3 0JA</t>
  </si>
  <si>
    <t>SC036627</t>
  </si>
  <si>
    <t>Progress Children's Services</t>
  </si>
  <si>
    <t>Progress House</t>
  </si>
  <si>
    <t xml:space="preserve">127 Millfields Road  </t>
  </si>
  <si>
    <t>WOLVERHAMPTON</t>
  </si>
  <si>
    <t>WV4 6JG</t>
  </si>
  <si>
    <t>SC036628</t>
  </si>
  <si>
    <t>Child Focus Fostering Agency</t>
  </si>
  <si>
    <t>2-4 Balmoral Road</t>
  </si>
  <si>
    <t xml:space="preserve">Leyton  </t>
  </si>
  <si>
    <t>E10 5ND</t>
  </si>
  <si>
    <t>Sherico Care Services Limited</t>
  </si>
  <si>
    <t>SC036638</t>
  </si>
  <si>
    <t>Futures For Children</t>
  </si>
  <si>
    <t>The College Tower</t>
  </si>
  <si>
    <t xml:space="preserve">College Road  </t>
  </si>
  <si>
    <t>Maidstone</t>
  </si>
  <si>
    <t>ME15 6YQ</t>
  </si>
  <si>
    <t>Maidstone and The Weald</t>
  </si>
  <si>
    <t>Futures for Children Limited</t>
  </si>
  <si>
    <t>SC036653</t>
  </si>
  <si>
    <t>The Homefinding &amp; Fostering Agency</t>
  </si>
  <si>
    <t>67 College Road</t>
  </si>
  <si>
    <t>ME15 6SX</t>
  </si>
  <si>
    <t>Kent Homefinding and Fostering Ltd</t>
  </si>
  <si>
    <t>SC036732</t>
  </si>
  <si>
    <t>Nottinghamshire County Council</t>
  </si>
  <si>
    <t>SC036737</t>
  </si>
  <si>
    <t>SC036740</t>
  </si>
  <si>
    <t>SC036773</t>
  </si>
  <si>
    <t>SC036804</t>
  </si>
  <si>
    <t>SC036888</t>
  </si>
  <si>
    <t>Safehouses</t>
  </si>
  <si>
    <t>Keystone Innovation Centre</t>
  </si>
  <si>
    <t xml:space="preserve">Thetford  </t>
  </si>
  <si>
    <t>IP24 1JD</t>
  </si>
  <si>
    <t>Safehouses Limited</t>
  </si>
  <si>
    <t>SC036917</t>
  </si>
  <si>
    <t>Royal Borough Of Greenwich</t>
  </si>
  <si>
    <t>SC036963</t>
  </si>
  <si>
    <t>The Foster Care Co-operative Ltd</t>
  </si>
  <si>
    <t>The Foster Care Co-operative</t>
  </si>
  <si>
    <t>Penny Hall The Haysfield</t>
  </si>
  <si>
    <t>Malvern</t>
  </si>
  <si>
    <t>WR14 1GF</t>
  </si>
  <si>
    <t>The Foster Care Co-operative Limited</t>
  </si>
  <si>
    <t>SC036972</t>
  </si>
  <si>
    <t>Child Action North West</t>
  </si>
  <si>
    <t>Dixon House</t>
  </si>
  <si>
    <t>Whalley Road Wilpshire</t>
  </si>
  <si>
    <t>BB1 9LL</t>
  </si>
  <si>
    <t>SC037164</t>
  </si>
  <si>
    <t>SWIIS Foster Care Ltd</t>
  </si>
  <si>
    <t>24 Highfield Road Edgbaston</t>
  </si>
  <si>
    <t>B15 3DP</t>
  </si>
  <si>
    <t>SC037181</t>
  </si>
  <si>
    <t>SC037248</t>
  </si>
  <si>
    <t>Holibrook House Limited</t>
  </si>
  <si>
    <t>SC037256</t>
  </si>
  <si>
    <t>Suffolk County Council</t>
  </si>
  <si>
    <t>SC037281</t>
  </si>
  <si>
    <t>SC037282</t>
  </si>
  <si>
    <t>SC037302</t>
  </si>
  <si>
    <t>SC037304</t>
  </si>
  <si>
    <t>Freedom Fostering</t>
  </si>
  <si>
    <t>27 Waterloo Road</t>
  </si>
  <si>
    <t>WV1 4DJ</t>
  </si>
  <si>
    <t>Freedom Fostering Limited</t>
  </si>
  <si>
    <t>SC037309</t>
  </si>
  <si>
    <t>SC037327</t>
  </si>
  <si>
    <t>SC037441</t>
  </si>
  <si>
    <t>SC037447</t>
  </si>
  <si>
    <t>SC037454</t>
  </si>
  <si>
    <t>SC037521</t>
  </si>
  <si>
    <t>SC037579</t>
  </si>
  <si>
    <t>Foster Care Associates North East</t>
  </si>
  <si>
    <t>Foster Care Associates</t>
  </si>
  <si>
    <t>Ground Floor Shannon House,Belmont</t>
  </si>
  <si>
    <t>Foster Care Associates Limited</t>
  </si>
  <si>
    <t>SC037588</t>
  </si>
  <si>
    <t>SC037596</t>
  </si>
  <si>
    <t>SC037647</t>
  </si>
  <si>
    <t>SC037657</t>
  </si>
  <si>
    <t>SC037670</t>
  </si>
  <si>
    <t>SC037762</t>
  </si>
  <si>
    <t>SC037797</t>
  </si>
  <si>
    <t>Caritas Care</t>
  </si>
  <si>
    <t>218 Tulketh Road</t>
  </si>
  <si>
    <t xml:space="preserve">Ashton-on-Ribble  </t>
  </si>
  <si>
    <t>PRESTON</t>
  </si>
  <si>
    <t>PR2 1ES</t>
  </si>
  <si>
    <t>Caritas Care Limited</t>
  </si>
  <si>
    <t>SC037861</t>
  </si>
  <si>
    <t>Darlington Borough Council</t>
  </si>
  <si>
    <t>SC037910</t>
  </si>
  <si>
    <t>SC037984</t>
  </si>
  <si>
    <t>SC037986</t>
  </si>
  <si>
    <t>Bracknell</t>
  </si>
  <si>
    <t>Bracknell Forest Borough Council</t>
  </si>
  <si>
    <t>SC038012</t>
  </si>
  <si>
    <t>Foster Care Associates South Western</t>
  </si>
  <si>
    <t>Delamore Park ,Cornwood</t>
  </si>
  <si>
    <t>Ivybridge</t>
  </si>
  <si>
    <t>PL21 9QP</t>
  </si>
  <si>
    <t>South West Devon</t>
  </si>
  <si>
    <t>SC038134</t>
  </si>
  <si>
    <t>10 Twisleton Court</t>
  </si>
  <si>
    <t xml:space="preserve">Priory Hill  </t>
  </si>
  <si>
    <t>Dartford</t>
  </si>
  <si>
    <t>DA1 2EN</t>
  </si>
  <si>
    <t>SC038237</t>
  </si>
  <si>
    <t>SC038256</t>
  </si>
  <si>
    <t>Foster Care Associates Yorks and Lincs</t>
  </si>
  <si>
    <t>Europa View</t>
  </si>
  <si>
    <t xml:space="preserve">Sheffield Business Park  </t>
  </si>
  <si>
    <t>S9 1XH</t>
  </si>
  <si>
    <t>SC038276</t>
  </si>
  <si>
    <t>Underley Schools Limited</t>
  </si>
  <si>
    <t>SC038284</t>
  </si>
  <si>
    <t>Fred Nicholson School</t>
  </si>
  <si>
    <t xml:space="preserve">Westfield Road  </t>
  </si>
  <si>
    <t>DEREHAM</t>
  </si>
  <si>
    <t>NR19 1JB</t>
  </si>
  <si>
    <t>SC038324</t>
  </si>
  <si>
    <t>Eaton Hall Specialist Academy</t>
  </si>
  <si>
    <t>Eaton Hall School</t>
  </si>
  <si>
    <t xml:space="preserve">Pettus Road  </t>
  </si>
  <si>
    <t>NORWICH</t>
  </si>
  <si>
    <t>NR4 7BU</t>
  </si>
  <si>
    <t>Eaton Hall Academy Trust Limited</t>
  </si>
  <si>
    <t>SC038435</t>
  </si>
  <si>
    <t>Sunfield Children's Homes Limited</t>
  </si>
  <si>
    <t>SC038500</t>
  </si>
  <si>
    <t>Dudley Metropolitan Borough Council</t>
  </si>
  <si>
    <t>SC038522</t>
  </si>
  <si>
    <t>Southern Adolescent Care Services Ltd</t>
  </si>
  <si>
    <t>SC038526</t>
  </si>
  <si>
    <t>SC038534</t>
  </si>
  <si>
    <t>Action for Children Fostering South East</t>
  </si>
  <si>
    <t>Dundee House</t>
  </si>
  <si>
    <t xml:space="preserve">23-26 Albion Place  </t>
  </si>
  <si>
    <t>CT11 8HQ</t>
  </si>
  <si>
    <t>SC038557</t>
  </si>
  <si>
    <t>SC038564</t>
  </si>
  <si>
    <t>SC038719</t>
  </si>
  <si>
    <t>SC038723</t>
  </si>
  <si>
    <t>Walton Hall</t>
  </si>
  <si>
    <t>Walton Hall Special School</t>
  </si>
  <si>
    <t>Walton Eccleshall</t>
  </si>
  <si>
    <t>STAFFORD</t>
  </si>
  <si>
    <t>ST21 6JR</t>
  </si>
  <si>
    <t>The Shaw Education Trust</t>
  </si>
  <si>
    <t>SC038726</t>
  </si>
  <si>
    <t>Shenstone Lodge School</t>
  </si>
  <si>
    <t>Birmingham Road Shenstone Wood End</t>
  </si>
  <si>
    <t>WS14 0LB</t>
  </si>
  <si>
    <t>SC038727</t>
  </si>
  <si>
    <t>Horton Lodge</t>
  </si>
  <si>
    <t>Horton Lodge Special School Rudyard</t>
  </si>
  <si>
    <t>Leek</t>
  </si>
  <si>
    <t>ST13 8RB</t>
  </si>
  <si>
    <t>SC038728</t>
  </si>
  <si>
    <t>Saxon Hill</t>
  </si>
  <si>
    <t>Saxon Hill Special School</t>
  </si>
  <si>
    <t xml:space="preserve">Kings Hill Road  </t>
  </si>
  <si>
    <t>LICHFIELD</t>
  </si>
  <si>
    <t>WS14 9DE</t>
  </si>
  <si>
    <t>SC038729</t>
  </si>
  <si>
    <t>Loxley Hall</t>
  </si>
  <si>
    <t>Loxley Hall School</t>
  </si>
  <si>
    <t xml:space="preserve">Stafford Road  </t>
  </si>
  <si>
    <t>UTTOXETER</t>
  </si>
  <si>
    <t>ST14 8RS</t>
  </si>
  <si>
    <t>Manor Hall Academy Trust</t>
  </si>
  <si>
    <t>SC038731</t>
  </si>
  <si>
    <t>Cicely Haughton</t>
  </si>
  <si>
    <t>Cicely Haughton School</t>
  </si>
  <si>
    <t>Westwood Manor Wetley Rocks</t>
  </si>
  <si>
    <t>ST9 0BX</t>
  </si>
  <si>
    <t>SC038758</t>
  </si>
  <si>
    <t>Sky Academy</t>
  </si>
  <si>
    <t>Pickeridge Close</t>
  </si>
  <si>
    <t>TA2 7HW</t>
  </si>
  <si>
    <t>The Sky Academy</t>
  </si>
  <si>
    <t>SC038761</t>
  </si>
  <si>
    <t>SC038780</t>
  </si>
  <si>
    <t>SC038843</t>
  </si>
  <si>
    <t>2 Quay View Business Park</t>
  </si>
  <si>
    <t xml:space="preserve">Barnards Way  </t>
  </si>
  <si>
    <t>Lowestoft</t>
  </si>
  <si>
    <t>NR32 2HD</t>
  </si>
  <si>
    <t>SC038906</t>
  </si>
  <si>
    <t>SC038930</t>
  </si>
  <si>
    <t>Fairways Care UK</t>
  </si>
  <si>
    <t>Fair Ways</t>
  </si>
  <si>
    <t>Ground Floor Building 1000,Western Road</t>
  </si>
  <si>
    <t>SC038961</t>
  </si>
  <si>
    <t>SC039001</t>
  </si>
  <si>
    <t>SC039025</t>
  </si>
  <si>
    <t>SC039038</t>
  </si>
  <si>
    <t>SC039056</t>
  </si>
  <si>
    <t>SC039070</t>
  </si>
  <si>
    <t>SC039087</t>
  </si>
  <si>
    <t>SC039093</t>
  </si>
  <si>
    <t>The Springfields Academy</t>
  </si>
  <si>
    <t>Springfields School</t>
  </si>
  <si>
    <t xml:space="preserve">Curzon Street  </t>
  </si>
  <si>
    <t>CALNE</t>
  </si>
  <si>
    <t>SN11 0DS</t>
  </si>
  <si>
    <t>Reach South Academy Trust</t>
  </si>
  <si>
    <t>SC039105</t>
  </si>
  <si>
    <t>Grantham College</t>
  </si>
  <si>
    <t>Stonebridge Road</t>
  </si>
  <si>
    <t>GRANTHAM</t>
  </si>
  <si>
    <t>NG31 9AP</t>
  </si>
  <si>
    <t>SC039112</t>
  </si>
  <si>
    <t>Notton House School</t>
  </si>
  <si>
    <t>Notton School House</t>
  </si>
  <si>
    <t>28 Notton Lacock</t>
  </si>
  <si>
    <t>CHIPPENHAM</t>
  </si>
  <si>
    <t>SN15 2NF</t>
  </si>
  <si>
    <t>Learn@Mat</t>
  </si>
  <si>
    <t>SC039141</t>
  </si>
  <si>
    <t>Appleford School</t>
  </si>
  <si>
    <t>Elston Lane Shrewton</t>
  </si>
  <si>
    <t>SALISBURY</t>
  </si>
  <si>
    <t>SP3 4HL</t>
  </si>
  <si>
    <t>SC039213</t>
  </si>
  <si>
    <t>SC039248</t>
  </si>
  <si>
    <t>SC039271</t>
  </si>
  <si>
    <t>Foster Care Associates South East</t>
  </si>
  <si>
    <t>Office 17</t>
  </si>
  <si>
    <t>Fleming Court Business Centre Leigh Road</t>
  </si>
  <si>
    <t>SO50 9YN</t>
  </si>
  <si>
    <t>SC039275</t>
  </si>
  <si>
    <t>Jamea Al Kauthar</t>
  </si>
  <si>
    <t>Islamic College Ashton Road</t>
  </si>
  <si>
    <t>LA1 5AJ</t>
  </si>
  <si>
    <t>Jamea Al Kauthar Islamic College (Charity)</t>
  </si>
  <si>
    <t>SC039414</t>
  </si>
  <si>
    <t>SC039559</t>
  </si>
  <si>
    <t>Halton Borough Council</t>
  </si>
  <si>
    <t>SC039572</t>
  </si>
  <si>
    <t>Action for Children: Fostering Wessex</t>
  </si>
  <si>
    <t>Round House</t>
  </si>
  <si>
    <t xml:space="preserve">Newgate Lane  </t>
  </si>
  <si>
    <t>FAREHAM</t>
  </si>
  <si>
    <t>PO14 1JD</t>
  </si>
  <si>
    <t>Gosport</t>
  </si>
  <si>
    <t>SC039673</t>
  </si>
  <si>
    <t>SC039676</t>
  </si>
  <si>
    <t>SC039683</t>
  </si>
  <si>
    <t>SC039689</t>
  </si>
  <si>
    <t>SC039847</t>
  </si>
  <si>
    <t>Sexeys School</t>
  </si>
  <si>
    <t>Cole Road</t>
  </si>
  <si>
    <t>BRUTON</t>
  </si>
  <si>
    <t>BA10 0DF</t>
  </si>
  <si>
    <t>Sexey's School</t>
  </si>
  <si>
    <t>SC039897</t>
  </si>
  <si>
    <t>SC039900</t>
  </si>
  <si>
    <t>SC040058</t>
  </si>
  <si>
    <t>Cedar House School</t>
  </si>
  <si>
    <t xml:space="preserve">Bentham  </t>
  </si>
  <si>
    <t>Lancaster</t>
  </si>
  <si>
    <t>LA2 7DD</t>
  </si>
  <si>
    <t>Witherslack Group of Schools Limited</t>
  </si>
  <si>
    <t>SC040063</t>
  </si>
  <si>
    <t>Oversands School</t>
  </si>
  <si>
    <t>Witherslack Hall</t>
  </si>
  <si>
    <t xml:space="preserve">Witherslack  </t>
  </si>
  <si>
    <t>GRANGE-OVER-SANDS</t>
  </si>
  <si>
    <t>LA11 6SD</t>
  </si>
  <si>
    <t>SC040074</t>
  </si>
  <si>
    <t>Dallam School</t>
  </si>
  <si>
    <t>Haverflatts Lane</t>
  </si>
  <si>
    <t>MILNTHORPE</t>
  </si>
  <si>
    <t>LA7 7DD</t>
  </si>
  <si>
    <t>South Westmorland Multi Academy Trust</t>
  </si>
  <si>
    <t>SC040105</t>
  </si>
  <si>
    <t>SC040132</t>
  </si>
  <si>
    <t>SC040175</t>
  </si>
  <si>
    <t>SC040191</t>
  </si>
  <si>
    <t>SC040266</t>
  </si>
  <si>
    <t>SC040334</t>
  </si>
  <si>
    <t>Phoenix Community Care</t>
  </si>
  <si>
    <t>Room 41/42</t>
  </si>
  <si>
    <t>639 The Trampery 639 High Road,Tottenham</t>
  </si>
  <si>
    <t>N17 8AA</t>
  </si>
  <si>
    <t>SC040408</t>
  </si>
  <si>
    <t>Foster Care Associates North West</t>
  </si>
  <si>
    <t>Lincoln House</t>
  </si>
  <si>
    <t>Foxhole Road Ackhurst Park</t>
  </si>
  <si>
    <t>PR7 1NY</t>
  </si>
  <si>
    <t>SC040437</t>
  </si>
  <si>
    <t>Blackburn with Darwen Borough Council</t>
  </si>
  <si>
    <t>SC040491</t>
  </si>
  <si>
    <t>SC040500</t>
  </si>
  <si>
    <t>Salford City Council</t>
  </si>
  <si>
    <t>SC040508</t>
  </si>
  <si>
    <t>Elemore Hall School</t>
  </si>
  <si>
    <t xml:space="preserve">Littletown  </t>
  </si>
  <si>
    <t>DH6 1QD</t>
  </si>
  <si>
    <t>SC040509</t>
  </si>
  <si>
    <t>SC040510</t>
  </si>
  <si>
    <t>Walworth School</t>
  </si>
  <si>
    <t xml:space="preserve">Bluebell Way  </t>
  </si>
  <si>
    <t>DL5 7LP</t>
  </si>
  <si>
    <t>SC040511</t>
  </si>
  <si>
    <t>SC040580</t>
  </si>
  <si>
    <t>Barnardos North West Fostering Service (NW Region)</t>
  </si>
  <si>
    <t>5 Lineside Close</t>
  </si>
  <si>
    <t>LIVERPOOL</t>
  </si>
  <si>
    <t>L25 2UD</t>
  </si>
  <si>
    <t>SC040583</t>
  </si>
  <si>
    <t>SC040631</t>
  </si>
  <si>
    <t>SC040633</t>
  </si>
  <si>
    <t>SC040638</t>
  </si>
  <si>
    <t>SC040642</t>
  </si>
  <si>
    <t>SC040719</t>
  </si>
  <si>
    <t>Bolton Metropolitan Borough Council</t>
  </si>
  <si>
    <t>SC040720</t>
  </si>
  <si>
    <t>Royal School for the Blind</t>
  </si>
  <si>
    <t>Royal School for the Blind Liverpool</t>
  </si>
  <si>
    <t xml:space="preserve">Church Road North  </t>
  </si>
  <si>
    <t>L15 6TQ</t>
  </si>
  <si>
    <t>The Royal School for the Blind</t>
  </si>
  <si>
    <t>SC040723</t>
  </si>
  <si>
    <t>SC040724</t>
  </si>
  <si>
    <t>St Vincents School</t>
  </si>
  <si>
    <t>CBI Building</t>
  </si>
  <si>
    <t>St. Vincent's School Yew Tree Lane, West Derby</t>
  </si>
  <si>
    <t>L12 9HN</t>
  </si>
  <si>
    <t>St Vincents School for the Blind &amp; Partially Sight</t>
  </si>
  <si>
    <t>SC040733</t>
  </si>
  <si>
    <t>SC040785</t>
  </si>
  <si>
    <t>SC040926</t>
  </si>
  <si>
    <t>SC040955</t>
  </si>
  <si>
    <t>Askham Bryan College</t>
  </si>
  <si>
    <t xml:space="preserve">Askham Bryan  </t>
  </si>
  <si>
    <t>YO23 3FR</t>
  </si>
  <si>
    <t>Askham Bryan College Governing Body</t>
  </si>
  <si>
    <t>SC040982</t>
  </si>
  <si>
    <t>SC041223</t>
  </si>
  <si>
    <t>Pencalenick Residential Special School</t>
  </si>
  <si>
    <t>Pencalenick School</t>
  </si>
  <si>
    <t xml:space="preserve">St. Clement  </t>
  </si>
  <si>
    <t>TRURO</t>
  </si>
  <si>
    <t>TR1 1TE</t>
  </si>
  <si>
    <t>Special Partnership Trust</t>
  </si>
  <si>
    <t>SC041298</t>
  </si>
  <si>
    <t>Institute of Islamic Education</t>
  </si>
  <si>
    <t>South Street Savile Town</t>
  </si>
  <si>
    <t>WF12 9NG</t>
  </si>
  <si>
    <t>Society For The Reformation Of Muslims</t>
  </si>
  <si>
    <t>SC041354</t>
  </si>
  <si>
    <t>Ryancare Fostering Ltd</t>
  </si>
  <si>
    <t>5a Wellington Road</t>
  </si>
  <si>
    <t>Wanstead</t>
  </si>
  <si>
    <t>E11 2AN</t>
  </si>
  <si>
    <t>Ryancare Fostering Limited</t>
  </si>
  <si>
    <t>SC041476</t>
  </si>
  <si>
    <t>Fosse Way School</t>
  </si>
  <si>
    <t xml:space="preserve">Longfellow Road  </t>
  </si>
  <si>
    <t>RADSTOCK</t>
  </si>
  <si>
    <t>BA3 3AL</t>
  </si>
  <si>
    <t>The Partnership Trust</t>
  </si>
  <si>
    <t>SC041487</t>
  </si>
  <si>
    <t>Barndale House Special School</t>
  </si>
  <si>
    <t>Barndale House</t>
  </si>
  <si>
    <t xml:space="preserve">Howling Lane  </t>
  </si>
  <si>
    <t>ALNWICK</t>
  </si>
  <si>
    <t>NE66 1DQ</t>
  </si>
  <si>
    <t>SC041633</t>
  </si>
  <si>
    <t>Farleigh Further Education College (Frome)</t>
  </si>
  <si>
    <t>Farleigh Sixth Form College</t>
  </si>
  <si>
    <t xml:space="preserve">North Parade  </t>
  </si>
  <si>
    <t>BA11 2AB</t>
  </si>
  <si>
    <t>SC041787</t>
  </si>
  <si>
    <t>Broomhill Bank School- North</t>
  </si>
  <si>
    <t>Rowhill Road</t>
  </si>
  <si>
    <t>BR8 7RP</t>
  </si>
  <si>
    <t>SC041791</t>
  </si>
  <si>
    <t>Valence School</t>
  </si>
  <si>
    <t xml:space="preserve">Westerham Road  </t>
  </si>
  <si>
    <t>Westerham</t>
  </si>
  <si>
    <t>TN16 1QN</t>
  </si>
  <si>
    <t>SC041848</t>
  </si>
  <si>
    <t>Bournemouth &amp; Poole College</t>
  </si>
  <si>
    <t>Bournemouth &amp; Poole College of Further Education</t>
  </si>
  <si>
    <t>Lansdowne Meyrick Road</t>
  </si>
  <si>
    <t>BH1 3JJ</t>
  </si>
  <si>
    <t>SC041887</t>
  </si>
  <si>
    <t>London Borough of Croydon</t>
  </si>
  <si>
    <t>SC041911</t>
  </si>
  <si>
    <t xml:space="preserve">Bedford College </t>
  </si>
  <si>
    <t>Shuttleworth College</t>
  </si>
  <si>
    <t xml:space="preserve">Old Warden Park  </t>
  </si>
  <si>
    <t>Biggleswade</t>
  </si>
  <si>
    <t>SG18 9EA</t>
  </si>
  <si>
    <t>Bedford College</t>
  </si>
  <si>
    <t>SC041920</t>
  </si>
  <si>
    <t>Reaseheath FE College</t>
  </si>
  <si>
    <t>Reaseheath</t>
  </si>
  <si>
    <t>NANTWICH</t>
  </si>
  <si>
    <t>CW5 6DF</t>
  </si>
  <si>
    <t>Reaseheath FE college</t>
  </si>
  <si>
    <t>SC042055</t>
  </si>
  <si>
    <t>Old Swinford Hospital School</t>
  </si>
  <si>
    <t xml:space="preserve">Heath Lane  </t>
  </si>
  <si>
    <t>DY8 1QX</t>
  </si>
  <si>
    <t>SC042065</t>
  </si>
  <si>
    <t>Five Islands School Boarding House St Mary's</t>
  </si>
  <si>
    <t xml:space="preserve">St Mary's  </t>
  </si>
  <si>
    <t>TR21 0NA</t>
  </si>
  <si>
    <t>St Ives</t>
  </si>
  <si>
    <t>Council of the Isles of Scilly</t>
  </si>
  <si>
    <t>SC042117</t>
  </si>
  <si>
    <t>Moulton College</t>
  </si>
  <si>
    <t>West Street Moulton</t>
  </si>
  <si>
    <t>NN3 7RR</t>
  </si>
  <si>
    <t>SC042132</t>
  </si>
  <si>
    <t>Oak Lodge School</t>
  </si>
  <si>
    <t>101 Nightingale Lane</t>
  </si>
  <si>
    <t>SW12 8NA</t>
  </si>
  <si>
    <t>SC042147</t>
  </si>
  <si>
    <t>SC042165</t>
  </si>
  <si>
    <t>Brymore Academy</t>
  </si>
  <si>
    <t>Cannington</t>
  </si>
  <si>
    <t>Bridgwater</t>
  </si>
  <si>
    <t>TA5 2NB</t>
  </si>
  <si>
    <t>Bridgwater College Trust</t>
  </si>
  <si>
    <t>SC042320</t>
  </si>
  <si>
    <t>Shaftesbury School</t>
  </si>
  <si>
    <t xml:space="preserve">Salisbury Road  </t>
  </si>
  <si>
    <t>Shaftesbury</t>
  </si>
  <si>
    <t>SP7 8ER</t>
  </si>
  <si>
    <t>Southern Academy Trust</t>
  </si>
  <si>
    <t>SC042411</t>
  </si>
  <si>
    <t>Springfield House School</t>
  </si>
  <si>
    <t>Kenilworth Road Knowle</t>
  </si>
  <si>
    <t>B93 0AJ</t>
  </si>
  <si>
    <t>SC042446</t>
  </si>
  <si>
    <t>The Rose Road Association</t>
  </si>
  <si>
    <t>SC042455</t>
  </si>
  <si>
    <t>West Midlands Family Placement</t>
  </si>
  <si>
    <t>Barnado's</t>
  </si>
  <si>
    <t xml:space="preserve">Brooklands  </t>
  </si>
  <si>
    <t>Great Cornbow</t>
  </si>
  <si>
    <t>Halesowen</t>
  </si>
  <si>
    <t>B63 3AB</t>
  </si>
  <si>
    <t>SC042606</t>
  </si>
  <si>
    <t>Sidestrand Hall School</t>
  </si>
  <si>
    <t>Cromer Road Sidestrand</t>
  </si>
  <si>
    <t>CROMER</t>
  </si>
  <si>
    <t>NR27 0NH</t>
  </si>
  <si>
    <t>SC042625</t>
  </si>
  <si>
    <t>Chichester College</t>
  </si>
  <si>
    <t xml:space="preserve">Avenue de Chartres  </t>
  </si>
  <si>
    <t>PO19 1SB</t>
  </si>
  <si>
    <t>First Steps Childcare Group Limited</t>
  </si>
  <si>
    <t>SC042652</t>
  </si>
  <si>
    <t>SC042673</t>
  </si>
  <si>
    <t>Steyning Grammar School</t>
  </si>
  <si>
    <t>Lower School Church Street</t>
  </si>
  <si>
    <t>Steyning</t>
  </si>
  <si>
    <t>BN44 3LB</t>
  </si>
  <si>
    <t>SC042759</t>
  </si>
  <si>
    <t>Barnardos Fostering North East</t>
  </si>
  <si>
    <t>1Lumley Court</t>
  </si>
  <si>
    <t xml:space="preserve">Drum Industrial Estate  </t>
  </si>
  <si>
    <t>Chester le Street</t>
  </si>
  <si>
    <t>DH2 1AN</t>
  </si>
  <si>
    <t>SC042778</t>
  </si>
  <si>
    <t>Lancaster Royal Grammar School</t>
  </si>
  <si>
    <t xml:space="preserve">East Road  </t>
  </si>
  <si>
    <t>LA1 3EF</t>
  </si>
  <si>
    <t>SC042852</t>
  </si>
  <si>
    <t>Wiltshire College</t>
  </si>
  <si>
    <t>Lackham Park Lacock</t>
  </si>
  <si>
    <t>SN15 2NY</t>
  </si>
  <si>
    <t>SC042921</t>
  </si>
  <si>
    <t>Lincolnshire County Council</t>
  </si>
  <si>
    <t>SC042950</t>
  </si>
  <si>
    <t>SC042967</t>
  </si>
  <si>
    <t>SC042978</t>
  </si>
  <si>
    <t>Lincoln</t>
  </si>
  <si>
    <t>SC042994</t>
  </si>
  <si>
    <t>SC043039</t>
  </si>
  <si>
    <t xml:space="preserve">Madinatul Uloom Al Islamiyah </t>
  </si>
  <si>
    <t>Madinatul Uloom Al-Islamiya</t>
  </si>
  <si>
    <t>Butts Lane Stone</t>
  </si>
  <si>
    <t>KIDDERMINSTER</t>
  </si>
  <si>
    <t>DY10 4BH</t>
  </si>
  <si>
    <t>Madinatul Uloom Al-Islamiya Islamic College</t>
  </si>
  <si>
    <t>SC043048</t>
  </si>
  <si>
    <t>New College Worcester</t>
  </si>
  <si>
    <t>New College</t>
  </si>
  <si>
    <t xml:space="preserve">2 Whittington Road  </t>
  </si>
  <si>
    <t>WR5 2JX</t>
  </si>
  <si>
    <t>SC043049</t>
  </si>
  <si>
    <t>Vale of Evesham School</t>
  </si>
  <si>
    <t xml:space="preserve">Four Pools Lane  </t>
  </si>
  <si>
    <t>EVESHAM</t>
  </si>
  <si>
    <t>WR11 1BN</t>
  </si>
  <si>
    <t>Advance Trust</t>
  </si>
  <si>
    <t>SC043094</t>
  </si>
  <si>
    <t>TACT Fostering - East Midlands</t>
  </si>
  <si>
    <t>SC043187</t>
  </si>
  <si>
    <t>Penn Hall School</t>
  </si>
  <si>
    <t>Vicarage Road Penn</t>
  </si>
  <si>
    <t>WV4 5HP</t>
  </si>
  <si>
    <t>Wolverhampton City Council</t>
  </si>
  <si>
    <t>SC043245</t>
  </si>
  <si>
    <t>SC043255</t>
  </si>
  <si>
    <t>SC043377</t>
  </si>
  <si>
    <t>Synergy Fostering</t>
  </si>
  <si>
    <t>Synergy Fostering Limited</t>
  </si>
  <si>
    <t>Unit C2 Tavern Quay,Rope Street</t>
  </si>
  <si>
    <t>SE16 7EX</t>
  </si>
  <si>
    <t>SC043551</t>
  </si>
  <si>
    <t>Swiis Foster Care Ltd</t>
  </si>
  <si>
    <t>15 Warwick Road Old Trafford</t>
  </si>
  <si>
    <t>MANCHESTER</t>
  </si>
  <si>
    <t>M16 0QQ</t>
  </si>
  <si>
    <t>SC043552</t>
  </si>
  <si>
    <t>Barnardo's Fostering South East</t>
  </si>
  <si>
    <t>Barnardo's House</t>
  </si>
  <si>
    <t>Tanners Lane Barkingside</t>
  </si>
  <si>
    <t>IG6 1QG</t>
  </si>
  <si>
    <t>SC043609</t>
  </si>
  <si>
    <t>Hythe House Support</t>
  </si>
  <si>
    <t>59 Staplehurst Road</t>
  </si>
  <si>
    <t>ME10 2NY</t>
  </si>
  <si>
    <t>Hythe House Support Ltd</t>
  </si>
  <si>
    <t>SC043659</t>
  </si>
  <si>
    <t>Loughborough College</t>
  </si>
  <si>
    <t>Loughborough College of Further Education</t>
  </si>
  <si>
    <t xml:space="preserve">Radmoor Road  </t>
  </si>
  <si>
    <t>LOUGHBOROUGH</t>
  </si>
  <si>
    <t>LE11 3BT</t>
  </si>
  <si>
    <t>Leicestershire County Council</t>
  </si>
  <si>
    <t>SC043697</t>
  </si>
  <si>
    <t>SC043732</t>
  </si>
  <si>
    <t>SC043914</t>
  </si>
  <si>
    <t>Fostering People Ltd</t>
  </si>
  <si>
    <t>Suite D The Point Welbeck Road,West Bridgford</t>
  </si>
  <si>
    <t>NG2 7QW</t>
  </si>
  <si>
    <t>Fostering People Limited</t>
  </si>
  <si>
    <t>SC043972</t>
  </si>
  <si>
    <t>SC043994</t>
  </si>
  <si>
    <t>SC044128</t>
  </si>
  <si>
    <t>Charlton Park Academy</t>
  </si>
  <si>
    <t>Charlton Park Road</t>
  </si>
  <si>
    <t>SE7 8HX</t>
  </si>
  <si>
    <t>SC044224</t>
  </si>
  <si>
    <t>Progress Care and Education Limited</t>
  </si>
  <si>
    <t>SC044231</t>
  </si>
  <si>
    <t>SC044259</t>
  </si>
  <si>
    <t>SC044276</t>
  </si>
  <si>
    <t>Carehome Limited</t>
  </si>
  <si>
    <t>SC044291</t>
  </si>
  <si>
    <t>SC044562</t>
  </si>
  <si>
    <t>SC044692</t>
  </si>
  <si>
    <t>SC044745</t>
  </si>
  <si>
    <t>SC044880</t>
  </si>
  <si>
    <t>SC044975</t>
  </si>
  <si>
    <t>SC045096</t>
  </si>
  <si>
    <t>Blackford Education (schools) Ltd</t>
  </si>
  <si>
    <t>SC045170</t>
  </si>
  <si>
    <t>Bridgwater and Taunton College</t>
  </si>
  <si>
    <t>Bridgwater College</t>
  </si>
  <si>
    <t>Cannington Centre for Land Based Studie Cannington</t>
  </si>
  <si>
    <t>BRIDGWATER</t>
  </si>
  <si>
    <t>TA5 2LS</t>
  </si>
  <si>
    <t>SC045338</t>
  </si>
  <si>
    <t>Foster Care Associates Midlands</t>
  </si>
  <si>
    <t>FCA Midlands</t>
  </si>
  <si>
    <t>Senate House Saxon Business Park,Hanbury Road, Stoke Prior</t>
  </si>
  <si>
    <t>BROMSGROVE</t>
  </si>
  <si>
    <t>B60 4AD</t>
  </si>
  <si>
    <t>SC045408</t>
  </si>
  <si>
    <t>SC045651</t>
  </si>
  <si>
    <t>Barnardo's Brighton &amp; Hove Link Plus</t>
  </si>
  <si>
    <t>Bizspace Knoll Business centre</t>
  </si>
  <si>
    <t>Office Unit C2 325-327 Old Shoreham Road</t>
  </si>
  <si>
    <t>SC046042</t>
  </si>
  <si>
    <t>The City of Sunderland College</t>
  </si>
  <si>
    <t>Kirkley Hall Kirkley</t>
  </si>
  <si>
    <t>NEWCASTLE UPON TYNE</t>
  </si>
  <si>
    <t>NE20 0AQ</t>
  </si>
  <si>
    <t>Northumberland College</t>
  </si>
  <si>
    <t>SC046276</t>
  </si>
  <si>
    <t>SC046480</t>
  </si>
  <si>
    <t>SC046524</t>
  </si>
  <si>
    <t>Sheffield, Hallam</t>
  </si>
  <si>
    <t>SC046577</t>
  </si>
  <si>
    <t>Hartpury College</t>
  </si>
  <si>
    <t>Hartpury House Hartpury</t>
  </si>
  <si>
    <t>GLOUCESTER</t>
  </si>
  <si>
    <t>GL19 3BE</t>
  </si>
  <si>
    <t>The Governing Body of Hartpury College</t>
  </si>
  <si>
    <t>SC047184</t>
  </si>
  <si>
    <t>Living Springs</t>
  </si>
  <si>
    <t>Barratts Coppice Farmhouse</t>
  </si>
  <si>
    <t xml:space="preserve">Bridgnorth Road  </t>
  </si>
  <si>
    <t>Stourton</t>
  </si>
  <si>
    <t>DY7 6QY</t>
  </si>
  <si>
    <t>SC047194</t>
  </si>
  <si>
    <t>St Michael's Fellowship</t>
  </si>
  <si>
    <t>46 Herne Hill</t>
  </si>
  <si>
    <t>SE24 9QP</t>
  </si>
  <si>
    <t>St .Michael's Fellowship</t>
  </si>
  <si>
    <t>SC047206</t>
  </si>
  <si>
    <t>St Michael's Fellowship, 52 Palace Road</t>
  </si>
  <si>
    <t>52 Palace Road</t>
  </si>
  <si>
    <t>SW2 3NJ</t>
  </si>
  <si>
    <t>Streatham</t>
  </si>
  <si>
    <t>SC047220</t>
  </si>
  <si>
    <t>Crawford House</t>
  </si>
  <si>
    <t xml:space="preserve">2 Terrapin Road  </t>
  </si>
  <si>
    <t>SW17 8QN</t>
  </si>
  <si>
    <t>SC047407</t>
  </si>
  <si>
    <t>By The Bridge</t>
  </si>
  <si>
    <t>The Oast House</t>
  </si>
  <si>
    <t>Wrens Road Borden</t>
  </si>
  <si>
    <t>Sittingbourne</t>
  </si>
  <si>
    <t>ME9 8JE</t>
  </si>
  <si>
    <t>By The Bridge Limited</t>
  </si>
  <si>
    <t>SC047483</t>
  </si>
  <si>
    <t>Mulberry House Care Homes Limited</t>
  </si>
  <si>
    <t>SC047520</t>
  </si>
  <si>
    <t>Dudley Lodge</t>
  </si>
  <si>
    <t>Dudley Lodge Family Assessment</t>
  </si>
  <si>
    <t xml:space="preserve">143 Warwick Road  </t>
  </si>
  <si>
    <t>COVENTRY</t>
  </si>
  <si>
    <t>CV3 6AT</t>
  </si>
  <si>
    <t>SC047548</t>
  </si>
  <si>
    <t>TACT Fostering - North West</t>
  </si>
  <si>
    <t>SC047677</t>
  </si>
  <si>
    <t>Foster Care Associates Thames Valley</t>
  </si>
  <si>
    <t>Wavendon Tower</t>
  </si>
  <si>
    <t>Wavendon Business Park Ortensia Drive</t>
  </si>
  <si>
    <t>MK17 8LX</t>
  </si>
  <si>
    <t>SC047894</t>
  </si>
  <si>
    <t>SC047978</t>
  </si>
  <si>
    <t>SC048349</t>
  </si>
  <si>
    <t xml:space="preserve">Adoption Matters </t>
  </si>
  <si>
    <t>14 Liverpool Road</t>
  </si>
  <si>
    <t>CHESTER</t>
  </si>
  <si>
    <t>CH2 1AE</t>
  </si>
  <si>
    <t>Adoption Matters</t>
  </si>
  <si>
    <t>SC048438</t>
  </si>
  <si>
    <t>Caritas Care (Head Office)</t>
  </si>
  <si>
    <t>SC048462</t>
  </si>
  <si>
    <t>Clifton Children's Society</t>
  </si>
  <si>
    <t xml:space="preserve">162 Pennywell Road  </t>
  </si>
  <si>
    <t>BS5 0TX</t>
  </si>
  <si>
    <t>Bristol West</t>
  </si>
  <si>
    <t>SC048496</t>
  </si>
  <si>
    <t>49 Mecklenburgh Square</t>
  </si>
  <si>
    <t>SC048508</t>
  </si>
  <si>
    <t>Quality Foster Care</t>
  </si>
  <si>
    <t>1st Floor</t>
  </si>
  <si>
    <t>Communication House 134-146 High Road</t>
  </si>
  <si>
    <t>SS7 5LD</t>
  </si>
  <si>
    <t>Quality Foster Care Limited</t>
  </si>
  <si>
    <t>SC048552</t>
  </si>
  <si>
    <t>Kedleston (Wings Education) Limited</t>
  </si>
  <si>
    <t>SC048718</t>
  </si>
  <si>
    <t>Jamma Umoja</t>
  </si>
  <si>
    <t>94 Plaistow Lane</t>
  </si>
  <si>
    <t xml:space="preserve">Bromley  </t>
  </si>
  <si>
    <t>BR1 3JE</t>
  </si>
  <si>
    <t>Jamma Umoja (Residential Services) Limited</t>
  </si>
  <si>
    <t>SC049010</t>
  </si>
  <si>
    <t>Yorkshire Adoption Agency Ltd</t>
  </si>
  <si>
    <t>Loversall Court</t>
  </si>
  <si>
    <t>Clayfields Tickhill Road</t>
  </si>
  <si>
    <t>Balby</t>
  </si>
  <si>
    <t>DN4 8QG</t>
  </si>
  <si>
    <t>SC049026</t>
  </si>
  <si>
    <t>Families for Children Adoption Agency</t>
  </si>
  <si>
    <t>Higher Mill</t>
  </si>
  <si>
    <t xml:space="preserve">Buckfast  </t>
  </si>
  <si>
    <t>Buckfastleigh</t>
  </si>
  <si>
    <t>TQ11 0EE</t>
  </si>
  <si>
    <t>Families for Children Trust</t>
  </si>
  <si>
    <t>SC049079</t>
  </si>
  <si>
    <t>Nugent Care</t>
  </si>
  <si>
    <t>6 Chain Lane</t>
  </si>
  <si>
    <t>ST. HELENS</t>
  </si>
  <si>
    <t>WA11 9RA</t>
  </si>
  <si>
    <t>SC049093</t>
  </si>
  <si>
    <t>Parents and Children Together - Reading Office</t>
  </si>
  <si>
    <t>P A C T</t>
  </si>
  <si>
    <t>7 Southern Court South Street</t>
  </si>
  <si>
    <t>RG1 4QS</t>
  </si>
  <si>
    <t>Parents and Children Together</t>
  </si>
  <si>
    <t>SC049096</t>
  </si>
  <si>
    <t>Foster Care Link</t>
  </si>
  <si>
    <t>66B Cazenove Road</t>
  </si>
  <si>
    <t xml:space="preserve">Stoke Newington  </t>
  </si>
  <si>
    <t>N16 6AA</t>
  </si>
  <si>
    <t>Hackney North and Stoke Newington</t>
  </si>
  <si>
    <t>SC049105</t>
  </si>
  <si>
    <t>SSAFA Forces Help Adoption Service</t>
  </si>
  <si>
    <t>SSAFA Forces Help</t>
  </si>
  <si>
    <t xml:space="preserve">4 Dunstans Hill  </t>
  </si>
  <si>
    <t>EC3R 8AD</t>
  </si>
  <si>
    <t>Cities of London and Westminster</t>
  </si>
  <si>
    <t>SSAFA Forces Help Enterprises Limited</t>
  </si>
  <si>
    <t>SC049107</t>
  </si>
  <si>
    <t>St Francis Children's Society</t>
  </si>
  <si>
    <t>Collis House</t>
  </si>
  <si>
    <t>48 Newport Road Woolstone</t>
  </si>
  <si>
    <t>MILTON KEYNES</t>
  </si>
  <si>
    <t>MK15 0AA</t>
  </si>
  <si>
    <t>Milton Keynes North</t>
  </si>
  <si>
    <t>St. Francis Children's Society</t>
  </si>
  <si>
    <t>SC049189</t>
  </si>
  <si>
    <t>SC049244</t>
  </si>
  <si>
    <t>Royal Grammar School</t>
  </si>
  <si>
    <t xml:space="preserve">Amersham Road  </t>
  </si>
  <si>
    <t>High Wycombe</t>
  </si>
  <si>
    <t>HP13 6QT</t>
  </si>
  <si>
    <t>Royal Grammar School High Wycombe</t>
  </si>
  <si>
    <t>SC049345</t>
  </si>
  <si>
    <t>Frewen College</t>
  </si>
  <si>
    <t>Frewen Educational Trust Ltd</t>
  </si>
  <si>
    <t>Frewen College Brickwall Rye Road, Northiam</t>
  </si>
  <si>
    <t>RYE</t>
  </si>
  <si>
    <t>TN31 6NL</t>
  </si>
  <si>
    <t>The Frewen Educational Trust Ltd</t>
  </si>
  <si>
    <t>SC050043</t>
  </si>
  <si>
    <t>Abbeyfield</t>
  </si>
  <si>
    <t>38 Christchurch Road</t>
  </si>
  <si>
    <t>S3 9HN</t>
  </si>
  <si>
    <t>SC050149</t>
  </si>
  <si>
    <t>Bellerbys College</t>
  </si>
  <si>
    <t>Bellerbys College Brighton and Hove</t>
  </si>
  <si>
    <t xml:space="preserve">1 Billinton Way  </t>
  </si>
  <si>
    <t>BN1 4LF</t>
  </si>
  <si>
    <t>Bellerbys Educational Services Limited</t>
  </si>
  <si>
    <t>SC050152</t>
  </si>
  <si>
    <t>Bowden House School</t>
  </si>
  <si>
    <t xml:space="preserve">Firle Road  </t>
  </si>
  <si>
    <t>SEAFORD</t>
  </si>
  <si>
    <t>BN25 2JB</t>
  </si>
  <si>
    <t>SC050351</t>
  </si>
  <si>
    <t>Michael Hall School</t>
  </si>
  <si>
    <t>Kidbrooke Mansion Kidbrooke Park</t>
  </si>
  <si>
    <t>FOREST ROW</t>
  </si>
  <si>
    <t>RH18 5JA</t>
  </si>
  <si>
    <t>Michael Hall School Ltd</t>
  </si>
  <si>
    <t>SC050366</t>
  </si>
  <si>
    <t>St. John's School (Seaford)</t>
  </si>
  <si>
    <t>Firle Road</t>
  </si>
  <si>
    <t>BN25 2HU</t>
  </si>
  <si>
    <t>St John's School</t>
  </si>
  <si>
    <t>SC050390</t>
  </si>
  <si>
    <t>St Mary's School and 6th Form College</t>
  </si>
  <si>
    <t>Wrestwood Road</t>
  </si>
  <si>
    <t>Bexhill-on-Sea</t>
  </si>
  <si>
    <t>TN40 2LU</t>
  </si>
  <si>
    <t>St Mary's school and sixth form college (part of the Talking Trust)</t>
  </si>
  <si>
    <t>SC050400</t>
  </si>
  <si>
    <t>Hamilton Lodge School</t>
  </si>
  <si>
    <t xml:space="preserve">7-9 Walpole Road  </t>
  </si>
  <si>
    <t>BN2 0LS</t>
  </si>
  <si>
    <t>SC050500</t>
  </si>
  <si>
    <t>TACT Fostering South West</t>
  </si>
  <si>
    <t>Vassall Centre</t>
  </si>
  <si>
    <t xml:space="preserve">Gill Avenue  </t>
  </si>
  <si>
    <t>BS16 2QQ</t>
  </si>
  <si>
    <t>SC050563</t>
  </si>
  <si>
    <t>Royal National College for the Blind</t>
  </si>
  <si>
    <t xml:space="preserve">Venns Lane  </t>
  </si>
  <si>
    <t>HR1 1DT</t>
  </si>
  <si>
    <t>SC050962</t>
  </si>
  <si>
    <t>Plumpton College</t>
  </si>
  <si>
    <t>Ditchling Road Plumpton</t>
  </si>
  <si>
    <t>LEWES</t>
  </si>
  <si>
    <t>BN7 3AE</t>
  </si>
  <si>
    <t>SC051421</t>
  </si>
  <si>
    <t>Action for Children - Adoption and Permanency Service Midlands</t>
  </si>
  <si>
    <t>Wheatfield Close</t>
  </si>
  <si>
    <t>B36 0QP</t>
  </si>
  <si>
    <t>SC051513</t>
  </si>
  <si>
    <t>SC051739</t>
  </si>
  <si>
    <t>SC051814</t>
  </si>
  <si>
    <t>Action for Children - Adoption and Permanency Service London</t>
  </si>
  <si>
    <t>231 Camberwell New Road</t>
  </si>
  <si>
    <t xml:space="preserve">London  </t>
  </si>
  <si>
    <t>SE5 0TH</t>
  </si>
  <si>
    <t>Camberwell and Peckham</t>
  </si>
  <si>
    <t>SC051816</t>
  </si>
  <si>
    <t>Action for Children - Adoption and Permanency Service South West</t>
  </si>
  <si>
    <t>SC051835</t>
  </si>
  <si>
    <t>Barnardo's - North East</t>
  </si>
  <si>
    <t>1 Lumley Court Drum Industrial Estate</t>
  </si>
  <si>
    <t>CHESTER LE STREET</t>
  </si>
  <si>
    <t>SC051836</t>
  </si>
  <si>
    <t>Barnardo's - Yorkshire</t>
  </si>
  <si>
    <t>Barnardos - Yorkshire</t>
  </si>
  <si>
    <t>Unit 6 Pavilion Business Park,Royds Hall Road (SUB BRANCH)</t>
  </si>
  <si>
    <t>LS12 6AJ</t>
  </si>
  <si>
    <t>SC051838</t>
  </si>
  <si>
    <t>Barnardo's - London, East &amp; South-East</t>
  </si>
  <si>
    <t xml:space="preserve">54 Head Street (SUB BRANCH)  </t>
  </si>
  <si>
    <t>CO1 1PB</t>
  </si>
  <si>
    <t>SC051840</t>
  </si>
  <si>
    <t>Barnardo's - Making Connections</t>
  </si>
  <si>
    <t>140 Balaam Street</t>
  </si>
  <si>
    <t xml:space="preserve">Plaistow (SUB BRANCH)  </t>
  </si>
  <si>
    <t>E13 8RD</t>
  </si>
  <si>
    <t>SC051856</t>
  </si>
  <si>
    <t>SC051886</t>
  </si>
  <si>
    <t>Crown House</t>
  </si>
  <si>
    <t>10 Abbey Road</t>
  </si>
  <si>
    <t>WR14 3HG</t>
  </si>
  <si>
    <t>SC051947</t>
  </si>
  <si>
    <t>SC052398</t>
  </si>
  <si>
    <t>The St Christopher School</t>
  </si>
  <si>
    <t>SC052588</t>
  </si>
  <si>
    <t>23 Haling Park Road</t>
  </si>
  <si>
    <t>SOUTH CROYDON</t>
  </si>
  <si>
    <t>CR2 6NJ</t>
  </si>
  <si>
    <t>SC052599</t>
  </si>
  <si>
    <t>Milton Keynes Council</t>
  </si>
  <si>
    <t>SC052744</t>
  </si>
  <si>
    <t>SC052946</t>
  </si>
  <si>
    <t>Care 2 Share 2 Ltd</t>
  </si>
  <si>
    <t>SC053145</t>
  </si>
  <si>
    <t>SC053344</t>
  </si>
  <si>
    <t>St. Andrew's Academy</t>
  </si>
  <si>
    <t>St. Andrew's School</t>
  </si>
  <si>
    <t xml:space="preserve">St. Andrew's View  </t>
  </si>
  <si>
    <t>DE21 4EW</t>
  </si>
  <si>
    <t>SC053529</t>
  </si>
  <si>
    <t>SC053859</t>
  </si>
  <si>
    <t>Jay Fostering</t>
  </si>
  <si>
    <t>Jay Fostering Ltd</t>
  </si>
  <si>
    <t>Unit I Edward House,Grange Business Park, Enderby Road, Whetstone</t>
  </si>
  <si>
    <t>LE8 6EP</t>
  </si>
  <si>
    <t>Jay Fostering Limited</t>
  </si>
  <si>
    <t>SC054201</t>
  </si>
  <si>
    <t>Reading School</t>
  </si>
  <si>
    <t>Main House Erleigh Road</t>
  </si>
  <si>
    <t>READING</t>
  </si>
  <si>
    <t>RG1 5LW</t>
  </si>
  <si>
    <t>SC054468</t>
  </si>
  <si>
    <t>SC054500</t>
  </si>
  <si>
    <t>Furrowfield School</t>
  </si>
  <si>
    <t>1 Furrowfield School</t>
  </si>
  <si>
    <t xml:space="preserve">Whitehill Drive  </t>
  </si>
  <si>
    <t>GATESHEAD</t>
  </si>
  <si>
    <t>NE10 9RZ</t>
  </si>
  <si>
    <t>SC054502</t>
  </si>
  <si>
    <t>Tyne Coast College</t>
  </si>
  <si>
    <t>St. Georges Avenue</t>
  </si>
  <si>
    <t>SOUTH SHIELDS</t>
  </si>
  <si>
    <t>NE34 6ET</t>
  </si>
  <si>
    <t>SC055089</t>
  </si>
  <si>
    <t>Wymondham College</t>
  </si>
  <si>
    <t xml:space="preserve">Administration Offices  </t>
  </si>
  <si>
    <t>WYMONDHAM</t>
  </si>
  <si>
    <t>NR18 9SZ</t>
  </si>
  <si>
    <t>Sapientia Education Trust</t>
  </si>
  <si>
    <t>SC055153</t>
  </si>
  <si>
    <t>Thunderbolt Mobile Limited</t>
  </si>
  <si>
    <t>SC055268</t>
  </si>
  <si>
    <t>Bishop Burton College</t>
  </si>
  <si>
    <t>York Road Bishop Burton</t>
  </si>
  <si>
    <t>BEVERLEY</t>
  </si>
  <si>
    <t>North Humberside</t>
  </si>
  <si>
    <t>HU17 8QG</t>
  </si>
  <si>
    <t>SC055672</t>
  </si>
  <si>
    <t>Boston College</t>
  </si>
  <si>
    <t xml:space="preserve">Skirbeck Road  </t>
  </si>
  <si>
    <t>BOSTON</t>
  </si>
  <si>
    <t>PE21 6JF</t>
  </si>
  <si>
    <t>SC055725</t>
  </si>
  <si>
    <t>Park Foster Care</t>
  </si>
  <si>
    <t>Park Foster Care Ltd</t>
  </si>
  <si>
    <t>APV House Speedwell Road,Parkhouse Industrial Estate</t>
  </si>
  <si>
    <t>Newcastle</t>
  </si>
  <si>
    <t>ST5 7RG</t>
  </si>
  <si>
    <t>SC055984</t>
  </si>
  <si>
    <t>Kings Mill School</t>
  </si>
  <si>
    <t>Victoria Road</t>
  </si>
  <si>
    <t>DRIFFIELD</t>
  </si>
  <si>
    <t>YO25 6UG</t>
  </si>
  <si>
    <t>SC056234</t>
  </si>
  <si>
    <t>Holly House School</t>
  </si>
  <si>
    <t xml:space="preserve">Church Street North Old Whittington  </t>
  </si>
  <si>
    <t>CHESTERFIELD</t>
  </si>
  <si>
    <t>S41 9QR</t>
  </si>
  <si>
    <t>SC056259</t>
  </si>
  <si>
    <t>SC056396</t>
  </si>
  <si>
    <t>Heathlands School</t>
  </si>
  <si>
    <t>Heathlands School for Deaf Children</t>
  </si>
  <si>
    <t xml:space="preserve">Heathlands Drive  </t>
  </si>
  <si>
    <t>ST. ALBANS</t>
  </si>
  <si>
    <t>AL3 5AY</t>
  </si>
  <si>
    <t>SC056397</t>
  </si>
  <si>
    <t>Hailey Hall School</t>
  </si>
  <si>
    <t>Hailey Hall Academy</t>
  </si>
  <si>
    <t xml:space="preserve">Hailey Lane  </t>
  </si>
  <si>
    <t>Hertford</t>
  </si>
  <si>
    <t>SG13 7PB</t>
  </si>
  <si>
    <t>Hailey Hall Academy Trust</t>
  </si>
  <si>
    <t>SC056408</t>
  </si>
  <si>
    <t>Falconer School</t>
  </si>
  <si>
    <t xml:space="preserve">Falconer Road  </t>
  </si>
  <si>
    <t>BUSHEY</t>
  </si>
  <si>
    <t>WD23 3AT</t>
  </si>
  <si>
    <t>SC056425</t>
  </si>
  <si>
    <t>Lonsdale School</t>
  </si>
  <si>
    <t>Brittain Way</t>
  </si>
  <si>
    <t>Stevenage</t>
  </si>
  <si>
    <t>SG2 8UT</t>
  </si>
  <si>
    <t>SC056442</t>
  </si>
  <si>
    <t>TACT Fostering - West Midlands</t>
  </si>
  <si>
    <t>SC056736</t>
  </si>
  <si>
    <t>St Anne's School and Sixth Form College</t>
  </si>
  <si>
    <t>St Helens Drive</t>
  </si>
  <si>
    <t>Welton</t>
  </si>
  <si>
    <t>Brough</t>
  </si>
  <si>
    <t>HU15 1NR</t>
  </si>
  <si>
    <t>SC057262</t>
  </si>
  <si>
    <t>Children Of Colour Ltd</t>
  </si>
  <si>
    <t>102 - 116 Windmill Road</t>
  </si>
  <si>
    <t>CR0 2XQ</t>
  </si>
  <si>
    <t>Children of Colour Ltd</t>
  </si>
  <si>
    <t>SC057703</t>
  </si>
  <si>
    <t>SC057718</t>
  </si>
  <si>
    <t>SC057804</t>
  </si>
  <si>
    <t>SC057840</t>
  </si>
  <si>
    <t>Futures for Children</t>
  </si>
  <si>
    <t>13/13a</t>
  </si>
  <si>
    <t>Radley Green Farm Radley Green</t>
  </si>
  <si>
    <t>Ingatestone</t>
  </si>
  <si>
    <t>CM4 0LU</t>
  </si>
  <si>
    <t>SC058077</t>
  </si>
  <si>
    <t>Bleasdale School</t>
  </si>
  <si>
    <t>27 Emesgate Lane Silverdale</t>
  </si>
  <si>
    <t>Carnforth</t>
  </si>
  <si>
    <t>LA5 0RG</t>
  </si>
  <si>
    <t>SC058603</t>
  </si>
  <si>
    <t>Anna House Limited</t>
  </si>
  <si>
    <t>SC058778</t>
  </si>
  <si>
    <t>SC058960</t>
  </si>
  <si>
    <t>Holbrook School for Autism</t>
  </si>
  <si>
    <t>Port Way Holbrook</t>
  </si>
  <si>
    <t>Belper</t>
  </si>
  <si>
    <t>DE56 0TE</t>
  </si>
  <si>
    <t>SC059037</t>
  </si>
  <si>
    <t>SC059180</t>
  </si>
  <si>
    <t>SC059203</t>
  </si>
  <si>
    <t>SC059221</t>
  </si>
  <si>
    <t>Causeway Care Homes Ltd</t>
  </si>
  <si>
    <t>SC059261</t>
  </si>
  <si>
    <t>Considerate Care Limited</t>
  </si>
  <si>
    <t>SC059635</t>
  </si>
  <si>
    <t>SC059709</t>
  </si>
  <si>
    <t>Myerscough College</t>
  </si>
  <si>
    <t>Myerscough Hall St. Michaels Road, Bilsborrow</t>
  </si>
  <si>
    <t>PR3 0RY</t>
  </si>
  <si>
    <t>SC059717</t>
  </si>
  <si>
    <t>SC059742</t>
  </si>
  <si>
    <t>Lorimer Foster Services</t>
  </si>
  <si>
    <t>2a Carrington Lane</t>
  </si>
  <si>
    <t>Sale</t>
  </si>
  <si>
    <t>M33 5ND</t>
  </si>
  <si>
    <t>Lorimer Foster Services Ltd</t>
  </si>
  <si>
    <t>SC059753</t>
  </si>
  <si>
    <t>SC059755</t>
  </si>
  <si>
    <t>SC059818</t>
  </si>
  <si>
    <t>Oaklands College</t>
  </si>
  <si>
    <t>Smallford Campus Oaklands</t>
  </si>
  <si>
    <t>AL4 0JA</t>
  </si>
  <si>
    <t>The Corporation of Oaklands College</t>
  </si>
  <si>
    <t>SC059842</t>
  </si>
  <si>
    <t>SC059853</t>
  </si>
  <si>
    <t>SC059998</t>
  </si>
  <si>
    <t>SC060034</t>
  </si>
  <si>
    <t>SC060131</t>
  </si>
  <si>
    <t>Acorn Fostering Services Limited</t>
  </si>
  <si>
    <t>80 Burleys Way</t>
  </si>
  <si>
    <t>LE1 3BD</t>
  </si>
  <si>
    <t>SC060354</t>
  </si>
  <si>
    <t>Cranbrook School</t>
  </si>
  <si>
    <t xml:space="preserve">Waterloo Road  </t>
  </si>
  <si>
    <t>Cranbrook</t>
  </si>
  <si>
    <t>TN17 3JD</t>
  </si>
  <si>
    <t>Cranbrook School Academy Trust</t>
  </si>
  <si>
    <t>SC060386</t>
  </si>
  <si>
    <t>Heath Farm Children's Services</t>
  </si>
  <si>
    <t>Marlowe House</t>
  </si>
  <si>
    <t xml:space="preserve">Chaucer Business Park  </t>
  </si>
  <si>
    <t>CT5 3FE</t>
  </si>
  <si>
    <t>Heath Farm Family Services Ltd</t>
  </si>
  <si>
    <t>SC060545</t>
  </si>
  <si>
    <t>Laurel Leaf Homes Ltd</t>
  </si>
  <si>
    <t>SC060554</t>
  </si>
  <si>
    <t>SC060590</t>
  </si>
  <si>
    <t>SC060642</t>
  </si>
  <si>
    <t>Priestly Court</t>
  </si>
  <si>
    <t>Gillette Close Staffordshire Technology Park, Beaconside</t>
  </si>
  <si>
    <t>ST18 0LQ</t>
  </si>
  <si>
    <t>SC060698</t>
  </si>
  <si>
    <t>Unit 3 &amp; 4</t>
  </si>
  <si>
    <t>Shepcote Office Village Shepcote Lane</t>
  </si>
  <si>
    <t>S9 1TG</t>
  </si>
  <si>
    <t>SC060743</t>
  </si>
  <si>
    <t>SC060750</t>
  </si>
  <si>
    <t>Lifetime Opportunities Ltd</t>
  </si>
  <si>
    <t>SC060811</t>
  </si>
  <si>
    <t>SC060839</t>
  </si>
  <si>
    <t>SC060936</t>
  </si>
  <si>
    <t>West Suffolk</t>
  </si>
  <si>
    <t>Broadlands Hall Ltd</t>
  </si>
  <si>
    <t>SC060967</t>
  </si>
  <si>
    <t>Asphaleia Ltd</t>
  </si>
  <si>
    <t>22 Liverpool Gardens</t>
  </si>
  <si>
    <t>Worthing</t>
  </si>
  <si>
    <t>BN11 1RY</t>
  </si>
  <si>
    <t>SC061005</t>
  </si>
  <si>
    <t>SC061158</t>
  </si>
  <si>
    <t>SC061177</t>
  </si>
  <si>
    <t>Sparsholt College Hampshire</t>
  </si>
  <si>
    <t>Sparsholt College</t>
  </si>
  <si>
    <t xml:space="preserve">Sparsholt  </t>
  </si>
  <si>
    <t>SO21 2NF</t>
  </si>
  <si>
    <t>Sparsholt College Governing Body</t>
  </si>
  <si>
    <t>SC061220</t>
  </si>
  <si>
    <t>St George's School</t>
  </si>
  <si>
    <t>Sun Lane</t>
  </si>
  <si>
    <t>Harpenden</t>
  </si>
  <si>
    <t>AL5 4TD</t>
  </si>
  <si>
    <t>St George's School, Harpenden Academy Trust</t>
  </si>
  <si>
    <t>SC061232</t>
  </si>
  <si>
    <t>SC061273</t>
  </si>
  <si>
    <t>Eastleigh College (College House)</t>
  </si>
  <si>
    <t>Shepherds Lane</t>
  </si>
  <si>
    <t xml:space="preserve">Compton  </t>
  </si>
  <si>
    <t>SO21 2AB</t>
  </si>
  <si>
    <t>SC061317</t>
  </si>
  <si>
    <t>Foster Care Associates Eastern</t>
  </si>
  <si>
    <t>Beacon Innovation Centre</t>
  </si>
  <si>
    <t>Beacon Park Gorleston-on-Sea</t>
  </si>
  <si>
    <t>NR31 7RA</t>
  </si>
  <si>
    <t>SC061438</t>
  </si>
  <si>
    <t>Crossway Services Limited</t>
  </si>
  <si>
    <t>SC061439</t>
  </si>
  <si>
    <t>SC061678</t>
  </si>
  <si>
    <t>Care Assist Children's Services Limited</t>
  </si>
  <si>
    <t>SC061727</t>
  </si>
  <si>
    <t>Pontville Residential School</t>
  </si>
  <si>
    <t>Pontville School</t>
  </si>
  <si>
    <t xml:space="preserve">Black Moss Lane  </t>
  </si>
  <si>
    <t>ORMSKIRK</t>
  </si>
  <si>
    <t>L39 4TW</t>
  </si>
  <si>
    <t>SC061728</t>
  </si>
  <si>
    <t>Hockerill Anglo European-College</t>
  </si>
  <si>
    <t>Hockerill Anglo European College</t>
  </si>
  <si>
    <t>BISHOP'S STORTFORD</t>
  </si>
  <si>
    <t>CM23 5HX</t>
  </si>
  <si>
    <t>Hockerill College Academy Trust</t>
  </si>
  <si>
    <t>SC061740</t>
  </si>
  <si>
    <t>Fostering Matters Ltd</t>
  </si>
  <si>
    <t>10 College Green</t>
  </si>
  <si>
    <t xml:space="preserve">GL1 2:LX  </t>
  </si>
  <si>
    <t>GL1 2LX</t>
  </si>
  <si>
    <t>FosteringMatters Limited</t>
  </si>
  <si>
    <t>SC061795</t>
  </si>
  <si>
    <t>SC061803</t>
  </si>
  <si>
    <t>SC061810</t>
  </si>
  <si>
    <t>SC061837</t>
  </si>
  <si>
    <t>Archways Care Ltd</t>
  </si>
  <si>
    <t>SC061878</t>
  </si>
  <si>
    <t>SC061924</t>
  </si>
  <si>
    <t>Progressive Futures Care Limited</t>
  </si>
  <si>
    <t>SC061984</t>
  </si>
  <si>
    <t>Wellcare Fostering Services</t>
  </si>
  <si>
    <t>Suite 504</t>
  </si>
  <si>
    <t>Wellcare Fostering Services Limited company number 04963908</t>
  </si>
  <si>
    <t>SC062013</t>
  </si>
  <si>
    <t>SC062074</t>
  </si>
  <si>
    <t>SC062079</t>
  </si>
  <si>
    <t>The Children's Trust</t>
  </si>
  <si>
    <t>SC062080</t>
  </si>
  <si>
    <t>Following Whispers Family Service Consultancy Ltd</t>
  </si>
  <si>
    <t>Investaco House Unit 14</t>
  </si>
  <si>
    <t>Invicta Way Manston Park</t>
  </si>
  <si>
    <t>CT12 5FD</t>
  </si>
  <si>
    <t>Following Whispers Family Service Consultancy Limited</t>
  </si>
  <si>
    <t>SC062128</t>
  </si>
  <si>
    <t>Brentford and Isleworth</t>
  </si>
  <si>
    <t>SC062223</t>
  </si>
  <si>
    <t>SC062248</t>
  </si>
  <si>
    <t>SC062263</t>
  </si>
  <si>
    <t>SC062268</t>
  </si>
  <si>
    <t>SC062309</t>
  </si>
  <si>
    <t>SC062317</t>
  </si>
  <si>
    <t>SC062448</t>
  </si>
  <si>
    <t>John Leggott College</t>
  </si>
  <si>
    <t xml:space="preserve">West Common Lane  </t>
  </si>
  <si>
    <t>DN17 1DS</t>
  </si>
  <si>
    <t>SC062487</t>
  </si>
  <si>
    <t>Five Rivers Fostering Service - West Country</t>
  </si>
  <si>
    <t xml:space="preserve">Threemilestone Business Park  </t>
  </si>
  <si>
    <t>TR4 9LD</t>
  </si>
  <si>
    <t>SC062536</t>
  </si>
  <si>
    <t>SC062573</t>
  </si>
  <si>
    <t>SC062651</t>
  </si>
  <si>
    <t>SC062674</t>
  </si>
  <si>
    <t>SC062695</t>
  </si>
  <si>
    <t>Diverse Care</t>
  </si>
  <si>
    <t>Quayside House</t>
  </si>
  <si>
    <t>Quayside Chatham Maritime</t>
  </si>
  <si>
    <t>ME4 4QZ</t>
  </si>
  <si>
    <t>Diverse Care (UK) Ltd</t>
  </si>
  <si>
    <t>SC062785</t>
  </si>
  <si>
    <t>SC062786</t>
  </si>
  <si>
    <t xml:space="preserve">Five Rivers Fostering Service - Midlands and the North </t>
  </si>
  <si>
    <t>Studio Suites</t>
  </si>
  <si>
    <t>H J &amp; K Market Hall, Market Place</t>
  </si>
  <si>
    <t>S40 1AR</t>
  </si>
  <si>
    <t>SC062851</t>
  </si>
  <si>
    <t>Peter Symonds College</t>
  </si>
  <si>
    <t xml:space="preserve">Owens Road  </t>
  </si>
  <si>
    <t>WINCHESTER</t>
  </si>
  <si>
    <t>SO22 6RX</t>
  </si>
  <si>
    <t>SC062931</t>
  </si>
  <si>
    <t>SC062999</t>
  </si>
  <si>
    <t>Regional Foster Families Ltd   (South West)</t>
  </si>
  <si>
    <t xml:space="preserve">15 Frogmore Avenue  </t>
  </si>
  <si>
    <t>PL6 5XH</t>
  </si>
  <si>
    <t>Regional Foster Families Ltd</t>
  </si>
  <si>
    <t>SC063103</t>
  </si>
  <si>
    <t>SC063110</t>
  </si>
  <si>
    <t>SC063116</t>
  </si>
  <si>
    <t>SC063219</t>
  </si>
  <si>
    <t>SC063259</t>
  </si>
  <si>
    <t>SES Avocet Limited</t>
  </si>
  <si>
    <t>SC063284</t>
  </si>
  <si>
    <t>SC063318</t>
  </si>
  <si>
    <t>Good Foundations Limited</t>
  </si>
  <si>
    <t>SC063380</t>
  </si>
  <si>
    <t>SC063498</t>
  </si>
  <si>
    <t>SC063550</t>
  </si>
  <si>
    <t>SC063551</t>
  </si>
  <si>
    <t>Fostering Options</t>
  </si>
  <si>
    <t>Hayfield Farm</t>
  </si>
  <si>
    <t>Berry Lane Aspley Guise</t>
  </si>
  <si>
    <t>MK17 8HS</t>
  </si>
  <si>
    <t>Fostering Options Limited</t>
  </si>
  <si>
    <t>SC063653</t>
  </si>
  <si>
    <t>SC063673</t>
  </si>
  <si>
    <t>SC063683</t>
  </si>
  <si>
    <t>SC063688</t>
  </si>
  <si>
    <t xml:space="preserve">TACT Fostering </t>
  </si>
  <si>
    <t>303 Hither Green Lane</t>
  </si>
  <si>
    <t>SE13 6TJ</t>
  </si>
  <si>
    <t>SC063689</t>
  </si>
  <si>
    <t>SC063767</t>
  </si>
  <si>
    <t>SC063794</t>
  </si>
  <si>
    <t>SC063813</t>
  </si>
  <si>
    <t>SC063814</t>
  </si>
  <si>
    <t>SC063815</t>
  </si>
  <si>
    <t>SC063883</t>
  </si>
  <si>
    <t>SC063895</t>
  </si>
  <si>
    <t>SC063978</t>
  </si>
  <si>
    <t>SC063997</t>
  </si>
  <si>
    <t>SC064011</t>
  </si>
  <si>
    <t>SC064027</t>
  </si>
  <si>
    <t>Delam Care Limited</t>
  </si>
  <si>
    <t>SC064050</t>
  </si>
  <si>
    <t>SC064081</t>
  </si>
  <si>
    <t>SC064113</t>
  </si>
  <si>
    <t>Time out Fostering</t>
  </si>
  <si>
    <t>Unit 17</t>
  </si>
  <si>
    <t>Oaklands Business Park 64-68 Elm Grove</t>
  </si>
  <si>
    <t>BN11 5LH</t>
  </si>
  <si>
    <t>Time Out Fostering Limited</t>
  </si>
  <si>
    <t>SC064117</t>
  </si>
  <si>
    <t>SC064182</t>
  </si>
  <si>
    <t>Lodge Group Care UK Limited</t>
  </si>
  <si>
    <t>SC064220</t>
  </si>
  <si>
    <t>Blue Sky Fostering</t>
  </si>
  <si>
    <t>Broadwater House</t>
  </si>
  <si>
    <t xml:space="preserve">Broadwater Road  </t>
  </si>
  <si>
    <t>SO51 8GT</t>
  </si>
  <si>
    <t>Blue Sky Fostering Limited</t>
  </si>
  <si>
    <t>SC064273</t>
  </si>
  <si>
    <t>Action for Children Family Breaks Devon &amp; Fostering Southwest Peninsula</t>
  </si>
  <si>
    <t>8 Powderham House</t>
  </si>
  <si>
    <t>Park Five Harrier Way</t>
  </si>
  <si>
    <t>EX2 7HU</t>
  </si>
  <si>
    <t>SC064428</t>
  </si>
  <si>
    <t>Keys Active 8 Care Ltd</t>
  </si>
  <si>
    <t>SC064454</t>
  </si>
  <si>
    <t>Penistone and Stocksbridge</t>
  </si>
  <si>
    <t>SC064472</t>
  </si>
  <si>
    <t>SC064500</t>
  </si>
  <si>
    <t>SC064530</t>
  </si>
  <si>
    <t>SC064557</t>
  </si>
  <si>
    <t>SC064573</t>
  </si>
  <si>
    <t>SC064663</t>
  </si>
  <si>
    <t>Mr Jim Buchanan &amp; Mrs Ivy Thompson</t>
  </si>
  <si>
    <t>SC064666</t>
  </si>
  <si>
    <t>SC064735</t>
  </si>
  <si>
    <t>SC064836</t>
  </si>
  <si>
    <t>SC064858</t>
  </si>
  <si>
    <t>SC064929</t>
  </si>
  <si>
    <t>Talawa Fostering Services</t>
  </si>
  <si>
    <t>319 Baker Street</t>
  </si>
  <si>
    <t>ENFIELD</t>
  </si>
  <si>
    <t>EN1 3LF</t>
  </si>
  <si>
    <t>Talawa Fostering Services Limited</t>
  </si>
  <si>
    <t>SC064931</t>
  </si>
  <si>
    <t>SC064934</t>
  </si>
  <si>
    <t>SC065046</t>
  </si>
  <si>
    <t>SC065059</t>
  </si>
  <si>
    <t>SC065067</t>
  </si>
  <si>
    <t>SC065071</t>
  </si>
  <si>
    <t>Hopscotch Solutions Limited</t>
  </si>
  <si>
    <t>SC065072</t>
  </si>
  <si>
    <t>SC065118</t>
  </si>
  <si>
    <t>St Bernard's School</t>
  </si>
  <si>
    <t>St. Bernards House</t>
  </si>
  <si>
    <t xml:space="preserve">Wood Lane  </t>
  </si>
  <si>
    <t>Louth</t>
  </si>
  <si>
    <t>LN11 8RS</t>
  </si>
  <si>
    <t>Louth and Horncastle</t>
  </si>
  <si>
    <t>Lincolnshire Wolds Community Trust</t>
  </si>
  <si>
    <t>SC065119</t>
  </si>
  <si>
    <t>Orchard Care (North East)</t>
  </si>
  <si>
    <t>Unit 12</t>
  </si>
  <si>
    <t>City West Business Park St. Johns Road, Meadowfield Industrial Estate</t>
  </si>
  <si>
    <t>DURHAM</t>
  </si>
  <si>
    <t>DH7 8ER</t>
  </si>
  <si>
    <t>Orchard Care (North East) Limited</t>
  </si>
  <si>
    <t>SC065129</t>
  </si>
  <si>
    <t>SC065189</t>
  </si>
  <si>
    <t>SC065261</t>
  </si>
  <si>
    <t>SC065313</t>
  </si>
  <si>
    <t>SC065333</t>
  </si>
  <si>
    <t>1st Floor Longford House</t>
  </si>
  <si>
    <t xml:space="preserve">Hall Street  </t>
  </si>
  <si>
    <t>Heywood</t>
  </si>
  <si>
    <t>OL10 1DP</t>
  </si>
  <si>
    <t>Capstone Foster Care (North) Ltd</t>
  </si>
  <si>
    <t>SC065374</t>
  </si>
  <si>
    <t>Care Haven (UK) Ltd</t>
  </si>
  <si>
    <t>SC065378</t>
  </si>
  <si>
    <t>SC065478</t>
  </si>
  <si>
    <t>SC065517</t>
  </si>
  <si>
    <t>SC065535</t>
  </si>
  <si>
    <t>S P Homes Limited</t>
  </si>
  <si>
    <t>SC065552</t>
  </si>
  <si>
    <t>SC065553</t>
  </si>
  <si>
    <t>SC065614</t>
  </si>
  <si>
    <t>Fosterplus</t>
  </si>
  <si>
    <t>Fosterplus Limited</t>
  </si>
  <si>
    <t>Wavendon Tower Ortensia Drive,Wavendon</t>
  </si>
  <si>
    <t>SC065679</t>
  </si>
  <si>
    <t>SC065684</t>
  </si>
  <si>
    <t>SC065730</t>
  </si>
  <si>
    <t>SC065772</t>
  </si>
  <si>
    <t>Compass Fostering Central Ltd</t>
  </si>
  <si>
    <t>Compass Children's Homes Limited</t>
  </si>
  <si>
    <t>3 Rayns Way Syston</t>
  </si>
  <si>
    <t>LE7 1PF</t>
  </si>
  <si>
    <t>Compass Fostering Central Limited</t>
  </si>
  <si>
    <t>SC065780</t>
  </si>
  <si>
    <t>SC065789</t>
  </si>
  <si>
    <t>SC065792</t>
  </si>
  <si>
    <t>SC065855</t>
  </si>
  <si>
    <t>SC065883</t>
  </si>
  <si>
    <t>SC066010</t>
  </si>
  <si>
    <t>SC066048</t>
  </si>
  <si>
    <t>SC066055</t>
  </si>
  <si>
    <t>SC066072</t>
  </si>
  <si>
    <t>SC066115</t>
  </si>
  <si>
    <t>Keys ACE Limited</t>
  </si>
  <si>
    <t>SC066120</t>
  </si>
  <si>
    <t>SC066127</t>
  </si>
  <si>
    <t>SC066129</t>
  </si>
  <si>
    <t>Fairport Care Services Ltd</t>
  </si>
  <si>
    <t>SC066179</t>
  </si>
  <si>
    <t>SC066183</t>
  </si>
  <si>
    <t>SC066185</t>
  </si>
  <si>
    <t>SC066187</t>
  </si>
  <si>
    <t>SC066218</t>
  </si>
  <si>
    <t>Essandore Limited</t>
  </si>
  <si>
    <t>SC066242</t>
  </si>
  <si>
    <t>SC066250</t>
  </si>
  <si>
    <t>SC066277</t>
  </si>
  <si>
    <t>SC066393</t>
  </si>
  <si>
    <t>SC066400</t>
  </si>
  <si>
    <t>Nexus Fostering</t>
  </si>
  <si>
    <t>4 Jardine House</t>
  </si>
  <si>
    <t>Bessborough Road</t>
  </si>
  <si>
    <t>HA1 3EX</t>
  </si>
  <si>
    <t>Nexus Fostering Ltd</t>
  </si>
  <si>
    <t>SC066428</t>
  </si>
  <si>
    <t>SC066458</t>
  </si>
  <si>
    <t>SC066466</t>
  </si>
  <si>
    <t>The Cuckfield Care Consultancy Limited</t>
  </si>
  <si>
    <t>SC066469</t>
  </si>
  <si>
    <t>SC066481</t>
  </si>
  <si>
    <t>SC066501</t>
  </si>
  <si>
    <t>By the Bridge North West</t>
  </si>
  <si>
    <t>The Barn</t>
  </si>
  <si>
    <t>Beech Farm 122 Hollin Lane</t>
  </si>
  <si>
    <t>Styal</t>
  </si>
  <si>
    <t>SK9 4LD</t>
  </si>
  <si>
    <t>By the Bridge North West Limited</t>
  </si>
  <si>
    <t>SC066502</t>
  </si>
  <si>
    <t>Gawber Road</t>
  </si>
  <si>
    <t>32 Gawber Road</t>
  </si>
  <si>
    <t>BARNSLEY</t>
  </si>
  <si>
    <t>S75 2AF</t>
  </si>
  <si>
    <t>Twenty Four-Seven High Support Accommodation for Young People Limited</t>
  </si>
  <si>
    <t>SC066535</t>
  </si>
  <si>
    <t>Orchard House Family Assessment Centre</t>
  </si>
  <si>
    <t>Orchard House</t>
  </si>
  <si>
    <t xml:space="preserve">Fons George  </t>
  </si>
  <si>
    <t>TAUNTON</t>
  </si>
  <si>
    <t>TA1 3JS</t>
  </si>
  <si>
    <t>Orchard House Family Assessment Centre Limited</t>
  </si>
  <si>
    <t>SC066560</t>
  </si>
  <si>
    <t>SC066565</t>
  </si>
  <si>
    <t>Options Autism (1) Limited</t>
  </si>
  <si>
    <t>SC066651</t>
  </si>
  <si>
    <t>SC066668</t>
  </si>
  <si>
    <t>Safehouses Fostering</t>
  </si>
  <si>
    <t>The Fleece</t>
  </si>
  <si>
    <t>41 Oldham Road Denshaw</t>
  </si>
  <si>
    <t>OL3 5SS</t>
  </si>
  <si>
    <t>Safehouses North Limited</t>
  </si>
  <si>
    <t>SC066736</t>
  </si>
  <si>
    <t>Guildford College - Merrist Wood Campus</t>
  </si>
  <si>
    <t>Merrist Wood College</t>
  </si>
  <si>
    <t xml:space="preserve">Worplesdon  </t>
  </si>
  <si>
    <t>GU3 3PE</t>
  </si>
  <si>
    <t>Guildford College</t>
  </si>
  <si>
    <t>SC066747</t>
  </si>
  <si>
    <t>SC066796</t>
  </si>
  <si>
    <t>SC066812</t>
  </si>
  <si>
    <t>Cornerstone North East Fostering Service</t>
  </si>
  <si>
    <t>Room 2</t>
  </si>
  <si>
    <t>Oxford House Sixth Avenue,Doncaster Finningley Airport</t>
  </si>
  <si>
    <t>DN9 3GG</t>
  </si>
  <si>
    <t>Cornerstone North East Fostering And Adoption Service</t>
  </si>
  <si>
    <t>SC066821</t>
  </si>
  <si>
    <t>Cambian Whinfell School Ltd</t>
  </si>
  <si>
    <t>SC066883</t>
  </si>
  <si>
    <t>An Independent Social Work/Play Therapy Service</t>
  </si>
  <si>
    <t>1 Beacon Mews</t>
  </si>
  <si>
    <t xml:space="preserve">South Road  </t>
  </si>
  <si>
    <t>WEYBRIDGE</t>
  </si>
  <si>
    <t>KT13 9DZ</t>
  </si>
  <si>
    <t>SC066897</t>
  </si>
  <si>
    <t>SC066912</t>
  </si>
  <si>
    <t>Oracle Care Limited</t>
  </si>
  <si>
    <t>SC066916</t>
  </si>
  <si>
    <t>SC066917</t>
  </si>
  <si>
    <t>SC066944</t>
  </si>
  <si>
    <t>Cornerstone</t>
  </si>
  <si>
    <t>SC066981</t>
  </si>
  <si>
    <t>PAC-UK</t>
  </si>
  <si>
    <t>Hollyshaw House</t>
  </si>
  <si>
    <t xml:space="preserve">2 Hollyshaw Lane  </t>
  </si>
  <si>
    <t>LEEDS</t>
  </si>
  <si>
    <t>LS15 7BD</t>
  </si>
  <si>
    <t>PAC-UK Ltd</t>
  </si>
  <si>
    <t>SC067151</t>
  </si>
  <si>
    <t>SC067198</t>
  </si>
  <si>
    <t>The Children's Society</t>
  </si>
  <si>
    <t>Whitecross studios</t>
  </si>
  <si>
    <t xml:space="preserve">50 Banner street  </t>
  </si>
  <si>
    <t>EC1Y 8ST</t>
  </si>
  <si>
    <t>The Children's Society (Services) Limited</t>
  </si>
  <si>
    <t>SC067331</t>
  </si>
  <si>
    <t>Care 2 Share</t>
  </si>
  <si>
    <t>19 St. Mary Road</t>
  </si>
  <si>
    <t xml:space="preserve">Walthamstow  </t>
  </si>
  <si>
    <t>E17 9RG</t>
  </si>
  <si>
    <t>SC067361</t>
  </si>
  <si>
    <t xml:space="preserve">9 Church Street  </t>
  </si>
  <si>
    <t>Chesham</t>
  </si>
  <si>
    <t>HP5 1HS</t>
  </si>
  <si>
    <t>SC067414</t>
  </si>
  <si>
    <t>Leslie Ironside</t>
  </si>
  <si>
    <t>35 Clermont Terrace</t>
  </si>
  <si>
    <t>BRIGHTON</t>
  </si>
  <si>
    <t>BN1 6SJ</t>
  </si>
  <si>
    <t>SC067431</t>
  </si>
  <si>
    <t>ISP Enfield</t>
  </si>
  <si>
    <t>I S P</t>
  </si>
  <si>
    <t xml:space="preserve">64a Church Street  </t>
  </si>
  <si>
    <t>EN2 6AX</t>
  </si>
  <si>
    <t>Enfield, Southgate</t>
  </si>
  <si>
    <t>SC067561</t>
  </si>
  <si>
    <t>SC067674</t>
  </si>
  <si>
    <t>Joanna North Associates</t>
  </si>
  <si>
    <t>Joanna North (Associates) Limited</t>
  </si>
  <si>
    <t>SC067753</t>
  </si>
  <si>
    <t>SC067757</t>
  </si>
  <si>
    <t>SC067771</t>
  </si>
  <si>
    <t>SC067795</t>
  </si>
  <si>
    <t>Parallel Parents</t>
  </si>
  <si>
    <t>Care Today Childrens Services</t>
  </si>
  <si>
    <t>Lansdowne House 85 Buxton Road</t>
  </si>
  <si>
    <t>SK2 6LR</t>
  </si>
  <si>
    <t>SC067796</t>
  </si>
  <si>
    <t>St Cuthberts Care Post Adoption Support Agency</t>
  </si>
  <si>
    <t>SC067810</t>
  </si>
  <si>
    <t>SC067839</t>
  </si>
  <si>
    <t>SC067865</t>
  </si>
  <si>
    <t>SC067895</t>
  </si>
  <si>
    <t>SC067899</t>
  </si>
  <si>
    <t>SC068000</t>
  </si>
  <si>
    <t>SC068032</t>
  </si>
  <si>
    <t>SC068046</t>
  </si>
  <si>
    <t>SC068076</t>
  </si>
  <si>
    <t>SC068179</t>
  </si>
  <si>
    <t>SC068206</t>
  </si>
  <si>
    <t>SC068243</t>
  </si>
  <si>
    <t>SC068261</t>
  </si>
  <si>
    <t>Mangrove Care Limited</t>
  </si>
  <si>
    <t>SC068272</t>
  </si>
  <si>
    <t>SC068410</t>
  </si>
  <si>
    <t>SC068456</t>
  </si>
  <si>
    <t>Barnardo's Fostering Service</t>
  </si>
  <si>
    <t>Pavilion Business Park Royds Hall Road</t>
  </si>
  <si>
    <t>SC068494</t>
  </si>
  <si>
    <t>Quality Fostering</t>
  </si>
  <si>
    <t>1st &amp; 2nd Floor (at the rear of)</t>
  </si>
  <si>
    <t xml:space="preserve">45 Russell Street  </t>
  </si>
  <si>
    <t>Leamington Spa</t>
  </si>
  <si>
    <t>CV32 5QB</t>
  </si>
  <si>
    <t>Quality Fostering Limited</t>
  </si>
  <si>
    <t>SC068511</t>
  </si>
  <si>
    <t>SC068559</t>
  </si>
  <si>
    <t>PJL Healthcare Limited</t>
  </si>
  <si>
    <t>SC068664</t>
  </si>
  <si>
    <t>SC068789</t>
  </si>
  <si>
    <t>SC068803</t>
  </si>
  <si>
    <t>SC068827</t>
  </si>
  <si>
    <t>SC068832</t>
  </si>
  <si>
    <t>Integrate Families</t>
  </si>
  <si>
    <t>Unit 2A</t>
  </si>
  <si>
    <t>Croft Head Business Park Dale Street</t>
  </si>
  <si>
    <t>HD8 9BQ</t>
  </si>
  <si>
    <t>Renee P Marks Associates Ltd</t>
  </si>
  <si>
    <t>SC068929</t>
  </si>
  <si>
    <t>SC068955</t>
  </si>
  <si>
    <t>SC068991</t>
  </si>
  <si>
    <t>M.J. Childrens Services Limited</t>
  </si>
  <si>
    <t>SC069128</t>
  </si>
  <si>
    <t>SC069176</t>
  </si>
  <si>
    <t>Oakfields Children's Care Limited</t>
  </si>
  <si>
    <t>SC069178</t>
  </si>
  <si>
    <t>SC069198</t>
  </si>
  <si>
    <t>SC069231</t>
  </si>
  <si>
    <t>Wilds Lodge School</t>
  </si>
  <si>
    <t>Stamford Road</t>
  </si>
  <si>
    <t xml:space="preserve">Empingham  </t>
  </si>
  <si>
    <t>Oakham</t>
  </si>
  <si>
    <t>LE15 8QQ</t>
  </si>
  <si>
    <t>Cavendish Education</t>
  </si>
  <si>
    <t>SC069293</t>
  </si>
  <si>
    <t>SC069335</t>
  </si>
  <si>
    <t>Alpha Plus Fostering Limited</t>
  </si>
  <si>
    <t>Chambers Business Center</t>
  </si>
  <si>
    <t xml:space="preserve">Chapel Road  </t>
  </si>
  <si>
    <t>OL8 4QQ</t>
  </si>
  <si>
    <t>SC069336</t>
  </si>
  <si>
    <t>Prior's Court Foundation</t>
  </si>
  <si>
    <t>SC069455</t>
  </si>
  <si>
    <t>St. Christopher's Fostering</t>
  </si>
  <si>
    <t>4 Viewpoint Office Village</t>
  </si>
  <si>
    <t xml:space="preserve">Babbage Road  </t>
  </si>
  <si>
    <t>SG1 2EQ</t>
  </si>
  <si>
    <t>SC069474</t>
  </si>
  <si>
    <t>SC069618</t>
  </si>
  <si>
    <t>SC355755</t>
  </si>
  <si>
    <t>SC355839</t>
  </si>
  <si>
    <t>SC356318</t>
  </si>
  <si>
    <t>SC356327</t>
  </si>
  <si>
    <t>SC356565</t>
  </si>
  <si>
    <t>Eagle Children's Home</t>
  </si>
  <si>
    <t>SC356604</t>
  </si>
  <si>
    <t>SC356817</t>
  </si>
  <si>
    <t>SC356864</t>
  </si>
  <si>
    <t>SC356868</t>
  </si>
  <si>
    <t>SC356907</t>
  </si>
  <si>
    <t>SC356929</t>
  </si>
  <si>
    <t>SC356963</t>
  </si>
  <si>
    <t>SC357077</t>
  </si>
  <si>
    <t>SC357133</t>
  </si>
  <si>
    <t>SC357455</t>
  </si>
  <si>
    <t>Woodside House Care Ltd</t>
  </si>
  <si>
    <t>SC357468</t>
  </si>
  <si>
    <t>SC357652</t>
  </si>
  <si>
    <t>Phoenix Fostering</t>
  </si>
  <si>
    <t>Queens Meadow Wigmore</t>
  </si>
  <si>
    <t>Leominster</t>
  </si>
  <si>
    <t>HR6 9UZ</t>
  </si>
  <si>
    <t>SC357979</t>
  </si>
  <si>
    <t>SC357981</t>
  </si>
  <si>
    <t>SC358046</t>
  </si>
  <si>
    <t>The Senad Group Limited</t>
  </si>
  <si>
    <t>SC358349</t>
  </si>
  <si>
    <t>SC358638</t>
  </si>
  <si>
    <t>SC358729</t>
  </si>
  <si>
    <t>Pavilion Business Park Royds Hall Road; Wortley</t>
  </si>
  <si>
    <t>SC359792</t>
  </si>
  <si>
    <t>Melanie Waddy</t>
  </si>
  <si>
    <t>39 Cranley Gardens</t>
  </si>
  <si>
    <t>N10 3AB</t>
  </si>
  <si>
    <t>SC359818</t>
  </si>
  <si>
    <t>SC359832</t>
  </si>
  <si>
    <t>SC359836</t>
  </si>
  <si>
    <t>SC359846</t>
  </si>
  <si>
    <t>SC360287</t>
  </si>
  <si>
    <t>Enhanced Foster Care</t>
  </si>
  <si>
    <t>Boreham Mill</t>
  </si>
  <si>
    <t xml:space="preserve">Bishopstrow  </t>
  </si>
  <si>
    <t>Warminster</t>
  </si>
  <si>
    <t>BA12 9HQ</t>
  </si>
  <si>
    <t>Enhanced Foster Care Limited</t>
  </si>
  <si>
    <t>SC360525</t>
  </si>
  <si>
    <t>Compass Fostering West</t>
  </si>
  <si>
    <t>Unit G1</t>
  </si>
  <si>
    <t>New Venture House Venture Business Park</t>
  </si>
  <si>
    <t>WR2 4AY</t>
  </si>
  <si>
    <t>Compass Fostering West Limited</t>
  </si>
  <si>
    <t>SC360599</t>
  </si>
  <si>
    <t>SC361090</t>
  </si>
  <si>
    <t>Tulip Care One Limited t/as TulipCare</t>
  </si>
  <si>
    <t>SC361167</t>
  </si>
  <si>
    <t>Options Autism (5) Limited</t>
  </si>
  <si>
    <t>SC361385</t>
  </si>
  <si>
    <t>SC361789</t>
  </si>
  <si>
    <t>SC361811</t>
  </si>
  <si>
    <t>SC362094</t>
  </si>
  <si>
    <t>SC362170</t>
  </si>
  <si>
    <t>SC362965</t>
  </si>
  <si>
    <t>SC363144</t>
  </si>
  <si>
    <t>Unsted Park School</t>
  </si>
  <si>
    <t>Castle Care Group</t>
  </si>
  <si>
    <t>United Regional Office Munstead Heath Road</t>
  </si>
  <si>
    <t>Godalming</t>
  </si>
  <si>
    <t>GU7 1UW</t>
  </si>
  <si>
    <t>SC363268</t>
  </si>
  <si>
    <t>SC363384</t>
  </si>
  <si>
    <t>SC363393</t>
  </si>
  <si>
    <t>SC363398</t>
  </si>
  <si>
    <t>SC363403</t>
  </si>
  <si>
    <t>SC363422</t>
  </si>
  <si>
    <t>SC363485</t>
  </si>
  <si>
    <t>FosterCare UK</t>
  </si>
  <si>
    <t>Kent Centre at Newbury House</t>
  </si>
  <si>
    <t>Court Lodge Farm Hinxhill</t>
  </si>
  <si>
    <t>TN25 5NR</t>
  </si>
  <si>
    <t>Fostercare UK Ltd</t>
  </si>
  <si>
    <t>SC363630</t>
  </si>
  <si>
    <t>SC364812</t>
  </si>
  <si>
    <t>SC365366</t>
  </si>
  <si>
    <t>SC366002</t>
  </si>
  <si>
    <t>SC366080</t>
  </si>
  <si>
    <t>SC366090</t>
  </si>
  <si>
    <t>SC366093</t>
  </si>
  <si>
    <t>SC366104</t>
  </si>
  <si>
    <t>SC366107</t>
  </si>
  <si>
    <t>SC366112</t>
  </si>
  <si>
    <t>SC366343</t>
  </si>
  <si>
    <t>Maple Leaf Care Limited</t>
  </si>
  <si>
    <t>SC367371</t>
  </si>
  <si>
    <t>Hope Fostering Services</t>
  </si>
  <si>
    <t>Castle Cavendish Enterprise Centre</t>
  </si>
  <si>
    <t xml:space="preserve">63-67 St Peters Street  </t>
  </si>
  <si>
    <t>NG7 3EN</t>
  </si>
  <si>
    <t>Hope Fostering Services Limited</t>
  </si>
  <si>
    <t>SC367551</t>
  </si>
  <si>
    <t>SC367715</t>
  </si>
  <si>
    <t>Newington Manor Family Support Service</t>
  </si>
  <si>
    <t>Newington Manor</t>
  </si>
  <si>
    <t>Callaways Lane Newington</t>
  </si>
  <si>
    <t>ME9 7LU</t>
  </si>
  <si>
    <t>Symbol Family Support Services Limited</t>
  </si>
  <si>
    <t>SC367802</t>
  </si>
  <si>
    <t>SC367941</t>
  </si>
  <si>
    <t>Pathways Care South West</t>
  </si>
  <si>
    <t>Glentor</t>
  </si>
  <si>
    <t xml:space="preserve">Balland Lane  </t>
  </si>
  <si>
    <t>Ashburton</t>
  </si>
  <si>
    <t>TQ13 7DA</t>
  </si>
  <si>
    <t>Pathway Care South West Limited</t>
  </si>
  <si>
    <t>SC368137</t>
  </si>
  <si>
    <t>SC368637</t>
  </si>
  <si>
    <t>SC368763</t>
  </si>
  <si>
    <t>SC369714</t>
  </si>
  <si>
    <t>Placement Support</t>
  </si>
  <si>
    <t>Placement Support Ltd</t>
  </si>
  <si>
    <t xml:space="preserve">12 Princess Road West  </t>
  </si>
  <si>
    <t>LE1 6TP</t>
  </si>
  <si>
    <t>SC369825</t>
  </si>
  <si>
    <t>SC369840</t>
  </si>
  <si>
    <t>SC369857</t>
  </si>
  <si>
    <t>SC370703</t>
  </si>
  <si>
    <t>SC370899</t>
  </si>
  <si>
    <t>SC370910</t>
  </si>
  <si>
    <t>SC370949</t>
  </si>
  <si>
    <t>SC370956</t>
  </si>
  <si>
    <t>SC370982</t>
  </si>
  <si>
    <t>SC372117</t>
  </si>
  <si>
    <t>SC372504</t>
  </si>
  <si>
    <t>SC372511</t>
  </si>
  <si>
    <t>SC372602</t>
  </si>
  <si>
    <t>SC372611</t>
  </si>
  <si>
    <t>SC372613</t>
  </si>
  <si>
    <t>SC372621</t>
  </si>
  <si>
    <t>SC372630</t>
  </si>
  <si>
    <t>SC372661</t>
  </si>
  <si>
    <t>SC373044</t>
  </si>
  <si>
    <t>SC373941</t>
  </si>
  <si>
    <t>SC373958</t>
  </si>
  <si>
    <t>SC374268</t>
  </si>
  <si>
    <t>SC374405</t>
  </si>
  <si>
    <t>SC375911</t>
  </si>
  <si>
    <t>SC376060</t>
  </si>
  <si>
    <t>Pilgrims Corner Fostering Ltd</t>
  </si>
  <si>
    <t>185 Sea Street</t>
  </si>
  <si>
    <t>Herne Bay</t>
  </si>
  <si>
    <t>CT6 8JY</t>
  </si>
  <si>
    <t>Pilgrims Corner Fostering Limited</t>
  </si>
  <si>
    <t>SC376211</t>
  </si>
  <si>
    <t>SC376719</t>
  </si>
  <si>
    <t>SC377311</t>
  </si>
  <si>
    <t>Acorn House (Fostering Services)</t>
  </si>
  <si>
    <t>Unit 419 Chambers Business Centre</t>
  </si>
  <si>
    <t>Chapel Road Chadderton</t>
  </si>
  <si>
    <t>Acorn House (Fostering Services) Limited</t>
  </si>
  <si>
    <t>SC377702</t>
  </si>
  <si>
    <t>SC377825</t>
  </si>
  <si>
    <t>SC377848</t>
  </si>
  <si>
    <t>Hadlow College</t>
  </si>
  <si>
    <t>Tonbridge Road</t>
  </si>
  <si>
    <t>Hadlow</t>
  </si>
  <si>
    <t>Tonbridge</t>
  </si>
  <si>
    <t>TN11 0AL</t>
  </si>
  <si>
    <t>Tonbridge and Malling</t>
  </si>
  <si>
    <t>North Kent College</t>
  </si>
  <si>
    <t>SC378153</t>
  </si>
  <si>
    <t>SC378181</t>
  </si>
  <si>
    <t>SC378187</t>
  </si>
  <si>
    <t>SC378407</t>
  </si>
  <si>
    <t>SC378464</t>
  </si>
  <si>
    <t>SC379123</t>
  </si>
  <si>
    <t>SC379199</t>
  </si>
  <si>
    <t>SC379274</t>
  </si>
  <si>
    <t>SC379357</t>
  </si>
  <si>
    <t>SC380956</t>
  </si>
  <si>
    <t>SC381085</t>
  </si>
  <si>
    <t>SC381089</t>
  </si>
  <si>
    <t>SC381339</t>
  </si>
  <si>
    <t>SC381522</t>
  </si>
  <si>
    <t>East Midlands Care Matters Limited</t>
  </si>
  <si>
    <t>SC381667</t>
  </si>
  <si>
    <t>SC382138</t>
  </si>
  <si>
    <t>SC382595</t>
  </si>
  <si>
    <t>Evolution Children Services Limited</t>
  </si>
  <si>
    <t>SC382730</t>
  </si>
  <si>
    <t>SC382994</t>
  </si>
  <si>
    <t>SC383539</t>
  </si>
  <si>
    <t>ISP Sussex</t>
  </si>
  <si>
    <t>9 Victoria Way</t>
  </si>
  <si>
    <t xml:space="preserve">Burgess Hill  </t>
  </si>
  <si>
    <t>RH15 9NF</t>
  </si>
  <si>
    <t>SC383749</t>
  </si>
  <si>
    <t>Fitzgerald Fostering &amp; Consultancy</t>
  </si>
  <si>
    <t>Lily Hill House</t>
  </si>
  <si>
    <t xml:space="preserve">Lily Hill Road  </t>
  </si>
  <si>
    <t>RG12 2SJ</t>
  </si>
  <si>
    <t>Fitzgerald Fostering &amp; Consultancy Limited</t>
  </si>
  <si>
    <t>SC383941</t>
  </si>
  <si>
    <t>SC384018</t>
  </si>
  <si>
    <t>SC384160</t>
  </si>
  <si>
    <t>Adoptionplus Limited</t>
  </si>
  <si>
    <t>Moulsoe Business Centre Cranfield Road, Moulsoe</t>
  </si>
  <si>
    <t>NEWPORT PAGNELL</t>
  </si>
  <si>
    <t>MK16 0FJ</t>
  </si>
  <si>
    <t>SC384584</t>
  </si>
  <si>
    <t>Jubilee House</t>
  </si>
  <si>
    <t>31-33 Meadow Lane Long Eaton</t>
  </si>
  <si>
    <t>NG10 2FE</t>
  </si>
  <si>
    <t>SC385631</t>
  </si>
  <si>
    <t>SC385633</t>
  </si>
  <si>
    <t>St Hill Establishments Ltd</t>
  </si>
  <si>
    <t>SC385809</t>
  </si>
  <si>
    <t>SC386003</t>
  </si>
  <si>
    <t>SC386048</t>
  </si>
  <si>
    <t>Intercountry Adoption Centre</t>
  </si>
  <si>
    <t>120 Cockfosters Road</t>
  </si>
  <si>
    <t>EN4 0DZ</t>
  </si>
  <si>
    <t>SC386057</t>
  </si>
  <si>
    <t>Green View Young People Limited</t>
  </si>
  <si>
    <t>SC386134</t>
  </si>
  <si>
    <t>SC386258</t>
  </si>
  <si>
    <t>Consensus Support Services Ltd</t>
  </si>
  <si>
    <t>SC386428</t>
  </si>
  <si>
    <t>Plus One South West Ltd</t>
  </si>
  <si>
    <t>SC386430</t>
  </si>
  <si>
    <t>SC386502</t>
  </si>
  <si>
    <t>SC386505</t>
  </si>
  <si>
    <t>SC386522</t>
  </si>
  <si>
    <t>SC386669</t>
  </si>
  <si>
    <t>Sankofa Care Fostering Services</t>
  </si>
  <si>
    <t>15 Station Road</t>
  </si>
  <si>
    <t>SE25 5AH</t>
  </si>
  <si>
    <t>SC386810</t>
  </si>
  <si>
    <t>SC386837</t>
  </si>
  <si>
    <t>SC387148</t>
  </si>
  <si>
    <t>Fairfield Residential Ltd</t>
  </si>
  <si>
    <t>SC387671</t>
  </si>
  <si>
    <t>SC387684</t>
  </si>
  <si>
    <t>SC387711</t>
  </si>
  <si>
    <t>Chrysalis Associates</t>
  </si>
  <si>
    <t>48 Wostenholm Road</t>
  </si>
  <si>
    <t>SHEFFIELD</t>
  </si>
  <si>
    <t>S7 1LL</t>
  </si>
  <si>
    <t>Chrysalis Associates Limited</t>
  </si>
  <si>
    <t>SC387784</t>
  </si>
  <si>
    <t>SC388487</t>
  </si>
  <si>
    <t>Fostering Support Group:London Office</t>
  </si>
  <si>
    <t>5th Floor</t>
  </si>
  <si>
    <t>Yeoman House 63 Croydon Road</t>
  </si>
  <si>
    <t>SE20 7TS</t>
  </si>
  <si>
    <t>Fostering Support Group Limited</t>
  </si>
  <si>
    <t>SC388991</t>
  </si>
  <si>
    <t>SC389174</t>
  </si>
  <si>
    <t>SC389178</t>
  </si>
  <si>
    <t>SC389180</t>
  </si>
  <si>
    <t>SC389183</t>
  </si>
  <si>
    <t>SC389698</t>
  </si>
  <si>
    <t>SC389720</t>
  </si>
  <si>
    <t>Amicus Foster Care</t>
  </si>
  <si>
    <t>St. Werburghs Community Centre</t>
  </si>
  <si>
    <t xml:space="preserve">Horley Road  </t>
  </si>
  <si>
    <t>BS2 9TJ</t>
  </si>
  <si>
    <t>Amicus Foster Care Limited</t>
  </si>
  <si>
    <t>SC389781</t>
  </si>
  <si>
    <t>The Qalb Short Break Services Ltd</t>
  </si>
  <si>
    <t>SC389823</t>
  </si>
  <si>
    <t>SC389830</t>
  </si>
  <si>
    <t>SC390156</t>
  </si>
  <si>
    <t>Pilgrims Corner Limited</t>
  </si>
  <si>
    <t>SC390167</t>
  </si>
  <si>
    <t>SC390190</t>
  </si>
  <si>
    <t>SC390293</t>
  </si>
  <si>
    <t>SC390576</t>
  </si>
  <si>
    <t>SC390577</t>
  </si>
  <si>
    <t>SC390751</t>
  </si>
  <si>
    <t>Acorn Care (UK) Limited</t>
  </si>
  <si>
    <t>SC390755</t>
  </si>
  <si>
    <t>Bridging Gaps Fostering Agency</t>
  </si>
  <si>
    <t>Norwich Union House</t>
  </si>
  <si>
    <t xml:space="preserve">9 Mackenzie Street  </t>
  </si>
  <si>
    <t>SLOUGH</t>
  </si>
  <si>
    <t>SL1 1XQ</t>
  </si>
  <si>
    <t>Bridging Gaps Limited</t>
  </si>
  <si>
    <t>SC390785</t>
  </si>
  <si>
    <t>SC391379</t>
  </si>
  <si>
    <t>SC391464</t>
  </si>
  <si>
    <t>SC391503</t>
  </si>
  <si>
    <t>SC391594</t>
  </si>
  <si>
    <t>SC391708</t>
  </si>
  <si>
    <t>SC391729</t>
  </si>
  <si>
    <t>Adoption Support</t>
  </si>
  <si>
    <t>4 The Meadows</t>
  </si>
  <si>
    <t>CHICHESTER</t>
  </si>
  <si>
    <t>PO19 8TG</t>
  </si>
  <si>
    <t>SC391860</t>
  </si>
  <si>
    <t>SC391993</t>
  </si>
  <si>
    <t>SC392492</t>
  </si>
  <si>
    <t>SC392549</t>
  </si>
  <si>
    <t>Duty of Care Limited</t>
  </si>
  <si>
    <t>SC392712</t>
  </si>
  <si>
    <t>Capstone Care Provider Limited</t>
  </si>
  <si>
    <t>SC393567</t>
  </si>
  <si>
    <t>SC393940</t>
  </si>
  <si>
    <t>SC394101</t>
  </si>
  <si>
    <t>SC394283</t>
  </si>
  <si>
    <t>SC394463</t>
  </si>
  <si>
    <t>Cornerstone Children's Homes Limited</t>
  </si>
  <si>
    <t>SC394478</t>
  </si>
  <si>
    <t>SC394569</t>
  </si>
  <si>
    <t>Adoption Focus</t>
  </si>
  <si>
    <t>TS3</t>
  </si>
  <si>
    <t xml:space="preserve">Pinewood Business Park  </t>
  </si>
  <si>
    <t>Coleshill Road, Marston Green</t>
  </si>
  <si>
    <t>Family Society</t>
  </si>
  <si>
    <t>SC394875</t>
  </si>
  <si>
    <t>SC394909</t>
  </si>
  <si>
    <t>SC395944</t>
  </si>
  <si>
    <t>Isle of Wight Council</t>
  </si>
  <si>
    <t>SC396104</t>
  </si>
  <si>
    <t>Full Circle Care Ltd</t>
  </si>
  <si>
    <t>SC396186</t>
  </si>
  <si>
    <t>Living Life (UK) Limited</t>
  </si>
  <si>
    <t>SC396463</t>
  </si>
  <si>
    <t>SC396525</t>
  </si>
  <si>
    <t>Excel Fostering Limited</t>
  </si>
  <si>
    <t>243-245 Clifton Drive South</t>
  </si>
  <si>
    <t xml:space="preserve">Lytham  </t>
  </si>
  <si>
    <t>St Annes</t>
  </si>
  <si>
    <t>FY8 1HW</t>
  </si>
  <si>
    <t>SC396721</t>
  </si>
  <si>
    <t>SC396813</t>
  </si>
  <si>
    <t>Chailey Heritage Foundation</t>
  </si>
  <si>
    <t>SC397092</t>
  </si>
  <si>
    <t>SC397112</t>
  </si>
  <si>
    <t>SC397224</t>
  </si>
  <si>
    <t>Father Hudson's (Adoption Support Agency)</t>
  </si>
  <si>
    <t>St George's House</t>
  </si>
  <si>
    <t xml:space="preserve">Gerards Way  </t>
  </si>
  <si>
    <t>Coleshill</t>
  </si>
  <si>
    <t>SC397293</t>
  </si>
  <si>
    <t>SC397344</t>
  </si>
  <si>
    <t>SC397846</t>
  </si>
  <si>
    <t>Liberty Foster Care</t>
  </si>
  <si>
    <t>Passfield Business Centre</t>
  </si>
  <si>
    <t>Lynchborough Road Passfield</t>
  </si>
  <si>
    <t>LIPHOOK</t>
  </si>
  <si>
    <t>GU30 7SB</t>
  </si>
  <si>
    <t>Liberty Foster Care Limited</t>
  </si>
  <si>
    <t>SC397933</t>
  </si>
  <si>
    <t>SC397987</t>
  </si>
  <si>
    <t>SC398253</t>
  </si>
  <si>
    <t>SC398377</t>
  </si>
  <si>
    <t>SC398386</t>
  </si>
  <si>
    <t>SC398387</t>
  </si>
  <si>
    <t>Sunflower Fostering</t>
  </si>
  <si>
    <t>The Old School</t>
  </si>
  <si>
    <t>Weston under Lizard</t>
  </si>
  <si>
    <t>TF11 8JZ</t>
  </si>
  <si>
    <t>SC398391</t>
  </si>
  <si>
    <t>SC398393</t>
  </si>
  <si>
    <t>SC398480</t>
  </si>
  <si>
    <t>SC398481</t>
  </si>
  <si>
    <t>SC398482</t>
  </si>
  <si>
    <t>SC398706</t>
  </si>
  <si>
    <t>Sunbeam Pride Fostering Service</t>
  </si>
  <si>
    <t>113 New Bedford Road</t>
  </si>
  <si>
    <t>LU3 1LE</t>
  </si>
  <si>
    <t>Sunbeam Pride Fostering Service Lim</t>
  </si>
  <si>
    <t>SC399219</t>
  </si>
  <si>
    <t>Hazeldene</t>
  </si>
  <si>
    <t>20 Corton Road</t>
  </si>
  <si>
    <t>NR32 4PL</t>
  </si>
  <si>
    <t>SC399222</t>
  </si>
  <si>
    <t>SC399586</t>
  </si>
  <si>
    <t>SC399866</t>
  </si>
  <si>
    <t>SC400301</t>
  </si>
  <si>
    <t>SC400355</t>
  </si>
  <si>
    <t>SC400622</t>
  </si>
  <si>
    <t>Marathon Science School</t>
  </si>
  <si>
    <t>1-9 Evelyn Street</t>
  </si>
  <si>
    <t xml:space="preserve">Surrey Quays  </t>
  </si>
  <si>
    <t>SE8 5RQ</t>
  </si>
  <si>
    <t>Severn Hills Trust</t>
  </si>
  <si>
    <t>SC400880</t>
  </si>
  <si>
    <t>Choices 4 Children Ltd</t>
  </si>
  <si>
    <t>SC400901</t>
  </si>
  <si>
    <t>SC400955</t>
  </si>
  <si>
    <t>Integrated Fostering Services Ltd</t>
  </si>
  <si>
    <t>Pavilion Business Centre 1st Floor, 6 Kinetic Crescent</t>
  </si>
  <si>
    <t>EN3 7FJ</t>
  </si>
  <si>
    <t>SC401685</t>
  </si>
  <si>
    <t>SC401927</t>
  </si>
  <si>
    <t>SC402135</t>
  </si>
  <si>
    <t>SC402365</t>
  </si>
  <si>
    <t>SMS Meer UK Henson Close, South Church Enterprise Park</t>
  </si>
  <si>
    <t>BISHOP AUCKLAND</t>
  </si>
  <si>
    <t>DL14 6WA</t>
  </si>
  <si>
    <t>SC402370</t>
  </si>
  <si>
    <t>SC402385</t>
  </si>
  <si>
    <t>SC402406</t>
  </si>
  <si>
    <t>SC402426</t>
  </si>
  <si>
    <t>SC402560</t>
  </si>
  <si>
    <t>Be My Family Fostering Agency</t>
  </si>
  <si>
    <t>11 St. Albans Avenue</t>
  </si>
  <si>
    <t>FELTHAM</t>
  </si>
  <si>
    <t>TW13 6RL</t>
  </si>
  <si>
    <t>Be My Family Fostering Agency Ltd</t>
  </si>
  <si>
    <t>SC403234</t>
  </si>
  <si>
    <t>SC403462</t>
  </si>
  <si>
    <t>Frances House Ltd</t>
  </si>
  <si>
    <t>SC403464</t>
  </si>
  <si>
    <t>Aspire Child Care Ltd</t>
  </si>
  <si>
    <t>SC403472</t>
  </si>
  <si>
    <t>SC403789</t>
  </si>
  <si>
    <t>SC403850</t>
  </si>
  <si>
    <t>SC403890</t>
  </si>
  <si>
    <t>SC403895</t>
  </si>
  <si>
    <t>SC403905</t>
  </si>
  <si>
    <t>SC404596</t>
  </si>
  <si>
    <t>SC404983</t>
  </si>
  <si>
    <t>Roundhouse Care Limited</t>
  </si>
  <si>
    <t>SC404994</t>
  </si>
  <si>
    <t>SC405285</t>
  </si>
  <si>
    <t>North East Autism Society</t>
  </si>
  <si>
    <t>SC405448</t>
  </si>
  <si>
    <t>SC405567</t>
  </si>
  <si>
    <t>Compass Fostering North Limited</t>
  </si>
  <si>
    <t>Hope Park Business Centre</t>
  </si>
  <si>
    <t xml:space="preserve">Hope Park  </t>
  </si>
  <si>
    <t>BRADFORD</t>
  </si>
  <si>
    <t>BD5 8HH</t>
  </si>
  <si>
    <t>SC405713</t>
  </si>
  <si>
    <t>SC405933</t>
  </si>
  <si>
    <t>SC405977</t>
  </si>
  <si>
    <t>SC406063</t>
  </si>
  <si>
    <t>SC406245</t>
  </si>
  <si>
    <t>Ansacare Fostering Agency</t>
  </si>
  <si>
    <t>Weatherill House</t>
  </si>
  <si>
    <t>New South Quarter 23 Whitestone Way</t>
  </si>
  <si>
    <t>CR0 4WF</t>
  </si>
  <si>
    <t>Ansacare Fostering Agency Ltd</t>
  </si>
  <si>
    <t>SC406505</t>
  </si>
  <si>
    <t>SC406636</t>
  </si>
  <si>
    <t>SC406638</t>
  </si>
  <si>
    <t>Winsbeach Children's Home Limited</t>
  </si>
  <si>
    <t>SC406969</t>
  </si>
  <si>
    <t>Anglia Fostering Agency</t>
  </si>
  <si>
    <t>12 Meridian Way Meridian Business Park</t>
  </si>
  <si>
    <t>NR7 0TA</t>
  </si>
  <si>
    <t>Anglia Fostering Agency Ltd</t>
  </si>
  <si>
    <t>SC407169</t>
  </si>
  <si>
    <t>SC407430</t>
  </si>
  <si>
    <t>SC407753</t>
  </si>
  <si>
    <t>3 Dimensions Care Limited</t>
  </si>
  <si>
    <t>SC407783</t>
  </si>
  <si>
    <t>SC407787</t>
  </si>
  <si>
    <t>SC407790</t>
  </si>
  <si>
    <t>SC407929</t>
  </si>
  <si>
    <t>Our Place (2008) Ltd</t>
  </si>
  <si>
    <t>SC407933</t>
  </si>
  <si>
    <t>Prestige Adolescent Care And Education Limited</t>
  </si>
  <si>
    <t>SC408039</t>
  </si>
  <si>
    <t>Orchard House Greenway Road</t>
  </si>
  <si>
    <t>184 Greenway Road</t>
  </si>
  <si>
    <t>TA2 6LH</t>
  </si>
  <si>
    <t>SC408149</t>
  </si>
  <si>
    <t>SC408369</t>
  </si>
  <si>
    <t>SC408513</t>
  </si>
  <si>
    <t>SC408584</t>
  </si>
  <si>
    <t>Channels and Choices Limited</t>
  </si>
  <si>
    <t>SC408585</t>
  </si>
  <si>
    <t>Foster Careline</t>
  </si>
  <si>
    <t>Suite F10</t>
  </si>
  <si>
    <t>The Business Centre Oaklands Office Park, Hooton Road</t>
  </si>
  <si>
    <t>Hooton</t>
  </si>
  <si>
    <t>Ellesmere Park</t>
  </si>
  <si>
    <t>CH66 7NZ</t>
  </si>
  <si>
    <t>Foster Careline Ltd</t>
  </si>
  <si>
    <t>SC408655</t>
  </si>
  <si>
    <t>SC408656</t>
  </si>
  <si>
    <t>Highfield (North East) Limited</t>
  </si>
  <si>
    <t>SC408714</t>
  </si>
  <si>
    <t>SC409413</t>
  </si>
  <si>
    <t>SWAP Foster Care</t>
  </si>
  <si>
    <t>43-47 Kings Street</t>
  </si>
  <si>
    <t>Bedworth</t>
  </si>
  <si>
    <t>CV12 8NB</t>
  </si>
  <si>
    <t>Social Work Assessment Partners Ltd</t>
  </si>
  <si>
    <t>SC409502</t>
  </si>
  <si>
    <t>Bedford Borough Council</t>
  </si>
  <si>
    <t>SC409506</t>
  </si>
  <si>
    <t>SC409738</t>
  </si>
  <si>
    <t>New Start</t>
  </si>
  <si>
    <t>SC409851</t>
  </si>
  <si>
    <t>Westgate Lifestyle Project Limited</t>
  </si>
  <si>
    <t>SC410535</t>
  </si>
  <si>
    <t>SC410537</t>
  </si>
  <si>
    <t>SC410539</t>
  </si>
  <si>
    <t>SC410545</t>
  </si>
  <si>
    <t>SC411030</t>
  </si>
  <si>
    <t>SC411046</t>
  </si>
  <si>
    <t>SC411074</t>
  </si>
  <si>
    <t>SC411142</t>
  </si>
  <si>
    <t>SC411519</t>
  </si>
  <si>
    <t>Liverpool College</t>
  </si>
  <si>
    <t>Queen`s Drive</t>
  </si>
  <si>
    <t>L18 8BG</t>
  </si>
  <si>
    <t>Liverpool College Independent School Trust</t>
  </si>
  <si>
    <t>SC411616</t>
  </si>
  <si>
    <t>SC411743</t>
  </si>
  <si>
    <t>Caritas Adoption Support Service</t>
  </si>
  <si>
    <t>Caritas Diocese of Salford</t>
  </si>
  <si>
    <t>Cathedral Centre 3 Ford Street</t>
  </si>
  <si>
    <t>SALFORD</t>
  </si>
  <si>
    <t>M3 6DP</t>
  </si>
  <si>
    <t>SC411825</t>
  </si>
  <si>
    <t>SC411832</t>
  </si>
  <si>
    <t>Tulip Care Two Limited</t>
  </si>
  <si>
    <t>SC412175</t>
  </si>
  <si>
    <t>SC412296</t>
  </si>
  <si>
    <t>Springfield Road Childrens Homes Ltd</t>
  </si>
  <si>
    <t>SC412385</t>
  </si>
  <si>
    <t>SC412476</t>
  </si>
  <si>
    <t>SC412598</t>
  </si>
  <si>
    <t>Bonner House</t>
  </si>
  <si>
    <t xml:space="preserve">172 Sellywood Road  </t>
  </si>
  <si>
    <t>B30 1TJ</t>
  </si>
  <si>
    <t>SC412687</t>
  </si>
  <si>
    <t>SC412953</t>
  </si>
  <si>
    <t>SC412971</t>
  </si>
  <si>
    <t>Aspris New Education Services Limited</t>
  </si>
  <si>
    <t>SC412979</t>
  </si>
  <si>
    <t>SC413085</t>
  </si>
  <si>
    <t>SC413223</t>
  </si>
  <si>
    <t>2nd Nurture Ltd</t>
  </si>
  <si>
    <t>SC413428</t>
  </si>
  <si>
    <t>Foster Care Solutions</t>
  </si>
  <si>
    <t>8 Lumley Court</t>
  </si>
  <si>
    <t>Foster Care Solutions Limited</t>
  </si>
  <si>
    <t>SC413779</t>
  </si>
  <si>
    <t>SC413985</t>
  </si>
  <si>
    <t>SC413992</t>
  </si>
  <si>
    <t>Mayne Enterprises Limited</t>
  </si>
  <si>
    <t>SC414296</t>
  </si>
  <si>
    <t>SC414347</t>
  </si>
  <si>
    <t>SC414516</t>
  </si>
  <si>
    <t>SC414738</t>
  </si>
  <si>
    <t>SC415138</t>
  </si>
  <si>
    <t>SC415347</t>
  </si>
  <si>
    <t>SC415400</t>
  </si>
  <si>
    <t>Gloucestershire County Council</t>
  </si>
  <si>
    <t>SC415710</t>
  </si>
  <si>
    <t>SC416136</t>
  </si>
  <si>
    <t>SC416267</t>
  </si>
  <si>
    <t>SC416290</t>
  </si>
  <si>
    <t>Clifford House Fostering</t>
  </si>
  <si>
    <t>Senate House</t>
  </si>
  <si>
    <t>Saxon Business Park Hanbury Road, Stoke Prior</t>
  </si>
  <si>
    <t>Clifford House Fostering Limited</t>
  </si>
  <si>
    <t>SC416318</t>
  </si>
  <si>
    <t>SC416392</t>
  </si>
  <si>
    <t>Shared Care Services Limited</t>
  </si>
  <si>
    <t>119 Eastern Avenue</t>
  </si>
  <si>
    <t>IG4 5AN</t>
  </si>
  <si>
    <t>SC416464</t>
  </si>
  <si>
    <t>SC416599</t>
  </si>
  <si>
    <t>SC416915</t>
  </si>
  <si>
    <t>SC417031</t>
  </si>
  <si>
    <t>SC417250</t>
  </si>
  <si>
    <t>SC417504</t>
  </si>
  <si>
    <t>Red Kite Fostering</t>
  </si>
  <si>
    <t>The Old Surgery</t>
  </si>
  <si>
    <t xml:space="preserve">The Meads  </t>
  </si>
  <si>
    <t>KINGTON</t>
  </si>
  <si>
    <t>HR5 3DQ</t>
  </si>
  <si>
    <t>Red Kite Fostering Limited</t>
  </si>
  <si>
    <t>SC417598</t>
  </si>
  <si>
    <t>Mosaic Foster Care</t>
  </si>
  <si>
    <t>Suite 2</t>
  </si>
  <si>
    <t>Chalkwell Lawns 648-656 London Road</t>
  </si>
  <si>
    <t>WESTCLIFF-ON-SEA</t>
  </si>
  <si>
    <t>SS0 9HR</t>
  </si>
  <si>
    <t>Mosaic Foster Care Limited</t>
  </si>
  <si>
    <t>SC417795</t>
  </si>
  <si>
    <t>SC418371</t>
  </si>
  <si>
    <t>Children Of All Nations (COAN)</t>
  </si>
  <si>
    <t xml:space="preserve">New South Quarter  </t>
  </si>
  <si>
    <t>23 Whitestone Way</t>
  </si>
  <si>
    <t>Children Of All Nations Ltd</t>
  </si>
  <si>
    <t>SC418605</t>
  </si>
  <si>
    <t>SC419217</t>
  </si>
  <si>
    <t>SC419229</t>
  </si>
  <si>
    <t>SC419334</t>
  </si>
  <si>
    <t>SC419429</t>
  </si>
  <si>
    <t>SC419808</t>
  </si>
  <si>
    <t>SC420388</t>
  </si>
  <si>
    <t>SC420410</t>
  </si>
  <si>
    <t>SC420507</t>
  </si>
  <si>
    <t>Caldecott Fostering</t>
  </si>
  <si>
    <t>Caldecott Fostering Ltd</t>
  </si>
  <si>
    <t>Hythe Road Smeeth,Ashford,Kent</t>
  </si>
  <si>
    <t>TN25 6SP</t>
  </si>
  <si>
    <t>SC420876</t>
  </si>
  <si>
    <t>SC421063</t>
  </si>
  <si>
    <t>SC421197</t>
  </si>
  <si>
    <t>ABC Care and Education Ltd</t>
  </si>
  <si>
    <t>SC421531</t>
  </si>
  <si>
    <t>SC422231</t>
  </si>
  <si>
    <t>SC422464</t>
  </si>
  <si>
    <t>Barnsley Metropolitan Borough Council</t>
  </si>
  <si>
    <t>SC422481</t>
  </si>
  <si>
    <t>SC423396</t>
  </si>
  <si>
    <t>Fostering Solutions Limited South</t>
  </si>
  <si>
    <t>Suite 3</t>
  </si>
  <si>
    <t>Poles Copse Poles Lane, Otterbourne</t>
  </si>
  <si>
    <t>SO21 2DZ</t>
  </si>
  <si>
    <t>SC423407</t>
  </si>
  <si>
    <t>SC423442</t>
  </si>
  <si>
    <t>Care Management Solutions Limited</t>
  </si>
  <si>
    <t>SC423453</t>
  </si>
  <si>
    <t>SC423460</t>
  </si>
  <si>
    <t>SC423606</t>
  </si>
  <si>
    <t>Reamcare Limited</t>
  </si>
  <si>
    <t>SC423617</t>
  </si>
  <si>
    <t>SC423753</t>
  </si>
  <si>
    <t>Ruskin Mill Trust Limited</t>
  </si>
  <si>
    <t>SC423959</t>
  </si>
  <si>
    <t>Heartwood Residential Services Ltd</t>
  </si>
  <si>
    <t>SC424089</t>
  </si>
  <si>
    <t>SC424103</t>
  </si>
  <si>
    <t>SC424141</t>
  </si>
  <si>
    <t>SC424271</t>
  </si>
  <si>
    <t>SC424280</t>
  </si>
  <si>
    <t>SC424348</t>
  </si>
  <si>
    <t>SC424351</t>
  </si>
  <si>
    <t>SC424759</t>
  </si>
  <si>
    <t>SC424851</t>
  </si>
  <si>
    <t>SC424897</t>
  </si>
  <si>
    <t>SC425071</t>
  </si>
  <si>
    <t>SC425236</t>
  </si>
  <si>
    <t>383 Broad Lane</t>
  </si>
  <si>
    <t>CV5 7AX</t>
  </si>
  <si>
    <t>SC425418</t>
  </si>
  <si>
    <t>SC425708</t>
  </si>
  <si>
    <t>Gretton School</t>
  </si>
  <si>
    <t>Manor Farm Road</t>
  </si>
  <si>
    <t xml:space="preserve">Girton  </t>
  </si>
  <si>
    <t>CB3 0RX</t>
  </si>
  <si>
    <t>Cavendish Education and Training Limited</t>
  </si>
  <si>
    <t>SC425786</t>
  </si>
  <si>
    <t>Strode Park Foundation for People with Disabilities</t>
  </si>
  <si>
    <t>SC425859</t>
  </si>
  <si>
    <t>SC425985</t>
  </si>
  <si>
    <t>Autism Initiatives (UK)</t>
  </si>
  <si>
    <t>SC426172</t>
  </si>
  <si>
    <t>SC426318</t>
  </si>
  <si>
    <t>SC426530</t>
  </si>
  <si>
    <t>SC426719</t>
  </si>
  <si>
    <t>SC426751</t>
  </si>
  <si>
    <t>SC427165</t>
  </si>
  <si>
    <t>SC427652</t>
  </si>
  <si>
    <t>Barnardiston Hall Preparatory School Limited</t>
  </si>
  <si>
    <t>SC428084</t>
  </si>
  <si>
    <t>SC428599</t>
  </si>
  <si>
    <t>SC428700</t>
  </si>
  <si>
    <t>SC428895</t>
  </si>
  <si>
    <t>SC428956</t>
  </si>
  <si>
    <t>Cornwall Partnership NHS Foundation Trust</t>
  </si>
  <si>
    <t>SC429011</t>
  </si>
  <si>
    <t>SC429369</t>
  </si>
  <si>
    <t>SC429523</t>
  </si>
  <si>
    <t>SC429589</t>
  </si>
  <si>
    <t>Majestic Family Services - The Laurels</t>
  </si>
  <si>
    <t>16 Freemans Road</t>
  </si>
  <si>
    <t xml:space="preserve">Minster  </t>
  </si>
  <si>
    <t>RAMSGATE</t>
  </si>
  <si>
    <t>CT12 4EL</t>
  </si>
  <si>
    <t>Majestic Family Services</t>
  </si>
  <si>
    <t>SC429702</t>
  </si>
  <si>
    <t>SC429748</t>
  </si>
  <si>
    <t>SC429918</t>
  </si>
  <si>
    <t>SC429995</t>
  </si>
  <si>
    <t>A Significant Other Limited</t>
  </si>
  <si>
    <t>SC430022</t>
  </si>
  <si>
    <t>SC430239</t>
  </si>
  <si>
    <t>SC430320</t>
  </si>
  <si>
    <t>SC430587</t>
  </si>
  <si>
    <t>SC430757</t>
  </si>
  <si>
    <t>Break Fostering Service</t>
  </si>
  <si>
    <t>Schofield House</t>
  </si>
  <si>
    <t xml:space="preserve">Spar Road  </t>
  </si>
  <si>
    <t>NR6 6BX</t>
  </si>
  <si>
    <t>SC431192</t>
  </si>
  <si>
    <t>SC431228</t>
  </si>
  <si>
    <t>SC431315</t>
  </si>
  <si>
    <t>SC431696</t>
  </si>
  <si>
    <t>SC431699</t>
  </si>
  <si>
    <t>SC431799</t>
  </si>
  <si>
    <t>SWAAY Child and Adolescent Services Limited</t>
  </si>
  <si>
    <t>SC431803</t>
  </si>
  <si>
    <t>SC431804</t>
  </si>
  <si>
    <t>SC431806</t>
  </si>
  <si>
    <t>SC431807</t>
  </si>
  <si>
    <t>SC431931</t>
  </si>
  <si>
    <t>SC431970</t>
  </si>
  <si>
    <t>About Children</t>
  </si>
  <si>
    <t>78 Appleby Road</t>
  </si>
  <si>
    <t>Kendal</t>
  </si>
  <si>
    <t>LA9 6HF</t>
  </si>
  <si>
    <t>About Children Limited</t>
  </si>
  <si>
    <t>SC432331</t>
  </si>
  <si>
    <t>South West Hertfordshire</t>
  </si>
  <si>
    <t>SC432404</t>
  </si>
  <si>
    <t>SC432741</t>
  </si>
  <si>
    <t>SC432843</t>
  </si>
  <si>
    <t>Talbot House School Newcastle Upon Tyne</t>
  </si>
  <si>
    <t>SC432966</t>
  </si>
  <si>
    <t>SC433286</t>
  </si>
  <si>
    <t>SC433430</t>
  </si>
  <si>
    <t>SC433451</t>
  </si>
  <si>
    <t>SC434223</t>
  </si>
  <si>
    <t>SC434517</t>
  </si>
  <si>
    <t>SC434520</t>
  </si>
  <si>
    <t>SC434573</t>
  </si>
  <si>
    <t>Crusoe Care Limited 06843979</t>
  </si>
  <si>
    <t>SC434806</t>
  </si>
  <si>
    <t>SC434885</t>
  </si>
  <si>
    <t>Barnardo's - Midlands and South West</t>
  </si>
  <si>
    <t>Fulford Centre Gatehouse Avenue</t>
  </si>
  <si>
    <t>Withywood</t>
  </si>
  <si>
    <t>BS13 9AQ</t>
  </si>
  <si>
    <t>SC435152</t>
  </si>
  <si>
    <t>We Are Beams</t>
  </si>
  <si>
    <t>SC435322</t>
  </si>
  <si>
    <t>SC435330</t>
  </si>
  <si>
    <t>Chrysalis Assessment and Support Centre</t>
  </si>
  <si>
    <t>12 Tennyson Avenue</t>
  </si>
  <si>
    <t>BRIDLINGTON</t>
  </si>
  <si>
    <t>YO15 2EP</t>
  </si>
  <si>
    <t>Dragonfly Childrens Services Limited</t>
  </si>
  <si>
    <t>SC436372</t>
  </si>
  <si>
    <t>SC436386</t>
  </si>
  <si>
    <t>Knossington Grange School Ltd</t>
  </si>
  <si>
    <t>SC436469</t>
  </si>
  <si>
    <t>SC436559</t>
  </si>
  <si>
    <t>SC436818</t>
  </si>
  <si>
    <t>Grace Care Limited</t>
  </si>
  <si>
    <t>SC437069</t>
  </si>
  <si>
    <t>SC437128</t>
  </si>
  <si>
    <t>SC437171</t>
  </si>
  <si>
    <t>John-Edwards Care Homes Ltd</t>
  </si>
  <si>
    <t>SC437305</t>
  </si>
  <si>
    <t>SC437486</t>
  </si>
  <si>
    <t>SC437645</t>
  </si>
  <si>
    <t>SC437825</t>
  </si>
  <si>
    <t>SC437835</t>
  </si>
  <si>
    <t>Eastern Fostering Services</t>
  </si>
  <si>
    <t>Unit 1E</t>
  </si>
  <si>
    <t>The Gattinetts Hadleigh Road, East Bergholt</t>
  </si>
  <si>
    <t>CO7 6QT</t>
  </si>
  <si>
    <t>Eastern Family Services Ltd</t>
  </si>
  <si>
    <t>SC438427</t>
  </si>
  <si>
    <t>MGM Care Services Ltd</t>
  </si>
  <si>
    <t>SC438506</t>
  </si>
  <si>
    <t>Fostering Dimensions</t>
  </si>
  <si>
    <t>The Howitt Building</t>
  </si>
  <si>
    <t>Unit V12 Nottingham Business Centre,Lenton Boulevard</t>
  </si>
  <si>
    <t>NG7 2BY</t>
  </si>
  <si>
    <t>Fostering Dimensions Limited</t>
  </si>
  <si>
    <t>SC438624</t>
  </si>
  <si>
    <t>SC438648</t>
  </si>
  <si>
    <t>SC438764</t>
  </si>
  <si>
    <t>SC439116</t>
  </si>
  <si>
    <t>SC439153</t>
  </si>
  <si>
    <t>SC439282</t>
  </si>
  <si>
    <t>SC439535</t>
  </si>
  <si>
    <t>SC439783</t>
  </si>
  <si>
    <t>Ty Connections III - Friern Barnet Road</t>
  </si>
  <si>
    <t>5a The Broadway</t>
  </si>
  <si>
    <t xml:space="preserve">Friern Barnet Road  </t>
  </si>
  <si>
    <t>N11 3DT</t>
  </si>
  <si>
    <t>Ty Connections Limited</t>
  </si>
  <si>
    <t>SC439882</t>
  </si>
  <si>
    <t>SC439956</t>
  </si>
  <si>
    <t>SC440001</t>
  </si>
  <si>
    <t>Kaleidoscope Assessment Services</t>
  </si>
  <si>
    <t>Finsley House</t>
  </si>
  <si>
    <t>Finsley Street Briercliffe</t>
  </si>
  <si>
    <t>BURNLEY</t>
  </si>
  <si>
    <t>BB10 2HN</t>
  </si>
  <si>
    <t>Kaleidoscope Assessment Services Limited</t>
  </si>
  <si>
    <t>SC440078</t>
  </si>
  <si>
    <t>Flying Colours Foster Care</t>
  </si>
  <si>
    <t>Brockton Eccleshall</t>
  </si>
  <si>
    <t>ST21 6LY</t>
  </si>
  <si>
    <t>Flying Colours Foster Care Limited</t>
  </si>
  <si>
    <t>SC440309</t>
  </si>
  <si>
    <t>SC441080</t>
  </si>
  <si>
    <t>SC441410</t>
  </si>
  <si>
    <t>SC441470</t>
  </si>
  <si>
    <t>Catholic Children's Society Westminster - The Adoption and After Care Service</t>
  </si>
  <si>
    <t>73 St Charles Square</t>
  </si>
  <si>
    <t>W10 6EJ</t>
  </si>
  <si>
    <t>Kensington</t>
  </si>
  <si>
    <t>The Catholic Children's Society (Westminster)</t>
  </si>
  <si>
    <t>SC441513</t>
  </si>
  <si>
    <t>SC441514</t>
  </si>
  <si>
    <t>SC441553</t>
  </si>
  <si>
    <t>SC441717</t>
  </si>
  <si>
    <t>SC441865</t>
  </si>
  <si>
    <t>Shyne Together Limited</t>
  </si>
  <si>
    <t>SC442125</t>
  </si>
  <si>
    <t>Parent and Child Fostering Service</t>
  </si>
  <si>
    <t>Continental House</t>
  </si>
  <si>
    <t xml:space="preserve">497 Sunleigh Road  </t>
  </si>
  <si>
    <t>Wembley</t>
  </si>
  <si>
    <t>HA0 4LY</t>
  </si>
  <si>
    <t>Parent and Child Fostering Service Limited</t>
  </si>
  <si>
    <t>SC442401</t>
  </si>
  <si>
    <t>SC442402</t>
  </si>
  <si>
    <t>SC442553</t>
  </si>
  <si>
    <t>Footprints Foster Care Ltd</t>
  </si>
  <si>
    <t>Unit 5 + 6 Longham Business Park</t>
  </si>
  <si>
    <t xml:space="preserve">168 Ringwood Road  </t>
  </si>
  <si>
    <t>Ferndown</t>
  </si>
  <si>
    <t>BH22 9BU</t>
  </si>
  <si>
    <t>SC442774</t>
  </si>
  <si>
    <t>Regional Foster Families - East Anglia</t>
  </si>
  <si>
    <t>Bowthorpe Hall</t>
  </si>
  <si>
    <t>The Chestnut Suite Bowthorpe Hall Road</t>
  </si>
  <si>
    <t>NR5 9AA</t>
  </si>
  <si>
    <t>SC442777</t>
  </si>
  <si>
    <t>SC442779</t>
  </si>
  <si>
    <t>SC442843</t>
  </si>
  <si>
    <t>Match Foster Care</t>
  </si>
  <si>
    <t>Severn House</t>
  </si>
  <si>
    <t xml:space="preserve">30-32 Ombersley Street West  </t>
  </si>
  <si>
    <t>Droitwich</t>
  </si>
  <si>
    <t>WR9 8QZ</t>
  </si>
  <si>
    <t>Match Foster Care Limited</t>
  </si>
  <si>
    <t>SC442864</t>
  </si>
  <si>
    <t>SC442886</t>
  </si>
  <si>
    <t>SC443009</t>
  </si>
  <si>
    <t>SC443337</t>
  </si>
  <si>
    <t>London Borough of Hammersmith &amp; Fulham</t>
  </si>
  <si>
    <t>SC443708</t>
  </si>
  <si>
    <t>SC443765</t>
  </si>
  <si>
    <t>SC443768</t>
  </si>
  <si>
    <t>Three Circles Fostering Limited</t>
  </si>
  <si>
    <t>Dean Row Court</t>
  </si>
  <si>
    <t>Sommerfields Village Centre Dean Row Road</t>
  </si>
  <si>
    <t>Wilmslow</t>
  </si>
  <si>
    <t>SK9 2TB</t>
  </si>
  <si>
    <t>SC443959</t>
  </si>
  <si>
    <t>SC444176</t>
  </si>
  <si>
    <t>Watford</t>
  </si>
  <si>
    <t>SC444289</t>
  </si>
  <si>
    <t>SC444411</t>
  </si>
  <si>
    <t>SC444681</t>
  </si>
  <si>
    <t>SC444869</t>
  </si>
  <si>
    <t>Hopedale Children and Family Services Limited</t>
  </si>
  <si>
    <t>SC446003</t>
  </si>
  <si>
    <t>Carlisle Mencap Limited</t>
  </si>
  <si>
    <t>SC446152</t>
  </si>
  <si>
    <t>SC446261</t>
  </si>
  <si>
    <t>SC446325</t>
  </si>
  <si>
    <t>SC446588</t>
  </si>
  <si>
    <t>Care 2 Share Residential Family Assessment Centre</t>
  </si>
  <si>
    <t>17 Wallwood Road</t>
  </si>
  <si>
    <t>Leytonstone</t>
  </si>
  <si>
    <t>E11 1DQ</t>
  </si>
  <si>
    <t>SC446957</t>
  </si>
  <si>
    <t>SC447166</t>
  </si>
  <si>
    <t>New Life Fostering Agency</t>
  </si>
  <si>
    <t>Charter House</t>
  </si>
  <si>
    <t xml:space="preserve">848 Tyburn Road  </t>
  </si>
  <si>
    <t>B24 9NT</t>
  </si>
  <si>
    <t>New Life Fostering Agency Limited</t>
  </si>
  <si>
    <t>SC447457</t>
  </si>
  <si>
    <t>SC447645</t>
  </si>
  <si>
    <t>SC447768</t>
  </si>
  <si>
    <t>SC448209</t>
  </si>
  <si>
    <t>Amberleigh Care Limited</t>
  </si>
  <si>
    <t>SC448211</t>
  </si>
  <si>
    <t>Beta North Ltd trading as Evolve Fostering</t>
  </si>
  <si>
    <t>The Old Exchange</t>
  </si>
  <si>
    <t xml:space="preserve">Barnard Street  </t>
  </si>
  <si>
    <t>DL3 7DR</t>
  </si>
  <si>
    <t>BETA North Limited T/A BETA Care Services</t>
  </si>
  <si>
    <t>SC448220</t>
  </si>
  <si>
    <t>UK Fostering</t>
  </si>
  <si>
    <t>Bridge House</t>
  </si>
  <si>
    <t>DA1 1DJ</t>
  </si>
  <si>
    <t>UK Fostering Limited</t>
  </si>
  <si>
    <t>SC448336</t>
  </si>
  <si>
    <t>TACT Fostering Yorkshire &amp; North East</t>
  </si>
  <si>
    <t>SC448693</t>
  </si>
  <si>
    <t>Amelia's House Limited</t>
  </si>
  <si>
    <t>SC448784</t>
  </si>
  <si>
    <t>Fostering for You</t>
  </si>
  <si>
    <t>Unit 2.06</t>
  </si>
  <si>
    <t>The Light Bulb 1 Filament Walk,Wandsworth</t>
  </si>
  <si>
    <t>SW18 4GQ</t>
  </si>
  <si>
    <t xml:space="preserve">Fostering for You Limited 07756790 </t>
  </si>
  <si>
    <t>SC448997</t>
  </si>
  <si>
    <t>SC449096</t>
  </si>
  <si>
    <t>SC449099</t>
  </si>
  <si>
    <t>Quantum Care UK Limited</t>
  </si>
  <si>
    <t>SC449155</t>
  </si>
  <si>
    <t>SC449245</t>
  </si>
  <si>
    <t>SC449307</t>
  </si>
  <si>
    <t>SC449954</t>
  </si>
  <si>
    <t>SC450045</t>
  </si>
  <si>
    <t>SC450627</t>
  </si>
  <si>
    <t xml:space="preserve">Regional Foster Families – West Midlands </t>
  </si>
  <si>
    <t>Suites 13 &amp; 14</t>
  </si>
  <si>
    <t>Blackpole Business Centre Blackpole Road</t>
  </si>
  <si>
    <t>WR3 8SQ</t>
  </si>
  <si>
    <t>SC450728</t>
  </si>
  <si>
    <t>SC450903</t>
  </si>
  <si>
    <t>Family Care Fostering</t>
  </si>
  <si>
    <t>60 School Lane</t>
  </si>
  <si>
    <t xml:space="preserve">Bamber Bridge  </t>
  </si>
  <si>
    <t>PR5 6QE</t>
  </si>
  <si>
    <t>Family Care Fostering Ltd</t>
  </si>
  <si>
    <t>SC450992</t>
  </si>
  <si>
    <t>Dudley South</t>
  </si>
  <si>
    <t>SC450994</t>
  </si>
  <si>
    <t>SC451077</t>
  </si>
  <si>
    <t>Voice Fostering Ltd</t>
  </si>
  <si>
    <t>595 Tanworth Lane</t>
  </si>
  <si>
    <t xml:space="preserve">Shirley  </t>
  </si>
  <si>
    <t>B90 4JE</t>
  </si>
  <si>
    <t>Voice Fostering Limited</t>
  </si>
  <si>
    <t>SC451174</t>
  </si>
  <si>
    <t>SC451751</t>
  </si>
  <si>
    <t>Apple Fostering Services</t>
  </si>
  <si>
    <t>6th Floor First Central 200</t>
  </si>
  <si>
    <t>2 Lakeside Drive Park Royal</t>
  </si>
  <si>
    <t>Harlesden</t>
  </si>
  <si>
    <t>NW10 7FQ</t>
  </si>
  <si>
    <t>Apple Fostering Ltd</t>
  </si>
  <si>
    <t>SC452107</t>
  </si>
  <si>
    <t>SC452461</t>
  </si>
  <si>
    <t>SES Turnstone Limited</t>
  </si>
  <si>
    <t>SC452713</t>
  </si>
  <si>
    <t>Filton and Bradley Stoke</t>
  </si>
  <si>
    <t>SC452715</t>
  </si>
  <si>
    <t>OneOneCoCo</t>
  </si>
  <si>
    <t>46 Britannia Road</t>
  </si>
  <si>
    <t>ILFORD</t>
  </si>
  <si>
    <t>IG1 2EQ</t>
  </si>
  <si>
    <t>SC453181</t>
  </si>
  <si>
    <t>Family First Fostering Agency</t>
  </si>
  <si>
    <t>413 High Street</t>
  </si>
  <si>
    <t xml:space="preserve">Stratford  </t>
  </si>
  <si>
    <t>E15 4QZ</t>
  </si>
  <si>
    <t>Family First Fostering Limited</t>
  </si>
  <si>
    <t>SC453308</t>
  </si>
  <si>
    <t>Pyramid Care CIC Fostering</t>
  </si>
  <si>
    <t>Ravenshill Farm</t>
  </si>
  <si>
    <t xml:space="preserve">Tibberton  </t>
  </si>
  <si>
    <t>WR9 7NR</t>
  </si>
  <si>
    <t>Pyramid Care Community Interest Company</t>
  </si>
  <si>
    <t>SC453372</t>
  </si>
  <si>
    <t>SC453726</t>
  </si>
  <si>
    <t>SC454035</t>
  </si>
  <si>
    <t>SC454265</t>
  </si>
  <si>
    <t>SC454266</t>
  </si>
  <si>
    <t>SC454294</t>
  </si>
  <si>
    <t>SC454484</t>
  </si>
  <si>
    <t>SC454491</t>
  </si>
  <si>
    <t>Ownlife Fostering</t>
  </si>
  <si>
    <t>Dexter Business Centre</t>
  </si>
  <si>
    <t xml:space="preserve">3-5 Sandpit Road  </t>
  </si>
  <si>
    <t>DA1 5BU</t>
  </si>
  <si>
    <t>Ownlife Fostering Limited</t>
  </si>
  <si>
    <t>SC454647</t>
  </si>
  <si>
    <t>SC454707</t>
  </si>
  <si>
    <t>SC454838</t>
  </si>
  <si>
    <t>SC454900</t>
  </si>
  <si>
    <t>Plymouth City Council</t>
  </si>
  <si>
    <t>SC454901</t>
  </si>
  <si>
    <t>SC455338</t>
  </si>
  <si>
    <t>SC455864</t>
  </si>
  <si>
    <t>SC455991</t>
  </si>
  <si>
    <t>Cambian Signpost Limited</t>
  </si>
  <si>
    <t>SC456149</t>
  </si>
  <si>
    <t>SC456157</t>
  </si>
  <si>
    <t>SC456174</t>
  </si>
  <si>
    <t>Chrysalis Consortium Ltd</t>
  </si>
  <si>
    <t>48 Wolstenholm Road</t>
  </si>
  <si>
    <t xml:space="preserve">Nether Edge  </t>
  </si>
  <si>
    <t>SC456271</t>
  </si>
  <si>
    <t>SC456330</t>
  </si>
  <si>
    <t>SC456347</t>
  </si>
  <si>
    <t>SC456409</t>
  </si>
  <si>
    <t>SC456413</t>
  </si>
  <si>
    <t>SC456416</t>
  </si>
  <si>
    <t>SC456417</t>
  </si>
  <si>
    <t>SC456418</t>
  </si>
  <si>
    <t>SC456419</t>
  </si>
  <si>
    <t>SC456474</t>
  </si>
  <si>
    <t>SC456477</t>
  </si>
  <si>
    <t>SC456532</t>
  </si>
  <si>
    <t>SC456535</t>
  </si>
  <si>
    <t>SC456537</t>
  </si>
  <si>
    <t>SC456539</t>
  </si>
  <si>
    <t>SC456542</t>
  </si>
  <si>
    <t>SC456543</t>
  </si>
  <si>
    <t>SC456602</t>
  </si>
  <si>
    <t>SC456710</t>
  </si>
  <si>
    <t>SC456719</t>
  </si>
  <si>
    <t>SC456729</t>
  </si>
  <si>
    <t>SC456795</t>
  </si>
  <si>
    <t>SC456798</t>
  </si>
  <si>
    <t>SC456800</t>
  </si>
  <si>
    <t>SC456846</t>
  </si>
  <si>
    <t>SC456850</t>
  </si>
  <si>
    <t>SC456857</t>
  </si>
  <si>
    <t>SC456863</t>
  </si>
  <si>
    <t>SC456910</t>
  </si>
  <si>
    <t>SC456911</t>
  </si>
  <si>
    <t>SC456942</t>
  </si>
  <si>
    <t>SC456959</t>
  </si>
  <si>
    <t>SC456964</t>
  </si>
  <si>
    <t>SC457012</t>
  </si>
  <si>
    <t>SC457013</t>
  </si>
  <si>
    <t>SC457025</t>
  </si>
  <si>
    <t>SC457068</t>
  </si>
  <si>
    <t>SC457074</t>
  </si>
  <si>
    <t>SC457089</t>
  </si>
  <si>
    <t>SC457132</t>
  </si>
  <si>
    <t>SC457137</t>
  </si>
  <si>
    <t>SC457175</t>
  </si>
  <si>
    <t>SC457180</t>
  </si>
  <si>
    <t>SC457181</t>
  </si>
  <si>
    <t>SC457182</t>
  </si>
  <si>
    <t>SC457183</t>
  </si>
  <si>
    <t>SC457254</t>
  </si>
  <si>
    <t>SC457266</t>
  </si>
  <si>
    <t>SC457272</t>
  </si>
  <si>
    <t>SC457308</t>
  </si>
  <si>
    <t>SC457318</t>
  </si>
  <si>
    <t>SC457327</t>
  </si>
  <si>
    <t>SC457423</t>
  </si>
  <si>
    <t>SC457430</t>
  </si>
  <si>
    <t>SC457433</t>
  </si>
  <si>
    <t>SC457434</t>
  </si>
  <si>
    <t>SC457435</t>
  </si>
  <si>
    <t>SC457488</t>
  </si>
  <si>
    <t>Stratford-on-Avon</t>
  </si>
  <si>
    <t>SC457500</t>
  </si>
  <si>
    <t>SC457501</t>
  </si>
  <si>
    <t>SC457553</t>
  </si>
  <si>
    <t>SC457567</t>
  </si>
  <si>
    <t>SC457573</t>
  </si>
  <si>
    <t>SC457621</t>
  </si>
  <si>
    <t>SC457688</t>
  </si>
  <si>
    <t>Little Acorns Fostering</t>
  </si>
  <si>
    <t>Rook Tree Barn</t>
  </si>
  <si>
    <t>Withersfield Road Great Wratting</t>
  </si>
  <si>
    <t>Haverhill</t>
  </si>
  <si>
    <t>CB9 7HD</t>
  </si>
  <si>
    <t>Little Acorns Fostering Ltd</t>
  </si>
  <si>
    <t>SC457780</t>
  </si>
  <si>
    <t>London Borough of Brent</t>
  </si>
  <si>
    <t>SC457784</t>
  </si>
  <si>
    <t>Abacus Fostering</t>
  </si>
  <si>
    <t>Suite 301/302</t>
  </si>
  <si>
    <t>Steward Street Lofts 69 Stewards Street</t>
  </si>
  <si>
    <t>B18 7AF</t>
  </si>
  <si>
    <t>Abacus Fostering Limited</t>
  </si>
  <si>
    <t>SC457831</t>
  </si>
  <si>
    <t>Shine Fostering</t>
  </si>
  <si>
    <t xml:space="preserve">109 George Lane  </t>
  </si>
  <si>
    <t>Southwoodford</t>
  </si>
  <si>
    <t>E18 1AN</t>
  </si>
  <si>
    <t>SC457923</t>
  </si>
  <si>
    <t>SC458027</t>
  </si>
  <si>
    <t>SC458028</t>
  </si>
  <si>
    <t>SC458115</t>
  </si>
  <si>
    <t>SC458129</t>
  </si>
  <si>
    <t>Suite 5</t>
  </si>
  <si>
    <t>First Floor Hillcrest House,51 Woodcote Road</t>
  </si>
  <si>
    <t>Wallington</t>
  </si>
  <si>
    <t>SM6 0LT</t>
  </si>
  <si>
    <t>SC458141</t>
  </si>
  <si>
    <t>SC458341</t>
  </si>
  <si>
    <t>St. Christopher's Fellowship</t>
  </si>
  <si>
    <t>Kinder House</t>
  </si>
  <si>
    <t xml:space="preserve">Lombard Street  </t>
  </si>
  <si>
    <t>B70 8SD</t>
  </si>
  <si>
    <t>SC458352</t>
  </si>
  <si>
    <t>SC458415</t>
  </si>
  <si>
    <t>SC458754</t>
  </si>
  <si>
    <t>SC458811</t>
  </si>
  <si>
    <t>SC458812</t>
  </si>
  <si>
    <t>SC459168</t>
  </si>
  <si>
    <t>SC459354</t>
  </si>
  <si>
    <t>SC459408</t>
  </si>
  <si>
    <t>The Wellington Academy</t>
  </si>
  <si>
    <t>Tidworth Road</t>
  </si>
  <si>
    <t>Ludgershall</t>
  </si>
  <si>
    <t>SP11 9RR</t>
  </si>
  <si>
    <t>The Wellington Academy Trust</t>
  </si>
  <si>
    <t>SC459667</t>
  </si>
  <si>
    <t>Select FosterCare Services</t>
  </si>
  <si>
    <t>Warren Cottage</t>
  </si>
  <si>
    <t xml:space="preserve">Overton Drive  </t>
  </si>
  <si>
    <t>E11 2LW</t>
  </si>
  <si>
    <t>Select FosterCare Services Ltd</t>
  </si>
  <si>
    <t>SC459857</t>
  </si>
  <si>
    <t>SC460063</t>
  </si>
  <si>
    <t>SC460593</t>
  </si>
  <si>
    <t>SC460671</t>
  </si>
  <si>
    <t>SC460761</t>
  </si>
  <si>
    <t>SC460800</t>
  </si>
  <si>
    <t>SC460973</t>
  </si>
  <si>
    <t>SC461240</t>
  </si>
  <si>
    <t>SC461357</t>
  </si>
  <si>
    <t>The Fostering Company</t>
  </si>
  <si>
    <t>Silverbirch House Mylord Crescent, Camperdown Industrial Estate</t>
  </si>
  <si>
    <t>Killingworth</t>
  </si>
  <si>
    <t>NE12 5UJ</t>
  </si>
  <si>
    <t>The Fostering Company North East Ltd</t>
  </si>
  <si>
    <t>SC461450</t>
  </si>
  <si>
    <t>SC461781</t>
  </si>
  <si>
    <t>SC461846</t>
  </si>
  <si>
    <t>SC461865</t>
  </si>
  <si>
    <t>Heartwood RSW Ltd</t>
  </si>
  <si>
    <t>SC461938</t>
  </si>
  <si>
    <t>SC462226</t>
  </si>
  <si>
    <t>Five Fostering</t>
  </si>
  <si>
    <t>Miramar</t>
  </si>
  <si>
    <t xml:space="preserve">De la Warr Parade  </t>
  </si>
  <si>
    <t>BEXHILL-ON-SEA</t>
  </si>
  <si>
    <t>TN40 1NR</t>
  </si>
  <si>
    <t>Five Fostering Ltd</t>
  </si>
  <si>
    <t>SC462450</t>
  </si>
  <si>
    <t>Satash Community Care Project Limited</t>
  </si>
  <si>
    <t>SC462458</t>
  </si>
  <si>
    <t>Simon Kerr-Edwards</t>
  </si>
  <si>
    <t>Resthaven</t>
  </si>
  <si>
    <t>Chinnor Road Bledlow Ridge</t>
  </si>
  <si>
    <t>HIGH WYCOMBE</t>
  </si>
  <si>
    <t>HP14 4AJ</t>
  </si>
  <si>
    <t>SC462558</t>
  </si>
  <si>
    <t>Psychology Associates</t>
  </si>
  <si>
    <t>Psychology Associates Ltd</t>
  </si>
  <si>
    <t xml:space="preserve">41-43 Lower Fore Street  </t>
  </si>
  <si>
    <t>SALTASH</t>
  </si>
  <si>
    <t>PL12 6JQ</t>
  </si>
  <si>
    <t>Psychology Associates Limited</t>
  </si>
  <si>
    <t>SC462583</t>
  </si>
  <si>
    <t>SC462591</t>
  </si>
  <si>
    <t>G B A Care Ltd</t>
  </si>
  <si>
    <t>SC462593</t>
  </si>
  <si>
    <t>SC462631</t>
  </si>
  <si>
    <t>SC462729</t>
  </si>
  <si>
    <t>SC462951</t>
  </si>
  <si>
    <t>ERA Care Limited</t>
  </si>
  <si>
    <t>SC462984</t>
  </si>
  <si>
    <t>Family Futures CIC</t>
  </si>
  <si>
    <t>SC463071</t>
  </si>
  <si>
    <t>Acorn Care (NE) Ltd</t>
  </si>
  <si>
    <t>33 Kellaw Road</t>
  </si>
  <si>
    <t xml:space="preserve">Yarm Road Business Park  </t>
  </si>
  <si>
    <t>DL1 4YA</t>
  </si>
  <si>
    <t>Acorn Care (NE) Limited</t>
  </si>
  <si>
    <t>SC463188</t>
  </si>
  <si>
    <t>SC463431</t>
  </si>
  <si>
    <t>SC463639</t>
  </si>
  <si>
    <t>SC463692</t>
  </si>
  <si>
    <t>SC463852</t>
  </si>
  <si>
    <t>SC463902</t>
  </si>
  <si>
    <t>SC463926</t>
  </si>
  <si>
    <t>SC463937</t>
  </si>
  <si>
    <t>Channels and Choices Therapeutic Fostering</t>
  </si>
  <si>
    <t>Kearsney Manor</t>
  </si>
  <si>
    <t>Alkham Road Kearsney</t>
  </si>
  <si>
    <t>CT16 3EQ</t>
  </si>
  <si>
    <t>Channels and Choices Therapeutic Fostering Limited</t>
  </si>
  <si>
    <t>SC464759</t>
  </si>
  <si>
    <t>SC464762</t>
  </si>
  <si>
    <t>SC464809</t>
  </si>
  <si>
    <t>SC464958</t>
  </si>
  <si>
    <t>SC465079</t>
  </si>
  <si>
    <t>SC465120</t>
  </si>
  <si>
    <t>What's Out There Limited</t>
  </si>
  <si>
    <t>SC465257</t>
  </si>
  <si>
    <t>Northamptonshire Healthcare NHS Foundation Trust</t>
  </si>
  <si>
    <t>SC465287</t>
  </si>
  <si>
    <t>SC465475</t>
  </si>
  <si>
    <t>SC465579</t>
  </si>
  <si>
    <t>SC465588</t>
  </si>
  <si>
    <t>White Orchid Care Limited</t>
  </si>
  <si>
    <t>SC465634</t>
  </si>
  <si>
    <t>SC465868</t>
  </si>
  <si>
    <t>Connect Fostering Services Ltd</t>
  </si>
  <si>
    <t>The Stables</t>
  </si>
  <si>
    <t>Parsonage Farm Hollow Hill Lane</t>
  </si>
  <si>
    <t>Iver</t>
  </si>
  <si>
    <t>SL0 0JW</t>
  </si>
  <si>
    <t>SC465940</t>
  </si>
  <si>
    <t>SC465949</t>
  </si>
  <si>
    <t xml:space="preserve">Compass Fostering South </t>
  </si>
  <si>
    <t>Unimer House Dominion Way, Rustington</t>
  </si>
  <si>
    <t>LITTLEHAMPTON</t>
  </si>
  <si>
    <t>BN16 3HQ</t>
  </si>
  <si>
    <t>SC466264</t>
  </si>
  <si>
    <t xml:space="preserve">Hopewell Road  </t>
  </si>
  <si>
    <t>HU9 4HD</t>
  </si>
  <si>
    <t>SC466284</t>
  </si>
  <si>
    <t>SC466378</t>
  </si>
  <si>
    <t>SC466786</t>
  </si>
  <si>
    <t>SC466934</t>
  </si>
  <si>
    <t>Children Always First Limited</t>
  </si>
  <si>
    <t>Office 1</t>
  </si>
  <si>
    <t>Ladybird Barn Old Burcot Lane</t>
  </si>
  <si>
    <t>B60 1PH</t>
  </si>
  <si>
    <t>SC467115</t>
  </si>
  <si>
    <t>SC467155</t>
  </si>
  <si>
    <t>SC467264</t>
  </si>
  <si>
    <t>SC467268</t>
  </si>
  <si>
    <t>SC467704</t>
  </si>
  <si>
    <t>SC467796</t>
  </si>
  <si>
    <t>SC467847</t>
  </si>
  <si>
    <t>SC468747</t>
  </si>
  <si>
    <t>SC468929</t>
  </si>
  <si>
    <t>SC469113</t>
  </si>
  <si>
    <t>Earlscliffe (Sussex Summer Schools Ltd)</t>
  </si>
  <si>
    <t>29 Shorncliffe Road</t>
  </si>
  <si>
    <t>Folkestone</t>
  </si>
  <si>
    <t>CT20 2NB</t>
  </si>
  <si>
    <t>Sussex Summer Schools Ltd</t>
  </si>
  <si>
    <t>SC469396</t>
  </si>
  <si>
    <t>SC469686</t>
  </si>
  <si>
    <t>SC469688</t>
  </si>
  <si>
    <t>Affinity Fostering</t>
  </si>
  <si>
    <t>Ingatestone Hall</t>
  </si>
  <si>
    <t>Hall Lane Ingatestone</t>
  </si>
  <si>
    <t>CM4 9NR</t>
  </si>
  <si>
    <t>Affinity Fostering Services Limited</t>
  </si>
  <si>
    <t>SC469761</t>
  </si>
  <si>
    <t>SC469798</t>
  </si>
  <si>
    <t>Carfax College</t>
  </si>
  <si>
    <t>39-42 Hythe Bridge Street</t>
  </si>
  <si>
    <t>OX1 2EP</t>
  </si>
  <si>
    <t>Carfax Education Limited</t>
  </si>
  <si>
    <t>SC470224</t>
  </si>
  <si>
    <t>SC470279</t>
  </si>
  <si>
    <t>1750 Solihull Parkway</t>
  </si>
  <si>
    <t>Birmingham Business Park Solihull</t>
  </si>
  <si>
    <t>B37 7YD</t>
  </si>
  <si>
    <t>SC470284</t>
  </si>
  <si>
    <t>SC470290</t>
  </si>
  <si>
    <t>SC470413</t>
  </si>
  <si>
    <t>SC470457</t>
  </si>
  <si>
    <t>SC470458</t>
  </si>
  <si>
    <t>4th Floor Prince House,43-51 Prince Street</t>
  </si>
  <si>
    <t>BS1 4PS</t>
  </si>
  <si>
    <t>SC470479</t>
  </si>
  <si>
    <t>SC470513</t>
  </si>
  <si>
    <t>SC470585</t>
  </si>
  <si>
    <t>SC470645</t>
  </si>
  <si>
    <t>SC470687</t>
  </si>
  <si>
    <t>Resolve Care</t>
  </si>
  <si>
    <t>13 Coventry Road</t>
  </si>
  <si>
    <t>IG1 4QR</t>
  </si>
  <si>
    <t>Resolve Care Limited</t>
  </si>
  <si>
    <t>SC470742</t>
  </si>
  <si>
    <t xml:space="preserve">The Child Psychology Service </t>
  </si>
  <si>
    <t>Office 4</t>
  </si>
  <si>
    <t>Lancaster Park Newborough Road</t>
  </si>
  <si>
    <t>Needwood</t>
  </si>
  <si>
    <t>Burton on Trent</t>
  </si>
  <si>
    <t>DE13 9PD</t>
  </si>
  <si>
    <t>The Child Psychology Service C.I.C</t>
  </si>
  <si>
    <t>SC470797</t>
  </si>
  <si>
    <t>SC470928</t>
  </si>
  <si>
    <t>SC471038</t>
  </si>
  <si>
    <t>SC471058</t>
  </si>
  <si>
    <t>SC471153</t>
  </si>
  <si>
    <t>SC471178</t>
  </si>
  <si>
    <t>SC471289</t>
  </si>
  <si>
    <t>SC471581</t>
  </si>
  <si>
    <t>SC471672</t>
  </si>
  <si>
    <t>SC471856</t>
  </si>
  <si>
    <t>PCT Care Services Limited</t>
  </si>
  <si>
    <t>SC472102</t>
  </si>
  <si>
    <t>SC472125</t>
  </si>
  <si>
    <t>Ideal Fostering</t>
  </si>
  <si>
    <t>Anchor House</t>
  </si>
  <si>
    <t xml:space="preserve">4 Bridgeman Street  </t>
  </si>
  <si>
    <t>WS2 9NW</t>
  </si>
  <si>
    <t>Ideal Fostering Limited</t>
  </si>
  <si>
    <t>SC472139</t>
  </si>
  <si>
    <t>Amegreen Children's Services Limited</t>
  </si>
  <si>
    <t>SC472164</t>
  </si>
  <si>
    <t>SC472325</t>
  </si>
  <si>
    <t>SC472374</t>
  </si>
  <si>
    <t>SC472381</t>
  </si>
  <si>
    <t>SC472392</t>
  </si>
  <si>
    <t>SC472417</t>
  </si>
  <si>
    <t>SC472449</t>
  </si>
  <si>
    <t>SC472465</t>
  </si>
  <si>
    <t>SC472480</t>
  </si>
  <si>
    <t>SC472680</t>
  </si>
  <si>
    <t>SC472795</t>
  </si>
  <si>
    <t>SC472977</t>
  </si>
  <si>
    <t>SC473329</t>
  </si>
  <si>
    <t>SC473375</t>
  </si>
  <si>
    <t>SC473404</t>
  </si>
  <si>
    <t>SC473473</t>
  </si>
  <si>
    <t>SC473475</t>
  </si>
  <si>
    <t>SC473631</t>
  </si>
  <si>
    <t>SC473639</t>
  </si>
  <si>
    <t>SC473699</t>
  </si>
  <si>
    <t>SC473713</t>
  </si>
  <si>
    <t>The Robert Ogden School</t>
  </si>
  <si>
    <t>Clayton Lane</t>
  </si>
  <si>
    <t xml:space="preserve">Thurnscoe  </t>
  </si>
  <si>
    <t>ROTHERHAM</t>
  </si>
  <si>
    <t>S63 0BG</t>
  </si>
  <si>
    <t>SC473877</t>
  </si>
  <si>
    <t>SC473891</t>
  </si>
  <si>
    <t>SC474041</t>
  </si>
  <si>
    <t>SC474150</t>
  </si>
  <si>
    <t>SC474179</t>
  </si>
  <si>
    <t>SC474543</t>
  </si>
  <si>
    <t>Bromley Healthcare Community Interest Company</t>
  </si>
  <si>
    <t>SC474728</t>
  </si>
  <si>
    <t>Chariteens Residential Family Centre</t>
  </si>
  <si>
    <t>10 Khartoum Road</t>
  </si>
  <si>
    <t>E13 8RF</t>
  </si>
  <si>
    <t>Chariteens Residential Family Centre CIC</t>
  </si>
  <si>
    <t>SC474819</t>
  </si>
  <si>
    <t>ARC Adoption North East Limited</t>
  </si>
  <si>
    <t>Unit 29</t>
  </si>
  <si>
    <t>Business &amp; Innovation Centre Wearfield, Sunderland Enterprise Park</t>
  </si>
  <si>
    <t>SUNDERLAND</t>
  </si>
  <si>
    <t>SC474894</t>
  </si>
  <si>
    <t>SC475088</t>
  </si>
  <si>
    <t>SC475323</t>
  </si>
  <si>
    <t>SC475335</t>
  </si>
  <si>
    <t>SC475345</t>
  </si>
  <si>
    <t>Beechen Cliff School</t>
  </si>
  <si>
    <t>Alexandra Park</t>
  </si>
  <si>
    <t>BA2 4RE</t>
  </si>
  <si>
    <t>SC475347</t>
  </si>
  <si>
    <t>SC475680</t>
  </si>
  <si>
    <t>SC475689</t>
  </si>
  <si>
    <t>SC475697</t>
  </si>
  <si>
    <t>SC475703</t>
  </si>
  <si>
    <t>SC475706</t>
  </si>
  <si>
    <t>SC475710</t>
  </si>
  <si>
    <t>SC475715</t>
  </si>
  <si>
    <t>SC475723</t>
  </si>
  <si>
    <t>SC475748</t>
  </si>
  <si>
    <t>SC476008</t>
  </si>
  <si>
    <t>SC476083</t>
  </si>
  <si>
    <t>SC476231</t>
  </si>
  <si>
    <t>SC476236</t>
  </si>
  <si>
    <t>SC476249</t>
  </si>
  <si>
    <t>SC476251</t>
  </si>
  <si>
    <t>SC476252</t>
  </si>
  <si>
    <t>SC476262</t>
  </si>
  <si>
    <t>SC476267</t>
  </si>
  <si>
    <t>SC476270</t>
  </si>
  <si>
    <t>SC476271</t>
  </si>
  <si>
    <t>SC476286</t>
  </si>
  <si>
    <t>SC476289</t>
  </si>
  <si>
    <t>SC476292</t>
  </si>
  <si>
    <t>SC476303</t>
  </si>
  <si>
    <t>SC476326</t>
  </si>
  <si>
    <t>SC476482</t>
  </si>
  <si>
    <t>Adopters for Adoption</t>
  </si>
  <si>
    <t>Adopters for Adoption Limited</t>
  </si>
  <si>
    <t>SC476486</t>
  </si>
  <si>
    <t>SC476512</t>
  </si>
  <si>
    <t>SC476570</t>
  </si>
  <si>
    <t>SC476602</t>
  </si>
  <si>
    <t>SC476868</t>
  </si>
  <si>
    <t>SC476942</t>
  </si>
  <si>
    <t>Wholistic Fostering Ltd</t>
  </si>
  <si>
    <t>34 Brook House</t>
  </si>
  <si>
    <t>Brook Street Business Centre Brook Street</t>
  </si>
  <si>
    <t>Tipton</t>
  </si>
  <si>
    <t>DY4 9DD</t>
  </si>
  <si>
    <t>Wholistic Fostering Limited</t>
  </si>
  <si>
    <t>SC476965</t>
  </si>
  <si>
    <t>Brighter Futures Fostercare</t>
  </si>
  <si>
    <t>Horseshoe Hill Upshire Hill</t>
  </si>
  <si>
    <t>WALTHAM ABBEY</t>
  </si>
  <si>
    <t>Brighter Futures Foster Care Limited</t>
  </si>
  <si>
    <t>SC476990</t>
  </si>
  <si>
    <t>SC477026</t>
  </si>
  <si>
    <t>Beams Foster Care and Family Service Ltd</t>
  </si>
  <si>
    <t>Shrublands Cottages</t>
  </si>
  <si>
    <t>Magadalen Way Gorleston</t>
  </si>
  <si>
    <t>NR31 7BP</t>
  </si>
  <si>
    <t>Beams Foster Care and Family Services Limited</t>
  </si>
  <si>
    <t>SC477031</t>
  </si>
  <si>
    <t>SC477040</t>
  </si>
  <si>
    <t>SC477205</t>
  </si>
  <si>
    <t>Royal Borough of Kensington and Chelsea</t>
  </si>
  <si>
    <t>SC477209</t>
  </si>
  <si>
    <t>SC477428</t>
  </si>
  <si>
    <t>SC477622</t>
  </si>
  <si>
    <t>The Briars Waterberry Drive</t>
  </si>
  <si>
    <t>Waterlooville</t>
  </si>
  <si>
    <t>PO7 7YH</t>
  </si>
  <si>
    <t>SC477723</t>
  </si>
  <si>
    <t>Family Fostering</t>
  </si>
  <si>
    <t>G9 Marlowe Innovation Centre</t>
  </si>
  <si>
    <t xml:space="preserve">Marlowe Way  </t>
  </si>
  <si>
    <t>CT12 6FA</t>
  </si>
  <si>
    <t>Family Fostering Limited</t>
  </si>
  <si>
    <t>SC477724</t>
  </si>
  <si>
    <t>SC477726</t>
  </si>
  <si>
    <t>SC477734</t>
  </si>
  <si>
    <t>1A Brindley Way</t>
  </si>
  <si>
    <t xml:space="preserve">Wakefield Business Park  </t>
  </si>
  <si>
    <t>WF2 0XQ</t>
  </si>
  <si>
    <t>SC477900</t>
  </si>
  <si>
    <t>SC477939</t>
  </si>
  <si>
    <t>SC478001</t>
  </si>
  <si>
    <t>Longdon Hall School Limited</t>
  </si>
  <si>
    <t>SC478134</t>
  </si>
  <si>
    <t>SC478152</t>
  </si>
  <si>
    <t>SC478315</t>
  </si>
  <si>
    <t>SC478324</t>
  </si>
  <si>
    <t>Regional Fostering Services Ltd</t>
  </si>
  <si>
    <t>1 Harefield Road Uxbridge</t>
  </si>
  <si>
    <t>SC478468</t>
  </si>
  <si>
    <t>SC478616</t>
  </si>
  <si>
    <t>SC478850</t>
  </si>
  <si>
    <t>CTC Psychological Services</t>
  </si>
  <si>
    <t>20 Walpole Street</t>
  </si>
  <si>
    <t>CH1 4HG</t>
  </si>
  <si>
    <t>The Partnership of CTC Psychological Services</t>
  </si>
  <si>
    <t>SC478852</t>
  </si>
  <si>
    <t>SC478986</t>
  </si>
  <si>
    <t>SC478991</t>
  </si>
  <si>
    <t>SC479090</t>
  </si>
  <si>
    <t>Lighthouse Fostering</t>
  </si>
  <si>
    <t xml:space="preserve">Standard Quay  </t>
  </si>
  <si>
    <t>ME13 7BS</t>
  </si>
  <si>
    <t>Lighthouse Fostering Limited</t>
  </si>
  <si>
    <t>SC479230</t>
  </si>
  <si>
    <t>SC479596</t>
  </si>
  <si>
    <t>SC479632</t>
  </si>
  <si>
    <t>SC479647</t>
  </si>
  <si>
    <t>SC479649</t>
  </si>
  <si>
    <t>SC479650</t>
  </si>
  <si>
    <t>SC479654</t>
  </si>
  <si>
    <t>SC479919</t>
  </si>
  <si>
    <t>Tide House</t>
  </si>
  <si>
    <t>21 High Street</t>
  </si>
  <si>
    <t>BIDEFORD</t>
  </si>
  <si>
    <t>EX39 2AA</t>
  </si>
  <si>
    <t>Inclusis Limited</t>
  </si>
  <si>
    <t>SC480075</t>
  </si>
  <si>
    <t>Safe Base Care Limited</t>
  </si>
  <si>
    <t>SC480161</t>
  </si>
  <si>
    <t>SC480240</t>
  </si>
  <si>
    <t>SC480318</t>
  </si>
  <si>
    <t>SC480422</t>
  </si>
  <si>
    <t>SC480429</t>
  </si>
  <si>
    <t>SC480502</t>
  </si>
  <si>
    <t>SC480594</t>
  </si>
  <si>
    <t>SC480655</t>
  </si>
  <si>
    <t>SC480671</t>
  </si>
  <si>
    <t>SC480678</t>
  </si>
  <si>
    <t>SC480681</t>
  </si>
  <si>
    <t>SC480704</t>
  </si>
  <si>
    <t>SC480705</t>
  </si>
  <si>
    <t>SC480847</t>
  </si>
  <si>
    <t>SC480854</t>
  </si>
  <si>
    <t>SC481015</t>
  </si>
  <si>
    <t>SC481040</t>
  </si>
  <si>
    <t>SC481062</t>
  </si>
  <si>
    <t>Family Assessment Centre</t>
  </si>
  <si>
    <t>881 Chester Road</t>
  </si>
  <si>
    <t xml:space="preserve">Stretford  </t>
  </si>
  <si>
    <t>M32 0RN</t>
  </si>
  <si>
    <t>SC481125</t>
  </si>
  <si>
    <t>Gateway Psychology</t>
  </si>
  <si>
    <t>7-9 the Boulevard</t>
  </si>
  <si>
    <t>Tunstall</t>
  </si>
  <si>
    <t>ST6 6BD</t>
  </si>
  <si>
    <t>Gateway Psychology Ltd</t>
  </si>
  <si>
    <t>SC481152</t>
  </si>
  <si>
    <t>SC481172</t>
  </si>
  <si>
    <t>SC481209</t>
  </si>
  <si>
    <t>SC481221</t>
  </si>
  <si>
    <t>SC481235</t>
  </si>
  <si>
    <t>Individual Specialist Care Ltd</t>
  </si>
  <si>
    <t>SC481293</t>
  </si>
  <si>
    <t>SC481295</t>
  </si>
  <si>
    <t>SC481305</t>
  </si>
  <si>
    <t>SC481312</t>
  </si>
  <si>
    <t>SC481369</t>
  </si>
  <si>
    <t>SC481439</t>
  </si>
  <si>
    <t>SC481444</t>
  </si>
  <si>
    <t>SC481446</t>
  </si>
  <si>
    <t>Doncaster Children's Trust - Fostering Service</t>
  </si>
  <si>
    <t>Colonnades House</t>
  </si>
  <si>
    <t xml:space="preserve">Duke Street </t>
  </si>
  <si>
    <t>DN1 1ER</t>
  </si>
  <si>
    <t>SC481447</t>
  </si>
  <si>
    <t>SC481450</t>
  </si>
  <si>
    <t>Doncaster Children's Trust Adoption Service</t>
  </si>
  <si>
    <t>SC481631</t>
  </si>
  <si>
    <t>SC481844</t>
  </si>
  <si>
    <t>SC482275</t>
  </si>
  <si>
    <t>SC482293</t>
  </si>
  <si>
    <t>SC482294</t>
  </si>
  <si>
    <t>SC482295</t>
  </si>
  <si>
    <t>SC482296</t>
  </si>
  <si>
    <t>SC482299</t>
  </si>
  <si>
    <t>SC482300</t>
  </si>
  <si>
    <t>SC482301</t>
  </si>
  <si>
    <t>SC482303</t>
  </si>
  <si>
    <t>SC482340</t>
  </si>
  <si>
    <t>SC482344</t>
  </si>
  <si>
    <t>SC482380</t>
  </si>
  <si>
    <t>SC482410</t>
  </si>
  <si>
    <t>SC482411</t>
  </si>
  <si>
    <t>SC482415</t>
  </si>
  <si>
    <t>SC482418</t>
  </si>
  <si>
    <t>SC482419</t>
  </si>
  <si>
    <t>SC482517</t>
  </si>
  <si>
    <t>SC482548</t>
  </si>
  <si>
    <t>SC482569</t>
  </si>
  <si>
    <t>SC482588</t>
  </si>
  <si>
    <t>Foundations Wigan</t>
  </si>
  <si>
    <t>98-100 Atherton Road</t>
  </si>
  <si>
    <t xml:space="preserve">Hindley  </t>
  </si>
  <si>
    <t>WIGAN</t>
  </si>
  <si>
    <t>WN2 3RN</t>
  </si>
  <si>
    <t>SC482683</t>
  </si>
  <si>
    <t>SC482872</t>
  </si>
  <si>
    <t>SC483028</t>
  </si>
  <si>
    <t>Holyport College</t>
  </si>
  <si>
    <t>Ascot Road</t>
  </si>
  <si>
    <t xml:space="preserve">Holyport  </t>
  </si>
  <si>
    <t>SL6 3LE</t>
  </si>
  <si>
    <t>SC483070</t>
  </si>
  <si>
    <t>SC483220</t>
  </si>
  <si>
    <t>SC483533</t>
  </si>
  <si>
    <t>SC483623</t>
  </si>
  <si>
    <t>Kartikeya Solutions Limited</t>
  </si>
  <si>
    <t>SC483662</t>
  </si>
  <si>
    <t>SC483688</t>
  </si>
  <si>
    <t>SC483692</t>
  </si>
  <si>
    <t>SC483710</t>
  </si>
  <si>
    <t>SC483714</t>
  </si>
  <si>
    <t>White Orchid Marston Moretaine Limited</t>
  </si>
  <si>
    <t>SC483779</t>
  </si>
  <si>
    <t>SC483828</t>
  </si>
  <si>
    <t>SC483846</t>
  </si>
  <si>
    <t>SC483856</t>
  </si>
  <si>
    <t>SC483928</t>
  </si>
  <si>
    <t>Family Foster Care</t>
  </si>
  <si>
    <t>Apex Office Space</t>
  </si>
  <si>
    <t xml:space="preserve">1 Watervole Way  </t>
  </si>
  <si>
    <t>DN4 5JP</t>
  </si>
  <si>
    <t>Family Foster Care Limited</t>
  </si>
  <si>
    <t>SC483958</t>
  </si>
  <si>
    <t>SC484114</t>
  </si>
  <si>
    <t>SC484133</t>
  </si>
  <si>
    <t>SC484134</t>
  </si>
  <si>
    <t xml:space="preserve">Kedleston (High Peak School) Limited </t>
  </si>
  <si>
    <t>SC484141</t>
  </si>
  <si>
    <t>Active Care Solutions</t>
  </si>
  <si>
    <t>Pure Offices</t>
  </si>
  <si>
    <t xml:space="preserve">Broadwell Road  </t>
  </si>
  <si>
    <t>OLDBURY</t>
  </si>
  <si>
    <t>B69 4BY</t>
  </si>
  <si>
    <t>Active Care Solutions Limited</t>
  </si>
  <si>
    <t>SC484242</t>
  </si>
  <si>
    <t>SC484247</t>
  </si>
  <si>
    <t>SC484302</t>
  </si>
  <si>
    <t>SC484402</t>
  </si>
  <si>
    <t>SC484575</t>
  </si>
  <si>
    <t xml:space="preserve">Diagrama Fostering </t>
  </si>
  <si>
    <t>Airport House</t>
  </si>
  <si>
    <t xml:space="preserve">Purley Way  </t>
  </si>
  <si>
    <t>CR0 0XZ</t>
  </si>
  <si>
    <t>Diagrama Children's Services Limited</t>
  </si>
  <si>
    <t>SC484605</t>
  </si>
  <si>
    <t xml:space="preserve">Diagrama Adoption </t>
  </si>
  <si>
    <t>SC484671</t>
  </si>
  <si>
    <t>SC484673</t>
  </si>
  <si>
    <t>The Orchards</t>
  </si>
  <si>
    <t>6 Hillyard Road</t>
  </si>
  <si>
    <t>W7 1BH</t>
  </si>
  <si>
    <t>SC484789</t>
  </si>
  <si>
    <t>SC484803</t>
  </si>
  <si>
    <t>Stepping Stones Fostering</t>
  </si>
  <si>
    <t>Suite 106 344-348 High Road</t>
  </si>
  <si>
    <t>Stepping Stones Fostering Ltd</t>
  </si>
  <si>
    <t>SC484830</t>
  </si>
  <si>
    <t>SC484912</t>
  </si>
  <si>
    <t>SC485109</t>
  </si>
  <si>
    <t>North London Grammar School</t>
  </si>
  <si>
    <t>110 Colindeep Lane</t>
  </si>
  <si>
    <t>NW9 6HE</t>
  </si>
  <si>
    <t>Wisdom School</t>
  </si>
  <si>
    <t>SC485318</t>
  </si>
  <si>
    <t>SC485423</t>
  </si>
  <si>
    <t>SC485427</t>
  </si>
  <si>
    <t>SC485529</t>
  </si>
  <si>
    <t>SC485540</t>
  </si>
  <si>
    <t>SC485748</t>
  </si>
  <si>
    <t>Orange Grove Fostercare Southern Counties</t>
  </si>
  <si>
    <t>Burgess Hill</t>
  </si>
  <si>
    <t>Orange Grove Fostercare Ltd</t>
  </si>
  <si>
    <t>SC485761</t>
  </si>
  <si>
    <t>Orange Grove Fostercare Three Shires</t>
  </si>
  <si>
    <t>Wavendon Tower Ortensia Drive</t>
  </si>
  <si>
    <t>SC485769</t>
  </si>
  <si>
    <t>Orange Grove Fostercare Yorkshire</t>
  </si>
  <si>
    <t>South Yorkshire Office</t>
  </si>
  <si>
    <t>2b Sidings Court White Rose Way</t>
  </si>
  <si>
    <t>Donaster</t>
  </si>
  <si>
    <t>DN4 5NU</t>
  </si>
  <si>
    <t>SC485778</t>
  </si>
  <si>
    <t>Orange Grove Fostercare Northwest</t>
  </si>
  <si>
    <t>North West Office</t>
  </si>
  <si>
    <t>Walnut Tree Business Centre Suite 3, Northwich Road</t>
  </si>
  <si>
    <t>Lower Stretton</t>
  </si>
  <si>
    <t>WA4 4PG</t>
  </si>
  <si>
    <t>SC485797</t>
  </si>
  <si>
    <t>Orange Grove Fostercare Staffordshire</t>
  </si>
  <si>
    <t>30b &amp; 30c Brookside House</t>
  </si>
  <si>
    <t>Brookside Business Park Cold Meece</t>
  </si>
  <si>
    <t>ST15 0RZ</t>
  </si>
  <si>
    <t>SC485809</t>
  </si>
  <si>
    <t>Orange Grove Fostercare London and Essex</t>
  </si>
  <si>
    <t>5 Willow Grove</t>
  </si>
  <si>
    <t>BR7 5BN</t>
  </si>
  <si>
    <t>SC485956</t>
  </si>
  <si>
    <t>SC486114</t>
  </si>
  <si>
    <t>SC486165</t>
  </si>
  <si>
    <t>SC486167</t>
  </si>
  <si>
    <t>SC486357</t>
  </si>
  <si>
    <t>Ikon Fostering Limited</t>
  </si>
  <si>
    <t>Ikon Fostering Ltd</t>
  </si>
  <si>
    <t xml:space="preserve">Pool Street  </t>
  </si>
  <si>
    <t>WALSALL</t>
  </si>
  <si>
    <t>WS1 2EN</t>
  </si>
  <si>
    <t>SC486398</t>
  </si>
  <si>
    <t>SC486479</t>
  </si>
  <si>
    <t>SC486604</t>
  </si>
  <si>
    <t>SC486606</t>
  </si>
  <si>
    <t>SC486607</t>
  </si>
  <si>
    <t xml:space="preserve">Regional Foster Families – East Midlands </t>
  </si>
  <si>
    <t>St James Business Park</t>
  </si>
  <si>
    <t>Cranmer Suite Grantham Road</t>
  </si>
  <si>
    <t>Radcliffe on Trent</t>
  </si>
  <si>
    <t>NG12 2JP</t>
  </si>
  <si>
    <t>SC486879</t>
  </si>
  <si>
    <t>SC486913</t>
  </si>
  <si>
    <t>Thames Enterprise Centre</t>
  </si>
  <si>
    <t xml:space="preserve">Princess Margaret Road  </t>
  </si>
  <si>
    <t>East Tilbury</t>
  </si>
  <si>
    <t>RM18 8RH</t>
  </si>
  <si>
    <t>SC487165</t>
  </si>
  <si>
    <t>SC487488</t>
  </si>
  <si>
    <t>SC487549</t>
  </si>
  <si>
    <t>SC487702</t>
  </si>
  <si>
    <t>SC487764</t>
  </si>
  <si>
    <t>SC487794</t>
  </si>
  <si>
    <t>SC487945</t>
  </si>
  <si>
    <t>New Chapters Fostercare Agency</t>
  </si>
  <si>
    <t>Blencathra</t>
  </si>
  <si>
    <t>Upton Magna Business Park Upton Magna</t>
  </si>
  <si>
    <t>Shrewsbury</t>
  </si>
  <si>
    <t>SY4 4TT</t>
  </si>
  <si>
    <t>New Chapters Fostercare Limited</t>
  </si>
  <si>
    <t>SC488112</t>
  </si>
  <si>
    <t>SC488223</t>
  </si>
  <si>
    <t>SC488290</t>
  </si>
  <si>
    <t>Fostering Ltd</t>
  </si>
  <si>
    <t>Suite 8</t>
  </si>
  <si>
    <t>New Hall Hey Business Centre New Hall Hey Road,Rawtenstall</t>
  </si>
  <si>
    <t>BB4 6HL</t>
  </si>
  <si>
    <t>SC488439</t>
  </si>
  <si>
    <t>SC488596</t>
  </si>
  <si>
    <t>SC488679</t>
  </si>
  <si>
    <t>SC488788</t>
  </si>
  <si>
    <t>Fostering London Ltd</t>
  </si>
  <si>
    <t>34 Shelbourne Road</t>
  </si>
  <si>
    <t>N17 9YH</t>
  </si>
  <si>
    <t>SC488930</t>
  </si>
  <si>
    <t>United Children's Services Limited</t>
  </si>
  <si>
    <t>SC488943</t>
  </si>
  <si>
    <t>SC488961</t>
  </si>
  <si>
    <t>SC489014</t>
  </si>
  <si>
    <t>Jigsaw Adoption</t>
  </si>
  <si>
    <t>Third Floor</t>
  </si>
  <si>
    <t>The Griffin 12 The Broadway</t>
  </si>
  <si>
    <t>Amersham</t>
  </si>
  <si>
    <t>HP7 0HP</t>
  </si>
  <si>
    <t>Jigsaw Adoption Limited</t>
  </si>
  <si>
    <t>SC489036</t>
  </si>
  <si>
    <t>SC489038</t>
  </si>
  <si>
    <t>My Life-My Choice Limited</t>
  </si>
  <si>
    <t>SC489212</t>
  </si>
  <si>
    <t>MacIntyre Academies</t>
  </si>
  <si>
    <t>SC489223</t>
  </si>
  <si>
    <t>SC489226</t>
  </si>
  <si>
    <t>Netheredge Care Limited</t>
  </si>
  <si>
    <t>SC489416</t>
  </si>
  <si>
    <t>SC489516</t>
  </si>
  <si>
    <t>SC489561</t>
  </si>
  <si>
    <t>Lika Family Fostering</t>
  </si>
  <si>
    <t>Davis House</t>
  </si>
  <si>
    <t>4th Floor 1 Robert Street</t>
  </si>
  <si>
    <t>CR0 1QQ</t>
  </si>
  <si>
    <t>Lika Family Fostering Ltd</t>
  </si>
  <si>
    <t>SC489594</t>
  </si>
  <si>
    <t>Tutis Foster Care</t>
  </si>
  <si>
    <t>13 Duke Street</t>
  </si>
  <si>
    <t>Whitehaven</t>
  </si>
  <si>
    <t>CA28 7ER</t>
  </si>
  <si>
    <t>Tutis Foster Care Ltd</t>
  </si>
  <si>
    <t>SC489610</t>
  </si>
  <si>
    <t>SC489820</t>
  </si>
  <si>
    <t>SC489970</t>
  </si>
  <si>
    <t>SC490087</t>
  </si>
  <si>
    <t>Richmond House</t>
  </si>
  <si>
    <t>Lillesden Lane</t>
  </si>
  <si>
    <t xml:space="preserve">North Curry  </t>
  </si>
  <si>
    <t>Family Assessment and Support Services Limited</t>
  </si>
  <si>
    <t>SC490122</t>
  </si>
  <si>
    <t>Wyre Forest School</t>
  </si>
  <si>
    <t xml:space="preserve">Habberley Road  </t>
  </si>
  <si>
    <t>Kidderminster</t>
  </si>
  <si>
    <t>DY11 6FA</t>
  </si>
  <si>
    <t>SC490364</t>
  </si>
  <si>
    <t>SC490365</t>
  </si>
  <si>
    <t>Bayis Sheli Limited</t>
  </si>
  <si>
    <t>Children's social care data in England 2022 - Provider level in year 2021-22</t>
  </si>
  <si>
    <t>This worksheet contains one table, this table begins in cell A4. Column A includes a link to the Oftsed Social Care Provider Webpage for each provider, links will open in a new window.</t>
  </si>
  <si>
    <t>Some cells in this table are empty. This is in instances where the column refers to data that is not applicable for that provider type or inspection type.</t>
  </si>
  <si>
    <t>Inspection event type</t>
  </si>
  <si>
    <t>Inspection publication date</t>
  </si>
  <si>
    <t>Inspection event number</t>
  </si>
  <si>
    <t>Inspection overall experiences and progress of children and young people</t>
  </si>
  <si>
    <t>Inspection outcomes in education and related learning activities</t>
  </si>
  <si>
    <t>Inspection health services</t>
  </si>
  <si>
    <t>Inspection how well children and young people are helped and protected</t>
  </si>
  <si>
    <t>Inspection the effectiveness of leaders and managers</t>
  </si>
  <si>
    <t>Interim inspection</t>
  </si>
  <si>
    <t>Declined effectiveness</t>
  </si>
  <si>
    <t>Improved effectiveness</t>
  </si>
  <si>
    <t>Sustained effectiveness</t>
  </si>
  <si>
    <t>Resigned</t>
  </si>
  <si>
    <t>The Percy Hedley Foundation</t>
  </si>
  <si>
    <t>Not judged</t>
  </si>
  <si>
    <t>Silverlining Childcare Limited</t>
  </si>
  <si>
    <t>Exitus Childrens Care Ltd</t>
  </si>
  <si>
    <t>Stanfield Care Services Limited</t>
  </si>
  <si>
    <t>Cancelled</t>
  </si>
  <si>
    <t>Dynamic Childcare Limited</t>
  </si>
  <si>
    <t>SC – Emergency inspection</t>
  </si>
  <si>
    <t>Osei Minkah Care Ltd</t>
  </si>
  <si>
    <t>Prime Adolescence Limited</t>
  </si>
  <si>
    <t>Pathways Residential Child Care Limited</t>
  </si>
  <si>
    <t>Grosvenor House</t>
  </si>
  <si>
    <t>1 Grosvenor Road</t>
  </si>
  <si>
    <t>SM6 0EG</t>
  </si>
  <si>
    <t>A &amp; S Holder Limited</t>
  </si>
  <si>
    <t>Sea Sanctuary</t>
  </si>
  <si>
    <t>Wynford House Ltd</t>
  </si>
  <si>
    <t>Pilgrim Extra Care Ltd</t>
  </si>
  <si>
    <t>Sozo Care Homes Limited</t>
  </si>
  <si>
    <t>The Woodbridge Family Centre</t>
  </si>
  <si>
    <t>7 Butterwick Walk</t>
  </si>
  <si>
    <t>NN18 9HF</t>
  </si>
  <si>
    <t>Spring Meadow Children's Home Ltd</t>
  </si>
  <si>
    <t>Innovate Therapeutic Care Limited</t>
  </si>
  <si>
    <t>Achieve Care Homes Ltd</t>
  </si>
  <si>
    <t>HURIYA CARE U.K LTD</t>
  </si>
  <si>
    <t>SC008015</t>
  </si>
  <si>
    <t>SC015264</t>
  </si>
  <si>
    <t>SC034184</t>
  </si>
  <si>
    <t>SC035105</t>
  </si>
  <si>
    <t>SC035687</t>
  </si>
  <si>
    <t>Hesley Services Limited</t>
  </si>
  <si>
    <t>SC040628</t>
  </si>
  <si>
    <t>SC055780</t>
  </si>
  <si>
    <t>SC062406</t>
  </si>
  <si>
    <t>Horizon Care Limited</t>
  </si>
  <si>
    <t>SC063316</t>
  </si>
  <si>
    <t>Perpetual Care/ Perpetual Fostering</t>
  </si>
  <si>
    <t>31 Chorley New Road</t>
  </si>
  <si>
    <t>BL1 4QR</t>
  </si>
  <si>
    <t>Perpetual Fostering Limited</t>
  </si>
  <si>
    <t>SC063959</t>
  </si>
  <si>
    <t>SC068205</t>
  </si>
  <si>
    <t>SC368982</t>
  </si>
  <si>
    <t>SC372652</t>
  </si>
  <si>
    <t>SC398385</t>
  </si>
  <si>
    <t>SC405985</t>
  </si>
  <si>
    <t>SC413078</t>
  </si>
  <si>
    <t>SC430002</t>
  </si>
  <si>
    <t>Roseberry Specialist Care Centres Ltd</t>
  </si>
  <si>
    <t>SC436826</t>
  </si>
  <si>
    <t>SC451152</t>
  </si>
  <si>
    <t>SC458746</t>
  </si>
  <si>
    <t>SC461275</t>
  </si>
  <si>
    <t>SC476261</t>
  </si>
  <si>
    <t>SC480840</t>
  </si>
  <si>
    <t>SC482223</t>
  </si>
  <si>
    <t>SC487196</t>
  </si>
  <si>
    <t>Children's social care data in England 2022 - Providers and places at 31 Mar 2022</t>
  </si>
  <si>
    <t>Some cells in this table are empty. This is in instances where data is unavailable in that particular column for that provider.</t>
  </si>
  <si>
    <t>Linked education URN</t>
  </si>
  <si>
    <t>Ofsted Region</t>
  </si>
  <si>
    <t>Organisation name</t>
  </si>
  <si>
    <t>Children's social care data in England 2022 - Leavers and Joiners at 31 Mar 2022</t>
  </si>
  <si>
    <t>This worksheet contains one table which begins in cell A4.</t>
  </si>
  <si>
    <t xml:space="preserve">Some cells in this table are empty because data was not provided to Ofsted. </t>
  </si>
  <si>
    <t>Cancelled or resigned date</t>
  </si>
  <si>
    <t>Joiner status</t>
  </si>
  <si>
    <t>Leaver status</t>
  </si>
  <si>
    <t>Registration status (as at 31 March 2022)</t>
  </si>
  <si>
    <t>Leaver</t>
  </si>
  <si>
    <t>Break-away</t>
  </si>
  <si>
    <t>National Deaf Children's Society</t>
  </si>
  <si>
    <t xml:space="preserve">Regional Foster Families - South Central </t>
  </si>
  <si>
    <t xml:space="preserve">Achieving Aspirations Community Interest Company </t>
  </si>
  <si>
    <t>Potential Fostering Services</t>
  </si>
  <si>
    <t>Joiner</t>
  </si>
  <si>
    <t>Clinical Partners</t>
  </si>
  <si>
    <t>Arbour Vale</t>
  </si>
  <si>
    <t>Highbury College</t>
  </si>
  <si>
    <t>Encounter</t>
  </si>
  <si>
    <t>SC003897</t>
  </si>
  <si>
    <t>SC005067</t>
  </si>
  <si>
    <t>SC007615</t>
  </si>
  <si>
    <t>Windlestone School</t>
  </si>
  <si>
    <t>SC022437</t>
  </si>
  <si>
    <t>SC022440</t>
  </si>
  <si>
    <t>SC022444</t>
  </si>
  <si>
    <t>SC022446</t>
  </si>
  <si>
    <t>Wargrave House School</t>
  </si>
  <si>
    <t>SC024060</t>
  </si>
  <si>
    <t>Meadows School</t>
  </si>
  <si>
    <t>SC024594</t>
  </si>
  <si>
    <t>SC025938</t>
  </si>
  <si>
    <t>SC031779</t>
  </si>
  <si>
    <t>Battersea</t>
  </si>
  <si>
    <t>Falcon Grove Family Centre</t>
  </si>
  <si>
    <t>SC034134</t>
  </si>
  <si>
    <t>SC036551</t>
  </si>
  <si>
    <t>SC036726</t>
  </si>
  <si>
    <t>SC038087</t>
  </si>
  <si>
    <t>Mount Tamar School</t>
  </si>
  <si>
    <t>SC038622</t>
  </si>
  <si>
    <t>St Francis Community Special School</t>
  </si>
  <si>
    <t>SC042656</t>
  </si>
  <si>
    <t>Littlegreen School</t>
  </si>
  <si>
    <t>SC044607</t>
  </si>
  <si>
    <t>Barnardos East Midlands Family Placement Service</t>
  </si>
  <si>
    <t>SC047199</t>
  </si>
  <si>
    <t>SC048403</t>
  </si>
  <si>
    <t>SC048470</t>
  </si>
  <si>
    <t>Adopt Together</t>
  </si>
  <si>
    <t>SC050866</t>
  </si>
  <si>
    <t>Darul Uloom Dawatul Imaan</t>
  </si>
  <si>
    <t>SC051829</t>
  </si>
  <si>
    <t>Barnardo's - Midlands</t>
  </si>
  <si>
    <t>SC060118</t>
  </si>
  <si>
    <t>SC060178</t>
  </si>
  <si>
    <t>Derby College (Broomfield)</t>
  </si>
  <si>
    <t>SC060655</t>
  </si>
  <si>
    <t>Skegness Grammar School</t>
  </si>
  <si>
    <t>SC060758</t>
  </si>
  <si>
    <t>SC061770</t>
  </si>
  <si>
    <t>SC062288</t>
  </si>
  <si>
    <t>SC067001</t>
  </si>
  <si>
    <t>Jane Foulkes</t>
  </si>
  <si>
    <t>SC067034</t>
  </si>
  <si>
    <t>Catchpoint Consultancy CIC</t>
  </si>
  <si>
    <t>SC067052</t>
  </si>
  <si>
    <t>SC068698</t>
  </si>
  <si>
    <t>Adoption Support Agency of Registered Therapists</t>
  </si>
  <si>
    <t>SC359812</t>
  </si>
  <si>
    <t>SC367623</t>
  </si>
  <si>
    <t>SC368934</t>
  </si>
  <si>
    <t>SC371723</t>
  </si>
  <si>
    <t>SC372617</t>
  </si>
  <si>
    <t>SC372619</t>
  </si>
  <si>
    <t>SC372664</t>
  </si>
  <si>
    <t>SC374640</t>
  </si>
  <si>
    <t>SC378600</t>
  </si>
  <si>
    <t>SC381531</t>
  </si>
  <si>
    <t>SC390434</t>
  </si>
  <si>
    <t>SC400219</t>
  </si>
  <si>
    <t>SC411208</t>
  </si>
  <si>
    <t>SC413678</t>
  </si>
  <si>
    <t>SC420303</t>
  </si>
  <si>
    <t>SC423741</t>
  </si>
  <si>
    <t>SC433290</t>
  </si>
  <si>
    <t>SC447930</t>
  </si>
  <si>
    <t>SC448615</t>
  </si>
  <si>
    <t>SC450701</t>
  </si>
  <si>
    <t>SC451819</t>
  </si>
  <si>
    <t>SC452009</t>
  </si>
  <si>
    <t>Wells</t>
  </si>
  <si>
    <t>SC457506</t>
  </si>
  <si>
    <t>SC462149</t>
  </si>
  <si>
    <t>SC463647</t>
  </si>
  <si>
    <t>SC472485</t>
  </si>
  <si>
    <t>SC473460</t>
  </si>
  <si>
    <t>SC474724</t>
  </si>
  <si>
    <t>SC474782</t>
  </si>
  <si>
    <t>SC480850</t>
  </si>
  <si>
    <t>SC482668</t>
  </si>
  <si>
    <t>SC489187</t>
  </si>
  <si>
    <t>SC490136</t>
  </si>
  <si>
    <t>Children's social care data in England 2022 -National number of children’s social care providers and places six monthly, by provision type</t>
  </si>
  <si>
    <t xml:space="preserve">This worksheet contains two tables. Some cells refer to notes which can be found on the notes worksheet. </t>
  </si>
  <si>
    <t>The first table begins in cell A5, while the second table begins in cell A30 with one blank row in between the tables.</t>
  </si>
  <si>
    <t xml:space="preserve">Some cells in this table are empty because data was not collected for these provider types at these time points. </t>
  </si>
  <si>
    <t>Table 6: National number of children’s social care providers  six monthly, by provision type 31 March 2022</t>
  </si>
  <si>
    <t>Date</t>
  </si>
  <si>
    <t>Data type</t>
  </si>
  <si>
    <t>All Children's Homes</t>
  </si>
  <si>
    <t>Children's Homes</t>
  </si>
  <si>
    <t>Secure Children's Homes</t>
  </si>
  <si>
    <t>Residential Special Schools</t>
  </si>
  <si>
    <t>Residential Family Centres</t>
  </si>
  <si>
    <t>Boarding Schools</t>
  </si>
  <si>
    <t>Further Education Colleges with Residential Accommodation</t>
  </si>
  <si>
    <t>Secure Training Centres</t>
  </si>
  <si>
    <t>Adoption Support Agencies</t>
  </si>
  <si>
    <t>Voluntary Adoption Agency Branches</t>
  </si>
  <si>
    <t>Independent Fostering Agencies</t>
  </si>
  <si>
    <t>Residential Holiday Schemes for Disabled Children</t>
  </si>
  <si>
    <t>All</t>
  </si>
  <si>
    <t>Providers</t>
  </si>
  <si>
    <t>Tuesday, March 31, 2015 [Note 3]</t>
  </si>
  <si>
    <t>-</t>
  </si>
  <si>
    <t>Monday, September 30, 2013 [Note 2]</t>
  </si>
  <si>
    <t>Saturday, March 31, 2012 [Note 1]</t>
  </si>
  <si>
    <t>Table 6: National number of children’s social care places six monthly, by provision type 31 March 2022</t>
  </si>
  <si>
    <t>Latest overall effectiveness judgement as at 31 March 2022</t>
  </si>
  <si>
    <t xml:space="preserve">This worksheet contains 13 tables presented next to each other vertically with one blank row in between each table. Each table applies to a different group of providers or type of provider, which are defined in the table heading. </t>
  </si>
  <si>
    <t>Table 8a: Latest overall effectiveness judgement for all providers, as at 31 March 2022</t>
  </si>
  <si>
    <t>Period as at</t>
  </si>
  <si>
    <t>Table 8b: Latest overall effectiveness judgement for all children's homes, as at 31 March 2022</t>
  </si>
  <si>
    <t>Table 8c: Latest overall effectiveness judgement for children's homes, as at 31 March 2022</t>
  </si>
  <si>
    <t>Table 8d: Latest overall effectiveness judgement for residential special schools (registered as a children's home), as at 31 March 2022</t>
  </si>
  <si>
    <t>Table 8e: Latest overall effectiveness judgement for secure children's homes, as at 31 March 2022</t>
  </si>
  <si>
    <t>Table 8f: Latest overall effectiveness judgement for independent fostering agencies, as at 31 March 2022</t>
  </si>
  <si>
    <t>Table 8g: Latest overall effectiveness judgement for voluntary adoption agencies, as at 31 March 2022</t>
  </si>
  <si>
    <t>Table 8h: Latest overall effectiveness judgement for residential special schools, as at 31 March 2022</t>
  </si>
  <si>
    <t>Table 8i: Latest overall effectiveness judgement for boarding schools, as at 31 March 2022</t>
  </si>
  <si>
    <t>Table 8j: Latest overall effectiveness judgement for residential family centre, as at 31 March 2022</t>
  </si>
  <si>
    <t>Table 8k: Latest overall effectiveness judgement for adoption support agencies, as at 31 March 2022</t>
  </si>
  <si>
    <t>Table 8l: Latest overall effectiveness judgement for further education colleges with residential accommodation, as at 31 March 2022</t>
  </si>
  <si>
    <t>Table 8m: Latest overall effectiveness judgement for residential holiday schemes for disabled children, as at 31 March 2022</t>
  </si>
  <si>
    <t>Overall effectiveness judgement of all inspections between 01 April 2007 and 31 March 2022</t>
  </si>
  <si>
    <t xml:space="preserve">This worksheet contains 5 tables presented next to each other vertically with one blank row in between each table. Each table applies to a different group of providers or type of provider, which are defined in the table heading. </t>
  </si>
  <si>
    <t>Table 9a: Overall effectiveness judgement of all children's home inspections between 01 April 2007 and 31 March 2022</t>
  </si>
  <si>
    <t>Period</t>
  </si>
  <si>
    <t>2021-22</t>
  </si>
  <si>
    <t>2020-21</t>
  </si>
  <si>
    <t>2019-20</t>
  </si>
  <si>
    <t>2018-19</t>
  </si>
  <si>
    <t>2017-18</t>
  </si>
  <si>
    <t>2016-17</t>
  </si>
  <si>
    <t>2015-16</t>
  </si>
  <si>
    <t>2014-15</t>
  </si>
  <si>
    <t>2013-14</t>
  </si>
  <si>
    <t>2012-13</t>
  </si>
  <si>
    <t>2011-12</t>
  </si>
  <si>
    <t>2010-11</t>
  </si>
  <si>
    <t>2009-10</t>
  </si>
  <si>
    <t>2008-09</t>
  </si>
  <si>
    <t>2007-08</t>
  </si>
  <si>
    <t>Table 9b: Overall effectiveness judgement of children's home inspections between 01 April 2007 and 31 March 2022</t>
  </si>
  <si>
    <t>Table 9c: Overall effectiveness judgement of residential special school (registered as a children's home) inspections between 01 April 2007 and 31 March 2022</t>
  </si>
  <si>
    <t>Table 9d: Overall effectiveness judgement of secure children's home inspections between 01 April 2007 and 31 March 2022</t>
  </si>
  <si>
    <t>Table 9e: Overall effectiveness judgement of residential special school inspections between 01 April 2007 and 31 March 2022</t>
  </si>
  <si>
    <t>Children's social care data in England 20XX - LA inspections 2009-20XX</t>
  </si>
  <si>
    <t>This worksheet contains two tables. The first table begins in cell A6, while the second table begins in cell A158 with one blank row inbetween the tables.</t>
  </si>
  <si>
    <t>Column A includes a link to the Local Authority Webpage for each local authority, links will open in a new window.</t>
  </si>
  <si>
    <t xml:space="preserve">Some cells in this table are empty when data is not available. </t>
  </si>
  <si>
    <t>Table 10: LA inspections 2009-2022</t>
  </si>
  <si>
    <t>LA region</t>
  </si>
  <si>
    <t>LA Authority Type</t>
  </si>
  <si>
    <t>Safeguarding &amp; Looked After Children (SLAC) Inspection publication date</t>
  </si>
  <si>
    <t>SLAC Safeguarding Overall effectiveness (OE)</t>
  </si>
  <si>
    <t>SLAC Looked After Children Overall Effectiveness (OE)</t>
  </si>
  <si>
    <t>SLAC re-inspection of Safeguarding publication date</t>
  </si>
  <si>
    <t>SLAC re-inspection Safeguarding OE</t>
  </si>
  <si>
    <t>SLAC re-inspection of services for Children Looked After publication date</t>
  </si>
  <si>
    <t>SLAC re-inspection of services Children Looked After OE</t>
  </si>
  <si>
    <t>Child Protection Inspections (CPI) publication date</t>
  </si>
  <si>
    <t>CPI Overall Effectiveness (OE)</t>
  </si>
  <si>
    <t>Child Protection Re-Inspection (CPRI) publication date</t>
  </si>
  <si>
    <t>CPRI Overall Effectiveness (OE)</t>
  </si>
  <si>
    <t>Targeted Looked After Children (TLAC) inspection publication date</t>
  </si>
  <si>
    <t>TLAC Overall Effectiveness (OE)</t>
  </si>
  <si>
    <t>Single Inspection of LA Children's Services (SIF)  First SIF publication date</t>
  </si>
  <si>
    <t xml:space="preserve"> First SIF Overall Judgement
(OE)</t>
  </si>
  <si>
    <t xml:space="preserve"> First SIF children who need help and protection </t>
  </si>
  <si>
    <t xml:space="preserve"> First SIF children looked after and achieving permanence </t>
  </si>
  <si>
    <t xml:space="preserve"> First SIF CLA Sub: Adoption Performance</t>
  </si>
  <si>
    <t xml:space="preserve"> First SIF CLA Sub: Experiences and progress of care leavers</t>
  </si>
  <si>
    <t xml:space="preserve"> First SIF leadership, management and governance</t>
  </si>
  <si>
    <t xml:space="preserve">LSCB Overall Effectiveness </t>
  </si>
  <si>
    <t>Single Inspection of LA Children's Services (SIF) SIF Re-inspection publication date</t>
  </si>
  <si>
    <t xml:space="preserve"> SIF Re-inspection Overall Judgement
(OE)</t>
  </si>
  <si>
    <t xml:space="preserve"> SIF Re-inspection children who need help and protection </t>
  </si>
  <si>
    <t xml:space="preserve"> SIF Re-inspection children looked after and achieving permanence </t>
  </si>
  <si>
    <t xml:space="preserve"> SIF Re-inspection CLA Sub: Adoption Performance</t>
  </si>
  <si>
    <t xml:space="preserve"> SIF Re-inspection CLA Sub: Experiences and progress of care leavers</t>
  </si>
  <si>
    <t xml:space="preserve"> SIF Re-inspection leadership, management and governance</t>
  </si>
  <si>
    <t>ILACS framework inspection type</t>
  </si>
  <si>
    <t>ILACS framework publication date</t>
  </si>
  <si>
    <t>ILACS framework overall effectiveness</t>
  </si>
  <si>
    <t>ILACS framework impact of leaders</t>
  </si>
  <si>
    <t>ILACS framework experiences and progress of children who need help and protection</t>
  </si>
  <si>
    <t>ILACS framework experiences and progress of children in care and care leavers</t>
  </si>
  <si>
    <t>London Borough</t>
  </si>
  <si>
    <t>Metropolitan District</t>
  </si>
  <si>
    <t>Unitary</t>
  </si>
  <si>
    <t>Bedford Borough</t>
  </si>
  <si>
    <t>Shire County</t>
  </si>
  <si>
    <t xml:space="preserve"> -</t>
  </si>
  <si>
    <t>Southend-on-Sea</t>
  </si>
  <si>
    <t>Table 11:History of inspections of three local authorities that existed before the restructure in April 2019</t>
  </si>
  <si>
    <t>Standard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</si>
</sst>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809]dd&quot; &quot;mmmm&quot; &quot;yyyy;@"/>
    <numFmt numFmtId="165" formatCode="[$-809]dddd&quot;, &quot;mmmm&quot; &quot;dd&quot;, &quot;yyyy"/>
    <numFmt numFmtId="166" formatCode="&quot; &quot;#,##0&quot; &quot;;&quot; (&quot;#,##0&quot;)&quot;;&quot; -&quot;#&quot; &quot;;&quot; &quot;@&quot; &quot;"/>
    <numFmt numFmtId="167" formatCode="#,##0&quot; &quot;;&quot;-&quot;#,##0&quot; &quot;"/>
    <numFmt numFmtId="168" formatCode="dd/mm/yyyy;@"/>
    <numFmt numFmtId="169" formatCode="&quot; &quot;#,##0.00&quot; &quot;;&quot; (&quot;#,##0.00&quot;)&quot;;&quot; -&quot;#&quot; &quot;;&quot; &quot;@&quot; &quot;"/>
    <numFmt numFmtId="170" formatCode="&quot; &quot;#,##0.00&quot; &quot;;&quot;-&quot;#,##0.00&quot; &quot;;&quot; -&quot;#&quot; &quot;;&quot; &quot;@&quot; &quot;"/>
  </numFmts>
  <fonts count="40" x14ac:knownFonts="1">
    <font>
      <sz val="10"/>
      <color rgb="FF000000"/>
      <name val="Tahoma"/>
      <family val="2"/>
    </font>
    <font>
      <sz val="10"/>
      <color rgb="FF000000"/>
      <name val="Tahoma"/>
      <family val="2"/>
    </font>
    <font>
      <sz val="10"/>
      <color rgb="FF000000"/>
      <name val="Arial"/>
      <family val="2"/>
    </font>
    <font>
      <sz val="11"/>
      <color rgb="FF000000"/>
      <name val="Calibri"/>
      <family val="2"/>
    </font>
    <font>
      <sz val="11"/>
      <color rgb="FFFFFFFF"/>
      <name val="Calibri"/>
      <family val="2"/>
    </font>
    <font>
      <sz val="11"/>
      <color rgb="FF800080"/>
      <name val="Calibri"/>
      <family val="2"/>
    </font>
    <font>
      <b/>
      <sz val="11"/>
      <color rgb="FFFF9900"/>
      <name val="Calibri"/>
      <family val="2"/>
    </font>
    <font>
      <b/>
      <sz val="11"/>
      <color rgb="FFFFFFFF"/>
      <name val="Calibri"/>
      <family val="2"/>
    </font>
    <font>
      <i/>
      <sz val="11"/>
      <color rgb="FF808080"/>
      <name val="Calibri"/>
      <family val="2"/>
    </font>
    <font>
      <sz val="11"/>
      <color rgb="FF008000"/>
      <name val="Calibri"/>
      <family val="2"/>
    </font>
    <font>
      <b/>
      <sz val="15"/>
      <color rgb="FF000000"/>
      <name val="Tahoma"/>
      <family val="2"/>
    </font>
    <font>
      <b/>
      <sz val="15"/>
      <color rgb="FF003366"/>
      <name val="Calibri"/>
      <family val="2"/>
    </font>
    <font>
      <b/>
      <sz val="13"/>
      <color rgb="FF003366"/>
      <name val="Calibri"/>
      <family val="2"/>
    </font>
    <font>
      <b/>
      <sz val="11"/>
      <color rgb="FF003366"/>
      <name val="Calibri"/>
      <family val="2"/>
    </font>
    <font>
      <u/>
      <sz val="10"/>
      <color rgb="FF0000FF"/>
      <name val="Tahoma"/>
      <family val="2"/>
    </font>
    <font>
      <u/>
      <sz val="10"/>
      <color rgb="FF0000FF"/>
      <name val="Arial"/>
      <family val="2"/>
    </font>
    <font>
      <u/>
      <sz val="11"/>
      <color rgb="FF0000FF"/>
      <name val="Calibri"/>
      <family val="2"/>
    </font>
    <font>
      <sz val="11"/>
      <color rgb="FF333399"/>
      <name val="Calibri"/>
      <family val="2"/>
    </font>
    <font>
      <sz val="11"/>
      <color rgb="FFFF9900"/>
      <name val="Calibri"/>
      <family val="2"/>
    </font>
    <font>
      <sz val="11"/>
      <color rgb="FF993300"/>
      <name val="Calibri"/>
      <family val="2"/>
    </font>
    <font>
      <sz val="12"/>
      <color rgb="FF000000"/>
      <name val="Arial"/>
      <family val="2"/>
    </font>
    <font>
      <sz val="11"/>
      <color rgb="FF000000"/>
      <name val="Times New Roman"/>
      <family val="1"/>
    </font>
    <font>
      <b/>
      <sz val="11"/>
      <color rgb="FF333333"/>
      <name val="Calibri"/>
      <family val="2"/>
    </font>
    <font>
      <b/>
      <sz val="18"/>
      <color rgb="FF003366"/>
      <name val="Cambria"/>
      <family val="1"/>
    </font>
    <font>
      <b/>
      <sz val="11"/>
      <color rgb="FF000000"/>
      <name val="Calibri"/>
      <family val="2"/>
    </font>
    <font>
      <sz val="11"/>
      <color rgb="FFFF0000"/>
      <name val="Calibri"/>
      <family val="2"/>
    </font>
    <font>
      <b/>
      <sz val="12"/>
      <color rgb="FF000000"/>
      <name val="Tahoma"/>
      <family val="2"/>
    </font>
    <font>
      <sz val="12"/>
      <color rgb="FF000000"/>
      <name val="Tahoma"/>
      <family val="2"/>
    </font>
    <font>
      <u/>
      <sz val="12"/>
      <color rgb="FF0000FF"/>
      <name val="Tahoma"/>
      <family val="2"/>
    </font>
    <font>
      <sz val="11"/>
      <color rgb="FF000000"/>
      <name val="Tahoma"/>
      <family val="2"/>
    </font>
    <font>
      <b/>
      <sz val="11"/>
      <color rgb="FF000000"/>
      <name val="Tahoma"/>
      <family val="2"/>
    </font>
    <font>
      <sz val="10"/>
      <color rgb="FFFF0000"/>
      <name val="Tahoma"/>
      <family val="2"/>
    </font>
    <font>
      <u/>
      <sz val="11"/>
      <color rgb="FF0000FF"/>
      <name val="Tahoma"/>
      <family val="2"/>
    </font>
    <font>
      <b/>
      <sz val="10"/>
      <color rgb="FF000000"/>
      <name val="Tahoma"/>
      <family val="2"/>
    </font>
    <font>
      <sz val="11"/>
      <color rgb="FF000000"/>
      <name val="Arial"/>
      <family val="2"/>
    </font>
    <font>
      <u/>
      <sz val="10"/>
      <color rgb="FF000000"/>
      <name val="Tahoma"/>
      <family val="2"/>
    </font>
    <font>
      <b/>
      <sz val="8"/>
      <color rgb="FF000000"/>
      <name val="Tahoma"/>
      <family val="2"/>
    </font>
    <font>
      <sz val="8"/>
      <color rgb="FF000000"/>
      <name val="Tahoma"/>
      <family val="2"/>
    </font>
    <font>
      <b/>
      <sz val="14"/>
      <color rgb="FFFFFFFF"/>
      <name val="Tahoma"/>
      <family val="2"/>
    </font>
    <font>
      <b/>
      <i/>
      <sz val="12"/>
      <color rgb="FF000000"/>
      <name val="Tahoma"/>
      <family val="2"/>
    </font>
  </fonts>
  <fills count="25">
    <fill>
      <patternFill patternType="none"/>
    </fill>
    <fill>
      <patternFill patternType="gray125"/>
    </fill>
    <fill>
      <patternFill patternType="solid">
        <fgColor rgb="FFCCCCFF"/>
        <bgColor rgb="FFCCCCFF"/>
      </patternFill>
    </fill>
    <fill>
      <patternFill patternType="solid">
        <fgColor rgb="FFFF99CC"/>
        <bgColor rgb="FFFF99CC"/>
      </patternFill>
    </fill>
    <fill>
      <patternFill patternType="solid">
        <fgColor rgb="FFCCFFCC"/>
        <bgColor rgb="FFCCFFCC"/>
      </patternFill>
    </fill>
    <fill>
      <patternFill patternType="solid">
        <fgColor rgb="FFCC99FF"/>
        <bgColor rgb="FFCC99FF"/>
      </patternFill>
    </fill>
    <fill>
      <patternFill patternType="solid">
        <fgColor rgb="FFCCFFFF"/>
        <bgColor rgb="FFCCFFFF"/>
      </patternFill>
    </fill>
    <fill>
      <patternFill patternType="solid">
        <fgColor rgb="FFFFCC99"/>
        <bgColor rgb="FFFFCC99"/>
      </patternFill>
    </fill>
    <fill>
      <patternFill patternType="solid">
        <fgColor rgb="FF99CCFF"/>
        <bgColor rgb="FF99CCFF"/>
      </patternFill>
    </fill>
    <fill>
      <patternFill patternType="solid">
        <fgColor rgb="FFFF8080"/>
        <bgColor rgb="FFFF8080"/>
      </patternFill>
    </fill>
    <fill>
      <patternFill patternType="solid">
        <fgColor rgb="FF00FF00"/>
        <bgColor rgb="FF00FF00"/>
      </patternFill>
    </fill>
    <fill>
      <patternFill patternType="solid">
        <fgColor rgb="FFFFCC00"/>
        <bgColor rgb="FFFFCC00"/>
      </patternFill>
    </fill>
    <fill>
      <patternFill patternType="solid">
        <fgColor rgb="FF0066CC"/>
        <bgColor rgb="FF0066CC"/>
      </patternFill>
    </fill>
    <fill>
      <patternFill patternType="solid">
        <fgColor rgb="FF800080"/>
        <bgColor rgb="FF800080"/>
      </patternFill>
    </fill>
    <fill>
      <patternFill patternType="solid">
        <fgColor rgb="FF33CCCC"/>
        <bgColor rgb="FF33CCCC"/>
      </patternFill>
    </fill>
    <fill>
      <patternFill patternType="solid">
        <fgColor rgb="FFFF9900"/>
        <bgColor rgb="FFFF9900"/>
      </patternFill>
    </fill>
    <fill>
      <patternFill patternType="solid">
        <fgColor rgb="FF333399"/>
        <bgColor rgb="FF333399"/>
      </patternFill>
    </fill>
    <fill>
      <patternFill patternType="solid">
        <fgColor rgb="FFFF0000"/>
        <bgColor rgb="FFFF0000"/>
      </patternFill>
    </fill>
    <fill>
      <patternFill patternType="solid">
        <fgColor rgb="FF339966"/>
        <bgColor rgb="FF339966"/>
      </patternFill>
    </fill>
    <fill>
      <patternFill patternType="solid">
        <fgColor rgb="FFFF6600"/>
        <bgColor rgb="FFFF6600"/>
      </patternFill>
    </fill>
    <fill>
      <patternFill patternType="solid">
        <fgColor rgb="FFC0C0C0"/>
        <bgColor rgb="FFC0C0C0"/>
      </patternFill>
    </fill>
    <fill>
      <patternFill patternType="solid">
        <fgColor rgb="FF969696"/>
        <bgColor rgb="FF969696"/>
      </patternFill>
    </fill>
    <fill>
      <patternFill patternType="solid">
        <fgColor rgb="FFFFFF99"/>
        <bgColor rgb="FFFFFF99"/>
      </patternFill>
    </fill>
    <fill>
      <patternFill patternType="solid">
        <fgColor rgb="FFFFFFCC"/>
        <bgColor rgb="FFFFFFCC"/>
      </patternFill>
    </fill>
    <fill>
      <patternFill patternType="solid">
        <fgColor rgb="FFFFFFFF"/>
        <bgColor rgb="FFFFFFFF"/>
      </patternFill>
    </fill>
  </fills>
  <borders count="54">
    <border>
      <left/>
      <right/>
      <top/>
      <bottom/>
      <diagonal/>
    </border>
    <border>
      <left style="thin">
        <color rgb="FFB2B2B2"/>
      </left>
      <right style="thin">
        <color rgb="FFB2B2B2"/>
      </right>
      <top style="thin">
        <color rgb="FFB2B2B2"/>
      </top>
      <bottom style="thin">
        <color rgb="FFB2B2B2"/>
      </bottom>
      <diagonal/>
    </border>
    <border>
      <left style="thin">
        <color rgb="FF808080"/>
      </left>
      <right style="thin">
        <color rgb="FF808080"/>
      </right>
      <top style="thin">
        <color rgb="FF808080"/>
      </top>
      <bottom style="thin">
        <color rgb="FF808080"/>
      </bottom>
      <diagonal/>
    </border>
    <border>
      <left style="double">
        <color rgb="FF333333"/>
      </left>
      <right style="double">
        <color rgb="FF333333"/>
      </right>
      <top style="double">
        <color rgb="FF333333"/>
      </top>
      <bottom style="double">
        <color rgb="FF333333"/>
      </bottom>
      <diagonal/>
    </border>
    <border>
      <left/>
      <right/>
      <top/>
      <bottom style="thick">
        <color rgb="FF333399"/>
      </bottom>
      <diagonal/>
    </border>
    <border>
      <left/>
      <right/>
      <top/>
      <bottom style="thick">
        <color rgb="FFC0C0C0"/>
      </bottom>
      <diagonal/>
    </border>
    <border>
      <left/>
      <right/>
      <top/>
      <bottom style="medium">
        <color rgb="FF0066CC"/>
      </bottom>
      <diagonal/>
    </border>
    <border>
      <left/>
      <right/>
      <top/>
      <bottom style="double">
        <color rgb="FFFF9900"/>
      </bottom>
      <diagonal/>
    </border>
    <border>
      <left style="thin">
        <color rgb="FFC0C0C0"/>
      </left>
      <right style="thin">
        <color rgb="FFC0C0C0"/>
      </right>
      <top style="thin">
        <color rgb="FFC0C0C0"/>
      </top>
      <bottom style="thin">
        <color rgb="FFC0C0C0"/>
      </bottom>
      <diagonal/>
    </border>
    <border>
      <left style="thin">
        <color rgb="FF333333"/>
      </left>
      <right style="thin">
        <color rgb="FF333333"/>
      </right>
      <top style="thin">
        <color rgb="FF333333"/>
      </top>
      <bottom style="thin">
        <color rgb="FF333333"/>
      </bottom>
      <diagonal/>
    </border>
    <border>
      <left/>
      <right/>
      <top style="thin">
        <color rgb="FF333399"/>
      </top>
      <bottom style="double">
        <color rgb="FF333399"/>
      </bottom>
      <diagonal/>
    </border>
    <border>
      <left/>
      <right/>
      <top/>
      <bottom style="thin">
        <color rgb="FF000000"/>
      </bottom>
      <diagonal/>
    </border>
    <border>
      <left style="thin">
        <color rgb="FF000000"/>
      </left>
      <right/>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medium">
        <color rgb="FF000000"/>
      </left>
      <right style="thin">
        <color rgb="FF000000"/>
      </right>
      <top/>
      <bottom/>
      <diagonal/>
    </border>
    <border>
      <left style="thin">
        <color rgb="FF000000"/>
      </left>
      <right style="thin">
        <color rgb="FF000000"/>
      </right>
      <top/>
      <bottom/>
      <diagonal/>
    </border>
    <border>
      <left style="thin">
        <color rgb="FF000000"/>
      </left>
      <right/>
      <top/>
      <bottom/>
      <diagonal/>
    </border>
    <border>
      <left style="thin">
        <color rgb="FF000000"/>
      </left>
      <right/>
      <top style="thin">
        <color rgb="FF000000"/>
      </top>
      <bottom style="thin">
        <color rgb="FF000000"/>
      </bottom>
      <diagonal/>
    </border>
    <border>
      <left style="medium">
        <color rgb="FF000000"/>
      </left>
      <right style="thin">
        <color rgb="FF000000"/>
      </right>
      <top style="thin">
        <color rgb="FF000000"/>
      </top>
      <bottom/>
      <diagonal/>
    </border>
    <border>
      <left style="medium">
        <color rgb="FF000000"/>
      </left>
      <right style="thin">
        <color rgb="FF000000"/>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style="medium">
        <color rgb="FF000000"/>
      </left>
      <right style="thin">
        <color rgb="FF000000"/>
      </right>
      <top style="thick">
        <color rgb="FF000000"/>
      </top>
      <bottom style="thin">
        <color rgb="FF000000"/>
      </bottom>
      <diagonal/>
    </border>
    <border>
      <left style="thin">
        <color rgb="FF000000"/>
      </left>
      <right style="thin">
        <color rgb="FF000000"/>
      </right>
      <top style="thick">
        <color rgb="FF000000"/>
      </top>
      <bottom style="thin">
        <color rgb="FF000000"/>
      </bottom>
      <diagonal/>
    </border>
    <border>
      <left style="thin">
        <color rgb="FF000000"/>
      </left>
      <right style="medium">
        <color rgb="FF000000"/>
      </right>
      <top style="thin">
        <color rgb="FF000000"/>
      </top>
      <bottom style="thin">
        <color rgb="FF000000"/>
      </bottom>
      <diagonal/>
    </border>
    <border>
      <left style="thin">
        <color rgb="FF000000"/>
      </left>
      <right style="medium">
        <color rgb="FF000000"/>
      </right>
      <top/>
      <bottom style="thin">
        <color rgb="FF000000"/>
      </bottom>
      <diagonal/>
    </border>
    <border>
      <left style="thin">
        <color rgb="FF000000"/>
      </left>
      <right style="medium">
        <color rgb="FF000000"/>
      </right>
      <top/>
      <bottom/>
      <diagonal/>
    </border>
    <border>
      <left style="medium">
        <color rgb="FF000000"/>
      </left>
      <right style="thin">
        <color rgb="FF000000"/>
      </right>
      <top/>
      <bottom style="thin">
        <color rgb="FF000000"/>
      </bottom>
      <diagonal/>
    </border>
    <border>
      <left style="thin">
        <color rgb="FF000000"/>
      </left>
      <right style="medium">
        <color rgb="FF000000"/>
      </right>
      <top style="thin">
        <color rgb="FF000000"/>
      </top>
      <bottom style="medium">
        <color rgb="FF000000"/>
      </bottom>
      <diagonal/>
    </border>
    <border>
      <left/>
      <right/>
      <top style="thin">
        <color rgb="FFFFFFFF"/>
      </top>
      <bottom/>
      <diagonal/>
    </border>
    <border>
      <left style="medium">
        <color rgb="FF000000"/>
      </left>
      <right style="medium">
        <color rgb="FF000000"/>
      </right>
      <top style="medium">
        <color rgb="FF000000"/>
      </top>
      <bottom style="medium">
        <color rgb="FF000000"/>
      </bottom>
      <diagonal/>
    </border>
    <border>
      <left style="thin">
        <color rgb="FFD9D9D9"/>
      </left>
      <right style="thin">
        <color rgb="FFD9D9D9"/>
      </right>
      <top style="thin">
        <color rgb="FFD9D9D9"/>
      </top>
      <bottom style="thin">
        <color rgb="FFD9D9D9"/>
      </bottom>
      <diagonal/>
    </border>
    <border>
      <left style="medium">
        <color rgb="FF000000"/>
      </left>
      <right style="thin">
        <color rgb="FFD9D9D9"/>
      </right>
      <top/>
      <bottom style="thin">
        <color rgb="FFD9D9D9"/>
      </bottom>
      <diagonal/>
    </border>
    <border>
      <left style="thin">
        <color rgb="FFD9D9D9"/>
      </left>
      <right style="thin">
        <color rgb="FFD9D9D9"/>
      </right>
      <top/>
      <bottom style="thin">
        <color rgb="FFD9D9D9"/>
      </bottom>
      <diagonal/>
    </border>
    <border>
      <left style="thin">
        <color rgb="FFD9D9D9"/>
      </left>
      <right style="medium">
        <color rgb="FF000000"/>
      </right>
      <top/>
      <bottom style="thin">
        <color rgb="FFD9D9D9"/>
      </bottom>
      <diagonal/>
    </border>
    <border>
      <left style="thin">
        <color rgb="FFD9D9D9"/>
      </left>
      <right/>
      <top/>
      <bottom style="thin">
        <color rgb="FFD9D9D9"/>
      </bottom>
      <diagonal/>
    </border>
    <border>
      <left style="medium">
        <color rgb="FF000000"/>
      </left>
      <right style="medium">
        <color rgb="FF000000"/>
      </right>
      <top/>
      <bottom style="thin">
        <color rgb="FFD9D9D9"/>
      </bottom>
      <diagonal/>
    </border>
    <border>
      <left style="medium">
        <color rgb="FF000000"/>
      </left>
      <right style="thin">
        <color rgb="FFD9D9D9"/>
      </right>
      <top style="thin">
        <color rgb="FFD9D9D9"/>
      </top>
      <bottom style="thin">
        <color rgb="FFD9D9D9"/>
      </bottom>
      <diagonal/>
    </border>
    <border>
      <left style="thin">
        <color rgb="FFD9D9D9"/>
      </left>
      <right style="medium">
        <color rgb="FF000000"/>
      </right>
      <top style="thin">
        <color rgb="FFD9D9D9"/>
      </top>
      <bottom style="thin">
        <color rgb="FFD9D9D9"/>
      </bottom>
      <diagonal/>
    </border>
    <border>
      <left style="thin">
        <color rgb="FFD9D9D9"/>
      </left>
      <right/>
      <top style="thin">
        <color rgb="FFD9D9D9"/>
      </top>
      <bottom style="thin">
        <color rgb="FFD9D9D9"/>
      </bottom>
      <diagonal/>
    </border>
    <border>
      <left style="medium">
        <color rgb="FF000000"/>
      </left>
      <right style="medium">
        <color rgb="FF000000"/>
      </right>
      <top style="thin">
        <color rgb="FFD9D9D9"/>
      </top>
      <bottom style="thin">
        <color rgb="FFD9D9D9"/>
      </bottom>
      <diagonal/>
    </border>
    <border>
      <left style="medium">
        <color rgb="FF000000"/>
      </left>
      <right/>
      <top/>
      <bottom/>
      <diagonal/>
    </border>
    <border>
      <left/>
      <right style="medium">
        <color rgb="FF000000"/>
      </right>
      <top/>
      <bottom/>
      <diagonal/>
    </border>
    <border>
      <left style="medium">
        <color rgb="FF000000"/>
      </left>
      <right style="thin">
        <color rgb="FFD9D9D9"/>
      </right>
      <top style="thin">
        <color rgb="FFD9D9D9"/>
      </top>
      <bottom style="medium">
        <color rgb="FF000000"/>
      </bottom>
      <diagonal/>
    </border>
    <border>
      <left style="thin">
        <color rgb="FFD9D9D9"/>
      </left>
      <right style="thin">
        <color rgb="FFD9D9D9"/>
      </right>
      <top style="thin">
        <color rgb="FFD9D9D9"/>
      </top>
      <bottom style="medium">
        <color rgb="FF000000"/>
      </bottom>
      <diagonal/>
    </border>
    <border>
      <left style="thin">
        <color rgb="FFD9D9D9"/>
      </left>
      <right style="medium">
        <color rgb="FF000000"/>
      </right>
      <top style="thin">
        <color rgb="FFD9D9D9"/>
      </top>
      <bottom style="medium">
        <color rgb="FF000000"/>
      </bottom>
      <diagonal/>
    </border>
    <border>
      <left style="thin">
        <color rgb="FFD9D9D9"/>
      </left>
      <right/>
      <top style="thin">
        <color rgb="FFD9D9D9"/>
      </top>
      <bottom style="medium">
        <color rgb="FF000000"/>
      </bottom>
      <diagonal/>
    </border>
    <border>
      <left style="medium">
        <color rgb="FF000000"/>
      </left>
      <right style="medium">
        <color rgb="FF000000"/>
      </right>
      <top style="thin">
        <color rgb="FFD9D9D9"/>
      </top>
      <bottom style="medium">
        <color rgb="FF000000"/>
      </bottom>
      <diagonal/>
    </border>
  </borders>
  <cellStyleXfs count="163">
    <xf numFmtId="0" fontId="0" fillId="0" borderId="0"/>
    <xf numFmtId="169" fontId="1" fillId="0" borderId="0" applyFont="0" applyFill="0" applyBorder="0" applyAlignment="0" applyProtection="0"/>
    <xf numFmtId="0" fontId="10" fillId="0" borderId="0" applyNumberFormat="0" applyFill="0" applyBorder="0" applyAlignment="0" applyProtection="0"/>
    <xf numFmtId="0" fontId="2" fillId="0" borderId="0" applyNumberFormat="0" applyBorder="0" applyProtection="0"/>
    <xf numFmtId="0" fontId="2" fillId="0" borderId="0" applyNumberFormat="0" applyBorder="0" applyProtection="0"/>
    <xf numFmtId="0" fontId="2" fillId="0" borderId="0" applyNumberFormat="0" applyBorder="0" applyProtection="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2" fillId="0" borderId="0" applyNumberFormat="0" applyBorder="0" applyProtection="0"/>
    <xf numFmtId="0" fontId="2" fillId="0" borderId="0" applyNumberFormat="0" applyBorder="0" applyProtection="0"/>
    <xf numFmtId="0" fontId="2" fillId="0" borderId="0" applyNumberFormat="0" applyBorder="0" applyProtection="0"/>
    <xf numFmtId="0" fontId="2" fillId="0" borderId="0" applyNumberFormat="0" applyBorder="0" applyProtection="0"/>
    <xf numFmtId="0" fontId="2" fillId="0" borderId="0" applyNumberFormat="0" applyBorder="0" applyProtection="0"/>
    <xf numFmtId="0" fontId="2" fillId="0" borderId="0" applyNumberFormat="0" applyBorder="0" applyProtection="0"/>
    <xf numFmtId="0" fontId="2" fillId="0" borderId="0" applyNumberFormat="0" applyBorder="0" applyProtection="0"/>
    <xf numFmtId="0" fontId="4" fillId="16"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5" fillId="3" borderId="0" applyNumberFormat="0" applyBorder="0" applyAlignment="0" applyProtection="0"/>
    <xf numFmtId="0" fontId="6" fillId="20" borderId="2" applyNumberFormat="0" applyAlignment="0" applyProtection="0"/>
    <xf numFmtId="0" fontId="7" fillId="21" borderId="3" applyNumberFormat="0" applyAlignment="0" applyProtection="0"/>
    <xf numFmtId="169"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0" fontId="8" fillId="0" borderId="0" applyNumberFormat="0" applyFill="0" applyBorder="0" applyAlignment="0" applyProtection="0"/>
    <xf numFmtId="0" fontId="9" fillId="4" borderId="0" applyNumberFormat="0" applyBorder="0" applyAlignment="0" applyProtection="0"/>
    <xf numFmtId="0" fontId="11" fillId="0" borderId="4" applyNumberFormat="0" applyFill="0" applyAlignment="0" applyProtection="0"/>
    <xf numFmtId="0" fontId="11" fillId="0" borderId="4" applyNumberFormat="0" applyFill="0" applyAlignment="0" applyProtection="0"/>
    <xf numFmtId="0" fontId="12" fillId="0" borderId="5" applyNumberFormat="0" applyFill="0" applyAlignment="0" applyProtection="0"/>
    <xf numFmtId="0" fontId="13" fillId="0" borderId="6" applyNumberFormat="0" applyFill="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7" fillId="7" borderId="2" applyNumberFormat="0" applyAlignment="0" applyProtection="0"/>
    <xf numFmtId="0" fontId="18" fillId="0" borderId="7" applyNumberFormat="0" applyFill="0" applyAlignment="0" applyProtection="0"/>
    <xf numFmtId="0" fontId="19" fillId="22" borderId="0" applyNumberFormat="0" applyBorder="0" applyAlignment="0" applyProtection="0"/>
    <xf numFmtId="0" fontId="2" fillId="0" borderId="0" applyNumberFormat="0" applyBorder="0" applyProtection="0"/>
    <xf numFmtId="0" fontId="2" fillId="0" borderId="0" applyNumberFormat="0" applyBorder="0" applyProtection="0"/>
    <xf numFmtId="0" fontId="3" fillId="0" borderId="0" applyNumberFormat="0" applyBorder="0" applyProtection="0"/>
    <xf numFmtId="0" fontId="2" fillId="0" borderId="0" applyNumberFormat="0" applyBorder="0" applyProtection="0"/>
    <xf numFmtId="0" fontId="2" fillId="0" borderId="0" applyNumberFormat="0" applyBorder="0" applyProtection="0"/>
    <xf numFmtId="0" fontId="3" fillId="0" borderId="0" applyNumberFormat="0" applyBorder="0" applyProtection="0"/>
    <xf numFmtId="0" fontId="2" fillId="0" borderId="0" applyNumberFormat="0" applyBorder="0" applyProtection="0"/>
    <xf numFmtId="0" fontId="2" fillId="0" borderId="0" applyNumberFormat="0" applyBorder="0" applyProtection="0"/>
    <xf numFmtId="0" fontId="3" fillId="0" borderId="0" applyNumberFormat="0" applyBorder="0" applyProtection="0"/>
    <xf numFmtId="0" fontId="20" fillId="0" borderId="0" applyNumberFormat="0" applyBorder="0" applyProtection="0"/>
    <xf numFmtId="0" fontId="3" fillId="0" borderId="0" applyNumberFormat="0" applyBorder="0" applyProtection="0"/>
    <xf numFmtId="0" fontId="3" fillId="0" borderId="0" applyNumberFormat="0" applyBorder="0" applyProtection="0"/>
    <xf numFmtId="0" fontId="2"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20" fillId="0" borderId="0" applyNumberFormat="0" applyBorder="0" applyProtection="0"/>
    <xf numFmtId="0" fontId="2" fillId="0" borderId="0" applyNumberFormat="0" applyBorder="0" applyProtection="0"/>
    <xf numFmtId="0" fontId="20" fillId="0" borderId="0" applyNumberFormat="0" applyBorder="0" applyProtection="0"/>
    <xf numFmtId="0" fontId="20"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2" fillId="0" borderId="0" applyNumberFormat="0" applyBorder="0" applyProtection="0"/>
    <xf numFmtId="0" fontId="1" fillId="0" borderId="0" applyNumberFormat="0" applyFont="0" applyFill="0" applyBorder="0" applyAlignment="0" applyProtection="0"/>
    <xf numFmtId="0" fontId="2" fillId="0" borderId="0" applyNumberFormat="0" applyBorder="0" applyProtection="0"/>
    <xf numFmtId="0" fontId="1" fillId="0" borderId="0" applyNumberFormat="0" applyFont="0" applyFill="0" applyBorder="0" applyAlignment="0" applyProtection="0"/>
    <xf numFmtId="0" fontId="2" fillId="0" borderId="0" applyNumberFormat="0" applyBorder="0" applyProtection="0"/>
    <xf numFmtId="0" fontId="1" fillId="0" borderId="0" applyNumberFormat="0" applyFont="0" applyBorder="0" applyProtection="0"/>
    <xf numFmtId="0" fontId="2" fillId="0" borderId="0" applyNumberFormat="0" applyBorder="0" applyProtection="0"/>
    <xf numFmtId="0" fontId="20" fillId="0" borderId="0" applyNumberFormat="0" applyBorder="0" applyProtection="0"/>
    <xf numFmtId="0" fontId="21" fillId="0" borderId="0" applyNumberFormat="0" applyBorder="0" applyProtection="0"/>
    <xf numFmtId="0" fontId="2" fillId="0" borderId="0" applyNumberFormat="0" applyBorder="0" applyProtection="0"/>
    <xf numFmtId="0" fontId="20" fillId="0" borderId="0" applyNumberFormat="0" applyBorder="0" applyProtection="0"/>
    <xf numFmtId="0" fontId="20" fillId="0" borderId="0" applyNumberFormat="0" applyBorder="0" applyProtection="0"/>
    <xf numFmtId="0" fontId="2" fillId="0" borderId="0" applyNumberFormat="0" applyBorder="0" applyProtection="0"/>
    <xf numFmtId="0" fontId="20" fillId="0" borderId="0" applyNumberFormat="0" applyBorder="0" applyProtection="0"/>
    <xf numFmtId="0" fontId="1" fillId="0" borderId="0" applyNumberFormat="0" applyFont="0" applyFill="0" applyBorder="0" applyAlignment="0" applyProtection="0"/>
    <xf numFmtId="0" fontId="1" fillId="0" borderId="0" applyNumberFormat="0" applyFont="0" applyBorder="0" applyProtection="0"/>
    <xf numFmtId="0" fontId="2" fillId="0" borderId="0" applyNumberFormat="0" applyBorder="0" applyProtection="0"/>
    <xf numFmtId="0" fontId="1" fillId="0" borderId="0" applyNumberFormat="0" applyFont="0" applyBorder="0" applyProtection="0"/>
    <xf numFmtId="0" fontId="2" fillId="0" borderId="0" applyNumberFormat="0" applyBorder="0" applyProtection="0"/>
    <xf numFmtId="0" fontId="20" fillId="0" borderId="0" applyNumberFormat="0" applyBorder="0" applyProtection="0"/>
    <xf numFmtId="0" fontId="1" fillId="0" borderId="0" applyNumberFormat="0" applyFont="0" applyBorder="0" applyProtection="0"/>
    <xf numFmtId="0" fontId="2"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2" fillId="0" borderId="0" applyNumberFormat="0" applyBorder="0" applyProtection="0"/>
    <xf numFmtId="0" fontId="2" fillId="0" borderId="0" applyNumberFormat="0" applyBorder="0" applyProtection="0"/>
    <xf numFmtId="0" fontId="2" fillId="0" borderId="0" applyNumberFormat="0" applyBorder="0" applyProtection="0"/>
    <xf numFmtId="0" fontId="2" fillId="0" borderId="0" applyNumberFormat="0" applyBorder="0" applyProtection="0"/>
    <xf numFmtId="0" fontId="1" fillId="23" borderId="1" applyNumberFormat="0" applyFont="0" applyAlignment="0" applyProtection="0"/>
    <xf numFmtId="0" fontId="1" fillId="23" borderId="8" applyNumberFormat="0" applyFont="0" applyAlignment="0" applyProtection="0"/>
    <xf numFmtId="0" fontId="1" fillId="23" borderId="8" applyNumberFormat="0" applyFont="0" applyAlignment="0" applyProtection="0"/>
    <xf numFmtId="0" fontId="1" fillId="23" borderId="8" applyNumberFormat="0" applyFont="0" applyAlignment="0" applyProtection="0"/>
    <xf numFmtId="0" fontId="1" fillId="23" borderId="8" applyNumberFormat="0" applyFont="0" applyAlignment="0" applyProtection="0"/>
    <xf numFmtId="0" fontId="1" fillId="23" borderId="8" applyNumberFormat="0" applyFont="0" applyAlignment="0" applyProtection="0"/>
    <xf numFmtId="0" fontId="1" fillId="23" borderId="8" applyNumberFormat="0" applyFont="0" applyAlignment="0" applyProtection="0"/>
    <xf numFmtId="0" fontId="1" fillId="23" borderId="8" applyNumberFormat="0" applyFont="0" applyAlignment="0" applyProtection="0"/>
    <xf numFmtId="0" fontId="1" fillId="23" borderId="8" applyNumberFormat="0" applyFont="0" applyAlignment="0" applyProtection="0"/>
    <xf numFmtId="0" fontId="1" fillId="23" borderId="8" applyNumberFormat="0" applyFont="0" applyAlignment="0" applyProtection="0"/>
    <xf numFmtId="0" fontId="1" fillId="23" borderId="8" applyNumberFormat="0" applyFont="0" applyAlignment="0" applyProtection="0"/>
    <xf numFmtId="0" fontId="1" fillId="23" borderId="8" applyNumberFormat="0" applyFont="0" applyAlignment="0" applyProtection="0"/>
    <xf numFmtId="0" fontId="1" fillId="23" borderId="8" applyNumberFormat="0" applyFont="0" applyAlignment="0" applyProtection="0"/>
    <xf numFmtId="0" fontId="1" fillId="23" borderId="8" applyNumberFormat="0" applyFont="0" applyAlignment="0" applyProtection="0"/>
    <xf numFmtId="0" fontId="1" fillId="23" borderId="8" applyNumberFormat="0" applyFont="0" applyAlignment="0" applyProtection="0"/>
    <xf numFmtId="0" fontId="1" fillId="23" borderId="8" applyNumberFormat="0" applyFont="0" applyAlignment="0" applyProtection="0"/>
    <xf numFmtId="0" fontId="1" fillId="23" borderId="8" applyNumberFormat="0" applyFont="0" applyAlignment="0" applyProtection="0"/>
    <xf numFmtId="0" fontId="1" fillId="23" borderId="8" applyNumberFormat="0" applyFont="0" applyAlignment="0" applyProtection="0"/>
    <xf numFmtId="0" fontId="1" fillId="23" borderId="8" applyNumberFormat="0" applyFont="0" applyAlignment="0" applyProtection="0"/>
    <xf numFmtId="0" fontId="1" fillId="23" borderId="8" applyNumberFormat="0" applyFont="0" applyAlignment="0" applyProtection="0"/>
    <xf numFmtId="0" fontId="1" fillId="23" borderId="8" applyNumberFormat="0" applyFont="0" applyAlignment="0" applyProtection="0"/>
    <xf numFmtId="0" fontId="1" fillId="23" borderId="8" applyNumberFormat="0" applyFont="0" applyAlignment="0" applyProtection="0"/>
    <xf numFmtId="0" fontId="1" fillId="23" borderId="8" applyNumberFormat="0" applyFont="0" applyAlignment="0" applyProtection="0"/>
    <xf numFmtId="0" fontId="1" fillId="23" borderId="8" applyNumberFormat="0" applyFont="0" applyAlignment="0" applyProtection="0"/>
    <xf numFmtId="0" fontId="1" fillId="23" borderId="8" applyNumberFormat="0" applyFont="0" applyAlignment="0" applyProtection="0"/>
    <xf numFmtId="0" fontId="1" fillId="23" borderId="8" applyNumberFormat="0" applyFont="0" applyAlignment="0" applyProtection="0"/>
    <xf numFmtId="0" fontId="1" fillId="23" borderId="8" applyNumberFormat="0" applyFont="0" applyAlignment="0" applyProtection="0"/>
    <xf numFmtId="0" fontId="22" fillId="20" borderId="9" applyNumberFormat="0" applyAlignment="0" applyProtection="0"/>
    <xf numFmtId="9" fontId="1" fillId="0" borderId="0" applyFont="0" applyFill="0" applyBorder="0" applyAlignment="0" applyProtection="0"/>
    <xf numFmtId="9" fontId="1" fillId="0" borderId="0" applyFont="0" applyFill="0" applyBorder="0" applyAlignment="0" applyProtection="0"/>
    <xf numFmtId="0" fontId="23" fillId="0" borderId="0" applyNumberFormat="0" applyFill="0" applyBorder="0" applyAlignment="0" applyProtection="0"/>
    <xf numFmtId="0" fontId="24" fillId="0" borderId="10" applyNumberFormat="0" applyFill="0" applyAlignment="0" applyProtection="0"/>
    <xf numFmtId="0" fontId="25" fillId="0" borderId="0" applyNumberFormat="0" applyFill="0" applyBorder="0" applyAlignment="0" applyProtection="0"/>
  </cellStyleXfs>
  <cellXfs count="228">
    <xf numFmtId="0" fontId="0" fillId="0" borderId="0" xfId="0"/>
    <xf numFmtId="0" fontId="10" fillId="24" borderId="11" xfId="2" applyFont="1" applyFill="1" applyBorder="1" applyAlignment="1" applyProtection="1">
      <alignment horizontal="left" vertical="center" indent="1"/>
      <protection locked="0" hidden="1"/>
    </xf>
    <xf numFmtId="0" fontId="26" fillId="24" borderId="0" xfId="125" applyFont="1" applyFill="1" applyAlignment="1" applyProtection="1">
      <alignment vertical="center" wrapText="1"/>
      <protection locked="0" hidden="1"/>
    </xf>
    <xf numFmtId="0" fontId="0" fillId="24" borderId="0" xfId="100" applyFont="1" applyFill="1" applyAlignment="1"/>
    <xf numFmtId="0" fontId="26" fillId="24" borderId="12" xfId="125" applyFont="1" applyFill="1" applyBorder="1" applyAlignment="1" applyProtection="1">
      <alignment horizontal="left" vertical="center" indent="1"/>
      <protection locked="0" hidden="1"/>
    </xf>
    <xf numFmtId="0" fontId="26" fillId="24" borderId="13" xfId="125" applyFont="1" applyFill="1" applyBorder="1" applyAlignment="1" applyProtection="1">
      <alignment vertical="center" wrapText="1"/>
      <protection locked="0" hidden="1"/>
    </xf>
    <xf numFmtId="0" fontId="27" fillId="24" borderId="0" xfId="99" applyFont="1" applyFill="1" applyAlignment="1" applyProtection="1">
      <alignment horizontal="left" vertical="center" indent="1"/>
      <protection locked="0" hidden="1"/>
    </xf>
    <xf numFmtId="0" fontId="27" fillId="24" borderId="0" xfId="99" applyFont="1" applyFill="1" applyAlignment="1" applyProtection="1">
      <alignment horizontal="left" vertical="center"/>
      <protection locked="0" hidden="1"/>
    </xf>
    <xf numFmtId="0" fontId="0" fillId="24" borderId="0" xfId="100" applyFont="1" applyFill="1" applyAlignment="1">
      <alignment horizontal="left" vertical="center"/>
    </xf>
    <xf numFmtId="164" fontId="27" fillId="24" borderId="0" xfId="99" applyNumberFormat="1" applyFont="1" applyFill="1" applyAlignment="1" applyProtection="1">
      <alignment horizontal="left" vertical="center"/>
      <protection locked="0" hidden="1"/>
    </xf>
    <xf numFmtId="0" fontId="27" fillId="24" borderId="0" xfId="100" applyFont="1" applyFill="1" applyAlignment="1">
      <alignment horizontal="left" vertical="center" indent="1"/>
    </xf>
    <xf numFmtId="0" fontId="27" fillId="24" borderId="0" xfId="100" applyFont="1" applyFill="1" applyAlignment="1">
      <alignment vertical="center" wrapText="1"/>
    </xf>
    <xf numFmtId="0" fontId="26" fillId="24" borderId="0" xfId="100" applyFont="1" applyFill="1" applyAlignment="1">
      <alignment horizontal="left" vertical="center"/>
    </xf>
    <xf numFmtId="0" fontId="27" fillId="24" borderId="0" xfId="100" applyFont="1" applyFill="1" applyAlignment="1">
      <alignment horizontal="left" vertical="center" wrapText="1"/>
    </xf>
    <xf numFmtId="0" fontId="27" fillId="24" borderId="0" xfId="100" applyFont="1" applyFill="1" applyAlignment="1">
      <alignment horizontal="left" vertical="center"/>
    </xf>
    <xf numFmtId="0" fontId="28" fillId="24" borderId="0" xfId="71" applyFont="1" applyFill="1" applyAlignment="1" applyProtection="1">
      <alignment horizontal="left" vertical="center" wrapText="1"/>
      <protection hidden="1"/>
    </xf>
    <xf numFmtId="0" fontId="27" fillId="24" borderId="0" xfId="100" applyFont="1" applyFill="1" applyAlignment="1">
      <alignment horizontal="left" vertical="center" wrapText="1" indent="1"/>
    </xf>
    <xf numFmtId="3" fontId="27" fillId="24" borderId="0" xfId="100" applyNumberFormat="1" applyFont="1" applyFill="1" applyAlignment="1" applyProtection="1">
      <alignment horizontal="left" indent="1"/>
      <protection hidden="1"/>
    </xf>
    <xf numFmtId="3" fontId="27" fillId="24" borderId="0" xfId="100" applyNumberFormat="1" applyFont="1" applyFill="1" applyAlignment="1" applyProtection="1">
      <alignment horizontal="left" wrapText="1" indent="1"/>
      <protection hidden="1"/>
    </xf>
    <xf numFmtId="3" fontId="28" fillId="24" borderId="0" xfId="71" applyNumberFormat="1" applyFont="1" applyFill="1" applyAlignment="1" applyProtection="1">
      <alignment horizontal="left" indent="1"/>
      <protection hidden="1"/>
    </xf>
    <xf numFmtId="0" fontId="0" fillId="24" borderId="0" xfId="100" applyFont="1" applyFill="1" applyAlignment="1">
      <alignment horizontal="left" vertical="top" indent="1"/>
    </xf>
    <xf numFmtId="0" fontId="0" fillId="24" borderId="0" xfId="100" applyFont="1" applyFill="1" applyAlignment="1">
      <alignment vertical="top"/>
    </xf>
    <xf numFmtId="0" fontId="3" fillId="0" borderId="0" xfId="0" applyFont="1"/>
    <xf numFmtId="0" fontId="27" fillId="0" borderId="0" xfId="100" applyFont="1" applyFill="1" applyAlignment="1"/>
    <xf numFmtId="0" fontId="0" fillId="0" borderId="0" xfId="100" applyFont="1" applyFill="1" applyAlignment="1">
      <alignment horizontal="left"/>
    </xf>
    <xf numFmtId="0" fontId="0" fillId="0" borderId="0" xfId="100" applyFont="1" applyFill="1" applyAlignment="1"/>
    <xf numFmtId="0" fontId="28" fillId="0" borderId="0" xfId="69" applyFont="1" applyFill="1" applyAlignment="1">
      <alignment horizontal="left"/>
    </xf>
    <xf numFmtId="0" fontId="28" fillId="0" borderId="0" xfId="69" applyFont="1" applyAlignment="1">
      <alignment horizontal="left"/>
    </xf>
    <xf numFmtId="0" fontId="10" fillId="24" borderId="0" xfId="2" applyFont="1" applyFill="1" applyAlignment="1">
      <alignment vertical="center"/>
    </xf>
    <xf numFmtId="0" fontId="29" fillId="24" borderId="0" xfId="0" applyFont="1" applyFill="1" applyAlignment="1">
      <alignment wrapText="1"/>
    </xf>
    <xf numFmtId="0" fontId="0" fillId="24" borderId="0" xfId="0" applyFill="1"/>
    <xf numFmtId="0" fontId="30" fillId="24" borderId="0" xfId="0" applyFont="1" applyFill="1" applyAlignment="1">
      <alignment horizontal="left"/>
    </xf>
    <xf numFmtId="0" fontId="30" fillId="24" borderId="0" xfId="0" applyFont="1" applyFill="1" applyAlignment="1">
      <alignment wrapText="1"/>
    </xf>
    <xf numFmtId="0" fontId="29" fillId="0" borderId="0" xfId="68" applyFont="1" applyFill="1" applyAlignment="1">
      <alignment horizontal="left" vertical="center"/>
    </xf>
    <xf numFmtId="0" fontId="29" fillId="24" borderId="0" xfId="0" applyFont="1" applyFill="1" applyAlignment="1">
      <alignment vertical="center" wrapText="1"/>
    </xf>
    <xf numFmtId="0" fontId="29" fillId="24" borderId="0" xfId="0" applyFont="1" applyFill="1" applyAlignment="1">
      <alignment vertical="center"/>
    </xf>
    <xf numFmtId="0" fontId="29" fillId="24" borderId="0" xfId="0" applyFont="1" applyFill="1"/>
    <xf numFmtId="0" fontId="30" fillId="24" borderId="0" xfId="0" applyFont="1" applyFill="1"/>
    <xf numFmtId="0" fontId="29" fillId="24" borderId="0" xfId="0" applyFont="1" applyFill="1" applyAlignment="1">
      <alignment horizontal="left" vertical="center"/>
    </xf>
    <xf numFmtId="0" fontId="29" fillId="24" borderId="0" xfId="0" applyFont="1" applyFill="1" applyAlignment="1">
      <alignment horizontal="left" vertical="center" wrapText="1" indent="4"/>
    </xf>
    <xf numFmtId="0" fontId="29" fillId="24" borderId="0" xfId="0" applyFont="1" applyFill="1" applyAlignment="1">
      <alignment horizontal="left" vertical="center" indent="4"/>
    </xf>
    <xf numFmtId="0" fontId="31" fillId="24" borderId="0" xfId="0" applyFont="1" applyFill="1"/>
    <xf numFmtId="0" fontId="29" fillId="0" borderId="0" xfId="0" applyFont="1" applyAlignment="1">
      <alignment wrapText="1"/>
    </xf>
    <xf numFmtId="0" fontId="29" fillId="0" borderId="0" xfId="0" applyFont="1" applyAlignment="1">
      <alignment horizontal="left" vertical="center" wrapText="1"/>
    </xf>
    <xf numFmtId="0" fontId="32" fillId="24" borderId="0" xfId="68" applyFont="1" applyFill="1" applyAlignment="1">
      <alignment horizontal="left" vertical="center" wrapText="1"/>
    </xf>
    <xf numFmtId="0" fontId="33" fillId="24" borderId="0" xfId="0" applyFont="1" applyFill="1"/>
    <xf numFmtId="0" fontId="32" fillId="24" borderId="0" xfId="68" applyFont="1" applyFill="1"/>
    <xf numFmtId="0" fontId="29" fillId="24" borderId="0" xfId="0" applyFont="1" applyFill="1" applyAlignment="1">
      <alignment horizontal="left" vertical="center" wrapText="1"/>
    </xf>
    <xf numFmtId="0" fontId="10" fillId="0" borderId="0" xfId="2" applyFont="1"/>
    <xf numFmtId="0" fontId="26" fillId="0" borderId="0" xfId="0" applyFont="1"/>
    <xf numFmtId="0" fontId="27" fillId="0" borderId="0" xfId="0" applyFont="1"/>
    <xf numFmtId="0" fontId="33" fillId="0" borderId="0" xfId="0" applyFont="1" applyAlignment="1">
      <alignment horizontal="left"/>
    </xf>
    <xf numFmtId="0" fontId="0" fillId="0" borderId="0" xfId="0" applyAlignment="1">
      <alignment wrapText="1"/>
    </xf>
    <xf numFmtId="0" fontId="10" fillId="0" borderId="0" xfId="2" applyFont="1" applyAlignment="1">
      <alignment horizontal="left"/>
    </xf>
    <xf numFmtId="0" fontId="34" fillId="0" borderId="0" xfId="0" applyFont="1" applyAlignment="1">
      <alignment horizontal="left"/>
    </xf>
    <xf numFmtId="0" fontId="0" fillId="0" borderId="0" xfId="0" applyAlignment="1">
      <alignment horizontal="left"/>
    </xf>
    <xf numFmtId="0" fontId="27" fillId="0" borderId="0" xfId="0" applyFont="1" applyAlignment="1">
      <alignment horizontal="left"/>
    </xf>
    <xf numFmtId="0" fontId="27" fillId="0" borderId="0" xfId="0" applyFont="1" applyAlignment="1">
      <alignment horizontal="left" vertical="top"/>
    </xf>
    <xf numFmtId="0" fontId="26" fillId="0" borderId="14" xfId="0" applyFont="1" applyBorder="1" applyAlignment="1">
      <alignment horizontal="left" wrapText="1"/>
    </xf>
    <xf numFmtId="0" fontId="0" fillId="24" borderId="0" xfId="0" applyFill="1" applyAlignment="1">
      <alignment horizontal="left" vertical="center"/>
    </xf>
    <xf numFmtId="0" fontId="27" fillId="0" borderId="15" xfId="0" applyFont="1" applyBorder="1" applyAlignment="1">
      <alignment horizontal="left"/>
    </xf>
    <xf numFmtId="0" fontId="27" fillId="0" borderId="16" xfId="0" applyFont="1" applyBorder="1" applyAlignment="1">
      <alignment horizontal="left" vertical="center"/>
    </xf>
    <xf numFmtId="0" fontId="27" fillId="0" borderId="13" xfId="0" applyFont="1" applyBorder="1" applyAlignment="1">
      <alignment horizontal="left"/>
    </xf>
    <xf numFmtId="0" fontId="27" fillId="0" borderId="14" xfId="0" applyFont="1" applyBorder="1" applyAlignment="1">
      <alignment horizontal="left" vertical="center"/>
    </xf>
    <xf numFmtId="0" fontId="27" fillId="0" borderId="14" xfId="0" applyFont="1" applyBorder="1" applyAlignment="1">
      <alignment horizontal="left"/>
    </xf>
    <xf numFmtId="0" fontId="27" fillId="0" borderId="17" xfId="0" applyFont="1" applyBorder="1" applyAlignment="1">
      <alignment horizontal="left"/>
    </xf>
    <xf numFmtId="0" fontId="27" fillId="0" borderId="18" xfId="0" applyFont="1" applyBorder="1" applyAlignment="1">
      <alignment horizontal="left"/>
    </xf>
    <xf numFmtId="0" fontId="0" fillId="24" borderId="0" xfId="0" applyFill="1" applyAlignment="1">
      <alignment horizontal="left"/>
    </xf>
    <xf numFmtId="0" fontId="0" fillId="24" borderId="0" xfId="0" applyFill="1" applyAlignment="1">
      <alignment horizontal="left" vertical="center" wrapText="1"/>
    </xf>
    <xf numFmtId="0" fontId="31" fillId="0" borderId="0" xfId="0" applyFont="1" applyAlignment="1">
      <alignment horizontal="left"/>
    </xf>
    <xf numFmtId="0" fontId="29" fillId="0" borderId="0" xfId="0" applyFont="1" applyAlignment="1">
      <alignment horizontal="left"/>
    </xf>
    <xf numFmtId="0" fontId="33" fillId="0" borderId="0" xfId="0" applyFont="1" applyFill="1" applyAlignment="1">
      <alignment horizontal="left" wrapText="1"/>
    </xf>
    <xf numFmtId="0" fontId="0" fillId="0" borderId="0" xfId="68" applyFont="1" applyAlignment="1">
      <alignment horizontal="left"/>
    </xf>
    <xf numFmtId="0" fontId="0" fillId="0" borderId="0" xfId="0" applyFill="1" applyAlignment="1">
      <alignment horizontal="left"/>
    </xf>
    <xf numFmtId="14" fontId="0" fillId="0" borderId="0" xfId="0" applyNumberFormat="1" applyAlignment="1">
      <alignment horizontal="left"/>
    </xf>
    <xf numFmtId="0" fontId="0" fillId="0" borderId="0" xfId="0" applyAlignment="1">
      <alignment horizontal="left" vertical="top"/>
    </xf>
    <xf numFmtId="14" fontId="33" fillId="0" borderId="0" xfId="0" applyNumberFormat="1" applyFont="1" applyFill="1" applyAlignment="1">
      <alignment horizontal="left" wrapText="1"/>
    </xf>
    <xf numFmtId="1" fontId="0" fillId="0" borderId="0" xfId="0" applyNumberFormat="1" applyAlignment="1">
      <alignment horizontal="left"/>
    </xf>
    <xf numFmtId="49" fontId="0" fillId="0" borderId="0" xfId="0" applyNumberFormat="1" applyAlignment="1">
      <alignment horizontal="left"/>
    </xf>
    <xf numFmtId="14" fontId="0" fillId="0" borderId="0" xfId="0" applyNumberFormat="1" applyFill="1" applyAlignment="1">
      <alignment horizontal="left"/>
    </xf>
    <xf numFmtId="1" fontId="33" fillId="0" borderId="0" xfId="0" applyNumberFormat="1" applyFont="1" applyFill="1" applyAlignment="1">
      <alignment horizontal="left" wrapText="1"/>
    </xf>
    <xf numFmtId="49" fontId="33" fillId="0" borderId="0" xfId="0" applyNumberFormat="1" applyFont="1" applyFill="1" applyAlignment="1">
      <alignment horizontal="left" wrapText="1"/>
    </xf>
    <xf numFmtId="0" fontId="0" fillId="0" borderId="0" xfId="101" applyFont="1" applyFill="1" applyAlignment="1">
      <alignment horizontal="left"/>
    </xf>
    <xf numFmtId="14" fontId="0" fillId="0" borderId="0" xfId="101" applyNumberFormat="1" applyFont="1" applyFill="1" applyAlignment="1">
      <alignment horizontal="left"/>
    </xf>
    <xf numFmtId="16" fontId="0" fillId="0" borderId="0" xfId="0" applyNumberFormat="1" applyAlignment="1">
      <alignment horizontal="left"/>
    </xf>
    <xf numFmtId="2" fontId="0" fillId="0" borderId="0" xfId="0" applyNumberFormat="1" applyAlignment="1">
      <alignment horizontal="left"/>
    </xf>
    <xf numFmtId="2" fontId="33" fillId="0" borderId="0" xfId="0" applyNumberFormat="1" applyFont="1" applyFill="1" applyAlignment="1">
      <alignment horizontal="left" wrapText="1"/>
    </xf>
    <xf numFmtId="0" fontId="0" fillId="0" borderId="0" xfId="0" applyAlignment="1">
      <alignment horizontal="left" wrapText="1"/>
    </xf>
    <xf numFmtId="0" fontId="35" fillId="0" borderId="0" xfId="68" applyFont="1" applyAlignment="1">
      <alignment horizontal="left"/>
    </xf>
    <xf numFmtId="0" fontId="0" fillId="0" borderId="14" xfId="68" applyFont="1" applyBorder="1" applyAlignment="1">
      <alignment horizontal="left"/>
    </xf>
    <xf numFmtId="0" fontId="0" fillId="0" borderId="14" xfId="0" applyBorder="1" applyAlignment="1">
      <alignment horizontal="left"/>
    </xf>
    <xf numFmtId="14" fontId="0" fillId="0" borderId="14" xfId="0" applyNumberFormat="1" applyBorder="1" applyAlignment="1">
      <alignment horizontal="left"/>
    </xf>
    <xf numFmtId="0" fontId="26" fillId="24" borderId="0" xfId="0" applyFont="1" applyFill="1" applyAlignment="1">
      <alignment horizontal="left"/>
    </xf>
    <xf numFmtId="165" fontId="36" fillId="24" borderId="19" xfId="0" applyNumberFormat="1" applyFont="1" applyFill="1" applyBorder="1" applyAlignment="1">
      <alignment horizontal="left" vertical="center" wrapText="1"/>
    </xf>
    <xf numFmtId="0" fontId="36" fillId="24" borderId="20" xfId="0" applyFont="1" applyFill="1" applyBorder="1" applyAlignment="1">
      <alignment horizontal="left" vertical="center" wrapText="1"/>
    </xf>
    <xf numFmtId="0" fontId="36" fillId="24" borderId="21" xfId="0" applyFont="1" applyFill="1" applyBorder="1" applyAlignment="1">
      <alignment horizontal="left" vertical="center" wrapText="1"/>
    </xf>
    <xf numFmtId="165" fontId="37" fillId="0" borderId="14" xfId="0" applyNumberFormat="1" applyFont="1" applyFill="1" applyBorder="1" applyAlignment="1">
      <alignment horizontal="left" vertical="center" wrapText="1"/>
    </xf>
    <xf numFmtId="0" fontId="37" fillId="24" borderId="14" xfId="0" applyFont="1" applyFill="1" applyBorder="1" applyAlignment="1">
      <alignment horizontal="left" vertical="center" wrapText="1"/>
    </xf>
    <xf numFmtId="3" fontId="37" fillId="24" borderId="14" xfId="0" applyNumberFormat="1" applyFont="1" applyFill="1" applyBorder="1" applyAlignment="1">
      <alignment horizontal="left" vertical="center" wrapText="1"/>
    </xf>
    <xf numFmtId="3" fontId="37" fillId="24" borderId="22" xfId="0" applyNumberFormat="1" applyFont="1" applyFill="1" applyBorder="1" applyAlignment="1">
      <alignment horizontal="left" vertical="center" wrapText="1"/>
    </xf>
    <xf numFmtId="3" fontId="37" fillId="0" borderId="22" xfId="0" applyNumberFormat="1" applyFont="1" applyFill="1" applyBorder="1" applyAlignment="1">
      <alignment horizontal="left" vertical="center" wrapText="1"/>
    </xf>
    <xf numFmtId="3" fontId="37" fillId="0" borderId="14" xfId="0" applyNumberFormat="1" applyFont="1" applyFill="1" applyBorder="1" applyAlignment="1">
      <alignment horizontal="left" vertical="center" wrapText="1"/>
    </xf>
    <xf numFmtId="0" fontId="37" fillId="0" borderId="14" xfId="0" applyFont="1" applyFill="1" applyBorder="1" applyAlignment="1">
      <alignment horizontal="left" vertical="center" wrapText="1"/>
    </xf>
    <xf numFmtId="3" fontId="37" fillId="0" borderId="22" xfId="0" applyNumberFormat="1" applyFont="1" applyFill="1" applyBorder="1" applyAlignment="1">
      <alignment horizontal="left"/>
    </xf>
    <xf numFmtId="165" fontId="37" fillId="24" borderId="23" xfId="0" applyNumberFormat="1" applyFont="1" applyFill="1" applyBorder="1" applyAlignment="1">
      <alignment horizontal="left" vertical="center" wrapText="1"/>
    </xf>
    <xf numFmtId="165" fontId="37" fillId="24" borderId="24" xfId="0" applyNumberFormat="1" applyFont="1" applyFill="1" applyBorder="1" applyAlignment="1">
      <alignment horizontal="left" vertical="center" wrapText="1"/>
    </xf>
    <xf numFmtId="0" fontId="37" fillId="24" borderId="18" xfId="0" applyFont="1" applyFill="1" applyBorder="1" applyAlignment="1">
      <alignment horizontal="left" vertical="center" wrapText="1"/>
    </xf>
    <xf numFmtId="3" fontId="37" fillId="24" borderId="18" xfId="0" applyNumberFormat="1" applyFont="1" applyFill="1" applyBorder="1" applyAlignment="1">
      <alignment horizontal="left" vertical="center" wrapText="1"/>
    </xf>
    <xf numFmtId="3" fontId="37" fillId="24" borderId="25" xfId="0" applyNumberFormat="1" applyFont="1" applyFill="1" applyBorder="1" applyAlignment="1">
      <alignment horizontal="left" vertical="center" wrapText="1"/>
    </xf>
    <xf numFmtId="0" fontId="37" fillId="0" borderId="0" xfId="0" applyFont="1" applyAlignment="1">
      <alignment horizontal="left" vertical="center"/>
    </xf>
    <xf numFmtId="0" fontId="37" fillId="24" borderId="16" xfId="0" applyFont="1" applyFill="1" applyBorder="1" applyAlignment="1">
      <alignment horizontal="left" vertical="center" wrapText="1"/>
    </xf>
    <xf numFmtId="3" fontId="37" fillId="24" borderId="16" xfId="0" applyNumberFormat="1" applyFont="1" applyFill="1" applyBorder="1" applyAlignment="1">
      <alignment horizontal="left" vertical="center" wrapText="1"/>
    </xf>
    <xf numFmtId="3" fontId="37" fillId="24" borderId="12" xfId="0" applyNumberFormat="1" applyFont="1" applyFill="1" applyBorder="1" applyAlignment="1">
      <alignment horizontal="left" vertical="center" wrapText="1"/>
    </xf>
    <xf numFmtId="0" fontId="37" fillId="24" borderId="14" xfId="0" applyFont="1" applyFill="1" applyBorder="1" applyAlignment="1">
      <alignment horizontal="left"/>
    </xf>
    <xf numFmtId="3" fontId="37" fillId="24" borderId="14" xfId="0" applyNumberFormat="1" applyFont="1" applyFill="1" applyBorder="1" applyAlignment="1">
      <alignment horizontal="left"/>
    </xf>
    <xf numFmtId="3" fontId="37" fillId="24" borderId="22" xfId="0" applyNumberFormat="1" applyFont="1" applyFill="1" applyBorder="1" applyAlignment="1">
      <alignment horizontal="left"/>
    </xf>
    <xf numFmtId="0" fontId="37" fillId="24" borderId="16" xfId="0" applyFont="1" applyFill="1" applyBorder="1" applyAlignment="1">
      <alignment horizontal="left"/>
    </xf>
    <xf numFmtId="3" fontId="37" fillId="24" borderId="16" xfId="0" applyNumberFormat="1" applyFont="1" applyFill="1" applyBorder="1" applyAlignment="1">
      <alignment horizontal="left"/>
    </xf>
    <xf numFmtId="3" fontId="37" fillId="24" borderId="12" xfId="0" applyNumberFormat="1" applyFont="1" applyFill="1" applyBorder="1" applyAlignment="1">
      <alignment horizontal="left"/>
    </xf>
    <xf numFmtId="0" fontId="37" fillId="0" borderId="13" xfId="0" applyFont="1" applyBorder="1" applyAlignment="1">
      <alignment horizontal="left"/>
    </xf>
    <xf numFmtId="0" fontId="37" fillId="24" borderId="26" xfId="0" applyFont="1" applyFill="1" applyBorder="1" applyAlignment="1">
      <alignment horizontal="left"/>
    </xf>
    <xf numFmtId="3" fontId="37" fillId="24" borderId="26" xfId="0" applyNumberFormat="1" applyFont="1" applyFill="1" applyBorder="1" applyAlignment="1">
      <alignment horizontal="left"/>
    </xf>
    <xf numFmtId="3" fontId="37" fillId="24" borderId="27" xfId="0" applyNumberFormat="1" applyFont="1" applyFill="1" applyBorder="1" applyAlignment="1">
      <alignment horizontal="left"/>
    </xf>
    <xf numFmtId="165" fontId="37" fillId="24" borderId="0" xfId="0" applyNumberFormat="1" applyFont="1" applyFill="1" applyAlignment="1">
      <alignment horizontal="left" vertical="center" wrapText="1"/>
    </xf>
    <xf numFmtId="0" fontId="37" fillId="24" borderId="0" xfId="0" applyFont="1" applyFill="1" applyAlignment="1">
      <alignment horizontal="left"/>
    </xf>
    <xf numFmtId="3" fontId="37" fillId="24" borderId="0" xfId="0" applyNumberFormat="1" applyFont="1" applyFill="1" applyAlignment="1">
      <alignment horizontal="left"/>
    </xf>
    <xf numFmtId="165" fontId="36" fillId="24" borderId="28" xfId="0" applyNumberFormat="1" applyFont="1" applyFill="1" applyBorder="1" applyAlignment="1">
      <alignment horizontal="left" vertical="center" wrapText="1"/>
    </xf>
    <xf numFmtId="0" fontId="36" fillId="24" borderId="29" xfId="0" applyFont="1" applyFill="1" applyBorder="1" applyAlignment="1">
      <alignment horizontal="left" vertical="center" wrapText="1"/>
    </xf>
    <xf numFmtId="165" fontId="37" fillId="24" borderId="15" xfId="0" applyNumberFormat="1" applyFont="1" applyFill="1" applyBorder="1" applyAlignment="1">
      <alignment horizontal="left" vertical="center" wrapText="1"/>
    </xf>
    <xf numFmtId="166" fontId="37" fillId="24" borderId="16" xfId="1" applyNumberFormat="1" applyFont="1" applyFill="1" applyBorder="1" applyAlignment="1">
      <alignment horizontal="left" vertical="center" wrapText="1"/>
    </xf>
    <xf numFmtId="166" fontId="37" fillId="0" borderId="30" xfId="1" applyNumberFormat="1" applyFont="1" applyFill="1" applyBorder="1" applyAlignment="1">
      <alignment horizontal="left"/>
    </xf>
    <xf numFmtId="165" fontId="37" fillId="0" borderId="16" xfId="0" applyNumberFormat="1" applyFont="1" applyFill="1" applyBorder="1" applyAlignment="1">
      <alignment horizontal="left" vertical="center" wrapText="1"/>
    </xf>
    <xf numFmtId="0" fontId="37" fillId="0" borderId="16" xfId="0" applyFont="1" applyFill="1" applyBorder="1" applyAlignment="1">
      <alignment horizontal="left"/>
    </xf>
    <xf numFmtId="3" fontId="37" fillId="0" borderId="16" xfId="0" applyNumberFormat="1" applyFont="1" applyFill="1" applyBorder="1" applyAlignment="1">
      <alignment horizontal="left"/>
    </xf>
    <xf numFmtId="3" fontId="37" fillId="0" borderId="30" xfId="0" applyNumberFormat="1" applyFont="1" applyFill="1" applyBorder="1" applyAlignment="1">
      <alignment horizontal="left"/>
    </xf>
    <xf numFmtId="3" fontId="37" fillId="0" borderId="14" xfId="0" applyNumberFormat="1" applyFont="1" applyFill="1" applyBorder="1" applyAlignment="1">
      <alignment horizontal="left"/>
    </xf>
    <xf numFmtId="3" fontId="37" fillId="24" borderId="31" xfId="0" applyNumberFormat="1" applyFont="1" applyFill="1" applyBorder="1" applyAlignment="1">
      <alignment horizontal="left"/>
    </xf>
    <xf numFmtId="3" fontId="37" fillId="24" borderId="32" xfId="0" applyNumberFormat="1" applyFont="1" applyFill="1" applyBorder="1" applyAlignment="1">
      <alignment horizontal="left"/>
    </xf>
    <xf numFmtId="165" fontId="37" fillId="0" borderId="19" xfId="0" applyNumberFormat="1" applyFont="1" applyFill="1" applyBorder="1" applyAlignment="1">
      <alignment horizontal="left" vertical="center" wrapText="1"/>
    </xf>
    <xf numFmtId="0" fontId="37" fillId="0" borderId="20" xfId="0" applyFont="1" applyFill="1" applyBorder="1" applyAlignment="1">
      <alignment horizontal="left"/>
    </xf>
    <xf numFmtId="3" fontId="37" fillId="0" borderId="20" xfId="0" applyNumberFormat="1" applyFont="1" applyFill="1" applyBorder="1" applyAlignment="1">
      <alignment horizontal="left"/>
    </xf>
    <xf numFmtId="0" fontId="37" fillId="0" borderId="14" xfId="0" applyFont="1" applyFill="1" applyBorder="1" applyAlignment="1">
      <alignment horizontal="left"/>
    </xf>
    <xf numFmtId="165" fontId="37" fillId="24" borderId="33" xfId="0" applyNumberFormat="1" applyFont="1" applyFill="1" applyBorder="1" applyAlignment="1">
      <alignment horizontal="left" vertical="center" wrapText="1"/>
    </xf>
    <xf numFmtId="0" fontId="37" fillId="24" borderId="20" xfId="0" applyFont="1" applyFill="1" applyBorder="1" applyAlignment="1">
      <alignment horizontal="left"/>
    </xf>
    <xf numFmtId="3" fontId="37" fillId="24" borderId="20" xfId="0" applyNumberFormat="1" applyFont="1" applyFill="1" applyBorder="1" applyAlignment="1">
      <alignment horizontal="left"/>
    </xf>
    <xf numFmtId="3" fontId="37" fillId="24" borderId="30" xfId="0" applyNumberFormat="1" applyFont="1" applyFill="1" applyBorder="1" applyAlignment="1">
      <alignment horizontal="left"/>
    </xf>
    <xf numFmtId="3" fontId="37" fillId="24" borderId="34" xfId="0" applyNumberFormat="1" applyFont="1" applyFill="1" applyBorder="1" applyAlignment="1">
      <alignment horizontal="left"/>
    </xf>
    <xf numFmtId="0" fontId="10" fillId="24" borderId="0" xfId="2" applyFont="1" applyFill="1" applyAlignment="1">
      <alignment horizontal="left"/>
    </xf>
    <xf numFmtId="0" fontId="27" fillId="0" borderId="0" xfId="78" applyFont="1" applyFill="1" applyAlignment="1" applyProtection="1">
      <alignment horizontal="left" vertical="top"/>
      <protection hidden="1"/>
    </xf>
    <xf numFmtId="0" fontId="31" fillId="24" borderId="0" xfId="0" applyFont="1" applyFill="1" applyAlignment="1">
      <alignment horizontal="left"/>
    </xf>
    <xf numFmtId="0" fontId="26" fillId="24" borderId="15" xfId="0" applyFont="1" applyFill="1" applyBorder="1" applyAlignment="1">
      <alignment horizontal="left"/>
    </xf>
    <xf numFmtId="0" fontId="26" fillId="24" borderId="16" xfId="0" applyFont="1" applyFill="1" applyBorder="1" applyAlignment="1">
      <alignment horizontal="left"/>
    </xf>
    <xf numFmtId="0" fontId="26" fillId="24" borderId="16" xfId="0" applyFont="1" applyFill="1" applyBorder="1" applyAlignment="1">
      <alignment horizontal="left" wrapText="1"/>
    </xf>
    <xf numFmtId="0" fontId="26" fillId="24" borderId="12" xfId="0" applyFont="1" applyFill="1" applyBorder="1" applyAlignment="1">
      <alignment horizontal="left"/>
    </xf>
    <xf numFmtId="15" fontId="27" fillId="24" borderId="15" xfId="0" applyNumberFormat="1" applyFont="1" applyFill="1" applyBorder="1" applyAlignment="1">
      <alignment horizontal="left"/>
    </xf>
    <xf numFmtId="3" fontId="27" fillId="24" borderId="14" xfId="0" applyNumberFormat="1" applyFont="1" applyFill="1" applyBorder="1" applyAlignment="1">
      <alignment horizontal="left"/>
    </xf>
    <xf numFmtId="3" fontId="27" fillId="24" borderId="22" xfId="0" applyNumberFormat="1" applyFont="1" applyFill="1" applyBorder="1" applyAlignment="1">
      <alignment horizontal="left"/>
    </xf>
    <xf numFmtId="15" fontId="27" fillId="24" borderId="13" xfId="0" applyNumberFormat="1" applyFont="1" applyFill="1" applyBorder="1" applyAlignment="1">
      <alignment horizontal="left"/>
    </xf>
    <xf numFmtId="15" fontId="27" fillId="24" borderId="17" xfId="0" applyNumberFormat="1" applyFont="1" applyFill="1" applyBorder="1" applyAlignment="1">
      <alignment horizontal="left"/>
    </xf>
    <xf numFmtId="3" fontId="27" fillId="24" borderId="18" xfId="0" applyNumberFormat="1" applyFont="1" applyFill="1" applyBorder="1" applyAlignment="1">
      <alignment horizontal="left"/>
    </xf>
    <xf numFmtId="3" fontId="27" fillId="24" borderId="25" xfId="0" applyNumberFormat="1" applyFont="1" applyFill="1" applyBorder="1" applyAlignment="1">
      <alignment horizontal="left"/>
    </xf>
    <xf numFmtId="0" fontId="27" fillId="24" borderId="0" xfId="0" applyFont="1" applyFill="1" applyAlignment="1">
      <alignment horizontal="left"/>
    </xf>
    <xf numFmtId="3" fontId="27" fillId="24" borderId="0" xfId="0" applyNumberFormat="1" applyFont="1" applyFill="1" applyAlignment="1">
      <alignment horizontal="left"/>
    </xf>
    <xf numFmtId="0" fontId="27" fillId="24" borderId="12" xfId="0" applyFont="1" applyFill="1" applyBorder="1" applyAlignment="1">
      <alignment horizontal="left"/>
    </xf>
    <xf numFmtId="0" fontId="38" fillId="24" borderId="0" xfId="0" applyFont="1" applyFill="1" applyAlignment="1">
      <alignment horizontal="left"/>
    </xf>
    <xf numFmtId="49" fontId="0" fillId="24" borderId="0" xfId="0" applyNumberFormat="1" applyFill="1" applyAlignment="1">
      <alignment horizontal="left"/>
    </xf>
    <xf numFmtId="49" fontId="27" fillId="24" borderId="0" xfId="0" applyNumberFormat="1" applyFont="1" applyFill="1" applyAlignment="1">
      <alignment horizontal="left"/>
    </xf>
    <xf numFmtId="49" fontId="26" fillId="24" borderId="15" xfId="0" applyNumberFormat="1" applyFont="1" applyFill="1" applyBorder="1" applyAlignment="1">
      <alignment horizontal="left"/>
    </xf>
    <xf numFmtId="49" fontId="27" fillId="24" borderId="13" xfId="0" applyNumberFormat="1" applyFont="1" applyFill="1" applyBorder="1" applyAlignment="1">
      <alignment horizontal="left"/>
    </xf>
    <xf numFmtId="167" fontId="27" fillId="24" borderId="14" xfId="1" applyNumberFormat="1" applyFont="1" applyFill="1" applyBorder="1" applyAlignment="1">
      <alignment horizontal="left"/>
    </xf>
    <xf numFmtId="167" fontId="27" fillId="24" borderId="22" xfId="1" applyNumberFormat="1" applyFont="1" applyFill="1" applyBorder="1" applyAlignment="1">
      <alignment horizontal="left"/>
    </xf>
    <xf numFmtId="0" fontId="39" fillId="24" borderId="0" xfId="0" applyFont="1" applyFill="1" applyAlignment="1">
      <alignment horizontal="left" vertical="center" readingOrder="1"/>
    </xf>
    <xf numFmtId="49" fontId="27" fillId="24" borderId="17" xfId="0" applyNumberFormat="1" applyFont="1" applyFill="1" applyBorder="1" applyAlignment="1">
      <alignment horizontal="left"/>
    </xf>
    <xf numFmtId="167" fontId="27" fillId="24" borderId="18" xfId="1" applyNumberFormat="1" applyFont="1" applyFill="1" applyBorder="1" applyAlignment="1">
      <alignment horizontal="left"/>
    </xf>
    <xf numFmtId="167" fontId="27" fillId="24" borderId="25" xfId="1" applyNumberFormat="1" applyFont="1" applyFill="1" applyBorder="1" applyAlignment="1">
      <alignment horizontal="left"/>
    </xf>
    <xf numFmtId="3" fontId="0" fillId="24" borderId="0" xfId="0" applyNumberFormat="1" applyFill="1" applyAlignment="1">
      <alignment horizontal="left"/>
    </xf>
    <xf numFmtId="0" fontId="0" fillId="24" borderId="35" xfId="0" applyFill="1" applyBorder="1" applyAlignment="1">
      <alignment horizontal="left"/>
    </xf>
    <xf numFmtId="0" fontId="26" fillId="0" borderId="0" xfId="0" applyFont="1" applyAlignment="1">
      <alignment horizontal="left"/>
    </xf>
    <xf numFmtId="0" fontId="0" fillId="0" borderId="0" xfId="0" applyFill="1" applyAlignment="1">
      <alignment horizontal="left" vertical="top"/>
    </xf>
    <xf numFmtId="0" fontId="33" fillId="0" borderId="36" xfId="0" applyFont="1" applyFill="1" applyBorder="1" applyAlignment="1">
      <alignment horizontal="left"/>
    </xf>
    <xf numFmtId="0" fontId="0" fillId="0" borderId="37" xfId="0" applyFill="1" applyBorder="1" applyAlignment="1">
      <alignment horizontal="left"/>
    </xf>
    <xf numFmtId="168" fontId="0" fillId="0" borderId="38" xfId="0" applyNumberFormat="1" applyFill="1" applyBorder="1" applyAlignment="1">
      <alignment horizontal="left"/>
    </xf>
    <xf numFmtId="0" fontId="0" fillId="0" borderId="39" xfId="0" applyFill="1" applyBorder="1" applyAlignment="1">
      <alignment horizontal="left" vertical="center"/>
    </xf>
    <xf numFmtId="0" fontId="0" fillId="0" borderId="40" xfId="0" applyFill="1" applyBorder="1" applyAlignment="1">
      <alignment horizontal="left" vertical="center"/>
    </xf>
    <xf numFmtId="0" fontId="0" fillId="0" borderId="38" xfId="0" applyFill="1" applyBorder="1" applyAlignment="1">
      <alignment horizontal="left" vertical="center"/>
    </xf>
    <xf numFmtId="0" fontId="0" fillId="0" borderId="38" xfId="0" applyFill="1" applyBorder="1" applyAlignment="1">
      <alignment horizontal="left"/>
    </xf>
    <xf numFmtId="0" fontId="0" fillId="0" borderId="39" xfId="0" applyFill="1" applyBorder="1" applyAlignment="1">
      <alignment horizontal="left"/>
    </xf>
    <xf numFmtId="14" fontId="0" fillId="0" borderId="38" xfId="0" applyNumberFormat="1" applyFill="1" applyBorder="1" applyAlignment="1">
      <alignment horizontal="left"/>
    </xf>
    <xf numFmtId="1" fontId="0" fillId="0" borderId="39" xfId="0" applyNumberFormat="1" applyFill="1" applyBorder="1" applyAlignment="1">
      <alignment horizontal="left" vertical="center"/>
    </xf>
    <xf numFmtId="0" fontId="0" fillId="0" borderId="41" xfId="0" applyFill="1" applyBorder="1" applyAlignment="1">
      <alignment horizontal="left" vertical="center"/>
    </xf>
    <xf numFmtId="0" fontId="0" fillId="0" borderId="42" xfId="0" applyFill="1" applyBorder="1" applyAlignment="1">
      <alignment horizontal="left" vertical="center"/>
    </xf>
    <xf numFmtId="14" fontId="0" fillId="0" borderId="39" xfId="0" applyNumberFormat="1" applyFill="1" applyBorder="1" applyAlignment="1">
      <alignment horizontal="left"/>
    </xf>
    <xf numFmtId="0" fontId="0" fillId="0" borderId="40" xfId="0" applyFill="1" applyBorder="1" applyAlignment="1">
      <alignment horizontal="left"/>
    </xf>
    <xf numFmtId="168" fontId="0" fillId="0" borderId="43" xfId="0" applyNumberFormat="1" applyFill="1" applyBorder="1" applyAlignment="1">
      <alignment horizontal="left"/>
    </xf>
    <xf numFmtId="0" fontId="0" fillId="0" borderId="37" xfId="0" applyFill="1" applyBorder="1" applyAlignment="1">
      <alignment horizontal="left" vertical="center"/>
    </xf>
    <xf numFmtId="0" fontId="0" fillId="0" borderId="44" xfId="0" applyFill="1" applyBorder="1" applyAlignment="1">
      <alignment horizontal="left" vertical="center"/>
    </xf>
    <xf numFmtId="0" fontId="0" fillId="0" borderId="43" xfId="0" applyFill="1" applyBorder="1" applyAlignment="1">
      <alignment horizontal="left" vertical="center"/>
    </xf>
    <xf numFmtId="0" fontId="0" fillId="0" borderId="43" xfId="0" applyFill="1" applyBorder="1" applyAlignment="1">
      <alignment horizontal="left"/>
    </xf>
    <xf numFmtId="14" fontId="0" fillId="0" borderId="43" xfId="0" applyNumberFormat="1" applyFill="1" applyBorder="1" applyAlignment="1">
      <alignment horizontal="left"/>
    </xf>
    <xf numFmtId="0" fontId="0" fillId="0" borderId="45" xfId="0" applyFill="1" applyBorder="1" applyAlignment="1">
      <alignment horizontal="left" vertical="center"/>
    </xf>
    <xf numFmtId="0" fontId="0" fillId="0" borderId="46" xfId="0" applyFill="1" applyBorder="1" applyAlignment="1">
      <alignment horizontal="left" vertical="center"/>
    </xf>
    <xf numFmtId="14" fontId="0" fillId="0" borderId="37" xfId="0" applyNumberFormat="1" applyFill="1" applyBorder="1" applyAlignment="1">
      <alignment horizontal="left"/>
    </xf>
    <xf numFmtId="0" fontId="0" fillId="0" borderId="44" xfId="0" applyFill="1" applyBorder="1" applyAlignment="1">
      <alignment horizontal="left"/>
    </xf>
    <xf numFmtId="14" fontId="0" fillId="0" borderId="43" xfId="0" applyNumberFormat="1" applyFill="1" applyBorder="1" applyAlignment="1">
      <alignment horizontal="left" vertical="center"/>
    </xf>
    <xf numFmtId="14" fontId="0" fillId="0" borderId="43" xfId="0" applyNumberFormat="1" applyFill="1" applyBorder="1" applyAlignment="1">
      <alignment horizontal="left" vertical="center" wrapText="1"/>
    </xf>
    <xf numFmtId="168" fontId="0" fillId="0" borderId="43" xfId="0" applyNumberFormat="1" applyFill="1" applyBorder="1" applyAlignment="1">
      <alignment horizontal="left" vertical="center"/>
    </xf>
    <xf numFmtId="0" fontId="0" fillId="0" borderId="37" xfId="0" applyFill="1" applyBorder="1" applyAlignment="1">
      <alignment horizontal="left" wrapText="1"/>
    </xf>
    <xf numFmtId="1" fontId="0" fillId="0" borderId="37" xfId="0" applyNumberFormat="1" applyFill="1" applyBorder="1" applyAlignment="1">
      <alignment horizontal="left" vertical="center"/>
    </xf>
    <xf numFmtId="1" fontId="0" fillId="0" borderId="45" xfId="0" applyNumberFormat="1" applyFill="1" applyBorder="1" applyAlignment="1">
      <alignment horizontal="left" vertical="center"/>
    </xf>
    <xf numFmtId="1" fontId="0" fillId="0" borderId="46" xfId="0" applyNumberFormat="1" applyFill="1" applyBorder="1" applyAlignment="1">
      <alignment horizontal="left" vertical="center"/>
    </xf>
    <xf numFmtId="1" fontId="0" fillId="0" borderId="43" xfId="0" applyNumberFormat="1" applyFill="1" applyBorder="1" applyAlignment="1">
      <alignment horizontal="left" vertical="center"/>
    </xf>
    <xf numFmtId="0" fontId="0" fillId="0" borderId="45" xfId="0" applyFill="1" applyBorder="1" applyAlignment="1">
      <alignment horizontal="left"/>
    </xf>
    <xf numFmtId="0" fontId="0" fillId="0" borderId="37" xfId="0" applyFill="1" applyBorder="1" applyAlignment="1">
      <alignment horizontal="left" vertical="center" wrapText="1"/>
    </xf>
    <xf numFmtId="14" fontId="0" fillId="0" borderId="47" xfId="0" applyNumberFormat="1" applyFill="1" applyBorder="1" applyAlignment="1">
      <alignment horizontal="left"/>
    </xf>
    <xf numFmtId="0" fontId="0" fillId="0" borderId="0" xfId="0" applyFill="1" applyAlignment="1">
      <alignment horizontal="left" vertical="center"/>
    </xf>
    <xf numFmtId="0" fontId="0" fillId="0" borderId="48" xfId="0" applyFill="1" applyBorder="1" applyAlignment="1">
      <alignment horizontal="left" vertical="center"/>
    </xf>
    <xf numFmtId="168" fontId="0" fillId="0" borderId="49" xfId="0" applyNumberFormat="1" applyFill="1" applyBorder="1" applyAlignment="1">
      <alignment horizontal="left"/>
    </xf>
    <xf numFmtId="0" fontId="0" fillId="0" borderId="50" xfId="0" applyFill="1" applyBorder="1" applyAlignment="1">
      <alignment horizontal="left"/>
    </xf>
    <xf numFmtId="0" fontId="0" fillId="0" borderId="51" xfId="0" applyFill="1" applyBorder="1" applyAlignment="1">
      <alignment horizontal="left"/>
    </xf>
    <xf numFmtId="0" fontId="0" fillId="0" borderId="49" xfId="0" applyFill="1" applyBorder="1" applyAlignment="1">
      <alignment horizontal="left"/>
    </xf>
    <xf numFmtId="0" fontId="0" fillId="0" borderId="49" xfId="0" applyFill="1" applyBorder="1" applyAlignment="1">
      <alignment horizontal="left" vertical="center"/>
    </xf>
    <xf numFmtId="0" fontId="0" fillId="0" borderId="51" xfId="0" applyFill="1" applyBorder="1" applyAlignment="1">
      <alignment horizontal="left" vertical="center"/>
    </xf>
    <xf numFmtId="14" fontId="0" fillId="0" borderId="49" xfId="0" applyNumberFormat="1" applyFill="1" applyBorder="1" applyAlignment="1">
      <alignment horizontal="left"/>
    </xf>
    <xf numFmtId="0" fontId="0" fillId="0" borderId="50" xfId="0" applyFill="1" applyBorder="1" applyAlignment="1">
      <alignment horizontal="left" vertical="center"/>
    </xf>
    <xf numFmtId="0" fontId="0" fillId="0" borderId="52" xfId="0" applyFill="1" applyBorder="1" applyAlignment="1">
      <alignment horizontal="left" vertical="center"/>
    </xf>
    <xf numFmtId="0" fontId="0" fillId="0" borderId="53" xfId="0" applyFill="1" applyBorder="1" applyAlignment="1">
      <alignment horizontal="left" vertical="center"/>
    </xf>
    <xf numFmtId="14" fontId="0" fillId="0" borderId="50" xfId="0" applyNumberFormat="1" applyFill="1" applyBorder="1" applyAlignment="1">
      <alignment horizontal="left"/>
    </xf>
    <xf numFmtId="168" fontId="0" fillId="0" borderId="0" xfId="0" applyNumberFormat="1" applyFill="1" applyAlignment="1">
      <alignment horizontal="left"/>
    </xf>
  </cellXfs>
  <cellStyles count="163">
    <cellStyle name=" 1" xfId="3" xr:uid="{C634478A-BB99-EB4D-A4F2-2A5EFDFD004B}"/>
    <cellStyle name=" 2" xfId="4" xr:uid="{56080835-95D5-CA48-9C4C-F32EBD5EDBD9}"/>
    <cellStyle name=" 3" xfId="5" xr:uid="{9D24E390-CA0C-E348-82E9-811201058322}"/>
    <cellStyle name="]_x000a_Zoomed=1_x000a_Row=0_x000a_Column=0_x000a_Height=0_x000a_Width=0_x000a_FontName=FoxFont_x000a_FontStyle=0_x000a_FontSize=9_x000a_PrtFontName=FoxPrin" xfId="36" xr:uid="{10A75576-EE02-3248-8A58-B900A4961D7D}"/>
    <cellStyle name="]_x000a_Zoomed=1_x000a_Row=0_x000a_Column=0_x000a_Height=0_x000a_Width=0_x000a_FontName=FoxFont_x000a_FontStyle=0_x000a_FontSize=9_x000a_PrtFontName=FoxPrin 2" xfId="37" xr:uid="{9119FBFC-C964-1D4A-BE09-604F6110162D}"/>
    <cellStyle name="]_x000a_Zoomed=1_x000a_Row=0_x000a_Column=0_x000a_Height=0_x000a_Width=0_x000a_FontName=FoxFont_x000a_FontStyle=0_x000a_FontSize=9_x000a_PrtFontName=FoxPrin 2 2" xfId="38" xr:uid="{A159EE81-9DD3-0C46-A513-C921F99B14B2}"/>
    <cellStyle name="]_x000a_Zoomed=1_x000a_Row=0_x000a_Column=0_x000a_Height=0_x000a_Width=0_x000a_FontName=FoxFont_x000a_FontStyle=0_x000a_FontSize=9_x000a_PrtFontName=FoxPrin 3" xfId="39" xr:uid="{0651E791-6623-EE4A-AE3E-AF1FB6497106}"/>
    <cellStyle name="]_x000a_Zoomed=1_x000a_Row=0_x000a_Column=0_x000a_Height=0_x000a_Width=0_x000a_FontName=FoxFont_x000a_FontStyle=0_x000a_FontSize=9_x000a_PrtFontName=FoxPrin 3 2" xfId="40" xr:uid="{959D1861-F09C-1944-B92F-78BD4BD2327F}"/>
    <cellStyle name="]_x000a_Zoomed=1_x000a_Row=0_x000a_Column=0_x000a_Height=0_x000a_Width=0_x000a_FontName=FoxFont_x000a_FontStyle=0_x000a_FontSize=9_x000a_PrtFontName=FoxPrin 3_All Schools2" xfId="41" xr:uid="{1552FE64-2D10-4F4D-8E77-0EC026605DC2}"/>
    <cellStyle name="]_x000a_Zoomed=1_x000a_Row=0_x000a_Column=0_x000a_Height=0_x000a_Width=0_x000a_FontName=FoxFont_x000a_FontStyle=0_x000a_FontSize=9_x000a_PrtFontName=FoxPrin_All Schools2" xfId="42" xr:uid="{E4DC347C-AA27-4649-B627-CAA41005F808}"/>
    <cellStyle name="20% - Accent1 2" xfId="6" xr:uid="{07EE38D4-C3A8-D244-9E17-537168EC2CCB}"/>
    <cellStyle name="20% - Accent1 2 2" xfId="7" xr:uid="{10074F7F-CEB7-CC44-B494-255A9EF60762}"/>
    <cellStyle name="20% - Accent2 2" xfId="8" xr:uid="{0BECBA3A-F58C-6F49-B471-461E93A69142}"/>
    <cellStyle name="20% - Accent2 2 2" xfId="9" xr:uid="{AB72E8B3-9AE8-DE48-AFA2-B7080AFD4503}"/>
    <cellStyle name="20% - Accent3 2" xfId="10" xr:uid="{4126798F-C5BD-9C4D-AC37-512310B38519}"/>
    <cellStyle name="20% - Accent3 2 2" xfId="11" xr:uid="{4D2E8B6C-F655-544C-A492-EAFF7F2BACF4}"/>
    <cellStyle name="20% - Accent4 2" xfId="12" xr:uid="{CA02B2D6-BAE8-664A-B35D-9D30B0158FB0}"/>
    <cellStyle name="20% - Accent4 2 2" xfId="13" xr:uid="{DAE07412-CF11-AB4E-89C3-CE1834D9D168}"/>
    <cellStyle name="20% - Accent5 2" xfId="14" xr:uid="{2779823F-C1F2-D647-BAD1-48B2880D8B44}"/>
    <cellStyle name="20% - Accent5 2 2" xfId="15" xr:uid="{BD88A600-6121-DF43-AD23-82D9136944CE}"/>
    <cellStyle name="20% - Accent6 2" xfId="16" xr:uid="{8E816498-1D61-F349-B7DF-8459E7043F1B}"/>
    <cellStyle name="20% - Accent6 2 2" xfId="17" xr:uid="{A4E93FC2-ED56-1148-94FD-FAA044A04B96}"/>
    <cellStyle name="40% - Accent1 2" xfId="18" xr:uid="{78635491-0FF7-5445-A0C8-8730BD9242E9}"/>
    <cellStyle name="40% - Accent1 2 2" xfId="19" xr:uid="{DA25C8F2-AA20-C44F-AE72-C5FC014D6E3D}"/>
    <cellStyle name="40% - Accent2 2" xfId="20" xr:uid="{F763D21F-9763-164F-9ACB-4C4359DAB251}"/>
    <cellStyle name="40% - Accent2 2 2" xfId="21" xr:uid="{CAD8EAE7-D74F-5F4C-9377-428B5F6507D7}"/>
    <cellStyle name="40% - Accent3 2" xfId="22" xr:uid="{0C8F8154-C0D5-F84F-A307-7978A63BBF86}"/>
    <cellStyle name="40% - Accent3 2 2" xfId="23" xr:uid="{75CA9B96-D9F7-874E-9E82-BC54C9CE54BF}"/>
    <cellStyle name="40% - Accent4 2" xfId="24" xr:uid="{92E59669-676E-834D-B4E2-7159D3B4FBE6}"/>
    <cellStyle name="40% - Accent4 2 2" xfId="25" xr:uid="{C7B530C5-E551-AC43-A327-CA1E347C9CB3}"/>
    <cellStyle name="40% - Accent5 2" xfId="26" xr:uid="{FF8E3106-3D34-9F42-AB4D-9E21B700DD43}"/>
    <cellStyle name="40% - Accent5 2 2" xfId="27" xr:uid="{2402E164-7B26-6749-97FD-C1C4650E4094}"/>
    <cellStyle name="40% - Accent6 2" xfId="28" xr:uid="{76FF9443-A331-1D45-9405-E7F9A48F41C2}"/>
    <cellStyle name="40% - Accent6 2 2" xfId="29" xr:uid="{1A7E9F34-21A8-C645-92AA-BE6864C7691C}"/>
    <cellStyle name="60% - Accent1 2" xfId="30" xr:uid="{BD9F4A1B-A8E5-FC42-8229-418D2F334B53}"/>
    <cellStyle name="60% - Accent2 2" xfId="31" xr:uid="{2387D195-262E-2F4D-B70B-12EA140CC5FF}"/>
    <cellStyle name="60% - Accent3 2" xfId="32" xr:uid="{8FFD4C5F-BE52-FA4B-BD33-08E9BAA83F80}"/>
    <cellStyle name="60% - Accent4 2" xfId="33" xr:uid="{16B9A0AF-18A1-B34F-8E8E-6E318DE32BC1}"/>
    <cellStyle name="60% - Accent5 2" xfId="34" xr:uid="{0FFF4C5A-7322-1C4E-B2B5-A2AA25EC52EA}"/>
    <cellStyle name="60% - Accent6 2" xfId="35" xr:uid="{3E654DF5-7EC8-374C-BF03-B53032443169}"/>
    <cellStyle name="Accent1 2" xfId="43" xr:uid="{F1AC331E-315D-1543-BED0-4E24BB1DE3AA}"/>
    <cellStyle name="Accent2 2" xfId="44" xr:uid="{B27CC3B6-48A0-7243-9A30-036AFA1C4FC7}"/>
    <cellStyle name="Accent3 2" xfId="45" xr:uid="{96846344-6312-4D4B-8F47-02322F0467DE}"/>
    <cellStyle name="Accent4 2" xfId="46" xr:uid="{DD9CFE3F-381E-C24B-8D4B-555960596726}"/>
    <cellStyle name="Accent5 2" xfId="47" xr:uid="{CFB95FD7-3F77-D947-9C44-21E9485BBCFD}"/>
    <cellStyle name="Accent6 2" xfId="48" xr:uid="{CAE9FEFB-822B-0F41-90D3-F8AF1C67CA77}"/>
    <cellStyle name="Bad 2" xfId="49" xr:uid="{7752113A-6F05-934D-8926-C8FEF3B0B243}"/>
    <cellStyle name="Calculation 2" xfId="50" xr:uid="{1C726FCE-C584-3247-8DE8-79ADACF2B1B0}"/>
    <cellStyle name="Check Cell 2" xfId="51" xr:uid="{3DA00AD8-D545-D243-9191-04F743A9FF71}"/>
    <cellStyle name="Comma" xfId="1" builtinId="3" customBuiltin="1"/>
    <cellStyle name="Comma 2" xfId="52" xr:uid="{DA868758-A851-8542-9B5A-E515C521EDF5}"/>
    <cellStyle name="Comma 2 2" xfId="53" xr:uid="{712BAEFF-2740-D443-ABD9-4DEC7C381677}"/>
    <cellStyle name="Comma 2 2 2" xfId="54" xr:uid="{E34670BD-EAAD-894E-826E-3251E0E3558C}"/>
    <cellStyle name="Comma 2 2 3" xfId="55" xr:uid="{BF5CAE8B-E050-2D45-91DC-2E9D1BABC7C8}"/>
    <cellStyle name="Comma 2 2 4" xfId="56" xr:uid="{1A8F4C3F-36DD-BC41-9CC8-0747352AF752}"/>
    <cellStyle name="Comma 3" xfId="57" xr:uid="{CB611E7E-8EB4-854A-AE75-94F14C68A36E}"/>
    <cellStyle name="Comma 3 2" xfId="58" xr:uid="{8A25697E-0CBA-7E4A-B4AC-B98FB974569B}"/>
    <cellStyle name="Comma 3 3" xfId="59" xr:uid="{5C7DDA0E-ED72-0440-9D2F-82C73F9B4715}"/>
    <cellStyle name="Comma 3 4" xfId="60" xr:uid="{66B47CE0-AF21-744C-A2CB-660AC2ED3CB1}"/>
    <cellStyle name="Explanatory Text 2" xfId="61" xr:uid="{7F418E25-710A-CB44-A698-E11F50027EC3}"/>
    <cellStyle name="Good 2" xfId="62" xr:uid="{EBD3390D-655E-F44E-B63F-0A6D09A86CD0}"/>
    <cellStyle name="Heading 1" xfId="2" builtinId="16" customBuiltin="1"/>
    <cellStyle name="Heading 1 2" xfId="63" xr:uid="{0C581F8A-CAF8-9847-B2B2-01A8CD947266}"/>
    <cellStyle name="Heading 1 2 2" xfId="64" xr:uid="{1AFA8C7E-CD88-5445-9B0E-2F3FAD4CD90F}"/>
    <cellStyle name="Heading 2 2" xfId="65" xr:uid="{D56A0980-A760-5444-94B7-91175C4BEFD1}"/>
    <cellStyle name="Heading 3 2" xfId="66" xr:uid="{5B900E36-4D21-2A44-A7E0-61A2E62F5B38}"/>
    <cellStyle name="Heading 4 2" xfId="67" xr:uid="{8B11F60F-2A2F-0F42-B5C4-F6FD690B9F91}"/>
    <cellStyle name="Hyperlink" xfId="68" xr:uid="{A5A2F585-C43C-0643-8B3C-5701E9E16C53}"/>
    <cellStyle name="Hyperlink 2" xfId="69" xr:uid="{1A1B55DA-5385-F743-A1A0-A9525F360D6A}"/>
    <cellStyle name="Hyperlink 2 2" xfId="70" xr:uid="{4E3A37FC-FF82-8149-8494-19AD7514B64C}"/>
    <cellStyle name="Hyperlink 2 3" xfId="71" xr:uid="{28C17372-6E9A-BA4B-909E-611457402A20}"/>
    <cellStyle name="Hyperlink 3" xfId="72" xr:uid="{7151ECB4-5050-834A-B00D-5801BDA1E738}"/>
    <cellStyle name="Hyperlink 4" xfId="73" xr:uid="{6C4A02E1-F2FC-A14C-9116-7C016ABFE3EF}"/>
    <cellStyle name="Hyperlink 5" xfId="74" xr:uid="{73B70EA6-3B56-8240-AFD8-C18EEF650F23}"/>
    <cellStyle name="Input 2" xfId="75" xr:uid="{9B3965A2-F7E9-3F4B-B787-59A3CF25F256}"/>
    <cellStyle name="Linked Cell 2" xfId="76" xr:uid="{79FFE95F-07CF-1D4D-B2B2-D61FEF075972}"/>
    <cellStyle name="Neutral 2" xfId="77" xr:uid="{B8F565F0-695E-A24F-B48B-AF6A23BDD070}"/>
    <cellStyle name="Normal" xfId="0" builtinId="0" customBuiltin="1"/>
    <cellStyle name="Normal 10" xfId="78" xr:uid="{CF37D666-5418-4B41-8309-8BC3C03C104E}"/>
    <cellStyle name="Normal 10 2" xfId="79" xr:uid="{ED2B2825-263E-3C49-9421-81E826C54721}"/>
    <cellStyle name="Normal 11" xfId="80" xr:uid="{94504286-7F7F-D04D-9FEB-1C8FA4B6CD27}"/>
    <cellStyle name="Normal 12" xfId="81" xr:uid="{3A42FDEF-40EC-B841-B5FC-2A96BDC8F909}"/>
    <cellStyle name="Normal 12 2" xfId="82" xr:uid="{A6E0C123-CB7D-3741-9413-5F9B8D40B001}"/>
    <cellStyle name="Normal 13" xfId="83" xr:uid="{17010DCC-D33C-9140-BC5D-156DAA08FA35}"/>
    <cellStyle name="Normal 14" xfId="84" xr:uid="{C583F0BA-DC82-984F-BACF-2450674C6566}"/>
    <cellStyle name="Normal 14 2" xfId="85" xr:uid="{2170C378-5DB9-C140-9090-0E46B681356E}"/>
    <cellStyle name="Normal 15" xfId="86" xr:uid="{19BD9C98-BC6A-854F-A9E0-763A7FC894F0}"/>
    <cellStyle name="Normal 16" xfId="87" xr:uid="{0BAC964C-535D-0B4C-AA83-637B637D9969}"/>
    <cellStyle name="Normal 17" xfId="88" xr:uid="{9B06AB7D-3468-934C-9E54-922AF9DBBB81}"/>
    <cellStyle name="Normal 18" xfId="89" xr:uid="{205E134F-F39E-BA47-A048-7245BB840072}"/>
    <cellStyle name="Normal 19" xfId="90" xr:uid="{CAC355BC-FEB4-6447-BF88-B677D2C8E558}"/>
    <cellStyle name="Normal 2" xfId="91" xr:uid="{C754B07A-5981-6845-AC6E-B3E3EC3C7A40}"/>
    <cellStyle name="Normal 2 2" xfId="92" xr:uid="{C6374F6E-F68B-2049-9719-DE0231C64F37}"/>
    <cellStyle name="Normal 2 2 2" xfId="93" xr:uid="{E2F252E0-4ABD-9E4E-8662-7E9704CD20E0}"/>
    <cellStyle name="Normal 2 2 2 2" xfId="94" xr:uid="{CB706AE5-BAEA-7042-81EB-0FAE7FFD2797}"/>
    <cellStyle name="Normal 2 2 3" xfId="95" xr:uid="{422F68AD-903F-3440-B6D2-E135D1EF6A48}"/>
    <cellStyle name="Normal 2 3" xfId="96" xr:uid="{0FFB1875-DB3B-BF43-9CA5-6EEC8A078239}"/>
    <cellStyle name="Normal 2 4" xfId="97" xr:uid="{3429928E-E9FB-FB43-95F6-C1F1C0E566B1}"/>
    <cellStyle name="Normal 20" xfId="98" xr:uid="{0C47007C-CD41-984B-BC15-73954B36320E}"/>
    <cellStyle name="Normal 21" xfId="99" xr:uid="{37DE2DC2-67EA-8641-B080-A0492DAC3249}"/>
    <cellStyle name="Normal 22" xfId="100" xr:uid="{C36BB02B-C9A7-0544-A3D3-C314910ECA24}"/>
    <cellStyle name="Normal 3" xfId="101" xr:uid="{21E2C7DA-7AD2-6F45-8601-47C7B70A4D21}"/>
    <cellStyle name="Normal 3 2" xfId="102" xr:uid="{5979EA36-1A7F-3B49-9DA2-1337CB3D6814}"/>
    <cellStyle name="Normal 3 2 2" xfId="103" xr:uid="{F7EFCBEA-7475-9543-B316-5421338F1387}"/>
    <cellStyle name="Normal 3 3" xfId="104" xr:uid="{1F7B8572-5AE6-B74F-90EC-EC44A8248D0A}"/>
    <cellStyle name="Normal 3 4" xfId="105" xr:uid="{B12840AB-4ECA-A043-81BA-2B81BAF2C4F0}"/>
    <cellStyle name="Normal 3_Tracker for commission - 251012" xfId="106" xr:uid="{D145D402-339A-FA42-9231-EBD977E14BEB}"/>
    <cellStyle name="Normal 4" xfId="107" xr:uid="{B2449BF0-D4EB-8045-B548-75E7037FAD42}"/>
    <cellStyle name="Normal 4 2" xfId="108" xr:uid="{E63E63DD-8B6A-4C4B-8485-B7D27179AED2}"/>
    <cellStyle name="Normal 4 3" xfId="109" xr:uid="{6EC7F0FE-82FC-394C-834A-BDCC9F727DDB}"/>
    <cellStyle name="Normal 5" xfId="110" xr:uid="{36AC83AD-668A-B24E-83B5-DB5CDCFEEE57}"/>
    <cellStyle name="Normal 5 2" xfId="111" xr:uid="{78A73C96-D895-2A4F-BDC9-3ABE95F80CE3}"/>
    <cellStyle name="Normal 5 2 2" xfId="112" xr:uid="{13DA0670-58FF-6E42-8BFB-6FDB251473DA}"/>
    <cellStyle name="Normal 5 3" xfId="113" xr:uid="{9F611C5D-5BC9-904A-8A72-9343E860DA36}"/>
    <cellStyle name="Normal 5 3 2" xfId="114" xr:uid="{F09290EF-862E-9D47-B40D-409816033C18}"/>
    <cellStyle name="Normal 5 4" xfId="115" xr:uid="{1B9F6501-A31D-944D-8284-5744AE79F03F}"/>
    <cellStyle name="Normal 5 5" xfId="116" xr:uid="{7A1950FD-34A3-2F4F-BB40-A94742BC5272}"/>
    <cellStyle name="Normal 6" xfId="117" xr:uid="{1856845E-727C-7349-A885-451A794F5697}"/>
    <cellStyle name="Normal 6 2" xfId="118" xr:uid="{F2A634FA-FE16-7243-BE37-58D71181A0B0}"/>
    <cellStyle name="Normal 6 3" xfId="119" xr:uid="{E45DA577-1B19-F445-A18F-A61BEC92952E}"/>
    <cellStyle name="Normal 6 3 2" xfId="120" xr:uid="{D0F88DAB-0D3F-4147-AC2A-90D6DCF11EF9}"/>
    <cellStyle name="Normal 6 4" xfId="121" xr:uid="{8AD3FCA9-ED0B-8F44-B84B-578967E9C262}"/>
    <cellStyle name="Normal 7" xfId="122" xr:uid="{DDADA734-0947-9644-B6A2-E9FEA7076F80}"/>
    <cellStyle name="Normal 7 2" xfId="123" xr:uid="{10FDD4E2-F243-204F-8957-7B4F411452E7}"/>
    <cellStyle name="Normal 7 3" xfId="124" xr:uid="{A9B9946A-EC90-D74E-B2AB-AF7A36C8164C}"/>
    <cellStyle name="Normal 7 3 2" xfId="125" xr:uid="{6213964A-A475-BA4F-A536-3D43023DDC19}"/>
    <cellStyle name="Normal 8" xfId="126" xr:uid="{1AA0DBA6-3593-2042-83C1-20A8415D4763}"/>
    <cellStyle name="Normal 8 2" xfId="127" xr:uid="{366F990D-2280-9E4D-8F27-27C2CC2AE554}"/>
    <cellStyle name="Normal 9" xfId="128" xr:uid="{CA6993D1-D03D-1044-98B5-385788CD3E4F}"/>
    <cellStyle name="Normal 9 2" xfId="129" xr:uid="{2F2719FB-881B-6349-80C1-53D5EAB4A5E7}"/>
    <cellStyle name="Note 2" xfId="130" xr:uid="{164A7887-85F8-2B48-9775-3A15E9C68B26}"/>
    <cellStyle name="Note 2 2" xfId="131" xr:uid="{72BDEFFC-348F-A84D-9895-EDBF53E13293}"/>
    <cellStyle name="Note 2 2 2" xfId="132" xr:uid="{2FD8848B-120B-AC4C-B928-DBEA47D28406}"/>
    <cellStyle name="Note 2 3" xfId="133" xr:uid="{C8DC7C2C-0AD2-A443-AF4F-06E71AF3F41D}"/>
    <cellStyle name="Note 2 3 2" xfId="134" xr:uid="{541B1D0D-B96A-A94D-91F2-F84E11265D2F}"/>
    <cellStyle name="Note 2 4" xfId="135" xr:uid="{60503B4B-D9E5-BC4C-9476-52C971D4DDC0}"/>
    <cellStyle name="Note 2 4 2" xfId="136" xr:uid="{63F82928-DF2B-8D45-A11C-703D8EB61647}"/>
    <cellStyle name="Note 2 5" xfId="137" xr:uid="{89D38537-1CCE-734B-86B8-397F9051AF08}"/>
    <cellStyle name="Note 2 5 2" xfId="138" xr:uid="{BCD57652-7808-D349-951C-C7B42E1C459B}"/>
    <cellStyle name="Note 2 6" xfId="139" xr:uid="{1BCC795F-57C8-EB4D-A8DC-8B661A057E9B}"/>
    <cellStyle name="Note 2 6 2" xfId="140" xr:uid="{573509E0-5B35-954A-A756-CCC14EC3EAB5}"/>
    <cellStyle name="Note 3" xfId="141" xr:uid="{13A60C43-F721-D045-9286-E07168B996E8}"/>
    <cellStyle name="Note 3 2" xfId="142" xr:uid="{426B726F-9A98-1541-9221-9FEC1CD33E2C}"/>
    <cellStyle name="Note 3 2 2" xfId="143" xr:uid="{D231AE27-6B8C-B248-8974-95CC65B5E1A0}"/>
    <cellStyle name="Note 3 3" xfId="144" xr:uid="{43F1A484-AC34-1D44-8070-5451D2437E46}"/>
    <cellStyle name="Note 3 3 2" xfId="145" xr:uid="{70C3CCFF-3C36-FA40-AB15-0BA9ADFB8E00}"/>
    <cellStyle name="Note 3 4" xfId="146" xr:uid="{3AD4622C-BE2B-2C43-AA33-97470806F56A}"/>
    <cellStyle name="Note 4" xfId="147" xr:uid="{373D4099-8B8C-874B-9800-CDB3D5D7A09A}"/>
    <cellStyle name="Note 4 2" xfId="148" xr:uid="{2D8C121B-0265-A546-914D-B3969FDB6841}"/>
    <cellStyle name="Note 5" xfId="149" xr:uid="{BB6C3ABE-C61A-384C-AB3D-A76492F934B1}"/>
    <cellStyle name="Note 5 2" xfId="150" xr:uid="{AECD59AD-A06F-B541-8892-2406360B30DF}"/>
    <cellStyle name="Note 6" xfId="151" xr:uid="{52DD3120-A8FA-4947-9033-E64EA9077A82}"/>
    <cellStyle name="Note 6 2" xfId="152" xr:uid="{C500F931-81B9-1F4A-97FD-C639E4463CF9}"/>
    <cellStyle name="Note 7" xfId="153" xr:uid="{F5F27695-9392-B74D-B0CC-045A5DDFFE44}"/>
    <cellStyle name="Note 7 2" xfId="154" xr:uid="{74C6E7F3-15A6-9C48-AC5B-DCE3E0E40E9D}"/>
    <cellStyle name="Note 8" xfId="155" xr:uid="{E522BB8B-1184-984A-AE8C-DF4BE21BD3ED}"/>
    <cellStyle name="Note 8 2" xfId="156" xr:uid="{75AF919B-6BF7-7147-8259-DD94BF506CCF}"/>
    <cellStyle name="Output 2" xfId="157" xr:uid="{1D267FCB-1740-6840-8EA8-965684892476}"/>
    <cellStyle name="Percent 2" xfId="158" xr:uid="{B47E783D-2032-0B41-B722-145966D1B0DF}"/>
    <cellStyle name="Percent 3" xfId="159" xr:uid="{0321DF57-ED03-EF40-902F-EF5605AEA575}"/>
    <cellStyle name="Title 2" xfId="160" xr:uid="{812CB213-65D0-064F-85F3-2BF9E46E00A2}"/>
    <cellStyle name="Total 2" xfId="161" xr:uid="{A4ED2486-5FED-D443-B81A-A07CF492953F}"/>
    <cellStyle name="Warning Text 2" xfId="162" xr:uid="{BF6F4025-3E50-2B4A-82B1-FD917C910F79}"/>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oneCellAnchor>
    <xdr:from>
      <xdr:col>1</xdr:col>
      <xdr:colOff>7621898</xdr:colOff>
      <xdr:row>0</xdr:row>
      <xdr:rowOff>64766</xdr:rowOff>
    </xdr:from>
    <xdr:ext cx="1276346" cy="1047746"/>
    <xdr:pic>
      <xdr:nvPicPr>
        <xdr:cNvPr id="2" name="Ofsted logo" descr="Ofsted_logo">
          <a:extLst>
            <a:ext uri="{FF2B5EF4-FFF2-40B4-BE49-F238E27FC236}">
              <a16:creationId xmlns:a16="http://schemas.microsoft.com/office/drawing/2014/main" id="{DD7E8DE0-06F2-5229-F73E-AB8685872C3A}"/>
            </a:ext>
          </a:extLst>
        </xdr:cNvPr>
        <xdr:cNvPicPr>
          <a:picLocks noChangeAspect="1"/>
        </xdr:cNvPicPr>
      </xdr:nvPicPr>
      <xdr:blipFill>
        <a:blip xmlns:r="http://schemas.openxmlformats.org/officeDocument/2006/relationships" r:embed="rId1"/>
        <a:srcRect/>
        <a:stretch>
          <a:fillRect/>
        </a:stretch>
      </xdr:blipFill>
      <xdr:spPr>
        <a:xfrm>
          <a:off x="10517498" y="64766"/>
          <a:ext cx="1276346" cy="1047746"/>
        </a:xfrm>
        <a:prstGeom prst="rect">
          <a:avLst/>
        </a:prstGeom>
        <a:noFill/>
        <a:ln cap="flat">
          <a:noFill/>
        </a:ln>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ofsted365.sharepoint.com/sites/IN0105/Desk%20Instructions%20and%20QA%20Logs/Maintained%20schools%20and%20academies%20inspections%20and%20outcomes%20data,%20charts%20and%20tables%20template%20NEW.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ofsted365-my.sharepoint.com/personal/liana_smuk_ofsted_gov_uk/Documents/SC%20OS%20combined%20template_accessible_.od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P5HQ/RestrictedSocialCare$/SFRs%20and%20published%20MI/SC%20OS%20combined%20template%20(pre%20accessability%20update).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_sheet"/>
      <sheetName val="Table_of_contents"/>
      <sheetName val="Notes"/>
      <sheetName val="T1_Inspections_this_year"/>
      <sheetName val="T2_Outcomes_this_year"/>
      <sheetName val="T3_Outcomes_most_recent"/>
      <sheetName val="T4_Category_of_concern"/>
      <sheetName val="T5_Most_recent_LA_Region"/>
      <sheetName val="T6_S8_inspections_this_year"/>
      <sheetName val="T7_Monitoring_inspections_"/>
      <sheetName val="C1_Outcomes_each_year"/>
      <sheetName val="C2a_Phase_outcomes_this_year"/>
      <sheetName val="C2b_Phase_outcomes_this_year"/>
      <sheetName val="C3_Main_outcomes_this_year"/>
      <sheetName val="C4_Outcomes_most_recent"/>
      <sheetName val="C5_Most_recent_each_year"/>
      <sheetName val="C6_Most_recent_-_education_type"/>
      <sheetName val="Published_inspections_2020-21"/>
      <sheetName val="Most_recent_inspections"/>
      <sheetName val="Rev_T1_Inspections_last_period"/>
      <sheetName val="Rev_T2_Inspections_last_period"/>
      <sheetName val="Chart_data"/>
      <sheetName val="Remit_-_QA_checks_(1)"/>
      <sheetName val="Remit_-_QA_checks_(2)"/>
      <sheetName val="Dates"/>
      <sheetName val="Remote_or_onsite"/>
      <sheetName val="Dataset_3a-3d"/>
      <sheetName val="Dataset_4a-4d"/>
      <sheetName val="Dataset_1R"/>
      <sheetName val="Dataset_2_R"/>
      <sheetName val="Remit_controls"/>
      <sheetName val="Cover_sheet1"/>
      <sheetName val="Table_of_contents1"/>
      <sheetName val="T1_Inspections_this_year1"/>
      <sheetName val="T2_Outcomes_this_year1"/>
      <sheetName val="T3_Outcomes_most_recent1"/>
      <sheetName val="T4_Category_of_concern1"/>
      <sheetName val="T5_Most_recent_LA_Region1"/>
      <sheetName val="T6_S8_inspections_this_year1"/>
      <sheetName val="T7_Monitoring_inspections_1"/>
      <sheetName val="C1_Outcomes_each_year1"/>
      <sheetName val="C2a_Phase_outcomes_this_year1"/>
      <sheetName val="C2b_Phase_outcomes_this_year1"/>
      <sheetName val="C3_Main_outcomes_this_year1"/>
      <sheetName val="C4_Outcomes_most_recent1"/>
      <sheetName val="C5_Most_recent_each_year1"/>
      <sheetName val="C6_Most_recent_-_education_typ1"/>
      <sheetName val="Published_inspections_2020-211"/>
      <sheetName val="Most_recent_inspections1"/>
      <sheetName val="Rev_T1_Inspections_last_period1"/>
      <sheetName val="Rev_T2_Inspections_last_period1"/>
      <sheetName val="Chart_data1"/>
      <sheetName val="Remit_-_QA_checks_(1)1"/>
      <sheetName val="Remit_-_QA_checks_(2)1"/>
      <sheetName val="Remote_or_onsite1"/>
      <sheetName val="Dataset_3a-3d1"/>
      <sheetName val="Dataset_4a-4d1"/>
      <sheetName val="Dataset_1R1"/>
      <sheetName val="Dataset_2_R1"/>
      <sheetName val="T6_Ungraded_insps_this_year"/>
      <sheetName val="T7_Monitoring_inspections"/>
      <sheetName val="T8_Outcomes_this_year_and_prev"/>
      <sheetName val="C2a_Phase__outcomes_this_year"/>
      <sheetName val="Published_inspections"/>
      <sheetName val="Cumulative_in_year_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3">
          <cell r="B3" t="str">
            <v>1 September 2021 to 31 December 2021</v>
          </cell>
        </row>
        <row r="4">
          <cell r="B4" t="str">
            <v>31 January 2022</v>
          </cell>
        </row>
        <row r="6">
          <cell r="B6" t="str">
            <v>31 December 2021</v>
          </cell>
        </row>
        <row r="8">
          <cell r="B8" t="str">
            <v>1 September 2020</v>
          </cell>
        </row>
        <row r="9">
          <cell r="B9" t="str">
            <v>31 August 2021</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emplate_notes"/>
      <sheetName val="Cover"/>
      <sheetName val="Contents"/>
      <sheetName val="Guidance"/>
      <sheetName val="Meta-data"/>
      <sheetName val="LA_level_at_31_Mar_2020"/>
      <sheetName val="LA_level_in_year_2019-20"/>
      <sheetName val="Provider_level_at_31_Mar_2020"/>
      <sheetName val="Provider_level_in_year_2019-20"/>
      <sheetName val="Providers+places_at_31_Mar_2020"/>
      <sheetName val="Leavers+Joiners_at_31_Mar_2020"/>
      <sheetName val="Providers+places_six_monthly"/>
      <sheetName val="Latest_OE_31_Mar_Time_Series"/>
      <sheetName val="In_Year_Time_series"/>
      <sheetName val="Additional_charts_and_tables"/>
      <sheetName val="LA_inspections_2009-2020"/>
      <sheetName val="Revised_2019-20_in_year_data"/>
      <sheetName val="Pivots_SoN"/>
      <sheetName val="Pivots_InYear"/>
      <sheetName val="dropdown_lookups"/>
      <sheetName val="Dat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4">
          <cell r="B4" t="str">
            <v>31 March 2021</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emplate_notes1"/>
      <sheetName val="Cover"/>
      <sheetName val="Contents"/>
      <sheetName val="Guidance"/>
      <sheetName val="Meta-data"/>
      <sheetName val="LA_level_at_31_Mar_20201"/>
      <sheetName val="LA_level_in_year_2019-201"/>
      <sheetName val="Provider_level_at_31_Mar_20201"/>
      <sheetName val="Provider_level_in_year_2019-201"/>
      <sheetName val="Providers+places_at_31_Mar_2021"/>
      <sheetName val="Leavers+Joiners_at_31_Mar_20201"/>
      <sheetName val="Providers+places_six_monthly1"/>
      <sheetName val="Latest_OE_31_Mar_Time_Series1"/>
      <sheetName val="In_Year_Time_series1"/>
      <sheetName val="Additional_charts_and_tables1"/>
      <sheetName val="LA_inspections_2009-20201"/>
      <sheetName val="Revised_2019-20_in_year_data1"/>
      <sheetName val="Latest_CH_OE_Time_Series1"/>
      <sheetName val="In_Year_CH_Time_series1"/>
      <sheetName val="Pivots_SoN"/>
      <sheetName val="Pivots_InYear"/>
      <sheetName val="dropdown_lookups1"/>
      <sheetName val="Dates"/>
      <sheetName val="Template_notes"/>
      <sheetName val="LA_level_at_31_Mar_2020"/>
      <sheetName val="LA_level_in_year_2019-20"/>
      <sheetName val="Provider_level_at_31_Mar_2020"/>
      <sheetName val="Provider_level_in_year_2019-20"/>
      <sheetName val="Providers+places_at_31_Mar_2020"/>
      <sheetName val="Leavers+Joiners_at_31_Mar_2020"/>
      <sheetName val="Providers+places_six_monthly"/>
      <sheetName val="Latest_OE_31_Mar_Time_Series"/>
      <sheetName val="In_Year_Time_series"/>
      <sheetName val="Additional_charts_and_tables"/>
      <sheetName val="LA_inspections_2009-2020"/>
      <sheetName val="Revised_2019-20_in_year_data"/>
      <sheetName val="Latest_CH_OE_Time_Series"/>
      <sheetName val="In_Year_CH_Time_series"/>
      <sheetName val="dropdown_lookups"/>
      <sheetName val="Template_notes2"/>
      <sheetName val="LA_level_at_31_Mar_20202"/>
      <sheetName val="LA_level_in_year_2019-202"/>
      <sheetName val="Provider_level_at_31_Mar_20202"/>
      <sheetName val="Provider_level_in_year_2019-202"/>
      <sheetName val="Providers+places_at_31_Mar_2022"/>
      <sheetName val="Leavers+Joiners_at_31_Mar_20202"/>
      <sheetName val="Providers+places_six_monthly2"/>
      <sheetName val="Latest_OE_31_Mar_Time_Series2"/>
      <sheetName val="In_Year_Time_series2"/>
      <sheetName val="Additional_charts_and_tables2"/>
      <sheetName val="LA_inspections_2009-20202"/>
      <sheetName val="Revised_2019-20_in_year_data2"/>
      <sheetName val="Latest_CH_OE_Time_Series2"/>
      <sheetName val="In_Year_CH_Time_series2"/>
      <sheetName val="dropdown_lookups2"/>
      <sheetName val="Template_notes3"/>
      <sheetName val="LA_level_at_31_Mar_20203"/>
      <sheetName val="LA_level_in_year_2019-203"/>
      <sheetName val="Provider_level_at_31_Mar_20203"/>
      <sheetName val="Provider_level_in_year_2019-203"/>
      <sheetName val="Providers+places_at_31_Mar_2023"/>
      <sheetName val="Leavers+Joiners_at_31_Mar_20203"/>
      <sheetName val="Providers+places_six_monthly3"/>
      <sheetName val="Latest_OE_31_Mar_Time_Series3"/>
      <sheetName val="In_Year_Time_series3"/>
      <sheetName val="Additional_charts_and_tables3"/>
      <sheetName val="LA_inspections_2009-20203"/>
      <sheetName val="Revised_2019-20_in_year_data3"/>
      <sheetName val="Latest_CH_OE_Time_Series3"/>
      <sheetName val="In_Year_CH_Time_series3"/>
      <sheetName val="dropdown_lookups3"/>
    </sheetNames>
    <sheetDataSet>
      <sheetData sheetId="0"/>
      <sheetData sheetId="1"/>
      <sheetData sheetId="2"/>
      <sheetData sheetId="3"/>
      <sheetData sheetId="4"/>
      <sheetData sheetId="5"/>
      <sheetData sheetId="6"/>
      <sheetData sheetId="7">
        <row r="3">
          <cell r="A3" t="str">
            <v>Web link</v>
          </cell>
        </row>
      </sheetData>
      <sheetData sheetId="8">
        <row r="3">
          <cell r="A3" t="str">
            <v>Web link</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row r="8">
          <cell r="B8" t="str">
            <v>All</v>
          </cell>
        </row>
      </sheetData>
      <sheetData sheetId="22">
        <row r="4">
          <cell r="B4" t="str">
            <v>31 March 2020</v>
          </cell>
        </row>
      </sheetData>
      <sheetData sheetId="23"/>
      <sheetData sheetId="24"/>
      <sheetData sheetId="25"/>
      <sheetData sheetId="26">
        <row r="3">
          <cell r="A3" t="str">
            <v>Web link</v>
          </cell>
          <cell r="B3" t="str">
            <v>URN</v>
          </cell>
          <cell r="C3" t="str">
            <v>Linked Education URN</v>
          </cell>
          <cell r="D3" t="str">
            <v>Provision type</v>
          </cell>
          <cell r="E3" t="str">
            <v>Registration date</v>
          </cell>
          <cell r="F3" t="str">
            <v>Registration status</v>
          </cell>
          <cell r="G3" t="str">
            <v>Name</v>
          </cell>
          <cell r="H3" t="str">
            <v>Address 1</v>
          </cell>
          <cell r="I3" t="str">
            <v>Address 2</v>
          </cell>
          <cell r="J3" t="str">
            <v>Town</v>
          </cell>
          <cell r="K3" t="str">
            <v>County</v>
          </cell>
          <cell r="L3" t="str">
            <v>Postcode</v>
          </cell>
          <cell r="M3" t="str">
            <v>Ofsted region</v>
          </cell>
          <cell r="N3" t="str">
            <v>Government Office Region</v>
          </cell>
          <cell r="O3" t="str">
            <v>Local authority</v>
          </cell>
          <cell r="P3" t="str">
            <v>Parliamentary constituency</v>
          </cell>
          <cell r="Q3" t="str">
            <v>Sector</v>
          </cell>
          <cell r="R3" t="str">
            <v>Places</v>
          </cell>
          <cell r="S3" t="str">
            <v>Organisation which owns the provider</v>
          </cell>
          <cell r="T3" t="str">
            <v>Event type</v>
          </cell>
          <cell r="U3" t="str">
            <v>Inspection date</v>
          </cell>
          <cell r="V3" t="str">
            <v>Publication date</v>
          </cell>
          <cell r="W3" t="str">
            <v>Event number</v>
          </cell>
          <cell r="X3" t="str">
            <v>Overall experiences and progress of children and young people</v>
          </cell>
          <cell r="Y3" t="str">
            <v>Outcomes in education and related learning activities</v>
          </cell>
          <cell r="Z3" t="str">
            <v>Health services</v>
          </cell>
          <cell r="AA3" t="str">
            <v>How well children and young people are helped and protected</v>
          </cell>
        </row>
        <row r="4">
          <cell r="A4" t="str">
            <v>Ofsted Social Care Provider Webpage</v>
          </cell>
        </row>
        <row r="5">
          <cell r="A5" t="str">
            <v>Ofsted Social Care Provider Webpage</v>
          </cell>
        </row>
        <row r="6">
          <cell r="A6" t="str">
            <v>Ofsted Social Care Provider Webpage</v>
          </cell>
        </row>
        <row r="7">
          <cell r="A7" t="str">
            <v>Ofsted Social Care Provider Webpage</v>
          </cell>
        </row>
        <row r="8">
          <cell r="A8" t="str">
            <v>Ofsted Social Care Provider Webpage</v>
          </cell>
        </row>
        <row r="9">
          <cell r="A9" t="str">
            <v>Ofsted Social Care Provider Webpage</v>
          </cell>
        </row>
        <row r="10">
          <cell r="A10" t="str">
            <v>Ofsted Social Care Provider Webpage</v>
          </cell>
        </row>
        <row r="11">
          <cell r="A11" t="str">
            <v>Ofsted Social Care Provider Webpage</v>
          </cell>
        </row>
        <row r="12">
          <cell r="A12" t="str">
            <v>Ofsted Social Care Provider Webpage</v>
          </cell>
        </row>
        <row r="13">
          <cell r="A13" t="str">
            <v>Ofsted Social Care Provider Webpage</v>
          </cell>
        </row>
        <row r="14">
          <cell r="A14" t="str">
            <v>Ofsted Social Care Provider Webpage</v>
          </cell>
        </row>
        <row r="15">
          <cell r="A15" t="str">
            <v>Ofsted Social Care Provider Webpage</v>
          </cell>
        </row>
        <row r="16">
          <cell r="A16" t="str">
            <v>Ofsted Social Care Provider Webpage</v>
          </cell>
        </row>
        <row r="17">
          <cell r="A17" t="str">
            <v>Ofsted Social Care Provider Webpage</v>
          </cell>
        </row>
        <row r="18">
          <cell r="A18" t="str">
            <v>Ofsted Social Care Provider Webpage</v>
          </cell>
        </row>
        <row r="19">
          <cell r="A19" t="str">
            <v>Ofsted Social Care Provider Webpage</v>
          </cell>
        </row>
        <row r="20">
          <cell r="A20" t="str">
            <v>Ofsted Social Care Provider Webpage</v>
          </cell>
        </row>
        <row r="21">
          <cell r="A21" t="str">
            <v>Ofsted Social Care Provider Webpage</v>
          </cell>
        </row>
        <row r="22">
          <cell r="A22" t="str">
            <v>Ofsted Social Care Provider Webpage</v>
          </cell>
        </row>
        <row r="23">
          <cell r="A23" t="str">
            <v>Ofsted Social Care Provider Webpage</v>
          </cell>
        </row>
        <row r="24">
          <cell r="A24" t="str">
            <v>Ofsted Social Care Provider Webpage</v>
          </cell>
        </row>
        <row r="25">
          <cell r="A25" t="str">
            <v>Ofsted Social Care Provider Webpage</v>
          </cell>
        </row>
        <row r="26">
          <cell r="A26" t="str">
            <v>Ofsted Social Care Provider Webpage</v>
          </cell>
        </row>
        <row r="27">
          <cell r="A27" t="str">
            <v>Ofsted Social Care Provider Webpage</v>
          </cell>
        </row>
        <row r="28">
          <cell r="A28" t="str">
            <v>Ofsted Social Care Provider Webpage</v>
          </cell>
        </row>
        <row r="29">
          <cell r="A29" t="str">
            <v>Ofsted Social Care Provider Webpage</v>
          </cell>
        </row>
        <row r="30">
          <cell r="A30" t="str">
            <v>Ofsted Social Care Provider Webpage</v>
          </cell>
        </row>
        <row r="31">
          <cell r="A31" t="str">
            <v>Ofsted Social Care Provider Webpage</v>
          </cell>
        </row>
        <row r="32">
          <cell r="A32" t="str">
            <v>Ofsted Social Care Provider Webpage</v>
          </cell>
        </row>
        <row r="33">
          <cell r="A33" t="str">
            <v>Ofsted Social Care Provider Webpage</v>
          </cell>
        </row>
        <row r="34">
          <cell r="A34" t="str">
            <v>Ofsted Social Care Provider Webpage</v>
          </cell>
        </row>
        <row r="35">
          <cell r="A35" t="str">
            <v>Ofsted Social Care Provider Webpage</v>
          </cell>
        </row>
        <row r="36">
          <cell r="A36" t="str">
            <v>Ofsted Social Care Provider Webpage</v>
          </cell>
        </row>
        <row r="37">
          <cell r="A37" t="str">
            <v>Ofsted Social Care Provider Webpage</v>
          </cell>
        </row>
        <row r="38">
          <cell r="A38" t="str">
            <v>Ofsted Social Care Provider Webpage</v>
          </cell>
        </row>
        <row r="39">
          <cell r="A39" t="str">
            <v>Ofsted Social Care Provider Webpage</v>
          </cell>
        </row>
        <row r="40">
          <cell r="A40" t="str">
            <v>Ofsted Social Care Provider Webpage</v>
          </cell>
        </row>
        <row r="41">
          <cell r="A41" t="str">
            <v>Ofsted Social Care Provider Webpage</v>
          </cell>
        </row>
        <row r="42">
          <cell r="A42" t="str">
            <v>Ofsted Social Care Provider Webpage</v>
          </cell>
        </row>
        <row r="43">
          <cell r="A43" t="str">
            <v>Ofsted Social Care Provider Webpage</v>
          </cell>
        </row>
        <row r="44">
          <cell r="A44" t="str">
            <v>Ofsted Social Care Provider Webpage</v>
          </cell>
        </row>
        <row r="45">
          <cell r="A45" t="str">
            <v>Ofsted Social Care Provider Webpage</v>
          </cell>
        </row>
        <row r="46">
          <cell r="A46" t="str">
            <v>Ofsted Social Care Provider Webpage</v>
          </cell>
        </row>
        <row r="47">
          <cell r="A47" t="str">
            <v>Ofsted Social Care Provider Webpage</v>
          </cell>
        </row>
        <row r="48">
          <cell r="A48" t="str">
            <v>Ofsted Social Care Provider Webpage</v>
          </cell>
        </row>
        <row r="49">
          <cell r="A49" t="str">
            <v>Ofsted Social Care Provider Webpage</v>
          </cell>
        </row>
        <row r="50">
          <cell r="A50" t="str">
            <v>Ofsted Social Care Provider Webpage</v>
          </cell>
        </row>
        <row r="51">
          <cell r="A51" t="str">
            <v>Ofsted Social Care Provider Webpage</v>
          </cell>
        </row>
        <row r="52">
          <cell r="A52" t="str">
            <v>Ofsted Social Care Provider Webpage</v>
          </cell>
        </row>
        <row r="53">
          <cell r="A53" t="str">
            <v>Ofsted Social Care Provider Webpage</v>
          </cell>
        </row>
        <row r="54">
          <cell r="A54" t="str">
            <v>Ofsted Social Care Provider Webpage</v>
          </cell>
        </row>
        <row r="55">
          <cell r="A55" t="str">
            <v>Ofsted Social Care Provider Webpage</v>
          </cell>
        </row>
        <row r="56">
          <cell r="A56" t="str">
            <v>Ofsted Social Care Provider Webpage</v>
          </cell>
        </row>
        <row r="57">
          <cell r="A57" t="str">
            <v>Ofsted Social Care Provider Webpage</v>
          </cell>
        </row>
        <row r="58">
          <cell r="A58" t="str">
            <v>Ofsted Social Care Provider Webpage</v>
          </cell>
        </row>
        <row r="59">
          <cell r="A59" t="str">
            <v>Ofsted Social Care Provider Webpage</v>
          </cell>
        </row>
        <row r="60">
          <cell r="A60" t="str">
            <v>Ofsted Social Care Provider Webpage</v>
          </cell>
        </row>
        <row r="61">
          <cell r="A61" t="str">
            <v>Ofsted Social Care Provider Webpage</v>
          </cell>
        </row>
        <row r="62">
          <cell r="A62" t="str">
            <v>Ofsted Social Care Provider Webpage</v>
          </cell>
        </row>
        <row r="63">
          <cell r="A63" t="str">
            <v>Ofsted Social Care Provider Webpage</v>
          </cell>
        </row>
        <row r="64">
          <cell r="A64" t="str">
            <v>Ofsted Social Care Provider Webpage</v>
          </cell>
        </row>
        <row r="65">
          <cell r="A65" t="str">
            <v>Ofsted Social Care Provider Webpage</v>
          </cell>
        </row>
        <row r="66">
          <cell r="A66" t="str">
            <v>Ofsted Social Care Provider Webpage</v>
          </cell>
        </row>
        <row r="67">
          <cell r="A67" t="str">
            <v>Ofsted Social Care Provider Webpage</v>
          </cell>
        </row>
        <row r="68">
          <cell r="A68" t="str">
            <v>Ofsted Social Care Provider Webpage</v>
          </cell>
        </row>
        <row r="69">
          <cell r="A69" t="str">
            <v>Ofsted Social Care Provider Webpage</v>
          </cell>
        </row>
        <row r="70">
          <cell r="A70" t="str">
            <v>Ofsted Social Care Provider Webpage</v>
          </cell>
        </row>
        <row r="71">
          <cell r="A71" t="str">
            <v>Ofsted Social Care Provider Webpage</v>
          </cell>
        </row>
        <row r="72">
          <cell r="A72" t="str">
            <v>Ofsted Social Care Provider Webpage</v>
          </cell>
        </row>
        <row r="73">
          <cell r="A73" t="str">
            <v>Ofsted Social Care Provider Webpage</v>
          </cell>
        </row>
        <row r="74">
          <cell r="A74" t="str">
            <v>Ofsted Social Care Provider Webpage</v>
          </cell>
        </row>
        <row r="75">
          <cell r="A75" t="str">
            <v>Ofsted Social Care Provider Webpage</v>
          </cell>
        </row>
        <row r="76">
          <cell r="A76" t="str">
            <v>Ofsted Social Care Provider Webpage</v>
          </cell>
        </row>
        <row r="77">
          <cell r="A77" t="str">
            <v>Ofsted Social Care Provider Webpage</v>
          </cell>
        </row>
        <row r="78">
          <cell r="A78" t="str">
            <v>Ofsted Social Care Provider Webpage</v>
          </cell>
        </row>
        <row r="79">
          <cell r="A79" t="str">
            <v>Ofsted Social Care Provider Webpage</v>
          </cell>
        </row>
        <row r="80">
          <cell r="A80" t="str">
            <v>Ofsted Social Care Provider Webpage</v>
          </cell>
        </row>
        <row r="81">
          <cell r="A81" t="str">
            <v>Ofsted Social Care Provider Webpage</v>
          </cell>
        </row>
        <row r="82">
          <cell r="A82" t="str">
            <v>Ofsted Social Care Provider Webpage</v>
          </cell>
        </row>
        <row r="83">
          <cell r="A83" t="str">
            <v>Ofsted Social Care Provider Webpage</v>
          </cell>
        </row>
        <row r="84">
          <cell r="A84" t="str">
            <v>Ofsted Social Care Provider Webpage</v>
          </cell>
        </row>
        <row r="85">
          <cell r="A85" t="str">
            <v>Ofsted Social Care Provider Webpage</v>
          </cell>
        </row>
        <row r="86">
          <cell r="A86" t="str">
            <v>Ofsted Social Care Provider Webpage</v>
          </cell>
        </row>
        <row r="87">
          <cell r="A87" t="str">
            <v>Ofsted Social Care Provider Webpage</v>
          </cell>
        </row>
        <row r="88">
          <cell r="A88" t="str">
            <v>Ofsted Social Care Provider Webpage</v>
          </cell>
        </row>
        <row r="89">
          <cell r="A89" t="str">
            <v>Ofsted Social Care Provider Webpage</v>
          </cell>
        </row>
        <row r="90">
          <cell r="A90" t="str">
            <v>Ofsted Social Care Provider Webpage</v>
          </cell>
        </row>
        <row r="91">
          <cell r="A91" t="str">
            <v>Ofsted Social Care Provider Webpage</v>
          </cell>
        </row>
        <row r="92">
          <cell r="A92" t="str">
            <v>Ofsted Social Care Provider Webpage</v>
          </cell>
        </row>
        <row r="93">
          <cell r="A93" t="str">
            <v>Ofsted Social Care Provider Webpage</v>
          </cell>
        </row>
        <row r="94">
          <cell r="A94" t="str">
            <v>Ofsted Social Care Provider Webpage</v>
          </cell>
        </row>
        <row r="95">
          <cell r="A95" t="str">
            <v>Ofsted Social Care Provider Webpage</v>
          </cell>
        </row>
        <row r="96">
          <cell r="A96" t="str">
            <v>Ofsted Social Care Provider Webpage</v>
          </cell>
        </row>
        <row r="97">
          <cell r="A97" t="str">
            <v>Ofsted Social Care Provider Webpage</v>
          </cell>
        </row>
        <row r="98">
          <cell r="A98" t="str">
            <v>Ofsted Social Care Provider Webpage</v>
          </cell>
        </row>
        <row r="99">
          <cell r="A99" t="str">
            <v>Ofsted Social Care Provider Webpage</v>
          </cell>
        </row>
        <row r="100">
          <cell r="A100" t="str">
            <v>Ofsted Social Care Provider Webpage</v>
          </cell>
        </row>
        <row r="101">
          <cell r="A101" t="str">
            <v>Ofsted Social Care Provider Webpage</v>
          </cell>
        </row>
        <row r="102">
          <cell r="A102" t="str">
            <v>Ofsted Social Care Provider Webpage</v>
          </cell>
        </row>
        <row r="103">
          <cell r="A103" t="str">
            <v>Ofsted Social Care Provider Webpage</v>
          </cell>
        </row>
        <row r="104">
          <cell r="A104" t="str">
            <v>Ofsted Social Care Provider Webpage</v>
          </cell>
        </row>
        <row r="105">
          <cell r="A105" t="str">
            <v>Ofsted Social Care Provider Webpage</v>
          </cell>
        </row>
        <row r="106">
          <cell r="A106" t="str">
            <v>Ofsted Social Care Provider Webpage</v>
          </cell>
        </row>
        <row r="107">
          <cell r="A107" t="str">
            <v>Ofsted Social Care Provider Webpage</v>
          </cell>
        </row>
        <row r="108">
          <cell r="A108" t="str">
            <v>Ofsted Social Care Provider Webpage</v>
          </cell>
        </row>
        <row r="109">
          <cell r="A109" t="str">
            <v>Ofsted Social Care Provider Webpage</v>
          </cell>
        </row>
        <row r="110">
          <cell r="A110" t="str">
            <v>Ofsted Social Care Provider Webpage</v>
          </cell>
        </row>
        <row r="111">
          <cell r="A111" t="str">
            <v>Ofsted Social Care Provider Webpage</v>
          </cell>
        </row>
        <row r="112">
          <cell r="A112" t="str">
            <v>Ofsted Social Care Provider Webpage</v>
          </cell>
        </row>
        <row r="113">
          <cell r="A113" t="str">
            <v>Ofsted Social Care Provider Webpage</v>
          </cell>
        </row>
        <row r="114">
          <cell r="A114" t="str">
            <v>Ofsted Social Care Provider Webpage</v>
          </cell>
        </row>
        <row r="115">
          <cell r="A115" t="str">
            <v>Ofsted Social Care Provider Webpage</v>
          </cell>
        </row>
        <row r="116">
          <cell r="A116" t="str">
            <v>Ofsted Social Care Provider Webpage</v>
          </cell>
        </row>
        <row r="117">
          <cell r="A117" t="str">
            <v>Ofsted Social Care Provider Webpage</v>
          </cell>
        </row>
        <row r="118">
          <cell r="A118" t="str">
            <v>Ofsted Social Care Provider Webpage</v>
          </cell>
        </row>
        <row r="119">
          <cell r="A119" t="str">
            <v>Ofsted Social Care Provider Webpage</v>
          </cell>
        </row>
        <row r="120">
          <cell r="A120" t="str">
            <v>Ofsted Social Care Provider Webpage</v>
          </cell>
        </row>
        <row r="121">
          <cell r="A121" t="str">
            <v>Ofsted Social Care Provider Webpage</v>
          </cell>
        </row>
        <row r="122">
          <cell r="A122" t="str">
            <v>Ofsted Social Care Provider Webpage</v>
          </cell>
        </row>
        <row r="123">
          <cell r="A123" t="str">
            <v>Ofsted Social Care Provider Webpage</v>
          </cell>
        </row>
        <row r="124">
          <cell r="A124" t="str">
            <v>Ofsted Social Care Provider Webpage</v>
          </cell>
        </row>
        <row r="125">
          <cell r="A125" t="str">
            <v>Ofsted Social Care Provider Webpage</v>
          </cell>
        </row>
        <row r="126">
          <cell r="A126" t="str">
            <v>Ofsted Social Care Provider Webpage</v>
          </cell>
        </row>
        <row r="127">
          <cell r="A127" t="str">
            <v>Ofsted Social Care Provider Webpage</v>
          </cell>
        </row>
        <row r="128">
          <cell r="A128" t="str">
            <v>Ofsted Social Care Provider Webpage</v>
          </cell>
        </row>
        <row r="129">
          <cell r="A129" t="str">
            <v>Ofsted Social Care Provider Webpage</v>
          </cell>
        </row>
        <row r="130">
          <cell r="A130" t="str">
            <v>Ofsted Social Care Provider Webpage</v>
          </cell>
        </row>
        <row r="131">
          <cell r="A131" t="str">
            <v>Ofsted Social Care Provider Webpage</v>
          </cell>
        </row>
        <row r="132">
          <cell r="A132" t="str">
            <v>Ofsted Social Care Provider Webpage</v>
          </cell>
        </row>
        <row r="133">
          <cell r="A133" t="str">
            <v>Ofsted Social Care Provider Webpage</v>
          </cell>
        </row>
        <row r="134">
          <cell r="A134" t="str">
            <v>Ofsted Social Care Provider Webpage</v>
          </cell>
        </row>
        <row r="135">
          <cell r="A135" t="str">
            <v>Ofsted Social Care Provider Webpage</v>
          </cell>
        </row>
        <row r="136">
          <cell r="A136" t="str">
            <v>Ofsted Social Care Provider Webpage</v>
          </cell>
        </row>
        <row r="137">
          <cell r="A137" t="str">
            <v>Ofsted Social Care Provider Webpage</v>
          </cell>
        </row>
        <row r="138">
          <cell r="A138" t="str">
            <v>Ofsted Social Care Provider Webpage</v>
          </cell>
        </row>
        <row r="139">
          <cell r="A139" t="str">
            <v>Ofsted Social Care Provider Webpage</v>
          </cell>
        </row>
        <row r="140">
          <cell r="A140" t="str">
            <v>Ofsted Social Care Provider Webpage</v>
          </cell>
        </row>
        <row r="141">
          <cell r="A141" t="str">
            <v>Ofsted Social Care Provider Webpage</v>
          </cell>
        </row>
        <row r="142">
          <cell r="A142" t="str">
            <v>Ofsted Social Care Provider Webpage</v>
          </cell>
        </row>
        <row r="143">
          <cell r="A143" t="str">
            <v>Ofsted Social Care Provider Webpage</v>
          </cell>
        </row>
        <row r="144">
          <cell r="A144" t="str">
            <v>Ofsted Social Care Provider Webpage</v>
          </cell>
        </row>
        <row r="145">
          <cell r="A145" t="str">
            <v>Ofsted Social Care Provider Webpage</v>
          </cell>
        </row>
        <row r="146">
          <cell r="A146" t="str">
            <v>Ofsted Social Care Provider Webpage</v>
          </cell>
        </row>
        <row r="147">
          <cell r="A147" t="str">
            <v>Ofsted Social Care Provider Webpage</v>
          </cell>
        </row>
        <row r="148">
          <cell r="A148" t="str">
            <v>Ofsted Social Care Provider Webpage</v>
          </cell>
        </row>
        <row r="149">
          <cell r="A149" t="str">
            <v>Ofsted Social Care Provider Webpage</v>
          </cell>
        </row>
        <row r="150">
          <cell r="A150" t="str">
            <v>Ofsted Social Care Provider Webpage</v>
          </cell>
        </row>
        <row r="151">
          <cell r="A151" t="str">
            <v>Ofsted Social Care Provider Webpage</v>
          </cell>
        </row>
        <row r="152">
          <cell r="A152" t="str">
            <v>Ofsted Social Care Provider Webpage</v>
          </cell>
        </row>
        <row r="153">
          <cell r="A153" t="str">
            <v>Ofsted Social Care Provider Webpage</v>
          </cell>
        </row>
        <row r="154">
          <cell r="A154" t="str">
            <v>Ofsted Social Care Provider Webpage</v>
          </cell>
        </row>
        <row r="155">
          <cell r="A155" t="str">
            <v>Ofsted Social Care Provider Webpage</v>
          </cell>
        </row>
        <row r="156">
          <cell r="A156" t="str">
            <v>Ofsted Social Care Provider Webpage</v>
          </cell>
        </row>
        <row r="157">
          <cell r="A157" t="str">
            <v>Ofsted Social Care Provider Webpage</v>
          </cell>
        </row>
        <row r="158">
          <cell r="A158" t="str">
            <v>Ofsted Social Care Provider Webpage</v>
          </cell>
        </row>
        <row r="159">
          <cell r="A159" t="str">
            <v>Ofsted Social Care Provider Webpage</v>
          </cell>
        </row>
        <row r="160">
          <cell r="A160" t="str">
            <v>Ofsted Social Care Provider Webpage</v>
          </cell>
        </row>
        <row r="161">
          <cell r="A161" t="str">
            <v>Ofsted Social Care Provider Webpage</v>
          </cell>
        </row>
        <row r="162">
          <cell r="A162" t="str">
            <v>Ofsted Social Care Provider Webpage</v>
          </cell>
        </row>
        <row r="163">
          <cell r="A163" t="str">
            <v>Ofsted Social Care Provider Webpage</v>
          </cell>
        </row>
        <row r="164">
          <cell r="A164" t="str">
            <v>Ofsted Social Care Provider Webpage</v>
          </cell>
        </row>
        <row r="165">
          <cell r="A165" t="str">
            <v>Ofsted Social Care Provider Webpage</v>
          </cell>
        </row>
        <row r="166">
          <cell r="A166" t="str">
            <v>Ofsted Social Care Provider Webpage</v>
          </cell>
        </row>
        <row r="167">
          <cell r="A167" t="str">
            <v>Ofsted Social Care Provider Webpage</v>
          </cell>
        </row>
        <row r="168">
          <cell r="A168" t="str">
            <v>Ofsted Social Care Provider Webpage</v>
          </cell>
        </row>
        <row r="169">
          <cell r="A169" t="str">
            <v>Ofsted Social Care Provider Webpage</v>
          </cell>
        </row>
        <row r="170">
          <cell r="A170" t="str">
            <v>Ofsted Social Care Provider Webpage</v>
          </cell>
        </row>
        <row r="171">
          <cell r="A171" t="str">
            <v>Ofsted Social Care Provider Webpage</v>
          </cell>
        </row>
        <row r="172">
          <cell r="A172" t="str">
            <v>Ofsted Social Care Provider Webpage</v>
          </cell>
        </row>
        <row r="173">
          <cell r="A173" t="str">
            <v>Ofsted Social Care Provider Webpage</v>
          </cell>
        </row>
        <row r="174">
          <cell r="A174" t="str">
            <v>Ofsted Social Care Provider Webpage</v>
          </cell>
        </row>
        <row r="175">
          <cell r="A175" t="str">
            <v>Ofsted Social Care Provider Webpage</v>
          </cell>
        </row>
        <row r="176">
          <cell r="A176" t="str">
            <v>Ofsted Social Care Provider Webpage</v>
          </cell>
        </row>
        <row r="177">
          <cell r="A177" t="str">
            <v>Ofsted Social Care Provider Webpage</v>
          </cell>
        </row>
        <row r="178">
          <cell r="A178" t="str">
            <v>Ofsted Social Care Provider Webpage</v>
          </cell>
        </row>
        <row r="179">
          <cell r="A179" t="str">
            <v>Ofsted Social Care Provider Webpage</v>
          </cell>
        </row>
        <row r="180">
          <cell r="A180" t="str">
            <v>Ofsted Social Care Provider Webpage</v>
          </cell>
        </row>
        <row r="181">
          <cell r="A181" t="str">
            <v>Ofsted Social Care Provider Webpage</v>
          </cell>
        </row>
        <row r="182">
          <cell r="A182" t="str">
            <v>Ofsted Social Care Provider Webpage</v>
          </cell>
        </row>
        <row r="183">
          <cell r="A183" t="str">
            <v>Ofsted Social Care Provider Webpage</v>
          </cell>
        </row>
        <row r="184">
          <cell r="A184" t="str">
            <v>Ofsted Social Care Provider Webpage</v>
          </cell>
        </row>
        <row r="185">
          <cell r="A185" t="str">
            <v>Ofsted Social Care Provider Webpage</v>
          </cell>
        </row>
        <row r="186">
          <cell r="A186" t="str">
            <v>Ofsted Social Care Provider Webpage</v>
          </cell>
        </row>
        <row r="187">
          <cell r="A187" t="str">
            <v>Ofsted Social Care Provider Webpage</v>
          </cell>
        </row>
        <row r="188">
          <cell r="A188" t="str">
            <v>Ofsted Social Care Provider Webpage</v>
          </cell>
        </row>
        <row r="189">
          <cell r="A189" t="str">
            <v>Ofsted Social Care Provider Webpage</v>
          </cell>
        </row>
        <row r="190">
          <cell r="A190" t="str">
            <v>Ofsted Social Care Provider Webpage</v>
          </cell>
        </row>
        <row r="191">
          <cell r="A191" t="str">
            <v>Ofsted Social Care Provider Webpage</v>
          </cell>
        </row>
        <row r="192">
          <cell r="A192" t="str">
            <v>Ofsted Social Care Provider Webpage</v>
          </cell>
        </row>
        <row r="193">
          <cell r="A193" t="str">
            <v>Ofsted Social Care Provider Webpage</v>
          </cell>
        </row>
        <row r="194">
          <cell r="A194" t="str">
            <v>Ofsted Social Care Provider Webpage</v>
          </cell>
        </row>
        <row r="195">
          <cell r="A195" t="str">
            <v>Ofsted Social Care Provider Webpage</v>
          </cell>
        </row>
        <row r="196">
          <cell r="A196" t="str">
            <v>Ofsted Social Care Provider Webpage</v>
          </cell>
        </row>
        <row r="197">
          <cell r="A197" t="str">
            <v>Ofsted Social Care Provider Webpage</v>
          </cell>
        </row>
        <row r="198">
          <cell r="A198" t="str">
            <v>Ofsted Social Care Provider Webpage</v>
          </cell>
        </row>
        <row r="199">
          <cell r="A199" t="str">
            <v>Ofsted Social Care Provider Webpage</v>
          </cell>
        </row>
        <row r="200">
          <cell r="A200" t="str">
            <v>Ofsted Social Care Provider Webpage</v>
          </cell>
        </row>
        <row r="201">
          <cell r="A201" t="str">
            <v>Ofsted Social Care Provider Webpage</v>
          </cell>
        </row>
        <row r="202">
          <cell r="A202" t="str">
            <v>Ofsted Social Care Provider Webpage</v>
          </cell>
        </row>
        <row r="203">
          <cell r="A203" t="str">
            <v>Ofsted Social Care Provider Webpage</v>
          </cell>
        </row>
        <row r="204">
          <cell r="A204" t="str">
            <v>Ofsted Social Care Provider Webpage</v>
          </cell>
        </row>
        <row r="205">
          <cell r="A205" t="str">
            <v>Ofsted Social Care Provider Webpage</v>
          </cell>
        </row>
        <row r="206">
          <cell r="A206" t="str">
            <v>Ofsted Social Care Provider Webpage</v>
          </cell>
        </row>
        <row r="207">
          <cell r="A207" t="str">
            <v>Ofsted Social Care Provider Webpage</v>
          </cell>
        </row>
        <row r="208">
          <cell r="A208" t="str">
            <v>Ofsted Social Care Provider Webpage</v>
          </cell>
        </row>
        <row r="209">
          <cell r="A209" t="str">
            <v>Ofsted Social Care Provider Webpage</v>
          </cell>
        </row>
        <row r="210">
          <cell r="A210" t="str">
            <v>Ofsted Social Care Provider Webpage</v>
          </cell>
        </row>
        <row r="211">
          <cell r="A211" t="str">
            <v>Ofsted Social Care Provider Webpage</v>
          </cell>
        </row>
        <row r="212">
          <cell r="A212" t="str">
            <v>Ofsted Social Care Provider Webpage</v>
          </cell>
        </row>
        <row r="213">
          <cell r="A213" t="str">
            <v>Ofsted Social Care Provider Webpage</v>
          </cell>
        </row>
        <row r="214">
          <cell r="A214" t="str">
            <v>Ofsted Social Care Provider Webpage</v>
          </cell>
        </row>
        <row r="215">
          <cell r="A215" t="str">
            <v>Ofsted Social Care Provider Webpage</v>
          </cell>
        </row>
        <row r="216">
          <cell r="A216" t="str">
            <v>Ofsted Social Care Provider Webpage</v>
          </cell>
        </row>
        <row r="217">
          <cell r="A217" t="str">
            <v>Ofsted Social Care Provider Webpage</v>
          </cell>
        </row>
        <row r="218">
          <cell r="A218" t="str">
            <v>Ofsted Social Care Provider Webpage</v>
          </cell>
        </row>
        <row r="219">
          <cell r="A219" t="str">
            <v>Ofsted Social Care Provider Webpage</v>
          </cell>
        </row>
        <row r="220">
          <cell r="A220" t="str">
            <v>Ofsted Social Care Provider Webpage</v>
          </cell>
        </row>
        <row r="221">
          <cell r="A221" t="str">
            <v>Ofsted Social Care Provider Webpage</v>
          </cell>
        </row>
        <row r="222">
          <cell r="A222" t="str">
            <v>Ofsted Social Care Provider Webpage</v>
          </cell>
        </row>
        <row r="223">
          <cell r="A223" t="str">
            <v>Ofsted Social Care Provider Webpage</v>
          </cell>
        </row>
        <row r="224">
          <cell r="A224" t="str">
            <v>Ofsted Social Care Provider Webpage</v>
          </cell>
        </row>
        <row r="225">
          <cell r="A225" t="str">
            <v>Ofsted Social Care Provider Webpage</v>
          </cell>
        </row>
        <row r="226">
          <cell r="A226" t="str">
            <v>Ofsted Social Care Provider Webpage</v>
          </cell>
        </row>
        <row r="227">
          <cell r="A227" t="str">
            <v>Ofsted Social Care Provider Webpage</v>
          </cell>
        </row>
        <row r="228">
          <cell r="A228" t="str">
            <v>Ofsted Social Care Provider Webpage</v>
          </cell>
        </row>
        <row r="229">
          <cell r="A229" t="str">
            <v>Ofsted Social Care Provider Webpage</v>
          </cell>
        </row>
        <row r="230">
          <cell r="A230" t="str">
            <v>Ofsted Social Care Provider Webpage</v>
          </cell>
        </row>
        <row r="231">
          <cell r="A231" t="str">
            <v>Ofsted Social Care Provider Webpage</v>
          </cell>
        </row>
        <row r="232">
          <cell r="A232" t="str">
            <v>Ofsted Social Care Provider Webpage</v>
          </cell>
        </row>
        <row r="233">
          <cell r="A233" t="str">
            <v>Ofsted Social Care Provider Webpage</v>
          </cell>
        </row>
        <row r="234">
          <cell r="A234" t="str">
            <v>Ofsted Social Care Provider Webpage</v>
          </cell>
        </row>
        <row r="235">
          <cell r="A235" t="str">
            <v>Ofsted Social Care Provider Webpage</v>
          </cell>
        </row>
        <row r="236">
          <cell r="A236" t="str">
            <v>Ofsted Social Care Provider Webpage</v>
          </cell>
        </row>
        <row r="237">
          <cell r="A237" t="str">
            <v>Ofsted Social Care Provider Webpage</v>
          </cell>
        </row>
        <row r="238">
          <cell r="A238" t="str">
            <v>Ofsted Social Care Provider Webpage</v>
          </cell>
        </row>
        <row r="239">
          <cell r="A239" t="str">
            <v>Ofsted Social Care Provider Webpage</v>
          </cell>
        </row>
        <row r="240">
          <cell r="A240" t="str">
            <v>Ofsted Social Care Provider Webpage</v>
          </cell>
        </row>
        <row r="241">
          <cell r="A241" t="str">
            <v>Ofsted Social Care Provider Webpage</v>
          </cell>
        </row>
        <row r="242">
          <cell r="A242" t="str">
            <v>Ofsted Social Care Provider Webpage</v>
          </cell>
        </row>
        <row r="243">
          <cell r="A243" t="str">
            <v>Ofsted Social Care Provider Webpage</v>
          </cell>
        </row>
        <row r="244">
          <cell r="A244" t="str">
            <v>Ofsted Social Care Provider Webpage</v>
          </cell>
        </row>
        <row r="245">
          <cell r="A245" t="str">
            <v>Ofsted Social Care Provider Webpage</v>
          </cell>
        </row>
        <row r="246">
          <cell r="A246" t="str">
            <v>Ofsted Social Care Provider Webpage</v>
          </cell>
        </row>
        <row r="247">
          <cell r="A247" t="str">
            <v>Ofsted Social Care Provider Webpage</v>
          </cell>
        </row>
        <row r="248">
          <cell r="A248" t="str">
            <v>Ofsted Social Care Provider Webpage</v>
          </cell>
        </row>
        <row r="249">
          <cell r="A249" t="str">
            <v>Ofsted Social Care Provider Webpage</v>
          </cell>
        </row>
        <row r="250">
          <cell r="A250" t="str">
            <v>Ofsted Social Care Provider Webpage</v>
          </cell>
        </row>
        <row r="251">
          <cell r="A251" t="str">
            <v>Ofsted Social Care Provider Webpage</v>
          </cell>
        </row>
        <row r="252">
          <cell r="A252" t="str">
            <v>Ofsted Social Care Provider Webpage</v>
          </cell>
        </row>
        <row r="253">
          <cell r="A253" t="str">
            <v>Ofsted Social Care Provider Webpage</v>
          </cell>
        </row>
        <row r="254">
          <cell r="A254" t="str">
            <v>Ofsted Social Care Provider Webpage</v>
          </cell>
        </row>
        <row r="255">
          <cell r="A255" t="str">
            <v>Ofsted Social Care Provider Webpage</v>
          </cell>
        </row>
        <row r="256">
          <cell r="A256" t="str">
            <v>Ofsted Social Care Provider Webpage</v>
          </cell>
        </row>
        <row r="257">
          <cell r="A257" t="str">
            <v>Ofsted Social Care Provider Webpage</v>
          </cell>
        </row>
        <row r="258">
          <cell r="A258" t="str">
            <v>Ofsted Social Care Provider Webpage</v>
          </cell>
        </row>
        <row r="259">
          <cell r="A259" t="str">
            <v>Ofsted Social Care Provider Webpage</v>
          </cell>
        </row>
        <row r="260">
          <cell r="A260" t="str">
            <v>Ofsted Social Care Provider Webpage</v>
          </cell>
        </row>
        <row r="261">
          <cell r="A261" t="str">
            <v>Ofsted Social Care Provider Webpage</v>
          </cell>
        </row>
        <row r="262">
          <cell r="A262" t="str">
            <v>Ofsted Social Care Provider Webpage</v>
          </cell>
        </row>
        <row r="263">
          <cell r="A263" t="str">
            <v>Ofsted Social Care Provider Webpage</v>
          </cell>
        </row>
        <row r="264">
          <cell r="A264" t="str">
            <v>Ofsted Social Care Provider Webpage</v>
          </cell>
        </row>
        <row r="265">
          <cell r="A265" t="str">
            <v>Ofsted Social Care Provider Webpage</v>
          </cell>
        </row>
        <row r="266">
          <cell r="A266" t="str">
            <v>Ofsted Social Care Provider Webpage</v>
          </cell>
        </row>
        <row r="267">
          <cell r="A267" t="str">
            <v>Ofsted Social Care Provider Webpage</v>
          </cell>
        </row>
        <row r="268">
          <cell r="A268" t="str">
            <v>Ofsted Social Care Provider Webpage</v>
          </cell>
        </row>
        <row r="269">
          <cell r="A269" t="str">
            <v>Ofsted Social Care Provider Webpage</v>
          </cell>
        </row>
        <row r="270">
          <cell r="A270" t="str">
            <v>Ofsted Social Care Provider Webpage</v>
          </cell>
        </row>
        <row r="271">
          <cell r="A271" t="str">
            <v>Ofsted Social Care Provider Webpage</v>
          </cell>
        </row>
        <row r="272">
          <cell r="A272" t="str">
            <v>Ofsted Social Care Provider Webpage</v>
          </cell>
        </row>
        <row r="273">
          <cell r="A273" t="str">
            <v>Ofsted Social Care Provider Webpage</v>
          </cell>
        </row>
        <row r="274">
          <cell r="A274" t="str">
            <v>Ofsted Social Care Provider Webpage</v>
          </cell>
        </row>
        <row r="275">
          <cell r="A275" t="str">
            <v>Ofsted Social Care Provider Webpage</v>
          </cell>
        </row>
        <row r="276">
          <cell r="A276" t="str">
            <v>Ofsted Social Care Provider Webpage</v>
          </cell>
        </row>
        <row r="277">
          <cell r="A277" t="str">
            <v>Ofsted Social Care Provider Webpage</v>
          </cell>
        </row>
        <row r="278">
          <cell r="A278" t="str">
            <v>Ofsted Social Care Provider Webpage</v>
          </cell>
        </row>
        <row r="279">
          <cell r="A279" t="str">
            <v>Ofsted Social Care Provider Webpage</v>
          </cell>
        </row>
        <row r="280">
          <cell r="A280" t="str">
            <v>Ofsted Social Care Provider Webpage</v>
          </cell>
        </row>
        <row r="281">
          <cell r="A281" t="str">
            <v>Ofsted Social Care Provider Webpage</v>
          </cell>
        </row>
        <row r="282">
          <cell r="A282" t="str">
            <v>Ofsted Social Care Provider Webpage</v>
          </cell>
        </row>
        <row r="283">
          <cell r="A283" t="str">
            <v>Ofsted Social Care Provider Webpage</v>
          </cell>
        </row>
        <row r="284">
          <cell r="A284" t="str">
            <v>Ofsted Social Care Provider Webpage</v>
          </cell>
        </row>
        <row r="285">
          <cell r="A285" t="str">
            <v>Ofsted Social Care Provider Webpage</v>
          </cell>
        </row>
        <row r="286">
          <cell r="A286" t="str">
            <v>Ofsted Social Care Provider Webpage</v>
          </cell>
        </row>
        <row r="287">
          <cell r="A287" t="str">
            <v>Ofsted Social Care Provider Webpage</v>
          </cell>
        </row>
        <row r="288">
          <cell r="A288" t="str">
            <v>Ofsted Social Care Provider Webpage</v>
          </cell>
        </row>
        <row r="289">
          <cell r="A289" t="str">
            <v>Ofsted Social Care Provider Webpage</v>
          </cell>
        </row>
        <row r="290">
          <cell r="A290" t="str">
            <v>Ofsted Social Care Provider Webpage</v>
          </cell>
        </row>
        <row r="291">
          <cell r="A291" t="str">
            <v>Ofsted Social Care Provider Webpage</v>
          </cell>
        </row>
        <row r="292">
          <cell r="A292" t="str">
            <v>Ofsted Social Care Provider Webpage</v>
          </cell>
        </row>
        <row r="293">
          <cell r="A293" t="str">
            <v>Ofsted Social Care Provider Webpage</v>
          </cell>
        </row>
        <row r="294">
          <cell r="A294" t="str">
            <v>Ofsted Social Care Provider Webpage</v>
          </cell>
        </row>
        <row r="295">
          <cell r="A295" t="str">
            <v>Ofsted Social Care Provider Webpage</v>
          </cell>
        </row>
        <row r="296">
          <cell r="A296" t="str">
            <v>Ofsted Social Care Provider Webpage</v>
          </cell>
        </row>
        <row r="297">
          <cell r="A297" t="str">
            <v>Ofsted Social Care Provider Webpage</v>
          </cell>
        </row>
        <row r="298">
          <cell r="A298" t="str">
            <v>Ofsted Social Care Provider Webpage</v>
          </cell>
        </row>
        <row r="299">
          <cell r="A299" t="str">
            <v>Ofsted Social Care Provider Webpage</v>
          </cell>
        </row>
        <row r="300">
          <cell r="A300" t="str">
            <v>Ofsted Social Care Provider Webpage</v>
          </cell>
        </row>
        <row r="301">
          <cell r="A301" t="str">
            <v>Ofsted Social Care Provider Webpage</v>
          </cell>
        </row>
        <row r="302">
          <cell r="A302" t="str">
            <v>Ofsted Social Care Provider Webpage</v>
          </cell>
        </row>
        <row r="303">
          <cell r="A303" t="str">
            <v>Ofsted Social Care Provider Webpage</v>
          </cell>
        </row>
        <row r="304">
          <cell r="A304" t="str">
            <v>Ofsted Social Care Provider Webpage</v>
          </cell>
        </row>
        <row r="305">
          <cell r="A305" t="str">
            <v>Ofsted Social Care Provider Webpage</v>
          </cell>
        </row>
        <row r="306">
          <cell r="A306" t="str">
            <v>Ofsted Social Care Provider Webpage</v>
          </cell>
        </row>
        <row r="307">
          <cell r="A307" t="str">
            <v>Ofsted Social Care Provider Webpage</v>
          </cell>
        </row>
        <row r="308">
          <cell r="A308" t="str">
            <v>Ofsted Social Care Provider Webpage</v>
          </cell>
        </row>
        <row r="309">
          <cell r="A309" t="str">
            <v>Ofsted Social Care Provider Webpage</v>
          </cell>
        </row>
        <row r="310">
          <cell r="A310" t="str">
            <v>Ofsted Social Care Provider Webpage</v>
          </cell>
        </row>
        <row r="311">
          <cell r="A311" t="str">
            <v>Ofsted Social Care Provider Webpage</v>
          </cell>
        </row>
        <row r="312">
          <cell r="A312" t="str">
            <v>Ofsted Social Care Provider Webpage</v>
          </cell>
        </row>
        <row r="313">
          <cell r="A313" t="str">
            <v>Ofsted Social Care Provider Webpage</v>
          </cell>
        </row>
        <row r="314">
          <cell r="A314" t="str">
            <v>Ofsted Social Care Provider Webpage</v>
          </cell>
        </row>
        <row r="315">
          <cell r="A315" t="str">
            <v>Ofsted Social Care Provider Webpage</v>
          </cell>
        </row>
        <row r="316">
          <cell r="A316" t="str">
            <v>Ofsted Social Care Provider Webpage</v>
          </cell>
        </row>
        <row r="317">
          <cell r="A317" t="str">
            <v>Ofsted Social Care Provider Webpage</v>
          </cell>
        </row>
        <row r="318">
          <cell r="A318" t="str">
            <v>Ofsted Social Care Provider Webpage</v>
          </cell>
        </row>
        <row r="319">
          <cell r="A319" t="str">
            <v>Ofsted Social Care Provider Webpage</v>
          </cell>
        </row>
        <row r="320">
          <cell r="A320" t="str">
            <v>Ofsted Social Care Provider Webpage</v>
          </cell>
        </row>
        <row r="321">
          <cell r="A321" t="str">
            <v>Ofsted Social Care Provider Webpage</v>
          </cell>
        </row>
        <row r="322">
          <cell r="A322" t="str">
            <v>Ofsted Social Care Provider Webpage</v>
          </cell>
        </row>
        <row r="323">
          <cell r="A323" t="str">
            <v>Ofsted Social Care Provider Webpage</v>
          </cell>
        </row>
        <row r="324">
          <cell r="A324" t="str">
            <v>Ofsted Social Care Provider Webpage</v>
          </cell>
        </row>
        <row r="325">
          <cell r="A325" t="str">
            <v>Ofsted Social Care Provider Webpage</v>
          </cell>
        </row>
        <row r="326">
          <cell r="A326" t="str">
            <v>Ofsted Social Care Provider Webpage</v>
          </cell>
        </row>
        <row r="327">
          <cell r="A327" t="str">
            <v>Ofsted Social Care Provider Webpage</v>
          </cell>
        </row>
        <row r="328">
          <cell r="A328" t="str">
            <v>Ofsted Social Care Provider Webpage</v>
          </cell>
        </row>
        <row r="329">
          <cell r="A329" t="str">
            <v>Ofsted Social Care Provider Webpage</v>
          </cell>
        </row>
        <row r="330">
          <cell r="A330" t="str">
            <v>Ofsted Social Care Provider Webpage</v>
          </cell>
        </row>
        <row r="331">
          <cell r="A331" t="str">
            <v>Ofsted Social Care Provider Webpage</v>
          </cell>
        </row>
        <row r="332">
          <cell r="A332" t="str">
            <v>Ofsted Social Care Provider Webpage</v>
          </cell>
        </row>
        <row r="333">
          <cell r="A333" t="str">
            <v>Ofsted Social Care Provider Webpage</v>
          </cell>
        </row>
        <row r="334">
          <cell r="A334" t="str">
            <v>Ofsted Social Care Provider Webpage</v>
          </cell>
        </row>
        <row r="335">
          <cell r="A335" t="str">
            <v>Ofsted Social Care Provider Webpage</v>
          </cell>
        </row>
        <row r="336">
          <cell r="A336" t="str">
            <v>Ofsted Social Care Provider Webpage</v>
          </cell>
        </row>
        <row r="337">
          <cell r="A337" t="str">
            <v>Ofsted Social Care Provider Webpage</v>
          </cell>
        </row>
        <row r="338">
          <cell r="A338" t="str">
            <v>Ofsted Social Care Provider Webpage</v>
          </cell>
        </row>
        <row r="339">
          <cell r="A339" t="str">
            <v>Ofsted Social Care Provider Webpage</v>
          </cell>
        </row>
        <row r="340">
          <cell r="A340" t="str">
            <v>Ofsted Social Care Provider Webpage</v>
          </cell>
        </row>
        <row r="341">
          <cell r="A341" t="str">
            <v>Ofsted Social Care Provider Webpage</v>
          </cell>
        </row>
        <row r="342">
          <cell r="A342" t="str">
            <v>Ofsted Social Care Provider Webpage</v>
          </cell>
        </row>
        <row r="343">
          <cell r="A343" t="str">
            <v>Ofsted Social Care Provider Webpage</v>
          </cell>
        </row>
        <row r="344">
          <cell r="A344" t="str">
            <v>Ofsted Social Care Provider Webpage</v>
          </cell>
        </row>
        <row r="345">
          <cell r="A345" t="str">
            <v>Ofsted Social Care Provider Webpage</v>
          </cell>
        </row>
        <row r="346">
          <cell r="A346" t="str">
            <v>Ofsted Social Care Provider Webpage</v>
          </cell>
        </row>
        <row r="347">
          <cell r="A347" t="str">
            <v>Ofsted Social Care Provider Webpage</v>
          </cell>
        </row>
        <row r="348">
          <cell r="A348" t="str">
            <v>Ofsted Social Care Provider Webpage</v>
          </cell>
        </row>
        <row r="349">
          <cell r="A349" t="str">
            <v>Ofsted Social Care Provider Webpage</v>
          </cell>
        </row>
        <row r="350">
          <cell r="A350" t="str">
            <v>Ofsted Social Care Provider Webpage</v>
          </cell>
        </row>
        <row r="351">
          <cell r="A351" t="str">
            <v>Ofsted Social Care Provider Webpage</v>
          </cell>
        </row>
        <row r="352">
          <cell r="A352" t="str">
            <v>Ofsted Social Care Provider Webpage</v>
          </cell>
        </row>
        <row r="353">
          <cell r="A353" t="str">
            <v>Ofsted Social Care Provider Webpage</v>
          </cell>
        </row>
        <row r="354">
          <cell r="A354" t="str">
            <v>Ofsted Social Care Provider Webpage</v>
          </cell>
        </row>
        <row r="355">
          <cell r="A355" t="str">
            <v>Ofsted Social Care Provider Webpage</v>
          </cell>
        </row>
        <row r="356">
          <cell r="A356" t="str">
            <v>Ofsted Social Care Provider Webpage</v>
          </cell>
        </row>
        <row r="357">
          <cell r="A357" t="str">
            <v>Ofsted Social Care Provider Webpage</v>
          </cell>
        </row>
        <row r="358">
          <cell r="A358" t="str">
            <v>Ofsted Social Care Provider Webpage</v>
          </cell>
        </row>
        <row r="359">
          <cell r="A359" t="str">
            <v>Ofsted Social Care Provider Webpage</v>
          </cell>
        </row>
        <row r="360">
          <cell r="A360" t="str">
            <v>Ofsted Social Care Provider Webpage</v>
          </cell>
        </row>
        <row r="361">
          <cell r="A361" t="str">
            <v>Ofsted Social Care Provider Webpage</v>
          </cell>
        </row>
        <row r="362">
          <cell r="A362" t="str">
            <v>Ofsted Social Care Provider Webpage</v>
          </cell>
        </row>
        <row r="363">
          <cell r="A363" t="str">
            <v>Ofsted Social Care Provider Webpage</v>
          </cell>
        </row>
        <row r="364">
          <cell r="A364" t="str">
            <v>Ofsted Social Care Provider Webpage</v>
          </cell>
        </row>
        <row r="365">
          <cell r="A365" t="str">
            <v>Ofsted Social Care Provider Webpage</v>
          </cell>
        </row>
        <row r="366">
          <cell r="A366" t="str">
            <v>Ofsted Social Care Provider Webpage</v>
          </cell>
        </row>
        <row r="367">
          <cell r="A367" t="str">
            <v>Ofsted Social Care Provider Webpage</v>
          </cell>
        </row>
        <row r="368">
          <cell r="A368" t="str">
            <v>Ofsted Social Care Provider Webpage</v>
          </cell>
        </row>
        <row r="369">
          <cell r="A369" t="str">
            <v>Ofsted Social Care Provider Webpage</v>
          </cell>
        </row>
        <row r="370">
          <cell r="A370" t="str">
            <v>Ofsted Social Care Provider Webpage</v>
          </cell>
        </row>
        <row r="371">
          <cell r="A371" t="str">
            <v>Ofsted Social Care Provider Webpage</v>
          </cell>
        </row>
        <row r="372">
          <cell r="A372" t="str">
            <v>Ofsted Social Care Provider Webpage</v>
          </cell>
        </row>
        <row r="373">
          <cell r="A373" t="str">
            <v>Ofsted Social Care Provider Webpage</v>
          </cell>
        </row>
        <row r="374">
          <cell r="A374" t="str">
            <v>Ofsted Social Care Provider Webpage</v>
          </cell>
        </row>
        <row r="375">
          <cell r="A375" t="str">
            <v>Ofsted Social Care Provider Webpage</v>
          </cell>
        </row>
        <row r="376">
          <cell r="A376" t="str">
            <v>Ofsted Social Care Provider Webpage</v>
          </cell>
        </row>
        <row r="377">
          <cell r="A377" t="str">
            <v>Ofsted Social Care Provider Webpage</v>
          </cell>
        </row>
        <row r="378">
          <cell r="A378" t="str">
            <v>Ofsted Social Care Provider Webpage</v>
          </cell>
        </row>
        <row r="379">
          <cell r="A379" t="str">
            <v>Ofsted Social Care Provider Webpage</v>
          </cell>
        </row>
        <row r="380">
          <cell r="A380" t="str">
            <v>Ofsted Social Care Provider Webpage</v>
          </cell>
        </row>
        <row r="381">
          <cell r="A381" t="str">
            <v>Ofsted Social Care Provider Webpage</v>
          </cell>
        </row>
        <row r="382">
          <cell r="A382" t="str">
            <v>Ofsted Social Care Provider Webpage</v>
          </cell>
        </row>
        <row r="383">
          <cell r="A383" t="str">
            <v>Ofsted Social Care Provider Webpage</v>
          </cell>
        </row>
        <row r="384">
          <cell r="A384" t="str">
            <v>Ofsted Social Care Provider Webpage</v>
          </cell>
        </row>
        <row r="385">
          <cell r="A385" t="str">
            <v>Ofsted Social Care Provider Webpage</v>
          </cell>
        </row>
        <row r="386">
          <cell r="A386" t="str">
            <v>Ofsted Social Care Provider Webpage</v>
          </cell>
        </row>
        <row r="387">
          <cell r="A387" t="str">
            <v>Ofsted Social Care Provider Webpage</v>
          </cell>
        </row>
        <row r="388">
          <cell r="A388" t="str">
            <v>Ofsted Social Care Provider Webpage</v>
          </cell>
        </row>
        <row r="389">
          <cell r="A389" t="str">
            <v>Ofsted Social Care Provider Webpage</v>
          </cell>
        </row>
        <row r="390">
          <cell r="A390" t="str">
            <v>Ofsted Social Care Provider Webpage</v>
          </cell>
        </row>
        <row r="391">
          <cell r="A391" t="str">
            <v>Ofsted Social Care Provider Webpage</v>
          </cell>
        </row>
        <row r="392">
          <cell r="A392" t="str">
            <v>Ofsted Social Care Provider Webpage</v>
          </cell>
        </row>
        <row r="393">
          <cell r="A393" t="str">
            <v>Ofsted Social Care Provider Webpage</v>
          </cell>
        </row>
        <row r="394">
          <cell r="A394" t="str">
            <v>Ofsted Social Care Provider Webpage</v>
          </cell>
        </row>
        <row r="395">
          <cell r="A395" t="str">
            <v>Ofsted Social Care Provider Webpage</v>
          </cell>
        </row>
        <row r="396">
          <cell r="A396" t="str">
            <v>Ofsted Social Care Provider Webpage</v>
          </cell>
        </row>
        <row r="397">
          <cell r="A397" t="str">
            <v>Ofsted Social Care Provider Webpage</v>
          </cell>
        </row>
        <row r="398">
          <cell r="A398" t="str">
            <v>Ofsted Social Care Provider Webpage</v>
          </cell>
        </row>
        <row r="399">
          <cell r="A399" t="str">
            <v>Ofsted Social Care Provider Webpage</v>
          </cell>
        </row>
        <row r="400">
          <cell r="A400" t="str">
            <v>Ofsted Social Care Provider Webpage</v>
          </cell>
        </row>
        <row r="401">
          <cell r="A401" t="str">
            <v>Ofsted Social Care Provider Webpage</v>
          </cell>
        </row>
        <row r="402">
          <cell r="A402" t="str">
            <v>Ofsted Social Care Provider Webpage</v>
          </cell>
        </row>
        <row r="403">
          <cell r="A403" t="str">
            <v>Ofsted Social Care Provider Webpage</v>
          </cell>
        </row>
        <row r="404">
          <cell r="A404" t="str">
            <v>Ofsted Social Care Provider Webpage</v>
          </cell>
        </row>
        <row r="405">
          <cell r="A405" t="str">
            <v>Ofsted Social Care Provider Webpage</v>
          </cell>
        </row>
        <row r="406">
          <cell r="A406" t="str">
            <v>Ofsted Social Care Provider Webpage</v>
          </cell>
        </row>
        <row r="407">
          <cell r="A407" t="str">
            <v>Ofsted Social Care Provider Webpage</v>
          </cell>
        </row>
        <row r="408">
          <cell r="A408" t="str">
            <v>Ofsted Social Care Provider Webpage</v>
          </cell>
        </row>
        <row r="409">
          <cell r="A409" t="str">
            <v>Ofsted Social Care Provider Webpage</v>
          </cell>
        </row>
        <row r="410">
          <cell r="A410" t="str">
            <v>Ofsted Social Care Provider Webpage</v>
          </cell>
        </row>
        <row r="411">
          <cell r="A411" t="str">
            <v>Ofsted Social Care Provider Webpage</v>
          </cell>
        </row>
        <row r="412">
          <cell r="A412" t="str">
            <v>Ofsted Social Care Provider Webpage</v>
          </cell>
        </row>
        <row r="413">
          <cell r="A413" t="str">
            <v>Ofsted Social Care Provider Webpage</v>
          </cell>
        </row>
        <row r="414">
          <cell r="A414" t="str">
            <v>Ofsted Social Care Provider Webpage</v>
          </cell>
        </row>
        <row r="415">
          <cell r="A415" t="str">
            <v>Ofsted Social Care Provider Webpage</v>
          </cell>
        </row>
        <row r="416">
          <cell r="A416" t="str">
            <v>Ofsted Social Care Provider Webpage</v>
          </cell>
        </row>
        <row r="417">
          <cell r="A417" t="str">
            <v>Ofsted Social Care Provider Webpage</v>
          </cell>
        </row>
        <row r="418">
          <cell r="A418" t="str">
            <v>Ofsted Social Care Provider Webpage</v>
          </cell>
        </row>
        <row r="419">
          <cell r="A419" t="str">
            <v>Ofsted Social Care Provider Webpage</v>
          </cell>
        </row>
        <row r="420">
          <cell r="A420" t="str">
            <v>Ofsted Social Care Provider Webpage</v>
          </cell>
        </row>
        <row r="421">
          <cell r="A421" t="str">
            <v>Ofsted Social Care Provider Webpage</v>
          </cell>
        </row>
        <row r="422">
          <cell r="A422" t="str">
            <v>Ofsted Social Care Provider Webpage</v>
          </cell>
        </row>
        <row r="423">
          <cell r="A423" t="str">
            <v>Ofsted Social Care Provider Webpage</v>
          </cell>
        </row>
        <row r="424">
          <cell r="A424" t="str">
            <v>Ofsted Social Care Provider Webpage</v>
          </cell>
        </row>
        <row r="425">
          <cell r="A425" t="str">
            <v>Ofsted Social Care Provider Webpage</v>
          </cell>
        </row>
        <row r="426">
          <cell r="A426" t="str">
            <v>Ofsted Social Care Provider Webpage</v>
          </cell>
        </row>
        <row r="427">
          <cell r="A427" t="str">
            <v>Ofsted Social Care Provider Webpage</v>
          </cell>
        </row>
        <row r="428">
          <cell r="A428" t="str">
            <v>Ofsted Social Care Provider Webpage</v>
          </cell>
        </row>
        <row r="429">
          <cell r="A429" t="str">
            <v>Ofsted Social Care Provider Webpage</v>
          </cell>
        </row>
        <row r="430">
          <cell r="A430" t="str">
            <v>Ofsted Social Care Provider Webpage</v>
          </cell>
        </row>
        <row r="431">
          <cell r="A431" t="str">
            <v>Ofsted Social Care Provider Webpage</v>
          </cell>
        </row>
        <row r="432">
          <cell r="A432" t="str">
            <v>Ofsted Social Care Provider Webpage</v>
          </cell>
        </row>
        <row r="433">
          <cell r="A433" t="str">
            <v>Ofsted Social Care Provider Webpage</v>
          </cell>
        </row>
        <row r="434">
          <cell r="A434" t="str">
            <v>Ofsted Social Care Provider Webpage</v>
          </cell>
        </row>
        <row r="435">
          <cell r="A435" t="str">
            <v>Ofsted Social Care Provider Webpage</v>
          </cell>
        </row>
        <row r="436">
          <cell r="A436" t="str">
            <v>Ofsted Social Care Provider Webpage</v>
          </cell>
        </row>
        <row r="437">
          <cell r="A437" t="str">
            <v>Ofsted Social Care Provider Webpage</v>
          </cell>
        </row>
        <row r="438">
          <cell r="A438" t="str">
            <v>Ofsted Social Care Provider Webpage</v>
          </cell>
        </row>
        <row r="439">
          <cell r="A439" t="str">
            <v>Ofsted Social Care Provider Webpage</v>
          </cell>
        </row>
        <row r="440">
          <cell r="A440" t="str">
            <v>Ofsted Social Care Provider Webpage</v>
          </cell>
        </row>
        <row r="441">
          <cell r="A441" t="str">
            <v>Ofsted Social Care Provider Webpage</v>
          </cell>
        </row>
        <row r="442">
          <cell r="A442" t="str">
            <v>Ofsted Social Care Provider Webpage</v>
          </cell>
        </row>
        <row r="443">
          <cell r="A443" t="str">
            <v>Ofsted Social Care Provider Webpage</v>
          </cell>
        </row>
        <row r="444">
          <cell r="A444" t="str">
            <v>Ofsted Social Care Provider Webpage</v>
          </cell>
        </row>
        <row r="445">
          <cell r="A445" t="str">
            <v>Ofsted Social Care Provider Webpage</v>
          </cell>
        </row>
        <row r="446">
          <cell r="A446" t="str">
            <v>Ofsted Social Care Provider Webpage</v>
          </cell>
        </row>
        <row r="447">
          <cell r="A447" t="str">
            <v>Ofsted Social Care Provider Webpage</v>
          </cell>
        </row>
        <row r="448">
          <cell r="A448" t="str">
            <v>Ofsted Social Care Provider Webpage</v>
          </cell>
        </row>
        <row r="449">
          <cell r="A449" t="str">
            <v>Ofsted Social Care Provider Webpage</v>
          </cell>
        </row>
        <row r="450">
          <cell r="A450" t="str">
            <v>Ofsted Social Care Provider Webpage</v>
          </cell>
        </row>
        <row r="451">
          <cell r="A451" t="str">
            <v>Ofsted Social Care Provider Webpage</v>
          </cell>
        </row>
        <row r="452">
          <cell r="A452" t="str">
            <v>Ofsted Social Care Provider Webpage</v>
          </cell>
        </row>
        <row r="453">
          <cell r="A453" t="str">
            <v>Ofsted Social Care Provider Webpage</v>
          </cell>
        </row>
        <row r="454">
          <cell r="A454" t="str">
            <v>Ofsted Social Care Provider Webpage</v>
          </cell>
        </row>
        <row r="455">
          <cell r="A455" t="str">
            <v>Ofsted Social Care Provider Webpage</v>
          </cell>
        </row>
        <row r="456">
          <cell r="A456" t="str">
            <v>Ofsted Social Care Provider Webpage</v>
          </cell>
        </row>
        <row r="457">
          <cell r="A457" t="str">
            <v>Ofsted Social Care Provider Webpage</v>
          </cell>
        </row>
        <row r="458">
          <cell r="A458" t="str">
            <v>Ofsted Social Care Provider Webpage</v>
          </cell>
        </row>
        <row r="459">
          <cell r="A459" t="str">
            <v>Ofsted Social Care Provider Webpage</v>
          </cell>
        </row>
        <row r="460">
          <cell r="A460" t="str">
            <v>Ofsted Social Care Provider Webpage</v>
          </cell>
        </row>
        <row r="461">
          <cell r="A461" t="str">
            <v>Ofsted Social Care Provider Webpage</v>
          </cell>
        </row>
        <row r="462">
          <cell r="A462" t="str">
            <v>Ofsted Social Care Provider Webpage</v>
          </cell>
        </row>
        <row r="463">
          <cell r="A463" t="str">
            <v>Ofsted Social Care Provider Webpage</v>
          </cell>
        </row>
        <row r="464">
          <cell r="A464" t="str">
            <v>Ofsted Social Care Provider Webpage</v>
          </cell>
        </row>
        <row r="465">
          <cell r="A465" t="str">
            <v>Ofsted Social Care Provider Webpage</v>
          </cell>
        </row>
        <row r="466">
          <cell r="A466" t="str">
            <v>Ofsted Social Care Provider Webpage</v>
          </cell>
        </row>
        <row r="467">
          <cell r="A467" t="str">
            <v>Ofsted Social Care Provider Webpage</v>
          </cell>
        </row>
        <row r="468">
          <cell r="A468" t="str">
            <v>Ofsted Social Care Provider Webpage</v>
          </cell>
        </row>
        <row r="469">
          <cell r="A469" t="str">
            <v>Ofsted Social Care Provider Webpage</v>
          </cell>
        </row>
        <row r="470">
          <cell r="A470" t="str">
            <v>Ofsted Social Care Provider Webpage</v>
          </cell>
        </row>
        <row r="471">
          <cell r="A471" t="str">
            <v>Ofsted Social Care Provider Webpage</v>
          </cell>
        </row>
        <row r="472">
          <cell r="A472" t="str">
            <v>Ofsted Social Care Provider Webpage</v>
          </cell>
        </row>
        <row r="473">
          <cell r="A473" t="str">
            <v>Ofsted Social Care Provider Webpage</v>
          </cell>
        </row>
        <row r="474">
          <cell r="A474" t="str">
            <v>Ofsted Social Care Provider Webpage</v>
          </cell>
        </row>
        <row r="475">
          <cell r="A475" t="str">
            <v>Ofsted Social Care Provider Webpage</v>
          </cell>
        </row>
        <row r="476">
          <cell r="A476" t="str">
            <v>Ofsted Social Care Provider Webpage</v>
          </cell>
        </row>
        <row r="477">
          <cell r="A477" t="str">
            <v>Ofsted Social Care Provider Webpage</v>
          </cell>
        </row>
        <row r="478">
          <cell r="A478" t="str">
            <v>Ofsted Social Care Provider Webpage</v>
          </cell>
        </row>
        <row r="479">
          <cell r="A479" t="str">
            <v>Ofsted Social Care Provider Webpage</v>
          </cell>
        </row>
        <row r="480">
          <cell r="A480" t="str">
            <v>Ofsted Social Care Provider Webpage</v>
          </cell>
        </row>
        <row r="481">
          <cell r="A481" t="str">
            <v>Ofsted Social Care Provider Webpage</v>
          </cell>
        </row>
        <row r="482">
          <cell r="A482" t="str">
            <v>Ofsted Social Care Provider Webpage</v>
          </cell>
        </row>
        <row r="483">
          <cell r="A483" t="str">
            <v>Ofsted Social Care Provider Webpage</v>
          </cell>
        </row>
        <row r="484">
          <cell r="A484" t="str">
            <v>Ofsted Social Care Provider Webpage</v>
          </cell>
        </row>
        <row r="485">
          <cell r="A485" t="str">
            <v>Ofsted Social Care Provider Webpage</v>
          </cell>
        </row>
        <row r="486">
          <cell r="A486" t="str">
            <v>Ofsted Social Care Provider Webpage</v>
          </cell>
        </row>
        <row r="487">
          <cell r="A487" t="str">
            <v>Ofsted Social Care Provider Webpage</v>
          </cell>
        </row>
        <row r="488">
          <cell r="A488" t="str">
            <v>Ofsted Social Care Provider Webpage</v>
          </cell>
        </row>
        <row r="489">
          <cell r="A489" t="str">
            <v>Ofsted Social Care Provider Webpage</v>
          </cell>
        </row>
        <row r="490">
          <cell r="A490" t="str">
            <v>Ofsted Social Care Provider Webpage</v>
          </cell>
        </row>
        <row r="491">
          <cell r="A491" t="str">
            <v>Ofsted Social Care Provider Webpage</v>
          </cell>
        </row>
        <row r="492">
          <cell r="A492" t="str">
            <v>Ofsted Social Care Provider Webpage</v>
          </cell>
        </row>
        <row r="493">
          <cell r="A493" t="str">
            <v>Ofsted Social Care Provider Webpage</v>
          </cell>
        </row>
        <row r="494">
          <cell r="A494" t="str">
            <v>Ofsted Social Care Provider Webpage</v>
          </cell>
        </row>
        <row r="495">
          <cell r="A495" t="str">
            <v>Ofsted Social Care Provider Webpage</v>
          </cell>
        </row>
        <row r="496">
          <cell r="A496" t="str">
            <v>Ofsted Social Care Provider Webpage</v>
          </cell>
        </row>
        <row r="497">
          <cell r="A497" t="str">
            <v>Ofsted Social Care Provider Webpage</v>
          </cell>
        </row>
        <row r="498">
          <cell r="A498" t="str">
            <v>Ofsted Social Care Provider Webpage</v>
          </cell>
        </row>
        <row r="499">
          <cell r="A499" t="str">
            <v>Ofsted Social Care Provider Webpage</v>
          </cell>
        </row>
        <row r="500">
          <cell r="A500" t="str">
            <v>Ofsted Social Care Provider Webpage</v>
          </cell>
        </row>
        <row r="501">
          <cell r="A501" t="str">
            <v>Ofsted Social Care Provider Webpage</v>
          </cell>
        </row>
        <row r="502">
          <cell r="A502" t="str">
            <v>Ofsted Social Care Provider Webpage</v>
          </cell>
        </row>
        <row r="503">
          <cell r="A503" t="str">
            <v>Ofsted Social Care Provider Webpage</v>
          </cell>
        </row>
        <row r="504">
          <cell r="A504" t="str">
            <v>Ofsted Social Care Provider Webpage</v>
          </cell>
        </row>
        <row r="505">
          <cell r="A505" t="str">
            <v>Ofsted Social Care Provider Webpage</v>
          </cell>
        </row>
        <row r="506">
          <cell r="A506" t="str">
            <v>Ofsted Social Care Provider Webpage</v>
          </cell>
        </row>
        <row r="507">
          <cell r="A507" t="str">
            <v>Ofsted Social Care Provider Webpage</v>
          </cell>
        </row>
        <row r="508">
          <cell r="A508" t="str">
            <v>Ofsted Social Care Provider Webpage</v>
          </cell>
        </row>
        <row r="509">
          <cell r="A509" t="str">
            <v>Ofsted Social Care Provider Webpage</v>
          </cell>
        </row>
        <row r="510">
          <cell r="A510" t="str">
            <v>Ofsted Social Care Provider Webpage</v>
          </cell>
        </row>
        <row r="511">
          <cell r="A511" t="str">
            <v>Ofsted Social Care Provider Webpage</v>
          </cell>
        </row>
        <row r="512">
          <cell r="A512" t="str">
            <v>Ofsted Social Care Provider Webpage</v>
          </cell>
        </row>
        <row r="513">
          <cell r="A513" t="str">
            <v>Ofsted Social Care Provider Webpage</v>
          </cell>
        </row>
        <row r="514">
          <cell r="A514" t="str">
            <v>Ofsted Social Care Provider Webpage</v>
          </cell>
        </row>
        <row r="515">
          <cell r="A515" t="str">
            <v>Ofsted Social Care Provider Webpage</v>
          </cell>
        </row>
        <row r="516">
          <cell r="A516" t="str">
            <v>Ofsted Social Care Provider Webpage</v>
          </cell>
        </row>
        <row r="517">
          <cell r="A517" t="str">
            <v>Ofsted Social Care Provider Webpage</v>
          </cell>
        </row>
        <row r="518">
          <cell r="A518" t="str">
            <v>Ofsted Social Care Provider Webpage</v>
          </cell>
        </row>
        <row r="519">
          <cell r="A519" t="str">
            <v>Ofsted Social Care Provider Webpage</v>
          </cell>
        </row>
        <row r="520">
          <cell r="A520" t="str">
            <v>Ofsted Social Care Provider Webpage</v>
          </cell>
        </row>
        <row r="521">
          <cell r="A521" t="str">
            <v>Ofsted Social Care Provider Webpage</v>
          </cell>
        </row>
        <row r="522">
          <cell r="A522" t="str">
            <v>Ofsted Social Care Provider Webpage</v>
          </cell>
        </row>
        <row r="523">
          <cell r="A523" t="str">
            <v>Ofsted Social Care Provider Webpage</v>
          </cell>
        </row>
        <row r="524">
          <cell r="A524" t="str">
            <v>Ofsted Social Care Provider Webpage</v>
          </cell>
        </row>
        <row r="525">
          <cell r="A525" t="str">
            <v>Ofsted Social Care Provider Webpage</v>
          </cell>
        </row>
        <row r="526">
          <cell r="A526" t="str">
            <v>Ofsted Social Care Provider Webpage</v>
          </cell>
        </row>
        <row r="527">
          <cell r="A527" t="str">
            <v>Ofsted Social Care Provider Webpage</v>
          </cell>
        </row>
        <row r="528">
          <cell r="A528" t="str">
            <v>Ofsted Social Care Provider Webpage</v>
          </cell>
        </row>
        <row r="529">
          <cell r="A529" t="str">
            <v>Ofsted Social Care Provider Webpage</v>
          </cell>
        </row>
        <row r="530">
          <cell r="A530" t="str">
            <v>Ofsted Social Care Provider Webpage</v>
          </cell>
        </row>
        <row r="531">
          <cell r="A531" t="str">
            <v>Ofsted Social Care Provider Webpage</v>
          </cell>
        </row>
        <row r="532">
          <cell r="A532" t="str">
            <v>Ofsted Social Care Provider Webpage</v>
          </cell>
        </row>
        <row r="533">
          <cell r="A533" t="str">
            <v>Ofsted Social Care Provider Webpage</v>
          </cell>
        </row>
        <row r="534">
          <cell r="A534" t="str">
            <v>Ofsted Social Care Provider Webpage</v>
          </cell>
        </row>
        <row r="535">
          <cell r="A535" t="str">
            <v>Ofsted Social Care Provider Webpage</v>
          </cell>
        </row>
        <row r="536">
          <cell r="A536" t="str">
            <v>Ofsted Social Care Provider Webpage</v>
          </cell>
        </row>
        <row r="537">
          <cell r="A537" t="str">
            <v>Ofsted Social Care Provider Webpage</v>
          </cell>
        </row>
        <row r="538">
          <cell r="A538" t="str">
            <v>Ofsted Social Care Provider Webpage</v>
          </cell>
        </row>
        <row r="539">
          <cell r="A539" t="str">
            <v>Ofsted Social Care Provider Webpage</v>
          </cell>
        </row>
        <row r="540">
          <cell r="A540" t="str">
            <v>Ofsted Social Care Provider Webpage</v>
          </cell>
        </row>
        <row r="541">
          <cell r="A541" t="str">
            <v>Ofsted Social Care Provider Webpage</v>
          </cell>
        </row>
        <row r="542">
          <cell r="A542" t="str">
            <v>Ofsted Social Care Provider Webpage</v>
          </cell>
        </row>
        <row r="543">
          <cell r="A543" t="str">
            <v>Ofsted Social Care Provider Webpage</v>
          </cell>
        </row>
        <row r="544">
          <cell r="A544" t="str">
            <v>Ofsted Social Care Provider Webpage</v>
          </cell>
        </row>
        <row r="545">
          <cell r="A545" t="str">
            <v>Ofsted Social Care Provider Webpage</v>
          </cell>
        </row>
        <row r="546">
          <cell r="A546" t="str">
            <v>Ofsted Social Care Provider Webpage</v>
          </cell>
        </row>
        <row r="547">
          <cell r="A547" t="str">
            <v>Ofsted Social Care Provider Webpage</v>
          </cell>
        </row>
        <row r="548">
          <cell r="A548" t="str">
            <v>Ofsted Social Care Provider Webpage</v>
          </cell>
        </row>
        <row r="549">
          <cell r="A549" t="str">
            <v>Ofsted Social Care Provider Webpage</v>
          </cell>
        </row>
        <row r="550">
          <cell r="A550" t="str">
            <v>Ofsted Social Care Provider Webpage</v>
          </cell>
        </row>
        <row r="551">
          <cell r="A551" t="str">
            <v>Ofsted Social Care Provider Webpage</v>
          </cell>
        </row>
        <row r="552">
          <cell r="A552" t="str">
            <v>Ofsted Social Care Provider Webpage</v>
          </cell>
        </row>
        <row r="553">
          <cell r="A553" t="str">
            <v>Ofsted Social Care Provider Webpage</v>
          </cell>
        </row>
        <row r="554">
          <cell r="A554" t="str">
            <v>Ofsted Social Care Provider Webpage</v>
          </cell>
        </row>
        <row r="555">
          <cell r="A555" t="str">
            <v>Ofsted Social Care Provider Webpage</v>
          </cell>
        </row>
        <row r="556">
          <cell r="A556" t="str">
            <v>Ofsted Social Care Provider Webpage</v>
          </cell>
        </row>
        <row r="557">
          <cell r="A557" t="str">
            <v>Ofsted Social Care Provider Webpage</v>
          </cell>
        </row>
        <row r="558">
          <cell r="A558" t="str">
            <v>Ofsted Social Care Provider Webpage</v>
          </cell>
        </row>
        <row r="559">
          <cell r="A559" t="str">
            <v>Ofsted Social Care Provider Webpage</v>
          </cell>
        </row>
        <row r="560">
          <cell r="A560" t="str">
            <v>Ofsted Social Care Provider Webpage</v>
          </cell>
        </row>
        <row r="561">
          <cell r="A561" t="str">
            <v>Ofsted Social Care Provider Webpage</v>
          </cell>
        </row>
        <row r="562">
          <cell r="A562" t="str">
            <v>Ofsted Social Care Provider Webpage</v>
          </cell>
        </row>
        <row r="563">
          <cell r="A563" t="str">
            <v>Ofsted Social Care Provider Webpage</v>
          </cell>
        </row>
        <row r="564">
          <cell r="A564" t="str">
            <v>Ofsted Social Care Provider Webpage</v>
          </cell>
        </row>
        <row r="565">
          <cell r="A565" t="str">
            <v>Ofsted Social Care Provider Webpage</v>
          </cell>
        </row>
        <row r="566">
          <cell r="A566" t="str">
            <v>Ofsted Social Care Provider Webpage</v>
          </cell>
        </row>
        <row r="567">
          <cell r="A567" t="str">
            <v>Ofsted Social Care Provider Webpage</v>
          </cell>
        </row>
        <row r="568">
          <cell r="A568" t="str">
            <v>Ofsted Social Care Provider Webpage</v>
          </cell>
        </row>
        <row r="569">
          <cell r="A569" t="str">
            <v>Ofsted Social Care Provider Webpage</v>
          </cell>
        </row>
        <row r="570">
          <cell r="A570" t="str">
            <v>Ofsted Social Care Provider Webpage</v>
          </cell>
        </row>
        <row r="571">
          <cell r="A571" t="str">
            <v>Ofsted Social Care Provider Webpage</v>
          </cell>
        </row>
        <row r="572">
          <cell r="A572" t="str">
            <v>Ofsted Social Care Provider Webpage</v>
          </cell>
        </row>
        <row r="573">
          <cell r="A573" t="str">
            <v>Ofsted Social Care Provider Webpage</v>
          </cell>
        </row>
        <row r="574">
          <cell r="A574" t="str">
            <v>Ofsted Social Care Provider Webpage</v>
          </cell>
        </row>
        <row r="575">
          <cell r="A575" t="str">
            <v>Ofsted Social Care Provider Webpage</v>
          </cell>
        </row>
        <row r="576">
          <cell r="A576" t="str">
            <v>Ofsted Social Care Provider Webpage</v>
          </cell>
        </row>
        <row r="577">
          <cell r="A577" t="str">
            <v>Ofsted Social Care Provider Webpage</v>
          </cell>
        </row>
        <row r="578">
          <cell r="A578" t="str">
            <v>Ofsted Social Care Provider Webpage</v>
          </cell>
        </row>
        <row r="579">
          <cell r="A579" t="str">
            <v>Ofsted Social Care Provider Webpage</v>
          </cell>
        </row>
        <row r="580">
          <cell r="A580" t="str">
            <v>Ofsted Social Care Provider Webpage</v>
          </cell>
        </row>
        <row r="581">
          <cell r="A581" t="str">
            <v>Ofsted Social Care Provider Webpage</v>
          </cell>
        </row>
        <row r="582">
          <cell r="A582" t="str">
            <v>Ofsted Social Care Provider Webpage</v>
          </cell>
        </row>
        <row r="583">
          <cell r="A583" t="str">
            <v>Ofsted Social Care Provider Webpage</v>
          </cell>
        </row>
        <row r="584">
          <cell r="A584" t="str">
            <v>Ofsted Social Care Provider Webpage</v>
          </cell>
        </row>
        <row r="585">
          <cell r="A585" t="str">
            <v>Ofsted Social Care Provider Webpage</v>
          </cell>
        </row>
        <row r="586">
          <cell r="A586" t="str">
            <v>Ofsted Social Care Provider Webpage</v>
          </cell>
        </row>
        <row r="587">
          <cell r="A587" t="str">
            <v>Ofsted Social Care Provider Webpage</v>
          </cell>
        </row>
        <row r="588">
          <cell r="A588" t="str">
            <v>Ofsted Social Care Provider Webpage</v>
          </cell>
        </row>
        <row r="589">
          <cell r="A589" t="str">
            <v>Ofsted Social Care Provider Webpage</v>
          </cell>
        </row>
        <row r="590">
          <cell r="A590" t="str">
            <v>Ofsted Social Care Provider Webpage</v>
          </cell>
        </row>
        <row r="591">
          <cell r="A591" t="str">
            <v>Ofsted Social Care Provider Webpage</v>
          </cell>
        </row>
        <row r="592">
          <cell r="A592" t="str">
            <v>Ofsted Social Care Provider Webpage</v>
          </cell>
        </row>
        <row r="593">
          <cell r="A593" t="str">
            <v>Ofsted Social Care Provider Webpage</v>
          </cell>
        </row>
        <row r="594">
          <cell r="A594" t="str">
            <v>Ofsted Social Care Provider Webpage</v>
          </cell>
        </row>
        <row r="595">
          <cell r="A595" t="str">
            <v>Ofsted Social Care Provider Webpage</v>
          </cell>
        </row>
        <row r="596">
          <cell r="A596" t="str">
            <v>Ofsted Social Care Provider Webpage</v>
          </cell>
        </row>
        <row r="597">
          <cell r="A597" t="str">
            <v>Ofsted Social Care Provider Webpage</v>
          </cell>
        </row>
        <row r="598">
          <cell r="A598" t="str">
            <v>Ofsted Social Care Provider Webpage</v>
          </cell>
        </row>
        <row r="599">
          <cell r="A599" t="str">
            <v>Ofsted Social Care Provider Webpage</v>
          </cell>
        </row>
        <row r="600">
          <cell r="A600" t="str">
            <v>Ofsted Social Care Provider Webpage</v>
          </cell>
        </row>
        <row r="601">
          <cell r="A601" t="str">
            <v>Ofsted Social Care Provider Webpage</v>
          </cell>
        </row>
        <row r="602">
          <cell r="A602" t="str">
            <v>Ofsted Social Care Provider Webpage</v>
          </cell>
        </row>
        <row r="603">
          <cell r="A603" t="str">
            <v>Ofsted Social Care Provider Webpage</v>
          </cell>
        </row>
        <row r="604">
          <cell r="A604" t="str">
            <v>Ofsted Social Care Provider Webpage</v>
          </cell>
        </row>
        <row r="605">
          <cell r="A605" t="str">
            <v>Ofsted Social Care Provider Webpage</v>
          </cell>
        </row>
        <row r="606">
          <cell r="A606" t="str">
            <v>Ofsted Social Care Provider Webpage</v>
          </cell>
        </row>
        <row r="607">
          <cell r="A607" t="str">
            <v>Ofsted Social Care Provider Webpage</v>
          </cell>
        </row>
        <row r="608">
          <cell r="A608" t="str">
            <v>Ofsted Social Care Provider Webpage</v>
          </cell>
        </row>
        <row r="609">
          <cell r="A609" t="str">
            <v>Ofsted Social Care Provider Webpage</v>
          </cell>
        </row>
        <row r="610">
          <cell r="A610" t="str">
            <v>Ofsted Social Care Provider Webpage</v>
          </cell>
        </row>
        <row r="611">
          <cell r="A611" t="str">
            <v>Ofsted Social Care Provider Webpage</v>
          </cell>
        </row>
        <row r="612">
          <cell r="A612" t="str">
            <v>Ofsted Social Care Provider Webpage</v>
          </cell>
        </row>
        <row r="613">
          <cell r="A613" t="str">
            <v>Ofsted Social Care Provider Webpage</v>
          </cell>
        </row>
        <row r="614">
          <cell r="A614" t="str">
            <v>Ofsted Social Care Provider Webpage</v>
          </cell>
        </row>
        <row r="615">
          <cell r="A615" t="str">
            <v>Ofsted Social Care Provider Webpage</v>
          </cell>
        </row>
        <row r="616">
          <cell r="A616" t="str">
            <v>Ofsted Social Care Provider Webpage</v>
          </cell>
        </row>
        <row r="617">
          <cell r="A617" t="str">
            <v>Ofsted Social Care Provider Webpage</v>
          </cell>
        </row>
        <row r="618">
          <cell r="A618" t="str">
            <v>Ofsted Social Care Provider Webpage</v>
          </cell>
        </row>
        <row r="619">
          <cell r="A619" t="str">
            <v>Ofsted Social Care Provider Webpage</v>
          </cell>
        </row>
        <row r="620">
          <cell r="A620" t="str">
            <v>Ofsted Social Care Provider Webpage</v>
          </cell>
        </row>
        <row r="621">
          <cell r="A621" t="str">
            <v>Ofsted Social Care Provider Webpage</v>
          </cell>
        </row>
        <row r="622">
          <cell r="A622" t="str">
            <v>Ofsted Social Care Provider Webpage</v>
          </cell>
        </row>
        <row r="623">
          <cell r="A623" t="str">
            <v>Ofsted Social Care Provider Webpage</v>
          </cell>
        </row>
        <row r="624">
          <cell r="A624" t="str">
            <v>Ofsted Social Care Provider Webpage</v>
          </cell>
        </row>
        <row r="625">
          <cell r="A625" t="str">
            <v>Ofsted Social Care Provider Webpage</v>
          </cell>
        </row>
        <row r="626">
          <cell r="A626" t="str">
            <v>Ofsted Social Care Provider Webpage</v>
          </cell>
        </row>
        <row r="627">
          <cell r="A627" t="str">
            <v>Ofsted Social Care Provider Webpage</v>
          </cell>
        </row>
        <row r="628">
          <cell r="A628" t="str">
            <v>Ofsted Social Care Provider Webpage</v>
          </cell>
        </row>
        <row r="629">
          <cell r="A629" t="str">
            <v>Ofsted Social Care Provider Webpage</v>
          </cell>
        </row>
        <row r="630">
          <cell r="A630" t="str">
            <v>Ofsted Social Care Provider Webpage</v>
          </cell>
        </row>
        <row r="631">
          <cell r="A631" t="str">
            <v>Ofsted Social Care Provider Webpage</v>
          </cell>
        </row>
        <row r="632">
          <cell r="A632" t="str">
            <v>Ofsted Social Care Provider Webpage</v>
          </cell>
        </row>
        <row r="633">
          <cell r="A633" t="str">
            <v>Ofsted Social Care Provider Webpage</v>
          </cell>
        </row>
        <row r="634">
          <cell r="A634" t="str">
            <v>Ofsted Social Care Provider Webpage</v>
          </cell>
        </row>
        <row r="635">
          <cell r="A635" t="str">
            <v>Ofsted Social Care Provider Webpage</v>
          </cell>
        </row>
        <row r="636">
          <cell r="A636" t="str">
            <v>Ofsted Social Care Provider Webpage</v>
          </cell>
        </row>
        <row r="637">
          <cell r="A637" t="str">
            <v>Ofsted Social Care Provider Webpage</v>
          </cell>
        </row>
        <row r="638">
          <cell r="A638" t="str">
            <v>Ofsted Social Care Provider Webpage</v>
          </cell>
        </row>
        <row r="639">
          <cell r="A639" t="str">
            <v>Ofsted Social Care Provider Webpage</v>
          </cell>
        </row>
        <row r="640">
          <cell r="A640" t="str">
            <v>Ofsted Social Care Provider Webpage</v>
          </cell>
        </row>
        <row r="641">
          <cell r="A641" t="str">
            <v>Ofsted Social Care Provider Webpage</v>
          </cell>
        </row>
        <row r="642">
          <cell r="A642" t="str">
            <v>Ofsted Social Care Provider Webpage</v>
          </cell>
        </row>
        <row r="643">
          <cell r="A643" t="str">
            <v>Ofsted Social Care Provider Webpage</v>
          </cell>
        </row>
        <row r="644">
          <cell r="A644" t="str">
            <v>Ofsted Social Care Provider Webpage</v>
          </cell>
        </row>
        <row r="645">
          <cell r="A645" t="str">
            <v>Ofsted Social Care Provider Webpage</v>
          </cell>
        </row>
        <row r="646">
          <cell r="A646" t="str">
            <v>Ofsted Social Care Provider Webpage</v>
          </cell>
        </row>
        <row r="647">
          <cell r="A647" t="str">
            <v>Ofsted Social Care Provider Webpage</v>
          </cell>
        </row>
        <row r="648">
          <cell r="A648" t="str">
            <v>Ofsted Social Care Provider Webpage</v>
          </cell>
        </row>
        <row r="649">
          <cell r="A649" t="str">
            <v>Ofsted Social Care Provider Webpage</v>
          </cell>
        </row>
        <row r="650">
          <cell r="A650" t="str">
            <v>Ofsted Social Care Provider Webpage</v>
          </cell>
        </row>
        <row r="651">
          <cell r="A651" t="str">
            <v>Ofsted Social Care Provider Webpage</v>
          </cell>
        </row>
        <row r="652">
          <cell r="A652" t="str">
            <v>Ofsted Social Care Provider Webpage</v>
          </cell>
        </row>
        <row r="653">
          <cell r="A653" t="str">
            <v>Ofsted Social Care Provider Webpage</v>
          </cell>
        </row>
        <row r="654">
          <cell r="A654" t="str">
            <v>Ofsted Social Care Provider Webpage</v>
          </cell>
        </row>
        <row r="655">
          <cell r="A655" t="str">
            <v>Ofsted Social Care Provider Webpage</v>
          </cell>
        </row>
        <row r="656">
          <cell r="A656" t="str">
            <v>Ofsted Social Care Provider Webpage</v>
          </cell>
        </row>
        <row r="657">
          <cell r="A657" t="str">
            <v>Ofsted Social Care Provider Webpage</v>
          </cell>
        </row>
        <row r="658">
          <cell r="A658" t="str">
            <v>Ofsted Social Care Provider Webpage</v>
          </cell>
        </row>
        <row r="659">
          <cell r="A659" t="str">
            <v>Ofsted Social Care Provider Webpage</v>
          </cell>
        </row>
        <row r="660">
          <cell r="A660" t="str">
            <v>Ofsted Social Care Provider Webpage</v>
          </cell>
        </row>
        <row r="661">
          <cell r="A661" t="str">
            <v>Ofsted Social Care Provider Webpage</v>
          </cell>
        </row>
        <row r="662">
          <cell r="A662" t="str">
            <v>Ofsted Social Care Provider Webpage</v>
          </cell>
        </row>
        <row r="663">
          <cell r="A663" t="str">
            <v>Ofsted Social Care Provider Webpage</v>
          </cell>
        </row>
        <row r="664">
          <cell r="A664" t="str">
            <v>Ofsted Social Care Provider Webpage</v>
          </cell>
        </row>
        <row r="665">
          <cell r="A665" t="str">
            <v>Ofsted Social Care Provider Webpage</v>
          </cell>
        </row>
        <row r="666">
          <cell r="A666" t="str">
            <v>Ofsted Social Care Provider Webpage</v>
          </cell>
        </row>
        <row r="667">
          <cell r="A667" t="str">
            <v>Ofsted Social Care Provider Webpage</v>
          </cell>
        </row>
        <row r="668">
          <cell r="A668" t="str">
            <v>Ofsted Social Care Provider Webpage</v>
          </cell>
        </row>
        <row r="669">
          <cell r="A669" t="str">
            <v>Ofsted Social Care Provider Webpage</v>
          </cell>
        </row>
        <row r="670">
          <cell r="A670" t="str">
            <v>Ofsted Social Care Provider Webpage</v>
          </cell>
        </row>
        <row r="671">
          <cell r="A671" t="str">
            <v>Ofsted Social Care Provider Webpage</v>
          </cell>
        </row>
        <row r="672">
          <cell r="A672" t="str">
            <v>Ofsted Social Care Provider Webpage</v>
          </cell>
        </row>
        <row r="673">
          <cell r="A673" t="str">
            <v>Ofsted Social Care Provider Webpage</v>
          </cell>
        </row>
        <row r="674">
          <cell r="A674" t="str">
            <v>Ofsted Social Care Provider Webpage</v>
          </cell>
        </row>
        <row r="675">
          <cell r="A675" t="str">
            <v>Ofsted Social Care Provider Webpage</v>
          </cell>
        </row>
        <row r="676">
          <cell r="A676" t="str">
            <v>Ofsted Social Care Provider Webpage</v>
          </cell>
        </row>
        <row r="677">
          <cell r="A677" t="str">
            <v>Ofsted Social Care Provider Webpage</v>
          </cell>
        </row>
        <row r="678">
          <cell r="A678" t="str">
            <v>Ofsted Social Care Provider Webpage</v>
          </cell>
        </row>
        <row r="679">
          <cell r="A679" t="str">
            <v>Ofsted Social Care Provider Webpage</v>
          </cell>
        </row>
        <row r="680">
          <cell r="A680" t="str">
            <v>Ofsted Social Care Provider Webpage</v>
          </cell>
        </row>
        <row r="681">
          <cell r="A681" t="str">
            <v>Ofsted Social Care Provider Webpage</v>
          </cell>
        </row>
        <row r="682">
          <cell r="A682" t="str">
            <v>Ofsted Social Care Provider Webpage</v>
          </cell>
        </row>
        <row r="683">
          <cell r="A683" t="str">
            <v>Ofsted Social Care Provider Webpage</v>
          </cell>
        </row>
        <row r="684">
          <cell r="A684" t="str">
            <v>Ofsted Social Care Provider Webpage</v>
          </cell>
        </row>
        <row r="685">
          <cell r="A685" t="str">
            <v>Ofsted Social Care Provider Webpage</v>
          </cell>
        </row>
        <row r="686">
          <cell r="A686" t="str">
            <v>Ofsted Social Care Provider Webpage</v>
          </cell>
        </row>
        <row r="687">
          <cell r="A687" t="str">
            <v>Ofsted Social Care Provider Webpage</v>
          </cell>
        </row>
        <row r="688">
          <cell r="A688" t="str">
            <v>Ofsted Social Care Provider Webpage</v>
          </cell>
        </row>
        <row r="689">
          <cell r="A689" t="str">
            <v>Ofsted Social Care Provider Webpage</v>
          </cell>
        </row>
        <row r="690">
          <cell r="A690" t="str">
            <v>Ofsted Social Care Provider Webpage</v>
          </cell>
        </row>
        <row r="691">
          <cell r="A691" t="str">
            <v>Ofsted Social Care Provider Webpage</v>
          </cell>
        </row>
        <row r="692">
          <cell r="A692" t="str">
            <v>Ofsted Social Care Provider Webpage</v>
          </cell>
        </row>
        <row r="693">
          <cell r="A693" t="str">
            <v>Ofsted Social Care Provider Webpage</v>
          </cell>
        </row>
        <row r="694">
          <cell r="A694" t="str">
            <v>Ofsted Social Care Provider Webpage</v>
          </cell>
        </row>
        <row r="695">
          <cell r="A695" t="str">
            <v>Ofsted Social Care Provider Webpage</v>
          </cell>
        </row>
        <row r="696">
          <cell r="A696" t="str">
            <v>Ofsted Social Care Provider Webpage</v>
          </cell>
        </row>
        <row r="697">
          <cell r="A697" t="str">
            <v>Ofsted Social Care Provider Webpage</v>
          </cell>
        </row>
        <row r="698">
          <cell r="A698" t="str">
            <v>Ofsted Social Care Provider Webpage</v>
          </cell>
        </row>
        <row r="699">
          <cell r="A699" t="str">
            <v>Ofsted Social Care Provider Webpage</v>
          </cell>
        </row>
        <row r="700">
          <cell r="A700" t="str">
            <v>Ofsted Social Care Provider Webpage</v>
          </cell>
        </row>
        <row r="701">
          <cell r="A701" t="str">
            <v>Ofsted Social Care Provider Webpage</v>
          </cell>
        </row>
        <row r="702">
          <cell r="A702" t="str">
            <v>Ofsted Social Care Provider Webpage</v>
          </cell>
        </row>
        <row r="703">
          <cell r="A703" t="str">
            <v>Ofsted Social Care Provider Webpage</v>
          </cell>
        </row>
        <row r="704">
          <cell r="A704" t="str">
            <v>Ofsted Social Care Provider Webpage</v>
          </cell>
        </row>
        <row r="705">
          <cell r="A705" t="str">
            <v>Ofsted Social Care Provider Webpage</v>
          </cell>
        </row>
        <row r="706">
          <cell r="A706" t="str">
            <v>Ofsted Social Care Provider Webpage</v>
          </cell>
        </row>
        <row r="707">
          <cell r="A707" t="str">
            <v>Ofsted Social Care Provider Webpage</v>
          </cell>
        </row>
        <row r="708">
          <cell r="A708" t="str">
            <v>Ofsted Social Care Provider Webpage</v>
          </cell>
        </row>
        <row r="709">
          <cell r="A709" t="str">
            <v>Ofsted Social Care Provider Webpage</v>
          </cell>
        </row>
        <row r="710">
          <cell r="A710" t="str">
            <v>Ofsted Social Care Provider Webpage</v>
          </cell>
        </row>
        <row r="711">
          <cell r="A711" t="str">
            <v>Ofsted Social Care Provider Webpage</v>
          </cell>
        </row>
        <row r="712">
          <cell r="A712" t="str">
            <v>Ofsted Social Care Provider Webpage</v>
          </cell>
        </row>
        <row r="713">
          <cell r="A713" t="str">
            <v>Ofsted Social Care Provider Webpage</v>
          </cell>
        </row>
        <row r="714">
          <cell r="A714" t="str">
            <v>Ofsted Social Care Provider Webpage</v>
          </cell>
        </row>
        <row r="715">
          <cell r="A715" t="str">
            <v>Ofsted Social Care Provider Webpage</v>
          </cell>
        </row>
        <row r="716">
          <cell r="A716" t="str">
            <v>Ofsted Social Care Provider Webpage</v>
          </cell>
        </row>
        <row r="717">
          <cell r="A717" t="str">
            <v>Ofsted Social Care Provider Webpage</v>
          </cell>
        </row>
        <row r="718">
          <cell r="A718" t="str">
            <v>Ofsted Social Care Provider Webpage</v>
          </cell>
        </row>
        <row r="719">
          <cell r="A719" t="str">
            <v>Ofsted Social Care Provider Webpage</v>
          </cell>
        </row>
        <row r="720">
          <cell r="A720" t="str">
            <v>Ofsted Social Care Provider Webpage</v>
          </cell>
        </row>
        <row r="721">
          <cell r="A721" t="str">
            <v>Ofsted Social Care Provider Webpage</v>
          </cell>
        </row>
        <row r="722">
          <cell r="A722" t="str">
            <v>Ofsted Social Care Provider Webpage</v>
          </cell>
        </row>
        <row r="723">
          <cell r="A723" t="str">
            <v>Ofsted Social Care Provider Webpage</v>
          </cell>
        </row>
        <row r="724">
          <cell r="A724" t="str">
            <v>Ofsted Social Care Provider Webpage</v>
          </cell>
        </row>
        <row r="725">
          <cell r="A725" t="str">
            <v>Ofsted Social Care Provider Webpage</v>
          </cell>
        </row>
        <row r="726">
          <cell r="A726" t="str">
            <v>Ofsted Social Care Provider Webpage</v>
          </cell>
        </row>
        <row r="727">
          <cell r="A727" t="str">
            <v>Ofsted Social Care Provider Webpage</v>
          </cell>
        </row>
        <row r="728">
          <cell r="A728" t="str">
            <v>Ofsted Social Care Provider Webpage</v>
          </cell>
        </row>
        <row r="729">
          <cell r="A729" t="str">
            <v>Ofsted Social Care Provider Webpage</v>
          </cell>
        </row>
        <row r="730">
          <cell r="A730" t="str">
            <v>Ofsted Social Care Provider Webpage</v>
          </cell>
        </row>
        <row r="731">
          <cell r="A731" t="str">
            <v>Ofsted Social Care Provider Webpage</v>
          </cell>
        </row>
        <row r="732">
          <cell r="A732" t="str">
            <v>Ofsted Social Care Provider Webpage</v>
          </cell>
        </row>
        <row r="733">
          <cell r="A733" t="str">
            <v>Ofsted Social Care Provider Webpage</v>
          </cell>
        </row>
        <row r="734">
          <cell r="A734" t="str">
            <v>Ofsted Social Care Provider Webpage</v>
          </cell>
        </row>
        <row r="735">
          <cell r="A735" t="str">
            <v>Ofsted Social Care Provider Webpage</v>
          </cell>
        </row>
        <row r="736">
          <cell r="A736" t="str">
            <v>Ofsted Social Care Provider Webpage</v>
          </cell>
        </row>
        <row r="737">
          <cell r="A737" t="str">
            <v>Ofsted Social Care Provider Webpage</v>
          </cell>
        </row>
        <row r="738">
          <cell r="A738" t="str">
            <v>Ofsted Social Care Provider Webpage</v>
          </cell>
        </row>
        <row r="739">
          <cell r="A739" t="str">
            <v>Ofsted Social Care Provider Webpage</v>
          </cell>
        </row>
        <row r="740">
          <cell r="A740" t="str">
            <v>Ofsted Social Care Provider Webpage</v>
          </cell>
        </row>
        <row r="741">
          <cell r="A741" t="str">
            <v>Ofsted Social Care Provider Webpage</v>
          </cell>
        </row>
        <row r="742">
          <cell r="A742" t="str">
            <v>Ofsted Social Care Provider Webpage</v>
          </cell>
        </row>
        <row r="743">
          <cell r="A743" t="str">
            <v>Ofsted Social Care Provider Webpage</v>
          </cell>
        </row>
        <row r="744">
          <cell r="A744" t="str">
            <v>Ofsted Social Care Provider Webpage</v>
          </cell>
        </row>
        <row r="745">
          <cell r="A745" t="str">
            <v>Ofsted Social Care Provider Webpage</v>
          </cell>
        </row>
        <row r="746">
          <cell r="A746" t="str">
            <v>Ofsted Social Care Provider Webpage</v>
          </cell>
        </row>
        <row r="747">
          <cell r="A747" t="str">
            <v>Ofsted Social Care Provider Webpage</v>
          </cell>
        </row>
        <row r="748">
          <cell r="A748" t="str">
            <v>Ofsted Social Care Provider Webpage</v>
          </cell>
        </row>
        <row r="749">
          <cell r="A749" t="str">
            <v>Ofsted Social Care Provider Webpage</v>
          </cell>
        </row>
        <row r="750">
          <cell r="A750" t="str">
            <v>Ofsted Social Care Provider Webpage</v>
          </cell>
        </row>
        <row r="751">
          <cell r="A751" t="str">
            <v>Ofsted Social Care Provider Webpage</v>
          </cell>
        </row>
        <row r="752">
          <cell r="A752" t="str">
            <v>Ofsted Social Care Provider Webpage</v>
          </cell>
        </row>
        <row r="753">
          <cell r="A753" t="str">
            <v>Ofsted Social Care Provider Webpage</v>
          </cell>
        </row>
        <row r="754">
          <cell r="A754" t="str">
            <v>Ofsted Social Care Provider Webpage</v>
          </cell>
        </row>
        <row r="755">
          <cell r="A755" t="str">
            <v>Ofsted Social Care Provider Webpage</v>
          </cell>
        </row>
        <row r="756">
          <cell r="A756" t="str">
            <v>Ofsted Social Care Provider Webpage</v>
          </cell>
        </row>
        <row r="757">
          <cell r="A757" t="str">
            <v>Ofsted Social Care Provider Webpage</v>
          </cell>
        </row>
        <row r="758">
          <cell r="A758" t="str">
            <v>Ofsted Social Care Provider Webpage</v>
          </cell>
        </row>
        <row r="759">
          <cell r="A759" t="str">
            <v>Ofsted Social Care Provider Webpage</v>
          </cell>
        </row>
        <row r="760">
          <cell r="A760" t="str">
            <v>Ofsted Social Care Provider Webpage</v>
          </cell>
        </row>
        <row r="761">
          <cell r="A761" t="str">
            <v>Ofsted Social Care Provider Webpage</v>
          </cell>
        </row>
        <row r="762">
          <cell r="A762" t="str">
            <v>Ofsted Social Care Provider Webpage</v>
          </cell>
        </row>
        <row r="763">
          <cell r="A763" t="str">
            <v>Ofsted Social Care Provider Webpage</v>
          </cell>
        </row>
        <row r="764">
          <cell r="A764" t="str">
            <v>Ofsted Social Care Provider Webpage</v>
          </cell>
        </row>
        <row r="765">
          <cell r="A765" t="str">
            <v>Ofsted Social Care Provider Webpage</v>
          </cell>
        </row>
        <row r="766">
          <cell r="A766" t="str">
            <v>Ofsted Social Care Provider Webpage</v>
          </cell>
        </row>
        <row r="767">
          <cell r="A767" t="str">
            <v>Ofsted Social Care Provider Webpage</v>
          </cell>
        </row>
        <row r="768">
          <cell r="A768" t="str">
            <v>Ofsted Social Care Provider Webpage</v>
          </cell>
        </row>
        <row r="769">
          <cell r="A769" t="str">
            <v>Ofsted Social Care Provider Webpage</v>
          </cell>
        </row>
        <row r="770">
          <cell r="A770" t="str">
            <v>Ofsted Social Care Provider Webpage</v>
          </cell>
        </row>
        <row r="771">
          <cell r="A771" t="str">
            <v>Ofsted Social Care Provider Webpage</v>
          </cell>
        </row>
        <row r="772">
          <cell r="A772" t="str">
            <v>Ofsted Social Care Provider Webpage</v>
          </cell>
        </row>
        <row r="773">
          <cell r="A773" t="str">
            <v>Ofsted Social Care Provider Webpage</v>
          </cell>
        </row>
        <row r="774">
          <cell r="A774" t="str">
            <v>Ofsted Social Care Provider Webpage</v>
          </cell>
        </row>
        <row r="775">
          <cell r="A775" t="str">
            <v>Ofsted Social Care Provider Webpage</v>
          </cell>
        </row>
        <row r="776">
          <cell r="A776" t="str">
            <v>Ofsted Social Care Provider Webpage</v>
          </cell>
        </row>
        <row r="777">
          <cell r="A777" t="str">
            <v>Ofsted Social Care Provider Webpage</v>
          </cell>
        </row>
        <row r="778">
          <cell r="A778" t="str">
            <v>Ofsted Social Care Provider Webpage</v>
          </cell>
        </row>
        <row r="779">
          <cell r="A779" t="str">
            <v>Ofsted Social Care Provider Webpage</v>
          </cell>
        </row>
        <row r="780">
          <cell r="A780" t="str">
            <v>Ofsted Social Care Provider Webpage</v>
          </cell>
        </row>
        <row r="781">
          <cell r="A781" t="str">
            <v>Ofsted Social Care Provider Webpage</v>
          </cell>
        </row>
        <row r="782">
          <cell r="A782" t="str">
            <v>Ofsted Social Care Provider Webpage</v>
          </cell>
        </row>
        <row r="783">
          <cell r="A783" t="str">
            <v>Ofsted Social Care Provider Webpage</v>
          </cell>
        </row>
        <row r="784">
          <cell r="A784" t="str">
            <v>Ofsted Social Care Provider Webpage</v>
          </cell>
        </row>
        <row r="785">
          <cell r="A785" t="str">
            <v>Ofsted Social Care Provider Webpage</v>
          </cell>
        </row>
        <row r="786">
          <cell r="A786" t="str">
            <v>Ofsted Social Care Provider Webpage</v>
          </cell>
        </row>
        <row r="787">
          <cell r="A787" t="str">
            <v>Ofsted Social Care Provider Webpage</v>
          </cell>
        </row>
        <row r="788">
          <cell r="A788" t="str">
            <v>Ofsted Social Care Provider Webpage</v>
          </cell>
        </row>
        <row r="789">
          <cell r="A789" t="str">
            <v>Ofsted Social Care Provider Webpage</v>
          </cell>
        </row>
        <row r="790">
          <cell r="A790" t="str">
            <v>Ofsted Social Care Provider Webpage</v>
          </cell>
        </row>
        <row r="791">
          <cell r="A791" t="str">
            <v>Ofsted Social Care Provider Webpage</v>
          </cell>
        </row>
        <row r="792">
          <cell r="A792" t="str">
            <v>Ofsted Social Care Provider Webpage</v>
          </cell>
        </row>
        <row r="793">
          <cell r="A793" t="str">
            <v>Ofsted Social Care Provider Webpage</v>
          </cell>
        </row>
        <row r="794">
          <cell r="A794" t="str">
            <v>Ofsted Social Care Provider Webpage</v>
          </cell>
        </row>
        <row r="795">
          <cell r="A795" t="str">
            <v>Ofsted Social Care Provider Webpage</v>
          </cell>
        </row>
        <row r="796">
          <cell r="A796" t="str">
            <v>Ofsted Social Care Provider Webpage</v>
          </cell>
        </row>
        <row r="797">
          <cell r="A797" t="str">
            <v>Ofsted Social Care Provider Webpage</v>
          </cell>
        </row>
        <row r="798">
          <cell r="A798" t="str">
            <v>Ofsted Social Care Provider Webpage</v>
          </cell>
        </row>
        <row r="799">
          <cell r="A799" t="str">
            <v>Ofsted Social Care Provider Webpage</v>
          </cell>
        </row>
        <row r="800">
          <cell r="A800" t="str">
            <v>Ofsted Social Care Provider Webpage</v>
          </cell>
        </row>
        <row r="801">
          <cell r="A801" t="str">
            <v>Ofsted Social Care Provider Webpage</v>
          </cell>
        </row>
        <row r="802">
          <cell r="A802" t="str">
            <v>Ofsted Social Care Provider Webpage</v>
          </cell>
        </row>
        <row r="803">
          <cell r="A803" t="str">
            <v>Ofsted Social Care Provider Webpage</v>
          </cell>
        </row>
        <row r="804">
          <cell r="A804" t="str">
            <v>Ofsted Social Care Provider Webpage</v>
          </cell>
        </row>
        <row r="805">
          <cell r="A805" t="str">
            <v>Ofsted Social Care Provider Webpage</v>
          </cell>
        </row>
        <row r="806">
          <cell r="A806" t="str">
            <v>Ofsted Social Care Provider Webpage</v>
          </cell>
        </row>
        <row r="807">
          <cell r="A807" t="str">
            <v>Ofsted Social Care Provider Webpage</v>
          </cell>
        </row>
        <row r="808">
          <cell r="A808" t="str">
            <v>Ofsted Social Care Provider Webpage</v>
          </cell>
        </row>
        <row r="809">
          <cell r="A809" t="str">
            <v>Ofsted Social Care Provider Webpage</v>
          </cell>
        </row>
        <row r="810">
          <cell r="A810" t="str">
            <v>Ofsted Social Care Provider Webpage</v>
          </cell>
        </row>
        <row r="811">
          <cell r="A811" t="str">
            <v>Ofsted Social Care Provider Webpage</v>
          </cell>
        </row>
        <row r="812">
          <cell r="A812" t="str">
            <v>Ofsted Social Care Provider Webpage</v>
          </cell>
        </row>
        <row r="813">
          <cell r="A813" t="str">
            <v>Ofsted Social Care Provider Webpage</v>
          </cell>
        </row>
        <row r="814">
          <cell r="A814" t="str">
            <v>Ofsted Social Care Provider Webpage</v>
          </cell>
        </row>
        <row r="815">
          <cell r="A815" t="str">
            <v>Ofsted Social Care Provider Webpage</v>
          </cell>
        </row>
        <row r="816">
          <cell r="A816" t="str">
            <v>Ofsted Social Care Provider Webpage</v>
          </cell>
        </row>
        <row r="817">
          <cell r="A817" t="str">
            <v>Ofsted Social Care Provider Webpage</v>
          </cell>
        </row>
        <row r="818">
          <cell r="A818" t="str">
            <v>Ofsted Social Care Provider Webpage</v>
          </cell>
        </row>
        <row r="819">
          <cell r="A819" t="str">
            <v>Ofsted Social Care Provider Webpage</v>
          </cell>
        </row>
        <row r="820">
          <cell r="A820" t="str">
            <v>Ofsted Social Care Provider Webpage</v>
          </cell>
        </row>
        <row r="821">
          <cell r="A821" t="str">
            <v>Ofsted Social Care Provider Webpage</v>
          </cell>
        </row>
        <row r="822">
          <cell r="A822" t="str">
            <v>Ofsted Social Care Provider Webpage</v>
          </cell>
        </row>
        <row r="823">
          <cell r="A823" t="str">
            <v>Ofsted Social Care Provider Webpage</v>
          </cell>
        </row>
        <row r="824">
          <cell r="A824" t="str">
            <v>Ofsted Social Care Provider Webpage</v>
          </cell>
        </row>
        <row r="825">
          <cell r="A825" t="str">
            <v>Ofsted Social Care Provider Webpage</v>
          </cell>
        </row>
        <row r="826">
          <cell r="A826" t="str">
            <v>Ofsted Social Care Provider Webpage</v>
          </cell>
        </row>
        <row r="827">
          <cell r="A827" t="str">
            <v>Ofsted Social Care Provider Webpage</v>
          </cell>
        </row>
        <row r="828">
          <cell r="A828" t="str">
            <v>Ofsted Social Care Provider Webpage</v>
          </cell>
        </row>
        <row r="829">
          <cell r="A829" t="str">
            <v>Ofsted Social Care Provider Webpage</v>
          </cell>
        </row>
        <row r="830">
          <cell r="A830" t="str">
            <v>Ofsted Social Care Provider Webpage</v>
          </cell>
        </row>
        <row r="831">
          <cell r="A831" t="str">
            <v>Ofsted Social Care Provider Webpage</v>
          </cell>
        </row>
        <row r="832">
          <cell r="A832" t="str">
            <v>Ofsted Social Care Provider Webpage</v>
          </cell>
        </row>
        <row r="833">
          <cell r="A833" t="str">
            <v>Ofsted Social Care Provider Webpage</v>
          </cell>
        </row>
        <row r="834">
          <cell r="A834" t="str">
            <v>Ofsted Social Care Provider Webpage</v>
          </cell>
        </row>
        <row r="835">
          <cell r="A835" t="str">
            <v>Ofsted Social Care Provider Webpage</v>
          </cell>
        </row>
        <row r="836">
          <cell r="A836" t="str">
            <v>Ofsted Social Care Provider Webpage</v>
          </cell>
        </row>
        <row r="837">
          <cell r="A837" t="str">
            <v>Ofsted Social Care Provider Webpage</v>
          </cell>
        </row>
        <row r="838">
          <cell r="A838" t="str">
            <v>Ofsted Social Care Provider Webpage</v>
          </cell>
        </row>
        <row r="839">
          <cell r="A839" t="str">
            <v>Ofsted Social Care Provider Webpage</v>
          </cell>
        </row>
        <row r="840">
          <cell r="A840" t="str">
            <v>Ofsted Social Care Provider Webpage</v>
          </cell>
        </row>
        <row r="841">
          <cell r="A841" t="str">
            <v>Ofsted Social Care Provider Webpage</v>
          </cell>
        </row>
        <row r="842">
          <cell r="A842" t="str">
            <v>Ofsted Social Care Provider Webpage</v>
          </cell>
        </row>
        <row r="843">
          <cell r="A843" t="str">
            <v>Ofsted Social Care Provider Webpage</v>
          </cell>
        </row>
        <row r="844">
          <cell r="A844" t="str">
            <v>Ofsted Social Care Provider Webpage</v>
          </cell>
        </row>
        <row r="845">
          <cell r="A845" t="str">
            <v>Ofsted Social Care Provider Webpage</v>
          </cell>
        </row>
        <row r="846">
          <cell r="A846" t="str">
            <v>Ofsted Social Care Provider Webpage</v>
          </cell>
        </row>
        <row r="847">
          <cell r="A847" t="str">
            <v>Ofsted Social Care Provider Webpage</v>
          </cell>
        </row>
        <row r="848">
          <cell r="A848" t="str">
            <v>Ofsted Social Care Provider Webpage</v>
          </cell>
        </row>
        <row r="849">
          <cell r="A849" t="str">
            <v>Ofsted Social Care Provider Webpage</v>
          </cell>
        </row>
        <row r="850">
          <cell r="A850" t="str">
            <v>Ofsted Social Care Provider Webpage</v>
          </cell>
        </row>
        <row r="851">
          <cell r="A851" t="str">
            <v>Ofsted Social Care Provider Webpage</v>
          </cell>
        </row>
        <row r="852">
          <cell r="A852" t="str">
            <v>Ofsted Social Care Provider Webpage</v>
          </cell>
        </row>
        <row r="853">
          <cell r="A853" t="str">
            <v>Ofsted Social Care Provider Webpage</v>
          </cell>
        </row>
        <row r="854">
          <cell r="A854" t="str">
            <v>Ofsted Social Care Provider Webpage</v>
          </cell>
        </row>
        <row r="855">
          <cell r="A855" t="str">
            <v>Ofsted Social Care Provider Webpage</v>
          </cell>
        </row>
        <row r="856">
          <cell r="A856" t="str">
            <v>Ofsted Social Care Provider Webpage</v>
          </cell>
        </row>
        <row r="857">
          <cell r="A857" t="str">
            <v>Ofsted Social Care Provider Webpage</v>
          </cell>
        </row>
        <row r="858">
          <cell r="A858" t="str">
            <v>Ofsted Social Care Provider Webpage</v>
          </cell>
        </row>
        <row r="859">
          <cell r="A859" t="str">
            <v>Ofsted Social Care Provider Webpage</v>
          </cell>
        </row>
        <row r="860">
          <cell r="A860" t="str">
            <v>Ofsted Social Care Provider Webpage</v>
          </cell>
        </row>
        <row r="861">
          <cell r="A861" t="str">
            <v>Ofsted Social Care Provider Webpage</v>
          </cell>
        </row>
        <row r="862">
          <cell r="A862" t="str">
            <v>Ofsted Social Care Provider Webpage</v>
          </cell>
        </row>
        <row r="863">
          <cell r="A863" t="str">
            <v>Ofsted Social Care Provider Webpage</v>
          </cell>
        </row>
        <row r="864">
          <cell r="A864" t="str">
            <v>Ofsted Social Care Provider Webpage</v>
          </cell>
        </row>
        <row r="865">
          <cell r="A865" t="str">
            <v>Ofsted Social Care Provider Webpage</v>
          </cell>
        </row>
        <row r="866">
          <cell r="A866" t="str">
            <v>Ofsted Social Care Provider Webpage</v>
          </cell>
        </row>
        <row r="867">
          <cell r="A867" t="str">
            <v>Ofsted Social Care Provider Webpage</v>
          </cell>
        </row>
        <row r="868">
          <cell r="A868" t="str">
            <v>Ofsted Social Care Provider Webpage</v>
          </cell>
        </row>
        <row r="869">
          <cell r="A869" t="str">
            <v>Ofsted Social Care Provider Webpage</v>
          </cell>
        </row>
        <row r="870">
          <cell r="A870" t="str">
            <v>Ofsted Social Care Provider Webpage</v>
          </cell>
        </row>
        <row r="871">
          <cell r="A871" t="str">
            <v>Ofsted Social Care Provider Webpage</v>
          </cell>
        </row>
        <row r="872">
          <cell r="A872" t="str">
            <v>Ofsted Social Care Provider Webpage</v>
          </cell>
        </row>
        <row r="873">
          <cell r="A873" t="str">
            <v>Ofsted Social Care Provider Webpage</v>
          </cell>
        </row>
        <row r="874">
          <cell r="A874" t="str">
            <v>Ofsted Social Care Provider Webpage</v>
          </cell>
        </row>
        <row r="875">
          <cell r="A875" t="str">
            <v>Ofsted Social Care Provider Webpage</v>
          </cell>
        </row>
        <row r="876">
          <cell r="A876" t="str">
            <v>Ofsted Social Care Provider Webpage</v>
          </cell>
        </row>
        <row r="877">
          <cell r="A877" t="str">
            <v>Ofsted Social Care Provider Webpage</v>
          </cell>
        </row>
        <row r="878">
          <cell r="A878" t="str">
            <v>Ofsted Social Care Provider Webpage</v>
          </cell>
        </row>
        <row r="879">
          <cell r="A879" t="str">
            <v>Ofsted Social Care Provider Webpage</v>
          </cell>
        </row>
        <row r="880">
          <cell r="A880" t="str">
            <v>Ofsted Social Care Provider Webpage</v>
          </cell>
        </row>
        <row r="881">
          <cell r="A881" t="str">
            <v>Ofsted Social Care Provider Webpage</v>
          </cell>
        </row>
        <row r="882">
          <cell r="A882" t="str">
            <v>Ofsted Social Care Provider Webpage</v>
          </cell>
        </row>
        <row r="883">
          <cell r="A883" t="str">
            <v>Ofsted Social Care Provider Webpage</v>
          </cell>
        </row>
        <row r="884">
          <cell r="A884" t="str">
            <v>Ofsted Social Care Provider Webpage</v>
          </cell>
        </row>
        <row r="885">
          <cell r="A885" t="str">
            <v>Ofsted Social Care Provider Webpage</v>
          </cell>
        </row>
        <row r="886">
          <cell r="A886" t="str">
            <v>Ofsted Social Care Provider Webpage</v>
          </cell>
        </row>
        <row r="887">
          <cell r="A887" t="str">
            <v>Ofsted Social Care Provider Webpage</v>
          </cell>
        </row>
        <row r="888">
          <cell r="A888" t="str">
            <v>Ofsted Social Care Provider Webpage</v>
          </cell>
        </row>
        <row r="889">
          <cell r="A889" t="str">
            <v>Ofsted Social Care Provider Webpage</v>
          </cell>
        </row>
        <row r="890">
          <cell r="A890" t="str">
            <v>Ofsted Social Care Provider Webpage</v>
          </cell>
        </row>
        <row r="891">
          <cell r="A891" t="str">
            <v>Ofsted Social Care Provider Webpage</v>
          </cell>
        </row>
        <row r="892">
          <cell r="A892" t="str">
            <v>Ofsted Social Care Provider Webpage</v>
          </cell>
        </row>
        <row r="893">
          <cell r="A893" t="str">
            <v>Ofsted Social Care Provider Webpage</v>
          </cell>
        </row>
        <row r="894">
          <cell r="A894" t="str">
            <v>Ofsted Social Care Provider Webpage</v>
          </cell>
        </row>
        <row r="895">
          <cell r="A895" t="str">
            <v>Ofsted Social Care Provider Webpage</v>
          </cell>
        </row>
        <row r="896">
          <cell r="A896" t="str">
            <v>Ofsted Social Care Provider Webpage</v>
          </cell>
        </row>
        <row r="897">
          <cell r="A897" t="str">
            <v>Ofsted Social Care Provider Webpage</v>
          </cell>
        </row>
        <row r="898">
          <cell r="A898" t="str">
            <v>Ofsted Social Care Provider Webpage</v>
          </cell>
        </row>
        <row r="899">
          <cell r="A899" t="str">
            <v>Ofsted Social Care Provider Webpage</v>
          </cell>
        </row>
        <row r="900">
          <cell r="A900" t="str">
            <v>Ofsted Social Care Provider Webpage</v>
          </cell>
        </row>
        <row r="901">
          <cell r="A901" t="str">
            <v>Ofsted Social Care Provider Webpage</v>
          </cell>
        </row>
        <row r="902">
          <cell r="A902" t="str">
            <v>Ofsted Social Care Provider Webpage</v>
          </cell>
        </row>
        <row r="903">
          <cell r="A903" t="str">
            <v>Ofsted Social Care Provider Webpage</v>
          </cell>
        </row>
        <row r="904">
          <cell r="A904" t="str">
            <v>Ofsted Social Care Provider Webpage</v>
          </cell>
        </row>
        <row r="905">
          <cell r="A905" t="str">
            <v>Ofsted Social Care Provider Webpage</v>
          </cell>
        </row>
        <row r="906">
          <cell r="A906" t="str">
            <v>Ofsted Social Care Provider Webpage</v>
          </cell>
        </row>
        <row r="907">
          <cell r="A907" t="str">
            <v>Ofsted Social Care Provider Webpage</v>
          </cell>
        </row>
        <row r="908">
          <cell r="A908" t="str">
            <v>Ofsted Social Care Provider Webpage</v>
          </cell>
        </row>
        <row r="909">
          <cell r="A909" t="str">
            <v>Ofsted Social Care Provider Webpage</v>
          </cell>
        </row>
        <row r="910">
          <cell r="A910" t="str">
            <v>Ofsted Social Care Provider Webpage</v>
          </cell>
        </row>
        <row r="911">
          <cell r="A911" t="str">
            <v>Ofsted Social Care Provider Webpage</v>
          </cell>
        </row>
        <row r="912">
          <cell r="A912" t="str">
            <v>Ofsted Social Care Provider Webpage</v>
          </cell>
        </row>
        <row r="913">
          <cell r="A913" t="str">
            <v>Ofsted Social Care Provider Webpage</v>
          </cell>
        </row>
        <row r="914">
          <cell r="A914" t="str">
            <v>Ofsted Social Care Provider Webpage</v>
          </cell>
        </row>
        <row r="915">
          <cell r="A915" t="str">
            <v>Ofsted Social Care Provider Webpage</v>
          </cell>
        </row>
        <row r="916">
          <cell r="A916" t="str">
            <v>Ofsted Social Care Provider Webpage</v>
          </cell>
        </row>
        <row r="917">
          <cell r="A917" t="str">
            <v>Ofsted Social Care Provider Webpage</v>
          </cell>
        </row>
        <row r="918">
          <cell r="A918" t="str">
            <v>Ofsted Social Care Provider Webpage</v>
          </cell>
        </row>
        <row r="919">
          <cell r="A919" t="str">
            <v>Ofsted Social Care Provider Webpage</v>
          </cell>
        </row>
        <row r="920">
          <cell r="A920" t="str">
            <v>Ofsted Social Care Provider Webpage</v>
          </cell>
        </row>
        <row r="921">
          <cell r="A921" t="str">
            <v>Ofsted Social Care Provider Webpage</v>
          </cell>
        </row>
        <row r="922">
          <cell r="A922" t="str">
            <v>Ofsted Social Care Provider Webpage</v>
          </cell>
        </row>
        <row r="923">
          <cell r="A923" t="str">
            <v>Ofsted Social Care Provider Webpage</v>
          </cell>
        </row>
        <row r="924">
          <cell r="A924" t="str">
            <v>Ofsted Social Care Provider Webpage</v>
          </cell>
        </row>
        <row r="925">
          <cell r="A925" t="str">
            <v>Ofsted Social Care Provider Webpage</v>
          </cell>
        </row>
        <row r="926">
          <cell r="A926" t="str">
            <v>Ofsted Social Care Provider Webpage</v>
          </cell>
        </row>
        <row r="927">
          <cell r="A927" t="str">
            <v>Ofsted Social Care Provider Webpage</v>
          </cell>
        </row>
        <row r="928">
          <cell r="A928" t="str">
            <v>Ofsted Social Care Provider Webpage</v>
          </cell>
        </row>
        <row r="929">
          <cell r="A929" t="str">
            <v>Ofsted Social Care Provider Webpage</v>
          </cell>
        </row>
        <row r="930">
          <cell r="A930" t="str">
            <v>Ofsted Social Care Provider Webpage</v>
          </cell>
        </row>
        <row r="931">
          <cell r="A931" t="str">
            <v>Ofsted Social Care Provider Webpage</v>
          </cell>
        </row>
        <row r="932">
          <cell r="A932" t="str">
            <v>Ofsted Social Care Provider Webpage</v>
          </cell>
        </row>
        <row r="933">
          <cell r="A933" t="str">
            <v>Ofsted Social Care Provider Webpage</v>
          </cell>
        </row>
        <row r="934">
          <cell r="A934" t="str">
            <v>Ofsted Social Care Provider Webpage</v>
          </cell>
        </row>
        <row r="935">
          <cell r="A935" t="str">
            <v>Ofsted Social Care Provider Webpage</v>
          </cell>
        </row>
        <row r="936">
          <cell r="A936" t="str">
            <v>Ofsted Social Care Provider Webpage</v>
          </cell>
        </row>
        <row r="937">
          <cell r="A937" t="str">
            <v>Ofsted Social Care Provider Webpage</v>
          </cell>
        </row>
        <row r="938">
          <cell r="A938" t="str">
            <v>Ofsted Social Care Provider Webpage</v>
          </cell>
        </row>
        <row r="939">
          <cell r="A939" t="str">
            <v>Ofsted Social Care Provider Webpage</v>
          </cell>
        </row>
        <row r="940">
          <cell r="A940" t="str">
            <v>Ofsted Social Care Provider Webpage</v>
          </cell>
        </row>
        <row r="941">
          <cell r="A941" t="str">
            <v>Ofsted Social Care Provider Webpage</v>
          </cell>
        </row>
        <row r="942">
          <cell r="A942" t="str">
            <v>Ofsted Social Care Provider Webpage</v>
          </cell>
        </row>
        <row r="943">
          <cell r="A943" t="str">
            <v>Ofsted Social Care Provider Webpage</v>
          </cell>
        </row>
        <row r="944">
          <cell r="A944" t="str">
            <v>Ofsted Social Care Provider Webpage</v>
          </cell>
        </row>
        <row r="945">
          <cell r="A945" t="str">
            <v>Ofsted Social Care Provider Webpage</v>
          </cell>
        </row>
        <row r="946">
          <cell r="A946" t="str">
            <v>Ofsted Social Care Provider Webpage</v>
          </cell>
        </row>
        <row r="947">
          <cell r="A947" t="str">
            <v>Ofsted Social Care Provider Webpage</v>
          </cell>
        </row>
        <row r="948">
          <cell r="A948" t="str">
            <v>Ofsted Social Care Provider Webpage</v>
          </cell>
        </row>
        <row r="949">
          <cell r="A949" t="str">
            <v>Ofsted Social Care Provider Webpage</v>
          </cell>
        </row>
        <row r="950">
          <cell r="A950" t="str">
            <v>Ofsted Social Care Provider Webpage</v>
          </cell>
        </row>
        <row r="951">
          <cell r="A951" t="str">
            <v>Ofsted Social Care Provider Webpage</v>
          </cell>
        </row>
        <row r="952">
          <cell r="A952" t="str">
            <v>Ofsted Social Care Provider Webpage</v>
          </cell>
        </row>
        <row r="953">
          <cell r="A953" t="str">
            <v>Ofsted Social Care Provider Webpage</v>
          </cell>
        </row>
        <row r="954">
          <cell r="A954" t="str">
            <v>Ofsted Social Care Provider Webpage</v>
          </cell>
        </row>
        <row r="955">
          <cell r="A955" t="str">
            <v>Ofsted Social Care Provider Webpage</v>
          </cell>
        </row>
        <row r="956">
          <cell r="A956" t="str">
            <v>Ofsted Social Care Provider Webpage</v>
          </cell>
        </row>
        <row r="957">
          <cell r="A957" t="str">
            <v>Ofsted Social Care Provider Webpage</v>
          </cell>
        </row>
        <row r="958">
          <cell r="A958" t="str">
            <v>Ofsted Social Care Provider Webpage</v>
          </cell>
        </row>
        <row r="959">
          <cell r="A959" t="str">
            <v>Ofsted Social Care Provider Webpage</v>
          </cell>
        </row>
        <row r="960">
          <cell r="A960" t="str">
            <v>Ofsted Social Care Provider Webpage</v>
          </cell>
        </row>
        <row r="961">
          <cell r="A961" t="str">
            <v>Ofsted Social Care Provider Webpage</v>
          </cell>
        </row>
        <row r="962">
          <cell r="A962" t="str">
            <v>Ofsted Social Care Provider Webpage</v>
          </cell>
        </row>
        <row r="963">
          <cell r="A963" t="str">
            <v>Ofsted Social Care Provider Webpage</v>
          </cell>
        </row>
        <row r="964">
          <cell r="A964" t="str">
            <v>Ofsted Social Care Provider Webpage</v>
          </cell>
        </row>
        <row r="965">
          <cell r="A965" t="str">
            <v>Ofsted Social Care Provider Webpage</v>
          </cell>
        </row>
        <row r="966">
          <cell r="A966" t="str">
            <v>Ofsted Social Care Provider Webpage</v>
          </cell>
        </row>
        <row r="967">
          <cell r="A967" t="str">
            <v>Ofsted Social Care Provider Webpage</v>
          </cell>
        </row>
        <row r="968">
          <cell r="A968" t="str">
            <v>Ofsted Social Care Provider Webpage</v>
          </cell>
        </row>
        <row r="969">
          <cell r="A969" t="str">
            <v>Ofsted Social Care Provider Webpage</v>
          </cell>
        </row>
        <row r="970">
          <cell r="A970" t="str">
            <v>Ofsted Social Care Provider Webpage</v>
          </cell>
        </row>
        <row r="971">
          <cell r="A971" t="str">
            <v>Ofsted Social Care Provider Webpage</v>
          </cell>
        </row>
        <row r="972">
          <cell r="A972" t="str">
            <v>Ofsted Social Care Provider Webpage</v>
          </cell>
        </row>
        <row r="973">
          <cell r="A973" t="str">
            <v>Ofsted Social Care Provider Webpage</v>
          </cell>
        </row>
        <row r="974">
          <cell r="A974" t="str">
            <v>Ofsted Social Care Provider Webpage</v>
          </cell>
        </row>
        <row r="975">
          <cell r="A975" t="str">
            <v>Ofsted Social Care Provider Webpage</v>
          </cell>
        </row>
        <row r="976">
          <cell r="A976" t="str">
            <v>Ofsted Social Care Provider Webpage</v>
          </cell>
        </row>
        <row r="977">
          <cell r="A977" t="str">
            <v>Ofsted Social Care Provider Webpage</v>
          </cell>
        </row>
        <row r="978">
          <cell r="A978" t="str">
            <v>Ofsted Social Care Provider Webpage</v>
          </cell>
        </row>
        <row r="979">
          <cell r="A979" t="str">
            <v>Ofsted Social Care Provider Webpage</v>
          </cell>
        </row>
        <row r="980">
          <cell r="A980" t="str">
            <v>Ofsted Social Care Provider Webpage</v>
          </cell>
        </row>
        <row r="981">
          <cell r="A981" t="str">
            <v>Ofsted Social Care Provider Webpage</v>
          </cell>
        </row>
        <row r="982">
          <cell r="A982" t="str">
            <v>Ofsted Social Care Provider Webpage</v>
          </cell>
        </row>
        <row r="983">
          <cell r="A983" t="str">
            <v>Ofsted Social Care Provider Webpage</v>
          </cell>
        </row>
        <row r="984">
          <cell r="A984" t="str">
            <v>Ofsted Social Care Provider Webpage</v>
          </cell>
        </row>
        <row r="985">
          <cell r="A985" t="str">
            <v>Ofsted Social Care Provider Webpage</v>
          </cell>
        </row>
        <row r="986">
          <cell r="A986" t="str">
            <v>Ofsted Social Care Provider Webpage</v>
          </cell>
        </row>
        <row r="987">
          <cell r="A987" t="str">
            <v>Ofsted Social Care Provider Webpage</v>
          </cell>
        </row>
        <row r="988">
          <cell r="A988" t="str">
            <v>Ofsted Social Care Provider Webpage</v>
          </cell>
        </row>
        <row r="989">
          <cell r="A989" t="str">
            <v>Ofsted Social Care Provider Webpage</v>
          </cell>
        </row>
        <row r="990">
          <cell r="A990" t="str">
            <v>Ofsted Social Care Provider Webpage</v>
          </cell>
        </row>
        <row r="991">
          <cell r="A991" t="str">
            <v>Ofsted Social Care Provider Webpage</v>
          </cell>
        </row>
        <row r="992">
          <cell r="A992" t="str">
            <v>Ofsted Social Care Provider Webpage</v>
          </cell>
        </row>
        <row r="993">
          <cell r="A993" t="str">
            <v>Ofsted Social Care Provider Webpage</v>
          </cell>
        </row>
        <row r="994">
          <cell r="A994" t="str">
            <v>Ofsted Social Care Provider Webpage</v>
          </cell>
        </row>
        <row r="995">
          <cell r="A995" t="str">
            <v>Ofsted Social Care Provider Webpage</v>
          </cell>
        </row>
        <row r="996">
          <cell r="A996" t="str">
            <v>Ofsted Social Care Provider Webpage</v>
          </cell>
        </row>
        <row r="997">
          <cell r="A997" t="str">
            <v>Ofsted Social Care Provider Webpage</v>
          </cell>
        </row>
        <row r="998">
          <cell r="A998" t="str">
            <v>Ofsted Social Care Provider Webpage</v>
          </cell>
        </row>
        <row r="999">
          <cell r="A999" t="str">
            <v>Ofsted Social Care Provider Webpage</v>
          </cell>
        </row>
        <row r="1000">
          <cell r="A1000" t="str">
            <v>Ofsted Social Care Provider Webpage</v>
          </cell>
        </row>
        <row r="1001">
          <cell r="A1001" t="str">
            <v>Ofsted Social Care Provider Webpage</v>
          </cell>
        </row>
        <row r="1002">
          <cell r="A1002" t="str">
            <v>Ofsted Social Care Provider Webpage</v>
          </cell>
        </row>
        <row r="1003">
          <cell r="A1003" t="str">
            <v>Ofsted Social Care Provider Webpage</v>
          </cell>
        </row>
        <row r="1004">
          <cell r="A1004" t="str">
            <v>Ofsted Social Care Provider Webpage</v>
          </cell>
        </row>
        <row r="1005">
          <cell r="A1005" t="str">
            <v>Ofsted Social Care Provider Webpage</v>
          </cell>
        </row>
        <row r="1006">
          <cell r="A1006" t="str">
            <v>Ofsted Social Care Provider Webpage</v>
          </cell>
        </row>
        <row r="1007">
          <cell r="A1007" t="str">
            <v>Ofsted Social Care Provider Webpage</v>
          </cell>
        </row>
        <row r="1008">
          <cell r="A1008" t="str">
            <v>Ofsted Social Care Provider Webpage</v>
          </cell>
        </row>
        <row r="1009">
          <cell r="A1009" t="str">
            <v>Ofsted Social Care Provider Webpage</v>
          </cell>
        </row>
        <row r="1010">
          <cell r="A1010" t="str">
            <v>Ofsted Social Care Provider Webpage</v>
          </cell>
        </row>
        <row r="1011">
          <cell r="A1011" t="str">
            <v>Ofsted Social Care Provider Webpage</v>
          </cell>
        </row>
        <row r="1012">
          <cell r="A1012" t="str">
            <v>Ofsted Social Care Provider Webpage</v>
          </cell>
        </row>
        <row r="1013">
          <cell r="A1013" t="str">
            <v>Ofsted Social Care Provider Webpage</v>
          </cell>
        </row>
        <row r="1014">
          <cell r="A1014" t="str">
            <v>Ofsted Social Care Provider Webpage</v>
          </cell>
        </row>
        <row r="1015">
          <cell r="A1015" t="str">
            <v>Ofsted Social Care Provider Webpage</v>
          </cell>
        </row>
        <row r="1016">
          <cell r="A1016" t="str">
            <v>Ofsted Social Care Provider Webpage</v>
          </cell>
        </row>
        <row r="1017">
          <cell r="A1017" t="str">
            <v>Ofsted Social Care Provider Webpage</v>
          </cell>
        </row>
        <row r="1018">
          <cell r="A1018" t="str">
            <v>Ofsted Social Care Provider Webpage</v>
          </cell>
        </row>
        <row r="1019">
          <cell r="A1019" t="str">
            <v>Ofsted Social Care Provider Webpage</v>
          </cell>
        </row>
        <row r="1020">
          <cell r="A1020" t="str">
            <v>Ofsted Social Care Provider Webpage</v>
          </cell>
        </row>
        <row r="1021">
          <cell r="A1021" t="str">
            <v>Ofsted Social Care Provider Webpage</v>
          </cell>
        </row>
        <row r="1022">
          <cell r="A1022" t="str">
            <v>Ofsted Social Care Provider Webpage</v>
          </cell>
        </row>
        <row r="1023">
          <cell r="A1023" t="str">
            <v>Ofsted Social Care Provider Webpage</v>
          </cell>
        </row>
        <row r="1024">
          <cell r="A1024" t="str">
            <v>Ofsted Social Care Provider Webpage</v>
          </cell>
        </row>
        <row r="1025">
          <cell r="A1025" t="str">
            <v>Ofsted Social Care Provider Webpage</v>
          </cell>
        </row>
        <row r="1026">
          <cell r="A1026" t="str">
            <v>Ofsted Social Care Provider Webpage</v>
          </cell>
        </row>
        <row r="1027">
          <cell r="A1027" t="str">
            <v>Ofsted Social Care Provider Webpage</v>
          </cell>
        </row>
        <row r="1028">
          <cell r="A1028" t="str">
            <v>Ofsted Social Care Provider Webpage</v>
          </cell>
        </row>
        <row r="1029">
          <cell r="A1029" t="str">
            <v>Ofsted Social Care Provider Webpage</v>
          </cell>
        </row>
        <row r="1030">
          <cell r="A1030" t="str">
            <v>Ofsted Social Care Provider Webpage</v>
          </cell>
        </row>
        <row r="1031">
          <cell r="A1031" t="str">
            <v>Ofsted Social Care Provider Webpage</v>
          </cell>
        </row>
        <row r="1032">
          <cell r="A1032" t="str">
            <v>Ofsted Social Care Provider Webpage</v>
          </cell>
        </row>
        <row r="1033">
          <cell r="A1033" t="str">
            <v>Ofsted Social Care Provider Webpage</v>
          </cell>
        </row>
        <row r="1034">
          <cell r="A1034" t="str">
            <v>Ofsted Social Care Provider Webpage</v>
          </cell>
        </row>
        <row r="1035">
          <cell r="A1035" t="str">
            <v>Ofsted Social Care Provider Webpage</v>
          </cell>
        </row>
        <row r="1036">
          <cell r="A1036" t="str">
            <v>Ofsted Social Care Provider Webpage</v>
          </cell>
        </row>
        <row r="1037">
          <cell r="A1037" t="str">
            <v>Ofsted Social Care Provider Webpage</v>
          </cell>
        </row>
        <row r="1038">
          <cell r="A1038" t="str">
            <v>Ofsted Social Care Provider Webpage</v>
          </cell>
        </row>
        <row r="1039">
          <cell r="A1039" t="str">
            <v>Ofsted Social Care Provider Webpage</v>
          </cell>
        </row>
        <row r="1040">
          <cell r="A1040" t="str">
            <v>Ofsted Social Care Provider Webpage</v>
          </cell>
        </row>
        <row r="1041">
          <cell r="A1041" t="str">
            <v>Ofsted Social Care Provider Webpage</v>
          </cell>
        </row>
        <row r="1042">
          <cell r="A1042" t="str">
            <v>Ofsted Social Care Provider Webpage</v>
          </cell>
        </row>
        <row r="1043">
          <cell r="A1043" t="str">
            <v>Ofsted Social Care Provider Webpage</v>
          </cell>
        </row>
        <row r="1044">
          <cell r="A1044" t="str">
            <v>Ofsted Social Care Provider Webpage</v>
          </cell>
        </row>
        <row r="1045">
          <cell r="A1045" t="str">
            <v>Ofsted Social Care Provider Webpage</v>
          </cell>
        </row>
        <row r="1046">
          <cell r="A1046" t="str">
            <v>Ofsted Social Care Provider Webpage</v>
          </cell>
        </row>
        <row r="1047">
          <cell r="A1047" t="str">
            <v>Ofsted Social Care Provider Webpage</v>
          </cell>
        </row>
        <row r="1048">
          <cell r="A1048" t="str">
            <v>Ofsted Social Care Provider Webpage</v>
          </cell>
        </row>
        <row r="1049">
          <cell r="A1049" t="str">
            <v>Ofsted Social Care Provider Webpage</v>
          </cell>
        </row>
        <row r="1050">
          <cell r="A1050" t="str">
            <v>Ofsted Social Care Provider Webpage</v>
          </cell>
        </row>
        <row r="1051">
          <cell r="A1051" t="str">
            <v>Ofsted Social Care Provider Webpage</v>
          </cell>
        </row>
        <row r="1052">
          <cell r="A1052" t="str">
            <v>Ofsted Social Care Provider Webpage</v>
          </cell>
        </row>
        <row r="1053">
          <cell r="A1053" t="str">
            <v>Ofsted Social Care Provider Webpage</v>
          </cell>
        </row>
        <row r="1054">
          <cell r="A1054" t="str">
            <v>Ofsted Social Care Provider Webpage</v>
          </cell>
        </row>
        <row r="1055">
          <cell r="A1055" t="str">
            <v>Ofsted Social Care Provider Webpage</v>
          </cell>
        </row>
        <row r="1056">
          <cell r="A1056" t="str">
            <v>Ofsted Social Care Provider Webpage</v>
          </cell>
        </row>
        <row r="1057">
          <cell r="A1057" t="str">
            <v>Ofsted Social Care Provider Webpage</v>
          </cell>
        </row>
        <row r="1058">
          <cell r="A1058" t="str">
            <v>Ofsted Social Care Provider Webpage</v>
          </cell>
        </row>
        <row r="1059">
          <cell r="A1059" t="str">
            <v>Ofsted Social Care Provider Webpage</v>
          </cell>
        </row>
        <row r="1060">
          <cell r="A1060" t="str">
            <v>Ofsted Social Care Provider Webpage</v>
          </cell>
        </row>
        <row r="1061">
          <cell r="A1061" t="str">
            <v>Ofsted Social Care Provider Webpage</v>
          </cell>
        </row>
        <row r="1062">
          <cell r="A1062" t="str">
            <v>Ofsted Social Care Provider Webpage</v>
          </cell>
        </row>
        <row r="1063">
          <cell r="A1063" t="str">
            <v>Ofsted Social Care Provider Webpage</v>
          </cell>
        </row>
        <row r="1064">
          <cell r="A1064" t="str">
            <v>Ofsted Social Care Provider Webpage</v>
          </cell>
        </row>
        <row r="1065">
          <cell r="A1065" t="str">
            <v>Ofsted Social Care Provider Webpage</v>
          </cell>
        </row>
        <row r="1066">
          <cell r="A1066" t="str">
            <v>Ofsted Social Care Provider Webpage</v>
          </cell>
        </row>
        <row r="1067">
          <cell r="A1067" t="str">
            <v>Ofsted Social Care Provider Webpage</v>
          </cell>
        </row>
        <row r="1068">
          <cell r="A1068" t="str">
            <v>Ofsted Social Care Provider Webpage</v>
          </cell>
        </row>
        <row r="1069">
          <cell r="A1069" t="str">
            <v>Ofsted Social Care Provider Webpage</v>
          </cell>
        </row>
        <row r="1070">
          <cell r="A1070" t="str">
            <v>Ofsted Social Care Provider Webpage</v>
          </cell>
        </row>
        <row r="1071">
          <cell r="A1071" t="str">
            <v>Ofsted Social Care Provider Webpage</v>
          </cell>
        </row>
        <row r="1072">
          <cell r="A1072" t="str">
            <v>Ofsted Social Care Provider Webpage</v>
          </cell>
        </row>
        <row r="1073">
          <cell r="A1073" t="str">
            <v>Ofsted Social Care Provider Webpage</v>
          </cell>
        </row>
        <row r="1074">
          <cell r="A1074" t="str">
            <v>Ofsted Social Care Provider Webpage</v>
          </cell>
        </row>
        <row r="1075">
          <cell r="A1075" t="str">
            <v>Ofsted Social Care Provider Webpage</v>
          </cell>
        </row>
        <row r="1076">
          <cell r="A1076" t="str">
            <v>Ofsted Social Care Provider Webpage</v>
          </cell>
        </row>
        <row r="1077">
          <cell r="A1077" t="str">
            <v>Ofsted Social Care Provider Webpage</v>
          </cell>
        </row>
        <row r="1078">
          <cell r="A1078" t="str">
            <v>Ofsted Social Care Provider Webpage</v>
          </cell>
        </row>
        <row r="1079">
          <cell r="A1079" t="str">
            <v>Ofsted Social Care Provider Webpage</v>
          </cell>
        </row>
        <row r="1080">
          <cell r="A1080" t="str">
            <v>Ofsted Social Care Provider Webpage</v>
          </cell>
        </row>
        <row r="1081">
          <cell r="A1081" t="str">
            <v>Ofsted Social Care Provider Webpage</v>
          </cell>
        </row>
        <row r="1082">
          <cell r="A1082" t="str">
            <v>Ofsted Social Care Provider Webpage</v>
          </cell>
        </row>
        <row r="1083">
          <cell r="A1083" t="str">
            <v>Ofsted Social Care Provider Webpage</v>
          </cell>
        </row>
        <row r="1084">
          <cell r="A1084" t="str">
            <v>Ofsted Social Care Provider Webpage</v>
          </cell>
        </row>
        <row r="1085">
          <cell r="A1085" t="str">
            <v>Ofsted Social Care Provider Webpage</v>
          </cell>
        </row>
        <row r="1086">
          <cell r="A1086" t="str">
            <v>Ofsted Social Care Provider Webpage</v>
          </cell>
        </row>
        <row r="1087">
          <cell r="A1087" t="str">
            <v>Ofsted Social Care Provider Webpage</v>
          </cell>
        </row>
        <row r="1088">
          <cell r="A1088" t="str">
            <v>Ofsted Social Care Provider Webpage</v>
          </cell>
        </row>
        <row r="1089">
          <cell r="A1089" t="str">
            <v>Ofsted Social Care Provider Webpage</v>
          </cell>
        </row>
        <row r="1090">
          <cell r="A1090" t="str">
            <v>Ofsted Social Care Provider Webpage</v>
          </cell>
        </row>
        <row r="1091">
          <cell r="A1091" t="str">
            <v>Ofsted Social Care Provider Webpage</v>
          </cell>
        </row>
        <row r="1092">
          <cell r="A1092" t="str">
            <v>Ofsted Social Care Provider Webpage</v>
          </cell>
        </row>
        <row r="1093">
          <cell r="A1093" t="str">
            <v>Ofsted Social Care Provider Webpage</v>
          </cell>
        </row>
        <row r="1094">
          <cell r="A1094" t="str">
            <v>Ofsted Social Care Provider Webpage</v>
          </cell>
        </row>
        <row r="1095">
          <cell r="A1095" t="str">
            <v>Ofsted Social Care Provider Webpage</v>
          </cell>
        </row>
        <row r="1096">
          <cell r="A1096" t="str">
            <v>Ofsted Social Care Provider Webpage</v>
          </cell>
        </row>
        <row r="1097">
          <cell r="A1097" t="str">
            <v>Ofsted Social Care Provider Webpage</v>
          </cell>
        </row>
        <row r="1098">
          <cell r="A1098" t="str">
            <v>Ofsted Social Care Provider Webpage</v>
          </cell>
        </row>
        <row r="1099">
          <cell r="A1099" t="str">
            <v>Ofsted Social Care Provider Webpage</v>
          </cell>
        </row>
        <row r="1100">
          <cell r="A1100" t="str">
            <v>Ofsted Social Care Provider Webpage</v>
          </cell>
        </row>
        <row r="1101">
          <cell r="A1101" t="str">
            <v>Ofsted Social Care Provider Webpage</v>
          </cell>
        </row>
        <row r="1102">
          <cell r="A1102" t="str">
            <v>Ofsted Social Care Provider Webpage</v>
          </cell>
        </row>
        <row r="1103">
          <cell r="A1103" t="str">
            <v>Ofsted Social Care Provider Webpage</v>
          </cell>
        </row>
        <row r="1104">
          <cell r="A1104" t="str">
            <v>Ofsted Social Care Provider Webpage</v>
          </cell>
        </row>
        <row r="1105">
          <cell r="A1105" t="str">
            <v>Ofsted Social Care Provider Webpage</v>
          </cell>
        </row>
        <row r="1106">
          <cell r="A1106" t="str">
            <v>Ofsted Social Care Provider Webpage</v>
          </cell>
        </row>
        <row r="1107">
          <cell r="A1107" t="str">
            <v>Ofsted Social Care Provider Webpage</v>
          </cell>
        </row>
        <row r="1108">
          <cell r="A1108" t="str">
            <v>Ofsted Social Care Provider Webpage</v>
          </cell>
        </row>
        <row r="1109">
          <cell r="A1109" t="str">
            <v>Ofsted Social Care Provider Webpage</v>
          </cell>
        </row>
        <row r="1110">
          <cell r="A1110" t="str">
            <v>Ofsted Social Care Provider Webpage</v>
          </cell>
        </row>
        <row r="1111">
          <cell r="A1111" t="str">
            <v>Ofsted Social Care Provider Webpage</v>
          </cell>
        </row>
        <row r="1112">
          <cell r="A1112" t="str">
            <v>Ofsted Social Care Provider Webpage</v>
          </cell>
        </row>
        <row r="1113">
          <cell r="A1113" t="str">
            <v>Ofsted Social Care Provider Webpage</v>
          </cell>
        </row>
        <row r="1114">
          <cell r="A1114" t="str">
            <v>Ofsted Social Care Provider Webpage</v>
          </cell>
        </row>
        <row r="1115">
          <cell r="A1115" t="str">
            <v>Ofsted Social Care Provider Webpage</v>
          </cell>
        </row>
        <row r="1116">
          <cell r="A1116" t="str">
            <v>Ofsted Social Care Provider Webpage</v>
          </cell>
        </row>
        <row r="1117">
          <cell r="A1117" t="str">
            <v>Ofsted Social Care Provider Webpage</v>
          </cell>
        </row>
        <row r="1118">
          <cell r="A1118" t="str">
            <v>Ofsted Social Care Provider Webpage</v>
          </cell>
        </row>
        <row r="1119">
          <cell r="A1119" t="str">
            <v>Ofsted Social Care Provider Webpage</v>
          </cell>
        </row>
        <row r="1120">
          <cell r="A1120" t="str">
            <v>Ofsted Social Care Provider Webpage</v>
          </cell>
        </row>
        <row r="1121">
          <cell r="A1121" t="str">
            <v>Ofsted Social Care Provider Webpage</v>
          </cell>
        </row>
        <row r="1122">
          <cell r="A1122" t="str">
            <v>Ofsted Social Care Provider Webpage</v>
          </cell>
        </row>
        <row r="1123">
          <cell r="A1123" t="str">
            <v>Ofsted Social Care Provider Webpage</v>
          </cell>
        </row>
        <row r="1124">
          <cell r="A1124" t="str">
            <v>Ofsted Social Care Provider Webpage</v>
          </cell>
        </row>
        <row r="1125">
          <cell r="A1125" t="str">
            <v>Ofsted Social Care Provider Webpage</v>
          </cell>
        </row>
        <row r="1126">
          <cell r="A1126" t="str">
            <v>Ofsted Social Care Provider Webpage</v>
          </cell>
        </row>
        <row r="1127">
          <cell r="A1127" t="str">
            <v>Ofsted Social Care Provider Webpage</v>
          </cell>
        </row>
        <row r="1128">
          <cell r="A1128" t="str">
            <v>Ofsted Social Care Provider Webpage</v>
          </cell>
        </row>
        <row r="1129">
          <cell r="A1129" t="str">
            <v>Ofsted Social Care Provider Webpage</v>
          </cell>
        </row>
        <row r="1130">
          <cell r="A1130" t="str">
            <v>Ofsted Social Care Provider Webpage</v>
          </cell>
        </row>
        <row r="1131">
          <cell r="A1131" t="str">
            <v>Ofsted Social Care Provider Webpage</v>
          </cell>
        </row>
        <row r="1132">
          <cell r="A1132" t="str">
            <v>Ofsted Social Care Provider Webpage</v>
          </cell>
        </row>
        <row r="1133">
          <cell r="A1133" t="str">
            <v>Ofsted Social Care Provider Webpage</v>
          </cell>
        </row>
        <row r="1134">
          <cell r="A1134" t="str">
            <v>Ofsted Social Care Provider Webpage</v>
          </cell>
        </row>
        <row r="1135">
          <cell r="A1135" t="str">
            <v>Ofsted Social Care Provider Webpage</v>
          </cell>
        </row>
        <row r="1136">
          <cell r="A1136" t="str">
            <v>Ofsted Social Care Provider Webpage</v>
          </cell>
        </row>
        <row r="1137">
          <cell r="A1137" t="str">
            <v>Ofsted Social Care Provider Webpage</v>
          </cell>
        </row>
        <row r="1138">
          <cell r="A1138" t="str">
            <v>Ofsted Social Care Provider Webpage</v>
          </cell>
        </row>
        <row r="1139">
          <cell r="A1139" t="str">
            <v>Ofsted Social Care Provider Webpage</v>
          </cell>
        </row>
        <row r="1140">
          <cell r="A1140" t="str">
            <v>Ofsted Social Care Provider Webpage</v>
          </cell>
        </row>
        <row r="1141">
          <cell r="A1141" t="str">
            <v>Ofsted Social Care Provider Webpage</v>
          </cell>
        </row>
        <row r="1142">
          <cell r="A1142" t="str">
            <v>Ofsted Social Care Provider Webpage</v>
          </cell>
        </row>
        <row r="1143">
          <cell r="A1143" t="str">
            <v>Ofsted Social Care Provider Webpage</v>
          </cell>
        </row>
        <row r="1144">
          <cell r="A1144" t="str">
            <v>Ofsted Social Care Provider Webpage</v>
          </cell>
        </row>
        <row r="1145">
          <cell r="A1145" t="str">
            <v>Ofsted Social Care Provider Webpage</v>
          </cell>
        </row>
        <row r="1146">
          <cell r="A1146" t="str">
            <v>Ofsted Social Care Provider Webpage</v>
          </cell>
        </row>
        <row r="1147">
          <cell r="A1147" t="str">
            <v>Ofsted Social Care Provider Webpage</v>
          </cell>
        </row>
        <row r="1148">
          <cell r="A1148" t="str">
            <v>Ofsted Social Care Provider Webpage</v>
          </cell>
        </row>
        <row r="1149">
          <cell r="A1149" t="str">
            <v>Ofsted Social Care Provider Webpage</v>
          </cell>
        </row>
        <row r="1150">
          <cell r="A1150" t="str">
            <v>Ofsted Social Care Provider Webpage</v>
          </cell>
        </row>
        <row r="1151">
          <cell r="A1151" t="str">
            <v>Ofsted Social Care Provider Webpage</v>
          </cell>
        </row>
        <row r="1152">
          <cell r="A1152" t="str">
            <v>Ofsted Social Care Provider Webpage</v>
          </cell>
        </row>
        <row r="1153">
          <cell r="A1153" t="str">
            <v>Ofsted Social Care Provider Webpage</v>
          </cell>
        </row>
        <row r="1154">
          <cell r="A1154" t="str">
            <v>Ofsted Social Care Provider Webpage</v>
          </cell>
        </row>
        <row r="1155">
          <cell r="A1155" t="str">
            <v>Ofsted Social Care Provider Webpage</v>
          </cell>
        </row>
        <row r="1156">
          <cell r="A1156" t="str">
            <v>Ofsted Social Care Provider Webpage</v>
          </cell>
        </row>
        <row r="1157">
          <cell r="A1157" t="str">
            <v>Ofsted Social Care Provider Webpage</v>
          </cell>
        </row>
        <row r="1158">
          <cell r="A1158" t="str">
            <v>Ofsted Social Care Provider Webpage</v>
          </cell>
        </row>
        <row r="1159">
          <cell r="A1159" t="str">
            <v>Ofsted Social Care Provider Webpage</v>
          </cell>
        </row>
        <row r="1160">
          <cell r="A1160" t="str">
            <v>Ofsted Social Care Provider Webpage</v>
          </cell>
        </row>
        <row r="1161">
          <cell r="A1161" t="str">
            <v>Ofsted Social Care Provider Webpage</v>
          </cell>
        </row>
        <row r="1162">
          <cell r="A1162" t="str">
            <v>Ofsted Social Care Provider Webpage</v>
          </cell>
        </row>
        <row r="1163">
          <cell r="A1163" t="str">
            <v>Ofsted Social Care Provider Webpage</v>
          </cell>
        </row>
        <row r="1164">
          <cell r="A1164" t="str">
            <v>Ofsted Social Care Provider Webpage</v>
          </cell>
        </row>
        <row r="1165">
          <cell r="A1165" t="str">
            <v>Ofsted Social Care Provider Webpage</v>
          </cell>
        </row>
        <row r="1166">
          <cell r="A1166" t="str">
            <v>Ofsted Social Care Provider Webpage</v>
          </cell>
        </row>
        <row r="1167">
          <cell r="A1167" t="str">
            <v>Ofsted Social Care Provider Webpage</v>
          </cell>
        </row>
        <row r="1168">
          <cell r="A1168" t="str">
            <v>Ofsted Social Care Provider Webpage</v>
          </cell>
        </row>
        <row r="1169">
          <cell r="A1169" t="str">
            <v>Ofsted Social Care Provider Webpage</v>
          </cell>
        </row>
        <row r="1170">
          <cell r="A1170" t="str">
            <v>Ofsted Social Care Provider Webpage</v>
          </cell>
        </row>
        <row r="1171">
          <cell r="A1171" t="str">
            <v>Ofsted Social Care Provider Webpage</v>
          </cell>
        </row>
        <row r="1172">
          <cell r="A1172" t="str">
            <v>Ofsted Social Care Provider Webpage</v>
          </cell>
        </row>
        <row r="1173">
          <cell r="A1173" t="str">
            <v>Ofsted Social Care Provider Webpage</v>
          </cell>
        </row>
        <row r="1174">
          <cell r="A1174" t="str">
            <v>Ofsted Social Care Provider Webpage</v>
          </cell>
        </row>
        <row r="1175">
          <cell r="A1175" t="str">
            <v>Ofsted Social Care Provider Webpage</v>
          </cell>
        </row>
        <row r="1176">
          <cell r="A1176" t="str">
            <v>Ofsted Social Care Provider Webpage</v>
          </cell>
        </row>
        <row r="1177">
          <cell r="A1177" t="str">
            <v>Ofsted Social Care Provider Webpage</v>
          </cell>
        </row>
        <row r="1178">
          <cell r="A1178" t="str">
            <v>Ofsted Social Care Provider Webpage</v>
          </cell>
        </row>
        <row r="1179">
          <cell r="A1179" t="str">
            <v>Ofsted Social Care Provider Webpage</v>
          </cell>
        </row>
        <row r="1180">
          <cell r="A1180" t="str">
            <v>Ofsted Social Care Provider Webpage</v>
          </cell>
        </row>
        <row r="1181">
          <cell r="A1181" t="str">
            <v>Ofsted Social Care Provider Webpage</v>
          </cell>
        </row>
        <row r="1182">
          <cell r="A1182" t="str">
            <v>Ofsted Social Care Provider Webpage</v>
          </cell>
        </row>
        <row r="1183">
          <cell r="A1183" t="str">
            <v>Ofsted Social Care Provider Webpage</v>
          </cell>
        </row>
        <row r="1184">
          <cell r="A1184" t="str">
            <v>Ofsted Social Care Provider Webpage</v>
          </cell>
        </row>
        <row r="1185">
          <cell r="A1185" t="str">
            <v>Ofsted Social Care Provider Webpage</v>
          </cell>
        </row>
        <row r="1186">
          <cell r="A1186" t="str">
            <v>Ofsted Social Care Provider Webpage</v>
          </cell>
        </row>
        <row r="1187">
          <cell r="A1187" t="str">
            <v>Ofsted Social Care Provider Webpage</v>
          </cell>
        </row>
        <row r="1188">
          <cell r="A1188" t="str">
            <v>Ofsted Social Care Provider Webpage</v>
          </cell>
        </row>
        <row r="1189">
          <cell r="A1189" t="str">
            <v>Ofsted Social Care Provider Webpage</v>
          </cell>
        </row>
        <row r="1190">
          <cell r="A1190" t="str">
            <v>Ofsted Social Care Provider Webpage</v>
          </cell>
        </row>
        <row r="1191">
          <cell r="A1191" t="str">
            <v>Ofsted Social Care Provider Webpage</v>
          </cell>
        </row>
        <row r="1192">
          <cell r="A1192" t="str">
            <v>Ofsted Social Care Provider Webpage</v>
          </cell>
        </row>
        <row r="1193">
          <cell r="A1193" t="str">
            <v>Ofsted Social Care Provider Webpage</v>
          </cell>
        </row>
        <row r="1194">
          <cell r="A1194" t="str">
            <v>Ofsted Social Care Provider Webpage</v>
          </cell>
        </row>
        <row r="1195">
          <cell r="A1195" t="str">
            <v>Ofsted Social Care Provider Webpage</v>
          </cell>
        </row>
        <row r="1196">
          <cell r="A1196" t="str">
            <v>Ofsted Social Care Provider Webpage</v>
          </cell>
        </row>
        <row r="1197">
          <cell r="A1197" t="str">
            <v>Ofsted Social Care Provider Webpage</v>
          </cell>
        </row>
        <row r="1198">
          <cell r="A1198" t="str">
            <v>Ofsted Social Care Provider Webpage</v>
          </cell>
        </row>
        <row r="1199">
          <cell r="A1199" t="str">
            <v>Ofsted Social Care Provider Webpage</v>
          </cell>
        </row>
        <row r="1200">
          <cell r="A1200" t="str">
            <v>Ofsted Social Care Provider Webpage</v>
          </cell>
        </row>
        <row r="1201">
          <cell r="A1201" t="str">
            <v>Ofsted Social Care Provider Webpage</v>
          </cell>
        </row>
        <row r="1202">
          <cell r="A1202" t="str">
            <v>Ofsted Social Care Provider Webpage</v>
          </cell>
        </row>
        <row r="1203">
          <cell r="A1203" t="str">
            <v>Ofsted Social Care Provider Webpage</v>
          </cell>
        </row>
        <row r="1204">
          <cell r="A1204" t="str">
            <v>Ofsted Social Care Provider Webpage</v>
          </cell>
        </row>
        <row r="1205">
          <cell r="A1205" t="str">
            <v>Ofsted Social Care Provider Webpage</v>
          </cell>
        </row>
        <row r="1206">
          <cell r="A1206" t="str">
            <v>Ofsted Social Care Provider Webpage</v>
          </cell>
        </row>
        <row r="1207">
          <cell r="A1207" t="str">
            <v>Ofsted Social Care Provider Webpage</v>
          </cell>
        </row>
        <row r="1208">
          <cell r="A1208" t="str">
            <v>Ofsted Social Care Provider Webpage</v>
          </cell>
        </row>
        <row r="1209">
          <cell r="A1209" t="str">
            <v>Ofsted Social Care Provider Webpage</v>
          </cell>
        </row>
        <row r="1210">
          <cell r="A1210" t="str">
            <v>Ofsted Social Care Provider Webpage</v>
          </cell>
        </row>
        <row r="1211">
          <cell r="A1211" t="str">
            <v>Ofsted Social Care Provider Webpage</v>
          </cell>
        </row>
        <row r="1212">
          <cell r="A1212" t="str">
            <v>Ofsted Social Care Provider Webpage</v>
          </cell>
        </row>
        <row r="1213">
          <cell r="A1213" t="str">
            <v>Ofsted Social Care Provider Webpage</v>
          </cell>
        </row>
        <row r="1214">
          <cell r="A1214" t="str">
            <v>Ofsted Social Care Provider Webpage</v>
          </cell>
        </row>
        <row r="1215">
          <cell r="A1215" t="str">
            <v>Ofsted Social Care Provider Webpage</v>
          </cell>
        </row>
        <row r="1216">
          <cell r="A1216" t="str">
            <v>Ofsted Social Care Provider Webpage</v>
          </cell>
        </row>
        <row r="1217">
          <cell r="A1217" t="str">
            <v>Ofsted Social Care Provider Webpage</v>
          </cell>
        </row>
        <row r="1218">
          <cell r="A1218" t="str">
            <v>Ofsted Social Care Provider Webpage</v>
          </cell>
        </row>
        <row r="1219">
          <cell r="A1219" t="str">
            <v>Ofsted Social Care Provider Webpage</v>
          </cell>
        </row>
        <row r="1220">
          <cell r="A1220" t="str">
            <v>Ofsted Social Care Provider Webpage</v>
          </cell>
        </row>
        <row r="1221">
          <cell r="A1221" t="str">
            <v>Ofsted Social Care Provider Webpage</v>
          </cell>
        </row>
        <row r="1222">
          <cell r="A1222" t="str">
            <v>Ofsted Social Care Provider Webpage</v>
          </cell>
        </row>
        <row r="1223">
          <cell r="A1223" t="str">
            <v>Ofsted Social Care Provider Webpage</v>
          </cell>
        </row>
        <row r="1224">
          <cell r="A1224" t="str">
            <v>Ofsted Social Care Provider Webpage</v>
          </cell>
        </row>
        <row r="1225">
          <cell r="A1225" t="str">
            <v>Ofsted Social Care Provider Webpage</v>
          </cell>
        </row>
        <row r="1226">
          <cell r="A1226" t="str">
            <v>Ofsted Social Care Provider Webpage</v>
          </cell>
        </row>
        <row r="1227">
          <cell r="A1227" t="str">
            <v>Ofsted Social Care Provider Webpage</v>
          </cell>
        </row>
        <row r="1228">
          <cell r="A1228" t="str">
            <v>Ofsted Social Care Provider Webpage</v>
          </cell>
        </row>
        <row r="1229">
          <cell r="A1229" t="str">
            <v>Ofsted Social Care Provider Webpage</v>
          </cell>
        </row>
        <row r="1230">
          <cell r="A1230" t="str">
            <v>Ofsted Social Care Provider Webpage</v>
          </cell>
        </row>
        <row r="1231">
          <cell r="A1231" t="str">
            <v>Ofsted Social Care Provider Webpage</v>
          </cell>
        </row>
        <row r="1232">
          <cell r="A1232" t="str">
            <v>Ofsted Social Care Provider Webpage</v>
          </cell>
        </row>
        <row r="1233">
          <cell r="A1233" t="str">
            <v>Ofsted Social Care Provider Webpage</v>
          </cell>
        </row>
        <row r="1234">
          <cell r="A1234" t="str">
            <v>Ofsted Social Care Provider Webpage</v>
          </cell>
        </row>
        <row r="1235">
          <cell r="A1235" t="str">
            <v>Ofsted Social Care Provider Webpage</v>
          </cell>
        </row>
        <row r="1236">
          <cell r="A1236" t="str">
            <v>Ofsted Social Care Provider Webpage</v>
          </cell>
        </row>
        <row r="1237">
          <cell r="A1237" t="str">
            <v>Ofsted Social Care Provider Webpage</v>
          </cell>
        </row>
        <row r="1238">
          <cell r="A1238" t="str">
            <v>Ofsted Social Care Provider Webpage</v>
          </cell>
        </row>
        <row r="1239">
          <cell r="A1239" t="str">
            <v>Ofsted Social Care Provider Webpage</v>
          </cell>
        </row>
        <row r="1240">
          <cell r="A1240" t="str">
            <v>Ofsted Social Care Provider Webpage</v>
          </cell>
        </row>
        <row r="1241">
          <cell r="A1241" t="str">
            <v>Ofsted Social Care Provider Webpage</v>
          </cell>
        </row>
        <row r="1242">
          <cell r="A1242" t="str">
            <v>Ofsted Social Care Provider Webpage</v>
          </cell>
        </row>
        <row r="1243">
          <cell r="A1243" t="str">
            <v>Ofsted Social Care Provider Webpage</v>
          </cell>
        </row>
        <row r="1244">
          <cell r="A1244" t="str">
            <v>Ofsted Social Care Provider Webpage</v>
          </cell>
        </row>
        <row r="1245">
          <cell r="A1245" t="str">
            <v>Ofsted Social Care Provider Webpage</v>
          </cell>
        </row>
        <row r="1246">
          <cell r="A1246" t="str">
            <v>Ofsted Social Care Provider Webpage</v>
          </cell>
        </row>
        <row r="1247">
          <cell r="A1247" t="str">
            <v>Ofsted Social Care Provider Webpage</v>
          </cell>
        </row>
        <row r="1248">
          <cell r="A1248" t="str">
            <v>Ofsted Social Care Provider Webpage</v>
          </cell>
        </row>
        <row r="1249">
          <cell r="A1249" t="str">
            <v>Ofsted Social Care Provider Webpage</v>
          </cell>
        </row>
        <row r="1250">
          <cell r="A1250" t="str">
            <v>Ofsted Social Care Provider Webpage</v>
          </cell>
        </row>
        <row r="1251">
          <cell r="A1251" t="str">
            <v>Ofsted Social Care Provider Webpage</v>
          </cell>
        </row>
        <row r="1252">
          <cell r="A1252" t="str">
            <v>Ofsted Social Care Provider Webpage</v>
          </cell>
        </row>
        <row r="1253">
          <cell r="A1253" t="str">
            <v>Ofsted Social Care Provider Webpage</v>
          </cell>
        </row>
        <row r="1254">
          <cell r="A1254" t="str">
            <v>Ofsted Social Care Provider Webpage</v>
          </cell>
        </row>
        <row r="1255">
          <cell r="A1255" t="str">
            <v>Ofsted Social Care Provider Webpage</v>
          </cell>
        </row>
        <row r="1256">
          <cell r="A1256" t="str">
            <v>Ofsted Social Care Provider Webpage</v>
          </cell>
        </row>
        <row r="1257">
          <cell r="A1257" t="str">
            <v>Ofsted Social Care Provider Webpage</v>
          </cell>
        </row>
        <row r="1258">
          <cell r="A1258" t="str">
            <v>Ofsted Social Care Provider Webpage</v>
          </cell>
        </row>
        <row r="1259">
          <cell r="A1259" t="str">
            <v>Ofsted Social Care Provider Webpage</v>
          </cell>
        </row>
        <row r="1260">
          <cell r="A1260" t="str">
            <v>Ofsted Social Care Provider Webpage</v>
          </cell>
        </row>
        <row r="1261">
          <cell r="A1261" t="str">
            <v>Ofsted Social Care Provider Webpage</v>
          </cell>
        </row>
        <row r="1262">
          <cell r="A1262" t="str">
            <v>Ofsted Social Care Provider Webpage</v>
          </cell>
        </row>
        <row r="1263">
          <cell r="A1263" t="str">
            <v>Ofsted Social Care Provider Webpage</v>
          </cell>
        </row>
        <row r="1264">
          <cell r="A1264" t="str">
            <v>Ofsted Social Care Provider Webpage</v>
          </cell>
        </row>
        <row r="1265">
          <cell r="A1265" t="str">
            <v>Ofsted Social Care Provider Webpage</v>
          </cell>
        </row>
        <row r="1266">
          <cell r="A1266" t="str">
            <v>Ofsted Social Care Provider Webpage</v>
          </cell>
        </row>
        <row r="1267">
          <cell r="A1267" t="str">
            <v>Ofsted Social Care Provider Webpage</v>
          </cell>
        </row>
        <row r="1268">
          <cell r="A1268" t="str">
            <v>Ofsted Social Care Provider Webpage</v>
          </cell>
        </row>
        <row r="1269">
          <cell r="A1269" t="str">
            <v>Ofsted Social Care Provider Webpage</v>
          </cell>
        </row>
        <row r="1270">
          <cell r="A1270" t="str">
            <v>Ofsted Social Care Provider Webpage</v>
          </cell>
        </row>
        <row r="1271">
          <cell r="A1271" t="str">
            <v>Ofsted Social Care Provider Webpage</v>
          </cell>
        </row>
        <row r="1272">
          <cell r="A1272" t="str">
            <v>Ofsted Social Care Provider Webpage</v>
          </cell>
        </row>
        <row r="1273">
          <cell r="A1273" t="str">
            <v>Ofsted Social Care Provider Webpage</v>
          </cell>
        </row>
        <row r="1274">
          <cell r="A1274" t="str">
            <v>Ofsted Social Care Provider Webpage</v>
          </cell>
        </row>
        <row r="1275">
          <cell r="A1275" t="str">
            <v>Ofsted Social Care Provider Webpage</v>
          </cell>
        </row>
        <row r="1276">
          <cell r="A1276" t="str">
            <v>Ofsted Social Care Provider Webpage</v>
          </cell>
        </row>
        <row r="1277">
          <cell r="A1277" t="str">
            <v>Ofsted Social Care Provider Webpage</v>
          </cell>
        </row>
        <row r="1278">
          <cell r="A1278" t="str">
            <v>Ofsted Social Care Provider Webpage</v>
          </cell>
        </row>
        <row r="1279">
          <cell r="A1279" t="str">
            <v>Ofsted Social Care Provider Webpage</v>
          </cell>
        </row>
        <row r="1280">
          <cell r="A1280" t="str">
            <v>Ofsted Social Care Provider Webpage</v>
          </cell>
        </row>
        <row r="1281">
          <cell r="A1281" t="str">
            <v>Ofsted Social Care Provider Webpage</v>
          </cell>
        </row>
        <row r="1282">
          <cell r="A1282" t="str">
            <v>Ofsted Social Care Provider Webpage</v>
          </cell>
        </row>
        <row r="1283">
          <cell r="A1283" t="str">
            <v>Ofsted Social Care Provider Webpage</v>
          </cell>
        </row>
        <row r="1284">
          <cell r="A1284" t="str">
            <v>Ofsted Social Care Provider Webpage</v>
          </cell>
        </row>
        <row r="1285">
          <cell r="A1285" t="str">
            <v>Ofsted Social Care Provider Webpage</v>
          </cell>
        </row>
        <row r="1286">
          <cell r="A1286" t="str">
            <v>Ofsted Social Care Provider Webpage</v>
          </cell>
        </row>
        <row r="1287">
          <cell r="A1287" t="str">
            <v>Ofsted Social Care Provider Webpage</v>
          </cell>
        </row>
        <row r="1288">
          <cell r="A1288" t="str">
            <v>Ofsted Social Care Provider Webpage</v>
          </cell>
        </row>
        <row r="1289">
          <cell r="A1289" t="str">
            <v>Ofsted Social Care Provider Webpage</v>
          </cell>
        </row>
        <row r="1290">
          <cell r="A1290" t="str">
            <v>Ofsted Social Care Provider Webpage</v>
          </cell>
        </row>
        <row r="1291">
          <cell r="A1291" t="str">
            <v>Ofsted Social Care Provider Webpage</v>
          </cell>
        </row>
        <row r="1292">
          <cell r="A1292" t="str">
            <v>Ofsted Social Care Provider Webpage</v>
          </cell>
        </row>
        <row r="1293">
          <cell r="A1293" t="str">
            <v>Ofsted Social Care Provider Webpage</v>
          </cell>
        </row>
        <row r="1294">
          <cell r="A1294" t="str">
            <v>Ofsted Social Care Provider Webpage</v>
          </cell>
        </row>
        <row r="1295">
          <cell r="A1295" t="str">
            <v>Ofsted Social Care Provider Webpage</v>
          </cell>
        </row>
        <row r="1296">
          <cell r="A1296" t="str">
            <v>Ofsted Social Care Provider Webpage</v>
          </cell>
        </row>
        <row r="1297">
          <cell r="A1297" t="str">
            <v>Ofsted Social Care Provider Webpage</v>
          </cell>
        </row>
        <row r="1298">
          <cell r="A1298" t="str">
            <v>Ofsted Social Care Provider Webpage</v>
          </cell>
        </row>
        <row r="1299">
          <cell r="A1299" t="str">
            <v>Ofsted Social Care Provider Webpage</v>
          </cell>
        </row>
        <row r="1300">
          <cell r="A1300" t="str">
            <v>Ofsted Social Care Provider Webpage</v>
          </cell>
        </row>
        <row r="1301">
          <cell r="A1301" t="str">
            <v>Ofsted Social Care Provider Webpage</v>
          </cell>
        </row>
        <row r="1302">
          <cell r="A1302" t="str">
            <v>Ofsted Social Care Provider Webpage</v>
          </cell>
        </row>
        <row r="1303">
          <cell r="A1303" t="str">
            <v>Ofsted Social Care Provider Webpage</v>
          </cell>
        </row>
        <row r="1304">
          <cell r="A1304" t="str">
            <v>Ofsted Social Care Provider Webpage</v>
          </cell>
        </row>
        <row r="1305">
          <cell r="A1305" t="str">
            <v>Ofsted Social Care Provider Webpage</v>
          </cell>
        </row>
        <row r="1306">
          <cell r="A1306" t="str">
            <v>Ofsted Social Care Provider Webpage</v>
          </cell>
        </row>
        <row r="1307">
          <cell r="A1307" t="str">
            <v>Ofsted Social Care Provider Webpage</v>
          </cell>
        </row>
        <row r="1308">
          <cell r="A1308" t="str">
            <v>Ofsted Social Care Provider Webpage</v>
          </cell>
        </row>
        <row r="1309">
          <cell r="A1309" t="str">
            <v>Ofsted Social Care Provider Webpage</v>
          </cell>
        </row>
        <row r="1310">
          <cell r="A1310" t="str">
            <v>Ofsted Social Care Provider Webpage</v>
          </cell>
        </row>
        <row r="1311">
          <cell r="A1311" t="str">
            <v>Ofsted Social Care Provider Webpage</v>
          </cell>
        </row>
        <row r="1312">
          <cell r="A1312" t="str">
            <v>Ofsted Social Care Provider Webpage</v>
          </cell>
        </row>
        <row r="1313">
          <cell r="A1313" t="str">
            <v>Ofsted Social Care Provider Webpage</v>
          </cell>
        </row>
        <row r="1314">
          <cell r="A1314" t="str">
            <v>Ofsted Social Care Provider Webpage</v>
          </cell>
        </row>
        <row r="1315">
          <cell r="A1315" t="str">
            <v>Ofsted Social Care Provider Webpage</v>
          </cell>
        </row>
        <row r="1316">
          <cell r="A1316" t="str">
            <v>Ofsted Social Care Provider Webpage</v>
          </cell>
        </row>
        <row r="1317">
          <cell r="A1317" t="str">
            <v>Ofsted Social Care Provider Webpage</v>
          </cell>
        </row>
        <row r="1318">
          <cell r="A1318" t="str">
            <v>Ofsted Social Care Provider Webpage</v>
          </cell>
        </row>
        <row r="1319">
          <cell r="A1319" t="str">
            <v>Ofsted Social Care Provider Webpage</v>
          </cell>
        </row>
        <row r="1320">
          <cell r="A1320" t="str">
            <v>Ofsted Social Care Provider Webpage</v>
          </cell>
        </row>
        <row r="1321">
          <cell r="A1321" t="str">
            <v>Ofsted Social Care Provider Webpage</v>
          </cell>
        </row>
        <row r="1322">
          <cell r="A1322" t="str">
            <v>Ofsted Social Care Provider Webpage</v>
          </cell>
        </row>
        <row r="1323">
          <cell r="A1323" t="str">
            <v>Ofsted Social Care Provider Webpage</v>
          </cell>
        </row>
        <row r="1324">
          <cell r="A1324" t="str">
            <v>Ofsted Social Care Provider Webpage</v>
          </cell>
        </row>
        <row r="1325">
          <cell r="A1325" t="str">
            <v>Ofsted Social Care Provider Webpage</v>
          </cell>
        </row>
        <row r="1326">
          <cell r="A1326" t="str">
            <v>Ofsted Social Care Provider Webpage</v>
          </cell>
        </row>
        <row r="1327">
          <cell r="A1327" t="str">
            <v>Ofsted Social Care Provider Webpage</v>
          </cell>
        </row>
        <row r="1328">
          <cell r="A1328" t="str">
            <v>Ofsted Social Care Provider Webpage</v>
          </cell>
        </row>
        <row r="1329">
          <cell r="A1329" t="str">
            <v>Ofsted Social Care Provider Webpage</v>
          </cell>
        </row>
        <row r="1330">
          <cell r="A1330" t="str">
            <v>Ofsted Social Care Provider Webpage</v>
          </cell>
        </row>
        <row r="1331">
          <cell r="A1331" t="str">
            <v>Ofsted Social Care Provider Webpage</v>
          </cell>
        </row>
        <row r="1332">
          <cell r="A1332" t="str">
            <v>Ofsted Social Care Provider Webpage</v>
          </cell>
        </row>
        <row r="1333">
          <cell r="A1333" t="str">
            <v>Ofsted Social Care Provider Webpage</v>
          </cell>
        </row>
        <row r="1334">
          <cell r="A1334" t="str">
            <v>Ofsted Social Care Provider Webpage</v>
          </cell>
        </row>
        <row r="1335">
          <cell r="A1335" t="str">
            <v>Ofsted Social Care Provider Webpage</v>
          </cell>
        </row>
        <row r="1336">
          <cell r="A1336" t="str">
            <v>Ofsted Social Care Provider Webpage</v>
          </cell>
        </row>
        <row r="1337">
          <cell r="A1337" t="str">
            <v>Ofsted Social Care Provider Webpage</v>
          </cell>
        </row>
        <row r="1338">
          <cell r="A1338" t="str">
            <v>Ofsted Social Care Provider Webpage</v>
          </cell>
        </row>
        <row r="1339">
          <cell r="A1339" t="str">
            <v>Ofsted Social Care Provider Webpage</v>
          </cell>
        </row>
        <row r="1340">
          <cell r="A1340" t="str">
            <v>Ofsted Social Care Provider Webpage</v>
          </cell>
        </row>
        <row r="1341">
          <cell r="A1341" t="str">
            <v>Ofsted Social Care Provider Webpage</v>
          </cell>
        </row>
        <row r="1342">
          <cell r="A1342" t="str">
            <v>Ofsted Social Care Provider Webpage</v>
          </cell>
        </row>
        <row r="1343">
          <cell r="A1343" t="str">
            <v>Ofsted Social Care Provider Webpage</v>
          </cell>
        </row>
        <row r="1344">
          <cell r="A1344" t="str">
            <v>Ofsted Social Care Provider Webpage</v>
          </cell>
        </row>
        <row r="1345">
          <cell r="A1345" t="str">
            <v>Ofsted Social Care Provider Webpage</v>
          </cell>
        </row>
        <row r="1346">
          <cell r="A1346" t="str">
            <v>Ofsted Social Care Provider Webpage</v>
          </cell>
        </row>
        <row r="1347">
          <cell r="A1347" t="str">
            <v>Ofsted Social Care Provider Webpage</v>
          </cell>
        </row>
        <row r="1348">
          <cell r="A1348" t="str">
            <v>Ofsted Social Care Provider Webpage</v>
          </cell>
        </row>
        <row r="1349">
          <cell r="A1349" t="str">
            <v>Ofsted Social Care Provider Webpage</v>
          </cell>
        </row>
        <row r="1350">
          <cell r="A1350" t="str">
            <v>Ofsted Social Care Provider Webpage</v>
          </cell>
        </row>
        <row r="1351">
          <cell r="A1351" t="str">
            <v>Ofsted Social Care Provider Webpage</v>
          </cell>
        </row>
        <row r="1352">
          <cell r="A1352" t="str">
            <v>Ofsted Social Care Provider Webpage</v>
          </cell>
        </row>
        <row r="1353">
          <cell r="A1353" t="str">
            <v>Ofsted Social Care Provider Webpage</v>
          </cell>
        </row>
        <row r="1354">
          <cell r="A1354" t="str">
            <v>Ofsted Social Care Provider Webpage</v>
          </cell>
        </row>
        <row r="1355">
          <cell r="A1355" t="str">
            <v>Ofsted Social Care Provider Webpage</v>
          </cell>
        </row>
        <row r="1356">
          <cell r="A1356" t="str">
            <v>Ofsted Social Care Provider Webpage</v>
          </cell>
        </row>
        <row r="1357">
          <cell r="A1357" t="str">
            <v>Ofsted Social Care Provider Webpage</v>
          </cell>
        </row>
        <row r="1358">
          <cell r="A1358" t="str">
            <v>Ofsted Social Care Provider Webpage</v>
          </cell>
        </row>
        <row r="1359">
          <cell r="A1359" t="str">
            <v>Ofsted Social Care Provider Webpage</v>
          </cell>
        </row>
        <row r="1360">
          <cell r="A1360" t="str">
            <v>Ofsted Social Care Provider Webpage</v>
          </cell>
        </row>
        <row r="1361">
          <cell r="A1361" t="str">
            <v>Ofsted Social Care Provider Webpage</v>
          </cell>
        </row>
        <row r="1362">
          <cell r="A1362" t="str">
            <v>Ofsted Social Care Provider Webpage</v>
          </cell>
        </row>
        <row r="1363">
          <cell r="A1363" t="str">
            <v>Ofsted Social Care Provider Webpage</v>
          </cell>
        </row>
        <row r="1364">
          <cell r="A1364" t="str">
            <v>Ofsted Social Care Provider Webpage</v>
          </cell>
        </row>
        <row r="1365">
          <cell r="A1365" t="str">
            <v>Ofsted Social Care Provider Webpage</v>
          </cell>
        </row>
        <row r="1366">
          <cell r="A1366" t="str">
            <v>Ofsted Social Care Provider Webpage</v>
          </cell>
        </row>
        <row r="1367">
          <cell r="A1367" t="str">
            <v>Ofsted Social Care Provider Webpage</v>
          </cell>
        </row>
        <row r="1368">
          <cell r="A1368" t="str">
            <v>Ofsted Social Care Provider Webpage</v>
          </cell>
        </row>
        <row r="1369">
          <cell r="A1369" t="str">
            <v>Ofsted Social Care Provider Webpage</v>
          </cell>
        </row>
        <row r="1370">
          <cell r="A1370" t="str">
            <v>Ofsted Social Care Provider Webpage</v>
          </cell>
        </row>
        <row r="1371">
          <cell r="A1371" t="str">
            <v>Ofsted Social Care Provider Webpage</v>
          </cell>
        </row>
        <row r="1372">
          <cell r="A1372" t="str">
            <v>Ofsted Social Care Provider Webpage</v>
          </cell>
        </row>
        <row r="1373">
          <cell r="A1373" t="str">
            <v>Ofsted Social Care Provider Webpage</v>
          </cell>
        </row>
        <row r="1374">
          <cell r="A1374" t="str">
            <v>Ofsted Social Care Provider Webpage</v>
          </cell>
        </row>
        <row r="1375">
          <cell r="A1375" t="str">
            <v>Ofsted Social Care Provider Webpage</v>
          </cell>
        </row>
        <row r="1376">
          <cell r="A1376" t="str">
            <v>Ofsted Social Care Provider Webpage</v>
          </cell>
        </row>
        <row r="1377">
          <cell r="A1377" t="str">
            <v>Ofsted Social Care Provider Webpage</v>
          </cell>
        </row>
        <row r="1378">
          <cell r="A1378" t="str">
            <v>Ofsted Social Care Provider Webpage</v>
          </cell>
        </row>
        <row r="1379">
          <cell r="A1379" t="str">
            <v>Ofsted Social Care Provider Webpage</v>
          </cell>
        </row>
        <row r="1380">
          <cell r="A1380" t="str">
            <v>Ofsted Social Care Provider Webpage</v>
          </cell>
        </row>
        <row r="1381">
          <cell r="A1381" t="str">
            <v>Ofsted Social Care Provider Webpage</v>
          </cell>
        </row>
        <row r="1382">
          <cell r="A1382" t="str">
            <v>Ofsted Social Care Provider Webpage</v>
          </cell>
        </row>
        <row r="1383">
          <cell r="A1383" t="str">
            <v>Ofsted Social Care Provider Webpage</v>
          </cell>
        </row>
        <row r="1384">
          <cell r="A1384" t="str">
            <v>Ofsted Social Care Provider Webpage</v>
          </cell>
        </row>
        <row r="1385">
          <cell r="A1385" t="str">
            <v>Ofsted Social Care Provider Webpage</v>
          </cell>
        </row>
        <row r="1386">
          <cell r="A1386" t="str">
            <v>Ofsted Social Care Provider Webpage</v>
          </cell>
        </row>
        <row r="1387">
          <cell r="A1387" t="str">
            <v>Ofsted Social Care Provider Webpage</v>
          </cell>
        </row>
        <row r="1388">
          <cell r="A1388" t="str">
            <v>Ofsted Social Care Provider Webpage</v>
          </cell>
        </row>
        <row r="1389">
          <cell r="A1389" t="str">
            <v>Ofsted Social Care Provider Webpage</v>
          </cell>
        </row>
        <row r="1390">
          <cell r="A1390" t="str">
            <v>Ofsted Social Care Provider Webpage</v>
          </cell>
        </row>
        <row r="1391">
          <cell r="A1391" t="str">
            <v>Ofsted Social Care Provider Webpage</v>
          </cell>
        </row>
        <row r="1392">
          <cell r="A1392" t="str">
            <v>Ofsted Social Care Provider Webpage</v>
          </cell>
        </row>
        <row r="1393">
          <cell r="A1393" t="str">
            <v>Ofsted Social Care Provider Webpage</v>
          </cell>
        </row>
        <row r="1394">
          <cell r="A1394" t="str">
            <v>Ofsted Social Care Provider Webpage</v>
          </cell>
        </row>
        <row r="1395">
          <cell r="A1395" t="str">
            <v>Ofsted Social Care Provider Webpage</v>
          </cell>
        </row>
        <row r="1396">
          <cell r="A1396" t="str">
            <v>Ofsted Social Care Provider Webpage</v>
          </cell>
        </row>
        <row r="1397">
          <cell r="A1397" t="str">
            <v>Ofsted Social Care Provider Webpage</v>
          </cell>
        </row>
        <row r="1398">
          <cell r="A1398" t="str">
            <v>Ofsted Social Care Provider Webpage</v>
          </cell>
        </row>
        <row r="1399">
          <cell r="A1399" t="str">
            <v>Ofsted Social Care Provider Webpage</v>
          </cell>
        </row>
        <row r="1400">
          <cell r="A1400" t="str">
            <v>Ofsted Social Care Provider Webpage</v>
          </cell>
        </row>
        <row r="1401">
          <cell r="A1401" t="str">
            <v>Ofsted Social Care Provider Webpage</v>
          </cell>
        </row>
        <row r="1402">
          <cell r="A1402" t="str">
            <v>Ofsted Social Care Provider Webpage</v>
          </cell>
        </row>
        <row r="1403">
          <cell r="A1403" t="str">
            <v>Ofsted Social Care Provider Webpage</v>
          </cell>
        </row>
        <row r="1404">
          <cell r="A1404" t="str">
            <v>Ofsted Social Care Provider Webpage</v>
          </cell>
        </row>
        <row r="1405">
          <cell r="A1405" t="str">
            <v>Ofsted Social Care Provider Webpage</v>
          </cell>
        </row>
        <row r="1406">
          <cell r="A1406" t="str">
            <v>Ofsted Social Care Provider Webpage</v>
          </cell>
        </row>
        <row r="1407">
          <cell r="A1407" t="str">
            <v>Ofsted Social Care Provider Webpage</v>
          </cell>
        </row>
        <row r="1408">
          <cell r="A1408" t="str">
            <v>Ofsted Social Care Provider Webpage</v>
          </cell>
        </row>
        <row r="1409">
          <cell r="A1409" t="str">
            <v>Ofsted Social Care Provider Webpage</v>
          </cell>
        </row>
        <row r="1410">
          <cell r="A1410" t="str">
            <v>Ofsted Social Care Provider Webpage</v>
          </cell>
        </row>
        <row r="1411">
          <cell r="A1411" t="str">
            <v>Ofsted Social Care Provider Webpage</v>
          </cell>
        </row>
        <row r="1412">
          <cell r="A1412" t="str">
            <v>Ofsted Social Care Provider Webpage</v>
          </cell>
        </row>
        <row r="1413">
          <cell r="A1413" t="str">
            <v>Ofsted Social Care Provider Webpage</v>
          </cell>
        </row>
        <row r="1414">
          <cell r="A1414" t="str">
            <v>Ofsted Social Care Provider Webpage</v>
          </cell>
        </row>
        <row r="1415">
          <cell r="A1415" t="str">
            <v>Ofsted Social Care Provider Webpage</v>
          </cell>
        </row>
        <row r="1416">
          <cell r="A1416" t="str">
            <v>Ofsted Social Care Provider Webpage</v>
          </cell>
        </row>
        <row r="1417">
          <cell r="A1417" t="str">
            <v>Ofsted Social Care Provider Webpage</v>
          </cell>
        </row>
        <row r="1418">
          <cell r="A1418" t="str">
            <v>Ofsted Social Care Provider Webpage</v>
          </cell>
        </row>
        <row r="1419">
          <cell r="A1419" t="str">
            <v>Ofsted Social Care Provider Webpage</v>
          </cell>
        </row>
        <row r="1420">
          <cell r="A1420" t="str">
            <v>Ofsted Social Care Provider Webpage</v>
          </cell>
        </row>
        <row r="1421">
          <cell r="A1421" t="str">
            <v>Ofsted Social Care Provider Webpage</v>
          </cell>
        </row>
        <row r="1422">
          <cell r="A1422" t="str">
            <v>Ofsted Social Care Provider Webpage</v>
          </cell>
        </row>
        <row r="1423">
          <cell r="A1423" t="str">
            <v>Ofsted Social Care Provider Webpage</v>
          </cell>
        </row>
        <row r="1424">
          <cell r="A1424" t="str">
            <v>Ofsted Social Care Provider Webpage</v>
          </cell>
        </row>
        <row r="1425">
          <cell r="A1425" t="str">
            <v>Ofsted Social Care Provider Webpage</v>
          </cell>
        </row>
        <row r="1426">
          <cell r="A1426" t="str">
            <v>Ofsted Social Care Provider Webpage</v>
          </cell>
        </row>
        <row r="1427">
          <cell r="A1427" t="str">
            <v>Ofsted Social Care Provider Webpage</v>
          </cell>
        </row>
        <row r="1428">
          <cell r="A1428" t="str">
            <v>Ofsted Social Care Provider Webpage</v>
          </cell>
        </row>
        <row r="1429">
          <cell r="A1429" t="str">
            <v>Ofsted Social Care Provider Webpage</v>
          </cell>
        </row>
        <row r="1430">
          <cell r="A1430" t="str">
            <v>Ofsted Social Care Provider Webpage</v>
          </cell>
        </row>
        <row r="1431">
          <cell r="A1431" t="str">
            <v>Ofsted Social Care Provider Webpage</v>
          </cell>
        </row>
        <row r="1432">
          <cell r="A1432" t="str">
            <v>Ofsted Social Care Provider Webpage</v>
          </cell>
        </row>
        <row r="1433">
          <cell r="A1433" t="str">
            <v>Ofsted Social Care Provider Webpage</v>
          </cell>
        </row>
        <row r="1434">
          <cell r="A1434" t="str">
            <v>Ofsted Social Care Provider Webpage</v>
          </cell>
        </row>
        <row r="1435">
          <cell r="A1435" t="str">
            <v>Ofsted Social Care Provider Webpage</v>
          </cell>
        </row>
        <row r="1436">
          <cell r="A1436" t="str">
            <v>Ofsted Social Care Provider Webpage</v>
          </cell>
        </row>
        <row r="1437">
          <cell r="A1437" t="str">
            <v>Ofsted Social Care Provider Webpage</v>
          </cell>
        </row>
        <row r="1438">
          <cell r="A1438" t="str">
            <v>Ofsted Social Care Provider Webpage</v>
          </cell>
        </row>
        <row r="1439">
          <cell r="A1439" t="str">
            <v>Ofsted Social Care Provider Webpage</v>
          </cell>
        </row>
        <row r="1440">
          <cell r="A1440" t="str">
            <v>Ofsted Social Care Provider Webpage</v>
          </cell>
        </row>
        <row r="1441">
          <cell r="A1441" t="str">
            <v>Ofsted Social Care Provider Webpage</v>
          </cell>
        </row>
        <row r="1442">
          <cell r="A1442" t="str">
            <v>Ofsted Social Care Provider Webpage</v>
          </cell>
        </row>
        <row r="1443">
          <cell r="A1443" t="str">
            <v>Ofsted Social Care Provider Webpage</v>
          </cell>
        </row>
        <row r="1444">
          <cell r="A1444" t="str">
            <v>Ofsted Social Care Provider Webpage</v>
          </cell>
        </row>
        <row r="1445">
          <cell r="A1445" t="str">
            <v>Ofsted Social Care Provider Webpage</v>
          </cell>
        </row>
        <row r="1446">
          <cell r="A1446" t="str">
            <v>Ofsted Social Care Provider Webpage</v>
          </cell>
        </row>
        <row r="1447">
          <cell r="A1447" t="str">
            <v>Ofsted Social Care Provider Webpage</v>
          </cell>
        </row>
        <row r="1448">
          <cell r="A1448" t="str">
            <v>Ofsted Social Care Provider Webpage</v>
          </cell>
        </row>
        <row r="1449">
          <cell r="A1449" t="str">
            <v>Ofsted Social Care Provider Webpage</v>
          </cell>
        </row>
        <row r="1450">
          <cell r="A1450" t="str">
            <v>Ofsted Social Care Provider Webpage</v>
          </cell>
        </row>
        <row r="1451">
          <cell r="A1451" t="str">
            <v>Ofsted Social Care Provider Webpage</v>
          </cell>
        </row>
        <row r="1452">
          <cell r="A1452" t="str">
            <v>Ofsted Social Care Provider Webpage</v>
          </cell>
        </row>
        <row r="1453">
          <cell r="A1453" t="str">
            <v>Ofsted Social Care Provider Webpage</v>
          </cell>
        </row>
        <row r="1454">
          <cell r="A1454" t="str">
            <v>Ofsted Social Care Provider Webpage</v>
          </cell>
        </row>
        <row r="1455">
          <cell r="A1455" t="str">
            <v>Ofsted Social Care Provider Webpage</v>
          </cell>
        </row>
        <row r="1456">
          <cell r="A1456" t="str">
            <v>Ofsted Social Care Provider Webpage</v>
          </cell>
        </row>
        <row r="1457">
          <cell r="A1457" t="str">
            <v>Ofsted Social Care Provider Webpage</v>
          </cell>
        </row>
        <row r="1458">
          <cell r="A1458" t="str">
            <v>Ofsted Social Care Provider Webpage</v>
          </cell>
        </row>
        <row r="1459">
          <cell r="A1459" t="str">
            <v>Ofsted Social Care Provider Webpage</v>
          </cell>
        </row>
        <row r="1460">
          <cell r="A1460" t="str">
            <v>Ofsted Social Care Provider Webpage</v>
          </cell>
        </row>
        <row r="1461">
          <cell r="A1461" t="str">
            <v>Ofsted Social Care Provider Webpage</v>
          </cell>
        </row>
        <row r="1462">
          <cell r="A1462" t="str">
            <v>Ofsted Social Care Provider Webpage</v>
          </cell>
        </row>
        <row r="1463">
          <cell r="A1463" t="str">
            <v>Ofsted Social Care Provider Webpage</v>
          </cell>
        </row>
        <row r="1464">
          <cell r="A1464" t="str">
            <v>Ofsted Social Care Provider Webpage</v>
          </cell>
        </row>
        <row r="1465">
          <cell r="A1465" t="str">
            <v>Ofsted Social Care Provider Webpage</v>
          </cell>
        </row>
        <row r="1466">
          <cell r="A1466" t="str">
            <v>Ofsted Social Care Provider Webpage</v>
          </cell>
        </row>
        <row r="1467">
          <cell r="A1467" t="str">
            <v>Ofsted Social Care Provider Webpage</v>
          </cell>
        </row>
        <row r="1468">
          <cell r="A1468" t="str">
            <v>Ofsted Social Care Provider Webpage</v>
          </cell>
        </row>
        <row r="1469">
          <cell r="A1469" t="str">
            <v>Ofsted Social Care Provider Webpage</v>
          </cell>
        </row>
        <row r="1470">
          <cell r="A1470" t="str">
            <v>Ofsted Social Care Provider Webpage</v>
          </cell>
        </row>
        <row r="1471">
          <cell r="A1471" t="str">
            <v>Ofsted Social Care Provider Webpage</v>
          </cell>
        </row>
        <row r="1472">
          <cell r="A1472" t="str">
            <v>Ofsted Social Care Provider Webpage</v>
          </cell>
        </row>
        <row r="1473">
          <cell r="A1473" t="str">
            <v>Ofsted Social Care Provider Webpage</v>
          </cell>
        </row>
        <row r="1474">
          <cell r="A1474" t="str">
            <v>Ofsted Social Care Provider Webpage</v>
          </cell>
        </row>
        <row r="1475">
          <cell r="A1475" t="str">
            <v>Ofsted Social Care Provider Webpage</v>
          </cell>
        </row>
        <row r="1476">
          <cell r="A1476" t="str">
            <v>Ofsted Social Care Provider Webpage</v>
          </cell>
        </row>
        <row r="1477">
          <cell r="A1477" t="str">
            <v>Ofsted Social Care Provider Webpage</v>
          </cell>
        </row>
        <row r="1478">
          <cell r="A1478" t="str">
            <v>Ofsted Social Care Provider Webpage</v>
          </cell>
        </row>
        <row r="1479">
          <cell r="A1479" t="str">
            <v>Ofsted Social Care Provider Webpage</v>
          </cell>
        </row>
        <row r="1480">
          <cell r="A1480" t="str">
            <v>Ofsted Social Care Provider Webpage</v>
          </cell>
        </row>
        <row r="1481">
          <cell r="A1481" t="str">
            <v>Ofsted Social Care Provider Webpage</v>
          </cell>
        </row>
        <row r="1482">
          <cell r="A1482" t="str">
            <v>Ofsted Social Care Provider Webpage</v>
          </cell>
        </row>
        <row r="1483">
          <cell r="A1483" t="str">
            <v>Ofsted Social Care Provider Webpage</v>
          </cell>
        </row>
        <row r="1484">
          <cell r="A1484" t="str">
            <v>Ofsted Social Care Provider Webpage</v>
          </cell>
        </row>
        <row r="1485">
          <cell r="A1485" t="str">
            <v>Ofsted Social Care Provider Webpage</v>
          </cell>
        </row>
        <row r="1486">
          <cell r="A1486" t="str">
            <v>Ofsted Social Care Provider Webpage</v>
          </cell>
        </row>
        <row r="1487">
          <cell r="A1487" t="str">
            <v>Ofsted Social Care Provider Webpage</v>
          </cell>
        </row>
        <row r="1488">
          <cell r="A1488" t="str">
            <v>Ofsted Social Care Provider Webpage</v>
          </cell>
        </row>
        <row r="1489">
          <cell r="A1489" t="str">
            <v>Ofsted Social Care Provider Webpage</v>
          </cell>
        </row>
        <row r="1490">
          <cell r="A1490" t="str">
            <v>Ofsted Social Care Provider Webpage</v>
          </cell>
        </row>
        <row r="1491">
          <cell r="A1491" t="str">
            <v>Ofsted Social Care Provider Webpage</v>
          </cell>
        </row>
        <row r="1492">
          <cell r="A1492" t="str">
            <v>Ofsted Social Care Provider Webpage</v>
          </cell>
        </row>
        <row r="1493">
          <cell r="A1493" t="str">
            <v>Ofsted Social Care Provider Webpage</v>
          </cell>
        </row>
        <row r="1494">
          <cell r="A1494" t="str">
            <v>Ofsted Social Care Provider Webpage</v>
          </cell>
        </row>
        <row r="1495">
          <cell r="A1495" t="str">
            <v>Ofsted Social Care Provider Webpage</v>
          </cell>
        </row>
        <row r="1496">
          <cell r="A1496" t="str">
            <v>Ofsted Social Care Provider Webpage</v>
          </cell>
        </row>
        <row r="1497">
          <cell r="A1497" t="str">
            <v>Ofsted Social Care Provider Webpage</v>
          </cell>
        </row>
        <row r="1498">
          <cell r="A1498" t="str">
            <v>Ofsted Social Care Provider Webpage</v>
          </cell>
        </row>
        <row r="1499">
          <cell r="A1499" t="str">
            <v>Ofsted Social Care Provider Webpage</v>
          </cell>
        </row>
        <row r="1500">
          <cell r="A1500" t="str">
            <v>Ofsted Social Care Provider Webpage</v>
          </cell>
        </row>
        <row r="1501">
          <cell r="A1501" t="str">
            <v>Ofsted Social Care Provider Webpage</v>
          </cell>
        </row>
        <row r="1502">
          <cell r="A1502" t="str">
            <v>Ofsted Social Care Provider Webpage</v>
          </cell>
        </row>
        <row r="1503">
          <cell r="A1503" t="str">
            <v>Ofsted Social Care Provider Webpage</v>
          </cell>
        </row>
        <row r="1504">
          <cell r="A1504" t="str">
            <v>Ofsted Social Care Provider Webpage</v>
          </cell>
        </row>
        <row r="1505">
          <cell r="A1505" t="str">
            <v>Ofsted Social Care Provider Webpage</v>
          </cell>
        </row>
        <row r="1506">
          <cell r="A1506" t="str">
            <v>Ofsted Social Care Provider Webpage</v>
          </cell>
        </row>
        <row r="1507">
          <cell r="A1507" t="str">
            <v>Ofsted Social Care Provider Webpage</v>
          </cell>
        </row>
        <row r="1508">
          <cell r="A1508" t="str">
            <v>Ofsted Social Care Provider Webpage</v>
          </cell>
        </row>
        <row r="1509">
          <cell r="A1509" t="str">
            <v>Ofsted Social Care Provider Webpage</v>
          </cell>
        </row>
        <row r="1510">
          <cell r="A1510" t="str">
            <v>Ofsted Social Care Provider Webpage</v>
          </cell>
        </row>
        <row r="1511">
          <cell r="A1511" t="str">
            <v>Ofsted Social Care Provider Webpage</v>
          </cell>
        </row>
        <row r="1512">
          <cell r="A1512" t="str">
            <v>Ofsted Social Care Provider Webpage</v>
          </cell>
        </row>
        <row r="1513">
          <cell r="A1513" t="str">
            <v>Ofsted Social Care Provider Webpage</v>
          </cell>
        </row>
        <row r="1514">
          <cell r="A1514" t="str">
            <v>Ofsted Social Care Provider Webpage</v>
          </cell>
        </row>
        <row r="1515">
          <cell r="A1515" t="str">
            <v>Ofsted Social Care Provider Webpage</v>
          </cell>
        </row>
        <row r="1516">
          <cell r="A1516" t="str">
            <v>Ofsted Social Care Provider Webpage</v>
          </cell>
        </row>
        <row r="1517">
          <cell r="A1517" t="str">
            <v>Ofsted Social Care Provider Webpage</v>
          </cell>
        </row>
        <row r="1518">
          <cell r="A1518" t="str">
            <v>Ofsted Social Care Provider Webpage</v>
          </cell>
        </row>
        <row r="1519">
          <cell r="A1519" t="str">
            <v>Ofsted Social Care Provider Webpage</v>
          </cell>
        </row>
        <row r="1520">
          <cell r="A1520" t="str">
            <v>Ofsted Social Care Provider Webpage</v>
          </cell>
        </row>
        <row r="1521">
          <cell r="A1521" t="str">
            <v>Ofsted Social Care Provider Webpage</v>
          </cell>
        </row>
        <row r="1522">
          <cell r="A1522" t="str">
            <v>Ofsted Social Care Provider Webpage</v>
          </cell>
        </row>
        <row r="1523">
          <cell r="A1523" t="str">
            <v>Ofsted Social Care Provider Webpage</v>
          </cell>
        </row>
        <row r="1524">
          <cell r="A1524" t="str">
            <v>Ofsted Social Care Provider Webpage</v>
          </cell>
        </row>
        <row r="1525">
          <cell r="A1525" t="str">
            <v>Ofsted Social Care Provider Webpage</v>
          </cell>
        </row>
        <row r="1526">
          <cell r="A1526" t="str">
            <v>Ofsted Social Care Provider Webpage</v>
          </cell>
        </row>
        <row r="1527">
          <cell r="A1527" t="str">
            <v>Ofsted Social Care Provider Webpage</v>
          </cell>
        </row>
        <row r="1528">
          <cell r="A1528" t="str">
            <v>Ofsted Social Care Provider Webpage</v>
          </cell>
        </row>
        <row r="1529">
          <cell r="A1529" t="str">
            <v>Ofsted Social Care Provider Webpage</v>
          </cell>
        </row>
        <row r="1530">
          <cell r="A1530" t="str">
            <v>Ofsted Social Care Provider Webpage</v>
          </cell>
        </row>
        <row r="1531">
          <cell r="A1531" t="str">
            <v>Ofsted Social Care Provider Webpage</v>
          </cell>
        </row>
        <row r="1532">
          <cell r="A1532" t="str">
            <v>Ofsted Social Care Provider Webpage</v>
          </cell>
        </row>
        <row r="1533">
          <cell r="A1533" t="str">
            <v>Ofsted Social Care Provider Webpage</v>
          </cell>
        </row>
        <row r="1534">
          <cell r="A1534" t="str">
            <v>Ofsted Social Care Provider Webpage</v>
          </cell>
        </row>
        <row r="1535">
          <cell r="A1535" t="str">
            <v>Ofsted Social Care Provider Webpage</v>
          </cell>
        </row>
        <row r="1536">
          <cell r="A1536" t="str">
            <v>Ofsted Social Care Provider Webpage</v>
          </cell>
        </row>
        <row r="1537">
          <cell r="A1537" t="str">
            <v>Ofsted Social Care Provider Webpage</v>
          </cell>
        </row>
        <row r="1538">
          <cell r="A1538" t="str">
            <v>Ofsted Social Care Provider Webpage</v>
          </cell>
        </row>
        <row r="1539">
          <cell r="A1539" t="str">
            <v>Ofsted Social Care Provider Webpage</v>
          </cell>
        </row>
        <row r="1540">
          <cell r="A1540" t="str">
            <v>Ofsted Social Care Provider Webpage</v>
          </cell>
        </row>
        <row r="1541">
          <cell r="A1541" t="str">
            <v>Ofsted Social Care Provider Webpage</v>
          </cell>
        </row>
        <row r="1542">
          <cell r="A1542" t="str">
            <v>Ofsted Social Care Provider Webpage</v>
          </cell>
        </row>
        <row r="1543">
          <cell r="A1543" t="str">
            <v>Ofsted Social Care Provider Webpage</v>
          </cell>
        </row>
        <row r="1544">
          <cell r="A1544" t="str">
            <v>Ofsted Social Care Provider Webpage</v>
          </cell>
        </row>
        <row r="1545">
          <cell r="A1545" t="str">
            <v>Ofsted Social Care Provider Webpage</v>
          </cell>
        </row>
        <row r="1546">
          <cell r="A1546" t="str">
            <v>Ofsted Social Care Provider Webpage</v>
          </cell>
        </row>
        <row r="1547">
          <cell r="A1547" t="str">
            <v>Ofsted Social Care Provider Webpage</v>
          </cell>
        </row>
        <row r="1548">
          <cell r="A1548" t="str">
            <v>Ofsted Social Care Provider Webpage</v>
          </cell>
        </row>
        <row r="1549">
          <cell r="A1549" t="str">
            <v>Ofsted Social Care Provider Webpage</v>
          </cell>
        </row>
        <row r="1550">
          <cell r="A1550" t="str">
            <v>Ofsted Social Care Provider Webpage</v>
          </cell>
        </row>
        <row r="1551">
          <cell r="A1551" t="str">
            <v>Ofsted Social Care Provider Webpage</v>
          </cell>
        </row>
        <row r="1552">
          <cell r="A1552" t="str">
            <v>Ofsted Social Care Provider Webpage</v>
          </cell>
        </row>
        <row r="1553">
          <cell r="A1553" t="str">
            <v>Ofsted Social Care Provider Webpage</v>
          </cell>
        </row>
        <row r="1554">
          <cell r="A1554" t="str">
            <v>Ofsted Social Care Provider Webpage</v>
          </cell>
        </row>
        <row r="1555">
          <cell r="A1555" t="str">
            <v>Ofsted Social Care Provider Webpage</v>
          </cell>
        </row>
        <row r="1556">
          <cell r="A1556" t="str">
            <v>Ofsted Social Care Provider Webpage</v>
          </cell>
        </row>
        <row r="1557">
          <cell r="A1557" t="str">
            <v>Ofsted Social Care Provider Webpage</v>
          </cell>
        </row>
        <row r="1558">
          <cell r="A1558" t="str">
            <v>Ofsted Social Care Provider Webpage</v>
          </cell>
        </row>
        <row r="1559">
          <cell r="A1559" t="str">
            <v>Ofsted Social Care Provider Webpage</v>
          </cell>
        </row>
        <row r="1560">
          <cell r="A1560" t="str">
            <v>Ofsted Social Care Provider Webpage</v>
          </cell>
        </row>
        <row r="1561">
          <cell r="A1561" t="str">
            <v>Ofsted Social Care Provider Webpage</v>
          </cell>
        </row>
        <row r="1562">
          <cell r="A1562" t="str">
            <v>Ofsted Social Care Provider Webpage</v>
          </cell>
        </row>
        <row r="1563">
          <cell r="A1563" t="str">
            <v>Ofsted Social Care Provider Webpage</v>
          </cell>
        </row>
        <row r="1564">
          <cell r="A1564" t="str">
            <v>Ofsted Social Care Provider Webpage</v>
          </cell>
        </row>
        <row r="1565">
          <cell r="A1565" t="str">
            <v>Ofsted Social Care Provider Webpage</v>
          </cell>
        </row>
        <row r="1566">
          <cell r="A1566" t="str">
            <v>Ofsted Social Care Provider Webpage</v>
          </cell>
        </row>
        <row r="1567">
          <cell r="A1567" t="str">
            <v>Ofsted Social Care Provider Webpage</v>
          </cell>
        </row>
        <row r="1568">
          <cell r="A1568" t="str">
            <v>Ofsted Social Care Provider Webpage</v>
          </cell>
        </row>
        <row r="1569">
          <cell r="A1569" t="str">
            <v>Ofsted Social Care Provider Webpage</v>
          </cell>
        </row>
        <row r="1570">
          <cell r="A1570" t="str">
            <v>Ofsted Social Care Provider Webpage</v>
          </cell>
        </row>
        <row r="1571">
          <cell r="A1571" t="str">
            <v>Ofsted Social Care Provider Webpage</v>
          </cell>
        </row>
        <row r="1572">
          <cell r="A1572" t="str">
            <v>Ofsted Social Care Provider Webpage</v>
          </cell>
        </row>
        <row r="1573">
          <cell r="A1573" t="str">
            <v>Ofsted Social Care Provider Webpage</v>
          </cell>
        </row>
        <row r="1574">
          <cell r="A1574" t="str">
            <v>Ofsted Social Care Provider Webpage</v>
          </cell>
        </row>
        <row r="1575">
          <cell r="A1575" t="str">
            <v>Ofsted Social Care Provider Webpage</v>
          </cell>
        </row>
        <row r="1576">
          <cell r="A1576" t="str">
            <v>Ofsted Social Care Provider Webpage</v>
          </cell>
        </row>
        <row r="1577">
          <cell r="A1577" t="str">
            <v>Ofsted Social Care Provider Webpage</v>
          </cell>
        </row>
        <row r="1578">
          <cell r="A1578" t="str">
            <v>Ofsted Social Care Provider Webpage</v>
          </cell>
        </row>
        <row r="1579">
          <cell r="A1579" t="str">
            <v>Ofsted Social Care Provider Webpage</v>
          </cell>
        </row>
        <row r="1580">
          <cell r="A1580" t="str">
            <v>Ofsted Social Care Provider Webpage</v>
          </cell>
        </row>
        <row r="1581">
          <cell r="A1581" t="str">
            <v>Ofsted Social Care Provider Webpage</v>
          </cell>
        </row>
        <row r="1582">
          <cell r="A1582" t="str">
            <v>Ofsted Social Care Provider Webpage</v>
          </cell>
        </row>
        <row r="1583">
          <cell r="A1583" t="str">
            <v>Ofsted Social Care Provider Webpage</v>
          </cell>
        </row>
        <row r="1584">
          <cell r="A1584" t="str">
            <v>Ofsted Social Care Provider Webpage</v>
          </cell>
        </row>
        <row r="1585">
          <cell r="A1585" t="str">
            <v>Ofsted Social Care Provider Webpage</v>
          </cell>
        </row>
        <row r="1586">
          <cell r="A1586" t="str">
            <v>Ofsted Social Care Provider Webpage</v>
          </cell>
        </row>
        <row r="1587">
          <cell r="A1587" t="str">
            <v>Ofsted Social Care Provider Webpage</v>
          </cell>
        </row>
        <row r="1588">
          <cell r="A1588" t="str">
            <v>Ofsted Social Care Provider Webpage</v>
          </cell>
        </row>
        <row r="1589">
          <cell r="A1589" t="str">
            <v>Ofsted Social Care Provider Webpage</v>
          </cell>
        </row>
        <row r="1590">
          <cell r="A1590" t="str">
            <v>Ofsted Social Care Provider Webpage</v>
          </cell>
        </row>
        <row r="1591">
          <cell r="A1591" t="str">
            <v>Ofsted Social Care Provider Webpage</v>
          </cell>
        </row>
        <row r="1592">
          <cell r="A1592" t="str">
            <v>Ofsted Social Care Provider Webpage</v>
          </cell>
        </row>
        <row r="1593">
          <cell r="A1593" t="str">
            <v>Ofsted Social Care Provider Webpage</v>
          </cell>
        </row>
        <row r="1594">
          <cell r="A1594" t="str">
            <v>Ofsted Social Care Provider Webpage</v>
          </cell>
        </row>
        <row r="1595">
          <cell r="A1595" t="str">
            <v>Ofsted Social Care Provider Webpage</v>
          </cell>
        </row>
        <row r="1596">
          <cell r="A1596" t="str">
            <v>Ofsted Social Care Provider Webpage</v>
          </cell>
        </row>
        <row r="1597">
          <cell r="A1597" t="str">
            <v>Ofsted Social Care Provider Webpage</v>
          </cell>
        </row>
        <row r="1598">
          <cell r="A1598" t="str">
            <v>Ofsted Social Care Provider Webpage</v>
          </cell>
        </row>
        <row r="1599">
          <cell r="A1599" t="str">
            <v>Ofsted Social Care Provider Webpage</v>
          </cell>
        </row>
        <row r="1600">
          <cell r="A1600" t="str">
            <v>Ofsted Social Care Provider Webpage</v>
          </cell>
        </row>
        <row r="1601">
          <cell r="A1601" t="str">
            <v>Ofsted Social Care Provider Webpage</v>
          </cell>
        </row>
        <row r="1602">
          <cell r="A1602" t="str">
            <v>Ofsted Social Care Provider Webpage</v>
          </cell>
        </row>
        <row r="1603">
          <cell r="A1603" t="str">
            <v>Ofsted Social Care Provider Webpage</v>
          </cell>
        </row>
        <row r="1604">
          <cell r="A1604" t="str">
            <v>Ofsted Social Care Provider Webpage</v>
          </cell>
        </row>
        <row r="1605">
          <cell r="A1605" t="str">
            <v>Ofsted Social Care Provider Webpage</v>
          </cell>
        </row>
        <row r="1606">
          <cell r="A1606" t="str">
            <v>Ofsted Social Care Provider Webpage</v>
          </cell>
        </row>
        <row r="1607">
          <cell r="A1607" t="str">
            <v>Ofsted Social Care Provider Webpage</v>
          </cell>
        </row>
        <row r="1608">
          <cell r="A1608" t="str">
            <v>Ofsted Social Care Provider Webpage</v>
          </cell>
        </row>
        <row r="1609">
          <cell r="A1609" t="str">
            <v>Ofsted Social Care Provider Webpage</v>
          </cell>
        </row>
        <row r="1610">
          <cell r="A1610" t="str">
            <v>Ofsted Social Care Provider Webpage</v>
          </cell>
        </row>
        <row r="1611">
          <cell r="A1611" t="str">
            <v>Ofsted Social Care Provider Webpage</v>
          </cell>
        </row>
        <row r="1612">
          <cell r="A1612" t="str">
            <v>Ofsted Social Care Provider Webpage</v>
          </cell>
        </row>
        <row r="1613">
          <cell r="A1613" t="str">
            <v>Ofsted Social Care Provider Webpage</v>
          </cell>
        </row>
        <row r="1614">
          <cell r="A1614" t="str">
            <v>Ofsted Social Care Provider Webpage</v>
          </cell>
        </row>
        <row r="1615">
          <cell r="A1615" t="str">
            <v>Ofsted Social Care Provider Webpage</v>
          </cell>
        </row>
        <row r="1616">
          <cell r="A1616" t="str">
            <v>Ofsted Social Care Provider Webpage</v>
          </cell>
        </row>
        <row r="1617">
          <cell r="A1617" t="str">
            <v>Ofsted Social Care Provider Webpage</v>
          </cell>
        </row>
        <row r="1618">
          <cell r="A1618" t="str">
            <v>Ofsted Social Care Provider Webpage</v>
          </cell>
        </row>
        <row r="1619">
          <cell r="A1619" t="str">
            <v>Ofsted Social Care Provider Webpage</v>
          </cell>
        </row>
        <row r="1620">
          <cell r="A1620" t="str">
            <v>Ofsted Social Care Provider Webpage</v>
          </cell>
        </row>
        <row r="1621">
          <cell r="A1621" t="str">
            <v>Ofsted Social Care Provider Webpage</v>
          </cell>
        </row>
        <row r="1622">
          <cell r="A1622" t="str">
            <v>Ofsted Social Care Provider Webpage</v>
          </cell>
        </row>
        <row r="1623">
          <cell r="A1623" t="str">
            <v>Ofsted Social Care Provider Webpage</v>
          </cell>
        </row>
        <row r="1624">
          <cell r="A1624" t="str">
            <v>Ofsted Social Care Provider Webpage</v>
          </cell>
        </row>
        <row r="1625">
          <cell r="A1625" t="str">
            <v>Ofsted Social Care Provider Webpage</v>
          </cell>
        </row>
        <row r="1626">
          <cell r="A1626" t="str">
            <v>Ofsted Social Care Provider Webpage</v>
          </cell>
        </row>
        <row r="1627">
          <cell r="A1627" t="str">
            <v>Ofsted Social Care Provider Webpage</v>
          </cell>
        </row>
        <row r="1628">
          <cell r="A1628" t="str">
            <v>Ofsted Social Care Provider Webpage</v>
          </cell>
        </row>
        <row r="1629">
          <cell r="A1629" t="str">
            <v>Ofsted Social Care Provider Webpage</v>
          </cell>
        </row>
        <row r="1630">
          <cell r="A1630" t="str">
            <v>Ofsted Social Care Provider Webpage</v>
          </cell>
        </row>
        <row r="1631">
          <cell r="A1631" t="str">
            <v>Ofsted Social Care Provider Webpage</v>
          </cell>
        </row>
        <row r="1632">
          <cell r="A1632" t="str">
            <v>Ofsted Social Care Provider Webpage</v>
          </cell>
        </row>
        <row r="1633">
          <cell r="A1633" t="str">
            <v>Ofsted Social Care Provider Webpage</v>
          </cell>
        </row>
        <row r="1634">
          <cell r="A1634" t="str">
            <v>Ofsted Social Care Provider Webpage</v>
          </cell>
        </row>
        <row r="1635">
          <cell r="A1635" t="str">
            <v>Ofsted Social Care Provider Webpage</v>
          </cell>
        </row>
        <row r="1636">
          <cell r="A1636" t="str">
            <v>Ofsted Social Care Provider Webpage</v>
          </cell>
        </row>
        <row r="1637">
          <cell r="A1637" t="str">
            <v>Ofsted Social Care Provider Webpage</v>
          </cell>
        </row>
        <row r="1638">
          <cell r="A1638" t="str">
            <v>Ofsted Social Care Provider Webpage</v>
          </cell>
        </row>
        <row r="1639">
          <cell r="A1639" t="str">
            <v>Ofsted Social Care Provider Webpage</v>
          </cell>
        </row>
        <row r="1640">
          <cell r="A1640" t="str">
            <v>Ofsted Social Care Provider Webpage</v>
          </cell>
        </row>
        <row r="1641">
          <cell r="A1641" t="str">
            <v>Ofsted Social Care Provider Webpage</v>
          </cell>
        </row>
        <row r="1642">
          <cell r="A1642" t="str">
            <v>Ofsted Social Care Provider Webpage</v>
          </cell>
        </row>
        <row r="1643">
          <cell r="A1643" t="str">
            <v>Ofsted Social Care Provider Webpage</v>
          </cell>
        </row>
        <row r="1644">
          <cell r="A1644" t="str">
            <v>Ofsted Social Care Provider Webpage</v>
          </cell>
        </row>
        <row r="1645">
          <cell r="A1645" t="str">
            <v>Ofsted Social Care Provider Webpage</v>
          </cell>
        </row>
        <row r="1646">
          <cell r="A1646" t="str">
            <v>Ofsted Social Care Provider Webpage</v>
          </cell>
        </row>
        <row r="1647">
          <cell r="A1647" t="str">
            <v>Ofsted Social Care Provider Webpage</v>
          </cell>
        </row>
        <row r="1648">
          <cell r="A1648" t="str">
            <v>Ofsted Social Care Provider Webpage</v>
          </cell>
        </row>
        <row r="1649">
          <cell r="A1649" t="str">
            <v>Ofsted Social Care Provider Webpage</v>
          </cell>
        </row>
        <row r="1650">
          <cell r="A1650" t="str">
            <v>Ofsted Social Care Provider Webpage</v>
          </cell>
        </row>
        <row r="1651">
          <cell r="A1651" t="str">
            <v>Ofsted Social Care Provider Webpage</v>
          </cell>
        </row>
        <row r="1652">
          <cell r="A1652" t="str">
            <v>Ofsted Social Care Provider Webpage</v>
          </cell>
        </row>
        <row r="1653">
          <cell r="A1653" t="str">
            <v>Ofsted Social Care Provider Webpage</v>
          </cell>
        </row>
        <row r="1654">
          <cell r="A1654" t="str">
            <v>Ofsted Social Care Provider Webpage</v>
          </cell>
        </row>
        <row r="1655">
          <cell r="A1655" t="str">
            <v>Ofsted Social Care Provider Webpage</v>
          </cell>
        </row>
        <row r="1656">
          <cell r="A1656" t="str">
            <v>Ofsted Social Care Provider Webpage</v>
          </cell>
        </row>
        <row r="1657">
          <cell r="A1657" t="str">
            <v>Ofsted Social Care Provider Webpage</v>
          </cell>
        </row>
        <row r="1658">
          <cell r="A1658" t="str">
            <v>Ofsted Social Care Provider Webpage</v>
          </cell>
        </row>
        <row r="1659">
          <cell r="A1659" t="str">
            <v>Ofsted Social Care Provider Webpage</v>
          </cell>
        </row>
        <row r="1660">
          <cell r="A1660" t="str">
            <v>Ofsted Social Care Provider Webpage</v>
          </cell>
        </row>
        <row r="1661">
          <cell r="A1661" t="str">
            <v>Ofsted Social Care Provider Webpage</v>
          </cell>
        </row>
        <row r="1662">
          <cell r="A1662" t="str">
            <v>Ofsted Social Care Provider Webpage</v>
          </cell>
        </row>
        <row r="1663">
          <cell r="A1663" t="str">
            <v>Ofsted Social Care Provider Webpage</v>
          </cell>
        </row>
        <row r="1664">
          <cell r="A1664" t="str">
            <v>Ofsted Social Care Provider Webpage</v>
          </cell>
        </row>
        <row r="1665">
          <cell r="A1665" t="str">
            <v>Ofsted Social Care Provider Webpage</v>
          </cell>
        </row>
        <row r="1666">
          <cell r="A1666" t="str">
            <v>Ofsted Social Care Provider Webpage</v>
          </cell>
        </row>
        <row r="1667">
          <cell r="A1667" t="str">
            <v>Ofsted Social Care Provider Webpage</v>
          </cell>
        </row>
        <row r="1668">
          <cell r="A1668" t="str">
            <v>Ofsted Social Care Provider Webpage</v>
          </cell>
        </row>
        <row r="1669">
          <cell r="A1669" t="str">
            <v>Ofsted Social Care Provider Webpage</v>
          </cell>
        </row>
        <row r="1670">
          <cell r="A1670" t="str">
            <v>Ofsted Social Care Provider Webpage</v>
          </cell>
        </row>
        <row r="1671">
          <cell r="A1671" t="str">
            <v>Ofsted Social Care Provider Webpage</v>
          </cell>
        </row>
        <row r="1672">
          <cell r="A1672" t="str">
            <v>Ofsted Social Care Provider Webpage</v>
          </cell>
        </row>
        <row r="1673">
          <cell r="A1673" t="str">
            <v>Ofsted Social Care Provider Webpage</v>
          </cell>
        </row>
        <row r="1674">
          <cell r="A1674" t="str">
            <v>Ofsted Social Care Provider Webpage</v>
          </cell>
        </row>
        <row r="1675">
          <cell r="A1675" t="str">
            <v>Ofsted Social Care Provider Webpage</v>
          </cell>
        </row>
        <row r="1676">
          <cell r="A1676" t="str">
            <v>Ofsted Social Care Provider Webpage</v>
          </cell>
        </row>
        <row r="1677">
          <cell r="A1677" t="str">
            <v>Ofsted Social Care Provider Webpage</v>
          </cell>
        </row>
        <row r="1678">
          <cell r="A1678" t="str">
            <v>Ofsted Social Care Provider Webpage</v>
          </cell>
        </row>
        <row r="1679">
          <cell r="A1679" t="str">
            <v>Ofsted Social Care Provider Webpage</v>
          </cell>
        </row>
        <row r="1680">
          <cell r="A1680" t="str">
            <v>Ofsted Social Care Provider Webpage</v>
          </cell>
        </row>
        <row r="1681">
          <cell r="A1681" t="str">
            <v>Ofsted Social Care Provider Webpage</v>
          </cell>
        </row>
        <row r="1682">
          <cell r="A1682" t="str">
            <v>Ofsted Social Care Provider Webpage</v>
          </cell>
        </row>
        <row r="1683">
          <cell r="A1683" t="str">
            <v>Ofsted Social Care Provider Webpage</v>
          </cell>
        </row>
        <row r="1684">
          <cell r="A1684" t="str">
            <v>Ofsted Social Care Provider Webpage</v>
          </cell>
        </row>
        <row r="1685">
          <cell r="A1685" t="str">
            <v>Ofsted Social Care Provider Webpage</v>
          </cell>
        </row>
        <row r="1686">
          <cell r="A1686" t="str">
            <v>Ofsted Social Care Provider Webpage</v>
          </cell>
        </row>
        <row r="1687">
          <cell r="A1687" t="str">
            <v>Ofsted Social Care Provider Webpage</v>
          </cell>
        </row>
        <row r="1688">
          <cell r="A1688" t="str">
            <v>Ofsted Social Care Provider Webpage</v>
          </cell>
        </row>
        <row r="1689">
          <cell r="A1689" t="str">
            <v>Ofsted Social Care Provider Webpage</v>
          </cell>
        </row>
        <row r="1690">
          <cell r="A1690" t="str">
            <v>Ofsted Social Care Provider Webpage</v>
          </cell>
        </row>
        <row r="1691">
          <cell r="A1691" t="str">
            <v>Ofsted Social Care Provider Webpage</v>
          </cell>
        </row>
        <row r="1692">
          <cell r="A1692" t="str">
            <v>Ofsted Social Care Provider Webpage</v>
          </cell>
        </row>
        <row r="1693">
          <cell r="A1693" t="str">
            <v>Ofsted Social Care Provider Webpage</v>
          </cell>
        </row>
        <row r="1694">
          <cell r="A1694" t="str">
            <v>Ofsted Social Care Provider Webpage</v>
          </cell>
        </row>
        <row r="1695">
          <cell r="A1695" t="str">
            <v>Ofsted Social Care Provider Webpage</v>
          </cell>
        </row>
        <row r="1696">
          <cell r="A1696" t="str">
            <v>Ofsted Social Care Provider Webpage</v>
          </cell>
        </row>
        <row r="1697">
          <cell r="A1697" t="str">
            <v>Ofsted Social Care Provider Webpage</v>
          </cell>
        </row>
        <row r="1698">
          <cell r="A1698" t="str">
            <v>Ofsted Social Care Provider Webpage</v>
          </cell>
        </row>
        <row r="1699">
          <cell r="A1699" t="str">
            <v>Ofsted Social Care Provider Webpage</v>
          </cell>
        </row>
        <row r="1700">
          <cell r="A1700" t="str">
            <v>Ofsted Social Care Provider Webpage</v>
          </cell>
        </row>
        <row r="1701">
          <cell r="A1701" t="str">
            <v>Ofsted Social Care Provider Webpage</v>
          </cell>
        </row>
        <row r="1702">
          <cell r="A1702" t="str">
            <v>Ofsted Social Care Provider Webpage</v>
          </cell>
        </row>
        <row r="1703">
          <cell r="A1703" t="str">
            <v>Ofsted Social Care Provider Webpage</v>
          </cell>
        </row>
        <row r="1704">
          <cell r="A1704" t="str">
            <v>Ofsted Social Care Provider Webpage</v>
          </cell>
        </row>
        <row r="1705">
          <cell r="A1705" t="str">
            <v>Ofsted Social Care Provider Webpage</v>
          </cell>
        </row>
        <row r="1706">
          <cell r="A1706" t="str">
            <v>Ofsted Social Care Provider Webpage</v>
          </cell>
        </row>
        <row r="1707">
          <cell r="A1707" t="str">
            <v>Ofsted Social Care Provider Webpage</v>
          </cell>
        </row>
        <row r="1708">
          <cell r="A1708" t="str">
            <v>Ofsted Social Care Provider Webpage</v>
          </cell>
        </row>
        <row r="1709">
          <cell r="A1709" t="str">
            <v>Ofsted Social Care Provider Webpage</v>
          </cell>
        </row>
        <row r="1710">
          <cell r="A1710" t="str">
            <v>Ofsted Social Care Provider Webpage</v>
          </cell>
        </row>
        <row r="1711">
          <cell r="A1711" t="str">
            <v>Ofsted Social Care Provider Webpage</v>
          </cell>
        </row>
        <row r="1712">
          <cell r="A1712" t="str">
            <v>Ofsted Social Care Provider Webpage</v>
          </cell>
        </row>
        <row r="1713">
          <cell r="A1713" t="str">
            <v>Ofsted Social Care Provider Webpage</v>
          </cell>
        </row>
        <row r="1714">
          <cell r="A1714" t="str">
            <v>Ofsted Social Care Provider Webpage</v>
          </cell>
        </row>
        <row r="1715">
          <cell r="A1715" t="str">
            <v>Ofsted Social Care Provider Webpage</v>
          </cell>
        </row>
        <row r="1716">
          <cell r="A1716" t="str">
            <v>Ofsted Social Care Provider Webpage</v>
          </cell>
        </row>
        <row r="1717">
          <cell r="A1717" t="str">
            <v>Ofsted Social Care Provider Webpage</v>
          </cell>
        </row>
        <row r="1718">
          <cell r="A1718" t="str">
            <v>Ofsted Social Care Provider Webpage</v>
          </cell>
        </row>
        <row r="1719">
          <cell r="A1719" t="str">
            <v>Ofsted Social Care Provider Webpage</v>
          </cell>
        </row>
        <row r="1720">
          <cell r="A1720" t="str">
            <v>Ofsted Social Care Provider Webpage</v>
          </cell>
        </row>
        <row r="1721">
          <cell r="A1721" t="str">
            <v>Ofsted Social Care Provider Webpage</v>
          </cell>
        </row>
        <row r="1722">
          <cell r="A1722" t="str">
            <v>Ofsted Social Care Provider Webpage</v>
          </cell>
        </row>
        <row r="1723">
          <cell r="A1723" t="str">
            <v>Ofsted Social Care Provider Webpage</v>
          </cell>
        </row>
        <row r="1724">
          <cell r="A1724" t="str">
            <v>Ofsted Social Care Provider Webpage</v>
          </cell>
        </row>
        <row r="1725">
          <cell r="A1725" t="str">
            <v>Ofsted Social Care Provider Webpage</v>
          </cell>
        </row>
        <row r="1726">
          <cell r="A1726" t="str">
            <v>Ofsted Social Care Provider Webpage</v>
          </cell>
        </row>
        <row r="1727">
          <cell r="A1727" t="str">
            <v>Ofsted Social Care Provider Webpage</v>
          </cell>
        </row>
        <row r="1728">
          <cell r="A1728" t="str">
            <v>Ofsted Social Care Provider Webpage</v>
          </cell>
        </row>
        <row r="1729">
          <cell r="A1729" t="str">
            <v>Ofsted Social Care Provider Webpage</v>
          </cell>
        </row>
        <row r="1730">
          <cell r="A1730" t="str">
            <v>Ofsted Social Care Provider Webpage</v>
          </cell>
        </row>
        <row r="1731">
          <cell r="A1731" t="str">
            <v>Ofsted Social Care Provider Webpage</v>
          </cell>
        </row>
        <row r="1732">
          <cell r="A1732" t="str">
            <v>Ofsted Social Care Provider Webpage</v>
          </cell>
        </row>
        <row r="1733">
          <cell r="A1733" t="str">
            <v>Ofsted Social Care Provider Webpage</v>
          </cell>
        </row>
        <row r="1734">
          <cell r="A1734" t="str">
            <v>Ofsted Social Care Provider Webpage</v>
          </cell>
        </row>
        <row r="1735">
          <cell r="A1735" t="str">
            <v>Ofsted Social Care Provider Webpage</v>
          </cell>
        </row>
        <row r="1736">
          <cell r="A1736" t="str">
            <v>Ofsted Social Care Provider Webpage</v>
          </cell>
        </row>
        <row r="1737">
          <cell r="A1737" t="str">
            <v>Ofsted Social Care Provider Webpage</v>
          </cell>
        </row>
        <row r="1738">
          <cell r="A1738" t="str">
            <v>Ofsted Social Care Provider Webpage</v>
          </cell>
        </row>
        <row r="1739">
          <cell r="A1739" t="str">
            <v>Ofsted Social Care Provider Webpage</v>
          </cell>
        </row>
        <row r="1740">
          <cell r="A1740" t="str">
            <v>Ofsted Social Care Provider Webpage</v>
          </cell>
        </row>
        <row r="1741">
          <cell r="A1741" t="str">
            <v>Ofsted Social Care Provider Webpage</v>
          </cell>
        </row>
        <row r="1742">
          <cell r="A1742" t="str">
            <v>Ofsted Social Care Provider Webpage</v>
          </cell>
        </row>
        <row r="1743">
          <cell r="A1743" t="str">
            <v>Ofsted Social Care Provider Webpage</v>
          </cell>
        </row>
        <row r="1744">
          <cell r="A1744" t="str">
            <v>Ofsted Social Care Provider Webpage</v>
          </cell>
        </row>
        <row r="1745">
          <cell r="A1745" t="str">
            <v>Ofsted Social Care Provider Webpage</v>
          </cell>
        </row>
        <row r="1746">
          <cell r="A1746" t="str">
            <v>Ofsted Social Care Provider Webpage</v>
          </cell>
        </row>
        <row r="1747">
          <cell r="A1747" t="str">
            <v>Ofsted Social Care Provider Webpage</v>
          </cell>
        </row>
        <row r="1748">
          <cell r="A1748" t="str">
            <v>Ofsted Social Care Provider Webpage</v>
          </cell>
        </row>
        <row r="1749">
          <cell r="A1749" t="str">
            <v>Ofsted Social Care Provider Webpage</v>
          </cell>
        </row>
        <row r="1750">
          <cell r="A1750" t="str">
            <v>Ofsted Social Care Provider Webpage</v>
          </cell>
        </row>
        <row r="1751">
          <cell r="A1751" t="str">
            <v>Ofsted Social Care Provider Webpage</v>
          </cell>
        </row>
        <row r="1752">
          <cell r="A1752" t="str">
            <v>Ofsted Social Care Provider Webpage</v>
          </cell>
        </row>
        <row r="1753">
          <cell r="A1753" t="str">
            <v>Ofsted Social Care Provider Webpage</v>
          </cell>
        </row>
        <row r="1754">
          <cell r="A1754" t="str">
            <v>Ofsted Social Care Provider Webpage</v>
          </cell>
        </row>
        <row r="1755">
          <cell r="A1755" t="str">
            <v>Ofsted Social Care Provider Webpage</v>
          </cell>
        </row>
        <row r="1756">
          <cell r="A1756" t="str">
            <v>Ofsted Social Care Provider Webpage</v>
          </cell>
        </row>
        <row r="1757">
          <cell r="A1757" t="str">
            <v>Ofsted Social Care Provider Webpage</v>
          </cell>
        </row>
        <row r="1758">
          <cell r="A1758" t="str">
            <v>Ofsted Social Care Provider Webpage</v>
          </cell>
        </row>
        <row r="1759">
          <cell r="A1759" t="str">
            <v>Ofsted Social Care Provider Webpage</v>
          </cell>
        </row>
        <row r="1760">
          <cell r="A1760" t="str">
            <v>Ofsted Social Care Provider Webpage</v>
          </cell>
        </row>
        <row r="1761">
          <cell r="A1761" t="str">
            <v>Ofsted Social Care Provider Webpage</v>
          </cell>
        </row>
        <row r="1762">
          <cell r="A1762" t="str">
            <v>Ofsted Social Care Provider Webpage</v>
          </cell>
        </row>
        <row r="1763">
          <cell r="A1763" t="str">
            <v>Ofsted Social Care Provider Webpage</v>
          </cell>
        </row>
        <row r="1764">
          <cell r="A1764" t="str">
            <v>Ofsted Social Care Provider Webpage</v>
          </cell>
        </row>
        <row r="1765">
          <cell r="A1765" t="str">
            <v>Ofsted Social Care Provider Webpage</v>
          </cell>
        </row>
        <row r="1766">
          <cell r="A1766" t="str">
            <v>Ofsted Social Care Provider Webpage</v>
          </cell>
        </row>
        <row r="1767">
          <cell r="A1767" t="str">
            <v>Ofsted Social Care Provider Webpage</v>
          </cell>
        </row>
        <row r="1768">
          <cell r="A1768" t="str">
            <v>Ofsted Social Care Provider Webpage</v>
          </cell>
        </row>
        <row r="1769">
          <cell r="A1769" t="str">
            <v>Ofsted Social Care Provider Webpage</v>
          </cell>
        </row>
        <row r="1770">
          <cell r="A1770" t="str">
            <v>Ofsted Social Care Provider Webpage</v>
          </cell>
        </row>
        <row r="1771">
          <cell r="A1771" t="str">
            <v>Ofsted Social Care Provider Webpage</v>
          </cell>
        </row>
        <row r="1772">
          <cell r="A1772" t="str">
            <v>Ofsted Social Care Provider Webpage</v>
          </cell>
        </row>
        <row r="1773">
          <cell r="A1773" t="str">
            <v>Ofsted Social Care Provider Webpage</v>
          </cell>
        </row>
        <row r="1774">
          <cell r="A1774" t="str">
            <v>Ofsted Social Care Provider Webpage</v>
          </cell>
        </row>
        <row r="1775">
          <cell r="A1775" t="str">
            <v>Ofsted Social Care Provider Webpage</v>
          </cell>
        </row>
        <row r="1776">
          <cell r="A1776" t="str">
            <v>Ofsted Social Care Provider Webpage</v>
          </cell>
        </row>
        <row r="1777">
          <cell r="A1777" t="str">
            <v>Ofsted Social Care Provider Webpage</v>
          </cell>
        </row>
        <row r="1778">
          <cell r="A1778" t="str">
            <v>Ofsted Social Care Provider Webpage</v>
          </cell>
        </row>
        <row r="1779">
          <cell r="A1779" t="str">
            <v>Ofsted Social Care Provider Webpage</v>
          </cell>
        </row>
        <row r="1780">
          <cell r="A1780" t="str">
            <v>Ofsted Social Care Provider Webpage</v>
          </cell>
        </row>
        <row r="1781">
          <cell r="A1781" t="str">
            <v>Ofsted Social Care Provider Webpage</v>
          </cell>
        </row>
        <row r="1782">
          <cell r="A1782" t="str">
            <v>Ofsted Social Care Provider Webpage</v>
          </cell>
        </row>
        <row r="1783">
          <cell r="A1783" t="str">
            <v>Ofsted Social Care Provider Webpage</v>
          </cell>
        </row>
        <row r="1784">
          <cell r="A1784" t="str">
            <v>Ofsted Social Care Provider Webpage</v>
          </cell>
        </row>
        <row r="1785">
          <cell r="A1785" t="str">
            <v>Ofsted Social Care Provider Webpage</v>
          </cell>
        </row>
        <row r="1786">
          <cell r="A1786" t="str">
            <v>Ofsted Social Care Provider Webpage</v>
          </cell>
        </row>
        <row r="1787">
          <cell r="A1787" t="str">
            <v>Ofsted Social Care Provider Webpage</v>
          </cell>
        </row>
        <row r="1788">
          <cell r="A1788" t="str">
            <v>Ofsted Social Care Provider Webpage</v>
          </cell>
        </row>
        <row r="1789">
          <cell r="A1789" t="str">
            <v>Ofsted Social Care Provider Webpage</v>
          </cell>
        </row>
        <row r="1790">
          <cell r="A1790" t="str">
            <v>Ofsted Social Care Provider Webpage</v>
          </cell>
        </row>
        <row r="1791">
          <cell r="A1791" t="str">
            <v>Ofsted Social Care Provider Webpage</v>
          </cell>
        </row>
        <row r="1792">
          <cell r="A1792" t="str">
            <v>Ofsted Social Care Provider Webpage</v>
          </cell>
        </row>
        <row r="1793">
          <cell r="A1793" t="str">
            <v>Ofsted Social Care Provider Webpage</v>
          </cell>
        </row>
        <row r="1794">
          <cell r="A1794" t="str">
            <v>Ofsted Social Care Provider Webpage</v>
          </cell>
        </row>
        <row r="1795">
          <cell r="A1795" t="str">
            <v>Ofsted Social Care Provider Webpage</v>
          </cell>
        </row>
        <row r="1796">
          <cell r="A1796" t="str">
            <v>Ofsted Social Care Provider Webpage</v>
          </cell>
        </row>
        <row r="1797">
          <cell r="A1797" t="str">
            <v>Ofsted Social Care Provider Webpage</v>
          </cell>
        </row>
        <row r="1798">
          <cell r="A1798" t="str">
            <v>Ofsted Social Care Provider Webpage</v>
          </cell>
        </row>
        <row r="1799">
          <cell r="A1799" t="str">
            <v>Ofsted Social Care Provider Webpage</v>
          </cell>
        </row>
        <row r="1800">
          <cell r="A1800" t="str">
            <v>Ofsted Social Care Provider Webpage</v>
          </cell>
        </row>
        <row r="1801">
          <cell r="A1801" t="str">
            <v>Ofsted Social Care Provider Webpage</v>
          </cell>
        </row>
        <row r="1802">
          <cell r="A1802" t="str">
            <v>Ofsted Social Care Provider Webpage</v>
          </cell>
        </row>
        <row r="1803">
          <cell r="A1803" t="str">
            <v>Ofsted Social Care Provider Webpage</v>
          </cell>
        </row>
        <row r="1804">
          <cell r="A1804" t="str">
            <v>Ofsted Social Care Provider Webpage</v>
          </cell>
        </row>
        <row r="1805">
          <cell r="A1805" t="str">
            <v>Ofsted Social Care Provider Webpage</v>
          </cell>
        </row>
        <row r="1806">
          <cell r="A1806" t="str">
            <v>Ofsted Social Care Provider Webpage</v>
          </cell>
        </row>
        <row r="1807">
          <cell r="A1807" t="str">
            <v>Ofsted Social Care Provider Webpage</v>
          </cell>
        </row>
        <row r="1808">
          <cell r="A1808" t="str">
            <v>Ofsted Social Care Provider Webpage</v>
          </cell>
        </row>
        <row r="1809">
          <cell r="A1809" t="str">
            <v>Ofsted Social Care Provider Webpage</v>
          </cell>
        </row>
        <row r="1810">
          <cell r="A1810" t="str">
            <v>Ofsted Social Care Provider Webpage</v>
          </cell>
        </row>
        <row r="1811">
          <cell r="A1811" t="str">
            <v>Ofsted Social Care Provider Webpage</v>
          </cell>
        </row>
        <row r="1812">
          <cell r="A1812" t="str">
            <v>Ofsted Social Care Provider Webpage</v>
          </cell>
        </row>
        <row r="1813">
          <cell r="A1813" t="str">
            <v>Ofsted Social Care Provider Webpage</v>
          </cell>
        </row>
        <row r="1814">
          <cell r="A1814" t="str">
            <v>Ofsted Social Care Provider Webpage</v>
          </cell>
        </row>
        <row r="1815">
          <cell r="A1815" t="str">
            <v>Ofsted Social Care Provider Webpage</v>
          </cell>
        </row>
        <row r="1816">
          <cell r="A1816" t="str">
            <v>Ofsted Social Care Provider Webpage</v>
          </cell>
        </row>
        <row r="1817">
          <cell r="A1817" t="str">
            <v>Ofsted Social Care Provider Webpage</v>
          </cell>
        </row>
        <row r="1818">
          <cell r="A1818" t="str">
            <v>Ofsted Social Care Provider Webpage</v>
          </cell>
        </row>
        <row r="1819">
          <cell r="A1819" t="str">
            <v>Ofsted Social Care Provider Webpage</v>
          </cell>
        </row>
        <row r="1820">
          <cell r="A1820" t="str">
            <v>Ofsted Social Care Provider Webpage</v>
          </cell>
        </row>
        <row r="1821">
          <cell r="A1821" t="str">
            <v>Ofsted Social Care Provider Webpage</v>
          </cell>
        </row>
        <row r="1822">
          <cell r="A1822" t="str">
            <v>Ofsted Social Care Provider Webpage</v>
          </cell>
        </row>
        <row r="1823">
          <cell r="A1823" t="str">
            <v>Ofsted Social Care Provider Webpage</v>
          </cell>
        </row>
        <row r="1824">
          <cell r="A1824" t="str">
            <v>Ofsted Social Care Provider Webpage</v>
          </cell>
        </row>
        <row r="1825">
          <cell r="A1825" t="str">
            <v>Ofsted Social Care Provider Webpage</v>
          </cell>
        </row>
        <row r="1826">
          <cell r="A1826" t="str">
            <v>Ofsted Social Care Provider Webpage</v>
          </cell>
        </row>
        <row r="1827">
          <cell r="A1827" t="str">
            <v>Ofsted Social Care Provider Webpage</v>
          </cell>
        </row>
        <row r="1828">
          <cell r="A1828" t="str">
            <v>Ofsted Social Care Provider Webpage</v>
          </cell>
        </row>
        <row r="1829">
          <cell r="A1829" t="str">
            <v>Ofsted Social Care Provider Webpage</v>
          </cell>
        </row>
        <row r="1830">
          <cell r="A1830" t="str">
            <v>Ofsted Social Care Provider Webpage</v>
          </cell>
        </row>
        <row r="1831">
          <cell r="A1831" t="str">
            <v>Ofsted Social Care Provider Webpage</v>
          </cell>
        </row>
        <row r="1832">
          <cell r="A1832" t="str">
            <v>Ofsted Social Care Provider Webpage</v>
          </cell>
        </row>
        <row r="1833">
          <cell r="A1833" t="str">
            <v>Ofsted Social Care Provider Webpage</v>
          </cell>
        </row>
        <row r="1834">
          <cell r="A1834" t="str">
            <v>Ofsted Social Care Provider Webpage</v>
          </cell>
        </row>
        <row r="1835">
          <cell r="A1835" t="str">
            <v>Ofsted Social Care Provider Webpage</v>
          </cell>
        </row>
        <row r="1836">
          <cell r="A1836" t="str">
            <v>Ofsted Social Care Provider Webpage</v>
          </cell>
        </row>
        <row r="1837">
          <cell r="A1837" t="str">
            <v>Ofsted Social Care Provider Webpage</v>
          </cell>
        </row>
        <row r="1838">
          <cell r="A1838" t="str">
            <v>Ofsted Social Care Provider Webpage</v>
          </cell>
        </row>
        <row r="1839">
          <cell r="A1839" t="str">
            <v>Ofsted Social Care Provider Webpage</v>
          </cell>
        </row>
        <row r="1840">
          <cell r="A1840" t="str">
            <v>Ofsted Social Care Provider Webpage</v>
          </cell>
        </row>
        <row r="1841">
          <cell r="A1841" t="str">
            <v>Ofsted Social Care Provider Webpage</v>
          </cell>
        </row>
        <row r="1842">
          <cell r="A1842" t="str">
            <v>Ofsted Social Care Provider Webpage</v>
          </cell>
        </row>
        <row r="1843">
          <cell r="A1843" t="str">
            <v>Ofsted Social Care Provider Webpage</v>
          </cell>
        </row>
        <row r="1844">
          <cell r="A1844" t="str">
            <v>Ofsted Social Care Provider Webpage</v>
          </cell>
        </row>
        <row r="1845">
          <cell r="A1845" t="str">
            <v>Ofsted Social Care Provider Webpage</v>
          </cell>
        </row>
        <row r="1846">
          <cell r="A1846" t="str">
            <v>Ofsted Social Care Provider Webpage</v>
          </cell>
        </row>
        <row r="1847">
          <cell r="A1847" t="str">
            <v>Ofsted Social Care Provider Webpage</v>
          </cell>
        </row>
        <row r="1848">
          <cell r="A1848" t="str">
            <v>Ofsted Social Care Provider Webpage</v>
          </cell>
        </row>
        <row r="1849">
          <cell r="A1849" t="str">
            <v>Ofsted Social Care Provider Webpage</v>
          </cell>
        </row>
        <row r="1850">
          <cell r="A1850" t="str">
            <v>Ofsted Social Care Provider Webpage</v>
          </cell>
        </row>
        <row r="1851">
          <cell r="A1851" t="str">
            <v>Ofsted Social Care Provider Webpage</v>
          </cell>
        </row>
        <row r="1852">
          <cell r="A1852" t="str">
            <v>Ofsted Social Care Provider Webpage</v>
          </cell>
        </row>
        <row r="1853">
          <cell r="A1853" t="str">
            <v>Ofsted Social Care Provider Webpage</v>
          </cell>
        </row>
        <row r="1854">
          <cell r="A1854" t="str">
            <v>Ofsted Social Care Provider Webpage</v>
          </cell>
        </row>
        <row r="1855">
          <cell r="A1855" t="str">
            <v>Ofsted Social Care Provider Webpage</v>
          </cell>
        </row>
        <row r="1856">
          <cell r="A1856" t="str">
            <v>Ofsted Social Care Provider Webpage</v>
          </cell>
        </row>
        <row r="1857">
          <cell r="A1857" t="str">
            <v>Ofsted Social Care Provider Webpage</v>
          </cell>
        </row>
        <row r="1858">
          <cell r="A1858" t="str">
            <v>Ofsted Social Care Provider Webpage</v>
          </cell>
        </row>
        <row r="1859">
          <cell r="A1859" t="str">
            <v>Ofsted Social Care Provider Webpage</v>
          </cell>
        </row>
        <row r="1860">
          <cell r="A1860" t="str">
            <v>Ofsted Social Care Provider Webpage</v>
          </cell>
        </row>
        <row r="1861">
          <cell r="A1861" t="str">
            <v>Ofsted Social Care Provider Webpage</v>
          </cell>
        </row>
        <row r="1862">
          <cell r="A1862" t="str">
            <v>Ofsted Social Care Provider Webpage</v>
          </cell>
        </row>
        <row r="1863">
          <cell r="A1863" t="str">
            <v>Ofsted Social Care Provider Webpage</v>
          </cell>
        </row>
        <row r="1864">
          <cell r="A1864" t="str">
            <v>Ofsted Social Care Provider Webpage</v>
          </cell>
        </row>
        <row r="1865">
          <cell r="A1865" t="str">
            <v>Ofsted Social Care Provider Webpage</v>
          </cell>
        </row>
        <row r="1866">
          <cell r="A1866" t="str">
            <v>Ofsted Social Care Provider Webpage</v>
          </cell>
        </row>
        <row r="1867">
          <cell r="A1867" t="str">
            <v>Ofsted Social Care Provider Webpage</v>
          </cell>
        </row>
        <row r="1868">
          <cell r="A1868" t="str">
            <v>Ofsted Social Care Provider Webpage</v>
          </cell>
        </row>
        <row r="1869">
          <cell r="A1869" t="str">
            <v>Ofsted Social Care Provider Webpage</v>
          </cell>
        </row>
        <row r="1870">
          <cell r="A1870" t="str">
            <v>Ofsted Social Care Provider Webpage</v>
          </cell>
        </row>
        <row r="1871">
          <cell r="A1871" t="str">
            <v>Ofsted Social Care Provider Webpage</v>
          </cell>
        </row>
        <row r="1872">
          <cell r="A1872" t="str">
            <v>Ofsted Social Care Provider Webpage</v>
          </cell>
        </row>
        <row r="1873">
          <cell r="A1873" t="str">
            <v>Ofsted Social Care Provider Webpage</v>
          </cell>
        </row>
        <row r="1874">
          <cell r="A1874" t="str">
            <v>Ofsted Social Care Provider Webpage</v>
          </cell>
        </row>
        <row r="1875">
          <cell r="A1875" t="str">
            <v>Ofsted Social Care Provider Webpage</v>
          </cell>
        </row>
        <row r="1876">
          <cell r="A1876" t="str">
            <v>Ofsted Social Care Provider Webpage</v>
          </cell>
        </row>
        <row r="1877">
          <cell r="A1877" t="str">
            <v>Ofsted Social Care Provider Webpage</v>
          </cell>
        </row>
        <row r="1878">
          <cell r="A1878" t="str">
            <v>Ofsted Social Care Provider Webpage</v>
          </cell>
        </row>
        <row r="1879">
          <cell r="A1879" t="str">
            <v>Ofsted Social Care Provider Webpage</v>
          </cell>
        </row>
        <row r="1880">
          <cell r="A1880" t="str">
            <v>Ofsted Social Care Provider Webpage</v>
          </cell>
        </row>
        <row r="1881">
          <cell r="A1881" t="str">
            <v>Ofsted Social Care Provider Webpage</v>
          </cell>
        </row>
        <row r="1882">
          <cell r="A1882" t="str">
            <v>Ofsted Social Care Provider Webpage</v>
          </cell>
        </row>
        <row r="1883">
          <cell r="A1883" t="str">
            <v>Ofsted Social Care Provider Webpage</v>
          </cell>
        </row>
        <row r="1884">
          <cell r="A1884" t="str">
            <v>Ofsted Social Care Provider Webpage</v>
          </cell>
        </row>
        <row r="1885">
          <cell r="A1885" t="str">
            <v>Ofsted Social Care Provider Webpage</v>
          </cell>
        </row>
        <row r="1886">
          <cell r="A1886" t="str">
            <v>Ofsted Social Care Provider Webpage</v>
          </cell>
        </row>
        <row r="1887">
          <cell r="A1887" t="str">
            <v>Ofsted Social Care Provider Webpage</v>
          </cell>
        </row>
        <row r="1888">
          <cell r="A1888" t="str">
            <v>Ofsted Social Care Provider Webpage</v>
          </cell>
        </row>
        <row r="1889">
          <cell r="A1889" t="str">
            <v>Ofsted Social Care Provider Webpage</v>
          </cell>
        </row>
        <row r="1890">
          <cell r="A1890" t="str">
            <v>Ofsted Social Care Provider Webpage</v>
          </cell>
        </row>
        <row r="1891">
          <cell r="A1891" t="str">
            <v>Ofsted Social Care Provider Webpage</v>
          </cell>
        </row>
        <row r="1892">
          <cell r="A1892" t="str">
            <v>Ofsted Social Care Provider Webpage</v>
          </cell>
        </row>
        <row r="1893">
          <cell r="A1893" t="str">
            <v>Ofsted Social Care Provider Webpage</v>
          </cell>
        </row>
        <row r="1894">
          <cell r="A1894" t="str">
            <v>Ofsted Social Care Provider Webpage</v>
          </cell>
        </row>
        <row r="1895">
          <cell r="A1895" t="str">
            <v>Ofsted Social Care Provider Webpage</v>
          </cell>
        </row>
        <row r="1896">
          <cell r="A1896" t="str">
            <v>Ofsted Social Care Provider Webpage</v>
          </cell>
        </row>
        <row r="1897">
          <cell r="A1897" t="str">
            <v>Ofsted Social Care Provider Webpage</v>
          </cell>
        </row>
        <row r="1898">
          <cell r="A1898" t="str">
            <v>Ofsted Social Care Provider Webpage</v>
          </cell>
        </row>
        <row r="1899">
          <cell r="A1899" t="str">
            <v>Ofsted Social Care Provider Webpage</v>
          </cell>
        </row>
        <row r="1900">
          <cell r="A1900" t="str">
            <v>Ofsted Social Care Provider Webpage</v>
          </cell>
        </row>
        <row r="1901">
          <cell r="A1901" t="str">
            <v>Ofsted Social Care Provider Webpage</v>
          </cell>
        </row>
        <row r="1902">
          <cell r="A1902" t="str">
            <v>Ofsted Social Care Provider Webpage</v>
          </cell>
        </row>
        <row r="1903">
          <cell r="A1903" t="str">
            <v>Ofsted Social Care Provider Webpage</v>
          </cell>
        </row>
        <row r="1904">
          <cell r="A1904" t="str">
            <v>Ofsted Social Care Provider Webpage</v>
          </cell>
        </row>
        <row r="1905">
          <cell r="A1905" t="str">
            <v>Ofsted Social Care Provider Webpage</v>
          </cell>
        </row>
        <row r="1906">
          <cell r="A1906" t="str">
            <v>Ofsted Social Care Provider Webpage</v>
          </cell>
        </row>
        <row r="1907">
          <cell r="A1907" t="str">
            <v>Ofsted Social Care Provider Webpage</v>
          </cell>
        </row>
        <row r="1908">
          <cell r="A1908" t="str">
            <v>Ofsted Social Care Provider Webpage</v>
          </cell>
        </row>
        <row r="1909">
          <cell r="A1909" t="str">
            <v>Ofsted Social Care Provider Webpage</v>
          </cell>
        </row>
        <row r="1910">
          <cell r="A1910" t="str">
            <v>Ofsted Social Care Provider Webpage</v>
          </cell>
        </row>
        <row r="1911">
          <cell r="A1911" t="str">
            <v>Ofsted Social Care Provider Webpage</v>
          </cell>
        </row>
        <row r="1912">
          <cell r="A1912" t="str">
            <v>Ofsted Social Care Provider Webpage</v>
          </cell>
        </row>
        <row r="1913">
          <cell r="A1913" t="str">
            <v>Ofsted Social Care Provider Webpage</v>
          </cell>
        </row>
        <row r="1914">
          <cell r="A1914" t="str">
            <v>Ofsted Social Care Provider Webpage</v>
          </cell>
        </row>
        <row r="1915">
          <cell r="A1915" t="str">
            <v>Ofsted Social Care Provider Webpage</v>
          </cell>
        </row>
        <row r="1916">
          <cell r="A1916" t="str">
            <v>Ofsted Social Care Provider Webpage</v>
          </cell>
        </row>
        <row r="1917">
          <cell r="A1917" t="str">
            <v>Ofsted Social Care Provider Webpage</v>
          </cell>
        </row>
        <row r="1918">
          <cell r="A1918" t="str">
            <v>Ofsted Social Care Provider Webpage</v>
          </cell>
        </row>
        <row r="1919">
          <cell r="A1919" t="str">
            <v>Ofsted Social Care Provider Webpage</v>
          </cell>
        </row>
        <row r="1920">
          <cell r="A1920" t="str">
            <v>Ofsted Social Care Provider Webpage</v>
          </cell>
        </row>
        <row r="1921">
          <cell r="A1921" t="str">
            <v>Ofsted Social Care Provider Webpage</v>
          </cell>
        </row>
        <row r="1922">
          <cell r="A1922" t="str">
            <v>Ofsted Social Care Provider Webpage</v>
          </cell>
        </row>
        <row r="1923">
          <cell r="A1923" t="str">
            <v>Ofsted Social Care Provider Webpage</v>
          </cell>
        </row>
        <row r="1924">
          <cell r="A1924" t="str">
            <v>Ofsted Social Care Provider Webpage</v>
          </cell>
        </row>
        <row r="1925">
          <cell r="A1925" t="str">
            <v>Ofsted Social Care Provider Webpage</v>
          </cell>
        </row>
        <row r="1926">
          <cell r="A1926" t="str">
            <v>Ofsted Social Care Provider Webpage</v>
          </cell>
        </row>
        <row r="1927">
          <cell r="A1927" t="str">
            <v>Ofsted Social Care Provider Webpage</v>
          </cell>
        </row>
        <row r="1928">
          <cell r="A1928" t="str">
            <v>Ofsted Social Care Provider Webpage</v>
          </cell>
        </row>
        <row r="1929">
          <cell r="A1929" t="str">
            <v>Ofsted Social Care Provider Webpage</v>
          </cell>
        </row>
        <row r="1930">
          <cell r="A1930" t="str">
            <v>Ofsted Social Care Provider Webpage</v>
          </cell>
        </row>
        <row r="1931">
          <cell r="A1931" t="str">
            <v>Ofsted Social Care Provider Webpage</v>
          </cell>
        </row>
        <row r="1932">
          <cell r="A1932" t="str">
            <v>Ofsted Social Care Provider Webpage</v>
          </cell>
        </row>
        <row r="1933">
          <cell r="A1933" t="str">
            <v>Ofsted Social Care Provider Webpage</v>
          </cell>
        </row>
        <row r="1934">
          <cell r="A1934" t="str">
            <v>Ofsted Social Care Provider Webpage</v>
          </cell>
        </row>
        <row r="1935">
          <cell r="A1935" t="str">
            <v>Ofsted Social Care Provider Webpage</v>
          </cell>
        </row>
        <row r="1936">
          <cell r="A1936" t="str">
            <v>Ofsted Social Care Provider Webpage</v>
          </cell>
        </row>
        <row r="1937">
          <cell r="A1937" t="str">
            <v>Ofsted Social Care Provider Webpage</v>
          </cell>
        </row>
        <row r="1938">
          <cell r="A1938" t="str">
            <v>Ofsted Social Care Provider Webpage</v>
          </cell>
        </row>
        <row r="1939">
          <cell r="A1939" t="str">
            <v>Ofsted Social Care Provider Webpage</v>
          </cell>
        </row>
        <row r="1940">
          <cell r="A1940" t="str">
            <v>Ofsted Social Care Provider Webpage</v>
          </cell>
        </row>
        <row r="1941">
          <cell r="A1941" t="str">
            <v>Ofsted Social Care Provider Webpage</v>
          </cell>
        </row>
        <row r="1942">
          <cell r="A1942" t="str">
            <v>Ofsted Social Care Provider Webpage</v>
          </cell>
        </row>
        <row r="1943">
          <cell r="A1943" t="str">
            <v>Ofsted Social Care Provider Webpage</v>
          </cell>
        </row>
        <row r="1944">
          <cell r="A1944" t="str">
            <v>Ofsted Social Care Provider Webpage</v>
          </cell>
        </row>
        <row r="1945">
          <cell r="A1945" t="str">
            <v>Ofsted Social Care Provider Webpage</v>
          </cell>
        </row>
        <row r="1946">
          <cell r="A1946" t="str">
            <v>Ofsted Social Care Provider Webpage</v>
          </cell>
        </row>
        <row r="1947">
          <cell r="A1947" t="str">
            <v>Ofsted Social Care Provider Webpage</v>
          </cell>
        </row>
        <row r="1948">
          <cell r="A1948" t="str">
            <v>Ofsted Social Care Provider Webpage</v>
          </cell>
        </row>
        <row r="1949">
          <cell r="A1949" t="str">
            <v>Ofsted Social Care Provider Webpage</v>
          </cell>
        </row>
        <row r="1950">
          <cell r="A1950" t="str">
            <v>Ofsted Social Care Provider Webpage</v>
          </cell>
        </row>
        <row r="1951">
          <cell r="A1951" t="str">
            <v>Ofsted Social Care Provider Webpage</v>
          </cell>
        </row>
        <row r="1952">
          <cell r="A1952" t="str">
            <v>Ofsted Social Care Provider Webpage</v>
          </cell>
        </row>
        <row r="1953">
          <cell r="A1953" t="str">
            <v>Ofsted Social Care Provider Webpage</v>
          </cell>
        </row>
        <row r="1954">
          <cell r="A1954" t="str">
            <v>Ofsted Social Care Provider Webpage</v>
          </cell>
        </row>
        <row r="1955">
          <cell r="A1955" t="str">
            <v>Ofsted Social Care Provider Webpage</v>
          </cell>
        </row>
        <row r="1956">
          <cell r="A1956" t="str">
            <v>Ofsted Social Care Provider Webpage</v>
          </cell>
        </row>
        <row r="1957">
          <cell r="A1957" t="str">
            <v>Ofsted Social Care Provider Webpage</v>
          </cell>
        </row>
        <row r="1958">
          <cell r="A1958" t="str">
            <v>Ofsted Social Care Provider Webpage</v>
          </cell>
        </row>
        <row r="1959">
          <cell r="A1959" t="str">
            <v>Ofsted Social Care Provider Webpage</v>
          </cell>
        </row>
        <row r="1960">
          <cell r="A1960" t="str">
            <v>Ofsted Social Care Provider Webpage</v>
          </cell>
        </row>
        <row r="1961">
          <cell r="A1961" t="str">
            <v>Ofsted Social Care Provider Webpage</v>
          </cell>
        </row>
        <row r="1962">
          <cell r="A1962" t="str">
            <v>Ofsted Social Care Provider Webpage</v>
          </cell>
        </row>
        <row r="1963">
          <cell r="A1963" t="str">
            <v>Ofsted Social Care Provider Webpage</v>
          </cell>
        </row>
        <row r="1964">
          <cell r="A1964" t="str">
            <v>Ofsted Social Care Provider Webpage</v>
          </cell>
        </row>
        <row r="1965">
          <cell r="A1965" t="str">
            <v>Ofsted Social Care Provider Webpage</v>
          </cell>
        </row>
        <row r="1966">
          <cell r="A1966" t="str">
            <v>Ofsted Social Care Provider Webpage</v>
          </cell>
        </row>
        <row r="1967">
          <cell r="A1967" t="str">
            <v>Ofsted Social Care Provider Webpage</v>
          </cell>
        </row>
        <row r="1968">
          <cell r="A1968" t="str">
            <v>Ofsted Social Care Provider Webpage</v>
          </cell>
        </row>
        <row r="1969">
          <cell r="A1969" t="str">
            <v>Ofsted Social Care Provider Webpage</v>
          </cell>
        </row>
        <row r="1970">
          <cell r="A1970" t="str">
            <v>Ofsted Social Care Provider Webpage</v>
          </cell>
        </row>
        <row r="1971">
          <cell r="A1971" t="str">
            <v>Ofsted Social Care Provider Webpage</v>
          </cell>
        </row>
        <row r="1972">
          <cell r="A1972" t="str">
            <v>Ofsted Social Care Provider Webpage</v>
          </cell>
        </row>
        <row r="1973">
          <cell r="A1973" t="str">
            <v>Ofsted Social Care Provider Webpage</v>
          </cell>
        </row>
        <row r="1974">
          <cell r="A1974" t="str">
            <v>Ofsted Social Care Provider Webpage</v>
          </cell>
        </row>
        <row r="1975">
          <cell r="A1975" t="str">
            <v>Ofsted Social Care Provider Webpage</v>
          </cell>
        </row>
        <row r="1976">
          <cell r="A1976" t="str">
            <v>Ofsted Social Care Provider Webpage</v>
          </cell>
        </row>
        <row r="1977">
          <cell r="A1977" t="str">
            <v>Ofsted Social Care Provider Webpage</v>
          </cell>
        </row>
        <row r="1978">
          <cell r="A1978" t="str">
            <v>Ofsted Social Care Provider Webpage</v>
          </cell>
        </row>
        <row r="1979">
          <cell r="A1979" t="str">
            <v>Ofsted Social Care Provider Webpage</v>
          </cell>
        </row>
        <row r="1980">
          <cell r="A1980" t="str">
            <v>Ofsted Social Care Provider Webpage</v>
          </cell>
        </row>
        <row r="1981">
          <cell r="A1981" t="str">
            <v>Ofsted Social Care Provider Webpage</v>
          </cell>
        </row>
        <row r="1982">
          <cell r="A1982" t="str">
            <v>Ofsted Social Care Provider Webpage</v>
          </cell>
        </row>
        <row r="1983">
          <cell r="A1983" t="str">
            <v>Ofsted Social Care Provider Webpage</v>
          </cell>
        </row>
        <row r="1984">
          <cell r="A1984" t="str">
            <v>Ofsted Social Care Provider Webpage</v>
          </cell>
        </row>
        <row r="1985">
          <cell r="A1985" t="str">
            <v>Ofsted Social Care Provider Webpage</v>
          </cell>
        </row>
        <row r="1986">
          <cell r="A1986" t="str">
            <v>Ofsted Social Care Provider Webpage</v>
          </cell>
        </row>
        <row r="1987">
          <cell r="A1987" t="str">
            <v>Ofsted Social Care Provider Webpage</v>
          </cell>
        </row>
        <row r="1988">
          <cell r="A1988" t="str">
            <v>Ofsted Social Care Provider Webpage</v>
          </cell>
        </row>
        <row r="1989">
          <cell r="A1989" t="str">
            <v>Ofsted Social Care Provider Webpage</v>
          </cell>
        </row>
        <row r="1990">
          <cell r="A1990" t="str">
            <v>Ofsted Social Care Provider Webpage</v>
          </cell>
        </row>
        <row r="1991">
          <cell r="A1991" t="str">
            <v>Ofsted Social Care Provider Webpage</v>
          </cell>
        </row>
        <row r="1992">
          <cell r="A1992" t="str">
            <v>Ofsted Social Care Provider Webpage</v>
          </cell>
        </row>
        <row r="1993">
          <cell r="A1993" t="str">
            <v>Ofsted Social Care Provider Webpage</v>
          </cell>
        </row>
        <row r="1994">
          <cell r="A1994" t="str">
            <v>Ofsted Social Care Provider Webpage</v>
          </cell>
        </row>
        <row r="1995">
          <cell r="A1995" t="str">
            <v>Ofsted Social Care Provider Webpage</v>
          </cell>
        </row>
        <row r="1996">
          <cell r="A1996" t="str">
            <v>Ofsted Social Care Provider Webpage</v>
          </cell>
        </row>
        <row r="1997">
          <cell r="A1997" t="str">
            <v>Ofsted Social Care Provider Webpage</v>
          </cell>
        </row>
        <row r="1998">
          <cell r="A1998" t="str">
            <v>Ofsted Social Care Provider Webpage</v>
          </cell>
        </row>
        <row r="1999">
          <cell r="A1999" t="str">
            <v>Ofsted Social Care Provider Webpage</v>
          </cell>
        </row>
        <row r="2000">
          <cell r="A2000" t="str">
            <v>Ofsted Social Care Provider Webpage</v>
          </cell>
        </row>
        <row r="2001">
          <cell r="A2001" t="str">
            <v>Ofsted Social Care Provider Webpage</v>
          </cell>
        </row>
        <row r="2002">
          <cell r="A2002" t="str">
            <v>Ofsted Social Care Provider Webpage</v>
          </cell>
        </row>
        <row r="2003">
          <cell r="A2003" t="str">
            <v>Ofsted Social Care Provider Webpage</v>
          </cell>
        </row>
        <row r="2004">
          <cell r="A2004" t="str">
            <v>Ofsted Social Care Provider Webpage</v>
          </cell>
        </row>
        <row r="2005">
          <cell r="A2005" t="str">
            <v>Ofsted Social Care Provider Webpage</v>
          </cell>
        </row>
        <row r="2006">
          <cell r="A2006" t="str">
            <v>Ofsted Social Care Provider Webpage</v>
          </cell>
        </row>
        <row r="2007">
          <cell r="A2007" t="str">
            <v>Ofsted Social Care Provider Webpage</v>
          </cell>
        </row>
        <row r="2008">
          <cell r="A2008" t="str">
            <v>Ofsted Social Care Provider Webpage</v>
          </cell>
        </row>
        <row r="2009">
          <cell r="A2009" t="str">
            <v>Ofsted Social Care Provider Webpage</v>
          </cell>
        </row>
        <row r="2010">
          <cell r="A2010" t="str">
            <v>Ofsted Social Care Provider Webpage</v>
          </cell>
        </row>
        <row r="2011">
          <cell r="A2011" t="str">
            <v>Ofsted Social Care Provider Webpage</v>
          </cell>
        </row>
        <row r="2012">
          <cell r="A2012" t="str">
            <v>Ofsted Social Care Provider Webpage</v>
          </cell>
        </row>
        <row r="2013">
          <cell r="A2013" t="str">
            <v>Ofsted Social Care Provider Webpage</v>
          </cell>
        </row>
        <row r="2014">
          <cell r="A2014" t="str">
            <v>Ofsted Social Care Provider Webpage</v>
          </cell>
        </row>
        <row r="2015">
          <cell r="A2015" t="str">
            <v>Ofsted Social Care Provider Webpage</v>
          </cell>
        </row>
        <row r="2016">
          <cell r="A2016" t="str">
            <v>Ofsted Social Care Provider Webpage</v>
          </cell>
        </row>
        <row r="2017">
          <cell r="A2017" t="str">
            <v>Ofsted Social Care Provider Webpage</v>
          </cell>
        </row>
        <row r="2018">
          <cell r="A2018" t="str">
            <v>Ofsted Social Care Provider Webpage</v>
          </cell>
        </row>
        <row r="2019">
          <cell r="A2019" t="str">
            <v>Ofsted Social Care Provider Webpage</v>
          </cell>
        </row>
        <row r="2020">
          <cell r="A2020" t="str">
            <v>Ofsted Social Care Provider Webpage</v>
          </cell>
        </row>
        <row r="2021">
          <cell r="A2021" t="str">
            <v>Ofsted Social Care Provider Webpage</v>
          </cell>
        </row>
        <row r="2022">
          <cell r="A2022" t="str">
            <v>Ofsted Social Care Provider Webpage</v>
          </cell>
        </row>
        <row r="2023">
          <cell r="A2023" t="str">
            <v>Ofsted Social Care Provider Webpage</v>
          </cell>
        </row>
        <row r="2024">
          <cell r="A2024" t="str">
            <v>Ofsted Social Care Provider Webpage</v>
          </cell>
        </row>
        <row r="2025">
          <cell r="A2025" t="str">
            <v>Ofsted Social Care Provider Webpage</v>
          </cell>
        </row>
        <row r="2026">
          <cell r="A2026" t="str">
            <v>Ofsted Social Care Provider Webpage</v>
          </cell>
        </row>
        <row r="2027">
          <cell r="A2027" t="str">
            <v>Ofsted Social Care Provider Webpage</v>
          </cell>
        </row>
        <row r="2028">
          <cell r="A2028" t="str">
            <v>Ofsted Social Care Provider Webpage</v>
          </cell>
        </row>
        <row r="2029">
          <cell r="A2029" t="str">
            <v>Ofsted Social Care Provider Webpage</v>
          </cell>
        </row>
        <row r="2030">
          <cell r="A2030" t="str">
            <v>Ofsted Social Care Provider Webpage</v>
          </cell>
        </row>
        <row r="2031">
          <cell r="A2031" t="str">
            <v>Ofsted Social Care Provider Webpage</v>
          </cell>
        </row>
        <row r="2032">
          <cell r="A2032" t="str">
            <v>Ofsted Social Care Provider Webpage</v>
          </cell>
        </row>
        <row r="2033">
          <cell r="A2033" t="str">
            <v>Ofsted Social Care Provider Webpage</v>
          </cell>
        </row>
        <row r="2034">
          <cell r="A2034" t="str">
            <v>Ofsted Social Care Provider Webpage</v>
          </cell>
        </row>
        <row r="2035">
          <cell r="A2035" t="str">
            <v>Ofsted Social Care Provider Webpage</v>
          </cell>
        </row>
        <row r="2036">
          <cell r="A2036" t="str">
            <v>Ofsted Social Care Provider Webpage</v>
          </cell>
        </row>
        <row r="2037">
          <cell r="A2037" t="str">
            <v>Ofsted Social Care Provider Webpage</v>
          </cell>
        </row>
        <row r="2038">
          <cell r="A2038" t="str">
            <v>Ofsted Social Care Provider Webpage</v>
          </cell>
        </row>
        <row r="2039">
          <cell r="A2039" t="str">
            <v>Ofsted Social Care Provider Webpage</v>
          </cell>
        </row>
        <row r="2040">
          <cell r="A2040" t="str">
            <v>Ofsted Social Care Provider Webpage</v>
          </cell>
        </row>
        <row r="2041">
          <cell r="A2041" t="str">
            <v>Ofsted Social Care Provider Webpage</v>
          </cell>
        </row>
        <row r="2042">
          <cell r="A2042" t="str">
            <v>Ofsted Social Care Provider Webpage</v>
          </cell>
        </row>
        <row r="2043">
          <cell r="A2043" t="str">
            <v>Ofsted Social Care Provider Webpage</v>
          </cell>
        </row>
        <row r="2044">
          <cell r="A2044" t="str">
            <v>Ofsted Social Care Provider Webpage</v>
          </cell>
        </row>
        <row r="2045">
          <cell r="A2045" t="str">
            <v>Ofsted Social Care Provider Webpage</v>
          </cell>
        </row>
        <row r="2046">
          <cell r="A2046" t="str">
            <v>Ofsted Social Care Provider Webpage</v>
          </cell>
        </row>
        <row r="2047">
          <cell r="A2047" t="str">
            <v>Ofsted Social Care Provider Webpage</v>
          </cell>
        </row>
        <row r="2048">
          <cell r="A2048" t="str">
            <v>Ofsted Social Care Provider Webpage</v>
          </cell>
        </row>
        <row r="2049">
          <cell r="A2049" t="str">
            <v>Ofsted Social Care Provider Webpage</v>
          </cell>
        </row>
        <row r="2050">
          <cell r="A2050" t="str">
            <v>Ofsted Social Care Provider Webpage</v>
          </cell>
        </row>
        <row r="2051">
          <cell r="A2051" t="str">
            <v>Ofsted Social Care Provider Webpage</v>
          </cell>
        </row>
        <row r="2052">
          <cell r="A2052" t="str">
            <v>Ofsted Social Care Provider Webpage</v>
          </cell>
        </row>
        <row r="2053">
          <cell r="A2053" t="str">
            <v>Ofsted Social Care Provider Webpage</v>
          </cell>
        </row>
        <row r="2054">
          <cell r="A2054" t="str">
            <v>Ofsted Social Care Provider Webpage</v>
          </cell>
        </row>
        <row r="2055">
          <cell r="A2055" t="str">
            <v>Ofsted Social Care Provider Webpage</v>
          </cell>
        </row>
        <row r="2056">
          <cell r="A2056" t="str">
            <v>Ofsted Social Care Provider Webpage</v>
          </cell>
        </row>
        <row r="2057">
          <cell r="A2057" t="str">
            <v>Ofsted Social Care Provider Webpage</v>
          </cell>
        </row>
        <row r="2058">
          <cell r="A2058" t="str">
            <v>Ofsted Social Care Provider Webpage</v>
          </cell>
        </row>
        <row r="2059">
          <cell r="A2059" t="str">
            <v>Ofsted Social Care Provider Webpage</v>
          </cell>
        </row>
        <row r="2060">
          <cell r="A2060" t="str">
            <v>Ofsted Social Care Provider Webpage</v>
          </cell>
        </row>
        <row r="2061">
          <cell r="A2061" t="str">
            <v>Ofsted Social Care Provider Webpage</v>
          </cell>
        </row>
        <row r="2062">
          <cell r="A2062" t="str">
            <v>Ofsted Social Care Provider Webpage</v>
          </cell>
        </row>
        <row r="2063">
          <cell r="A2063" t="str">
            <v>Ofsted Social Care Provider Webpage</v>
          </cell>
        </row>
        <row r="2064">
          <cell r="A2064" t="str">
            <v>Ofsted Social Care Provider Webpage</v>
          </cell>
        </row>
        <row r="2065">
          <cell r="A2065" t="str">
            <v>Ofsted Social Care Provider Webpage</v>
          </cell>
        </row>
        <row r="2066">
          <cell r="A2066" t="str">
            <v>Ofsted Social Care Provider Webpage</v>
          </cell>
        </row>
        <row r="2067">
          <cell r="A2067" t="str">
            <v>Ofsted Social Care Provider Webpage</v>
          </cell>
        </row>
        <row r="2068">
          <cell r="A2068" t="str">
            <v>Ofsted Social Care Provider Webpage</v>
          </cell>
        </row>
        <row r="2069">
          <cell r="A2069" t="str">
            <v>Ofsted Social Care Provider Webpage</v>
          </cell>
        </row>
        <row r="2070">
          <cell r="A2070" t="str">
            <v>Ofsted Social Care Provider Webpage</v>
          </cell>
        </row>
        <row r="2071">
          <cell r="A2071" t="str">
            <v>Ofsted Social Care Provider Webpage</v>
          </cell>
        </row>
        <row r="2072">
          <cell r="A2072" t="str">
            <v>Ofsted Social Care Provider Webpage</v>
          </cell>
        </row>
        <row r="2073">
          <cell r="A2073" t="str">
            <v>Ofsted Social Care Provider Webpage</v>
          </cell>
        </row>
        <row r="2074">
          <cell r="A2074" t="str">
            <v>Ofsted Social Care Provider Webpage</v>
          </cell>
        </row>
        <row r="2075">
          <cell r="A2075" t="str">
            <v>Ofsted Social Care Provider Webpage</v>
          </cell>
        </row>
        <row r="2076">
          <cell r="A2076" t="str">
            <v>Ofsted Social Care Provider Webpage</v>
          </cell>
        </row>
        <row r="2077">
          <cell r="A2077" t="str">
            <v>Ofsted Social Care Provider Webpage</v>
          </cell>
        </row>
        <row r="2078">
          <cell r="A2078" t="str">
            <v>Ofsted Social Care Provider Webpage</v>
          </cell>
        </row>
        <row r="2079">
          <cell r="A2079" t="str">
            <v>Ofsted Social Care Provider Webpage</v>
          </cell>
        </row>
        <row r="2080">
          <cell r="A2080" t="str">
            <v>Ofsted Social Care Provider Webpage</v>
          </cell>
        </row>
        <row r="2081">
          <cell r="A2081" t="str">
            <v>Ofsted Social Care Provider Webpage</v>
          </cell>
        </row>
        <row r="2082">
          <cell r="A2082" t="str">
            <v>Ofsted Social Care Provider Webpage</v>
          </cell>
        </row>
        <row r="2083">
          <cell r="A2083" t="str">
            <v>Ofsted Social Care Provider Webpage</v>
          </cell>
        </row>
        <row r="2084">
          <cell r="A2084" t="str">
            <v>Ofsted Social Care Provider Webpage</v>
          </cell>
        </row>
        <row r="2085">
          <cell r="A2085" t="str">
            <v>Ofsted Social Care Provider Webpage</v>
          </cell>
        </row>
        <row r="2086">
          <cell r="A2086" t="str">
            <v>Ofsted Social Care Provider Webpage</v>
          </cell>
        </row>
        <row r="2087">
          <cell r="A2087" t="str">
            <v>Ofsted Social Care Provider Webpage</v>
          </cell>
        </row>
        <row r="2088">
          <cell r="A2088" t="str">
            <v>Ofsted Social Care Provider Webpage</v>
          </cell>
        </row>
        <row r="2089">
          <cell r="A2089" t="str">
            <v>Ofsted Social Care Provider Webpage</v>
          </cell>
        </row>
        <row r="2090">
          <cell r="A2090" t="str">
            <v>Ofsted Social Care Provider Webpage</v>
          </cell>
        </row>
        <row r="2091">
          <cell r="A2091" t="str">
            <v>Ofsted Social Care Provider Webpage</v>
          </cell>
        </row>
        <row r="2092">
          <cell r="A2092" t="str">
            <v>Ofsted Social Care Provider Webpage</v>
          </cell>
        </row>
        <row r="2093">
          <cell r="A2093" t="str">
            <v>Ofsted Social Care Provider Webpage</v>
          </cell>
        </row>
        <row r="2094">
          <cell r="A2094" t="str">
            <v>Ofsted Social Care Provider Webpage</v>
          </cell>
        </row>
        <row r="2095">
          <cell r="A2095" t="str">
            <v>Ofsted Social Care Provider Webpage</v>
          </cell>
        </row>
        <row r="2096">
          <cell r="A2096" t="str">
            <v>Ofsted Social Care Provider Webpage</v>
          </cell>
        </row>
        <row r="2097">
          <cell r="A2097" t="str">
            <v>Ofsted Social Care Provider Webpage</v>
          </cell>
        </row>
        <row r="2098">
          <cell r="A2098" t="str">
            <v>Ofsted Social Care Provider Webpage</v>
          </cell>
        </row>
        <row r="2099">
          <cell r="A2099" t="str">
            <v>Ofsted Social Care Provider Webpage</v>
          </cell>
        </row>
        <row r="2100">
          <cell r="A2100" t="str">
            <v>Ofsted Social Care Provider Webpage</v>
          </cell>
        </row>
        <row r="2101">
          <cell r="A2101" t="str">
            <v>Ofsted Social Care Provider Webpage</v>
          </cell>
        </row>
        <row r="2102">
          <cell r="A2102" t="str">
            <v>Ofsted Social Care Provider Webpage</v>
          </cell>
        </row>
        <row r="2103">
          <cell r="A2103" t="str">
            <v>Ofsted Social Care Provider Webpage</v>
          </cell>
        </row>
        <row r="2104">
          <cell r="A2104" t="str">
            <v>Ofsted Social Care Provider Webpage</v>
          </cell>
        </row>
        <row r="2105">
          <cell r="A2105" t="str">
            <v>Ofsted Social Care Provider Webpage</v>
          </cell>
        </row>
        <row r="2106">
          <cell r="A2106" t="str">
            <v>Ofsted Social Care Provider Webpage</v>
          </cell>
        </row>
        <row r="2107">
          <cell r="A2107" t="str">
            <v>Ofsted Social Care Provider Webpage</v>
          </cell>
        </row>
        <row r="2108">
          <cell r="A2108" t="str">
            <v>Ofsted Social Care Provider Webpage</v>
          </cell>
        </row>
        <row r="2109">
          <cell r="A2109" t="str">
            <v>Ofsted Social Care Provider Webpage</v>
          </cell>
        </row>
        <row r="2110">
          <cell r="A2110" t="str">
            <v>Ofsted Social Care Provider Webpage</v>
          </cell>
        </row>
        <row r="2111">
          <cell r="A2111" t="str">
            <v>Ofsted Social Care Provider Webpage</v>
          </cell>
        </row>
        <row r="2112">
          <cell r="A2112" t="str">
            <v>Ofsted Social Care Provider Webpage</v>
          </cell>
        </row>
        <row r="2113">
          <cell r="A2113" t="str">
            <v>Ofsted Social Care Provider Webpage</v>
          </cell>
        </row>
        <row r="2114">
          <cell r="A2114" t="str">
            <v>Ofsted Social Care Provider Webpage</v>
          </cell>
        </row>
        <row r="2115">
          <cell r="A2115" t="str">
            <v>Ofsted Social Care Provider Webpage</v>
          </cell>
        </row>
        <row r="2116">
          <cell r="A2116" t="str">
            <v>Ofsted Social Care Provider Webpage</v>
          </cell>
        </row>
        <row r="2117">
          <cell r="A2117" t="str">
            <v>Ofsted Social Care Provider Webpage</v>
          </cell>
        </row>
        <row r="2118">
          <cell r="A2118" t="str">
            <v>Ofsted Social Care Provider Webpage</v>
          </cell>
        </row>
        <row r="2119">
          <cell r="A2119" t="str">
            <v>Ofsted Social Care Provider Webpage</v>
          </cell>
        </row>
        <row r="2120">
          <cell r="A2120" t="str">
            <v>Ofsted Social Care Provider Webpage</v>
          </cell>
        </row>
        <row r="2121">
          <cell r="A2121" t="str">
            <v>Ofsted Social Care Provider Webpage</v>
          </cell>
        </row>
        <row r="2122">
          <cell r="A2122" t="str">
            <v>Ofsted Social Care Provider Webpage</v>
          </cell>
        </row>
        <row r="2123">
          <cell r="A2123" t="str">
            <v>Ofsted Social Care Provider Webpage</v>
          </cell>
        </row>
        <row r="2124">
          <cell r="A2124" t="str">
            <v>Ofsted Social Care Provider Webpage</v>
          </cell>
        </row>
        <row r="2125">
          <cell r="A2125" t="str">
            <v>Ofsted Social Care Provider Webpage</v>
          </cell>
        </row>
        <row r="2126">
          <cell r="A2126" t="str">
            <v>Ofsted Social Care Provider Webpage</v>
          </cell>
        </row>
        <row r="2127">
          <cell r="A2127" t="str">
            <v>Ofsted Social Care Provider Webpage</v>
          </cell>
        </row>
        <row r="2128">
          <cell r="A2128" t="str">
            <v>Ofsted Social Care Provider Webpage</v>
          </cell>
        </row>
        <row r="2129">
          <cell r="A2129" t="str">
            <v>Ofsted Social Care Provider Webpage</v>
          </cell>
        </row>
        <row r="2130">
          <cell r="A2130" t="str">
            <v>Ofsted Social Care Provider Webpage</v>
          </cell>
        </row>
        <row r="2131">
          <cell r="A2131" t="str">
            <v>Ofsted Social Care Provider Webpage</v>
          </cell>
        </row>
        <row r="2132">
          <cell r="A2132" t="str">
            <v>Ofsted Social Care Provider Webpage</v>
          </cell>
        </row>
        <row r="2133">
          <cell r="A2133" t="str">
            <v>Ofsted Social Care Provider Webpage</v>
          </cell>
        </row>
        <row r="2134">
          <cell r="A2134" t="str">
            <v>Ofsted Social Care Provider Webpage</v>
          </cell>
        </row>
        <row r="2135">
          <cell r="A2135" t="str">
            <v>Ofsted Social Care Provider Webpage</v>
          </cell>
        </row>
        <row r="2136">
          <cell r="A2136" t="str">
            <v>Ofsted Social Care Provider Webpage</v>
          </cell>
        </row>
        <row r="2137">
          <cell r="A2137" t="str">
            <v>Ofsted Social Care Provider Webpage</v>
          </cell>
        </row>
        <row r="2138">
          <cell r="A2138" t="str">
            <v>Ofsted Social Care Provider Webpage</v>
          </cell>
        </row>
        <row r="2139">
          <cell r="A2139" t="str">
            <v>Ofsted Social Care Provider Webpage</v>
          </cell>
        </row>
        <row r="2140">
          <cell r="A2140" t="str">
            <v>Ofsted Social Care Provider Webpage</v>
          </cell>
        </row>
        <row r="2141">
          <cell r="A2141" t="str">
            <v>Ofsted Social Care Provider Webpage</v>
          </cell>
        </row>
        <row r="2142">
          <cell r="A2142" t="str">
            <v>Ofsted Social Care Provider Webpage</v>
          </cell>
        </row>
        <row r="2143">
          <cell r="A2143" t="str">
            <v>Ofsted Social Care Provider Webpage</v>
          </cell>
        </row>
        <row r="2144">
          <cell r="A2144" t="str">
            <v>Ofsted Social Care Provider Webpage</v>
          </cell>
        </row>
        <row r="2145">
          <cell r="A2145" t="str">
            <v>Ofsted Social Care Provider Webpage</v>
          </cell>
        </row>
        <row r="2146">
          <cell r="A2146" t="str">
            <v>Ofsted Social Care Provider Webpage</v>
          </cell>
        </row>
        <row r="2147">
          <cell r="A2147" t="str">
            <v>Ofsted Social Care Provider Webpage</v>
          </cell>
        </row>
        <row r="2148">
          <cell r="A2148" t="str">
            <v>Ofsted Social Care Provider Webpage</v>
          </cell>
        </row>
        <row r="2149">
          <cell r="A2149" t="str">
            <v>Ofsted Social Care Provider Webpage</v>
          </cell>
        </row>
        <row r="2150">
          <cell r="A2150" t="str">
            <v>Ofsted Social Care Provider Webpage</v>
          </cell>
        </row>
        <row r="2151">
          <cell r="A2151" t="str">
            <v>Ofsted Social Care Provider Webpage</v>
          </cell>
        </row>
        <row r="2152">
          <cell r="A2152" t="str">
            <v>Ofsted Social Care Provider Webpage</v>
          </cell>
        </row>
        <row r="2153">
          <cell r="A2153" t="str">
            <v>Ofsted Social Care Provider Webpage</v>
          </cell>
        </row>
        <row r="2154">
          <cell r="A2154" t="str">
            <v>Ofsted Social Care Provider Webpage</v>
          </cell>
        </row>
        <row r="2155">
          <cell r="A2155" t="str">
            <v>Ofsted Social Care Provider Webpage</v>
          </cell>
        </row>
        <row r="2156">
          <cell r="A2156" t="str">
            <v>Ofsted Social Care Provider Webpage</v>
          </cell>
        </row>
        <row r="2157">
          <cell r="A2157" t="str">
            <v>Ofsted Social Care Provider Webpage</v>
          </cell>
        </row>
        <row r="2158">
          <cell r="A2158" t="str">
            <v>Ofsted Social Care Provider Webpage</v>
          </cell>
        </row>
        <row r="2159">
          <cell r="A2159" t="str">
            <v>Ofsted Social Care Provider Webpage</v>
          </cell>
        </row>
        <row r="2160">
          <cell r="A2160" t="str">
            <v>Ofsted Social Care Provider Webpage</v>
          </cell>
        </row>
        <row r="2161">
          <cell r="A2161" t="str">
            <v>Ofsted Social Care Provider Webpage</v>
          </cell>
        </row>
        <row r="2162">
          <cell r="A2162" t="str">
            <v>Ofsted Social Care Provider Webpage</v>
          </cell>
        </row>
        <row r="2163">
          <cell r="A2163" t="str">
            <v>Ofsted Social Care Provider Webpage</v>
          </cell>
        </row>
        <row r="2164">
          <cell r="A2164" t="str">
            <v>Ofsted Social Care Provider Webpage</v>
          </cell>
        </row>
        <row r="2165">
          <cell r="A2165" t="str">
            <v>Ofsted Social Care Provider Webpage</v>
          </cell>
        </row>
        <row r="2166">
          <cell r="A2166" t="str">
            <v>Ofsted Social Care Provider Webpage</v>
          </cell>
        </row>
        <row r="2167">
          <cell r="A2167" t="str">
            <v>Ofsted Social Care Provider Webpage</v>
          </cell>
        </row>
        <row r="2168">
          <cell r="A2168" t="str">
            <v>Ofsted Social Care Provider Webpage</v>
          </cell>
        </row>
        <row r="2169">
          <cell r="A2169" t="str">
            <v>Ofsted Social Care Provider Webpage</v>
          </cell>
        </row>
        <row r="2170">
          <cell r="A2170" t="str">
            <v>Ofsted Social Care Provider Webpage</v>
          </cell>
        </row>
        <row r="2171">
          <cell r="A2171" t="str">
            <v>Ofsted Social Care Provider Webpage</v>
          </cell>
        </row>
        <row r="2172">
          <cell r="A2172" t="str">
            <v>Ofsted Social Care Provider Webpage</v>
          </cell>
        </row>
        <row r="2173">
          <cell r="A2173" t="str">
            <v>Ofsted Social Care Provider Webpage</v>
          </cell>
        </row>
        <row r="2174">
          <cell r="A2174" t="str">
            <v>Ofsted Social Care Provider Webpage</v>
          </cell>
        </row>
        <row r="2175">
          <cell r="A2175" t="str">
            <v>Ofsted Social Care Provider Webpage</v>
          </cell>
        </row>
        <row r="2176">
          <cell r="A2176" t="str">
            <v>Ofsted Social Care Provider Webpage</v>
          </cell>
        </row>
        <row r="2177">
          <cell r="A2177" t="str">
            <v>Ofsted Social Care Provider Webpage</v>
          </cell>
        </row>
        <row r="2178">
          <cell r="A2178" t="str">
            <v>Ofsted Social Care Provider Webpage</v>
          </cell>
        </row>
        <row r="2179">
          <cell r="A2179" t="str">
            <v>Ofsted Social Care Provider Webpage</v>
          </cell>
        </row>
        <row r="2180">
          <cell r="A2180" t="str">
            <v>Ofsted Social Care Provider Webpage</v>
          </cell>
        </row>
        <row r="2181">
          <cell r="A2181" t="str">
            <v>Ofsted Social Care Provider Webpage</v>
          </cell>
        </row>
        <row r="2182">
          <cell r="A2182" t="str">
            <v>Ofsted Social Care Provider Webpage</v>
          </cell>
        </row>
        <row r="2183">
          <cell r="A2183" t="str">
            <v>Ofsted Social Care Provider Webpage</v>
          </cell>
        </row>
        <row r="2184">
          <cell r="A2184" t="str">
            <v>Ofsted Social Care Provider Webpage</v>
          </cell>
        </row>
        <row r="2185">
          <cell r="A2185" t="str">
            <v>Ofsted Social Care Provider Webpage</v>
          </cell>
        </row>
        <row r="2186">
          <cell r="A2186" t="str">
            <v>Ofsted Social Care Provider Webpage</v>
          </cell>
        </row>
        <row r="2187">
          <cell r="A2187" t="str">
            <v>Ofsted Social Care Provider Webpage</v>
          </cell>
        </row>
        <row r="2188">
          <cell r="A2188" t="str">
            <v>Ofsted Social Care Provider Webpage</v>
          </cell>
        </row>
        <row r="2189">
          <cell r="A2189" t="str">
            <v>Ofsted Social Care Provider Webpage</v>
          </cell>
        </row>
        <row r="2190">
          <cell r="A2190" t="str">
            <v>Ofsted Social Care Provider Webpage</v>
          </cell>
        </row>
        <row r="2191">
          <cell r="A2191" t="str">
            <v>Ofsted Social Care Provider Webpage</v>
          </cell>
        </row>
        <row r="2192">
          <cell r="A2192" t="str">
            <v>Ofsted Social Care Provider Webpage</v>
          </cell>
        </row>
        <row r="2193">
          <cell r="A2193" t="str">
            <v>Ofsted Social Care Provider Webpage</v>
          </cell>
        </row>
        <row r="2194">
          <cell r="A2194" t="str">
            <v>Ofsted Social Care Provider Webpage</v>
          </cell>
        </row>
        <row r="2195">
          <cell r="A2195" t="str">
            <v>Ofsted Social Care Provider Webpage</v>
          </cell>
        </row>
        <row r="2196">
          <cell r="A2196" t="str">
            <v>Ofsted Social Care Provider Webpage</v>
          </cell>
        </row>
        <row r="2197">
          <cell r="A2197" t="str">
            <v>Ofsted Social Care Provider Webpage</v>
          </cell>
        </row>
        <row r="2198">
          <cell r="A2198" t="str">
            <v>Ofsted Social Care Provider Webpage</v>
          </cell>
        </row>
        <row r="2199">
          <cell r="A2199" t="str">
            <v>Ofsted Social Care Provider Webpage</v>
          </cell>
        </row>
        <row r="2200">
          <cell r="A2200" t="str">
            <v>Ofsted Social Care Provider Webpage</v>
          </cell>
        </row>
        <row r="2201">
          <cell r="A2201" t="str">
            <v>Ofsted Social Care Provider Webpage</v>
          </cell>
        </row>
        <row r="2202">
          <cell r="A2202" t="str">
            <v>Ofsted Social Care Provider Webpage</v>
          </cell>
        </row>
        <row r="2203">
          <cell r="A2203" t="str">
            <v>Ofsted Social Care Provider Webpage</v>
          </cell>
        </row>
        <row r="2204">
          <cell r="A2204" t="str">
            <v>Ofsted Social Care Provider Webpage</v>
          </cell>
        </row>
        <row r="2205">
          <cell r="A2205" t="str">
            <v>Ofsted Social Care Provider Webpage</v>
          </cell>
        </row>
        <row r="2206">
          <cell r="A2206" t="str">
            <v>Ofsted Social Care Provider Webpage</v>
          </cell>
        </row>
        <row r="2207">
          <cell r="A2207" t="str">
            <v>Ofsted Social Care Provider Webpage</v>
          </cell>
        </row>
        <row r="2208">
          <cell r="A2208" t="str">
            <v>Ofsted Social Care Provider Webpage</v>
          </cell>
        </row>
        <row r="2209">
          <cell r="A2209" t="str">
            <v>Ofsted Social Care Provider Webpage</v>
          </cell>
        </row>
        <row r="2210">
          <cell r="A2210" t="str">
            <v>Ofsted Social Care Provider Webpage</v>
          </cell>
        </row>
        <row r="2211">
          <cell r="A2211" t="str">
            <v>Ofsted Social Care Provider Webpage</v>
          </cell>
        </row>
        <row r="2212">
          <cell r="A2212" t="str">
            <v>Ofsted Social Care Provider Webpage</v>
          </cell>
        </row>
        <row r="2213">
          <cell r="A2213" t="str">
            <v>Ofsted Social Care Provider Webpage</v>
          </cell>
        </row>
        <row r="2214">
          <cell r="A2214" t="str">
            <v>Ofsted Social Care Provider Webpage</v>
          </cell>
        </row>
        <row r="2215">
          <cell r="A2215" t="str">
            <v>Ofsted Social Care Provider Webpage</v>
          </cell>
        </row>
        <row r="2216">
          <cell r="A2216" t="str">
            <v>Ofsted Social Care Provider Webpage</v>
          </cell>
        </row>
        <row r="2217">
          <cell r="A2217" t="str">
            <v>Ofsted Social Care Provider Webpage</v>
          </cell>
        </row>
        <row r="2218">
          <cell r="A2218" t="str">
            <v>Ofsted Social Care Provider Webpage</v>
          </cell>
        </row>
        <row r="2219">
          <cell r="A2219" t="str">
            <v>Ofsted Social Care Provider Webpage</v>
          </cell>
        </row>
        <row r="2220">
          <cell r="A2220" t="str">
            <v>Ofsted Social Care Provider Webpage</v>
          </cell>
        </row>
        <row r="2221">
          <cell r="A2221" t="str">
            <v>Ofsted Social Care Provider Webpage</v>
          </cell>
        </row>
        <row r="2222">
          <cell r="A2222" t="str">
            <v>Ofsted Social Care Provider Webpage</v>
          </cell>
        </row>
        <row r="2223">
          <cell r="A2223" t="str">
            <v>Ofsted Social Care Provider Webpage</v>
          </cell>
        </row>
        <row r="2224">
          <cell r="A2224" t="str">
            <v>Ofsted Social Care Provider Webpage</v>
          </cell>
        </row>
        <row r="2225">
          <cell r="A2225" t="str">
            <v>Ofsted Social Care Provider Webpage</v>
          </cell>
        </row>
        <row r="2226">
          <cell r="A2226" t="str">
            <v>Ofsted Social Care Provider Webpage</v>
          </cell>
        </row>
        <row r="2227">
          <cell r="A2227" t="str">
            <v>Ofsted Social Care Provider Webpage</v>
          </cell>
        </row>
        <row r="2228">
          <cell r="A2228" t="str">
            <v>Ofsted Social Care Provider Webpage</v>
          </cell>
        </row>
        <row r="2229">
          <cell r="A2229" t="str">
            <v>Ofsted Social Care Provider Webpage</v>
          </cell>
        </row>
        <row r="2230">
          <cell r="A2230" t="str">
            <v>Ofsted Social Care Provider Webpage</v>
          </cell>
        </row>
        <row r="2231">
          <cell r="A2231" t="str">
            <v>Ofsted Social Care Provider Webpage</v>
          </cell>
        </row>
        <row r="2232">
          <cell r="A2232" t="str">
            <v>Ofsted Social Care Provider Webpage</v>
          </cell>
        </row>
        <row r="2233">
          <cell r="A2233" t="str">
            <v>Ofsted Social Care Provider Webpage</v>
          </cell>
        </row>
        <row r="2234">
          <cell r="A2234" t="str">
            <v>Ofsted Social Care Provider Webpage</v>
          </cell>
        </row>
        <row r="2235">
          <cell r="A2235" t="str">
            <v>Ofsted Social Care Provider Webpage</v>
          </cell>
        </row>
        <row r="2236">
          <cell r="A2236" t="str">
            <v>Ofsted Social Care Provider Webpage</v>
          </cell>
        </row>
        <row r="2237">
          <cell r="A2237" t="str">
            <v>Ofsted Social Care Provider Webpage</v>
          </cell>
        </row>
        <row r="2238">
          <cell r="A2238" t="str">
            <v>Ofsted Social Care Provider Webpage</v>
          </cell>
        </row>
        <row r="2239">
          <cell r="A2239" t="str">
            <v>Ofsted Social Care Provider Webpage</v>
          </cell>
        </row>
        <row r="2240">
          <cell r="A2240" t="str">
            <v>Ofsted Social Care Provider Webpage</v>
          </cell>
        </row>
        <row r="2241">
          <cell r="A2241" t="str">
            <v>Ofsted Social Care Provider Webpage</v>
          </cell>
        </row>
        <row r="2242">
          <cell r="A2242" t="str">
            <v>Ofsted Social Care Provider Webpage</v>
          </cell>
        </row>
        <row r="2243">
          <cell r="A2243" t="str">
            <v>Ofsted Social Care Provider Webpage</v>
          </cell>
        </row>
        <row r="2244">
          <cell r="A2244" t="str">
            <v>Ofsted Social Care Provider Webpage</v>
          </cell>
        </row>
        <row r="2245">
          <cell r="A2245" t="str">
            <v>Ofsted Social Care Provider Webpage</v>
          </cell>
        </row>
        <row r="2246">
          <cell r="A2246" t="str">
            <v>Ofsted Social Care Provider Webpage</v>
          </cell>
        </row>
        <row r="2247">
          <cell r="A2247" t="str">
            <v>Ofsted Social Care Provider Webpage</v>
          </cell>
        </row>
        <row r="2248">
          <cell r="A2248" t="str">
            <v>Ofsted Social Care Provider Webpage</v>
          </cell>
        </row>
        <row r="2249">
          <cell r="A2249" t="str">
            <v>Ofsted Social Care Provider Webpage</v>
          </cell>
        </row>
        <row r="2250">
          <cell r="A2250" t="str">
            <v>Ofsted Social Care Provider Webpage</v>
          </cell>
        </row>
        <row r="2251">
          <cell r="A2251" t="str">
            <v>Ofsted Social Care Provider Webpage</v>
          </cell>
        </row>
        <row r="2252">
          <cell r="A2252" t="str">
            <v>Ofsted Social Care Provider Webpage</v>
          </cell>
        </row>
        <row r="2253">
          <cell r="A2253" t="str">
            <v>Ofsted Social Care Provider Webpage</v>
          </cell>
        </row>
        <row r="2254">
          <cell r="A2254" t="str">
            <v>Ofsted Social Care Provider Webpage</v>
          </cell>
        </row>
        <row r="2255">
          <cell r="A2255" t="str">
            <v>Ofsted Social Care Provider Webpage</v>
          </cell>
        </row>
        <row r="2256">
          <cell r="A2256" t="str">
            <v>Ofsted Social Care Provider Webpage</v>
          </cell>
        </row>
        <row r="2257">
          <cell r="A2257" t="str">
            <v>Ofsted Social Care Provider Webpage</v>
          </cell>
        </row>
        <row r="2258">
          <cell r="A2258" t="str">
            <v>Ofsted Social Care Provider Webpage</v>
          </cell>
        </row>
        <row r="2259">
          <cell r="A2259" t="str">
            <v>Ofsted Social Care Provider Webpage</v>
          </cell>
        </row>
        <row r="2260">
          <cell r="A2260" t="str">
            <v>Ofsted Social Care Provider Webpage</v>
          </cell>
        </row>
        <row r="2261">
          <cell r="A2261" t="str">
            <v>Ofsted Social Care Provider Webpage</v>
          </cell>
        </row>
        <row r="2262">
          <cell r="A2262" t="str">
            <v>Ofsted Social Care Provider Webpage</v>
          </cell>
        </row>
        <row r="2263">
          <cell r="A2263" t="str">
            <v>Ofsted Social Care Provider Webpage</v>
          </cell>
        </row>
        <row r="2264">
          <cell r="A2264" t="str">
            <v>Ofsted Social Care Provider Webpage</v>
          </cell>
        </row>
        <row r="2265">
          <cell r="A2265" t="str">
            <v>Ofsted Social Care Provider Webpage</v>
          </cell>
        </row>
        <row r="2266">
          <cell r="A2266" t="str">
            <v>Ofsted Social Care Provider Webpage</v>
          </cell>
        </row>
        <row r="2267">
          <cell r="A2267" t="str">
            <v>Ofsted Social Care Provider Webpage</v>
          </cell>
        </row>
        <row r="2268">
          <cell r="A2268" t="str">
            <v>Ofsted Social Care Provider Webpage</v>
          </cell>
        </row>
        <row r="2269">
          <cell r="A2269" t="str">
            <v>Ofsted Social Care Provider Webpage</v>
          </cell>
        </row>
        <row r="2270">
          <cell r="A2270" t="str">
            <v>Ofsted Social Care Provider Webpage</v>
          </cell>
        </row>
        <row r="2271">
          <cell r="A2271" t="str">
            <v>Ofsted Social Care Provider Webpage</v>
          </cell>
        </row>
        <row r="2272">
          <cell r="A2272" t="str">
            <v>Ofsted Social Care Provider Webpage</v>
          </cell>
        </row>
        <row r="2273">
          <cell r="A2273" t="str">
            <v>Ofsted Social Care Provider Webpage</v>
          </cell>
        </row>
        <row r="2274">
          <cell r="A2274" t="str">
            <v>Ofsted Social Care Provider Webpage</v>
          </cell>
        </row>
        <row r="2275">
          <cell r="A2275" t="str">
            <v>Ofsted Social Care Provider Webpage</v>
          </cell>
        </row>
        <row r="2276">
          <cell r="A2276" t="str">
            <v>Ofsted Social Care Provider Webpage</v>
          </cell>
        </row>
        <row r="2277">
          <cell r="A2277" t="str">
            <v>Ofsted Social Care Provider Webpage</v>
          </cell>
        </row>
        <row r="2278">
          <cell r="A2278" t="str">
            <v>Ofsted Social Care Provider Webpage</v>
          </cell>
        </row>
        <row r="2279">
          <cell r="A2279" t="str">
            <v>Ofsted Social Care Provider Webpage</v>
          </cell>
        </row>
        <row r="2280">
          <cell r="A2280" t="str">
            <v>Ofsted Social Care Provider Webpage</v>
          </cell>
        </row>
        <row r="2281">
          <cell r="A2281" t="str">
            <v>Ofsted Social Care Provider Webpage</v>
          </cell>
        </row>
        <row r="2282">
          <cell r="A2282" t="str">
            <v>Ofsted Social Care Provider Webpage</v>
          </cell>
        </row>
        <row r="2283">
          <cell r="A2283" t="str">
            <v>Ofsted Social Care Provider Webpage</v>
          </cell>
        </row>
        <row r="2284">
          <cell r="A2284" t="str">
            <v>Ofsted Social Care Provider Webpage</v>
          </cell>
        </row>
        <row r="2285">
          <cell r="A2285" t="str">
            <v>Ofsted Social Care Provider Webpage</v>
          </cell>
        </row>
        <row r="2286">
          <cell r="A2286" t="str">
            <v>Ofsted Social Care Provider Webpage</v>
          </cell>
        </row>
        <row r="2287">
          <cell r="A2287" t="str">
            <v>Ofsted Social Care Provider Webpage</v>
          </cell>
        </row>
        <row r="2288">
          <cell r="A2288" t="str">
            <v>Ofsted Social Care Provider Webpage</v>
          </cell>
        </row>
        <row r="2289">
          <cell r="A2289" t="str">
            <v>Ofsted Social Care Provider Webpage</v>
          </cell>
        </row>
        <row r="2290">
          <cell r="A2290" t="str">
            <v>Ofsted Social Care Provider Webpage</v>
          </cell>
        </row>
        <row r="2291">
          <cell r="A2291" t="str">
            <v>Ofsted Social Care Provider Webpage</v>
          </cell>
        </row>
        <row r="2292">
          <cell r="A2292" t="str">
            <v>Ofsted Social Care Provider Webpage</v>
          </cell>
        </row>
        <row r="2293">
          <cell r="A2293" t="str">
            <v>Ofsted Social Care Provider Webpage</v>
          </cell>
        </row>
        <row r="2294">
          <cell r="A2294" t="str">
            <v>Ofsted Social Care Provider Webpage</v>
          </cell>
        </row>
        <row r="2295">
          <cell r="A2295" t="str">
            <v>Ofsted Social Care Provider Webpage</v>
          </cell>
        </row>
        <row r="2296">
          <cell r="A2296" t="str">
            <v>Ofsted Social Care Provider Webpage</v>
          </cell>
        </row>
        <row r="2297">
          <cell r="A2297" t="str">
            <v>Ofsted Social Care Provider Webpage</v>
          </cell>
        </row>
        <row r="2298">
          <cell r="A2298" t="str">
            <v>Ofsted Social Care Provider Webpage</v>
          </cell>
        </row>
        <row r="2299">
          <cell r="A2299" t="str">
            <v>Ofsted Social Care Provider Webpage</v>
          </cell>
        </row>
        <row r="2300">
          <cell r="A2300" t="str">
            <v>Ofsted Social Care Provider Webpage</v>
          </cell>
        </row>
        <row r="2301">
          <cell r="A2301" t="str">
            <v>Ofsted Social Care Provider Webpage</v>
          </cell>
        </row>
        <row r="2302">
          <cell r="A2302" t="str">
            <v>Ofsted Social Care Provider Webpage</v>
          </cell>
        </row>
        <row r="2303">
          <cell r="A2303" t="str">
            <v>Ofsted Social Care Provider Webpage</v>
          </cell>
        </row>
        <row r="2304">
          <cell r="A2304" t="str">
            <v>Ofsted Social Care Provider Webpage</v>
          </cell>
        </row>
        <row r="2305">
          <cell r="A2305" t="str">
            <v>Ofsted Social Care Provider Webpage</v>
          </cell>
        </row>
        <row r="2306">
          <cell r="A2306" t="str">
            <v>Ofsted Social Care Provider Webpage</v>
          </cell>
        </row>
        <row r="2307">
          <cell r="A2307" t="str">
            <v>Ofsted Social Care Provider Webpage</v>
          </cell>
        </row>
        <row r="2308">
          <cell r="A2308" t="str">
            <v>Ofsted Social Care Provider Webpage</v>
          </cell>
        </row>
        <row r="2309">
          <cell r="A2309" t="str">
            <v>Ofsted Social Care Provider Webpage</v>
          </cell>
        </row>
        <row r="2310">
          <cell r="A2310" t="str">
            <v>Ofsted Social Care Provider Webpage</v>
          </cell>
        </row>
        <row r="2311">
          <cell r="A2311" t="str">
            <v>Ofsted Social Care Provider Webpage</v>
          </cell>
        </row>
        <row r="2312">
          <cell r="A2312" t="str">
            <v>Ofsted Social Care Provider Webpage</v>
          </cell>
        </row>
        <row r="2313">
          <cell r="A2313" t="str">
            <v>Ofsted Social Care Provider Webpage</v>
          </cell>
        </row>
        <row r="2314">
          <cell r="A2314" t="str">
            <v>Ofsted Social Care Provider Webpage</v>
          </cell>
        </row>
        <row r="2315">
          <cell r="A2315" t="str">
            <v>Ofsted Social Care Provider Webpage</v>
          </cell>
        </row>
        <row r="2316">
          <cell r="A2316" t="str">
            <v>Ofsted Social Care Provider Webpage</v>
          </cell>
        </row>
        <row r="2317">
          <cell r="A2317" t="str">
            <v>Ofsted Social Care Provider Webpage</v>
          </cell>
        </row>
        <row r="2318">
          <cell r="A2318" t="str">
            <v>Ofsted Social Care Provider Webpage</v>
          </cell>
        </row>
        <row r="2319">
          <cell r="A2319" t="str">
            <v>Ofsted Social Care Provider Webpage</v>
          </cell>
        </row>
        <row r="2320">
          <cell r="A2320" t="str">
            <v>Ofsted Social Care Provider Webpage</v>
          </cell>
        </row>
        <row r="2321">
          <cell r="A2321" t="str">
            <v>Ofsted Social Care Provider Webpage</v>
          </cell>
        </row>
        <row r="2322">
          <cell r="A2322" t="str">
            <v>Ofsted Social Care Provider Webpage</v>
          </cell>
        </row>
        <row r="2323">
          <cell r="A2323" t="str">
            <v>Ofsted Social Care Provider Webpage</v>
          </cell>
        </row>
        <row r="2324">
          <cell r="A2324" t="str">
            <v>Ofsted Social Care Provider Webpage</v>
          </cell>
        </row>
        <row r="2325">
          <cell r="A2325" t="str">
            <v>Ofsted Social Care Provider Webpage</v>
          </cell>
        </row>
        <row r="2326">
          <cell r="A2326" t="str">
            <v>Ofsted Social Care Provider Webpage</v>
          </cell>
        </row>
        <row r="2327">
          <cell r="A2327" t="str">
            <v>Ofsted Social Care Provider Webpage</v>
          </cell>
        </row>
        <row r="2328">
          <cell r="A2328" t="str">
            <v>Ofsted Social Care Provider Webpage</v>
          </cell>
        </row>
        <row r="2329">
          <cell r="A2329" t="str">
            <v>Ofsted Social Care Provider Webpage</v>
          </cell>
        </row>
        <row r="2330">
          <cell r="A2330" t="str">
            <v>Ofsted Social Care Provider Webpage</v>
          </cell>
        </row>
        <row r="2331">
          <cell r="A2331" t="str">
            <v>Ofsted Social Care Provider Webpage</v>
          </cell>
        </row>
        <row r="2332">
          <cell r="A2332" t="str">
            <v>Ofsted Social Care Provider Webpage</v>
          </cell>
        </row>
        <row r="2333">
          <cell r="A2333" t="str">
            <v>Ofsted Social Care Provider Webpage</v>
          </cell>
        </row>
        <row r="2334">
          <cell r="A2334" t="str">
            <v>Ofsted Social Care Provider Webpage</v>
          </cell>
        </row>
        <row r="2335">
          <cell r="A2335" t="str">
            <v>Ofsted Social Care Provider Webpage</v>
          </cell>
        </row>
        <row r="2336">
          <cell r="A2336" t="str">
            <v>Ofsted Social Care Provider Webpage</v>
          </cell>
        </row>
        <row r="2337">
          <cell r="A2337" t="str">
            <v>Ofsted Social Care Provider Webpage</v>
          </cell>
        </row>
        <row r="2338">
          <cell r="A2338" t="str">
            <v>Ofsted Social Care Provider Webpage</v>
          </cell>
        </row>
        <row r="2339">
          <cell r="A2339" t="str">
            <v>Ofsted Social Care Provider Webpage</v>
          </cell>
        </row>
        <row r="2340">
          <cell r="A2340" t="str">
            <v>Ofsted Social Care Provider Webpage</v>
          </cell>
        </row>
        <row r="2341">
          <cell r="A2341" t="str">
            <v>Ofsted Social Care Provider Webpage</v>
          </cell>
        </row>
        <row r="2342">
          <cell r="A2342" t="str">
            <v>Ofsted Social Care Provider Webpage</v>
          </cell>
        </row>
        <row r="2343">
          <cell r="A2343" t="str">
            <v>Ofsted Social Care Provider Webpage</v>
          </cell>
        </row>
        <row r="2344">
          <cell r="A2344" t="str">
            <v>Ofsted Social Care Provider Webpage</v>
          </cell>
        </row>
        <row r="2345">
          <cell r="A2345" t="str">
            <v>Ofsted Social Care Provider Webpage</v>
          </cell>
        </row>
        <row r="2346">
          <cell r="A2346" t="str">
            <v>Ofsted Social Care Provider Webpage</v>
          </cell>
        </row>
        <row r="2347">
          <cell r="A2347" t="str">
            <v>Ofsted Social Care Provider Webpage</v>
          </cell>
        </row>
        <row r="2348">
          <cell r="A2348" t="str">
            <v>Ofsted Social Care Provider Webpage</v>
          </cell>
        </row>
        <row r="2349">
          <cell r="A2349" t="str">
            <v>Ofsted Social Care Provider Webpage</v>
          </cell>
        </row>
        <row r="2350">
          <cell r="A2350" t="str">
            <v>Ofsted Social Care Provider Webpage</v>
          </cell>
        </row>
        <row r="2351">
          <cell r="A2351" t="str">
            <v>Ofsted Social Care Provider Webpage</v>
          </cell>
        </row>
        <row r="2352">
          <cell r="A2352" t="str">
            <v>Ofsted Social Care Provider Webpage</v>
          </cell>
        </row>
        <row r="2353">
          <cell r="A2353" t="str">
            <v>Ofsted Social Care Provider Webpage</v>
          </cell>
        </row>
        <row r="2354">
          <cell r="A2354" t="str">
            <v>Ofsted Social Care Provider Webpage</v>
          </cell>
        </row>
        <row r="2355">
          <cell r="A2355" t="str">
            <v>Ofsted Social Care Provider Webpage</v>
          </cell>
        </row>
        <row r="2356">
          <cell r="A2356" t="str">
            <v>Ofsted Social Care Provider Webpage</v>
          </cell>
        </row>
        <row r="2357">
          <cell r="A2357" t="str">
            <v>Ofsted Social Care Provider Webpage</v>
          </cell>
        </row>
        <row r="2358">
          <cell r="A2358" t="str">
            <v>Ofsted Social Care Provider Webpage</v>
          </cell>
        </row>
        <row r="2359">
          <cell r="A2359" t="str">
            <v>Ofsted Social Care Provider Webpage</v>
          </cell>
        </row>
        <row r="2360">
          <cell r="A2360" t="str">
            <v>Ofsted Social Care Provider Webpage</v>
          </cell>
        </row>
        <row r="2361">
          <cell r="A2361" t="str">
            <v>Ofsted Social Care Provider Webpage</v>
          </cell>
        </row>
        <row r="2362">
          <cell r="A2362" t="str">
            <v>Ofsted Social Care Provider Webpage</v>
          </cell>
        </row>
        <row r="2363">
          <cell r="A2363" t="str">
            <v>Ofsted Social Care Provider Webpage</v>
          </cell>
        </row>
        <row r="2364">
          <cell r="A2364" t="str">
            <v>Ofsted Social Care Provider Webpage</v>
          </cell>
        </row>
        <row r="2365">
          <cell r="A2365" t="str">
            <v>Ofsted Social Care Provider Webpage</v>
          </cell>
        </row>
        <row r="2366">
          <cell r="A2366" t="str">
            <v>Ofsted Social Care Provider Webpage</v>
          </cell>
        </row>
        <row r="2367">
          <cell r="A2367" t="str">
            <v>Ofsted Social Care Provider Webpage</v>
          </cell>
        </row>
        <row r="2368">
          <cell r="A2368" t="str">
            <v>Ofsted Social Care Provider Webpage</v>
          </cell>
        </row>
        <row r="2369">
          <cell r="A2369" t="str">
            <v>Ofsted Social Care Provider Webpage</v>
          </cell>
        </row>
        <row r="2370">
          <cell r="A2370" t="str">
            <v>Ofsted Social Care Provider Webpage</v>
          </cell>
        </row>
        <row r="2371">
          <cell r="A2371" t="str">
            <v>Ofsted Social Care Provider Webpage</v>
          </cell>
        </row>
        <row r="2372">
          <cell r="A2372" t="str">
            <v>Ofsted Social Care Provider Webpage</v>
          </cell>
        </row>
        <row r="2373">
          <cell r="A2373" t="str">
            <v>Ofsted Social Care Provider Webpage</v>
          </cell>
        </row>
        <row r="2374">
          <cell r="A2374" t="str">
            <v>Ofsted Social Care Provider Webpage</v>
          </cell>
        </row>
        <row r="2375">
          <cell r="A2375" t="str">
            <v>Ofsted Social Care Provider Webpage</v>
          </cell>
        </row>
        <row r="2376">
          <cell r="A2376" t="str">
            <v>Ofsted Social Care Provider Webpage</v>
          </cell>
        </row>
        <row r="2377">
          <cell r="A2377" t="str">
            <v>Ofsted Social Care Provider Webpage</v>
          </cell>
        </row>
        <row r="2378">
          <cell r="A2378" t="str">
            <v>Ofsted Social Care Provider Webpage</v>
          </cell>
        </row>
        <row r="2379">
          <cell r="A2379" t="str">
            <v>Ofsted Social Care Provider Webpage</v>
          </cell>
        </row>
        <row r="2380">
          <cell r="A2380" t="str">
            <v>Ofsted Social Care Provider Webpage</v>
          </cell>
        </row>
        <row r="2381">
          <cell r="A2381" t="str">
            <v>Ofsted Social Care Provider Webpage</v>
          </cell>
        </row>
        <row r="2382">
          <cell r="A2382" t="str">
            <v>Ofsted Social Care Provider Webpage</v>
          </cell>
        </row>
        <row r="2383">
          <cell r="A2383" t="str">
            <v>Ofsted Social Care Provider Webpage</v>
          </cell>
        </row>
        <row r="2384">
          <cell r="A2384" t="str">
            <v>Ofsted Social Care Provider Webpage</v>
          </cell>
        </row>
        <row r="2385">
          <cell r="A2385" t="str">
            <v>Ofsted Social Care Provider Webpage</v>
          </cell>
        </row>
        <row r="2386">
          <cell r="A2386" t="str">
            <v>Ofsted Social Care Provider Webpage</v>
          </cell>
        </row>
        <row r="2387">
          <cell r="A2387" t="str">
            <v>Ofsted Social Care Provider Webpage</v>
          </cell>
        </row>
        <row r="2388">
          <cell r="A2388" t="str">
            <v>Ofsted Social Care Provider Webpage</v>
          </cell>
        </row>
        <row r="2389">
          <cell r="A2389" t="str">
            <v>Ofsted Social Care Provider Webpage</v>
          </cell>
        </row>
        <row r="2390">
          <cell r="A2390" t="str">
            <v>Ofsted Social Care Provider Webpage</v>
          </cell>
        </row>
        <row r="2391">
          <cell r="A2391" t="str">
            <v>Ofsted Social Care Provider Webpage</v>
          </cell>
        </row>
        <row r="2392">
          <cell r="A2392" t="str">
            <v>Ofsted Social Care Provider Webpage</v>
          </cell>
        </row>
        <row r="2393">
          <cell r="A2393" t="str">
            <v>Ofsted Social Care Provider Webpage</v>
          </cell>
        </row>
        <row r="2394">
          <cell r="A2394" t="str">
            <v>Ofsted Social Care Provider Webpage</v>
          </cell>
        </row>
        <row r="2395">
          <cell r="A2395" t="str">
            <v>Ofsted Social Care Provider Webpage</v>
          </cell>
        </row>
        <row r="2396">
          <cell r="A2396" t="str">
            <v>Ofsted Social Care Provider Webpage</v>
          </cell>
        </row>
        <row r="2397">
          <cell r="A2397" t="str">
            <v>Ofsted Social Care Provider Webpage</v>
          </cell>
        </row>
        <row r="2398">
          <cell r="A2398" t="str">
            <v>Ofsted Social Care Provider Webpage</v>
          </cell>
        </row>
        <row r="2399">
          <cell r="A2399" t="str">
            <v>Ofsted Social Care Provider Webpage</v>
          </cell>
        </row>
        <row r="2400">
          <cell r="A2400" t="str">
            <v>Ofsted Social Care Provider Webpage</v>
          </cell>
        </row>
        <row r="2401">
          <cell r="A2401" t="str">
            <v>Ofsted Social Care Provider Webpage</v>
          </cell>
        </row>
        <row r="2402">
          <cell r="A2402" t="str">
            <v>Ofsted Social Care Provider Webpage</v>
          </cell>
        </row>
        <row r="2403">
          <cell r="A2403" t="str">
            <v>Ofsted Social Care Provider Webpage</v>
          </cell>
        </row>
        <row r="2404">
          <cell r="A2404" t="str">
            <v>Ofsted Social Care Provider Webpage</v>
          </cell>
        </row>
        <row r="2405">
          <cell r="A2405" t="str">
            <v>Ofsted Social Care Provider Webpage</v>
          </cell>
        </row>
        <row r="2406">
          <cell r="A2406" t="str">
            <v>Ofsted Social Care Provider Webpage</v>
          </cell>
        </row>
        <row r="2407">
          <cell r="A2407" t="str">
            <v>Ofsted Social Care Provider Webpage</v>
          </cell>
        </row>
        <row r="2408">
          <cell r="A2408" t="str">
            <v>Ofsted Social Care Provider Webpage</v>
          </cell>
        </row>
        <row r="2409">
          <cell r="A2409" t="str">
            <v>Ofsted Social Care Provider Webpage</v>
          </cell>
        </row>
        <row r="2410">
          <cell r="A2410" t="str">
            <v>Ofsted Social Care Provider Webpage</v>
          </cell>
        </row>
        <row r="2411">
          <cell r="A2411" t="str">
            <v>Ofsted Social Care Provider Webpage</v>
          </cell>
        </row>
        <row r="2412">
          <cell r="A2412" t="str">
            <v>Ofsted Social Care Provider Webpage</v>
          </cell>
        </row>
        <row r="2413">
          <cell r="A2413" t="str">
            <v>Ofsted Social Care Provider Webpage</v>
          </cell>
        </row>
        <row r="2414">
          <cell r="A2414" t="str">
            <v>Ofsted Social Care Provider Webpage</v>
          </cell>
        </row>
        <row r="2415">
          <cell r="A2415" t="str">
            <v>Ofsted Social Care Provider Webpage</v>
          </cell>
        </row>
        <row r="2416">
          <cell r="A2416" t="str">
            <v>Ofsted Social Care Provider Webpage</v>
          </cell>
        </row>
        <row r="2417">
          <cell r="A2417" t="str">
            <v>Ofsted Social Care Provider Webpage</v>
          </cell>
        </row>
        <row r="2418">
          <cell r="A2418" t="str">
            <v>Ofsted Social Care Provider Webpage</v>
          </cell>
        </row>
        <row r="2419">
          <cell r="A2419" t="str">
            <v>Ofsted Social Care Provider Webpage</v>
          </cell>
        </row>
        <row r="2420">
          <cell r="A2420" t="str">
            <v>Ofsted Social Care Provider Webpage</v>
          </cell>
        </row>
        <row r="2421">
          <cell r="A2421" t="str">
            <v>Ofsted Social Care Provider Webpage</v>
          </cell>
        </row>
        <row r="2422">
          <cell r="A2422" t="str">
            <v>Ofsted Social Care Provider Webpage</v>
          </cell>
        </row>
        <row r="2423">
          <cell r="A2423" t="str">
            <v>Ofsted Social Care Provider Webpage</v>
          </cell>
        </row>
        <row r="2424">
          <cell r="A2424" t="str">
            <v>Ofsted Social Care Provider Webpage</v>
          </cell>
        </row>
        <row r="2425">
          <cell r="A2425" t="str">
            <v>Ofsted Social Care Provider Webpage</v>
          </cell>
        </row>
        <row r="2426">
          <cell r="A2426" t="str">
            <v>Ofsted Social Care Provider Webpage</v>
          </cell>
        </row>
        <row r="2427">
          <cell r="A2427" t="str">
            <v>Ofsted Social Care Provider Webpage</v>
          </cell>
        </row>
        <row r="2428">
          <cell r="A2428" t="str">
            <v>Ofsted Social Care Provider Webpage</v>
          </cell>
        </row>
        <row r="2429">
          <cell r="A2429" t="str">
            <v>Ofsted Social Care Provider Webpage</v>
          </cell>
        </row>
        <row r="2430">
          <cell r="A2430" t="str">
            <v>Ofsted Social Care Provider Webpage</v>
          </cell>
        </row>
        <row r="2431">
          <cell r="A2431" t="str">
            <v>Ofsted Social Care Provider Webpage</v>
          </cell>
        </row>
        <row r="2432">
          <cell r="A2432" t="str">
            <v>Ofsted Social Care Provider Webpage</v>
          </cell>
        </row>
        <row r="2433">
          <cell r="A2433" t="str">
            <v>Ofsted Social Care Provider Webpage</v>
          </cell>
        </row>
        <row r="2434">
          <cell r="A2434" t="str">
            <v>Ofsted Social Care Provider Webpage</v>
          </cell>
        </row>
        <row r="2435">
          <cell r="A2435" t="str">
            <v>Ofsted Social Care Provider Webpage</v>
          </cell>
        </row>
        <row r="2436">
          <cell r="A2436" t="str">
            <v>Ofsted Social Care Provider Webpage</v>
          </cell>
        </row>
        <row r="2437">
          <cell r="A2437" t="str">
            <v>Ofsted Social Care Provider Webpage</v>
          </cell>
        </row>
        <row r="2438">
          <cell r="A2438" t="str">
            <v>Ofsted Social Care Provider Webpage</v>
          </cell>
        </row>
        <row r="2439">
          <cell r="A2439" t="str">
            <v>Ofsted Social Care Provider Webpage</v>
          </cell>
        </row>
        <row r="2440">
          <cell r="A2440" t="str">
            <v>Ofsted Social Care Provider Webpage</v>
          </cell>
        </row>
        <row r="2441">
          <cell r="A2441" t="str">
            <v>Ofsted Social Care Provider Webpage</v>
          </cell>
        </row>
        <row r="2442">
          <cell r="A2442" t="str">
            <v>Ofsted Social Care Provider Webpage</v>
          </cell>
        </row>
        <row r="2443">
          <cell r="A2443" t="str">
            <v>Ofsted Social Care Provider Webpage</v>
          </cell>
        </row>
        <row r="2444">
          <cell r="A2444" t="str">
            <v>Ofsted Social Care Provider Webpage</v>
          </cell>
        </row>
        <row r="2445">
          <cell r="A2445" t="str">
            <v>Ofsted Social Care Provider Webpage</v>
          </cell>
        </row>
        <row r="2446">
          <cell r="A2446" t="str">
            <v>Ofsted Social Care Provider Webpage</v>
          </cell>
        </row>
        <row r="2447">
          <cell r="A2447" t="str">
            <v>Ofsted Social Care Provider Webpage</v>
          </cell>
        </row>
        <row r="2448">
          <cell r="A2448" t="str">
            <v>Ofsted Social Care Provider Webpage</v>
          </cell>
        </row>
        <row r="2449">
          <cell r="A2449" t="str">
            <v>Ofsted Social Care Provider Webpage</v>
          </cell>
        </row>
        <row r="2450">
          <cell r="A2450" t="str">
            <v>Ofsted Social Care Provider Webpage</v>
          </cell>
        </row>
        <row r="2451">
          <cell r="A2451" t="str">
            <v>Ofsted Social Care Provider Webpage</v>
          </cell>
        </row>
        <row r="2452">
          <cell r="A2452" t="str">
            <v>Ofsted Social Care Provider Webpage</v>
          </cell>
        </row>
        <row r="2453">
          <cell r="A2453" t="str">
            <v>Ofsted Social Care Provider Webpage</v>
          </cell>
        </row>
        <row r="2454">
          <cell r="A2454" t="str">
            <v>Ofsted Social Care Provider Webpage</v>
          </cell>
        </row>
        <row r="2455">
          <cell r="A2455" t="str">
            <v>Ofsted Social Care Provider Webpage</v>
          </cell>
        </row>
        <row r="2456">
          <cell r="A2456" t="str">
            <v>Ofsted Social Care Provider Webpage</v>
          </cell>
        </row>
        <row r="2457">
          <cell r="A2457" t="str">
            <v>Ofsted Social Care Provider Webpage</v>
          </cell>
        </row>
        <row r="2458">
          <cell r="A2458" t="str">
            <v>Ofsted Social Care Provider Webpage</v>
          </cell>
        </row>
        <row r="2459">
          <cell r="A2459" t="str">
            <v>Ofsted Social Care Provider Webpage</v>
          </cell>
        </row>
        <row r="2460">
          <cell r="A2460" t="str">
            <v>Ofsted Social Care Provider Webpage</v>
          </cell>
        </row>
        <row r="2461">
          <cell r="A2461" t="str">
            <v>Ofsted Social Care Provider Webpage</v>
          </cell>
        </row>
        <row r="2462">
          <cell r="A2462" t="str">
            <v>Ofsted Social Care Provider Webpage</v>
          </cell>
        </row>
        <row r="2463">
          <cell r="A2463" t="str">
            <v>Ofsted Social Care Provider Webpage</v>
          </cell>
        </row>
        <row r="2464">
          <cell r="A2464" t="str">
            <v>Ofsted Social Care Provider Webpage</v>
          </cell>
        </row>
        <row r="2465">
          <cell r="A2465" t="str">
            <v>Ofsted Social Care Provider Webpage</v>
          </cell>
        </row>
        <row r="2466">
          <cell r="A2466" t="str">
            <v>Ofsted Social Care Provider Webpage</v>
          </cell>
        </row>
        <row r="2467">
          <cell r="A2467" t="str">
            <v>Ofsted Social Care Provider Webpage</v>
          </cell>
        </row>
        <row r="2468">
          <cell r="A2468" t="str">
            <v>Ofsted Social Care Provider Webpage</v>
          </cell>
        </row>
        <row r="2469">
          <cell r="A2469" t="str">
            <v>Ofsted Social Care Provider Webpage</v>
          </cell>
        </row>
        <row r="2470">
          <cell r="A2470" t="str">
            <v>Ofsted Social Care Provider Webpage</v>
          </cell>
        </row>
        <row r="2471">
          <cell r="A2471" t="str">
            <v>Ofsted Social Care Provider Webpage</v>
          </cell>
        </row>
        <row r="2472">
          <cell r="A2472" t="str">
            <v>Ofsted Social Care Provider Webpage</v>
          </cell>
        </row>
        <row r="2473">
          <cell r="A2473" t="str">
            <v>Ofsted Social Care Provider Webpage</v>
          </cell>
        </row>
        <row r="2474">
          <cell r="A2474" t="str">
            <v>Ofsted Social Care Provider Webpage</v>
          </cell>
        </row>
        <row r="2475">
          <cell r="A2475" t="str">
            <v>Ofsted Social Care Provider Webpage</v>
          </cell>
        </row>
        <row r="2476">
          <cell r="A2476" t="str">
            <v>Ofsted Social Care Provider Webpage</v>
          </cell>
        </row>
        <row r="2477">
          <cell r="A2477" t="str">
            <v>Ofsted Social Care Provider Webpage</v>
          </cell>
        </row>
        <row r="2478">
          <cell r="A2478" t="str">
            <v>Ofsted Social Care Provider Webpage</v>
          </cell>
        </row>
        <row r="2479">
          <cell r="A2479" t="str">
            <v>Ofsted Social Care Provider Webpage</v>
          </cell>
        </row>
        <row r="2480">
          <cell r="A2480" t="str">
            <v>Ofsted Social Care Provider Webpage</v>
          </cell>
        </row>
        <row r="2481">
          <cell r="A2481" t="str">
            <v>Ofsted Social Care Provider Webpage</v>
          </cell>
        </row>
        <row r="2482">
          <cell r="A2482" t="str">
            <v>Ofsted Social Care Provider Webpage</v>
          </cell>
        </row>
        <row r="2483">
          <cell r="A2483" t="str">
            <v>Ofsted Social Care Provider Webpage</v>
          </cell>
        </row>
        <row r="2484">
          <cell r="A2484" t="str">
            <v>Ofsted Social Care Provider Webpage</v>
          </cell>
        </row>
        <row r="2485">
          <cell r="A2485" t="str">
            <v>Ofsted Social Care Provider Webpage</v>
          </cell>
        </row>
        <row r="2486">
          <cell r="A2486" t="str">
            <v>Ofsted Social Care Provider Webpage</v>
          </cell>
        </row>
        <row r="2487">
          <cell r="A2487" t="str">
            <v>Ofsted Social Care Provider Webpage</v>
          </cell>
        </row>
        <row r="2488">
          <cell r="A2488" t="str">
            <v>Ofsted Social Care Provider Webpage</v>
          </cell>
        </row>
        <row r="2489">
          <cell r="A2489" t="str">
            <v>Ofsted Social Care Provider Webpage</v>
          </cell>
        </row>
        <row r="2490">
          <cell r="A2490" t="str">
            <v>Ofsted Social Care Provider Webpage</v>
          </cell>
        </row>
        <row r="2491">
          <cell r="A2491" t="str">
            <v>Ofsted Social Care Provider Webpage</v>
          </cell>
        </row>
        <row r="2492">
          <cell r="A2492" t="str">
            <v>Ofsted Social Care Provider Webpage</v>
          </cell>
        </row>
        <row r="2493">
          <cell r="A2493" t="str">
            <v>Ofsted Social Care Provider Webpage</v>
          </cell>
        </row>
        <row r="2494">
          <cell r="A2494" t="str">
            <v>Ofsted Social Care Provider Webpage</v>
          </cell>
        </row>
        <row r="2495">
          <cell r="A2495" t="str">
            <v>Ofsted Social Care Provider Webpage</v>
          </cell>
        </row>
        <row r="2496">
          <cell r="A2496" t="str">
            <v>Ofsted Social Care Provider Webpage</v>
          </cell>
        </row>
        <row r="2497">
          <cell r="A2497" t="str">
            <v>Ofsted Social Care Provider Webpage</v>
          </cell>
        </row>
        <row r="2498">
          <cell r="A2498" t="str">
            <v>Ofsted Social Care Provider Webpage</v>
          </cell>
        </row>
        <row r="2499">
          <cell r="A2499" t="str">
            <v>Ofsted Social Care Provider Webpage</v>
          </cell>
        </row>
        <row r="2500">
          <cell r="A2500" t="str">
            <v>Ofsted Social Care Provider Webpage</v>
          </cell>
        </row>
        <row r="2501">
          <cell r="A2501" t="str">
            <v>Ofsted Social Care Provider Webpage</v>
          </cell>
        </row>
        <row r="2502">
          <cell r="A2502" t="str">
            <v>Ofsted Social Care Provider Webpage</v>
          </cell>
        </row>
        <row r="2503">
          <cell r="A2503" t="str">
            <v>Ofsted Social Care Provider Webpage</v>
          </cell>
        </row>
        <row r="2504">
          <cell r="A2504" t="str">
            <v>Ofsted Social Care Provider Webpage</v>
          </cell>
        </row>
        <row r="2505">
          <cell r="A2505" t="str">
            <v>Ofsted Social Care Provider Webpage</v>
          </cell>
        </row>
        <row r="2506">
          <cell r="A2506" t="str">
            <v>Ofsted Social Care Provider Webpage</v>
          </cell>
        </row>
        <row r="2507">
          <cell r="A2507" t="str">
            <v>Ofsted Social Care Provider Webpage</v>
          </cell>
        </row>
        <row r="2508">
          <cell r="A2508" t="str">
            <v>Ofsted Social Care Provider Webpage</v>
          </cell>
        </row>
        <row r="2509">
          <cell r="A2509" t="str">
            <v>Ofsted Social Care Provider Webpage</v>
          </cell>
        </row>
        <row r="2510">
          <cell r="A2510" t="str">
            <v>Ofsted Social Care Provider Webpage</v>
          </cell>
        </row>
        <row r="2511">
          <cell r="A2511" t="str">
            <v>Ofsted Social Care Provider Webpage</v>
          </cell>
        </row>
        <row r="2512">
          <cell r="A2512" t="str">
            <v>Ofsted Social Care Provider Webpage</v>
          </cell>
        </row>
        <row r="2513">
          <cell r="A2513" t="str">
            <v>Ofsted Social Care Provider Webpage</v>
          </cell>
        </row>
        <row r="2514">
          <cell r="A2514" t="str">
            <v>Ofsted Social Care Provider Webpage</v>
          </cell>
        </row>
        <row r="2515">
          <cell r="A2515" t="str">
            <v>Ofsted Social Care Provider Webpage</v>
          </cell>
        </row>
        <row r="2516">
          <cell r="A2516" t="str">
            <v>Ofsted Social Care Provider Webpage</v>
          </cell>
        </row>
        <row r="2517">
          <cell r="A2517" t="str">
            <v>Ofsted Social Care Provider Webpage</v>
          </cell>
        </row>
        <row r="2518">
          <cell r="A2518" t="str">
            <v>Ofsted Social Care Provider Webpage</v>
          </cell>
        </row>
        <row r="2519">
          <cell r="A2519" t="str">
            <v>Ofsted Social Care Provider Webpage</v>
          </cell>
        </row>
        <row r="2520">
          <cell r="A2520" t="str">
            <v>Ofsted Social Care Provider Webpage</v>
          </cell>
        </row>
        <row r="2521">
          <cell r="A2521" t="str">
            <v>Ofsted Social Care Provider Webpage</v>
          </cell>
        </row>
        <row r="2522">
          <cell r="A2522" t="str">
            <v>Ofsted Social Care Provider Webpage</v>
          </cell>
        </row>
        <row r="2523">
          <cell r="A2523" t="str">
            <v>Ofsted Social Care Provider Webpage</v>
          </cell>
        </row>
        <row r="2524">
          <cell r="A2524" t="str">
            <v>Ofsted Social Care Provider Webpage</v>
          </cell>
        </row>
        <row r="2525">
          <cell r="A2525" t="str">
            <v>Ofsted Social Care Provider Webpage</v>
          </cell>
        </row>
        <row r="2526">
          <cell r="A2526" t="str">
            <v>Ofsted Social Care Provider Webpage</v>
          </cell>
        </row>
        <row r="2527">
          <cell r="A2527" t="str">
            <v>Ofsted Social Care Provider Webpage</v>
          </cell>
        </row>
        <row r="2528">
          <cell r="A2528" t="str">
            <v>Ofsted Social Care Provider Webpage</v>
          </cell>
        </row>
        <row r="2529">
          <cell r="A2529" t="str">
            <v>Ofsted Social Care Provider Webpage</v>
          </cell>
        </row>
        <row r="2530">
          <cell r="A2530" t="str">
            <v>Ofsted Social Care Provider Webpage</v>
          </cell>
        </row>
        <row r="2531">
          <cell r="A2531" t="str">
            <v>Ofsted Social Care Provider Webpage</v>
          </cell>
        </row>
        <row r="2532">
          <cell r="A2532" t="str">
            <v>Ofsted Social Care Provider Webpage</v>
          </cell>
        </row>
        <row r="2533">
          <cell r="A2533" t="str">
            <v>Ofsted Social Care Provider Webpage</v>
          </cell>
        </row>
        <row r="2534">
          <cell r="A2534" t="str">
            <v>Ofsted Social Care Provider Webpage</v>
          </cell>
        </row>
        <row r="2535">
          <cell r="A2535" t="str">
            <v>Ofsted Social Care Provider Webpage</v>
          </cell>
        </row>
        <row r="2536">
          <cell r="A2536" t="str">
            <v>Ofsted Social Care Provider Webpage</v>
          </cell>
        </row>
        <row r="2537">
          <cell r="A2537" t="str">
            <v>Ofsted Social Care Provider Webpage</v>
          </cell>
        </row>
        <row r="2538">
          <cell r="A2538" t="str">
            <v>Ofsted Social Care Provider Webpage</v>
          </cell>
        </row>
        <row r="2539">
          <cell r="A2539" t="str">
            <v>Ofsted Social Care Provider Webpage</v>
          </cell>
        </row>
        <row r="2540">
          <cell r="A2540" t="str">
            <v>Ofsted Social Care Provider Webpage</v>
          </cell>
        </row>
        <row r="2541">
          <cell r="A2541" t="str">
            <v>Ofsted Social Care Provider Webpage</v>
          </cell>
        </row>
        <row r="2542">
          <cell r="A2542" t="str">
            <v>Ofsted Social Care Provider Webpage</v>
          </cell>
        </row>
        <row r="2543">
          <cell r="A2543" t="str">
            <v>Ofsted Social Care Provider Webpage</v>
          </cell>
        </row>
        <row r="2544">
          <cell r="A2544" t="str">
            <v>Ofsted Social Care Provider Webpage</v>
          </cell>
        </row>
        <row r="2545">
          <cell r="A2545" t="str">
            <v>Ofsted Social Care Provider Webpage</v>
          </cell>
        </row>
        <row r="2546">
          <cell r="A2546" t="str">
            <v>Ofsted Social Care Provider Webpage</v>
          </cell>
        </row>
        <row r="2547">
          <cell r="A2547" t="str">
            <v>Ofsted Social Care Provider Webpage</v>
          </cell>
        </row>
        <row r="2548">
          <cell r="A2548" t="str">
            <v>Ofsted Social Care Provider Webpage</v>
          </cell>
        </row>
        <row r="2549">
          <cell r="A2549" t="str">
            <v>Ofsted Social Care Provider Webpage</v>
          </cell>
        </row>
        <row r="2550">
          <cell r="A2550" t="str">
            <v>Ofsted Social Care Provider Webpage</v>
          </cell>
        </row>
        <row r="2551">
          <cell r="A2551" t="str">
            <v>Ofsted Social Care Provider Webpage</v>
          </cell>
        </row>
        <row r="2552">
          <cell r="A2552" t="str">
            <v>Ofsted Social Care Provider Webpage</v>
          </cell>
        </row>
        <row r="2553">
          <cell r="A2553" t="str">
            <v>Ofsted Social Care Provider Webpage</v>
          </cell>
        </row>
        <row r="2554">
          <cell r="A2554" t="str">
            <v>Ofsted Social Care Provider Webpage</v>
          </cell>
        </row>
        <row r="2555">
          <cell r="A2555" t="str">
            <v>Ofsted Social Care Provider Webpage</v>
          </cell>
        </row>
        <row r="2556">
          <cell r="A2556" t="str">
            <v>Ofsted Social Care Provider Webpage</v>
          </cell>
        </row>
        <row r="2557">
          <cell r="A2557" t="str">
            <v>Ofsted Social Care Provider Webpage</v>
          </cell>
        </row>
        <row r="2558">
          <cell r="A2558" t="str">
            <v>Ofsted Social Care Provider Webpage</v>
          </cell>
        </row>
        <row r="2559">
          <cell r="A2559" t="str">
            <v>Ofsted Social Care Provider Webpage</v>
          </cell>
        </row>
        <row r="2560">
          <cell r="A2560" t="str">
            <v>Ofsted Social Care Provider Webpage</v>
          </cell>
        </row>
        <row r="2561">
          <cell r="A2561" t="str">
            <v>Ofsted Social Care Provider Webpage</v>
          </cell>
        </row>
        <row r="2562">
          <cell r="A2562" t="str">
            <v>Ofsted Social Care Provider Webpage</v>
          </cell>
        </row>
        <row r="2563">
          <cell r="A2563" t="str">
            <v>Ofsted Social Care Provider Webpage</v>
          </cell>
        </row>
        <row r="2564">
          <cell r="A2564" t="str">
            <v>Ofsted Social Care Provider Webpage</v>
          </cell>
        </row>
        <row r="2565">
          <cell r="A2565" t="str">
            <v>Ofsted Social Care Provider Webpage</v>
          </cell>
        </row>
        <row r="2566">
          <cell r="A2566" t="str">
            <v>Ofsted Social Care Provider Webpage</v>
          </cell>
        </row>
        <row r="2567">
          <cell r="A2567" t="str">
            <v>Ofsted Social Care Provider Webpage</v>
          </cell>
        </row>
        <row r="2568">
          <cell r="A2568" t="str">
            <v>Ofsted Social Care Provider Webpage</v>
          </cell>
        </row>
        <row r="2569">
          <cell r="A2569" t="str">
            <v>Ofsted Social Care Provider Webpage</v>
          </cell>
        </row>
        <row r="2570">
          <cell r="A2570" t="str">
            <v>Ofsted Social Care Provider Webpage</v>
          </cell>
        </row>
        <row r="2571">
          <cell r="A2571" t="str">
            <v>Ofsted Social Care Provider Webpage</v>
          </cell>
        </row>
        <row r="2572">
          <cell r="A2572" t="str">
            <v>Ofsted Social Care Provider Webpage</v>
          </cell>
        </row>
        <row r="2573">
          <cell r="A2573" t="str">
            <v>Ofsted Social Care Provider Webpage</v>
          </cell>
        </row>
        <row r="2574">
          <cell r="A2574" t="str">
            <v>Ofsted Social Care Provider Webpage</v>
          </cell>
        </row>
        <row r="2575">
          <cell r="A2575" t="str">
            <v>Ofsted Social Care Provider Webpage</v>
          </cell>
        </row>
        <row r="2576">
          <cell r="A2576" t="str">
            <v>Ofsted Social Care Provider Webpage</v>
          </cell>
        </row>
        <row r="2577">
          <cell r="A2577" t="str">
            <v>Ofsted Social Care Provider Webpage</v>
          </cell>
        </row>
        <row r="2578">
          <cell r="A2578" t="str">
            <v>Ofsted Social Care Provider Webpage</v>
          </cell>
        </row>
        <row r="2579">
          <cell r="A2579" t="str">
            <v>Ofsted Social Care Provider Webpage</v>
          </cell>
        </row>
        <row r="2580">
          <cell r="A2580" t="str">
            <v>Ofsted Social Care Provider Webpage</v>
          </cell>
        </row>
        <row r="2581">
          <cell r="A2581" t="str">
            <v>Ofsted Social Care Provider Webpage</v>
          </cell>
        </row>
        <row r="2582">
          <cell r="A2582" t="str">
            <v>Ofsted Social Care Provider Webpage</v>
          </cell>
        </row>
        <row r="2583">
          <cell r="A2583" t="str">
            <v>Ofsted Social Care Provider Webpage</v>
          </cell>
        </row>
        <row r="2584">
          <cell r="A2584" t="str">
            <v>Ofsted Social Care Provider Webpage</v>
          </cell>
        </row>
        <row r="2585">
          <cell r="A2585" t="str">
            <v>Ofsted Social Care Provider Webpage</v>
          </cell>
        </row>
        <row r="2586">
          <cell r="A2586" t="str">
            <v>Ofsted Social Care Provider Webpage</v>
          </cell>
        </row>
        <row r="2587">
          <cell r="A2587" t="str">
            <v>Ofsted Social Care Provider Webpage</v>
          </cell>
        </row>
        <row r="2588">
          <cell r="A2588" t="str">
            <v>Ofsted Social Care Provider Webpage</v>
          </cell>
        </row>
        <row r="2589">
          <cell r="A2589" t="str">
            <v>Ofsted Social Care Provider Webpage</v>
          </cell>
        </row>
        <row r="2590">
          <cell r="A2590" t="str">
            <v>Ofsted Social Care Provider Webpage</v>
          </cell>
        </row>
        <row r="2591">
          <cell r="A2591" t="str">
            <v>Ofsted Social Care Provider Webpage</v>
          </cell>
        </row>
        <row r="2592">
          <cell r="A2592" t="str">
            <v>Ofsted Social Care Provider Webpage</v>
          </cell>
        </row>
        <row r="2593">
          <cell r="A2593" t="str">
            <v>Ofsted Social Care Provider Webpage</v>
          </cell>
        </row>
        <row r="2594">
          <cell r="A2594" t="str">
            <v>Ofsted Social Care Provider Webpage</v>
          </cell>
        </row>
        <row r="2595">
          <cell r="A2595" t="str">
            <v>Ofsted Social Care Provider Webpage</v>
          </cell>
        </row>
        <row r="2596">
          <cell r="A2596" t="str">
            <v>Ofsted Social Care Provider Webpage</v>
          </cell>
        </row>
        <row r="2597">
          <cell r="A2597" t="str">
            <v>Ofsted Social Care Provider Webpage</v>
          </cell>
        </row>
        <row r="2598">
          <cell r="A2598" t="str">
            <v>Ofsted Social Care Provider Webpage</v>
          </cell>
        </row>
        <row r="2599">
          <cell r="A2599" t="str">
            <v>Ofsted Social Care Provider Webpage</v>
          </cell>
        </row>
        <row r="2600">
          <cell r="A2600" t="str">
            <v>Ofsted Social Care Provider Webpage</v>
          </cell>
        </row>
        <row r="2601">
          <cell r="A2601" t="str">
            <v>Ofsted Social Care Provider Webpage</v>
          </cell>
        </row>
        <row r="2602">
          <cell r="A2602" t="str">
            <v>Ofsted Social Care Provider Webpage</v>
          </cell>
        </row>
        <row r="2603">
          <cell r="A2603" t="str">
            <v>Ofsted Social Care Provider Webpage</v>
          </cell>
        </row>
        <row r="2604">
          <cell r="A2604" t="str">
            <v>Ofsted Social Care Provider Webpage</v>
          </cell>
        </row>
        <row r="2605">
          <cell r="A2605" t="str">
            <v>Ofsted Social Care Provider Webpage</v>
          </cell>
        </row>
        <row r="2606">
          <cell r="A2606" t="str">
            <v>Ofsted Social Care Provider Webpage</v>
          </cell>
        </row>
        <row r="2607">
          <cell r="A2607" t="str">
            <v>Ofsted Social Care Provider Webpage</v>
          </cell>
        </row>
        <row r="2608">
          <cell r="A2608" t="str">
            <v>Ofsted Social Care Provider Webpage</v>
          </cell>
        </row>
        <row r="2609">
          <cell r="A2609" t="str">
            <v>Ofsted Social Care Provider Webpage</v>
          </cell>
        </row>
        <row r="2610">
          <cell r="A2610" t="str">
            <v>Ofsted Social Care Provider Webpage</v>
          </cell>
        </row>
        <row r="2611">
          <cell r="A2611" t="str">
            <v>Ofsted Social Care Provider Webpage</v>
          </cell>
        </row>
        <row r="2612">
          <cell r="A2612" t="str">
            <v>Ofsted Social Care Provider Webpage</v>
          </cell>
        </row>
        <row r="2613">
          <cell r="A2613" t="str">
            <v>Ofsted Social Care Provider Webpage</v>
          </cell>
        </row>
        <row r="2614">
          <cell r="A2614" t="str">
            <v>Ofsted Social Care Provider Webpage</v>
          </cell>
        </row>
        <row r="2615">
          <cell r="A2615" t="str">
            <v>Ofsted Social Care Provider Webpage</v>
          </cell>
        </row>
        <row r="2616">
          <cell r="A2616" t="str">
            <v>Ofsted Social Care Provider Webpage</v>
          </cell>
        </row>
        <row r="2617">
          <cell r="A2617" t="str">
            <v>Ofsted Social Care Provider Webpage</v>
          </cell>
        </row>
        <row r="2618">
          <cell r="A2618" t="str">
            <v>Ofsted Social Care Provider Webpage</v>
          </cell>
        </row>
        <row r="2619">
          <cell r="A2619" t="str">
            <v>Ofsted Social Care Provider Webpage</v>
          </cell>
        </row>
        <row r="2620">
          <cell r="A2620" t="str">
            <v>Ofsted Social Care Provider Webpage</v>
          </cell>
        </row>
        <row r="2621">
          <cell r="A2621" t="str">
            <v>Ofsted Social Care Provider Webpage</v>
          </cell>
        </row>
        <row r="2622">
          <cell r="A2622" t="str">
            <v>Ofsted Social Care Provider Webpage</v>
          </cell>
        </row>
        <row r="2623">
          <cell r="A2623" t="str">
            <v>Ofsted Social Care Provider Webpage</v>
          </cell>
        </row>
        <row r="2624">
          <cell r="A2624" t="str">
            <v>Ofsted Social Care Provider Webpage</v>
          </cell>
        </row>
        <row r="2625">
          <cell r="A2625" t="str">
            <v>Ofsted Social Care Provider Webpage</v>
          </cell>
        </row>
        <row r="2626">
          <cell r="A2626" t="str">
            <v>Ofsted Social Care Provider Webpage</v>
          </cell>
        </row>
        <row r="2627">
          <cell r="A2627" t="str">
            <v>Ofsted Social Care Provider Webpage</v>
          </cell>
        </row>
        <row r="2628">
          <cell r="A2628" t="str">
            <v>Ofsted Social Care Provider Webpage</v>
          </cell>
        </row>
        <row r="2629">
          <cell r="A2629" t="str">
            <v>Ofsted Social Care Provider Webpage</v>
          </cell>
        </row>
        <row r="2630">
          <cell r="A2630" t="str">
            <v>Ofsted Social Care Provider Webpage</v>
          </cell>
        </row>
        <row r="2631">
          <cell r="A2631" t="str">
            <v>Ofsted Social Care Provider Webpage</v>
          </cell>
        </row>
        <row r="2632">
          <cell r="A2632" t="str">
            <v>Ofsted Social Care Provider Webpage</v>
          </cell>
        </row>
        <row r="2633">
          <cell r="A2633" t="str">
            <v>Ofsted Social Care Provider Webpage</v>
          </cell>
        </row>
        <row r="2634">
          <cell r="A2634" t="str">
            <v>Ofsted Social Care Provider Webpage</v>
          </cell>
        </row>
        <row r="2635">
          <cell r="A2635" t="str">
            <v>Ofsted Social Care Provider Webpage</v>
          </cell>
        </row>
        <row r="2636">
          <cell r="A2636" t="str">
            <v>Ofsted Social Care Provider Webpage</v>
          </cell>
        </row>
        <row r="2637">
          <cell r="A2637" t="str">
            <v>Ofsted Social Care Provider Webpage</v>
          </cell>
        </row>
        <row r="2638">
          <cell r="A2638" t="str">
            <v>Ofsted Social Care Provider Webpage</v>
          </cell>
        </row>
        <row r="2639">
          <cell r="A2639" t="str">
            <v>Ofsted Social Care Provider Webpage</v>
          </cell>
        </row>
        <row r="2640">
          <cell r="A2640" t="str">
            <v>Ofsted Social Care Provider Webpage</v>
          </cell>
        </row>
        <row r="2641">
          <cell r="A2641" t="str">
            <v>Ofsted Social Care Provider Webpage</v>
          </cell>
        </row>
        <row r="2642">
          <cell r="A2642" t="str">
            <v>Ofsted Social Care Provider Webpage</v>
          </cell>
        </row>
        <row r="2643">
          <cell r="A2643" t="str">
            <v>Ofsted Social Care Provider Webpage</v>
          </cell>
        </row>
        <row r="2644">
          <cell r="A2644" t="str">
            <v>Ofsted Social Care Provider Webpage</v>
          </cell>
        </row>
        <row r="2645">
          <cell r="A2645" t="str">
            <v>Ofsted Social Care Provider Webpage</v>
          </cell>
        </row>
        <row r="2646">
          <cell r="A2646" t="str">
            <v>Ofsted Social Care Provider Webpage</v>
          </cell>
        </row>
        <row r="2647">
          <cell r="A2647" t="str">
            <v>Ofsted Social Care Provider Webpage</v>
          </cell>
        </row>
        <row r="2648">
          <cell r="A2648" t="str">
            <v>Ofsted Social Care Provider Webpage</v>
          </cell>
        </row>
        <row r="2649">
          <cell r="A2649" t="str">
            <v>Ofsted Social Care Provider Webpage</v>
          </cell>
        </row>
        <row r="2650">
          <cell r="A2650" t="str">
            <v>Ofsted Social Care Provider Webpage</v>
          </cell>
        </row>
        <row r="2651">
          <cell r="A2651" t="str">
            <v>Ofsted Social Care Provider Webpage</v>
          </cell>
        </row>
        <row r="2652">
          <cell r="A2652" t="str">
            <v>Ofsted Social Care Provider Webpage</v>
          </cell>
        </row>
        <row r="2653">
          <cell r="A2653" t="str">
            <v>Ofsted Social Care Provider Webpage</v>
          </cell>
        </row>
        <row r="2654">
          <cell r="A2654" t="str">
            <v>Ofsted Social Care Provider Webpage</v>
          </cell>
        </row>
        <row r="2655">
          <cell r="A2655" t="str">
            <v>Ofsted Social Care Provider Webpage</v>
          </cell>
        </row>
        <row r="2656">
          <cell r="A2656" t="str">
            <v>Ofsted Social Care Provider Webpage</v>
          </cell>
        </row>
        <row r="2657">
          <cell r="A2657" t="str">
            <v>Ofsted Social Care Provider Webpage</v>
          </cell>
        </row>
        <row r="2658">
          <cell r="A2658" t="str">
            <v>Ofsted Social Care Provider Webpage</v>
          </cell>
        </row>
        <row r="2659">
          <cell r="A2659" t="str">
            <v>Ofsted Social Care Provider Webpage</v>
          </cell>
        </row>
        <row r="2660">
          <cell r="A2660" t="str">
            <v>Ofsted Social Care Provider Webpage</v>
          </cell>
        </row>
        <row r="2661">
          <cell r="A2661" t="str">
            <v>Ofsted Social Care Provider Webpage</v>
          </cell>
        </row>
        <row r="2662">
          <cell r="A2662" t="str">
            <v>Ofsted Social Care Provider Webpage</v>
          </cell>
        </row>
        <row r="2663">
          <cell r="A2663" t="str">
            <v>Ofsted Social Care Provider Webpage</v>
          </cell>
        </row>
        <row r="2664">
          <cell r="A2664" t="str">
            <v>Ofsted Social Care Provider Webpage</v>
          </cell>
        </row>
        <row r="2665">
          <cell r="A2665" t="str">
            <v>Ofsted Social Care Provider Webpage</v>
          </cell>
        </row>
        <row r="2666">
          <cell r="A2666" t="str">
            <v>Ofsted Social Care Provider Webpage</v>
          </cell>
        </row>
        <row r="2667">
          <cell r="A2667" t="str">
            <v>Ofsted Social Care Provider Webpage</v>
          </cell>
        </row>
        <row r="2668">
          <cell r="A2668" t="str">
            <v>Ofsted Social Care Provider Webpage</v>
          </cell>
        </row>
        <row r="2669">
          <cell r="A2669" t="str">
            <v>Ofsted Social Care Provider Webpage</v>
          </cell>
        </row>
        <row r="2670">
          <cell r="A2670" t="str">
            <v>Ofsted Social Care Provider Webpage</v>
          </cell>
        </row>
        <row r="2671">
          <cell r="A2671" t="str">
            <v>Ofsted Social Care Provider Webpage</v>
          </cell>
        </row>
        <row r="2672">
          <cell r="A2672" t="str">
            <v>Ofsted Social Care Provider Webpage</v>
          </cell>
        </row>
        <row r="2673">
          <cell r="A2673" t="str">
            <v>Ofsted Social Care Provider Webpage</v>
          </cell>
        </row>
        <row r="2674">
          <cell r="A2674" t="str">
            <v>Ofsted Social Care Provider Webpage</v>
          </cell>
        </row>
        <row r="2675">
          <cell r="A2675" t="str">
            <v>Ofsted Social Care Provider Webpage</v>
          </cell>
        </row>
        <row r="2676">
          <cell r="A2676" t="str">
            <v>Ofsted Social Care Provider Webpage</v>
          </cell>
        </row>
        <row r="2677">
          <cell r="A2677" t="str">
            <v>Ofsted Social Care Provider Webpage</v>
          </cell>
        </row>
        <row r="2678">
          <cell r="A2678" t="str">
            <v>Ofsted Social Care Provider Webpage</v>
          </cell>
        </row>
        <row r="2679">
          <cell r="A2679" t="str">
            <v>Ofsted Social Care Provider Webpage</v>
          </cell>
        </row>
        <row r="2680">
          <cell r="A2680" t="str">
            <v>Ofsted Social Care Provider Webpage</v>
          </cell>
        </row>
        <row r="2681">
          <cell r="A2681" t="str">
            <v>Ofsted Social Care Provider Webpage</v>
          </cell>
        </row>
        <row r="2682">
          <cell r="A2682" t="str">
            <v>Ofsted Social Care Provider Webpage</v>
          </cell>
        </row>
        <row r="2683">
          <cell r="A2683" t="str">
            <v>Ofsted Social Care Provider Webpage</v>
          </cell>
        </row>
        <row r="2684">
          <cell r="A2684" t="str">
            <v>Ofsted Social Care Provider Webpage</v>
          </cell>
        </row>
        <row r="2685">
          <cell r="A2685" t="str">
            <v>Ofsted Social Care Provider Webpage</v>
          </cell>
        </row>
        <row r="2686">
          <cell r="A2686" t="str">
            <v>Ofsted Social Care Provider Webpage</v>
          </cell>
        </row>
        <row r="2687">
          <cell r="A2687" t="str">
            <v>Ofsted Social Care Provider Webpage</v>
          </cell>
        </row>
        <row r="2688">
          <cell r="A2688" t="str">
            <v>Ofsted Social Care Provider Webpage</v>
          </cell>
        </row>
        <row r="2689">
          <cell r="A2689" t="str">
            <v>Ofsted Social Care Provider Webpage</v>
          </cell>
        </row>
        <row r="2690">
          <cell r="A2690" t="str">
            <v>Ofsted Social Care Provider Webpage</v>
          </cell>
        </row>
        <row r="2691">
          <cell r="A2691" t="str">
            <v>Ofsted Social Care Provider Webpage</v>
          </cell>
        </row>
        <row r="2692">
          <cell r="A2692" t="str">
            <v>Ofsted Social Care Provider Webpage</v>
          </cell>
        </row>
        <row r="2693">
          <cell r="A2693" t="str">
            <v>Ofsted Social Care Provider Webpage</v>
          </cell>
        </row>
        <row r="2694">
          <cell r="A2694" t="str">
            <v>Ofsted Social Care Provider Webpage</v>
          </cell>
        </row>
        <row r="2695">
          <cell r="A2695" t="str">
            <v>Ofsted Social Care Provider Webpage</v>
          </cell>
        </row>
        <row r="2696">
          <cell r="A2696" t="str">
            <v>Ofsted Social Care Provider Webpage</v>
          </cell>
        </row>
        <row r="2697">
          <cell r="A2697" t="str">
            <v>Ofsted Social Care Provider Webpage</v>
          </cell>
        </row>
        <row r="2698">
          <cell r="A2698" t="str">
            <v>Ofsted Social Care Provider Webpage</v>
          </cell>
        </row>
        <row r="2699">
          <cell r="A2699" t="str">
            <v>Ofsted Social Care Provider Webpage</v>
          </cell>
        </row>
        <row r="2700">
          <cell r="A2700" t="str">
            <v>Ofsted Social Care Provider Webpage</v>
          </cell>
        </row>
        <row r="2701">
          <cell r="A2701" t="str">
            <v>Ofsted Social Care Provider Webpage</v>
          </cell>
        </row>
        <row r="2702">
          <cell r="A2702" t="str">
            <v>Ofsted Social Care Provider Webpage</v>
          </cell>
        </row>
        <row r="2703">
          <cell r="A2703" t="str">
            <v>Ofsted Social Care Provider Webpage</v>
          </cell>
        </row>
        <row r="2704">
          <cell r="A2704" t="str">
            <v>Ofsted Social Care Provider Webpage</v>
          </cell>
        </row>
        <row r="2705">
          <cell r="A2705" t="str">
            <v>Ofsted Social Care Provider Webpage</v>
          </cell>
        </row>
        <row r="2706">
          <cell r="A2706" t="str">
            <v>Ofsted Social Care Provider Webpage</v>
          </cell>
        </row>
        <row r="2707">
          <cell r="A2707" t="str">
            <v>Ofsted Social Care Provider Webpage</v>
          </cell>
        </row>
        <row r="2708">
          <cell r="A2708" t="str">
            <v>Ofsted Social Care Provider Webpage</v>
          </cell>
        </row>
        <row r="2709">
          <cell r="A2709" t="str">
            <v>Ofsted Social Care Provider Webpage</v>
          </cell>
        </row>
        <row r="2710">
          <cell r="A2710" t="str">
            <v>Ofsted Social Care Provider Webpage</v>
          </cell>
        </row>
        <row r="2711">
          <cell r="A2711" t="str">
            <v>Ofsted Social Care Provider Webpage</v>
          </cell>
        </row>
        <row r="2712">
          <cell r="A2712" t="str">
            <v>Ofsted Social Care Provider Webpage</v>
          </cell>
        </row>
        <row r="2713">
          <cell r="A2713" t="str">
            <v>Ofsted Social Care Provider Webpage</v>
          </cell>
        </row>
        <row r="2714">
          <cell r="A2714" t="str">
            <v>Ofsted Social Care Provider Webpage</v>
          </cell>
        </row>
        <row r="2715">
          <cell r="A2715" t="str">
            <v>Ofsted Social Care Provider Webpage</v>
          </cell>
        </row>
        <row r="2716">
          <cell r="A2716" t="str">
            <v>Ofsted Social Care Provider Webpage</v>
          </cell>
        </row>
        <row r="2717">
          <cell r="A2717" t="str">
            <v>Ofsted Social Care Provider Webpage</v>
          </cell>
        </row>
        <row r="2718">
          <cell r="A2718" t="str">
            <v>Ofsted Social Care Provider Webpage</v>
          </cell>
        </row>
        <row r="2719">
          <cell r="A2719" t="str">
            <v>Ofsted Social Care Provider Webpage</v>
          </cell>
        </row>
        <row r="2720">
          <cell r="A2720" t="str">
            <v>Ofsted Social Care Provider Webpage</v>
          </cell>
        </row>
        <row r="2721">
          <cell r="A2721" t="str">
            <v>Ofsted Social Care Provider Webpage</v>
          </cell>
        </row>
        <row r="2722">
          <cell r="A2722" t="str">
            <v>Ofsted Social Care Provider Webpage</v>
          </cell>
        </row>
        <row r="2723">
          <cell r="A2723" t="str">
            <v>Ofsted Social Care Provider Webpage</v>
          </cell>
        </row>
        <row r="2724">
          <cell r="A2724" t="str">
            <v>Ofsted Social Care Provider Webpage</v>
          </cell>
        </row>
        <row r="2725">
          <cell r="A2725" t="str">
            <v>Ofsted Social Care Provider Webpage</v>
          </cell>
        </row>
        <row r="2726">
          <cell r="A2726" t="str">
            <v>Ofsted Social Care Provider Webpage</v>
          </cell>
        </row>
        <row r="2727">
          <cell r="A2727" t="str">
            <v>Ofsted Social Care Provider Webpage</v>
          </cell>
        </row>
        <row r="2728">
          <cell r="A2728" t="str">
            <v>Ofsted Social Care Provider Webpage</v>
          </cell>
        </row>
        <row r="2729">
          <cell r="A2729" t="str">
            <v>Ofsted Social Care Provider Webpage</v>
          </cell>
        </row>
        <row r="2730">
          <cell r="A2730" t="str">
            <v>Ofsted Social Care Provider Webpage</v>
          </cell>
        </row>
        <row r="2731">
          <cell r="A2731" t="str">
            <v>Ofsted Social Care Provider Webpage</v>
          </cell>
        </row>
        <row r="2732">
          <cell r="A2732" t="str">
            <v>Ofsted Social Care Provider Webpage</v>
          </cell>
        </row>
        <row r="2733">
          <cell r="A2733" t="str">
            <v>Ofsted Social Care Provider Webpage</v>
          </cell>
        </row>
        <row r="2734">
          <cell r="A2734" t="str">
            <v>Ofsted Social Care Provider Webpage</v>
          </cell>
        </row>
        <row r="2735">
          <cell r="A2735" t="str">
            <v>Ofsted Social Care Provider Webpage</v>
          </cell>
        </row>
        <row r="2736">
          <cell r="A2736" t="str">
            <v>Ofsted Social Care Provider Webpage</v>
          </cell>
        </row>
        <row r="2737">
          <cell r="A2737" t="str">
            <v>Ofsted Social Care Provider Webpage</v>
          </cell>
        </row>
        <row r="2738">
          <cell r="A2738" t="str">
            <v>Ofsted Social Care Provider Webpage</v>
          </cell>
        </row>
        <row r="2739">
          <cell r="A2739" t="str">
            <v>Ofsted Social Care Provider Webpage</v>
          </cell>
        </row>
        <row r="2740">
          <cell r="A2740" t="str">
            <v>Ofsted Social Care Provider Webpage</v>
          </cell>
        </row>
        <row r="2741">
          <cell r="A2741" t="str">
            <v>Ofsted Social Care Provider Webpage</v>
          </cell>
        </row>
        <row r="2742">
          <cell r="A2742" t="str">
            <v>Ofsted Social Care Provider Webpage</v>
          </cell>
        </row>
        <row r="2743">
          <cell r="A2743" t="str">
            <v>Ofsted Social Care Provider Webpage</v>
          </cell>
        </row>
        <row r="2744">
          <cell r="A2744" t="str">
            <v>Ofsted Social Care Provider Webpage</v>
          </cell>
        </row>
        <row r="2745">
          <cell r="A2745" t="str">
            <v>Ofsted Social Care Provider Webpage</v>
          </cell>
        </row>
        <row r="2746">
          <cell r="A2746" t="str">
            <v>Ofsted Social Care Provider Webpage</v>
          </cell>
        </row>
        <row r="2747">
          <cell r="A2747" t="str">
            <v>Ofsted Social Care Provider Webpage</v>
          </cell>
        </row>
        <row r="2748">
          <cell r="A2748" t="str">
            <v>Ofsted Social Care Provider Webpage</v>
          </cell>
        </row>
        <row r="2749">
          <cell r="A2749" t="str">
            <v>Ofsted Social Care Provider Webpage</v>
          </cell>
        </row>
        <row r="2750">
          <cell r="A2750" t="str">
            <v>Ofsted Social Care Provider Webpage</v>
          </cell>
        </row>
        <row r="2751">
          <cell r="A2751" t="str">
            <v>Ofsted Social Care Provider Webpage</v>
          </cell>
        </row>
        <row r="2752">
          <cell r="A2752" t="str">
            <v>Ofsted Social Care Provider Webpage</v>
          </cell>
        </row>
        <row r="2753">
          <cell r="A2753" t="str">
            <v>Ofsted Social Care Provider Webpage</v>
          </cell>
        </row>
        <row r="2754">
          <cell r="A2754" t="str">
            <v>Ofsted Social Care Provider Webpage</v>
          </cell>
        </row>
        <row r="2755">
          <cell r="A2755" t="str">
            <v>Ofsted Social Care Provider Webpage</v>
          </cell>
        </row>
        <row r="2756">
          <cell r="A2756" t="str">
            <v>Ofsted Social Care Provider Webpage</v>
          </cell>
        </row>
        <row r="2757">
          <cell r="A2757" t="str">
            <v>Ofsted Social Care Provider Webpage</v>
          </cell>
        </row>
        <row r="2758">
          <cell r="A2758" t="str">
            <v>Ofsted Social Care Provider Webpage</v>
          </cell>
        </row>
        <row r="2759">
          <cell r="A2759" t="str">
            <v>Ofsted Social Care Provider Webpage</v>
          </cell>
        </row>
        <row r="2760">
          <cell r="A2760" t="str">
            <v>Ofsted Social Care Provider Webpage</v>
          </cell>
        </row>
        <row r="2761">
          <cell r="A2761" t="str">
            <v>Ofsted Social Care Provider Webpage</v>
          </cell>
        </row>
        <row r="2762">
          <cell r="A2762" t="str">
            <v>Ofsted Social Care Provider Webpage</v>
          </cell>
        </row>
        <row r="2763">
          <cell r="A2763" t="str">
            <v>Ofsted Social Care Provider Webpage</v>
          </cell>
        </row>
        <row r="2764">
          <cell r="A2764" t="str">
            <v>Ofsted Social Care Provider Webpage</v>
          </cell>
        </row>
        <row r="2765">
          <cell r="A2765" t="str">
            <v>Ofsted Social Care Provider Webpage</v>
          </cell>
        </row>
        <row r="2766">
          <cell r="A2766" t="str">
            <v>Ofsted Social Care Provider Webpage</v>
          </cell>
        </row>
        <row r="2767">
          <cell r="A2767" t="str">
            <v>Ofsted Social Care Provider Webpage</v>
          </cell>
        </row>
        <row r="2768">
          <cell r="A2768" t="str">
            <v>Ofsted Social Care Provider Webpage</v>
          </cell>
        </row>
        <row r="2769">
          <cell r="A2769" t="str">
            <v>Ofsted Social Care Provider Webpage</v>
          </cell>
        </row>
        <row r="2770">
          <cell r="A2770" t="str">
            <v>Ofsted Social Care Provider Webpage</v>
          </cell>
        </row>
        <row r="2771">
          <cell r="A2771" t="str">
            <v>Ofsted Social Care Provider Webpage</v>
          </cell>
        </row>
        <row r="2772">
          <cell r="A2772" t="str">
            <v>Ofsted Social Care Provider Webpage</v>
          </cell>
        </row>
        <row r="2773">
          <cell r="A2773" t="str">
            <v>Ofsted Social Care Provider Webpage</v>
          </cell>
        </row>
        <row r="2774">
          <cell r="A2774" t="str">
            <v>Ofsted Social Care Provider Webpage</v>
          </cell>
        </row>
        <row r="2775">
          <cell r="A2775" t="str">
            <v>Ofsted Social Care Provider Webpage</v>
          </cell>
        </row>
        <row r="2776">
          <cell r="A2776" t="str">
            <v>Ofsted Social Care Provider Webpage</v>
          </cell>
        </row>
        <row r="2777">
          <cell r="A2777" t="str">
            <v>Ofsted Social Care Provider Webpage</v>
          </cell>
        </row>
        <row r="2778">
          <cell r="A2778" t="str">
            <v>Ofsted Social Care Provider Webpage</v>
          </cell>
        </row>
        <row r="2779">
          <cell r="A2779" t="str">
            <v>Ofsted Social Care Provider Webpage</v>
          </cell>
        </row>
        <row r="2780">
          <cell r="A2780" t="str">
            <v>Ofsted Social Care Provider Webpage</v>
          </cell>
        </row>
        <row r="2781">
          <cell r="A2781" t="str">
            <v>Ofsted Social Care Provider Webpage</v>
          </cell>
        </row>
        <row r="2782">
          <cell r="A2782" t="str">
            <v>Ofsted Social Care Provider Webpage</v>
          </cell>
        </row>
        <row r="2783">
          <cell r="A2783" t="str">
            <v>Ofsted Social Care Provider Webpage</v>
          </cell>
        </row>
        <row r="2784">
          <cell r="A2784" t="str">
            <v>Ofsted Social Care Provider Webpage</v>
          </cell>
        </row>
        <row r="2785">
          <cell r="A2785" t="str">
            <v>Ofsted Social Care Provider Webpage</v>
          </cell>
        </row>
        <row r="2786">
          <cell r="A2786" t="str">
            <v>Ofsted Social Care Provider Webpage</v>
          </cell>
        </row>
        <row r="2787">
          <cell r="A2787" t="str">
            <v>Ofsted Social Care Provider Webpage</v>
          </cell>
        </row>
        <row r="2788">
          <cell r="A2788" t="str">
            <v>Ofsted Social Care Provider Webpage</v>
          </cell>
        </row>
        <row r="2789">
          <cell r="A2789" t="str">
            <v>Ofsted Social Care Provider Webpage</v>
          </cell>
        </row>
        <row r="2790">
          <cell r="A2790" t="str">
            <v>Ofsted Social Care Provider Webpage</v>
          </cell>
        </row>
        <row r="2791">
          <cell r="A2791" t="str">
            <v>Ofsted Social Care Provider Webpage</v>
          </cell>
        </row>
        <row r="2792">
          <cell r="A2792" t="str">
            <v>Ofsted Social Care Provider Webpage</v>
          </cell>
        </row>
        <row r="2793">
          <cell r="A2793" t="str">
            <v>Ofsted Social Care Provider Webpage</v>
          </cell>
        </row>
        <row r="2794">
          <cell r="A2794" t="str">
            <v>Ofsted Social Care Provider Webpage</v>
          </cell>
        </row>
        <row r="2795">
          <cell r="A2795" t="str">
            <v>Ofsted Social Care Provider Webpage</v>
          </cell>
        </row>
        <row r="2796">
          <cell r="A2796" t="str">
            <v>Ofsted Social Care Provider Webpage</v>
          </cell>
        </row>
        <row r="2797">
          <cell r="A2797" t="str">
            <v>Ofsted Social Care Provider Webpage</v>
          </cell>
        </row>
        <row r="2798">
          <cell r="A2798" t="str">
            <v>Ofsted Social Care Provider Webpage</v>
          </cell>
        </row>
        <row r="2799">
          <cell r="A2799" t="str">
            <v>Ofsted Social Care Provider Webpage</v>
          </cell>
        </row>
      </sheetData>
      <sheetData sheetId="27">
        <row r="3">
          <cell r="A3" t="str">
            <v>Web link</v>
          </cell>
          <cell r="B3" t="str">
            <v>URN</v>
          </cell>
          <cell r="C3" t="str">
            <v>Linked Education URN</v>
          </cell>
          <cell r="D3" t="str">
            <v>Provision type</v>
          </cell>
          <cell r="E3" t="str">
            <v>Registration date</v>
          </cell>
          <cell r="F3" t="str">
            <v>Registration status</v>
          </cell>
          <cell r="G3" t="str">
            <v>Name</v>
          </cell>
          <cell r="H3" t="str">
            <v>Address 1</v>
          </cell>
          <cell r="I3" t="str">
            <v>Address 2</v>
          </cell>
          <cell r="J3" t="str">
            <v>Town</v>
          </cell>
          <cell r="K3" t="str">
            <v>County</v>
          </cell>
          <cell r="L3" t="str">
            <v>Postcode</v>
          </cell>
          <cell r="M3" t="str">
            <v>Ofsted region</v>
          </cell>
          <cell r="N3" t="str">
            <v>Government Office Region</v>
          </cell>
          <cell r="O3" t="str">
            <v>Local authority</v>
          </cell>
          <cell r="P3" t="str">
            <v>Parliamentary constituency</v>
          </cell>
          <cell r="Q3" t="str">
            <v>Sector</v>
          </cell>
          <cell r="R3" t="str">
            <v>Places</v>
          </cell>
          <cell r="S3" t="str">
            <v>Organisation which owns the provider</v>
          </cell>
          <cell r="T3" t="str">
            <v>Event type</v>
          </cell>
          <cell r="U3" t="str">
            <v>Inspection date</v>
          </cell>
          <cell r="V3" t="str">
            <v>Publication date</v>
          </cell>
          <cell r="W3" t="str">
            <v>Event number</v>
          </cell>
          <cell r="X3" t="str">
            <v>Overall experiences and progress of children and young people</v>
          </cell>
          <cell r="Y3" t="str">
            <v>Outcomes in education and related learning activities</v>
          </cell>
          <cell r="Z3" t="str">
            <v>Health services</v>
          </cell>
          <cell r="AA3" t="str">
            <v>How well children and young people are helped and protected</v>
          </cell>
        </row>
        <row r="4">
          <cell r="A4" t="str">
            <v>Ofsted Social Care Provider Webpage</v>
          </cell>
        </row>
        <row r="5">
          <cell r="A5" t="str">
            <v>Ofsted Social Care Provider Webpage</v>
          </cell>
        </row>
        <row r="6">
          <cell r="A6" t="str">
            <v>Ofsted Social Care Provider Webpage</v>
          </cell>
        </row>
        <row r="7">
          <cell r="A7" t="str">
            <v>Ofsted Social Care Provider Webpage</v>
          </cell>
        </row>
        <row r="8">
          <cell r="A8" t="str">
            <v>Ofsted Social Care Provider Webpage</v>
          </cell>
        </row>
        <row r="9">
          <cell r="A9" t="str">
            <v>Ofsted Social Care Provider Webpage</v>
          </cell>
        </row>
        <row r="10">
          <cell r="A10" t="str">
            <v>Ofsted Social Care Provider Webpage</v>
          </cell>
        </row>
        <row r="11">
          <cell r="A11" t="str">
            <v>Ofsted Social Care Provider Webpage</v>
          </cell>
        </row>
        <row r="12">
          <cell r="A12" t="str">
            <v>Ofsted Social Care Provider Webpage</v>
          </cell>
        </row>
        <row r="13">
          <cell r="A13" t="str">
            <v>Ofsted Social Care Provider Webpage</v>
          </cell>
        </row>
        <row r="14">
          <cell r="A14" t="str">
            <v>Ofsted Social Care Provider Webpage</v>
          </cell>
        </row>
        <row r="15">
          <cell r="A15" t="str">
            <v>Ofsted Social Care Provider Webpage</v>
          </cell>
        </row>
        <row r="16">
          <cell r="A16" t="str">
            <v>Ofsted Social Care Provider Webpage</v>
          </cell>
        </row>
        <row r="17">
          <cell r="A17" t="str">
            <v>Ofsted Social Care Provider Webpage</v>
          </cell>
        </row>
        <row r="18">
          <cell r="A18" t="str">
            <v>Ofsted Social Care Provider Webpage</v>
          </cell>
        </row>
        <row r="19">
          <cell r="A19" t="str">
            <v>Ofsted Social Care Provider Webpage</v>
          </cell>
        </row>
        <row r="20">
          <cell r="A20" t="str">
            <v>Ofsted Social Care Provider Webpage</v>
          </cell>
        </row>
        <row r="21">
          <cell r="A21" t="str">
            <v>Ofsted Social Care Provider Webpage</v>
          </cell>
        </row>
        <row r="22">
          <cell r="A22" t="str">
            <v>Ofsted Social Care Provider Webpage</v>
          </cell>
        </row>
        <row r="23">
          <cell r="A23" t="str">
            <v>Ofsted Social Care Provider Webpage</v>
          </cell>
        </row>
        <row r="24">
          <cell r="A24" t="str">
            <v>Ofsted Social Care Provider Webpage</v>
          </cell>
        </row>
        <row r="25">
          <cell r="A25" t="str">
            <v>Ofsted Social Care Provider Webpage</v>
          </cell>
        </row>
        <row r="26">
          <cell r="A26" t="str">
            <v>Ofsted Social Care Provider Webpage</v>
          </cell>
        </row>
        <row r="27">
          <cell r="A27" t="str">
            <v>Ofsted Social Care Provider Webpage</v>
          </cell>
        </row>
        <row r="28">
          <cell r="A28" t="str">
            <v>Ofsted Social Care Provider Webpage</v>
          </cell>
        </row>
        <row r="29">
          <cell r="A29" t="str">
            <v>Ofsted Social Care Provider Webpage</v>
          </cell>
        </row>
        <row r="30">
          <cell r="A30" t="str">
            <v>Ofsted Social Care Provider Webpage</v>
          </cell>
        </row>
        <row r="31">
          <cell r="A31" t="str">
            <v>Ofsted Social Care Provider Webpage</v>
          </cell>
        </row>
        <row r="32">
          <cell r="A32" t="str">
            <v>Ofsted Social Care Provider Webpage</v>
          </cell>
        </row>
        <row r="33">
          <cell r="A33" t="str">
            <v>Ofsted Social Care Provider Webpage</v>
          </cell>
        </row>
        <row r="34">
          <cell r="A34" t="str">
            <v>Ofsted Social Care Provider Webpage</v>
          </cell>
        </row>
        <row r="35">
          <cell r="A35" t="str">
            <v>Ofsted Social Care Provider Webpage</v>
          </cell>
        </row>
        <row r="36">
          <cell r="A36" t="str">
            <v>Ofsted Social Care Provider Webpage</v>
          </cell>
        </row>
        <row r="37">
          <cell r="A37" t="str">
            <v>Ofsted Social Care Provider Webpage</v>
          </cell>
        </row>
        <row r="38">
          <cell r="A38" t="str">
            <v>Ofsted Social Care Provider Webpage</v>
          </cell>
        </row>
        <row r="39">
          <cell r="A39" t="str">
            <v>Ofsted Social Care Provider Webpage</v>
          </cell>
        </row>
        <row r="40">
          <cell r="A40" t="str">
            <v>Ofsted Social Care Provider Webpage</v>
          </cell>
        </row>
        <row r="41">
          <cell r="A41" t="str">
            <v>Ofsted Social Care Provider Webpage</v>
          </cell>
        </row>
        <row r="42">
          <cell r="A42" t="str">
            <v>Ofsted Social Care Provider Webpage</v>
          </cell>
        </row>
        <row r="43">
          <cell r="A43" t="str">
            <v>Ofsted Social Care Provider Webpage</v>
          </cell>
        </row>
        <row r="44">
          <cell r="A44" t="str">
            <v>Ofsted Social Care Provider Webpage</v>
          </cell>
        </row>
        <row r="45">
          <cell r="A45" t="str">
            <v>Ofsted Social Care Provider Webpage</v>
          </cell>
        </row>
        <row r="46">
          <cell r="A46" t="str">
            <v>Ofsted Social Care Provider Webpage</v>
          </cell>
        </row>
        <row r="47">
          <cell r="A47" t="str">
            <v>Ofsted Social Care Provider Webpage</v>
          </cell>
        </row>
        <row r="48">
          <cell r="A48" t="str">
            <v>Ofsted Social Care Provider Webpage</v>
          </cell>
        </row>
        <row r="49">
          <cell r="A49" t="str">
            <v>Ofsted Social Care Provider Webpage</v>
          </cell>
        </row>
        <row r="50">
          <cell r="A50" t="str">
            <v>Ofsted Social Care Provider Webpage</v>
          </cell>
        </row>
        <row r="51">
          <cell r="A51" t="str">
            <v>Ofsted Social Care Provider Webpage</v>
          </cell>
        </row>
        <row r="52">
          <cell r="A52" t="str">
            <v>Ofsted Social Care Provider Webpage</v>
          </cell>
        </row>
        <row r="53">
          <cell r="A53" t="str">
            <v>Ofsted Social Care Provider Webpage</v>
          </cell>
        </row>
        <row r="54">
          <cell r="A54" t="str">
            <v>Ofsted Social Care Provider Webpage</v>
          </cell>
        </row>
        <row r="55">
          <cell r="A55" t="str">
            <v>Ofsted Social Care Provider Webpage</v>
          </cell>
        </row>
        <row r="56">
          <cell r="A56" t="str">
            <v>Ofsted Social Care Provider Webpage</v>
          </cell>
        </row>
        <row r="57">
          <cell r="A57" t="str">
            <v>Ofsted Social Care Provider Webpage</v>
          </cell>
        </row>
        <row r="58">
          <cell r="A58" t="str">
            <v>Ofsted Social Care Provider Webpage</v>
          </cell>
        </row>
        <row r="59">
          <cell r="A59" t="str">
            <v>Ofsted Social Care Provider Webpage</v>
          </cell>
        </row>
        <row r="60">
          <cell r="A60" t="str">
            <v>Ofsted Social Care Provider Webpage</v>
          </cell>
        </row>
        <row r="61">
          <cell r="A61" t="str">
            <v>Ofsted Social Care Provider Webpage</v>
          </cell>
        </row>
        <row r="62">
          <cell r="A62" t="str">
            <v>Ofsted Social Care Provider Webpage</v>
          </cell>
        </row>
        <row r="63">
          <cell r="A63" t="str">
            <v>Ofsted Social Care Provider Webpage</v>
          </cell>
        </row>
        <row r="64">
          <cell r="A64" t="str">
            <v>Ofsted Social Care Provider Webpage</v>
          </cell>
        </row>
        <row r="65">
          <cell r="A65" t="str">
            <v>Ofsted Social Care Provider Webpage</v>
          </cell>
        </row>
        <row r="66">
          <cell r="A66" t="str">
            <v>Ofsted Social Care Provider Webpage</v>
          </cell>
        </row>
        <row r="67">
          <cell r="A67" t="str">
            <v>Ofsted Social Care Provider Webpage</v>
          </cell>
        </row>
        <row r="68">
          <cell r="A68" t="str">
            <v>Ofsted Social Care Provider Webpage</v>
          </cell>
        </row>
        <row r="69">
          <cell r="A69" t="str">
            <v>Ofsted Social Care Provider Webpage</v>
          </cell>
        </row>
        <row r="70">
          <cell r="A70" t="str">
            <v>Ofsted Social Care Provider Webpage</v>
          </cell>
        </row>
        <row r="71">
          <cell r="A71" t="str">
            <v>Ofsted Social Care Provider Webpage</v>
          </cell>
        </row>
        <row r="72">
          <cell r="A72" t="str">
            <v>Ofsted Social Care Provider Webpage</v>
          </cell>
        </row>
        <row r="73">
          <cell r="A73" t="str">
            <v>Ofsted Social Care Provider Webpage</v>
          </cell>
        </row>
        <row r="74">
          <cell r="A74" t="str">
            <v>Ofsted Social Care Provider Webpage</v>
          </cell>
        </row>
        <row r="75">
          <cell r="A75" t="str">
            <v>Ofsted Social Care Provider Webpage</v>
          </cell>
        </row>
        <row r="76">
          <cell r="A76" t="str">
            <v>Ofsted Social Care Provider Webpage</v>
          </cell>
        </row>
        <row r="77">
          <cell r="A77" t="str">
            <v>Ofsted Social Care Provider Webpage</v>
          </cell>
        </row>
        <row r="78">
          <cell r="A78" t="str">
            <v>Ofsted Social Care Provider Webpage</v>
          </cell>
        </row>
        <row r="79">
          <cell r="A79" t="str">
            <v>Ofsted Social Care Provider Webpage</v>
          </cell>
        </row>
        <row r="80">
          <cell r="A80" t="str">
            <v>Ofsted Social Care Provider Webpage</v>
          </cell>
        </row>
        <row r="81">
          <cell r="A81" t="str">
            <v>Ofsted Social Care Provider Webpage</v>
          </cell>
        </row>
        <row r="82">
          <cell r="A82" t="str">
            <v>Ofsted Social Care Provider Webpage</v>
          </cell>
        </row>
        <row r="83">
          <cell r="A83" t="str">
            <v>Ofsted Social Care Provider Webpage</v>
          </cell>
        </row>
        <row r="84">
          <cell r="A84" t="str">
            <v>Ofsted Social Care Provider Webpage</v>
          </cell>
        </row>
        <row r="85">
          <cell r="A85" t="str">
            <v>Ofsted Social Care Provider Webpage</v>
          </cell>
        </row>
        <row r="86">
          <cell r="A86" t="str">
            <v>Ofsted Social Care Provider Webpage</v>
          </cell>
        </row>
        <row r="87">
          <cell r="A87" t="str">
            <v>Ofsted Social Care Provider Webpage</v>
          </cell>
        </row>
        <row r="88">
          <cell r="A88" t="str">
            <v>Ofsted Social Care Provider Webpage</v>
          </cell>
        </row>
        <row r="89">
          <cell r="A89" t="str">
            <v>Ofsted Social Care Provider Webpage</v>
          </cell>
        </row>
        <row r="90">
          <cell r="A90" t="str">
            <v>Ofsted Social Care Provider Webpage</v>
          </cell>
        </row>
        <row r="91">
          <cell r="A91" t="str">
            <v>Ofsted Social Care Provider Webpage</v>
          </cell>
        </row>
        <row r="92">
          <cell r="A92" t="str">
            <v>Ofsted Social Care Provider Webpage</v>
          </cell>
        </row>
        <row r="93">
          <cell r="A93" t="str">
            <v>Ofsted Social Care Provider Webpage</v>
          </cell>
        </row>
        <row r="94">
          <cell r="A94" t="str">
            <v>Ofsted Social Care Provider Webpage</v>
          </cell>
        </row>
        <row r="95">
          <cell r="A95" t="str">
            <v>Ofsted Social Care Provider Webpage</v>
          </cell>
        </row>
        <row r="96">
          <cell r="A96" t="str">
            <v>Ofsted Social Care Provider Webpage</v>
          </cell>
        </row>
        <row r="97">
          <cell r="A97" t="str">
            <v>Ofsted Social Care Provider Webpage</v>
          </cell>
        </row>
        <row r="98">
          <cell r="A98" t="str">
            <v>Ofsted Social Care Provider Webpage</v>
          </cell>
        </row>
        <row r="99">
          <cell r="A99" t="str">
            <v>Ofsted Social Care Provider Webpage</v>
          </cell>
        </row>
        <row r="100">
          <cell r="A100" t="str">
            <v>Ofsted Social Care Provider Webpage</v>
          </cell>
        </row>
        <row r="101">
          <cell r="A101" t="str">
            <v>Ofsted Social Care Provider Webpage</v>
          </cell>
        </row>
        <row r="102">
          <cell r="A102" t="str">
            <v>Ofsted Social Care Provider Webpage</v>
          </cell>
        </row>
        <row r="103">
          <cell r="A103" t="str">
            <v>Ofsted Social Care Provider Webpage</v>
          </cell>
        </row>
        <row r="104">
          <cell r="A104" t="str">
            <v>Ofsted Social Care Provider Webpage</v>
          </cell>
        </row>
        <row r="105">
          <cell r="A105" t="str">
            <v>Ofsted Social Care Provider Webpage</v>
          </cell>
        </row>
        <row r="106">
          <cell r="A106" t="str">
            <v>Ofsted Social Care Provider Webpage</v>
          </cell>
        </row>
        <row r="107">
          <cell r="A107" t="str">
            <v>Ofsted Social Care Provider Webpage</v>
          </cell>
        </row>
        <row r="108">
          <cell r="A108" t="str">
            <v>Ofsted Social Care Provider Webpage</v>
          </cell>
        </row>
        <row r="109">
          <cell r="A109" t="str">
            <v>Ofsted Social Care Provider Webpage</v>
          </cell>
        </row>
        <row r="110">
          <cell r="A110" t="str">
            <v>Ofsted Social Care Provider Webpage</v>
          </cell>
        </row>
        <row r="111">
          <cell r="A111" t="str">
            <v>Ofsted Social Care Provider Webpage</v>
          </cell>
        </row>
        <row r="112">
          <cell r="A112" t="str">
            <v>Ofsted Social Care Provider Webpage</v>
          </cell>
        </row>
        <row r="113">
          <cell r="A113" t="str">
            <v>Ofsted Social Care Provider Webpage</v>
          </cell>
        </row>
        <row r="114">
          <cell r="A114" t="str">
            <v>Ofsted Social Care Provider Webpage</v>
          </cell>
        </row>
        <row r="115">
          <cell r="A115" t="str">
            <v>Ofsted Social Care Provider Webpage</v>
          </cell>
        </row>
        <row r="116">
          <cell r="A116" t="str">
            <v>Ofsted Social Care Provider Webpage</v>
          </cell>
        </row>
        <row r="117">
          <cell r="A117" t="str">
            <v>Ofsted Social Care Provider Webpage</v>
          </cell>
        </row>
        <row r="118">
          <cell r="A118" t="str">
            <v>Ofsted Social Care Provider Webpage</v>
          </cell>
        </row>
        <row r="119">
          <cell r="A119" t="str">
            <v>Ofsted Social Care Provider Webpage</v>
          </cell>
        </row>
        <row r="120">
          <cell r="A120" t="str">
            <v>Ofsted Social Care Provider Webpage</v>
          </cell>
        </row>
        <row r="121">
          <cell r="A121" t="str">
            <v>Ofsted Social Care Provider Webpage</v>
          </cell>
        </row>
        <row r="122">
          <cell r="A122" t="str">
            <v>Ofsted Social Care Provider Webpage</v>
          </cell>
        </row>
        <row r="123">
          <cell r="A123" t="str">
            <v>Ofsted Social Care Provider Webpage</v>
          </cell>
        </row>
        <row r="124">
          <cell r="A124" t="str">
            <v>Ofsted Social Care Provider Webpage</v>
          </cell>
        </row>
        <row r="125">
          <cell r="A125" t="str">
            <v>Ofsted Social Care Provider Webpage</v>
          </cell>
        </row>
        <row r="126">
          <cell r="A126" t="str">
            <v>Ofsted Social Care Provider Webpage</v>
          </cell>
        </row>
        <row r="127">
          <cell r="A127" t="str">
            <v>Ofsted Social Care Provider Webpage</v>
          </cell>
        </row>
        <row r="128">
          <cell r="A128" t="str">
            <v>Ofsted Social Care Provider Webpage</v>
          </cell>
        </row>
        <row r="129">
          <cell r="A129" t="str">
            <v>Ofsted Social Care Provider Webpage</v>
          </cell>
        </row>
        <row r="130">
          <cell r="A130" t="str">
            <v>Ofsted Social Care Provider Webpage</v>
          </cell>
        </row>
        <row r="131">
          <cell r="A131" t="str">
            <v>Ofsted Social Care Provider Webpage</v>
          </cell>
        </row>
        <row r="132">
          <cell r="A132" t="str">
            <v>Ofsted Social Care Provider Webpage</v>
          </cell>
        </row>
        <row r="133">
          <cell r="A133" t="str">
            <v>Ofsted Social Care Provider Webpage</v>
          </cell>
        </row>
        <row r="134">
          <cell r="A134" t="str">
            <v>Ofsted Social Care Provider Webpage</v>
          </cell>
        </row>
        <row r="135">
          <cell r="A135" t="str">
            <v>Ofsted Social Care Provider Webpage</v>
          </cell>
        </row>
        <row r="136">
          <cell r="A136" t="str">
            <v>Ofsted Social Care Provider Webpage</v>
          </cell>
        </row>
        <row r="137">
          <cell r="A137" t="str">
            <v>Ofsted Social Care Provider Webpage</v>
          </cell>
        </row>
        <row r="138">
          <cell r="A138" t="str">
            <v>Ofsted Social Care Provider Webpage</v>
          </cell>
        </row>
        <row r="139">
          <cell r="A139" t="str">
            <v>Ofsted Social Care Provider Webpage</v>
          </cell>
        </row>
        <row r="140">
          <cell r="A140" t="str">
            <v>Ofsted Social Care Provider Webpage</v>
          </cell>
        </row>
        <row r="141">
          <cell r="A141" t="str">
            <v>Ofsted Social Care Provider Webpage</v>
          </cell>
        </row>
        <row r="142">
          <cell r="A142" t="str">
            <v>Ofsted Social Care Provider Webpage</v>
          </cell>
        </row>
        <row r="143">
          <cell r="A143" t="str">
            <v>Ofsted Social Care Provider Webpage</v>
          </cell>
        </row>
        <row r="144">
          <cell r="A144" t="str">
            <v>Ofsted Social Care Provider Webpage</v>
          </cell>
        </row>
        <row r="145">
          <cell r="A145" t="str">
            <v>Ofsted Social Care Provider Webpage</v>
          </cell>
        </row>
        <row r="146">
          <cell r="A146" t="str">
            <v>Ofsted Social Care Provider Webpage</v>
          </cell>
        </row>
        <row r="147">
          <cell r="A147" t="str">
            <v>Ofsted Social Care Provider Webpage</v>
          </cell>
        </row>
        <row r="148">
          <cell r="A148" t="str">
            <v>Ofsted Social Care Provider Webpage</v>
          </cell>
        </row>
        <row r="149">
          <cell r="A149" t="str">
            <v>Ofsted Social Care Provider Webpage</v>
          </cell>
        </row>
        <row r="150">
          <cell r="A150" t="str">
            <v>Ofsted Social Care Provider Webpage</v>
          </cell>
        </row>
        <row r="151">
          <cell r="A151" t="str">
            <v>Ofsted Social Care Provider Webpage</v>
          </cell>
        </row>
        <row r="152">
          <cell r="A152" t="str">
            <v>Ofsted Social Care Provider Webpage</v>
          </cell>
        </row>
        <row r="153">
          <cell r="A153" t="str">
            <v>Ofsted Social Care Provider Webpage</v>
          </cell>
        </row>
        <row r="154">
          <cell r="A154" t="str">
            <v>Ofsted Social Care Provider Webpage</v>
          </cell>
        </row>
        <row r="155">
          <cell r="A155" t="str">
            <v>Ofsted Social Care Provider Webpage</v>
          </cell>
        </row>
        <row r="156">
          <cell r="A156" t="str">
            <v>Ofsted Social Care Provider Webpage</v>
          </cell>
        </row>
        <row r="157">
          <cell r="A157" t="str">
            <v>Ofsted Social Care Provider Webpage</v>
          </cell>
        </row>
        <row r="158">
          <cell r="A158" t="str">
            <v>Ofsted Social Care Provider Webpage</v>
          </cell>
        </row>
        <row r="159">
          <cell r="A159" t="str">
            <v>Ofsted Social Care Provider Webpage</v>
          </cell>
        </row>
        <row r="160">
          <cell r="A160" t="str">
            <v>Ofsted Social Care Provider Webpage</v>
          </cell>
        </row>
        <row r="161">
          <cell r="A161" t="str">
            <v>Ofsted Social Care Provider Webpage</v>
          </cell>
        </row>
        <row r="162">
          <cell r="A162" t="str">
            <v>Ofsted Social Care Provider Webpage</v>
          </cell>
        </row>
        <row r="163">
          <cell r="A163" t="str">
            <v>Ofsted Social Care Provider Webpage</v>
          </cell>
        </row>
        <row r="164">
          <cell r="A164" t="str">
            <v>Ofsted Social Care Provider Webpage</v>
          </cell>
        </row>
        <row r="165">
          <cell r="A165" t="str">
            <v>Ofsted Social Care Provider Webpage</v>
          </cell>
        </row>
        <row r="166">
          <cell r="A166" t="str">
            <v>Ofsted Social Care Provider Webpage</v>
          </cell>
        </row>
        <row r="167">
          <cell r="A167" t="str">
            <v>Ofsted Social Care Provider Webpage</v>
          </cell>
        </row>
        <row r="168">
          <cell r="A168" t="str">
            <v>Ofsted Social Care Provider Webpage</v>
          </cell>
        </row>
        <row r="169">
          <cell r="A169" t="str">
            <v>Ofsted Social Care Provider Webpage</v>
          </cell>
        </row>
        <row r="170">
          <cell r="A170" t="str">
            <v>Ofsted Social Care Provider Webpage</v>
          </cell>
        </row>
        <row r="171">
          <cell r="A171" t="str">
            <v>Ofsted Social Care Provider Webpage</v>
          </cell>
        </row>
        <row r="172">
          <cell r="A172" t="str">
            <v>Ofsted Social Care Provider Webpage</v>
          </cell>
        </row>
        <row r="173">
          <cell r="A173" t="str">
            <v>Ofsted Social Care Provider Webpage</v>
          </cell>
        </row>
        <row r="174">
          <cell r="A174" t="str">
            <v>Ofsted Social Care Provider Webpage</v>
          </cell>
        </row>
        <row r="175">
          <cell r="A175" t="str">
            <v>Ofsted Social Care Provider Webpage</v>
          </cell>
        </row>
        <row r="176">
          <cell r="A176" t="str">
            <v>Ofsted Social Care Provider Webpage</v>
          </cell>
        </row>
        <row r="177">
          <cell r="A177" t="str">
            <v>Ofsted Social Care Provider Webpage</v>
          </cell>
        </row>
        <row r="178">
          <cell r="A178" t="str">
            <v>Ofsted Social Care Provider Webpage</v>
          </cell>
        </row>
        <row r="179">
          <cell r="A179" t="str">
            <v>Ofsted Social Care Provider Webpage</v>
          </cell>
        </row>
        <row r="180">
          <cell r="A180" t="str">
            <v>Ofsted Social Care Provider Webpage</v>
          </cell>
        </row>
        <row r="181">
          <cell r="A181" t="str">
            <v>Ofsted Social Care Provider Webpage</v>
          </cell>
        </row>
        <row r="182">
          <cell r="A182" t="str">
            <v>Ofsted Social Care Provider Webpage</v>
          </cell>
        </row>
        <row r="183">
          <cell r="A183" t="str">
            <v>Ofsted Social Care Provider Webpage</v>
          </cell>
        </row>
        <row r="184">
          <cell r="A184" t="str">
            <v>Ofsted Social Care Provider Webpage</v>
          </cell>
        </row>
        <row r="185">
          <cell r="A185" t="str">
            <v>Ofsted Social Care Provider Webpage</v>
          </cell>
        </row>
        <row r="186">
          <cell r="A186" t="str">
            <v>Ofsted Social Care Provider Webpage</v>
          </cell>
        </row>
        <row r="187">
          <cell r="A187" t="str">
            <v>Ofsted Social Care Provider Webpage</v>
          </cell>
        </row>
        <row r="188">
          <cell r="A188" t="str">
            <v>Ofsted Social Care Provider Webpage</v>
          </cell>
        </row>
        <row r="189">
          <cell r="A189" t="str">
            <v>Ofsted Social Care Provider Webpage</v>
          </cell>
        </row>
        <row r="190">
          <cell r="A190" t="str">
            <v>Ofsted Social Care Provider Webpage</v>
          </cell>
        </row>
        <row r="191">
          <cell r="A191" t="str">
            <v>Ofsted Social Care Provider Webpage</v>
          </cell>
        </row>
        <row r="192">
          <cell r="A192" t="str">
            <v>Ofsted Social Care Provider Webpage</v>
          </cell>
        </row>
        <row r="193">
          <cell r="A193" t="str">
            <v>Ofsted Social Care Provider Webpage</v>
          </cell>
        </row>
        <row r="194">
          <cell r="A194" t="str">
            <v>Ofsted Social Care Provider Webpage</v>
          </cell>
        </row>
        <row r="195">
          <cell r="A195" t="str">
            <v>Ofsted Social Care Provider Webpage</v>
          </cell>
        </row>
        <row r="196">
          <cell r="A196" t="str">
            <v>Ofsted Social Care Provider Webpage</v>
          </cell>
        </row>
        <row r="197">
          <cell r="A197" t="str">
            <v>Ofsted Social Care Provider Webpage</v>
          </cell>
        </row>
        <row r="198">
          <cell r="A198" t="str">
            <v>Ofsted Social Care Provider Webpage</v>
          </cell>
        </row>
        <row r="199">
          <cell r="A199" t="str">
            <v>Ofsted Social Care Provider Webpage</v>
          </cell>
        </row>
        <row r="200">
          <cell r="A200" t="str">
            <v>Ofsted Social Care Provider Webpage</v>
          </cell>
        </row>
        <row r="201">
          <cell r="A201" t="str">
            <v>Ofsted Social Care Provider Webpage</v>
          </cell>
        </row>
        <row r="202">
          <cell r="A202" t="str">
            <v>Ofsted Social Care Provider Webpage</v>
          </cell>
        </row>
        <row r="203">
          <cell r="A203" t="str">
            <v>Ofsted Social Care Provider Webpage</v>
          </cell>
        </row>
        <row r="204">
          <cell r="A204" t="str">
            <v>Ofsted Social Care Provider Webpage</v>
          </cell>
        </row>
        <row r="205">
          <cell r="A205" t="str">
            <v>Ofsted Social Care Provider Webpage</v>
          </cell>
        </row>
        <row r="206">
          <cell r="A206" t="str">
            <v>Ofsted Social Care Provider Webpage</v>
          </cell>
        </row>
        <row r="207">
          <cell r="A207" t="str">
            <v>Ofsted Social Care Provider Webpage</v>
          </cell>
        </row>
        <row r="208">
          <cell r="A208" t="str">
            <v>Ofsted Social Care Provider Webpage</v>
          </cell>
        </row>
        <row r="209">
          <cell r="A209" t="str">
            <v>Ofsted Social Care Provider Webpage</v>
          </cell>
        </row>
        <row r="210">
          <cell r="A210" t="str">
            <v>Ofsted Social Care Provider Webpage</v>
          </cell>
        </row>
        <row r="211">
          <cell r="A211" t="str">
            <v>Ofsted Social Care Provider Webpage</v>
          </cell>
        </row>
        <row r="212">
          <cell r="A212" t="str">
            <v>Ofsted Social Care Provider Webpage</v>
          </cell>
        </row>
        <row r="213">
          <cell r="A213" t="str">
            <v>Ofsted Social Care Provider Webpage</v>
          </cell>
        </row>
        <row r="214">
          <cell r="A214" t="str">
            <v>Ofsted Social Care Provider Webpage</v>
          </cell>
        </row>
        <row r="215">
          <cell r="A215" t="str">
            <v>Ofsted Social Care Provider Webpage</v>
          </cell>
        </row>
        <row r="216">
          <cell r="A216" t="str">
            <v>Ofsted Social Care Provider Webpage</v>
          </cell>
        </row>
        <row r="217">
          <cell r="A217" t="str">
            <v>Ofsted Social Care Provider Webpage</v>
          </cell>
        </row>
        <row r="218">
          <cell r="A218" t="str">
            <v>Ofsted Social Care Provider Webpage</v>
          </cell>
        </row>
        <row r="219">
          <cell r="A219" t="str">
            <v>Ofsted Social Care Provider Webpage</v>
          </cell>
        </row>
        <row r="220">
          <cell r="A220" t="str">
            <v>Ofsted Social Care Provider Webpage</v>
          </cell>
        </row>
        <row r="221">
          <cell r="A221" t="str">
            <v>Ofsted Social Care Provider Webpage</v>
          </cell>
        </row>
        <row r="222">
          <cell r="A222" t="str">
            <v>Ofsted Social Care Provider Webpage</v>
          </cell>
        </row>
        <row r="223">
          <cell r="A223" t="str">
            <v>Ofsted Social Care Provider Webpage</v>
          </cell>
        </row>
        <row r="224">
          <cell r="A224" t="str">
            <v>Ofsted Social Care Provider Webpage</v>
          </cell>
        </row>
        <row r="225">
          <cell r="A225" t="str">
            <v>Ofsted Social Care Provider Webpage</v>
          </cell>
        </row>
        <row r="226">
          <cell r="A226" t="str">
            <v>Ofsted Social Care Provider Webpage</v>
          </cell>
        </row>
        <row r="227">
          <cell r="A227" t="str">
            <v>Ofsted Social Care Provider Webpage</v>
          </cell>
        </row>
        <row r="228">
          <cell r="A228" t="str">
            <v>Ofsted Social Care Provider Webpage</v>
          </cell>
        </row>
        <row r="229">
          <cell r="A229" t="str">
            <v>Ofsted Social Care Provider Webpage</v>
          </cell>
        </row>
        <row r="230">
          <cell r="A230" t="str">
            <v>Ofsted Social Care Provider Webpage</v>
          </cell>
        </row>
        <row r="231">
          <cell r="A231" t="str">
            <v>Ofsted Social Care Provider Webpage</v>
          </cell>
        </row>
        <row r="232">
          <cell r="A232" t="str">
            <v>Ofsted Social Care Provider Webpage</v>
          </cell>
        </row>
        <row r="233">
          <cell r="A233" t="str">
            <v>Ofsted Social Care Provider Webpage</v>
          </cell>
        </row>
        <row r="234">
          <cell r="A234" t="str">
            <v>Ofsted Social Care Provider Webpage</v>
          </cell>
        </row>
        <row r="235">
          <cell r="A235" t="str">
            <v>Ofsted Social Care Provider Webpage</v>
          </cell>
        </row>
        <row r="236">
          <cell r="A236" t="str">
            <v>Ofsted Social Care Provider Webpage</v>
          </cell>
        </row>
        <row r="237">
          <cell r="A237" t="str">
            <v>Ofsted Social Care Provider Webpage</v>
          </cell>
        </row>
        <row r="238">
          <cell r="A238" t="str">
            <v>Ofsted Social Care Provider Webpage</v>
          </cell>
        </row>
        <row r="239">
          <cell r="A239" t="str">
            <v>Ofsted Social Care Provider Webpage</v>
          </cell>
        </row>
        <row r="240">
          <cell r="A240" t="str">
            <v>Ofsted Social Care Provider Webpage</v>
          </cell>
        </row>
        <row r="241">
          <cell r="A241" t="str">
            <v>Ofsted Social Care Provider Webpage</v>
          </cell>
        </row>
        <row r="242">
          <cell r="A242" t="str">
            <v>Ofsted Social Care Provider Webpage</v>
          </cell>
        </row>
        <row r="243">
          <cell r="A243" t="str">
            <v>Ofsted Social Care Provider Webpage</v>
          </cell>
        </row>
        <row r="244">
          <cell r="A244" t="str">
            <v>Ofsted Social Care Provider Webpage</v>
          </cell>
        </row>
        <row r="245">
          <cell r="A245" t="str">
            <v>Ofsted Social Care Provider Webpage</v>
          </cell>
        </row>
        <row r="246">
          <cell r="A246" t="str">
            <v>Ofsted Social Care Provider Webpage</v>
          </cell>
        </row>
        <row r="247">
          <cell r="A247" t="str">
            <v>Ofsted Social Care Provider Webpage</v>
          </cell>
        </row>
        <row r="248">
          <cell r="A248" t="str">
            <v>Ofsted Social Care Provider Webpage</v>
          </cell>
        </row>
        <row r="249">
          <cell r="A249" t="str">
            <v>Ofsted Social Care Provider Webpage</v>
          </cell>
        </row>
        <row r="250">
          <cell r="A250" t="str">
            <v>Ofsted Social Care Provider Webpage</v>
          </cell>
        </row>
        <row r="251">
          <cell r="A251" t="str">
            <v>Ofsted Social Care Provider Webpage</v>
          </cell>
        </row>
        <row r="252">
          <cell r="A252" t="str">
            <v>Ofsted Social Care Provider Webpage</v>
          </cell>
        </row>
        <row r="253">
          <cell r="A253" t="str">
            <v>Ofsted Social Care Provider Webpage</v>
          </cell>
        </row>
        <row r="254">
          <cell r="A254" t="str">
            <v>Ofsted Social Care Provider Webpage</v>
          </cell>
        </row>
        <row r="255">
          <cell r="A255" t="str">
            <v>Ofsted Social Care Provider Webpage</v>
          </cell>
        </row>
        <row r="256">
          <cell r="A256" t="str">
            <v>Ofsted Social Care Provider Webpage</v>
          </cell>
        </row>
        <row r="257">
          <cell r="A257" t="str">
            <v>Ofsted Social Care Provider Webpage</v>
          </cell>
        </row>
        <row r="258">
          <cell r="A258" t="str">
            <v>Ofsted Social Care Provider Webpage</v>
          </cell>
        </row>
        <row r="259">
          <cell r="A259" t="str">
            <v>Ofsted Social Care Provider Webpage</v>
          </cell>
        </row>
        <row r="260">
          <cell r="A260" t="str">
            <v>Ofsted Social Care Provider Webpage</v>
          </cell>
        </row>
        <row r="261">
          <cell r="A261" t="str">
            <v>Ofsted Social Care Provider Webpage</v>
          </cell>
        </row>
        <row r="262">
          <cell r="A262" t="str">
            <v>Ofsted Social Care Provider Webpage</v>
          </cell>
        </row>
        <row r="263">
          <cell r="A263" t="str">
            <v>Ofsted Social Care Provider Webpage</v>
          </cell>
        </row>
        <row r="264">
          <cell r="A264" t="str">
            <v>Ofsted Social Care Provider Webpage</v>
          </cell>
        </row>
        <row r="265">
          <cell r="A265" t="str">
            <v>Ofsted Social Care Provider Webpage</v>
          </cell>
        </row>
        <row r="266">
          <cell r="A266" t="str">
            <v>Ofsted Social Care Provider Webpage</v>
          </cell>
        </row>
        <row r="267">
          <cell r="A267" t="str">
            <v>Ofsted Social Care Provider Webpage</v>
          </cell>
        </row>
        <row r="268">
          <cell r="A268" t="str">
            <v>Ofsted Social Care Provider Webpage</v>
          </cell>
        </row>
        <row r="269">
          <cell r="A269" t="str">
            <v>Ofsted Social Care Provider Webpage</v>
          </cell>
        </row>
        <row r="270">
          <cell r="A270" t="str">
            <v>Ofsted Social Care Provider Webpage</v>
          </cell>
        </row>
        <row r="271">
          <cell r="A271" t="str">
            <v>Ofsted Social Care Provider Webpage</v>
          </cell>
        </row>
        <row r="272">
          <cell r="A272" t="str">
            <v>Ofsted Social Care Provider Webpage</v>
          </cell>
        </row>
        <row r="273">
          <cell r="A273" t="str">
            <v>Ofsted Social Care Provider Webpage</v>
          </cell>
        </row>
        <row r="274">
          <cell r="A274" t="str">
            <v>Ofsted Social Care Provider Webpage</v>
          </cell>
        </row>
        <row r="275">
          <cell r="A275" t="str">
            <v>Ofsted Social Care Provider Webpage</v>
          </cell>
        </row>
        <row r="276">
          <cell r="A276" t="str">
            <v>Ofsted Social Care Provider Webpage</v>
          </cell>
        </row>
        <row r="277">
          <cell r="A277" t="str">
            <v>Ofsted Social Care Provider Webpage</v>
          </cell>
        </row>
        <row r="278">
          <cell r="A278" t="str">
            <v>Ofsted Social Care Provider Webpage</v>
          </cell>
        </row>
        <row r="279">
          <cell r="A279" t="str">
            <v>Ofsted Social Care Provider Webpage</v>
          </cell>
        </row>
        <row r="280">
          <cell r="A280" t="str">
            <v>Ofsted Social Care Provider Webpage</v>
          </cell>
        </row>
        <row r="281">
          <cell r="A281" t="str">
            <v>Ofsted Social Care Provider Webpage</v>
          </cell>
        </row>
        <row r="282">
          <cell r="A282" t="str">
            <v>Ofsted Social Care Provider Webpage</v>
          </cell>
        </row>
        <row r="283">
          <cell r="A283" t="str">
            <v>Ofsted Social Care Provider Webpage</v>
          </cell>
        </row>
        <row r="284">
          <cell r="A284" t="str">
            <v>Ofsted Social Care Provider Webpage</v>
          </cell>
        </row>
        <row r="285">
          <cell r="A285" t="str">
            <v>Ofsted Social Care Provider Webpage</v>
          </cell>
        </row>
        <row r="286">
          <cell r="A286" t="str">
            <v>Ofsted Social Care Provider Webpage</v>
          </cell>
        </row>
        <row r="287">
          <cell r="A287" t="str">
            <v>Ofsted Social Care Provider Webpage</v>
          </cell>
        </row>
        <row r="288">
          <cell r="A288" t="str">
            <v>Ofsted Social Care Provider Webpage</v>
          </cell>
        </row>
        <row r="289">
          <cell r="A289" t="str">
            <v>Ofsted Social Care Provider Webpage</v>
          </cell>
        </row>
        <row r="290">
          <cell r="A290" t="str">
            <v>Ofsted Social Care Provider Webpage</v>
          </cell>
        </row>
        <row r="291">
          <cell r="A291" t="str">
            <v>Ofsted Social Care Provider Webpage</v>
          </cell>
        </row>
        <row r="292">
          <cell r="A292" t="str">
            <v>Ofsted Social Care Provider Webpage</v>
          </cell>
        </row>
        <row r="293">
          <cell r="A293" t="str">
            <v>Ofsted Social Care Provider Webpage</v>
          </cell>
        </row>
        <row r="294">
          <cell r="A294" t="str">
            <v>Ofsted Social Care Provider Webpage</v>
          </cell>
        </row>
        <row r="295">
          <cell r="A295" t="str">
            <v>Ofsted Social Care Provider Webpage</v>
          </cell>
        </row>
        <row r="296">
          <cell r="A296" t="str">
            <v>Ofsted Social Care Provider Webpage</v>
          </cell>
        </row>
        <row r="297">
          <cell r="A297" t="str">
            <v>Ofsted Social Care Provider Webpage</v>
          </cell>
        </row>
        <row r="298">
          <cell r="A298" t="str">
            <v>Ofsted Social Care Provider Webpage</v>
          </cell>
        </row>
        <row r="299">
          <cell r="A299" t="str">
            <v>Ofsted Social Care Provider Webpage</v>
          </cell>
        </row>
        <row r="300">
          <cell r="A300" t="str">
            <v>Ofsted Social Care Provider Webpage</v>
          </cell>
        </row>
        <row r="301">
          <cell r="A301" t="str">
            <v>Ofsted Social Care Provider Webpage</v>
          </cell>
        </row>
        <row r="302">
          <cell r="A302" t="str">
            <v>Ofsted Social Care Provider Webpage</v>
          </cell>
        </row>
        <row r="303">
          <cell r="A303" t="str">
            <v>Ofsted Social Care Provider Webpage</v>
          </cell>
        </row>
        <row r="304">
          <cell r="A304" t="str">
            <v>Ofsted Social Care Provider Webpage</v>
          </cell>
        </row>
        <row r="305">
          <cell r="A305" t="str">
            <v>Ofsted Social Care Provider Webpage</v>
          </cell>
        </row>
        <row r="306">
          <cell r="A306" t="str">
            <v>Ofsted Social Care Provider Webpage</v>
          </cell>
        </row>
        <row r="307">
          <cell r="A307" t="str">
            <v>Ofsted Social Care Provider Webpage</v>
          </cell>
        </row>
        <row r="308">
          <cell r="A308" t="str">
            <v>Ofsted Social Care Provider Webpage</v>
          </cell>
        </row>
        <row r="309">
          <cell r="A309" t="str">
            <v>Ofsted Social Care Provider Webpage</v>
          </cell>
        </row>
        <row r="310">
          <cell r="A310" t="str">
            <v>Ofsted Social Care Provider Webpage</v>
          </cell>
        </row>
        <row r="311">
          <cell r="A311" t="str">
            <v>Ofsted Social Care Provider Webpage</v>
          </cell>
        </row>
        <row r="312">
          <cell r="A312" t="str">
            <v>Ofsted Social Care Provider Webpage</v>
          </cell>
        </row>
        <row r="313">
          <cell r="A313" t="str">
            <v>Ofsted Social Care Provider Webpage</v>
          </cell>
        </row>
        <row r="314">
          <cell r="A314" t="str">
            <v>Ofsted Social Care Provider Webpage</v>
          </cell>
        </row>
        <row r="315">
          <cell r="A315" t="str">
            <v>Ofsted Social Care Provider Webpage</v>
          </cell>
        </row>
        <row r="316">
          <cell r="A316" t="str">
            <v>Ofsted Social Care Provider Webpage</v>
          </cell>
        </row>
        <row r="317">
          <cell r="A317" t="str">
            <v>Ofsted Social Care Provider Webpage</v>
          </cell>
        </row>
        <row r="318">
          <cell r="A318" t="str">
            <v>Ofsted Social Care Provider Webpage</v>
          </cell>
        </row>
        <row r="319">
          <cell r="A319" t="str">
            <v>Ofsted Social Care Provider Webpage</v>
          </cell>
        </row>
        <row r="320">
          <cell r="A320" t="str">
            <v>Ofsted Social Care Provider Webpage</v>
          </cell>
        </row>
        <row r="321">
          <cell r="A321" t="str">
            <v>Ofsted Social Care Provider Webpage</v>
          </cell>
        </row>
        <row r="322">
          <cell r="A322" t="str">
            <v>Ofsted Social Care Provider Webpage</v>
          </cell>
        </row>
        <row r="323">
          <cell r="A323" t="str">
            <v>Ofsted Social Care Provider Webpage</v>
          </cell>
        </row>
        <row r="324">
          <cell r="A324" t="str">
            <v>Ofsted Social Care Provider Webpage</v>
          </cell>
        </row>
        <row r="325">
          <cell r="A325" t="str">
            <v>Ofsted Social Care Provider Webpage</v>
          </cell>
        </row>
        <row r="326">
          <cell r="A326" t="str">
            <v>Ofsted Social Care Provider Webpage</v>
          </cell>
        </row>
        <row r="327">
          <cell r="A327" t="str">
            <v>Ofsted Social Care Provider Webpage</v>
          </cell>
        </row>
        <row r="328">
          <cell r="A328" t="str">
            <v>Ofsted Social Care Provider Webpage</v>
          </cell>
        </row>
        <row r="329">
          <cell r="A329" t="str">
            <v>Ofsted Social Care Provider Webpage</v>
          </cell>
        </row>
        <row r="330">
          <cell r="A330" t="str">
            <v>Ofsted Social Care Provider Webpage</v>
          </cell>
        </row>
        <row r="331">
          <cell r="A331" t="str">
            <v>Ofsted Social Care Provider Webpage</v>
          </cell>
        </row>
        <row r="332">
          <cell r="A332" t="str">
            <v>Ofsted Social Care Provider Webpage</v>
          </cell>
        </row>
        <row r="333">
          <cell r="A333" t="str">
            <v>Ofsted Social Care Provider Webpage</v>
          </cell>
        </row>
        <row r="334">
          <cell r="A334" t="str">
            <v>Ofsted Social Care Provider Webpage</v>
          </cell>
        </row>
        <row r="335">
          <cell r="A335" t="str">
            <v>Ofsted Social Care Provider Webpage</v>
          </cell>
        </row>
        <row r="336">
          <cell r="A336" t="str">
            <v>Ofsted Social Care Provider Webpage</v>
          </cell>
        </row>
        <row r="337">
          <cell r="A337" t="str">
            <v>Ofsted Social Care Provider Webpage</v>
          </cell>
        </row>
        <row r="338">
          <cell r="A338" t="str">
            <v>Ofsted Social Care Provider Webpage</v>
          </cell>
        </row>
        <row r="339">
          <cell r="A339" t="str">
            <v>Ofsted Social Care Provider Webpage</v>
          </cell>
        </row>
        <row r="340">
          <cell r="A340" t="str">
            <v>Ofsted Social Care Provider Webpage</v>
          </cell>
        </row>
        <row r="341">
          <cell r="A341" t="str">
            <v>Ofsted Social Care Provider Webpage</v>
          </cell>
        </row>
        <row r="342">
          <cell r="A342" t="str">
            <v>Ofsted Social Care Provider Webpage</v>
          </cell>
        </row>
        <row r="343">
          <cell r="A343" t="str">
            <v>Ofsted Social Care Provider Webpage</v>
          </cell>
        </row>
        <row r="344">
          <cell r="A344" t="str">
            <v>Ofsted Social Care Provider Webpage</v>
          </cell>
        </row>
        <row r="345">
          <cell r="A345" t="str">
            <v>Ofsted Social Care Provider Webpage</v>
          </cell>
        </row>
        <row r="346">
          <cell r="A346" t="str">
            <v>Ofsted Social Care Provider Webpage</v>
          </cell>
        </row>
        <row r="347">
          <cell r="A347" t="str">
            <v>Ofsted Social Care Provider Webpage</v>
          </cell>
        </row>
        <row r="348">
          <cell r="A348" t="str">
            <v>Ofsted Social Care Provider Webpage</v>
          </cell>
        </row>
        <row r="349">
          <cell r="A349" t="str">
            <v>Ofsted Social Care Provider Webpage</v>
          </cell>
        </row>
        <row r="350">
          <cell r="A350" t="str">
            <v>Ofsted Social Care Provider Webpage</v>
          </cell>
        </row>
        <row r="351">
          <cell r="A351" t="str">
            <v>Ofsted Social Care Provider Webpage</v>
          </cell>
        </row>
        <row r="352">
          <cell r="A352" t="str">
            <v>Ofsted Social Care Provider Webpage</v>
          </cell>
        </row>
        <row r="353">
          <cell r="A353" t="str">
            <v>Ofsted Social Care Provider Webpage</v>
          </cell>
        </row>
        <row r="354">
          <cell r="A354" t="str">
            <v>Ofsted Social Care Provider Webpage</v>
          </cell>
        </row>
        <row r="355">
          <cell r="A355" t="str">
            <v>Ofsted Social Care Provider Webpage</v>
          </cell>
        </row>
        <row r="356">
          <cell r="A356" t="str">
            <v>Ofsted Social Care Provider Webpage</v>
          </cell>
        </row>
        <row r="357">
          <cell r="A357" t="str">
            <v>Ofsted Social Care Provider Webpage</v>
          </cell>
        </row>
        <row r="358">
          <cell r="A358" t="str">
            <v>Ofsted Social Care Provider Webpage</v>
          </cell>
        </row>
        <row r="359">
          <cell r="A359" t="str">
            <v>Ofsted Social Care Provider Webpage</v>
          </cell>
        </row>
        <row r="360">
          <cell r="A360" t="str">
            <v>Ofsted Social Care Provider Webpage</v>
          </cell>
        </row>
        <row r="361">
          <cell r="A361" t="str">
            <v>Ofsted Social Care Provider Webpage</v>
          </cell>
        </row>
        <row r="362">
          <cell r="A362" t="str">
            <v>Ofsted Social Care Provider Webpage</v>
          </cell>
        </row>
        <row r="363">
          <cell r="A363" t="str">
            <v>Ofsted Social Care Provider Webpage</v>
          </cell>
        </row>
        <row r="364">
          <cell r="A364" t="str">
            <v>Ofsted Social Care Provider Webpage</v>
          </cell>
        </row>
        <row r="365">
          <cell r="A365" t="str">
            <v>Ofsted Social Care Provider Webpage</v>
          </cell>
        </row>
        <row r="366">
          <cell r="A366" t="str">
            <v>Ofsted Social Care Provider Webpage</v>
          </cell>
        </row>
        <row r="367">
          <cell r="A367" t="str">
            <v>Ofsted Social Care Provider Webpage</v>
          </cell>
        </row>
        <row r="368">
          <cell r="A368" t="str">
            <v>Ofsted Social Care Provider Webpage</v>
          </cell>
        </row>
        <row r="369">
          <cell r="A369" t="str">
            <v>Ofsted Social Care Provider Webpage</v>
          </cell>
        </row>
        <row r="370">
          <cell r="A370" t="str">
            <v>Ofsted Social Care Provider Webpage</v>
          </cell>
        </row>
        <row r="371">
          <cell r="A371" t="str">
            <v>Ofsted Social Care Provider Webpage</v>
          </cell>
        </row>
        <row r="372">
          <cell r="A372" t="str">
            <v>Ofsted Social Care Provider Webpage</v>
          </cell>
        </row>
        <row r="373">
          <cell r="A373" t="str">
            <v>Ofsted Social Care Provider Webpage</v>
          </cell>
        </row>
        <row r="374">
          <cell r="A374" t="str">
            <v>Ofsted Social Care Provider Webpage</v>
          </cell>
        </row>
        <row r="375">
          <cell r="A375" t="str">
            <v>Ofsted Social Care Provider Webpage</v>
          </cell>
        </row>
        <row r="376">
          <cell r="A376" t="str">
            <v>Ofsted Social Care Provider Webpage</v>
          </cell>
        </row>
        <row r="377">
          <cell r="A377" t="str">
            <v>Ofsted Social Care Provider Webpage</v>
          </cell>
        </row>
        <row r="378">
          <cell r="A378" t="str">
            <v>Ofsted Social Care Provider Webpage</v>
          </cell>
        </row>
        <row r="379">
          <cell r="A379" t="str">
            <v>Ofsted Social Care Provider Webpage</v>
          </cell>
        </row>
        <row r="380">
          <cell r="A380" t="str">
            <v>Ofsted Social Care Provider Webpage</v>
          </cell>
        </row>
        <row r="381">
          <cell r="A381" t="str">
            <v>Ofsted Social Care Provider Webpage</v>
          </cell>
        </row>
        <row r="382">
          <cell r="A382" t="str">
            <v>Ofsted Social Care Provider Webpage</v>
          </cell>
        </row>
        <row r="383">
          <cell r="A383" t="str">
            <v>Ofsted Social Care Provider Webpage</v>
          </cell>
        </row>
        <row r="384">
          <cell r="A384" t="str">
            <v>Ofsted Social Care Provider Webpage</v>
          </cell>
        </row>
        <row r="385">
          <cell r="A385" t="str">
            <v>Ofsted Social Care Provider Webpage</v>
          </cell>
        </row>
        <row r="386">
          <cell r="A386" t="str">
            <v>Ofsted Social Care Provider Webpage</v>
          </cell>
        </row>
        <row r="387">
          <cell r="A387" t="str">
            <v>Ofsted Social Care Provider Webpage</v>
          </cell>
        </row>
        <row r="388">
          <cell r="A388" t="str">
            <v>Ofsted Social Care Provider Webpage</v>
          </cell>
        </row>
        <row r="389">
          <cell r="A389" t="str">
            <v>Ofsted Social Care Provider Webpage</v>
          </cell>
        </row>
        <row r="390">
          <cell r="A390" t="str">
            <v>Ofsted Social Care Provider Webpage</v>
          </cell>
        </row>
        <row r="391">
          <cell r="A391" t="str">
            <v>Ofsted Social Care Provider Webpage</v>
          </cell>
        </row>
        <row r="392">
          <cell r="A392" t="str">
            <v>Ofsted Social Care Provider Webpage</v>
          </cell>
        </row>
        <row r="393">
          <cell r="A393" t="str">
            <v>Ofsted Social Care Provider Webpage</v>
          </cell>
        </row>
        <row r="394">
          <cell r="A394" t="str">
            <v>Ofsted Social Care Provider Webpage</v>
          </cell>
        </row>
        <row r="395">
          <cell r="A395" t="str">
            <v>Ofsted Social Care Provider Webpage</v>
          </cell>
        </row>
        <row r="396">
          <cell r="A396" t="str">
            <v>Ofsted Social Care Provider Webpage</v>
          </cell>
        </row>
        <row r="397">
          <cell r="A397" t="str">
            <v>Ofsted Social Care Provider Webpage</v>
          </cell>
        </row>
        <row r="398">
          <cell r="A398" t="str">
            <v>Ofsted Social Care Provider Webpage</v>
          </cell>
        </row>
        <row r="399">
          <cell r="A399" t="str">
            <v>Ofsted Social Care Provider Webpage</v>
          </cell>
        </row>
        <row r="400">
          <cell r="A400" t="str">
            <v>Ofsted Social Care Provider Webpage</v>
          </cell>
        </row>
        <row r="401">
          <cell r="A401" t="str">
            <v>Ofsted Social Care Provider Webpage</v>
          </cell>
        </row>
        <row r="402">
          <cell r="A402" t="str">
            <v>Ofsted Social Care Provider Webpage</v>
          </cell>
        </row>
        <row r="403">
          <cell r="A403" t="str">
            <v>Ofsted Social Care Provider Webpage</v>
          </cell>
        </row>
        <row r="404">
          <cell r="A404" t="str">
            <v>Ofsted Social Care Provider Webpage</v>
          </cell>
        </row>
        <row r="405">
          <cell r="A405" t="str">
            <v>Ofsted Social Care Provider Webpage</v>
          </cell>
        </row>
        <row r="406">
          <cell r="A406" t="str">
            <v>Ofsted Social Care Provider Webpage</v>
          </cell>
        </row>
        <row r="407">
          <cell r="A407" t="str">
            <v>Ofsted Social Care Provider Webpage</v>
          </cell>
        </row>
        <row r="408">
          <cell r="A408" t="str">
            <v>Ofsted Social Care Provider Webpage</v>
          </cell>
        </row>
        <row r="409">
          <cell r="A409" t="str">
            <v>Ofsted Social Care Provider Webpage</v>
          </cell>
        </row>
        <row r="410">
          <cell r="A410" t="str">
            <v>Ofsted Social Care Provider Webpage</v>
          </cell>
        </row>
        <row r="411">
          <cell r="A411" t="str">
            <v>Ofsted Social Care Provider Webpage</v>
          </cell>
        </row>
        <row r="412">
          <cell r="A412" t="str">
            <v>Ofsted Social Care Provider Webpage</v>
          </cell>
        </row>
        <row r="413">
          <cell r="A413" t="str">
            <v>Ofsted Social Care Provider Webpage</v>
          </cell>
        </row>
        <row r="414">
          <cell r="A414" t="str">
            <v>Ofsted Social Care Provider Webpage</v>
          </cell>
        </row>
        <row r="415">
          <cell r="A415" t="str">
            <v>Ofsted Social Care Provider Webpage</v>
          </cell>
        </row>
        <row r="416">
          <cell r="A416" t="str">
            <v>Ofsted Social Care Provider Webpage</v>
          </cell>
        </row>
        <row r="417">
          <cell r="A417" t="str">
            <v>Ofsted Social Care Provider Webpage</v>
          </cell>
        </row>
        <row r="418">
          <cell r="A418" t="str">
            <v>Ofsted Social Care Provider Webpage</v>
          </cell>
        </row>
        <row r="419">
          <cell r="A419" t="str">
            <v>Ofsted Social Care Provider Webpage</v>
          </cell>
        </row>
        <row r="420">
          <cell r="A420" t="str">
            <v>Ofsted Social Care Provider Webpage</v>
          </cell>
        </row>
        <row r="421">
          <cell r="A421" t="str">
            <v>Ofsted Social Care Provider Webpage</v>
          </cell>
        </row>
        <row r="422">
          <cell r="A422" t="str">
            <v>Ofsted Social Care Provider Webpage</v>
          </cell>
        </row>
        <row r="423">
          <cell r="A423" t="str">
            <v>Ofsted Social Care Provider Webpage</v>
          </cell>
        </row>
        <row r="424">
          <cell r="A424" t="str">
            <v>Ofsted Social Care Provider Webpage</v>
          </cell>
        </row>
        <row r="425">
          <cell r="A425" t="str">
            <v>Ofsted Social Care Provider Webpage</v>
          </cell>
        </row>
        <row r="426">
          <cell r="A426" t="str">
            <v>Ofsted Social Care Provider Webpage</v>
          </cell>
        </row>
        <row r="427">
          <cell r="A427" t="str">
            <v>Ofsted Social Care Provider Webpage</v>
          </cell>
        </row>
        <row r="428">
          <cell r="A428" t="str">
            <v>Ofsted Social Care Provider Webpage</v>
          </cell>
        </row>
        <row r="429">
          <cell r="A429" t="str">
            <v>Ofsted Social Care Provider Webpage</v>
          </cell>
        </row>
        <row r="430">
          <cell r="A430" t="str">
            <v>Ofsted Social Care Provider Webpage</v>
          </cell>
        </row>
        <row r="431">
          <cell r="A431" t="str">
            <v>Ofsted Social Care Provider Webpage</v>
          </cell>
        </row>
        <row r="432">
          <cell r="A432" t="str">
            <v>Ofsted Social Care Provider Webpage</v>
          </cell>
        </row>
        <row r="433">
          <cell r="A433" t="str">
            <v>Ofsted Social Care Provider Webpage</v>
          </cell>
        </row>
        <row r="434">
          <cell r="A434" t="str">
            <v>Ofsted Social Care Provider Webpage</v>
          </cell>
        </row>
        <row r="435">
          <cell r="A435" t="str">
            <v>Ofsted Social Care Provider Webpage</v>
          </cell>
        </row>
        <row r="436">
          <cell r="A436" t="str">
            <v>Ofsted Social Care Provider Webpage</v>
          </cell>
        </row>
        <row r="437">
          <cell r="A437" t="str">
            <v>Ofsted Social Care Provider Webpage</v>
          </cell>
        </row>
        <row r="438">
          <cell r="A438" t="str">
            <v>Ofsted Social Care Provider Webpage</v>
          </cell>
        </row>
        <row r="439">
          <cell r="A439" t="str">
            <v>Ofsted Social Care Provider Webpage</v>
          </cell>
        </row>
        <row r="440">
          <cell r="A440" t="str">
            <v>Ofsted Social Care Provider Webpage</v>
          </cell>
        </row>
        <row r="441">
          <cell r="A441" t="str">
            <v>Ofsted Social Care Provider Webpage</v>
          </cell>
        </row>
        <row r="442">
          <cell r="A442" t="str">
            <v>Ofsted Social Care Provider Webpage</v>
          </cell>
        </row>
        <row r="443">
          <cell r="A443" t="str">
            <v>Ofsted Social Care Provider Webpage</v>
          </cell>
        </row>
        <row r="444">
          <cell r="A444" t="str">
            <v>Ofsted Social Care Provider Webpage</v>
          </cell>
        </row>
        <row r="445">
          <cell r="A445" t="str">
            <v>Ofsted Social Care Provider Webpage</v>
          </cell>
        </row>
        <row r="446">
          <cell r="A446" t="str">
            <v>Ofsted Social Care Provider Webpage</v>
          </cell>
        </row>
        <row r="447">
          <cell r="A447" t="str">
            <v>Ofsted Social Care Provider Webpage</v>
          </cell>
        </row>
        <row r="448">
          <cell r="A448" t="str">
            <v>Ofsted Social Care Provider Webpage</v>
          </cell>
        </row>
        <row r="449">
          <cell r="A449" t="str">
            <v>Ofsted Social Care Provider Webpage</v>
          </cell>
        </row>
        <row r="450">
          <cell r="A450" t="str">
            <v>Ofsted Social Care Provider Webpage</v>
          </cell>
        </row>
        <row r="451">
          <cell r="A451" t="str">
            <v>Ofsted Social Care Provider Webpage</v>
          </cell>
        </row>
        <row r="452">
          <cell r="A452" t="str">
            <v>Ofsted Social Care Provider Webpage</v>
          </cell>
        </row>
        <row r="453">
          <cell r="A453" t="str">
            <v>Ofsted Social Care Provider Webpage</v>
          </cell>
        </row>
        <row r="454">
          <cell r="A454" t="str">
            <v>Ofsted Social Care Provider Webpage</v>
          </cell>
        </row>
        <row r="455">
          <cell r="A455" t="str">
            <v>Ofsted Social Care Provider Webpage</v>
          </cell>
        </row>
        <row r="456">
          <cell r="A456" t="str">
            <v>Ofsted Social Care Provider Webpage</v>
          </cell>
        </row>
        <row r="457">
          <cell r="A457" t="str">
            <v>Ofsted Social Care Provider Webpage</v>
          </cell>
        </row>
        <row r="458">
          <cell r="A458" t="str">
            <v>Ofsted Social Care Provider Webpage</v>
          </cell>
        </row>
        <row r="459">
          <cell r="A459" t="str">
            <v>Ofsted Social Care Provider Webpage</v>
          </cell>
        </row>
        <row r="460">
          <cell r="A460" t="str">
            <v>Ofsted Social Care Provider Webpage</v>
          </cell>
        </row>
        <row r="461">
          <cell r="A461" t="str">
            <v>Ofsted Social Care Provider Webpage</v>
          </cell>
        </row>
        <row r="462">
          <cell r="A462" t="str">
            <v>Ofsted Social Care Provider Webpage</v>
          </cell>
        </row>
        <row r="463">
          <cell r="A463" t="str">
            <v>Ofsted Social Care Provider Webpage</v>
          </cell>
        </row>
        <row r="464">
          <cell r="A464" t="str">
            <v>Ofsted Social Care Provider Webpage</v>
          </cell>
        </row>
        <row r="465">
          <cell r="A465" t="str">
            <v>Ofsted Social Care Provider Webpage</v>
          </cell>
        </row>
        <row r="466">
          <cell r="A466" t="str">
            <v>Ofsted Social Care Provider Webpage</v>
          </cell>
        </row>
        <row r="467">
          <cell r="A467" t="str">
            <v>Ofsted Social Care Provider Webpage</v>
          </cell>
        </row>
        <row r="468">
          <cell r="A468" t="str">
            <v>Ofsted Social Care Provider Webpage</v>
          </cell>
        </row>
        <row r="469">
          <cell r="A469" t="str">
            <v>Ofsted Social Care Provider Webpage</v>
          </cell>
        </row>
        <row r="470">
          <cell r="A470" t="str">
            <v>Ofsted Social Care Provider Webpage</v>
          </cell>
        </row>
        <row r="471">
          <cell r="A471" t="str">
            <v>Ofsted Social Care Provider Webpage</v>
          </cell>
        </row>
        <row r="472">
          <cell r="A472" t="str">
            <v>Ofsted Social Care Provider Webpage</v>
          </cell>
        </row>
        <row r="473">
          <cell r="A473" t="str">
            <v>Ofsted Social Care Provider Webpage</v>
          </cell>
        </row>
        <row r="474">
          <cell r="A474" t="str">
            <v>Ofsted Social Care Provider Webpage</v>
          </cell>
        </row>
        <row r="475">
          <cell r="A475" t="str">
            <v>Ofsted Social Care Provider Webpage</v>
          </cell>
        </row>
        <row r="476">
          <cell r="A476" t="str">
            <v>Ofsted Social Care Provider Webpage</v>
          </cell>
        </row>
        <row r="477">
          <cell r="A477" t="str">
            <v>Ofsted Social Care Provider Webpage</v>
          </cell>
        </row>
        <row r="478">
          <cell r="A478" t="str">
            <v>Ofsted Social Care Provider Webpage</v>
          </cell>
        </row>
        <row r="479">
          <cell r="A479" t="str">
            <v>Ofsted Social Care Provider Webpage</v>
          </cell>
        </row>
        <row r="480">
          <cell r="A480" t="str">
            <v>Ofsted Social Care Provider Webpage</v>
          </cell>
        </row>
        <row r="481">
          <cell r="A481" t="str">
            <v>Ofsted Social Care Provider Webpage</v>
          </cell>
        </row>
        <row r="482">
          <cell r="A482" t="str">
            <v>Ofsted Social Care Provider Webpage</v>
          </cell>
        </row>
        <row r="483">
          <cell r="A483" t="str">
            <v>Ofsted Social Care Provider Webpage</v>
          </cell>
        </row>
        <row r="484">
          <cell r="A484" t="str">
            <v>Ofsted Social Care Provider Webpage</v>
          </cell>
        </row>
        <row r="485">
          <cell r="A485" t="str">
            <v>Ofsted Social Care Provider Webpage</v>
          </cell>
        </row>
        <row r="486">
          <cell r="A486" t="str">
            <v>Ofsted Social Care Provider Webpage</v>
          </cell>
        </row>
        <row r="487">
          <cell r="A487" t="str">
            <v>Ofsted Social Care Provider Webpage</v>
          </cell>
        </row>
        <row r="488">
          <cell r="A488" t="str">
            <v>Ofsted Social Care Provider Webpage</v>
          </cell>
        </row>
        <row r="489">
          <cell r="A489" t="str">
            <v>Ofsted Social Care Provider Webpage</v>
          </cell>
        </row>
        <row r="490">
          <cell r="A490" t="str">
            <v>Ofsted Social Care Provider Webpage</v>
          </cell>
        </row>
        <row r="491">
          <cell r="A491" t="str">
            <v>Ofsted Social Care Provider Webpage</v>
          </cell>
        </row>
        <row r="492">
          <cell r="A492" t="str">
            <v>Ofsted Social Care Provider Webpage</v>
          </cell>
        </row>
        <row r="493">
          <cell r="A493" t="str">
            <v>Ofsted Social Care Provider Webpage</v>
          </cell>
        </row>
        <row r="494">
          <cell r="A494" t="str">
            <v>Ofsted Social Care Provider Webpage</v>
          </cell>
        </row>
        <row r="495">
          <cell r="A495" t="str">
            <v>Ofsted Social Care Provider Webpage</v>
          </cell>
        </row>
        <row r="496">
          <cell r="A496" t="str">
            <v>Ofsted Social Care Provider Webpage</v>
          </cell>
        </row>
        <row r="497">
          <cell r="A497" t="str">
            <v>Ofsted Social Care Provider Webpage</v>
          </cell>
        </row>
        <row r="498">
          <cell r="A498" t="str">
            <v>Ofsted Social Care Provider Webpage</v>
          </cell>
        </row>
        <row r="499">
          <cell r="A499" t="str">
            <v>Ofsted Social Care Provider Webpage</v>
          </cell>
        </row>
        <row r="500">
          <cell r="A500" t="str">
            <v>Ofsted Social Care Provider Webpage</v>
          </cell>
        </row>
        <row r="501">
          <cell r="A501" t="str">
            <v>Ofsted Social Care Provider Webpage</v>
          </cell>
        </row>
        <row r="502">
          <cell r="A502" t="str">
            <v>Ofsted Social Care Provider Webpage</v>
          </cell>
        </row>
        <row r="503">
          <cell r="A503" t="str">
            <v>Ofsted Social Care Provider Webpage</v>
          </cell>
        </row>
        <row r="504">
          <cell r="A504" t="str">
            <v>Ofsted Social Care Provider Webpage</v>
          </cell>
        </row>
        <row r="505">
          <cell r="A505" t="str">
            <v>Ofsted Social Care Provider Webpage</v>
          </cell>
        </row>
        <row r="506">
          <cell r="A506" t="str">
            <v>Ofsted Social Care Provider Webpage</v>
          </cell>
        </row>
        <row r="507">
          <cell r="A507" t="str">
            <v>Ofsted Social Care Provider Webpage</v>
          </cell>
        </row>
        <row r="508">
          <cell r="A508" t="str">
            <v>Ofsted Social Care Provider Webpage</v>
          </cell>
        </row>
        <row r="509">
          <cell r="A509" t="str">
            <v>Ofsted Social Care Provider Webpage</v>
          </cell>
        </row>
        <row r="510">
          <cell r="A510" t="str">
            <v>Ofsted Social Care Provider Webpage</v>
          </cell>
        </row>
        <row r="511">
          <cell r="A511" t="str">
            <v>Ofsted Social Care Provider Webpage</v>
          </cell>
        </row>
        <row r="512">
          <cell r="A512" t="str">
            <v>Ofsted Social Care Provider Webpage</v>
          </cell>
        </row>
        <row r="513">
          <cell r="A513" t="str">
            <v>Ofsted Social Care Provider Webpage</v>
          </cell>
        </row>
        <row r="514">
          <cell r="A514" t="str">
            <v>Ofsted Social Care Provider Webpage</v>
          </cell>
        </row>
        <row r="515">
          <cell r="A515" t="str">
            <v>Ofsted Social Care Provider Webpage</v>
          </cell>
        </row>
        <row r="516">
          <cell r="A516" t="str">
            <v>Ofsted Social Care Provider Webpage</v>
          </cell>
        </row>
        <row r="517">
          <cell r="A517" t="str">
            <v>Ofsted Social Care Provider Webpage</v>
          </cell>
        </row>
        <row r="518">
          <cell r="A518" t="str">
            <v>Ofsted Social Care Provider Webpage</v>
          </cell>
        </row>
        <row r="519">
          <cell r="A519" t="str">
            <v>Ofsted Social Care Provider Webpage</v>
          </cell>
        </row>
        <row r="520">
          <cell r="A520" t="str">
            <v>Ofsted Social Care Provider Webpage</v>
          </cell>
        </row>
        <row r="521">
          <cell r="A521" t="str">
            <v>Ofsted Social Care Provider Webpage</v>
          </cell>
        </row>
        <row r="522">
          <cell r="A522" t="str">
            <v>Ofsted Social Care Provider Webpage</v>
          </cell>
        </row>
        <row r="523">
          <cell r="A523" t="str">
            <v>Ofsted Social Care Provider Webpage</v>
          </cell>
        </row>
        <row r="524">
          <cell r="A524" t="str">
            <v>Ofsted Social Care Provider Webpage</v>
          </cell>
        </row>
        <row r="525">
          <cell r="A525" t="str">
            <v>Ofsted Social Care Provider Webpage</v>
          </cell>
        </row>
        <row r="526">
          <cell r="A526" t="str">
            <v>Ofsted Social Care Provider Webpage</v>
          </cell>
        </row>
        <row r="527">
          <cell r="A527" t="str">
            <v>Ofsted Social Care Provider Webpage</v>
          </cell>
        </row>
        <row r="528">
          <cell r="A528" t="str">
            <v>Ofsted Social Care Provider Webpage</v>
          </cell>
        </row>
        <row r="529">
          <cell r="A529" t="str">
            <v>Ofsted Social Care Provider Webpage</v>
          </cell>
        </row>
        <row r="530">
          <cell r="A530" t="str">
            <v>Ofsted Social Care Provider Webpage</v>
          </cell>
        </row>
        <row r="531">
          <cell r="A531" t="str">
            <v>Ofsted Social Care Provider Webpage</v>
          </cell>
        </row>
        <row r="532">
          <cell r="A532" t="str">
            <v>Ofsted Social Care Provider Webpage</v>
          </cell>
        </row>
        <row r="533">
          <cell r="A533" t="str">
            <v>Ofsted Social Care Provider Webpage</v>
          </cell>
        </row>
        <row r="534">
          <cell r="A534" t="str">
            <v>Ofsted Social Care Provider Webpage</v>
          </cell>
        </row>
        <row r="535">
          <cell r="A535" t="str">
            <v>Ofsted Social Care Provider Webpage</v>
          </cell>
        </row>
        <row r="536">
          <cell r="A536" t="str">
            <v>Ofsted Social Care Provider Webpage</v>
          </cell>
        </row>
        <row r="537">
          <cell r="A537" t="str">
            <v>Ofsted Social Care Provider Webpage</v>
          </cell>
        </row>
        <row r="538">
          <cell r="A538" t="str">
            <v>Ofsted Social Care Provider Webpage</v>
          </cell>
        </row>
        <row r="539">
          <cell r="A539" t="str">
            <v>Ofsted Social Care Provider Webpage</v>
          </cell>
        </row>
        <row r="540">
          <cell r="A540" t="str">
            <v>Ofsted Social Care Provider Webpage</v>
          </cell>
        </row>
        <row r="541">
          <cell r="A541" t="str">
            <v>Ofsted Social Care Provider Webpage</v>
          </cell>
        </row>
        <row r="542">
          <cell r="A542" t="str">
            <v>Ofsted Social Care Provider Webpage</v>
          </cell>
        </row>
        <row r="543">
          <cell r="A543" t="str">
            <v>Ofsted Social Care Provider Webpage</v>
          </cell>
        </row>
        <row r="544">
          <cell r="A544" t="str">
            <v>Ofsted Social Care Provider Webpage</v>
          </cell>
        </row>
        <row r="545">
          <cell r="A545" t="str">
            <v>Ofsted Social Care Provider Webpage</v>
          </cell>
        </row>
        <row r="546">
          <cell r="A546" t="str">
            <v>Ofsted Social Care Provider Webpage</v>
          </cell>
        </row>
        <row r="547">
          <cell r="A547" t="str">
            <v>Ofsted Social Care Provider Webpage</v>
          </cell>
        </row>
        <row r="548">
          <cell r="A548" t="str">
            <v>Ofsted Social Care Provider Webpage</v>
          </cell>
        </row>
        <row r="549">
          <cell r="A549" t="str">
            <v>Ofsted Social Care Provider Webpage</v>
          </cell>
        </row>
        <row r="550">
          <cell r="A550" t="str">
            <v>Ofsted Social Care Provider Webpage</v>
          </cell>
        </row>
        <row r="551">
          <cell r="A551" t="str">
            <v>Ofsted Social Care Provider Webpage</v>
          </cell>
        </row>
        <row r="552">
          <cell r="A552" t="str">
            <v>Ofsted Social Care Provider Webpage</v>
          </cell>
        </row>
        <row r="553">
          <cell r="A553" t="str">
            <v>Ofsted Social Care Provider Webpage</v>
          </cell>
        </row>
        <row r="554">
          <cell r="A554" t="str">
            <v>Ofsted Social Care Provider Webpage</v>
          </cell>
        </row>
        <row r="555">
          <cell r="A555" t="str">
            <v>Ofsted Social Care Provider Webpage</v>
          </cell>
        </row>
        <row r="556">
          <cell r="A556" t="str">
            <v>Ofsted Social Care Provider Webpage</v>
          </cell>
        </row>
        <row r="557">
          <cell r="A557" t="str">
            <v>Ofsted Social Care Provider Webpage</v>
          </cell>
        </row>
        <row r="558">
          <cell r="A558" t="str">
            <v>Ofsted Social Care Provider Webpage</v>
          </cell>
        </row>
        <row r="559">
          <cell r="A559" t="str">
            <v>Ofsted Social Care Provider Webpage</v>
          </cell>
        </row>
        <row r="560">
          <cell r="A560" t="str">
            <v>Ofsted Social Care Provider Webpage</v>
          </cell>
        </row>
        <row r="561">
          <cell r="A561" t="str">
            <v>Ofsted Social Care Provider Webpage</v>
          </cell>
        </row>
        <row r="562">
          <cell r="A562" t="str">
            <v>Ofsted Social Care Provider Webpage</v>
          </cell>
        </row>
        <row r="563">
          <cell r="A563" t="str">
            <v>Ofsted Social Care Provider Webpage</v>
          </cell>
        </row>
        <row r="564">
          <cell r="A564" t="str">
            <v>Ofsted Social Care Provider Webpage</v>
          </cell>
        </row>
        <row r="565">
          <cell r="A565" t="str">
            <v>Ofsted Social Care Provider Webpage</v>
          </cell>
        </row>
        <row r="566">
          <cell r="A566" t="str">
            <v>Ofsted Social Care Provider Webpage</v>
          </cell>
        </row>
        <row r="567">
          <cell r="A567" t="str">
            <v>Ofsted Social Care Provider Webpage</v>
          </cell>
        </row>
        <row r="568">
          <cell r="A568" t="str">
            <v>Ofsted Social Care Provider Webpage</v>
          </cell>
        </row>
        <row r="569">
          <cell r="A569" t="str">
            <v>Ofsted Social Care Provider Webpage</v>
          </cell>
        </row>
        <row r="570">
          <cell r="A570" t="str">
            <v>Ofsted Social Care Provider Webpage</v>
          </cell>
        </row>
        <row r="571">
          <cell r="A571" t="str">
            <v>Ofsted Social Care Provider Webpage</v>
          </cell>
        </row>
        <row r="572">
          <cell r="A572" t="str">
            <v>Ofsted Social Care Provider Webpage</v>
          </cell>
        </row>
        <row r="573">
          <cell r="A573" t="str">
            <v>Ofsted Social Care Provider Webpage</v>
          </cell>
        </row>
        <row r="574">
          <cell r="A574" t="str">
            <v>Ofsted Social Care Provider Webpage</v>
          </cell>
        </row>
        <row r="575">
          <cell r="A575" t="str">
            <v>Ofsted Social Care Provider Webpage</v>
          </cell>
        </row>
        <row r="576">
          <cell r="A576" t="str">
            <v>Ofsted Social Care Provider Webpage</v>
          </cell>
        </row>
        <row r="577">
          <cell r="A577" t="str">
            <v>Ofsted Social Care Provider Webpage</v>
          </cell>
        </row>
        <row r="578">
          <cell r="A578" t="str">
            <v>Ofsted Social Care Provider Webpage</v>
          </cell>
        </row>
        <row r="579">
          <cell r="A579" t="str">
            <v>Ofsted Social Care Provider Webpage</v>
          </cell>
        </row>
        <row r="580">
          <cell r="A580" t="str">
            <v>Ofsted Social Care Provider Webpage</v>
          </cell>
        </row>
        <row r="581">
          <cell r="A581" t="str">
            <v>Ofsted Social Care Provider Webpage</v>
          </cell>
        </row>
        <row r="582">
          <cell r="A582" t="str">
            <v>Ofsted Social Care Provider Webpage</v>
          </cell>
        </row>
        <row r="583">
          <cell r="A583" t="str">
            <v>Ofsted Social Care Provider Webpage</v>
          </cell>
        </row>
        <row r="584">
          <cell r="A584" t="str">
            <v>Ofsted Social Care Provider Webpage</v>
          </cell>
        </row>
        <row r="585">
          <cell r="A585" t="str">
            <v>Ofsted Social Care Provider Webpage</v>
          </cell>
        </row>
        <row r="586">
          <cell r="A586" t="str">
            <v>Ofsted Social Care Provider Webpage</v>
          </cell>
        </row>
        <row r="587">
          <cell r="A587" t="str">
            <v>Ofsted Social Care Provider Webpage</v>
          </cell>
        </row>
        <row r="588">
          <cell r="A588" t="str">
            <v>Ofsted Social Care Provider Webpage</v>
          </cell>
        </row>
        <row r="589">
          <cell r="A589" t="str">
            <v>Ofsted Social Care Provider Webpage</v>
          </cell>
        </row>
        <row r="590">
          <cell r="A590" t="str">
            <v>Ofsted Social Care Provider Webpage</v>
          </cell>
        </row>
        <row r="591">
          <cell r="A591" t="str">
            <v>Ofsted Social Care Provider Webpage</v>
          </cell>
        </row>
        <row r="592">
          <cell r="A592" t="str">
            <v>Ofsted Social Care Provider Webpage</v>
          </cell>
        </row>
        <row r="593">
          <cell r="A593" t="str">
            <v>Ofsted Social Care Provider Webpage</v>
          </cell>
        </row>
        <row r="594">
          <cell r="A594" t="str">
            <v>Ofsted Social Care Provider Webpage</v>
          </cell>
        </row>
        <row r="595">
          <cell r="A595" t="str">
            <v>Ofsted Social Care Provider Webpage</v>
          </cell>
        </row>
        <row r="596">
          <cell r="A596" t="str">
            <v>Ofsted Social Care Provider Webpage</v>
          </cell>
        </row>
        <row r="597">
          <cell r="A597" t="str">
            <v>Ofsted Social Care Provider Webpage</v>
          </cell>
        </row>
        <row r="598">
          <cell r="A598" t="str">
            <v>Ofsted Social Care Provider Webpage</v>
          </cell>
        </row>
        <row r="599">
          <cell r="A599" t="str">
            <v>Ofsted Social Care Provider Webpage</v>
          </cell>
        </row>
        <row r="600">
          <cell r="A600" t="str">
            <v>Ofsted Social Care Provider Webpage</v>
          </cell>
        </row>
        <row r="601">
          <cell r="A601" t="str">
            <v>Ofsted Social Care Provider Webpage</v>
          </cell>
        </row>
        <row r="602">
          <cell r="A602" t="str">
            <v>Ofsted Social Care Provider Webpage</v>
          </cell>
        </row>
        <row r="603">
          <cell r="A603" t="str">
            <v>Ofsted Social Care Provider Webpage</v>
          </cell>
        </row>
        <row r="604">
          <cell r="A604" t="str">
            <v>Ofsted Social Care Provider Webpage</v>
          </cell>
        </row>
        <row r="605">
          <cell r="A605" t="str">
            <v>Ofsted Social Care Provider Webpage</v>
          </cell>
        </row>
        <row r="606">
          <cell r="A606" t="str">
            <v>Ofsted Social Care Provider Webpage</v>
          </cell>
        </row>
        <row r="607">
          <cell r="A607" t="str">
            <v>Ofsted Social Care Provider Webpage</v>
          </cell>
        </row>
        <row r="608">
          <cell r="A608" t="str">
            <v>Ofsted Social Care Provider Webpage</v>
          </cell>
        </row>
        <row r="609">
          <cell r="A609" t="str">
            <v>Ofsted Social Care Provider Webpage</v>
          </cell>
        </row>
        <row r="610">
          <cell r="A610" t="str">
            <v>Ofsted Social Care Provider Webpage</v>
          </cell>
        </row>
        <row r="611">
          <cell r="A611" t="str">
            <v>Ofsted Social Care Provider Webpage</v>
          </cell>
        </row>
        <row r="612">
          <cell r="A612" t="str">
            <v>Ofsted Social Care Provider Webpage</v>
          </cell>
        </row>
        <row r="613">
          <cell r="A613" t="str">
            <v>Ofsted Social Care Provider Webpage</v>
          </cell>
        </row>
        <row r="614">
          <cell r="A614" t="str">
            <v>Ofsted Social Care Provider Webpage</v>
          </cell>
        </row>
        <row r="615">
          <cell r="A615" t="str">
            <v>Ofsted Social Care Provider Webpage</v>
          </cell>
        </row>
        <row r="616">
          <cell r="A616" t="str">
            <v>Ofsted Social Care Provider Webpage</v>
          </cell>
        </row>
        <row r="617">
          <cell r="A617" t="str">
            <v>Ofsted Social Care Provider Webpage</v>
          </cell>
        </row>
        <row r="618">
          <cell r="A618" t="str">
            <v>Ofsted Social Care Provider Webpage</v>
          </cell>
        </row>
        <row r="619">
          <cell r="A619" t="str">
            <v>Ofsted Social Care Provider Webpage</v>
          </cell>
        </row>
        <row r="620">
          <cell r="A620" t="str">
            <v>Ofsted Social Care Provider Webpage</v>
          </cell>
        </row>
        <row r="621">
          <cell r="A621" t="str">
            <v>Ofsted Social Care Provider Webpage</v>
          </cell>
        </row>
        <row r="622">
          <cell r="A622" t="str">
            <v>Ofsted Social Care Provider Webpage</v>
          </cell>
        </row>
        <row r="623">
          <cell r="A623" t="str">
            <v>Ofsted Social Care Provider Webpage</v>
          </cell>
        </row>
        <row r="624">
          <cell r="A624" t="str">
            <v>Ofsted Social Care Provider Webpage</v>
          </cell>
        </row>
        <row r="625">
          <cell r="A625" t="str">
            <v>Ofsted Social Care Provider Webpage</v>
          </cell>
        </row>
        <row r="626">
          <cell r="A626" t="str">
            <v>Ofsted Social Care Provider Webpage</v>
          </cell>
        </row>
        <row r="627">
          <cell r="A627" t="str">
            <v>Ofsted Social Care Provider Webpage</v>
          </cell>
        </row>
        <row r="628">
          <cell r="A628" t="str">
            <v>Ofsted Social Care Provider Webpage</v>
          </cell>
        </row>
        <row r="629">
          <cell r="A629" t="str">
            <v>Ofsted Social Care Provider Webpage</v>
          </cell>
        </row>
        <row r="630">
          <cell r="A630" t="str">
            <v>Ofsted Social Care Provider Webpage</v>
          </cell>
        </row>
        <row r="631">
          <cell r="A631" t="str">
            <v>Ofsted Social Care Provider Webpage</v>
          </cell>
        </row>
        <row r="632">
          <cell r="A632" t="str">
            <v>Ofsted Social Care Provider Webpage</v>
          </cell>
        </row>
        <row r="633">
          <cell r="A633" t="str">
            <v>Ofsted Social Care Provider Webpage</v>
          </cell>
        </row>
        <row r="634">
          <cell r="A634" t="str">
            <v>Ofsted Social Care Provider Webpage</v>
          </cell>
        </row>
        <row r="635">
          <cell r="A635" t="str">
            <v>Ofsted Social Care Provider Webpage</v>
          </cell>
        </row>
        <row r="636">
          <cell r="A636" t="str">
            <v>Ofsted Social Care Provider Webpage</v>
          </cell>
        </row>
        <row r="637">
          <cell r="A637" t="str">
            <v>Ofsted Social Care Provider Webpage</v>
          </cell>
        </row>
        <row r="638">
          <cell r="A638" t="str">
            <v>Ofsted Social Care Provider Webpage</v>
          </cell>
        </row>
        <row r="639">
          <cell r="A639" t="str">
            <v>Ofsted Social Care Provider Webpage</v>
          </cell>
        </row>
        <row r="640">
          <cell r="A640" t="str">
            <v>Ofsted Social Care Provider Webpage</v>
          </cell>
        </row>
        <row r="641">
          <cell r="A641" t="str">
            <v>Ofsted Social Care Provider Webpage</v>
          </cell>
        </row>
        <row r="642">
          <cell r="A642" t="str">
            <v>Ofsted Social Care Provider Webpage</v>
          </cell>
        </row>
        <row r="643">
          <cell r="A643" t="str">
            <v>Ofsted Social Care Provider Webpage</v>
          </cell>
        </row>
        <row r="644">
          <cell r="A644" t="str">
            <v>Ofsted Social Care Provider Webpage</v>
          </cell>
        </row>
        <row r="645">
          <cell r="A645" t="str">
            <v>Ofsted Social Care Provider Webpage</v>
          </cell>
        </row>
        <row r="646">
          <cell r="A646" t="str">
            <v>Ofsted Social Care Provider Webpage</v>
          </cell>
        </row>
        <row r="647">
          <cell r="A647" t="str">
            <v>Ofsted Social Care Provider Webpage</v>
          </cell>
        </row>
        <row r="648">
          <cell r="A648" t="str">
            <v>Ofsted Social Care Provider Webpage</v>
          </cell>
        </row>
        <row r="649">
          <cell r="A649" t="str">
            <v>Ofsted Social Care Provider Webpage</v>
          </cell>
        </row>
        <row r="650">
          <cell r="A650" t="str">
            <v>Ofsted Social Care Provider Webpage</v>
          </cell>
        </row>
        <row r="651">
          <cell r="A651" t="str">
            <v>Ofsted Social Care Provider Webpage</v>
          </cell>
        </row>
        <row r="652">
          <cell r="A652" t="str">
            <v>Ofsted Social Care Provider Webpage</v>
          </cell>
        </row>
        <row r="653">
          <cell r="A653" t="str">
            <v>Ofsted Social Care Provider Webpage</v>
          </cell>
        </row>
        <row r="654">
          <cell r="A654" t="str">
            <v>Ofsted Social Care Provider Webpage</v>
          </cell>
        </row>
        <row r="655">
          <cell r="A655" t="str">
            <v>Ofsted Social Care Provider Webpage</v>
          </cell>
        </row>
        <row r="656">
          <cell r="A656" t="str">
            <v>Ofsted Social Care Provider Webpage</v>
          </cell>
        </row>
        <row r="657">
          <cell r="A657" t="str">
            <v>Ofsted Social Care Provider Webpage</v>
          </cell>
        </row>
        <row r="658">
          <cell r="A658" t="str">
            <v>Ofsted Social Care Provider Webpage</v>
          </cell>
        </row>
        <row r="659">
          <cell r="A659" t="str">
            <v>Ofsted Social Care Provider Webpage</v>
          </cell>
        </row>
        <row r="660">
          <cell r="A660" t="str">
            <v>Ofsted Social Care Provider Webpage</v>
          </cell>
        </row>
        <row r="661">
          <cell r="A661" t="str">
            <v>Ofsted Social Care Provider Webpage</v>
          </cell>
        </row>
        <row r="662">
          <cell r="A662" t="str">
            <v>Ofsted Social Care Provider Webpage</v>
          </cell>
        </row>
        <row r="663">
          <cell r="A663" t="str">
            <v>Ofsted Social Care Provider Webpage</v>
          </cell>
        </row>
        <row r="664">
          <cell r="A664" t="str">
            <v>Ofsted Social Care Provider Webpage</v>
          </cell>
        </row>
        <row r="665">
          <cell r="A665" t="str">
            <v>Ofsted Social Care Provider Webpage</v>
          </cell>
        </row>
        <row r="666">
          <cell r="A666" t="str">
            <v>Ofsted Social Care Provider Webpage</v>
          </cell>
        </row>
        <row r="667">
          <cell r="A667" t="str">
            <v>Ofsted Social Care Provider Webpage</v>
          </cell>
        </row>
        <row r="668">
          <cell r="A668" t="str">
            <v>Ofsted Social Care Provider Webpage</v>
          </cell>
        </row>
        <row r="669">
          <cell r="A669" t="str">
            <v>Ofsted Social Care Provider Webpage</v>
          </cell>
        </row>
        <row r="670">
          <cell r="A670" t="str">
            <v>Ofsted Social Care Provider Webpage</v>
          </cell>
        </row>
        <row r="671">
          <cell r="A671" t="str">
            <v>Ofsted Social Care Provider Webpage</v>
          </cell>
        </row>
        <row r="672">
          <cell r="A672" t="str">
            <v>Ofsted Social Care Provider Webpage</v>
          </cell>
        </row>
        <row r="673">
          <cell r="A673" t="str">
            <v>Ofsted Social Care Provider Webpage</v>
          </cell>
        </row>
        <row r="674">
          <cell r="A674" t="str">
            <v>Ofsted Social Care Provider Webpage</v>
          </cell>
        </row>
        <row r="675">
          <cell r="A675" t="str">
            <v>Ofsted Social Care Provider Webpage</v>
          </cell>
        </row>
        <row r="676">
          <cell r="A676" t="str">
            <v>Ofsted Social Care Provider Webpage</v>
          </cell>
        </row>
        <row r="677">
          <cell r="A677" t="str">
            <v>Ofsted Social Care Provider Webpage</v>
          </cell>
        </row>
        <row r="678">
          <cell r="A678" t="str">
            <v>Ofsted Social Care Provider Webpage</v>
          </cell>
        </row>
        <row r="679">
          <cell r="A679" t="str">
            <v>Ofsted Social Care Provider Webpage</v>
          </cell>
        </row>
        <row r="680">
          <cell r="A680" t="str">
            <v>Ofsted Social Care Provider Webpage</v>
          </cell>
        </row>
        <row r="681">
          <cell r="A681" t="str">
            <v>Ofsted Social Care Provider Webpage</v>
          </cell>
        </row>
        <row r="682">
          <cell r="A682" t="str">
            <v>Ofsted Social Care Provider Webpage</v>
          </cell>
        </row>
        <row r="683">
          <cell r="A683" t="str">
            <v>Ofsted Social Care Provider Webpage</v>
          </cell>
        </row>
        <row r="684">
          <cell r="A684" t="str">
            <v>Ofsted Social Care Provider Webpage</v>
          </cell>
        </row>
        <row r="685">
          <cell r="A685" t="str">
            <v>Ofsted Social Care Provider Webpage</v>
          </cell>
        </row>
        <row r="686">
          <cell r="A686" t="str">
            <v>Ofsted Social Care Provider Webpage</v>
          </cell>
        </row>
        <row r="687">
          <cell r="A687" t="str">
            <v>Ofsted Social Care Provider Webpage</v>
          </cell>
        </row>
        <row r="688">
          <cell r="A688" t="str">
            <v>Ofsted Social Care Provider Webpage</v>
          </cell>
        </row>
        <row r="689">
          <cell r="A689" t="str">
            <v>Ofsted Social Care Provider Webpage</v>
          </cell>
        </row>
        <row r="690">
          <cell r="A690" t="str">
            <v>Ofsted Social Care Provider Webpage</v>
          </cell>
        </row>
        <row r="691">
          <cell r="A691" t="str">
            <v>Ofsted Social Care Provider Webpage</v>
          </cell>
        </row>
        <row r="692">
          <cell r="A692" t="str">
            <v>Ofsted Social Care Provider Webpage</v>
          </cell>
        </row>
        <row r="693">
          <cell r="A693" t="str">
            <v>Ofsted Social Care Provider Webpage</v>
          </cell>
        </row>
        <row r="694">
          <cell r="A694" t="str">
            <v>Ofsted Social Care Provider Webpage</v>
          </cell>
        </row>
        <row r="695">
          <cell r="A695" t="str">
            <v>Ofsted Social Care Provider Webpage</v>
          </cell>
        </row>
        <row r="696">
          <cell r="A696" t="str">
            <v>Ofsted Social Care Provider Webpage</v>
          </cell>
        </row>
        <row r="697">
          <cell r="A697" t="str">
            <v>Ofsted Social Care Provider Webpage</v>
          </cell>
        </row>
        <row r="698">
          <cell r="A698" t="str">
            <v>Ofsted Social Care Provider Webpage</v>
          </cell>
        </row>
        <row r="699">
          <cell r="A699" t="str">
            <v>Ofsted Social Care Provider Webpage</v>
          </cell>
        </row>
        <row r="700">
          <cell r="A700" t="str">
            <v>Ofsted Social Care Provider Webpage</v>
          </cell>
        </row>
        <row r="701">
          <cell r="A701" t="str">
            <v>Ofsted Social Care Provider Webpage</v>
          </cell>
        </row>
        <row r="702">
          <cell r="A702" t="str">
            <v>Ofsted Social Care Provider Webpage</v>
          </cell>
        </row>
        <row r="703">
          <cell r="A703" t="str">
            <v>Ofsted Social Care Provider Webpage</v>
          </cell>
        </row>
        <row r="704">
          <cell r="A704" t="str">
            <v>Ofsted Social Care Provider Webpage</v>
          </cell>
        </row>
        <row r="705">
          <cell r="A705" t="str">
            <v>Ofsted Social Care Provider Webpage</v>
          </cell>
        </row>
        <row r="706">
          <cell r="A706" t="str">
            <v>Ofsted Social Care Provider Webpage</v>
          </cell>
        </row>
        <row r="707">
          <cell r="A707" t="str">
            <v>Ofsted Social Care Provider Webpage</v>
          </cell>
        </row>
        <row r="708">
          <cell r="A708" t="str">
            <v>Ofsted Social Care Provider Webpage</v>
          </cell>
        </row>
        <row r="709">
          <cell r="A709" t="str">
            <v>Ofsted Social Care Provider Webpage</v>
          </cell>
        </row>
        <row r="710">
          <cell r="A710" t="str">
            <v>Ofsted Social Care Provider Webpage</v>
          </cell>
        </row>
        <row r="711">
          <cell r="A711" t="str">
            <v>Ofsted Social Care Provider Webpage</v>
          </cell>
        </row>
        <row r="712">
          <cell r="A712" t="str">
            <v>Ofsted Social Care Provider Webpage</v>
          </cell>
        </row>
        <row r="713">
          <cell r="A713" t="str">
            <v>Ofsted Social Care Provider Webpage</v>
          </cell>
        </row>
        <row r="714">
          <cell r="A714" t="str">
            <v>Ofsted Social Care Provider Webpage</v>
          </cell>
        </row>
        <row r="715">
          <cell r="A715" t="str">
            <v>Ofsted Social Care Provider Webpage</v>
          </cell>
        </row>
        <row r="716">
          <cell r="A716" t="str">
            <v>Ofsted Social Care Provider Webpage</v>
          </cell>
        </row>
        <row r="717">
          <cell r="A717" t="str">
            <v>Ofsted Social Care Provider Webpage</v>
          </cell>
        </row>
        <row r="718">
          <cell r="A718" t="str">
            <v>Ofsted Social Care Provider Webpage</v>
          </cell>
        </row>
        <row r="719">
          <cell r="A719" t="str">
            <v>Ofsted Social Care Provider Webpage</v>
          </cell>
        </row>
        <row r="720">
          <cell r="A720" t="str">
            <v>Ofsted Social Care Provider Webpage</v>
          </cell>
        </row>
        <row r="721">
          <cell r="A721" t="str">
            <v>Ofsted Social Care Provider Webpage</v>
          </cell>
        </row>
        <row r="722">
          <cell r="A722" t="str">
            <v>Ofsted Social Care Provider Webpage</v>
          </cell>
        </row>
        <row r="723">
          <cell r="A723" t="str">
            <v>Ofsted Social Care Provider Webpage</v>
          </cell>
        </row>
        <row r="724">
          <cell r="A724" t="str">
            <v>Ofsted Social Care Provider Webpage</v>
          </cell>
        </row>
        <row r="725">
          <cell r="A725" t="str">
            <v>Ofsted Social Care Provider Webpage</v>
          </cell>
        </row>
        <row r="726">
          <cell r="A726" t="str">
            <v>Ofsted Social Care Provider Webpage</v>
          </cell>
        </row>
        <row r="727">
          <cell r="A727" t="str">
            <v>Ofsted Social Care Provider Webpage</v>
          </cell>
        </row>
        <row r="728">
          <cell r="A728" t="str">
            <v>Ofsted Social Care Provider Webpage</v>
          </cell>
        </row>
        <row r="729">
          <cell r="A729" t="str">
            <v>Ofsted Social Care Provider Webpage</v>
          </cell>
        </row>
        <row r="730">
          <cell r="A730" t="str">
            <v>Ofsted Social Care Provider Webpage</v>
          </cell>
        </row>
        <row r="731">
          <cell r="A731" t="str">
            <v>Ofsted Social Care Provider Webpage</v>
          </cell>
        </row>
        <row r="732">
          <cell r="A732" t="str">
            <v>Ofsted Social Care Provider Webpage</v>
          </cell>
        </row>
        <row r="733">
          <cell r="A733" t="str">
            <v>Ofsted Social Care Provider Webpage</v>
          </cell>
        </row>
        <row r="734">
          <cell r="A734" t="str">
            <v>Ofsted Social Care Provider Webpage</v>
          </cell>
        </row>
        <row r="735">
          <cell r="A735" t="str">
            <v>Ofsted Social Care Provider Webpage</v>
          </cell>
        </row>
        <row r="736">
          <cell r="A736" t="str">
            <v>Ofsted Social Care Provider Webpage</v>
          </cell>
        </row>
        <row r="737">
          <cell r="A737" t="str">
            <v>Ofsted Social Care Provider Webpage</v>
          </cell>
        </row>
        <row r="738">
          <cell r="A738" t="str">
            <v>Ofsted Social Care Provider Webpage</v>
          </cell>
        </row>
        <row r="739">
          <cell r="A739" t="str">
            <v>Ofsted Social Care Provider Webpage</v>
          </cell>
        </row>
        <row r="740">
          <cell r="A740" t="str">
            <v>Ofsted Social Care Provider Webpage</v>
          </cell>
        </row>
        <row r="741">
          <cell r="A741" t="str">
            <v>Ofsted Social Care Provider Webpage</v>
          </cell>
        </row>
        <row r="742">
          <cell r="A742" t="str">
            <v>Ofsted Social Care Provider Webpage</v>
          </cell>
        </row>
        <row r="743">
          <cell r="A743" t="str">
            <v>Ofsted Social Care Provider Webpage</v>
          </cell>
        </row>
        <row r="744">
          <cell r="A744" t="str">
            <v>Ofsted Social Care Provider Webpage</v>
          </cell>
        </row>
        <row r="745">
          <cell r="A745" t="str">
            <v>Ofsted Social Care Provider Webpage</v>
          </cell>
        </row>
        <row r="746">
          <cell r="A746" t="str">
            <v>Ofsted Social Care Provider Webpage</v>
          </cell>
        </row>
        <row r="747">
          <cell r="A747" t="str">
            <v>Ofsted Social Care Provider Webpage</v>
          </cell>
        </row>
        <row r="748">
          <cell r="A748" t="str">
            <v>Ofsted Social Care Provider Webpage</v>
          </cell>
        </row>
        <row r="749">
          <cell r="A749" t="str">
            <v>Ofsted Social Care Provider Webpage</v>
          </cell>
        </row>
        <row r="750">
          <cell r="A750" t="str">
            <v>Ofsted Social Care Provider Webpage</v>
          </cell>
        </row>
        <row r="751">
          <cell r="A751" t="str">
            <v>Ofsted Social Care Provider Webpage</v>
          </cell>
        </row>
        <row r="752">
          <cell r="A752" t="str">
            <v>Ofsted Social Care Provider Webpage</v>
          </cell>
        </row>
        <row r="753">
          <cell r="A753" t="str">
            <v>Ofsted Social Care Provider Webpage</v>
          </cell>
        </row>
        <row r="754">
          <cell r="A754" t="str">
            <v>Ofsted Social Care Provider Webpage</v>
          </cell>
        </row>
        <row r="755">
          <cell r="A755" t="str">
            <v>Ofsted Social Care Provider Webpage</v>
          </cell>
        </row>
        <row r="756">
          <cell r="A756" t="str">
            <v>Ofsted Social Care Provider Webpage</v>
          </cell>
        </row>
        <row r="757">
          <cell r="A757" t="str">
            <v>Ofsted Social Care Provider Webpage</v>
          </cell>
        </row>
        <row r="758">
          <cell r="A758" t="str">
            <v>Ofsted Social Care Provider Webpage</v>
          </cell>
        </row>
        <row r="759">
          <cell r="A759" t="str">
            <v>Ofsted Social Care Provider Webpage</v>
          </cell>
        </row>
        <row r="760">
          <cell r="A760" t="str">
            <v>Ofsted Social Care Provider Webpage</v>
          </cell>
        </row>
        <row r="761">
          <cell r="A761" t="str">
            <v>Ofsted Social Care Provider Webpage</v>
          </cell>
        </row>
        <row r="762">
          <cell r="A762" t="str">
            <v>Ofsted Social Care Provider Webpage</v>
          </cell>
        </row>
        <row r="763">
          <cell r="A763" t="str">
            <v>Ofsted Social Care Provider Webpage</v>
          </cell>
        </row>
        <row r="764">
          <cell r="A764" t="str">
            <v>Ofsted Social Care Provider Webpage</v>
          </cell>
        </row>
        <row r="765">
          <cell r="A765" t="str">
            <v>Ofsted Social Care Provider Webpage</v>
          </cell>
        </row>
        <row r="766">
          <cell r="A766" t="str">
            <v>Ofsted Social Care Provider Webpage</v>
          </cell>
        </row>
        <row r="767">
          <cell r="A767" t="str">
            <v>Ofsted Social Care Provider Webpage</v>
          </cell>
        </row>
        <row r="768">
          <cell r="A768" t="str">
            <v>Ofsted Social Care Provider Webpage</v>
          </cell>
        </row>
        <row r="769">
          <cell r="A769" t="str">
            <v>Ofsted Social Care Provider Webpage</v>
          </cell>
        </row>
        <row r="770">
          <cell r="A770" t="str">
            <v>Ofsted Social Care Provider Webpage</v>
          </cell>
        </row>
        <row r="771">
          <cell r="A771" t="str">
            <v>Ofsted Social Care Provider Webpage</v>
          </cell>
        </row>
        <row r="772">
          <cell r="A772" t="str">
            <v>Ofsted Social Care Provider Webpage</v>
          </cell>
        </row>
        <row r="773">
          <cell r="A773" t="str">
            <v>Ofsted Social Care Provider Webpage</v>
          </cell>
        </row>
        <row r="774">
          <cell r="A774" t="str">
            <v>Ofsted Social Care Provider Webpage</v>
          </cell>
        </row>
        <row r="775">
          <cell r="A775" t="str">
            <v>Ofsted Social Care Provider Webpage</v>
          </cell>
        </row>
        <row r="776">
          <cell r="A776" t="str">
            <v>Ofsted Social Care Provider Webpage</v>
          </cell>
        </row>
        <row r="777">
          <cell r="A777" t="str">
            <v>Ofsted Social Care Provider Webpage</v>
          </cell>
        </row>
        <row r="778">
          <cell r="A778" t="str">
            <v>Ofsted Social Care Provider Webpage</v>
          </cell>
        </row>
        <row r="779">
          <cell r="A779" t="str">
            <v>Ofsted Social Care Provider Webpage</v>
          </cell>
        </row>
        <row r="780">
          <cell r="A780" t="str">
            <v>Ofsted Social Care Provider Webpage</v>
          </cell>
        </row>
        <row r="781">
          <cell r="A781" t="str">
            <v>Ofsted Social Care Provider Webpage</v>
          </cell>
        </row>
        <row r="782">
          <cell r="A782" t="str">
            <v>Ofsted Social Care Provider Webpage</v>
          </cell>
        </row>
        <row r="783">
          <cell r="A783" t="str">
            <v>Ofsted Social Care Provider Webpage</v>
          </cell>
        </row>
        <row r="784">
          <cell r="A784" t="str">
            <v>Ofsted Social Care Provider Webpage</v>
          </cell>
        </row>
        <row r="785">
          <cell r="A785" t="str">
            <v>Ofsted Social Care Provider Webpage</v>
          </cell>
        </row>
        <row r="786">
          <cell r="A786" t="str">
            <v>Ofsted Social Care Provider Webpage</v>
          </cell>
        </row>
        <row r="787">
          <cell r="A787" t="str">
            <v>Ofsted Social Care Provider Webpage</v>
          </cell>
        </row>
        <row r="788">
          <cell r="A788" t="str">
            <v>Ofsted Social Care Provider Webpage</v>
          </cell>
        </row>
        <row r="789">
          <cell r="A789" t="str">
            <v>Ofsted Social Care Provider Webpage</v>
          </cell>
        </row>
        <row r="790">
          <cell r="A790" t="str">
            <v>Ofsted Social Care Provider Webpage</v>
          </cell>
        </row>
        <row r="791">
          <cell r="A791" t="str">
            <v>Ofsted Social Care Provider Webpage</v>
          </cell>
        </row>
        <row r="792">
          <cell r="A792" t="str">
            <v>Ofsted Social Care Provider Webpage</v>
          </cell>
        </row>
        <row r="793">
          <cell r="A793" t="str">
            <v>Ofsted Social Care Provider Webpage</v>
          </cell>
        </row>
        <row r="794">
          <cell r="A794" t="str">
            <v>Ofsted Social Care Provider Webpage</v>
          </cell>
        </row>
        <row r="795">
          <cell r="A795" t="str">
            <v>Ofsted Social Care Provider Webpage</v>
          </cell>
        </row>
        <row r="796">
          <cell r="A796" t="str">
            <v>Ofsted Social Care Provider Webpage</v>
          </cell>
        </row>
        <row r="797">
          <cell r="A797" t="str">
            <v>Ofsted Social Care Provider Webpage</v>
          </cell>
        </row>
        <row r="798">
          <cell r="A798" t="str">
            <v>Ofsted Social Care Provider Webpage</v>
          </cell>
        </row>
        <row r="799">
          <cell r="A799" t="str">
            <v>Ofsted Social Care Provider Webpage</v>
          </cell>
        </row>
        <row r="800">
          <cell r="A800" t="str">
            <v>Ofsted Social Care Provider Webpage</v>
          </cell>
        </row>
        <row r="801">
          <cell r="A801" t="str">
            <v>Ofsted Social Care Provider Webpage</v>
          </cell>
        </row>
        <row r="802">
          <cell r="A802" t="str">
            <v>Ofsted Social Care Provider Webpage</v>
          </cell>
        </row>
        <row r="803">
          <cell r="A803" t="str">
            <v>Ofsted Social Care Provider Webpage</v>
          </cell>
        </row>
        <row r="804">
          <cell r="A804" t="str">
            <v>Ofsted Social Care Provider Webpage</v>
          </cell>
        </row>
        <row r="805">
          <cell r="A805" t="str">
            <v>Ofsted Social Care Provider Webpage</v>
          </cell>
        </row>
        <row r="806">
          <cell r="A806" t="str">
            <v>Ofsted Social Care Provider Webpage</v>
          </cell>
        </row>
        <row r="807">
          <cell r="A807" t="str">
            <v>Ofsted Social Care Provider Webpage</v>
          </cell>
        </row>
        <row r="808">
          <cell r="A808" t="str">
            <v>Ofsted Social Care Provider Webpage</v>
          </cell>
        </row>
        <row r="809">
          <cell r="A809" t="str">
            <v>Ofsted Social Care Provider Webpage</v>
          </cell>
        </row>
        <row r="810">
          <cell r="A810" t="str">
            <v>Ofsted Social Care Provider Webpage</v>
          </cell>
        </row>
        <row r="811">
          <cell r="A811" t="str">
            <v>Ofsted Social Care Provider Webpage</v>
          </cell>
        </row>
        <row r="812">
          <cell r="A812" t="str">
            <v>Ofsted Social Care Provider Webpage</v>
          </cell>
        </row>
        <row r="813">
          <cell r="A813" t="str">
            <v>Ofsted Social Care Provider Webpage</v>
          </cell>
        </row>
        <row r="814">
          <cell r="A814" t="str">
            <v>Ofsted Social Care Provider Webpage</v>
          </cell>
        </row>
        <row r="815">
          <cell r="A815" t="str">
            <v>Ofsted Social Care Provider Webpage</v>
          </cell>
        </row>
        <row r="816">
          <cell r="A816" t="str">
            <v>Ofsted Social Care Provider Webpage</v>
          </cell>
        </row>
        <row r="817">
          <cell r="A817" t="str">
            <v>Ofsted Social Care Provider Webpage</v>
          </cell>
        </row>
        <row r="818">
          <cell r="A818" t="str">
            <v>Ofsted Social Care Provider Webpage</v>
          </cell>
        </row>
        <row r="819">
          <cell r="A819" t="str">
            <v>Ofsted Social Care Provider Webpage</v>
          </cell>
        </row>
        <row r="820">
          <cell r="A820" t="str">
            <v>Ofsted Social Care Provider Webpage</v>
          </cell>
        </row>
        <row r="821">
          <cell r="A821" t="str">
            <v>Ofsted Social Care Provider Webpage</v>
          </cell>
        </row>
        <row r="822">
          <cell r="A822" t="str">
            <v>Ofsted Social Care Provider Webpage</v>
          </cell>
        </row>
        <row r="823">
          <cell r="A823" t="str">
            <v>Ofsted Social Care Provider Webpage</v>
          </cell>
        </row>
        <row r="824">
          <cell r="A824" t="str">
            <v>Ofsted Social Care Provider Webpage</v>
          </cell>
        </row>
        <row r="825">
          <cell r="A825" t="str">
            <v>Ofsted Social Care Provider Webpage</v>
          </cell>
        </row>
        <row r="826">
          <cell r="A826" t="str">
            <v>Ofsted Social Care Provider Webpage</v>
          </cell>
        </row>
        <row r="827">
          <cell r="A827" t="str">
            <v>Ofsted Social Care Provider Webpage</v>
          </cell>
        </row>
        <row r="828">
          <cell r="A828" t="str">
            <v>Ofsted Social Care Provider Webpage</v>
          </cell>
        </row>
        <row r="829">
          <cell r="A829" t="str">
            <v>Ofsted Social Care Provider Webpage</v>
          </cell>
        </row>
        <row r="830">
          <cell r="A830" t="str">
            <v>Ofsted Social Care Provider Webpage</v>
          </cell>
        </row>
        <row r="831">
          <cell r="A831" t="str">
            <v>Ofsted Social Care Provider Webpage</v>
          </cell>
        </row>
        <row r="832">
          <cell r="A832" t="str">
            <v>Ofsted Social Care Provider Webpage</v>
          </cell>
        </row>
        <row r="833">
          <cell r="A833" t="str">
            <v>Ofsted Social Care Provider Webpage</v>
          </cell>
        </row>
        <row r="834">
          <cell r="A834" t="str">
            <v>Ofsted Social Care Provider Webpage</v>
          </cell>
        </row>
        <row r="835">
          <cell r="A835" t="str">
            <v>Ofsted Social Care Provider Webpage</v>
          </cell>
        </row>
        <row r="836">
          <cell r="A836" t="str">
            <v>Ofsted Social Care Provider Webpage</v>
          </cell>
        </row>
        <row r="837">
          <cell r="A837" t="str">
            <v>Ofsted Social Care Provider Webpage</v>
          </cell>
        </row>
        <row r="838">
          <cell r="A838" t="str">
            <v>Ofsted Social Care Provider Webpage</v>
          </cell>
        </row>
        <row r="839">
          <cell r="A839" t="str">
            <v>Ofsted Social Care Provider Webpage</v>
          </cell>
        </row>
        <row r="840">
          <cell r="A840" t="str">
            <v>Ofsted Social Care Provider Webpage</v>
          </cell>
        </row>
        <row r="841">
          <cell r="A841" t="str">
            <v>Ofsted Social Care Provider Webpage</v>
          </cell>
        </row>
        <row r="842">
          <cell r="A842" t="str">
            <v>Ofsted Social Care Provider Webpage</v>
          </cell>
        </row>
        <row r="843">
          <cell r="A843" t="str">
            <v>Ofsted Social Care Provider Webpage</v>
          </cell>
        </row>
        <row r="844">
          <cell r="A844" t="str">
            <v>Ofsted Social Care Provider Webpage</v>
          </cell>
        </row>
        <row r="845">
          <cell r="A845" t="str">
            <v>Ofsted Social Care Provider Webpage</v>
          </cell>
        </row>
        <row r="846">
          <cell r="A846" t="str">
            <v>Ofsted Social Care Provider Webpage</v>
          </cell>
        </row>
        <row r="847">
          <cell r="A847" t="str">
            <v>Ofsted Social Care Provider Webpage</v>
          </cell>
        </row>
        <row r="848">
          <cell r="A848" t="str">
            <v>Ofsted Social Care Provider Webpage</v>
          </cell>
        </row>
        <row r="849">
          <cell r="A849" t="str">
            <v>Ofsted Social Care Provider Webpage</v>
          </cell>
        </row>
        <row r="850">
          <cell r="A850" t="str">
            <v>Ofsted Social Care Provider Webpage</v>
          </cell>
        </row>
        <row r="851">
          <cell r="A851" t="str">
            <v>Ofsted Social Care Provider Webpage</v>
          </cell>
        </row>
        <row r="852">
          <cell r="A852" t="str">
            <v>Ofsted Social Care Provider Webpage</v>
          </cell>
        </row>
        <row r="853">
          <cell r="A853" t="str">
            <v>Ofsted Social Care Provider Webpage</v>
          </cell>
        </row>
        <row r="854">
          <cell r="A854" t="str">
            <v>Ofsted Social Care Provider Webpage</v>
          </cell>
        </row>
        <row r="855">
          <cell r="A855" t="str">
            <v>Ofsted Social Care Provider Webpage</v>
          </cell>
        </row>
        <row r="856">
          <cell r="A856" t="str">
            <v>Ofsted Social Care Provider Webpage</v>
          </cell>
        </row>
        <row r="857">
          <cell r="A857" t="str">
            <v>Ofsted Social Care Provider Webpage</v>
          </cell>
        </row>
        <row r="858">
          <cell r="A858" t="str">
            <v>Ofsted Social Care Provider Webpage</v>
          </cell>
        </row>
        <row r="859">
          <cell r="A859" t="str">
            <v>Ofsted Social Care Provider Webpage</v>
          </cell>
        </row>
        <row r="860">
          <cell r="A860" t="str">
            <v>Ofsted Social Care Provider Webpage</v>
          </cell>
        </row>
        <row r="861">
          <cell r="A861" t="str">
            <v>Ofsted Social Care Provider Webpage</v>
          </cell>
        </row>
        <row r="862">
          <cell r="A862" t="str">
            <v>Ofsted Social Care Provider Webpage</v>
          </cell>
        </row>
        <row r="863">
          <cell r="A863" t="str">
            <v>Ofsted Social Care Provider Webpage</v>
          </cell>
        </row>
        <row r="864">
          <cell r="A864" t="str">
            <v>Ofsted Social Care Provider Webpage</v>
          </cell>
        </row>
        <row r="865">
          <cell r="A865" t="str">
            <v>Ofsted Social Care Provider Webpage</v>
          </cell>
        </row>
        <row r="866">
          <cell r="A866" t="str">
            <v>Ofsted Social Care Provider Webpage</v>
          </cell>
        </row>
        <row r="867">
          <cell r="A867" t="str">
            <v>Ofsted Social Care Provider Webpage</v>
          </cell>
        </row>
        <row r="868">
          <cell r="A868" t="str">
            <v>Ofsted Social Care Provider Webpage</v>
          </cell>
        </row>
        <row r="869">
          <cell r="A869" t="str">
            <v>Ofsted Social Care Provider Webpage</v>
          </cell>
        </row>
        <row r="870">
          <cell r="A870" t="str">
            <v>Ofsted Social Care Provider Webpage</v>
          </cell>
        </row>
        <row r="871">
          <cell r="A871" t="str">
            <v>Ofsted Social Care Provider Webpage</v>
          </cell>
        </row>
        <row r="872">
          <cell r="A872" t="str">
            <v>Ofsted Social Care Provider Webpage</v>
          </cell>
        </row>
        <row r="873">
          <cell r="A873" t="str">
            <v>Ofsted Social Care Provider Webpage</v>
          </cell>
        </row>
        <row r="874">
          <cell r="A874" t="str">
            <v>Ofsted Social Care Provider Webpage</v>
          </cell>
        </row>
        <row r="875">
          <cell r="A875" t="str">
            <v>Ofsted Social Care Provider Webpage</v>
          </cell>
        </row>
        <row r="876">
          <cell r="A876" t="str">
            <v>Ofsted Social Care Provider Webpage</v>
          </cell>
        </row>
        <row r="877">
          <cell r="A877" t="str">
            <v>Ofsted Social Care Provider Webpage</v>
          </cell>
        </row>
        <row r="878">
          <cell r="A878" t="str">
            <v>Ofsted Social Care Provider Webpage</v>
          </cell>
        </row>
        <row r="879">
          <cell r="A879" t="str">
            <v>Ofsted Social Care Provider Webpage</v>
          </cell>
        </row>
        <row r="880">
          <cell r="A880" t="str">
            <v>Ofsted Social Care Provider Webpage</v>
          </cell>
        </row>
        <row r="881">
          <cell r="A881" t="str">
            <v>Ofsted Social Care Provider Webpage</v>
          </cell>
        </row>
        <row r="882">
          <cell r="A882" t="str">
            <v>Ofsted Social Care Provider Webpage</v>
          </cell>
        </row>
        <row r="883">
          <cell r="A883" t="str">
            <v>Ofsted Social Care Provider Webpage</v>
          </cell>
        </row>
        <row r="884">
          <cell r="A884" t="str">
            <v>Ofsted Social Care Provider Webpage</v>
          </cell>
        </row>
        <row r="885">
          <cell r="A885" t="str">
            <v>Ofsted Social Care Provider Webpage</v>
          </cell>
        </row>
        <row r="886">
          <cell r="A886" t="str">
            <v>Ofsted Social Care Provider Webpage</v>
          </cell>
        </row>
        <row r="887">
          <cell r="A887" t="str">
            <v>Ofsted Social Care Provider Webpage</v>
          </cell>
        </row>
        <row r="888">
          <cell r="A888" t="str">
            <v>Ofsted Social Care Provider Webpage</v>
          </cell>
        </row>
        <row r="889">
          <cell r="A889" t="str">
            <v>Ofsted Social Care Provider Webpage</v>
          </cell>
        </row>
        <row r="890">
          <cell r="A890" t="str">
            <v>Ofsted Social Care Provider Webpage</v>
          </cell>
        </row>
        <row r="891">
          <cell r="A891" t="str">
            <v>Ofsted Social Care Provider Webpage</v>
          </cell>
        </row>
        <row r="892">
          <cell r="A892" t="str">
            <v>Ofsted Social Care Provider Webpage</v>
          </cell>
        </row>
        <row r="893">
          <cell r="A893" t="str">
            <v>Ofsted Social Care Provider Webpage</v>
          </cell>
        </row>
        <row r="894">
          <cell r="A894" t="str">
            <v>Ofsted Social Care Provider Webpage</v>
          </cell>
        </row>
        <row r="895">
          <cell r="A895" t="str">
            <v>Ofsted Social Care Provider Webpage</v>
          </cell>
        </row>
        <row r="896">
          <cell r="A896" t="str">
            <v>Ofsted Social Care Provider Webpage</v>
          </cell>
        </row>
        <row r="897">
          <cell r="A897" t="str">
            <v>Ofsted Social Care Provider Webpage</v>
          </cell>
        </row>
        <row r="898">
          <cell r="A898" t="str">
            <v>Ofsted Social Care Provider Webpage</v>
          </cell>
        </row>
        <row r="899">
          <cell r="A899" t="str">
            <v>Ofsted Social Care Provider Webpage</v>
          </cell>
        </row>
        <row r="900">
          <cell r="A900" t="str">
            <v>Ofsted Social Care Provider Webpage</v>
          </cell>
        </row>
        <row r="901">
          <cell r="A901" t="str">
            <v>Ofsted Social Care Provider Webpage</v>
          </cell>
        </row>
        <row r="902">
          <cell r="A902" t="str">
            <v>Ofsted Social Care Provider Webpage</v>
          </cell>
        </row>
        <row r="903">
          <cell r="A903" t="str">
            <v>Ofsted Social Care Provider Webpage</v>
          </cell>
        </row>
        <row r="904">
          <cell r="A904" t="str">
            <v>Ofsted Social Care Provider Webpage</v>
          </cell>
        </row>
        <row r="905">
          <cell r="A905" t="str">
            <v>Ofsted Social Care Provider Webpage</v>
          </cell>
        </row>
        <row r="906">
          <cell r="A906" t="str">
            <v>Ofsted Social Care Provider Webpage</v>
          </cell>
        </row>
        <row r="907">
          <cell r="A907" t="str">
            <v>Ofsted Social Care Provider Webpage</v>
          </cell>
        </row>
        <row r="908">
          <cell r="A908" t="str">
            <v>Ofsted Social Care Provider Webpage</v>
          </cell>
        </row>
        <row r="909">
          <cell r="A909" t="str">
            <v>Ofsted Social Care Provider Webpage</v>
          </cell>
        </row>
        <row r="910">
          <cell r="A910" t="str">
            <v>Ofsted Social Care Provider Webpage</v>
          </cell>
        </row>
        <row r="911">
          <cell r="A911" t="str">
            <v>Ofsted Social Care Provider Webpage</v>
          </cell>
        </row>
        <row r="912">
          <cell r="A912" t="str">
            <v>Ofsted Social Care Provider Webpage</v>
          </cell>
        </row>
        <row r="913">
          <cell r="A913" t="str">
            <v>Ofsted Social Care Provider Webpage</v>
          </cell>
        </row>
        <row r="914">
          <cell r="A914" t="str">
            <v>Ofsted Social Care Provider Webpage</v>
          </cell>
        </row>
        <row r="915">
          <cell r="A915" t="str">
            <v>Ofsted Social Care Provider Webpage</v>
          </cell>
        </row>
        <row r="916">
          <cell r="A916" t="str">
            <v>Ofsted Social Care Provider Webpage</v>
          </cell>
        </row>
        <row r="917">
          <cell r="A917" t="str">
            <v>Ofsted Social Care Provider Webpage</v>
          </cell>
        </row>
        <row r="918">
          <cell r="A918" t="str">
            <v>Ofsted Social Care Provider Webpage</v>
          </cell>
        </row>
        <row r="919">
          <cell r="A919" t="str">
            <v>Ofsted Social Care Provider Webpage</v>
          </cell>
        </row>
        <row r="920">
          <cell r="A920" t="str">
            <v>Ofsted Social Care Provider Webpage</v>
          </cell>
        </row>
        <row r="921">
          <cell r="A921" t="str">
            <v>Ofsted Social Care Provider Webpage</v>
          </cell>
        </row>
        <row r="922">
          <cell r="A922" t="str">
            <v>Ofsted Social Care Provider Webpage</v>
          </cell>
        </row>
        <row r="923">
          <cell r="A923" t="str">
            <v>Ofsted Social Care Provider Webpage</v>
          </cell>
        </row>
        <row r="924">
          <cell r="A924" t="str">
            <v>Ofsted Social Care Provider Webpage</v>
          </cell>
        </row>
        <row r="925">
          <cell r="A925" t="str">
            <v>Ofsted Social Care Provider Webpage</v>
          </cell>
        </row>
        <row r="926">
          <cell r="A926" t="str">
            <v>Ofsted Social Care Provider Webpage</v>
          </cell>
        </row>
        <row r="927">
          <cell r="A927" t="str">
            <v>Ofsted Social Care Provider Webpage</v>
          </cell>
        </row>
        <row r="928">
          <cell r="A928" t="str">
            <v>Ofsted Social Care Provider Webpage</v>
          </cell>
        </row>
        <row r="929">
          <cell r="A929" t="str">
            <v>Ofsted Social Care Provider Webpage</v>
          </cell>
        </row>
        <row r="930">
          <cell r="A930" t="str">
            <v>Ofsted Social Care Provider Webpage</v>
          </cell>
        </row>
        <row r="931">
          <cell r="A931" t="str">
            <v>Ofsted Social Care Provider Webpage</v>
          </cell>
        </row>
        <row r="932">
          <cell r="A932" t="str">
            <v>Ofsted Social Care Provider Webpage</v>
          </cell>
        </row>
        <row r="933">
          <cell r="A933" t="str">
            <v>Ofsted Social Care Provider Webpage</v>
          </cell>
        </row>
        <row r="934">
          <cell r="A934" t="str">
            <v>Ofsted Social Care Provider Webpage</v>
          </cell>
        </row>
        <row r="935">
          <cell r="A935" t="str">
            <v>Ofsted Social Care Provider Webpage</v>
          </cell>
        </row>
        <row r="936">
          <cell r="A936" t="str">
            <v>Ofsted Social Care Provider Webpage</v>
          </cell>
        </row>
        <row r="937">
          <cell r="A937" t="str">
            <v>Ofsted Social Care Provider Webpage</v>
          </cell>
        </row>
        <row r="938">
          <cell r="A938" t="str">
            <v>Ofsted Social Care Provider Webpage</v>
          </cell>
        </row>
        <row r="939">
          <cell r="A939" t="str">
            <v>Ofsted Social Care Provider Webpage</v>
          </cell>
        </row>
        <row r="940">
          <cell r="A940" t="str">
            <v>Ofsted Social Care Provider Webpage</v>
          </cell>
        </row>
        <row r="941">
          <cell r="A941" t="str">
            <v>Ofsted Social Care Provider Webpage</v>
          </cell>
        </row>
        <row r="942">
          <cell r="A942" t="str">
            <v>Ofsted Social Care Provider Webpage</v>
          </cell>
        </row>
        <row r="943">
          <cell r="A943" t="str">
            <v>Ofsted Social Care Provider Webpage</v>
          </cell>
        </row>
        <row r="944">
          <cell r="A944" t="str">
            <v>Ofsted Social Care Provider Webpage</v>
          </cell>
        </row>
        <row r="945">
          <cell r="A945" t="str">
            <v>Ofsted Social Care Provider Webpage</v>
          </cell>
        </row>
        <row r="946">
          <cell r="A946" t="str">
            <v>Ofsted Social Care Provider Webpage</v>
          </cell>
        </row>
        <row r="947">
          <cell r="A947" t="str">
            <v>Ofsted Social Care Provider Webpage</v>
          </cell>
        </row>
        <row r="948">
          <cell r="A948" t="str">
            <v>Ofsted Social Care Provider Webpage</v>
          </cell>
        </row>
        <row r="949">
          <cell r="A949" t="str">
            <v>Ofsted Social Care Provider Webpage</v>
          </cell>
        </row>
        <row r="950">
          <cell r="A950" t="str">
            <v>Ofsted Social Care Provider Webpage</v>
          </cell>
        </row>
        <row r="951">
          <cell r="A951" t="str">
            <v>Ofsted Social Care Provider Webpage</v>
          </cell>
        </row>
        <row r="952">
          <cell r="A952" t="str">
            <v>Ofsted Social Care Provider Webpage</v>
          </cell>
        </row>
        <row r="953">
          <cell r="A953" t="str">
            <v>Ofsted Social Care Provider Webpage</v>
          </cell>
        </row>
        <row r="954">
          <cell r="A954" t="str">
            <v>Ofsted Social Care Provider Webpage</v>
          </cell>
        </row>
        <row r="955">
          <cell r="A955" t="str">
            <v>Ofsted Social Care Provider Webpage</v>
          </cell>
        </row>
        <row r="956">
          <cell r="A956" t="str">
            <v>Ofsted Social Care Provider Webpage</v>
          </cell>
        </row>
        <row r="957">
          <cell r="A957" t="str">
            <v>Ofsted Social Care Provider Webpage</v>
          </cell>
        </row>
        <row r="958">
          <cell r="A958" t="str">
            <v>Ofsted Social Care Provider Webpage</v>
          </cell>
        </row>
        <row r="959">
          <cell r="A959" t="str">
            <v>Ofsted Social Care Provider Webpage</v>
          </cell>
        </row>
        <row r="960">
          <cell r="A960" t="str">
            <v>Ofsted Social Care Provider Webpage</v>
          </cell>
        </row>
        <row r="961">
          <cell r="A961" t="str">
            <v>Ofsted Social Care Provider Webpage</v>
          </cell>
        </row>
        <row r="962">
          <cell r="A962" t="str">
            <v>Ofsted Social Care Provider Webpage</v>
          </cell>
        </row>
        <row r="963">
          <cell r="A963" t="str">
            <v>Ofsted Social Care Provider Webpage</v>
          </cell>
        </row>
        <row r="964">
          <cell r="A964" t="str">
            <v>Ofsted Social Care Provider Webpage</v>
          </cell>
        </row>
        <row r="965">
          <cell r="A965" t="str">
            <v>Ofsted Social Care Provider Webpage</v>
          </cell>
        </row>
        <row r="966">
          <cell r="A966" t="str">
            <v>Ofsted Social Care Provider Webpage</v>
          </cell>
        </row>
        <row r="967">
          <cell r="A967" t="str">
            <v>Ofsted Social Care Provider Webpage</v>
          </cell>
        </row>
        <row r="968">
          <cell r="A968" t="str">
            <v>Ofsted Social Care Provider Webpage</v>
          </cell>
        </row>
        <row r="969">
          <cell r="A969" t="str">
            <v>Ofsted Social Care Provider Webpage</v>
          </cell>
        </row>
        <row r="970">
          <cell r="A970" t="str">
            <v>Ofsted Social Care Provider Webpage</v>
          </cell>
        </row>
        <row r="971">
          <cell r="A971" t="str">
            <v>Ofsted Social Care Provider Webpage</v>
          </cell>
        </row>
        <row r="972">
          <cell r="A972" t="str">
            <v>Ofsted Social Care Provider Webpage</v>
          </cell>
        </row>
        <row r="973">
          <cell r="A973" t="str">
            <v>Ofsted Social Care Provider Webpage</v>
          </cell>
        </row>
        <row r="974">
          <cell r="A974" t="str">
            <v>Ofsted Social Care Provider Webpage</v>
          </cell>
        </row>
        <row r="975">
          <cell r="A975" t="str">
            <v>Ofsted Social Care Provider Webpage</v>
          </cell>
        </row>
        <row r="976">
          <cell r="A976" t="str">
            <v>Ofsted Social Care Provider Webpage</v>
          </cell>
        </row>
        <row r="977">
          <cell r="A977" t="str">
            <v>Ofsted Social Care Provider Webpage</v>
          </cell>
        </row>
        <row r="978">
          <cell r="A978" t="str">
            <v>Ofsted Social Care Provider Webpage</v>
          </cell>
        </row>
        <row r="979">
          <cell r="A979" t="str">
            <v>Ofsted Social Care Provider Webpage</v>
          </cell>
        </row>
        <row r="980">
          <cell r="A980" t="str">
            <v>Ofsted Social Care Provider Webpage</v>
          </cell>
        </row>
        <row r="981">
          <cell r="A981" t="str">
            <v>Ofsted Social Care Provider Webpage</v>
          </cell>
        </row>
        <row r="982">
          <cell r="A982" t="str">
            <v>Ofsted Social Care Provider Webpage</v>
          </cell>
        </row>
        <row r="983">
          <cell r="A983" t="str">
            <v>Ofsted Social Care Provider Webpage</v>
          </cell>
        </row>
        <row r="984">
          <cell r="A984" t="str">
            <v>Ofsted Social Care Provider Webpage</v>
          </cell>
        </row>
        <row r="985">
          <cell r="A985" t="str">
            <v>Ofsted Social Care Provider Webpage</v>
          </cell>
        </row>
        <row r="986">
          <cell r="A986" t="str">
            <v>Ofsted Social Care Provider Webpage</v>
          </cell>
        </row>
        <row r="987">
          <cell r="A987" t="str">
            <v>Ofsted Social Care Provider Webpage</v>
          </cell>
        </row>
        <row r="988">
          <cell r="A988" t="str">
            <v>Ofsted Social Care Provider Webpage</v>
          </cell>
        </row>
        <row r="989">
          <cell r="A989" t="str">
            <v>Ofsted Social Care Provider Webpage</v>
          </cell>
        </row>
        <row r="990">
          <cell r="A990" t="str">
            <v>Ofsted Social Care Provider Webpage</v>
          </cell>
        </row>
        <row r="991">
          <cell r="A991" t="str">
            <v>Ofsted Social Care Provider Webpage</v>
          </cell>
        </row>
        <row r="992">
          <cell r="A992" t="str">
            <v>Ofsted Social Care Provider Webpage</v>
          </cell>
        </row>
        <row r="993">
          <cell r="A993" t="str">
            <v>Ofsted Social Care Provider Webpage</v>
          </cell>
        </row>
        <row r="994">
          <cell r="A994" t="str">
            <v>Ofsted Social Care Provider Webpage</v>
          </cell>
        </row>
        <row r="995">
          <cell r="A995" t="str">
            <v>Ofsted Social Care Provider Webpage</v>
          </cell>
        </row>
        <row r="996">
          <cell r="A996" t="str">
            <v>Ofsted Social Care Provider Webpage</v>
          </cell>
        </row>
        <row r="997">
          <cell r="A997" t="str">
            <v>Ofsted Social Care Provider Webpage</v>
          </cell>
        </row>
        <row r="998">
          <cell r="A998" t="str">
            <v>Ofsted Social Care Provider Webpage</v>
          </cell>
        </row>
        <row r="999">
          <cell r="A999" t="str">
            <v>Ofsted Social Care Provider Webpage</v>
          </cell>
        </row>
        <row r="1000">
          <cell r="A1000" t="str">
            <v>Ofsted Social Care Provider Webpage</v>
          </cell>
        </row>
        <row r="1001">
          <cell r="A1001" t="str">
            <v>Ofsted Social Care Provider Webpage</v>
          </cell>
        </row>
        <row r="1002">
          <cell r="A1002" t="str">
            <v>Ofsted Social Care Provider Webpage</v>
          </cell>
        </row>
        <row r="1003">
          <cell r="A1003" t="str">
            <v>Ofsted Social Care Provider Webpage</v>
          </cell>
        </row>
        <row r="1004">
          <cell r="A1004" t="str">
            <v>Ofsted Social Care Provider Webpage</v>
          </cell>
        </row>
        <row r="1005">
          <cell r="A1005" t="str">
            <v>Ofsted Social Care Provider Webpage</v>
          </cell>
        </row>
        <row r="1006">
          <cell r="A1006" t="str">
            <v>Ofsted Social Care Provider Webpage</v>
          </cell>
        </row>
        <row r="1007">
          <cell r="A1007" t="str">
            <v>Ofsted Social Care Provider Webpage</v>
          </cell>
        </row>
        <row r="1008">
          <cell r="A1008" t="str">
            <v>Ofsted Social Care Provider Webpage</v>
          </cell>
        </row>
        <row r="1009">
          <cell r="A1009" t="str">
            <v>Ofsted Social Care Provider Webpage</v>
          </cell>
        </row>
        <row r="1010">
          <cell r="A1010" t="str">
            <v>Ofsted Social Care Provider Webpage</v>
          </cell>
        </row>
        <row r="1011">
          <cell r="A1011" t="str">
            <v>Ofsted Social Care Provider Webpage</v>
          </cell>
        </row>
        <row r="1012">
          <cell r="A1012" t="str">
            <v>Ofsted Social Care Provider Webpage</v>
          </cell>
        </row>
        <row r="1013">
          <cell r="A1013" t="str">
            <v>Ofsted Social Care Provider Webpage</v>
          </cell>
        </row>
        <row r="1014">
          <cell r="A1014" t="str">
            <v>Ofsted Social Care Provider Webpage</v>
          </cell>
        </row>
        <row r="1015">
          <cell r="A1015" t="str">
            <v>Ofsted Social Care Provider Webpage</v>
          </cell>
        </row>
        <row r="1016">
          <cell r="A1016" t="str">
            <v>Ofsted Social Care Provider Webpage</v>
          </cell>
        </row>
        <row r="1017">
          <cell r="A1017" t="str">
            <v>Ofsted Social Care Provider Webpage</v>
          </cell>
        </row>
        <row r="1018">
          <cell r="A1018" t="str">
            <v>Ofsted Social Care Provider Webpage</v>
          </cell>
        </row>
        <row r="1019">
          <cell r="A1019" t="str">
            <v>Ofsted Social Care Provider Webpage</v>
          </cell>
        </row>
        <row r="1020">
          <cell r="A1020" t="str">
            <v>Ofsted Social Care Provider Webpage</v>
          </cell>
        </row>
        <row r="1021">
          <cell r="A1021" t="str">
            <v>Ofsted Social Care Provider Webpage</v>
          </cell>
        </row>
        <row r="1022">
          <cell r="A1022" t="str">
            <v>Ofsted Social Care Provider Webpage</v>
          </cell>
        </row>
        <row r="1023">
          <cell r="A1023" t="str">
            <v>Ofsted Social Care Provider Webpage</v>
          </cell>
        </row>
        <row r="1024">
          <cell r="A1024" t="str">
            <v>Ofsted Social Care Provider Webpage</v>
          </cell>
        </row>
        <row r="1025">
          <cell r="A1025" t="str">
            <v>Ofsted Social Care Provider Webpage</v>
          </cell>
        </row>
        <row r="1026">
          <cell r="A1026" t="str">
            <v>Ofsted Social Care Provider Webpage</v>
          </cell>
        </row>
        <row r="1027">
          <cell r="A1027" t="str">
            <v>Ofsted Social Care Provider Webpage</v>
          </cell>
        </row>
        <row r="1028">
          <cell r="A1028" t="str">
            <v>Ofsted Social Care Provider Webpage</v>
          </cell>
        </row>
        <row r="1029">
          <cell r="A1029" t="str">
            <v>Ofsted Social Care Provider Webpage</v>
          </cell>
        </row>
        <row r="1030">
          <cell r="A1030" t="str">
            <v>Ofsted Social Care Provider Webpage</v>
          </cell>
        </row>
        <row r="1031">
          <cell r="A1031" t="str">
            <v>Ofsted Social Care Provider Webpage</v>
          </cell>
        </row>
        <row r="1032">
          <cell r="A1032" t="str">
            <v>Ofsted Social Care Provider Webpage</v>
          </cell>
        </row>
        <row r="1033">
          <cell r="A1033" t="str">
            <v>Ofsted Social Care Provider Webpage</v>
          </cell>
        </row>
        <row r="1034">
          <cell r="A1034" t="str">
            <v>Ofsted Social Care Provider Webpage</v>
          </cell>
        </row>
        <row r="1035">
          <cell r="A1035" t="str">
            <v>Ofsted Social Care Provider Webpage</v>
          </cell>
        </row>
        <row r="1036">
          <cell r="A1036" t="str">
            <v>Ofsted Social Care Provider Webpage</v>
          </cell>
        </row>
        <row r="1037">
          <cell r="A1037" t="str">
            <v>Ofsted Social Care Provider Webpage</v>
          </cell>
        </row>
        <row r="1038">
          <cell r="A1038" t="str">
            <v>Ofsted Social Care Provider Webpage</v>
          </cell>
        </row>
        <row r="1039">
          <cell r="A1039" t="str">
            <v>Ofsted Social Care Provider Webpage</v>
          </cell>
        </row>
        <row r="1040">
          <cell r="A1040" t="str">
            <v>Ofsted Social Care Provider Webpage</v>
          </cell>
        </row>
        <row r="1041">
          <cell r="A1041" t="str">
            <v>Ofsted Social Care Provider Webpage</v>
          </cell>
        </row>
        <row r="1042">
          <cell r="A1042" t="str">
            <v>Ofsted Social Care Provider Webpage</v>
          </cell>
        </row>
        <row r="1043">
          <cell r="A1043" t="str">
            <v>Ofsted Social Care Provider Webpage</v>
          </cell>
        </row>
        <row r="1044">
          <cell r="A1044" t="str">
            <v>Ofsted Social Care Provider Webpage</v>
          </cell>
        </row>
        <row r="1045">
          <cell r="A1045" t="str">
            <v>Ofsted Social Care Provider Webpage</v>
          </cell>
        </row>
        <row r="1046">
          <cell r="A1046" t="str">
            <v>Ofsted Social Care Provider Webpage</v>
          </cell>
        </row>
        <row r="1047">
          <cell r="A1047" t="str">
            <v>Ofsted Social Care Provider Webpage</v>
          </cell>
        </row>
        <row r="1048">
          <cell r="A1048" t="str">
            <v>Ofsted Social Care Provider Webpage</v>
          </cell>
        </row>
        <row r="1049">
          <cell r="A1049" t="str">
            <v>Ofsted Social Care Provider Webpage</v>
          </cell>
        </row>
        <row r="1050">
          <cell r="A1050" t="str">
            <v>Ofsted Social Care Provider Webpage</v>
          </cell>
        </row>
        <row r="1051">
          <cell r="A1051" t="str">
            <v>Ofsted Social Care Provider Webpage</v>
          </cell>
        </row>
        <row r="1052">
          <cell r="A1052" t="str">
            <v>Ofsted Social Care Provider Webpage</v>
          </cell>
        </row>
        <row r="1053">
          <cell r="A1053" t="str">
            <v>Ofsted Social Care Provider Webpage</v>
          </cell>
        </row>
        <row r="1054">
          <cell r="A1054" t="str">
            <v>Ofsted Social Care Provider Webpage</v>
          </cell>
        </row>
        <row r="1055">
          <cell r="A1055" t="str">
            <v>Ofsted Social Care Provider Webpage</v>
          </cell>
        </row>
        <row r="1056">
          <cell r="A1056" t="str">
            <v>Ofsted Social Care Provider Webpage</v>
          </cell>
        </row>
        <row r="1057">
          <cell r="A1057" t="str">
            <v>Ofsted Social Care Provider Webpage</v>
          </cell>
        </row>
        <row r="1058">
          <cell r="A1058" t="str">
            <v>Ofsted Social Care Provider Webpage</v>
          </cell>
        </row>
        <row r="1059">
          <cell r="A1059" t="str">
            <v>Ofsted Social Care Provider Webpage</v>
          </cell>
        </row>
        <row r="1060">
          <cell r="A1060" t="str">
            <v>Ofsted Social Care Provider Webpage</v>
          </cell>
        </row>
        <row r="1061">
          <cell r="A1061" t="str">
            <v>Ofsted Social Care Provider Webpage</v>
          </cell>
        </row>
        <row r="1062">
          <cell r="A1062" t="str">
            <v>Ofsted Social Care Provider Webpage</v>
          </cell>
        </row>
        <row r="1063">
          <cell r="A1063" t="str">
            <v>Ofsted Social Care Provider Webpage</v>
          </cell>
        </row>
        <row r="1064">
          <cell r="A1064" t="str">
            <v>Ofsted Social Care Provider Webpage</v>
          </cell>
        </row>
        <row r="1065">
          <cell r="A1065" t="str">
            <v>Ofsted Social Care Provider Webpage</v>
          </cell>
        </row>
        <row r="1066">
          <cell r="A1066" t="str">
            <v>Ofsted Social Care Provider Webpage</v>
          </cell>
        </row>
        <row r="1067">
          <cell r="A1067" t="str">
            <v>Ofsted Social Care Provider Webpage</v>
          </cell>
        </row>
        <row r="1068">
          <cell r="A1068" t="str">
            <v>Ofsted Social Care Provider Webpage</v>
          </cell>
        </row>
        <row r="1069">
          <cell r="A1069" t="str">
            <v>Ofsted Social Care Provider Webpage</v>
          </cell>
        </row>
        <row r="1070">
          <cell r="A1070" t="str">
            <v>Ofsted Social Care Provider Webpage</v>
          </cell>
        </row>
        <row r="1071">
          <cell r="A1071" t="str">
            <v>Ofsted Social Care Provider Webpage</v>
          </cell>
        </row>
        <row r="1072">
          <cell r="A1072" t="str">
            <v>Ofsted Social Care Provider Webpage</v>
          </cell>
        </row>
        <row r="1073">
          <cell r="A1073" t="str">
            <v>Ofsted Social Care Provider Webpage</v>
          </cell>
        </row>
        <row r="1074">
          <cell r="A1074" t="str">
            <v>Ofsted Social Care Provider Webpage</v>
          </cell>
        </row>
        <row r="1075">
          <cell r="A1075" t="str">
            <v>Ofsted Social Care Provider Webpage</v>
          </cell>
        </row>
        <row r="1076">
          <cell r="A1076" t="str">
            <v>Ofsted Social Care Provider Webpage</v>
          </cell>
        </row>
        <row r="1077">
          <cell r="A1077" t="str">
            <v>Ofsted Social Care Provider Webpage</v>
          </cell>
        </row>
        <row r="1078">
          <cell r="A1078" t="str">
            <v>Ofsted Social Care Provider Webpage</v>
          </cell>
        </row>
        <row r="1079">
          <cell r="A1079" t="str">
            <v>Ofsted Social Care Provider Webpage</v>
          </cell>
        </row>
        <row r="1080">
          <cell r="A1080" t="str">
            <v>Ofsted Social Care Provider Webpage</v>
          </cell>
        </row>
        <row r="1081">
          <cell r="A1081" t="str">
            <v>Ofsted Social Care Provider Webpage</v>
          </cell>
        </row>
        <row r="1082">
          <cell r="A1082" t="str">
            <v>Ofsted Social Care Provider Webpage</v>
          </cell>
        </row>
        <row r="1083">
          <cell r="A1083" t="str">
            <v>Ofsted Social Care Provider Webpage</v>
          </cell>
        </row>
        <row r="1084">
          <cell r="A1084" t="str">
            <v>Ofsted Social Care Provider Webpage</v>
          </cell>
        </row>
        <row r="1085">
          <cell r="A1085" t="str">
            <v>Ofsted Social Care Provider Webpage</v>
          </cell>
        </row>
        <row r="1086">
          <cell r="A1086" t="str">
            <v>Ofsted Social Care Provider Webpage</v>
          </cell>
        </row>
        <row r="1087">
          <cell r="A1087" t="str">
            <v>Ofsted Social Care Provider Webpage</v>
          </cell>
        </row>
        <row r="1088">
          <cell r="A1088" t="str">
            <v>Ofsted Social Care Provider Webpage</v>
          </cell>
        </row>
        <row r="1089">
          <cell r="A1089" t="str">
            <v>Ofsted Social Care Provider Webpage</v>
          </cell>
        </row>
        <row r="1090">
          <cell r="A1090" t="str">
            <v>Ofsted Social Care Provider Webpage</v>
          </cell>
        </row>
        <row r="1091">
          <cell r="A1091" t="str">
            <v>Ofsted Social Care Provider Webpage</v>
          </cell>
        </row>
        <row r="1092">
          <cell r="A1092" t="str">
            <v>Ofsted Social Care Provider Webpage</v>
          </cell>
        </row>
        <row r="1093">
          <cell r="A1093" t="str">
            <v>Ofsted Social Care Provider Webpage</v>
          </cell>
        </row>
        <row r="1094">
          <cell r="A1094" t="str">
            <v>Ofsted Social Care Provider Webpage</v>
          </cell>
        </row>
        <row r="1095">
          <cell r="A1095" t="str">
            <v>Ofsted Social Care Provider Webpage</v>
          </cell>
        </row>
        <row r="1096">
          <cell r="A1096" t="str">
            <v>Ofsted Social Care Provider Webpage</v>
          </cell>
        </row>
        <row r="1097">
          <cell r="A1097" t="str">
            <v>Ofsted Social Care Provider Webpage</v>
          </cell>
        </row>
        <row r="1098">
          <cell r="A1098" t="str">
            <v>Ofsted Social Care Provider Webpage</v>
          </cell>
        </row>
        <row r="1099">
          <cell r="A1099" t="str">
            <v>Ofsted Social Care Provider Webpage</v>
          </cell>
        </row>
        <row r="1100">
          <cell r="A1100" t="str">
            <v>Ofsted Social Care Provider Webpage</v>
          </cell>
        </row>
        <row r="1101">
          <cell r="A1101" t="str">
            <v>Ofsted Social Care Provider Webpage</v>
          </cell>
        </row>
        <row r="1102">
          <cell r="A1102" t="str">
            <v>Ofsted Social Care Provider Webpage</v>
          </cell>
        </row>
        <row r="1103">
          <cell r="A1103" t="str">
            <v>Ofsted Social Care Provider Webpage</v>
          </cell>
        </row>
        <row r="1104">
          <cell r="A1104" t="str">
            <v>Ofsted Social Care Provider Webpage</v>
          </cell>
        </row>
        <row r="1105">
          <cell r="A1105" t="str">
            <v>Ofsted Social Care Provider Webpage</v>
          </cell>
        </row>
        <row r="1106">
          <cell r="A1106" t="str">
            <v>Ofsted Social Care Provider Webpage</v>
          </cell>
        </row>
        <row r="1107">
          <cell r="A1107" t="str">
            <v>Ofsted Social Care Provider Webpage</v>
          </cell>
        </row>
        <row r="1108">
          <cell r="A1108" t="str">
            <v>Ofsted Social Care Provider Webpage</v>
          </cell>
        </row>
        <row r="1109">
          <cell r="A1109" t="str">
            <v>Ofsted Social Care Provider Webpage</v>
          </cell>
        </row>
        <row r="1110">
          <cell r="A1110" t="str">
            <v>Ofsted Social Care Provider Webpage</v>
          </cell>
        </row>
        <row r="1111">
          <cell r="A1111" t="str">
            <v>Ofsted Social Care Provider Webpage</v>
          </cell>
        </row>
        <row r="1112">
          <cell r="A1112" t="str">
            <v>Ofsted Social Care Provider Webpage</v>
          </cell>
        </row>
        <row r="1113">
          <cell r="A1113" t="str">
            <v>Ofsted Social Care Provider Webpage</v>
          </cell>
        </row>
        <row r="1114">
          <cell r="A1114" t="str">
            <v>Ofsted Social Care Provider Webpage</v>
          </cell>
        </row>
        <row r="1115">
          <cell r="A1115" t="str">
            <v>Ofsted Social Care Provider Webpage</v>
          </cell>
        </row>
        <row r="1116">
          <cell r="A1116" t="str">
            <v>Ofsted Social Care Provider Webpage</v>
          </cell>
        </row>
        <row r="1117">
          <cell r="A1117" t="str">
            <v>Ofsted Social Care Provider Webpage</v>
          </cell>
        </row>
        <row r="1118">
          <cell r="A1118" t="str">
            <v>Ofsted Social Care Provider Webpage</v>
          </cell>
        </row>
        <row r="1119">
          <cell r="A1119" t="str">
            <v>Ofsted Social Care Provider Webpage</v>
          </cell>
        </row>
        <row r="1120">
          <cell r="A1120" t="str">
            <v>Ofsted Social Care Provider Webpage</v>
          </cell>
        </row>
        <row r="1121">
          <cell r="A1121" t="str">
            <v>Ofsted Social Care Provider Webpage</v>
          </cell>
        </row>
        <row r="1122">
          <cell r="A1122" t="str">
            <v>Ofsted Social Care Provider Webpage</v>
          </cell>
        </row>
        <row r="1123">
          <cell r="A1123" t="str">
            <v>Ofsted Social Care Provider Webpage</v>
          </cell>
        </row>
        <row r="1124">
          <cell r="A1124" t="str">
            <v>Ofsted Social Care Provider Webpage</v>
          </cell>
        </row>
        <row r="1125">
          <cell r="A1125" t="str">
            <v>Ofsted Social Care Provider Webpage</v>
          </cell>
        </row>
        <row r="1126">
          <cell r="A1126" t="str">
            <v>Ofsted Social Care Provider Webpage</v>
          </cell>
        </row>
        <row r="1127">
          <cell r="A1127" t="str">
            <v>Ofsted Social Care Provider Webpage</v>
          </cell>
        </row>
        <row r="1128">
          <cell r="A1128" t="str">
            <v>Ofsted Social Care Provider Webpage</v>
          </cell>
        </row>
        <row r="1129">
          <cell r="A1129" t="str">
            <v>Ofsted Social Care Provider Webpage</v>
          </cell>
        </row>
        <row r="1130">
          <cell r="A1130" t="str">
            <v>Ofsted Social Care Provider Webpage</v>
          </cell>
        </row>
        <row r="1131">
          <cell r="A1131" t="str">
            <v>Ofsted Social Care Provider Webpage</v>
          </cell>
        </row>
        <row r="1132">
          <cell r="A1132" t="str">
            <v>Ofsted Social Care Provider Webpage</v>
          </cell>
        </row>
        <row r="1133">
          <cell r="A1133" t="str">
            <v>Ofsted Social Care Provider Webpage</v>
          </cell>
        </row>
        <row r="1134">
          <cell r="A1134" t="str">
            <v>Ofsted Social Care Provider Webpage</v>
          </cell>
        </row>
        <row r="1135">
          <cell r="A1135" t="str">
            <v>Ofsted Social Care Provider Webpage</v>
          </cell>
        </row>
        <row r="1136">
          <cell r="A1136" t="str">
            <v>Ofsted Social Care Provider Webpage</v>
          </cell>
        </row>
        <row r="1137">
          <cell r="A1137" t="str">
            <v>Ofsted Social Care Provider Webpage</v>
          </cell>
        </row>
        <row r="1138">
          <cell r="A1138" t="str">
            <v>Ofsted Social Care Provider Webpage</v>
          </cell>
        </row>
        <row r="1139">
          <cell r="A1139" t="str">
            <v>Ofsted Social Care Provider Webpage</v>
          </cell>
        </row>
        <row r="1140">
          <cell r="A1140" t="str">
            <v>Ofsted Social Care Provider Webpage</v>
          </cell>
        </row>
        <row r="1141">
          <cell r="A1141" t="str">
            <v>Ofsted Social Care Provider Webpage</v>
          </cell>
        </row>
        <row r="1142">
          <cell r="A1142" t="str">
            <v>Ofsted Social Care Provider Webpage</v>
          </cell>
        </row>
        <row r="1143">
          <cell r="A1143" t="str">
            <v>Ofsted Social Care Provider Webpage</v>
          </cell>
        </row>
        <row r="1144">
          <cell r="A1144" t="str">
            <v>Ofsted Social Care Provider Webpage</v>
          </cell>
        </row>
        <row r="1145">
          <cell r="A1145" t="str">
            <v>Ofsted Social Care Provider Webpage</v>
          </cell>
        </row>
        <row r="1146">
          <cell r="A1146" t="str">
            <v>Ofsted Social Care Provider Webpage</v>
          </cell>
        </row>
        <row r="1147">
          <cell r="A1147" t="str">
            <v>Ofsted Social Care Provider Webpage</v>
          </cell>
        </row>
        <row r="1148">
          <cell r="A1148" t="str">
            <v>Ofsted Social Care Provider Webpage</v>
          </cell>
        </row>
        <row r="1149">
          <cell r="A1149" t="str">
            <v>Ofsted Social Care Provider Webpage</v>
          </cell>
        </row>
        <row r="1150">
          <cell r="A1150" t="str">
            <v>Ofsted Social Care Provider Webpage</v>
          </cell>
        </row>
        <row r="1151">
          <cell r="A1151" t="str">
            <v>Ofsted Social Care Provider Webpage</v>
          </cell>
        </row>
        <row r="1152">
          <cell r="A1152" t="str">
            <v>Ofsted Social Care Provider Webpage</v>
          </cell>
        </row>
        <row r="1153">
          <cell r="A1153" t="str">
            <v>Ofsted Social Care Provider Webpage</v>
          </cell>
        </row>
        <row r="1154">
          <cell r="A1154" t="str">
            <v>Ofsted Social Care Provider Webpage</v>
          </cell>
        </row>
        <row r="1155">
          <cell r="A1155" t="str">
            <v>Ofsted Social Care Provider Webpage</v>
          </cell>
        </row>
        <row r="1156">
          <cell r="A1156" t="str">
            <v>Ofsted Social Care Provider Webpage</v>
          </cell>
        </row>
        <row r="1157">
          <cell r="A1157" t="str">
            <v>Ofsted Social Care Provider Webpage</v>
          </cell>
        </row>
        <row r="1158">
          <cell r="A1158" t="str">
            <v>Ofsted Social Care Provider Webpage</v>
          </cell>
        </row>
        <row r="1159">
          <cell r="A1159" t="str">
            <v>Ofsted Social Care Provider Webpage</v>
          </cell>
        </row>
        <row r="1160">
          <cell r="A1160" t="str">
            <v>Ofsted Social Care Provider Webpage</v>
          </cell>
        </row>
        <row r="1161">
          <cell r="A1161" t="str">
            <v>Ofsted Social Care Provider Webpage</v>
          </cell>
        </row>
        <row r="1162">
          <cell r="A1162" t="str">
            <v>Ofsted Social Care Provider Webpage</v>
          </cell>
        </row>
        <row r="1163">
          <cell r="A1163" t="str">
            <v>Ofsted Social Care Provider Webpage</v>
          </cell>
        </row>
        <row r="1164">
          <cell r="A1164" t="str">
            <v>Ofsted Social Care Provider Webpage</v>
          </cell>
        </row>
        <row r="1165">
          <cell r="A1165" t="str">
            <v>Ofsted Social Care Provider Webpage</v>
          </cell>
        </row>
        <row r="1166">
          <cell r="A1166" t="str">
            <v>Ofsted Social Care Provider Webpage</v>
          </cell>
        </row>
        <row r="1167">
          <cell r="A1167" t="str">
            <v>Ofsted Social Care Provider Webpage</v>
          </cell>
        </row>
        <row r="1168">
          <cell r="A1168" t="str">
            <v>Ofsted Social Care Provider Webpage</v>
          </cell>
        </row>
        <row r="1169">
          <cell r="A1169" t="str">
            <v>Ofsted Social Care Provider Webpage</v>
          </cell>
        </row>
        <row r="1170">
          <cell r="A1170" t="str">
            <v>Ofsted Social Care Provider Webpage</v>
          </cell>
        </row>
        <row r="1171">
          <cell r="A1171" t="str">
            <v>Ofsted Social Care Provider Webpage</v>
          </cell>
        </row>
        <row r="1172">
          <cell r="A1172" t="str">
            <v>Ofsted Social Care Provider Webpage</v>
          </cell>
        </row>
        <row r="1173">
          <cell r="A1173" t="str">
            <v>Ofsted Social Care Provider Webpage</v>
          </cell>
        </row>
        <row r="1174">
          <cell r="A1174" t="str">
            <v>Ofsted Social Care Provider Webpage</v>
          </cell>
        </row>
        <row r="1175">
          <cell r="A1175" t="str">
            <v>Ofsted Social Care Provider Webpage</v>
          </cell>
        </row>
        <row r="1176">
          <cell r="A1176" t="str">
            <v>Ofsted Social Care Provider Webpage</v>
          </cell>
        </row>
        <row r="1177">
          <cell r="A1177" t="str">
            <v>Ofsted Social Care Provider Webpage</v>
          </cell>
        </row>
        <row r="1178">
          <cell r="A1178" t="str">
            <v>Ofsted Social Care Provider Webpage</v>
          </cell>
        </row>
        <row r="1179">
          <cell r="A1179" t="str">
            <v>Ofsted Social Care Provider Webpage</v>
          </cell>
        </row>
        <row r="1180">
          <cell r="A1180" t="str">
            <v>Ofsted Social Care Provider Webpage</v>
          </cell>
        </row>
        <row r="1181">
          <cell r="A1181" t="str">
            <v>Ofsted Social Care Provider Webpage</v>
          </cell>
        </row>
        <row r="1182">
          <cell r="A1182" t="str">
            <v>Ofsted Social Care Provider Webpage</v>
          </cell>
        </row>
        <row r="1183">
          <cell r="A1183" t="str">
            <v>Ofsted Social Care Provider Webpage</v>
          </cell>
        </row>
        <row r="1184">
          <cell r="A1184" t="str">
            <v>Ofsted Social Care Provider Webpage</v>
          </cell>
        </row>
        <row r="1185">
          <cell r="A1185" t="str">
            <v>Ofsted Social Care Provider Webpage</v>
          </cell>
        </row>
        <row r="1186">
          <cell r="A1186" t="str">
            <v>Ofsted Social Care Provider Webpage</v>
          </cell>
        </row>
        <row r="1187">
          <cell r="A1187" t="str">
            <v>Ofsted Social Care Provider Webpage</v>
          </cell>
        </row>
        <row r="1188">
          <cell r="A1188" t="str">
            <v>Ofsted Social Care Provider Webpage</v>
          </cell>
        </row>
        <row r="1189">
          <cell r="A1189" t="str">
            <v>Ofsted Social Care Provider Webpage</v>
          </cell>
        </row>
        <row r="1190">
          <cell r="A1190" t="str">
            <v>Ofsted Social Care Provider Webpage</v>
          </cell>
        </row>
        <row r="1191">
          <cell r="A1191" t="str">
            <v>Ofsted Social Care Provider Webpage</v>
          </cell>
        </row>
        <row r="1192">
          <cell r="A1192" t="str">
            <v>Ofsted Social Care Provider Webpage</v>
          </cell>
        </row>
        <row r="1193">
          <cell r="A1193" t="str">
            <v>Ofsted Social Care Provider Webpage</v>
          </cell>
        </row>
        <row r="1194">
          <cell r="A1194" t="str">
            <v>Ofsted Social Care Provider Webpage</v>
          </cell>
        </row>
        <row r="1195">
          <cell r="A1195" t="str">
            <v>Ofsted Social Care Provider Webpage</v>
          </cell>
        </row>
        <row r="1196">
          <cell r="A1196" t="str">
            <v>Ofsted Social Care Provider Webpage</v>
          </cell>
        </row>
        <row r="1197">
          <cell r="A1197" t="str">
            <v>Ofsted Social Care Provider Webpage</v>
          </cell>
        </row>
        <row r="1198">
          <cell r="A1198" t="str">
            <v>Ofsted Social Care Provider Webpage</v>
          </cell>
        </row>
        <row r="1199">
          <cell r="A1199" t="str">
            <v>Ofsted Social Care Provider Webpage</v>
          </cell>
        </row>
        <row r="1200">
          <cell r="A1200" t="str">
            <v>Ofsted Social Care Provider Webpage</v>
          </cell>
        </row>
        <row r="1201">
          <cell r="A1201" t="str">
            <v>Ofsted Social Care Provider Webpage</v>
          </cell>
        </row>
        <row r="1202">
          <cell r="A1202" t="str">
            <v>Ofsted Social Care Provider Webpage</v>
          </cell>
        </row>
        <row r="1203">
          <cell r="A1203" t="str">
            <v>Ofsted Social Care Provider Webpage</v>
          </cell>
        </row>
        <row r="1204">
          <cell r="A1204" t="str">
            <v>Ofsted Social Care Provider Webpage</v>
          </cell>
        </row>
        <row r="1205">
          <cell r="A1205" t="str">
            <v>Ofsted Social Care Provider Webpage</v>
          </cell>
        </row>
        <row r="1206">
          <cell r="A1206" t="str">
            <v>Ofsted Social Care Provider Webpage</v>
          </cell>
        </row>
        <row r="1207">
          <cell r="A1207" t="str">
            <v>Ofsted Social Care Provider Webpage</v>
          </cell>
        </row>
        <row r="1208">
          <cell r="A1208" t="str">
            <v>Ofsted Social Care Provider Webpage</v>
          </cell>
        </row>
        <row r="1209">
          <cell r="A1209" t="str">
            <v>Ofsted Social Care Provider Webpage</v>
          </cell>
        </row>
        <row r="1210">
          <cell r="A1210" t="str">
            <v>Ofsted Social Care Provider Webpage</v>
          </cell>
        </row>
        <row r="1211">
          <cell r="A1211" t="str">
            <v>Ofsted Social Care Provider Webpage</v>
          </cell>
        </row>
        <row r="1212">
          <cell r="A1212" t="str">
            <v>Ofsted Social Care Provider Webpage</v>
          </cell>
        </row>
        <row r="1213">
          <cell r="A1213" t="str">
            <v>Ofsted Social Care Provider Webpage</v>
          </cell>
        </row>
        <row r="1214">
          <cell r="A1214" t="str">
            <v>Ofsted Social Care Provider Webpage</v>
          </cell>
        </row>
        <row r="1215">
          <cell r="A1215" t="str">
            <v>Ofsted Social Care Provider Webpage</v>
          </cell>
        </row>
        <row r="1216">
          <cell r="A1216" t="str">
            <v>Ofsted Social Care Provider Webpage</v>
          </cell>
        </row>
        <row r="1217">
          <cell r="A1217" t="str">
            <v>Ofsted Social Care Provider Webpage</v>
          </cell>
        </row>
        <row r="1218">
          <cell r="A1218" t="str">
            <v>Ofsted Social Care Provider Webpage</v>
          </cell>
        </row>
        <row r="1219">
          <cell r="A1219" t="str">
            <v>Ofsted Social Care Provider Webpage</v>
          </cell>
        </row>
        <row r="1220">
          <cell r="A1220" t="str">
            <v>Ofsted Social Care Provider Webpage</v>
          </cell>
        </row>
        <row r="1221">
          <cell r="A1221" t="str">
            <v>Ofsted Social Care Provider Webpage</v>
          </cell>
        </row>
        <row r="1222">
          <cell r="A1222" t="str">
            <v>Ofsted Social Care Provider Webpage</v>
          </cell>
        </row>
        <row r="1223">
          <cell r="A1223" t="str">
            <v>Ofsted Social Care Provider Webpage</v>
          </cell>
        </row>
        <row r="1224">
          <cell r="A1224" t="str">
            <v>Ofsted Social Care Provider Webpage</v>
          </cell>
        </row>
        <row r="1225">
          <cell r="A1225" t="str">
            <v>Ofsted Social Care Provider Webpage</v>
          </cell>
        </row>
        <row r="1226">
          <cell r="A1226" t="str">
            <v>Ofsted Social Care Provider Webpage</v>
          </cell>
        </row>
        <row r="1227">
          <cell r="A1227" t="str">
            <v>Ofsted Social Care Provider Webpage</v>
          </cell>
        </row>
        <row r="1228">
          <cell r="A1228" t="str">
            <v>Ofsted Social Care Provider Webpage</v>
          </cell>
        </row>
        <row r="1229">
          <cell r="A1229" t="str">
            <v>Ofsted Social Care Provider Webpage</v>
          </cell>
        </row>
        <row r="1230">
          <cell r="A1230" t="str">
            <v>Ofsted Social Care Provider Webpage</v>
          </cell>
        </row>
        <row r="1231">
          <cell r="A1231" t="str">
            <v>Ofsted Social Care Provider Webpage</v>
          </cell>
        </row>
        <row r="1232">
          <cell r="A1232" t="str">
            <v>Ofsted Social Care Provider Webpage</v>
          </cell>
        </row>
        <row r="1233">
          <cell r="A1233" t="str">
            <v>Ofsted Social Care Provider Webpage</v>
          </cell>
        </row>
        <row r="1234">
          <cell r="A1234" t="str">
            <v>Ofsted Social Care Provider Webpage</v>
          </cell>
        </row>
        <row r="1235">
          <cell r="A1235" t="str">
            <v>Ofsted Social Care Provider Webpage</v>
          </cell>
        </row>
        <row r="1236">
          <cell r="A1236" t="str">
            <v>Ofsted Social Care Provider Webpage</v>
          </cell>
        </row>
        <row r="1237">
          <cell r="A1237" t="str">
            <v>Ofsted Social Care Provider Webpage</v>
          </cell>
        </row>
        <row r="1238">
          <cell r="A1238" t="str">
            <v>Ofsted Social Care Provider Webpage</v>
          </cell>
        </row>
        <row r="1239">
          <cell r="A1239" t="str">
            <v>Ofsted Social Care Provider Webpage</v>
          </cell>
        </row>
        <row r="1240">
          <cell r="A1240" t="str">
            <v>Ofsted Social Care Provider Webpage</v>
          </cell>
        </row>
        <row r="1241">
          <cell r="A1241" t="str">
            <v>Ofsted Social Care Provider Webpage</v>
          </cell>
        </row>
        <row r="1242">
          <cell r="A1242" t="str">
            <v>Ofsted Social Care Provider Webpage</v>
          </cell>
        </row>
        <row r="1243">
          <cell r="A1243" t="str">
            <v>Ofsted Social Care Provider Webpage</v>
          </cell>
        </row>
        <row r="1244">
          <cell r="A1244" t="str">
            <v>Ofsted Social Care Provider Webpage</v>
          </cell>
        </row>
        <row r="1245">
          <cell r="A1245" t="str">
            <v>Ofsted Social Care Provider Webpage</v>
          </cell>
        </row>
        <row r="1246">
          <cell r="A1246" t="str">
            <v>Ofsted Social Care Provider Webpage</v>
          </cell>
        </row>
        <row r="1247">
          <cell r="A1247" t="str">
            <v>Ofsted Social Care Provider Webpage</v>
          </cell>
        </row>
        <row r="1248">
          <cell r="A1248" t="str">
            <v>Ofsted Social Care Provider Webpage</v>
          </cell>
        </row>
        <row r="1249">
          <cell r="A1249" t="str">
            <v>Ofsted Social Care Provider Webpage</v>
          </cell>
        </row>
        <row r="1250">
          <cell r="A1250" t="str">
            <v>Ofsted Social Care Provider Webpage</v>
          </cell>
        </row>
        <row r="1251">
          <cell r="A1251" t="str">
            <v>Ofsted Social Care Provider Webpage</v>
          </cell>
        </row>
        <row r="1252">
          <cell r="A1252" t="str">
            <v>Ofsted Social Care Provider Webpage</v>
          </cell>
        </row>
        <row r="1253">
          <cell r="A1253" t="str">
            <v>Ofsted Social Care Provider Webpage</v>
          </cell>
        </row>
        <row r="1254">
          <cell r="A1254" t="str">
            <v>Ofsted Social Care Provider Webpage</v>
          </cell>
        </row>
        <row r="1255">
          <cell r="A1255" t="str">
            <v>Ofsted Social Care Provider Webpage</v>
          </cell>
        </row>
        <row r="1256">
          <cell r="A1256" t="str">
            <v>Ofsted Social Care Provider Webpage</v>
          </cell>
        </row>
        <row r="1257">
          <cell r="A1257" t="str">
            <v>Ofsted Social Care Provider Webpage</v>
          </cell>
        </row>
        <row r="1258">
          <cell r="A1258" t="str">
            <v>Ofsted Social Care Provider Webpage</v>
          </cell>
        </row>
        <row r="1259">
          <cell r="A1259" t="str">
            <v>Ofsted Social Care Provider Webpage</v>
          </cell>
        </row>
        <row r="1260">
          <cell r="A1260" t="str">
            <v>Ofsted Social Care Provider Webpage</v>
          </cell>
        </row>
        <row r="1261">
          <cell r="A1261" t="str">
            <v>Ofsted Social Care Provider Webpage</v>
          </cell>
        </row>
        <row r="1262">
          <cell r="A1262" t="str">
            <v>Ofsted Social Care Provider Webpage</v>
          </cell>
        </row>
        <row r="1263">
          <cell r="A1263" t="str">
            <v>Ofsted Social Care Provider Webpage</v>
          </cell>
        </row>
        <row r="1264">
          <cell r="A1264" t="str">
            <v>Ofsted Social Care Provider Webpage</v>
          </cell>
        </row>
        <row r="1265">
          <cell r="A1265" t="str">
            <v>Ofsted Social Care Provider Webpage</v>
          </cell>
        </row>
        <row r="1266">
          <cell r="A1266" t="str">
            <v>Ofsted Social Care Provider Webpage</v>
          </cell>
        </row>
        <row r="1267">
          <cell r="A1267" t="str">
            <v>Ofsted Social Care Provider Webpage</v>
          </cell>
        </row>
        <row r="1268">
          <cell r="A1268" t="str">
            <v>Ofsted Social Care Provider Webpage</v>
          </cell>
        </row>
        <row r="1269">
          <cell r="A1269" t="str">
            <v>Ofsted Social Care Provider Webpage</v>
          </cell>
        </row>
        <row r="1270">
          <cell r="A1270" t="str">
            <v>Ofsted Social Care Provider Webpage</v>
          </cell>
        </row>
        <row r="1271">
          <cell r="A1271" t="str">
            <v>Ofsted Social Care Provider Webpage</v>
          </cell>
        </row>
        <row r="1272">
          <cell r="A1272" t="str">
            <v>Ofsted Social Care Provider Webpage</v>
          </cell>
        </row>
        <row r="1273">
          <cell r="A1273" t="str">
            <v>Ofsted Social Care Provider Webpage</v>
          </cell>
        </row>
        <row r="1274">
          <cell r="A1274" t="str">
            <v>Ofsted Social Care Provider Webpage</v>
          </cell>
        </row>
        <row r="1275">
          <cell r="A1275" t="str">
            <v>Ofsted Social Care Provider Webpage</v>
          </cell>
        </row>
        <row r="1276">
          <cell r="A1276" t="str">
            <v>Ofsted Social Care Provider Webpage</v>
          </cell>
        </row>
        <row r="1277">
          <cell r="A1277" t="str">
            <v>Ofsted Social Care Provider Webpage</v>
          </cell>
        </row>
        <row r="1278">
          <cell r="A1278" t="str">
            <v>Ofsted Social Care Provider Webpage</v>
          </cell>
        </row>
        <row r="1279">
          <cell r="A1279" t="str">
            <v>Ofsted Social Care Provider Webpage</v>
          </cell>
        </row>
        <row r="1280">
          <cell r="A1280" t="str">
            <v>Ofsted Social Care Provider Webpage</v>
          </cell>
        </row>
        <row r="1281">
          <cell r="A1281" t="str">
            <v>Ofsted Social Care Provider Webpage</v>
          </cell>
        </row>
        <row r="1282">
          <cell r="A1282" t="str">
            <v>Ofsted Social Care Provider Webpage</v>
          </cell>
        </row>
        <row r="1283">
          <cell r="A1283" t="str">
            <v>Ofsted Social Care Provider Webpage</v>
          </cell>
        </row>
        <row r="1284">
          <cell r="A1284" t="str">
            <v>Ofsted Social Care Provider Webpage</v>
          </cell>
        </row>
        <row r="1285">
          <cell r="A1285" t="str">
            <v>Ofsted Social Care Provider Webpage</v>
          </cell>
        </row>
        <row r="1286">
          <cell r="A1286" t="str">
            <v>Ofsted Social Care Provider Webpage</v>
          </cell>
        </row>
        <row r="1287">
          <cell r="A1287" t="str">
            <v>Ofsted Social Care Provider Webpage</v>
          </cell>
        </row>
        <row r="1288">
          <cell r="A1288" t="str">
            <v>Ofsted Social Care Provider Webpage</v>
          </cell>
        </row>
        <row r="1289">
          <cell r="A1289" t="str">
            <v>Ofsted Social Care Provider Webpage</v>
          </cell>
        </row>
        <row r="1290">
          <cell r="A1290" t="str">
            <v>Ofsted Social Care Provider Webpage</v>
          </cell>
        </row>
        <row r="1291">
          <cell r="A1291" t="str">
            <v>Ofsted Social Care Provider Webpage</v>
          </cell>
        </row>
        <row r="1292">
          <cell r="A1292" t="str">
            <v>Ofsted Social Care Provider Webpage</v>
          </cell>
        </row>
        <row r="1293">
          <cell r="A1293" t="str">
            <v>Ofsted Social Care Provider Webpage</v>
          </cell>
        </row>
        <row r="1294">
          <cell r="A1294" t="str">
            <v>Ofsted Social Care Provider Webpage</v>
          </cell>
        </row>
        <row r="1295">
          <cell r="A1295" t="str">
            <v>Ofsted Social Care Provider Webpage</v>
          </cell>
        </row>
        <row r="1296">
          <cell r="A1296" t="str">
            <v>Ofsted Social Care Provider Webpage</v>
          </cell>
        </row>
        <row r="1297">
          <cell r="A1297" t="str">
            <v>Ofsted Social Care Provider Webpage</v>
          </cell>
        </row>
        <row r="1298">
          <cell r="A1298" t="str">
            <v>Ofsted Social Care Provider Webpage</v>
          </cell>
        </row>
        <row r="1299">
          <cell r="A1299" t="str">
            <v>Ofsted Social Care Provider Webpage</v>
          </cell>
        </row>
        <row r="1300">
          <cell r="A1300" t="str">
            <v>Ofsted Social Care Provider Webpage</v>
          </cell>
        </row>
        <row r="1301">
          <cell r="A1301" t="str">
            <v>Ofsted Social Care Provider Webpage</v>
          </cell>
        </row>
        <row r="1302">
          <cell r="A1302" t="str">
            <v>Ofsted Social Care Provider Webpage</v>
          </cell>
        </row>
        <row r="1303">
          <cell r="A1303" t="str">
            <v>Ofsted Social Care Provider Webpage</v>
          </cell>
        </row>
        <row r="1304">
          <cell r="A1304" t="str">
            <v>Ofsted Social Care Provider Webpage</v>
          </cell>
        </row>
        <row r="1305">
          <cell r="A1305" t="str">
            <v>Ofsted Social Care Provider Webpage</v>
          </cell>
        </row>
        <row r="1306">
          <cell r="A1306" t="str">
            <v>Ofsted Social Care Provider Webpage</v>
          </cell>
        </row>
        <row r="1307">
          <cell r="A1307" t="str">
            <v>Ofsted Social Care Provider Webpage</v>
          </cell>
        </row>
        <row r="1308">
          <cell r="A1308" t="str">
            <v>Ofsted Social Care Provider Webpage</v>
          </cell>
        </row>
        <row r="1309">
          <cell r="A1309" t="str">
            <v>Ofsted Social Care Provider Webpage</v>
          </cell>
        </row>
        <row r="1310">
          <cell r="A1310" t="str">
            <v>Ofsted Social Care Provider Webpage</v>
          </cell>
        </row>
        <row r="1311">
          <cell r="A1311" t="str">
            <v>Ofsted Social Care Provider Webpage</v>
          </cell>
        </row>
        <row r="1312">
          <cell r="A1312" t="str">
            <v>Ofsted Social Care Provider Webpage</v>
          </cell>
        </row>
        <row r="1313">
          <cell r="A1313" t="str">
            <v>Ofsted Social Care Provider Webpage</v>
          </cell>
        </row>
        <row r="1314">
          <cell r="A1314" t="str">
            <v>Ofsted Social Care Provider Webpage</v>
          </cell>
        </row>
        <row r="1315">
          <cell r="A1315" t="str">
            <v>Ofsted Social Care Provider Webpage</v>
          </cell>
        </row>
        <row r="1316">
          <cell r="A1316" t="str">
            <v>Ofsted Social Care Provider Webpage</v>
          </cell>
        </row>
        <row r="1317">
          <cell r="A1317" t="str">
            <v>Ofsted Social Care Provider Webpage</v>
          </cell>
        </row>
        <row r="1318">
          <cell r="A1318" t="str">
            <v>Ofsted Social Care Provider Webpage</v>
          </cell>
        </row>
        <row r="1319">
          <cell r="A1319" t="str">
            <v>Ofsted Social Care Provider Webpage</v>
          </cell>
        </row>
        <row r="1320">
          <cell r="A1320" t="str">
            <v>Ofsted Social Care Provider Webpage</v>
          </cell>
        </row>
        <row r="1321">
          <cell r="A1321" t="str">
            <v>Ofsted Social Care Provider Webpage</v>
          </cell>
        </row>
        <row r="1322">
          <cell r="A1322" t="str">
            <v>Ofsted Social Care Provider Webpage</v>
          </cell>
        </row>
        <row r="1323">
          <cell r="A1323" t="str">
            <v>Ofsted Social Care Provider Webpage</v>
          </cell>
        </row>
        <row r="1324">
          <cell r="A1324" t="str">
            <v>Ofsted Social Care Provider Webpage</v>
          </cell>
        </row>
        <row r="1325">
          <cell r="A1325" t="str">
            <v>Ofsted Social Care Provider Webpage</v>
          </cell>
        </row>
        <row r="1326">
          <cell r="A1326" t="str">
            <v>Ofsted Social Care Provider Webpage</v>
          </cell>
        </row>
        <row r="1327">
          <cell r="A1327" t="str">
            <v>Ofsted Social Care Provider Webpage</v>
          </cell>
        </row>
        <row r="1328">
          <cell r="A1328" t="str">
            <v>Ofsted Social Care Provider Webpage</v>
          </cell>
        </row>
        <row r="1329">
          <cell r="A1329" t="str">
            <v>Ofsted Social Care Provider Webpage</v>
          </cell>
        </row>
        <row r="1330">
          <cell r="A1330" t="str">
            <v>Ofsted Social Care Provider Webpage</v>
          </cell>
        </row>
        <row r="1331">
          <cell r="A1331" t="str">
            <v>Ofsted Social Care Provider Webpage</v>
          </cell>
        </row>
        <row r="1332">
          <cell r="A1332" t="str">
            <v>Ofsted Social Care Provider Webpage</v>
          </cell>
        </row>
        <row r="1333">
          <cell r="A1333" t="str">
            <v>Ofsted Social Care Provider Webpage</v>
          </cell>
        </row>
        <row r="1334">
          <cell r="A1334" t="str">
            <v>Ofsted Social Care Provider Webpage</v>
          </cell>
        </row>
        <row r="1335">
          <cell r="A1335" t="str">
            <v>Ofsted Social Care Provider Webpage</v>
          </cell>
        </row>
        <row r="1336">
          <cell r="A1336" t="str">
            <v>Ofsted Social Care Provider Webpage</v>
          </cell>
        </row>
        <row r="1337">
          <cell r="A1337" t="str">
            <v>Ofsted Social Care Provider Webpage</v>
          </cell>
        </row>
        <row r="1338">
          <cell r="A1338" t="str">
            <v>Ofsted Social Care Provider Webpage</v>
          </cell>
        </row>
        <row r="1339">
          <cell r="A1339" t="str">
            <v>Ofsted Social Care Provider Webpage</v>
          </cell>
        </row>
        <row r="1340">
          <cell r="A1340" t="str">
            <v>Ofsted Social Care Provider Webpage</v>
          </cell>
        </row>
        <row r="1341">
          <cell r="A1341" t="str">
            <v>Ofsted Social Care Provider Webpage</v>
          </cell>
        </row>
        <row r="1342">
          <cell r="A1342" t="str">
            <v>Ofsted Social Care Provider Webpage</v>
          </cell>
        </row>
        <row r="1343">
          <cell r="A1343" t="str">
            <v>Ofsted Social Care Provider Webpage</v>
          </cell>
        </row>
        <row r="1344">
          <cell r="A1344" t="str">
            <v>Ofsted Social Care Provider Webpage</v>
          </cell>
        </row>
        <row r="1345">
          <cell r="A1345" t="str">
            <v>Ofsted Social Care Provider Webpage</v>
          </cell>
        </row>
        <row r="1346">
          <cell r="A1346" t="str">
            <v>Ofsted Social Care Provider Webpage</v>
          </cell>
        </row>
        <row r="1347">
          <cell r="A1347" t="str">
            <v>Ofsted Social Care Provider Webpage</v>
          </cell>
        </row>
        <row r="1348">
          <cell r="A1348" t="str">
            <v>Ofsted Social Care Provider Webpage</v>
          </cell>
        </row>
        <row r="1349">
          <cell r="A1349" t="str">
            <v>Ofsted Social Care Provider Webpage</v>
          </cell>
        </row>
        <row r="1350">
          <cell r="A1350" t="str">
            <v>Ofsted Social Care Provider Webpage</v>
          </cell>
        </row>
        <row r="1351">
          <cell r="A1351" t="str">
            <v>Ofsted Social Care Provider Webpage</v>
          </cell>
        </row>
        <row r="1352">
          <cell r="A1352" t="str">
            <v>Ofsted Social Care Provider Webpage</v>
          </cell>
        </row>
        <row r="1353">
          <cell r="A1353" t="str">
            <v>Ofsted Social Care Provider Webpage</v>
          </cell>
        </row>
        <row r="1354">
          <cell r="A1354" t="str">
            <v>Ofsted Social Care Provider Webpage</v>
          </cell>
        </row>
        <row r="1355">
          <cell r="A1355" t="str">
            <v>Ofsted Social Care Provider Webpage</v>
          </cell>
        </row>
        <row r="1356">
          <cell r="A1356" t="str">
            <v>Ofsted Social Care Provider Webpage</v>
          </cell>
        </row>
        <row r="1357">
          <cell r="A1357" t="str">
            <v>Ofsted Social Care Provider Webpage</v>
          </cell>
        </row>
        <row r="1358">
          <cell r="A1358" t="str">
            <v>Ofsted Social Care Provider Webpage</v>
          </cell>
        </row>
        <row r="1359">
          <cell r="A1359" t="str">
            <v>Ofsted Social Care Provider Webpage</v>
          </cell>
        </row>
        <row r="1360">
          <cell r="A1360" t="str">
            <v>Ofsted Social Care Provider Webpage</v>
          </cell>
        </row>
        <row r="1361">
          <cell r="A1361" t="str">
            <v>Ofsted Social Care Provider Webpage</v>
          </cell>
        </row>
        <row r="1362">
          <cell r="A1362" t="str">
            <v>Ofsted Social Care Provider Webpage</v>
          </cell>
        </row>
        <row r="1363">
          <cell r="A1363" t="str">
            <v>Ofsted Social Care Provider Webpage</v>
          </cell>
        </row>
        <row r="1364">
          <cell r="A1364" t="str">
            <v>Ofsted Social Care Provider Webpage</v>
          </cell>
        </row>
        <row r="1365">
          <cell r="A1365" t="str">
            <v>Ofsted Social Care Provider Webpage</v>
          </cell>
        </row>
        <row r="1366">
          <cell r="A1366" t="str">
            <v>Ofsted Social Care Provider Webpage</v>
          </cell>
        </row>
        <row r="1367">
          <cell r="A1367" t="str">
            <v>Ofsted Social Care Provider Webpage</v>
          </cell>
        </row>
        <row r="1368">
          <cell r="A1368" t="str">
            <v>Ofsted Social Care Provider Webpage</v>
          </cell>
        </row>
        <row r="1369">
          <cell r="A1369" t="str">
            <v>Ofsted Social Care Provider Webpage</v>
          </cell>
        </row>
        <row r="1370">
          <cell r="A1370" t="str">
            <v>Ofsted Social Care Provider Webpage</v>
          </cell>
        </row>
        <row r="1371">
          <cell r="A1371" t="str">
            <v>Ofsted Social Care Provider Webpage</v>
          </cell>
        </row>
        <row r="1372">
          <cell r="A1372" t="str">
            <v>Ofsted Social Care Provider Webpage</v>
          </cell>
        </row>
        <row r="1373">
          <cell r="A1373" t="str">
            <v>Ofsted Social Care Provider Webpage</v>
          </cell>
        </row>
        <row r="1374">
          <cell r="A1374" t="str">
            <v>Ofsted Social Care Provider Webpage</v>
          </cell>
        </row>
        <row r="1375">
          <cell r="A1375" t="str">
            <v>Ofsted Social Care Provider Webpage</v>
          </cell>
        </row>
        <row r="1376">
          <cell r="A1376" t="str">
            <v>Ofsted Social Care Provider Webpage</v>
          </cell>
        </row>
        <row r="1377">
          <cell r="A1377" t="str">
            <v>Ofsted Social Care Provider Webpage</v>
          </cell>
        </row>
        <row r="1378">
          <cell r="A1378" t="str">
            <v>Ofsted Social Care Provider Webpage</v>
          </cell>
        </row>
        <row r="1379">
          <cell r="A1379" t="str">
            <v>Ofsted Social Care Provider Webpage</v>
          </cell>
        </row>
        <row r="1380">
          <cell r="A1380" t="str">
            <v>Ofsted Social Care Provider Webpage</v>
          </cell>
        </row>
        <row r="1381">
          <cell r="A1381" t="str">
            <v>Ofsted Social Care Provider Webpage</v>
          </cell>
        </row>
        <row r="1382">
          <cell r="A1382" t="str">
            <v>Ofsted Social Care Provider Webpage</v>
          </cell>
        </row>
        <row r="1383">
          <cell r="A1383" t="str">
            <v>Ofsted Social Care Provider Webpage</v>
          </cell>
        </row>
        <row r="1384">
          <cell r="A1384" t="str">
            <v>Ofsted Social Care Provider Webpage</v>
          </cell>
        </row>
        <row r="1385">
          <cell r="A1385" t="str">
            <v>Ofsted Social Care Provider Webpage</v>
          </cell>
        </row>
        <row r="1386">
          <cell r="A1386" t="str">
            <v>Ofsted Social Care Provider Webpage</v>
          </cell>
        </row>
        <row r="1387">
          <cell r="A1387" t="str">
            <v>Ofsted Social Care Provider Webpage</v>
          </cell>
        </row>
        <row r="1388">
          <cell r="A1388" t="str">
            <v>Ofsted Social Care Provider Webpage</v>
          </cell>
        </row>
        <row r="1389">
          <cell r="A1389" t="str">
            <v>Ofsted Social Care Provider Webpage</v>
          </cell>
        </row>
        <row r="1390">
          <cell r="A1390" t="str">
            <v>Ofsted Social Care Provider Webpage</v>
          </cell>
        </row>
        <row r="1391">
          <cell r="A1391" t="str">
            <v>Ofsted Social Care Provider Webpage</v>
          </cell>
        </row>
        <row r="1392">
          <cell r="A1392" t="str">
            <v>Ofsted Social Care Provider Webpage</v>
          </cell>
        </row>
        <row r="1393">
          <cell r="A1393" t="str">
            <v>Ofsted Social Care Provider Webpage</v>
          </cell>
        </row>
        <row r="1394">
          <cell r="A1394" t="str">
            <v>Ofsted Social Care Provider Webpage</v>
          </cell>
        </row>
        <row r="1395">
          <cell r="A1395" t="str">
            <v>Ofsted Social Care Provider Webpage</v>
          </cell>
        </row>
        <row r="1396">
          <cell r="A1396" t="str">
            <v>Ofsted Social Care Provider Webpage</v>
          </cell>
        </row>
        <row r="1397">
          <cell r="A1397" t="str">
            <v>Ofsted Social Care Provider Webpage</v>
          </cell>
        </row>
        <row r="1398">
          <cell r="A1398" t="str">
            <v>Ofsted Social Care Provider Webpage</v>
          </cell>
        </row>
        <row r="1399">
          <cell r="A1399" t="str">
            <v>Ofsted Social Care Provider Webpage</v>
          </cell>
        </row>
        <row r="1400">
          <cell r="A1400" t="str">
            <v>Ofsted Social Care Provider Webpage</v>
          </cell>
        </row>
        <row r="1401">
          <cell r="A1401" t="str">
            <v>Ofsted Social Care Provider Webpage</v>
          </cell>
        </row>
        <row r="1402">
          <cell r="A1402" t="str">
            <v>Ofsted Social Care Provider Webpage</v>
          </cell>
        </row>
        <row r="1403">
          <cell r="A1403" t="str">
            <v>Ofsted Social Care Provider Webpage</v>
          </cell>
        </row>
        <row r="1404">
          <cell r="A1404" t="str">
            <v>Ofsted Social Care Provider Webpage</v>
          </cell>
        </row>
        <row r="1405">
          <cell r="A1405" t="str">
            <v>Ofsted Social Care Provider Webpage</v>
          </cell>
        </row>
        <row r="1406">
          <cell r="A1406" t="str">
            <v>Ofsted Social Care Provider Webpage</v>
          </cell>
        </row>
        <row r="1407">
          <cell r="A1407" t="str">
            <v>Ofsted Social Care Provider Webpage</v>
          </cell>
        </row>
        <row r="1408">
          <cell r="A1408" t="str">
            <v>Ofsted Social Care Provider Webpage</v>
          </cell>
        </row>
        <row r="1409">
          <cell r="A1409" t="str">
            <v>Ofsted Social Care Provider Webpage</v>
          </cell>
        </row>
        <row r="1410">
          <cell r="A1410" t="str">
            <v>Ofsted Social Care Provider Webpage</v>
          </cell>
        </row>
        <row r="1411">
          <cell r="A1411" t="str">
            <v>Ofsted Social Care Provider Webpage</v>
          </cell>
        </row>
        <row r="1412">
          <cell r="A1412" t="str">
            <v>Ofsted Social Care Provider Webpage</v>
          </cell>
        </row>
        <row r="1413">
          <cell r="A1413" t="str">
            <v>Ofsted Social Care Provider Webpage</v>
          </cell>
        </row>
        <row r="1414">
          <cell r="A1414" t="str">
            <v>Ofsted Social Care Provider Webpage</v>
          </cell>
        </row>
        <row r="1415">
          <cell r="A1415" t="str">
            <v>Ofsted Social Care Provider Webpage</v>
          </cell>
        </row>
        <row r="1416">
          <cell r="A1416" t="str">
            <v>Ofsted Social Care Provider Webpage</v>
          </cell>
        </row>
        <row r="1417">
          <cell r="A1417" t="str">
            <v>Ofsted Social Care Provider Webpage</v>
          </cell>
        </row>
        <row r="1418">
          <cell r="A1418" t="str">
            <v>Ofsted Social Care Provider Webpage</v>
          </cell>
        </row>
        <row r="1419">
          <cell r="A1419" t="str">
            <v>Ofsted Social Care Provider Webpage</v>
          </cell>
        </row>
        <row r="1420">
          <cell r="A1420" t="str">
            <v>Ofsted Social Care Provider Webpage</v>
          </cell>
        </row>
        <row r="1421">
          <cell r="A1421" t="str">
            <v>Ofsted Social Care Provider Webpage</v>
          </cell>
        </row>
        <row r="1422">
          <cell r="A1422" t="str">
            <v>Ofsted Social Care Provider Webpage</v>
          </cell>
        </row>
        <row r="1423">
          <cell r="A1423" t="str">
            <v>Ofsted Social Care Provider Webpage</v>
          </cell>
        </row>
        <row r="1424">
          <cell r="A1424" t="str">
            <v>Ofsted Social Care Provider Webpage</v>
          </cell>
        </row>
        <row r="1425">
          <cell r="A1425" t="str">
            <v>Ofsted Social Care Provider Webpage</v>
          </cell>
        </row>
        <row r="1426">
          <cell r="A1426" t="str">
            <v>Ofsted Social Care Provider Webpage</v>
          </cell>
        </row>
        <row r="1427">
          <cell r="A1427" t="str">
            <v>Ofsted Social Care Provider Webpage</v>
          </cell>
        </row>
        <row r="1428">
          <cell r="A1428" t="str">
            <v>Ofsted Social Care Provider Webpage</v>
          </cell>
        </row>
        <row r="1429">
          <cell r="A1429" t="str">
            <v>Ofsted Social Care Provider Webpage</v>
          </cell>
        </row>
        <row r="1430">
          <cell r="A1430" t="str">
            <v>Ofsted Social Care Provider Webpage</v>
          </cell>
        </row>
        <row r="1431">
          <cell r="A1431" t="str">
            <v>Ofsted Social Care Provider Webpage</v>
          </cell>
        </row>
        <row r="1432">
          <cell r="A1432" t="str">
            <v>Ofsted Social Care Provider Webpage</v>
          </cell>
        </row>
        <row r="1433">
          <cell r="A1433" t="str">
            <v>Ofsted Social Care Provider Webpage</v>
          </cell>
        </row>
        <row r="1434">
          <cell r="A1434" t="str">
            <v>Ofsted Social Care Provider Webpage</v>
          </cell>
        </row>
        <row r="1435">
          <cell r="A1435" t="str">
            <v>Ofsted Social Care Provider Webpage</v>
          </cell>
        </row>
        <row r="1436">
          <cell r="A1436" t="str">
            <v>Ofsted Social Care Provider Webpage</v>
          </cell>
        </row>
        <row r="1437">
          <cell r="A1437" t="str">
            <v>Ofsted Social Care Provider Webpage</v>
          </cell>
        </row>
        <row r="1438">
          <cell r="A1438" t="str">
            <v>Ofsted Social Care Provider Webpage</v>
          </cell>
        </row>
        <row r="1439">
          <cell r="A1439" t="str">
            <v>Ofsted Social Care Provider Webpage</v>
          </cell>
        </row>
        <row r="1440">
          <cell r="A1440" t="str">
            <v>Ofsted Social Care Provider Webpage</v>
          </cell>
        </row>
        <row r="1441">
          <cell r="A1441" t="str">
            <v>Ofsted Social Care Provider Webpage</v>
          </cell>
        </row>
        <row r="1442">
          <cell r="A1442" t="str">
            <v>Ofsted Social Care Provider Webpage</v>
          </cell>
        </row>
        <row r="1443">
          <cell r="A1443" t="str">
            <v>Ofsted Social Care Provider Webpage</v>
          </cell>
        </row>
        <row r="1444">
          <cell r="A1444" t="str">
            <v>Ofsted Social Care Provider Webpage</v>
          </cell>
        </row>
        <row r="1445">
          <cell r="A1445" t="str">
            <v>Ofsted Social Care Provider Webpage</v>
          </cell>
        </row>
        <row r="1446">
          <cell r="A1446" t="str">
            <v>Ofsted Social Care Provider Webpage</v>
          </cell>
        </row>
        <row r="1447">
          <cell r="A1447" t="str">
            <v>Ofsted Social Care Provider Webpage</v>
          </cell>
        </row>
        <row r="1448">
          <cell r="A1448" t="str">
            <v>Ofsted Social Care Provider Webpage</v>
          </cell>
        </row>
        <row r="1449">
          <cell r="A1449" t="str">
            <v>Ofsted Social Care Provider Webpage</v>
          </cell>
        </row>
        <row r="1450">
          <cell r="A1450" t="str">
            <v>Ofsted Social Care Provider Webpage</v>
          </cell>
        </row>
        <row r="1451">
          <cell r="A1451" t="str">
            <v>Ofsted Social Care Provider Webpage</v>
          </cell>
        </row>
        <row r="1452">
          <cell r="A1452" t="str">
            <v>Ofsted Social Care Provider Webpage</v>
          </cell>
        </row>
        <row r="1453">
          <cell r="A1453" t="str">
            <v>Ofsted Social Care Provider Webpage</v>
          </cell>
        </row>
        <row r="1454">
          <cell r="A1454" t="str">
            <v>Ofsted Social Care Provider Webpage</v>
          </cell>
        </row>
        <row r="1455">
          <cell r="A1455" t="str">
            <v>Ofsted Social Care Provider Webpage</v>
          </cell>
        </row>
        <row r="1456">
          <cell r="A1456" t="str">
            <v>Ofsted Social Care Provider Webpage</v>
          </cell>
        </row>
        <row r="1457">
          <cell r="A1457" t="str">
            <v>Ofsted Social Care Provider Webpage</v>
          </cell>
        </row>
        <row r="1458">
          <cell r="A1458" t="str">
            <v>Ofsted Social Care Provider Webpage</v>
          </cell>
        </row>
        <row r="1459">
          <cell r="A1459" t="str">
            <v>Ofsted Social Care Provider Webpage</v>
          </cell>
        </row>
        <row r="1460">
          <cell r="A1460" t="str">
            <v>Ofsted Social Care Provider Webpage</v>
          </cell>
        </row>
        <row r="1461">
          <cell r="A1461" t="str">
            <v>Ofsted Social Care Provider Webpage</v>
          </cell>
        </row>
        <row r="1462">
          <cell r="A1462" t="str">
            <v>Ofsted Social Care Provider Webpage</v>
          </cell>
        </row>
        <row r="1463">
          <cell r="A1463" t="str">
            <v>Ofsted Social Care Provider Webpage</v>
          </cell>
        </row>
        <row r="1464">
          <cell r="A1464" t="str">
            <v>Ofsted Social Care Provider Webpage</v>
          </cell>
        </row>
        <row r="1465">
          <cell r="A1465" t="str">
            <v>Ofsted Social Care Provider Webpage</v>
          </cell>
        </row>
        <row r="1466">
          <cell r="A1466" t="str">
            <v>Ofsted Social Care Provider Webpage</v>
          </cell>
        </row>
        <row r="1467">
          <cell r="A1467" t="str">
            <v>Ofsted Social Care Provider Webpage</v>
          </cell>
        </row>
        <row r="1468">
          <cell r="A1468" t="str">
            <v>Ofsted Social Care Provider Webpage</v>
          </cell>
        </row>
        <row r="1469">
          <cell r="A1469" t="str">
            <v>Ofsted Social Care Provider Webpage</v>
          </cell>
        </row>
        <row r="1470">
          <cell r="A1470" t="str">
            <v>Ofsted Social Care Provider Webpage</v>
          </cell>
        </row>
        <row r="1471">
          <cell r="A1471" t="str">
            <v>Ofsted Social Care Provider Webpage</v>
          </cell>
        </row>
        <row r="1472">
          <cell r="A1472" t="str">
            <v>Ofsted Social Care Provider Webpage</v>
          </cell>
        </row>
        <row r="1473">
          <cell r="A1473" t="str">
            <v>Ofsted Social Care Provider Webpage</v>
          </cell>
        </row>
        <row r="1474">
          <cell r="A1474" t="str">
            <v>Ofsted Social Care Provider Webpage</v>
          </cell>
        </row>
        <row r="1475">
          <cell r="A1475" t="str">
            <v>Ofsted Social Care Provider Webpage</v>
          </cell>
        </row>
        <row r="1476">
          <cell r="A1476" t="str">
            <v>Ofsted Social Care Provider Webpage</v>
          </cell>
        </row>
        <row r="1477">
          <cell r="A1477" t="str">
            <v>Ofsted Social Care Provider Webpage</v>
          </cell>
        </row>
        <row r="1478">
          <cell r="A1478" t="str">
            <v>Ofsted Social Care Provider Webpage</v>
          </cell>
        </row>
        <row r="1479">
          <cell r="A1479" t="str">
            <v>Ofsted Social Care Provider Webpage</v>
          </cell>
        </row>
        <row r="1480">
          <cell r="A1480" t="str">
            <v>Ofsted Social Care Provider Webpage</v>
          </cell>
        </row>
        <row r="1481">
          <cell r="A1481" t="str">
            <v>Ofsted Social Care Provider Webpage</v>
          </cell>
        </row>
        <row r="1482">
          <cell r="A1482" t="str">
            <v>Ofsted Social Care Provider Webpage</v>
          </cell>
        </row>
        <row r="1483">
          <cell r="A1483" t="str">
            <v>Ofsted Social Care Provider Webpage</v>
          </cell>
        </row>
        <row r="1484">
          <cell r="A1484" t="str">
            <v>Ofsted Social Care Provider Webpage</v>
          </cell>
        </row>
        <row r="1485">
          <cell r="A1485" t="str">
            <v>Ofsted Social Care Provider Webpage</v>
          </cell>
        </row>
        <row r="1486">
          <cell r="A1486" t="str">
            <v>Ofsted Social Care Provider Webpage</v>
          </cell>
        </row>
        <row r="1487">
          <cell r="A1487" t="str">
            <v>Ofsted Social Care Provider Webpage</v>
          </cell>
        </row>
        <row r="1488">
          <cell r="A1488" t="str">
            <v>Ofsted Social Care Provider Webpage</v>
          </cell>
        </row>
        <row r="1489">
          <cell r="A1489" t="str">
            <v>Ofsted Social Care Provider Webpage</v>
          </cell>
        </row>
        <row r="1490">
          <cell r="A1490" t="str">
            <v>Ofsted Social Care Provider Webpage</v>
          </cell>
        </row>
        <row r="1491">
          <cell r="A1491" t="str">
            <v>Ofsted Social Care Provider Webpage</v>
          </cell>
        </row>
        <row r="1492">
          <cell r="A1492" t="str">
            <v>Ofsted Social Care Provider Webpage</v>
          </cell>
        </row>
        <row r="1493">
          <cell r="A1493" t="str">
            <v>Ofsted Social Care Provider Webpage</v>
          </cell>
        </row>
        <row r="1494">
          <cell r="A1494" t="str">
            <v>Ofsted Social Care Provider Webpage</v>
          </cell>
        </row>
        <row r="1495">
          <cell r="A1495" t="str">
            <v>Ofsted Social Care Provider Webpage</v>
          </cell>
        </row>
        <row r="1496">
          <cell r="A1496" t="str">
            <v>Ofsted Social Care Provider Webpage</v>
          </cell>
        </row>
        <row r="1497">
          <cell r="A1497" t="str">
            <v>Ofsted Social Care Provider Webpage</v>
          </cell>
        </row>
        <row r="1498">
          <cell r="A1498" t="str">
            <v>Ofsted Social Care Provider Webpage</v>
          </cell>
        </row>
        <row r="1499">
          <cell r="A1499" t="str">
            <v>Ofsted Social Care Provider Webpage</v>
          </cell>
        </row>
        <row r="1500">
          <cell r="A1500" t="str">
            <v>Ofsted Social Care Provider Webpage</v>
          </cell>
        </row>
        <row r="1501">
          <cell r="A1501" t="str">
            <v>Ofsted Social Care Provider Webpage</v>
          </cell>
        </row>
        <row r="1502">
          <cell r="A1502" t="str">
            <v>Ofsted Social Care Provider Webpage</v>
          </cell>
        </row>
        <row r="1503">
          <cell r="A1503" t="str">
            <v>Ofsted Social Care Provider Webpage</v>
          </cell>
        </row>
        <row r="1504">
          <cell r="A1504" t="str">
            <v>Ofsted Social Care Provider Webpage</v>
          </cell>
        </row>
        <row r="1505">
          <cell r="A1505" t="str">
            <v>Ofsted Social Care Provider Webpage</v>
          </cell>
        </row>
        <row r="1506">
          <cell r="A1506" t="str">
            <v>Ofsted Social Care Provider Webpage</v>
          </cell>
        </row>
        <row r="1507">
          <cell r="A1507" t="str">
            <v>Ofsted Social Care Provider Webpage</v>
          </cell>
        </row>
        <row r="1508">
          <cell r="A1508" t="str">
            <v>Ofsted Social Care Provider Webpage</v>
          </cell>
        </row>
        <row r="1509">
          <cell r="A1509" t="str">
            <v>Ofsted Social Care Provider Webpage</v>
          </cell>
        </row>
        <row r="1510">
          <cell r="A1510" t="str">
            <v>Ofsted Social Care Provider Webpage</v>
          </cell>
        </row>
        <row r="1511">
          <cell r="A1511" t="str">
            <v>Ofsted Social Care Provider Webpage</v>
          </cell>
        </row>
        <row r="1512">
          <cell r="A1512" t="str">
            <v>Ofsted Social Care Provider Webpage</v>
          </cell>
        </row>
        <row r="1513">
          <cell r="A1513" t="str">
            <v>Ofsted Social Care Provider Webpage</v>
          </cell>
        </row>
        <row r="1514">
          <cell r="A1514" t="str">
            <v>Ofsted Social Care Provider Webpage</v>
          </cell>
        </row>
        <row r="1515">
          <cell r="A1515" t="str">
            <v>Ofsted Social Care Provider Webpage</v>
          </cell>
        </row>
        <row r="1516">
          <cell r="A1516" t="str">
            <v>Ofsted Social Care Provider Webpage</v>
          </cell>
        </row>
        <row r="1517">
          <cell r="A1517" t="str">
            <v>Ofsted Social Care Provider Webpage</v>
          </cell>
        </row>
        <row r="1518">
          <cell r="A1518" t="str">
            <v>Ofsted Social Care Provider Webpage</v>
          </cell>
        </row>
        <row r="1519">
          <cell r="A1519" t="str">
            <v>Ofsted Social Care Provider Webpage</v>
          </cell>
        </row>
        <row r="1520">
          <cell r="A1520" t="str">
            <v>Ofsted Social Care Provider Webpage</v>
          </cell>
        </row>
        <row r="1521">
          <cell r="A1521" t="str">
            <v>Ofsted Social Care Provider Webpage</v>
          </cell>
        </row>
        <row r="1522">
          <cell r="A1522" t="str">
            <v>Ofsted Social Care Provider Webpage</v>
          </cell>
        </row>
        <row r="1523">
          <cell r="A1523" t="str">
            <v>Ofsted Social Care Provider Webpage</v>
          </cell>
        </row>
        <row r="1524">
          <cell r="A1524" t="str">
            <v>Ofsted Social Care Provider Webpage</v>
          </cell>
        </row>
        <row r="1525">
          <cell r="A1525" t="str">
            <v>Ofsted Social Care Provider Webpage</v>
          </cell>
        </row>
        <row r="1526">
          <cell r="A1526" t="str">
            <v>Ofsted Social Care Provider Webpage</v>
          </cell>
        </row>
        <row r="1527">
          <cell r="A1527" t="str">
            <v>Ofsted Social Care Provider Webpage</v>
          </cell>
        </row>
        <row r="1528">
          <cell r="A1528" t="str">
            <v>Ofsted Social Care Provider Webpage</v>
          </cell>
        </row>
        <row r="1529">
          <cell r="A1529" t="str">
            <v>Ofsted Social Care Provider Webpage</v>
          </cell>
        </row>
        <row r="1530">
          <cell r="A1530" t="str">
            <v>Ofsted Social Care Provider Webpage</v>
          </cell>
        </row>
        <row r="1531">
          <cell r="A1531" t="str">
            <v>Ofsted Social Care Provider Webpage</v>
          </cell>
        </row>
        <row r="1532">
          <cell r="A1532" t="str">
            <v>Ofsted Social Care Provider Webpage</v>
          </cell>
        </row>
        <row r="1533">
          <cell r="A1533" t="str">
            <v>Ofsted Social Care Provider Webpage</v>
          </cell>
        </row>
        <row r="1534">
          <cell r="A1534" t="str">
            <v>Ofsted Social Care Provider Webpage</v>
          </cell>
        </row>
        <row r="1535">
          <cell r="A1535" t="str">
            <v>Ofsted Social Care Provider Webpage</v>
          </cell>
        </row>
        <row r="1536">
          <cell r="A1536" t="str">
            <v>Ofsted Social Care Provider Webpage</v>
          </cell>
        </row>
        <row r="1537">
          <cell r="A1537" t="str">
            <v>Ofsted Social Care Provider Webpage</v>
          </cell>
        </row>
        <row r="1538">
          <cell r="A1538" t="str">
            <v>Ofsted Social Care Provider Webpage</v>
          </cell>
        </row>
        <row r="1539">
          <cell r="A1539" t="str">
            <v>Ofsted Social Care Provider Webpage</v>
          </cell>
        </row>
        <row r="1540">
          <cell r="A1540" t="str">
            <v>Ofsted Social Care Provider Webpage</v>
          </cell>
        </row>
        <row r="1541">
          <cell r="A1541" t="str">
            <v>Ofsted Social Care Provider Webpage</v>
          </cell>
        </row>
        <row r="1542">
          <cell r="A1542" t="str">
            <v>Ofsted Social Care Provider Webpage</v>
          </cell>
        </row>
        <row r="1543">
          <cell r="A1543" t="str">
            <v>Ofsted Social Care Provider Webpage</v>
          </cell>
        </row>
        <row r="1544">
          <cell r="A1544" t="str">
            <v>Ofsted Social Care Provider Webpage</v>
          </cell>
        </row>
        <row r="1545">
          <cell r="A1545" t="str">
            <v>Ofsted Social Care Provider Webpage</v>
          </cell>
        </row>
        <row r="1546">
          <cell r="A1546" t="str">
            <v>Ofsted Social Care Provider Webpage</v>
          </cell>
        </row>
        <row r="1547">
          <cell r="A1547" t="str">
            <v>Ofsted Social Care Provider Webpage</v>
          </cell>
        </row>
        <row r="1548">
          <cell r="A1548" t="str">
            <v>Ofsted Social Care Provider Webpage</v>
          </cell>
        </row>
        <row r="1549">
          <cell r="A1549" t="str">
            <v>Ofsted Social Care Provider Webpage</v>
          </cell>
        </row>
        <row r="1550">
          <cell r="A1550" t="str">
            <v>Ofsted Social Care Provider Webpage</v>
          </cell>
        </row>
        <row r="1551">
          <cell r="A1551" t="str">
            <v>Ofsted Social Care Provider Webpage</v>
          </cell>
        </row>
        <row r="1552">
          <cell r="A1552" t="str">
            <v>Ofsted Social Care Provider Webpage</v>
          </cell>
        </row>
        <row r="1553">
          <cell r="A1553" t="str">
            <v>Ofsted Social Care Provider Webpage</v>
          </cell>
        </row>
        <row r="1554">
          <cell r="A1554" t="str">
            <v>Ofsted Social Care Provider Webpage</v>
          </cell>
        </row>
        <row r="1555">
          <cell r="A1555" t="str">
            <v>Ofsted Social Care Provider Webpage</v>
          </cell>
        </row>
        <row r="1556">
          <cell r="A1556" t="str">
            <v>Ofsted Social Care Provider Webpage</v>
          </cell>
        </row>
        <row r="1557">
          <cell r="A1557" t="str">
            <v>Ofsted Social Care Provider Webpage</v>
          </cell>
        </row>
        <row r="1558">
          <cell r="A1558" t="str">
            <v>Ofsted Social Care Provider Webpage</v>
          </cell>
        </row>
        <row r="1559">
          <cell r="A1559" t="str">
            <v>Ofsted Social Care Provider Webpage</v>
          </cell>
        </row>
        <row r="1560">
          <cell r="A1560" t="str">
            <v>Ofsted Social Care Provider Webpage</v>
          </cell>
        </row>
        <row r="1561">
          <cell r="A1561" t="str">
            <v>Ofsted Social Care Provider Webpage</v>
          </cell>
        </row>
        <row r="1562">
          <cell r="A1562" t="str">
            <v>Ofsted Social Care Provider Webpage</v>
          </cell>
        </row>
        <row r="1563">
          <cell r="A1563" t="str">
            <v>Ofsted Social Care Provider Webpage</v>
          </cell>
        </row>
        <row r="1564">
          <cell r="A1564" t="str">
            <v>Ofsted Social Care Provider Webpage</v>
          </cell>
        </row>
        <row r="1565">
          <cell r="A1565" t="str">
            <v>Ofsted Social Care Provider Webpage</v>
          </cell>
        </row>
        <row r="1566">
          <cell r="A1566" t="str">
            <v>Ofsted Social Care Provider Webpage</v>
          </cell>
        </row>
        <row r="1567">
          <cell r="A1567" t="str">
            <v>Ofsted Social Care Provider Webpage</v>
          </cell>
        </row>
        <row r="1568">
          <cell r="A1568" t="str">
            <v>Ofsted Social Care Provider Webpage</v>
          </cell>
        </row>
        <row r="1569">
          <cell r="A1569" t="str">
            <v>Ofsted Social Care Provider Webpage</v>
          </cell>
        </row>
        <row r="1570">
          <cell r="A1570" t="str">
            <v>Ofsted Social Care Provider Webpage</v>
          </cell>
        </row>
        <row r="1571">
          <cell r="A1571" t="str">
            <v>Ofsted Social Care Provider Webpage</v>
          </cell>
        </row>
        <row r="1572">
          <cell r="A1572" t="str">
            <v>Ofsted Social Care Provider Webpage</v>
          </cell>
        </row>
        <row r="1573">
          <cell r="A1573" t="str">
            <v>Ofsted Social Care Provider Webpage</v>
          </cell>
        </row>
        <row r="1574">
          <cell r="A1574" t="str">
            <v>Ofsted Social Care Provider Webpage</v>
          </cell>
        </row>
        <row r="1575">
          <cell r="A1575" t="str">
            <v>Ofsted Social Care Provider Webpage</v>
          </cell>
        </row>
        <row r="1576">
          <cell r="A1576" t="str">
            <v>Ofsted Social Care Provider Webpage</v>
          </cell>
        </row>
        <row r="1577">
          <cell r="A1577" t="str">
            <v>Ofsted Social Care Provider Webpage</v>
          </cell>
        </row>
        <row r="1578">
          <cell r="A1578" t="str">
            <v>Ofsted Social Care Provider Webpage</v>
          </cell>
        </row>
        <row r="1579">
          <cell r="A1579" t="str">
            <v>Ofsted Social Care Provider Webpage</v>
          </cell>
        </row>
        <row r="1580">
          <cell r="A1580" t="str">
            <v>Ofsted Social Care Provider Webpage</v>
          </cell>
        </row>
        <row r="1581">
          <cell r="A1581" t="str">
            <v>Ofsted Social Care Provider Webpage</v>
          </cell>
        </row>
        <row r="1582">
          <cell r="A1582" t="str">
            <v>Ofsted Social Care Provider Webpage</v>
          </cell>
        </row>
        <row r="1583">
          <cell r="A1583" t="str">
            <v>Ofsted Social Care Provider Webpage</v>
          </cell>
        </row>
        <row r="1584">
          <cell r="A1584" t="str">
            <v>Ofsted Social Care Provider Webpage</v>
          </cell>
        </row>
        <row r="1585">
          <cell r="A1585" t="str">
            <v>Ofsted Social Care Provider Webpage</v>
          </cell>
        </row>
        <row r="1586">
          <cell r="A1586" t="str">
            <v>Ofsted Social Care Provider Webpage</v>
          </cell>
        </row>
        <row r="1587">
          <cell r="A1587" t="str">
            <v>Ofsted Social Care Provider Webpage</v>
          </cell>
        </row>
        <row r="1588">
          <cell r="A1588" t="str">
            <v>Ofsted Social Care Provider Webpage</v>
          </cell>
        </row>
        <row r="1589">
          <cell r="A1589" t="str">
            <v>Ofsted Social Care Provider Webpage</v>
          </cell>
        </row>
        <row r="1590">
          <cell r="A1590" t="str">
            <v>Ofsted Social Care Provider Webpage</v>
          </cell>
        </row>
        <row r="1591">
          <cell r="A1591" t="str">
            <v>Ofsted Social Care Provider Webpage</v>
          </cell>
        </row>
        <row r="1592">
          <cell r="A1592" t="str">
            <v>Ofsted Social Care Provider Webpage</v>
          </cell>
        </row>
        <row r="1593">
          <cell r="A1593" t="str">
            <v>Ofsted Social Care Provider Webpage</v>
          </cell>
        </row>
        <row r="1594">
          <cell r="A1594" t="str">
            <v>Ofsted Social Care Provider Webpage</v>
          </cell>
        </row>
        <row r="1595">
          <cell r="A1595" t="str">
            <v>Ofsted Social Care Provider Webpage</v>
          </cell>
        </row>
        <row r="1596">
          <cell r="A1596" t="str">
            <v>Ofsted Social Care Provider Webpage</v>
          </cell>
        </row>
        <row r="1597">
          <cell r="A1597" t="str">
            <v>Ofsted Social Care Provider Webpage</v>
          </cell>
        </row>
        <row r="1598">
          <cell r="A1598" t="str">
            <v>Ofsted Social Care Provider Webpage</v>
          </cell>
        </row>
        <row r="1599">
          <cell r="A1599" t="str">
            <v>Ofsted Social Care Provider Webpage</v>
          </cell>
        </row>
        <row r="1600">
          <cell r="A1600" t="str">
            <v>Ofsted Social Care Provider Webpage</v>
          </cell>
        </row>
        <row r="1601">
          <cell r="A1601" t="str">
            <v>Ofsted Social Care Provider Webpage</v>
          </cell>
        </row>
        <row r="1602">
          <cell r="A1602" t="str">
            <v>Ofsted Social Care Provider Webpage</v>
          </cell>
        </row>
        <row r="1603">
          <cell r="A1603" t="str">
            <v>Ofsted Social Care Provider Webpage</v>
          </cell>
        </row>
        <row r="1604">
          <cell r="A1604" t="str">
            <v>Ofsted Social Care Provider Webpage</v>
          </cell>
        </row>
        <row r="1605">
          <cell r="A1605" t="str">
            <v>Ofsted Social Care Provider Webpage</v>
          </cell>
        </row>
        <row r="1606">
          <cell r="A1606" t="str">
            <v>Ofsted Social Care Provider Webpage</v>
          </cell>
        </row>
        <row r="1607">
          <cell r="A1607" t="str">
            <v>Ofsted Social Care Provider Webpage</v>
          </cell>
        </row>
        <row r="1608">
          <cell r="A1608" t="str">
            <v>Ofsted Social Care Provider Webpage</v>
          </cell>
        </row>
        <row r="1609">
          <cell r="A1609" t="str">
            <v>Ofsted Social Care Provider Webpage</v>
          </cell>
        </row>
        <row r="1610">
          <cell r="A1610" t="str">
            <v>Ofsted Social Care Provider Webpage</v>
          </cell>
        </row>
        <row r="1611">
          <cell r="A1611" t="str">
            <v>Ofsted Social Care Provider Webpage</v>
          </cell>
        </row>
        <row r="1612">
          <cell r="A1612" t="str">
            <v>Ofsted Social Care Provider Webpage</v>
          </cell>
        </row>
        <row r="1613">
          <cell r="A1613" t="str">
            <v>Ofsted Social Care Provider Webpage</v>
          </cell>
        </row>
        <row r="1614">
          <cell r="A1614" t="str">
            <v>Ofsted Social Care Provider Webpage</v>
          </cell>
        </row>
        <row r="1615">
          <cell r="A1615" t="str">
            <v>Ofsted Social Care Provider Webpage</v>
          </cell>
        </row>
        <row r="1616">
          <cell r="A1616" t="str">
            <v>Ofsted Social Care Provider Webpage</v>
          </cell>
        </row>
        <row r="1617">
          <cell r="A1617" t="str">
            <v>Ofsted Social Care Provider Webpage</v>
          </cell>
        </row>
        <row r="1618">
          <cell r="A1618" t="str">
            <v>Ofsted Social Care Provider Webpage</v>
          </cell>
        </row>
        <row r="1619">
          <cell r="A1619" t="str">
            <v>Ofsted Social Care Provider Webpage</v>
          </cell>
        </row>
        <row r="1620">
          <cell r="A1620" t="str">
            <v>Ofsted Social Care Provider Webpage</v>
          </cell>
        </row>
        <row r="1621">
          <cell r="A1621" t="str">
            <v>Ofsted Social Care Provider Webpage</v>
          </cell>
        </row>
        <row r="1622">
          <cell r="A1622" t="str">
            <v>Ofsted Social Care Provider Webpage</v>
          </cell>
        </row>
        <row r="1623">
          <cell r="A1623" t="str">
            <v>Ofsted Social Care Provider Webpage</v>
          </cell>
        </row>
        <row r="1624">
          <cell r="A1624" t="str">
            <v>Ofsted Social Care Provider Webpage</v>
          </cell>
        </row>
        <row r="1625">
          <cell r="A1625" t="str">
            <v>Ofsted Social Care Provider Webpage</v>
          </cell>
        </row>
        <row r="1626">
          <cell r="A1626" t="str">
            <v>Ofsted Social Care Provider Webpage</v>
          </cell>
        </row>
        <row r="1627">
          <cell r="A1627" t="str">
            <v>Ofsted Social Care Provider Webpage</v>
          </cell>
        </row>
        <row r="1628">
          <cell r="A1628" t="str">
            <v>Ofsted Social Care Provider Webpage</v>
          </cell>
        </row>
        <row r="1629">
          <cell r="A1629" t="str">
            <v>Ofsted Social Care Provider Webpage</v>
          </cell>
        </row>
        <row r="1630">
          <cell r="A1630" t="str">
            <v>Ofsted Social Care Provider Webpage</v>
          </cell>
        </row>
        <row r="1631">
          <cell r="A1631" t="str">
            <v>Ofsted Social Care Provider Webpage</v>
          </cell>
        </row>
        <row r="1632">
          <cell r="A1632" t="str">
            <v>Ofsted Social Care Provider Webpage</v>
          </cell>
        </row>
        <row r="1633">
          <cell r="A1633" t="str">
            <v>Ofsted Social Care Provider Webpage</v>
          </cell>
        </row>
        <row r="1634">
          <cell r="A1634" t="str">
            <v>Ofsted Social Care Provider Webpage</v>
          </cell>
        </row>
        <row r="1635">
          <cell r="A1635" t="str">
            <v>Ofsted Social Care Provider Webpage</v>
          </cell>
        </row>
        <row r="1636">
          <cell r="A1636" t="str">
            <v>Ofsted Social Care Provider Webpage</v>
          </cell>
        </row>
        <row r="1637">
          <cell r="A1637" t="str">
            <v>Ofsted Social Care Provider Webpage</v>
          </cell>
        </row>
        <row r="1638">
          <cell r="A1638" t="str">
            <v>Ofsted Social Care Provider Webpage</v>
          </cell>
        </row>
        <row r="1639">
          <cell r="A1639" t="str">
            <v>Ofsted Social Care Provider Webpage</v>
          </cell>
        </row>
        <row r="1640">
          <cell r="A1640" t="str">
            <v>Ofsted Social Care Provider Webpage</v>
          </cell>
        </row>
        <row r="1641">
          <cell r="A1641" t="str">
            <v>Ofsted Social Care Provider Webpage</v>
          </cell>
        </row>
        <row r="1642">
          <cell r="A1642" t="str">
            <v>Ofsted Social Care Provider Webpage</v>
          </cell>
        </row>
        <row r="1643">
          <cell r="A1643" t="str">
            <v>Ofsted Social Care Provider Webpage</v>
          </cell>
        </row>
        <row r="1644">
          <cell r="A1644" t="str">
            <v>Ofsted Social Care Provider Webpage</v>
          </cell>
        </row>
        <row r="1645">
          <cell r="A1645" t="str">
            <v>Ofsted Social Care Provider Webpage</v>
          </cell>
        </row>
        <row r="1646">
          <cell r="A1646" t="str">
            <v>Ofsted Social Care Provider Webpage</v>
          </cell>
        </row>
        <row r="1647">
          <cell r="A1647" t="str">
            <v>Ofsted Social Care Provider Webpage</v>
          </cell>
        </row>
        <row r="1648">
          <cell r="A1648" t="str">
            <v>Ofsted Social Care Provider Webpage</v>
          </cell>
        </row>
        <row r="1649">
          <cell r="A1649" t="str">
            <v>Ofsted Social Care Provider Webpage</v>
          </cell>
        </row>
        <row r="1650">
          <cell r="A1650" t="str">
            <v>Ofsted Social Care Provider Webpage</v>
          </cell>
        </row>
        <row r="1651">
          <cell r="A1651" t="str">
            <v>Ofsted Social Care Provider Webpage</v>
          </cell>
        </row>
        <row r="1652">
          <cell r="A1652" t="str">
            <v>Ofsted Social Care Provider Webpage</v>
          </cell>
        </row>
        <row r="1653">
          <cell r="A1653" t="str">
            <v>Ofsted Social Care Provider Webpage</v>
          </cell>
        </row>
        <row r="1654">
          <cell r="A1654" t="str">
            <v>Ofsted Social Care Provider Webpage</v>
          </cell>
        </row>
        <row r="1655">
          <cell r="A1655" t="str">
            <v>Ofsted Social Care Provider Webpage</v>
          </cell>
        </row>
        <row r="1656">
          <cell r="A1656" t="str">
            <v>Ofsted Social Care Provider Webpage</v>
          </cell>
        </row>
        <row r="1657">
          <cell r="A1657" t="str">
            <v>Ofsted Social Care Provider Webpage</v>
          </cell>
        </row>
        <row r="1658">
          <cell r="A1658" t="str">
            <v>Ofsted Social Care Provider Webpage</v>
          </cell>
        </row>
        <row r="1659">
          <cell r="A1659" t="str">
            <v>Ofsted Social Care Provider Webpage</v>
          </cell>
        </row>
        <row r="1660">
          <cell r="A1660" t="str">
            <v>Ofsted Social Care Provider Webpage</v>
          </cell>
        </row>
        <row r="1661">
          <cell r="A1661" t="str">
            <v>Ofsted Social Care Provider Webpage</v>
          </cell>
        </row>
        <row r="1662">
          <cell r="A1662" t="str">
            <v>Ofsted Social Care Provider Webpage</v>
          </cell>
        </row>
        <row r="1663">
          <cell r="A1663" t="str">
            <v>Ofsted Social Care Provider Webpage</v>
          </cell>
        </row>
        <row r="1664">
          <cell r="A1664" t="str">
            <v>Ofsted Social Care Provider Webpage</v>
          </cell>
        </row>
        <row r="1665">
          <cell r="A1665" t="str">
            <v>Ofsted Social Care Provider Webpage</v>
          </cell>
        </row>
        <row r="1666">
          <cell r="A1666" t="str">
            <v>Ofsted Social Care Provider Webpage</v>
          </cell>
        </row>
        <row r="1667">
          <cell r="A1667" t="str">
            <v>Ofsted Social Care Provider Webpage</v>
          </cell>
        </row>
        <row r="1668">
          <cell r="A1668" t="str">
            <v>Ofsted Social Care Provider Webpage</v>
          </cell>
        </row>
        <row r="1669">
          <cell r="A1669" t="str">
            <v>Ofsted Social Care Provider Webpage</v>
          </cell>
        </row>
        <row r="1670">
          <cell r="A1670" t="str">
            <v>Ofsted Social Care Provider Webpage</v>
          </cell>
        </row>
        <row r="1671">
          <cell r="A1671" t="str">
            <v>Ofsted Social Care Provider Webpage</v>
          </cell>
        </row>
        <row r="1672">
          <cell r="A1672" t="str">
            <v>Ofsted Social Care Provider Webpage</v>
          </cell>
        </row>
        <row r="1673">
          <cell r="A1673" t="str">
            <v>Ofsted Social Care Provider Webpage</v>
          </cell>
        </row>
        <row r="1674">
          <cell r="A1674" t="str">
            <v>Ofsted Social Care Provider Webpage</v>
          </cell>
        </row>
        <row r="1675">
          <cell r="A1675" t="str">
            <v>Ofsted Social Care Provider Webpage</v>
          </cell>
        </row>
        <row r="1676">
          <cell r="A1676" t="str">
            <v>Ofsted Social Care Provider Webpage</v>
          </cell>
        </row>
        <row r="1677">
          <cell r="A1677" t="str">
            <v>Ofsted Social Care Provider Webpage</v>
          </cell>
        </row>
        <row r="1678">
          <cell r="A1678" t="str">
            <v>Ofsted Social Care Provider Webpage</v>
          </cell>
        </row>
        <row r="1679">
          <cell r="A1679" t="str">
            <v>Ofsted Social Care Provider Webpage</v>
          </cell>
        </row>
        <row r="1680">
          <cell r="A1680" t="str">
            <v>Ofsted Social Care Provider Webpage</v>
          </cell>
        </row>
        <row r="1681">
          <cell r="A1681" t="str">
            <v>Ofsted Social Care Provider Webpage</v>
          </cell>
        </row>
        <row r="1682">
          <cell r="A1682" t="str">
            <v>Ofsted Social Care Provider Webpage</v>
          </cell>
        </row>
        <row r="1683">
          <cell r="A1683" t="str">
            <v>Ofsted Social Care Provider Webpage</v>
          </cell>
        </row>
        <row r="1684">
          <cell r="A1684" t="str">
            <v>Ofsted Social Care Provider Webpage</v>
          </cell>
        </row>
        <row r="1685">
          <cell r="A1685" t="str">
            <v>Ofsted Social Care Provider Webpage</v>
          </cell>
        </row>
        <row r="1686">
          <cell r="A1686" t="str">
            <v>Ofsted Social Care Provider Webpage</v>
          </cell>
        </row>
        <row r="1687">
          <cell r="A1687" t="str">
            <v>Ofsted Social Care Provider Webpage</v>
          </cell>
        </row>
        <row r="1688">
          <cell r="A1688" t="str">
            <v>Ofsted Social Care Provider Webpage</v>
          </cell>
        </row>
        <row r="1689">
          <cell r="A1689" t="str">
            <v>Ofsted Social Care Provider Webpage</v>
          </cell>
        </row>
        <row r="1690">
          <cell r="A1690" t="str">
            <v>Ofsted Social Care Provider Webpage</v>
          </cell>
        </row>
        <row r="1691">
          <cell r="A1691" t="str">
            <v>Ofsted Social Care Provider Webpage</v>
          </cell>
        </row>
        <row r="1692">
          <cell r="A1692" t="str">
            <v>Ofsted Social Care Provider Webpage</v>
          </cell>
        </row>
        <row r="1693">
          <cell r="A1693" t="str">
            <v>Ofsted Social Care Provider Webpage</v>
          </cell>
        </row>
        <row r="1694">
          <cell r="A1694" t="str">
            <v>Ofsted Social Care Provider Webpage</v>
          </cell>
        </row>
        <row r="1695">
          <cell r="A1695" t="str">
            <v>Ofsted Social Care Provider Webpage</v>
          </cell>
        </row>
        <row r="1696">
          <cell r="A1696" t="str">
            <v>Ofsted Social Care Provider Webpage</v>
          </cell>
        </row>
        <row r="1697">
          <cell r="A1697" t="str">
            <v>Ofsted Social Care Provider Webpage</v>
          </cell>
        </row>
        <row r="1698">
          <cell r="A1698" t="str">
            <v>Ofsted Social Care Provider Webpage</v>
          </cell>
        </row>
        <row r="1699">
          <cell r="A1699" t="str">
            <v>Ofsted Social Care Provider Webpage</v>
          </cell>
        </row>
        <row r="1700">
          <cell r="A1700" t="str">
            <v>Ofsted Social Care Provider Webpage</v>
          </cell>
        </row>
        <row r="1701">
          <cell r="A1701" t="str">
            <v>Ofsted Social Care Provider Webpage</v>
          </cell>
        </row>
        <row r="1702">
          <cell r="A1702" t="str">
            <v>Ofsted Social Care Provider Webpage</v>
          </cell>
        </row>
        <row r="1703">
          <cell r="A1703" t="str">
            <v>Ofsted Social Care Provider Webpage</v>
          </cell>
        </row>
        <row r="1704">
          <cell r="A1704" t="str">
            <v>Ofsted Social Care Provider Webpage</v>
          </cell>
        </row>
        <row r="1705">
          <cell r="A1705" t="str">
            <v>Ofsted Social Care Provider Webpage</v>
          </cell>
        </row>
        <row r="1706">
          <cell r="A1706" t="str">
            <v>Ofsted Social Care Provider Webpage</v>
          </cell>
        </row>
        <row r="1707">
          <cell r="A1707" t="str">
            <v>Ofsted Social Care Provider Webpage</v>
          </cell>
        </row>
        <row r="1708">
          <cell r="A1708" t="str">
            <v>Ofsted Social Care Provider Webpage</v>
          </cell>
        </row>
        <row r="1709">
          <cell r="A1709" t="str">
            <v>Ofsted Social Care Provider Webpage</v>
          </cell>
        </row>
        <row r="1710">
          <cell r="A1710" t="str">
            <v>Ofsted Social Care Provider Webpage</v>
          </cell>
        </row>
        <row r="1711">
          <cell r="A1711" t="str">
            <v>Ofsted Social Care Provider Webpage</v>
          </cell>
        </row>
        <row r="1712">
          <cell r="A1712" t="str">
            <v>Ofsted Social Care Provider Webpage</v>
          </cell>
        </row>
        <row r="1713">
          <cell r="A1713" t="str">
            <v>Ofsted Social Care Provider Webpage</v>
          </cell>
        </row>
        <row r="1714">
          <cell r="A1714" t="str">
            <v>Ofsted Social Care Provider Webpage</v>
          </cell>
        </row>
        <row r="1715">
          <cell r="A1715" t="str">
            <v>Ofsted Social Care Provider Webpage</v>
          </cell>
        </row>
        <row r="1716">
          <cell r="A1716" t="str">
            <v>Ofsted Social Care Provider Webpage</v>
          </cell>
        </row>
        <row r="1717">
          <cell r="A1717" t="str">
            <v>Ofsted Social Care Provider Webpage</v>
          </cell>
        </row>
        <row r="1718">
          <cell r="A1718" t="str">
            <v>Ofsted Social Care Provider Webpage</v>
          </cell>
        </row>
        <row r="1719">
          <cell r="A1719" t="str">
            <v>Ofsted Social Care Provider Webpage</v>
          </cell>
        </row>
        <row r="1720">
          <cell r="A1720" t="str">
            <v>Ofsted Social Care Provider Webpage</v>
          </cell>
        </row>
        <row r="1721">
          <cell r="A1721" t="str">
            <v>Ofsted Social Care Provider Webpage</v>
          </cell>
        </row>
        <row r="1722">
          <cell r="A1722" t="str">
            <v>Ofsted Social Care Provider Webpage</v>
          </cell>
        </row>
        <row r="1723">
          <cell r="A1723" t="str">
            <v>Ofsted Social Care Provider Webpage</v>
          </cell>
        </row>
        <row r="1724">
          <cell r="A1724" t="str">
            <v>Ofsted Social Care Provider Webpage</v>
          </cell>
        </row>
        <row r="1725">
          <cell r="A1725" t="str">
            <v>Ofsted Social Care Provider Webpage</v>
          </cell>
        </row>
        <row r="1726">
          <cell r="A1726" t="str">
            <v>Ofsted Social Care Provider Webpage</v>
          </cell>
        </row>
        <row r="1727">
          <cell r="A1727" t="str">
            <v>Ofsted Social Care Provider Webpage</v>
          </cell>
        </row>
        <row r="1728">
          <cell r="A1728" t="str">
            <v>Ofsted Social Care Provider Webpage</v>
          </cell>
        </row>
        <row r="1729">
          <cell r="A1729" t="str">
            <v>Ofsted Social Care Provider Webpage</v>
          </cell>
        </row>
        <row r="1730">
          <cell r="A1730" t="str">
            <v>Ofsted Social Care Provider Webpage</v>
          </cell>
        </row>
        <row r="1731">
          <cell r="A1731" t="str">
            <v>Ofsted Social Care Provider Webpage</v>
          </cell>
        </row>
        <row r="1732">
          <cell r="A1732" t="str">
            <v>Ofsted Social Care Provider Webpage</v>
          </cell>
        </row>
        <row r="1733">
          <cell r="A1733" t="str">
            <v>Ofsted Social Care Provider Webpage</v>
          </cell>
        </row>
        <row r="1734">
          <cell r="A1734" t="str">
            <v>Ofsted Social Care Provider Webpage</v>
          </cell>
        </row>
        <row r="1735">
          <cell r="A1735" t="str">
            <v>Ofsted Social Care Provider Webpage</v>
          </cell>
        </row>
        <row r="1736">
          <cell r="A1736" t="str">
            <v>Ofsted Social Care Provider Webpage</v>
          </cell>
        </row>
        <row r="1737">
          <cell r="A1737" t="str">
            <v>Ofsted Social Care Provider Webpage</v>
          </cell>
        </row>
        <row r="1738">
          <cell r="A1738" t="str">
            <v>Ofsted Social Care Provider Webpage</v>
          </cell>
        </row>
        <row r="1739">
          <cell r="A1739" t="str">
            <v>Ofsted Social Care Provider Webpage</v>
          </cell>
        </row>
        <row r="1740">
          <cell r="A1740" t="str">
            <v>Ofsted Social Care Provider Webpage</v>
          </cell>
        </row>
        <row r="1741">
          <cell r="A1741" t="str">
            <v>Ofsted Social Care Provider Webpage</v>
          </cell>
        </row>
        <row r="1742">
          <cell r="A1742" t="str">
            <v>Ofsted Social Care Provider Webpage</v>
          </cell>
        </row>
        <row r="1743">
          <cell r="A1743" t="str">
            <v>Ofsted Social Care Provider Webpage</v>
          </cell>
        </row>
        <row r="1744">
          <cell r="A1744" t="str">
            <v>Ofsted Social Care Provider Webpage</v>
          </cell>
        </row>
        <row r="1745">
          <cell r="A1745" t="str">
            <v>Ofsted Social Care Provider Webpage</v>
          </cell>
        </row>
        <row r="1746">
          <cell r="A1746" t="str">
            <v>Ofsted Social Care Provider Webpage</v>
          </cell>
        </row>
        <row r="1747">
          <cell r="A1747" t="str">
            <v>Ofsted Social Care Provider Webpage</v>
          </cell>
        </row>
        <row r="1748">
          <cell r="A1748" t="str">
            <v>Ofsted Social Care Provider Webpage</v>
          </cell>
        </row>
        <row r="1749">
          <cell r="A1749" t="str">
            <v>Ofsted Social Care Provider Webpage</v>
          </cell>
        </row>
        <row r="1750">
          <cell r="A1750" t="str">
            <v>Ofsted Social Care Provider Webpage</v>
          </cell>
        </row>
        <row r="1751">
          <cell r="A1751" t="str">
            <v>Ofsted Social Care Provider Webpage</v>
          </cell>
        </row>
        <row r="1752">
          <cell r="A1752" t="str">
            <v>Ofsted Social Care Provider Webpage</v>
          </cell>
        </row>
        <row r="1753">
          <cell r="A1753" t="str">
            <v>Ofsted Social Care Provider Webpage</v>
          </cell>
        </row>
        <row r="1754">
          <cell r="A1754" t="str">
            <v>Ofsted Social Care Provider Webpage</v>
          </cell>
        </row>
        <row r="1755">
          <cell r="A1755" t="str">
            <v>Ofsted Social Care Provider Webpage</v>
          </cell>
        </row>
        <row r="1756">
          <cell r="A1756" t="str">
            <v>Ofsted Social Care Provider Webpage</v>
          </cell>
        </row>
        <row r="1757">
          <cell r="A1757" t="str">
            <v>Ofsted Social Care Provider Webpage</v>
          </cell>
        </row>
        <row r="1758">
          <cell r="A1758" t="str">
            <v>Ofsted Social Care Provider Webpage</v>
          </cell>
        </row>
        <row r="1759">
          <cell r="A1759" t="str">
            <v>Ofsted Social Care Provider Webpage</v>
          </cell>
        </row>
        <row r="1760">
          <cell r="A1760" t="str">
            <v>Ofsted Social Care Provider Webpage</v>
          </cell>
        </row>
        <row r="1761">
          <cell r="A1761" t="str">
            <v>Ofsted Social Care Provider Webpage</v>
          </cell>
        </row>
        <row r="1762">
          <cell r="A1762" t="str">
            <v>Ofsted Social Care Provider Webpage</v>
          </cell>
        </row>
        <row r="1763">
          <cell r="A1763" t="str">
            <v>Ofsted Social Care Provider Webpage</v>
          </cell>
        </row>
        <row r="1764">
          <cell r="A1764" t="str">
            <v>Ofsted Social Care Provider Webpage</v>
          </cell>
        </row>
        <row r="1765">
          <cell r="A1765" t="str">
            <v>Ofsted Social Care Provider Webpage</v>
          </cell>
        </row>
        <row r="1766">
          <cell r="A1766" t="str">
            <v>Ofsted Social Care Provider Webpage</v>
          </cell>
        </row>
        <row r="1767">
          <cell r="A1767" t="str">
            <v>Ofsted Social Care Provider Webpage</v>
          </cell>
        </row>
        <row r="1768">
          <cell r="A1768" t="str">
            <v>Ofsted Social Care Provider Webpage</v>
          </cell>
        </row>
        <row r="1769">
          <cell r="A1769" t="str">
            <v>Ofsted Social Care Provider Webpage</v>
          </cell>
        </row>
        <row r="1770">
          <cell r="A1770" t="str">
            <v>Ofsted Social Care Provider Webpage</v>
          </cell>
        </row>
        <row r="1771">
          <cell r="A1771" t="str">
            <v>Ofsted Social Care Provider Webpage</v>
          </cell>
        </row>
        <row r="1772">
          <cell r="A1772" t="str">
            <v>Ofsted Social Care Provider Webpage</v>
          </cell>
        </row>
        <row r="1773">
          <cell r="A1773" t="str">
            <v>Ofsted Social Care Provider Webpage</v>
          </cell>
        </row>
        <row r="1774">
          <cell r="A1774" t="str">
            <v>Ofsted Social Care Provider Webpage</v>
          </cell>
        </row>
        <row r="1775">
          <cell r="A1775" t="str">
            <v>Ofsted Social Care Provider Webpage</v>
          </cell>
        </row>
        <row r="1776">
          <cell r="A1776" t="str">
            <v>Ofsted Social Care Provider Webpage</v>
          </cell>
        </row>
        <row r="1777">
          <cell r="A1777" t="str">
            <v>Ofsted Social Care Provider Webpage</v>
          </cell>
        </row>
        <row r="1778">
          <cell r="A1778" t="str">
            <v>Ofsted Social Care Provider Webpage</v>
          </cell>
        </row>
        <row r="1779">
          <cell r="A1779" t="str">
            <v>Ofsted Social Care Provider Webpage</v>
          </cell>
        </row>
        <row r="1780">
          <cell r="A1780" t="str">
            <v>Ofsted Social Care Provider Webpage</v>
          </cell>
        </row>
        <row r="1781">
          <cell r="A1781" t="str">
            <v>Ofsted Social Care Provider Webpage</v>
          </cell>
        </row>
        <row r="1782">
          <cell r="A1782" t="str">
            <v>Ofsted Social Care Provider Webpage</v>
          </cell>
        </row>
        <row r="1783">
          <cell r="A1783" t="str">
            <v>Ofsted Social Care Provider Webpage</v>
          </cell>
        </row>
        <row r="1784">
          <cell r="A1784" t="str">
            <v>Ofsted Social Care Provider Webpage</v>
          </cell>
        </row>
        <row r="1785">
          <cell r="A1785" t="str">
            <v>Ofsted Social Care Provider Webpage</v>
          </cell>
        </row>
        <row r="1786">
          <cell r="A1786" t="str">
            <v>Ofsted Social Care Provider Webpage</v>
          </cell>
        </row>
        <row r="1787">
          <cell r="A1787" t="str">
            <v>Ofsted Social Care Provider Webpage</v>
          </cell>
        </row>
        <row r="1788">
          <cell r="A1788" t="str">
            <v>Ofsted Social Care Provider Webpage</v>
          </cell>
        </row>
        <row r="1789">
          <cell r="A1789" t="str">
            <v>Ofsted Social Care Provider Webpage</v>
          </cell>
        </row>
        <row r="1790">
          <cell r="A1790" t="str">
            <v>Ofsted Social Care Provider Webpage</v>
          </cell>
        </row>
        <row r="1791">
          <cell r="A1791" t="str">
            <v>Ofsted Social Care Provider Webpage</v>
          </cell>
        </row>
        <row r="1792">
          <cell r="A1792" t="str">
            <v>Ofsted Social Care Provider Webpage</v>
          </cell>
        </row>
        <row r="1793">
          <cell r="A1793" t="str">
            <v>Ofsted Social Care Provider Webpage</v>
          </cell>
        </row>
        <row r="1794">
          <cell r="A1794" t="str">
            <v>Ofsted Social Care Provider Webpage</v>
          </cell>
        </row>
        <row r="1795">
          <cell r="A1795" t="str">
            <v>Ofsted Social Care Provider Webpage</v>
          </cell>
        </row>
        <row r="1796">
          <cell r="A1796" t="str">
            <v>Ofsted Social Care Provider Webpage</v>
          </cell>
        </row>
        <row r="1797">
          <cell r="A1797" t="str">
            <v>Ofsted Social Care Provider Webpage</v>
          </cell>
        </row>
        <row r="1798">
          <cell r="A1798" t="str">
            <v>Ofsted Social Care Provider Webpage</v>
          </cell>
        </row>
        <row r="1799">
          <cell r="A1799" t="str">
            <v>Ofsted Social Care Provider Webpage</v>
          </cell>
        </row>
        <row r="1800">
          <cell r="A1800" t="str">
            <v>Ofsted Social Care Provider Webpage</v>
          </cell>
        </row>
        <row r="1801">
          <cell r="A1801" t="str">
            <v>Ofsted Social Care Provider Webpage</v>
          </cell>
        </row>
        <row r="1802">
          <cell r="A1802" t="str">
            <v>Ofsted Social Care Provider Webpage</v>
          </cell>
        </row>
        <row r="1803">
          <cell r="A1803" t="str">
            <v>Ofsted Social Care Provider Webpage</v>
          </cell>
        </row>
        <row r="1804">
          <cell r="A1804" t="str">
            <v>Ofsted Social Care Provider Webpage</v>
          </cell>
        </row>
        <row r="1805">
          <cell r="A1805" t="str">
            <v>Ofsted Social Care Provider Webpage</v>
          </cell>
        </row>
        <row r="1806">
          <cell r="A1806" t="str">
            <v>Ofsted Social Care Provider Webpage</v>
          </cell>
        </row>
        <row r="1807">
          <cell r="A1807" t="str">
            <v>Ofsted Social Care Provider Webpage</v>
          </cell>
        </row>
        <row r="1808">
          <cell r="A1808" t="str">
            <v>Ofsted Social Care Provider Webpage</v>
          </cell>
        </row>
        <row r="1809">
          <cell r="A1809" t="str">
            <v>Ofsted Social Care Provider Webpage</v>
          </cell>
        </row>
        <row r="1810">
          <cell r="A1810" t="str">
            <v>Ofsted Social Care Provider Webpage</v>
          </cell>
        </row>
        <row r="1811">
          <cell r="A1811" t="str">
            <v>Ofsted Social Care Provider Webpage</v>
          </cell>
        </row>
        <row r="1812">
          <cell r="A1812" t="str">
            <v>Ofsted Social Care Provider Webpage</v>
          </cell>
        </row>
        <row r="1813">
          <cell r="A1813" t="str">
            <v>Ofsted Social Care Provider Webpage</v>
          </cell>
        </row>
        <row r="1814">
          <cell r="A1814" t="str">
            <v>Ofsted Social Care Provider Webpage</v>
          </cell>
        </row>
        <row r="1815">
          <cell r="A1815" t="str">
            <v>Ofsted Social Care Provider Webpage</v>
          </cell>
        </row>
        <row r="1816">
          <cell r="A1816" t="str">
            <v>Ofsted Social Care Provider Webpage</v>
          </cell>
        </row>
        <row r="1817">
          <cell r="A1817" t="str">
            <v>Ofsted Social Care Provider Webpage</v>
          </cell>
        </row>
        <row r="1818">
          <cell r="A1818" t="str">
            <v>Ofsted Social Care Provider Webpage</v>
          </cell>
        </row>
        <row r="1819">
          <cell r="A1819" t="str">
            <v>Ofsted Social Care Provider Webpage</v>
          </cell>
        </row>
        <row r="1820">
          <cell r="A1820" t="str">
            <v>Ofsted Social Care Provider Webpage</v>
          </cell>
        </row>
        <row r="1821">
          <cell r="A1821" t="str">
            <v>Ofsted Social Care Provider Webpage</v>
          </cell>
        </row>
        <row r="1822">
          <cell r="A1822" t="str">
            <v>Ofsted Social Care Provider Webpage</v>
          </cell>
        </row>
        <row r="1823">
          <cell r="A1823" t="str">
            <v>Ofsted Social Care Provider Webpage</v>
          </cell>
        </row>
        <row r="1824">
          <cell r="A1824" t="str">
            <v>Ofsted Social Care Provider Webpage</v>
          </cell>
        </row>
        <row r="1825">
          <cell r="A1825" t="str">
            <v>Ofsted Social Care Provider Webpage</v>
          </cell>
        </row>
        <row r="1826">
          <cell r="A1826" t="str">
            <v>Ofsted Social Care Provider Webpage</v>
          </cell>
        </row>
        <row r="1827">
          <cell r="A1827" t="str">
            <v>Ofsted Social Care Provider Webpage</v>
          </cell>
        </row>
        <row r="1828">
          <cell r="A1828" t="str">
            <v>Ofsted Social Care Provider Webpage</v>
          </cell>
        </row>
        <row r="1829">
          <cell r="A1829" t="str">
            <v>Ofsted Social Care Provider Webpage</v>
          </cell>
        </row>
        <row r="1830">
          <cell r="A1830" t="str">
            <v>Ofsted Social Care Provider Webpage</v>
          </cell>
        </row>
        <row r="1831">
          <cell r="A1831" t="str">
            <v>Ofsted Social Care Provider Webpage</v>
          </cell>
        </row>
        <row r="1832">
          <cell r="A1832" t="str">
            <v>Ofsted Social Care Provider Webpage</v>
          </cell>
        </row>
        <row r="1833">
          <cell r="A1833" t="str">
            <v>Ofsted Social Care Provider Webpage</v>
          </cell>
        </row>
        <row r="1834">
          <cell r="A1834" t="str">
            <v>Ofsted Social Care Provider Webpage</v>
          </cell>
        </row>
        <row r="1835">
          <cell r="A1835" t="str">
            <v>Ofsted Social Care Provider Webpage</v>
          </cell>
        </row>
        <row r="1836">
          <cell r="A1836" t="str">
            <v>Ofsted Social Care Provider Webpage</v>
          </cell>
        </row>
        <row r="1837">
          <cell r="A1837" t="str">
            <v>Ofsted Social Care Provider Webpage</v>
          </cell>
        </row>
        <row r="1838">
          <cell r="A1838" t="str">
            <v>Ofsted Social Care Provider Webpage</v>
          </cell>
        </row>
        <row r="1839">
          <cell r="A1839" t="str">
            <v>Ofsted Social Care Provider Webpage</v>
          </cell>
        </row>
        <row r="1840">
          <cell r="A1840" t="str">
            <v>Ofsted Social Care Provider Webpage</v>
          </cell>
        </row>
        <row r="1841">
          <cell r="A1841" t="str">
            <v>Ofsted Social Care Provider Webpage</v>
          </cell>
        </row>
        <row r="1842">
          <cell r="A1842" t="str">
            <v>Ofsted Social Care Provider Webpage</v>
          </cell>
        </row>
        <row r="1843">
          <cell r="A1843" t="str">
            <v>Ofsted Social Care Provider Webpage</v>
          </cell>
        </row>
        <row r="1844">
          <cell r="A1844" t="str">
            <v>Ofsted Social Care Provider Webpage</v>
          </cell>
        </row>
        <row r="1845">
          <cell r="A1845" t="str">
            <v>Ofsted Social Care Provider Webpage</v>
          </cell>
        </row>
        <row r="1846">
          <cell r="A1846" t="str">
            <v>Ofsted Social Care Provider Webpage</v>
          </cell>
        </row>
        <row r="1847">
          <cell r="A1847" t="str">
            <v>Ofsted Social Care Provider Webpage</v>
          </cell>
        </row>
        <row r="1848">
          <cell r="A1848" t="str">
            <v>Ofsted Social Care Provider Webpage</v>
          </cell>
        </row>
        <row r="1849">
          <cell r="A1849" t="str">
            <v>Ofsted Social Care Provider Webpage</v>
          </cell>
        </row>
        <row r="1850">
          <cell r="A1850" t="str">
            <v>Ofsted Social Care Provider Webpage</v>
          </cell>
        </row>
        <row r="1851">
          <cell r="A1851" t="str">
            <v>Ofsted Social Care Provider Webpage</v>
          </cell>
        </row>
        <row r="1852">
          <cell r="A1852" t="str">
            <v>Ofsted Social Care Provider Webpage</v>
          </cell>
        </row>
        <row r="1853">
          <cell r="A1853" t="str">
            <v>Ofsted Social Care Provider Webpage</v>
          </cell>
        </row>
        <row r="1854">
          <cell r="A1854" t="str">
            <v>Ofsted Social Care Provider Webpage</v>
          </cell>
        </row>
        <row r="1855">
          <cell r="A1855" t="str">
            <v>Ofsted Social Care Provider Webpage</v>
          </cell>
        </row>
        <row r="1856">
          <cell r="A1856" t="str">
            <v>Ofsted Social Care Provider Webpage</v>
          </cell>
        </row>
        <row r="1857">
          <cell r="A1857" t="str">
            <v>Ofsted Social Care Provider Webpage</v>
          </cell>
        </row>
        <row r="1858">
          <cell r="A1858" t="str">
            <v>Ofsted Social Care Provider Webpage</v>
          </cell>
        </row>
        <row r="1859">
          <cell r="A1859" t="str">
            <v>Ofsted Social Care Provider Webpage</v>
          </cell>
        </row>
        <row r="1860">
          <cell r="A1860" t="str">
            <v>Ofsted Social Care Provider Webpage</v>
          </cell>
        </row>
        <row r="1861">
          <cell r="A1861" t="str">
            <v>Ofsted Social Care Provider Webpage</v>
          </cell>
        </row>
        <row r="1862">
          <cell r="A1862" t="str">
            <v>Ofsted Social Care Provider Webpage</v>
          </cell>
        </row>
        <row r="1863">
          <cell r="A1863" t="str">
            <v>Ofsted Social Care Provider Webpage</v>
          </cell>
        </row>
        <row r="1864">
          <cell r="A1864" t="str">
            <v>Ofsted Social Care Provider Webpage</v>
          </cell>
        </row>
        <row r="1865">
          <cell r="A1865" t="str">
            <v>Ofsted Social Care Provider Webpage</v>
          </cell>
        </row>
        <row r="1866">
          <cell r="A1866" t="str">
            <v>Ofsted Social Care Provider Webpage</v>
          </cell>
        </row>
        <row r="1867">
          <cell r="A1867" t="str">
            <v>Ofsted Social Care Provider Webpage</v>
          </cell>
        </row>
        <row r="1868">
          <cell r="A1868" t="str">
            <v>Ofsted Social Care Provider Webpage</v>
          </cell>
        </row>
        <row r="1869">
          <cell r="A1869" t="str">
            <v>Ofsted Social Care Provider Webpage</v>
          </cell>
        </row>
        <row r="1870">
          <cell r="A1870" t="str">
            <v>Ofsted Social Care Provider Webpage</v>
          </cell>
        </row>
        <row r="1871">
          <cell r="A1871" t="str">
            <v>Ofsted Social Care Provider Webpage</v>
          </cell>
        </row>
        <row r="1872">
          <cell r="A1872" t="str">
            <v>Ofsted Social Care Provider Webpage</v>
          </cell>
        </row>
        <row r="1873">
          <cell r="A1873" t="str">
            <v>Ofsted Social Care Provider Webpage</v>
          </cell>
        </row>
        <row r="1874">
          <cell r="A1874" t="str">
            <v>Ofsted Social Care Provider Webpage</v>
          </cell>
        </row>
        <row r="1875">
          <cell r="A1875" t="str">
            <v>Ofsted Social Care Provider Webpage</v>
          </cell>
        </row>
        <row r="1876">
          <cell r="A1876" t="str">
            <v>Ofsted Social Care Provider Webpage</v>
          </cell>
        </row>
        <row r="1877">
          <cell r="A1877" t="str">
            <v>Ofsted Social Care Provider Webpage</v>
          </cell>
        </row>
        <row r="1878">
          <cell r="A1878" t="str">
            <v>Ofsted Social Care Provider Webpage</v>
          </cell>
        </row>
        <row r="1879">
          <cell r="A1879" t="str">
            <v>Ofsted Social Care Provider Webpage</v>
          </cell>
        </row>
        <row r="1880">
          <cell r="A1880" t="str">
            <v>Ofsted Social Care Provider Webpage</v>
          </cell>
        </row>
        <row r="1881">
          <cell r="A1881" t="str">
            <v>Ofsted Social Care Provider Webpage</v>
          </cell>
        </row>
        <row r="1882">
          <cell r="A1882" t="str">
            <v>Ofsted Social Care Provider Webpage</v>
          </cell>
        </row>
        <row r="1883">
          <cell r="A1883" t="str">
            <v>Ofsted Social Care Provider Webpage</v>
          </cell>
        </row>
        <row r="1884">
          <cell r="A1884" t="str">
            <v>Ofsted Social Care Provider Webpage</v>
          </cell>
        </row>
        <row r="1885">
          <cell r="A1885" t="str">
            <v>Ofsted Social Care Provider Webpage</v>
          </cell>
        </row>
        <row r="1886">
          <cell r="A1886" t="str">
            <v>Ofsted Social Care Provider Webpage</v>
          </cell>
        </row>
        <row r="1887">
          <cell r="A1887" t="str">
            <v>Ofsted Social Care Provider Webpage</v>
          </cell>
        </row>
        <row r="1888">
          <cell r="A1888" t="str">
            <v>Ofsted Social Care Provider Webpage</v>
          </cell>
        </row>
        <row r="1889">
          <cell r="A1889" t="str">
            <v>Ofsted Social Care Provider Webpage</v>
          </cell>
        </row>
        <row r="1890">
          <cell r="A1890" t="str">
            <v>Ofsted Social Care Provider Webpage</v>
          </cell>
        </row>
        <row r="1891">
          <cell r="A1891" t="str">
            <v>Ofsted Social Care Provider Webpage</v>
          </cell>
        </row>
        <row r="1892">
          <cell r="A1892" t="str">
            <v>Ofsted Social Care Provider Webpage</v>
          </cell>
        </row>
        <row r="1893">
          <cell r="A1893" t="str">
            <v>Ofsted Social Care Provider Webpage</v>
          </cell>
        </row>
        <row r="1894">
          <cell r="A1894" t="str">
            <v>Ofsted Social Care Provider Webpage</v>
          </cell>
        </row>
        <row r="1895">
          <cell r="A1895" t="str">
            <v>Ofsted Social Care Provider Webpage</v>
          </cell>
        </row>
        <row r="1896">
          <cell r="A1896" t="str">
            <v>Ofsted Social Care Provider Webpage</v>
          </cell>
        </row>
        <row r="1897">
          <cell r="A1897" t="str">
            <v>Ofsted Social Care Provider Webpage</v>
          </cell>
        </row>
        <row r="1898">
          <cell r="A1898" t="str">
            <v>Ofsted Social Care Provider Webpage</v>
          </cell>
        </row>
        <row r="1899">
          <cell r="A1899" t="str">
            <v>Ofsted Social Care Provider Webpage</v>
          </cell>
        </row>
        <row r="1900">
          <cell r="A1900" t="str">
            <v>Ofsted Social Care Provider Webpage</v>
          </cell>
        </row>
        <row r="1901">
          <cell r="A1901" t="str">
            <v>Ofsted Social Care Provider Webpage</v>
          </cell>
        </row>
        <row r="1902">
          <cell r="A1902" t="str">
            <v>Ofsted Social Care Provider Webpage</v>
          </cell>
        </row>
        <row r="1903">
          <cell r="A1903" t="str">
            <v>Ofsted Social Care Provider Webpage</v>
          </cell>
        </row>
        <row r="1904">
          <cell r="A1904" t="str">
            <v>Ofsted Social Care Provider Webpage</v>
          </cell>
        </row>
        <row r="1905">
          <cell r="A1905" t="str">
            <v>Ofsted Social Care Provider Webpage</v>
          </cell>
        </row>
        <row r="1906">
          <cell r="A1906" t="str">
            <v>Ofsted Social Care Provider Webpage</v>
          </cell>
        </row>
        <row r="1907">
          <cell r="A1907" t="str">
            <v>Ofsted Social Care Provider Webpage</v>
          </cell>
        </row>
        <row r="1908">
          <cell r="A1908" t="str">
            <v>Ofsted Social Care Provider Webpage</v>
          </cell>
        </row>
        <row r="1909">
          <cell r="A1909" t="str">
            <v>Ofsted Social Care Provider Webpage</v>
          </cell>
        </row>
        <row r="1910">
          <cell r="A1910" t="str">
            <v>Ofsted Social Care Provider Webpage</v>
          </cell>
        </row>
        <row r="1911">
          <cell r="A1911" t="str">
            <v>Ofsted Social Care Provider Webpage</v>
          </cell>
        </row>
        <row r="1912">
          <cell r="A1912" t="str">
            <v>Ofsted Social Care Provider Webpage</v>
          </cell>
        </row>
        <row r="1913">
          <cell r="A1913" t="str">
            <v>Ofsted Social Care Provider Webpage</v>
          </cell>
        </row>
        <row r="1914">
          <cell r="A1914" t="str">
            <v>Ofsted Social Care Provider Webpage</v>
          </cell>
        </row>
        <row r="1915">
          <cell r="A1915" t="str">
            <v>Ofsted Social Care Provider Webpage</v>
          </cell>
        </row>
        <row r="1916">
          <cell r="A1916" t="str">
            <v>Ofsted Social Care Provider Webpage</v>
          </cell>
        </row>
        <row r="1917">
          <cell r="A1917" t="str">
            <v>Ofsted Social Care Provider Webpage</v>
          </cell>
        </row>
        <row r="1918">
          <cell r="A1918" t="str">
            <v>Ofsted Social Care Provider Webpage</v>
          </cell>
        </row>
        <row r="1919">
          <cell r="A1919" t="str">
            <v>Ofsted Social Care Provider Webpage</v>
          </cell>
        </row>
        <row r="1920">
          <cell r="A1920" t="str">
            <v>Ofsted Social Care Provider Webpage</v>
          </cell>
        </row>
        <row r="1921">
          <cell r="A1921" t="str">
            <v>Ofsted Social Care Provider Webpage</v>
          </cell>
        </row>
        <row r="1922">
          <cell r="A1922" t="str">
            <v>Ofsted Social Care Provider Webpage</v>
          </cell>
        </row>
        <row r="1923">
          <cell r="A1923" t="str">
            <v>Ofsted Social Care Provider Webpage</v>
          </cell>
        </row>
        <row r="1924">
          <cell r="A1924" t="str">
            <v>Ofsted Social Care Provider Webpage</v>
          </cell>
        </row>
        <row r="1925">
          <cell r="A1925" t="str">
            <v>Ofsted Social Care Provider Webpage</v>
          </cell>
        </row>
        <row r="1926">
          <cell r="A1926" t="str">
            <v>Ofsted Social Care Provider Webpage</v>
          </cell>
        </row>
        <row r="1927">
          <cell r="A1927" t="str">
            <v>Ofsted Social Care Provider Webpage</v>
          </cell>
        </row>
        <row r="1928">
          <cell r="A1928" t="str">
            <v>Ofsted Social Care Provider Webpage</v>
          </cell>
        </row>
        <row r="1929">
          <cell r="A1929" t="str">
            <v>Ofsted Social Care Provider Webpage</v>
          </cell>
        </row>
        <row r="1930">
          <cell r="A1930" t="str">
            <v>Ofsted Social Care Provider Webpage</v>
          </cell>
        </row>
        <row r="1931">
          <cell r="A1931" t="str">
            <v>Ofsted Social Care Provider Webpage</v>
          </cell>
        </row>
        <row r="1932">
          <cell r="A1932" t="str">
            <v>Ofsted Social Care Provider Webpage</v>
          </cell>
        </row>
        <row r="1933">
          <cell r="A1933" t="str">
            <v>Ofsted Social Care Provider Webpage</v>
          </cell>
        </row>
        <row r="1934">
          <cell r="A1934" t="str">
            <v>Ofsted Social Care Provider Webpage</v>
          </cell>
        </row>
        <row r="1935">
          <cell r="A1935" t="str">
            <v>Ofsted Social Care Provider Webpage</v>
          </cell>
        </row>
        <row r="1936">
          <cell r="A1936" t="str">
            <v>Ofsted Social Care Provider Webpage</v>
          </cell>
        </row>
        <row r="1937">
          <cell r="A1937" t="str">
            <v>Ofsted Social Care Provider Webpage</v>
          </cell>
        </row>
        <row r="1938">
          <cell r="A1938" t="str">
            <v>Ofsted Social Care Provider Webpage</v>
          </cell>
        </row>
        <row r="1939">
          <cell r="A1939" t="str">
            <v>Ofsted Social Care Provider Webpage</v>
          </cell>
        </row>
        <row r="1940">
          <cell r="A1940" t="str">
            <v>Ofsted Social Care Provider Webpage</v>
          </cell>
        </row>
        <row r="1941">
          <cell r="A1941" t="str">
            <v>Ofsted Social Care Provider Webpage</v>
          </cell>
        </row>
        <row r="1942">
          <cell r="A1942" t="str">
            <v>Ofsted Social Care Provider Webpage</v>
          </cell>
        </row>
        <row r="1943">
          <cell r="A1943" t="str">
            <v>Ofsted Social Care Provider Webpage</v>
          </cell>
        </row>
        <row r="1944">
          <cell r="A1944" t="str">
            <v>Ofsted Social Care Provider Webpage</v>
          </cell>
        </row>
        <row r="1945">
          <cell r="A1945" t="str">
            <v>Ofsted Social Care Provider Webpage</v>
          </cell>
        </row>
        <row r="1946">
          <cell r="A1946" t="str">
            <v>Ofsted Social Care Provider Webpage</v>
          </cell>
        </row>
        <row r="1947">
          <cell r="A1947" t="str">
            <v>Ofsted Social Care Provider Webpage</v>
          </cell>
        </row>
        <row r="1948">
          <cell r="A1948" t="str">
            <v>Ofsted Social Care Provider Webpage</v>
          </cell>
        </row>
        <row r="1949">
          <cell r="A1949" t="str">
            <v>Ofsted Social Care Provider Webpage</v>
          </cell>
        </row>
        <row r="1950">
          <cell r="A1950" t="str">
            <v>Ofsted Social Care Provider Webpage</v>
          </cell>
        </row>
        <row r="1951">
          <cell r="A1951" t="str">
            <v>Ofsted Social Care Provider Webpage</v>
          </cell>
        </row>
        <row r="1952">
          <cell r="A1952" t="str">
            <v>Ofsted Social Care Provider Webpage</v>
          </cell>
        </row>
        <row r="1953">
          <cell r="A1953" t="str">
            <v>Ofsted Social Care Provider Webpage</v>
          </cell>
        </row>
        <row r="1954">
          <cell r="A1954" t="str">
            <v>Ofsted Social Care Provider Webpage</v>
          </cell>
        </row>
        <row r="1955">
          <cell r="A1955" t="str">
            <v>Ofsted Social Care Provider Webpage</v>
          </cell>
        </row>
        <row r="1956">
          <cell r="A1956" t="str">
            <v>Ofsted Social Care Provider Webpage</v>
          </cell>
        </row>
        <row r="1957">
          <cell r="A1957" t="str">
            <v>Ofsted Social Care Provider Webpage</v>
          </cell>
        </row>
        <row r="1958">
          <cell r="A1958" t="str">
            <v>Ofsted Social Care Provider Webpage</v>
          </cell>
        </row>
        <row r="1959">
          <cell r="A1959" t="str">
            <v>Ofsted Social Care Provider Webpage</v>
          </cell>
        </row>
        <row r="1960">
          <cell r="A1960" t="str">
            <v>Ofsted Social Care Provider Webpage</v>
          </cell>
        </row>
        <row r="1961">
          <cell r="A1961" t="str">
            <v>Ofsted Social Care Provider Webpage</v>
          </cell>
        </row>
        <row r="1962">
          <cell r="A1962" t="str">
            <v>Ofsted Social Care Provider Webpage</v>
          </cell>
        </row>
        <row r="1963">
          <cell r="A1963" t="str">
            <v>Ofsted Social Care Provider Webpage</v>
          </cell>
        </row>
        <row r="1964">
          <cell r="A1964" t="str">
            <v>Ofsted Social Care Provider Webpage</v>
          </cell>
        </row>
        <row r="1965">
          <cell r="A1965" t="str">
            <v>Ofsted Social Care Provider Webpage</v>
          </cell>
        </row>
        <row r="1966">
          <cell r="A1966" t="str">
            <v>Ofsted Social Care Provider Webpage</v>
          </cell>
        </row>
        <row r="1967">
          <cell r="A1967" t="str">
            <v>Ofsted Social Care Provider Webpage</v>
          </cell>
        </row>
        <row r="1968">
          <cell r="A1968" t="str">
            <v>Ofsted Social Care Provider Webpage</v>
          </cell>
        </row>
        <row r="1969">
          <cell r="A1969" t="str">
            <v>Ofsted Social Care Provider Webpage</v>
          </cell>
        </row>
        <row r="1970">
          <cell r="A1970" t="str">
            <v>Ofsted Social Care Provider Webpage</v>
          </cell>
        </row>
        <row r="1971">
          <cell r="A1971" t="str">
            <v>Ofsted Social Care Provider Webpage</v>
          </cell>
        </row>
        <row r="1972">
          <cell r="A1972" t="str">
            <v>Ofsted Social Care Provider Webpage</v>
          </cell>
        </row>
        <row r="1973">
          <cell r="A1973" t="str">
            <v>Ofsted Social Care Provider Webpage</v>
          </cell>
        </row>
        <row r="1974">
          <cell r="A1974" t="str">
            <v>Ofsted Social Care Provider Webpage</v>
          </cell>
        </row>
        <row r="1975">
          <cell r="A1975" t="str">
            <v>Ofsted Social Care Provider Webpage</v>
          </cell>
        </row>
        <row r="1976">
          <cell r="A1976" t="str">
            <v>Ofsted Social Care Provider Webpage</v>
          </cell>
        </row>
        <row r="1977">
          <cell r="A1977" t="str">
            <v>Ofsted Social Care Provider Webpage</v>
          </cell>
        </row>
        <row r="1978">
          <cell r="A1978" t="str">
            <v>Ofsted Social Care Provider Webpage</v>
          </cell>
        </row>
        <row r="1979">
          <cell r="A1979" t="str">
            <v>Ofsted Social Care Provider Webpage</v>
          </cell>
        </row>
        <row r="1980">
          <cell r="A1980" t="str">
            <v>Ofsted Social Care Provider Webpage</v>
          </cell>
        </row>
        <row r="1981">
          <cell r="A1981" t="str">
            <v>Ofsted Social Care Provider Webpage</v>
          </cell>
        </row>
        <row r="1982">
          <cell r="A1982" t="str">
            <v>Ofsted Social Care Provider Webpage</v>
          </cell>
        </row>
        <row r="1983">
          <cell r="A1983" t="str">
            <v>Ofsted Social Care Provider Webpage</v>
          </cell>
        </row>
        <row r="1984">
          <cell r="A1984" t="str">
            <v>Ofsted Social Care Provider Webpage</v>
          </cell>
        </row>
        <row r="1985">
          <cell r="A1985" t="str">
            <v>Ofsted Social Care Provider Webpage</v>
          </cell>
        </row>
        <row r="1986">
          <cell r="A1986" t="str">
            <v>Ofsted Social Care Provider Webpage</v>
          </cell>
        </row>
        <row r="1987">
          <cell r="A1987" t="str">
            <v>Ofsted Social Care Provider Webpage</v>
          </cell>
        </row>
        <row r="1988">
          <cell r="A1988" t="str">
            <v>Ofsted Social Care Provider Webpage</v>
          </cell>
        </row>
        <row r="1989">
          <cell r="A1989" t="str">
            <v>Ofsted Social Care Provider Webpage</v>
          </cell>
        </row>
        <row r="1990">
          <cell r="A1990" t="str">
            <v>Ofsted Social Care Provider Webpage</v>
          </cell>
        </row>
        <row r="1991">
          <cell r="A1991" t="str">
            <v>Ofsted Social Care Provider Webpage</v>
          </cell>
        </row>
        <row r="1992">
          <cell r="A1992" t="str">
            <v>Ofsted Social Care Provider Webpage</v>
          </cell>
        </row>
        <row r="1993">
          <cell r="A1993" t="str">
            <v>Ofsted Social Care Provider Webpage</v>
          </cell>
        </row>
        <row r="1994">
          <cell r="A1994" t="str">
            <v>Ofsted Social Care Provider Webpage</v>
          </cell>
        </row>
        <row r="1995">
          <cell r="A1995" t="str">
            <v>Ofsted Social Care Provider Webpage</v>
          </cell>
        </row>
        <row r="1996">
          <cell r="A1996" t="str">
            <v>Ofsted Social Care Provider Webpage</v>
          </cell>
        </row>
        <row r="1997">
          <cell r="A1997" t="str">
            <v>Ofsted Social Care Provider Webpage</v>
          </cell>
        </row>
        <row r="1998">
          <cell r="A1998" t="str">
            <v>Ofsted Social Care Provider Webpage</v>
          </cell>
        </row>
        <row r="1999">
          <cell r="A1999" t="str">
            <v>Ofsted Social Care Provider Webpage</v>
          </cell>
        </row>
        <row r="2000">
          <cell r="A2000" t="str">
            <v>Ofsted Social Care Provider Webpage</v>
          </cell>
        </row>
        <row r="2001">
          <cell r="A2001" t="str">
            <v>Ofsted Social Care Provider Webpage</v>
          </cell>
        </row>
        <row r="2002">
          <cell r="A2002" t="str">
            <v>Ofsted Social Care Provider Webpage</v>
          </cell>
        </row>
        <row r="2003">
          <cell r="A2003" t="str">
            <v>Ofsted Social Care Provider Webpage</v>
          </cell>
        </row>
        <row r="2004">
          <cell r="A2004" t="str">
            <v>Ofsted Social Care Provider Webpage</v>
          </cell>
        </row>
        <row r="2005">
          <cell r="A2005" t="str">
            <v>Ofsted Social Care Provider Webpage</v>
          </cell>
        </row>
        <row r="2006">
          <cell r="A2006" t="str">
            <v>Ofsted Social Care Provider Webpage</v>
          </cell>
        </row>
        <row r="2007">
          <cell r="A2007" t="str">
            <v>Ofsted Social Care Provider Webpage</v>
          </cell>
        </row>
        <row r="2008">
          <cell r="A2008" t="str">
            <v>Ofsted Social Care Provider Webpage</v>
          </cell>
        </row>
        <row r="2009">
          <cell r="A2009" t="str">
            <v>Ofsted Social Care Provider Webpage</v>
          </cell>
        </row>
        <row r="2010">
          <cell r="A2010" t="str">
            <v>Ofsted Social Care Provider Webpage</v>
          </cell>
        </row>
        <row r="2011">
          <cell r="A2011" t="str">
            <v>Ofsted Social Care Provider Webpage</v>
          </cell>
        </row>
        <row r="2012">
          <cell r="A2012" t="str">
            <v>Ofsted Social Care Provider Webpage</v>
          </cell>
        </row>
        <row r="2013">
          <cell r="A2013" t="str">
            <v>Ofsted Social Care Provider Webpage</v>
          </cell>
        </row>
        <row r="2014">
          <cell r="A2014" t="str">
            <v>Ofsted Social Care Provider Webpage</v>
          </cell>
        </row>
        <row r="2015">
          <cell r="A2015" t="str">
            <v>Ofsted Social Care Provider Webpage</v>
          </cell>
        </row>
        <row r="2016">
          <cell r="A2016" t="str">
            <v>Ofsted Social Care Provider Webpage</v>
          </cell>
        </row>
        <row r="2017">
          <cell r="A2017" t="str">
            <v>Ofsted Social Care Provider Webpage</v>
          </cell>
        </row>
        <row r="2018">
          <cell r="A2018" t="str">
            <v>Ofsted Social Care Provider Webpage</v>
          </cell>
        </row>
        <row r="2019">
          <cell r="A2019" t="str">
            <v>Ofsted Social Care Provider Webpage</v>
          </cell>
        </row>
        <row r="2020">
          <cell r="A2020" t="str">
            <v>Ofsted Social Care Provider Webpage</v>
          </cell>
        </row>
        <row r="2021">
          <cell r="A2021" t="str">
            <v>Ofsted Social Care Provider Webpage</v>
          </cell>
        </row>
        <row r="2022">
          <cell r="A2022" t="str">
            <v>Ofsted Social Care Provider Webpage</v>
          </cell>
        </row>
        <row r="2023">
          <cell r="A2023" t="str">
            <v>Ofsted Social Care Provider Webpage</v>
          </cell>
        </row>
        <row r="2024">
          <cell r="A2024" t="str">
            <v>Ofsted Social Care Provider Webpage</v>
          </cell>
        </row>
        <row r="2025">
          <cell r="A2025" t="str">
            <v>Ofsted Social Care Provider Webpage</v>
          </cell>
        </row>
        <row r="2026">
          <cell r="A2026" t="str">
            <v>Ofsted Social Care Provider Webpage</v>
          </cell>
        </row>
        <row r="2027">
          <cell r="A2027" t="str">
            <v>Ofsted Social Care Provider Webpage</v>
          </cell>
        </row>
        <row r="2028">
          <cell r="A2028" t="str">
            <v>Ofsted Social Care Provider Webpage</v>
          </cell>
        </row>
        <row r="2029">
          <cell r="A2029" t="str">
            <v>Ofsted Social Care Provider Webpage</v>
          </cell>
        </row>
        <row r="2030">
          <cell r="A2030" t="str">
            <v>Ofsted Social Care Provider Webpage</v>
          </cell>
        </row>
        <row r="2031">
          <cell r="A2031" t="str">
            <v>Ofsted Social Care Provider Webpage</v>
          </cell>
        </row>
        <row r="2032">
          <cell r="A2032" t="str">
            <v>Ofsted Social Care Provider Webpage</v>
          </cell>
        </row>
        <row r="2033">
          <cell r="A2033" t="str">
            <v>Ofsted Social Care Provider Webpage</v>
          </cell>
        </row>
        <row r="2034">
          <cell r="A2034" t="str">
            <v>Ofsted Social Care Provider Webpage</v>
          </cell>
        </row>
        <row r="2035">
          <cell r="A2035" t="str">
            <v>Ofsted Social Care Provider Webpage</v>
          </cell>
        </row>
        <row r="2036">
          <cell r="A2036" t="str">
            <v>Ofsted Social Care Provider Webpage</v>
          </cell>
        </row>
        <row r="2037">
          <cell r="A2037" t="str">
            <v>Ofsted Social Care Provider Webpage</v>
          </cell>
        </row>
        <row r="2038">
          <cell r="A2038" t="str">
            <v>Ofsted Social Care Provider Webpage</v>
          </cell>
        </row>
        <row r="2039">
          <cell r="A2039" t="str">
            <v>Ofsted Social Care Provider Webpage</v>
          </cell>
        </row>
        <row r="2040">
          <cell r="A2040" t="str">
            <v>Ofsted Social Care Provider Webpage</v>
          </cell>
        </row>
        <row r="2041">
          <cell r="A2041" t="str">
            <v>Ofsted Social Care Provider Webpage</v>
          </cell>
        </row>
        <row r="2042">
          <cell r="A2042" t="str">
            <v>Ofsted Social Care Provider Webpage</v>
          </cell>
        </row>
        <row r="2043">
          <cell r="A2043" t="str">
            <v>Ofsted Social Care Provider Webpage</v>
          </cell>
        </row>
        <row r="2044">
          <cell r="A2044" t="str">
            <v>Ofsted Social Care Provider Webpage</v>
          </cell>
        </row>
        <row r="2045">
          <cell r="A2045" t="str">
            <v>Ofsted Social Care Provider Webpage</v>
          </cell>
        </row>
        <row r="2046">
          <cell r="A2046" t="str">
            <v>Ofsted Social Care Provider Webpage</v>
          </cell>
        </row>
        <row r="2047">
          <cell r="A2047" t="str">
            <v>Ofsted Social Care Provider Webpage</v>
          </cell>
        </row>
        <row r="2048">
          <cell r="A2048" t="str">
            <v>Ofsted Social Care Provider Webpage</v>
          </cell>
        </row>
        <row r="2049">
          <cell r="A2049" t="str">
            <v>Ofsted Social Care Provider Webpage</v>
          </cell>
        </row>
        <row r="2050">
          <cell r="A2050" t="str">
            <v>Ofsted Social Care Provider Webpage</v>
          </cell>
        </row>
        <row r="2051">
          <cell r="A2051" t="str">
            <v>Ofsted Social Care Provider Webpage</v>
          </cell>
        </row>
        <row r="2052">
          <cell r="A2052" t="str">
            <v>Ofsted Social Care Provider Webpage</v>
          </cell>
        </row>
        <row r="2053">
          <cell r="A2053" t="str">
            <v>Ofsted Social Care Provider Webpage</v>
          </cell>
        </row>
        <row r="2054">
          <cell r="A2054" t="str">
            <v>Ofsted Social Care Provider Webpage</v>
          </cell>
        </row>
        <row r="2055">
          <cell r="A2055" t="str">
            <v>Ofsted Social Care Provider Webpage</v>
          </cell>
        </row>
        <row r="2056">
          <cell r="A2056" t="str">
            <v>Ofsted Social Care Provider Webpage</v>
          </cell>
        </row>
        <row r="2057">
          <cell r="A2057" t="str">
            <v>Ofsted Social Care Provider Webpage</v>
          </cell>
        </row>
        <row r="2058">
          <cell r="A2058" t="str">
            <v>Ofsted Social Care Provider Webpage</v>
          </cell>
        </row>
        <row r="2059">
          <cell r="A2059" t="str">
            <v>Ofsted Social Care Provider Webpage</v>
          </cell>
        </row>
        <row r="2060">
          <cell r="A2060" t="str">
            <v>Ofsted Social Care Provider Webpage</v>
          </cell>
        </row>
        <row r="2061">
          <cell r="A2061" t="str">
            <v>Ofsted Social Care Provider Webpage</v>
          </cell>
        </row>
        <row r="2062">
          <cell r="A2062" t="str">
            <v>Ofsted Social Care Provider Webpage</v>
          </cell>
        </row>
        <row r="2063">
          <cell r="A2063" t="str">
            <v>Ofsted Social Care Provider Webpage</v>
          </cell>
        </row>
        <row r="2064">
          <cell r="A2064" t="str">
            <v>Ofsted Social Care Provider Webpage</v>
          </cell>
        </row>
        <row r="2065">
          <cell r="A2065" t="str">
            <v>Ofsted Social Care Provider Webpage</v>
          </cell>
        </row>
        <row r="2066">
          <cell r="A2066" t="str">
            <v>Ofsted Social Care Provider Webpage</v>
          </cell>
        </row>
        <row r="2067">
          <cell r="A2067" t="str">
            <v>Ofsted Social Care Provider Webpage</v>
          </cell>
        </row>
        <row r="2068">
          <cell r="A2068" t="str">
            <v>Ofsted Social Care Provider Webpage</v>
          </cell>
        </row>
        <row r="2069">
          <cell r="A2069" t="str">
            <v>Ofsted Social Care Provider Webpage</v>
          </cell>
        </row>
        <row r="2070">
          <cell r="A2070" t="str">
            <v>Ofsted Social Care Provider Webpage</v>
          </cell>
        </row>
        <row r="2071">
          <cell r="A2071" t="str">
            <v>Ofsted Social Care Provider Webpage</v>
          </cell>
        </row>
        <row r="2072">
          <cell r="A2072" t="str">
            <v>Ofsted Social Care Provider Webpage</v>
          </cell>
        </row>
        <row r="2073">
          <cell r="A2073" t="str">
            <v>Ofsted Social Care Provider Webpage</v>
          </cell>
        </row>
        <row r="2074">
          <cell r="A2074" t="str">
            <v>Ofsted Social Care Provider Webpage</v>
          </cell>
        </row>
        <row r="2075">
          <cell r="A2075" t="str">
            <v>Ofsted Social Care Provider Webpage</v>
          </cell>
        </row>
        <row r="2076">
          <cell r="A2076" t="str">
            <v>Ofsted Social Care Provider Webpage</v>
          </cell>
        </row>
        <row r="2077">
          <cell r="A2077" t="str">
            <v>Ofsted Social Care Provider Webpage</v>
          </cell>
        </row>
        <row r="2078">
          <cell r="A2078" t="str">
            <v>Ofsted Social Care Provider Webpage</v>
          </cell>
        </row>
        <row r="2079">
          <cell r="A2079" t="str">
            <v>Ofsted Social Care Provider Webpage</v>
          </cell>
        </row>
        <row r="2080">
          <cell r="A2080" t="str">
            <v>Ofsted Social Care Provider Webpage</v>
          </cell>
        </row>
        <row r="2081">
          <cell r="A2081" t="str">
            <v>Ofsted Social Care Provider Webpage</v>
          </cell>
        </row>
        <row r="2082">
          <cell r="A2082" t="str">
            <v>Ofsted Social Care Provider Webpage</v>
          </cell>
        </row>
        <row r="2083">
          <cell r="A2083" t="str">
            <v>Ofsted Social Care Provider Webpage</v>
          </cell>
        </row>
        <row r="2084">
          <cell r="A2084" t="str">
            <v>Ofsted Social Care Provider Webpage</v>
          </cell>
        </row>
        <row r="2085">
          <cell r="A2085" t="str">
            <v>Ofsted Social Care Provider Webpage</v>
          </cell>
        </row>
        <row r="2086">
          <cell r="A2086" t="str">
            <v>Ofsted Social Care Provider Webpage</v>
          </cell>
        </row>
        <row r="2087">
          <cell r="A2087" t="str">
            <v>Ofsted Social Care Provider Webpage</v>
          </cell>
        </row>
        <row r="2088">
          <cell r="A2088" t="str">
            <v>Ofsted Social Care Provider Webpage</v>
          </cell>
        </row>
        <row r="2089">
          <cell r="A2089" t="str">
            <v>Ofsted Social Care Provider Webpage</v>
          </cell>
        </row>
        <row r="2090">
          <cell r="A2090" t="str">
            <v>Ofsted Social Care Provider Webpage</v>
          </cell>
        </row>
        <row r="2091">
          <cell r="A2091" t="str">
            <v>Ofsted Social Care Provider Webpage</v>
          </cell>
        </row>
        <row r="2092">
          <cell r="A2092" t="str">
            <v>Ofsted Social Care Provider Webpage</v>
          </cell>
        </row>
        <row r="2093">
          <cell r="A2093" t="str">
            <v>Ofsted Social Care Provider Webpage</v>
          </cell>
        </row>
        <row r="2094">
          <cell r="A2094" t="str">
            <v>Ofsted Social Care Provider Webpage</v>
          </cell>
        </row>
        <row r="2095">
          <cell r="A2095" t="str">
            <v>Ofsted Social Care Provider Webpage</v>
          </cell>
        </row>
        <row r="2096">
          <cell r="A2096" t="str">
            <v>Ofsted Social Care Provider Webpage</v>
          </cell>
        </row>
        <row r="2097">
          <cell r="A2097" t="str">
            <v>Ofsted Social Care Provider Webpage</v>
          </cell>
        </row>
        <row r="2098">
          <cell r="A2098" t="str">
            <v>Ofsted Social Care Provider Webpage</v>
          </cell>
        </row>
        <row r="2099">
          <cell r="A2099" t="str">
            <v>Ofsted Social Care Provider Webpage</v>
          </cell>
        </row>
        <row r="2100">
          <cell r="A2100" t="str">
            <v>Ofsted Social Care Provider Webpage</v>
          </cell>
        </row>
        <row r="2101">
          <cell r="A2101" t="str">
            <v>Ofsted Social Care Provider Webpage</v>
          </cell>
        </row>
        <row r="2102">
          <cell r="A2102" t="str">
            <v>Ofsted Social Care Provider Webpage</v>
          </cell>
        </row>
        <row r="2103">
          <cell r="A2103" t="str">
            <v>Ofsted Social Care Provider Webpage</v>
          </cell>
        </row>
        <row r="2104">
          <cell r="A2104" t="str">
            <v>Ofsted Social Care Provider Webpage</v>
          </cell>
        </row>
        <row r="2105">
          <cell r="A2105" t="str">
            <v>Ofsted Social Care Provider Webpage</v>
          </cell>
        </row>
        <row r="2106">
          <cell r="A2106" t="str">
            <v>Ofsted Social Care Provider Webpage</v>
          </cell>
        </row>
        <row r="2107">
          <cell r="A2107" t="str">
            <v>Ofsted Social Care Provider Webpage</v>
          </cell>
        </row>
        <row r="2108">
          <cell r="A2108" t="str">
            <v>Ofsted Social Care Provider Webpage</v>
          </cell>
        </row>
        <row r="2109">
          <cell r="A2109" t="str">
            <v>Ofsted Social Care Provider Webpage</v>
          </cell>
        </row>
        <row r="2110">
          <cell r="A2110" t="str">
            <v>Ofsted Social Care Provider Webpage</v>
          </cell>
        </row>
        <row r="2111">
          <cell r="A2111" t="str">
            <v>Ofsted Social Care Provider Webpage</v>
          </cell>
        </row>
        <row r="2112">
          <cell r="A2112" t="str">
            <v>Ofsted Social Care Provider Webpage</v>
          </cell>
        </row>
        <row r="2113">
          <cell r="A2113" t="str">
            <v>Ofsted Social Care Provider Webpage</v>
          </cell>
        </row>
        <row r="2114">
          <cell r="A2114" t="str">
            <v>Ofsted Social Care Provider Webpage</v>
          </cell>
        </row>
        <row r="2115">
          <cell r="A2115" t="str">
            <v>Ofsted Social Care Provider Webpage</v>
          </cell>
        </row>
        <row r="2116">
          <cell r="A2116" t="str">
            <v>Ofsted Social Care Provider Webpage</v>
          </cell>
        </row>
        <row r="2117">
          <cell r="A2117" t="str">
            <v>Ofsted Social Care Provider Webpage</v>
          </cell>
        </row>
        <row r="2118">
          <cell r="A2118" t="str">
            <v>Ofsted Social Care Provider Webpage</v>
          </cell>
        </row>
        <row r="2119">
          <cell r="A2119" t="str">
            <v>Ofsted Social Care Provider Webpage</v>
          </cell>
        </row>
        <row r="2120">
          <cell r="A2120" t="str">
            <v>Ofsted Social Care Provider Webpage</v>
          </cell>
        </row>
        <row r="2121">
          <cell r="A2121" t="str">
            <v>Ofsted Social Care Provider Webpage</v>
          </cell>
        </row>
        <row r="2122">
          <cell r="A2122" t="str">
            <v>Ofsted Social Care Provider Webpage</v>
          </cell>
        </row>
        <row r="2123">
          <cell r="A2123" t="str">
            <v>Ofsted Social Care Provider Webpage</v>
          </cell>
        </row>
        <row r="2124">
          <cell r="A2124" t="str">
            <v>Ofsted Social Care Provider Webpage</v>
          </cell>
        </row>
        <row r="2125">
          <cell r="A2125" t="str">
            <v>Ofsted Social Care Provider Webpage</v>
          </cell>
        </row>
        <row r="2126">
          <cell r="A2126" t="str">
            <v>Ofsted Social Care Provider Webpage</v>
          </cell>
        </row>
        <row r="2127">
          <cell r="A2127" t="str">
            <v>Ofsted Social Care Provider Webpage</v>
          </cell>
        </row>
        <row r="2128">
          <cell r="A2128" t="str">
            <v>Ofsted Social Care Provider Webpage</v>
          </cell>
        </row>
        <row r="2129">
          <cell r="A2129" t="str">
            <v>Ofsted Social Care Provider Webpage</v>
          </cell>
        </row>
        <row r="2130">
          <cell r="A2130" t="str">
            <v>Ofsted Social Care Provider Webpage</v>
          </cell>
        </row>
        <row r="2131">
          <cell r="A2131" t="str">
            <v>Ofsted Social Care Provider Webpage</v>
          </cell>
        </row>
        <row r="2132">
          <cell r="A2132" t="str">
            <v>Ofsted Social Care Provider Webpage</v>
          </cell>
        </row>
        <row r="2133">
          <cell r="A2133" t="str">
            <v>Ofsted Social Care Provider Webpage</v>
          </cell>
        </row>
        <row r="2134">
          <cell r="A2134" t="str">
            <v>Ofsted Social Care Provider Webpage</v>
          </cell>
        </row>
        <row r="2135">
          <cell r="A2135" t="str">
            <v>Ofsted Social Care Provider Webpage</v>
          </cell>
        </row>
        <row r="2136">
          <cell r="A2136" t="str">
            <v>Ofsted Social Care Provider Webpage</v>
          </cell>
        </row>
        <row r="2137">
          <cell r="A2137" t="str">
            <v>Ofsted Social Care Provider Webpage</v>
          </cell>
        </row>
        <row r="2138">
          <cell r="A2138" t="str">
            <v>Ofsted Social Care Provider Webpage</v>
          </cell>
        </row>
        <row r="2139">
          <cell r="A2139" t="str">
            <v>Ofsted Social Care Provider Webpage</v>
          </cell>
        </row>
        <row r="2140">
          <cell r="A2140" t="str">
            <v>Ofsted Social Care Provider Webpage</v>
          </cell>
        </row>
        <row r="2141">
          <cell r="A2141" t="str">
            <v>Ofsted Social Care Provider Webpage</v>
          </cell>
        </row>
        <row r="2142">
          <cell r="A2142" t="str">
            <v>Ofsted Social Care Provider Webpage</v>
          </cell>
        </row>
        <row r="2143">
          <cell r="A2143" t="str">
            <v>Ofsted Social Care Provider Webpage</v>
          </cell>
        </row>
        <row r="2144">
          <cell r="A2144" t="str">
            <v>Ofsted Social Care Provider Webpage</v>
          </cell>
        </row>
        <row r="2145">
          <cell r="A2145" t="str">
            <v>Ofsted Social Care Provider Webpage</v>
          </cell>
        </row>
        <row r="2146">
          <cell r="A2146" t="str">
            <v>Ofsted Social Care Provider Webpage</v>
          </cell>
        </row>
        <row r="2147">
          <cell r="A2147" t="str">
            <v>Ofsted Social Care Provider Webpage</v>
          </cell>
        </row>
        <row r="2148">
          <cell r="A2148" t="str">
            <v>Ofsted Social Care Provider Webpage</v>
          </cell>
        </row>
        <row r="2149">
          <cell r="A2149" t="str">
            <v>Ofsted Social Care Provider Webpage</v>
          </cell>
        </row>
        <row r="2150">
          <cell r="A2150" t="str">
            <v>Ofsted Social Care Provider Webpage</v>
          </cell>
        </row>
        <row r="2151">
          <cell r="A2151" t="str">
            <v>Ofsted Social Care Provider Webpage</v>
          </cell>
        </row>
        <row r="2152">
          <cell r="A2152" t="str">
            <v>Ofsted Social Care Provider Webpage</v>
          </cell>
        </row>
        <row r="2153">
          <cell r="A2153" t="str">
            <v>Ofsted Social Care Provider Webpage</v>
          </cell>
        </row>
        <row r="2154">
          <cell r="A2154" t="str">
            <v>Ofsted Social Care Provider Webpage</v>
          </cell>
        </row>
        <row r="2155">
          <cell r="A2155" t="str">
            <v>Ofsted Social Care Provider Webpage</v>
          </cell>
        </row>
        <row r="2156">
          <cell r="A2156" t="str">
            <v>Ofsted Social Care Provider Webpage</v>
          </cell>
        </row>
        <row r="2157">
          <cell r="A2157" t="str">
            <v>Ofsted Social Care Provider Webpage</v>
          </cell>
        </row>
        <row r="2158">
          <cell r="A2158" t="str">
            <v>Ofsted Social Care Provider Webpage</v>
          </cell>
        </row>
        <row r="2159">
          <cell r="A2159" t="str">
            <v>Ofsted Social Care Provider Webpage</v>
          </cell>
        </row>
        <row r="2160">
          <cell r="A2160" t="str">
            <v>Ofsted Social Care Provider Webpage</v>
          </cell>
        </row>
        <row r="2161">
          <cell r="A2161" t="str">
            <v>Ofsted Social Care Provider Webpage</v>
          </cell>
        </row>
        <row r="2162">
          <cell r="A2162" t="str">
            <v>Ofsted Social Care Provider Webpage</v>
          </cell>
        </row>
        <row r="2163">
          <cell r="A2163" t="str">
            <v>Ofsted Social Care Provider Webpage</v>
          </cell>
        </row>
        <row r="2164">
          <cell r="A2164" t="str">
            <v>Ofsted Social Care Provider Webpage</v>
          </cell>
        </row>
        <row r="2165">
          <cell r="A2165" t="str">
            <v>Ofsted Social Care Provider Webpage</v>
          </cell>
        </row>
        <row r="2166">
          <cell r="A2166" t="str">
            <v>Ofsted Social Care Provider Webpage</v>
          </cell>
        </row>
        <row r="2167">
          <cell r="A2167" t="str">
            <v>Ofsted Social Care Provider Webpage</v>
          </cell>
        </row>
        <row r="2168">
          <cell r="A2168" t="str">
            <v>Ofsted Social Care Provider Webpage</v>
          </cell>
        </row>
        <row r="2169">
          <cell r="A2169" t="str">
            <v>Ofsted Social Care Provider Webpage</v>
          </cell>
        </row>
        <row r="2170">
          <cell r="A2170" t="str">
            <v>Ofsted Social Care Provider Webpage</v>
          </cell>
        </row>
        <row r="2171">
          <cell r="A2171" t="str">
            <v>Ofsted Social Care Provider Webpage</v>
          </cell>
        </row>
        <row r="2172">
          <cell r="A2172" t="str">
            <v>Ofsted Social Care Provider Webpage</v>
          </cell>
        </row>
        <row r="2173">
          <cell r="A2173" t="str">
            <v>Ofsted Social Care Provider Webpage</v>
          </cell>
        </row>
        <row r="2174">
          <cell r="A2174" t="str">
            <v>Ofsted Social Care Provider Webpage</v>
          </cell>
        </row>
        <row r="2175">
          <cell r="A2175" t="str">
            <v>Ofsted Social Care Provider Webpage</v>
          </cell>
        </row>
        <row r="2176">
          <cell r="A2176" t="str">
            <v>Ofsted Social Care Provider Webpage</v>
          </cell>
        </row>
        <row r="2177">
          <cell r="A2177" t="str">
            <v>Ofsted Social Care Provider Webpage</v>
          </cell>
        </row>
        <row r="2178">
          <cell r="A2178" t="str">
            <v>Ofsted Social Care Provider Webpage</v>
          </cell>
        </row>
        <row r="2179">
          <cell r="A2179" t="str">
            <v>Ofsted Social Care Provider Webpage</v>
          </cell>
        </row>
        <row r="2180">
          <cell r="A2180" t="str">
            <v>Ofsted Social Care Provider Webpage</v>
          </cell>
        </row>
        <row r="2181">
          <cell r="A2181" t="str">
            <v>Ofsted Social Care Provider Webpage</v>
          </cell>
        </row>
        <row r="2182">
          <cell r="A2182" t="str">
            <v>Ofsted Social Care Provider Webpage</v>
          </cell>
        </row>
        <row r="2183">
          <cell r="A2183" t="str">
            <v>Ofsted Social Care Provider Webpage</v>
          </cell>
        </row>
        <row r="2184">
          <cell r="A2184" t="str">
            <v>Ofsted Social Care Provider Webpage</v>
          </cell>
        </row>
        <row r="2185">
          <cell r="A2185" t="str">
            <v>Ofsted Social Care Provider Webpage</v>
          </cell>
        </row>
        <row r="2186">
          <cell r="A2186" t="str">
            <v>Ofsted Social Care Provider Webpage</v>
          </cell>
        </row>
        <row r="2187">
          <cell r="A2187" t="str">
            <v>Ofsted Social Care Provider Webpage</v>
          </cell>
        </row>
        <row r="2188">
          <cell r="A2188" t="str">
            <v>Ofsted Social Care Provider Webpage</v>
          </cell>
        </row>
        <row r="2189">
          <cell r="A2189" t="str">
            <v>Ofsted Social Care Provider Webpage</v>
          </cell>
        </row>
        <row r="2190">
          <cell r="A2190" t="str">
            <v>Ofsted Social Care Provider Webpage</v>
          </cell>
        </row>
        <row r="2191">
          <cell r="A2191" t="str">
            <v>Ofsted Social Care Provider Webpage</v>
          </cell>
        </row>
        <row r="2192">
          <cell r="A2192" t="str">
            <v>Ofsted Social Care Provider Webpage</v>
          </cell>
        </row>
        <row r="2193">
          <cell r="A2193" t="str">
            <v>Ofsted Social Care Provider Webpage</v>
          </cell>
        </row>
        <row r="2194">
          <cell r="A2194" t="str">
            <v>Ofsted Social Care Provider Webpage</v>
          </cell>
        </row>
        <row r="2195">
          <cell r="A2195" t="str">
            <v>Ofsted Social Care Provider Webpage</v>
          </cell>
        </row>
        <row r="2196">
          <cell r="A2196" t="str">
            <v>Ofsted Social Care Provider Webpage</v>
          </cell>
        </row>
        <row r="2197">
          <cell r="A2197" t="str">
            <v>Ofsted Social Care Provider Webpage</v>
          </cell>
        </row>
        <row r="2198">
          <cell r="A2198" t="str">
            <v>Ofsted Social Care Provider Webpage</v>
          </cell>
        </row>
        <row r="2199">
          <cell r="A2199" t="str">
            <v>Ofsted Social Care Provider Webpage</v>
          </cell>
        </row>
        <row r="2200">
          <cell r="A2200" t="str">
            <v>Ofsted Social Care Provider Webpage</v>
          </cell>
        </row>
        <row r="2201">
          <cell r="A2201" t="str">
            <v>Ofsted Social Care Provider Webpage</v>
          </cell>
        </row>
        <row r="2202">
          <cell r="A2202" t="str">
            <v>Ofsted Social Care Provider Webpage</v>
          </cell>
        </row>
        <row r="2203">
          <cell r="A2203" t="str">
            <v>Ofsted Social Care Provider Webpage</v>
          </cell>
        </row>
        <row r="2204">
          <cell r="A2204" t="str">
            <v>Ofsted Social Care Provider Webpage</v>
          </cell>
        </row>
        <row r="2205">
          <cell r="A2205" t="str">
            <v>Ofsted Social Care Provider Webpage</v>
          </cell>
        </row>
        <row r="2206">
          <cell r="A2206" t="str">
            <v>Ofsted Social Care Provider Webpage</v>
          </cell>
        </row>
        <row r="2207">
          <cell r="A2207" t="str">
            <v>Ofsted Social Care Provider Webpage</v>
          </cell>
        </row>
        <row r="2208">
          <cell r="A2208" t="str">
            <v>Ofsted Social Care Provider Webpage</v>
          </cell>
        </row>
        <row r="2209">
          <cell r="A2209" t="str">
            <v>Ofsted Social Care Provider Webpage</v>
          </cell>
        </row>
        <row r="2210">
          <cell r="A2210" t="str">
            <v>Ofsted Social Care Provider Webpage</v>
          </cell>
        </row>
        <row r="2211">
          <cell r="A2211" t="str">
            <v>Ofsted Social Care Provider Webpage</v>
          </cell>
        </row>
        <row r="2212">
          <cell r="A2212" t="str">
            <v>Ofsted Social Care Provider Webpage</v>
          </cell>
        </row>
        <row r="2213">
          <cell r="A2213" t="str">
            <v>Ofsted Social Care Provider Webpage</v>
          </cell>
        </row>
        <row r="2214">
          <cell r="A2214" t="str">
            <v>Ofsted Social Care Provider Webpage</v>
          </cell>
        </row>
        <row r="2215">
          <cell r="A2215" t="str">
            <v>Ofsted Social Care Provider Webpage</v>
          </cell>
        </row>
        <row r="2216">
          <cell r="A2216" t="str">
            <v>Ofsted Social Care Provider Webpage</v>
          </cell>
        </row>
        <row r="2217">
          <cell r="A2217" t="str">
            <v>Ofsted Social Care Provider Webpage</v>
          </cell>
        </row>
        <row r="2218">
          <cell r="A2218" t="str">
            <v>Ofsted Social Care Provider Webpage</v>
          </cell>
        </row>
        <row r="2219">
          <cell r="A2219" t="str">
            <v>Ofsted Social Care Provider Webpage</v>
          </cell>
        </row>
        <row r="2220">
          <cell r="A2220" t="str">
            <v>Ofsted Social Care Provider Webpage</v>
          </cell>
        </row>
        <row r="2221">
          <cell r="A2221" t="str">
            <v>Ofsted Social Care Provider Webpage</v>
          </cell>
        </row>
        <row r="2222">
          <cell r="A2222" t="str">
            <v>Ofsted Social Care Provider Webpage</v>
          </cell>
        </row>
        <row r="2223">
          <cell r="A2223" t="str">
            <v>Ofsted Social Care Provider Webpage</v>
          </cell>
        </row>
        <row r="2224">
          <cell r="A2224" t="str">
            <v>Ofsted Social Care Provider Webpage</v>
          </cell>
        </row>
        <row r="2225">
          <cell r="A2225" t="str">
            <v>Ofsted Social Care Provider Webpage</v>
          </cell>
        </row>
        <row r="2226">
          <cell r="A2226" t="str">
            <v>Ofsted Social Care Provider Webpage</v>
          </cell>
        </row>
        <row r="2227">
          <cell r="A2227" t="str">
            <v>Ofsted Social Care Provider Webpage</v>
          </cell>
        </row>
        <row r="2228">
          <cell r="A2228" t="str">
            <v>Ofsted Social Care Provider Webpage</v>
          </cell>
        </row>
        <row r="2229">
          <cell r="A2229" t="str">
            <v>Ofsted Social Care Provider Webpage</v>
          </cell>
        </row>
        <row r="2230">
          <cell r="A2230" t="str">
            <v>Ofsted Social Care Provider Webpage</v>
          </cell>
        </row>
        <row r="2231">
          <cell r="A2231" t="str">
            <v>Ofsted Social Care Provider Webpage</v>
          </cell>
        </row>
        <row r="2232">
          <cell r="A2232" t="str">
            <v>Ofsted Social Care Provider Webpage</v>
          </cell>
        </row>
        <row r="2233">
          <cell r="A2233" t="str">
            <v>Ofsted Social Care Provider Webpage</v>
          </cell>
        </row>
        <row r="2234">
          <cell r="A2234" t="str">
            <v>Ofsted Social Care Provider Webpage</v>
          </cell>
        </row>
        <row r="2235">
          <cell r="A2235" t="str">
            <v>Ofsted Social Care Provider Webpage</v>
          </cell>
        </row>
        <row r="2236">
          <cell r="A2236" t="str">
            <v>Ofsted Social Care Provider Webpage</v>
          </cell>
        </row>
        <row r="2237">
          <cell r="A2237" t="str">
            <v>Ofsted Social Care Provider Webpage</v>
          </cell>
        </row>
        <row r="2238">
          <cell r="A2238" t="str">
            <v>Ofsted Social Care Provider Webpage</v>
          </cell>
        </row>
        <row r="2239">
          <cell r="A2239" t="str">
            <v>Ofsted Social Care Provider Webpage</v>
          </cell>
        </row>
        <row r="2240">
          <cell r="A2240" t="str">
            <v>Ofsted Social Care Provider Webpage</v>
          </cell>
        </row>
        <row r="2241">
          <cell r="A2241" t="str">
            <v>Ofsted Social Care Provider Webpage</v>
          </cell>
        </row>
        <row r="2242">
          <cell r="A2242" t="str">
            <v>Ofsted Social Care Provider Webpage</v>
          </cell>
        </row>
        <row r="2243">
          <cell r="A2243" t="str">
            <v>Ofsted Social Care Provider Webpage</v>
          </cell>
        </row>
        <row r="2244">
          <cell r="A2244" t="str">
            <v>Ofsted Social Care Provider Webpage</v>
          </cell>
        </row>
        <row r="2245">
          <cell r="A2245" t="str">
            <v>Ofsted Social Care Provider Webpage</v>
          </cell>
        </row>
        <row r="2246">
          <cell r="A2246" t="str">
            <v>Ofsted Social Care Provider Webpage</v>
          </cell>
        </row>
        <row r="2247">
          <cell r="A2247" t="str">
            <v>Ofsted Social Care Provider Webpage</v>
          </cell>
        </row>
        <row r="2248">
          <cell r="A2248" t="str">
            <v>Ofsted Social Care Provider Webpage</v>
          </cell>
        </row>
        <row r="2249">
          <cell r="A2249" t="str">
            <v>Ofsted Social Care Provider Webpage</v>
          </cell>
        </row>
        <row r="2250">
          <cell r="A2250" t="str">
            <v>Ofsted Social Care Provider Webpage</v>
          </cell>
        </row>
        <row r="2251">
          <cell r="A2251" t="str">
            <v>Ofsted Social Care Provider Webpage</v>
          </cell>
        </row>
        <row r="2252">
          <cell r="A2252" t="str">
            <v>Ofsted Social Care Provider Webpage</v>
          </cell>
        </row>
        <row r="2253">
          <cell r="A2253" t="str">
            <v>Ofsted Social Care Provider Webpage</v>
          </cell>
        </row>
        <row r="2254">
          <cell r="A2254" t="str">
            <v>Ofsted Social Care Provider Webpage</v>
          </cell>
        </row>
        <row r="2255">
          <cell r="A2255" t="str">
            <v>Ofsted Social Care Provider Webpage</v>
          </cell>
        </row>
        <row r="2256">
          <cell r="A2256" t="str">
            <v>Ofsted Social Care Provider Webpage</v>
          </cell>
        </row>
        <row r="2257">
          <cell r="A2257" t="str">
            <v>Ofsted Social Care Provider Webpage</v>
          </cell>
        </row>
        <row r="2258">
          <cell r="A2258" t="str">
            <v>Ofsted Social Care Provider Webpage</v>
          </cell>
        </row>
        <row r="2259">
          <cell r="A2259" t="str">
            <v>Ofsted Social Care Provider Webpage</v>
          </cell>
        </row>
        <row r="2260">
          <cell r="A2260" t="str">
            <v>Ofsted Social Care Provider Webpage</v>
          </cell>
        </row>
        <row r="2261">
          <cell r="A2261" t="str">
            <v>Ofsted Social Care Provider Webpage</v>
          </cell>
        </row>
        <row r="2262">
          <cell r="A2262" t="str">
            <v>Ofsted Social Care Provider Webpage</v>
          </cell>
        </row>
        <row r="2263">
          <cell r="A2263" t="str">
            <v>Ofsted Social Care Provider Webpage</v>
          </cell>
        </row>
        <row r="2264">
          <cell r="A2264" t="str">
            <v>Ofsted Social Care Provider Webpage</v>
          </cell>
        </row>
        <row r="2265">
          <cell r="A2265" t="str">
            <v>Ofsted Social Care Provider Webpage</v>
          </cell>
        </row>
        <row r="2266">
          <cell r="A2266" t="str">
            <v>Ofsted Social Care Provider Webpage</v>
          </cell>
        </row>
        <row r="2267">
          <cell r="A2267" t="str">
            <v>Ofsted Social Care Provider Webpage</v>
          </cell>
        </row>
        <row r="2268">
          <cell r="A2268" t="str">
            <v>Ofsted Social Care Provider Webpage</v>
          </cell>
        </row>
        <row r="2269">
          <cell r="A2269" t="str">
            <v>Ofsted Social Care Provider Webpage</v>
          </cell>
        </row>
        <row r="2270">
          <cell r="A2270" t="str">
            <v>Ofsted Social Care Provider Webpage</v>
          </cell>
        </row>
        <row r="2271">
          <cell r="A2271" t="str">
            <v>Ofsted Social Care Provider Webpage</v>
          </cell>
        </row>
        <row r="2272">
          <cell r="A2272" t="str">
            <v>Ofsted Social Care Provider Webpage</v>
          </cell>
        </row>
        <row r="2273">
          <cell r="A2273" t="str">
            <v>Ofsted Social Care Provider Webpage</v>
          </cell>
        </row>
        <row r="2274">
          <cell r="A2274" t="str">
            <v>Ofsted Social Care Provider Webpage</v>
          </cell>
        </row>
        <row r="2275">
          <cell r="A2275" t="str">
            <v>Ofsted Social Care Provider Webpage</v>
          </cell>
        </row>
        <row r="2276">
          <cell r="A2276" t="str">
            <v>Ofsted Social Care Provider Webpage</v>
          </cell>
        </row>
        <row r="2277">
          <cell r="A2277" t="str">
            <v>Ofsted Social Care Provider Webpage</v>
          </cell>
        </row>
        <row r="2278">
          <cell r="A2278" t="str">
            <v>Ofsted Social Care Provider Webpage</v>
          </cell>
        </row>
        <row r="2279">
          <cell r="A2279" t="str">
            <v>Ofsted Social Care Provider Webpage</v>
          </cell>
        </row>
        <row r="2280">
          <cell r="A2280" t="str">
            <v>Ofsted Social Care Provider Webpage</v>
          </cell>
        </row>
        <row r="2281">
          <cell r="A2281" t="str">
            <v>Ofsted Social Care Provider Webpage</v>
          </cell>
        </row>
        <row r="2282">
          <cell r="A2282" t="str">
            <v>Ofsted Social Care Provider Webpage</v>
          </cell>
        </row>
        <row r="2283">
          <cell r="A2283" t="str">
            <v>Ofsted Social Care Provider Webpage</v>
          </cell>
        </row>
        <row r="2284">
          <cell r="A2284" t="str">
            <v>Ofsted Social Care Provider Webpage</v>
          </cell>
        </row>
        <row r="2285">
          <cell r="A2285" t="str">
            <v>Ofsted Social Care Provider Webpage</v>
          </cell>
        </row>
        <row r="2286">
          <cell r="A2286" t="str">
            <v>Ofsted Social Care Provider Webpage</v>
          </cell>
        </row>
        <row r="2287">
          <cell r="A2287" t="str">
            <v>Ofsted Social Care Provider Webpage</v>
          </cell>
        </row>
        <row r="2288">
          <cell r="A2288" t="str">
            <v>Ofsted Social Care Provider Webpage</v>
          </cell>
        </row>
        <row r="2289">
          <cell r="A2289" t="str">
            <v>Ofsted Social Care Provider Webpage</v>
          </cell>
        </row>
        <row r="2290">
          <cell r="A2290" t="str">
            <v>Ofsted Social Care Provider Webpage</v>
          </cell>
        </row>
        <row r="2291">
          <cell r="A2291" t="str">
            <v>Ofsted Social Care Provider Webpage</v>
          </cell>
        </row>
        <row r="2292">
          <cell r="A2292" t="str">
            <v>Ofsted Social Care Provider Webpage</v>
          </cell>
        </row>
        <row r="2293">
          <cell r="A2293" t="str">
            <v>Ofsted Social Care Provider Webpage</v>
          </cell>
        </row>
        <row r="2294">
          <cell r="A2294" t="str">
            <v>Ofsted Social Care Provider Webpage</v>
          </cell>
        </row>
        <row r="2295">
          <cell r="A2295" t="str">
            <v>Ofsted Social Care Provider Webpage</v>
          </cell>
        </row>
        <row r="2296">
          <cell r="A2296" t="str">
            <v>Ofsted Social Care Provider Webpage</v>
          </cell>
        </row>
        <row r="2297">
          <cell r="A2297" t="str">
            <v>Ofsted Social Care Provider Webpage</v>
          </cell>
        </row>
        <row r="2298">
          <cell r="A2298" t="str">
            <v>Ofsted Social Care Provider Webpage</v>
          </cell>
        </row>
        <row r="2299">
          <cell r="A2299" t="str">
            <v>Ofsted Social Care Provider Webpage</v>
          </cell>
        </row>
        <row r="2300">
          <cell r="A2300" t="str">
            <v>Ofsted Social Care Provider Webpage</v>
          </cell>
        </row>
        <row r="2301">
          <cell r="A2301" t="str">
            <v>Ofsted Social Care Provider Webpage</v>
          </cell>
        </row>
        <row r="2302">
          <cell r="A2302" t="str">
            <v>Ofsted Social Care Provider Webpage</v>
          </cell>
        </row>
        <row r="2303">
          <cell r="A2303" t="str">
            <v>Ofsted Social Care Provider Webpage</v>
          </cell>
        </row>
        <row r="2304">
          <cell r="A2304" t="str">
            <v>Ofsted Social Care Provider Webpage</v>
          </cell>
        </row>
        <row r="2305">
          <cell r="A2305" t="str">
            <v>Ofsted Social Care Provider Webpage</v>
          </cell>
        </row>
        <row r="2306">
          <cell r="A2306" t="str">
            <v>Ofsted Social Care Provider Webpage</v>
          </cell>
        </row>
        <row r="2307">
          <cell r="A2307" t="str">
            <v>Ofsted Social Care Provider Webpage</v>
          </cell>
        </row>
        <row r="2308">
          <cell r="A2308" t="str">
            <v>Ofsted Social Care Provider Webpage</v>
          </cell>
        </row>
        <row r="2309">
          <cell r="A2309" t="str">
            <v>Ofsted Social Care Provider Webpage</v>
          </cell>
        </row>
        <row r="2310">
          <cell r="A2310" t="str">
            <v>Ofsted Social Care Provider Webpage</v>
          </cell>
        </row>
        <row r="2311">
          <cell r="A2311" t="str">
            <v>Ofsted Social Care Provider Webpage</v>
          </cell>
        </row>
        <row r="2312">
          <cell r="A2312" t="str">
            <v>Ofsted Social Care Provider Webpage</v>
          </cell>
        </row>
        <row r="2313">
          <cell r="A2313" t="str">
            <v>Ofsted Social Care Provider Webpage</v>
          </cell>
        </row>
        <row r="2314">
          <cell r="A2314" t="str">
            <v>Ofsted Social Care Provider Webpage</v>
          </cell>
        </row>
        <row r="2315">
          <cell r="A2315" t="str">
            <v>Ofsted Social Care Provider Webpage</v>
          </cell>
        </row>
        <row r="2316">
          <cell r="A2316" t="str">
            <v>Ofsted Social Care Provider Webpage</v>
          </cell>
        </row>
        <row r="2317">
          <cell r="A2317" t="str">
            <v>Ofsted Social Care Provider Webpage</v>
          </cell>
        </row>
        <row r="2318">
          <cell r="A2318" t="str">
            <v>Ofsted Social Care Provider Webpage</v>
          </cell>
        </row>
        <row r="2319">
          <cell r="A2319" t="str">
            <v>Ofsted Social Care Provider Webpage</v>
          </cell>
        </row>
        <row r="2320">
          <cell r="A2320" t="str">
            <v>Ofsted Social Care Provider Webpage</v>
          </cell>
        </row>
        <row r="2321">
          <cell r="A2321" t="str">
            <v>Ofsted Social Care Provider Webpage</v>
          </cell>
        </row>
        <row r="2322">
          <cell r="A2322" t="str">
            <v>Ofsted Social Care Provider Webpage</v>
          </cell>
        </row>
        <row r="2323">
          <cell r="A2323" t="str">
            <v>Ofsted Social Care Provider Webpage</v>
          </cell>
        </row>
        <row r="2324">
          <cell r="A2324" t="str">
            <v>Ofsted Social Care Provider Webpage</v>
          </cell>
        </row>
        <row r="2325">
          <cell r="A2325" t="str">
            <v>Ofsted Social Care Provider Webpage</v>
          </cell>
        </row>
        <row r="2326">
          <cell r="A2326" t="str">
            <v>Ofsted Social Care Provider Webpage</v>
          </cell>
        </row>
        <row r="2327">
          <cell r="A2327" t="str">
            <v>Ofsted Social Care Provider Webpage</v>
          </cell>
        </row>
        <row r="2328">
          <cell r="A2328" t="str">
            <v>Ofsted Social Care Provider Webpage</v>
          </cell>
        </row>
        <row r="2329">
          <cell r="A2329" t="str">
            <v>Ofsted Social Care Provider Webpage</v>
          </cell>
        </row>
        <row r="2330">
          <cell r="A2330" t="str">
            <v>Ofsted Social Care Provider Webpage</v>
          </cell>
        </row>
        <row r="2331">
          <cell r="A2331" t="str">
            <v>Ofsted Social Care Provider Webpage</v>
          </cell>
        </row>
        <row r="2332">
          <cell r="A2332" t="str">
            <v>Ofsted Social Care Provider Webpage</v>
          </cell>
        </row>
        <row r="2333">
          <cell r="A2333" t="str">
            <v>Ofsted Social Care Provider Webpage</v>
          </cell>
        </row>
        <row r="2334">
          <cell r="A2334" t="str">
            <v>Ofsted Social Care Provider Webpage</v>
          </cell>
        </row>
        <row r="2335">
          <cell r="A2335" t="str">
            <v>Ofsted Social Care Provider Webpage</v>
          </cell>
        </row>
        <row r="2336">
          <cell r="A2336" t="str">
            <v>Ofsted Social Care Provider Webpage</v>
          </cell>
        </row>
        <row r="2337">
          <cell r="A2337" t="str">
            <v>Ofsted Social Care Provider Webpage</v>
          </cell>
        </row>
        <row r="2338">
          <cell r="A2338" t="str">
            <v>Ofsted Social Care Provider Webpage</v>
          </cell>
        </row>
        <row r="2339">
          <cell r="A2339" t="str">
            <v>Ofsted Social Care Provider Webpage</v>
          </cell>
        </row>
        <row r="2340">
          <cell r="A2340" t="str">
            <v>Ofsted Social Care Provider Webpage</v>
          </cell>
        </row>
        <row r="2341">
          <cell r="A2341" t="str">
            <v>Ofsted Social Care Provider Webpage</v>
          </cell>
        </row>
        <row r="2342">
          <cell r="A2342" t="str">
            <v>Ofsted Social Care Provider Webpage</v>
          </cell>
        </row>
        <row r="2343">
          <cell r="A2343" t="str">
            <v>Ofsted Social Care Provider Webpage</v>
          </cell>
        </row>
        <row r="2344">
          <cell r="A2344" t="str">
            <v>Ofsted Social Care Provider Webpage</v>
          </cell>
        </row>
        <row r="2345">
          <cell r="A2345" t="str">
            <v>Ofsted Social Care Provider Webpage</v>
          </cell>
        </row>
        <row r="2346">
          <cell r="A2346" t="str">
            <v>Ofsted Social Care Provider Webpage</v>
          </cell>
        </row>
        <row r="2347">
          <cell r="A2347" t="str">
            <v>Ofsted Social Care Provider Webpage</v>
          </cell>
        </row>
        <row r="2348">
          <cell r="A2348" t="str">
            <v>Ofsted Social Care Provider Webpage</v>
          </cell>
        </row>
        <row r="2349">
          <cell r="A2349" t="str">
            <v>Ofsted Social Care Provider Webpage</v>
          </cell>
        </row>
        <row r="2350">
          <cell r="A2350" t="str">
            <v>Ofsted Social Care Provider Webpage</v>
          </cell>
        </row>
        <row r="2351">
          <cell r="A2351" t="str">
            <v>Ofsted Social Care Provider Webpage</v>
          </cell>
        </row>
        <row r="2352">
          <cell r="A2352" t="str">
            <v>Ofsted Social Care Provider Webpage</v>
          </cell>
        </row>
        <row r="2353">
          <cell r="A2353" t="str">
            <v>Ofsted Social Care Provider Webpage</v>
          </cell>
        </row>
        <row r="2354">
          <cell r="A2354" t="str">
            <v>Ofsted Social Care Provider Webpage</v>
          </cell>
        </row>
        <row r="2355">
          <cell r="A2355" t="str">
            <v>Ofsted Social Care Provider Webpage</v>
          </cell>
        </row>
        <row r="2356">
          <cell r="A2356" t="str">
            <v>Ofsted Social Care Provider Webpage</v>
          </cell>
        </row>
        <row r="2357">
          <cell r="A2357" t="str">
            <v>Ofsted Social Care Provider Webpage</v>
          </cell>
        </row>
        <row r="2358">
          <cell r="A2358" t="str">
            <v>Ofsted Social Care Provider Webpage</v>
          </cell>
        </row>
        <row r="2359">
          <cell r="A2359" t="str">
            <v>Ofsted Social Care Provider Webpage</v>
          </cell>
        </row>
        <row r="2360">
          <cell r="A2360" t="str">
            <v>Ofsted Social Care Provider Webpage</v>
          </cell>
        </row>
        <row r="2361">
          <cell r="A2361" t="str">
            <v>Ofsted Social Care Provider Webpage</v>
          </cell>
        </row>
        <row r="2362">
          <cell r="A2362" t="str">
            <v>Ofsted Social Care Provider Webpage</v>
          </cell>
        </row>
        <row r="2363">
          <cell r="A2363" t="str">
            <v>Ofsted Social Care Provider Webpage</v>
          </cell>
        </row>
        <row r="2364">
          <cell r="A2364" t="str">
            <v>Ofsted Social Care Provider Webpage</v>
          </cell>
        </row>
        <row r="2365">
          <cell r="A2365" t="str">
            <v>Ofsted Social Care Provider Webpage</v>
          </cell>
        </row>
        <row r="2366">
          <cell r="A2366" t="str">
            <v>Ofsted Social Care Provider Webpage</v>
          </cell>
        </row>
        <row r="2367">
          <cell r="A2367" t="str">
            <v>Ofsted Social Care Provider Webpage</v>
          </cell>
        </row>
        <row r="2368">
          <cell r="A2368" t="str">
            <v>Ofsted Social Care Provider Webpage</v>
          </cell>
        </row>
        <row r="2369">
          <cell r="A2369" t="str">
            <v>Ofsted Social Care Provider Webpage</v>
          </cell>
        </row>
        <row r="2370">
          <cell r="A2370" t="str">
            <v>Ofsted Social Care Provider Webpage</v>
          </cell>
        </row>
        <row r="2371">
          <cell r="A2371" t="str">
            <v>Ofsted Social Care Provider Webpage</v>
          </cell>
        </row>
        <row r="2372">
          <cell r="A2372" t="str">
            <v>Ofsted Social Care Provider Webpage</v>
          </cell>
        </row>
        <row r="2373">
          <cell r="A2373" t="str">
            <v>Ofsted Social Care Provider Webpage</v>
          </cell>
        </row>
        <row r="2374">
          <cell r="A2374" t="str">
            <v>Ofsted Social Care Provider Webpage</v>
          </cell>
        </row>
        <row r="2375">
          <cell r="A2375" t="str">
            <v>Ofsted Social Care Provider Webpage</v>
          </cell>
        </row>
        <row r="2376">
          <cell r="A2376" t="str">
            <v>Ofsted Social Care Provider Webpage</v>
          </cell>
        </row>
        <row r="2377">
          <cell r="A2377" t="str">
            <v>Ofsted Social Care Provider Webpage</v>
          </cell>
        </row>
        <row r="2378">
          <cell r="A2378" t="str">
            <v>Ofsted Social Care Provider Webpage</v>
          </cell>
        </row>
        <row r="2379">
          <cell r="A2379" t="str">
            <v>Ofsted Social Care Provider Webpage</v>
          </cell>
        </row>
        <row r="2380">
          <cell r="A2380" t="str">
            <v>Ofsted Social Care Provider Webpage</v>
          </cell>
        </row>
        <row r="2381">
          <cell r="A2381" t="str">
            <v>Ofsted Social Care Provider Webpage</v>
          </cell>
        </row>
        <row r="2382">
          <cell r="A2382" t="str">
            <v>Ofsted Social Care Provider Webpage</v>
          </cell>
        </row>
        <row r="2383">
          <cell r="A2383" t="str">
            <v>Ofsted Social Care Provider Webpage</v>
          </cell>
        </row>
        <row r="2384">
          <cell r="A2384" t="str">
            <v>Ofsted Social Care Provider Webpage</v>
          </cell>
        </row>
        <row r="2385">
          <cell r="A2385" t="str">
            <v>Ofsted Social Care Provider Webpage</v>
          </cell>
        </row>
        <row r="2386">
          <cell r="A2386" t="str">
            <v>Ofsted Social Care Provider Webpage</v>
          </cell>
        </row>
        <row r="2387">
          <cell r="A2387" t="str">
            <v>Ofsted Social Care Provider Webpage</v>
          </cell>
        </row>
        <row r="2388">
          <cell r="A2388" t="str">
            <v>Ofsted Social Care Provider Webpage</v>
          </cell>
        </row>
        <row r="2389">
          <cell r="A2389" t="str">
            <v>Ofsted Social Care Provider Webpage</v>
          </cell>
        </row>
        <row r="2390">
          <cell r="A2390" t="str">
            <v>Ofsted Social Care Provider Webpage</v>
          </cell>
        </row>
        <row r="2391">
          <cell r="A2391" t="str">
            <v>Ofsted Social Care Provider Webpage</v>
          </cell>
        </row>
        <row r="2392">
          <cell r="A2392" t="str">
            <v>Ofsted Social Care Provider Webpage</v>
          </cell>
        </row>
        <row r="2393">
          <cell r="A2393" t="str">
            <v>Ofsted Social Care Provider Webpage</v>
          </cell>
        </row>
        <row r="2394">
          <cell r="A2394" t="str">
            <v>Ofsted Social Care Provider Webpage</v>
          </cell>
        </row>
        <row r="2395">
          <cell r="A2395" t="str">
            <v>Ofsted Social Care Provider Webpage</v>
          </cell>
        </row>
        <row r="2396">
          <cell r="A2396" t="str">
            <v>Ofsted Social Care Provider Webpage</v>
          </cell>
        </row>
        <row r="2397">
          <cell r="A2397" t="str">
            <v>Ofsted Social Care Provider Webpage</v>
          </cell>
        </row>
        <row r="2398">
          <cell r="A2398" t="str">
            <v>Ofsted Social Care Provider Webpage</v>
          </cell>
        </row>
        <row r="2399">
          <cell r="A2399" t="str">
            <v>Ofsted Social Care Provider Webpage</v>
          </cell>
        </row>
        <row r="2400">
          <cell r="A2400" t="str">
            <v>Ofsted Social Care Provider Webpage</v>
          </cell>
        </row>
        <row r="2401">
          <cell r="A2401" t="str">
            <v>Ofsted Social Care Provider Webpage</v>
          </cell>
        </row>
        <row r="2402">
          <cell r="A2402" t="str">
            <v>Ofsted Social Care Provider Webpage</v>
          </cell>
        </row>
        <row r="2403">
          <cell r="A2403" t="str">
            <v>Ofsted Social Care Provider Webpage</v>
          </cell>
        </row>
        <row r="2404">
          <cell r="A2404" t="str">
            <v>Ofsted Social Care Provider Webpage</v>
          </cell>
        </row>
        <row r="2405">
          <cell r="A2405" t="str">
            <v>Ofsted Social Care Provider Webpage</v>
          </cell>
        </row>
        <row r="2406">
          <cell r="A2406" t="str">
            <v>Ofsted Social Care Provider Webpage</v>
          </cell>
        </row>
        <row r="2407">
          <cell r="A2407" t="str">
            <v>Ofsted Social Care Provider Webpage</v>
          </cell>
        </row>
        <row r="2408">
          <cell r="A2408" t="str">
            <v>Ofsted Social Care Provider Webpage</v>
          </cell>
        </row>
        <row r="2409">
          <cell r="A2409" t="str">
            <v>Ofsted Social Care Provider Webpage</v>
          </cell>
        </row>
        <row r="2410">
          <cell r="A2410" t="str">
            <v>Ofsted Social Care Provider Webpage</v>
          </cell>
        </row>
        <row r="2411">
          <cell r="A2411" t="str">
            <v>Ofsted Social Care Provider Webpage</v>
          </cell>
        </row>
        <row r="2412">
          <cell r="A2412" t="str">
            <v>Ofsted Social Care Provider Webpage</v>
          </cell>
        </row>
        <row r="2413">
          <cell r="A2413" t="str">
            <v>Ofsted Social Care Provider Webpage</v>
          </cell>
        </row>
        <row r="2414">
          <cell r="A2414" t="str">
            <v>Ofsted Social Care Provider Webpage</v>
          </cell>
        </row>
        <row r="2415">
          <cell r="A2415" t="str">
            <v>Ofsted Social Care Provider Webpage</v>
          </cell>
        </row>
        <row r="2416">
          <cell r="A2416" t="str">
            <v>Ofsted Social Care Provider Webpage</v>
          </cell>
        </row>
        <row r="2417">
          <cell r="A2417" t="str">
            <v>Ofsted Social Care Provider Webpage</v>
          </cell>
        </row>
        <row r="2418">
          <cell r="A2418" t="str">
            <v>Ofsted Social Care Provider Webpage</v>
          </cell>
        </row>
        <row r="2419">
          <cell r="A2419" t="str">
            <v>Ofsted Social Care Provider Webpage</v>
          </cell>
        </row>
        <row r="2420">
          <cell r="A2420" t="str">
            <v>Ofsted Social Care Provider Webpage</v>
          </cell>
        </row>
        <row r="2421">
          <cell r="A2421" t="str">
            <v>Ofsted Social Care Provider Webpage</v>
          </cell>
        </row>
        <row r="2422">
          <cell r="A2422" t="str">
            <v>Ofsted Social Care Provider Webpage</v>
          </cell>
        </row>
        <row r="2423">
          <cell r="A2423" t="str">
            <v>Ofsted Social Care Provider Webpage</v>
          </cell>
        </row>
        <row r="2424">
          <cell r="A2424" t="str">
            <v>Ofsted Social Care Provider Webpage</v>
          </cell>
        </row>
        <row r="2425">
          <cell r="A2425" t="str">
            <v>Ofsted Social Care Provider Webpage</v>
          </cell>
        </row>
        <row r="2426">
          <cell r="A2426" t="str">
            <v>Ofsted Social Care Provider Webpage</v>
          </cell>
        </row>
        <row r="2427">
          <cell r="A2427" t="str">
            <v>Ofsted Social Care Provider Webpage</v>
          </cell>
        </row>
        <row r="2428">
          <cell r="A2428" t="str">
            <v>Ofsted Social Care Provider Webpage</v>
          </cell>
        </row>
        <row r="2429">
          <cell r="A2429" t="str">
            <v>Ofsted Social Care Provider Webpage</v>
          </cell>
        </row>
        <row r="2430">
          <cell r="A2430" t="str">
            <v>Ofsted Social Care Provider Webpage</v>
          </cell>
        </row>
        <row r="2431">
          <cell r="A2431" t="str">
            <v>Ofsted Social Care Provider Webpage</v>
          </cell>
        </row>
        <row r="2432">
          <cell r="A2432" t="str">
            <v>Ofsted Social Care Provider Webpage</v>
          </cell>
        </row>
        <row r="2433">
          <cell r="A2433" t="str">
            <v>Ofsted Social Care Provider Webpage</v>
          </cell>
        </row>
        <row r="2434">
          <cell r="A2434" t="str">
            <v>Ofsted Social Care Provider Webpage</v>
          </cell>
        </row>
        <row r="2435">
          <cell r="A2435" t="str">
            <v>Ofsted Social Care Provider Webpage</v>
          </cell>
        </row>
        <row r="2436">
          <cell r="A2436" t="str">
            <v>Ofsted Social Care Provider Webpage</v>
          </cell>
        </row>
        <row r="2437">
          <cell r="A2437" t="str">
            <v>Ofsted Social Care Provider Webpage</v>
          </cell>
        </row>
        <row r="2438">
          <cell r="A2438" t="str">
            <v>Ofsted Social Care Provider Webpage</v>
          </cell>
        </row>
        <row r="2439">
          <cell r="A2439" t="str">
            <v>Ofsted Social Care Provider Webpage</v>
          </cell>
        </row>
        <row r="2440">
          <cell r="A2440" t="str">
            <v>Ofsted Social Care Provider Webpage</v>
          </cell>
        </row>
        <row r="2441">
          <cell r="A2441" t="str">
            <v>Ofsted Social Care Provider Webpage</v>
          </cell>
        </row>
        <row r="2442">
          <cell r="A2442" t="str">
            <v>Ofsted Social Care Provider Webpage</v>
          </cell>
        </row>
        <row r="2443">
          <cell r="A2443" t="str">
            <v>Ofsted Social Care Provider Webpage</v>
          </cell>
        </row>
        <row r="2444">
          <cell r="A2444" t="str">
            <v>Ofsted Social Care Provider Webpage</v>
          </cell>
        </row>
        <row r="2445">
          <cell r="A2445" t="str">
            <v>Ofsted Social Care Provider Webpage</v>
          </cell>
        </row>
        <row r="2446">
          <cell r="A2446" t="str">
            <v>Ofsted Social Care Provider Webpage</v>
          </cell>
        </row>
        <row r="2447">
          <cell r="A2447" t="str">
            <v>Ofsted Social Care Provider Webpage</v>
          </cell>
        </row>
        <row r="2448">
          <cell r="A2448" t="str">
            <v>Ofsted Social Care Provider Webpage</v>
          </cell>
        </row>
        <row r="2449">
          <cell r="A2449" t="str">
            <v>Ofsted Social Care Provider Webpage</v>
          </cell>
        </row>
        <row r="2450">
          <cell r="A2450" t="str">
            <v>Ofsted Social Care Provider Webpage</v>
          </cell>
        </row>
        <row r="2451">
          <cell r="A2451" t="str">
            <v>Ofsted Social Care Provider Webpage</v>
          </cell>
        </row>
        <row r="2452">
          <cell r="A2452" t="str">
            <v>Ofsted Social Care Provider Webpage</v>
          </cell>
        </row>
        <row r="2453">
          <cell r="A2453" t="str">
            <v>Ofsted Social Care Provider Webpage</v>
          </cell>
        </row>
        <row r="2454">
          <cell r="A2454" t="str">
            <v>Ofsted Social Care Provider Webpage</v>
          </cell>
        </row>
        <row r="2455">
          <cell r="A2455" t="str">
            <v>Ofsted Social Care Provider Webpage</v>
          </cell>
        </row>
        <row r="2456">
          <cell r="A2456" t="str">
            <v>Ofsted Social Care Provider Webpage</v>
          </cell>
        </row>
        <row r="2457">
          <cell r="A2457" t="str">
            <v>Ofsted Social Care Provider Webpage</v>
          </cell>
        </row>
        <row r="2458">
          <cell r="A2458" t="str">
            <v>Ofsted Social Care Provider Webpage</v>
          </cell>
        </row>
        <row r="2459">
          <cell r="A2459" t="str">
            <v>Ofsted Social Care Provider Webpage</v>
          </cell>
        </row>
        <row r="2460">
          <cell r="A2460" t="str">
            <v>Ofsted Social Care Provider Webpage</v>
          </cell>
        </row>
        <row r="2461">
          <cell r="A2461" t="str">
            <v>Ofsted Social Care Provider Webpage</v>
          </cell>
        </row>
        <row r="2462">
          <cell r="A2462" t="str">
            <v>Ofsted Social Care Provider Webpage</v>
          </cell>
        </row>
        <row r="2463">
          <cell r="A2463" t="str">
            <v>Ofsted Social Care Provider Webpage</v>
          </cell>
        </row>
        <row r="2464">
          <cell r="A2464" t="str">
            <v>Ofsted Social Care Provider Webpage</v>
          </cell>
        </row>
        <row r="2465">
          <cell r="A2465" t="str">
            <v>Ofsted Social Care Provider Webpage</v>
          </cell>
        </row>
        <row r="2466">
          <cell r="A2466" t="str">
            <v>Ofsted Social Care Provider Webpage</v>
          </cell>
        </row>
        <row r="2467">
          <cell r="A2467" t="str">
            <v>Ofsted Social Care Provider Webpage</v>
          </cell>
        </row>
        <row r="2468">
          <cell r="A2468" t="str">
            <v>Ofsted Social Care Provider Webpage</v>
          </cell>
        </row>
        <row r="2469">
          <cell r="A2469" t="str">
            <v>Ofsted Social Care Provider Webpage</v>
          </cell>
        </row>
        <row r="2470">
          <cell r="A2470" t="str">
            <v>Ofsted Social Care Provider Webpage</v>
          </cell>
        </row>
        <row r="2471">
          <cell r="A2471" t="str">
            <v>Ofsted Social Care Provider Webpage</v>
          </cell>
        </row>
        <row r="2472">
          <cell r="A2472" t="str">
            <v>Ofsted Social Care Provider Webpage</v>
          </cell>
        </row>
        <row r="2473">
          <cell r="A2473" t="str">
            <v>Ofsted Social Care Provider Webpage</v>
          </cell>
        </row>
        <row r="2474">
          <cell r="A2474" t="str">
            <v>Ofsted Social Care Provider Webpage</v>
          </cell>
        </row>
        <row r="2475">
          <cell r="A2475" t="str">
            <v>Ofsted Social Care Provider Webpage</v>
          </cell>
        </row>
        <row r="2476">
          <cell r="A2476" t="str">
            <v>Ofsted Social Care Provider Webpage</v>
          </cell>
        </row>
        <row r="2477">
          <cell r="A2477" t="str">
            <v>Ofsted Social Care Provider Webpage</v>
          </cell>
        </row>
        <row r="2478">
          <cell r="A2478" t="str">
            <v>Ofsted Social Care Provider Webpage</v>
          </cell>
        </row>
        <row r="2479">
          <cell r="A2479" t="str">
            <v>Ofsted Social Care Provider Webpage</v>
          </cell>
        </row>
        <row r="2480">
          <cell r="A2480" t="str">
            <v>Ofsted Social Care Provider Webpage</v>
          </cell>
        </row>
        <row r="2481">
          <cell r="A2481" t="str">
            <v>Ofsted Social Care Provider Webpage</v>
          </cell>
        </row>
        <row r="2482">
          <cell r="A2482" t="str">
            <v>Ofsted Social Care Provider Webpage</v>
          </cell>
        </row>
        <row r="2483">
          <cell r="A2483" t="str">
            <v>Ofsted Social Care Provider Webpage</v>
          </cell>
        </row>
        <row r="2484">
          <cell r="A2484" t="str">
            <v>Ofsted Social Care Provider Webpage</v>
          </cell>
        </row>
        <row r="2485">
          <cell r="A2485" t="str">
            <v>Ofsted Social Care Provider Webpage</v>
          </cell>
        </row>
        <row r="2486">
          <cell r="A2486" t="str">
            <v>Ofsted Social Care Provider Webpage</v>
          </cell>
        </row>
        <row r="2487">
          <cell r="A2487" t="str">
            <v>Ofsted Social Care Provider Webpage</v>
          </cell>
        </row>
        <row r="2488">
          <cell r="A2488" t="str">
            <v>Ofsted Social Care Provider Webpage</v>
          </cell>
        </row>
        <row r="2489">
          <cell r="A2489" t="str">
            <v>Ofsted Social Care Provider Webpage</v>
          </cell>
        </row>
        <row r="2490">
          <cell r="A2490" t="str">
            <v>Ofsted Social Care Provider Webpage</v>
          </cell>
        </row>
        <row r="2491">
          <cell r="A2491" t="str">
            <v>Ofsted Social Care Provider Webpage</v>
          </cell>
        </row>
        <row r="2492">
          <cell r="A2492" t="str">
            <v>Ofsted Social Care Provider Webpage</v>
          </cell>
        </row>
        <row r="2493">
          <cell r="A2493" t="str">
            <v>Ofsted Social Care Provider Webpage</v>
          </cell>
        </row>
        <row r="2494">
          <cell r="A2494" t="str">
            <v>Ofsted Social Care Provider Webpage</v>
          </cell>
        </row>
        <row r="2495">
          <cell r="A2495" t="str">
            <v>Ofsted Social Care Provider Webpage</v>
          </cell>
        </row>
        <row r="2496">
          <cell r="A2496" t="str">
            <v>Ofsted Social Care Provider Webpage</v>
          </cell>
        </row>
        <row r="2497">
          <cell r="A2497" t="str">
            <v>Ofsted Social Care Provider Webpage</v>
          </cell>
        </row>
        <row r="2498">
          <cell r="A2498" t="str">
            <v>Ofsted Social Care Provider Webpage</v>
          </cell>
        </row>
        <row r="2499">
          <cell r="A2499" t="str">
            <v>Ofsted Social Care Provider Webpage</v>
          </cell>
        </row>
        <row r="2500">
          <cell r="A2500" t="str">
            <v>Ofsted Social Care Provider Webpage</v>
          </cell>
        </row>
        <row r="2501">
          <cell r="A2501" t="str">
            <v>Ofsted Social Care Provider Webpage</v>
          </cell>
        </row>
        <row r="2502">
          <cell r="A2502" t="str">
            <v>Ofsted Social Care Provider Webpage</v>
          </cell>
        </row>
        <row r="2503">
          <cell r="A2503" t="str">
            <v>Ofsted Social Care Provider Webpage</v>
          </cell>
        </row>
        <row r="2504">
          <cell r="A2504" t="str">
            <v>Ofsted Social Care Provider Webpage</v>
          </cell>
        </row>
        <row r="2505">
          <cell r="A2505" t="str">
            <v>Ofsted Social Care Provider Webpage</v>
          </cell>
        </row>
        <row r="2506">
          <cell r="A2506" t="str">
            <v>Ofsted Social Care Provider Webpage</v>
          </cell>
        </row>
        <row r="2507">
          <cell r="A2507" t="str">
            <v>Ofsted Social Care Provider Webpage</v>
          </cell>
        </row>
        <row r="2508">
          <cell r="A2508" t="str">
            <v>Ofsted Social Care Provider Webpage</v>
          </cell>
        </row>
        <row r="2509">
          <cell r="A2509" t="str">
            <v>Ofsted Social Care Provider Webpage</v>
          </cell>
        </row>
        <row r="2510">
          <cell r="A2510" t="str">
            <v>Ofsted Social Care Provider Webpage</v>
          </cell>
        </row>
        <row r="2511">
          <cell r="A2511" t="str">
            <v>Ofsted Social Care Provider Webpage</v>
          </cell>
        </row>
        <row r="2512">
          <cell r="A2512" t="str">
            <v>Ofsted Social Care Provider Webpage</v>
          </cell>
        </row>
        <row r="2513">
          <cell r="A2513" t="str">
            <v>Ofsted Social Care Provider Webpage</v>
          </cell>
        </row>
        <row r="2514">
          <cell r="A2514" t="str">
            <v>Ofsted Social Care Provider Webpage</v>
          </cell>
        </row>
        <row r="2515">
          <cell r="A2515" t="str">
            <v>Ofsted Social Care Provider Webpage</v>
          </cell>
        </row>
        <row r="2516">
          <cell r="A2516" t="str">
            <v>Ofsted Social Care Provider Webpage</v>
          </cell>
        </row>
        <row r="2517">
          <cell r="A2517" t="str">
            <v>Ofsted Social Care Provider Webpage</v>
          </cell>
        </row>
        <row r="2518">
          <cell r="A2518" t="str">
            <v>Ofsted Social Care Provider Webpage</v>
          </cell>
        </row>
        <row r="2519">
          <cell r="A2519" t="str">
            <v>Ofsted Social Care Provider Webpage</v>
          </cell>
        </row>
        <row r="2520">
          <cell r="A2520" t="str">
            <v>Ofsted Social Care Provider Webpage</v>
          </cell>
        </row>
        <row r="2521">
          <cell r="A2521" t="str">
            <v>Ofsted Social Care Provider Webpage</v>
          </cell>
        </row>
        <row r="2522">
          <cell r="A2522" t="str">
            <v>Ofsted Social Care Provider Webpage</v>
          </cell>
        </row>
        <row r="2523">
          <cell r="A2523" t="str">
            <v>Ofsted Social Care Provider Webpage</v>
          </cell>
        </row>
        <row r="2524">
          <cell r="A2524" t="str">
            <v>Ofsted Social Care Provider Webpage</v>
          </cell>
        </row>
        <row r="2525">
          <cell r="A2525" t="str">
            <v>Ofsted Social Care Provider Webpage</v>
          </cell>
        </row>
        <row r="2526">
          <cell r="A2526" t="str">
            <v>Ofsted Social Care Provider Webpage</v>
          </cell>
        </row>
        <row r="2527">
          <cell r="A2527" t="str">
            <v>Ofsted Social Care Provider Webpage</v>
          </cell>
        </row>
        <row r="2528">
          <cell r="A2528" t="str">
            <v>Ofsted Social Care Provider Webpage</v>
          </cell>
        </row>
        <row r="2529">
          <cell r="A2529" t="str">
            <v>Ofsted Social Care Provider Webpage</v>
          </cell>
        </row>
        <row r="2530">
          <cell r="A2530" t="str">
            <v>Ofsted Social Care Provider Webpage</v>
          </cell>
        </row>
        <row r="2531">
          <cell r="A2531" t="str">
            <v>Ofsted Social Care Provider Webpage</v>
          </cell>
        </row>
        <row r="2532">
          <cell r="A2532" t="str">
            <v>Ofsted Social Care Provider Webpage</v>
          </cell>
        </row>
        <row r="2533">
          <cell r="A2533" t="str">
            <v>Ofsted Social Care Provider Webpage</v>
          </cell>
        </row>
        <row r="2534">
          <cell r="A2534" t="str">
            <v>Ofsted Social Care Provider Webpage</v>
          </cell>
        </row>
        <row r="2535">
          <cell r="A2535" t="str">
            <v>Ofsted Social Care Provider Webpage</v>
          </cell>
        </row>
        <row r="2536">
          <cell r="A2536" t="str">
            <v>Ofsted Social Care Provider Webpage</v>
          </cell>
        </row>
        <row r="2537">
          <cell r="A2537" t="str">
            <v>Ofsted Social Care Provider Webpage</v>
          </cell>
        </row>
        <row r="2538">
          <cell r="A2538" t="str">
            <v>Ofsted Social Care Provider Webpage</v>
          </cell>
        </row>
        <row r="2539">
          <cell r="A2539" t="str">
            <v>Ofsted Social Care Provider Webpage</v>
          </cell>
        </row>
        <row r="2540">
          <cell r="A2540" t="str">
            <v>Ofsted Social Care Provider Webpage</v>
          </cell>
        </row>
        <row r="2541">
          <cell r="A2541" t="str">
            <v>Ofsted Social Care Provider Webpage</v>
          </cell>
        </row>
        <row r="2542">
          <cell r="A2542" t="str">
            <v>Ofsted Social Care Provider Webpage</v>
          </cell>
        </row>
        <row r="2543">
          <cell r="A2543" t="str">
            <v>Ofsted Social Care Provider Webpage</v>
          </cell>
        </row>
        <row r="2544">
          <cell r="A2544" t="str">
            <v>Ofsted Social Care Provider Webpage</v>
          </cell>
        </row>
        <row r="2545">
          <cell r="A2545" t="str">
            <v>Ofsted Social Care Provider Webpage</v>
          </cell>
        </row>
        <row r="2546">
          <cell r="A2546" t="str">
            <v>Ofsted Social Care Provider Webpage</v>
          </cell>
        </row>
        <row r="2547">
          <cell r="A2547" t="str">
            <v>Ofsted Social Care Provider Webpage</v>
          </cell>
        </row>
        <row r="2548">
          <cell r="A2548" t="str">
            <v>Ofsted Social Care Provider Webpage</v>
          </cell>
        </row>
        <row r="2549">
          <cell r="A2549" t="str">
            <v>Ofsted Social Care Provider Webpage</v>
          </cell>
        </row>
        <row r="2550">
          <cell r="A2550" t="str">
            <v>Ofsted Social Care Provider Webpage</v>
          </cell>
        </row>
        <row r="2551">
          <cell r="A2551" t="str">
            <v>Ofsted Social Care Provider Webpage</v>
          </cell>
        </row>
        <row r="2552">
          <cell r="A2552" t="str">
            <v>Ofsted Social Care Provider Webpage</v>
          </cell>
        </row>
        <row r="2553">
          <cell r="A2553" t="str">
            <v>Ofsted Social Care Provider Webpage</v>
          </cell>
        </row>
        <row r="2554">
          <cell r="A2554" t="str">
            <v>Ofsted Social Care Provider Webpage</v>
          </cell>
        </row>
        <row r="2555">
          <cell r="A2555" t="str">
            <v>Ofsted Social Care Provider Webpage</v>
          </cell>
        </row>
        <row r="2556">
          <cell r="A2556" t="str">
            <v>Ofsted Social Care Provider Webpage</v>
          </cell>
        </row>
        <row r="2557">
          <cell r="A2557" t="str">
            <v>Ofsted Social Care Provider Webpage</v>
          </cell>
        </row>
        <row r="2558">
          <cell r="A2558" t="str">
            <v>Ofsted Social Care Provider Webpage</v>
          </cell>
        </row>
        <row r="2559">
          <cell r="A2559" t="str">
            <v>Ofsted Social Care Provider Webpage</v>
          </cell>
        </row>
        <row r="2560">
          <cell r="A2560" t="str">
            <v>Ofsted Social Care Provider Webpage</v>
          </cell>
        </row>
        <row r="2561">
          <cell r="A2561" t="str">
            <v>Ofsted Social Care Provider Webpage</v>
          </cell>
        </row>
        <row r="2562">
          <cell r="A2562" t="str">
            <v>Ofsted Social Care Provider Webpage</v>
          </cell>
        </row>
        <row r="2563">
          <cell r="A2563" t="str">
            <v>Ofsted Social Care Provider Webpage</v>
          </cell>
        </row>
        <row r="2564">
          <cell r="A2564" t="str">
            <v>Ofsted Social Care Provider Webpage</v>
          </cell>
        </row>
        <row r="2565">
          <cell r="A2565" t="str">
            <v>Ofsted Social Care Provider Webpage</v>
          </cell>
        </row>
        <row r="2566">
          <cell r="A2566" t="str">
            <v>Ofsted Social Care Provider Webpage</v>
          </cell>
        </row>
        <row r="2567">
          <cell r="A2567" t="str">
            <v>Ofsted Social Care Provider Webpage</v>
          </cell>
        </row>
        <row r="2568">
          <cell r="A2568" t="str">
            <v>Ofsted Social Care Provider Webpage</v>
          </cell>
        </row>
        <row r="2569">
          <cell r="A2569" t="str">
            <v>Ofsted Social Care Provider Webpage</v>
          </cell>
        </row>
        <row r="2570">
          <cell r="A2570" t="str">
            <v>Ofsted Social Care Provider Webpage</v>
          </cell>
        </row>
        <row r="2571">
          <cell r="A2571" t="str">
            <v>Ofsted Social Care Provider Webpage</v>
          </cell>
        </row>
        <row r="2572">
          <cell r="A2572" t="str">
            <v>Ofsted Social Care Provider Webpage</v>
          </cell>
        </row>
        <row r="2573">
          <cell r="A2573" t="str">
            <v>Ofsted Social Care Provider Webpage</v>
          </cell>
        </row>
        <row r="2574">
          <cell r="A2574" t="str">
            <v>Ofsted Social Care Provider Webpage</v>
          </cell>
        </row>
        <row r="2575">
          <cell r="A2575" t="str">
            <v>Ofsted Social Care Provider Webpage</v>
          </cell>
        </row>
        <row r="2576">
          <cell r="A2576" t="str">
            <v>Ofsted Social Care Provider Webpage</v>
          </cell>
        </row>
        <row r="2577">
          <cell r="A2577" t="str">
            <v>Ofsted Social Care Provider Webpage</v>
          </cell>
        </row>
        <row r="2578">
          <cell r="A2578" t="str">
            <v>Ofsted Social Care Provider Webpage</v>
          </cell>
        </row>
        <row r="2579">
          <cell r="A2579" t="str">
            <v>Ofsted Social Care Provider Webpage</v>
          </cell>
        </row>
        <row r="2580">
          <cell r="A2580" t="str">
            <v>Ofsted Social Care Provider Webpage</v>
          </cell>
        </row>
        <row r="2581">
          <cell r="A2581" t="str">
            <v>Ofsted Social Care Provider Webpage</v>
          </cell>
        </row>
        <row r="2582">
          <cell r="A2582" t="str">
            <v>Ofsted Social Care Provider Webpage</v>
          </cell>
        </row>
        <row r="2583">
          <cell r="A2583" t="str">
            <v>Ofsted Social Care Provider Webpage</v>
          </cell>
        </row>
        <row r="2584">
          <cell r="A2584" t="str">
            <v>Ofsted Social Care Provider Webpage</v>
          </cell>
        </row>
        <row r="2585">
          <cell r="A2585" t="str">
            <v>Ofsted Social Care Provider Webpage</v>
          </cell>
        </row>
        <row r="2586">
          <cell r="A2586" t="str">
            <v>Ofsted Social Care Provider Webpage</v>
          </cell>
        </row>
        <row r="2587">
          <cell r="A2587" t="str">
            <v>Ofsted Social Care Provider Webpage</v>
          </cell>
        </row>
        <row r="2588">
          <cell r="A2588" t="str">
            <v>Ofsted Social Care Provider Webpage</v>
          </cell>
        </row>
        <row r="2589">
          <cell r="A2589" t="str">
            <v>Ofsted Social Care Provider Webpage</v>
          </cell>
        </row>
        <row r="2590">
          <cell r="A2590" t="str">
            <v>Ofsted Social Care Provider Webpage</v>
          </cell>
        </row>
        <row r="2591">
          <cell r="A2591" t="str">
            <v>Ofsted Social Care Provider Webpage</v>
          </cell>
        </row>
        <row r="2592">
          <cell r="A2592" t="str">
            <v>Ofsted Social Care Provider Webpage</v>
          </cell>
        </row>
        <row r="2593">
          <cell r="A2593" t="str">
            <v>Ofsted Social Care Provider Webpage</v>
          </cell>
        </row>
        <row r="2594">
          <cell r="A2594" t="str">
            <v>Ofsted Social Care Provider Webpage</v>
          </cell>
        </row>
        <row r="2595">
          <cell r="A2595" t="str">
            <v>Ofsted Social Care Provider Webpage</v>
          </cell>
        </row>
        <row r="2596">
          <cell r="A2596" t="str">
            <v>Ofsted Social Care Provider Webpage</v>
          </cell>
        </row>
        <row r="2597">
          <cell r="A2597" t="str">
            <v>Ofsted Social Care Provider Webpage</v>
          </cell>
        </row>
        <row r="2598">
          <cell r="A2598" t="str">
            <v>Ofsted Social Care Provider Webpage</v>
          </cell>
        </row>
        <row r="2599">
          <cell r="A2599" t="str">
            <v>Ofsted Social Care Provider Webpage</v>
          </cell>
        </row>
        <row r="2600">
          <cell r="A2600" t="str">
            <v>Ofsted Social Care Provider Webpage</v>
          </cell>
        </row>
        <row r="2601">
          <cell r="A2601" t="str">
            <v>Ofsted Social Care Provider Webpage</v>
          </cell>
        </row>
        <row r="2602">
          <cell r="A2602" t="str">
            <v>Ofsted Social Care Provider Webpage</v>
          </cell>
        </row>
        <row r="2603">
          <cell r="A2603" t="str">
            <v>Ofsted Social Care Provider Webpage</v>
          </cell>
        </row>
        <row r="2604">
          <cell r="A2604" t="str">
            <v>Ofsted Social Care Provider Webpage</v>
          </cell>
        </row>
        <row r="2605">
          <cell r="A2605" t="str">
            <v>Ofsted Social Care Provider Webpage</v>
          </cell>
        </row>
        <row r="2606">
          <cell r="A2606" t="str">
            <v>Ofsted Social Care Provider Webpage</v>
          </cell>
        </row>
        <row r="2607">
          <cell r="A2607" t="str">
            <v>Ofsted Social Care Provider Webpage</v>
          </cell>
        </row>
        <row r="2608">
          <cell r="A2608" t="str">
            <v>Ofsted Social Care Provider Webpage</v>
          </cell>
        </row>
        <row r="2609">
          <cell r="A2609" t="str">
            <v>Ofsted Social Care Provider Webpage</v>
          </cell>
        </row>
        <row r="2610">
          <cell r="A2610" t="str">
            <v>Ofsted Social Care Provider Webpage</v>
          </cell>
        </row>
        <row r="2611">
          <cell r="A2611" t="str">
            <v>Ofsted Social Care Provider Webpage</v>
          </cell>
        </row>
        <row r="2612">
          <cell r="A2612" t="str">
            <v>Ofsted Social Care Provider Webpage</v>
          </cell>
        </row>
        <row r="2613">
          <cell r="A2613" t="str">
            <v>Ofsted Social Care Provider Webpage</v>
          </cell>
        </row>
        <row r="2614">
          <cell r="A2614" t="str">
            <v>Ofsted Social Care Provider Webpage</v>
          </cell>
        </row>
        <row r="2615">
          <cell r="A2615" t="str">
            <v>Ofsted Social Care Provider Webpage</v>
          </cell>
        </row>
        <row r="2616">
          <cell r="A2616" t="str">
            <v>Ofsted Social Care Provider Webpage</v>
          </cell>
        </row>
        <row r="2617">
          <cell r="A2617" t="str">
            <v>Ofsted Social Care Provider Webpage</v>
          </cell>
        </row>
        <row r="2618">
          <cell r="A2618" t="str">
            <v>Ofsted Social Care Provider Webpage</v>
          </cell>
        </row>
        <row r="2619">
          <cell r="A2619" t="str">
            <v>Ofsted Social Care Provider Webpage</v>
          </cell>
        </row>
        <row r="2620">
          <cell r="A2620" t="str">
            <v>Ofsted Social Care Provider Webpage</v>
          </cell>
        </row>
        <row r="2621">
          <cell r="A2621" t="str">
            <v>Ofsted Social Care Provider Webpage</v>
          </cell>
        </row>
        <row r="2622">
          <cell r="A2622" t="str">
            <v>Ofsted Social Care Provider Webpage</v>
          </cell>
        </row>
        <row r="2623">
          <cell r="A2623" t="str">
            <v>Ofsted Social Care Provider Webpage</v>
          </cell>
        </row>
        <row r="2624">
          <cell r="A2624" t="str">
            <v>Ofsted Social Care Provider Webpage</v>
          </cell>
        </row>
        <row r="2625">
          <cell r="A2625" t="str">
            <v>Ofsted Social Care Provider Webpage</v>
          </cell>
        </row>
        <row r="2626">
          <cell r="A2626" t="str">
            <v>Ofsted Social Care Provider Webpage</v>
          </cell>
        </row>
        <row r="2627">
          <cell r="A2627" t="str">
            <v>Ofsted Social Care Provider Webpage</v>
          </cell>
        </row>
        <row r="2628">
          <cell r="A2628" t="str">
            <v>Ofsted Social Care Provider Webpage</v>
          </cell>
        </row>
        <row r="2629">
          <cell r="A2629" t="str">
            <v>Ofsted Social Care Provider Webpage</v>
          </cell>
        </row>
        <row r="2630">
          <cell r="A2630" t="str">
            <v>Ofsted Social Care Provider Webpage</v>
          </cell>
        </row>
        <row r="2631">
          <cell r="A2631" t="str">
            <v>Ofsted Social Care Provider Webpage</v>
          </cell>
        </row>
        <row r="2632">
          <cell r="A2632" t="str">
            <v>Ofsted Social Care Provider Webpage</v>
          </cell>
        </row>
        <row r="2633">
          <cell r="A2633" t="str">
            <v>Ofsted Social Care Provider Webpage</v>
          </cell>
        </row>
        <row r="2634">
          <cell r="A2634" t="str">
            <v>Ofsted Social Care Provider Webpage</v>
          </cell>
        </row>
        <row r="2635">
          <cell r="A2635" t="str">
            <v>Ofsted Social Care Provider Webpage</v>
          </cell>
        </row>
        <row r="2636">
          <cell r="A2636" t="str">
            <v>Ofsted Social Care Provider Webpage</v>
          </cell>
        </row>
        <row r="2637">
          <cell r="A2637" t="str">
            <v>Ofsted Social Care Provider Webpage</v>
          </cell>
        </row>
        <row r="2638">
          <cell r="A2638" t="str">
            <v>Ofsted Social Care Provider Webpage</v>
          </cell>
        </row>
        <row r="2639">
          <cell r="A2639" t="str">
            <v>Ofsted Social Care Provider Webpage</v>
          </cell>
        </row>
        <row r="2640">
          <cell r="A2640" t="str">
            <v>Ofsted Social Care Provider Webpage</v>
          </cell>
        </row>
        <row r="2641">
          <cell r="A2641" t="str">
            <v>Ofsted Social Care Provider Webpage</v>
          </cell>
        </row>
        <row r="2642">
          <cell r="A2642" t="str">
            <v>Ofsted Social Care Provider Webpage</v>
          </cell>
        </row>
        <row r="2643">
          <cell r="A2643" t="str">
            <v>Ofsted Social Care Provider Webpage</v>
          </cell>
        </row>
        <row r="2644">
          <cell r="A2644" t="str">
            <v>Ofsted Social Care Provider Webpage</v>
          </cell>
        </row>
        <row r="2645">
          <cell r="A2645" t="str">
            <v>Ofsted Social Care Provider Webpage</v>
          </cell>
        </row>
        <row r="2646">
          <cell r="A2646" t="str">
            <v>Ofsted Social Care Provider Webpage</v>
          </cell>
        </row>
        <row r="2647">
          <cell r="A2647" t="str">
            <v>Ofsted Social Care Provider Webpage</v>
          </cell>
        </row>
        <row r="2648">
          <cell r="A2648" t="str">
            <v>Ofsted Social Care Provider Webpage</v>
          </cell>
        </row>
        <row r="2649">
          <cell r="A2649" t="str">
            <v>Ofsted Social Care Provider Webpage</v>
          </cell>
        </row>
        <row r="2650">
          <cell r="A2650" t="str">
            <v>Ofsted Social Care Provider Webpage</v>
          </cell>
        </row>
        <row r="2651">
          <cell r="A2651" t="str">
            <v>Ofsted Social Care Provider Webpage</v>
          </cell>
        </row>
        <row r="2652">
          <cell r="A2652" t="str">
            <v>Ofsted Social Care Provider Webpage</v>
          </cell>
        </row>
        <row r="2653">
          <cell r="A2653" t="str">
            <v>Ofsted Social Care Provider Webpage</v>
          </cell>
        </row>
        <row r="2654">
          <cell r="A2654" t="str">
            <v>Ofsted Social Care Provider Webpage</v>
          </cell>
        </row>
        <row r="2655">
          <cell r="A2655" t="str">
            <v>Ofsted Social Care Provider Webpage</v>
          </cell>
        </row>
        <row r="2656">
          <cell r="A2656" t="str">
            <v>Ofsted Social Care Provider Webpage</v>
          </cell>
        </row>
        <row r="2657">
          <cell r="A2657" t="str">
            <v>Ofsted Social Care Provider Webpage</v>
          </cell>
        </row>
        <row r="2658">
          <cell r="A2658" t="str">
            <v>Ofsted Social Care Provider Webpage</v>
          </cell>
        </row>
        <row r="2659">
          <cell r="A2659" t="str">
            <v>Ofsted Social Care Provider Webpage</v>
          </cell>
        </row>
        <row r="2660">
          <cell r="A2660" t="str">
            <v>Ofsted Social Care Provider Webpage</v>
          </cell>
        </row>
        <row r="2661">
          <cell r="A2661" t="str">
            <v>Ofsted Social Care Provider Webpage</v>
          </cell>
        </row>
        <row r="2662">
          <cell r="A2662" t="str">
            <v>Ofsted Social Care Provider Webpage</v>
          </cell>
        </row>
        <row r="2663">
          <cell r="A2663" t="str">
            <v>Ofsted Social Care Provider Webpage</v>
          </cell>
        </row>
        <row r="2664">
          <cell r="A2664" t="str">
            <v>Ofsted Social Care Provider Webpage</v>
          </cell>
        </row>
        <row r="2665">
          <cell r="A2665" t="str">
            <v>Ofsted Social Care Provider Webpage</v>
          </cell>
        </row>
        <row r="2666">
          <cell r="A2666" t="str">
            <v>Ofsted Social Care Provider Webpage</v>
          </cell>
        </row>
        <row r="2667">
          <cell r="A2667" t="str">
            <v>Ofsted Social Care Provider Webpage</v>
          </cell>
        </row>
        <row r="2668">
          <cell r="A2668" t="str">
            <v>Ofsted Social Care Provider Webpage</v>
          </cell>
        </row>
        <row r="2669">
          <cell r="A2669" t="str">
            <v>Ofsted Social Care Provider Webpage</v>
          </cell>
        </row>
        <row r="2670">
          <cell r="A2670" t="str">
            <v>Ofsted Social Care Provider Webpage</v>
          </cell>
        </row>
        <row r="2671">
          <cell r="A2671" t="str">
            <v>Ofsted Social Care Provider Webpage</v>
          </cell>
        </row>
        <row r="2672">
          <cell r="A2672" t="str">
            <v>Ofsted Social Care Provider Webpage</v>
          </cell>
        </row>
        <row r="2673">
          <cell r="A2673" t="str">
            <v>Ofsted Social Care Provider Webpage</v>
          </cell>
        </row>
        <row r="2674">
          <cell r="A2674" t="str">
            <v>Ofsted Social Care Provider Webpage</v>
          </cell>
        </row>
        <row r="2675">
          <cell r="A2675" t="str">
            <v>Ofsted Social Care Provider Webpage</v>
          </cell>
        </row>
        <row r="2676">
          <cell r="A2676" t="str">
            <v>Ofsted Social Care Provider Webpage</v>
          </cell>
        </row>
        <row r="2677">
          <cell r="A2677" t="str">
            <v>Ofsted Social Care Provider Webpage</v>
          </cell>
        </row>
        <row r="2678">
          <cell r="A2678" t="str">
            <v>Ofsted Social Care Provider Webpage</v>
          </cell>
        </row>
        <row r="2679">
          <cell r="A2679" t="str">
            <v>Ofsted Social Care Provider Webpage</v>
          </cell>
        </row>
        <row r="2680">
          <cell r="A2680" t="str">
            <v>Ofsted Social Care Provider Webpage</v>
          </cell>
        </row>
        <row r="2681">
          <cell r="A2681" t="str">
            <v>Ofsted Social Care Provider Webpage</v>
          </cell>
        </row>
        <row r="2682">
          <cell r="A2682" t="str">
            <v>Ofsted Social Care Provider Webpage</v>
          </cell>
        </row>
        <row r="2683">
          <cell r="A2683" t="str">
            <v>Ofsted Social Care Provider Webpage</v>
          </cell>
        </row>
        <row r="2684">
          <cell r="A2684" t="str">
            <v>Ofsted Social Care Provider Webpage</v>
          </cell>
        </row>
        <row r="2685">
          <cell r="A2685" t="str">
            <v>Ofsted Social Care Provider Webpage</v>
          </cell>
        </row>
        <row r="2686">
          <cell r="A2686" t="str">
            <v>Ofsted Social Care Provider Webpage</v>
          </cell>
        </row>
        <row r="2687">
          <cell r="A2687" t="str">
            <v>Ofsted Social Care Provider Webpage</v>
          </cell>
        </row>
        <row r="2688">
          <cell r="A2688" t="str">
            <v>Ofsted Social Care Provider Webpage</v>
          </cell>
        </row>
        <row r="2689">
          <cell r="A2689" t="str">
            <v>Ofsted Social Care Provider Webpage</v>
          </cell>
        </row>
        <row r="2690">
          <cell r="A2690" t="str">
            <v>Ofsted Social Care Provider Webpage</v>
          </cell>
        </row>
        <row r="2691">
          <cell r="A2691" t="str">
            <v>Ofsted Social Care Provider Webpage</v>
          </cell>
        </row>
        <row r="2692">
          <cell r="A2692" t="str">
            <v>Ofsted Social Care Provider Webpage</v>
          </cell>
        </row>
        <row r="2693">
          <cell r="A2693" t="str">
            <v>Ofsted Social Care Provider Webpage</v>
          </cell>
        </row>
        <row r="2694">
          <cell r="A2694" t="str">
            <v>Ofsted Social Care Provider Webpage</v>
          </cell>
        </row>
        <row r="2695">
          <cell r="A2695" t="str">
            <v>Ofsted Social Care Provider Webpage</v>
          </cell>
        </row>
        <row r="2696">
          <cell r="A2696" t="str">
            <v>Ofsted Social Care Provider Webpage</v>
          </cell>
        </row>
        <row r="2697">
          <cell r="A2697" t="str">
            <v>Ofsted Social Care Provider Webpage</v>
          </cell>
        </row>
        <row r="2698">
          <cell r="A2698" t="str">
            <v>Ofsted Social Care Provider Webpage</v>
          </cell>
        </row>
        <row r="2699">
          <cell r="A2699" t="str">
            <v>Ofsted Social Care Provider Webpage</v>
          </cell>
        </row>
        <row r="2700">
          <cell r="A2700" t="str">
            <v>Ofsted Social Care Provider Webpage</v>
          </cell>
        </row>
        <row r="2701">
          <cell r="A2701" t="str">
            <v>Ofsted Social Care Provider Webpage</v>
          </cell>
        </row>
        <row r="2702">
          <cell r="A2702" t="str">
            <v>Ofsted Social Care Provider Webpage</v>
          </cell>
        </row>
        <row r="2703">
          <cell r="A2703" t="str">
            <v>Ofsted Social Care Provider Webpage</v>
          </cell>
        </row>
        <row r="2704">
          <cell r="A2704" t="str">
            <v>Ofsted Social Care Provider Webpage</v>
          </cell>
        </row>
        <row r="2705">
          <cell r="A2705" t="str">
            <v>Ofsted Social Care Provider Webpage</v>
          </cell>
        </row>
        <row r="2706">
          <cell r="A2706" t="str">
            <v>Ofsted Social Care Provider Webpage</v>
          </cell>
        </row>
        <row r="2707">
          <cell r="A2707" t="str">
            <v>Ofsted Social Care Provider Webpage</v>
          </cell>
        </row>
        <row r="2708">
          <cell r="A2708" t="str">
            <v>Ofsted Social Care Provider Webpage</v>
          </cell>
        </row>
        <row r="2709">
          <cell r="A2709" t="str">
            <v>Ofsted Social Care Provider Webpage</v>
          </cell>
        </row>
        <row r="2710">
          <cell r="A2710" t="str">
            <v>Ofsted Social Care Provider Webpage</v>
          </cell>
        </row>
        <row r="2711">
          <cell r="A2711" t="str">
            <v>Ofsted Social Care Provider Webpage</v>
          </cell>
        </row>
        <row r="2712">
          <cell r="A2712" t="str">
            <v>Ofsted Social Care Provider Webpage</v>
          </cell>
        </row>
        <row r="2713">
          <cell r="A2713" t="str">
            <v>Ofsted Social Care Provider Webpage</v>
          </cell>
        </row>
        <row r="2714">
          <cell r="A2714" t="str">
            <v>Ofsted Social Care Provider Webpage</v>
          </cell>
        </row>
        <row r="2715">
          <cell r="A2715" t="str">
            <v>Ofsted Social Care Provider Webpage</v>
          </cell>
        </row>
        <row r="2716">
          <cell r="A2716" t="str">
            <v>Ofsted Social Care Provider Webpage</v>
          </cell>
        </row>
        <row r="2717">
          <cell r="A2717" t="str">
            <v>Ofsted Social Care Provider Webpage</v>
          </cell>
        </row>
        <row r="2718">
          <cell r="A2718" t="str">
            <v>Ofsted Social Care Provider Webpage</v>
          </cell>
        </row>
        <row r="2719">
          <cell r="A2719" t="str">
            <v>Ofsted Social Care Provider Webpage</v>
          </cell>
        </row>
        <row r="2720">
          <cell r="A2720" t="str">
            <v>Ofsted Social Care Provider Webpage</v>
          </cell>
        </row>
        <row r="2721">
          <cell r="A2721" t="str">
            <v>Ofsted Social Care Provider Webpage</v>
          </cell>
        </row>
        <row r="2722">
          <cell r="A2722" t="str">
            <v>Ofsted Social Care Provider Webpage</v>
          </cell>
        </row>
        <row r="2723">
          <cell r="A2723" t="str">
            <v>Ofsted Social Care Provider Webpage</v>
          </cell>
        </row>
        <row r="2724">
          <cell r="A2724" t="str">
            <v>Ofsted Social Care Provider Webpage</v>
          </cell>
        </row>
        <row r="2725">
          <cell r="A2725" t="str">
            <v>Ofsted Social Care Provider Webpage</v>
          </cell>
        </row>
        <row r="2726">
          <cell r="A2726" t="str">
            <v>Ofsted Social Care Provider Webpage</v>
          </cell>
        </row>
        <row r="2727">
          <cell r="A2727" t="str">
            <v>Ofsted Social Care Provider Webpage</v>
          </cell>
        </row>
        <row r="2728">
          <cell r="A2728" t="str">
            <v>Ofsted Social Care Provider Webpage</v>
          </cell>
        </row>
        <row r="2729">
          <cell r="A2729" t="str">
            <v>Ofsted Social Care Provider Webpage</v>
          </cell>
        </row>
        <row r="2730">
          <cell r="A2730" t="str">
            <v>Ofsted Social Care Provider Webpage</v>
          </cell>
        </row>
        <row r="2731">
          <cell r="A2731" t="str">
            <v>Ofsted Social Care Provider Webpage</v>
          </cell>
        </row>
        <row r="2732">
          <cell r="A2732" t="str">
            <v>Ofsted Social Care Provider Webpage</v>
          </cell>
        </row>
        <row r="2733">
          <cell r="A2733" t="str">
            <v>Ofsted Social Care Provider Webpage</v>
          </cell>
        </row>
        <row r="2734">
          <cell r="A2734" t="str">
            <v>Ofsted Social Care Provider Webpage</v>
          </cell>
        </row>
        <row r="2735">
          <cell r="A2735" t="str">
            <v>Ofsted Social Care Provider Webpage</v>
          </cell>
        </row>
        <row r="2736">
          <cell r="A2736" t="str">
            <v>Ofsted Social Care Provider Webpage</v>
          </cell>
        </row>
        <row r="2737">
          <cell r="A2737" t="str">
            <v>Ofsted Social Care Provider Webpage</v>
          </cell>
        </row>
        <row r="2738">
          <cell r="A2738" t="str">
            <v>Ofsted Social Care Provider Webpage</v>
          </cell>
        </row>
        <row r="2739">
          <cell r="A2739" t="str">
            <v>Ofsted Social Care Provider Webpage</v>
          </cell>
        </row>
        <row r="2740">
          <cell r="A2740" t="str">
            <v>Ofsted Social Care Provider Webpage</v>
          </cell>
        </row>
        <row r="2741">
          <cell r="A2741" t="str">
            <v>Ofsted Social Care Provider Webpage</v>
          </cell>
        </row>
        <row r="2742">
          <cell r="A2742" t="str">
            <v>Ofsted Social Care Provider Webpage</v>
          </cell>
        </row>
        <row r="2743">
          <cell r="A2743" t="str">
            <v>Ofsted Social Care Provider Webpage</v>
          </cell>
        </row>
        <row r="2744">
          <cell r="A2744" t="str">
            <v>Ofsted Social Care Provider Webpage</v>
          </cell>
        </row>
        <row r="2745">
          <cell r="A2745" t="str">
            <v>Ofsted Social Care Provider Webpage</v>
          </cell>
        </row>
        <row r="2746">
          <cell r="A2746" t="str">
            <v>Ofsted Social Care Provider Webpage</v>
          </cell>
        </row>
        <row r="2747">
          <cell r="A2747" t="str">
            <v>Ofsted Social Care Provider Webpage</v>
          </cell>
        </row>
        <row r="2748">
          <cell r="A2748" t="str">
            <v>Ofsted Social Care Provider Webpage</v>
          </cell>
        </row>
        <row r="2749">
          <cell r="A2749" t="str">
            <v>Ofsted Social Care Provider Webpage</v>
          </cell>
        </row>
        <row r="2750">
          <cell r="A2750" t="str">
            <v>Ofsted Social Care Provider Webpage</v>
          </cell>
        </row>
        <row r="2751">
          <cell r="A2751" t="str">
            <v>Ofsted Social Care Provider Webpage</v>
          </cell>
        </row>
        <row r="2752">
          <cell r="A2752" t="str">
            <v>Ofsted Social Care Provider Webpage</v>
          </cell>
        </row>
        <row r="2753">
          <cell r="A2753" t="str">
            <v>Ofsted Social Care Provider Webpage</v>
          </cell>
        </row>
        <row r="2754">
          <cell r="A2754" t="str">
            <v>Ofsted Social Care Provider Webpage</v>
          </cell>
        </row>
        <row r="2755">
          <cell r="A2755" t="str">
            <v>Ofsted Social Care Provider Webpage</v>
          </cell>
        </row>
        <row r="2756">
          <cell r="A2756" t="str">
            <v>Ofsted Social Care Provider Webpage</v>
          </cell>
        </row>
        <row r="2757">
          <cell r="A2757" t="str">
            <v>Ofsted Social Care Provider Webpage</v>
          </cell>
        </row>
        <row r="2758">
          <cell r="A2758" t="str">
            <v>Ofsted Social Care Provider Webpage</v>
          </cell>
        </row>
        <row r="2759">
          <cell r="A2759" t="str">
            <v>Ofsted Social Care Provider Webpage</v>
          </cell>
        </row>
        <row r="2760">
          <cell r="A2760" t="str">
            <v>Ofsted Social Care Provider Webpage</v>
          </cell>
        </row>
        <row r="2761">
          <cell r="A2761" t="str">
            <v>Ofsted Social Care Provider Webpage</v>
          </cell>
        </row>
        <row r="2762">
          <cell r="A2762" t="str">
            <v>Ofsted Social Care Provider Webpage</v>
          </cell>
        </row>
        <row r="2763">
          <cell r="A2763" t="str">
            <v>Ofsted Social Care Provider Webpage</v>
          </cell>
        </row>
        <row r="2764">
          <cell r="A2764" t="str">
            <v>Ofsted Social Care Provider Webpage</v>
          </cell>
        </row>
        <row r="2765">
          <cell r="A2765" t="str">
            <v>Ofsted Social Care Provider Webpage</v>
          </cell>
        </row>
        <row r="2766">
          <cell r="A2766" t="str">
            <v>Ofsted Social Care Provider Webpage</v>
          </cell>
        </row>
        <row r="2767">
          <cell r="A2767" t="str">
            <v>Ofsted Social Care Provider Webpage</v>
          </cell>
        </row>
        <row r="2768">
          <cell r="A2768" t="str">
            <v>Ofsted Social Care Provider Webpage</v>
          </cell>
        </row>
        <row r="2769">
          <cell r="A2769" t="str">
            <v>Ofsted Social Care Provider Webpage</v>
          </cell>
        </row>
        <row r="2770">
          <cell r="A2770" t="str">
            <v>Ofsted Social Care Provider Webpage</v>
          </cell>
        </row>
        <row r="2771">
          <cell r="A2771" t="str">
            <v>Ofsted Social Care Provider Webpage</v>
          </cell>
        </row>
        <row r="2772">
          <cell r="A2772" t="str">
            <v>Ofsted Social Care Provider Webpage</v>
          </cell>
        </row>
        <row r="2773">
          <cell r="A2773" t="str">
            <v>Ofsted Social Care Provider Webpage</v>
          </cell>
        </row>
        <row r="2774">
          <cell r="A2774" t="str">
            <v>Ofsted Social Care Provider Webpage</v>
          </cell>
        </row>
        <row r="2775">
          <cell r="A2775" t="str">
            <v>Ofsted Social Care Provider Webpage</v>
          </cell>
        </row>
        <row r="2776">
          <cell r="A2776" t="str">
            <v>Ofsted Social Care Provider Webpage</v>
          </cell>
        </row>
        <row r="2777">
          <cell r="A2777" t="str">
            <v>Ofsted Social Care Provider Webpage</v>
          </cell>
        </row>
        <row r="2778">
          <cell r="A2778" t="str">
            <v>Ofsted Social Care Provider Webpage</v>
          </cell>
        </row>
        <row r="2779">
          <cell r="A2779" t="str">
            <v>Ofsted Social Care Provider Webpage</v>
          </cell>
        </row>
        <row r="2780">
          <cell r="A2780" t="str">
            <v>Ofsted Social Care Provider Webpage</v>
          </cell>
        </row>
        <row r="2781">
          <cell r="A2781" t="str">
            <v>Ofsted Social Care Provider Webpage</v>
          </cell>
        </row>
        <row r="2782">
          <cell r="A2782" t="str">
            <v>Ofsted Social Care Provider Webpage</v>
          </cell>
        </row>
        <row r="2783">
          <cell r="A2783" t="str">
            <v>Ofsted Social Care Provider Webpage</v>
          </cell>
        </row>
        <row r="2784">
          <cell r="A2784" t="str">
            <v>Ofsted Social Care Provider Webpage</v>
          </cell>
        </row>
        <row r="2785">
          <cell r="A2785" t="str">
            <v>Ofsted Social Care Provider Webpage</v>
          </cell>
        </row>
        <row r="2786">
          <cell r="A2786" t="str">
            <v>Ofsted Social Care Provider Webpage</v>
          </cell>
        </row>
        <row r="2787">
          <cell r="A2787" t="str">
            <v>Ofsted Social Care Provider Webpage</v>
          </cell>
        </row>
        <row r="2788">
          <cell r="A2788" t="str">
            <v>Ofsted Social Care Provider Webpage</v>
          </cell>
        </row>
        <row r="2789">
          <cell r="A2789" t="str">
            <v>Ofsted Social Care Provider Webpage</v>
          </cell>
        </row>
        <row r="2790">
          <cell r="A2790" t="str">
            <v>Ofsted Social Care Provider Webpage</v>
          </cell>
        </row>
        <row r="2791">
          <cell r="A2791" t="str">
            <v>Ofsted Social Care Provider Webpage</v>
          </cell>
        </row>
        <row r="2792">
          <cell r="A2792" t="str">
            <v>Ofsted Social Care Provider Webpage</v>
          </cell>
        </row>
        <row r="2793">
          <cell r="A2793" t="str">
            <v>Ofsted Social Care Provider Webpage</v>
          </cell>
        </row>
        <row r="2794">
          <cell r="A2794" t="str">
            <v>Ofsted Social Care Provider Webpage</v>
          </cell>
        </row>
        <row r="2795">
          <cell r="A2795" t="str">
            <v>Ofsted Social Care Provider Webpage</v>
          </cell>
        </row>
        <row r="2796">
          <cell r="A2796" t="str">
            <v>Ofsted Social Care Provider Webpage</v>
          </cell>
        </row>
        <row r="2797">
          <cell r="A2797" t="str">
            <v>Ofsted Social Care Provider Webpage</v>
          </cell>
        </row>
        <row r="2798">
          <cell r="A2798" t="str">
            <v>Ofsted Social Care Provider Webpage</v>
          </cell>
        </row>
        <row r="2799">
          <cell r="A2799" t="str">
            <v>Ofsted Social Care Provider Webpage</v>
          </cell>
        </row>
        <row r="2800">
          <cell r="A2800" t="str">
            <v>Ofsted Social Care Provider Webpage</v>
          </cell>
        </row>
        <row r="2801">
          <cell r="A2801" t="str">
            <v>Ofsted Social Care Provider Webpage</v>
          </cell>
        </row>
        <row r="2802">
          <cell r="A2802" t="str">
            <v>Ofsted Social Care Provider Webpage</v>
          </cell>
        </row>
        <row r="2803">
          <cell r="A2803" t="str">
            <v>Ofsted Social Care Provider Webpage</v>
          </cell>
        </row>
        <row r="2804">
          <cell r="A2804" t="str">
            <v>Ofsted Social Care Provider Webpage</v>
          </cell>
        </row>
        <row r="2805">
          <cell r="A2805" t="str">
            <v>Ofsted Social Care Provider Webpage</v>
          </cell>
        </row>
        <row r="2806">
          <cell r="A2806" t="str">
            <v>Ofsted Social Care Provider Webpage</v>
          </cell>
        </row>
        <row r="2807">
          <cell r="A2807" t="str">
            <v>Ofsted Social Care Provider Webpage</v>
          </cell>
        </row>
        <row r="2808">
          <cell r="A2808" t="str">
            <v>Ofsted Social Care Provider Webpage</v>
          </cell>
        </row>
        <row r="2809">
          <cell r="A2809" t="str">
            <v>Ofsted Social Care Provider Webpage</v>
          </cell>
        </row>
        <row r="2810">
          <cell r="A2810" t="str">
            <v>Ofsted Social Care Provider Webpage</v>
          </cell>
        </row>
        <row r="2811">
          <cell r="A2811" t="str">
            <v>Ofsted Social Care Provider Webpage</v>
          </cell>
        </row>
        <row r="2812">
          <cell r="A2812" t="str">
            <v>Ofsted Social Care Provider Webpage</v>
          </cell>
        </row>
        <row r="2813">
          <cell r="A2813" t="str">
            <v>Ofsted Social Care Provider Webpage</v>
          </cell>
        </row>
        <row r="2814">
          <cell r="A2814" t="str">
            <v>Ofsted Social Care Provider Webpage</v>
          </cell>
        </row>
        <row r="2815">
          <cell r="A2815" t="str">
            <v>Ofsted Social Care Provider Webpage</v>
          </cell>
        </row>
        <row r="2816">
          <cell r="A2816" t="str">
            <v>Ofsted Social Care Provider Webpage</v>
          </cell>
        </row>
        <row r="2817">
          <cell r="A2817" t="str">
            <v>Ofsted Social Care Provider Webpage</v>
          </cell>
        </row>
        <row r="2818">
          <cell r="A2818" t="str">
            <v>Ofsted Social Care Provider Webpage</v>
          </cell>
        </row>
        <row r="2819">
          <cell r="A2819" t="str">
            <v>Ofsted Social Care Provider Webpage</v>
          </cell>
        </row>
        <row r="2820">
          <cell r="A2820" t="str">
            <v>Ofsted Social Care Provider Webpage</v>
          </cell>
        </row>
        <row r="2821">
          <cell r="A2821" t="str">
            <v>Ofsted Social Care Provider Webpage</v>
          </cell>
        </row>
        <row r="2822">
          <cell r="A2822" t="str">
            <v>Ofsted Social Care Provider Webpage</v>
          </cell>
        </row>
        <row r="2823">
          <cell r="A2823" t="str">
            <v>Ofsted Social Care Provider Webpage</v>
          </cell>
        </row>
        <row r="2824">
          <cell r="A2824" t="str">
            <v>Ofsted Social Care Provider Webpage</v>
          </cell>
        </row>
        <row r="2825">
          <cell r="A2825" t="str">
            <v>Ofsted Social Care Provider Webpage</v>
          </cell>
        </row>
        <row r="2826">
          <cell r="A2826" t="str">
            <v>Ofsted Social Care Provider Webpage</v>
          </cell>
        </row>
        <row r="2827">
          <cell r="A2827" t="str">
            <v>Ofsted Social Care Provider Webpage</v>
          </cell>
        </row>
        <row r="2828">
          <cell r="A2828" t="str">
            <v>Ofsted Social Care Provider Webpage</v>
          </cell>
        </row>
        <row r="2829">
          <cell r="A2829" t="str">
            <v>Ofsted Social Care Provider Webpage</v>
          </cell>
        </row>
        <row r="2830">
          <cell r="A2830" t="str">
            <v>Ofsted Social Care Provider Webpage</v>
          </cell>
        </row>
        <row r="2831">
          <cell r="A2831" t="str">
            <v>Ofsted Social Care Provider Webpage</v>
          </cell>
        </row>
        <row r="2832">
          <cell r="A2832" t="str">
            <v>Ofsted Social Care Provider Webpage</v>
          </cell>
        </row>
        <row r="2833">
          <cell r="A2833" t="str">
            <v>Ofsted Social Care Provider Webpage</v>
          </cell>
        </row>
        <row r="2834">
          <cell r="A2834" t="str">
            <v>Ofsted Social Care Provider Webpage</v>
          </cell>
        </row>
        <row r="2835">
          <cell r="A2835" t="str">
            <v>Ofsted Social Care Provider Webpage</v>
          </cell>
        </row>
        <row r="2836">
          <cell r="A2836" t="str">
            <v>Ofsted Social Care Provider Webpage</v>
          </cell>
        </row>
        <row r="2837">
          <cell r="A2837" t="str">
            <v>Ofsted Social Care Provider Webpage</v>
          </cell>
        </row>
        <row r="2838">
          <cell r="A2838" t="str">
            <v>Ofsted Social Care Provider Webpage</v>
          </cell>
        </row>
        <row r="2839">
          <cell r="A2839" t="str">
            <v>Ofsted Social Care Provider Webpage</v>
          </cell>
        </row>
        <row r="2840">
          <cell r="A2840" t="str">
            <v>Ofsted Social Care Provider Webpage</v>
          </cell>
        </row>
        <row r="2841">
          <cell r="A2841" t="str">
            <v>Ofsted Social Care Provider Webpage</v>
          </cell>
        </row>
        <row r="2842">
          <cell r="A2842" t="str">
            <v>Ofsted Social Care Provider Webpage</v>
          </cell>
        </row>
        <row r="2843">
          <cell r="A2843" t="str">
            <v>Ofsted Social Care Provider Webpage</v>
          </cell>
        </row>
        <row r="2844">
          <cell r="A2844" t="str">
            <v>Ofsted Social Care Provider Webpage</v>
          </cell>
        </row>
        <row r="2845">
          <cell r="A2845" t="str">
            <v>Ofsted Social Care Provider Webpage</v>
          </cell>
        </row>
        <row r="2846">
          <cell r="A2846" t="str">
            <v>Ofsted Social Care Provider Webpage</v>
          </cell>
        </row>
        <row r="2847">
          <cell r="A2847" t="str">
            <v>Ofsted Social Care Provider Webpage</v>
          </cell>
        </row>
        <row r="2848">
          <cell r="A2848" t="str">
            <v>Ofsted Social Care Provider Webpage</v>
          </cell>
        </row>
        <row r="2849">
          <cell r="A2849" t="str">
            <v>Ofsted Social Care Provider Webpage</v>
          </cell>
        </row>
        <row r="2850">
          <cell r="A2850" t="str">
            <v>Ofsted Social Care Provider Webpage</v>
          </cell>
        </row>
        <row r="2851">
          <cell r="A2851" t="str">
            <v>Ofsted Social Care Provider Webpage</v>
          </cell>
        </row>
        <row r="2852">
          <cell r="A2852" t="str">
            <v>Ofsted Social Care Provider Webpage</v>
          </cell>
        </row>
        <row r="2853">
          <cell r="A2853" t="str">
            <v>Ofsted Social Care Provider Webpage</v>
          </cell>
        </row>
        <row r="2854">
          <cell r="A2854" t="str">
            <v>Ofsted Social Care Provider Webpage</v>
          </cell>
        </row>
        <row r="2855">
          <cell r="A2855" t="str">
            <v>Ofsted Social Care Provider Webpage</v>
          </cell>
        </row>
        <row r="2856">
          <cell r="A2856" t="str">
            <v>Ofsted Social Care Provider Webpage</v>
          </cell>
        </row>
        <row r="2857">
          <cell r="A2857" t="str">
            <v>Ofsted Social Care Provider Webpage</v>
          </cell>
        </row>
        <row r="2858">
          <cell r="A2858" t="str">
            <v>Ofsted Social Care Provider Webpage</v>
          </cell>
        </row>
        <row r="2859">
          <cell r="A2859" t="str">
            <v>Ofsted Social Care Provider Webpage</v>
          </cell>
        </row>
        <row r="2860">
          <cell r="A2860" t="str">
            <v>Ofsted Social Care Provider Webpage</v>
          </cell>
        </row>
        <row r="2861">
          <cell r="A2861" t="str">
            <v>Ofsted Social Care Provider Webpage</v>
          </cell>
        </row>
        <row r="2862">
          <cell r="A2862" t="str">
            <v>Ofsted Social Care Provider Webpage</v>
          </cell>
        </row>
        <row r="2863">
          <cell r="A2863" t="str">
            <v>Ofsted Social Care Provider Webpage</v>
          </cell>
        </row>
        <row r="2864">
          <cell r="A2864" t="str">
            <v>Ofsted Social Care Provider Webpage</v>
          </cell>
        </row>
        <row r="2865">
          <cell r="A2865" t="str">
            <v>Ofsted Social Care Provider Webpage</v>
          </cell>
        </row>
        <row r="2866">
          <cell r="A2866" t="str">
            <v>Ofsted Social Care Provider Webpage</v>
          </cell>
        </row>
        <row r="2867">
          <cell r="A2867" t="str">
            <v>Ofsted Social Care Provider Webpage</v>
          </cell>
        </row>
        <row r="2868">
          <cell r="A2868" t="str">
            <v>Ofsted Social Care Provider Webpage</v>
          </cell>
        </row>
        <row r="2869">
          <cell r="A2869" t="str">
            <v>Ofsted Social Care Provider Webpage</v>
          </cell>
        </row>
        <row r="2870">
          <cell r="A2870" t="str">
            <v>Ofsted Social Care Provider Webpage</v>
          </cell>
        </row>
        <row r="2871">
          <cell r="A2871" t="str">
            <v>Ofsted Social Care Provider Webpage</v>
          </cell>
        </row>
        <row r="2872">
          <cell r="A2872" t="str">
            <v>Ofsted Social Care Provider Webpage</v>
          </cell>
        </row>
        <row r="2873">
          <cell r="A2873" t="str">
            <v>Ofsted Social Care Provider Webpage</v>
          </cell>
        </row>
        <row r="2874">
          <cell r="A2874" t="str">
            <v>Ofsted Social Care Provider Webpage</v>
          </cell>
        </row>
        <row r="2875">
          <cell r="A2875" t="str">
            <v>Ofsted Social Care Provider Webpage</v>
          </cell>
        </row>
        <row r="2876">
          <cell r="A2876" t="str">
            <v>Ofsted Social Care Provider Webpage</v>
          </cell>
        </row>
        <row r="2877">
          <cell r="A2877" t="str">
            <v>Ofsted Social Care Provider Webpage</v>
          </cell>
        </row>
        <row r="2878">
          <cell r="A2878" t="str">
            <v>Ofsted Social Care Provider Webpage</v>
          </cell>
        </row>
        <row r="2879">
          <cell r="A2879" t="str">
            <v>Ofsted Social Care Provider Webpage</v>
          </cell>
        </row>
        <row r="2880">
          <cell r="A2880" t="str">
            <v>Ofsted Social Care Provider Webpage</v>
          </cell>
        </row>
        <row r="2881">
          <cell r="A2881" t="str">
            <v>Ofsted Social Care Provider Webpage</v>
          </cell>
        </row>
        <row r="2882">
          <cell r="A2882" t="str">
            <v>Ofsted Social Care Provider Webpage</v>
          </cell>
        </row>
        <row r="2883">
          <cell r="A2883" t="str">
            <v>Ofsted Social Care Provider Webpage</v>
          </cell>
        </row>
        <row r="2884">
          <cell r="A2884" t="str">
            <v>Ofsted Social Care Provider Webpage</v>
          </cell>
        </row>
        <row r="2885">
          <cell r="A2885" t="str">
            <v>Ofsted Social Care Provider Webpage</v>
          </cell>
        </row>
        <row r="2886">
          <cell r="A2886" t="str">
            <v>Ofsted Social Care Provider Webpage</v>
          </cell>
        </row>
        <row r="2887">
          <cell r="A2887" t="str">
            <v>Ofsted Social Care Provider Webpage</v>
          </cell>
        </row>
        <row r="2888">
          <cell r="A2888" t="str">
            <v>Ofsted Social Care Provider Webpage</v>
          </cell>
        </row>
        <row r="2889">
          <cell r="A2889" t="str">
            <v>Ofsted Social Care Provider Webpage</v>
          </cell>
        </row>
        <row r="2890">
          <cell r="A2890" t="str">
            <v>Ofsted Social Care Provider Webpage</v>
          </cell>
        </row>
        <row r="2891">
          <cell r="A2891" t="str">
            <v>Ofsted Social Care Provider Webpage</v>
          </cell>
        </row>
        <row r="2892">
          <cell r="A2892" t="str">
            <v>Ofsted Social Care Provider Webpage</v>
          </cell>
        </row>
        <row r="2893">
          <cell r="A2893" t="str">
            <v>Ofsted Social Care Provider Webpage</v>
          </cell>
        </row>
        <row r="2894">
          <cell r="A2894" t="str">
            <v>Ofsted Social Care Provider Webpage</v>
          </cell>
        </row>
        <row r="2895">
          <cell r="A2895" t="str">
            <v>Ofsted Social Care Provider Webpage</v>
          </cell>
        </row>
        <row r="2896">
          <cell r="A2896" t="str">
            <v>Ofsted Social Care Provider Webpage</v>
          </cell>
        </row>
        <row r="2897">
          <cell r="A2897" t="str">
            <v>Ofsted Social Care Provider Webpage</v>
          </cell>
        </row>
        <row r="2898">
          <cell r="A2898" t="str">
            <v>Ofsted Social Care Provider Webpage</v>
          </cell>
        </row>
        <row r="2899">
          <cell r="A2899" t="str">
            <v>Ofsted Social Care Provider Webpage</v>
          </cell>
        </row>
        <row r="2900">
          <cell r="A2900" t="str">
            <v>Ofsted Social Care Provider Webpage</v>
          </cell>
        </row>
        <row r="2901">
          <cell r="A2901" t="str">
            <v>Ofsted Social Care Provider Webpage</v>
          </cell>
        </row>
        <row r="2902">
          <cell r="A2902" t="str">
            <v>Ofsted Social Care Provider Webpage</v>
          </cell>
        </row>
        <row r="2903">
          <cell r="A2903" t="str">
            <v>Ofsted Social Care Provider Webpage</v>
          </cell>
        </row>
        <row r="2904">
          <cell r="A2904" t="str">
            <v>Ofsted Social Care Provider Webpage</v>
          </cell>
        </row>
        <row r="2905">
          <cell r="A2905" t="str">
            <v>Ofsted Social Care Provider Webpage</v>
          </cell>
        </row>
        <row r="2906">
          <cell r="A2906" t="str">
            <v>Ofsted Social Care Provider Webpage</v>
          </cell>
        </row>
        <row r="2907">
          <cell r="A2907" t="str">
            <v>Ofsted Social Care Provider Webpage</v>
          </cell>
        </row>
        <row r="2908">
          <cell r="A2908" t="str">
            <v>Ofsted Social Care Provider Webpage</v>
          </cell>
        </row>
        <row r="2909">
          <cell r="A2909" t="str">
            <v>Ofsted Social Care Provider Webpage</v>
          </cell>
        </row>
        <row r="2910">
          <cell r="A2910" t="str">
            <v>Ofsted Social Care Provider Webpage</v>
          </cell>
        </row>
        <row r="2911">
          <cell r="A2911" t="str">
            <v>Ofsted Social Care Provider Webpage</v>
          </cell>
        </row>
        <row r="2912">
          <cell r="A2912" t="str">
            <v>Ofsted Social Care Provider Webpage</v>
          </cell>
        </row>
        <row r="2913">
          <cell r="A2913" t="str">
            <v>Ofsted Social Care Provider Webpage</v>
          </cell>
        </row>
        <row r="2914">
          <cell r="A2914" t="str">
            <v>Ofsted Social Care Provider Webpage</v>
          </cell>
        </row>
        <row r="2915">
          <cell r="A2915" t="str">
            <v>Ofsted Social Care Provider Webpage</v>
          </cell>
        </row>
        <row r="2916">
          <cell r="A2916" t="str">
            <v>Ofsted Social Care Provider Webpage</v>
          </cell>
        </row>
        <row r="2917">
          <cell r="A2917" t="str">
            <v>Ofsted Social Care Provider Webpage</v>
          </cell>
        </row>
        <row r="2918">
          <cell r="A2918" t="str">
            <v>Ofsted Social Care Provider Webpage</v>
          </cell>
        </row>
        <row r="2919">
          <cell r="A2919" t="str">
            <v>Ofsted Social Care Provider Webpage</v>
          </cell>
        </row>
        <row r="2920">
          <cell r="A2920" t="str">
            <v>Ofsted Social Care Provider Webpage</v>
          </cell>
        </row>
        <row r="2921">
          <cell r="A2921" t="str">
            <v>Ofsted Social Care Provider Webpage</v>
          </cell>
        </row>
        <row r="2922">
          <cell r="A2922" t="str">
            <v>Ofsted Social Care Provider Webpage</v>
          </cell>
        </row>
        <row r="2923">
          <cell r="A2923" t="str">
            <v>Ofsted Social Care Provider Webpage</v>
          </cell>
        </row>
        <row r="2924">
          <cell r="A2924" t="str">
            <v>Ofsted Social Care Provider Webpage</v>
          </cell>
        </row>
        <row r="2925">
          <cell r="A2925" t="str">
            <v>Ofsted Social Care Provider Webpage</v>
          </cell>
        </row>
        <row r="2926">
          <cell r="A2926" t="str">
            <v>Ofsted Social Care Provider Webpage</v>
          </cell>
        </row>
        <row r="2927">
          <cell r="A2927" t="str">
            <v>Ofsted Social Care Provider Webpage</v>
          </cell>
        </row>
        <row r="2928">
          <cell r="A2928" t="str">
            <v>Ofsted Social Care Provider Webpage</v>
          </cell>
        </row>
        <row r="2929">
          <cell r="A2929" t="str">
            <v>Ofsted Social Care Provider Webpage</v>
          </cell>
        </row>
        <row r="2930">
          <cell r="A2930" t="str">
            <v>Ofsted Social Care Provider Webpage</v>
          </cell>
        </row>
        <row r="2931">
          <cell r="A2931" t="str">
            <v>Ofsted Social Care Provider Webpage</v>
          </cell>
        </row>
        <row r="2932">
          <cell r="A2932" t="str">
            <v>Ofsted Social Care Provider Webpage</v>
          </cell>
        </row>
        <row r="2933">
          <cell r="A2933" t="str">
            <v>Ofsted Social Care Provider Webpage</v>
          </cell>
        </row>
        <row r="2934">
          <cell r="A2934" t="str">
            <v>Ofsted Social Care Provider Webpage</v>
          </cell>
        </row>
        <row r="2935">
          <cell r="A2935" t="str">
            <v>Ofsted Social Care Provider Webpage</v>
          </cell>
        </row>
        <row r="2936">
          <cell r="A2936" t="str">
            <v>Ofsted Social Care Provider Webpage</v>
          </cell>
        </row>
        <row r="2937">
          <cell r="A2937" t="str">
            <v>Ofsted Social Care Provider Webpage</v>
          </cell>
        </row>
        <row r="2938">
          <cell r="A2938" t="str">
            <v>Ofsted Social Care Provider Webpage</v>
          </cell>
        </row>
        <row r="2939">
          <cell r="A2939" t="str">
            <v>Ofsted Social Care Provider Webpage</v>
          </cell>
        </row>
        <row r="2940">
          <cell r="A2940" t="str">
            <v>Ofsted Social Care Provider Webpage</v>
          </cell>
        </row>
        <row r="2941">
          <cell r="A2941" t="str">
            <v>Ofsted Social Care Provider Webpage</v>
          </cell>
        </row>
        <row r="2942">
          <cell r="A2942" t="str">
            <v>Ofsted Social Care Provider Webpage</v>
          </cell>
        </row>
        <row r="2943">
          <cell r="A2943" t="str">
            <v>Ofsted Social Care Provider Webpage</v>
          </cell>
        </row>
        <row r="2944">
          <cell r="A2944" t="str">
            <v>Ofsted Social Care Provider Webpage</v>
          </cell>
        </row>
        <row r="2945">
          <cell r="A2945" t="str">
            <v>Ofsted Social Care Provider Webpage</v>
          </cell>
        </row>
        <row r="2946">
          <cell r="A2946" t="str">
            <v>Ofsted Social Care Provider Webpage</v>
          </cell>
        </row>
        <row r="2947">
          <cell r="A2947" t="str">
            <v>Ofsted Social Care Provider Webpage</v>
          </cell>
        </row>
        <row r="2948">
          <cell r="A2948" t="str">
            <v>Ofsted Social Care Provider Webpage</v>
          </cell>
        </row>
        <row r="2949">
          <cell r="A2949" t="str">
            <v>Ofsted Social Care Provider Webpage</v>
          </cell>
        </row>
        <row r="2950">
          <cell r="A2950" t="str">
            <v>Ofsted Social Care Provider Webpage</v>
          </cell>
        </row>
        <row r="2951">
          <cell r="A2951" t="str">
            <v>Ofsted Social Care Provider Webpage</v>
          </cell>
        </row>
        <row r="2952">
          <cell r="A2952" t="str">
            <v>Ofsted Social Care Provider Webpage</v>
          </cell>
        </row>
        <row r="2953">
          <cell r="A2953" t="str">
            <v>Ofsted Social Care Provider Webpage</v>
          </cell>
        </row>
        <row r="2954">
          <cell r="A2954" t="str">
            <v>Ofsted Social Care Provider Webpage</v>
          </cell>
        </row>
        <row r="2955">
          <cell r="A2955" t="str">
            <v>Ofsted Social Care Provider Webpage</v>
          </cell>
        </row>
        <row r="2956">
          <cell r="A2956" t="str">
            <v>Ofsted Social Care Provider Webpage</v>
          </cell>
        </row>
        <row r="2957">
          <cell r="A2957" t="str">
            <v>Ofsted Social Care Provider Webpage</v>
          </cell>
        </row>
        <row r="2958">
          <cell r="A2958" t="str">
            <v>Ofsted Social Care Provider Webpage</v>
          </cell>
        </row>
        <row r="2959">
          <cell r="A2959" t="str">
            <v>Ofsted Social Care Provider Webpage</v>
          </cell>
        </row>
        <row r="2960">
          <cell r="A2960" t="str">
            <v>Ofsted Social Care Provider Webpage</v>
          </cell>
        </row>
        <row r="2961">
          <cell r="A2961" t="str">
            <v>Ofsted Social Care Provider Webpage</v>
          </cell>
        </row>
        <row r="2962">
          <cell r="A2962" t="str">
            <v>Ofsted Social Care Provider Webpage</v>
          </cell>
        </row>
        <row r="2963">
          <cell r="A2963" t="str">
            <v>Ofsted Social Care Provider Webpage</v>
          </cell>
        </row>
        <row r="2964">
          <cell r="A2964" t="str">
            <v>Ofsted Social Care Provider Webpage</v>
          </cell>
        </row>
        <row r="2965">
          <cell r="A2965" t="str">
            <v>Ofsted Social Care Provider Webpage</v>
          </cell>
        </row>
        <row r="2966">
          <cell r="A2966" t="str">
            <v>Ofsted Social Care Provider Webpage</v>
          </cell>
        </row>
        <row r="2967">
          <cell r="A2967" t="str">
            <v>Ofsted Social Care Provider Webpage</v>
          </cell>
        </row>
        <row r="2968">
          <cell r="A2968" t="str">
            <v>Ofsted Social Care Provider Webpage</v>
          </cell>
        </row>
        <row r="2969">
          <cell r="A2969" t="str">
            <v>Ofsted Social Care Provider Webpage</v>
          </cell>
        </row>
        <row r="2970">
          <cell r="A2970" t="str">
            <v>Ofsted Social Care Provider Webpage</v>
          </cell>
        </row>
        <row r="2971">
          <cell r="A2971" t="str">
            <v>Ofsted Social Care Provider Webpage</v>
          </cell>
        </row>
        <row r="2972">
          <cell r="A2972" t="str">
            <v>Ofsted Social Care Provider Webpage</v>
          </cell>
        </row>
        <row r="2973">
          <cell r="A2973" t="str">
            <v>Ofsted Social Care Provider Webpage</v>
          </cell>
        </row>
        <row r="2974">
          <cell r="A2974" t="str">
            <v>Ofsted Social Care Provider Webpage</v>
          </cell>
        </row>
        <row r="2975">
          <cell r="A2975" t="str">
            <v>Ofsted Social Care Provider Webpage</v>
          </cell>
        </row>
        <row r="2976">
          <cell r="A2976" t="str">
            <v>Ofsted Social Care Provider Webpage</v>
          </cell>
        </row>
        <row r="2977">
          <cell r="A2977" t="str">
            <v>Ofsted Social Care Provider Webpage</v>
          </cell>
        </row>
        <row r="2978">
          <cell r="A2978" t="str">
            <v>Ofsted Social Care Provider Webpage</v>
          </cell>
        </row>
        <row r="2979">
          <cell r="A2979" t="str">
            <v>Ofsted Social Care Provider Webpage</v>
          </cell>
        </row>
        <row r="2980">
          <cell r="A2980" t="str">
            <v>Ofsted Social Care Provider Webpage</v>
          </cell>
        </row>
        <row r="2981">
          <cell r="A2981" t="str">
            <v>Ofsted Social Care Provider Webpage</v>
          </cell>
        </row>
        <row r="2982">
          <cell r="A2982" t="str">
            <v>Ofsted Social Care Provider Webpage</v>
          </cell>
        </row>
        <row r="2983">
          <cell r="A2983" t="str">
            <v>Ofsted Social Care Provider Webpage</v>
          </cell>
        </row>
        <row r="2984">
          <cell r="A2984" t="str">
            <v>Ofsted Social Care Provider Webpage</v>
          </cell>
        </row>
        <row r="2985">
          <cell r="A2985" t="str">
            <v>Ofsted Social Care Provider Webpage</v>
          </cell>
        </row>
        <row r="2986">
          <cell r="A2986" t="str">
            <v>Ofsted Social Care Provider Webpage</v>
          </cell>
        </row>
        <row r="2987">
          <cell r="A2987" t="str">
            <v>Ofsted Social Care Provider Webpage</v>
          </cell>
        </row>
        <row r="2988">
          <cell r="A2988" t="str">
            <v>Ofsted Social Care Provider Webpage</v>
          </cell>
        </row>
        <row r="2989">
          <cell r="A2989" t="str">
            <v>Ofsted Social Care Provider Webpage</v>
          </cell>
        </row>
        <row r="2990">
          <cell r="A2990" t="str">
            <v>Ofsted Social Care Provider Webpage</v>
          </cell>
        </row>
        <row r="2991">
          <cell r="A2991" t="str">
            <v>Ofsted Social Care Provider Webpage</v>
          </cell>
        </row>
        <row r="2992">
          <cell r="A2992" t="str">
            <v>Ofsted Social Care Provider Webpage</v>
          </cell>
        </row>
        <row r="2993">
          <cell r="A2993" t="str">
            <v>Ofsted Social Care Provider Webpage</v>
          </cell>
        </row>
        <row r="2994">
          <cell r="A2994" t="str">
            <v>Ofsted Social Care Provider Webpage</v>
          </cell>
        </row>
        <row r="2995">
          <cell r="A2995" t="str">
            <v>Ofsted Social Care Provider Webpage</v>
          </cell>
        </row>
        <row r="2996">
          <cell r="A2996" t="str">
            <v>Ofsted Social Care Provider Webpage</v>
          </cell>
        </row>
        <row r="2997">
          <cell r="A2997" t="str">
            <v>Ofsted Social Care Provider Webpage</v>
          </cell>
        </row>
        <row r="2998">
          <cell r="A2998" t="str">
            <v>Ofsted Social Care Provider Webpage</v>
          </cell>
        </row>
        <row r="2999">
          <cell r="A2999" t="str">
            <v>Ofsted Social Care Provider Webpage</v>
          </cell>
        </row>
        <row r="3000">
          <cell r="A3000" t="str">
            <v>Ofsted Social Care Provider Webpage</v>
          </cell>
        </row>
        <row r="3001">
          <cell r="A3001" t="str">
            <v>Ofsted Social Care Provider Webpage</v>
          </cell>
        </row>
        <row r="3002">
          <cell r="A3002" t="str">
            <v>Ofsted Social Care Provider Webpage</v>
          </cell>
        </row>
        <row r="3003">
          <cell r="A3003" t="str">
            <v>Ofsted Social Care Provider Webpage</v>
          </cell>
        </row>
        <row r="3004">
          <cell r="A3004" t="str">
            <v>Ofsted Social Care Provider Webpage</v>
          </cell>
        </row>
        <row r="3005">
          <cell r="A3005" t="str">
            <v>Ofsted Social Care Provider Webpage</v>
          </cell>
        </row>
        <row r="3006">
          <cell r="A3006" t="str">
            <v>Ofsted Social Care Provider Webpage</v>
          </cell>
        </row>
        <row r="3007">
          <cell r="A3007" t="str">
            <v>Ofsted Social Care Provider Webpage</v>
          </cell>
        </row>
        <row r="3008">
          <cell r="A3008" t="str">
            <v>Ofsted Social Care Provider Webpage</v>
          </cell>
        </row>
        <row r="3009">
          <cell r="A3009" t="str">
            <v>Ofsted Social Care Provider Webpage</v>
          </cell>
        </row>
        <row r="3010">
          <cell r="A3010" t="str">
            <v>Ofsted Social Care Provider Webpage</v>
          </cell>
        </row>
        <row r="3011">
          <cell r="A3011" t="str">
            <v>Ofsted Social Care Provider Webpage</v>
          </cell>
        </row>
        <row r="3012">
          <cell r="A3012" t="str">
            <v>Ofsted Social Care Provider Webpage</v>
          </cell>
        </row>
        <row r="3013">
          <cell r="A3013" t="str">
            <v>Ofsted Social Care Provider Webpage</v>
          </cell>
        </row>
        <row r="3014">
          <cell r="A3014" t="str">
            <v>Ofsted Social Care Provider Webpage</v>
          </cell>
        </row>
        <row r="3015">
          <cell r="A3015" t="str">
            <v>Ofsted Social Care Provider Webpage</v>
          </cell>
        </row>
        <row r="3016">
          <cell r="A3016" t="str">
            <v>Ofsted Social Care Provider Webpage</v>
          </cell>
        </row>
        <row r="3017">
          <cell r="A3017" t="str">
            <v>Ofsted Social Care Provider Webpage</v>
          </cell>
        </row>
        <row r="3018">
          <cell r="A3018" t="str">
            <v>Ofsted Social Care Provider Webpage</v>
          </cell>
        </row>
        <row r="3019">
          <cell r="A3019" t="str">
            <v>Ofsted Social Care Provider Webpage</v>
          </cell>
        </row>
        <row r="3020">
          <cell r="A3020" t="str">
            <v>Ofsted Social Care Provider Webpage</v>
          </cell>
        </row>
        <row r="3021">
          <cell r="A3021" t="str">
            <v>Ofsted Social Care Provider Webpage</v>
          </cell>
        </row>
        <row r="3022">
          <cell r="A3022" t="str">
            <v>Ofsted Social Care Provider Webpage</v>
          </cell>
        </row>
        <row r="3023">
          <cell r="A3023" t="str">
            <v>Ofsted Social Care Provider Webpage</v>
          </cell>
        </row>
        <row r="3024">
          <cell r="A3024" t="str">
            <v>Ofsted Social Care Provider Webpage</v>
          </cell>
        </row>
        <row r="3025">
          <cell r="A3025" t="str">
            <v>Ofsted Social Care Provider Webpage</v>
          </cell>
        </row>
        <row r="3026">
          <cell r="A3026" t="str">
            <v>Ofsted Social Care Provider Webpage</v>
          </cell>
        </row>
        <row r="3027">
          <cell r="A3027" t="str">
            <v>Ofsted Social Care Provider Webpage</v>
          </cell>
        </row>
        <row r="3028">
          <cell r="A3028" t="str">
            <v>Ofsted Social Care Provider Webpage</v>
          </cell>
        </row>
        <row r="3029">
          <cell r="A3029" t="str">
            <v>Ofsted Social Care Provider Webpage</v>
          </cell>
        </row>
        <row r="3030">
          <cell r="A3030" t="str">
            <v>Ofsted Social Care Provider Webpage</v>
          </cell>
        </row>
        <row r="3031">
          <cell r="A3031" t="str">
            <v>Ofsted Social Care Provider Webpage</v>
          </cell>
        </row>
        <row r="3032">
          <cell r="A3032" t="str">
            <v>Ofsted Social Care Provider Webpage</v>
          </cell>
        </row>
        <row r="3033">
          <cell r="A3033" t="str">
            <v>Ofsted Social Care Provider Webpage</v>
          </cell>
        </row>
        <row r="3034">
          <cell r="A3034" t="str">
            <v>Ofsted Social Care Provider Webpage</v>
          </cell>
        </row>
        <row r="3035">
          <cell r="A3035" t="str">
            <v>Ofsted Social Care Provider Webpage</v>
          </cell>
        </row>
        <row r="3036">
          <cell r="A3036" t="str">
            <v>Ofsted Social Care Provider Webpage</v>
          </cell>
        </row>
        <row r="3037">
          <cell r="A3037" t="str">
            <v>Ofsted Social Care Provider Webpage</v>
          </cell>
        </row>
        <row r="3038">
          <cell r="A3038" t="str">
            <v>Ofsted Social Care Provider Webpage</v>
          </cell>
        </row>
        <row r="3039">
          <cell r="A3039" t="str">
            <v>Ofsted Social Care Provider Webpage</v>
          </cell>
        </row>
        <row r="3040">
          <cell r="A3040" t="str">
            <v>Ofsted Social Care Provider Webpage</v>
          </cell>
        </row>
        <row r="3041">
          <cell r="A3041" t="str">
            <v>Ofsted Social Care Provider Webpage</v>
          </cell>
        </row>
        <row r="3042">
          <cell r="A3042" t="str">
            <v>Ofsted Social Care Provider Webpage</v>
          </cell>
        </row>
        <row r="3043">
          <cell r="A3043" t="str">
            <v>Ofsted Social Care Provider Webpage</v>
          </cell>
        </row>
        <row r="3044">
          <cell r="A3044" t="str">
            <v>Ofsted Social Care Provider Webpage</v>
          </cell>
        </row>
        <row r="3045">
          <cell r="A3045" t="str">
            <v>Ofsted Social Care Provider Webpage</v>
          </cell>
        </row>
        <row r="3046">
          <cell r="A3046" t="str">
            <v>Ofsted Social Care Provider Webpage</v>
          </cell>
        </row>
        <row r="3047">
          <cell r="A3047" t="str">
            <v>Ofsted Social Care Provider Webpage</v>
          </cell>
        </row>
        <row r="3048">
          <cell r="A3048" t="str">
            <v>Ofsted Social Care Provider Webpage</v>
          </cell>
        </row>
        <row r="3049">
          <cell r="A3049" t="str">
            <v>Ofsted Social Care Provider Webpage</v>
          </cell>
        </row>
        <row r="3050">
          <cell r="A3050" t="str">
            <v>Ofsted Social Care Provider Webpage</v>
          </cell>
        </row>
        <row r="3051">
          <cell r="A3051" t="str">
            <v>Ofsted Social Care Provider Webpage</v>
          </cell>
        </row>
        <row r="3052">
          <cell r="A3052" t="str">
            <v>Ofsted Social Care Provider Webpage</v>
          </cell>
        </row>
        <row r="3053">
          <cell r="A3053" t="str">
            <v>Ofsted Social Care Provider Webpage</v>
          </cell>
        </row>
        <row r="3054">
          <cell r="A3054" t="str">
            <v>Ofsted Social Care Provider Webpage</v>
          </cell>
        </row>
        <row r="3055">
          <cell r="A3055" t="str">
            <v>Ofsted Social Care Provider Webpage</v>
          </cell>
        </row>
        <row r="3056">
          <cell r="A3056" t="str">
            <v>Ofsted Social Care Provider Webpage</v>
          </cell>
        </row>
        <row r="3057">
          <cell r="A3057" t="str">
            <v>Ofsted Social Care Provider Webpage</v>
          </cell>
        </row>
        <row r="3058">
          <cell r="A3058" t="str">
            <v>Ofsted Social Care Provider Webpage</v>
          </cell>
        </row>
        <row r="3059">
          <cell r="A3059" t="str">
            <v>Ofsted Social Care Provider Webpage</v>
          </cell>
        </row>
        <row r="3060">
          <cell r="A3060" t="str">
            <v>Ofsted Social Care Provider Webpage</v>
          </cell>
        </row>
        <row r="3061">
          <cell r="A3061" t="str">
            <v>Ofsted Social Care Provider Webpage</v>
          </cell>
        </row>
        <row r="3062">
          <cell r="A3062" t="str">
            <v>Ofsted Social Care Provider Webpage</v>
          </cell>
        </row>
        <row r="3063">
          <cell r="A3063" t="str">
            <v>Ofsted Social Care Provider Webpage</v>
          </cell>
        </row>
        <row r="3064">
          <cell r="A3064" t="str">
            <v>Ofsted Social Care Provider Webpage</v>
          </cell>
        </row>
        <row r="3065">
          <cell r="A3065" t="str">
            <v>Ofsted Social Care Provider Webpage</v>
          </cell>
        </row>
        <row r="3066">
          <cell r="A3066" t="str">
            <v>Ofsted Social Care Provider Webpage</v>
          </cell>
        </row>
        <row r="3067">
          <cell r="A3067" t="str">
            <v>Ofsted Social Care Provider Webpage</v>
          </cell>
        </row>
        <row r="3068">
          <cell r="A3068" t="str">
            <v>Ofsted Social Care Provider Webpage</v>
          </cell>
        </row>
        <row r="3069">
          <cell r="A3069" t="str">
            <v>Ofsted Social Care Provider Webpage</v>
          </cell>
        </row>
        <row r="3070">
          <cell r="A3070" t="str">
            <v>Ofsted Social Care Provider Webpage</v>
          </cell>
        </row>
        <row r="3071">
          <cell r="A3071" t="str">
            <v>Ofsted Social Care Provider Webpage</v>
          </cell>
        </row>
        <row r="3072">
          <cell r="A3072" t="str">
            <v>Ofsted Social Care Provider Webpage</v>
          </cell>
        </row>
        <row r="3073">
          <cell r="A3073" t="str">
            <v>Ofsted Social Care Provider Webpage</v>
          </cell>
        </row>
        <row r="3074">
          <cell r="A3074" t="str">
            <v>Ofsted Social Care Provider Webpage</v>
          </cell>
        </row>
        <row r="3075">
          <cell r="A3075" t="str">
            <v>Ofsted Social Care Provider Webpage</v>
          </cell>
        </row>
        <row r="3076">
          <cell r="A3076" t="str">
            <v>Ofsted Social Care Provider Webpage</v>
          </cell>
        </row>
        <row r="3077">
          <cell r="A3077" t="str">
            <v>Ofsted Social Care Provider Webpage</v>
          </cell>
        </row>
        <row r="3078">
          <cell r="A3078" t="str">
            <v>Ofsted Social Care Provider Webpage</v>
          </cell>
        </row>
        <row r="3079">
          <cell r="A3079" t="str">
            <v>Ofsted Social Care Provider Webpage</v>
          </cell>
        </row>
        <row r="3080">
          <cell r="A3080" t="str">
            <v>Ofsted Social Care Provider Webpage</v>
          </cell>
        </row>
        <row r="3081">
          <cell r="A3081" t="str">
            <v>Ofsted Social Care Provider Webpage</v>
          </cell>
        </row>
        <row r="3082">
          <cell r="A3082" t="str">
            <v>Ofsted Social Care Provider Webpage</v>
          </cell>
        </row>
        <row r="3083">
          <cell r="A3083" t="str">
            <v>Ofsted Social Care Provider Webpage</v>
          </cell>
        </row>
        <row r="3084">
          <cell r="A3084" t="str">
            <v>Ofsted Social Care Provider Webpage</v>
          </cell>
        </row>
        <row r="3085">
          <cell r="A3085" t="str">
            <v>Ofsted Social Care Provider Webpage</v>
          </cell>
        </row>
        <row r="3086">
          <cell r="A3086" t="str">
            <v>Ofsted Social Care Provider Webpage</v>
          </cell>
        </row>
        <row r="3087">
          <cell r="A3087" t="str">
            <v>Ofsted Social Care Provider Webpage</v>
          </cell>
        </row>
        <row r="3088">
          <cell r="A3088" t="str">
            <v>Ofsted Social Care Provider Webpage</v>
          </cell>
        </row>
        <row r="3089">
          <cell r="A3089" t="str">
            <v>Ofsted Social Care Provider Webpage</v>
          </cell>
        </row>
        <row r="3090">
          <cell r="A3090" t="str">
            <v>Ofsted Social Care Provider Webpage</v>
          </cell>
        </row>
        <row r="3091">
          <cell r="A3091" t="str">
            <v>Ofsted Social Care Provider Webpage</v>
          </cell>
        </row>
        <row r="3092">
          <cell r="A3092" t="str">
            <v>Ofsted Social Care Provider Webpage</v>
          </cell>
        </row>
        <row r="3093">
          <cell r="A3093" t="str">
            <v>Ofsted Social Care Provider Webpage</v>
          </cell>
        </row>
        <row r="3094">
          <cell r="A3094" t="str">
            <v>Ofsted Social Care Provider Webpage</v>
          </cell>
        </row>
        <row r="3095">
          <cell r="A3095" t="str">
            <v>Ofsted Social Care Provider Webpage</v>
          </cell>
        </row>
        <row r="3096">
          <cell r="A3096" t="str">
            <v>Ofsted Social Care Provider Webpage</v>
          </cell>
        </row>
        <row r="3097">
          <cell r="A3097" t="str">
            <v>Ofsted Social Care Provider Webpage</v>
          </cell>
        </row>
        <row r="3098">
          <cell r="A3098" t="str">
            <v>Ofsted Social Care Provider Webpage</v>
          </cell>
        </row>
        <row r="3099">
          <cell r="A3099" t="str">
            <v>Ofsted Social Care Provider Webpage</v>
          </cell>
        </row>
        <row r="3100">
          <cell r="A3100" t="str">
            <v>Ofsted Social Care Provider Webpage</v>
          </cell>
        </row>
        <row r="3101">
          <cell r="A3101" t="str">
            <v>Ofsted Social Care Provider Webpage</v>
          </cell>
        </row>
        <row r="3102">
          <cell r="A3102" t="str">
            <v>Ofsted Social Care Provider Webpage</v>
          </cell>
        </row>
        <row r="3103">
          <cell r="A3103" t="str">
            <v>Ofsted Social Care Provider Webpage</v>
          </cell>
        </row>
        <row r="3104">
          <cell r="A3104" t="str">
            <v>Ofsted Social Care Provider Webpage</v>
          </cell>
        </row>
        <row r="3105">
          <cell r="A3105" t="str">
            <v>Ofsted Social Care Provider Webpage</v>
          </cell>
        </row>
        <row r="3106">
          <cell r="A3106" t="str">
            <v>Ofsted Social Care Provider Webpage</v>
          </cell>
        </row>
        <row r="3107">
          <cell r="A3107" t="str">
            <v>Ofsted Social Care Provider Webpage</v>
          </cell>
        </row>
        <row r="3108">
          <cell r="A3108" t="str">
            <v>Ofsted Social Care Provider Webpage</v>
          </cell>
        </row>
        <row r="3109">
          <cell r="A3109" t="str">
            <v>Ofsted Social Care Provider Webpage</v>
          </cell>
        </row>
        <row r="3110">
          <cell r="A3110" t="str">
            <v>Ofsted Social Care Provider Webpage</v>
          </cell>
        </row>
        <row r="3111">
          <cell r="A3111" t="str">
            <v>Ofsted Social Care Provider Webpage</v>
          </cell>
        </row>
        <row r="3112">
          <cell r="A3112" t="str">
            <v>Ofsted Social Care Provider Webpage</v>
          </cell>
        </row>
        <row r="3113">
          <cell r="A3113" t="str">
            <v>Ofsted Social Care Provider Webpage</v>
          </cell>
        </row>
        <row r="3114">
          <cell r="A3114" t="str">
            <v>Ofsted Social Care Provider Webpage</v>
          </cell>
        </row>
        <row r="3115">
          <cell r="A3115" t="str">
            <v>Ofsted Social Care Provider Webpage</v>
          </cell>
        </row>
        <row r="3116">
          <cell r="A3116" t="str">
            <v>Ofsted Social Care Provider Webpage</v>
          </cell>
        </row>
        <row r="3117">
          <cell r="A3117" t="str">
            <v>Ofsted Social Care Provider Webpage</v>
          </cell>
        </row>
        <row r="3118">
          <cell r="A3118" t="str">
            <v>Ofsted Social Care Provider Webpage</v>
          </cell>
        </row>
        <row r="3119">
          <cell r="A3119" t="str">
            <v>Ofsted Social Care Provider Webpage</v>
          </cell>
        </row>
        <row r="3120">
          <cell r="A3120" t="str">
            <v>Ofsted Social Care Provider Webpage</v>
          </cell>
        </row>
        <row r="3121">
          <cell r="A3121" t="str">
            <v>Ofsted Social Care Provider Webpage</v>
          </cell>
        </row>
        <row r="3122">
          <cell r="A3122" t="str">
            <v>Ofsted Social Care Provider Webpage</v>
          </cell>
        </row>
        <row r="3123">
          <cell r="A3123" t="str">
            <v>Ofsted Social Care Provider Webpage</v>
          </cell>
        </row>
        <row r="3124">
          <cell r="A3124" t="str">
            <v>Ofsted Social Care Provider Webpage</v>
          </cell>
        </row>
        <row r="3125">
          <cell r="A3125" t="str">
            <v>Ofsted Social Care Provider Webpage</v>
          </cell>
        </row>
        <row r="3126">
          <cell r="A3126" t="str">
            <v>Ofsted Social Care Provider Webpage</v>
          </cell>
        </row>
        <row r="3127">
          <cell r="A3127" t="str">
            <v>Ofsted Social Care Provider Webpage</v>
          </cell>
        </row>
        <row r="3128">
          <cell r="A3128" t="str">
            <v>Ofsted Social Care Provider Webpage</v>
          </cell>
        </row>
        <row r="3129">
          <cell r="A3129" t="str">
            <v>Ofsted Social Care Provider Webpage</v>
          </cell>
        </row>
        <row r="3130">
          <cell r="A3130" t="str">
            <v>Ofsted Social Care Provider Webpage</v>
          </cell>
        </row>
        <row r="3131">
          <cell r="A3131" t="str">
            <v>Ofsted Social Care Provider Webpage</v>
          </cell>
        </row>
        <row r="3132">
          <cell r="A3132" t="str">
            <v>Ofsted Social Care Provider Webpage</v>
          </cell>
        </row>
        <row r="3133">
          <cell r="A3133" t="str">
            <v>Ofsted Social Care Provider Webpage</v>
          </cell>
        </row>
        <row r="3134">
          <cell r="A3134" t="str">
            <v>Ofsted Social Care Provider Webpage</v>
          </cell>
        </row>
        <row r="3135">
          <cell r="A3135" t="str">
            <v>Ofsted Social Care Provider Webpage</v>
          </cell>
        </row>
        <row r="3136">
          <cell r="A3136" t="str">
            <v>Ofsted Social Care Provider Webpage</v>
          </cell>
        </row>
        <row r="3137">
          <cell r="A3137" t="str">
            <v>Ofsted Social Care Provider Webpage</v>
          </cell>
        </row>
        <row r="3138">
          <cell r="A3138" t="str">
            <v>Ofsted Social Care Provider Webpage</v>
          </cell>
        </row>
        <row r="3139">
          <cell r="A3139" t="str">
            <v>Ofsted Social Care Provider Webpage</v>
          </cell>
        </row>
        <row r="3140">
          <cell r="A3140" t="str">
            <v>Ofsted Social Care Provider Webpage</v>
          </cell>
        </row>
        <row r="3141">
          <cell r="A3141" t="str">
            <v>Ofsted Social Care Provider Webpage</v>
          </cell>
        </row>
        <row r="3142">
          <cell r="A3142" t="str">
            <v>Ofsted Social Care Provider Webpage</v>
          </cell>
        </row>
        <row r="3143">
          <cell r="A3143" t="str">
            <v>Ofsted Social Care Provider Webpage</v>
          </cell>
        </row>
        <row r="3144">
          <cell r="A3144" t="str">
            <v>Ofsted Social Care Provider Webpage</v>
          </cell>
        </row>
        <row r="3145">
          <cell r="A3145" t="str">
            <v>Ofsted Social Care Provider Webpage</v>
          </cell>
        </row>
        <row r="3146">
          <cell r="A3146" t="str">
            <v>Ofsted Social Care Provider Webpage</v>
          </cell>
        </row>
        <row r="3147">
          <cell r="A3147" t="str">
            <v>Ofsted Social Care Provider Webpage</v>
          </cell>
        </row>
        <row r="3148">
          <cell r="A3148" t="str">
            <v>Ofsted Social Care Provider Webpage</v>
          </cell>
        </row>
        <row r="3149">
          <cell r="A3149" t="str">
            <v>Ofsted Social Care Provider Webpage</v>
          </cell>
        </row>
        <row r="3150">
          <cell r="A3150" t="str">
            <v>Ofsted Social Care Provider Webpage</v>
          </cell>
        </row>
        <row r="3151">
          <cell r="A3151" t="str">
            <v>Ofsted Social Care Provider Webpage</v>
          </cell>
        </row>
        <row r="3152">
          <cell r="A3152" t="str">
            <v>Ofsted Social Care Provider Webpage</v>
          </cell>
        </row>
        <row r="3153">
          <cell r="A3153" t="str">
            <v>Ofsted Social Care Provider Webpage</v>
          </cell>
        </row>
        <row r="3154">
          <cell r="A3154" t="str">
            <v>Ofsted Social Care Provider Webpage</v>
          </cell>
        </row>
        <row r="3155">
          <cell r="A3155" t="str">
            <v>Ofsted Social Care Provider Webpage</v>
          </cell>
        </row>
        <row r="3156">
          <cell r="A3156" t="str">
            <v>Ofsted Social Care Provider Webpage</v>
          </cell>
        </row>
        <row r="3157">
          <cell r="A3157" t="str">
            <v>Ofsted Social Care Provider Webpage</v>
          </cell>
        </row>
        <row r="3158">
          <cell r="A3158" t="str">
            <v>Ofsted Social Care Provider Webpage</v>
          </cell>
        </row>
        <row r="3159">
          <cell r="A3159" t="str">
            <v>Ofsted Social Care Provider Webpage</v>
          </cell>
        </row>
        <row r="3160">
          <cell r="A3160" t="str">
            <v>Ofsted Social Care Provider Webpage</v>
          </cell>
        </row>
        <row r="3161">
          <cell r="A3161" t="str">
            <v>Ofsted Social Care Provider Webpage</v>
          </cell>
        </row>
        <row r="3162">
          <cell r="A3162" t="str">
            <v>Ofsted Social Care Provider Webpage</v>
          </cell>
        </row>
        <row r="3163">
          <cell r="A3163" t="str">
            <v>Ofsted Social Care Provider Webpage</v>
          </cell>
        </row>
        <row r="3164">
          <cell r="A3164" t="str">
            <v>Ofsted Social Care Provider Webpage</v>
          </cell>
        </row>
        <row r="3165">
          <cell r="A3165" t="str">
            <v>Ofsted Social Care Provider Webpage</v>
          </cell>
        </row>
        <row r="3166">
          <cell r="A3166" t="str">
            <v>Ofsted Social Care Provider Webpage</v>
          </cell>
        </row>
        <row r="3167">
          <cell r="A3167" t="str">
            <v>Ofsted Social Care Provider Webpage</v>
          </cell>
        </row>
        <row r="3168">
          <cell r="A3168" t="str">
            <v>Ofsted Social Care Provider Webpage</v>
          </cell>
        </row>
        <row r="3169">
          <cell r="A3169" t="str">
            <v>Ofsted Social Care Provider Webpage</v>
          </cell>
        </row>
        <row r="3170">
          <cell r="A3170" t="str">
            <v>Ofsted Social Care Provider Webpage</v>
          </cell>
        </row>
        <row r="3171">
          <cell r="A3171" t="str">
            <v>Ofsted Social Care Provider Webpage</v>
          </cell>
        </row>
        <row r="3172">
          <cell r="A3172" t="str">
            <v>Ofsted Social Care Provider Webpage</v>
          </cell>
        </row>
        <row r="3173">
          <cell r="A3173" t="str">
            <v>Ofsted Social Care Provider Webpage</v>
          </cell>
        </row>
        <row r="3174">
          <cell r="A3174" t="str">
            <v>Ofsted Social Care Provider Webpage</v>
          </cell>
        </row>
        <row r="3175">
          <cell r="A3175" t="str">
            <v>Ofsted Social Care Provider Webpage</v>
          </cell>
        </row>
        <row r="3176">
          <cell r="A3176" t="str">
            <v>Ofsted Social Care Provider Webpage</v>
          </cell>
        </row>
        <row r="3177">
          <cell r="A3177" t="str">
            <v>Ofsted Social Care Provider Webpage</v>
          </cell>
        </row>
        <row r="3178">
          <cell r="A3178" t="str">
            <v>Ofsted Social Care Provider Webpage</v>
          </cell>
        </row>
        <row r="3179">
          <cell r="A3179" t="str">
            <v>Ofsted Social Care Provider Webpage</v>
          </cell>
        </row>
        <row r="3180">
          <cell r="A3180" t="str">
            <v>Ofsted Social Care Provider Webpage</v>
          </cell>
        </row>
        <row r="3181">
          <cell r="A3181" t="str">
            <v>Ofsted Social Care Provider Webpage</v>
          </cell>
        </row>
        <row r="3182">
          <cell r="A3182" t="str">
            <v>Ofsted Social Care Provider Webpage</v>
          </cell>
        </row>
        <row r="3183">
          <cell r="A3183" t="str">
            <v>Ofsted Social Care Provider Webpage</v>
          </cell>
        </row>
        <row r="3184">
          <cell r="A3184" t="str">
            <v>Ofsted Social Care Provider Webpage</v>
          </cell>
        </row>
        <row r="3185">
          <cell r="A3185" t="str">
            <v>Ofsted Social Care Provider Webpage</v>
          </cell>
        </row>
        <row r="3186">
          <cell r="A3186" t="str">
            <v>Ofsted Social Care Provider Webpage</v>
          </cell>
        </row>
        <row r="3187">
          <cell r="A3187" t="str">
            <v>Ofsted Social Care Provider Webpage</v>
          </cell>
        </row>
        <row r="3188">
          <cell r="A3188" t="str">
            <v>Ofsted Social Care Provider Webpage</v>
          </cell>
        </row>
        <row r="3189">
          <cell r="A3189" t="str">
            <v>Ofsted Social Care Provider Webpage</v>
          </cell>
        </row>
        <row r="3190">
          <cell r="A3190" t="str">
            <v>Ofsted Social Care Provider Webpage</v>
          </cell>
        </row>
        <row r="3191">
          <cell r="A3191" t="str">
            <v>Ofsted Social Care Provider Webpage</v>
          </cell>
        </row>
        <row r="3192">
          <cell r="A3192" t="str">
            <v>Ofsted Social Care Provider Webpage</v>
          </cell>
        </row>
        <row r="3193">
          <cell r="A3193" t="str">
            <v>Ofsted Social Care Provider Webpage</v>
          </cell>
        </row>
        <row r="3194">
          <cell r="A3194" t="str">
            <v>Ofsted Social Care Provider Webpage</v>
          </cell>
        </row>
        <row r="3195">
          <cell r="A3195" t="str">
            <v>Ofsted Social Care Provider Webpage</v>
          </cell>
        </row>
        <row r="3196">
          <cell r="A3196" t="str">
            <v>Ofsted Social Care Provider Webpage</v>
          </cell>
        </row>
        <row r="3197">
          <cell r="A3197" t="str">
            <v>Ofsted Social Care Provider Webpage</v>
          </cell>
        </row>
        <row r="3198">
          <cell r="A3198" t="str">
            <v>Ofsted Social Care Provider Webpage</v>
          </cell>
        </row>
        <row r="3199">
          <cell r="A3199" t="str">
            <v>Ofsted Social Care Provider Webpage</v>
          </cell>
        </row>
        <row r="3200">
          <cell r="A3200" t="str">
            <v>Ofsted Social Care Provider Webpage</v>
          </cell>
        </row>
        <row r="3201">
          <cell r="A3201" t="str">
            <v>Ofsted Social Care Provider Webpage</v>
          </cell>
        </row>
        <row r="3202">
          <cell r="A3202" t="str">
            <v>Ofsted Social Care Provider Webpage</v>
          </cell>
        </row>
        <row r="3203">
          <cell r="A3203" t="str">
            <v>Ofsted Social Care Provider Webpage</v>
          </cell>
        </row>
        <row r="3204">
          <cell r="A3204" t="str">
            <v>Ofsted Social Care Provider Webpage</v>
          </cell>
        </row>
        <row r="3205">
          <cell r="A3205" t="str">
            <v>Ofsted Social Care Provider Webpage</v>
          </cell>
        </row>
        <row r="3206">
          <cell r="A3206" t="str">
            <v>Ofsted Social Care Provider Webpage</v>
          </cell>
        </row>
        <row r="3207">
          <cell r="A3207" t="str">
            <v>Ofsted Social Care Provider Webpage</v>
          </cell>
        </row>
        <row r="3208">
          <cell r="A3208" t="str">
            <v>Ofsted Social Care Provider Webpage</v>
          </cell>
        </row>
        <row r="3209">
          <cell r="A3209" t="str">
            <v>Ofsted Social Care Provider Webpage</v>
          </cell>
        </row>
        <row r="3210">
          <cell r="A3210" t="str">
            <v>Ofsted Social Care Provider Webpage</v>
          </cell>
        </row>
        <row r="3211">
          <cell r="A3211" t="str">
            <v>Ofsted Social Care Provider Webpage</v>
          </cell>
        </row>
        <row r="3212">
          <cell r="A3212" t="str">
            <v>Ofsted Social Care Provider Webpage</v>
          </cell>
        </row>
        <row r="3213">
          <cell r="A3213" t="str">
            <v>Ofsted Social Care Provider Webpage</v>
          </cell>
        </row>
        <row r="3214">
          <cell r="A3214" t="str">
            <v>Ofsted Social Care Provider Webpage</v>
          </cell>
        </row>
        <row r="3215">
          <cell r="A3215" t="str">
            <v>Ofsted Social Care Provider Webpage</v>
          </cell>
        </row>
        <row r="3216">
          <cell r="A3216" t="str">
            <v>Ofsted Social Care Provider Webpage</v>
          </cell>
        </row>
        <row r="3217">
          <cell r="A3217" t="str">
            <v>Ofsted Social Care Provider Webpage</v>
          </cell>
        </row>
        <row r="3218">
          <cell r="A3218" t="str">
            <v>Ofsted Social Care Provider Webpage</v>
          </cell>
        </row>
        <row r="3219">
          <cell r="A3219" t="str">
            <v>Ofsted Social Care Provider Webpage</v>
          </cell>
        </row>
        <row r="3220">
          <cell r="A3220" t="str">
            <v>Ofsted Social Care Provider Webpage</v>
          </cell>
        </row>
        <row r="3221">
          <cell r="A3221" t="str">
            <v>Ofsted Social Care Provider Webpage</v>
          </cell>
        </row>
        <row r="3222">
          <cell r="A3222" t="str">
            <v>Ofsted Social Care Provider Webpage</v>
          </cell>
        </row>
        <row r="3223">
          <cell r="A3223" t="str">
            <v>Ofsted Social Care Provider Webpage</v>
          </cell>
        </row>
        <row r="3224">
          <cell r="A3224" t="str">
            <v>Ofsted Social Care Provider Webpage</v>
          </cell>
        </row>
        <row r="3225">
          <cell r="A3225" t="str">
            <v>Ofsted Social Care Provider Webpage</v>
          </cell>
        </row>
        <row r="3226">
          <cell r="A3226" t="str">
            <v>Ofsted Social Care Provider Webpage</v>
          </cell>
        </row>
        <row r="3227">
          <cell r="A3227" t="str">
            <v>Ofsted Social Care Provider Webpage</v>
          </cell>
        </row>
        <row r="3228">
          <cell r="A3228" t="str">
            <v>Ofsted Social Care Provider Webpage</v>
          </cell>
        </row>
        <row r="3229">
          <cell r="A3229" t="str">
            <v>Ofsted Social Care Provider Webpage</v>
          </cell>
        </row>
        <row r="3230">
          <cell r="A3230" t="str">
            <v>Ofsted Social Care Provider Webpage</v>
          </cell>
        </row>
        <row r="3231">
          <cell r="A3231" t="str">
            <v>Ofsted Social Care Provider Webpage</v>
          </cell>
        </row>
        <row r="3232">
          <cell r="A3232" t="str">
            <v>Ofsted Social Care Provider Webpage</v>
          </cell>
        </row>
        <row r="3233">
          <cell r="A3233" t="str">
            <v>Ofsted Social Care Provider Webpage</v>
          </cell>
        </row>
        <row r="3234">
          <cell r="A3234" t="str">
            <v>Ofsted Social Care Provider Webpage</v>
          </cell>
        </row>
        <row r="3235">
          <cell r="A3235" t="str">
            <v>Ofsted Social Care Provider Webpage</v>
          </cell>
        </row>
        <row r="3236">
          <cell r="A3236" t="str">
            <v>Ofsted Social Care Provider Webpage</v>
          </cell>
        </row>
        <row r="3237">
          <cell r="A3237" t="str">
            <v>Ofsted Social Care Provider Webpage</v>
          </cell>
        </row>
        <row r="3238">
          <cell r="A3238" t="str">
            <v>Ofsted Social Care Provider Webpage</v>
          </cell>
        </row>
        <row r="3239">
          <cell r="A3239" t="str">
            <v>Ofsted Social Care Provider Webpage</v>
          </cell>
        </row>
        <row r="3240">
          <cell r="A3240" t="str">
            <v>Ofsted Social Care Provider Webpage</v>
          </cell>
        </row>
        <row r="3241">
          <cell r="A3241" t="str">
            <v>Ofsted Social Care Provider Webpage</v>
          </cell>
        </row>
        <row r="3242">
          <cell r="A3242" t="str">
            <v>Ofsted Social Care Provider Webpage</v>
          </cell>
        </row>
        <row r="3243">
          <cell r="A3243" t="str">
            <v>Ofsted Social Care Provider Webpage</v>
          </cell>
        </row>
        <row r="3244">
          <cell r="A3244" t="str">
            <v>Ofsted Social Care Provider Webpage</v>
          </cell>
        </row>
        <row r="3245">
          <cell r="A3245" t="str">
            <v>Ofsted Social Care Provider Webpage</v>
          </cell>
        </row>
        <row r="3246">
          <cell r="A3246" t="str">
            <v>Ofsted Social Care Provider Webpage</v>
          </cell>
        </row>
        <row r="3247">
          <cell r="A3247" t="str">
            <v>Ofsted Social Care Provider Webpage</v>
          </cell>
        </row>
        <row r="3248">
          <cell r="A3248" t="str">
            <v>Ofsted Social Care Provider Webpage</v>
          </cell>
        </row>
        <row r="3249">
          <cell r="A3249" t="str">
            <v>Ofsted Social Care Provider Webpage</v>
          </cell>
        </row>
        <row r="3250">
          <cell r="A3250" t="str">
            <v>Ofsted Social Care Provider Webpage</v>
          </cell>
        </row>
        <row r="3251">
          <cell r="A3251" t="str">
            <v>Ofsted Social Care Provider Webpage</v>
          </cell>
        </row>
        <row r="3252">
          <cell r="A3252" t="str">
            <v>Ofsted Social Care Provider Webpage</v>
          </cell>
        </row>
        <row r="3253">
          <cell r="A3253" t="str">
            <v>Ofsted Social Care Provider Webpage</v>
          </cell>
        </row>
        <row r="3254">
          <cell r="A3254" t="str">
            <v>Ofsted Social Care Provider Webpage</v>
          </cell>
        </row>
        <row r="3255">
          <cell r="A3255" t="str">
            <v>Ofsted Social Care Provider Webpage</v>
          </cell>
        </row>
        <row r="3256">
          <cell r="A3256" t="str">
            <v>Ofsted Social Care Provider Webpage</v>
          </cell>
        </row>
        <row r="3257">
          <cell r="A3257" t="str">
            <v>Ofsted Social Care Provider Webpage</v>
          </cell>
        </row>
        <row r="3258">
          <cell r="A3258" t="str">
            <v>Ofsted Social Care Provider Webpage</v>
          </cell>
        </row>
        <row r="3259">
          <cell r="A3259" t="str">
            <v>Ofsted Social Care Provider Webpage</v>
          </cell>
        </row>
        <row r="3260">
          <cell r="A3260" t="str">
            <v>Ofsted Social Care Provider Webpage</v>
          </cell>
        </row>
        <row r="3261">
          <cell r="A3261" t="str">
            <v>Ofsted Social Care Provider Webpage</v>
          </cell>
        </row>
        <row r="3262">
          <cell r="A3262" t="str">
            <v>Ofsted Social Care Provider Webpage</v>
          </cell>
        </row>
        <row r="3263">
          <cell r="A3263" t="str">
            <v>Ofsted Social Care Provider Webpage</v>
          </cell>
        </row>
        <row r="3264">
          <cell r="A3264" t="str">
            <v>Ofsted Social Care Provider Webpage</v>
          </cell>
        </row>
        <row r="3265">
          <cell r="A3265" t="str">
            <v>Ofsted Social Care Provider Webpage</v>
          </cell>
        </row>
        <row r="3266">
          <cell r="A3266" t="str">
            <v>Ofsted Social Care Provider Webpage</v>
          </cell>
        </row>
        <row r="3267">
          <cell r="A3267" t="str">
            <v>Ofsted Social Care Provider Webpage</v>
          </cell>
        </row>
        <row r="3268">
          <cell r="A3268" t="str">
            <v>Ofsted Social Care Provider Webpage</v>
          </cell>
        </row>
        <row r="3269">
          <cell r="A3269" t="str">
            <v>Ofsted Social Care Provider Webpage</v>
          </cell>
        </row>
        <row r="3270">
          <cell r="A3270" t="str">
            <v>Ofsted Social Care Provider Webpage</v>
          </cell>
        </row>
        <row r="3271">
          <cell r="A3271" t="str">
            <v>Ofsted Social Care Provider Webpage</v>
          </cell>
        </row>
        <row r="3272">
          <cell r="A3272" t="str">
            <v>Ofsted Social Care Provider Webpage</v>
          </cell>
        </row>
        <row r="3273">
          <cell r="A3273" t="str">
            <v>Ofsted Social Care Provider Webpage</v>
          </cell>
        </row>
        <row r="3274">
          <cell r="A3274" t="str">
            <v>Ofsted Social Care Provider Webpage</v>
          </cell>
        </row>
        <row r="3275">
          <cell r="A3275" t="str">
            <v>Ofsted Social Care Provider Webpage</v>
          </cell>
        </row>
        <row r="3276">
          <cell r="A3276" t="str">
            <v>Ofsted Social Care Provider Webpage</v>
          </cell>
        </row>
        <row r="3277">
          <cell r="A3277" t="str">
            <v>Ofsted Social Care Provider Webpage</v>
          </cell>
        </row>
        <row r="3278">
          <cell r="A3278" t="str">
            <v>Ofsted Social Care Provider Webpage</v>
          </cell>
        </row>
        <row r="3279">
          <cell r="A3279" t="str">
            <v>Ofsted Social Care Provider Webpage</v>
          </cell>
        </row>
        <row r="3280">
          <cell r="A3280" t="str">
            <v>Ofsted Social Care Provider Webpage</v>
          </cell>
        </row>
        <row r="3281">
          <cell r="A3281" t="str">
            <v>Ofsted Social Care Provider Webpage</v>
          </cell>
        </row>
        <row r="3282">
          <cell r="A3282" t="str">
            <v>Ofsted Social Care Provider Webpage</v>
          </cell>
        </row>
        <row r="3283">
          <cell r="A3283" t="str">
            <v>Ofsted Social Care Provider Webpage</v>
          </cell>
        </row>
        <row r="3284">
          <cell r="A3284" t="str">
            <v>Ofsted Social Care Provider Webpage</v>
          </cell>
        </row>
        <row r="3285">
          <cell r="A3285" t="str">
            <v>Ofsted Social Care Provider Webpage</v>
          </cell>
        </row>
        <row r="3286">
          <cell r="A3286" t="str">
            <v>Ofsted Social Care Provider Webpage</v>
          </cell>
        </row>
        <row r="3287">
          <cell r="A3287" t="str">
            <v>Ofsted Social Care Provider Webpage</v>
          </cell>
        </row>
        <row r="3288">
          <cell r="A3288" t="str">
            <v>Ofsted Social Care Provider Webpage</v>
          </cell>
        </row>
        <row r="3289">
          <cell r="A3289" t="str">
            <v>Ofsted Social Care Provider Webpage</v>
          </cell>
        </row>
        <row r="3290">
          <cell r="A3290" t="str">
            <v>Ofsted Social Care Provider Webpage</v>
          </cell>
        </row>
        <row r="3291">
          <cell r="A3291" t="str">
            <v>Ofsted Social Care Provider Webpage</v>
          </cell>
        </row>
        <row r="3292">
          <cell r="A3292" t="str">
            <v>Ofsted Social Care Provider Webpage</v>
          </cell>
        </row>
        <row r="3293">
          <cell r="A3293" t="str">
            <v>Ofsted Social Care Provider Webpage</v>
          </cell>
        </row>
        <row r="3294">
          <cell r="A3294" t="str">
            <v>Ofsted Social Care Provider Webpage</v>
          </cell>
        </row>
        <row r="3295">
          <cell r="A3295" t="str">
            <v>Ofsted Social Care Provider Webpage</v>
          </cell>
        </row>
        <row r="3296">
          <cell r="A3296" t="str">
            <v>Ofsted Social Care Provider Webpage</v>
          </cell>
        </row>
        <row r="3297">
          <cell r="A3297" t="str">
            <v>Ofsted Social Care Provider Webpage</v>
          </cell>
        </row>
        <row r="3298">
          <cell r="A3298" t="str">
            <v>Ofsted Social Care Provider Webpage</v>
          </cell>
        </row>
        <row r="3299">
          <cell r="A3299" t="str">
            <v>Ofsted Social Care Provider Webpage</v>
          </cell>
        </row>
        <row r="3300">
          <cell r="A3300" t="str">
            <v>Ofsted Social Care Provider Webpage</v>
          </cell>
        </row>
        <row r="3301">
          <cell r="A3301" t="str">
            <v>Ofsted Social Care Provider Webpage</v>
          </cell>
        </row>
        <row r="3302">
          <cell r="A3302" t="str">
            <v>Ofsted Social Care Provider Webpage</v>
          </cell>
        </row>
        <row r="3303">
          <cell r="A3303" t="str">
            <v>Ofsted Social Care Provider Webpage</v>
          </cell>
        </row>
        <row r="3304">
          <cell r="A3304" t="str">
            <v>Ofsted Social Care Provider Webpage</v>
          </cell>
        </row>
        <row r="3305">
          <cell r="A3305" t="str">
            <v>Ofsted Social Care Provider Webpage</v>
          </cell>
        </row>
        <row r="3306">
          <cell r="A3306" t="str">
            <v>Ofsted Social Care Provider Webpage</v>
          </cell>
        </row>
        <row r="3307">
          <cell r="A3307" t="str">
            <v>Ofsted Social Care Provider Webpage</v>
          </cell>
        </row>
        <row r="3308">
          <cell r="A3308" t="str">
            <v>Ofsted Social Care Provider Webpage</v>
          </cell>
        </row>
        <row r="3309">
          <cell r="A3309" t="str">
            <v>Ofsted Social Care Provider Webpage</v>
          </cell>
        </row>
        <row r="3310">
          <cell r="A3310" t="str">
            <v>Ofsted Social Care Provider Webpage</v>
          </cell>
        </row>
        <row r="3311">
          <cell r="A3311" t="str">
            <v>Ofsted Social Care Provider Webpage</v>
          </cell>
        </row>
        <row r="3312">
          <cell r="A3312" t="str">
            <v>Ofsted Social Care Provider Webpage</v>
          </cell>
        </row>
        <row r="3313">
          <cell r="A3313" t="str">
            <v>Ofsted Social Care Provider Webpage</v>
          </cell>
        </row>
        <row r="3314">
          <cell r="A3314" t="str">
            <v>Ofsted Social Care Provider Webpage</v>
          </cell>
        </row>
        <row r="3315">
          <cell r="A3315" t="str">
            <v>Ofsted Social Care Provider Webpage</v>
          </cell>
        </row>
        <row r="3316">
          <cell r="A3316" t="str">
            <v>Ofsted Social Care Provider Webpage</v>
          </cell>
        </row>
        <row r="3317">
          <cell r="A3317" t="str">
            <v>Ofsted Social Care Provider Webpage</v>
          </cell>
        </row>
        <row r="3318">
          <cell r="A3318" t="str">
            <v>Ofsted Social Care Provider Webpage</v>
          </cell>
        </row>
        <row r="3319">
          <cell r="A3319" t="str">
            <v>Ofsted Social Care Provider Webpage</v>
          </cell>
        </row>
        <row r="3320">
          <cell r="A3320" t="str">
            <v>Ofsted Social Care Provider Webpage</v>
          </cell>
        </row>
        <row r="3321">
          <cell r="A3321" t="str">
            <v>Ofsted Social Care Provider Webpage</v>
          </cell>
        </row>
        <row r="3322">
          <cell r="A3322" t="str">
            <v>Ofsted Social Care Provider Webpage</v>
          </cell>
        </row>
        <row r="3323">
          <cell r="A3323" t="str">
            <v>Ofsted Social Care Provider Webpage</v>
          </cell>
        </row>
        <row r="3324">
          <cell r="A3324" t="str">
            <v>Ofsted Social Care Provider Webpage</v>
          </cell>
        </row>
        <row r="3325">
          <cell r="A3325" t="str">
            <v>Ofsted Social Care Provider Webpage</v>
          </cell>
        </row>
        <row r="3326">
          <cell r="A3326" t="str">
            <v>Ofsted Social Care Provider Webpage</v>
          </cell>
        </row>
        <row r="3327">
          <cell r="A3327" t="str">
            <v>Ofsted Social Care Provider Webpage</v>
          </cell>
        </row>
        <row r="3328">
          <cell r="A3328" t="str">
            <v>Ofsted Social Care Provider Webpage</v>
          </cell>
        </row>
        <row r="3329">
          <cell r="A3329" t="str">
            <v>Ofsted Social Care Provider Webpage</v>
          </cell>
        </row>
        <row r="3330">
          <cell r="A3330" t="str">
            <v>Ofsted Social Care Provider Webpage</v>
          </cell>
        </row>
        <row r="3331">
          <cell r="A3331" t="str">
            <v>Ofsted Social Care Provider Webpage</v>
          </cell>
        </row>
        <row r="3332">
          <cell r="A3332" t="str">
            <v>Ofsted Social Care Provider Webpage</v>
          </cell>
        </row>
        <row r="3333">
          <cell r="A3333" t="str">
            <v>Ofsted Social Care Provider Webpage</v>
          </cell>
        </row>
        <row r="3334">
          <cell r="A3334" t="str">
            <v>Ofsted Social Care Provider Webpage</v>
          </cell>
        </row>
        <row r="3335">
          <cell r="A3335" t="str">
            <v>Ofsted Social Care Provider Webpage</v>
          </cell>
        </row>
        <row r="3336">
          <cell r="A3336" t="str">
            <v>Ofsted Social Care Provider Webpage</v>
          </cell>
        </row>
        <row r="3337">
          <cell r="A3337" t="str">
            <v>Ofsted Social Care Provider Webpage</v>
          </cell>
        </row>
        <row r="3338">
          <cell r="A3338" t="str">
            <v>Ofsted Social Care Provider Webpage</v>
          </cell>
        </row>
        <row r="3339">
          <cell r="A3339" t="str">
            <v>Ofsted Social Care Provider Webpage</v>
          </cell>
        </row>
        <row r="3340">
          <cell r="A3340" t="str">
            <v>Ofsted Social Care Provider Webpage</v>
          </cell>
        </row>
        <row r="3341">
          <cell r="A3341" t="str">
            <v>Ofsted Social Care Provider Webpage</v>
          </cell>
        </row>
        <row r="3342">
          <cell r="A3342" t="str">
            <v>Ofsted Social Care Provider Webpage</v>
          </cell>
        </row>
        <row r="3343">
          <cell r="A3343" t="str">
            <v>Ofsted Social Care Provider Webpage</v>
          </cell>
        </row>
        <row r="3344">
          <cell r="A3344" t="str">
            <v>Ofsted Social Care Provider Webpage</v>
          </cell>
        </row>
        <row r="3345">
          <cell r="A3345" t="str">
            <v>Ofsted Social Care Provider Webpage</v>
          </cell>
        </row>
        <row r="3346">
          <cell r="A3346" t="str">
            <v>Ofsted Social Care Provider Webpage</v>
          </cell>
        </row>
        <row r="3347">
          <cell r="A3347" t="str">
            <v>Ofsted Social Care Provider Webpage</v>
          </cell>
        </row>
        <row r="3348">
          <cell r="A3348" t="str">
            <v>Ofsted Social Care Provider Webpage</v>
          </cell>
        </row>
        <row r="3349">
          <cell r="A3349" t="str">
            <v>Ofsted Social Care Provider Webpage</v>
          </cell>
        </row>
        <row r="3350">
          <cell r="A3350" t="str">
            <v>Ofsted Social Care Provider Webpage</v>
          </cell>
        </row>
        <row r="3351">
          <cell r="A3351" t="str">
            <v>Ofsted Social Care Provider Webpage</v>
          </cell>
        </row>
        <row r="3352">
          <cell r="A3352" t="str">
            <v>Ofsted Social Care Provider Webpage</v>
          </cell>
        </row>
        <row r="3353">
          <cell r="A3353" t="str">
            <v>Ofsted Social Care Provider Webpage</v>
          </cell>
        </row>
        <row r="3354">
          <cell r="A3354" t="str">
            <v>Ofsted Social Care Provider Webpage</v>
          </cell>
        </row>
        <row r="3355">
          <cell r="A3355" t="str">
            <v>Ofsted Social Care Provider Webpage</v>
          </cell>
        </row>
        <row r="3356">
          <cell r="A3356" t="str">
            <v>Ofsted Social Care Provider Webpage</v>
          </cell>
        </row>
        <row r="3357">
          <cell r="A3357" t="str">
            <v>Ofsted Social Care Provider Webpage</v>
          </cell>
        </row>
        <row r="3358">
          <cell r="A3358" t="str">
            <v>Ofsted Social Care Provider Webpage</v>
          </cell>
        </row>
        <row r="3359">
          <cell r="A3359" t="str">
            <v>Ofsted Social Care Provider Webpage</v>
          </cell>
        </row>
        <row r="3360">
          <cell r="A3360" t="str">
            <v>Ofsted Social Care Provider Webpage</v>
          </cell>
        </row>
        <row r="3361">
          <cell r="A3361" t="str">
            <v>Ofsted Social Care Provider Webpage</v>
          </cell>
        </row>
        <row r="3362">
          <cell r="A3362" t="str">
            <v>Ofsted Social Care Provider Webpage</v>
          </cell>
        </row>
        <row r="3363">
          <cell r="A3363" t="str">
            <v>Ofsted Social Care Provider Webpage</v>
          </cell>
        </row>
        <row r="3364">
          <cell r="A3364" t="str">
            <v>Ofsted Social Care Provider Webpage</v>
          </cell>
        </row>
        <row r="3365">
          <cell r="A3365" t="str">
            <v>Ofsted Social Care Provider Webpage</v>
          </cell>
        </row>
        <row r="3366">
          <cell r="A3366" t="str">
            <v>Ofsted Social Care Provider Webpage</v>
          </cell>
        </row>
        <row r="3367">
          <cell r="A3367" t="str">
            <v>Ofsted Social Care Provider Webpage</v>
          </cell>
        </row>
        <row r="3368">
          <cell r="A3368" t="str">
            <v>Ofsted Social Care Provider Webpage</v>
          </cell>
        </row>
        <row r="3369">
          <cell r="A3369" t="str">
            <v>Ofsted Social Care Provider Webpage</v>
          </cell>
        </row>
        <row r="3370">
          <cell r="A3370" t="str">
            <v>Ofsted Social Care Provider Webpage</v>
          </cell>
        </row>
        <row r="3371">
          <cell r="A3371" t="str">
            <v>Ofsted Social Care Provider Webpage</v>
          </cell>
        </row>
        <row r="3372">
          <cell r="A3372" t="str">
            <v>Ofsted Social Care Provider Webpage</v>
          </cell>
        </row>
        <row r="3373">
          <cell r="A3373" t="str">
            <v>Ofsted Social Care Provider Webpage</v>
          </cell>
        </row>
        <row r="3374">
          <cell r="A3374" t="str">
            <v>Ofsted Social Care Provider Webpage</v>
          </cell>
        </row>
        <row r="3375">
          <cell r="A3375" t="str">
            <v>Ofsted Social Care Provider Webpage</v>
          </cell>
        </row>
        <row r="3376">
          <cell r="A3376" t="str">
            <v>Ofsted Social Care Provider Webpage</v>
          </cell>
        </row>
        <row r="3377">
          <cell r="A3377" t="str">
            <v>Ofsted Social Care Provider Webpage</v>
          </cell>
        </row>
        <row r="3378">
          <cell r="A3378" t="str">
            <v>Ofsted Social Care Provider Webpage</v>
          </cell>
        </row>
        <row r="3379">
          <cell r="A3379" t="str">
            <v>Ofsted Social Care Provider Webpage</v>
          </cell>
        </row>
        <row r="3380">
          <cell r="A3380" t="str">
            <v>Ofsted Social Care Provider Webpage</v>
          </cell>
        </row>
        <row r="3381">
          <cell r="A3381" t="str">
            <v>Ofsted Social Care Provider Webpage</v>
          </cell>
        </row>
        <row r="3382">
          <cell r="A3382" t="str">
            <v>Ofsted Social Care Provider Webpage</v>
          </cell>
        </row>
        <row r="3383">
          <cell r="A3383" t="str">
            <v>Ofsted Social Care Provider Webpage</v>
          </cell>
        </row>
        <row r="3384">
          <cell r="A3384" t="str">
            <v>Ofsted Social Care Provider Webpage</v>
          </cell>
        </row>
        <row r="3385">
          <cell r="A3385" t="str">
            <v>Ofsted Social Care Provider Webpage</v>
          </cell>
        </row>
        <row r="3386">
          <cell r="A3386" t="str">
            <v>Ofsted Social Care Provider Webpage</v>
          </cell>
        </row>
        <row r="3387">
          <cell r="A3387" t="str">
            <v>Ofsted Social Care Provider Webpage</v>
          </cell>
        </row>
        <row r="3388">
          <cell r="A3388" t="str">
            <v>Ofsted Social Care Provider Webpage</v>
          </cell>
        </row>
        <row r="3389">
          <cell r="A3389" t="str">
            <v>Ofsted Social Care Provider Webpage</v>
          </cell>
        </row>
        <row r="3390">
          <cell r="A3390" t="str">
            <v>Ofsted Social Care Provider Webpage</v>
          </cell>
        </row>
        <row r="3391">
          <cell r="A3391" t="str">
            <v>Ofsted Social Care Provider Webpage</v>
          </cell>
        </row>
        <row r="3392">
          <cell r="A3392" t="str">
            <v>Ofsted Social Care Provider Webpage</v>
          </cell>
        </row>
        <row r="3393">
          <cell r="A3393" t="str">
            <v>Ofsted Social Care Provider Webpage</v>
          </cell>
        </row>
        <row r="3394">
          <cell r="A3394" t="str">
            <v>Ofsted Social Care Provider Webpage</v>
          </cell>
        </row>
        <row r="3395">
          <cell r="A3395" t="str">
            <v>Ofsted Social Care Provider Webpage</v>
          </cell>
        </row>
        <row r="3396">
          <cell r="A3396" t="str">
            <v>Ofsted Social Care Provider Webpage</v>
          </cell>
        </row>
        <row r="3397">
          <cell r="A3397" t="str">
            <v>Ofsted Social Care Provider Webpage</v>
          </cell>
        </row>
        <row r="3398">
          <cell r="A3398" t="str">
            <v>Ofsted Social Care Provider Webpage</v>
          </cell>
        </row>
        <row r="3399">
          <cell r="A3399" t="str">
            <v>Ofsted Social Care Provider Webpage</v>
          </cell>
        </row>
        <row r="3400">
          <cell r="A3400" t="str">
            <v>Ofsted Social Care Provider Webpage</v>
          </cell>
        </row>
        <row r="3401">
          <cell r="A3401" t="str">
            <v>Ofsted Social Care Provider Webpage</v>
          </cell>
        </row>
        <row r="3402">
          <cell r="A3402" t="str">
            <v>Ofsted Social Care Provider Webpage</v>
          </cell>
        </row>
        <row r="3403">
          <cell r="A3403" t="str">
            <v>Ofsted Social Care Provider Webpage</v>
          </cell>
        </row>
        <row r="3404">
          <cell r="A3404" t="str">
            <v>Ofsted Social Care Provider Webpage</v>
          </cell>
        </row>
        <row r="3405">
          <cell r="A3405" t="str">
            <v>Ofsted Social Care Provider Webpage</v>
          </cell>
        </row>
        <row r="3406">
          <cell r="A3406" t="str">
            <v>Ofsted Social Care Provider Webpage</v>
          </cell>
        </row>
        <row r="3407">
          <cell r="A3407" t="str">
            <v>Ofsted Social Care Provider Webpage</v>
          </cell>
        </row>
        <row r="3408">
          <cell r="A3408" t="str">
            <v>Ofsted Social Care Provider Webpage</v>
          </cell>
        </row>
        <row r="3409">
          <cell r="A3409" t="str">
            <v>Ofsted Social Care Provider Webpage</v>
          </cell>
        </row>
        <row r="3410">
          <cell r="A3410" t="str">
            <v>Ofsted Social Care Provider Webpage</v>
          </cell>
        </row>
        <row r="3411">
          <cell r="A3411" t="str">
            <v>Ofsted Social Care Provider Webpage</v>
          </cell>
        </row>
        <row r="3412">
          <cell r="A3412" t="str">
            <v>Ofsted Social Care Provider Webpage</v>
          </cell>
        </row>
        <row r="3413">
          <cell r="A3413" t="str">
            <v>Ofsted Social Care Provider Webpage</v>
          </cell>
        </row>
        <row r="3414">
          <cell r="A3414" t="str">
            <v>Ofsted Social Care Provider Webpage</v>
          </cell>
        </row>
        <row r="3415">
          <cell r="A3415" t="str">
            <v>Ofsted Social Care Provider Webpage</v>
          </cell>
        </row>
        <row r="3416">
          <cell r="A3416" t="str">
            <v>Ofsted Social Care Provider Webpage</v>
          </cell>
        </row>
        <row r="3417">
          <cell r="A3417" t="str">
            <v>Ofsted Social Care Provider Webpage</v>
          </cell>
        </row>
        <row r="3418">
          <cell r="A3418" t="str">
            <v>Ofsted Social Care Provider Webpage</v>
          </cell>
        </row>
        <row r="3419">
          <cell r="A3419" t="str">
            <v>Ofsted Social Care Provider Webpage</v>
          </cell>
        </row>
        <row r="3420">
          <cell r="A3420" t="str">
            <v>Ofsted Social Care Provider Webpage</v>
          </cell>
        </row>
        <row r="3421">
          <cell r="A3421" t="str">
            <v>Ofsted Social Care Provider Webpage</v>
          </cell>
        </row>
        <row r="3422">
          <cell r="A3422" t="str">
            <v>Ofsted Social Care Provider Webpage</v>
          </cell>
        </row>
        <row r="3423">
          <cell r="A3423" t="str">
            <v>Ofsted Social Care Provider Webpage</v>
          </cell>
        </row>
        <row r="3424">
          <cell r="A3424" t="str">
            <v>Ofsted Social Care Provider Webpage</v>
          </cell>
        </row>
        <row r="3425">
          <cell r="A3425" t="str">
            <v>Ofsted Social Care Provider Webpage</v>
          </cell>
        </row>
        <row r="3426">
          <cell r="A3426" t="str">
            <v>Ofsted Social Care Provider Webpage</v>
          </cell>
        </row>
        <row r="3427">
          <cell r="A3427" t="str">
            <v>Ofsted Social Care Provider Webpage</v>
          </cell>
        </row>
        <row r="3428">
          <cell r="A3428" t="str">
            <v>Ofsted Social Care Provider Webpage</v>
          </cell>
        </row>
        <row r="3429">
          <cell r="A3429" t="str">
            <v>Ofsted Social Care Provider Webpage</v>
          </cell>
        </row>
        <row r="3430">
          <cell r="A3430" t="str">
            <v>Ofsted Social Care Provider Webpage</v>
          </cell>
        </row>
        <row r="3431">
          <cell r="A3431" t="str">
            <v>Ofsted Social Care Provider Webpage</v>
          </cell>
        </row>
        <row r="3432">
          <cell r="A3432" t="str">
            <v>Ofsted Social Care Provider Webpage</v>
          </cell>
        </row>
        <row r="3433">
          <cell r="A3433" t="str">
            <v>Ofsted Social Care Provider Webpage</v>
          </cell>
        </row>
        <row r="3434">
          <cell r="A3434" t="str">
            <v>Ofsted Social Care Provider Webpage</v>
          </cell>
        </row>
        <row r="3435">
          <cell r="A3435" t="str">
            <v>Ofsted Social Care Provider Webpage</v>
          </cell>
        </row>
        <row r="3436">
          <cell r="A3436" t="str">
            <v>Ofsted Social Care Provider Webpage</v>
          </cell>
        </row>
        <row r="3437">
          <cell r="A3437" t="str">
            <v>Ofsted Social Care Provider Webpage</v>
          </cell>
        </row>
        <row r="3438">
          <cell r="A3438" t="str">
            <v>Ofsted Social Care Provider Webpage</v>
          </cell>
        </row>
        <row r="3439">
          <cell r="A3439" t="str">
            <v>Ofsted Social Care Provider Webpage</v>
          </cell>
        </row>
        <row r="3440">
          <cell r="A3440" t="str">
            <v>Ofsted Social Care Provider Webpage</v>
          </cell>
        </row>
        <row r="3441">
          <cell r="A3441" t="str">
            <v>Ofsted Social Care Provider Webpage</v>
          </cell>
        </row>
        <row r="3442">
          <cell r="A3442" t="str">
            <v>Ofsted Social Care Provider Webpage</v>
          </cell>
        </row>
        <row r="3443">
          <cell r="A3443" t="str">
            <v>Ofsted Social Care Provider Webpage</v>
          </cell>
        </row>
        <row r="3444">
          <cell r="A3444" t="str">
            <v>Ofsted Social Care Provider Webpage</v>
          </cell>
        </row>
        <row r="3445">
          <cell r="A3445" t="str">
            <v>Ofsted Social Care Provider Webpage</v>
          </cell>
        </row>
        <row r="3446">
          <cell r="A3446" t="str">
            <v>Ofsted Social Care Provider Webpage</v>
          </cell>
        </row>
        <row r="3447">
          <cell r="A3447" t="str">
            <v>Ofsted Social Care Provider Webpage</v>
          </cell>
        </row>
        <row r="3448">
          <cell r="A3448" t="str">
            <v>Ofsted Social Care Provider Webpage</v>
          </cell>
        </row>
        <row r="3449">
          <cell r="A3449" t="str">
            <v>Ofsted Social Care Provider Webpage</v>
          </cell>
        </row>
        <row r="3450">
          <cell r="A3450" t="str">
            <v>Ofsted Social Care Provider Webpage</v>
          </cell>
        </row>
        <row r="3451">
          <cell r="A3451" t="str">
            <v>Ofsted Social Care Provider Webpage</v>
          </cell>
        </row>
        <row r="3452">
          <cell r="A3452" t="str">
            <v>Ofsted Social Care Provider Webpage</v>
          </cell>
        </row>
        <row r="3453">
          <cell r="A3453" t="str">
            <v>Ofsted Social Care Provider Webpage</v>
          </cell>
        </row>
        <row r="3454">
          <cell r="A3454" t="str">
            <v>Ofsted Social Care Provider Webpage</v>
          </cell>
        </row>
        <row r="3455">
          <cell r="A3455" t="str">
            <v>Ofsted Social Care Provider Webpage</v>
          </cell>
        </row>
        <row r="3456">
          <cell r="A3456" t="str">
            <v>Ofsted Social Care Provider Webpage</v>
          </cell>
        </row>
        <row r="3457">
          <cell r="A3457" t="str">
            <v>Ofsted Social Care Provider Webpage</v>
          </cell>
        </row>
        <row r="3458">
          <cell r="A3458" t="str">
            <v>Ofsted Social Care Provider Webpage</v>
          </cell>
        </row>
        <row r="3459">
          <cell r="A3459" t="str">
            <v>Ofsted Social Care Provider Webpage</v>
          </cell>
        </row>
        <row r="3460">
          <cell r="A3460" t="str">
            <v>Ofsted Social Care Provider Webpage</v>
          </cell>
        </row>
        <row r="3461">
          <cell r="A3461" t="str">
            <v>Ofsted Social Care Provider Webpage</v>
          </cell>
        </row>
        <row r="3462">
          <cell r="A3462" t="str">
            <v>Ofsted Social Care Provider Webpage</v>
          </cell>
        </row>
        <row r="3463">
          <cell r="A3463" t="str">
            <v>Ofsted Social Care Provider Webpage</v>
          </cell>
        </row>
        <row r="3464">
          <cell r="A3464" t="str">
            <v>Ofsted Social Care Provider Webpage</v>
          </cell>
        </row>
        <row r="3465">
          <cell r="A3465" t="str">
            <v>Ofsted Social Care Provider Webpage</v>
          </cell>
        </row>
        <row r="3466">
          <cell r="A3466" t="str">
            <v>Ofsted Social Care Provider Webpage</v>
          </cell>
        </row>
        <row r="3467">
          <cell r="A3467" t="str">
            <v>Ofsted Social Care Provider Webpage</v>
          </cell>
        </row>
        <row r="3468">
          <cell r="A3468" t="str">
            <v>Ofsted Social Care Provider Webpage</v>
          </cell>
        </row>
        <row r="3469">
          <cell r="A3469" t="str">
            <v>Ofsted Social Care Provider Webpage</v>
          </cell>
        </row>
        <row r="3470">
          <cell r="A3470" t="str">
            <v>Ofsted Social Care Provider Webpage</v>
          </cell>
        </row>
        <row r="3471">
          <cell r="A3471" t="str">
            <v>Ofsted Social Care Provider Webpage</v>
          </cell>
        </row>
        <row r="3472">
          <cell r="A3472" t="str">
            <v>Ofsted Social Care Provider Webpage</v>
          </cell>
        </row>
        <row r="3473">
          <cell r="A3473" t="str">
            <v>Ofsted Social Care Provider Webpage</v>
          </cell>
        </row>
        <row r="3474">
          <cell r="A3474" t="str">
            <v>Ofsted Social Care Provider Webpage</v>
          </cell>
        </row>
        <row r="3475">
          <cell r="A3475" t="str">
            <v>Ofsted Social Care Provider Webpage</v>
          </cell>
        </row>
        <row r="3476">
          <cell r="A3476" t="str">
            <v>Ofsted Social Care Provider Webpage</v>
          </cell>
        </row>
        <row r="3477">
          <cell r="A3477" t="str">
            <v>Ofsted Social Care Provider Webpage</v>
          </cell>
        </row>
        <row r="3478">
          <cell r="A3478" t="str">
            <v>Ofsted Social Care Provider Webpage</v>
          </cell>
        </row>
        <row r="3479">
          <cell r="A3479" t="str">
            <v>Ofsted Social Care Provider Webpage</v>
          </cell>
        </row>
        <row r="3480">
          <cell r="A3480" t="str">
            <v>Ofsted Social Care Provider Webpage</v>
          </cell>
        </row>
        <row r="3481">
          <cell r="A3481" t="str">
            <v>Ofsted Social Care Provider Webpage</v>
          </cell>
        </row>
        <row r="3482">
          <cell r="A3482" t="str">
            <v>Ofsted Social Care Provider Webpage</v>
          </cell>
        </row>
        <row r="3483">
          <cell r="A3483" t="str">
            <v>Ofsted Social Care Provider Webpage</v>
          </cell>
        </row>
        <row r="3484">
          <cell r="A3484" t="str">
            <v>Ofsted Social Care Provider Webpage</v>
          </cell>
        </row>
        <row r="3485">
          <cell r="A3485" t="str">
            <v>Ofsted Social Care Provider Webpage</v>
          </cell>
        </row>
        <row r="3486">
          <cell r="A3486" t="str">
            <v>Ofsted Social Care Provider Webpage</v>
          </cell>
        </row>
        <row r="3487">
          <cell r="A3487" t="str">
            <v>Ofsted Social Care Provider Webpage</v>
          </cell>
        </row>
        <row r="3488">
          <cell r="A3488" t="str">
            <v>Ofsted Social Care Provider Webpage</v>
          </cell>
        </row>
        <row r="3489">
          <cell r="A3489" t="str">
            <v>Ofsted Social Care Provider Webpage</v>
          </cell>
        </row>
        <row r="3490">
          <cell r="A3490" t="str">
            <v>Ofsted Social Care Provider Webpage</v>
          </cell>
        </row>
      </sheetData>
      <sheetData sheetId="28"/>
      <sheetData sheetId="29"/>
      <sheetData sheetId="30"/>
      <sheetData sheetId="31"/>
      <sheetData sheetId="32"/>
      <sheetData sheetId="33"/>
      <sheetData sheetId="34"/>
      <sheetData sheetId="35"/>
      <sheetData sheetId="36"/>
      <sheetData sheetId="37"/>
      <sheetData sheetId="38">
        <row r="8">
          <cell r="B8" t="str">
            <v>All</v>
          </cell>
          <cell r="D8" t="str">
            <v>All Children's Homes</v>
          </cell>
        </row>
        <row r="9">
          <cell r="B9" t="str">
            <v>All children's homes</v>
          </cell>
          <cell r="D9" t="str">
            <v>Children's Home</v>
          </cell>
        </row>
        <row r="10">
          <cell r="B10" t="str">
            <v>Children's home</v>
          </cell>
          <cell r="D10" t="str">
            <v>Residential special school (registered as a children's home)</v>
          </cell>
        </row>
        <row r="11">
          <cell r="B11" t="str">
            <v>Residential special school (registered as a children's home)</v>
          </cell>
          <cell r="D11" t="str">
            <v>Secure children's home</v>
          </cell>
        </row>
        <row r="12">
          <cell r="B12" t="str">
            <v>Secure children's home</v>
          </cell>
          <cell r="D12" t="str">
            <v>Residential special school</v>
          </cell>
        </row>
        <row r="13">
          <cell r="B13" t="str">
            <v>Independent fostering agency</v>
          </cell>
        </row>
        <row r="14">
          <cell r="B14" t="str">
            <v>Voluntary adoption agency</v>
          </cell>
        </row>
        <row r="15">
          <cell r="B15" t="str">
            <v>Residential special school</v>
          </cell>
        </row>
        <row r="16">
          <cell r="B16" t="str">
            <v>Boarding school</v>
          </cell>
        </row>
        <row r="17">
          <cell r="B17" t="str">
            <v>Residential family centre</v>
          </cell>
        </row>
        <row r="18">
          <cell r="B18" t="str">
            <v>Adoption Support Agency</v>
          </cell>
        </row>
        <row r="19">
          <cell r="B19" t="str">
            <v>Further education college with residential accommodation</v>
          </cell>
        </row>
        <row r="20">
          <cell r="B20" t="str">
            <v>Residential holiday scheme for disabled children</v>
          </cell>
        </row>
        <row r="21">
          <cell r="B21" t="str">
            <v>Secure Training Centre</v>
          </cell>
        </row>
      </sheetData>
      <sheetData sheetId="39"/>
      <sheetData sheetId="40"/>
      <sheetData sheetId="41"/>
      <sheetData sheetId="42">
        <row r="3">
          <cell r="A3" t="str">
            <v>Web link</v>
          </cell>
        </row>
      </sheetData>
      <sheetData sheetId="43">
        <row r="3">
          <cell r="A3" t="str">
            <v>Web link</v>
          </cell>
        </row>
      </sheetData>
      <sheetData sheetId="44"/>
      <sheetData sheetId="45"/>
      <sheetData sheetId="46"/>
      <sheetData sheetId="47"/>
      <sheetData sheetId="48"/>
      <sheetData sheetId="49"/>
      <sheetData sheetId="50"/>
      <sheetData sheetId="51"/>
      <sheetData sheetId="52"/>
      <sheetData sheetId="53"/>
      <sheetData sheetId="54">
        <row r="8">
          <cell r="B8" t="str">
            <v>All</v>
          </cell>
        </row>
      </sheetData>
      <sheetData sheetId="55"/>
      <sheetData sheetId="56"/>
      <sheetData sheetId="57"/>
      <sheetData sheetId="58">
        <row r="3">
          <cell r="A3" t="str">
            <v>Web link</v>
          </cell>
        </row>
      </sheetData>
      <sheetData sheetId="59">
        <row r="3">
          <cell r="A3" t="str">
            <v>Web link</v>
          </cell>
        </row>
      </sheetData>
      <sheetData sheetId="60"/>
      <sheetData sheetId="61"/>
      <sheetData sheetId="62"/>
      <sheetData sheetId="63"/>
      <sheetData sheetId="64"/>
      <sheetData sheetId="65"/>
      <sheetData sheetId="66"/>
      <sheetData sheetId="67"/>
      <sheetData sheetId="68"/>
      <sheetData sheetId="69"/>
      <sheetData sheetId="70">
        <row r="8">
          <cell r="B8" t="str">
            <v>All</v>
          </cell>
        </row>
      </sheetData>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C53170D-5263-EB47-8617-C3455C01C469}" name="Cover" displayName="Cover" ref="A2:B16" totalsRowShown="0">
  <tableColumns count="2">
    <tableColumn id="1" xr3:uid="{E2E70F1A-FAF7-814E-BE94-46D3E5068ACE}" name="Section"/>
    <tableColumn id="2" xr3:uid="{8CEF997C-7A1B-C541-98A7-97E0720FDCC5}" name="Detail"/>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1F1C799-26D2-7F49-BE3C-4A2E03929D33}" name="Contents" displayName="Contents" ref="A2:B14" totalsRowShown="0">
  <tableColumns count="2">
    <tableColumn id="1" xr3:uid="{62EDDDA4-DAE4-1D4D-8200-DDFC1655DA09}" name="Worksheet title and link"/>
    <tableColumn id="2" xr3:uid="{29BAEFA7-DBC9-3441-8105-3E6399F4FA44}" name="Description of contents of worksheet"/>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32C6117-879B-D142-8B8A-9AE3DEC01014}" name="Notes" displayName="Notes" ref="A4:B7" totalsRowShown="0">
  <tableColumns count="2">
    <tableColumn id="1" xr3:uid="{8C0BC764-0725-BD43-9FED-9811EB70022B}" name="Note Number"/>
    <tableColumn id="2" xr3:uid="{6352B9D2-3872-134C-8666-A2D559E4A892}" name="Note Text"/>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5E06D37-241F-4F41-B560-91778A484B74}" name="Metadata" displayName="Metadata" ref="A4:F14" totalsRowShown="0">
  <tableColumns count="6">
    <tableColumn id="1" xr3:uid="{C47541A8-9C1E-044C-8679-3E7D871B0A65}" name="Topic"/>
    <tableColumn id="2" xr3:uid="{C584297A-CD90-0741-8220-CCEF664F9603}" name="Local authorities"/>
    <tableColumn id="3" xr3:uid="{F8C386D1-54B1-EC41-8598-5082B0F8766E}" name="Children's homes only"/>
    <tableColumn id="4" xr3:uid="{45F02EC4-9CC3-0541-BAB1-88767C7E2E3C}" name="All social care providers"/>
    <tableColumn id="5" xr3:uid="{E67CFAE0-3F93-B04A-ABAE-980C918DB0B0}" name="In year/period"/>
    <tableColumn id="6" xr3:uid="{A2FB912A-19A6-EC40-8F11-02178EEA8E2E}" name="State of the nation _x000a_(31 March)"/>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D8E770A3-505E-7447-BB91-4861BD9F9456}" name="LA_level_at_Mar_2022" displayName="LA_level_at_Mar_2022" ref="A3:H155" totalsRowShown="0">
  <autoFilter ref="A3:H155" xr:uid="{78B06DBE-1BDA-0F4C-B6BC-DD4EED8A280D}"/>
  <tableColumns count="8">
    <tableColumn id="1" xr3:uid="{3F0E7E76-82AA-0046-BC83-74183FE7F0A0}" name="Web link"/>
    <tableColumn id="2" xr3:uid="{9757D569-25CD-AE4C-AD53-2D4136121B8B}" name="Local authority name"/>
    <tableColumn id="3" xr3:uid="{E59D3B91-CDFF-3E48-81D3-C250A94705D3}" name="Ofsted region"/>
    <tableColumn id="4" xr3:uid="{370BB04C-36AF-8D4C-BF56-F6EADCE48B02}" name="Inspection date"/>
    <tableColumn id="5" xr3:uid="{0A7825E0-E75E-824A-95B0-F991433220E4}" name="Overall effectiveness"/>
    <tableColumn id="6" xr3:uid="{B128C8C0-0480-D44A-80D9-F9A5CAF17A6E}" name="Impact of leaders"/>
    <tableColumn id="7" xr3:uid="{CEE6BB7C-0F0F-FE48-9770-228AB87999C8}" name="Experiences and progress of children who need help and protection"/>
    <tableColumn id="8" xr3:uid="{744DDD58-6392-EF44-9ABE-ED52A767B86A}" name="Experiences and progress of children in care and care leavers"/>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473F861D-924B-7648-9FBB-5F412FA9318F}" name="LA_level_in_year_2021_to_22" displayName="LA_level_in_year_2021_to_22" ref="A3:J132" totalsRowShown="0">
  <autoFilter ref="A3:J132" xr:uid="{DB6EA2C8-3F64-4C4E-84BA-CE58D05A4ECC}"/>
  <tableColumns count="10">
    <tableColumn id="1" xr3:uid="{B21ADE3B-113D-BD43-B555-DA5DAF58B7BC}" name="Web link"/>
    <tableColumn id="2" xr3:uid="{D9973B28-F187-E34F-834C-14CFECEC9B63}" name="Local authority name"/>
    <tableColumn id="3" xr3:uid="{4B0C1191-3534-C94F-87DC-91148F503A12}" name="Ofsted region"/>
    <tableColumn id="4" xr3:uid="{B90CC8DD-68B6-9544-B15F-A3E2DE4E3CC9}" name="Inspection/Visit date"/>
    <tableColumn id="5" xr3:uid="{356239FE-8C3F-594E-969F-BC94D8D0C8E1}" name="Inspection/Visit type"/>
    <tableColumn id="6" xr3:uid="{F460272C-485C-F146-A6A2-C7733B08390F}" name="Overall effectiveness"/>
    <tableColumn id="7" xr3:uid="{FB8D8DAA-56A4-C446-8757-C5F8D4DC0A6E}" name="Impact of leaders"/>
    <tableColumn id="8" xr3:uid="{28AADFC9-3C5B-1E49-8E32-C3C469C754D7}" name="Experiences and progress of children who need help and protection"/>
    <tableColumn id="9" xr3:uid="{AA79DBBD-8A8F-534C-BA48-AA0A3004BBF2}" name="Experiences and progress of children in care and care leavers"/>
    <tableColumn id="10" xr3:uid="{D7CE5EE9-BDDB-6845-BE5C-1502BBA622B1}" name="Visit Theme"/>
  </tableColumns>
  <tableStyleInfo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FED67C96-783E-C848-BB60-70BC747C5269}" name="Provider_level_at_31_March_20XX" displayName="Provider_level_at_31_March_20XX" ref="A5:AC3581" totalsRowShown="0">
  <tableColumns count="29">
    <tableColumn id="1" xr3:uid="{EF099738-B6AB-E74C-A535-530B747A1531}" name="Web link"/>
    <tableColumn id="2" xr3:uid="{EE45998C-73C0-1D49-A086-B4DAEF23EAB2}" name="URN"/>
    <tableColumn id="3" xr3:uid="{3BC9CC64-1783-524C-BCA2-9079F1BBAA96}" name="Linked Education URN"/>
    <tableColumn id="4" xr3:uid="{11652E51-7E79-D74D-AAAF-556359A6D331}" name="Provision type"/>
    <tableColumn id="5" xr3:uid="{AB22D909-7A15-3047-A3D3-A04339FA4866}" name="Registration date"/>
    <tableColumn id="6" xr3:uid="{ADEB4204-95A6-6145-9260-952D2B9B292E}" name="Registration status"/>
    <tableColumn id="7" xr3:uid="{2569E2B3-55D9-7B4B-9A11-DDB96BEF8621}" name="Name"/>
    <tableColumn id="8" xr3:uid="{7368383C-9AF7-D041-9DD6-4365AF365C53}" name="Address 1"/>
    <tableColumn id="9" xr3:uid="{2584F526-F25B-C149-8B2D-775B210334A2}" name="Address 2"/>
    <tableColumn id="10" xr3:uid="{DB68C831-5428-5449-95DA-4CC7A29432DF}" name="Town"/>
    <tableColumn id="11" xr3:uid="{CD0BB6F6-DA08-D54C-8876-7AEC25AF8BD0}" name="County"/>
    <tableColumn id="12" xr3:uid="{73E3E741-3889-4F44-B60F-E077A2A35852}" name="Postcode"/>
    <tableColumn id="13" xr3:uid="{195E2927-BD1A-B04C-9BCD-EDA488865006}" name="Ofsted region"/>
    <tableColumn id="14" xr3:uid="{02E6B402-022C-3D41-8C74-0DE02E75DAC6}" name="Government Office Region"/>
    <tableColumn id="15" xr3:uid="{2846D181-3608-3342-8900-7CAD61E18823}" name="Local authority"/>
    <tableColumn id="16" xr3:uid="{7DD8DF75-E764-6E43-A4DD-9D36611BAE20}" name="Parliamentary constituency"/>
    <tableColumn id="17" xr3:uid="{AFDCCD91-9079-C846-9150-0E42E0AF463B}" name="Sector"/>
    <tableColumn id="18" xr3:uid="{1FD6BA0E-7FD0-A44C-986C-3BACA08DCF62}" name="Places"/>
    <tableColumn id="19" xr3:uid="{994C02BA-AB44-F847-9C2A-FAD3499FEE36}" name="Short-break-only children's home"/>
    <tableColumn id="20" xr3:uid="{0FE39B56-98F2-6B46-BDF6-6A5C9A848514}" name="Organisation which owns the provider"/>
    <tableColumn id="21" xr3:uid="{6B06B6B9-F24A-5547-97EB-CC033D746F13}" name="Latest full inspection event type"/>
    <tableColumn id="22" xr3:uid="{06432467-1495-7A41-941C-C1A03E7B5158}" name="Latest full inspection date"/>
    <tableColumn id="23" xr3:uid="{71A843AD-A832-9F4C-BC0D-150FF31F2862}" name="Latest full inspection publication date"/>
    <tableColumn id="24" xr3:uid="{F81B1848-4C7D-BE4D-8723-3ECC24D5C465}" name="Latest full inspection event number"/>
    <tableColumn id="25" xr3:uid="{BDBB3B63-2530-0147-8B11-95F9018A9890}" name="Latest full inspection overall experiences and progress of children and young people"/>
    <tableColumn id="26" xr3:uid="{3E86C18C-2EBC-394D-94AF-32ECF9286B80}" name="Latest full inspection outcomes in education and related learning activities"/>
    <tableColumn id="27" xr3:uid="{E2D49D7D-0322-3740-B173-897DFDC54970}" name="Latest full inspectio health services"/>
    <tableColumn id="28" xr3:uid="{70EE5AE7-B3E9-B64C-9065-051FB52E8893}" name="Latest full inspection how well children and young people are helped and protected"/>
    <tableColumn id="29" xr3:uid="{55BBAE32-EBE6-284B-9305-433BB89D2A6B}" name="Latest full inspection the effectiveness of leaders and managers"/>
  </tableColumns>
  <tableStyleInfo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7D4E1350-A8CB-B945-8A99-08AF2B024299}" name="Provider_level_in_year_20XX_to_XX" displayName="Provider_level_in_year_20XX_to_XX" ref="A4:AC3616" totalsRowShown="0">
  <autoFilter ref="A4:AC3616" xr:uid="{A6294F7E-AABB-F54B-BDD9-E8461B7C6035}"/>
  <tableColumns count="29">
    <tableColumn id="1" xr3:uid="{0A765837-6F4C-D94C-8971-27065E658747}" name="Web link"/>
    <tableColumn id="2" xr3:uid="{0191B31C-F507-3844-BEBD-416856F70C9A}" name="URN"/>
    <tableColumn id="3" xr3:uid="{EE86CD62-27E5-9741-9565-909EE15F465D}" name="Linked Education URN"/>
    <tableColumn id="4" xr3:uid="{E545A7C1-DC48-DE4E-A44D-1A9DFF03A9BC}" name="Provision type"/>
    <tableColumn id="5" xr3:uid="{1B5B0CB2-3C39-DC4F-8077-937639575705}" name="Registration date"/>
    <tableColumn id="6" xr3:uid="{F168AD86-8C63-AE43-8D1D-D4508CA00DDF}" name="Registration status"/>
    <tableColumn id="7" xr3:uid="{8D4D836C-A967-1A43-BCCE-38EECE82743E}" name="Name"/>
    <tableColumn id="8" xr3:uid="{66847C6F-E3BA-A041-9CAA-047F6602610F}" name="Address 1"/>
    <tableColumn id="9" xr3:uid="{296912C7-B1BE-4D43-BBB4-731CEBBE8673}" name="Address 2"/>
    <tableColumn id="10" xr3:uid="{08C85466-119F-E249-B611-506D0CCC7BA9}" name="Town"/>
    <tableColumn id="11" xr3:uid="{3A1EC955-2472-CE46-AC9F-530F996546B8}" name="County"/>
    <tableColumn id="12" xr3:uid="{FDCFA8A0-0AC7-9E4F-B1F1-D6D3008A4B22}" name="Postcode"/>
    <tableColumn id="13" xr3:uid="{A35B5159-397A-0643-AC23-F1559B9D2499}" name="Ofsted region"/>
    <tableColumn id="14" xr3:uid="{27E4CA8E-65C3-2748-948B-9CB813130C55}" name="Government Office Region"/>
    <tableColumn id="15" xr3:uid="{2AF5D79E-1926-E14E-8547-78AC72498E83}" name="Local authority"/>
    <tableColumn id="16" xr3:uid="{AE393CC5-BB26-924C-B2D4-E519576F50A4}" name="Parliamentary constituency"/>
    <tableColumn id="17" xr3:uid="{B0F6603E-D9B1-264A-9F91-0697DDE86081}" name="Sector"/>
    <tableColumn id="18" xr3:uid="{DBDA80D2-D1F1-A942-BAEA-BB36B4223086}" name="Places"/>
    <tableColumn id="19" xr3:uid="{B958DA88-423D-1F4C-894B-9A010BD9D70A}" name="Short-break-only children's home"/>
    <tableColumn id="20" xr3:uid="{1100A0EE-10C1-3645-A4C3-5FC9347EE2C9}" name="Organisation which owns the provider"/>
    <tableColumn id="21" xr3:uid="{06659BE7-B32B-B14E-986A-728106148205}" name="Inspection event type"/>
    <tableColumn id="22" xr3:uid="{0CE4BCCC-FE55-FC40-9057-7644C833394C}" name="Inspection date"/>
    <tableColumn id="23" xr3:uid="{C631BFF4-D733-2F44-A1AA-4EE6413FA3B5}" name="Inspection publication date"/>
    <tableColumn id="24" xr3:uid="{BD8693AF-7EA9-1644-8503-863DE199A659}" name="Inspection event number"/>
    <tableColumn id="25" xr3:uid="{906AF43E-A587-814A-8FE4-77F0A0683B00}" name="Inspection overall experiences and progress of children and young people"/>
    <tableColumn id="26" xr3:uid="{41DF7E0A-882F-0A49-8AB0-C322942CAE46}" name="Inspection outcomes in education and related learning activities"/>
    <tableColumn id="27" xr3:uid="{C895CA15-4800-6041-B466-FA293BCFAC31}" name="Inspection health services"/>
    <tableColumn id="28" xr3:uid="{FFBAFB62-EB6B-E54E-946E-F482B41D719A}" name="Inspection how well children and young people are helped and protected"/>
    <tableColumn id="29" xr3:uid="{B2826710-817B-F243-9AA6-6F9CE6F84A4C}" name="Inspection the effectiveness of leaders and managers"/>
  </tableColumns>
  <tableStyleInfo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36D38DF5-ABEB-654E-B8F9-DBA0F67A12E8}" name="Providers_and_places_at_31_Mar_20XX" displayName="Providers_and_places_at_31_Mar_20XX" ref="A4:T3580" totalsRowShown="0">
  <autoFilter ref="A4:T3580" xr:uid="{37709D68-0857-A943-8911-D3ED97348917}"/>
  <sortState xmlns:xlrd2="http://schemas.microsoft.com/office/spreadsheetml/2017/richdata2" ref="A6:T3580">
    <sortCondition ref="B5:B3580"/>
  </sortState>
  <tableColumns count="20">
    <tableColumn id="1" xr3:uid="{8BE0B5D8-12F7-9047-90BA-67FDEDD85E23}" name="Web link"/>
    <tableColumn id="2" xr3:uid="{A74E6BC7-42EF-AD42-9ACE-ED118B9A840E}" name="URN"/>
    <tableColumn id="3" xr3:uid="{C1FB8BE6-A847-5C40-B8B2-91512BB6B299}" name="Linked education URN"/>
    <tableColumn id="4" xr3:uid="{C0A535B8-3360-E24D-A2E6-073A2332F2A4}" name="Provision type"/>
    <tableColumn id="5" xr3:uid="{51CF792D-0742-094C-8A71-2D8C3F974928}" name="Registration date"/>
    <tableColumn id="6" xr3:uid="{3038152E-AC61-0242-A3B4-32EE828E71A4}" name="Registration status"/>
    <tableColumn id="7" xr3:uid="{2E7348AF-D786-A642-8A66-7BA85E582D14}" name="Name"/>
    <tableColumn id="8" xr3:uid="{975ADE8F-F3BA-D24A-9400-5D6AE6E61E4A}" name="Address 1"/>
    <tableColumn id="9" xr3:uid="{528052A5-DB83-7643-AEB2-D3E1744D60AB}" name="Address 2"/>
    <tableColumn id="10" xr3:uid="{B6188E17-C237-5E4F-87B9-A5C624CCEB0D}" name="Town"/>
    <tableColumn id="11" xr3:uid="{DDC3F376-C714-0747-81FC-ACCBC96F336B}" name="County"/>
    <tableColumn id="12" xr3:uid="{985DFFE2-C60B-3D48-9CE0-81E65CB453B7}" name="Postcode"/>
    <tableColumn id="13" xr3:uid="{F67910D6-1182-9348-95CA-3E9536C0D686}" name="Ofsted Region"/>
    <tableColumn id="14" xr3:uid="{58FE8D70-81A0-BA4A-9BFC-050EABAA0C8F}" name="Government Office Region"/>
    <tableColumn id="15" xr3:uid="{78F60EBD-AA52-4445-8DFD-3E3C82380E43}" name="Local authority"/>
    <tableColumn id="16" xr3:uid="{4C4D3E6D-602D-5442-BA22-3564402CC9B3}" name="Parliamentary constituency"/>
    <tableColumn id="17" xr3:uid="{EAA8953D-4EA7-924E-8951-CBA2BD07307E}" name="Sector"/>
    <tableColumn id="18" xr3:uid="{C98DC1EB-7ACC-D548-8980-8E83BD37D5D1}" name="Places"/>
    <tableColumn id="19" xr3:uid="{395DE220-E424-2F4B-87DB-34148A022202}" name="Short-break-only children's home"/>
    <tableColumn id="20" xr3:uid="{4A6E50FF-D913-0940-B4B0-D6F60DCCB08F}" name="Organisation name"/>
  </tableColumns>
  <tableStyleInfo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397D901C-CB50-E846-97E4-457DF4102E60}" name="Leavers_and_Joiners_at_31_Mar_2022" displayName="Leavers_and_Joiners_at_31_Mar_2022" ref="A4:O508" totalsRowShown="0">
  <tableColumns count="15">
    <tableColumn id="1" xr3:uid="{0B6C3D3F-EA59-B549-AD9E-3AA388696450}" name="URN"/>
    <tableColumn id="2" xr3:uid="{3B28A01F-A403-D545-B8AB-820F698CF404}" name="Provision type"/>
    <tableColumn id="3" xr3:uid="{C4D20FC3-2435-4646-B970-AF32A9D41B0A}" name="Ofsted Region"/>
    <tableColumn id="4" xr3:uid="{48B80F40-B6D1-2340-8A80-7E42D17F269F}" name="Government Office Region"/>
    <tableColumn id="5" xr3:uid="{7579C6B1-39BE-4344-9D8F-D3591A5AD0B6}" name="Local authority"/>
    <tableColumn id="6" xr3:uid="{A98AA85E-245A-AD44-8275-7348567C2E3D}" name="Parliamentary constituency"/>
    <tableColumn id="7" xr3:uid="{55641B79-4BCD-5F40-84CD-EB6C49D4860E}" name="Sector"/>
    <tableColumn id="8" xr3:uid="{B0983F6D-2701-F241-9535-92425078FF37}" name="Places"/>
    <tableColumn id="9" xr3:uid="{732DC0DD-D3D5-6D45-B5AC-993AFC323449}" name="Short-break-only children's home"/>
    <tableColumn id="10" xr3:uid="{B6D2862C-D959-A24A-81C1-972403D26D0A}" name="Registration date"/>
    <tableColumn id="11" xr3:uid="{3E1AC270-D0A9-7842-B73B-DAC1B980E62C}" name="Cancelled or resigned date"/>
    <tableColumn id="12" xr3:uid="{82E734FB-0ED2-1742-B076-BD0279D7FB8D}" name="Joiner status"/>
    <tableColumn id="13" xr3:uid="{C92702CD-B8DA-DF49-BBF5-3D8A7A682D63}" name="Leaver status"/>
    <tableColumn id="14" xr3:uid="{92E1C85E-32ED-3047-9992-28D11CC7C606}" name="Registration status (as at 31 March 2022)"/>
    <tableColumn id="15" xr3:uid="{08564170-9008-974F-8EC8-C3CEEF3A0714}" name="Name"/>
  </tableColumns>
  <tableStyleInfo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F4F1971F-DE09-DA42-BB01-FC7D68E24B2B}" name="National_number_of_social_care_providers_six_monthly_by_provision_type" displayName="National_number_of_social_care_providers_six_monthly_by_provision_type" ref="A6:P28" totalsRowShown="0">
  <tableColumns count="16">
    <tableColumn id="1" xr3:uid="{EF14A574-CFCC-4F45-AED5-F5874A1E3B1F}" name="Date"/>
    <tableColumn id="2" xr3:uid="{43F27037-945B-8949-B2C6-B384C3EA95E3}" name="Data type"/>
    <tableColumn id="3" xr3:uid="{83C90749-CB1B-A54D-A5B0-101D788E4F7A}" name="All Children's Homes"/>
    <tableColumn id="4" xr3:uid="{3A290599-DD2E-B24C-81A0-D70613A50BDA}" name="Children's Homes"/>
    <tableColumn id="5" xr3:uid="{BA3778E4-B0C5-C34A-A7E8-3391C12093D8}" name="Secure Children's Homes"/>
    <tableColumn id="6" xr3:uid="{6A849E5B-A4B5-8644-B609-98FAEE798383}" name="Residential special school (registered as a children's home)"/>
    <tableColumn id="7" xr3:uid="{37F5D30B-7364-E74A-AAC7-E763BF82E319}" name="Residential Special Schools"/>
    <tableColumn id="8" xr3:uid="{0ADC1622-CAC0-AD41-82C4-D4097DFD6B44}" name="Residential Family Centres"/>
    <tableColumn id="9" xr3:uid="{96AA2637-96E8-314A-9D56-93DA48EB6EB9}" name="Boarding Schools"/>
    <tableColumn id="10" xr3:uid="{9B327EF6-917D-324F-B5B3-6A58E011654F}" name="Further Education Colleges with Residential Accommodation"/>
    <tableColumn id="11" xr3:uid="{7B573C09-FBD7-354D-B238-4E0EC4E03F62}" name="Secure Training Centres"/>
    <tableColumn id="12" xr3:uid="{EFA07C38-B3D3-0440-82C1-C5020BD3834A}" name="Adoption Support Agencies"/>
    <tableColumn id="13" xr3:uid="{A3A78A96-90BA-E64F-8BB7-F4AAC0B2371E}" name="Voluntary Adoption Agency Branches"/>
    <tableColumn id="14" xr3:uid="{8F1DFE37-5E02-6443-847D-3FB3335E7B42}" name="Independent Fostering Agencies"/>
    <tableColumn id="15" xr3:uid="{E0F7F58A-1B6A-CF44-B150-C7924389EAE9}" name="Residential Holiday Schemes for Disabled Children"/>
    <tableColumn id="16" xr3:uid="{8D93976F-1887-7B44-BFDA-4FC23CBF239C}" name="All"/>
  </tableColumns>
  <tableStyleInfo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6EB5C49C-B52D-6845-8EF2-1F7CFB4C04D0}" name="National_number_of_social_care_places_six_monthly_by_provision_type" displayName="National_number_of_social_care_places_six_monthly_by_provision_type" ref="A31:J53" totalsRowShown="0">
  <tableColumns count="10">
    <tableColumn id="1" xr3:uid="{752E40DA-1A98-C849-848B-C8D95C791CD4}" name="Date"/>
    <tableColumn id="2" xr3:uid="{B062BBDA-C2D7-0440-B5C0-1817D23458A5}" name="Data type"/>
    <tableColumn id="3" xr3:uid="{1400970F-E04C-8043-A0A5-0935D3AE2F50}" name="All Children's Homes"/>
    <tableColumn id="4" xr3:uid="{52505625-8868-C642-9C3B-CD347F20BE80}" name="Children's Homes"/>
    <tableColumn id="5" xr3:uid="{AFD9D491-2044-4242-945E-60ADE6CD9EED}" name="Secure Children's Homes"/>
    <tableColumn id="6" xr3:uid="{0836B9B6-EDDE-7A49-8B76-676F410D6DAF}" name="Residential special school (registered as a children's home)"/>
    <tableColumn id="7" xr3:uid="{9368C415-A6B2-2B43-8171-474CD5238FFC}" name="Residential Special Schools"/>
    <tableColumn id="8" xr3:uid="{4433CA3E-84FC-7B46-A734-0CCEA70E9854}" name="Residential Family Centres"/>
    <tableColumn id="9" xr3:uid="{05C2F043-BDFA-4848-B547-B4B0918F485A}" name="Boarding Schools"/>
    <tableColumn id="10" xr3:uid="{7F1E3C93-FBA0-844A-A473-CCEF356D2971}" name="Further Education Colleges with Residential Accommodation"/>
  </tableColumns>
  <tableStyleInfo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B932BA1C-02C4-AC4F-BD1B-BDDFE3418C2C}" name="Latest_overall_effectiveness_judgement_for_all_providers" displayName="Latest_overall_effectiveness_judgement_for_all_providers" ref="A4:E15" totalsRowShown="0">
  <tableColumns count="5">
    <tableColumn id="1" xr3:uid="{85D224D5-313E-F749-92BD-DAA580254F8D}" name="Period as at"/>
    <tableColumn id="2" xr3:uid="{F93AA124-CA2D-7C4E-A55A-8329382FDAA7}" name="Outstanding"/>
    <tableColumn id="3" xr3:uid="{3D1792DD-E94D-324C-B0FF-02F67F5CBFF6}" name="Good"/>
    <tableColumn id="4" xr3:uid="{DEFC1491-4B75-0946-8907-A136A256E542}" name="Requires improvement to be good"/>
    <tableColumn id="5" xr3:uid="{FEE78F2C-5690-A14E-9776-3BBD84E63714}" name="Inadequate"/>
  </tableColumns>
  <tableStyleInfo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DCA42659-AFC1-C24B-84A6-4D0BFF30100C}" name="Latest_overall_effectiveness_judgement_for_all_CH" displayName="Latest_overall_effectiveness_judgement_for_all_CH" ref="A18:E29" totalsRowShown="0">
  <tableColumns count="5">
    <tableColumn id="1" xr3:uid="{54E448C6-C1B1-4D4F-A1C1-940856F8F7DA}" name="Period as at"/>
    <tableColumn id="2" xr3:uid="{42C8EEA8-AC97-D645-B386-6EE7B4B88805}" name="Outstanding"/>
    <tableColumn id="3" xr3:uid="{D8CEEF84-A04D-5448-8D90-25A23BF839B8}" name="Good"/>
    <tableColumn id="4" xr3:uid="{FF093526-FD40-D541-9270-317D4C7A5E0E}" name="Requires improvement to be good"/>
    <tableColumn id="5" xr3:uid="{9EB253F7-4EED-3143-8CB7-A684DBAE121C}" name="Inadequate"/>
  </tableColumns>
  <tableStyleInfo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A53DDACE-4783-A541-8BCF-2C7E964E0655}" name="Latest_overall_effectiveness_judgement_for_CH" displayName="Latest_overall_effectiveness_judgement_for_CH" ref="A32:E43" totalsRowShown="0">
  <tableColumns count="5">
    <tableColumn id="1" xr3:uid="{A5FDFA80-B80B-9342-A55A-1A1FC2E3AF27}" name="Period as at"/>
    <tableColumn id="2" xr3:uid="{D8E428C0-318A-4F47-A6AF-08F69209C85F}" name="Outstanding"/>
    <tableColumn id="3" xr3:uid="{332C36D3-BD21-344A-89F6-2F7B10673C34}" name="Good"/>
    <tableColumn id="4" xr3:uid="{BD3F077C-FF66-8648-9A95-91E5081DC320}" name="Requires improvement to be good"/>
    <tableColumn id="5" xr3:uid="{062D9C32-EA22-5840-AFB6-9DC8F9C88800}" name="Inadequate"/>
  </tableColumns>
  <tableStyleInfo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4FC9C98E-F386-4344-8E52-2E7DD39A7D7A}" name="Latest_overall_effectiveness_judgement_for_residential_special_schools_registered_as_CH" displayName="Latest_overall_effectiveness_judgement_for_residential_special_schools_registered_as_CH" ref="A46:E57" totalsRowShown="0">
  <tableColumns count="5">
    <tableColumn id="1" xr3:uid="{B3239C83-1163-7D48-BFC9-ADF6CA7782A1}" name="Period as at"/>
    <tableColumn id="2" xr3:uid="{4319542D-5DDD-4540-8EAB-4F72712CCA70}" name="Outstanding"/>
    <tableColumn id="3" xr3:uid="{0F220385-9358-A649-BDC3-C8936732D898}" name="Good"/>
    <tableColumn id="4" xr3:uid="{4D8AAFFE-CBBB-DC4C-8812-82457FC0021D}" name="Requires improvement to be good"/>
    <tableColumn id="5" xr3:uid="{2C8C3EAD-2E67-8D47-94E1-03E17A0B30AA}" name="Inadequate"/>
  </tableColumns>
  <tableStyleInfo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BC0113A6-2051-EC47-A4E8-AF0319DF0F07}" name="Latest_overall_effectiveness_judgement_for_secure_CH" displayName="Latest_overall_effectiveness_judgement_for_secure_CH" ref="A60:E71" totalsRowShown="0">
  <tableColumns count="5">
    <tableColumn id="1" xr3:uid="{52260F31-029C-F14E-AB00-C200850FFF09}" name="Period as at"/>
    <tableColumn id="2" xr3:uid="{0521CA59-215B-3A48-812D-4F33D9A32C68}" name="Outstanding"/>
    <tableColumn id="3" xr3:uid="{C8A8172D-766A-964C-A87D-01A8A0C24611}" name="Good"/>
    <tableColumn id="4" xr3:uid="{2CCD54E5-5A2A-5C4A-966B-8FA70C367FCF}" name="Requires improvement to be good"/>
    <tableColumn id="5" xr3:uid="{85B7719D-0E62-C948-84A2-1A09C0D674D2}" name="Inadequate"/>
  </tableColumns>
  <tableStyleInfo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DD54434-A565-E846-8359-98F7333ECC71}" name="Latest_overall_effectiveness_judgement_for_independent_fostering_agencies" displayName="Latest_overall_effectiveness_judgement_for_independent_fostering_agencies" ref="A74:E85" totalsRowShown="0">
  <tableColumns count="5">
    <tableColumn id="1" xr3:uid="{20E9AB34-44C4-0C49-A2FD-F4F8A7CD1508}" name="Period as at"/>
    <tableColumn id="2" xr3:uid="{7CC9CE34-C422-DB43-B03E-9113461CA98A}" name="Outstanding"/>
    <tableColumn id="3" xr3:uid="{58453921-0D26-6D4D-B896-60F19B7699A3}" name="Good"/>
    <tableColumn id="4" xr3:uid="{F6DE1C8F-395A-3A4C-A2DC-9BAD75E2380F}" name="Requires improvement to be good"/>
    <tableColumn id="5" xr3:uid="{4B656306-24B6-E74E-89BE-356B0C0A3CFF}" name="Inadequate"/>
  </tableColumns>
  <tableStyleInfo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7259BE07-FF70-8F48-BA04-C60DD3A43535}" name="Latest_overall_effectiveness_judgement_for_voluntary_adoption_agencies" displayName="Latest_overall_effectiveness_judgement_for_voluntary_adoption_agencies" ref="A88:E99" totalsRowShown="0">
  <tableColumns count="5">
    <tableColumn id="1" xr3:uid="{880813C0-C19B-8B43-A27D-67C9A161553D}" name="Period as at"/>
    <tableColumn id="2" xr3:uid="{BDB54804-DED0-0E4A-8A45-CE9EEA09966D}" name="Outstanding"/>
    <tableColumn id="3" xr3:uid="{CFF19AA0-3C57-0A41-B741-6EA6FB6B7EDF}" name="Good"/>
    <tableColumn id="4" xr3:uid="{1E971D54-5B7D-4B42-AD3B-2B8933A64655}" name="Requires improvement to be good"/>
    <tableColumn id="5" xr3:uid="{519519F9-5F6C-5741-9E53-18C054B0F2DC}" name="Inadequate"/>
  </tableColumns>
  <tableStyleInfo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0F876B82-A810-844F-985A-C8C998A87A89}" name="Latest_overall_effectiveness_judgement_for_residential_special_schools" displayName="Latest_overall_effectiveness_judgement_for_residential_special_schools" ref="A102:E113" totalsRowShown="0">
  <tableColumns count="5">
    <tableColumn id="1" xr3:uid="{BC2B2731-2496-7843-9989-FBA6A11F5207}" name="Period as at"/>
    <tableColumn id="2" xr3:uid="{0FE81440-1670-1A41-94BF-C62B3EDFF141}" name="Outstanding"/>
    <tableColumn id="3" xr3:uid="{83CA1977-15A6-6740-AAFF-737C32209525}" name="Good"/>
    <tableColumn id="4" xr3:uid="{ED36328C-74E7-8245-8342-78D8EE37E666}" name="Requires improvement to be good"/>
    <tableColumn id="5" xr3:uid="{F9CE01A7-4810-CF47-9455-6DA435F20E2F}" name="Inadequate"/>
  </tableColumns>
  <tableStyleInfo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F3F9B930-31FA-9447-A651-463B40C8A693}" name="Latest_overall_effectiveness_judgement_for_boarding_schools" displayName="Latest_overall_effectiveness_judgement_for_boarding_schools" ref="A116:E127" totalsRowShown="0">
  <tableColumns count="5">
    <tableColumn id="1" xr3:uid="{5232132F-8182-FA46-AEB9-BBBC328DF31B}" name="Period as at"/>
    <tableColumn id="2" xr3:uid="{6B2921C6-16F8-7543-A35A-4330FB5014FD}" name="Outstanding"/>
    <tableColumn id="3" xr3:uid="{C009BFB1-76CF-8A46-99D5-E02DE04B3C37}" name="Good"/>
    <tableColumn id="4" xr3:uid="{8DF3D86C-BA0A-1942-BF15-335CADA1FCE8}" name="Requires improvement to be good"/>
    <tableColumn id="5" xr3:uid="{7B33B0E5-E4B4-BA48-A976-B4D29B7CF40E}" name="Inadequate"/>
  </tableColumns>
  <tableStyleInfo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6E9757E1-7115-BD4F-B21A-F4565173D623}" name="Latest_overall_effectiveness_judgement_for_residential_family_centre" displayName="Latest_overall_effectiveness_judgement_for_residential_family_centre" ref="A130:E141" totalsRowShown="0">
  <tableColumns count="5">
    <tableColumn id="1" xr3:uid="{A3D351CC-635B-2D46-916A-9AF2BCDBB69D}" name="Period as at"/>
    <tableColumn id="2" xr3:uid="{A76E0978-0289-2C4F-87F9-6D44D583FF43}" name="Outstanding"/>
    <tableColumn id="3" xr3:uid="{A84CA244-E5A9-E145-A057-613D5CA3B7F5}" name="Good"/>
    <tableColumn id="4" xr3:uid="{36B373C8-F486-5F46-9C38-563B2A5101CC}" name="Requires improvement to be good"/>
    <tableColumn id="5" xr3:uid="{D6F7781A-842C-BA4B-959A-9DC824D6F2F0}" name="Inadequate"/>
  </tableColumns>
  <tableStyleInfo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4304D339-4792-374F-A318-1072E43F798D}" name="Latest_overall_effectiveness_judgement_for_adoption_support_agencies" displayName="Latest_overall_effectiveness_judgement_for_adoption_support_agencies" ref="A144:E155" totalsRowShown="0">
  <tableColumns count="5">
    <tableColumn id="1" xr3:uid="{C655EE5E-B1B6-6E4E-82AE-E93C24D048D3}" name="Period as at"/>
    <tableColumn id="2" xr3:uid="{29DA7808-65F1-D64F-9922-D5C9C81452AF}" name="Outstanding"/>
    <tableColumn id="3" xr3:uid="{A990EC93-7031-2147-AC32-E4F8ABB1F5C6}" name="Good"/>
    <tableColumn id="4" xr3:uid="{E590FEB4-5AA7-FE49-990B-3C76CB32DCF0}" name="Requires improvement to be good"/>
    <tableColumn id="5" xr3:uid="{408CA9A8-51FE-1D41-9A85-C0806074E80E}" name="Inadequate"/>
  </tableColumns>
  <tableStyleInfo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FAFC73CA-C983-AB42-B549-1FDCE9BF01A0}" name="Latest_overall_effectiveness_judgement_for_further_education_colleges_with_residential_accomodation" displayName="Latest_overall_effectiveness_judgement_for_further_education_colleges_with_residential_accomodation" ref="A158:E169" totalsRowShown="0">
  <tableColumns count="5">
    <tableColumn id="1" xr3:uid="{1450237C-BDFF-E04F-AF64-4718E0AD8E37}" name="Period as at"/>
    <tableColumn id="2" xr3:uid="{6579BC64-851B-0640-B767-B563B7FA77E2}" name="Outstanding"/>
    <tableColumn id="3" xr3:uid="{0C205759-1E20-C647-AFFC-CF63DE0D6F51}" name="Good"/>
    <tableColumn id="4" xr3:uid="{AC815E20-E725-CF49-BC27-35C4A42F9466}" name="Requires improvement to be good"/>
    <tableColumn id="5" xr3:uid="{6926AD47-2C11-9242-B6A3-C118B1481F16}" name="Inadequate"/>
  </tableColumns>
  <tableStyleInfo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A875AD67-5124-CC45-B4B6-5AC4DD29DB0A}" name="Latest_overall_effectiveness_judgement_for_residential_holiday_schemes_for_disabled_children" displayName="Latest_overall_effectiveness_judgement_for_residential_holiday_schemes_for_disabled_children" ref="A172:E183" totalsRowShown="0">
  <tableColumns count="5">
    <tableColumn id="1" xr3:uid="{8AB51C60-B0C8-E847-8003-4F3283DEE008}" name="Period as at"/>
    <tableColumn id="2" xr3:uid="{BA514DB6-6D12-644F-AFF7-FAC13275EBC7}" name="Outstanding"/>
    <tableColumn id="3" xr3:uid="{48A1B5EC-C94E-7B41-90F5-AE7C1BF79146}" name="Good"/>
    <tableColumn id="4" xr3:uid="{BA82EF6F-335D-CA41-A52A-CAC9F96CE0D6}" name="Requires improvement to be good"/>
    <tableColumn id="5" xr3:uid="{1708D612-C4CC-0B4A-A396-7B347ACDAC30}" name="Inadequate"/>
  </tableColumns>
  <tableStyleInfo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31BB51F4-9827-464A-81D9-D530DBC1A783}" name="Overall_effectiveness_judgement_of_all_children_s_home_inspections_between_01_April_2007_and_31_March_2022" displayName="Overall_effectiveness_judgement_of_all_children_s_home_inspections_between_01_April_2007_and_31_March_2022" ref="A4:E19" totalsRowShown="0">
  <tableColumns count="5">
    <tableColumn id="1" xr3:uid="{A20E7BF3-0F86-E042-A1C8-53B6F904A8A5}" name="Period"/>
    <tableColumn id="2" xr3:uid="{66B193F5-47C8-884E-AA96-79DDC4ED9D3E}" name="Outstanding"/>
    <tableColumn id="3" xr3:uid="{745F175B-2947-0643-AABB-4F36F3EAB249}" name="Good"/>
    <tableColumn id="4" xr3:uid="{249CE613-7D5C-374F-939E-99EB353E10E4}" name="Requires improvement to be good"/>
    <tableColumn id="5" xr3:uid="{E00493EE-4646-3B49-9488-C71588D119D9}" name="Inadequate"/>
  </tableColumns>
  <tableStyleInfo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FC7D44D5-67B1-BB4B-8830-9143D93F4DCC}" name="Overall_effectiveness_judgement_of_children_s_home_inspections_between_01_April_2007_and_31_March_2022" displayName="Overall_effectiveness_judgement_of_children_s_home_inspections_between_01_April_2007_and_31_March_2022" ref="A22:E37" totalsRowShown="0">
  <tableColumns count="5">
    <tableColumn id="1" xr3:uid="{3A534313-9BB3-D347-B0D6-A487DFC07AD9}" name="Period"/>
    <tableColumn id="2" xr3:uid="{A7E9AC47-B871-5E45-84A1-452482E9C37F}" name="Outstanding"/>
    <tableColumn id="3" xr3:uid="{F0D0B489-2BEE-3644-92B0-640C7A93D68B}" name="Good"/>
    <tableColumn id="4" xr3:uid="{9BED7D04-5649-8949-B608-A69C34A657E7}" name="Requires improvement to be good"/>
    <tableColumn id="5" xr3:uid="{5A3D8FCD-E90F-1D47-B265-246129CDF6C0}" name="Inadequate"/>
  </tableColumns>
  <tableStyleInfo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A368A3C4-5837-9149-9556-E0BFF2106056}" name="Overall_effectiveness_judgement_of_residential_special_schools_registered_as_children_s_home_inspections_between_01_April_2007_and_31_March_20XX" displayName="Overall_effectiveness_judgement_of_residential_special_schools_registered_as_children_s_home_inspections_between_01_April_2007_and_31_March_20XX" ref="A40:E55" totalsRowShown="0">
  <tableColumns count="5">
    <tableColumn id="1" xr3:uid="{D6CC4A93-BDC7-B64E-A295-73D039B35D5D}" name="Period"/>
    <tableColumn id="2" xr3:uid="{4347AE54-2B76-B14E-BF64-675818930DD1}" name="Outstanding"/>
    <tableColumn id="3" xr3:uid="{04C21557-74A7-AB4E-AD0A-5E23922290B5}" name="Good"/>
    <tableColumn id="4" xr3:uid="{3DE54E07-FB35-9E4E-8AAA-4AEC5BC948BE}" name="Requires improvement to be good"/>
    <tableColumn id="5" xr3:uid="{6C53D4EF-CA27-3543-B2D9-3C7C3277F854}" name="Inadequate"/>
  </tableColumns>
  <tableStyleInfo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8B1D7D93-27AA-EA4C-8797-B8BC76AF5F8C}" name="Overall_effectiveness_judgement_of_secure_children_s_home_inspections_between_01_April_2007_and_31_March_20XX" displayName="Overall_effectiveness_judgement_of_secure_children_s_home_inspections_between_01_April_2007_and_31_March_20XX" ref="A58:E73" totalsRowShown="0">
  <tableColumns count="5">
    <tableColumn id="1" xr3:uid="{7908074F-C72C-B945-8462-366F708133F7}" name="Period"/>
    <tableColumn id="2" xr3:uid="{94AF81CE-BD9D-0D42-B82F-73004D7AC43F}" name="Outstanding"/>
    <tableColumn id="3" xr3:uid="{F25E03C7-1A94-7A4B-B8A7-84ED18D64E47}" name="Good"/>
    <tableColumn id="4" xr3:uid="{60EF56C6-1B05-EC44-9343-16A48233A0B4}" name="Requires improvement to be good"/>
    <tableColumn id="5" xr3:uid="{FC6F9B32-8D82-054D-B0E8-12EB1B4DA4D4}" name="Inadequate"/>
  </tableColumns>
  <tableStyleInfo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A96BB130-B3F4-3B4D-994B-7CE7AF4910C0}" name="Overall_effectiveness_judgement_of__residential_special_school_inspections_between_01_April_2007_and_31_March_20XX" displayName="Overall_effectiveness_judgement_of__residential_special_school_inspections_between_01_April_2007_and_31_March_20XX" ref="A76:E91" totalsRowShown="0">
  <tableColumns count="5">
    <tableColumn id="1" xr3:uid="{71E89686-E57E-2D4C-AEDD-3D78C47F53EE}" name="Period"/>
    <tableColumn id="2" xr3:uid="{8B8CEA8D-1885-7A48-BBBD-2465D99B4B5D}" name="Outstanding"/>
    <tableColumn id="3" xr3:uid="{AD900EB2-F3EE-2443-A1BE-FA69EAB7E611}" name="Good"/>
    <tableColumn id="4" xr3:uid="{ED07115F-19B1-ED46-B6B9-F33D66FCC79D}" name="Requires improvement to be good"/>
    <tableColumn id="5" xr3:uid="{7E608D8A-AA3C-F94E-8C57-964656CD8946}" name="Inadequate"/>
  </tableColumns>
  <tableStyleInfo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88C663A3-8A00-9641-9B18-4647221AE94B}" name="LA_inspections_2009_to_XX" displayName="LA_inspections_2009_to_XX" ref="A6:AL158" totalsRowShown="0">
  <autoFilter ref="A6:AL158" xr:uid="{D88DF823-AA6D-0C42-9216-AD9FA0A0872A}"/>
  <tableColumns count="38">
    <tableColumn id="1" xr3:uid="{EFCB57E4-1672-8E47-B47E-4102FF8B4374}" name="Web link"/>
    <tableColumn id="2" xr3:uid="{92A72D16-1C1D-2C46-A39C-D36B4F896D17}" name="Local authority name"/>
    <tableColumn id="3" xr3:uid="{92B874B9-F1C0-CC43-B8FC-96CAC1FA4754}" name="LA region"/>
    <tableColumn id="4" xr3:uid="{2E2779BF-F007-5D4F-AC1D-4B113969C5FE}" name="LA Authority Type"/>
    <tableColumn id="5" xr3:uid="{6FEBAC64-90C5-B147-AAB6-E813D2DEA035}" name="Safeguarding &amp; Looked After Children (SLAC) Inspection publication date"/>
    <tableColumn id="6" xr3:uid="{765C1E3B-2B7E-604D-BA60-EE1EA24E13D7}" name="SLAC Safeguarding Overall effectiveness (OE)"/>
    <tableColumn id="7" xr3:uid="{18B62819-5E19-5F43-AA67-71307CE1E45E}" name="SLAC Looked After Children Overall Effectiveness (OE)"/>
    <tableColumn id="8" xr3:uid="{29056DDF-B02B-E446-BBD1-475EFA59298B}" name="SLAC re-inspection of Safeguarding publication date"/>
    <tableColumn id="9" xr3:uid="{F710EABF-82DF-F547-B84E-80C2BAB452C8}" name="SLAC re-inspection Safeguarding OE"/>
    <tableColumn id="10" xr3:uid="{717CDF2E-A79F-2C46-8B5F-82BF40B94F8D}" name="SLAC re-inspection of services for Children Looked After publication date"/>
    <tableColumn id="11" xr3:uid="{70151072-0794-B34E-8294-F36E5DFA7C96}" name="SLAC re-inspection of services Children Looked After OE"/>
    <tableColumn id="12" xr3:uid="{8B736526-C0F1-D749-95FE-20C494592DA9}" name="Child Protection Inspections (CPI) publication date"/>
    <tableColumn id="13" xr3:uid="{C6D1629B-7D73-7647-81D3-D5E899A36842}" name="CPI Overall Effectiveness (OE)"/>
    <tableColumn id="14" xr3:uid="{3250DADC-F939-AA47-9652-F2AE4E4CA242}" name="Child Protection Re-Inspection (CPRI) publication date"/>
    <tableColumn id="15" xr3:uid="{3BCEEC24-73F2-A24E-A4CE-A3D63DAF7687}" name="CPRI Overall Effectiveness (OE)"/>
    <tableColumn id="16" xr3:uid="{DE999FB6-F74B-A746-B2A9-36FA42915A6C}" name="Targeted Looked After Children (TLAC) inspection publication date"/>
    <tableColumn id="17" xr3:uid="{AE65793D-D99C-6549-9AAD-0632CB0CD2A2}" name="TLAC Overall Effectiveness (OE)"/>
    <tableColumn id="18" xr3:uid="{2BE9E9C8-44B7-2145-97BB-1757DEBFB003}" name="Single Inspection of LA Children's Services (SIF)  First SIF publication date"/>
    <tableColumn id="19" xr3:uid="{E751904D-2185-7B43-BAF6-B7A93504107B}" name=" First SIF Overall Judgement_x000a_(OE)"/>
    <tableColumn id="20" xr3:uid="{03F6D71B-EED8-D849-906D-81CCFB1CD4AE}" name=" First SIF children who need help and protection "/>
    <tableColumn id="21" xr3:uid="{E732F287-519C-3648-8024-D288B0F98D5D}" name=" First SIF children looked after and achieving permanence "/>
    <tableColumn id="22" xr3:uid="{B0015496-8FEB-C64F-9EC7-0010A12B39AB}" name=" First SIF CLA Sub: Adoption Performance"/>
    <tableColumn id="23" xr3:uid="{3D14CEE0-4572-9843-A74C-8EE2388F6C15}" name=" First SIF CLA Sub: Experiences and progress of care leavers"/>
    <tableColumn id="24" xr3:uid="{0C1633ED-2EA2-144D-9B95-B299660F62CC}" name=" First SIF leadership, management and governance"/>
    <tableColumn id="25" xr3:uid="{448FB016-EEC7-DF44-BB84-A9511D1E4FBE}" name="LSCB Overall Effectiveness "/>
    <tableColumn id="26" xr3:uid="{02B4A9AE-B0EB-D545-975D-F82EECE88A57}" name="Single Inspection of LA Children's Services (SIF) SIF Re-inspection publication date"/>
    <tableColumn id="27" xr3:uid="{EE0F29ED-9D3D-3742-AF88-3D9A1D52CF92}" name=" SIF Re-inspection Overall Judgement_x000a_(OE)"/>
    <tableColumn id="28" xr3:uid="{C4243818-D8FC-3649-AC36-D2888C4E0A5A}" name=" SIF Re-inspection children who need help and protection "/>
    <tableColumn id="29" xr3:uid="{5B2AEE86-0C57-E44E-840B-9F9F45067BDC}" name=" SIF Re-inspection children looked after and achieving permanence "/>
    <tableColumn id="30" xr3:uid="{4F9AD11C-32FE-074D-923A-6271644BE34C}" name=" SIF Re-inspection CLA Sub: Adoption Performance"/>
    <tableColumn id="31" xr3:uid="{F80A991A-B048-B44F-93A8-123D523BB4C1}" name=" SIF Re-inspection CLA Sub: Experiences and progress of care leavers"/>
    <tableColumn id="32" xr3:uid="{DE7716FA-14F0-E844-AC13-034C321A9DDD}" name=" SIF Re-inspection leadership, management and governance"/>
    <tableColumn id="33" xr3:uid="{684D1AD8-56D1-8F47-8245-F2ECDD16A07A}" name="ILACS framework inspection type"/>
    <tableColumn id="34" xr3:uid="{7389E0CF-6F05-0343-81F1-5BE8BFD5BB9B}" name="ILACS framework publication date"/>
    <tableColumn id="35" xr3:uid="{FA4C2332-D530-E64C-AE27-A21C7CAE5C02}" name="ILACS framework overall effectiveness"/>
    <tableColumn id="36" xr3:uid="{BD837232-CB3D-5D48-B0CB-0BC9B78F3B1F}" name="ILACS framework impact of leaders"/>
    <tableColumn id="37" xr3:uid="{4F963EFC-58C2-0D43-A4E2-1E1B9F4BEBF5}" name="ILACS framework experiences and progress of children who need help and protection"/>
    <tableColumn id="38" xr3:uid="{110E34B5-E27A-F843-8658-90EFAE7C63B7}" name="ILACS framework experiences and progress of children in care and care leavers"/>
  </tableColumns>
  <tableStyleInfo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3945EB4E-0F7E-E142-A38F-29FB7D60C946}" name="History_of_inspections_of_three_local_aithorities_that_existed_before_the_restructure_in_April_2019" displayName="History_of_inspections_of_three_local_aithorities_that_existed_before_the_restructure_in_April_2019" ref="A162:AL165" totalsRowShown="0">
  <tableColumns count="38">
    <tableColumn id="1" xr3:uid="{5F1D9ABE-EDB1-944F-83EE-9FD19296FCCA}" name="Web link"/>
    <tableColumn id="2" xr3:uid="{14766261-7F02-9640-AEBB-756964A96CF3}" name="Local authority name"/>
    <tableColumn id="3" xr3:uid="{4FC2E07B-E6BE-4E45-A9C7-6151A3153F41}" name="LA region"/>
    <tableColumn id="4" xr3:uid="{53161AA9-B046-904D-AAE0-0881FDE32CE1}" name="LA Authority Type"/>
    <tableColumn id="5" xr3:uid="{978E2E89-76C5-C147-82EB-58A3EEE46E62}" name="Safeguarding &amp; Looked After Children (SLAC) Inspection publication date"/>
    <tableColumn id="6" xr3:uid="{111E7BA8-44BC-3144-836B-A7AE86DE950F}" name="SLAC Safeguarding Overall effectiveness (OE)"/>
    <tableColumn id="7" xr3:uid="{6A5A99FC-C15E-D349-91F7-348E063B07DD}" name="SLAC Looked After Children Overall Effectiveness (OE)"/>
    <tableColumn id="8" xr3:uid="{832B8749-AD7A-434E-9509-C7B716579CFB}" name="SLAC re-inspection of Safeguarding publication date"/>
    <tableColumn id="9" xr3:uid="{EE4F493F-CF1E-D840-9391-0FDB8D3C23EC}" name="SLAC re-inspection Safeguarding OE"/>
    <tableColumn id="10" xr3:uid="{BFA6C7E3-D817-BE48-8155-B5FF65CD545F}" name="SLAC re-inspection of services for Children Looked After publication date"/>
    <tableColumn id="11" xr3:uid="{17D48771-004F-0C45-A105-F5D2BB9C5FB7}" name="SLAC re-inspection of services Children Looked After OE"/>
    <tableColumn id="12" xr3:uid="{525B2F2E-BF17-8C4F-9E4F-369D802E9D8A}" name="Child Protection Inspections (CPI) publication date"/>
    <tableColumn id="13" xr3:uid="{E037E1C7-9E03-114E-9AE9-1590EFB59D19}" name="CPI Overall Effectiveness (OE)"/>
    <tableColumn id="14" xr3:uid="{E50843AB-C763-F34A-8AB5-A51267797BE1}" name="Child Protection Re-Inspection (CPRI) publication date"/>
    <tableColumn id="15" xr3:uid="{DCE3D64D-54E8-C646-AA2E-33DBDBB40C4E}" name="CPRI Overall Effectiveness (OE)"/>
    <tableColumn id="16" xr3:uid="{DB8FCA2A-D8D0-E041-81CD-12A4FC3D71E9}" name="Targeted Looked After Children (TLAC) inspection publication date"/>
    <tableColumn id="17" xr3:uid="{4BCDAEA5-2A1E-F140-BD55-0CD16810182A}" name="TLAC Overall Effectiveness (OE)"/>
    <tableColumn id="18" xr3:uid="{82722577-6D03-C248-BC0A-F70BE75F689C}" name="Single Inspection of LA Children's Services (SIF)  First SIF publication date"/>
    <tableColumn id="19" xr3:uid="{87966BF3-EA9E-8144-90A3-0327FA07C96E}" name=" First SIF Overall Judgement_x000a_(OE)"/>
    <tableColumn id="20" xr3:uid="{9B13D863-631A-7348-A9EF-D5AC7517EFE9}" name=" First SIF children who need help and protection "/>
    <tableColumn id="21" xr3:uid="{229A2B1A-6826-6748-831D-9915EC2343D2}" name=" First SIF children looked after and achieving permanence "/>
    <tableColumn id="22" xr3:uid="{D59BF1E4-3496-FE47-B8B2-A2ABA5353149}" name=" First SIF CLA Sub: Adoption Performance"/>
    <tableColumn id="23" xr3:uid="{3A4BD957-292D-664C-B37E-E9D1B960B12A}" name=" First SIF CLA Sub: Experiences and progress of care leavers"/>
    <tableColumn id="24" xr3:uid="{A17E1902-9AD5-CF4F-AFC2-EBFC4E408BC6}" name=" First SIF leadership, management and governance"/>
    <tableColumn id="25" xr3:uid="{3AB54023-E14E-1C41-A6EE-00C0B54BA7D8}" name="LSCB Overall Effectiveness "/>
    <tableColumn id="26" xr3:uid="{40D42DB6-C566-EA4C-88C0-E82EAEDBAD13}" name="Single Inspection of LA Children's Services (SIF) SIF Re-inspection publication date"/>
    <tableColumn id="27" xr3:uid="{4993EEBD-A68B-3944-8F9F-63482CFC29C5}" name=" SIF Re-inspection Overall Judgement_x000a_(OE)"/>
    <tableColumn id="28" xr3:uid="{1A75ECD9-6263-0848-BBB8-C6BE7AFEC0AF}" name=" SIF Re-inspection children who need help and protection "/>
    <tableColumn id="29" xr3:uid="{B3544020-2884-9944-9BFE-AD87E323C409}" name=" SIF Re-inspection children looked after and achieving permanence "/>
    <tableColumn id="30" xr3:uid="{3D98897F-DA0C-F54C-8172-D8961AE7F386}" name=" SIF Re-inspection CLA Sub: Adoption Performance"/>
    <tableColumn id="31" xr3:uid="{48738C10-CF99-2A46-9E0D-32C16B15A1C1}" name=" SIF Re-inspection CLA Sub: Experiences and progress of care leavers"/>
    <tableColumn id="32" xr3:uid="{2425394A-15C7-F148-AF90-42940DCBB781}" name=" SIF Re-inspection leadership, management and governance"/>
    <tableColumn id="33" xr3:uid="{BB81EB5E-DF66-0A49-B903-56265864D7FC}" name="ILACS framework inspection type"/>
    <tableColumn id="34" xr3:uid="{4E5E3C79-4053-F842-9EEB-F78217C8F376}" name="ILACS framework publication date"/>
    <tableColumn id="35" xr3:uid="{238E2B19-6CE3-E44C-8EE3-03F1549FEB7E}" name="ILACS framework overall effectiveness"/>
    <tableColumn id="36" xr3:uid="{879D2945-B022-1940-B867-69073E4CD1A5}" name="ILACS framework impact of leaders"/>
    <tableColumn id="37" xr3:uid="{33BD8676-8EC9-6C41-B658-2CF9BEA877D8}" name="ILACS framework experiences and progress of children who need help and protection"/>
    <tableColumn id="38" xr3:uid="{95634CFB-A182-2C46-835A-5CA71253CACE}" name="ILACS framework experiences and progress of children in care and care leavers"/>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www.nationalarchives.gov.uk/doc/open-government-licence/" TargetMode="External"/><Relationship Id="rId2" Type="http://schemas.openxmlformats.org/officeDocument/2006/relationships/hyperlink" Target="https://www.gov.uk/government/collections/childrens-social-care-statistics" TargetMode="External"/><Relationship Id="rId1" Type="http://schemas.openxmlformats.org/officeDocument/2006/relationships/hyperlink" Target="mailto:pressenquiries@ofsted.gov.uk" TargetMode="External"/><Relationship Id="rId6" Type="http://schemas.openxmlformats.org/officeDocument/2006/relationships/table" Target="../tables/table1.xml"/><Relationship Id="rId5" Type="http://schemas.openxmlformats.org/officeDocument/2006/relationships/drawing" Target="../drawings/drawing1.xml"/><Relationship Id="rId4" Type="http://schemas.openxmlformats.org/officeDocument/2006/relationships/hyperlink" Target="mailto:psi@nationalarchives.gsi.gov.uk" TargetMode="External"/></Relationships>
</file>

<file path=xl/worksheets/_rels/sheet2.xml.rels><?xml version="1.0" encoding="UTF-8" standalone="yes"?>
<Relationships xmlns="http://schemas.openxmlformats.org/package/2006/relationships"><Relationship Id="rId2" Type="http://schemas.openxmlformats.org/officeDocument/2006/relationships/hyperlink" Target="https://www.w3.org/WAI/standards-guidelines/wcag/" TargetMode="External"/><Relationship Id="rId1" Type="http://schemas.openxmlformats.org/officeDocument/2006/relationships/hyperlink" Target="https://gss.civilservice.gov.uk/policy-store/releasing-statistics-in-spreadsheets/" TargetMode="Externa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hyperlink" Target="http://webarchive.nationalarchives.gov.uk/20141124154759/http:/www.ofsted.gov.uk/resources/statistics" TargetMode="External"/><Relationship Id="rId2" Type="http://schemas.openxmlformats.org/officeDocument/2006/relationships/hyperlink" Target="https://www.gov.uk/government/collections/childrens-social-care-statistics" TargetMode="External"/><Relationship Id="rId1" Type="http://schemas.openxmlformats.org/officeDocument/2006/relationships/hyperlink" Target="https://www.gov.uk/government/publications/ofsted-standards-for-official-statistics" TargetMode="External"/><Relationship Id="rId4" Type="http://schemas.openxmlformats.org/officeDocument/2006/relationships/hyperlink" Target="http://www.gov.uk/government/collections/childrens-social-care-statistics" TargetMode="Externa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hyperlink" Target="https://reports.ofsted.gov.uk/provider/44/941" TargetMode="External"/><Relationship Id="rId1" Type="http://schemas.openxmlformats.org/officeDocument/2006/relationships/hyperlink" Target="https://reports.ofsted.gov.uk/provider/44/940" TargetMode="External"/></Relationships>
</file>

<file path=xl/worksheets/_rels/sheet8.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hyperlink" Target="https://reports.ofsted.gov.uk/provider/44/941" TargetMode="External"/><Relationship Id="rId1" Type="http://schemas.openxmlformats.org/officeDocument/2006/relationships/hyperlink" Target="https://reports.ofsted.gov.uk/provider/44/940" TargetMode="External"/></Relationships>
</file>

<file path=xl/worksheets/_rels/sheet9.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table" Target="../tables/table11.xml"/></Relationships>
</file>

<file path=xl/worksheets/_rels/sheet14.xml.rels><?xml version="1.0" encoding="UTF-8" standalone="yes"?>
<Relationships xmlns="http://schemas.openxmlformats.org/package/2006/relationships"><Relationship Id="rId8" Type="http://schemas.openxmlformats.org/officeDocument/2006/relationships/table" Target="../tables/table20.xml"/><Relationship Id="rId13" Type="http://schemas.openxmlformats.org/officeDocument/2006/relationships/table" Target="../tables/table25.xml"/><Relationship Id="rId3" Type="http://schemas.openxmlformats.org/officeDocument/2006/relationships/table" Target="../tables/table15.xml"/><Relationship Id="rId7" Type="http://schemas.openxmlformats.org/officeDocument/2006/relationships/table" Target="../tables/table19.xml"/><Relationship Id="rId12" Type="http://schemas.openxmlformats.org/officeDocument/2006/relationships/table" Target="../tables/table24.xml"/><Relationship Id="rId2" Type="http://schemas.openxmlformats.org/officeDocument/2006/relationships/table" Target="../tables/table14.xml"/><Relationship Id="rId1" Type="http://schemas.openxmlformats.org/officeDocument/2006/relationships/table" Target="../tables/table13.xml"/><Relationship Id="rId6" Type="http://schemas.openxmlformats.org/officeDocument/2006/relationships/table" Target="../tables/table18.xml"/><Relationship Id="rId11" Type="http://schemas.openxmlformats.org/officeDocument/2006/relationships/table" Target="../tables/table23.xml"/><Relationship Id="rId5" Type="http://schemas.openxmlformats.org/officeDocument/2006/relationships/table" Target="../tables/table17.xml"/><Relationship Id="rId10" Type="http://schemas.openxmlformats.org/officeDocument/2006/relationships/table" Target="../tables/table22.xml"/><Relationship Id="rId4" Type="http://schemas.openxmlformats.org/officeDocument/2006/relationships/table" Target="../tables/table16.xml"/><Relationship Id="rId9" Type="http://schemas.openxmlformats.org/officeDocument/2006/relationships/table" Target="../tables/table21.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28.xml"/><Relationship Id="rId2" Type="http://schemas.openxmlformats.org/officeDocument/2006/relationships/table" Target="../tables/table27.xml"/><Relationship Id="rId1" Type="http://schemas.openxmlformats.org/officeDocument/2006/relationships/table" Target="../tables/table26.xml"/><Relationship Id="rId5" Type="http://schemas.openxmlformats.org/officeDocument/2006/relationships/table" Target="../tables/table30.xml"/><Relationship Id="rId4" Type="http://schemas.openxmlformats.org/officeDocument/2006/relationships/table" Target="../tables/table29.xml"/></Relationships>
</file>

<file path=xl/worksheets/_rels/sheet16.xml.rels><?xml version="1.0" encoding="UTF-8" standalone="yes"?>
<Relationships xmlns="http://schemas.openxmlformats.org/package/2006/relationships"><Relationship Id="rId2" Type="http://schemas.openxmlformats.org/officeDocument/2006/relationships/table" Target="../tables/table32.xml"/><Relationship Id="rId1" Type="http://schemas.openxmlformats.org/officeDocument/2006/relationships/table" Target="../tables/table3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E5B077-3FE7-4643-A9E4-5A9A525728A1}">
  <dimension ref="A1:B26"/>
  <sheetViews>
    <sheetView tabSelected="1" workbookViewId="0"/>
  </sheetViews>
  <sheetFormatPr baseColWidth="10" defaultColWidth="13.19921875" defaultRowHeight="13.25" x14ac:dyDescent="0.15"/>
  <cols>
    <col min="1" max="1" width="45.59765625" style="20" customWidth="1"/>
    <col min="2" max="2" width="234" style="21" customWidth="1"/>
    <col min="3" max="3" width="13.19921875" style="21" customWidth="1"/>
    <col min="4" max="16384" width="13.19921875" style="21"/>
  </cols>
  <sheetData>
    <row r="1" spans="1:2" s="3" customFormat="1" ht="90" customHeight="1" x14ac:dyDescent="0.15">
      <c r="A1" s="1" t="s">
        <v>0</v>
      </c>
      <c r="B1" s="2"/>
    </row>
    <row r="2" spans="1:2" s="3" customFormat="1" ht="28" customHeight="1" x14ac:dyDescent="0.15">
      <c r="A2" s="4" t="s">
        <v>1</v>
      </c>
      <c r="B2" s="5" t="s">
        <v>2</v>
      </c>
    </row>
    <row r="3" spans="1:2" s="8" customFormat="1" ht="23.25" customHeight="1" x14ac:dyDescent="0.15">
      <c r="A3" s="6" t="s">
        <v>3</v>
      </c>
      <c r="B3" s="7" t="s">
        <v>4</v>
      </c>
    </row>
    <row r="4" spans="1:2" s="8" customFormat="1" ht="23.25" customHeight="1" x14ac:dyDescent="0.15">
      <c r="A4" s="6" t="s">
        <v>5</v>
      </c>
      <c r="B4" s="7" t="s">
        <v>6</v>
      </c>
    </row>
    <row r="5" spans="1:2" s="8" customFormat="1" ht="23.25" customHeight="1" x14ac:dyDescent="0.15">
      <c r="A5" s="6" t="s">
        <v>7</v>
      </c>
      <c r="B5" s="9">
        <v>44749</v>
      </c>
    </row>
    <row r="6" spans="1:2" s="8" customFormat="1" ht="23.25" customHeight="1" x14ac:dyDescent="0.15">
      <c r="A6" s="6" t="s">
        <v>8</v>
      </c>
      <c r="B6" s="7" t="s">
        <v>9</v>
      </c>
    </row>
    <row r="7" spans="1:2" s="8" customFormat="1" ht="83.5" customHeight="1" x14ac:dyDescent="0.15">
      <c r="A7" s="10" t="s">
        <v>10</v>
      </c>
      <c r="B7" s="11" t="s">
        <v>11</v>
      </c>
    </row>
    <row r="8" spans="1:2" s="8" customFormat="1" ht="23.25" customHeight="1" x14ac:dyDescent="0.15">
      <c r="A8" s="10" t="s">
        <v>12</v>
      </c>
      <c r="B8" s="12" t="s">
        <v>13</v>
      </c>
    </row>
    <row r="9" spans="1:2" s="8" customFormat="1" ht="93" customHeight="1" x14ac:dyDescent="0.15">
      <c r="A9" s="10" t="s">
        <v>14</v>
      </c>
      <c r="B9" s="13" t="s">
        <v>15</v>
      </c>
    </row>
    <row r="10" spans="1:2" s="8" customFormat="1" ht="23.25" customHeight="1" x14ac:dyDescent="0.15">
      <c r="A10" s="10" t="s">
        <v>16</v>
      </c>
      <c r="B10" s="14" t="s">
        <v>17</v>
      </c>
    </row>
    <row r="11" spans="1:2" s="8" customFormat="1" ht="23.25" customHeight="1" x14ac:dyDescent="0.15">
      <c r="A11" s="10" t="s">
        <v>18</v>
      </c>
      <c r="B11" s="14" t="s">
        <v>19</v>
      </c>
    </row>
    <row r="12" spans="1:2" s="8" customFormat="1" ht="21.5" customHeight="1" x14ac:dyDescent="0.15">
      <c r="A12" s="10" t="s">
        <v>20</v>
      </c>
      <c r="B12" s="14" t="s">
        <v>21</v>
      </c>
    </row>
    <row r="13" spans="1:2" s="8" customFormat="1" ht="23.25" customHeight="1" x14ac:dyDescent="0.15">
      <c r="A13" s="10" t="s">
        <v>22</v>
      </c>
      <c r="B13" s="15" t="s">
        <v>23</v>
      </c>
    </row>
    <row r="14" spans="1:2" s="8" customFormat="1" ht="23.25" customHeight="1" x14ac:dyDescent="0.15">
      <c r="A14" s="10" t="s">
        <v>24</v>
      </c>
      <c r="B14" s="14" t="s">
        <v>25</v>
      </c>
    </row>
    <row r="15" spans="1:2" s="8" customFormat="1" ht="35" customHeight="1" x14ac:dyDescent="0.15">
      <c r="A15" s="16" t="s">
        <v>26</v>
      </c>
      <c r="B15" s="15" t="s">
        <v>27</v>
      </c>
    </row>
    <row r="16" spans="1:2" s="3" customFormat="1" ht="15" x14ac:dyDescent="0.15">
      <c r="A16" s="17" t="s">
        <v>28</v>
      </c>
    </row>
    <row r="17" spans="1:2" s="3" customFormat="1" ht="15" x14ac:dyDescent="0.15">
      <c r="A17" s="17" t="s">
        <v>29</v>
      </c>
    </row>
    <row r="18" spans="1:2" s="3" customFormat="1" ht="15" x14ac:dyDescent="0.15">
      <c r="A18" s="17" t="s">
        <v>30</v>
      </c>
    </row>
    <row r="19" spans="1:2" s="3" customFormat="1" ht="16" x14ac:dyDescent="0.15">
      <c r="A19" s="18" t="s">
        <v>31</v>
      </c>
    </row>
    <row r="20" spans="1:2" s="3" customFormat="1" ht="15" x14ac:dyDescent="0.15">
      <c r="A20" s="19" t="s">
        <v>32</v>
      </c>
    </row>
    <row r="21" spans="1:2" s="3" customFormat="1" ht="15" x14ac:dyDescent="0.15">
      <c r="A21" s="17" t="s">
        <v>33</v>
      </c>
    </row>
    <row r="22" spans="1:2" s="3" customFormat="1" ht="15" x14ac:dyDescent="0.15">
      <c r="A22" s="17" t="s">
        <v>34</v>
      </c>
    </row>
    <row r="23" spans="1:2" s="3" customFormat="1" ht="15" x14ac:dyDescent="0.15">
      <c r="A23" s="19" t="s">
        <v>35</v>
      </c>
    </row>
    <row r="24" spans="1:2" ht="13" x14ac:dyDescent="0.15"/>
    <row r="25" spans="1:2" ht="13" x14ac:dyDescent="0.15"/>
    <row r="26" spans="1:2" ht="15" x14ac:dyDescent="0.2">
      <c r="B26" s="22"/>
    </row>
  </sheetData>
  <hyperlinks>
    <hyperlink ref="B13" r:id="rId1" xr:uid="{16ADAA2C-5B4B-9344-862D-0528D1F3804D}"/>
    <hyperlink ref="B15" r:id="rId2" location="latest-official-statistics-" xr:uid="{E3C35ED7-4007-AD44-AA50-0889EF984D76}"/>
    <hyperlink ref="A20" r:id="rId3" xr:uid="{2974DFFB-BA63-B741-895D-0EB88B2FA4E9}"/>
    <hyperlink ref="A23" r:id="rId4" xr:uid="{B9733E3C-D5B7-2A40-AA69-5F81AB739D41}"/>
  </hyperlinks>
  <pageMargins left="0.7" right="0.7" top="0.75" bottom="0.75" header="0.3" footer="0.3"/>
  <pageSetup paperSize="0" scale="58" fitToWidth="0" fitToHeight="0" orientation="portrait" horizontalDpi="0" verticalDpi="0" copies="0"/>
  <drawing r:id="rId5"/>
  <tableParts count="1">
    <tablePart r:id="rId6"/>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863F33-23D5-6348-93E4-7E17E6E1FC9E}">
  <dimension ref="A1:G6"/>
  <sheetViews>
    <sheetView workbookViewId="0"/>
  </sheetViews>
  <sheetFormatPr baseColWidth="10" defaultColWidth="12.796875" defaultRowHeight="13.25" x14ac:dyDescent="0.15"/>
  <cols>
    <col min="1" max="1" width="12.796875" customWidth="1"/>
  </cols>
  <sheetData>
    <row r="1" spans="1:7" ht="15" x14ac:dyDescent="0.15">
      <c r="A1" s="23" t="s">
        <v>36</v>
      </c>
      <c r="B1" s="24"/>
      <c r="C1" s="25"/>
      <c r="D1" s="25"/>
      <c r="E1" s="25"/>
      <c r="F1" s="25"/>
      <c r="G1" s="25"/>
    </row>
    <row r="2" spans="1:7" ht="15" x14ac:dyDescent="0.15">
      <c r="A2" s="26" t="s">
        <v>37</v>
      </c>
      <c r="B2" s="24"/>
      <c r="C2" s="25"/>
      <c r="D2" s="25"/>
      <c r="E2" s="25"/>
      <c r="F2" s="25"/>
      <c r="G2" s="25"/>
    </row>
    <row r="3" spans="1:7" ht="15" x14ac:dyDescent="0.15">
      <c r="A3" s="27" t="s">
        <v>38</v>
      </c>
      <c r="B3" s="24"/>
      <c r="C3" s="25"/>
      <c r="D3" s="25"/>
      <c r="E3" s="25"/>
      <c r="F3" s="25"/>
      <c r="G3" s="25"/>
    </row>
    <row r="4" spans="1:7" ht="13" x14ac:dyDescent="0.15">
      <c r="A4" s="24"/>
      <c r="B4" s="24"/>
      <c r="C4" s="25"/>
      <c r="D4" s="25"/>
      <c r="E4" s="25"/>
      <c r="F4" s="25"/>
      <c r="G4" s="25"/>
    </row>
    <row r="5" spans="1:7" ht="13" x14ac:dyDescent="0.15">
      <c r="A5" s="24"/>
      <c r="B5" s="24"/>
      <c r="C5" s="25"/>
      <c r="D5" s="25"/>
      <c r="E5" s="25"/>
      <c r="F5" s="25"/>
      <c r="G5" s="25"/>
    </row>
    <row r="6" spans="1:7" ht="13" x14ac:dyDescent="0.15">
      <c r="A6" s="24"/>
      <c r="B6" s="24"/>
      <c r="C6" s="25"/>
      <c r="D6" s="25"/>
      <c r="E6" s="25"/>
      <c r="F6" s="25"/>
      <c r="G6" s="25"/>
    </row>
  </sheetData>
  <hyperlinks>
    <hyperlink ref="A2" r:id="rId1" xr:uid="{9306CD06-35D4-DE43-92BD-72D893B7696C}"/>
    <hyperlink ref="A3" r:id="rId2" xr:uid="{AE2642A3-C042-2349-BACA-A9AE60260AE8}"/>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63CE98-3DD5-AC49-A045-2CCCEF980923}">
  <dimension ref="A1:B15"/>
  <sheetViews>
    <sheetView workbookViewId="0"/>
  </sheetViews>
  <sheetFormatPr baseColWidth="10" defaultColWidth="13.19921875" defaultRowHeight="14" x14ac:dyDescent="0.15"/>
  <cols>
    <col min="1" max="1" width="54.19921875" style="36" customWidth="1"/>
    <col min="2" max="2" width="188.3984375" style="29" customWidth="1"/>
    <col min="3" max="3" width="13.19921875" style="30" customWidth="1"/>
    <col min="4" max="16384" width="13.19921875" style="30"/>
  </cols>
  <sheetData>
    <row r="1" spans="1:2" ht="36" customHeight="1" x14ac:dyDescent="0.15">
      <c r="A1" s="28" t="s">
        <v>39</v>
      </c>
    </row>
    <row r="2" spans="1:2" ht="23" customHeight="1" x14ac:dyDescent="0.15">
      <c r="A2" s="31" t="s">
        <v>40</v>
      </c>
      <c r="B2" s="32" t="s">
        <v>41</v>
      </c>
    </row>
    <row r="3" spans="1:2" ht="27" customHeight="1" x14ac:dyDescent="0.15">
      <c r="A3" s="33" t="s">
        <v>42</v>
      </c>
      <c r="B3" s="34" t="s">
        <v>43</v>
      </c>
    </row>
    <row r="4" spans="1:2" ht="20" customHeight="1" x14ac:dyDescent="0.15">
      <c r="A4" s="33" t="s">
        <v>44</v>
      </c>
      <c r="B4" s="34" t="s">
        <v>45</v>
      </c>
    </row>
    <row r="5" spans="1:2" ht="34.25" customHeight="1" x14ac:dyDescent="0.15">
      <c r="A5" s="33" t="s">
        <v>46</v>
      </c>
      <c r="B5" s="34" t="s">
        <v>47</v>
      </c>
    </row>
    <row r="6" spans="1:2" ht="33.5" customHeight="1" x14ac:dyDescent="0.15">
      <c r="A6" s="33" t="s">
        <v>48</v>
      </c>
      <c r="B6" s="34" t="s">
        <v>49</v>
      </c>
    </row>
    <row r="7" spans="1:2" ht="20.5" customHeight="1" x14ac:dyDescent="0.15">
      <c r="A7" s="33" t="s">
        <v>50</v>
      </c>
      <c r="B7" s="34" t="s">
        <v>51</v>
      </c>
    </row>
    <row r="8" spans="1:2" ht="34.25" customHeight="1" x14ac:dyDescent="0.15">
      <c r="A8" s="33" t="s">
        <v>52</v>
      </c>
      <c r="B8" s="34" t="s">
        <v>53</v>
      </c>
    </row>
    <row r="9" spans="1:2" ht="39" customHeight="1" x14ac:dyDescent="0.15">
      <c r="A9" s="33" t="s">
        <v>54</v>
      </c>
      <c r="B9" s="34" t="s">
        <v>55</v>
      </c>
    </row>
    <row r="10" spans="1:2" ht="20" customHeight="1" x14ac:dyDescent="0.15">
      <c r="A10" s="33" t="s">
        <v>56</v>
      </c>
      <c r="B10" s="34" t="s">
        <v>57</v>
      </c>
    </row>
    <row r="11" spans="1:2" ht="23" customHeight="1" x14ac:dyDescent="0.15">
      <c r="A11" s="33" t="s">
        <v>58</v>
      </c>
      <c r="B11" s="34" t="s">
        <v>59</v>
      </c>
    </row>
    <row r="12" spans="1:2" ht="31.25" customHeight="1" x14ac:dyDescent="0.15">
      <c r="A12" s="33" t="s">
        <v>60</v>
      </c>
      <c r="B12" s="34" t="s">
        <v>61</v>
      </c>
    </row>
    <row r="13" spans="1:2" ht="48.5" customHeight="1" x14ac:dyDescent="0.15">
      <c r="A13" s="33" t="s">
        <v>62</v>
      </c>
      <c r="B13" s="34" t="s">
        <v>63</v>
      </c>
    </row>
    <row r="14" spans="1:2" ht="23.5" customHeight="1" x14ac:dyDescent="0.15">
      <c r="A14" s="33" t="s">
        <v>64</v>
      </c>
      <c r="B14" s="34" t="s">
        <v>65</v>
      </c>
    </row>
    <row r="15" spans="1:2" x14ac:dyDescent="0.15">
      <c r="A15" s="35"/>
    </row>
  </sheetData>
  <hyperlinks>
    <hyperlink ref="A3" location="Notes!A1" display="Notes" xr:uid="{4BDED3F5-DB61-DF45-8E43-8B3BB170EB5B}"/>
    <hyperlink ref="A4" location="'Meta-data'!A1" display="Meta-data" xr:uid="{A7EDC902-8713-FA4B-9665-084A816C49C1}"/>
    <hyperlink ref="A5" location="LA_level_at_31_Mar_2022!A1" display="LA level at 31 March 2022" xr:uid="{4A24FC8D-847C-E04D-889D-3A834274D0B6}"/>
    <hyperlink ref="A6" location="'LA_level_in_year_2021-22'!A1" display="LA level in year 2021-22" xr:uid="{465CAF65-8E51-0C4F-8211-9F06D70DD10E}"/>
    <hyperlink ref="A7" location="Provider_level_at_31_Mar_2022!A1" display="Provider level at 31 March 2022" xr:uid="{BBB1CE7F-ACFF-E240-8088-F2B62FA51EA3}"/>
    <hyperlink ref="A8" location="'Provider_level_in_year_2021-22'!A1" display="Provider level in year 2021-22" xr:uid="{CB07D7CA-73C8-5D41-ABB9-56A0AEDB8FBC}"/>
    <hyperlink ref="A9" location="'Providers+places_at_31_Mar_2022'!A1" display="Providers+places at 31 March 2022" xr:uid="{E7876C2D-D17D-DA40-9A62-BFBA451F57E7}"/>
    <hyperlink ref="A10" location="'Leavers+Joiners_at_31_Mar_2022'!A1" display="Leavers+Joiners at 31 Mar 2022" xr:uid="{1F28C913-74FA-8C4D-AE05-667CB4B68A90}"/>
    <hyperlink ref="A11" location="'Providers+places_six_monthly'!A1" display="Providers + Places six monthly" xr:uid="{DBD6510B-FFB2-0244-9324-B63D782683EA}"/>
    <hyperlink ref="A12" location="Latest_OE_31_Mar_Time_Series!A1" display="Latest OE 31 March Time Series" xr:uid="{C308360E-E8BF-4B48-B7A4-F265765A5004}"/>
    <hyperlink ref="A13" location="In_Year_Time_series!A1" display="In year Time Series" xr:uid="{E4901324-628A-AA43-895E-7571B8369833}"/>
    <hyperlink ref="A14" location="'LA_inspections_2009-2022'!A1" display="LA inspections 2009 to 2022" xr:uid="{FBC952DE-00CD-BC4D-8242-4A2E4D891ADB}"/>
  </hyperlinks>
  <pageMargins left="0.7" right="0.7" top="0.75" bottom="0.75" header="0.3" footer="0.3"/>
  <pageSetup paperSize="0" scale="79" fitToWidth="0" fitToHeight="0" orientation="landscape" horizontalDpi="0" verticalDpi="0" copies="0"/>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7803E8-AC2A-5F45-8223-4C795894786B}">
  <dimension ref="A1:B30"/>
  <sheetViews>
    <sheetView workbookViewId="0"/>
  </sheetViews>
  <sheetFormatPr baseColWidth="10" defaultColWidth="13.19921875" defaultRowHeight="14" x14ac:dyDescent="0.15"/>
  <cols>
    <col min="1" max="1" width="249.59765625" style="36" customWidth="1"/>
    <col min="2" max="3" width="10.796875" style="30" customWidth="1"/>
    <col min="4" max="10" width="11.59765625" style="30" customWidth="1"/>
    <col min="11" max="11" width="13.19921875" style="30" customWidth="1"/>
    <col min="12" max="16384" width="13.19921875" style="30"/>
  </cols>
  <sheetData>
    <row r="1" spans="1:2" ht="21" customHeight="1" x14ac:dyDescent="0.15">
      <c r="A1" s="28" t="s">
        <v>66</v>
      </c>
    </row>
    <row r="2" spans="1:2" ht="19.25" customHeight="1" x14ac:dyDescent="0.15">
      <c r="A2" s="37" t="s">
        <v>67</v>
      </c>
    </row>
    <row r="3" spans="1:2" x14ac:dyDescent="0.15">
      <c r="A3" s="38" t="s">
        <v>68</v>
      </c>
    </row>
    <row r="4" spans="1:2" ht="15" x14ac:dyDescent="0.15">
      <c r="A4" s="39" t="s">
        <v>69</v>
      </c>
      <c r="B4" s="38"/>
    </row>
    <row r="5" spans="1:2" x14ac:dyDescent="0.15">
      <c r="A5" s="40" t="s">
        <v>70</v>
      </c>
    </row>
    <row r="6" spans="1:2" x14ac:dyDescent="0.15">
      <c r="A6" s="38" t="s">
        <v>71</v>
      </c>
    </row>
    <row r="7" spans="1:2" x14ac:dyDescent="0.15">
      <c r="A7" s="40" t="s">
        <v>72</v>
      </c>
    </row>
    <row r="8" spans="1:2" ht="15" customHeight="1" x14ac:dyDescent="0.15">
      <c r="A8" s="40" t="s">
        <v>73</v>
      </c>
    </row>
    <row r="9" spans="1:2" ht="28.25" customHeight="1" x14ac:dyDescent="0.15">
      <c r="A9" s="37" t="s">
        <v>74</v>
      </c>
    </row>
    <row r="10" spans="1:2" s="41" customFormat="1" ht="30.5" customHeight="1" x14ac:dyDescent="0.15">
      <c r="A10" s="29" t="s">
        <v>75</v>
      </c>
    </row>
    <row r="11" spans="1:2" s="41" customFormat="1" ht="38" customHeight="1" x14ac:dyDescent="0.15">
      <c r="A11" s="29" t="s">
        <v>76</v>
      </c>
    </row>
    <row r="12" spans="1:2" s="41" customFormat="1" ht="68" customHeight="1" x14ac:dyDescent="0.15">
      <c r="A12" s="29" t="s">
        <v>77</v>
      </c>
    </row>
    <row r="13" spans="1:2" s="41" customFormat="1" ht="52.25" customHeight="1" x14ac:dyDescent="0.15">
      <c r="A13" s="29" t="s">
        <v>78</v>
      </c>
    </row>
    <row r="14" spans="1:2" s="41" customFormat="1" ht="36" customHeight="1" x14ac:dyDescent="0.15">
      <c r="A14" s="42" t="s">
        <v>79</v>
      </c>
    </row>
    <row r="15" spans="1:2" s="41" customFormat="1" ht="38" customHeight="1" x14ac:dyDescent="0.15">
      <c r="A15" s="29" t="s">
        <v>80</v>
      </c>
    </row>
    <row r="16" spans="1:2" ht="27" customHeight="1" x14ac:dyDescent="0.15">
      <c r="A16" s="37" t="s">
        <v>81</v>
      </c>
    </row>
    <row r="17" spans="1:1" ht="45.75" customHeight="1" x14ac:dyDescent="0.15">
      <c r="A17" s="43" t="s">
        <v>82</v>
      </c>
    </row>
    <row r="18" spans="1:1" ht="14.25" customHeight="1" x14ac:dyDescent="0.15">
      <c r="A18" s="44" t="s">
        <v>83</v>
      </c>
    </row>
    <row r="19" spans="1:1" s="45" customFormat="1" ht="27" customHeight="1" x14ac:dyDescent="0.15">
      <c r="A19" s="37" t="s">
        <v>84</v>
      </c>
    </row>
    <row r="20" spans="1:1" ht="14.25" customHeight="1" x14ac:dyDescent="0.15">
      <c r="A20" s="29" t="s">
        <v>85</v>
      </c>
    </row>
    <row r="21" spans="1:1" ht="13.5" customHeight="1" x14ac:dyDescent="0.15">
      <c r="A21" s="46" t="s">
        <v>86</v>
      </c>
    </row>
    <row r="22" spans="1:1" ht="14.25" customHeight="1" x14ac:dyDescent="0.15">
      <c r="A22" s="36" t="s">
        <v>87</v>
      </c>
    </row>
    <row r="23" spans="1:1" ht="15" customHeight="1" x14ac:dyDescent="0.15">
      <c r="A23" s="46" t="s">
        <v>88</v>
      </c>
    </row>
    <row r="24" spans="1:1" ht="15.75" customHeight="1" x14ac:dyDescent="0.15">
      <c r="A24" s="36" t="s">
        <v>89</v>
      </c>
    </row>
    <row r="25" spans="1:1" ht="31.25" customHeight="1" x14ac:dyDescent="0.15">
      <c r="A25" s="37" t="s">
        <v>90</v>
      </c>
    </row>
    <row r="26" spans="1:1" ht="28.5" customHeight="1" x14ac:dyDescent="0.15">
      <c r="A26" s="47" t="s">
        <v>91</v>
      </c>
    </row>
    <row r="27" spans="1:1" s="36" customFormat="1" ht="17.25" customHeight="1" x14ac:dyDescent="0.15">
      <c r="A27" s="44" t="s">
        <v>92</v>
      </c>
    </row>
    <row r="28" spans="1:1" ht="29" customHeight="1" x14ac:dyDescent="0.15">
      <c r="A28" s="37" t="s">
        <v>93</v>
      </c>
    </row>
    <row r="29" spans="1:1" ht="15.75" customHeight="1" x14ac:dyDescent="0.15">
      <c r="A29" s="36" t="s">
        <v>94</v>
      </c>
    </row>
    <row r="30" spans="1:1" ht="26.25" customHeight="1" x14ac:dyDescent="0.15"/>
  </sheetData>
  <hyperlinks>
    <hyperlink ref="A18" r:id="rId1" xr:uid="{7E6D00CF-F8A9-3B40-B74C-9311296A4664}"/>
    <hyperlink ref="A21" r:id="rId2" xr:uid="{E8E88462-1085-8D43-88BF-A96B668A2551}"/>
    <hyperlink ref="A23" r:id="rId3" xr:uid="{87B32B78-223A-2244-A8FF-58AAF88280A7}"/>
    <hyperlink ref="A27" r:id="rId4" xr:uid="{4318719D-280D-474B-A193-7954B55FA163}"/>
  </hyperlinks>
  <pageMargins left="0.7" right="0.7" top="0.75" bottom="0.75" header="0.3" footer="0.3"/>
  <pageSetup paperSize="0" scale="66" fitToWidth="0" fitToHeight="0" orientation="landscape" horizontalDpi="0" verticalDpi="0" copie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1C8E99-C294-BB46-8E9E-7DE2B7B51A1E}">
  <dimension ref="A1:B12"/>
  <sheetViews>
    <sheetView workbookViewId="0"/>
  </sheetViews>
  <sheetFormatPr baseColWidth="10" defaultColWidth="12.796875" defaultRowHeight="13.25" x14ac:dyDescent="0.15"/>
  <cols>
    <col min="1" max="1" width="26" customWidth="1"/>
    <col min="2" max="2" width="84" customWidth="1"/>
    <col min="3" max="3" width="12.796875" customWidth="1"/>
  </cols>
  <sheetData>
    <row r="1" spans="1:2" ht="19" x14ac:dyDescent="0.2">
      <c r="A1" s="48" t="s">
        <v>42</v>
      </c>
      <c r="B1" s="49"/>
    </row>
    <row r="2" spans="1:2" ht="15" x14ac:dyDescent="0.15">
      <c r="A2" s="50" t="s">
        <v>95</v>
      </c>
      <c r="B2" s="49"/>
    </row>
    <row r="3" spans="1:2" ht="15" x14ac:dyDescent="0.15">
      <c r="A3" s="50" t="s">
        <v>96</v>
      </c>
      <c r="B3" s="49"/>
    </row>
    <row r="4" spans="1:2" ht="15" x14ac:dyDescent="0.15">
      <c r="A4" s="49" t="s">
        <v>97</v>
      </c>
      <c r="B4" s="49" t="s">
        <v>98</v>
      </c>
    </row>
    <row r="5" spans="1:2" ht="56" x14ac:dyDescent="0.15">
      <c r="A5" s="51">
        <v>1</v>
      </c>
      <c r="B5" s="52" t="s">
        <v>99</v>
      </c>
    </row>
    <row r="6" spans="1:2" ht="28" x14ac:dyDescent="0.15">
      <c r="A6" s="51">
        <v>2</v>
      </c>
      <c r="B6" s="52" t="s">
        <v>100</v>
      </c>
    </row>
    <row r="7" spans="1:2" ht="28" x14ac:dyDescent="0.15">
      <c r="A7" s="51">
        <v>3</v>
      </c>
      <c r="B7" s="52" t="s">
        <v>101</v>
      </c>
    </row>
    <row r="8" spans="1:2" ht="13" x14ac:dyDescent="0.15">
      <c r="B8" s="52"/>
    </row>
    <row r="9" spans="1:2" ht="13" x14ac:dyDescent="0.15">
      <c r="B9" s="52"/>
    </row>
    <row r="10" spans="1:2" ht="13" x14ac:dyDescent="0.15">
      <c r="B10" s="52"/>
    </row>
    <row r="11" spans="1:2" ht="13" x14ac:dyDescent="0.15">
      <c r="B11" s="52"/>
    </row>
    <row r="12" spans="1:2" ht="13" x14ac:dyDescent="0.15">
      <c r="B12" s="52"/>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C15053-E00F-F94E-ACEC-44AF2D997413}">
  <dimension ref="A1:BI65"/>
  <sheetViews>
    <sheetView workbookViewId="0"/>
  </sheetViews>
  <sheetFormatPr baseColWidth="10" defaultColWidth="12.796875" defaultRowHeight="12.75" x14ac:dyDescent="0.15"/>
  <cols>
    <col min="1" max="1" width="53.19921875" style="67" customWidth="1"/>
    <col min="2" max="2" width="44.19921875" style="67" customWidth="1"/>
    <col min="3" max="7" width="34.3984375" style="68" customWidth="1"/>
    <col min="8" max="8" width="7.59765625" style="68" customWidth="1"/>
    <col min="9" max="13" width="26.3984375" style="68" customWidth="1"/>
    <col min="14" max="14" width="12.796875" style="67" customWidth="1"/>
    <col min="15" max="16384" width="12.796875" style="67"/>
  </cols>
  <sheetData>
    <row r="1" spans="1:61" s="55" customFormat="1" ht="19" x14ac:dyDescent="0.2">
      <c r="A1" s="53" t="s">
        <v>102</v>
      </c>
      <c r="B1" s="54"/>
      <c r="C1" s="54"/>
      <c r="D1" s="54"/>
      <c r="E1" s="54"/>
      <c r="F1" s="54"/>
      <c r="G1" s="54"/>
      <c r="H1" s="54"/>
      <c r="I1" s="54"/>
      <c r="J1" s="54"/>
      <c r="K1" s="54"/>
      <c r="L1" s="54"/>
      <c r="M1" s="54"/>
      <c r="N1" s="54"/>
      <c r="O1" s="54"/>
      <c r="P1" s="54"/>
      <c r="Q1" s="54"/>
      <c r="R1" s="54"/>
      <c r="S1" s="54"/>
      <c r="T1" s="54"/>
      <c r="U1" s="54"/>
      <c r="V1" s="54"/>
      <c r="W1" s="54"/>
      <c r="X1" s="54"/>
      <c r="Y1" s="54"/>
      <c r="Z1" s="54"/>
      <c r="AA1" s="54"/>
      <c r="AB1" s="54"/>
      <c r="AC1" s="54"/>
      <c r="AD1" s="54"/>
      <c r="AE1" s="54"/>
      <c r="AF1" s="54"/>
      <c r="AG1" s="54"/>
      <c r="AH1" s="54"/>
      <c r="AI1" s="54"/>
      <c r="AJ1" s="54"/>
      <c r="AK1" s="54"/>
      <c r="AL1" s="54"/>
      <c r="AM1" s="54"/>
      <c r="AN1" s="54"/>
      <c r="AO1" s="54"/>
      <c r="AP1" s="54"/>
      <c r="AQ1" s="54"/>
      <c r="AR1" s="54"/>
      <c r="AS1" s="54"/>
      <c r="AT1" s="54"/>
      <c r="AU1" s="54"/>
      <c r="AV1" s="54"/>
      <c r="AW1" s="54"/>
      <c r="AX1" s="54"/>
      <c r="AY1" s="54"/>
      <c r="AZ1" s="54"/>
      <c r="BA1" s="54"/>
      <c r="BB1" s="54"/>
      <c r="BC1" s="54"/>
      <c r="BD1" s="54"/>
      <c r="BE1" s="54"/>
      <c r="BF1" s="54"/>
      <c r="BG1" s="54"/>
      <c r="BH1" s="54"/>
      <c r="BI1" s="54"/>
    </row>
    <row r="2" spans="1:61" s="55" customFormat="1" ht="17" customHeight="1" x14ac:dyDescent="0.15">
      <c r="A2" s="56" t="s">
        <v>103</v>
      </c>
      <c r="B2" s="54"/>
      <c r="C2" s="54"/>
      <c r="D2" s="54"/>
      <c r="E2" s="54"/>
      <c r="F2" s="54"/>
      <c r="G2" s="54"/>
      <c r="H2" s="54"/>
      <c r="I2" s="54"/>
      <c r="J2" s="54"/>
      <c r="K2" s="54"/>
      <c r="L2" s="54"/>
      <c r="M2" s="54"/>
      <c r="N2" s="54"/>
      <c r="O2" s="54"/>
      <c r="P2" s="54"/>
      <c r="Q2" s="54"/>
      <c r="R2" s="54"/>
      <c r="S2" s="54"/>
      <c r="T2" s="54"/>
      <c r="U2" s="54"/>
      <c r="V2" s="54"/>
      <c r="W2" s="54"/>
      <c r="X2" s="54"/>
      <c r="Y2" s="54"/>
      <c r="Z2" s="54"/>
      <c r="AA2" s="54"/>
      <c r="AB2" s="54"/>
      <c r="AC2" s="54"/>
      <c r="AD2" s="54"/>
      <c r="AE2" s="54"/>
      <c r="AF2" s="54"/>
      <c r="AG2" s="54"/>
      <c r="AH2" s="54"/>
      <c r="AI2" s="54"/>
      <c r="AJ2" s="54"/>
      <c r="AK2" s="54"/>
      <c r="AL2" s="54"/>
      <c r="AM2" s="54"/>
      <c r="AN2" s="54"/>
      <c r="AO2" s="54"/>
      <c r="AP2" s="54"/>
      <c r="AQ2" s="54"/>
      <c r="AR2" s="54"/>
      <c r="AS2" s="54"/>
      <c r="AT2" s="54"/>
      <c r="AU2" s="54"/>
      <c r="AV2" s="54"/>
      <c r="AW2" s="54"/>
      <c r="AX2" s="54"/>
      <c r="AY2" s="54"/>
      <c r="AZ2" s="54"/>
      <c r="BA2" s="54"/>
      <c r="BB2" s="54"/>
      <c r="BC2" s="54"/>
      <c r="BD2" s="54"/>
      <c r="BE2" s="54"/>
      <c r="BF2" s="54"/>
      <c r="BG2" s="54"/>
      <c r="BH2" s="54"/>
      <c r="BI2" s="54"/>
    </row>
    <row r="3" spans="1:61" s="55" customFormat="1" ht="33.5" customHeight="1" x14ac:dyDescent="0.15">
      <c r="A3" s="57" t="s">
        <v>104</v>
      </c>
      <c r="B3" s="56"/>
      <c r="C3" s="56"/>
      <c r="D3" s="56"/>
      <c r="E3" s="56"/>
      <c r="F3" s="56"/>
      <c r="G3" s="54"/>
      <c r="H3" s="54"/>
      <c r="I3" s="54"/>
      <c r="J3" s="54"/>
      <c r="K3" s="54"/>
      <c r="L3" s="54"/>
      <c r="M3" s="54"/>
      <c r="N3" s="54"/>
      <c r="O3" s="54"/>
      <c r="P3" s="54"/>
      <c r="Q3" s="54"/>
      <c r="R3" s="54"/>
      <c r="S3" s="54"/>
      <c r="T3" s="54"/>
      <c r="U3" s="54"/>
      <c r="V3" s="54"/>
      <c r="W3" s="54"/>
      <c r="X3" s="54"/>
      <c r="Y3" s="54"/>
      <c r="Z3" s="54"/>
      <c r="AA3" s="54"/>
      <c r="AB3" s="54"/>
      <c r="AC3" s="54"/>
      <c r="AD3" s="54"/>
      <c r="AE3" s="54"/>
      <c r="AF3" s="54"/>
      <c r="AG3" s="54"/>
      <c r="AH3" s="54"/>
      <c r="AI3" s="54"/>
      <c r="AJ3" s="54"/>
      <c r="AK3" s="54"/>
      <c r="AL3" s="54"/>
      <c r="AM3" s="54"/>
      <c r="AN3" s="54"/>
      <c r="AO3" s="54"/>
      <c r="AP3" s="54"/>
      <c r="AQ3" s="54"/>
      <c r="AR3" s="54"/>
      <c r="AS3" s="54"/>
      <c r="AT3" s="54"/>
      <c r="AU3" s="54"/>
      <c r="AV3" s="54"/>
      <c r="AW3" s="54"/>
      <c r="AX3" s="54"/>
      <c r="AY3" s="54"/>
      <c r="AZ3" s="54"/>
      <c r="BA3" s="54"/>
      <c r="BB3" s="54"/>
      <c r="BC3" s="54"/>
      <c r="BD3" s="54"/>
      <c r="BE3" s="54"/>
      <c r="BF3" s="54"/>
      <c r="BG3" s="54"/>
      <c r="BH3" s="54"/>
      <c r="BI3" s="54"/>
    </row>
    <row r="4" spans="1:61" s="59" customFormat="1" ht="34.25" customHeight="1" x14ac:dyDescent="0.15">
      <c r="A4" s="58" t="s">
        <v>105</v>
      </c>
      <c r="B4" s="58" t="s">
        <v>106</v>
      </c>
      <c r="C4" s="58" t="s">
        <v>107</v>
      </c>
      <c r="D4" s="58" t="s">
        <v>108</v>
      </c>
      <c r="E4" s="58" t="s">
        <v>109</v>
      </c>
      <c r="F4" s="58" t="s">
        <v>110</v>
      </c>
      <c r="G4" s="54"/>
      <c r="H4" s="54"/>
      <c r="I4" s="54"/>
      <c r="J4" s="54"/>
      <c r="K4" s="54"/>
      <c r="L4" s="54"/>
      <c r="M4" s="54"/>
      <c r="N4" s="54"/>
      <c r="O4" s="54"/>
      <c r="P4" s="54"/>
      <c r="Q4" s="54"/>
      <c r="R4" s="54"/>
      <c r="S4" s="54"/>
      <c r="T4" s="54"/>
      <c r="U4" s="54"/>
      <c r="V4" s="54"/>
      <c r="W4" s="54"/>
      <c r="X4" s="54"/>
      <c r="Y4" s="54"/>
      <c r="Z4" s="54"/>
      <c r="AA4" s="54"/>
      <c r="AB4" s="54"/>
      <c r="AC4" s="54"/>
      <c r="AD4" s="54"/>
      <c r="AE4" s="54"/>
      <c r="AF4" s="54"/>
      <c r="AG4" s="54"/>
      <c r="AH4" s="54"/>
      <c r="AI4" s="54"/>
      <c r="AJ4" s="54"/>
      <c r="AK4" s="54"/>
      <c r="AL4" s="54"/>
      <c r="AM4" s="54"/>
      <c r="AN4" s="54"/>
      <c r="AO4" s="54"/>
      <c r="AP4" s="54"/>
      <c r="AQ4" s="54"/>
      <c r="AR4" s="54"/>
      <c r="AS4" s="54"/>
      <c r="AT4" s="54"/>
      <c r="AU4" s="54"/>
      <c r="AV4" s="54"/>
      <c r="AW4" s="54"/>
      <c r="AX4" s="54"/>
      <c r="AY4" s="54"/>
      <c r="AZ4" s="54"/>
      <c r="BA4" s="54"/>
      <c r="BB4" s="54"/>
      <c r="BC4" s="54"/>
      <c r="BD4" s="54"/>
      <c r="BE4" s="54"/>
      <c r="BF4" s="54"/>
      <c r="BG4" s="54"/>
      <c r="BH4" s="54"/>
      <c r="BI4" s="54"/>
    </row>
    <row r="5" spans="1:61" s="59" customFormat="1" ht="20" customHeight="1" x14ac:dyDescent="0.15">
      <c r="A5" s="60" t="s">
        <v>46</v>
      </c>
      <c r="B5" s="61" t="s">
        <v>111</v>
      </c>
      <c r="C5" s="61" t="s">
        <v>112</v>
      </c>
      <c r="D5" s="61" t="s">
        <v>112</v>
      </c>
      <c r="E5" s="61" t="s">
        <v>112</v>
      </c>
      <c r="F5" s="61" t="s">
        <v>111</v>
      </c>
      <c r="G5" s="54"/>
      <c r="H5" s="54"/>
      <c r="I5" s="54"/>
      <c r="J5" s="54"/>
      <c r="K5" s="54"/>
      <c r="L5" s="54"/>
      <c r="M5" s="54"/>
      <c r="N5" s="54"/>
      <c r="O5" s="54"/>
      <c r="P5" s="54"/>
      <c r="Q5" s="54"/>
      <c r="R5" s="54"/>
      <c r="S5" s="54"/>
      <c r="T5" s="54"/>
      <c r="U5" s="54"/>
      <c r="V5" s="54"/>
      <c r="W5" s="54"/>
      <c r="X5" s="54"/>
      <c r="Y5" s="54"/>
      <c r="Z5" s="54"/>
      <c r="AA5" s="54"/>
      <c r="AB5" s="54"/>
      <c r="AC5" s="54"/>
      <c r="AD5" s="54"/>
      <c r="AE5" s="54"/>
      <c r="AF5" s="54"/>
      <c r="AG5" s="54"/>
      <c r="AH5" s="54"/>
      <c r="AI5" s="54"/>
      <c r="AJ5" s="54"/>
      <c r="AK5" s="54"/>
      <c r="AL5" s="54"/>
      <c r="AM5" s="54"/>
      <c r="AN5" s="54"/>
      <c r="AO5" s="54"/>
      <c r="AP5" s="54"/>
      <c r="AQ5" s="54"/>
      <c r="AR5" s="54"/>
      <c r="AS5" s="54"/>
      <c r="AT5" s="54"/>
      <c r="AU5" s="54"/>
      <c r="AV5" s="54"/>
      <c r="AW5" s="54"/>
      <c r="AX5" s="54"/>
      <c r="AY5" s="54"/>
      <c r="AZ5" s="54"/>
      <c r="BA5" s="54"/>
      <c r="BB5" s="54"/>
      <c r="BC5" s="54"/>
      <c r="BD5" s="54"/>
      <c r="BE5" s="54"/>
      <c r="BF5" s="54"/>
      <c r="BG5" s="54"/>
      <c r="BH5" s="54"/>
      <c r="BI5" s="54"/>
    </row>
    <row r="6" spans="1:61" s="59" customFormat="1" ht="20" customHeight="1" x14ac:dyDescent="0.15">
      <c r="A6" s="62" t="s">
        <v>113</v>
      </c>
      <c r="B6" s="63" t="s">
        <v>111</v>
      </c>
      <c r="C6" s="61" t="s">
        <v>112</v>
      </c>
      <c r="D6" s="63" t="s">
        <v>112</v>
      </c>
      <c r="E6" s="63" t="s">
        <v>111</v>
      </c>
      <c r="F6" s="63" t="s">
        <v>112</v>
      </c>
      <c r="G6" s="54"/>
      <c r="H6" s="54"/>
      <c r="I6" s="54"/>
      <c r="J6" s="54"/>
      <c r="K6" s="54"/>
      <c r="L6" s="54"/>
      <c r="M6" s="54"/>
      <c r="N6" s="54"/>
      <c r="O6" s="54"/>
      <c r="P6" s="54"/>
      <c r="Q6" s="54"/>
      <c r="R6" s="54"/>
      <c r="S6" s="54"/>
      <c r="T6" s="54"/>
      <c r="U6" s="54"/>
      <c r="V6" s="54"/>
      <c r="W6" s="54"/>
      <c r="X6" s="54"/>
      <c r="Y6" s="54"/>
      <c r="Z6" s="54"/>
      <c r="AA6" s="54"/>
      <c r="AB6" s="54"/>
      <c r="AC6" s="54"/>
      <c r="AD6" s="54"/>
      <c r="AE6" s="54"/>
      <c r="AF6" s="54"/>
      <c r="AG6" s="54"/>
      <c r="AH6" s="54"/>
      <c r="AI6" s="54"/>
      <c r="AJ6" s="54"/>
      <c r="AK6" s="54"/>
      <c r="AL6" s="54"/>
      <c r="AM6" s="54"/>
      <c r="AN6" s="54"/>
      <c r="AO6" s="54"/>
      <c r="AP6" s="54"/>
      <c r="AQ6" s="54"/>
      <c r="AR6" s="54"/>
      <c r="AS6" s="54"/>
      <c r="AT6" s="54"/>
      <c r="AU6" s="54"/>
      <c r="AV6" s="54"/>
      <c r="AW6" s="54"/>
      <c r="AX6" s="54"/>
      <c r="AY6" s="54"/>
      <c r="AZ6" s="54"/>
      <c r="BA6" s="54"/>
      <c r="BB6" s="54"/>
      <c r="BC6" s="54"/>
      <c r="BD6" s="54"/>
      <c r="BE6" s="54"/>
      <c r="BF6" s="54"/>
      <c r="BG6" s="54"/>
      <c r="BH6" s="54"/>
      <c r="BI6" s="54"/>
    </row>
    <row r="7" spans="1:61" s="59" customFormat="1" ht="20" customHeight="1" x14ac:dyDescent="0.15">
      <c r="A7" s="62" t="s">
        <v>50</v>
      </c>
      <c r="B7" s="64" t="s">
        <v>112</v>
      </c>
      <c r="C7" s="61" t="s">
        <v>112</v>
      </c>
      <c r="D7" s="63" t="s">
        <v>111</v>
      </c>
      <c r="E7" s="64" t="s">
        <v>112</v>
      </c>
      <c r="F7" s="63" t="s">
        <v>111</v>
      </c>
      <c r="G7" s="54"/>
      <c r="H7" s="54"/>
      <c r="I7" s="54"/>
      <c r="J7" s="54"/>
      <c r="K7" s="54"/>
      <c r="L7" s="54"/>
      <c r="M7" s="54"/>
      <c r="N7" s="54"/>
      <c r="O7" s="54"/>
      <c r="P7" s="54"/>
      <c r="Q7" s="54"/>
      <c r="R7" s="54"/>
      <c r="S7" s="54"/>
      <c r="T7" s="54"/>
      <c r="U7" s="54"/>
      <c r="V7" s="54"/>
      <c r="W7" s="54"/>
      <c r="X7" s="54"/>
      <c r="Y7" s="54"/>
      <c r="Z7" s="54"/>
      <c r="AA7" s="54"/>
      <c r="AB7" s="54"/>
      <c r="AC7" s="54"/>
      <c r="AD7" s="54"/>
      <c r="AE7" s="54"/>
      <c r="AF7" s="54"/>
      <c r="AG7" s="54"/>
      <c r="AH7" s="54"/>
      <c r="AI7" s="54"/>
      <c r="AJ7" s="54"/>
      <c r="AK7" s="54"/>
      <c r="AL7" s="54"/>
      <c r="AM7" s="54"/>
      <c r="AN7" s="54"/>
      <c r="AO7" s="54"/>
      <c r="AP7" s="54"/>
      <c r="AQ7" s="54"/>
      <c r="AR7" s="54"/>
      <c r="AS7" s="54"/>
      <c r="AT7" s="54"/>
      <c r="AU7" s="54"/>
      <c r="AV7" s="54"/>
      <c r="AW7" s="54"/>
      <c r="AX7" s="54"/>
      <c r="AY7" s="54"/>
      <c r="AZ7" s="54"/>
      <c r="BA7" s="54"/>
      <c r="BB7" s="54"/>
      <c r="BC7" s="54"/>
      <c r="BD7" s="54"/>
      <c r="BE7" s="54"/>
      <c r="BF7" s="54"/>
      <c r="BG7" s="54"/>
      <c r="BH7" s="54"/>
      <c r="BI7" s="54"/>
    </row>
    <row r="8" spans="1:61" s="59" customFormat="1" ht="20" customHeight="1" x14ac:dyDescent="0.15">
      <c r="A8" s="62" t="s">
        <v>114</v>
      </c>
      <c r="B8" s="64" t="s">
        <v>112</v>
      </c>
      <c r="C8" s="61" t="s">
        <v>112</v>
      </c>
      <c r="D8" s="63" t="s">
        <v>111</v>
      </c>
      <c r="E8" s="63" t="s">
        <v>111</v>
      </c>
      <c r="F8" s="64" t="s">
        <v>112</v>
      </c>
      <c r="G8" s="54"/>
      <c r="H8" s="54"/>
      <c r="I8" s="54"/>
      <c r="J8" s="54"/>
      <c r="K8" s="54"/>
      <c r="L8" s="54"/>
      <c r="M8" s="54"/>
      <c r="N8" s="54"/>
      <c r="O8" s="54"/>
      <c r="P8" s="54"/>
      <c r="Q8" s="54"/>
      <c r="R8" s="54"/>
      <c r="S8" s="54"/>
      <c r="T8" s="54"/>
      <c r="U8" s="54"/>
      <c r="V8" s="54"/>
      <c r="W8" s="54"/>
      <c r="X8" s="54"/>
      <c r="Y8" s="54"/>
      <c r="Z8" s="54"/>
      <c r="AA8" s="54"/>
      <c r="AB8" s="54"/>
      <c r="AC8" s="54"/>
      <c r="AD8" s="54"/>
      <c r="AE8" s="54"/>
      <c r="AF8" s="54"/>
      <c r="AG8" s="54"/>
      <c r="AH8" s="54"/>
      <c r="AI8" s="54"/>
      <c r="AJ8" s="54"/>
      <c r="AK8" s="54"/>
      <c r="AL8" s="54"/>
      <c r="AM8" s="54"/>
      <c r="AN8" s="54"/>
      <c r="AO8" s="54"/>
      <c r="AP8" s="54"/>
      <c r="AQ8" s="54"/>
      <c r="AR8" s="54"/>
      <c r="AS8" s="54"/>
      <c r="AT8" s="54"/>
      <c r="AU8" s="54"/>
      <c r="AV8" s="54"/>
      <c r="AW8" s="54"/>
      <c r="AX8" s="54"/>
      <c r="AY8" s="54"/>
      <c r="AZ8" s="54"/>
      <c r="BA8" s="54"/>
      <c r="BB8" s="54"/>
      <c r="BC8" s="54"/>
      <c r="BD8" s="54"/>
      <c r="BE8" s="54"/>
      <c r="BF8" s="54"/>
      <c r="BG8" s="54"/>
      <c r="BH8" s="54"/>
      <c r="BI8" s="54"/>
    </row>
    <row r="9" spans="1:61" s="59" customFormat="1" ht="20" customHeight="1" x14ac:dyDescent="0.15">
      <c r="A9" s="62" t="s">
        <v>54</v>
      </c>
      <c r="B9" s="64" t="s">
        <v>112</v>
      </c>
      <c r="C9" s="61" t="s">
        <v>112</v>
      </c>
      <c r="D9" s="63" t="s">
        <v>111</v>
      </c>
      <c r="E9" s="64" t="s">
        <v>112</v>
      </c>
      <c r="F9" s="63" t="s">
        <v>111</v>
      </c>
      <c r="G9" s="54"/>
      <c r="H9" s="54"/>
      <c r="I9" s="54"/>
      <c r="J9" s="54"/>
      <c r="K9" s="54"/>
      <c r="L9" s="54"/>
      <c r="M9" s="54"/>
      <c r="N9" s="54"/>
      <c r="O9" s="54"/>
      <c r="P9" s="54"/>
      <c r="Q9" s="54"/>
      <c r="R9" s="54"/>
      <c r="S9" s="54"/>
      <c r="T9" s="54"/>
      <c r="U9" s="54"/>
      <c r="V9" s="54"/>
      <c r="W9" s="54"/>
      <c r="X9" s="54"/>
      <c r="Y9" s="54"/>
      <c r="Z9" s="54"/>
      <c r="AA9" s="54"/>
      <c r="AB9" s="54"/>
      <c r="AC9" s="54"/>
      <c r="AD9" s="54"/>
      <c r="AE9" s="54"/>
      <c r="AF9" s="54"/>
      <c r="AG9" s="54"/>
      <c r="AH9" s="54"/>
      <c r="AI9" s="54"/>
      <c r="AJ9" s="54"/>
      <c r="AK9" s="54"/>
      <c r="AL9" s="54"/>
      <c r="AM9" s="54"/>
      <c r="AN9" s="54"/>
      <c r="AO9" s="54"/>
      <c r="AP9" s="54"/>
      <c r="AQ9" s="54"/>
      <c r="AR9" s="54"/>
      <c r="AS9" s="54"/>
      <c r="AT9" s="54"/>
      <c r="AU9" s="54"/>
      <c r="AV9" s="54"/>
      <c r="AW9" s="54"/>
      <c r="AX9" s="54"/>
      <c r="AY9" s="54"/>
      <c r="AZ9" s="54"/>
      <c r="BA9" s="54"/>
      <c r="BB9" s="54"/>
      <c r="BC9" s="54"/>
      <c r="BD9" s="54"/>
      <c r="BE9" s="54"/>
      <c r="BF9" s="54"/>
      <c r="BG9" s="54"/>
      <c r="BH9" s="54"/>
      <c r="BI9" s="54"/>
    </row>
    <row r="10" spans="1:61" s="59" customFormat="1" ht="20" customHeight="1" x14ac:dyDescent="0.15">
      <c r="A10" s="62" t="s">
        <v>115</v>
      </c>
      <c r="B10" s="64" t="s">
        <v>112</v>
      </c>
      <c r="C10" s="61" t="s">
        <v>112</v>
      </c>
      <c r="D10" s="63" t="s">
        <v>111</v>
      </c>
      <c r="E10" s="63" t="s">
        <v>111</v>
      </c>
      <c r="F10" s="63" t="s">
        <v>111</v>
      </c>
      <c r="G10" s="54"/>
      <c r="H10" s="54"/>
      <c r="I10" s="54"/>
      <c r="J10" s="54"/>
      <c r="K10" s="54"/>
      <c r="L10" s="54"/>
      <c r="M10" s="54"/>
      <c r="N10" s="54"/>
      <c r="O10" s="54"/>
      <c r="P10" s="54"/>
      <c r="Q10" s="54"/>
      <c r="R10" s="54"/>
      <c r="S10" s="54"/>
      <c r="T10" s="54"/>
      <c r="U10" s="54"/>
      <c r="V10" s="54"/>
      <c r="W10" s="54"/>
      <c r="X10" s="54"/>
      <c r="Y10" s="54"/>
      <c r="Z10" s="54"/>
      <c r="AA10" s="54"/>
      <c r="AB10" s="54"/>
      <c r="AC10" s="54"/>
      <c r="AD10" s="54"/>
      <c r="AE10" s="54"/>
      <c r="AF10" s="54"/>
      <c r="AG10" s="54"/>
      <c r="AH10" s="54"/>
      <c r="AI10" s="54"/>
      <c r="AJ10" s="54"/>
      <c r="AK10" s="54"/>
      <c r="AL10" s="54"/>
      <c r="AM10" s="54"/>
      <c r="AN10" s="54"/>
      <c r="AO10" s="54"/>
      <c r="AP10" s="54"/>
      <c r="AQ10" s="54"/>
      <c r="AR10" s="54"/>
      <c r="AS10" s="54"/>
      <c r="AT10" s="54"/>
      <c r="AU10" s="54"/>
      <c r="AV10" s="54"/>
      <c r="AW10" s="54"/>
      <c r="AX10" s="54"/>
      <c r="AY10" s="54"/>
      <c r="AZ10" s="54"/>
      <c r="BA10" s="54"/>
      <c r="BB10" s="54"/>
      <c r="BC10" s="54"/>
      <c r="BD10" s="54"/>
      <c r="BE10" s="54"/>
      <c r="BF10" s="54"/>
      <c r="BG10" s="54"/>
      <c r="BH10" s="54"/>
      <c r="BI10" s="54"/>
    </row>
    <row r="11" spans="1:61" s="59" customFormat="1" ht="20" customHeight="1" x14ac:dyDescent="0.15">
      <c r="A11" s="62" t="s">
        <v>58</v>
      </c>
      <c r="B11" s="64" t="s">
        <v>112</v>
      </c>
      <c r="C11" s="61" t="s">
        <v>112</v>
      </c>
      <c r="D11" s="63" t="s">
        <v>111</v>
      </c>
      <c r="E11" s="64" t="s">
        <v>112</v>
      </c>
      <c r="F11" s="63" t="s">
        <v>111</v>
      </c>
      <c r="G11" s="54"/>
      <c r="H11" s="54"/>
      <c r="I11" s="54"/>
      <c r="J11" s="54"/>
      <c r="K11" s="54"/>
      <c r="L11" s="54"/>
      <c r="M11" s="54"/>
      <c r="N11" s="54"/>
      <c r="O11" s="54"/>
      <c r="P11" s="54"/>
      <c r="Q11" s="54"/>
      <c r="R11" s="54"/>
      <c r="S11" s="54"/>
      <c r="T11" s="54"/>
      <c r="U11" s="54"/>
      <c r="V11" s="54"/>
      <c r="W11" s="54"/>
      <c r="X11" s="54"/>
      <c r="Y11" s="54"/>
      <c r="Z11" s="54"/>
      <c r="AA11" s="54"/>
      <c r="AB11" s="54"/>
      <c r="AC11" s="54"/>
      <c r="AD11" s="54"/>
      <c r="AE11" s="54"/>
      <c r="AF11" s="54"/>
      <c r="AG11" s="54"/>
      <c r="AH11" s="54"/>
      <c r="AI11" s="54"/>
      <c r="AJ11" s="54"/>
      <c r="AK11" s="54"/>
      <c r="AL11" s="54"/>
      <c r="AM11" s="54"/>
      <c r="AN11" s="54"/>
      <c r="AO11" s="54"/>
      <c r="AP11" s="54"/>
      <c r="AQ11" s="54"/>
      <c r="AR11" s="54"/>
      <c r="AS11" s="54"/>
      <c r="AT11" s="54"/>
      <c r="AU11" s="54"/>
      <c r="AV11" s="54"/>
      <c r="AW11" s="54"/>
      <c r="AX11" s="54"/>
      <c r="AY11" s="54"/>
      <c r="AZ11" s="54"/>
      <c r="BA11" s="54"/>
      <c r="BB11" s="54"/>
      <c r="BC11" s="54"/>
      <c r="BD11" s="54"/>
      <c r="BE11" s="54"/>
      <c r="BF11" s="54"/>
      <c r="BG11" s="54"/>
      <c r="BH11" s="54"/>
      <c r="BI11" s="54"/>
    </row>
    <row r="12" spans="1:61" s="59" customFormat="1" ht="20" customHeight="1" x14ac:dyDescent="0.15">
      <c r="A12" s="65" t="s">
        <v>60</v>
      </c>
      <c r="B12" s="66" t="s">
        <v>112</v>
      </c>
      <c r="C12" s="61" t="s">
        <v>112</v>
      </c>
      <c r="D12" s="63" t="s">
        <v>111</v>
      </c>
      <c r="E12" s="66" t="s">
        <v>112</v>
      </c>
      <c r="F12" s="63" t="s">
        <v>111</v>
      </c>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4"/>
      <c r="AG12" s="54"/>
      <c r="AH12" s="54"/>
      <c r="AI12" s="54"/>
      <c r="AJ12" s="54"/>
      <c r="AK12" s="54"/>
      <c r="AL12" s="54"/>
      <c r="AM12" s="54"/>
      <c r="AN12" s="54"/>
      <c r="AO12" s="54"/>
      <c r="AP12" s="54"/>
      <c r="AQ12" s="54"/>
      <c r="AR12" s="54"/>
      <c r="AS12" s="54"/>
      <c r="AT12" s="54"/>
      <c r="AU12" s="54"/>
      <c r="AV12" s="54"/>
      <c r="AW12" s="54"/>
      <c r="AX12" s="54"/>
      <c r="AY12" s="54"/>
      <c r="AZ12" s="54"/>
      <c r="BA12" s="54"/>
      <c r="BB12" s="54"/>
      <c r="BC12" s="54"/>
      <c r="BD12" s="54"/>
      <c r="BE12" s="54"/>
      <c r="BF12" s="54"/>
      <c r="BG12" s="54"/>
      <c r="BH12" s="54"/>
      <c r="BI12" s="54"/>
    </row>
    <row r="13" spans="1:61" s="59" customFormat="1" ht="20" customHeight="1" x14ac:dyDescent="0.15">
      <c r="A13" s="62" t="s">
        <v>116</v>
      </c>
      <c r="B13" s="66" t="s">
        <v>112</v>
      </c>
      <c r="C13" s="66" t="s">
        <v>111</v>
      </c>
      <c r="D13" s="66" t="s">
        <v>112</v>
      </c>
      <c r="E13" s="66" t="s">
        <v>111</v>
      </c>
      <c r="F13" s="66" t="s">
        <v>112</v>
      </c>
      <c r="G13" s="54"/>
      <c r="H13" s="54"/>
      <c r="I13" s="54"/>
      <c r="J13" s="54"/>
      <c r="K13" s="54"/>
      <c r="L13" s="54"/>
      <c r="M13" s="54"/>
      <c r="N13" s="54"/>
      <c r="O13" s="54"/>
      <c r="P13" s="54"/>
      <c r="Q13" s="54"/>
      <c r="R13" s="54"/>
      <c r="S13" s="54"/>
      <c r="T13" s="54"/>
      <c r="U13" s="54"/>
      <c r="V13" s="54"/>
      <c r="W13" s="54"/>
      <c r="X13" s="54"/>
      <c r="Y13" s="54"/>
      <c r="Z13" s="54"/>
      <c r="AA13" s="54"/>
      <c r="AB13" s="54"/>
      <c r="AC13" s="54"/>
      <c r="AD13" s="54"/>
      <c r="AE13" s="54"/>
      <c r="AF13" s="54"/>
      <c r="AG13" s="54"/>
      <c r="AH13" s="54"/>
      <c r="AI13" s="54"/>
      <c r="AJ13" s="54"/>
      <c r="AK13" s="54"/>
      <c r="AL13" s="54"/>
      <c r="AM13" s="54"/>
      <c r="AN13" s="54"/>
      <c r="AO13" s="54"/>
      <c r="AP13" s="54"/>
      <c r="AQ13" s="54"/>
      <c r="AR13" s="54"/>
      <c r="AS13" s="54"/>
      <c r="AT13" s="54"/>
      <c r="AU13" s="54"/>
      <c r="AV13" s="54"/>
      <c r="AW13" s="54"/>
      <c r="AX13" s="54"/>
      <c r="AY13" s="54"/>
      <c r="AZ13" s="54"/>
      <c r="BA13" s="54"/>
      <c r="BB13" s="54"/>
      <c r="BC13" s="54"/>
      <c r="BD13" s="54"/>
      <c r="BE13" s="54"/>
      <c r="BF13" s="54"/>
      <c r="BG13" s="54"/>
      <c r="BH13" s="54"/>
      <c r="BI13" s="54"/>
    </row>
    <row r="14" spans="1:61" s="55" customFormat="1" ht="22.25" customHeight="1" x14ac:dyDescent="0.15">
      <c r="A14" s="62" t="s">
        <v>117</v>
      </c>
      <c r="B14" s="64" t="s">
        <v>111</v>
      </c>
      <c r="C14" s="64" t="s">
        <v>112</v>
      </c>
      <c r="D14" s="64" t="s">
        <v>112</v>
      </c>
      <c r="E14" s="64" t="s">
        <v>111</v>
      </c>
      <c r="F14" s="64" t="s">
        <v>111</v>
      </c>
      <c r="G14" s="54"/>
      <c r="H14" s="54"/>
      <c r="I14" s="54"/>
      <c r="J14" s="54"/>
      <c r="K14" s="54"/>
      <c r="L14" s="54"/>
      <c r="M14" s="54"/>
      <c r="N14" s="54"/>
      <c r="O14" s="54"/>
      <c r="P14" s="54"/>
      <c r="Q14" s="54"/>
      <c r="R14" s="54"/>
      <c r="S14" s="54"/>
      <c r="T14" s="54"/>
      <c r="U14" s="54"/>
      <c r="V14" s="54"/>
      <c r="W14" s="54"/>
      <c r="X14" s="54"/>
      <c r="Y14" s="54"/>
      <c r="Z14" s="54"/>
      <c r="AA14" s="54"/>
      <c r="AB14" s="54"/>
      <c r="AC14" s="54"/>
      <c r="AD14" s="54"/>
      <c r="AE14" s="54"/>
      <c r="AF14" s="54"/>
      <c r="AG14" s="54"/>
      <c r="AH14" s="54"/>
      <c r="AI14" s="54"/>
      <c r="AJ14" s="54"/>
      <c r="AK14" s="54"/>
      <c r="AL14" s="54"/>
      <c r="AM14" s="54"/>
      <c r="AN14" s="54"/>
      <c r="AO14" s="54"/>
      <c r="AP14" s="54"/>
      <c r="AQ14" s="54"/>
      <c r="AR14" s="54"/>
      <c r="AS14" s="54"/>
      <c r="AT14" s="54"/>
      <c r="AU14" s="54"/>
      <c r="AV14" s="54"/>
      <c r="AW14" s="54"/>
      <c r="AX14" s="54"/>
      <c r="AY14" s="54"/>
      <c r="AZ14" s="54"/>
      <c r="BA14" s="54"/>
      <c r="BB14" s="54"/>
      <c r="BC14" s="54"/>
      <c r="BD14" s="54"/>
      <c r="BE14" s="54"/>
      <c r="BF14" s="54"/>
      <c r="BG14" s="54"/>
      <c r="BH14" s="54"/>
      <c r="BI14" s="54"/>
    </row>
    <row r="15" spans="1:61" s="55" customFormat="1" ht="14" x14ac:dyDescent="0.15">
      <c r="A15" s="54"/>
      <c r="B15" s="54"/>
      <c r="C15" s="54"/>
      <c r="D15" s="54"/>
      <c r="E15" s="54"/>
      <c r="F15" s="54"/>
      <c r="G15" s="54"/>
      <c r="H15" s="54"/>
      <c r="I15" s="54"/>
      <c r="J15" s="54"/>
      <c r="K15" s="54"/>
      <c r="L15" s="54"/>
      <c r="M15" s="54"/>
      <c r="N15" s="54"/>
      <c r="O15" s="54"/>
      <c r="P15" s="54"/>
      <c r="Q15" s="54"/>
      <c r="R15" s="54"/>
      <c r="S15" s="54"/>
      <c r="T15" s="54"/>
      <c r="U15" s="54"/>
      <c r="V15" s="54"/>
      <c r="W15" s="54"/>
      <c r="X15" s="54"/>
      <c r="Y15" s="54"/>
      <c r="Z15" s="54"/>
      <c r="AA15" s="54"/>
      <c r="AB15" s="54"/>
      <c r="AC15" s="54"/>
      <c r="AD15" s="54"/>
      <c r="AE15" s="54"/>
      <c r="AF15" s="54"/>
      <c r="AG15" s="54"/>
      <c r="AH15" s="54"/>
      <c r="AI15" s="54"/>
      <c r="AJ15" s="54"/>
      <c r="AK15" s="54"/>
      <c r="AL15" s="54"/>
      <c r="AM15" s="54"/>
      <c r="AN15" s="54"/>
      <c r="AO15" s="54"/>
      <c r="AP15" s="54"/>
      <c r="AQ15" s="54"/>
      <c r="AR15" s="54"/>
      <c r="AS15" s="54"/>
      <c r="AT15" s="54"/>
      <c r="AU15" s="54"/>
      <c r="AV15" s="54"/>
      <c r="AW15" s="54"/>
      <c r="AX15" s="54"/>
      <c r="AY15" s="54"/>
      <c r="AZ15" s="54"/>
      <c r="BA15" s="54"/>
      <c r="BB15" s="54"/>
      <c r="BC15" s="54"/>
      <c r="BD15" s="54"/>
      <c r="BE15" s="54"/>
      <c r="BF15" s="54"/>
      <c r="BG15" s="54"/>
      <c r="BH15" s="54"/>
      <c r="BI15" s="54"/>
    </row>
    <row r="16" spans="1:61" s="55" customFormat="1" ht="14" x14ac:dyDescent="0.15">
      <c r="A16" s="54"/>
      <c r="B16" s="54"/>
      <c r="C16" s="54"/>
      <c r="D16" s="54"/>
      <c r="E16" s="54"/>
      <c r="F16" s="54"/>
      <c r="G16" s="54"/>
      <c r="H16" s="54"/>
      <c r="I16" s="54"/>
      <c r="J16" s="54"/>
      <c r="K16" s="54"/>
      <c r="L16" s="54"/>
      <c r="M16" s="54"/>
      <c r="N16" s="54"/>
      <c r="O16" s="54"/>
      <c r="P16" s="54"/>
      <c r="Q16" s="54"/>
      <c r="R16" s="54"/>
      <c r="S16" s="54"/>
      <c r="T16" s="54"/>
      <c r="U16" s="54"/>
      <c r="V16" s="54"/>
      <c r="W16" s="54"/>
      <c r="X16" s="54"/>
      <c r="Y16" s="54"/>
      <c r="Z16" s="54"/>
      <c r="AA16" s="54"/>
      <c r="AB16" s="54"/>
      <c r="AC16" s="54"/>
      <c r="AD16" s="54"/>
      <c r="AE16" s="54"/>
      <c r="AF16" s="54"/>
      <c r="AG16" s="54"/>
      <c r="AH16" s="54"/>
      <c r="AI16" s="54"/>
      <c r="AJ16" s="54"/>
      <c r="AK16" s="54"/>
      <c r="AL16" s="54"/>
      <c r="AM16" s="54"/>
      <c r="AN16" s="54"/>
      <c r="AO16" s="54"/>
      <c r="AP16" s="54"/>
      <c r="AQ16" s="54"/>
      <c r="AR16" s="54"/>
      <c r="AS16" s="54"/>
      <c r="AT16" s="54"/>
      <c r="AU16" s="54"/>
      <c r="AV16" s="54"/>
      <c r="AW16" s="54"/>
      <c r="AX16" s="54"/>
      <c r="AY16" s="54"/>
      <c r="AZ16" s="54"/>
      <c r="BA16" s="54"/>
      <c r="BB16" s="54"/>
      <c r="BC16" s="54"/>
      <c r="BD16" s="54"/>
      <c r="BE16" s="54"/>
      <c r="BF16" s="54"/>
      <c r="BG16" s="54"/>
      <c r="BH16" s="54"/>
      <c r="BI16" s="54"/>
    </row>
    <row r="17" spans="1:61" s="55" customFormat="1" ht="14" x14ac:dyDescent="0.15">
      <c r="A17" s="54"/>
      <c r="B17" s="54"/>
      <c r="C17" s="54"/>
      <c r="D17" s="54"/>
      <c r="E17" s="54"/>
      <c r="F17" s="54"/>
      <c r="G17" s="54"/>
      <c r="H17" s="54"/>
      <c r="I17" s="54"/>
      <c r="J17" s="54"/>
      <c r="K17" s="54"/>
      <c r="L17" s="54"/>
      <c r="M17" s="54"/>
      <c r="N17" s="54"/>
      <c r="O17" s="54"/>
      <c r="P17" s="54"/>
      <c r="Q17" s="54"/>
      <c r="R17" s="54"/>
      <c r="S17" s="54"/>
      <c r="T17" s="54"/>
      <c r="U17" s="54"/>
      <c r="V17" s="54"/>
      <c r="W17" s="54"/>
      <c r="X17" s="54"/>
      <c r="Y17" s="54"/>
      <c r="Z17" s="54"/>
      <c r="AA17" s="54"/>
      <c r="AB17" s="54"/>
      <c r="AC17" s="54"/>
      <c r="AD17" s="54"/>
      <c r="AE17" s="54"/>
      <c r="AF17" s="54"/>
      <c r="AG17" s="54"/>
      <c r="AH17" s="54"/>
      <c r="AI17" s="54"/>
      <c r="AJ17" s="54"/>
      <c r="AK17" s="54"/>
      <c r="AL17" s="54"/>
      <c r="AM17" s="54"/>
      <c r="AN17" s="54"/>
      <c r="AO17" s="54"/>
      <c r="AP17" s="54"/>
      <c r="AQ17" s="54"/>
      <c r="AR17" s="54"/>
      <c r="AS17" s="54"/>
      <c r="AT17" s="54"/>
      <c r="AU17" s="54"/>
      <c r="AV17" s="54"/>
      <c r="AW17" s="54"/>
      <c r="AX17" s="54"/>
      <c r="AY17" s="54"/>
      <c r="AZ17" s="54"/>
      <c r="BA17" s="54"/>
      <c r="BB17" s="54"/>
      <c r="BC17" s="54"/>
      <c r="BD17" s="54"/>
      <c r="BE17" s="54"/>
      <c r="BF17" s="54"/>
      <c r="BG17" s="54"/>
      <c r="BH17" s="54"/>
      <c r="BI17" s="54"/>
    </row>
    <row r="18" spans="1:61" s="55" customFormat="1" ht="14" x14ac:dyDescent="0.15">
      <c r="A18" s="54"/>
      <c r="B18" s="54"/>
      <c r="C18" s="54"/>
      <c r="D18" s="54"/>
      <c r="E18" s="54"/>
      <c r="F18" s="54"/>
      <c r="G18" s="54"/>
      <c r="H18" s="54"/>
      <c r="I18" s="54"/>
      <c r="J18" s="54"/>
      <c r="K18" s="54"/>
      <c r="L18" s="54"/>
      <c r="M18" s="54"/>
      <c r="N18" s="54"/>
      <c r="O18" s="54"/>
      <c r="P18" s="54"/>
      <c r="Q18" s="54"/>
      <c r="R18" s="54"/>
      <c r="S18" s="54"/>
      <c r="T18" s="54"/>
      <c r="U18" s="54"/>
      <c r="V18" s="54"/>
      <c r="W18" s="54"/>
      <c r="X18" s="54"/>
      <c r="Y18" s="54"/>
      <c r="Z18" s="54"/>
      <c r="AA18" s="54"/>
      <c r="AB18" s="54"/>
      <c r="AC18" s="54"/>
      <c r="AD18" s="54"/>
      <c r="AE18" s="54"/>
      <c r="AF18" s="54"/>
      <c r="AG18" s="54"/>
      <c r="AH18" s="54"/>
      <c r="AI18" s="54"/>
      <c r="AJ18" s="54"/>
      <c r="AK18" s="54"/>
      <c r="AL18" s="54"/>
      <c r="AM18" s="54"/>
      <c r="AN18" s="54"/>
      <c r="AO18" s="54"/>
      <c r="AP18" s="54"/>
      <c r="AQ18" s="54"/>
      <c r="AR18" s="54"/>
      <c r="AS18" s="54"/>
      <c r="AT18" s="54"/>
      <c r="AU18" s="54"/>
      <c r="AV18" s="54"/>
      <c r="AW18" s="54"/>
      <c r="AX18" s="54"/>
      <c r="AY18" s="54"/>
      <c r="AZ18" s="54"/>
      <c r="BA18" s="54"/>
      <c r="BB18" s="54"/>
      <c r="BC18" s="54"/>
      <c r="BD18" s="54"/>
      <c r="BE18" s="54"/>
      <c r="BF18" s="54"/>
      <c r="BG18" s="54"/>
      <c r="BH18" s="54"/>
      <c r="BI18" s="54"/>
    </row>
    <row r="19" spans="1:61" s="55" customFormat="1" ht="14" x14ac:dyDescent="0.15">
      <c r="A19" s="54"/>
      <c r="B19" s="54"/>
      <c r="C19" s="54"/>
      <c r="D19" s="54"/>
      <c r="E19" s="54"/>
      <c r="F19" s="54"/>
      <c r="G19" s="54"/>
      <c r="H19" s="54"/>
      <c r="I19" s="54"/>
      <c r="J19" s="54"/>
      <c r="K19" s="54"/>
      <c r="L19" s="54"/>
      <c r="M19" s="54"/>
      <c r="N19" s="54"/>
      <c r="O19" s="54"/>
      <c r="P19" s="54"/>
      <c r="Q19" s="54"/>
      <c r="R19" s="54"/>
      <c r="S19" s="54"/>
      <c r="T19" s="54"/>
      <c r="U19" s="54"/>
      <c r="V19" s="54"/>
      <c r="W19" s="54"/>
      <c r="X19" s="54"/>
      <c r="Y19" s="54"/>
      <c r="Z19" s="54"/>
      <c r="AA19" s="54"/>
      <c r="AB19" s="54"/>
      <c r="AC19" s="54"/>
      <c r="AD19" s="54"/>
      <c r="AE19" s="54"/>
      <c r="AF19" s="54"/>
      <c r="AG19" s="54"/>
      <c r="AH19" s="54"/>
      <c r="AI19" s="54"/>
      <c r="AJ19" s="54"/>
      <c r="AK19" s="54"/>
      <c r="AL19" s="54"/>
      <c r="AM19" s="54"/>
      <c r="AN19" s="54"/>
      <c r="AO19" s="54"/>
      <c r="AP19" s="54"/>
      <c r="AQ19" s="54"/>
      <c r="AR19" s="54"/>
      <c r="AS19" s="54"/>
      <c r="AT19" s="54"/>
      <c r="AU19" s="54"/>
      <c r="AV19" s="54"/>
      <c r="AW19" s="54"/>
      <c r="AX19" s="54"/>
      <c r="AY19" s="54"/>
      <c r="AZ19" s="54"/>
      <c r="BA19" s="54"/>
      <c r="BB19" s="54"/>
      <c r="BC19" s="54"/>
      <c r="BD19" s="54"/>
      <c r="BE19" s="54"/>
      <c r="BF19" s="54"/>
      <c r="BG19" s="54"/>
      <c r="BH19" s="54"/>
      <c r="BI19" s="54"/>
    </row>
    <row r="20" spans="1:61" s="55" customFormat="1" ht="14" x14ac:dyDescent="0.15">
      <c r="A20" s="54"/>
      <c r="B20" s="54"/>
      <c r="C20" s="54"/>
      <c r="D20" s="54"/>
      <c r="E20" s="54"/>
      <c r="F20" s="54"/>
      <c r="G20" s="54"/>
      <c r="H20" s="54"/>
      <c r="I20" s="54"/>
      <c r="J20" s="54"/>
      <c r="K20" s="54"/>
      <c r="L20" s="54"/>
      <c r="M20" s="54"/>
      <c r="N20" s="54"/>
      <c r="O20" s="54"/>
      <c r="P20" s="54"/>
      <c r="Q20" s="54"/>
      <c r="R20" s="54"/>
      <c r="S20" s="54"/>
      <c r="T20" s="54"/>
      <c r="U20" s="54"/>
      <c r="V20" s="54"/>
      <c r="W20" s="54"/>
      <c r="X20" s="54"/>
      <c r="Y20" s="54"/>
      <c r="Z20" s="54"/>
      <c r="AA20" s="54"/>
      <c r="AB20" s="54"/>
      <c r="AC20" s="54"/>
      <c r="AD20" s="54"/>
      <c r="AE20" s="54"/>
      <c r="AF20" s="54"/>
      <c r="AG20" s="54"/>
      <c r="AH20" s="54"/>
      <c r="AI20" s="54"/>
      <c r="AJ20" s="54"/>
      <c r="AK20" s="54"/>
      <c r="AL20" s="54"/>
      <c r="AM20" s="54"/>
      <c r="AN20" s="54"/>
      <c r="AO20" s="54"/>
      <c r="AP20" s="54"/>
      <c r="AQ20" s="54"/>
      <c r="AR20" s="54"/>
      <c r="AS20" s="54"/>
      <c r="AT20" s="54"/>
      <c r="AU20" s="54"/>
      <c r="AV20" s="54"/>
      <c r="AW20" s="54"/>
      <c r="AX20" s="54"/>
      <c r="AY20" s="54"/>
      <c r="AZ20" s="54"/>
      <c r="BA20" s="54"/>
      <c r="BB20" s="54"/>
      <c r="BC20" s="54"/>
      <c r="BD20" s="54"/>
      <c r="BE20" s="54"/>
      <c r="BF20" s="54"/>
      <c r="BG20" s="54"/>
      <c r="BH20" s="54"/>
      <c r="BI20" s="54"/>
    </row>
    <row r="21" spans="1:61" s="55" customFormat="1" ht="14" x14ac:dyDescent="0.15">
      <c r="A21" s="54"/>
      <c r="B21" s="54"/>
      <c r="C21" s="54"/>
      <c r="D21" s="54"/>
      <c r="E21" s="54"/>
      <c r="F21" s="54"/>
      <c r="G21" s="54"/>
      <c r="H21" s="54"/>
      <c r="I21" s="54"/>
      <c r="J21" s="54"/>
      <c r="K21" s="54"/>
      <c r="L21" s="54"/>
      <c r="M21" s="54"/>
      <c r="N21" s="54"/>
      <c r="O21" s="54"/>
      <c r="P21" s="54"/>
      <c r="Q21" s="54"/>
      <c r="R21" s="54"/>
      <c r="S21" s="54"/>
      <c r="T21" s="54"/>
      <c r="U21" s="54"/>
      <c r="V21" s="54"/>
      <c r="W21" s="54"/>
      <c r="X21" s="54"/>
      <c r="Y21" s="54"/>
      <c r="Z21" s="54"/>
      <c r="AA21" s="54"/>
      <c r="AB21" s="54"/>
      <c r="AC21" s="54"/>
      <c r="AD21" s="54"/>
      <c r="AE21" s="54"/>
      <c r="AF21" s="54"/>
      <c r="AG21" s="54"/>
      <c r="AH21" s="54"/>
      <c r="AI21" s="54"/>
      <c r="AJ21" s="54"/>
      <c r="AK21" s="54"/>
      <c r="AL21" s="54"/>
      <c r="AM21" s="54"/>
      <c r="AN21" s="54"/>
      <c r="AO21" s="54"/>
      <c r="AP21" s="54"/>
      <c r="AQ21" s="54"/>
      <c r="AR21" s="54"/>
      <c r="AS21" s="54"/>
      <c r="AT21" s="54"/>
      <c r="AU21" s="54"/>
      <c r="AV21" s="54"/>
      <c r="AW21" s="54"/>
      <c r="AX21" s="54"/>
      <c r="AY21" s="54"/>
      <c r="AZ21" s="54"/>
      <c r="BA21" s="54"/>
      <c r="BB21" s="54"/>
      <c r="BC21" s="54"/>
      <c r="BD21" s="54"/>
      <c r="BE21" s="54"/>
      <c r="BF21" s="54"/>
      <c r="BG21" s="54"/>
      <c r="BH21" s="54"/>
      <c r="BI21" s="54"/>
    </row>
    <row r="22" spans="1:61" s="55" customFormat="1" ht="14" x14ac:dyDescent="0.15">
      <c r="A22" s="54"/>
      <c r="B22" s="54"/>
      <c r="C22" s="54"/>
      <c r="D22" s="54"/>
      <c r="E22" s="54"/>
      <c r="F22" s="54"/>
      <c r="G22" s="54"/>
      <c r="H22" s="54"/>
      <c r="I22" s="54"/>
      <c r="J22" s="54"/>
      <c r="K22" s="54"/>
      <c r="L22" s="54"/>
      <c r="M22" s="54"/>
      <c r="N22" s="54"/>
      <c r="O22" s="54"/>
      <c r="P22" s="54"/>
      <c r="Q22" s="54"/>
      <c r="R22" s="54"/>
      <c r="S22" s="54"/>
      <c r="T22" s="54"/>
      <c r="U22" s="54"/>
      <c r="V22" s="54"/>
      <c r="W22" s="54"/>
      <c r="X22" s="54"/>
      <c r="Y22" s="54"/>
      <c r="Z22" s="54"/>
      <c r="AA22" s="54"/>
      <c r="AB22" s="54"/>
      <c r="AC22" s="54"/>
      <c r="AD22" s="54"/>
      <c r="AE22" s="54"/>
      <c r="AF22" s="54"/>
      <c r="AG22" s="54"/>
      <c r="AH22" s="54"/>
      <c r="AI22" s="54"/>
      <c r="AJ22" s="54"/>
      <c r="AK22" s="54"/>
      <c r="AL22" s="54"/>
      <c r="AM22" s="54"/>
      <c r="AN22" s="54"/>
      <c r="AO22" s="54"/>
      <c r="AP22" s="54"/>
      <c r="AQ22" s="54"/>
      <c r="AR22" s="54"/>
      <c r="AS22" s="54"/>
      <c r="AT22" s="54"/>
      <c r="AU22" s="54"/>
      <c r="AV22" s="54"/>
      <c r="AW22" s="54"/>
      <c r="AX22" s="54"/>
      <c r="AY22" s="54"/>
      <c r="AZ22" s="54"/>
      <c r="BA22" s="54"/>
      <c r="BB22" s="54"/>
      <c r="BC22" s="54"/>
      <c r="BD22" s="54"/>
      <c r="BE22" s="54"/>
      <c r="BF22" s="54"/>
      <c r="BG22" s="54"/>
      <c r="BH22" s="54"/>
      <c r="BI22" s="54"/>
    </row>
    <row r="23" spans="1:61" s="55" customFormat="1" ht="14" x14ac:dyDescent="0.15">
      <c r="A23" s="54"/>
      <c r="B23" s="54"/>
      <c r="C23" s="54"/>
      <c r="D23" s="54"/>
      <c r="E23" s="54"/>
      <c r="F23" s="54"/>
      <c r="G23" s="54"/>
      <c r="H23" s="54"/>
      <c r="I23" s="54"/>
      <c r="J23" s="54"/>
      <c r="K23" s="54"/>
      <c r="L23" s="54"/>
      <c r="M23" s="54"/>
      <c r="N23" s="54"/>
      <c r="O23" s="54"/>
      <c r="P23" s="54"/>
      <c r="Q23" s="54"/>
      <c r="R23" s="54"/>
      <c r="S23" s="54"/>
      <c r="T23" s="54"/>
      <c r="U23" s="54"/>
      <c r="V23" s="54"/>
      <c r="W23" s="54"/>
      <c r="X23" s="54"/>
      <c r="Y23" s="54"/>
      <c r="Z23" s="54"/>
      <c r="AA23" s="54"/>
      <c r="AB23" s="54"/>
      <c r="AC23" s="54"/>
      <c r="AD23" s="54"/>
      <c r="AE23" s="54"/>
      <c r="AF23" s="54"/>
      <c r="AG23" s="54"/>
      <c r="AH23" s="54"/>
      <c r="AI23" s="54"/>
      <c r="AJ23" s="54"/>
      <c r="AK23" s="54"/>
      <c r="AL23" s="54"/>
      <c r="AM23" s="54"/>
      <c r="AN23" s="54"/>
      <c r="AO23" s="54"/>
      <c r="AP23" s="54"/>
      <c r="AQ23" s="54"/>
      <c r="AR23" s="54"/>
      <c r="AS23" s="54"/>
      <c r="AT23" s="54"/>
      <c r="AU23" s="54"/>
      <c r="AV23" s="54"/>
      <c r="AW23" s="54"/>
      <c r="AX23" s="54"/>
      <c r="AY23" s="54"/>
      <c r="AZ23" s="54"/>
      <c r="BA23" s="54"/>
      <c r="BB23" s="54"/>
      <c r="BC23" s="54"/>
      <c r="BD23" s="54"/>
      <c r="BE23" s="54"/>
      <c r="BF23" s="54"/>
      <c r="BG23" s="54"/>
      <c r="BH23" s="54"/>
      <c r="BI23" s="54"/>
    </row>
    <row r="24" spans="1:61" s="55" customFormat="1" ht="14" x14ac:dyDescent="0.15">
      <c r="A24" s="54"/>
      <c r="B24" s="54"/>
      <c r="C24" s="54"/>
      <c r="D24" s="54"/>
      <c r="E24" s="54"/>
      <c r="F24" s="54"/>
      <c r="G24" s="54"/>
      <c r="H24" s="54"/>
      <c r="I24" s="54"/>
      <c r="J24" s="54"/>
      <c r="K24" s="54"/>
      <c r="L24" s="54"/>
      <c r="M24" s="54"/>
      <c r="N24" s="54"/>
      <c r="O24" s="54"/>
      <c r="P24" s="54"/>
      <c r="Q24" s="54"/>
      <c r="R24" s="54"/>
      <c r="S24" s="54"/>
      <c r="T24" s="54"/>
      <c r="U24" s="54"/>
      <c r="V24" s="54"/>
      <c r="W24" s="54"/>
      <c r="X24" s="54"/>
      <c r="Y24" s="54"/>
      <c r="Z24" s="54"/>
      <c r="AA24" s="54"/>
      <c r="AB24" s="54"/>
      <c r="AC24" s="54"/>
      <c r="AD24" s="54"/>
      <c r="AE24" s="54"/>
      <c r="AF24" s="54"/>
      <c r="AG24" s="54"/>
      <c r="AH24" s="54"/>
      <c r="AI24" s="54"/>
      <c r="AJ24" s="54"/>
      <c r="AK24" s="54"/>
      <c r="AL24" s="54"/>
      <c r="AM24" s="54"/>
      <c r="AN24" s="54"/>
      <c r="AO24" s="54"/>
      <c r="AP24" s="54"/>
      <c r="AQ24" s="54"/>
      <c r="AR24" s="54"/>
      <c r="AS24" s="54"/>
      <c r="AT24" s="54"/>
      <c r="AU24" s="54"/>
      <c r="AV24" s="54"/>
      <c r="AW24" s="54"/>
      <c r="AX24" s="54"/>
      <c r="AY24" s="54"/>
      <c r="AZ24" s="54"/>
      <c r="BA24" s="54"/>
      <c r="BB24" s="54"/>
      <c r="BC24" s="54"/>
      <c r="BD24" s="54"/>
      <c r="BE24" s="54"/>
      <c r="BF24" s="54"/>
      <c r="BG24" s="54"/>
      <c r="BH24" s="54"/>
      <c r="BI24" s="54"/>
    </row>
    <row r="25" spans="1:61" s="55" customFormat="1" ht="14" x14ac:dyDescent="0.15">
      <c r="A25" s="54"/>
      <c r="B25" s="54"/>
      <c r="C25" s="54"/>
      <c r="D25" s="54"/>
      <c r="E25" s="54"/>
      <c r="F25" s="54"/>
      <c r="G25" s="54"/>
      <c r="H25" s="54"/>
      <c r="I25" s="54"/>
      <c r="J25" s="54"/>
      <c r="K25" s="54"/>
      <c r="L25" s="54"/>
      <c r="M25" s="54"/>
      <c r="N25" s="54"/>
      <c r="O25" s="54"/>
      <c r="P25" s="54"/>
      <c r="Q25" s="54"/>
      <c r="R25" s="54"/>
      <c r="S25" s="54"/>
      <c r="T25" s="54"/>
      <c r="U25" s="54"/>
      <c r="V25" s="54"/>
      <c r="W25" s="54"/>
      <c r="X25" s="54"/>
      <c r="Y25" s="54"/>
      <c r="Z25" s="54"/>
      <c r="AA25" s="54"/>
      <c r="AB25" s="54"/>
      <c r="AC25" s="54"/>
      <c r="AD25" s="54"/>
      <c r="AE25" s="54"/>
      <c r="AF25" s="54"/>
      <c r="AG25" s="54"/>
      <c r="AH25" s="54"/>
      <c r="AI25" s="54"/>
      <c r="AJ25" s="54"/>
      <c r="AK25" s="54"/>
      <c r="AL25" s="54"/>
      <c r="AM25" s="54"/>
      <c r="AN25" s="54"/>
      <c r="AO25" s="54"/>
      <c r="AP25" s="54"/>
      <c r="AQ25" s="54"/>
      <c r="AR25" s="54"/>
      <c r="AS25" s="54"/>
      <c r="AT25" s="54"/>
      <c r="AU25" s="54"/>
      <c r="AV25" s="54"/>
      <c r="AW25" s="54"/>
      <c r="AX25" s="54"/>
      <c r="AY25" s="54"/>
      <c r="AZ25" s="54"/>
      <c r="BA25" s="54"/>
      <c r="BB25" s="54"/>
      <c r="BC25" s="54"/>
      <c r="BD25" s="54"/>
      <c r="BE25" s="54"/>
      <c r="BF25" s="54"/>
      <c r="BG25" s="54"/>
      <c r="BH25" s="54"/>
      <c r="BI25" s="54"/>
    </row>
    <row r="26" spans="1:61" s="55" customFormat="1" ht="14" x14ac:dyDescent="0.15">
      <c r="A26" s="54"/>
      <c r="B26" s="54"/>
      <c r="C26" s="54"/>
      <c r="D26" s="54"/>
      <c r="E26" s="54"/>
      <c r="F26" s="54"/>
      <c r="G26" s="54"/>
      <c r="H26" s="54"/>
      <c r="I26" s="54"/>
      <c r="J26" s="54"/>
      <c r="K26" s="54"/>
      <c r="L26" s="54"/>
      <c r="M26" s="54"/>
      <c r="N26" s="54"/>
      <c r="O26" s="54"/>
      <c r="P26" s="54"/>
      <c r="Q26" s="54"/>
      <c r="R26" s="54"/>
      <c r="S26" s="54"/>
      <c r="T26" s="54"/>
      <c r="U26" s="54"/>
      <c r="V26" s="54"/>
      <c r="W26" s="54"/>
      <c r="X26" s="54"/>
      <c r="Y26" s="54"/>
      <c r="Z26" s="54"/>
      <c r="AA26" s="54"/>
      <c r="AB26" s="54"/>
      <c r="AC26" s="54"/>
      <c r="AD26" s="54"/>
      <c r="AE26" s="54"/>
      <c r="AF26" s="54"/>
      <c r="AG26" s="54"/>
      <c r="AH26" s="54"/>
      <c r="AI26" s="54"/>
      <c r="AJ26" s="54"/>
      <c r="AK26" s="54"/>
      <c r="AL26" s="54"/>
      <c r="AM26" s="54"/>
      <c r="AN26" s="54"/>
      <c r="AO26" s="54"/>
      <c r="AP26" s="54"/>
      <c r="AQ26" s="54"/>
      <c r="AR26" s="54"/>
      <c r="AS26" s="54"/>
      <c r="AT26" s="54"/>
      <c r="AU26" s="54"/>
      <c r="AV26" s="54"/>
      <c r="AW26" s="54"/>
      <c r="AX26" s="54"/>
      <c r="AY26" s="54"/>
      <c r="AZ26" s="54"/>
      <c r="BA26" s="54"/>
      <c r="BB26" s="54"/>
      <c r="BC26" s="54"/>
      <c r="BD26" s="54"/>
      <c r="BE26" s="54"/>
      <c r="BF26" s="54"/>
      <c r="BG26" s="54"/>
      <c r="BH26" s="54"/>
      <c r="BI26" s="54"/>
    </row>
    <row r="27" spans="1:61" s="55" customFormat="1" ht="14" x14ac:dyDescent="0.15">
      <c r="A27" s="54"/>
      <c r="B27" s="54"/>
      <c r="C27" s="54"/>
      <c r="D27" s="54"/>
      <c r="E27" s="54"/>
      <c r="F27" s="54"/>
      <c r="G27" s="54"/>
      <c r="H27" s="54"/>
      <c r="I27" s="54"/>
      <c r="J27" s="54"/>
      <c r="K27" s="54"/>
      <c r="L27" s="54"/>
      <c r="M27" s="54"/>
      <c r="N27" s="54"/>
      <c r="O27" s="54"/>
      <c r="P27" s="54"/>
      <c r="Q27" s="54"/>
      <c r="R27" s="54"/>
      <c r="S27" s="54"/>
      <c r="T27" s="54"/>
      <c r="U27" s="54"/>
      <c r="V27" s="54"/>
      <c r="W27" s="54"/>
      <c r="X27" s="54"/>
      <c r="Y27" s="54"/>
      <c r="Z27" s="54"/>
      <c r="AA27" s="54"/>
      <c r="AB27" s="54"/>
      <c r="AC27" s="54"/>
      <c r="AD27" s="54"/>
      <c r="AE27" s="54"/>
      <c r="AF27" s="54"/>
      <c r="AG27" s="54"/>
      <c r="AH27" s="54"/>
      <c r="AI27" s="54"/>
      <c r="AJ27" s="54"/>
      <c r="AK27" s="54"/>
      <c r="AL27" s="54"/>
      <c r="AM27" s="54"/>
      <c r="AN27" s="54"/>
      <c r="AO27" s="54"/>
      <c r="AP27" s="54"/>
      <c r="AQ27" s="54"/>
      <c r="AR27" s="54"/>
      <c r="AS27" s="54"/>
      <c r="AT27" s="54"/>
      <c r="AU27" s="54"/>
      <c r="AV27" s="54"/>
      <c r="AW27" s="54"/>
      <c r="AX27" s="54"/>
      <c r="AY27" s="54"/>
      <c r="AZ27" s="54"/>
      <c r="BA27" s="54"/>
      <c r="BB27" s="54"/>
      <c r="BC27" s="54"/>
      <c r="BD27" s="54"/>
      <c r="BE27" s="54"/>
      <c r="BF27" s="54"/>
      <c r="BG27" s="54"/>
      <c r="BH27" s="54"/>
      <c r="BI27" s="54"/>
    </row>
    <row r="28" spans="1:61" s="55" customFormat="1" ht="14" x14ac:dyDescent="0.15">
      <c r="A28" s="54"/>
      <c r="B28" s="54"/>
      <c r="C28" s="54"/>
      <c r="D28" s="54"/>
      <c r="E28" s="54"/>
      <c r="F28" s="54"/>
      <c r="G28" s="54"/>
      <c r="H28" s="54"/>
      <c r="I28" s="54"/>
      <c r="J28" s="54"/>
      <c r="K28" s="54"/>
      <c r="L28" s="54"/>
      <c r="M28" s="54"/>
      <c r="N28" s="54"/>
      <c r="O28" s="54"/>
      <c r="P28" s="54"/>
      <c r="Q28" s="54"/>
      <c r="R28" s="54"/>
      <c r="S28" s="54"/>
      <c r="T28" s="54"/>
      <c r="U28" s="54"/>
      <c r="V28" s="54"/>
      <c r="W28" s="54"/>
      <c r="X28" s="54"/>
      <c r="Y28" s="54"/>
      <c r="Z28" s="54"/>
      <c r="AA28" s="54"/>
      <c r="AB28" s="54"/>
      <c r="AC28" s="54"/>
      <c r="AD28" s="54"/>
      <c r="AE28" s="54"/>
      <c r="AF28" s="54"/>
      <c r="AG28" s="54"/>
      <c r="AH28" s="54"/>
      <c r="AI28" s="54"/>
      <c r="AJ28" s="54"/>
      <c r="AK28" s="54"/>
      <c r="AL28" s="54"/>
      <c r="AM28" s="54"/>
      <c r="AN28" s="54"/>
      <c r="AO28" s="54"/>
      <c r="AP28" s="54"/>
      <c r="AQ28" s="54"/>
      <c r="AR28" s="54"/>
      <c r="AS28" s="54"/>
      <c r="AT28" s="54"/>
      <c r="AU28" s="54"/>
      <c r="AV28" s="54"/>
      <c r="AW28" s="54"/>
      <c r="AX28" s="54"/>
      <c r="AY28" s="54"/>
      <c r="AZ28" s="54"/>
      <c r="BA28" s="54"/>
      <c r="BB28" s="54"/>
      <c r="BC28" s="54"/>
      <c r="BD28" s="54"/>
      <c r="BE28" s="54"/>
      <c r="BF28" s="54"/>
      <c r="BG28" s="54"/>
      <c r="BH28" s="54"/>
      <c r="BI28" s="54"/>
    </row>
    <row r="29" spans="1:61" s="55" customFormat="1" ht="14" x14ac:dyDescent="0.15">
      <c r="A29" s="54"/>
      <c r="B29" s="54"/>
      <c r="C29" s="54"/>
      <c r="D29" s="54"/>
      <c r="E29" s="54"/>
      <c r="F29" s="54"/>
      <c r="G29" s="54"/>
      <c r="H29" s="54"/>
      <c r="I29" s="54"/>
      <c r="J29" s="54"/>
      <c r="K29" s="54"/>
      <c r="L29" s="54"/>
      <c r="M29" s="54"/>
      <c r="N29" s="54"/>
      <c r="O29" s="54"/>
      <c r="P29" s="54"/>
      <c r="Q29" s="54"/>
      <c r="R29" s="54"/>
      <c r="S29" s="54"/>
      <c r="T29" s="54"/>
      <c r="U29" s="54"/>
      <c r="V29" s="54"/>
      <c r="W29" s="54"/>
      <c r="X29" s="54"/>
      <c r="Y29" s="54"/>
      <c r="Z29" s="54"/>
      <c r="AA29" s="54"/>
      <c r="AB29" s="54"/>
      <c r="AC29" s="54"/>
      <c r="AD29" s="54"/>
      <c r="AE29" s="54"/>
      <c r="AF29" s="54"/>
      <c r="AG29" s="54"/>
      <c r="AH29" s="54"/>
      <c r="AI29" s="54"/>
      <c r="AJ29" s="54"/>
      <c r="AK29" s="54"/>
      <c r="AL29" s="54"/>
      <c r="AM29" s="54"/>
      <c r="AN29" s="54"/>
      <c r="AO29" s="54"/>
      <c r="AP29" s="54"/>
      <c r="AQ29" s="54"/>
      <c r="AR29" s="54"/>
      <c r="AS29" s="54"/>
      <c r="AT29" s="54"/>
      <c r="AU29" s="54"/>
      <c r="AV29" s="54"/>
      <c r="AW29" s="54"/>
      <c r="AX29" s="54"/>
      <c r="AY29" s="54"/>
      <c r="AZ29" s="54"/>
      <c r="BA29" s="54"/>
      <c r="BB29" s="54"/>
      <c r="BC29" s="54"/>
      <c r="BD29" s="54"/>
      <c r="BE29" s="54"/>
      <c r="BF29" s="54"/>
      <c r="BG29" s="54"/>
      <c r="BH29" s="54"/>
      <c r="BI29" s="54"/>
    </row>
    <row r="30" spans="1:61" s="55" customFormat="1" ht="14" x14ac:dyDescent="0.15">
      <c r="A30" s="54"/>
      <c r="B30" s="54"/>
      <c r="C30" s="54"/>
      <c r="D30" s="54"/>
      <c r="E30" s="54"/>
      <c r="F30" s="54"/>
      <c r="G30" s="54"/>
      <c r="H30" s="54"/>
      <c r="I30" s="54"/>
      <c r="J30" s="54"/>
      <c r="K30" s="54"/>
      <c r="L30" s="54"/>
      <c r="M30" s="54"/>
      <c r="N30" s="54"/>
      <c r="O30" s="54"/>
      <c r="P30" s="54"/>
      <c r="Q30" s="54"/>
      <c r="R30" s="54"/>
      <c r="S30" s="54"/>
      <c r="T30" s="54"/>
      <c r="U30" s="54"/>
      <c r="V30" s="54"/>
      <c r="W30" s="54"/>
      <c r="X30" s="54"/>
      <c r="Y30" s="54"/>
      <c r="Z30" s="54"/>
      <c r="AA30" s="54"/>
      <c r="AB30" s="54"/>
      <c r="AC30" s="54"/>
      <c r="AD30" s="54"/>
      <c r="AE30" s="54"/>
      <c r="AF30" s="54"/>
      <c r="AG30" s="54"/>
      <c r="AH30" s="54"/>
      <c r="AI30" s="54"/>
      <c r="AJ30" s="54"/>
      <c r="AK30" s="54"/>
      <c r="AL30" s="54"/>
      <c r="AM30" s="54"/>
      <c r="AN30" s="54"/>
      <c r="AO30" s="54"/>
      <c r="AP30" s="54"/>
      <c r="AQ30" s="54"/>
      <c r="AR30" s="54"/>
      <c r="AS30" s="54"/>
      <c r="AT30" s="54"/>
      <c r="AU30" s="54"/>
      <c r="AV30" s="54"/>
      <c r="AW30" s="54"/>
      <c r="AX30" s="54"/>
      <c r="AY30" s="54"/>
      <c r="AZ30" s="54"/>
      <c r="BA30" s="54"/>
      <c r="BB30" s="54"/>
      <c r="BC30" s="54"/>
      <c r="BD30" s="54"/>
      <c r="BE30" s="54"/>
      <c r="BF30" s="54"/>
      <c r="BG30" s="54"/>
      <c r="BH30" s="54"/>
      <c r="BI30" s="54"/>
    </row>
    <row r="31" spans="1:61" s="55" customFormat="1" ht="14" x14ac:dyDescent="0.15">
      <c r="A31" s="54"/>
      <c r="B31" s="54"/>
      <c r="C31" s="54"/>
      <c r="D31" s="54"/>
      <c r="E31" s="54"/>
      <c r="F31" s="54"/>
      <c r="G31" s="54"/>
      <c r="H31" s="54"/>
      <c r="I31" s="54"/>
      <c r="J31" s="54"/>
      <c r="K31" s="54"/>
      <c r="L31" s="54"/>
      <c r="M31" s="54"/>
      <c r="N31" s="54"/>
      <c r="O31" s="54"/>
      <c r="P31" s="54"/>
      <c r="Q31" s="54"/>
      <c r="R31" s="54"/>
      <c r="S31" s="54"/>
      <c r="T31" s="54"/>
      <c r="U31" s="54"/>
      <c r="V31" s="54"/>
      <c r="W31" s="54"/>
      <c r="X31" s="54"/>
      <c r="Y31" s="54"/>
      <c r="Z31" s="54"/>
      <c r="AA31" s="54"/>
      <c r="AB31" s="54"/>
      <c r="AC31" s="54"/>
      <c r="AD31" s="54"/>
      <c r="AE31" s="54"/>
      <c r="AF31" s="54"/>
      <c r="AG31" s="54"/>
      <c r="AH31" s="54"/>
      <c r="AI31" s="54"/>
      <c r="AJ31" s="54"/>
      <c r="AK31" s="54"/>
      <c r="AL31" s="54"/>
      <c r="AM31" s="54"/>
      <c r="AN31" s="54"/>
      <c r="AO31" s="54"/>
      <c r="AP31" s="54"/>
      <c r="AQ31" s="54"/>
      <c r="AR31" s="54"/>
      <c r="AS31" s="54"/>
      <c r="AT31" s="54"/>
      <c r="AU31" s="54"/>
      <c r="AV31" s="54"/>
      <c r="AW31" s="54"/>
      <c r="AX31" s="54"/>
      <c r="AY31" s="54"/>
      <c r="AZ31" s="54"/>
      <c r="BA31" s="54"/>
      <c r="BB31" s="54"/>
      <c r="BC31" s="54"/>
      <c r="BD31" s="54"/>
      <c r="BE31" s="54"/>
      <c r="BF31" s="54"/>
      <c r="BG31" s="54"/>
      <c r="BH31" s="54"/>
      <c r="BI31" s="54"/>
    </row>
    <row r="32" spans="1:61" s="55" customFormat="1" ht="14" x14ac:dyDescent="0.15">
      <c r="A32" s="54"/>
      <c r="B32" s="54"/>
      <c r="C32" s="54"/>
      <c r="D32" s="54"/>
      <c r="E32" s="54"/>
      <c r="F32" s="54"/>
      <c r="G32" s="54"/>
      <c r="H32" s="54"/>
      <c r="I32" s="54"/>
      <c r="J32" s="54"/>
      <c r="K32" s="54"/>
      <c r="L32" s="54"/>
      <c r="M32" s="54"/>
      <c r="N32" s="54"/>
      <c r="O32" s="54"/>
      <c r="P32" s="54"/>
      <c r="Q32" s="54"/>
      <c r="R32" s="54"/>
      <c r="S32" s="54"/>
      <c r="T32" s="54"/>
      <c r="U32" s="54"/>
      <c r="V32" s="54"/>
      <c r="W32" s="54"/>
      <c r="X32" s="54"/>
      <c r="Y32" s="54"/>
      <c r="Z32" s="54"/>
      <c r="AA32" s="54"/>
      <c r="AB32" s="54"/>
      <c r="AC32" s="54"/>
      <c r="AD32" s="54"/>
      <c r="AE32" s="54"/>
      <c r="AF32" s="54"/>
      <c r="AG32" s="54"/>
      <c r="AH32" s="54"/>
      <c r="AI32" s="54"/>
      <c r="AJ32" s="54"/>
      <c r="AK32" s="54"/>
      <c r="AL32" s="54"/>
      <c r="AM32" s="54"/>
      <c r="AN32" s="54"/>
      <c r="AO32" s="54"/>
      <c r="AP32" s="54"/>
      <c r="AQ32" s="54"/>
      <c r="AR32" s="54"/>
      <c r="AS32" s="54"/>
      <c r="AT32" s="54"/>
      <c r="AU32" s="54"/>
      <c r="AV32" s="54"/>
      <c r="AW32" s="54"/>
      <c r="AX32" s="54"/>
      <c r="AY32" s="54"/>
      <c r="AZ32" s="54"/>
      <c r="BA32" s="54"/>
      <c r="BB32" s="54"/>
      <c r="BC32" s="54"/>
      <c r="BD32" s="54"/>
      <c r="BE32" s="54"/>
      <c r="BF32" s="54"/>
      <c r="BG32" s="54"/>
      <c r="BH32" s="54"/>
      <c r="BI32" s="54"/>
    </row>
    <row r="33" spans="1:61" s="55" customFormat="1" ht="14" x14ac:dyDescent="0.15">
      <c r="A33" s="54"/>
      <c r="B33" s="54"/>
      <c r="C33" s="54"/>
      <c r="D33" s="54"/>
      <c r="E33" s="54"/>
      <c r="F33" s="54"/>
      <c r="G33" s="54"/>
      <c r="H33" s="54"/>
      <c r="I33" s="54"/>
      <c r="J33" s="54"/>
      <c r="K33" s="54"/>
      <c r="L33" s="54"/>
      <c r="M33" s="54"/>
      <c r="N33" s="54"/>
      <c r="O33" s="54"/>
      <c r="P33" s="54"/>
      <c r="Q33" s="54"/>
      <c r="R33" s="54"/>
      <c r="S33" s="54"/>
      <c r="T33" s="54"/>
      <c r="U33" s="54"/>
      <c r="V33" s="54"/>
      <c r="W33" s="54"/>
      <c r="X33" s="54"/>
      <c r="Y33" s="54"/>
      <c r="Z33" s="54"/>
      <c r="AA33" s="54"/>
      <c r="AB33" s="54"/>
      <c r="AC33" s="54"/>
      <c r="AD33" s="54"/>
      <c r="AE33" s="54"/>
      <c r="AF33" s="54"/>
      <c r="AG33" s="54"/>
      <c r="AH33" s="54"/>
      <c r="AI33" s="54"/>
      <c r="AJ33" s="54"/>
      <c r="AK33" s="54"/>
      <c r="AL33" s="54"/>
      <c r="AM33" s="54"/>
      <c r="AN33" s="54"/>
      <c r="AO33" s="54"/>
      <c r="AP33" s="54"/>
      <c r="AQ33" s="54"/>
      <c r="AR33" s="54"/>
      <c r="AS33" s="54"/>
      <c r="AT33" s="54"/>
      <c r="AU33" s="54"/>
      <c r="AV33" s="54"/>
      <c r="AW33" s="54"/>
      <c r="AX33" s="54"/>
      <c r="AY33" s="54"/>
      <c r="AZ33" s="54"/>
      <c r="BA33" s="54"/>
      <c r="BB33" s="54"/>
      <c r="BC33" s="54"/>
      <c r="BD33" s="54"/>
      <c r="BE33" s="54"/>
      <c r="BF33" s="54"/>
      <c r="BG33" s="54"/>
      <c r="BH33" s="54"/>
      <c r="BI33" s="54"/>
    </row>
    <row r="34" spans="1:61" s="55" customFormat="1" ht="14" x14ac:dyDescent="0.15">
      <c r="A34" s="54"/>
      <c r="B34" s="54"/>
      <c r="C34" s="54"/>
      <c r="D34" s="54"/>
      <c r="E34" s="54"/>
      <c r="F34" s="54"/>
      <c r="G34" s="54"/>
      <c r="H34" s="54"/>
      <c r="I34" s="54"/>
      <c r="J34" s="54"/>
      <c r="K34" s="54"/>
      <c r="L34" s="54"/>
      <c r="M34" s="54"/>
      <c r="N34" s="54"/>
      <c r="O34" s="54"/>
      <c r="P34" s="54"/>
      <c r="Q34" s="54"/>
      <c r="R34" s="54"/>
      <c r="S34" s="54"/>
      <c r="T34" s="54"/>
      <c r="U34" s="54"/>
      <c r="V34" s="54"/>
      <c r="W34" s="54"/>
      <c r="X34" s="54"/>
      <c r="Y34" s="54"/>
      <c r="Z34" s="54"/>
      <c r="AA34" s="54"/>
      <c r="AB34" s="54"/>
      <c r="AC34" s="54"/>
      <c r="AD34" s="54"/>
      <c r="AE34" s="54"/>
      <c r="AF34" s="54"/>
      <c r="AG34" s="54"/>
      <c r="AH34" s="54"/>
      <c r="AI34" s="54"/>
      <c r="AJ34" s="54"/>
      <c r="AK34" s="54"/>
      <c r="AL34" s="54"/>
      <c r="AM34" s="54"/>
      <c r="AN34" s="54"/>
      <c r="AO34" s="54"/>
      <c r="AP34" s="54"/>
      <c r="AQ34" s="54"/>
      <c r="AR34" s="54"/>
      <c r="AS34" s="54"/>
      <c r="AT34" s="54"/>
      <c r="AU34" s="54"/>
      <c r="AV34" s="54"/>
      <c r="AW34" s="54"/>
      <c r="AX34" s="54"/>
      <c r="AY34" s="54"/>
      <c r="AZ34" s="54"/>
      <c r="BA34" s="54"/>
      <c r="BB34" s="54"/>
      <c r="BC34" s="54"/>
      <c r="BD34" s="54"/>
      <c r="BE34" s="54"/>
      <c r="BF34" s="54"/>
      <c r="BG34" s="54"/>
      <c r="BH34" s="54"/>
      <c r="BI34" s="54"/>
    </row>
    <row r="35" spans="1:61" s="55" customFormat="1" ht="14" x14ac:dyDescent="0.15">
      <c r="A35" s="54"/>
      <c r="B35" s="54"/>
      <c r="C35" s="54"/>
      <c r="D35" s="54"/>
      <c r="E35" s="54"/>
      <c r="F35" s="54"/>
      <c r="G35" s="54"/>
      <c r="H35" s="54"/>
      <c r="I35" s="54"/>
      <c r="J35" s="54"/>
      <c r="K35" s="54"/>
      <c r="L35" s="54"/>
      <c r="M35" s="54"/>
      <c r="N35" s="54"/>
      <c r="O35" s="54"/>
      <c r="P35" s="54"/>
      <c r="Q35" s="54"/>
      <c r="R35" s="54"/>
      <c r="S35" s="54"/>
      <c r="T35" s="54"/>
      <c r="U35" s="54"/>
      <c r="V35" s="54"/>
      <c r="W35" s="54"/>
      <c r="X35" s="54"/>
      <c r="Y35" s="54"/>
      <c r="Z35" s="54"/>
      <c r="AA35" s="54"/>
      <c r="AB35" s="54"/>
      <c r="AC35" s="54"/>
      <c r="AD35" s="54"/>
      <c r="AE35" s="54"/>
      <c r="AF35" s="54"/>
      <c r="AG35" s="54"/>
      <c r="AH35" s="54"/>
      <c r="AI35" s="54"/>
      <c r="AJ35" s="54"/>
      <c r="AK35" s="54"/>
      <c r="AL35" s="54"/>
      <c r="AM35" s="54"/>
      <c r="AN35" s="54"/>
      <c r="AO35" s="54"/>
      <c r="AP35" s="54"/>
      <c r="AQ35" s="54"/>
      <c r="AR35" s="54"/>
      <c r="AS35" s="54"/>
      <c r="AT35" s="54"/>
      <c r="AU35" s="54"/>
      <c r="AV35" s="54"/>
      <c r="AW35" s="54"/>
      <c r="AX35" s="54"/>
      <c r="AY35" s="54"/>
      <c r="AZ35" s="54"/>
      <c r="BA35" s="54"/>
      <c r="BB35" s="54"/>
      <c r="BC35" s="54"/>
      <c r="BD35" s="54"/>
      <c r="BE35" s="54"/>
      <c r="BF35" s="54"/>
      <c r="BG35" s="54"/>
      <c r="BH35" s="54"/>
      <c r="BI35" s="54"/>
    </row>
    <row r="36" spans="1:61" s="55" customFormat="1" ht="14" x14ac:dyDescent="0.15">
      <c r="A36" s="54"/>
      <c r="B36" s="54"/>
      <c r="C36" s="54"/>
      <c r="D36" s="54"/>
      <c r="E36" s="54"/>
      <c r="F36" s="54"/>
      <c r="G36" s="54"/>
      <c r="H36" s="54"/>
      <c r="I36" s="54"/>
      <c r="J36" s="54"/>
      <c r="K36" s="54"/>
      <c r="L36" s="54"/>
      <c r="M36" s="54"/>
      <c r="N36" s="54"/>
      <c r="O36" s="54"/>
      <c r="P36" s="54"/>
      <c r="Q36" s="54"/>
      <c r="R36" s="54"/>
      <c r="S36" s="54"/>
      <c r="T36" s="54"/>
      <c r="U36" s="54"/>
      <c r="V36" s="54"/>
      <c r="W36" s="54"/>
      <c r="X36" s="54"/>
      <c r="Y36" s="54"/>
      <c r="Z36" s="54"/>
      <c r="AA36" s="54"/>
      <c r="AB36" s="54"/>
      <c r="AC36" s="54"/>
      <c r="AD36" s="54"/>
      <c r="AE36" s="54"/>
      <c r="AF36" s="54"/>
      <c r="AG36" s="54"/>
      <c r="AH36" s="54"/>
      <c r="AI36" s="54"/>
      <c r="AJ36" s="54"/>
      <c r="AK36" s="54"/>
      <c r="AL36" s="54"/>
      <c r="AM36" s="54"/>
      <c r="AN36" s="54"/>
      <c r="AO36" s="54"/>
      <c r="AP36" s="54"/>
      <c r="AQ36" s="54"/>
      <c r="AR36" s="54"/>
      <c r="AS36" s="54"/>
      <c r="AT36" s="54"/>
      <c r="AU36" s="54"/>
      <c r="AV36" s="54"/>
      <c r="AW36" s="54"/>
      <c r="AX36" s="54"/>
      <c r="AY36" s="54"/>
      <c r="AZ36" s="54"/>
      <c r="BA36" s="54"/>
      <c r="BB36" s="54"/>
      <c r="BC36" s="54"/>
      <c r="BD36" s="54"/>
      <c r="BE36" s="54"/>
      <c r="BF36" s="54"/>
      <c r="BG36" s="54"/>
      <c r="BH36" s="54"/>
      <c r="BI36" s="54"/>
    </row>
    <row r="37" spans="1:61" s="55" customFormat="1" ht="14" x14ac:dyDescent="0.15">
      <c r="A37" s="54"/>
      <c r="B37" s="54"/>
      <c r="C37" s="54"/>
      <c r="D37" s="54"/>
      <c r="E37" s="54"/>
      <c r="F37" s="54"/>
      <c r="G37" s="54"/>
      <c r="H37" s="54"/>
      <c r="I37" s="54"/>
      <c r="J37" s="54"/>
      <c r="K37" s="54"/>
      <c r="L37" s="54"/>
      <c r="M37" s="54"/>
      <c r="N37" s="54"/>
      <c r="O37" s="54"/>
      <c r="P37" s="54"/>
      <c r="Q37" s="54"/>
      <c r="R37" s="54"/>
      <c r="S37" s="54"/>
      <c r="T37" s="54"/>
      <c r="U37" s="54"/>
      <c r="V37" s="54"/>
      <c r="W37" s="54"/>
      <c r="X37" s="54"/>
      <c r="Y37" s="54"/>
      <c r="Z37" s="54"/>
      <c r="AA37" s="54"/>
      <c r="AB37" s="54"/>
      <c r="AC37" s="54"/>
      <c r="AD37" s="54"/>
      <c r="AE37" s="54"/>
      <c r="AF37" s="54"/>
      <c r="AG37" s="54"/>
      <c r="AH37" s="54"/>
      <c r="AI37" s="54"/>
      <c r="AJ37" s="54"/>
      <c r="AK37" s="54"/>
      <c r="AL37" s="54"/>
      <c r="AM37" s="54"/>
      <c r="AN37" s="54"/>
      <c r="AO37" s="54"/>
      <c r="AP37" s="54"/>
      <c r="AQ37" s="54"/>
      <c r="AR37" s="54"/>
      <c r="AS37" s="54"/>
      <c r="AT37" s="54"/>
      <c r="AU37" s="54"/>
      <c r="AV37" s="54"/>
      <c r="AW37" s="54"/>
      <c r="AX37" s="54"/>
      <c r="AY37" s="54"/>
      <c r="AZ37" s="54"/>
      <c r="BA37" s="54"/>
      <c r="BB37" s="54"/>
      <c r="BC37" s="54"/>
      <c r="BD37" s="54"/>
      <c r="BE37" s="54"/>
      <c r="BF37" s="54"/>
      <c r="BG37" s="54"/>
      <c r="BH37" s="54"/>
      <c r="BI37" s="54"/>
    </row>
    <row r="38" spans="1:61" s="55" customFormat="1" ht="14" x14ac:dyDescent="0.15">
      <c r="A38" s="54"/>
      <c r="B38" s="54"/>
      <c r="C38" s="54"/>
      <c r="D38" s="54"/>
      <c r="E38" s="54"/>
      <c r="F38" s="54"/>
      <c r="G38" s="54"/>
      <c r="H38" s="54"/>
      <c r="I38" s="54"/>
      <c r="J38" s="54"/>
      <c r="K38" s="54"/>
      <c r="L38" s="54"/>
      <c r="M38" s="54"/>
      <c r="N38" s="54"/>
      <c r="O38" s="54"/>
      <c r="P38" s="54"/>
      <c r="Q38" s="54"/>
      <c r="R38" s="54"/>
      <c r="S38" s="54"/>
      <c r="T38" s="54"/>
      <c r="U38" s="54"/>
      <c r="V38" s="54"/>
      <c r="W38" s="54"/>
      <c r="X38" s="54"/>
      <c r="Y38" s="54"/>
      <c r="Z38" s="54"/>
      <c r="AA38" s="54"/>
      <c r="AB38" s="54"/>
      <c r="AC38" s="54"/>
      <c r="AD38" s="54"/>
      <c r="AE38" s="54"/>
      <c r="AF38" s="54"/>
      <c r="AG38" s="54"/>
      <c r="AH38" s="54"/>
      <c r="AI38" s="54"/>
      <c r="AJ38" s="54"/>
      <c r="AK38" s="54"/>
      <c r="AL38" s="54"/>
      <c r="AM38" s="54"/>
      <c r="AN38" s="54"/>
      <c r="AO38" s="54"/>
      <c r="AP38" s="54"/>
      <c r="AQ38" s="54"/>
      <c r="AR38" s="54"/>
      <c r="AS38" s="54"/>
      <c r="AT38" s="54"/>
      <c r="AU38" s="54"/>
      <c r="AV38" s="54"/>
      <c r="AW38" s="54"/>
      <c r="AX38" s="54"/>
      <c r="AY38" s="54"/>
      <c r="AZ38" s="54"/>
      <c r="BA38" s="54"/>
      <c r="BB38" s="54"/>
      <c r="BC38" s="54"/>
      <c r="BD38" s="54"/>
      <c r="BE38" s="54"/>
      <c r="BF38" s="54"/>
      <c r="BG38" s="54"/>
      <c r="BH38" s="54"/>
      <c r="BI38" s="54"/>
    </row>
    <row r="39" spans="1:61" s="55" customFormat="1" ht="14" x14ac:dyDescent="0.15">
      <c r="A39" s="54"/>
      <c r="B39" s="54"/>
      <c r="C39" s="54"/>
      <c r="D39" s="54"/>
      <c r="E39" s="54"/>
      <c r="F39" s="54"/>
      <c r="G39" s="54"/>
      <c r="H39" s="54"/>
      <c r="I39" s="54"/>
      <c r="J39" s="54"/>
      <c r="K39" s="54"/>
      <c r="L39" s="54"/>
      <c r="M39" s="54"/>
      <c r="N39" s="54"/>
      <c r="O39" s="54"/>
      <c r="P39" s="54"/>
      <c r="Q39" s="54"/>
      <c r="R39" s="54"/>
      <c r="S39" s="54"/>
      <c r="T39" s="54"/>
      <c r="U39" s="54"/>
      <c r="V39" s="54"/>
      <c r="W39" s="54"/>
      <c r="X39" s="54"/>
      <c r="Y39" s="54"/>
      <c r="Z39" s="54"/>
      <c r="AA39" s="54"/>
      <c r="AB39" s="54"/>
      <c r="AC39" s="54"/>
      <c r="AD39" s="54"/>
      <c r="AE39" s="54"/>
      <c r="AF39" s="54"/>
      <c r="AG39" s="54"/>
      <c r="AH39" s="54"/>
      <c r="AI39" s="54"/>
      <c r="AJ39" s="54"/>
      <c r="AK39" s="54"/>
      <c r="AL39" s="54"/>
      <c r="AM39" s="54"/>
      <c r="AN39" s="54"/>
      <c r="AO39" s="54"/>
      <c r="AP39" s="54"/>
      <c r="AQ39" s="54"/>
      <c r="AR39" s="54"/>
      <c r="AS39" s="54"/>
      <c r="AT39" s="54"/>
      <c r="AU39" s="54"/>
      <c r="AV39" s="54"/>
      <c r="AW39" s="54"/>
      <c r="AX39" s="54"/>
      <c r="AY39" s="54"/>
      <c r="AZ39" s="54"/>
      <c r="BA39" s="54"/>
      <c r="BB39" s="54"/>
      <c r="BC39" s="54"/>
      <c r="BD39" s="54"/>
      <c r="BE39" s="54"/>
      <c r="BF39" s="54"/>
      <c r="BG39" s="54"/>
      <c r="BH39" s="54"/>
      <c r="BI39" s="54"/>
    </row>
    <row r="40" spans="1:61" s="55" customFormat="1" ht="14" x14ac:dyDescent="0.15">
      <c r="A40" s="54"/>
      <c r="B40" s="54"/>
      <c r="C40" s="54"/>
      <c r="D40" s="54"/>
      <c r="E40" s="54"/>
      <c r="F40" s="54"/>
      <c r="G40" s="54"/>
      <c r="H40" s="54"/>
      <c r="I40" s="54"/>
      <c r="J40" s="54"/>
      <c r="K40" s="54"/>
      <c r="L40" s="54"/>
      <c r="M40" s="54"/>
      <c r="N40" s="54"/>
      <c r="O40" s="54"/>
      <c r="P40" s="54"/>
      <c r="Q40" s="54"/>
      <c r="R40" s="54"/>
      <c r="S40" s="54"/>
      <c r="T40" s="54"/>
      <c r="U40" s="54"/>
      <c r="V40" s="54"/>
      <c r="W40" s="54"/>
      <c r="X40" s="54"/>
      <c r="Y40" s="54"/>
      <c r="Z40" s="54"/>
      <c r="AA40" s="54"/>
      <c r="AB40" s="54"/>
      <c r="AC40" s="54"/>
      <c r="AD40" s="54"/>
      <c r="AE40" s="54"/>
      <c r="AF40" s="54"/>
      <c r="AG40" s="54"/>
      <c r="AH40" s="54"/>
      <c r="AI40" s="54"/>
      <c r="AJ40" s="54"/>
      <c r="AK40" s="54"/>
      <c r="AL40" s="54"/>
      <c r="AM40" s="54"/>
      <c r="AN40" s="54"/>
      <c r="AO40" s="54"/>
      <c r="AP40" s="54"/>
      <c r="AQ40" s="54"/>
      <c r="AR40" s="54"/>
      <c r="AS40" s="54"/>
      <c r="AT40" s="54"/>
      <c r="AU40" s="54"/>
      <c r="AV40" s="54"/>
      <c r="AW40" s="54"/>
      <c r="AX40" s="54"/>
      <c r="AY40" s="54"/>
      <c r="AZ40" s="54"/>
      <c r="BA40" s="54"/>
      <c r="BB40" s="54"/>
      <c r="BC40" s="54"/>
      <c r="BD40" s="54"/>
      <c r="BE40" s="54"/>
      <c r="BF40" s="54"/>
      <c r="BG40" s="54"/>
      <c r="BH40" s="54"/>
      <c r="BI40" s="54"/>
    </row>
    <row r="41" spans="1:61" s="55" customFormat="1" ht="14" x14ac:dyDescent="0.15">
      <c r="A41" s="54"/>
      <c r="B41" s="54"/>
      <c r="C41" s="54"/>
      <c r="D41" s="54"/>
      <c r="E41" s="54"/>
      <c r="F41" s="54"/>
      <c r="G41" s="54"/>
      <c r="H41" s="54"/>
      <c r="I41" s="54"/>
      <c r="J41" s="54"/>
      <c r="K41" s="54"/>
      <c r="L41" s="54"/>
      <c r="M41" s="54"/>
      <c r="N41" s="54"/>
      <c r="O41" s="54"/>
      <c r="P41" s="54"/>
      <c r="Q41" s="54"/>
      <c r="R41" s="54"/>
      <c r="S41" s="54"/>
      <c r="T41" s="54"/>
      <c r="U41" s="54"/>
      <c r="V41" s="54"/>
      <c r="W41" s="54"/>
      <c r="X41" s="54"/>
      <c r="Y41" s="54"/>
      <c r="Z41" s="54"/>
      <c r="AA41" s="54"/>
      <c r="AB41" s="54"/>
      <c r="AC41" s="54"/>
      <c r="AD41" s="54"/>
      <c r="AE41" s="54"/>
      <c r="AF41" s="54"/>
      <c r="AG41" s="54"/>
      <c r="AH41" s="54"/>
      <c r="AI41" s="54"/>
      <c r="AJ41" s="54"/>
      <c r="AK41" s="54"/>
      <c r="AL41" s="54"/>
      <c r="AM41" s="54"/>
      <c r="AN41" s="54"/>
      <c r="AO41" s="54"/>
      <c r="AP41" s="54"/>
      <c r="AQ41" s="54"/>
      <c r="AR41" s="54"/>
      <c r="AS41" s="54"/>
      <c r="AT41" s="54"/>
      <c r="AU41" s="54"/>
      <c r="AV41" s="54"/>
      <c r="AW41" s="54"/>
      <c r="AX41" s="54"/>
      <c r="AY41" s="54"/>
      <c r="AZ41" s="54"/>
      <c r="BA41" s="54"/>
      <c r="BB41" s="54"/>
      <c r="BC41" s="54"/>
      <c r="BD41" s="54"/>
      <c r="BE41" s="54"/>
      <c r="BF41" s="54"/>
      <c r="BG41" s="54"/>
      <c r="BH41" s="54"/>
      <c r="BI41" s="54"/>
    </row>
    <row r="42" spans="1:61" s="55" customFormat="1" ht="14" x14ac:dyDescent="0.15">
      <c r="A42" s="54"/>
      <c r="B42" s="54"/>
      <c r="C42" s="54"/>
      <c r="D42" s="54"/>
      <c r="E42" s="54"/>
      <c r="F42" s="54"/>
      <c r="G42" s="54"/>
      <c r="H42" s="54"/>
      <c r="I42" s="54"/>
      <c r="J42" s="54"/>
      <c r="K42" s="54"/>
      <c r="L42" s="54"/>
      <c r="M42" s="54"/>
      <c r="N42" s="54"/>
      <c r="O42" s="54"/>
      <c r="P42" s="54"/>
      <c r="Q42" s="54"/>
      <c r="R42" s="54"/>
      <c r="S42" s="54"/>
      <c r="T42" s="54"/>
      <c r="U42" s="54"/>
      <c r="V42" s="54"/>
      <c r="W42" s="54"/>
      <c r="X42" s="54"/>
      <c r="Y42" s="54"/>
      <c r="Z42" s="54"/>
      <c r="AA42" s="54"/>
      <c r="AB42" s="54"/>
      <c r="AC42" s="54"/>
      <c r="AD42" s="54"/>
      <c r="AE42" s="54"/>
      <c r="AF42" s="54"/>
      <c r="AG42" s="54"/>
      <c r="AH42" s="54"/>
      <c r="AI42" s="54"/>
      <c r="AJ42" s="54"/>
      <c r="AK42" s="54"/>
      <c r="AL42" s="54"/>
      <c r="AM42" s="54"/>
      <c r="AN42" s="54"/>
      <c r="AO42" s="54"/>
      <c r="AP42" s="54"/>
      <c r="AQ42" s="54"/>
      <c r="AR42" s="54"/>
      <c r="AS42" s="54"/>
      <c r="AT42" s="54"/>
      <c r="AU42" s="54"/>
      <c r="AV42" s="54"/>
      <c r="AW42" s="54"/>
      <c r="AX42" s="54"/>
      <c r="AY42" s="54"/>
      <c r="AZ42" s="54"/>
      <c r="BA42" s="54"/>
      <c r="BB42" s="54"/>
      <c r="BC42" s="54"/>
      <c r="BD42" s="54"/>
      <c r="BE42" s="54"/>
      <c r="BF42" s="54"/>
      <c r="BG42" s="54"/>
      <c r="BH42" s="54"/>
      <c r="BI42" s="54"/>
    </row>
    <row r="43" spans="1:61" s="55" customFormat="1" ht="14" x14ac:dyDescent="0.15">
      <c r="A43" s="54"/>
      <c r="B43" s="54"/>
      <c r="C43" s="54"/>
      <c r="D43" s="54"/>
      <c r="E43" s="54"/>
      <c r="F43" s="54"/>
      <c r="G43" s="54"/>
      <c r="H43" s="54"/>
      <c r="I43" s="54"/>
      <c r="J43" s="54"/>
      <c r="K43" s="54"/>
      <c r="L43" s="54"/>
      <c r="M43" s="54"/>
      <c r="N43" s="54"/>
      <c r="O43" s="54"/>
      <c r="P43" s="54"/>
      <c r="Q43" s="54"/>
      <c r="R43" s="54"/>
      <c r="S43" s="54"/>
      <c r="T43" s="54"/>
      <c r="U43" s="54"/>
      <c r="V43" s="54"/>
      <c r="W43" s="54"/>
      <c r="X43" s="54"/>
      <c r="Y43" s="54"/>
      <c r="Z43" s="54"/>
      <c r="AA43" s="54"/>
      <c r="AB43" s="54"/>
      <c r="AC43" s="54"/>
      <c r="AD43" s="54"/>
      <c r="AE43" s="54"/>
      <c r="AF43" s="54"/>
      <c r="AG43" s="54"/>
      <c r="AH43" s="54"/>
      <c r="AI43" s="54"/>
      <c r="AJ43" s="54"/>
      <c r="AK43" s="54"/>
      <c r="AL43" s="54"/>
      <c r="AM43" s="54"/>
      <c r="AN43" s="54"/>
      <c r="AO43" s="54"/>
      <c r="AP43" s="54"/>
      <c r="AQ43" s="54"/>
      <c r="AR43" s="54"/>
      <c r="AS43" s="54"/>
      <c r="AT43" s="54"/>
      <c r="AU43" s="54"/>
      <c r="AV43" s="54"/>
      <c r="AW43" s="54"/>
      <c r="AX43" s="54"/>
      <c r="AY43" s="54"/>
      <c r="AZ43" s="54"/>
      <c r="BA43" s="54"/>
      <c r="BB43" s="54"/>
      <c r="BC43" s="54"/>
      <c r="BD43" s="54"/>
      <c r="BE43" s="54"/>
      <c r="BF43" s="54"/>
      <c r="BG43" s="54"/>
      <c r="BH43" s="54"/>
      <c r="BI43" s="54"/>
    </row>
    <row r="44" spans="1:61" s="55" customFormat="1" ht="14" x14ac:dyDescent="0.15">
      <c r="A44" s="54"/>
      <c r="B44" s="54"/>
      <c r="C44" s="54"/>
      <c r="D44" s="54"/>
      <c r="E44" s="54"/>
      <c r="F44" s="54"/>
      <c r="G44" s="54"/>
      <c r="H44" s="54"/>
      <c r="I44" s="54"/>
      <c r="J44" s="54"/>
      <c r="K44" s="54"/>
      <c r="L44" s="54"/>
      <c r="M44" s="54"/>
      <c r="N44" s="54"/>
      <c r="O44" s="54"/>
      <c r="P44" s="54"/>
      <c r="Q44" s="54"/>
      <c r="R44" s="54"/>
      <c r="S44" s="54"/>
      <c r="T44" s="54"/>
      <c r="U44" s="54"/>
      <c r="V44" s="54"/>
      <c r="W44" s="54"/>
      <c r="X44" s="54"/>
      <c r="Y44" s="54"/>
      <c r="Z44" s="54"/>
      <c r="AA44" s="54"/>
      <c r="AB44" s="54"/>
      <c r="AC44" s="54"/>
      <c r="AD44" s="54"/>
      <c r="AE44" s="54"/>
      <c r="AF44" s="54"/>
      <c r="AG44" s="54"/>
      <c r="AH44" s="54"/>
      <c r="AI44" s="54"/>
      <c r="AJ44" s="54"/>
      <c r="AK44" s="54"/>
      <c r="AL44" s="54"/>
      <c r="AM44" s="54"/>
      <c r="AN44" s="54"/>
      <c r="AO44" s="54"/>
      <c r="AP44" s="54"/>
      <c r="AQ44" s="54"/>
      <c r="AR44" s="54"/>
      <c r="AS44" s="54"/>
      <c r="AT44" s="54"/>
      <c r="AU44" s="54"/>
      <c r="AV44" s="54"/>
      <c r="AW44" s="54"/>
      <c r="AX44" s="54"/>
      <c r="AY44" s="54"/>
      <c r="AZ44" s="54"/>
      <c r="BA44" s="54"/>
      <c r="BB44" s="54"/>
      <c r="BC44" s="54"/>
      <c r="BD44" s="54"/>
      <c r="BE44" s="54"/>
      <c r="BF44" s="54"/>
      <c r="BG44" s="54"/>
      <c r="BH44" s="54"/>
      <c r="BI44" s="54"/>
    </row>
    <row r="45" spans="1:61" s="55" customFormat="1" ht="14" x14ac:dyDescent="0.15">
      <c r="A45" s="54"/>
      <c r="B45" s="54"/>
      <c r="C45" s="54"/>
      <c r="D45" s="54"/>
      <c r="E45" s="54"/>
      <c r="F45" s="54"/>
      <c r="G45" s="54"/>
      <c r="H45" s="54"/>
      <c r="I45" s="54"/>
      <c r="J45" s="54"/>
      <c r="K45" s="54"/>
      <c r="L45" s="54"/>
      <c r="M45" s="54"/>
      <c r="N45" s="54"/>
      <c r="O45" s="54"/>
      <c r="P45" s="54"/>
      <c r="Q45" s="54"/>
      <c r="R45" s="54"/>
      <c r="S45" s="54"/>
      <c r="T45" s="54"/>
      <c r="U45" s="54"/>
      <c r="V45" s="54"/>
      <c r="W45" s="54"/>
      <c r="X45" s="54"/>
      <c r="Y45" s="54"/>
      <c r="Z45" s="54"/>
      <c r="AA45" s="54"/>
      <c r="AB45" s="54"/>
      <c r="AC45" s="54"/>
      <c r="AD45" s="54"/>
      <c r="AE45" s="54"/>
      <c r="AF45" s="54"/>
      <c r="AG45" s="54"/>
      <c r="AH45" s="54"/>
      <c r="AI45" s="54"/>
      <c r="AJ45" s="54"/>
      <c r="AK45" s="54"/>
      <c r="AL45" s="54"/>
      <c r="AM45" s="54"/>
      <c r="AN45" s="54"/>
      <c r="AO45" s="54"/>
      <c r="AP45" s="54"/>
      <c r="AQ45" s="54"/>
      <c r="AR45" s="54"/>
      <c r="AS45" s="54"/>
      <c r="AT45" s="54"/>
      <c r="AU45" s="54"/>
      <c r="AV45" s="54"/>
      <c r="AW45" s="54"/>
      <c r="AX45" s="54"/>
      <c r="AY45" s="54"/>
      <c r="AZ45" s="54"/>
      <c r="BA45" s="54"/>
      <c r="BB45" s="54"/>
      <c r="BC45" s="54"/>
      <c r="BD45" s="54"/>
      <c r="BE45" s="54"/>
      <c r="BF45" s="54"/>
      <c r="BG45" s="54"/>
      <c r="BH45" s="54"/>
      <c r="BI45" s="54"/>
    </row>
    <row r="46" spans="1:61" s="55" customFormat="1" ht="14" x14ac:dyDescent="0.15">
      <c r="A46" s="54"/>
      <c r="B46" s="54"/>
      <c r="C46" s="54"/>
      <c r="D46" s="54"/>
      <c r="E46" s="54"/>
      <c r="F46" s="54"/>
      <c r="G46" s="54"/>
      <c r="H46" s="54"/>
      <c r="I46" s="54"/>
      <c r="J46" s="54"/>
      <c r="K46" s="54"/>
      <c r="L46" s="54"/>
      <c r="M46" s="54"/>
      <c r="N46" s="54"/>
      <c r="O46" s="54"/>
      <c r="P46" s="54"/>
      <c r="Q46" s="54"/>
      <c r="R46" s="54"/>
      <c r="S46" s="54"/>
      <c r="T46" s="54"/>
      <c r="U46" s="54"/>
      <c r="V46" s="54"/>
      <c r="W46" s="54"/>
      <c r="X46" s="54"/>
      <c r="Y46" s="54"/>
      <c r="Z46" s="54"/>
      <c r="AA46" s="54"/>
      <c r="AB46" s="54"/>
      <c r="AC46" s="54"/>
      <c r="AD46" s="54"/>
      <c r="AE46" s="54"/>
      <c r="AF46" s="54"/>
      <c r="AG46" s="54"/>
      <c r="AH46" s="54"/>
      <c r="AI46" s="54"/>
      <c r="AJ46" s="54"/>
      <c r="AK46" s="54"/>
      <c r="AL46" s="54"/>
      <c r="AM46" s="54"/>
      <c r="AN46" s="54"/>
      <c r="AO46" s="54"/>
      <c r="AP46" s="54"/>
      <c r="AQ46" s="54"/>
      <c r="AR46" s="54"/>
      <c r="AS46" s="54"/>
      <c r="AT46" s="54"/>
      <c r="AU46" s="54"/>
      <c r="AV46" s="54"/>
      <c r="AW46" s="54"/>
      <c r="AX46" s="54"/>
      <c r="AY46" s="54"/>
      <c r="AZ46" s="54"/>
      <c r="BA46" s="54"/>
      <c r="BB46" s="54"/>
      <c r="BC46" s="54"/>
      <c r="BD46" s="54"/>
      <c r="BE46" s="54"/>
      <c r="BF46" s="54"/>
      <c r="BG46" s="54"/>
      <c r="BH46" s="54"/>
      <c r="BI46" s="54"/>
    </row>
    <row r="47" spans="1:61" s="55" customFormat="1" ht="14" x14ac:dyDescent="0.15">
      <c r="A47" s="54"/>
      <c r="B47" s="54"/>
      <c r="C47" s="54"/>
      <c r="D47" s="54"/>
      <c r="E47" s="54"/>
      <c r="F47" s="54"/>
      <c r="G47" s="54"/>
      <c r="H47" s="54"/>
      <c r="I47" s="54"/>
      <c r="J47" s="54"/>
      <c r="K47" s="54"/>
      <c r="L47" s="54"/>
      <c r="M47" s="54"/>
      <c r="N47" s="54"/>
      <c r="O47" s="54"/>
      <c r="P47" s="54"/>
      <c r="Q47" s="54"/>
      <c r="R47" s="54"/>
      <c r="S47" s="54"/>
      <c r="T47" s="54"/>
      <c r="U47" s="54"/>
      <c r="V47" s="54"/>
      <c r="W47" s="54"/>
      <c r="X47" s="54"/>
      <c r="Y47" s="54"/>
      <c r="Z47" s="54"/>
      <c r="AA47" s="54"/>
      <c r="AB47" s="54"/>
      <c r="AC47" s="54"/>
      <c r="AD47" s="54"/>
      <c r="AE47" s="54"/>
      <c r="AF47" s="54"/>
      <c r="AG47" s="54"/>
      <c r="AH47" s="54"/>
      <c r="AI47" s="54"/>
      <c r="AJ47" s="54"/>
      <c r="AK47" s="54"/>
      <c r="AL47" s="54"/>
      <c r="AM47" s="54"/>
      <c r="AN47" s="54"/>
      <c r="AO47" s="54"/>
      <c r="AP47" s="54"/>
      <c r="AQ47" s="54"/>
      <c r="AR47" s="54"/>
      <c r="AS47" s="54"/>
      <c r="AT47" s="54"/>
      <c r="AU47" s="54"/>
      <c r="AV47" s="54"/>
      <c r="AW47" s="54"/>
      <c r="AX47" s="54"/>
      <c r="AY47" s="54"/>
      <c r="AZ47" s="54"/>
      <c r="BA47" s="54"/>
      <c r="BB47" s="54"/>
      <c r="BC47" s="54"/>
      <c r="BD47" s="54"/>
      <c r="BE47" s="54"/>
      <c r="BF47" s="54"/>
      <c r="BG47" s="54"/>
      <c r="BH47" s="54"/>
      <c r="BI47" s="54"/>
    </row>
    <row r="48" spans="1:61" s="55" customFormat="1" ht="14" x14ac:dyDescent="0.15">
      <c r="A48" s="54"/>
      <c r="B48" s="54"/>
      <c r="C48" s="54"/>
      <c r="D48" s="54"/>
      <c r="E48" s="54"/>
      <c r="F48" s="54"/>
      <c r="G48" s="54"/>
      <c r="H48" s="54"/>
      <c r="I48" s="54"/>
      <c r="J48" s="54"/>
      <c r="K48" s="54"/>
      <c r="L48" s="54"/>
      <c r="M48" s="54"/>
      <c r="N48" s="54"/>
      <c r="O48" s="54"/>
      <c r="P48" s="54"/>
      <c r="Q48" s="54"/>
      <c r="R48" s="54"/>
      <c r="S48" s="54"/>
      <c r="T48" s="54"/>
      <c r="U48" s="54"/>
      <c r="V48" s="54"/>
      <c r="W48" s="54"/>
      <c r="X48" s="54"/>
      <c r="Y48" s="54"/>
      <c r="Z48" s="54"/>
      <c r="AA48" s="54"/>
      <c r="AB48" s="54"/>
      <c r="AC48" s="54"/>
      <c r="AD48" s="54"/>
      <c r="AE48" s="54"/>
      <c r="AF48" s="54"/>
      <c r="AG48" s="54"/>
      <c r="AH48" s="54"/>
      <c r="AI48" s="54"/>
      <c r="AJ48" s="54"/>
      <c r="AK48" s="54"/>
      <c r="AL48" s="54"/>
      <c r="AM48" s="54"/>
      <c r="AN48" s="54"/>
      <c r="AO48" s="54"/>
      <c r="AP48" s="54"/>
      <c r="AQ48" s="54"/>
      <c r="AR48" s="54"/>
      <c r="AS48" s="54"/>
      <c r="AT48" s="54"/>
      <c r="AU48" s="54"/>
      <c r="AV48" s="54"/>
      <c r="AW48" s="54"/>
      <c r="AX48" s="54"/>
      <c r="AY48" s="54"/>
      <c r="AZ48" s="54"/>
      <c r="BA48" s="54"/>
      <c r="BB48" s="54"/>
      <c r="BC48" s="54"/>
      <c r="BD48" s="54"/>
      <c r="BE48" s="54"/>
      <c r="BF48" s="54"/>
      <c r="BG48" s="54"/>
      <c r="BH48" s="54"/>
      <c r="BI48" s="54"/>
    </row>
    <row r="49" spans="1:61" s="55" customFormat="1" ht="14" x14ac:dyDescent="0.15">
      <c r="A49" s="54"/>
      <c r="B49" s="54"/>
      <c r="C49" s="54"/>
      <c r="D49" s="54"/>
      <c r="E49" s="54"/>
      <c r="F49" s="54"/>
      <c r="G49" s="54"/>
      <c r="H49" s="54"/>
      <c r="I49" s="54"/>
      <c r="J49" s="54"/>
      <c r="K49" s="54"/>
      <c r="L49" s="54"/>
      <c r="M49" s="54"/>
      <c r="N49" s="54"/>
      <c r="O49" s="54"/>
      <c r="P49" s="54"/>
      <c r="Q49" s="54"/>
      <c r="R49" s="54"/>
      <c r="S49" s="54"/>
      <c r="T49" s="54"/>
      <c r="U49" s="54"/>
      <c r="V49" s="54"/>
      <c r="W49" s="54"/>
      <c r="X49" s="54"/>
      <c r="Y49" s="54"/>
      <c r="Z49" s="54"/>
      <c r="AA49" s="54"/>
      <c r="AB49" s="54"/>
      <c r="AC49" s="54"/>
      <c r="AD49" s="54"/>
      <c r="AE49" s="54"/>
      <c r="AF49" s="54"/>
      <c r="AG49" s="54"/>
      <c r="AH49" s="54"/>
      <c r="AI49" s="54"/>
      <c r="AJ49" s="54"/>
      <c r="AK49" s="54"/>
      <c r="AL49" s="54"/>
      <c r="AM49" s="54"/>
      <c r="AN49" s="54"/>
      <c r="AO49" s="54"/>
      <c r="AP49" s="54"/>
      <c r="AQ49" s="54"/>
      <c r="AR49" s="54"/>
      <c r="AS49" s="54"/>
      <c r="AT49" s="54"/>
      <c r="AU49" s="54"/>
      <c r="AV49" s="54"/>
      <c r="AW49" s="54"/>
      <c r="AX49" s="54"/>
      <c r="AY49" s="54"/>
      <c r="AZ49" s="54"/>
      <c r="BA49" s="54"/>
      <c r="BB49" s="54"/>
      <c r="BC49" s="54"/>
      <c r="BD49" s="54"/>
      <c r="BE49" s="54"/>
      <c r="BF49" s="54"/>
      <c r="BG49" s="54"/>
      <c r="BH49" s="54"/>
      <c r="BI49" s="54"/>
    </row>
    <row r="50" spans="1:61" s="55" customFormat="1" ht="14" x14ac:dyDescent="0.15">
      <c r="A50" s="54"/>
      <c r="B50" s="54"/>
      <c r="C50" s="54"/>
      <c r="D50" s="54"/>
      <c r="E50" s="54"/>
      <c r="F50" s="54"/>
      <c r="G50" s="54"/>
      <c r="H50" s="54"/>
      <c r="I50" s="54"/>
      <c r="J50" s="54"/>
      <c r="K50" s="54"/>
      <c r="L50" s="54"/>
      <c r="M50" s="54"/>
      <c r="N50" s="54"/>
      <c r="O50" s="54"/>
      <c r="P50" s="54"/>
      <c r="Q50" s="54"/>
      <c r="R50" s="54"/>
      <c r="S50" s="54"/>
      <c r="T50" s="54"/>
      <c r="U50" s="54"/>
      <c r="V50" s="54"/>
      <c r="W50" s="54"/>
      <c r="X50" s="54"/>
      <c r="Y50" s="54"/>
      <c r="Z50" s="54"/>
      <c r="AA50" s="54"/>
      <c r="AB50" s="54"/>
      <c r="AC50" s="54"/>
      <c r="AD50" s="54"/>
      <c r="AE50" s="54"/>
      <c r="AF50" s="54"/>
      <c r="AG50" s="54"/>
      <c r="AH50" s="54"/>
      <c r="AI50" s="54"/>
      <c r="AJ50" s="54"/>
      <c r="AK50" s="54"/>
      <c r="AL50" s="54"/>
      <c r="AM50" s="54"/>
      <c r="AN50" s="54"/>
      <c r="AO50" s="54"/>
      <c r="AP50" s="54"/>
      <c r="AQ50" s="54"/>
      <c r="AR50" s="54"/>
      <c r="AS50" s="54"/>
      <c r="AT50" s="54"/>
      <c r="AU50" s="54"/>
      <c r="AV50" s="54"/>
      <c r="AW50" s="54"/>
      <c r="AX50" s="54"/>
      <c r="AY50" s="54"/>
      <c r="AZ50" s="54"/>
      <c r="BA50" s="54"/>
      <c r="BB50" s="54"/>
      <c r="BC50" s="54"/>
      <c r="BD50" s="54"/>
      <c r="BE50" s="54"/>
      <c r="BF50" s="54"/>
      <c r="BG50" s="54"/>
      <c r="BH50" s="54"/>
      <c r="BI50" s="54"/>
    </row>
    <row r="51" spans="1:61" s="55" customFormat="1" ht="14" x14ac:dyDescent="0.15">
      <c r="A51" s="54"/>
      <c r="B51" s="54"/>
      <c r="C51" s="54"/>
      <c r="D51" s="54"/>
      <c r="E51" s="54"/>
      <c r="F51" s="54"/>
      <c r="G51" s="54"/>
      <c r="H51" s="54"/>
      <c r="I51" s="54"/>
      <c r="J51" s="54"/>
      <c r="K51" s="54"/>
      <c r="L51" s="54"/>
      <c r="M51" s="54"/>
      <c r="N51" s="54"/>
      <c r="O51" s="54"/>
      <c r="P51" s="54"/>
      <c r="Q51" s="54"/>
      <c r="R51" s="54"/>
      <c r="S51" s="54"/>
      <c r="T51" s="54"/>
      <c r="U51" s="54"/>
      <c r="V51" s="54"/>
      <c r="W51" s="54"/>
      <c r="X51" s="54"/>
      <c r="Y51" s="54"/>
      <c r="Z51" s="54"/>
      <c r="AA51" s="54"/>
      <c r="AB51" s="54"/>
      <c r="AC51" s="54"/>
      <c r="AD51" s="54"/>
      <c r="AE51" s="54"/>
      <c r="AF51" s="54"/>
      <c r="AG51" s="54"/>
      <c r="AH51" s="54"/>
      <c r="AI51" s="54"/>
      <c r="AJ51" s="54"/>
      <c r="AK51" s="54"/>
      <c r="AL51" s="54"/>
      <c r="AM51" s="54"/>
      <c r="AN51" s="54"/>
      <c r="AO51" s="54"/>
      <c r="AP51" s="54"/>
      <c r="AQ51" s="54"/>
      <c r="AR51" s="54"/>
      <c r="AS51" s="54"/>
      <c r="AT51" s="54"/>
      <c r="AU51" s="54"/>
      <c r="AV51" s="54"/>
      <c r="AW51" s="54"/>
      <c r="AX51" s="54"/>
      <c r="AY51" s="54"/>
      <c r="AZ51" s="54"/>
      <c r="BA51" s="54"/>
      <c r="BB51" s="54"/>
      <c r="BC51" s="54"/>
      <c r="BD51" s="54"/>
      <c r="BE51" s="54"/>
      <c r="BF51" s="54"/>
      <c r="BG51" s="54"/>
      <c r="BH51" s="54"/>
      <c r="BI51" s="54"/>
    </row>
    <row r="52" spans="1:61" s="55" customFormat="1" ht="14" x14ac:dyDescent="0.15">
      <c r="A52" s="54"/>
      <c r="B52" s="54"/>
      <c r="C52" s="54"/>
      <c r="D52" s="54"/>
      <c r="E52" s="54"/>
      <c r="F52" s="54"/>
      <c r="G52" s="54"/>
      <c r="H52" s="54"/>
      <c r="I52" s="54"/>
      <c r="J52" s="54"/>
      <c r="K52" s="54"/>
      <c r="L52" s="54"/>
      <c r="M52" s="54"/>
      <c r="N52" s="54"/>
      <c r="O52" s="54"/>
      <c r="P52" s="54"/>
      <c r="Q52" s="54"/>
      <c r="R52" s="54"/>
      <c r="S52" s="54"/>
      <c r="T52" s="54"/>
      <c r="U52" s="54"/>
      <c r="V52" s="54"/>
      <c r="W52" s="54"/>
      <c r="X52" s="54"/>
      <c r="Y52" s="54"/>
      <c r="Z52" s="54"/>
      <c r="AA52" s="54"/>
      <c r="AB52" s="54"/>
      <c r="AC52" s="54"/>
      <c r="AD52" s="54"/>
      <c r="AE52" s="54"/>
      <c r="AF52" s="54"/>
      <c r="AG52" s="54"/>
      <c r="AH52" s="54"/>
      <c r="AI52" s="54"/>
      <c r="AJ52" s="54"/>
      <c r="AK52" s="54"/>
      <c r="AL52" s="54"/>
      <c r="AM52" s="54"/>
      <c r="AN52" s="54"/>
      <c r="AO52" s="54"/>
      <c r="AP52" s="54"/>
      <c r="AQ52" s="54"/>
      <c r="AR52" s="54"/>
      <c r="AS52" s="54"/>
      <c r="AT52" s="54"/>
      <c r="AU52" s="54"/>
      <c r="AV52" s="54"/>
      <c r="AW52" s="54"/>
      <c r="AX52" s="54"/>
      <c r="AY52" s="54"/>
      <c r="AZ52" s="54"/>
      <c r="BA52" s="54"/>
      <c r="BB52" s="54"/>
      <c r="BC52" s="54"/>
      <c r="BD52" s="54"/>
      <c r="BE52" s="54"/>
      <c r="BF52" s="54"/>
      <c r="BG52" s="54"/>
      <c r="BH52" s="54"/>
      <c r="BI52" s="54"/>
    </row>
    <row r="53" spans="1:61" s="55" customFormat="1" ht="14" x14ac:dyDescent="0.15">
      <c r="A53" s="54"/>
      <c r="B53" s="54"/>
      <c r="C53" s="54"/>
      <c r="D53" s="54"/>
      <c r="E53" s="54"/>
      <c r="F53" s="54"/>
      <c r="G53" s="54"/>
      <c r="H53" s="54"/>
      <c r="I53" s="54"/>
      <c r="J53" s="54"/>
      <c r="K53" s="54"/>
      <c r="L53" s="54"/>
      <c r="M53" s="54"/>
      <c r="N53" s="54"/>
      <c r="O53" s="54"/>
      <c r="P53" s="54"/>
      <c r="Q53" s="54"/>
      <c r="R53" s="54"/>
      <c r="S53" s="54"/>
      <c r="T53" s="54"/>
      <c r="U53" s="54"/>
      <c r="V53" s="54"/>
      <c r="W53" s="54"/>
      <c r="X53" s="54"/>
      <c r="Y53" s="54"/>
      <c r="Z53" s="54"/>
      <c r="AA53" s="54"/>
      <c r="AB53" s="54"/>
      <c r="AC53" s="54"/>
      <c r="AD53" s="54"/>
      <c r="AE53" s="54"/>
      <c r="AF53" s="54"/>
      <c r="AG53" s="54"/>
      <c r="AH53" s="54"/>
      <c r="AI53" s="54"/>
      <c r="AJ53" s="54"/>
      <c r="AK53" s="54"/>
      <c r="AL53" s="54"/>
      <c r="AM53" s="54"/>
      <c r="AN53" s="54"/>
      <c r="AO53" s="54"/>
      <c r="AP53" s="54"/>
      <c r="AQ53" s="54"/>
      <c r="AR53" s="54"/>
      <c r="AS53" s="54"/>
      <c r="AT53" s="54"/>
      <c r="AU53" s="54"/>
      <c r="AV53" s="54"/>
      <c r="AW53" s="54"/>
      <c r="AX53" s="54"/>
      <c r="AY53" s="54"/>
      <c r="AZ53" s="54"/>
      <c r="BA53" s="54"/>
      <c r="BB53" s="54"/>
      <c r="BC53" s="54"/>
      <c r="BD53" s="54"/>
      <c r="BE53" s="54"/>
      <c r="BF53" s="54"/>
      <c r="BG53" s="54"/>
      <c r="BH53" s="54"/>
      <c r="BI53" s="54"/>
    </row>
    <row r="54" spans="1:61" s="55" customFormat="1" ht="14" x14ac:dyDescent="0.15">
      <c r="A54" s="54"/>
      <c r="B54" s="54"/>
      <c r="C54" s="54"/>
      <c r="D54" s="54"/>
      <c r="E54" s="54"/>
      <c r="F54" s="54"/>
      <c r="G54" s="54"/>
      <c r="H54" s="54"/>
      <c r="I54" s="54"/>
      <c r="J54" s="54"/>
      <c r="K54" s="54"/>
      <c r="L54" s="54"/>
      <c r="M54" s="54"/>
      <c r="N54" s="54"/>
      <c r="O54" s="54"/>
      <c r="P54" s="54"/>
      <c r="Q54" s="54"/>
      <c r="R54" s="54"/>
      <c r="S54" s="54"/>
      <c r="T54" s="54"/>
      <c r="U54" s="54"/>
      <c r="V54" s="54"/>
      <c r="W54" s="54"/>
      <c r="X54" s="54"/>
      <c r="Y54" s="54"/>
      <c r="Z54" s="54"/>
      <c r="AA54" s="54"/>
      <c r="AB54" s="54"/>
      <c r="AC54" s="54"/>
      <c r="AD54" s="54"/>
      <c r="AE54" s="54"/>
      <c r="AF54" s="54"/>
      <c r="AG54" s="54"/>
      <c r="AH54" s="54"/>
      <c r="AI54" s="54"/>
      <c r="AJ54" s="54"/>
      <c r="AK54" s="54"/>
      <c r="AL54" s="54"/>
      <c r="AM54" s="54"/>
      <c r="AN54" s="54"/>
      <c r="AO54" s="54"/>
      <c r="AP54" s="54"/>
      <c r="AQ54" s="54"/>
      <c r="AR54" s="54"/>
      <c r="AS54" s="54"/>
      <c r="AT54" s="54"/>
      <c r="AU54" s="54"/>
      <c r="AV54" s="54"/>
      <c r="AW54" s="54"/>
      <c r="AX54" s="54"/>
      <c r="AY54" s="54"/>
      <c r="AZ54" s="54"/>
      <c r="BA54" s="54"/>
      <c r="BB54" s="54"/>
      <c r="BC54" s="54"/>
      <c r="BD54" s="54"/>
      <c r="BE54" s="54"/>
      <c r="BF54" s="54"/>
      <c r="BG54" s="54"/>
      <c r="BH54" s="54"/>
      <c r="BI54" s="54"/>
    </row>
    <row r="55" spans="1:61" s="55" customFormat="1" ht="14" x14ac:dyDescent="0.15">
      <c r="A55" s="54"/>
      <c r="B55" s="54"/>
      <c r="C55" s="54"/>
      <c r="D55" s="54"/>
      <c r="E55" s="54"/>
      <c r="F55" s="54"/>
      <c r="G55" s="54"/>
      <c r="H55" s="54"/>
      <c r="I55" s="54"/>
      <c r="J55" s="54"/>
      <c r="K55" s="54"/>
      <c r="L55" s="54"/>
      <c r="M55" s="54"/>
      <c r="N55" s="54"/>
      <c r="O55" s="54"/>
      <c r="P55" s="54"/>
      <c r="Q55" s="54"/>
      <c r="R55" s="54"/>
      <c r="S55" s="54"/>
      <c r="T55" s="54"/>
      <c r="U55" s="54"/>
      <c r="V55" s="54"/>
      <c r="W55" s="54"/>
      <c r="X55" s="54"/>
      <c r="Y55" s="54"/>
      <c r="Z55" s="54"/>
      <c r="AA55" s="54"/>
      <c r="AB55" s="54"/>
      <c r="AC55" s="54"/>
      <c r="AD55" s="54"/>
      <c r="AE55" s="54"/>
      <c r="AF55" s="54"/>
      <c r="AG55" s="54"/>
      <c r="AH55" s="54"/>
      <c r="AI55" s="54"/>
      <c r="AJ55" s="54"/>
      <c r="AK55" s="54"/>
      <c r="AL55" s="54"/>
      <c r="AM55" s="54"/>
      <c r="AN55" s="54"/>
      <c r="AO55" s="54"/>
      <c r="AP55" s="54"/>
      <c r="AQ55" s="54"/>
      <c r="AR55" s="54"/>
      <c r="AS55" s="54"/>
      <c r="AT55" s="54"/>
      <c r="AU55" s="54"/>
      <c r="AV55" s="54"/>
      <c r="AW55" s="54"/>
      <c r="AX55" s="54"/>
      <c r="AY55" s="54"/>
      <c r="AZ55" s="54"/>
      <c r="BA55" s="54"/>
      <c r="BB55" s="54"/>
      <c r="BC55" s="54"/>
      <c r="BD55" s="54"/>
      <c r="BE55" s="54"/>
      <c r="BF55" s="54"/>
      <c r="BG55" s="54"/>
      <c r="BH55" s="54"/>
      <c r="BI55" s="54"/>
    </row>
    <row r="56" spans="1:61" s="55" customFormat="1" ht="14" x14ac:dyDescent="0.15">
      <c r="A56" s="54"/>
      <c r="B56" s="54"/>
      <c r="C56" s="54"/>
      <c r="D56" s="54"/>
      <c r="E56" s="54"/>
      <c r="F56" s="54"/>
      <c r="G56" s="54"/>
      <c r="H56" s="54"/>
      <c r="I56" s="54"/>
      <c r="J56" s="54"/>
      <c r="K56" s="54"/>
      <c r="L56" s="54"/>
      <c r="M56" s="54"/>
      <c r="N56" s="54"/>
      <c r="O56" s="54"/>
      <c r="P56" s="54"/>
      <c r="Q56" s="54"/>
      <c r="R56" s="54"/>
      <c r="S56" s="54"/>
      <c r="T56" s="54"/>
      <c r="U56" s="54"/>
      <c r="V56" s="54"/>
      <c r="W56" s="54"/>
      <c r="X56" s="54"/>
      <c r="Y56" s="54"/>
      <c r="Z56" s="54"/>
      <c r="AA56" s="54"/>
      <c r="AB56" s="54"/>
      <c r="AC56" s="54"/>
      <c r="AD56" s="54"/>
      <c r="AE56" s="54"/>
      <c r="AF56" s="54"/>
      <c r="AG56" s="54"/>
      <c r="AH56" s="54"/>
      <c r="AI56" s="54"/>
      <c r="AJ56" s="54"/>
      <c r="AK56" s="54"/>
      <c r="AL56" s="54"/>
      <c r="AM56" s="54"/>
      <c r="AN56" s="54"/>
      <c r="AO56" s="54"/>
      <c r="AP56" s="54"/>
      <c r="AQ56" s="54"/>
      <c r="AR56" s="54"/>
      <c r="AS56" s="54"/>
      <c r="AT56" s="54"/>
      <c r="AU56" s="54"/>
      <c r="AV56" s="54"/>
      <c r="AW56" s="54"/>
      <c r="AX56" s="54"/>
      <c r="AY56" s="54"/>
      <c r="AZ56" s="54"/>
      <c r="BA56" s="54"/>
      <c r="BB56" s="54"/>
      <c r="BC56" s="54"/>
      <c r="BD56" s="54"/>
      <c r="BE56" s="54"/>
      <c r="BF56" s="54"/>
      <c r="BG56" s="54"/>
      <c r="BH56" s="54"/>
      <c r="BI56" s="54"/>
    </row>
    <row r="57" spans="1:61" s="55" customFormat="1" ht="14" x14ac:dyDescent="0.15">
      <c r="A57" s="54"/>
      <c r="B57" s="54"/>
      <c r="C57" s="54"/>
      <c r="D57" s="54"/>
      <c r="E57" s="54"/>
      <c r="F57" s="54"/>
      <c r="G57" s="54"/>
      <c r="H57" s="54"/>
      <c r="I57" s="54"/>
      <c r="J57" s="54"/>
      <c r="K57" s="54"/>
      <c r="L57" s="54"/>
      <c r="M57" s="54"/>
      <c r="N57" s="54"/>
      <c r="O57" s="54"/>
      <c r="P57" s="54"/>
      <c r="Q57" s="54"/>
      <c r="R57" s="54"/>
      <c r="S57" s="54"/>
      <c r="T57" s="54"/>
      <c r="U57" s="54"/>
      <c r="V57" s="54"/>
      <c r="W57" s="54"/>
      <c r="X57" s="54"/>
      <c r="Y57" s="54"/>
      <c r="Z57" s="54"/>
      <c r="AA57" s="54"/>
      <c r="AB57" s="54"/>
      <c r="AC57" s="54"/>
      <c r="AD57" s="54"/>
      <c r="AE57" s="54"/>
      <c r="AF57" s="54"/>
      <c r="AG57" s="54"/>
      <c r="AH57" s="54"/>
      <c r="AI57" s="54"/>
      <c r="AJ57" s="54"/>
      <c r="AK57" s="54"/>
      <c r="AL57" s="54"/>
      <c r="AM57" s="54"/>
      <c r="AN57" s="54"/>
      <c r="AO57" s="54"/>
      <c r="AP57" s="54"/>
      <c r="AQ57" s="54"/>
      <c r="AR57" s="54"/>
      <c r="AS57" s="54"/>
      <c r="AT57" s="54"/>
      <c r="AU57" s="54"/>
      <c r="AV57" s="54"/>
      <c r="AW57" s="54"/>
      <c r="AX57" s="54"/>
      <c r="AY57" s="54"/>
      <c r="AZ57" s="54"/>
      <c r="BA57" s="54"/>
      <c r="BB57" s="54"/>
      <c r="BC57" s="54"/>
      <c r="BD57" s="54"/>
      <c r="BE57" s="54"/>
      <c r="BF57" s="54"/>
      <c r="BG57" s="54"/>
      <c r="BH57" s="54"/>
      <c r="BI57" s="54"/>
    </row>
    <row r="58" spans="1:61" s="55" customFormat="1" ht="14" x14ac:dyDescent="0.15">
      <c r="A58" s="54"/>
      <c r="B58" s="54"/>
      <c r="C58" s="54"/>
      <c r="D58" s="54"/>
      <c r="E58" s="54"/>
      <c r="F58" s="54"/>
      <c r="G58" s="54"/>
      <c r="H58" s="54"/>
      <c r="I58" s="54"/>
      <c r="J58" s="54"/>
      <c r="K58" s="54"/>
      <c r="L58" s="54"/>
      <c r="M58" s="54"/>
      <c r="N58" s="54"/>
      <c r="O58" s="54"/>
      <c r="P58" s="54"/>
      <c r="Q58" s="54"/>
      <c r="R58" s="54"/>
      <c r="S58" s="54"/>
      <c r="T58" s="54"/>
      <c r="U58" s="54"/>
      <c r="V58" s="54"/>
      <c r="W58" s="54"/>
      <c r="X58" s="54"/>
      <c r="Y58" s="54"/>
      <c r="Z58" s="54"/>
      <c r="AA58" s="54"/>
      <c r="AB58" s="54"/>
      <c r="AC58" s="54"/>
      <c r="AD58" s="54"/>
      <c r="AE58" s="54"/>
      <c r="AF58" s="54"/>
      <c r="AG58" s="54"/>
      <c r="AH58" s="54"/>
      <c r="AI58" s="54"/>
      <c r="AJ58" s="54"/>
      <c r="AK58" s="54"/>
      <c r="AL58" s="54"/>
      <c r="AM58" s="54"/>
      <c r="AN58" s="54"/>
      <c r="AO58" s="54"/>
      <c r="AP58" s="54"/>
      <c r="AQ58" s="54"/>
      <c r="AR58" s="54"/>
      <c r="AS58" s="54"/>
      <c r="AT58" s="54"/>
      <c r="AU58" s="54"/>
      <c r="AV58" s="54"/>
      <c r="AW58" s="54"/>
      <c r="AX58" s="54"/>
      <c r="AY58" s="54"/>
      <c r="AZ58" s="54"/>
      <c r="BA58" s="54"/>
      <c r="BB58" s="54"/>
      <c r="BC58" s="54"/>
      <c r="BD58" s="54"/>
      <c r="BE58" s="54"/>
      <c r="BF58" s="54"/>
      <c r="BG58" s="54"/>
      <c r="BH58" s="54"/>
      <c r="BI58" s="54"/>
    </row>
    <row r="59" spans="1:61" s="55" customFormat="1" ht="14" x14ac:dyDescent="0.15">
      <c r="A59" s="54"/>
      <c r="B59" s="54"/>
      <c r="C59" s="54"/>
      <c r="D59" s="54"/>
      <c r="E59" s="54"/>
      <c r="F59" s="54"/>
      <c r="G59" s="54"/>
      <c r="H59" s="54"/>
      <c r="I59" s="54"/>
      <c r="J59" s="54"/>
      <c r="K59" s="54"/>
      <c r="L59" s="54"/>
      <c r="M59" s="54"/>
      <c r="N59" s="54"/>
      <c r="O59" s="54"/>
      <c r="P59" s="54"/>
      <c r="Q59" s="54"/>
      <c r="R59" s="54"/>
      <c r="S59" s="54"/>
      <c r="T59" s="54"/>
      <c r="U59" s="54"/>
      <c r="V59" s="54"/>
      <c r="W59" s="54"/>
      <c r="X59" s="54"/>
      <c r="Y59" s="54"/>
      <c r="Z59" s="54"/>
      <c r="AA59" s="54"/>
      <c r="AB59" s="54"/>
      <c r="AC59" s="54"/>
      <c r="AD59" s="54"/>
      <c r="AE59" s="54"/>
      <c r="AF59" s="54"/>
      <c r="AG59" s="54"/>
      <c r="AH59" s="54"/>
      <c r="AI59" s="54"/>
      <c r="AJ59" s="54"/>
      <c r="AK59" s="54"/>
      <c r="AL59" s="54"/>
      <c r="AM59" s="54"/>
      <c r="AN59" s="54"/>
      <c r="AO59" s="54"/>
      <c r="AP59" s="54"/>
      <c r="AQ59" s="54"/>
      <c r="AR59" s="54"/>
      <c r="AS59" s="54"/>
      <c r="AT59" s="54"/>
      <c r="AU59" s="54"/>
      <c r="AV59" s="54"/>
      <c r="AW59" s="54"/>
      <c r="AX59" s="54"/>
      <c r="AY59" s="54"/>
      <c r="AZ59" s="54"/>
      <c r="BA59" s="54"/>
      <c r="BB59" s="54"/>
      <c r="BC59" s="54"/>
      <c r="BD59" s="54"/>
      <c r="BE59" s="54"/>
      <c r="BF59" s="54"/>
      <c r="BG59" s="54"/>
      <c r="BH59" s="54"/>
      <c r="BI59" s="54"/>
    </row>
    <row r="60" spans="1:61" s="55" customFormat="1" ht="14" x14ac:dyDescent="0.15">
      <c r="A60" s="54"/>
      <c r="B60" s="54"/>
      <c r="C60" s="54"/>
      <c r="D60" s="54"/>
      <c r="E60" s="54"/>
      <c r="F60" s="54"/>
      <c r="G60" s="54"/>
      <c r="H60" s="54"/>
      <c r="I60" s="54"/>
      <c r="J60" s="54"/>
      <c r="K60" s="54"/>
      <c r="L60" s="54"/>
      <c r="M60" s="54"/>
      <c r="N60" s="54"/>
      <c r="O60" s="54"/>
      <c r="P60" s="54"/>
      <c r="Q60" s="54"/>
      <c r="R60" s="54"/>
      <c r="S60" s="54"/>
      <c r="T60" s="54"/>
      <c r="U60" s="54"/>
      <c r="V60" s="54"/>
      <c r="W60" s="54"/>
      <c r="X60" s="54"/>
      <c r="Y60" s="54"/>
      <c r="Z60" s="54"/>
      <c r="AA60" s="54"/>
      <c r="AB60" s="54"/>
      <c r="AC60" s="54"/>
      <c r="AD60" s="54"/>
      <c r="AE60" s="54"/>
      <c r="AF60" s="54"/>
      <c r="AG60" s="54"/>
      <c r="AH60" s="54"/>
      <c r="AI60" s="54"/>
      <c r="AJ60" s="54"/>
      <c r="AK60" s="54"/>
      <c r="AL60" s="54"/>
      <c r="AM60" s="54"/>
      <c r="AN60" s="54"/>
      <c r="AO60" s="54"/>
      <c r="AP60" s="54"/>
      <c r="AQ60" s="54"/>
      <c r="AR60" s="54"/>
      <c r="AS60" s="54"/>
      <c r="AT60" s="54"/>
      <c r="AU60" s="54"/>
      <c r="AV60" s="54"/>
      <c r="AW60" s="54"/>
      <c r="AX60" s="54"/>
      <c r="AY60" s="54"/>
      <c r="AZ60" s="54"/>
      <c r="BA60" s="54"/>
      <c r="BB60" s="54"/>
      <c r="BC60" s="54"/>
      <c r="BD60" s="54"/>
      <c r="BE60" s="54"/>
      <c r="BF60" s="54"/>
      <c r="BG60" s="54"/>
      <c r="BH60" s="54"/>
      <c r="BI60" s="54"/>
    </row>
    <row r="61" spans="1:61" s="55" customFormat="1" ht="14" x14ac:dyDescent="0.15">
      <c r="A61" s="54"/>
      <c r="B61" s="54"/>
      <c r="C61" s="54"/>
      <c r="D61" s="54"/>
      <c r="E61" s="54"/>
      <c r="F61" s="54"/>
      <c r="G61" s="54"/>
      <c r="H61" s="54"/>
      <c r="I61" s="54"/>
      <c r="J61" s="54"/>
      <c r="K61" s="54"/>
      <c r="L61" s="54"/>
      <c r="M61" s="54"/>
      <c r="N61" s="54"/>
      <c r="O61" s="54"/>
      <c r="P61" s="54"/>
      <c r="Q61" s="54"/>
      <c r="R61" s="54"/>
      <c r="S61" s="54"/>
      <c r="T61" s="54"/>
      <c r="U61" s="54"/>
      <c r="V61" s="54"/>
      <c r="W61" s="54"/>
      <c r="X61" s="54"/>
      <c r="Y61" s="54"/>
      <c r="Z61" s="54"/>
      <c r="AA61" s="54"/>
      <c r="AB61" s="54"/>
      <c r="AC61" s="54"/>
      <c r="AD61" s="54"/>
      <c r="AE61" s="54"/>
      <c r="AF61" s="54"/>
      <c r="AG61" s="54"/>
      <c r="AH61" s="54"/>
      <c r="AI61" s="54"/>
      <c r="AJ61" s="54"/>
      <c r="AK61" s="54"/>
      <c r="AL61" s="54"/>
      <c r="AM61" s="54"/>
      <c r="AN61" s="54"/>
      <c r="AO61" s="54"/>
      <c r="AP61" s="54"/>
      <c r="AQ61" s="54"/>
      <c r="AR61" s="54"/>
      <c r="AS61" s="54"/>
      <c r="AT61" s="54"/>
      <c r="AU61" s="54"/>
      <c r="AV61" s="54"/>
      <c r="AW61" s="54"/>
      <c r="AX61" s="54"/>
      <c r="AY61" s="54"/>
      <c r="AZ61" s="54"/>
      <c r="BA61" s="54"/>
      <c r="BB61" s="54"/>
      <c r="BC61" s="54"/>
      <c r="BD61" s="54"/>
      <c r="BE61" s="54"/>
      <c r="BF61" s="54"/>
      <c r="BG61" s="54"/>
      <c r="BH61" s="54"/>
      <c r="BI61" s="54"/>
    </row>
    <row r="62" spans="1:61" s="55" customFormat="1" ht="14" x14ac:dyDescent="0.15">
      <c r="A62" s="54"/>
      <c r="B62" s="54"/>
      <c r="C62" s="54"/>
      <c r="D62" s="54"/>
      <c r="E62" s="54"/>
      <c r="F62" s="54"/>
      <c r="G62" s="54"/>
      <c r="H62" s="54"/>
      <c r="I62" s="54"/>
      <c r="J62" s="54"/>
      <c r="K62" s="54"/>
      <c r="L62" s="54"/>
      <c r="M62" s="54"/>
      <c r="N62" s="54"/>
      <c r="O62" s="54"/>
      <c r="P62" s="54"/>
      <c r="Q62" s="54"/>
      <c r="R62" s="54"/>
      <c r="S62" s="54"/>
      <c r="T62" s="54"/>
      <c r="U62" s="54"/>
      <c r="V62" s="54"/>
      <c r="W62" s="54"/>
      <c r="X62" s="54"/>
      <c r="Y62" s="54"/>
      <c r="Z62" s="54"/>
      <c r="AA62" s="54"/>
      <c r="AB62" s="54"/>
      <c r="AC62" s="54"/>
      <c r="AD62" s="54"/>
      <c r="AE62" s="54"/>
      <c r="AF62" s="54"/>
      <c r="AG62" s="54"/>
      <c r="AH62" s="54"/>
      <c r="AI62" s="54"/>
      <c r="AJ62" s="54"/>
      <c r="AK62" s="54"/>
      <c r="AL62" s="54"/>
      <c r="AM62" s="54"/>
      <c r="AN62" s="54"/>
      <c r="AO62" s="54"/>
      <c r="AP62" s="54"/>
      <c r="AQ62" s="54"/>
      <c r="AR62" s="54"/>
      <c r="AS62" s="54"/>
      <c r="AT62" s="54"/>
      <c r="AU62" s="54"/>
      <c r="AV62" s="54"/>
      <c r="AW62" s="54"/>
      <c r="AX62" s="54"/>
      <c r="AY62" s="54"/>
      <c r="AZ62" s="54"/>
      <c r="BA62" s="54"/>
      <c r="BB62" s="54"/>
      <c r="BC62" s="54"/>
      <c r="BD62" s="54"/>
      <c r="BE62" s="54"/>
      <c r="BF62" s="54"/>
      <c r="BG62" s="54"/>
      <c r="BH62" s="54"/>
      <c r="BI62" s="54"/>
    </row>
    <row r="63" spans="1:61" s="55" customFormat="1" ht="14" x14ac:dyDescent="0.15">
      <c r="A63" s="54"/>
      <c r="B63" s="54"/>
      <c r="C63" s="54"/>
      <c r="D63" s="54"/>
      <c r="E63" s="54"/>
      <c r="F63" s="54"/>
      <c r="G63" s="54"/>
      <c r="H63" s="54"/>
      <c r="I63" s="54"/>
      <c r="J63" s="54"/>
      <c r="K63" s="54"/>
      <c r="L63" s="54"/>
      <c r="M63" s="54"/>
      <c r="N63" s="54"/>
      <c r="O63" s="54"/>
      <c r="P63" s="54"/>
      <c r="Q63" s="54"/>
      <c r="R63" s="54"/>
      <c r="S63" s="54"/>
      <c r="T63" s="54"/>
      <c r="U63" s="54"/>
      <c r="V63" s="54"/>
      <c r="W63" s="54"/>
      <c r="X63" s="54"/>
      <c r="Y63" s="54"/>
      <c r="Z63" s="54"/>
      <c r="AA63" s="54"/>
      <c r="AB63" s="54"/>
      <c r="AC63" s="54"/>
      <c r="AD63" s="54"/>
      <c r="AE63" s="54"/>
      <c r="AF63" s="54"/>
      <c r="AG63" s="54"/>
      <c r="AH63" s="54"/>
      <c r="AI63" s="54"/>
      <c r="AJ63" s="54"/>
      <c r="AK63" s="54"/>
      <c r="AL63" s="54"/>
      <c r="AM63" s="54"/>
      <c r="AN63" s="54"/>
      <c r="AO63" s="54"/>
      <c r="AP63" s="54"/>
      <c r="AQ63" s="54"/>
      <c r="AR63" s="54"/>
      <c r="AS63" s="54"/>
      <c r="AT63" s="54"/>
      <c r="AU63" s="54"/>
      <c r="AV63" s="54"/>
      <c r="AW63" s="54"/>
      <c r="AX63" s="54"/>
      <c r="AY63" s="54"/>
      <c r="AZ63" s="54"/>
      <c r="BA63" s="54"/>
      <c r="BB63" s="54"/>
      <c r="BC63" s="54"/>
      <c r="BD63" s="54"/>
      <c r="BE63" s="54"/>
      <c r="BF63" s="54"/>
      <c r="BG63" s="54"/>
      <c r="BH63" s="54"/>
      <c r="BI63" s="54"/>
    </row>
    <row r="64" spans="1:61" s="55" customFormat="1" ht="14" x14ac:dyDescent="0.15">
      <c r="A64" s="54"/>
      <c r="B64" s="54"/>
      <c r="C64" s="54"/>
      <c r="D64" s="54"/>
      <c r="E64" s="54"/>
      <c r="F64" s="54"/>
      <c r="G64" s="54"/>
      <c r="H64" s="54"/>
      <c r="I64" s="54"/>
      <c r="J64" s="54"/>
      <c r="K64" s="54"/>
      <c r="L64" s="54"/>
      <c r="M64" s="54"/>
      <c r="N64" s="54"/>
      <c r="O64" s="54"/>
      <c r="P64" s="54"/>
      <c r="Q64" s="54"/>
      <c r="R64" s="54"/>
      <c r="S64" s="54"/>
      <c r="T64" s="54"/>
      <c r="U64" s="54"/>
      <c r="V64" s="54"/>
      <c r="W64" s="54"/>
      <c r="X64" s="54"/>
      <c r="Y64" s="54"/>
      <c r="Z64" s="54"/>
      <c r="AA64" s="54"/>
      <c r="AB64" s="54"/>
      <c r="AC64" s="54"/>
      <c r="AD64" s="54"/>
      <c r="AE64" s="54"/>
      <c r="AF64" s="54"/>
      <c r="AG64" s="54"/>
      <c r="AH64" s="54"/>
      <c r="AI64" s="54"/>
      <c r="AJ64" s="54"/>
      <c r="AK64" s="54"/>
      <c r="AL64" s="54"/>
      <c r="AM64" s="54"/>
      <c r="AN64" s="54"/>
      <c r="AO64" s="54"/>
      <c r="AP64" s="54"/>
      <c r="AQ64" s="54"/>
      <c r="AR64" s="54"/>
      <c r="AS64" s="54"/>
      <c r="AT64" s="54"/>
      <c r="AU64" s="54"/>
      <c r="AV64" s="54"/>
      <c r="AW64" s="54"/>
      <c r="AX64" s="54"/>
      <c r="AY64" s="54"/>
      <c r="AZ64" s="54"/>
      <c r="BA64" s="54"/>
      <c r="BB64" s="54"/>
      <c r="BC64" s="54"/>
      <c r="BD64" s="54"/>
      <c r="BE64" s="54"/>
      <c r="BF64" s="54"/>
      <c r="BG64" s="54"/>
      <c r="BH64" s="54"/>
      <c r="BI64" s="54"/>
    </row>
    <row r="65" spans="1:61" s="55" customFormat="1" ht="14" x14ac:dyDescent="0.15">
      <c r="A65" s="54"/>
      <c r="B65" s="54"/>
      <c r="C65" s="54"/>
      <c r="D65" s="54"/>
      <c r="E65" s="54"/>
      <c r="F65" s="54"/>
      <c r="G65" s="54"/>
      <c r="H65" s="54"/>
      <c r="I65" s="54"/>
      <c r="J65" s="54"/>
      <c r="K65" s="54"/>
      <c r="L65" s="54"/>
      <c r="M65" s="54"/>
      <c r="N65" s="54"/>
      <c r="O65" s="54"/>
      <c r="P65" s="54"/>
      <c r="Q65" s="54"/>
      <c r="R65" s="54"/>
      <c r="S65" s="54"/>
      <c r="T65" s="54"/>
      <c r="U65" s="54"/>
      <c r="V65" s="54"/>
      <c r="W65" s="54"/>
      <c r="X65" s="54"/>
      <c r="Y65" s="54"/>
      <c r="Z65" s="54"/>
      <c r="AA65" s="54"/>
      <c r="AB65" s="54"/>
      <c r="AC65" s="54"/>
      <c r="AD65" s="54"/>
      <c r="AE65" s="54"/>
      <c r="AF65" s="54"/>
      <c r="AG65" s="54"/>
      <c r="AH65" s="54"/>
      <c r="AI65" s="54"/>
      <c r="AJ65" s="54"/>
      <c r="AK65" s="54"/>
      <c r="AL65" s="54"/>
      <c r="AM65" s="54"/>
      <c r="AN65" s="54"/>
      <c r="AO65" s="54"/>
      <c r="AP65" s="54"/>
      <c r="AQ65" s="54"/>
      <c r="AR65" s="54"/>
      <c r="AS65" s="54"/>
      <c r="AT65" s="54"/>
      <c r="AU65" s="54"/>
      <c r="AV65" s="54"/>
      <c r="AW65" s="54"/>
      <c r="AX65" s="54"/>
      <c r="AY65" s="54"/>
      <c r="AZ65" s="54"/>
      <c r="BA65" s="54"/>
      <c r="BB65" s="54"/>
      <c r="BC65" s="54"/>
      <c r="BD65" s="54"/>
      <c r="BE65" s="54"/>
      <c r="BF65" s="54"/>
      <c r="BG65" s="54"/>
      <c r="BH65" s="54"/>
      <c r="BI65" s="54"/>
    </row>
  </sheetData>
  <pageMargins left="0.7" right="0.7" top="0.75" bottom="0.75" header="0.3" footer="0.3"/>
  <pageSetup paperSize="0" fitToWidth="0" fitToHeight="0" orientation="portrait" horizontalDpi="0" verticalDpi="0" copies="0"/>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E83632-55AC-F44F-BBB8-E4AFDE3BAF3F}">
  <dimension ref="A1:H155"/>
  <sheetViews>
    <sheetView workbookViewId="0"/>
  </sheetViews>
  <sheetFormatPr baseColWidth="10" defaultColWidth="19.19921875" defaultRowHeight="12.75" x14ac:dyDescent="0.15"/>
  <cols>
    <col min="1" max="1" width="25.3984375" style="55" customWidth="1"/>
    <col min="2" max="2" width="37.59765625" style="55" bestFit="1" customWidth="1"/>
    <col min="3" max="3" width="37.59765625" style="55" customWidth="1"/>
    <col min="4" max="4" width="24.59765625" style="55" customWidth="1"/>
    <col min="5" max="5" width="31.59765625" style="55" customWidth="1"/>
    <col min="6" max="6" width="27" style="55" customWidth="1"/>
    <col min="7" max="7" width="47" style="55" customWidth="1"/>
    <col min="8" max="8" width="84.19921875" style="55" customWidth="1"/>
    <col min="9" max="9" width="19.19921875" style="55" customWidth="1"/>
    <col min="10" max="16384" width="19.19921875" style="55"/>
  </cols>
  <sheetData>
    <row r="1" spans="1:8" ht="19" x14ac:dyDescent="0.2">
      <c r="A1" s="53" t="s">
        <v>118</v>
      </c>
      <c r="G1" s="69"/>
    </row>
    <row r="2" spans="1:8" ht="14" x14ac:dyDescent="0.15">
      <c r="A2" s="70" t="s">
        <v>119</v>
      </c>
    </row>
    <row r="3" spans="1:8" ht="28" x14ac:dyDescent="0.15">
      <c r="A3" s="71" t="s">
        <v>120</v>
      </c>
      <c r="B3" s="71" t="s">
        <v>121</v>
      </c>
      <c r="C3" s="71" t="s">
        <v>122</v>
      </c>
      <c r="D3" s="71" t="s">
        <v>123</v>
      </c>
      <c r="E3" s="71" t="s">
        <v>124</v>
      </c>
      <c r="F3" s="71" t="s">
        <v>125</v>
      </c>
      <c r="G3" s="71" t="s">
        <v>126</v>
      </c>
      <c r="H3" s="71" t="s">
        <v>127</v>
      </c>
    </row>
    <row r="4" spans="1:8" ht="13" x14ac:dyDescent="0.15">
      <c r="A4" s="72" t="str">
        <f>HYPERLINK("https://reports.ofsted.gov.uk/provider/44/80486","Ofsted Local Authority Webpage")</f>
        <v>Ofsted Local Authority Webpage</v>
      </c>
      <c r="B4" s="73" t="s">
        <v>128</v>
      </c>
      <c r="C4" s="55" t="s">
        <v>129</v>
      </c>
      <c r="D4" s="74">
        <v>43514</v>
      </c>
      <c r="E4" s="55" t="s">
        <v>130</v>
      </c>
      <c r="F4" s="55" t="s">
        <v>130</v>
      </c>
      <c r="G4" s="55" t="s">
        <v>130</v>
      </c>
      <c r="H4" s="55" t="s">
        <v>130</v>
      </c>
    </row>
    <row r="5" spans="1:8" ht="13" x14ac:dyDescent="0.15">
      <c r="A5" s="72" t="str">
        <f>HYPERLINK("https://reports.ofsted.gov.uk/provider/44/302","Ofsted Local Authority Webpage")</f>
        <v>Ofsted Local Authority Webpage</v>
      </c>
      <c r="B5" s="73" t="s">
        <v>131</v>
      </c>
      <c r="C5" s="55" t="s">
        <v>129</v>
      </c>
      <c r="D5" s="74">
        <v>43598</v>
      </c>
      <c r="E5" s="55" t="s">
        <v>132</v>
      </c>
      <c r="F5" s="55" t="s">
        <v>132</v>
      </c>
      <c r="G5" s="55" t="s">
        <v>132</v>
      </c>
      <c r="H5" s="55" t="s">
        <v>132</v>
      </c>
    </row>
    <row r="6" spans="1:8" ht="13" x14ac:dyDescent="0.15">
      <c r="A6" s="72" t="str">
        <f>HYPERLINK("https://reports.ofsted.gov.uk/provider/44/370","Ofsted Local Authority Webpage")</f>
        <v>Ofsted Local Authority Webpage</v>
      </c>
      <c r="B6" s="73" t="s">
        <v>133</v>
      </c>
      <c r="C6" s="55" t="s">
        <v>134</v>
      </c>
      <c r="D6" s="74">
        <v>43381</v>
      </c>
      <c r="E6" s="55" t="s">
        <v>132</v>
      </c>
      <c r="F6" s="55" t="s">
        <v>132</v>
      </c>
      <c r="G6" s="55" t="s">
        <v>132</v>
      </c>
      <c r="H6" s="55" t="s">
        <v>132</v>
      </c>
    </row>
    <row r="7" spans="1:8" ht="13" x14ac:dyDescent="0.15">
      <c r="A7" s="72" t="str">
        <f>HYPERLINK("https://reports.ofsted.gov.uk/provider/44/80427","Ofsted Local Authority Webpage")</f>
        <v>Ofsted Local Authority Webpage</v>
      </c>
      <c r="B7" s="73" t="s">
        <v>135</v>
      </c>
      <c r="C7" s="55" t="s">
        <v>136</v>
      </c>
      <c r="D7" s="74">
        <v>44620</v>
      </c>
      <c r="E7" s="55" t="s">
        <v>132</v>
      </c>
      <c r="F7" s="55" t="s">
        <v>132</v>
      </c>
      <c r="G7" s="55" t="s">
        <v>132</v>
      </c>
      <c r="H7" s="55" t="s">
        <v>132</v>
      </c>
    </row>
    <row r="8" spans="1:8" ht="13" x14ac:dyDescent="0.15">
      <c r="A8" s="72" t="str">
        <f>HYPERLINK("https://reports.ofsted.gov.uk/provider/44/80428","Ofsted Local Authority Webpage")</f>
        <v>Ofsted Local Authority Webpage</v>
      </c>
      <c r="B8" s="73" t="s">
        <v>137</v>
      </c>
      <c r="C8" s="55" t="s">
        <v>138</v>
      </c>
      <c r="D8" s="74">
        <v>44515</v>
      </c>
      <c r="E8" s="55" t="s">
        <v>132</v>
      </c>
      <c r="F8" s="55" t="s">
        <v>132</v>
      </c>
      <c r="G8" s="55" t="s">
        <v>132</v>
      </c>
      <c r="H8" s="55" t="s">
        <v>132</v>
      </c>
    </row>
    <row r="9" spans="1:8" ht="13" x14ac:dyDescent="0.15">
      <c r="A9" s="72" t="str">
        <f>HYPERLINK("https://reports.ofsted.gov.uk/provider/44/303","Ofsted Local Authority Webpage")</f>
        <v>Ofsted Local Authority Webpage</v>
      </c>
      <c r="B9" s="73" t="s">
        <v>139</v>
      </c>
      <c r="C9" s="55" t="s">
        <v>129</v>
      </c>
      <c r="D9" s="74">
        <v>43290</v>
      </c>
      <c r="E9" s="55" t="s">
        <v>140</v>
      </c>
      <c r="F9" s="55" t="s">
        <v>140</v>
      </c>
      <c r="G9" s="55" t="s">
        <v>140</v>
      </c>
      <c r="H9" s="55" t="s">
        <v>132</v>
      </c>
    </row>
    <row r="10" spans="1:8" ht="13" x14ac:dyDescent="0.15">
      <c r="A10" s="72" t="str">
        <f>HYPERLINK("https://reports.ofsted.gov.uk/provider/44/80429","Ofsted Local Authority Webpage")</f>
        <v>Ofsted Local Authority Webpage</v>
      </c>
      <c r="B10" s="73" t="s">
        <v>141</v>
      </c>
      <c r="C10" s="55" t="s">
        <v>142</v>
      </c>
      <c r="D10" s="74">
        <v>43437</v>
      </c>
      <c r="E10" s="55" t="s">
        <v>130</v>
      </c>
      <c r="F10" s="55" t="s">
        <v>130</v>
      </c>
      <c r="G10" s="55" t="s">
        <v>130</v>
      </c>
      <c r="H10" s="55" t="s">
        <v>130</v>
      </c>
    </row>
    <row r="11" spans="1:8" ht="13" x14ac:dyDescent="0.15">
      <c r="A11" s="72" t="str">
        <f>HYPERLINK("https://reports.ofsted.gov.uk/provider/44/80430","Ofsted Local Authority Webpage")</f>
        <v>Ofsted Local Authority Webpage</v>
      </c>
      <c r="B11" s="73" t="s">
        <v>143</v>
      </c>
      <c r="C11" s="55" t="s">
        <v>144</v>
      </c>
      <c r="D11" s="74">
        <v>44585</v>
      </c>
      <c r="E11" s="55" t="s">
        <v>130</v>
      </c>
      <c r="F11" s="55" t="s">
        <v>130</v>
      </c>
      <c r="G11" s="55" t="s">
        <v>130</v>
      </c>
      <c r="H11" s="55" t="s">
        <v>130</v>
      </c>
    </row>
    <row r="12" spans="1:8" ht="13" x14ac:dyDescent="0.15">
      <c r="A12" s="72" t="str">
        <f>HYPERLINK("https://reports.ofsted.gov.uk/provider/44/80431","Ofsted Local Authority Webpage")</f>
        <v>Ofsted Local Authority Webpage</v>
      </c>
      <c r="B12" s="73" t="s">
        <v>145</v>
      </c>
      <c r="C12" s="55" t="s">
        <v>144</v>
      </c>
      <c r="D12" s="74">
        <v>43430</v>
      </c>
      <c r="E12" s="55" t="s">
        <v>146</v>
      </c>
      <c r="F12" s="55" t="s">
        <v>146</v>
      </c>
      <c r="G12" s="55" t="s">
        <v>146</v>
      </c>
      <c r="H12" s="55" t="s">
        <v>130</v>
      </c>
    </row>
    <row r="13" spans="1:8" ht="13" x14ac:dyDescent="0.15">
      <c r="A13" s="72" t="str">
        <f>HYPERLINK("https://reports.ofsted.gov.uk/provider/44/350","Ofsted Local Authority Webpage")</f>
        <v>Ofsted Local Authority Webpage</v>
      </c>
      <c r="B13" s="73" t="s">
        <v>147</v>
      </c>
      <c r="C13" s="55" t="s">
        <v>144</v>
      </c>
      <c r="D13" s="74">
        <v>43213</v>
      </c>
      <c r="E13" s="55" t="s">
        <v>132</v>
      </c>
      <c r="F13" s="55" t="s">
        <v>132</v>
      </c>
      <c r="G13" s="55" t="s">
        <v>132</v>
      </c>
      <c r="H13" s="55" t="s">
        <v>132</v>
      </c>
    </row>
    <row r="14" spans="1:8" ht="13" x14ac:dyDescent="0.15">
      <c r="A14" s="72" t="str">
        <f>HYPERLINK("https://reports.ofsted.gov.uk/provider/44/839","Ofsted Local Authority Webpage")</f>
        <v>Ofsted Local Authority Webpage</v>
      </c>
      <c r="B14" s="73" t="s">
        <v>148</v>
      </c>
      <c r="C14" s="55" t="s">
        <v>136</v>
      </c>
      <c r="D14" s="74">
        <v>44536</v>
      </c>
      <c r="E14" s="55" t="s">
        <v>146</v>
      </c>
      <c r="F14" s="55" t="s">
        <v>146</v>
      </c>
      <c r="G14" s="55" t="s">
        <v>146</v>
      </c>
      <c r="H14" s="55" t="s">
        <v>130</v>
      </c>
    </row>
    <row r="15" spans="1:8" ht="13" x14ac:dyDescent="0.15">
      <c r="A15" s="72" t="str">
        <f>HYPERLINK("https://reports.ofsted.gov.uk/provider/44/867","Ofsted Local Authority Webpage")</f>
        <v>Ofsted Local Authority Webpage</v>
      </c>
      <c r="B15" s="73" t="s">
        <v>149</v>
      </c>
      <c r="C15" s="55" t="s">
        <v>150</v>
      </c>
      <c r="D15" s="74">
        <v>42853</v>
      </c>
      <c r="E15" s="55" t="s">
        <v>132</v>
      </c>
      <c r="F15" s="55" t="s">
        <v>132</v>
      </c>
      <c r="G15" s="55" t="s">
        <v>132</v>
      </c>
      <c r="H15" s="55" t="s">
        <v>140</v>
      </c>
    </row>
    <row r="16" spans="1:8" ht="13" x14ac:dyDescent="0.15">
      <c r="A16" s="72" t="str">
        <f>HYPERLINK("https://reports.ofsted.gov.uk/provider/44/80449","Ofsted Local Authority Webpage")</f>
        <v>Ofsted Local Authority Webpage</v>
      </c>
      <c r="B16" s="73" t="s">
        <v>151</v>
      </c>
      <c r="C16" s="55" t="s">
        <v>134</v>
      </c>
      <c r="D16" s="74">
        <v>43360</v>
      </c>
      <c r="E16" s="55" t="s">
        <v>146</v>
      </c>
      <c r="F16" s="55" t="s">
        <v>130</v>
      </c>
      <c r="G16" s="55" t="s">
        <v>146</v>
      </c>
      <c r="H16" s="55" t="s">
        <v>130</v>
      </c>
    </row>
    <row r="17" spans="1:8" ht="13" x14ac:dyDescent="0.15">
      <c r="A17" s="72" t="str">
        <f>HYPERLINK("https://reports.ofsted.gov.uk/provider/44/80489","Ofsted Local Authority Webpage")</f>
        <v>Ofsted Local Authority Webpage</v>
      </c>
      <c r="B17" s="73" t="s">
        <v>152</v>
      </c>
      <c r="C17" s="55" t="s">
        <v>129</v>
      </c>
      <c r="D17" s="74">
        <v>43234</v>
      </c>
      <c r="E17" s="55" t="s">
        <v>132</v>
      </c>
      <c r="F17" s="55" t="s">
        <v>132</v>
      </c>
      <c r="G17" s="55" t="s">
        <v>130</v>
      </c>
      <c r="H17" s="55" t="s">
        <v>140</v>
      </c>
    </row>
    <row r="18" spans="1:8" ht="13" x14ac:dyDescent="0.15">
      <c r="A18" s="72" t="str">
        <f>HYPERLINK("https://reports.ofsted.gov.uk/provider/44/846","Ofsted Local Authority Webpage")</f>
        <v>Ofsted Local Authority Webpage</v>
      </c>
      <c r="B18" s="73" t="s">
        <v>153</v>
      </c>
      <c r="C18" s="55" t="s">
        <v>150</v>
      </c>
      <c r="D18" s="74">
        <v>43290</v>
      </c>
      <c r="E18" s="55" t="s">
        <v>132</v>
      </c>
      <c r="F18" s="55" t="s">
        <v>132</v>
      </c>
      <c r="G18" s="55" t="s">
        <v>130</v>
      </c>
      <c r="H18" s="55" t="s">
        <v>132</v>
      </c>
    </row>
    <row r="19" spans="1:8" ht="13" x14ac:dyDescent="0.15">
      <c r="A19" s="72" t="str">
        <f>HYPERLINK("https://reports.ofsted.gov.uk/provider/44/80441","Ofsted Local Authority Webpage")</f>
        <v>Ofsted Local Authority Webpage</v>
      </c>
      <c r="B19" s="73" t="s">
        <v>154</v>
      </c>
      <c r="C19" s="55" t="s">
        <v>136</v>
      </c>
      <c r="D19" s="74">
        <v>43353</v>
      </c>
      <c r="E19" s="55" t="s">
        <v>130</v>
      </c>
      <c r="F19" s="55" t="s">
        <v>132</v>
      </c>
      <c r="G19" s="55" t="s">
        <v>130</v>
      </c>
      <c r="H19" s="55" t="s">
        <v>130</v>
      </c>
    </row>
    <row r="20" spans="1:8" ht="13" x14ac:dyDescent="0.15">
      <c r="A20" s="72" t="str">
        <f>HYPERLINK("https://reports.ofsted.gov.uk/provider/44/80490","Ofsted Local Authority Webpage")</f>
        <v>Ofsted Local Authority Webpage</v>
      </c>
      <c r="B20" s="73" t="s">
        <v>155</v>
      </c>
      <c r="C20" s="55" t="s">
        <v>129</v>
      </c>
      <c r="D20" s="74">
        <v>43423</v>
      </c>
      <c r="E20" s="55" t="s">
        <v>132</v>
      </c>
      <c r="F20" s="55" t="s">
        <v>140</v>
      </c>
      <c r="G20" s="55" t="s">
        <v>132</v>
      </c>
      <c r="H20" s="55" t="s">
        <v>132</v>
      </c>
    </row>
    <row r="21" spans="1:8" ht="13" x14ac:dyDescent="0.15">
      <c r="A21" s="72" t="str">
        <f>HYPERLINK("https://reports.ofsted.gov.uk/provider/44/825","Ofsted Local Authority Webpage")</f>
        <v>Ofsted Local Authority Webpage</v>
      </c>
      <c r="B21" s="73" t="s">
        <v>156</v>
      </c>
      <c r="C21" s="55" t="s">
        <v>150</v>
      </c>
      <c r="D21" s="74">
        <v>44536</v>
      </c>
      <c r="E21" s="55" t="s">
        <v>130</v>
      </c>
      <c r="F21" s="55" t="s">
        <v>130</v>
      </c>
      <c r="G21" s="55" t="s">
        <v>130</v>
      </c>
      <c r="H21" s="55" t="s">
        <v>130</v>
      </c>
    </row>
    <row r="22" spans="1:8" ht="13" x14ac:dyDescent="0.15">
      <c r="A22" s="72" t="str">
        <f>HYPERLINK("https://reports.ofsted.gov.uk/provider/44/80443","Ofsted Local Authority Webpage")</f>
        <v>Ofsted Local Authority Webpage</v>
      </c>
      <c r="B22" s="73" t="s">
        <v>157</v>
      </c>
      <c r="C22" s="55" t="s">
        <v>144</v>
      </c>
      <c r="D22" s="74">
        <v>44494</v>
      </c>
      <c r="E22" s="55" t="s">
        <v>146</v>
      </c>
      <c r="F22" s="55" t="s">
        <v>146</v>
      </c>
      <c r="G22" s="55" t="s">
        <v>146</v>
      </c>
      <c r="H22" s="55" t="s">
        <v>130</v>
      </c>
    </row>
    <row r="23" spans="1:8" ht="13" x14ac:dyDescent="0.15">
      <c r="A23" s="72" t="str">
        <f>HYPERLINK("https://reports.ofsted.gov.uk/provider/44/80444","Ofsted Local Authority Webpage")</f>
        <v>Ofsted Local Authority Webpage</v>
      </c>
      <c r="B23" s="73" t="s">
        <v>158</v>
      </c>
      <c r="C23" s="55" t="s">
        <v>134</v>
      </c>
      <c r="D23" s="74">
        <v>43416</v>
      </c>
      <c r="E23" s="55" t="s">
        <v>132</v>
      </c>
      <c r="F23" s="55" t="s">
        <v>132</v>
      </c>
      <c r="G23" s="55" t="s">
        <v>130</v>
      </c>
      <c r="H23" s="55" t="s">
        <v>140</v>
      </c>
    </row>
    <row r="24" spans="1:8" ht="13" x14ac:dyDescent="0.15">
      <c r="A24" s="72" t="str">
        <f>HYPERLINK("https://reports.ofsted.gov.uk/provider/44/80445","Ofsted Local Authority Webpage")</f>
        <v>Ofsted Local Authority Webpage</v>
      </c>
      <c r="B24" s="73" t="s">
        <v>159</v>
      </c>
      <c r="C24" s="55" t="s">
        <v>138</v>
      </c>
      <c r="D24" s="74">
        <v>43479</v>
      </c>
      <c r="E24" s="55" t="s">
        <v>130</v>
      </c>
      <c r="F24" s="55" t="s">
        <v>132</v>
      </c>
      <c r="G24" s="55" t="s">
        <v>130</v>
      </c>
      <c r="H24" s="55" t="s">
        <v>130</v>
      </c>
    </row>
    <row r="25" spans="1:8" ht="13" x14ac:dyDescent="0.15">
      <c r="A25" s="72" t="str">
        <f>HYPERLINK("https://reports.ofsted.gov.uk/provider/44/80491","Ofsted Local Authority Webpage")</f>
        <v>Ofsted Local Authority Webpage</v>
      </c>
      <c r="B25" s="73" t="s">
        <v>160</v>
      </c>
      <c r="C25" s="55" t="s">
        <v>129</v>
      </c>
      <c r="D25" s="74">
        <v>42989</v>
      </c>
      <c r="E25" s="55" t="s">
        <v>132</v>
      </c>
      <c r="F25" s="55" t="s">
        <v>140</v>
      </c>
      <c r="G25" s="55" t="s">
        <v>132</v>
      </c>
      <c r="H25" s="55" t="s">
        <v>132</v>
      </c>
    </row>
    <row r="26" spans="1:8" ht="13" x14ac:dyDescent="0.15">
      <c r="A26" s="72" t="str">
        <f>HYPERLINK("https://reports.ofsted.gov.uk/provider/44/80446","Ofsted Local Authority Webpage")</f>
        <v>Ofsted Local Authority Webpage</v>
      </c>
      <c r="B26" s="73" t="s">
        <v>161</v>
      </c>
      <c r="C26" s="55" t="s">
        <v>138</v>
      </c>
      <c r="D26" s="74">
        <v>44578</v>
      </c>
      <c r="E26" s="55" t="s">
        <v>132</v>
      </c>
      <c r="F26" s="55" t="s">
        <v>132</v>
      </c>
      <c r="G26" s="73" t="s">
        <v>132</v>
      </c>
      <c r="H26" s="55" t="s">
        <v>132</v>
      </c>
    </row>
    <row r="27" spans="1:8" ht="13" x14ac:dyDescent="0.15">
      <c r="A27" s="72" t="str">
        <f>HYPERLINK("https://reports.ofsted.gov.uk/provider/44/80447","Ofsted Local Authority Webpage")</f>
        <v>Ofsted Local Authority Webpage</v>
      </c>
      <c r="B27" s="73" t="s">
        <v>162</v>
      </c>
      <c r="C27" s="55" t="s">
        <v>144</v>
      </c>
      <c r="D27" s="74">
        <v>43787</v>
      </c>
      <c r="E27" s="55" t="s">
        <v>130</v>
      </c>
      <c r="F27" s="55" t="s">
        <v>130</v>
      </c>
      <c r="G27" s="55" t="s">
        <v>130</v>
      </c>
      <c r="H27" s="55" t="s">
        <v>130</v>
      </c>
    </row>
    <row r="28" spans="1:8" ht="13" x14ac:dyDescent="0.15">
      <c r="A28" s="72" t="str">
        <f>HYPERLINK("https://reports.ofsted.gov.uk/provider/44/896","Ofsted Local Authority Webpage")</f>
        <v>Ofsted Local Authority Webpage</v>
      </c>
      <c r="B28" s="73" t="s">
        <v>163</v>
      </c>
      <c r="C28" s="55" t="s">
        <v>144</v>
      </c>
      <c r="D28" s="74">
        <v>43542</v>
      </c>
      <c r="E28" s="55" t="s">
        <v>132</v>
      </c>
      <c r="F28" s="55" t="s">
        <v>132</v>
      </c>
      <c r="G28" s="55" t="s">
        <v>132</v>
      </c>
      <c r="H28" s="55" t="s">
        <v>132</v>
      </c>
    </row>
    <row r="29" spans="1:8" ht="13" x14ac:dyDescent="0.15">
      <c r="A29" s="72" t="str">
        <f>HYPERLINK("https://reports.ofsted.gov.uk/provider/44/80450","Ofsted Local Authority Webpage")</f>
        <v>Ofsted Local Authority Webpage</v>
      </c>
      <c r="B29" s="73" t="s">
        <v>164</v>
      </c>
      <c r="C29" s="55" t="s">
        <v>129</v>
      </c>
      <c r="D29" s="74">
        <v>43892</v>
      </c>
      <c r="E29" s="55" t="s">
        <v>140</v>
      </c>
      <c r="F29" s="55" t="s">
        <v>140</v>
      </c>
      <c r="G29" s="55" t="s">
        <v>132</v>
      </c>
      <c r="H29" s="55" t="s">
        <v>140</v>
      </c>
    </row>
    <row r="30" spans="1:8" ht="13" x14ac:dyDescent="0.15">
      <c r="A30" s="72" t="str">
        <f>HYPERLINK("https://reports.ofsted.gov.uk/provider/44/80454","Ofsted Local Authority Webpage")</f>
        <v>Ofsted Local Authority Webpage</v>
      </c>
      <c r="B30" s="73" t="s">
        <v>165</v>
      </c>
      <c r="C30" s="55" t="s">
        <v>136</v>
      </c>
      <c r="D30" s="74">
        <v>43752</v>
      </c>
      <c r="E30" s="55" t="s">
        <v>140</v>
      </c>
      <c r="F30" s="55" t="s">
        <v>140</v>
      </c>
      <c r="G30" s="55" t="s">
        <v>132</v>
      </c>
      <c r="H30" s="55" t="s">
        <v>140</v>
      </c>
    </row>
    <row r="31" spans="1:8" ht="13" x14ac:dyDescent="0.15">
      <c r="A31" s="72" t="str">
        <f>HYPERLINK("https://reports.ofsted.gov.uk/provider/44/80456","Ofsted Local Authority Webpage")</f>
        <v>Ofsted Local Authority Webpage</v>
      </c>
      <c r="B31" s="73" t="s">
        <v>166</v>
      </c>
      <c r="C31" s="55" t="s">
        <v>142</v>
      </c>
      <c r="D31" s="74">
        <v>42800</v>
      </c>
      <c r="E31" s="55" t="s">
        <v>130</v>
      </c>
      <c r="F31" s="55" t="s">
        <v>130</v>
      </c>
      <c r="G31" s="55" t="s">
        <v>130</v>
      </c>
      <c r="H31" s="55" t="s">
        <v>130</v>
      </c>
    </row>
    <row r="32" spans="1:8" ht="13" x14ac:dyDescent="0.15">
      <c r="A32" s="72" t="str">
        <f>HYPERLINK("https://reports.ofsted.gov.uk/provider/44/306","Ofsted Local Authority Webpage")</f>
        <v>Ofsted Local Authority Webpage</v>
      </c>
      <c r="B32" s="73" t="s">
        <v>167</v>
      </c>
      <c r="C32" s="55" t="s">
        <v>129</v>
      </c>
      <c r="D32" s="74">
        <v>43864</v>
      </c>
      <c r="E32" s="55" t="s">
        <v>132</v>
      </c>
      <c r="F32" s="55" t="s">
        <v>132</v>
      </c>
      <c r="G32" s="55" t="s">
        <v>132</v>
      </c>
      <c r="H32" s="55" t="s">
        <v>130</v>
      </c>
    </row>
    <row r="33" spans="1:8" ht="13" x14ac:dyDescent="0.15">
      <c r="A33" s="72" t="str">
        <f>HYPERLINK("https://reports.ofsted.gov.uk/provider/44/80457","Ofsted Local Authority Webpage")</f>
        <v>Ofsted Local Authority Webpage</v>
      </c>
      <c r="B33" s="73" t="s">
        <v>168</v>
      </c>
      <c r="C33" s="55" t="s">
        <v>144</v>
      </c>
      <c r="D33" s="74">
        <v>43045</v>
      </c>
      <c r="E33" s="55" t="s">
        <v>130</v>
      </c>
      <c r="F33" s="55" t="s">
        <v>132</v>
      </c>
      <c r="G33" s="55" t="s">
        <v>130</v>
      </c>
      <c r="H33" s="55" t="s">
        <v>130</v>
      </c>
    </row>
    <row r="34" spans="1:8" ht="13" x14ac:dyDescent="0.15">
      <c r="A34" s="72" t="str">
        <f>HYPERLINK("https://reports.ofsted.gov.uk/provider/44/841","Ofsted Local Authority Webpage")</f>
        <v>Ofsted Local Authority Webpage</v>
      </c>
      <c r="B34" s="73" t="s">
        <v>169</v>
      </c>
      <c r="C34" s="55" t="s">
        <v>170</v>
      </c>
      <c r="D34" s="74">
        <v>43158</v>
      </c>
      <c r="E34" s="55" t="s">
        <v>130</v>
      </c>
      <c r="F34" s="55" t="s">
        <v>130</v>
      </c>
      <c r="G34" s="55" t="s">
        <v>130</v>
      </c>
      <c r="H34" s="55" t="s">
        <v>130</v>
      </c>
    </row>
    <row r="35" spans="1:8" ht="13" x14ac:dyDescent="0.15">
      <c r="A35" s="72" t="str">
        <f>HYPERLINK("https://reports.ofsted.gov.uk/provider/44/80459","Ofsted Local Authority Webpage")</f>
        <v>Ofsted Local Authority Webpage</v>
      </c>
      <c r="B35" s="73" t="s">
        <v>171</v>
      </c>
      <c r="C35" s="55" t="s">
        <v>172</v>
      </c>
      <c r="D35" s="74">
        <v>42800</v>
      </c>
      <c r="E35" s="55" t="s">
        <v>132</v>
      </c>
      <c r="F35" s="55" t="s">
        <v>132</v>
      </c>
      <c r="G35" s="55" t="s">
        <v>130</v>
      </c>
      <c r="H35" s="55" t="s">
        <v>132</v>
      </c>
    </row>
    <row r="36" spans="1:8" ht="13" x14ac:dyDescent="0.15">
      <c r="A36" s="72" t="str">
        <f>HYPERLINK("https://reports.ofsted.gov.uk/provider/44/830","Ofsted Local Authority Webpage")</f>
        <v>Ofsted Local Authority Webpage</v>
      </c>
      <c r="B36" s="73" t="s">
        <v>173</v>
      </c>
      <c r="C36" s="55" t="s">
        <v>172</v>
      </c>
      <c r="D36" s="74">
        <v>43654</v>
      </c>
      <c r="E36" s="55" t="s">
        <v>130</v>
      </c>
      <c r="F36" s="55" t="s">
        <v>132</v>
      </c>
      <c r="G36" s="55" t="s">
        <v>130</v>
      </c>
      <c r="H36" s="55" t="s">
        <v>130</v>
      </c>
    </row>
    <row r="37" spans="1:8" ht="13" x14ac:dyDescent="0.15">
      <c r="A37" s="72" t="str">
        <f>HYPERLINK("https://reports.ofsted.gov.uk/provider/44/80461","Ofsted Local Authority Webpage")</f>
        <v>Ofsted Local Authority Webpage</v>
      </c>
      <c r="B37" s="73" t="s">
        <v>174</v>
      </c>
      <c r="C37" s="55" t="s">
        <v>136</v>
      </c>
      <c r="D37" s="74">
        <v>43850</v>
      </c>
      <c r="E37" s="55" t="s">
        <v>146</v>
      </c>
      <c r="F37" s="55" t="s">
        <v>146</v>
      </c>
      <c r="G37" s="55" t="s">
        <v>130</v>
      </c>
      <c r="H37" s="55" t="s">
        <v>146</v>
      </c>
    </row>
    <row r="38" spans="1:8" ht="13" x14ac:dyDescent="0.15">
      <c r="A38" s="72" t="str">
        <f>HYPERLINK("https://reports.ofsted.gov.uk/provider/44/80462","Ofsted Local Authority Webpage")</f>
        <v>Ofsted Local Authority Webpage</v>
      </c>
      <c r="B38" s="73" t="s">
        <v>175</v>
      </c>
      <c r="C38" s="55" t="s">
        <v>134</v>
      </c>
      <c r="D38" s="74">
        <v>44606</v>
      </c>
      <c r="E38" s="55" t="s">
        <v>130</v>
      </c>
      <c r="F38" s="55" t="s">
        <v>146</v>
      </c>
      <c r="G38" s="55" t="s">
        <v>130</v>
      </c>
      <c r="H38" s="55" t="s">
        <v>130</v>
      </c>
    </row>
    <row r="39" spans="1:8" ht="13" x14ac:dyDescent="0.15">
      <c r="A39" s="72" t="str">
        <f>HYPERLINK("https://reports.ofsted.gov.uk/provider/44/80463","Ofsted Local Authority Webpage")</f>
        <v>Ofsted Local Authority Webpage</v>
      </c>
      <c r="B39" s="73" t="s">
        <v>176</v>
      </c>
      <c r="C39" s="55" t="s">
        <v>136</v>
      </c>
      <c r="D39" s="74">
        <v>44466</v>
      </c>
      <c r="E39" s="55" t="s">
        <v>132</v>
      </c>
      <c r="F39" s="55" t="s">
        <v>140</v>
      </c>
      <c r="G39" s="55" t="s">
        <v>132</v>
      </c>
      <c r="H39" s="55" t="s">
        <v>132</v>
      </c>
    </row>
    <row r="40" spans="1:8" ht="13" x14ac:dyDescent="0.15">
      <c r="A40" s="72" t="str">
        <f>HYPERLINK("https://reports.ofsted.gov.uk/provider/44/80464","Ofsted Local Authority Webpage")</f>
        <v>Ofsted Local Authority Webpage</v>
      </c>
      <c r="B40" s="73" t="s">
        <v>177</v>
      </c>
      <c r="C40" s="55" t="s">
        <v>142</v>
      </c>
      <c r="D40" s="74">
        <v>43402</v>
      </c>
      <c r="E40" s="55" t="s">
        <v>130</v>
      </c>
      <c r="F40" s="55" t="s">
        <v>132</v>
      </c>
      <c r="G40" s="55" t="s">
        <v>130</v>
      </c>
      <c r="H40" s="55" t="s">
        <v>132</v>
      </c>
    </row>
    <row r="41" spans="1:8" ht="13" x14ac:dyDescent="0.15">
      <c r="A41" s="72" t="str">
        <f>HYPERLINK("https://reports.ofsted.gov.uk/provider/44/80465","Ofsted Local Authority Webpage")</f>
        <v>Ofsted Local Authority Webpage</v>
      </c>
      <c r="B41" s="73" t="s">
        <v>178</v>
      </c>
      <c r="C41" s="55" t="s">
        <v>170</v>
      </c>
      <c r="D41" s="74">
        <v>43717</v>
      </c>
      <c r="E41" s="55" t="s">
        <v>130</v>
      </c>
      <c r="F41" s="55" t="s">
        <v>130</v>
      </c>
      <c r="G41" s="55" t="s">
        <v>130</v>
      </c>
      <c r="H41" s="55" t="s">
        <v>132</v>
      </c>
    </row>
    <row r="42" spans="1:8" ht="13" x14ac:dyDescent="0.15">
      <c r="A42" s="72" t="str">
        <f>HYPERLINK("https://reports.ofsted.gov.uk/provider/44/80493","Ofsted Local Authority Webpage")</f>
        <v>Ofsted Local Authority Webpage</v>
      </c>
      <c r="B42" s="73" t="s">
        <v>179</v>
      </c>
      <c r="C42" s="55" t="s">
        <v>129</v>
      </c>
      <c r="D42" s="74">
        <v>43773</v>
      </c>
      <c r="E42" s="55" t="s">
        <v>130</v>
      </c>
      <c r="F42" s="55" t="s">
        <v>130</v>
      </c>
      <c r="G42" s="55" t="s">
        <v>130</v>
      </c>
      <c r="H42" s="55" t="s">
        <v>130</v>
      </c>
    </row>
    <row r="43" spans="1:8" ht="13" x14ac:dyDescent="0.15">
      <c r="A43" s="72" t="str">
        <f>HYPERLINK("https://reports.ofsted.gov.uk/provider/44/811","Ofsted Local Authority Webpage")</f>
        <v>Ofsted Local Authority Webpage</v>
      </c>
      <c r="B43" s="73" t="s">
        <v>180</v>
      </c>
      <c r="C43" s="55" t="s">
        <v>134</v>
      </c>
      <c r="D43" s="74">
        <v>43801</v>
      </c>
      <c r="E43" s="55" t="s">
        <v>146</v>
      </c>
      <c r="F43" s="55" t="s">
        <v>146</v>
      </c>
      <c r="G43" s="55" t="s">
        <v>146</v>
      </c>
      <c r="H43" s="55" t="s">
        <v>132</v>
      </c>
    </row>
    <row r="44" spans="1:8" ht="13" x14ac:dyDescent="0.15">
      <c r="A44" s="72" t="str">
        <f>HYPERLINK("https://reports.ofsted.gov.uk/provider/44/80467","Ofsted Local Authority Webpage")</f>
        <v>Ofsted Local Authority Webpage</v>
      </c>
      <c r="B44" s="73" t="s">
        <v>181</v>
      </c>
      <c r="C44" s="55" t="s">
        <v>150</v>
      </c>
      <c r="D44" s="74">
        <v>43297</v>
      </c>
      <c r="E44" s="55" t="s">
        <v>140</v>
      </c>
      <c r="F44" s="55" t="s">
        <v>140</v>
      </c>
      <c r="G44" s="55" t="s">
        <v>132</v>
      </c>
      <c r="H44" s="55" t="s">
        <v>140</v>
      </c>
    </row>
    <row r="45" spans="1:8" ht="13" x14ac:dyDescent="0.15">
      <c r="A45" s="72" t="str">
        <f>HYPERLINK("https://reports.ofsted.gov.uk/provider/44/308","Ofsted Local Authority Webpage")</f>
        <v>Ofsted Local Authority Webpage</v>
      </c>
      <c r="B45" s="73" t="s">
        <v>182</v>
      </c>
      <c r="C45" s="55" t="s">
        <v>129</v>
      </c>
      <c r="D45" s="74">
        <v>43528</v>
      </c>
      <c r="E45" s="55" t="s">
        <v>132</v>
      </c>
      <c r="F45" s="55" t="s">
        <v>132</v>
      </c>
      <c r="G45" s="55" t="s">
        <v>132</v>
      </c>
      <c r="H45" s="55" t="s">
        <v>132</v>
      </c>
    </row>
    <row r="46" spans="1:8" ht="13" x14ac:dyDescent="0.15">
      <c r="A46" s="72" t="str">
        <f>HYPERLINK("https://reports.ofsted.gov.uk/provider/44/80468","Ofsted Local Authority Webpage")</f>
        <v>Ofsted Local Authority Webpage</v>
      </c>
      <c r="B46" s="73" t="s">
        <v>183</v>
      </c>
      <c r="C46" s="55" t="s">
        <v>138</v>
      </c>
      <c r="D46" s="74">
        <v>43423</v>
      </c>
      <c r="E46" s="55" t="s">
        <v>140</v>
      </c>
      <c r="F46" s="55" t="s">
        <v>140</v>
      </c>
      <c r="G46" s="55" t="s">
        <v>140</v>
      </c>
      <c r="H46" s="55" t="s">
        <v>132</v>
      </c>
    </row>
    <row r="47" spans="1:8" ht="13" x14ac:dyDescent="0.15">
      <c r="A47" s="72" t="str">
        <f>HYPERLINK("https://reports.ofsted.gov.uk/provider/44/80469","Ofsted Local Authority Webpage")</f>
        <v>Ofsted Local Authority Webpage</v>
      </c>
      <c r="B47" s="73" t="s">
        <v>184</v>
      </c>
      <c r="C47" s="55" t="s">
        <v>170</v>
      </c>
      <c r="D47" s="74">
        <v>43584</v>
      </c>
      <c r="E47" s="55" t="s">
        <v>132</v>
      </c>
      <c r="F47" s="55" t="s">
        <v>132</v>
      </c>
      <c r="G47" s="55" t="s">
        <v>132</v>
      </c>
      <c r="H47" s="55" t="s">
        <v>132</v>
      </c>
    </row>
    <row r="48" spans="1:8" ht="13" x14ac:dyDescent="0.15">
      <c r="A48" s="72" t="str">
        <f>HYPERLINK("https://reports.ofsted.gov.uk/provider/44/916","Ofsted Local Authority Webpage")</f>
        <v>Ofsted Local Authority Webpage</v>
      </c>
      <c r="B48" s="73" t="s">
        <v>185</v>
      </c>
      <c r="C48" s="55" t="s">
        <v>136</v>
      </c>
      <c r="D48" s="74">
        <v>44599</v>
      </c>
      <c r="E48" s="55" t="s">
        <v>130</v>
      </c>
      <c r="F48" s="55" t="s">
        <v>130</v>
      </c>
      <c r="G48" s="55" t="s">
        <v>130</v>
      </c>
      <c r="H48" s="55" t="s">
        <v>130</v>
      </c>
    </row>
    <row r="49" spans="1:8" ht="13" x14ac:dyDescent="0.15">
      <c r="A49" s="72" t="str">
        <f>HYPERLINK("https://reports.ofsted.gov.uk/provider/44/80495","Ofsted Local Authority Webpage")</f>
        <v>Ofsted Local Authority Webpage</v>
      </c>
      <c r="B49" s="73" t="s">
        <v>186</v>
      </c>
      <c r="C49" s="55" t="s">
        <v>129</v>
      </c>
      <c r="D49" s="74">
        <v>43808</v>
      </c>
      <c r="E49" s="55" t="s">
        <v>132</v>
      </c>
      <c r="F49" s="55" t="s">
        <v>132</v>
      </c>
      <c r="G49" s="55" t="s">
        <v>132</v>
      </c>
      <c r="H49" s="55" t="s">
        <v>132</v>
      </c>
    </row>
    <row r="50" spans="1:8" ht="13" x14ac:dyDescent="0.15">
      <c r="A50" s="72" t="str">
        <f>HYPERLINK("https://reports.ofsted.gov.uk/provider/44/80496","Ofsted Local Authority Webpage")</f>
        <v>Ofsted Local Authority Webpage</v>
      </c>
      <c r="B50" s="73" t="s">
        <v>187</v>
      </c>
      <c r="C50" s="55" t="s">
        <v>129</v>
      </c>
      <c r="D50" s="74">
        <v>43780</v>
      </c>
      <c r="E50" s="55" t="s">
        <v>130</v>
      </c>
      <c r="F50" s="55" t="s">
        <v>130</v>
      </c>
      <c r="G50" s="55" t="s">
        <v>130</v>
      </c>
      <c r="H50" s="55" t="s">
        <v>132</v>
      </c>
    </row>
    <row r="51" spans="1:8" ht="13" x14ac:dyDescent="0.15">
      <c r="A51" s="72" t="str">
        <f>HYPERLINK("https://reports.ofsted.gov.uk/provider/44/80471","Ofsted Local Authority Webpage")</f>
        <v>Ofsted Local Authority Webpage</v>
      </c>
      <c r="B51" s="73" t="s">
        <v>188</v>
      </c>
      <c r="C51" s="55" t="s">
        <v>144</v>
      </c>
      <c r="D51" s="74">
        <v>43892</v>
      </c>
      <c r="E51" s="55" t="s">
        <v>130</v>
      </c>
      <c r="F51" s="55" t="s">
        <v>130</v>
      </c>
      <c r="G51" s="55" t="s">
        <v>130</v>
      </c>
      <c r="H51" s="55" t="s">
        <v>130</v>
      </c>
    </row>
    <row r="52" spans="1:8" ht="13" x14ac:dyDescent="0.15">
      <c r="A52" s="72" t="str">
        <f>HYPERLINK("https://reports.ofsted.gov.uk/provider/44/80497","Ofsted Local Authority Webpage")</f>
        <v>Ofsted Local Authority Webpage</v>
      </c>
      <c r="B52" s="73" t="s">
        <v>189</v>
      </c>
      <c r="C52" s="55" t="s">
        <v>129</v>
      </c>
      <c r="D52" s="74">
        <v>43717</v>
      </c>
      <c r="E52" s="55" t="s">
        <v>132</v>
      </c>
      <c r="F52" s="55" t="s">
        <v>132</v>
      </c>
      <c r="G52" s="55" t="s">
        <v>132</v>
      </c>
      <c r="H52" s="55" t="s">
        <v>132</v>
      </c>
    </row>
    <row r="53" spans="1:8" ht="13" x14ac:dyDescent="0.15">
      <c r="A53" s="72" t="str">
        <f>HYPERLINK("https://reports.ofsted.gov.uk/provider/44/80472","Ofsted Local Authority Webpage")</f>
        <v>Ofsted Local Authority Webpage</v>
      </c>
      <c r="B53" s="73" t="s">
        <v>190</v>
      </c>
      <c r="C53" s="55" t="s">
        <v>150</v>
      </c>
      <c r="D53" s="74">
        <v>43584</v>
      </c>
      <c r="E53" s="55" t="s">
        <v>140</v>
      </c>
      <c r="F53" s="55" t="s">
        <v>140</v>
      </c>
      <c r="G53" s="55" t="s">
        <v>140</v>
      </c>
      <c r="H53" s="55" t="s">
        <v>140</v>
      </c>
    </row>
    <row r="54" spans="1:8" ht="13" x14ac:dyDescent="0.15">
      <c r="A54" s="72" t="str">
        <f>HYPERLINK("https://reports.ofsted.gov.uk/provider/44/309","Ofsted Local Authority Webpage")</f>
        <v>Ofsted Local Authority Webpage</v>
      </c>
      <c r="B54" s="73" t="s">
        <v>191</v>
      </c>
      <c r="C54" s="55" t="s">
        <v>129</v>
      </c>
      <c r="D54" s="74">
        <v>43402</v>
      </c>
      <c r="E54" s="55" t="s">
        <v>130</v>
      </c>
      <c r="F54" s="55" t="s">
        <v>130</v>
      </c>
      <c r="G54" s="55" t="s">
        <v>130</v>
      </c>
      <c r="H54" s="55" t="s">
        <v>130</v>
      </c>
    </row>
    <row r="55" spans="1:8" ht="13" x14ac:dyDescent="0.15">
      <c r="A55" s="72" t="str">
        <f>HYPERLINK("https://reports.ofsted.gov.uk/provider/44/80499","Ofsted Local Authority Webpage")</f>
        <v>Ofsted Local Authority Webpage</v>
      </c>
      <c r="B55" s="73" t="s">
        <v>192</v>
      </c>
      <c r="C55" s="55" t="s">
        <v>129</v>
      </c>
      <c r="D55" s="74">
        <v>43871</v>
      </c>
      <c r="E55" s="55" t="s">
        <v>132</v>
      </c>
      <c r="F55" s="55" t="s">
        <v>132</v>
      </c>
      <c r="G55" s="55" t="s">
        <v>132</v>
      </c>
      <c r="H55" s="55" t="s">
        <v>132</v>
      </c>
    </row>
    <row r="56" spans="1:8" ht="13" x14ac:dyDescent="0.15">
      <c r="A56" s="72" t="str">
        <f>HYPERLINK("https://reports.ofsted.gov.uk/provider/44/80473","Ofsted Local Authority Webpage")</f>
        <v>Ofsted Local Authority Webpage</v>
      </c>
      <c r="B56" s="73" t="s">
        <v>193</v>
      </c>
      <c r="C56" s="55" t="s">
        <v>170</v>
      </c>
      <c r="D56" s="74">
        <v>43304</v>
      </c>
      <c r="E56" s="55" t="s">
        <v>132</v>
      </c>
      <c r="F56" s="55" t="s">
        <v>132</v>
      </c>
      <c r="G56" s="55" t="s">
        <v>132</v>
      </c>
      <c r="H56" s="55" t="s">
        <v>140</v>
      </c>
    </row>
    <row r="57" spans="1:8" ht="13" x14ac:dyDescent="0.15">
      <c r="A57" s="72" t="str">
        <f>HYPERLINK("https://reports.ofsted.gov.uk/provider/44/80500","Ofsted Local Authority Webpage")</f>
        <v>Ofsted Local Authority Webpage</v>
      </c>
      <c r="B57" s="73" t="s">
        <v>194</v>
      </c>
      <c r="C57" s="55" t="s">
        <v>129</v>
      </c>
      <c r="D57" s="74">
        <v>43262</v>
      </c>
      <c r="E57" s="55" t="s">
        <v>132</v>
      </c>
      <c r="F57" s="55" t="s">
        <v>132</v>
      </c>
      <c r="G57" s="55" t="s">
        <v>130</v>
      </c>
      <c r="H57" s="55" t="s">
        <v>132</v>
      </c>
    </row>
    <row r="58" spans="1:8" ht="13" x14ac:dyDescent="0.15">
      <c r="A58" s="72" t="str">
        <f>HYPERLINK("https://reports.ofsted.gov.uk/provider/44/884","Ofsted Local Authority Webpage")</f>
        <v>Ofsted Local Authority Webpage</v>
      </c>
      <c r="B58" s="73" t="s">
        <v>195</v>
      </c>
      <c r="C58" s="55" t="s">
        <v>142</v>
      </c>
      <c r="D58" s="74">
        <v>43262</v>
      </c>
      <c r="E58" s="55" t="s">
        <v>130</v>
      </c>
      <c r="F58" s="55" t="s">
        <v>146</v>
      </c>
      <c r="G58" s="55" t="s">
        <v>130</v>
      </c>
      <c r="H58" s="55" t="s">
        <v>130</v>
      </c>
    </row>
    <row r="59" spans="1:8" ht="13" x14ac:dyDescent="0.15">
      <c r="A59" s="72" t="str">
        <f>HYPERLINK("https://reports.ofsted.gov.uk/provider/44/919","Ofsted Local Authority Webpage")</f>
        <v>Ofsted Local Authority Webpage</v>
      </c>
      <c r="B59" s="73" t="s">
        <v>196</v>
      </c>
      <c r="C59" s="55" t="s">
        <v>138</v>
      </c>
      <c r="D59" s="74">
        <v>43388</v>
      </c>
      <c r="E59" s="55" t="s">
        <v>132</v>
      </c>
      <c r="F59" s="55" t="s">
        <v>140</v>
      </c>
      <c r="G59" s="55" t="s">
        <v>132</v>
      </c>
      <c r="H59" s="55" t="s">
        <v>132</v>
      </c>
    </row>
    <row r="60" spans="1:8" ht="13" x14ac:dyDescent="0.15">
      <c r="A60" s="72" t="str">
        <f>HYPERLINK("https://reports.ofsted.gov.uk/provider/44/312","Ofsted Local Authority Webpage")</f>
        <v>Ofsted Local Authority Webpage</v>
      </c>
      <c r="B60" s="73" t="s">
        <v>197</v>
      </c>
      <c r="C60" s="55" t="s">
        <v>129</v>
      </c>
      <c r="D60" s="74">
        <v>43206</v>
      </c>
      <c r="E60" s="55" t="s">
        <v>132</v>
      </c>
      <c r="F60" s="55" t="s">
        <v>140</v>
      </c>
      <c r="G60" s="55" t="s">
        <v>132</v>
      </c>
      <c r="H60" s="55" t="s">
        <v>132</v>
      </c>
    </row>
    <row r="61" spans="1:8" ht="13" x14ac:dyDescent="0.15">
      <c r="A61" s="72" t="str">
        <f>HYPERLINK("https://reports.ofsted.gov.uk/provider/44/313","Ofsted Local Authority Webpage")</f>
        <v>Ofsted Local Authority Webpage</v>
      </c>
      <c r="B61" s="73" t="s">
        <v>198</v>
      </c>
      <c r="C61" s="55" t="s">
        <v>129</v>
      </c>
      <c r="D61" s="74">
        <v>43374</v>
      </c>
      <c r="E61" s="55" t="s">
        <v>132</v>
      </c>
      <c r="F61" s="55" t="s">
        <v>132</v>
      </c>
      <c r="G61" s="55" t="s">
        <v>130</v>
      </c>
      <c r="H61" s="55" t="s">
        <v>132</v>
      </c>
    </row>
    <row r="62" spans="1:8" ht="13" x14ac:dyDescent="0.15">
      <c r="A62" s="72" t="str">
        <f>HYPERLINK("https://reports.ofsted.gov.uk/provider/44/80419","Ofsted Local Authority Webpage")</f>
        <v>Ofsted Local Authority Webpage</v>
      </c>
      <c r="B62" s="73" t="s">
        <v>199</v>
      </c>
      <c r="C62" s="55" t="s">
        <v>150</v>
      </c>
      <c r="D62" s="74">
        <v>43423</v>
      </c>
      <c r="E62" s="55" t="s">
        <v>132</v>
      </c>
      <c r="F62" s="55" t="s">
        <v>132</v>
      </c>
      <c r="G62" s="55" t="s">
        <v>132</v>
      </c>
      <c r="H62" s="55" t="s">
        <v>132</v>
      </c>
    </row>
    <row r="63" spans="1:8" ht="13" x14ac:dyDescent="0.15">
      <c r="A63" s="72" t="str">
        <f>HYPERLINK("https://reports.ofsted.gov.uk/provider/44/420","Ofsted Local Authority Webpage")</f>
        <v>Ofsted Local Authority Webpage</v>
      </c>
      <c r="B63" s="73" t="s">
        <v>200</v>
      </c>
      <c r="C63" s="55" t="s">
        <v>136</v>
      </c>
      <c r="D63" s="74">
        <v>43752</v>
      </c>
      <c r="E63" s="55" t="s">
        <v>132</v>
      </c>
      <c r="F63" s="55" t="s">
        <v>140</v>
      </c>
      <c r="G63" s="55" t="s">
        <v>132</v>
      </c>
      <c r="H63" s="55" t="s">
        <v>132</v>
      </c>
    </row>
    <row r="64" spans="1:8" ht="13" x14ac:dyDescent="0.15">
      <c r="A64" s="72" t="str">
        <f>HYPERLINK("https://reports.ofsted.gov.uk/provider/44/206","Ofsted Local Authority Webpage")</f>
        <v>Ofsted Local Authority Webpage</v>
      </c>
      <c r="B64" s="73" t="s">
        <v>201</v>
      </c>
      <c r="C64" s="55" t="s">
        <v>129</v>
      </c>
      <c r="D64" s="74">
        <v>43899</v>
      </c>
      <c r="E64" s="55" t="s">
        <v>140</v>
      </c>
      <c r="F64" s="55" t="s">
        <v>140</v>
      </c>
      <c r="G64" s="55" t="s">
        <v>140</v>
      </c>
      <c r="H64" s="55" t="s">
        <v>132</v>
      </c>
    </row>
    <row r="65" spans="1:8" ht="13" x14ac:dyDescent="0.15">
      <c r="A65" s="72" t="str">
        <f>HYPERLINK("https://reports.ofsted.gov.uk/provider/44/207","Ofsted Local Authority Webpage")</f>
        <v>Ofsted Local Authority Webpage</v>
      </c>
      <c r="B65" s="73" t="s">
        <v>202</v>
      </c>
      <c r="C65" s="55" t="s">
        <v>129</v>
      </c>
      <c r="D65" s="74">
        <v>43717</v>
      </c>
      <c r="E65" s="55" t="s">
        <v>140</v>
      </c>
      <c r="F65" s="55" t="s">
        <v>140</v>
      </c>
      <c r="G65" s="55" t="s">
        <v>140</v>
      </c>
      <c r="H65" s="55" t="s">
        <v>140</v>
      </c>
    </row>
    <row r="66" spans="1:8" ht="13" x14ac:dyDescent="0.15">
      <c r="A66" s="72" t="str">
        <f>HYPERLINK("https://reports.ofsted.gov.uk/provider/44/80476","Ofsted Local Authority Webpage")</f>
        <v>Ofsted Local Authority Webpage</v>
      </c>
      <c r="B66" s="73" t="s">
        <v>203</v>
      </c>
      <c r="C66" s="55" t="s">
        <v>150</v>
      </c>
      <c r="D66" s="74">
        <v>42800</v>
      </c>
      <c r="E66" s="55" t="s">
        <v>132</v>
      </c>
      <c r="F66" s="55" t="s">
        <v>132</v>
      </c>
      <c r="G66" s="55" t="s">
        <v>130</v>
      </c>
      <c r="H66" s="55" t="s">
        <v>132</v>
      </c>
    </row>
    <row r="67" spans="1:8" ht="13" x14ac:dyDescent="0.15">
      <c r="A67" s="72" t="str">
        <f>HYPERLINK("https://reports.ofsted.gov.uk/provider/44/80477","Ofsted Local Authority Webpage")</f>
        <v>Ofsted Local Authority Webpage</v>
      </c>
      <c r="B67" s="73" t="s">
        <v>204</v>
      </c>
      <c r="C67" s="55" t="s">
        <v>170</v>
      </c>
      <c r="D67" s="74">
        <v>43479</v>
      </c>
      <c r="E67" s="55" t="s">
        <v>146</v>
      </c>
      <c r="F67" s="55" t="s">
        <v>130</v>
      </c>
      <c r="G67" s="55" t="s">
        <v>146</v>
      </c>
      <c r="H67" s="55" t="s">
        <v>130</v>
      </c>
    </row>
    <row r="68" spans="1:8" ht="13" x14ac:dyDescent="0.15">
      <c r="A68" s="72" t="str">
        <f>HYPERLINK("https://reports.ofsted.gov.uk/provider/44/80545","Ofsted Local Authority Webpage")</f>
        <v>Ofsted Local Authority Webpage</v>
      </c>
      <c r="B68" s="73" t="s">
        <v>205</v>
      </c>
      <c r="C68" s="55" t="s">
        <v>129</v>
      </c>
      <c r="D68" s="74">
        <v>43759</v>
      </c>
      <c r="E68" s="55" t="s">
        <v>140</v>
      </c>
      <c r="F68" s="55" t="s">
        <v>140</v>
      </c>
      <c r="G68" s="55" t="s">
        <v>132</v>
      </c>
      <c r="H68" s="55" t="s">
        <v>140</v>
      </c>
    </row>
    <row r="69" spans="1:8" ht="13" x14ac:dyDescent="0.15">
      <c r="A69" s="72" t="str">
        <f>HYPERLINK("https://reports.ofsted.gov.uk/provider/44/382","Ofsted Local Authority Webpage")</f>
        <v>Ofsted Local Authority Webpage</v>
      </c>
      <c r="B69" s="73" t="s">
        <v>206</v>
      </c>
      <c r="C69" s="55" t="s">
        <v>134</v>
      </c>
      <c r="D69" s="74">
        <v>43626</v>
      </c>
      <c r="E69" s="55" t="s">
        <v>130</v>
      </c>
      <c r="F69" s="55" t="s">
        <v>130</v>
      </c>
      <c r="G69" s="55" t="s">
        <v>130</v>
      </c>
      <c r="H69" s="55" t="s">
        <v>130</v>
      </c>
    </row>
    <row r="70" spans="1:8" ht="13" x14ac:dyDescent="0.15">
      <c r="A70" s="72" t="str">
        <f>HYPERLINK("https://reports.ofsted.gov.uk/provider/44/340","Ofsted Local Authority Webpage")</f>
        <v>Ofsted Local Authority Webpage</v>
      </c>
      <c r="B70" s="73" t="s">
        <v>207</v>
      </c>
      <c r="C70" s="55" t="s">
        <v>144</v>
      </c>
      <c r="D70" s="74">
        <v>44480</v>
      </c>
      <c r="E70" s="55" t="s">
        <v>130</v>
      </c>
      <c r="F70" s="55" t="s">
        <v>130</v>
      </c>
      <c r="G70" s="55" t="s">
        <v>130</v>
      </c>
      <c r="H70" s="55" t="s">
        <v>130</v>
      </c>
    </row>
    <row r="71" spans="1:8" ht="13" x14ac:dyDescent="0.15">
      <c r="A71" s="72" t="str">
        <f>HYPERLINK("https://reports.ofsted.gov.uk/provider/44/80506","Ofsted Local Authority Webpage")</f>
        <v>Ofsted Local Authority Webpage</v>
      </c>
      <c r="B71" s="73" t="s">
        <v>208</v>
      </c>
      <c r="C71" s="55" t="s">
        <v>129</v>
      </c>
      <c r="D71" s="74">
        <v>43144</v>
      </c>
      <c r="E71" s="55" t="s">
        <v>130</v>
      </c>
      <c r="F71" s="55" t="s">
        <v>130</v>
      </c>
      <c r="G71" s="55" t="s">
        <v>130</v>
      </c>
      <c r="H71" s="55" t="s">
        <v>130</v>
      </c>
    </row>
    <row r="72" spans="1:8" ht="13" x14ac:dyDescent="0.15">
      <c r="A72" s="72" t="str">
        <f>HYPERLINK("https://reports.ofsted.gov.uk/provider/44/80480","Ofsted Local Authority Webpage")</f>
        <v>Ofsted Local Authority Webpage</v>
      </c>
      <c r="B72" s="73" t="s">
        <v>209</v>
      </c>
      <c r="C72" s="55" t="s">
        <v>144</v>
      </c>
      <c r="D72" s="74">
        <v>43255</v>
      </c>
      <c r="E72" s="55" t="s">
        <v>130</v>
      </c>
      <c r="F72" s="55" t="s">
        <v>130</v>
      </c>
      <c r="G72" s="55" t="s">
        <v>130</v>
      </c>
      <c r="H72" s="55" t="s">
        <v>130</v>
      </c>
    </row>
    <row r="73" spans="1:8" ht="13" x14ac:dyDescent="0.15">
      <c r="A73" s="72" t="str">
        <f>HYPERLINK("https://reports.ofsted.gov.uk/provider/44/383","Ofsted Local Authority Webpage")</f>
        <v>Ofsted Local Authority Webpage</v>
      </c>
      <c r="B73" s="73" t="s">
        <v>210</v>
      </c>
      <c r="C73" s="55" t="s">
        <v>134</v>
      </c>
      <c r="D73" s="74">
        <v>43402</v>
      </c>
      <c r="E73" s="55" t="s">
        <v>140</v>
      </c>
      <c r="F73" s="55" t="s">
        <v>140</v>
      </c>
      <c r="G73" s="55" t="s">
        <v>140</v>
      </c>
      <c r="H73" s="55" t="s">
        <v>132</v>
      </c>
    </row>
    <row r="74" spans="1:8" ht="13" x14ac:dyDescent="0.15">
      <c r="A74" s="72" t="str">
        <f>HYPERLINK("https://reports.ofsted.gov.uk/provider/44/80482","Ofsted Local Authority Webpage")</f>
        <v>Ofsted Local Authority Webpage</v>
      </c>
      <c r="B74" s="73" t="s">
        <v>211</v>
      </c>
      <c r="C74" s="55" t="s">
        <v>172</v>
      </c>
      <c r="D74" s="74">
        <v>44459</v>
      </c>
      <c r="E74" s="55" t="s">
        <v>132</v>
      </c>
      <c r="F74" s="55" t="s">
        <v>132</v>
      </c>
      <c r="G74" s="55" t="s">
        <v>132</v>
      </c>
      <c r="H74" s="55" t="s">
        <v>132</v>
      </c>
    </row>
    <row r="75" spans="1:8" ht="13" x14ac:dyDescent="0.15">
      <c r="A75" s="72" t="str">
        <f>HYPERLINK("https://reports.ofsted.gov.uk/provider/44/80483","Ofsted Local Authority Webpage")</f>
        <v>Ofsted Local Authority Webpage</v>
      </c>
      <c r="B75" s="73" t="s">
        <v>212</v>
      </c>
      <c r="C75" s="55" t="s">
        <v>172</v>
      </c>
      <c r="D75" s="74">
        <v>43731</v>
      </c>
      <c r="E75" s="55" t="s">
        <v>130</v>
      </c>
      <c r="F75" s="55" t="s">
        <v>132</v>
      </c>
      <c r="G75" s="55" t="s">
        <v>130</v>
      </c>
      <c r="H75" s="55" t="s">
        <v>132</v>
      </c>
    </row>
    <row r="76" spans="1:8" ht="13" x14ac:dyDescent="0.15">
      <c r="A76" s="72" t="str">
        <f>HYPERLINK("https://reports.ofsted.gov.uk/provider/44/80508","Ofsted Local Authority Webpage")</f>
        <v>Ofsted Local Authority Webpage</v>
      </c>
      <c r="B76" s="73" t="s">
        <v>213</v>
      </c>
      <c r="C76" s="55" t="s">
        <v>129</v>
      </c>
      <c r="D76" s="74">
        <v>43654</v>
      </c>
      <c r="E76" s="55" t="s">
        <v>130</v>
      </c>
      <c r="F76" s="55" t="s">
        <v>130</v>
      </c>
      <c r="G76" s="55" t="s">
        <v>130</v>
      </c>
      <c r="H76" s="55" t="s">
        <v>130</v>
      </c>
    </row>
    <row r="77" spans="1:8" ht="13" x14ac:dyDescent="0.15">
      <c r="A77" s="72" t="str">
        <f>HYPERLINK("https://reports.ofsted.gov.uk/provider/44/80484","Ofsted Local Authority Webpage")</f>
        <v>Ofsted Local Authority Webpage</v>
      </c>
      <c r="B77" s="73" t="s">
        <v>214</v>
      </c>
      <c r="C77" s="55" t="s">
        <v>172</v>
      </c>
      <c r="D77" s="74">
        <v>43584</v>
      </c>
      <c r="E77" s="55" t="s">
        <v>140</v>
      </c>
      <c r="F77" s="55" t="s">
        <v>140</v>
      </c>
      <c r="G77" s="55" t="s">
        <v>132</v>
      </c>
      <c r="H77" s="55" t="s">
        <v>140</v>
      </c>
    </row>
    <row r="78" spans="1:8" ht="13" x14ac:dyDescent="0.15">
      <c r="A78" s="72" t="str">
        <f>HYPERLINK("https://reports.ofsted.gov.uk/provider/44/80485","Ofsted Local Authority Webpage")</f>
        <v>Ofsted Local Authority Webpage</v>
      </c>
      <c r="B78" s="73" t="s">
        <v>215</v>
      </c>
      <c r="C78" s="55" t="s">
        <v>144</v>
      </c>
      <c r="D78" s="74">
        <v>43234</v>
      </c>
      <c r="E78" s="55" t="s">
        <v>130</v>
      </c>
      <c r="F78" s="55" t="s">
        <v>130</v>
      </c>
      <c r="G78" s="55" t="s">
        <v>130</v>
      </c>
      <c r="H78" s="55" t="s">
        <v>130</v>
      </c>
    </row>
    <row r="79" spans="1:8" ht="13" x14ac:dyDescent="0.15">
      <c r="A79" s="72" t="str">
        <f>HYPERLINK("https://reports.ofsted.gov.uk/provider/44/80520","Ofsted Local Authority Webpage")</f>
        <v>Ofsted Local Authority Webpage</v>
      </c>
      <c r="B79" s="73" t="s">
        <v>216</v>
      </c>
      <c r="C79" s="55" t="s">
        <v>138</v>
      </c>
      <c r="D79" s="74">
        <v>43843</v>
      </c>
      <c r="E79" s="55" t="s">
        <v>146</v>
      </c>
      <c r="F79" s="55" t="s">
        <v>130</v>
      </c>
      <c r="G79" s="55" t="s">
        <v>146</v>
      </c>
      <c r="H79" s="55" t="s">
        <v>130</v>
      </c>
    </row>
    <row r="80" spans="1:8" ht="13" x14ac:dyDescent="0.15">
      <c r="A80" s="72" t="str">
        <f>HYPERLINK("https://reports.ofsted.gov.uk/provider/44/352","Ofsted Local Authority Webpage")</f>
        <v>Ofsted Local Authority Webpage</v>
      </c>
      <c r="B80" s="73" t="s">
        <v>217</v>
      </c>
      <c r="C80" s="55" t="s">
        <v>144</v>
      </c>
      <c r="D80" s="74">
        <v>43017</v>
      </c>
      <c r="E80" s="55" t="s">
        <v>130</v>
      </c>
      <c r="F80" s="55" t="s">
        <v>132</v>
      </c>
      <c r="G80" s="55" t="s">
        <v>130</v>
      </c>
      <c r="H80" s="55" t="s">
        <v>130</v>
      </c>
    </row>
    <row r="81" spans="1:8" ht="13" x14ac:dyDescent="0.15">
      <c r="A81" s="72" t="str">
        <f>HYPERLINK("https://reports.ofsted.gov.uk/provider/44/80522","Ofsted Local Authority Webpage")</f>
        <v>Ofsted Local Authority Webpage</v>
      </c>
      <c r="B81" s="73" t="s">
        <v>218</v>
      </c>
      <c r="C81" s="55" t="s">
        <v>150</v>
      </c>
      <c r="D81" s="74">
        <v>43661</v>
      </c>
      <c r="E81" s="55" t="s">
        <v>146</v>
      </c>
      <c r="F81" s="55" t="s">
        <v>146</v>
      </c>
      <c r="G81" s="55" t="s">
        <v>146</v>
      </c>
      <c r="H81" s="55" t="s">
        <v>130</v>
      </c>
    </row>
    <row r="82" spans="1:8" ht="13" x14ac:dyDescent="0.15">
      <c r="A82" s="72" t="str">
        <f>HYPERLINK("https://reports.ofsted.gov.uk/provider/44/80510","Ofsted Local Authority Webpage")</f>
        <v>Ofsted Local Authority Webpage</v>
      </c>
      <c r="B82" s="73" t="s">
        <v>219</v>
      </c>
      <c r="C82" s="55" t="s">
        <v>129</v>
      </c>
      <c r="D82" s="74">
        <v>42922</v>
      </c>
      <c r="E82" s="55" t="s">
        <v>132</v>
      </c>
      <c r="F82" s="55" t="s">
        <v>140</v>
      </c>
      <c r="G82" s="55" t="s">
        <v>132</v>
      </c>
      <c r="H82" s="55" t="s">
        <v>132</v>
      </c>
    </row>
    <row r="83" spans="1:8" ht="13" x14ac:dyDescent="0.15">
      <c r="A83" s="72" t="str">
        <f>HYPERLINK("https://reports.ofsted.gov.uk/provider/44/80523","Ofsted Local Authority Webpage")</f>
        <v>Ofsted Local Authority Webpage</v>
      </c>
      <c r="B83" s="73" t="s">
        <v>220</v>
      </c>
      <c r="C83" s="55" t="s">
        <v>170</v>
      </c>
      <c r="D83" s="74">
        <v>43794</v>
      </c>
      <c r="E83" s="55" t="s">
        <v>146</v>
      </c>
      <c r="F83" s="55" t="s">
        <v>146</v>
      </c>
      <c r="G83" s="55" t="s">
        <v>146</v>
      </c>
      <c r="H83" s="55" t="s">
        <v>146</v>
      </c>
    </row>
    <row r="84" spans="1:8" ht="13" x14ac:dyDescent="0.15">
      <c r="A84" s="72" t="str">
        <f>HYPERLINK("https://reports.ofsted.gov.uk/provider/44/80524","Ofsted Local Authority Webpage")</f>
        <v>Ofsted Local Authority Webpage</v>
      </c>
      <c r="B84" s="73" t="s">
        <v>221</v>
      </c>
      <c r="C84" s="55" t="s">
        <v>150</v>
      </c>
      <c r="D84" s="74">
        <v>44494</v>
      </c>
      <c r="E84" s="55" t="s">
        <v>130</v>
      </c>
      <c r="F84" s="55" t="s">
        <v>130</v>
      </c>
      <c r="G84" s="55" t="s">
        <v>130</v>
      </c>
      <c r="H84" s="55" t="s">
        <v>130</v>
      </c>
    </row>
    <row r="85" spans="1:8" ht="13" x14ac:dyDescent="0.15">
      <c r="A85" s="72" t="str">
        <f>HYPERLINK("https://reports.ofsted.gov.uk/provider/44/80525","Ofsted Local Authority Webpage")</f>
        <v>Ofsted Local Authority Webpage</v>
      </c>
      <c r="B85" s="73" t="s">
        <v>222</v>
      </c>
      <c r="C85" s="55" t="s">
        <v>170</v>
      </c>
      <c r="D85" s="74">
        <v>44529</v>
      </c>
      <c r="E85" s="55" t="s">
        <v>132</v>
      </c>
      <c r="F85" s="55" t="s">
        <v>132</v>
      </c>
      <c r="G85" s="55" t="s">
        <v>132</v>
      </c>
      <c r="H85" s="55" t="s">
        <v>132</v>
      </c>
    </row>
    <row r="86" spans="1:8" ht="13" x14ac:dyDescent="0.15">
      <c r="A86" s="72" t="str">
        <f>HYPERLINK("https://reports.ofsted.gov.uk/provider/44/316","Ofsted Local Authority Webpage")</f>
        <v>Ofsted Local Authority Webpage</v>
      </c>
      <c r="B86" s="73" t="s">
        <v>223</v>
      </c>
      <c r="C86" s="55" t="s">
        <v>129</v>
      </c>
      <c r="D86" s="74">
        <v>43507</v>
      </c>
      <c r="E86" s="55" t="s">
        <v>146</v>
      </c>
      <c r="F86" s="55" t="s">
        <v>146</v>
      </c>
      <c r="G86" s="55" t="s">
        <v>130</v>
      </c>
      <c r="H86" s="55" t="s">
        <v>146</v>
      </c>
    </row>
    <row r="87" spans="1:8" ht="13" x14ac:dyDescent="0.15">
      <c r="A87" s="72" t="str">
        <f>HYPERLINK("https://reports.ofsted.gov.uk/provider/44/80418","Ofsted Local Authority Webpage")</f>
        <v>Ofsted Local Authority Webpage</v>
      </c>
      <c r="B87" s="73" t="s">
        <v>224</v>
      </c>
      <c r="C87" s="55" t="s">
        <v>138</v>
      </c>
      <c r="D87" s="74">
        <v>43052</v>
      </c>
      <c r="E87" s="55" t="s">
        <v>130</v>
      </c>
      <c r="F87" s="55" t="s">
        <v>130</v>
      </c>
      <c r="G87" s="55" t="s">
        <v>130</v>
      </c>
      <c r="H87" s="55" t="s">
        <v>130</v>
      </c>
    </row>
    <row r="88" spans="1:8" ht="13" x14ac:dyDescent="0.15">
      <c r="A88" s="72" t="str">
        <f>HYPERLINK("https://reports.ofsted.gov.uk/provider/44/80526","Ofsted Local Authority Webpage")</f>
        <v>Ofsted Local Authority Webpage</v>
      </c>
      <c r="B88" s="73" t="s">
        <v>225</v>
      </c>
      <c r="C88" s="55" t="s">
        <v>134</v>
      </c>
      <c r="D88" s="74">
        <v>44473</v>
      </c>
      <c r="E88" s="55" t="s">
        <v>146</v>
      </c>
      <c r="F88" s="55" t="s">
        <v>146</v>
      </c>
      <c r="G88" s="55" t="s">
        <v>146</v>
      </c>
      <c r="H88" s="55" t="s">
        <v>146</v>
      </c>
    </row>
    <row r="89" spans="1:8" ht="13" x14ac:dyDescent="0.15">
      <c r="A89" s="72" t="str">
        <f>HYPERLINK("https://reports.ofsted.gov.uk/provider/44/813","Ofsted Local Authority Webpage")</f>
        <v>Ofsted Local Authority Webpage</v>
      </c>
      <c r="B89" s="73" t="s">
        <v>226</v>
      </c>
      <c r="C89" s="55" t="s">
        <v>134</v>
      </c>
      <c r="D89" s="74">
        <v>42906</v>
      </c>
      <c r="E89" s="55" t="s">
        <v>140</v>
      </c>
      <c r="F89" s="55" t="s">
        <v>140</v>
      </c>
      <c r="G89" s="55" t="s">
        <v>132</v>
      </c>
      <c r="H89" s="55" t="s">
        <v>140</v>
      </c>
    </row>
    <row r="90" spans="1:8" ht="13" x14ac:dyDescent="0.15">
      <c r="A90" s="72" t="s">
        <v>227</v>
      </c>
      <c r="B90" s="73" t="s">
        <v>228</v>
      </c>
      <c r="C90" s="55" t="s">
        <v>172</v>
      </c>
      <c r="D90" s="74" t="s">
        <v>229</v>
      </c>
      <c r="E90" s="74" t="s">
        <v>229</v>
      </c>
      <c r="F90" s="74" t="s">
        <v>229</v>
      </c>
      <c r="G90" s="74" t="s">
        <v>229</v>
      </c>
      <c r="H90" s="74" t="s">
        <v>229</v>
      </c>
    </row>
    <row r="91" spans="1:8" ht="13" x14ac:dyDescent="0.15">
      <c r="A91" s="72" t="str">
        <f>HYPERLINK("https://reports.ofsted.gov.uk/provider/44/80528","Ofsted Local Authority Webpage")</f>
        <v>Ofsted Local Authority Webpage</v>
      </c>
      <c r="B91" s="73" t="s">
        <v>230</v>
      </c>
      <c r="C91" s="55" t="s">
        <v>136</v>
      </c>
      <c r="D91" s="74">
        <v>43892</v>
      </c>
      <c r="E91" s="55" t="s">
        <v>130</v>
      </c>
      <c r="F91" s="55" t="s">
        <v>130</v>
      </c>
      <c r="G91" s="55" t="s">
        <v>130</v>
      </c>
      <c r="H91" s="55" t="s">
        <v>132</v>
      </c>
    </row>
    <row r="92" spans="1:8" ht="13" x14ac:dyDescent="0.15">
      <c r="A92" s="72" t="str">
        <f>HYPERLINK("https://reports.ofsted.gov.uk/provider/44/392","Ofsted Local Authority Webpage")</f>
        <v>Ofsted Local Authority Webpage</v>
      </c>
      <c r="B92" s="73" t="s">
        <v>231</v>
      </c>
      <c r="C92" s="55" t="s">
        <v>170</v>
      </c>
      <c r="D92" s="74">
        <v>43899</v>
      </c>
      <c r="E92" s="55" t="s">
        <v>140</v>
      </c>
      <c r="F92" s="55" t="s">
        <v>140</v>
      </c>
      <c r="G92" s="55" t="s">
        <v>140</v>
      </c>
      <c r="H92" s="55" t="s">
        <v>132</v>
      </c>
    </row>
    <row r="93" spans="1:8" ht="13" x14ac:dyDescent="0.15">
      <c r="A93" s="72" t="str">
        <f>HYPERLINK("https://reports.ofsted.gov.uk/provider/44/815","Ofsted Local Authority Webpage")</f>
        <v>Ofsted Local Authority Webpage</v>
      </c>
      <c r="B93" s="73" t="s">
        <v>232</v>
      </c>
      <c r="C93" s="55" t="s">
        <v>134</v>
      </c>
      <c r="D93" s="74">
        <v>43283</v>
      </c>
      <c r="E93" s="55" t="s">
        <v>140</v>
      </c>
      <c r="F93" s="55" t="s">
        <v>140</v>
      </c>
      <c r="G93" s="55" t="s">
        <v>140</v>
      </c>
      <c r="H93" s="55" t="s">
        <v>140</v>
      </c>
    </row>
    <row r="94" spans="1:8" ht="13" x14ac:dyDescent="0.15">
      <c r="A94" s="72" t="str">
        <f>HYPERLINK("https://reports.ofsted.gov.uk/provider/44/80532","Ofsted Local Authority Webpage")</f>
        <v>Ofsted Local Authority Webpage</v>
      </c>
      <c r="B94" s="73" t="s">
        <v>233</v>
      </c>
      <c r="C94" s="55" t="s">
        <v>170</v>
      </c>
      <c r="D94" s="74">
        <v>43850</v>
      </c>
      <c r="E94" s="55" t="s">
        <v>132</v>
      </c>
      <c r="F94" s="55" t="s">
        <v>132</v>
      </c>
      <c r="G94" s="55" t="s">
        <v>132</v>
      </c>
      <c r="H94" s="55" t="s">
        <v>132</v>
      </c>
    </row>
    <row r="95" spans="1:8" ht="13" x14ac:dyDescent="0.15">
      <c r="A95" s="72" t="str">
        <f>HYPERLINK("https://reports.ofsted.gov.uk/provider/44/892","Ofsted Local Authority Webpage")</f>
        <v>Ofsted Local Authority Webpage</v>
      </c>
      <c r="B95" s="73" t="s">
        <v>234</v>
      </c>
      <c r="C95" s="55" t="s">
        <v>172</v>
      </c>
      <c r="D95" s="74">
        <v>43409</v>
      </c>
      <c r="E95" s="55" t="s">
        <v>130</v>
      </c>
      <c r="F95" s="55" t="s">
        <v>130</v>
      </c>
      <c r="G95" s="55" t="s">
        <v>130</v>
      </c>
      <c r="H95" s="55" t="s">
        <v>130</v>
      </c>
    </row>
    <row r="96" spans="1:8" ht="13" x14ac:dyDescent="0.15">
      <c r="A96" s="72" t="str">
        <f>HYPERLINK("https://reports.ofsted.gov.uk/provider/44/891","Ofsted Local Authority Webpage")</f>
        <v>Ofsted Local Authority Webpage</v>
      </c>
      <c r="B96" s="73" t="s">
        <v>235</v>
      </c>
      <c r="C96" s="55" t="s">
        <v>172</v>
      </c>
      <c r="D96" s="74">
        <v>43745</v>
      </c>
      <c r="E96" s="55" t="s">
        <v>132</v>
      </c>
      <c r="F96" s="55" t="s">
        <v>132</v>
      </c>
      <c r="G96" s="55" t="s">
        <v>130</v>
      </c>
      <c r="H96" s="55" t="s">
        <v>132</v>
      </c>
    </row>
    <row r="97" spans="1:8" ht="13" x14ac:dyDescent="0.15">
      <c r="A97" s="72" t="str">
        <f>HYPERLINK("https://reports.ofsted.gov.uk/provider/44/80535","Ofsted Local Authority Webpage")</f>
        <v>Ofsted Local Authority Webpage</v>
      </c>
      <c r="B97" s="73" t="s">
        <v>236</v>
      </c>
      <c r="C97" s="55" t="s">
        <v>144</v>
      </c>
      <c r="D97" s="74">
        <v>43486</v>
      </c>
      <c r="E97" s="55" t="s">
        <v>130</v>
      </c>
      <c r="F97" s="55" t="s">
        <v>130</v>
      </c>
      <c r="G97" s="55" t="s">
        <v>130</v>
      </c>
      <c r="H97" s="55" t="s">
        <v>130</v>
      </c>
    </row>
    <row r="98" spans="1:8" ht="13" x14ac:dyDescent="0.15">
      <c r="A98" s="72" t="str">
        <f>HYPERLINK("https://reports.ofsted.gov.uk/provider/44/80536","Ofsted Local Authority Webpage")</f>
        <v>Ofsted Local Authority Webpage</v>
      </c>
      <c r="B98" s="73" t="s">
        <v>237</v>
      </c>
      <c r="C98" s="55" t="s">
        <v>150</v>
      </c>
      <c r="D98" s="74">
        <v>43206</v>
      </c>
      <c r="E98" s="55" t="s">
        <v>132</v>
      </c>
      <c r="F98" s="55" t="s">
        <v>132</v>
      </c>
      <c r="G98" s="55" t="s">
        <v>130</v>
      </c>
      <c r="H98" s="55" t="s">
        <v>132</v>
      </c>
    </row>
    <row r="99" spans="1:8" ht="13" x14ac:dyDescent="0.15">
      <c r="A99" s="72" t="str">
        <f>HYPERLINK("https://reports.ofsted.gov.uk/provider/44/80537","Ofsted Local Authority Webpage")</f>
        <v>Ofsted Local Authority Webpage</v>
      </c>
      <c r="B99" s="73" t="s">
        <v>238</v>
      </c>
      <c r="C99" s="55" t="s">
        <v>138</v>
      </c>
      <c r="D99" s="74">
        <v>43276</v>
      </c>
      <c r="E99" s="55" t="s">
        <v>132</v>
      </c>
      <c r="F99" s="55" t="s">
        <v>132</v>
      </c>
      <c r="G99" s="55" t="s">
        <v>132</v>
      </c>
      <c r="H99" s="55" t="s">
        <v>132</v>
      </c>
    </row>
    <row r="100" spans="1:8" ht="13" x14ac:dyDescent="0.15">
      <c r="A100" s="72" t="str">
        <f>HYPERLINK("https://reports.ofsted.gov.uk/provider/44/879","Ofsted Local Authority Webpage")</f>
        <v>Ofsted Local Authority Webpage</v>
      </c>
      <c r="B100" s="73" t="s">
        <v>239</v>
      </c>
      <c r="C100" s="55" t="s">
        <v>136</v>
      </c>
      <c r="D100" s="74">
        <v>43402</v>
      </c>
      <c r="E100" s="55" t="s">
        <v>130</v>
      </c>
      <c r="F100" s="55" t="s">
        <v>130</v>
      </c>
      <c r="G100" s="55" t="s">
        <v>130</v>
      </c>
      <c r="H100" s="55" t="s">
        <v>130</v>
      </c>
    </row>
    <row r="101" spans="1:8" ht="13" x14ac:dyDescent="0.15">
      <c r="A101" s="72" t="str">
        <f>HYPERLINK("https://reports.ofsted.gov.uk/provider/44/80539","Ofsted Local Authority Webpage")</f>
        <v>Ofsted Local Authority Webpage</v>
      </c>
      <c r="B101" s="73" t="s">
        <v>240</v>
      </c>
      <c r="C101" s="55" t="s">
        <v>150</v>
      </c>
      <c r="D101" s="74">
        <v>43346</v>
      </c>
      <c r="E101" s="55" t="s">
        <v>132</v>
      </c>
      <c r="F101" s="55" t="s">
        <v>132</v>
      </c>
      <c r="G101" s="55" t="s">
        <v>132</v>
      </c>
      <c r="H101" s="55" t="s">
        <v>132</v>
      </c>
    </row>
    <row r="102" spans="1:8" ht="13" x14ac:dyDescent="0.15">
      <c r="A102" s="72" t="str">
        <f>HYPERLINK("https://reports.ofsted.gov.uk/provider/44/870","Ofsted Local Authority Webpage")</f>
        <v>Ofsted Local Authority Webpage</v>
      </c>
      <c r="B102" s="73" t="s">
        <v>241</v>
      </c>
      <c r="C102" s="55" t="s">
        <v>150</v>
      </c>
      <c r="D102" s="74">
        <v>43724</v>
      </c>
      <c r="E102" s="55" t="s">
        <v>130</v>
      </c>
      <c r="F102" s="55" t="s">
        <v>130</v>
      </c>
      <c r="G102" s="55" t="s">
        <v>130</v>
      </c>
      <c r="H102" s="55" t="s">
        <v>130</v>
      </c>
    </row>
    <row r="103" spans="1:8" ht="13" x14ac:dyDescent="0.15">
      <c r="A103" s="72" t="str">
        <f>HYPERLINK("https://reports.ofsted.gov.uk/provider/44/80512","Ofsted Local Authority Webpage")</f>
        <v>Ofsted Local Authority Webpage</v>
      </c>
      <c r="B103" s="73" t="s">
        <v>242</v>
      </c>
      <c r="C103" s="55" t="s">
        <v>129</v>
      </c>
      <c r="D103" s="74">
        <v>43584</v>
      </c>
      <c r="E103" s="55" t="s">
        <v>140</v>
      </c>
      <c r="F103" s="55" t="s">
        <v>140</v>
      </c>
      <c r="G103" s="55" t="s">
        <v>140</v>
      </c>
      <c r="H103" s="55" t="s">
        <v>132</v>
      </c>
    </row>
    <row r="104" spans="1:8" ht="13" x14ac:dyDescent="0.15">
      <c r="A104" s="72" t="str">
        <f>HYPERLINK("https://reports.ofsted.gov.uk/provider/44/80541","Ofsted Local Authority Webpage")</f>
        <v>Ofsted Local Authority Webpage</v>
      </c>
      <c r="B104" s="73" t="s">
        <v>243</v>
      </c>
      <c r="C104" s="55" t="s">
        <v>170</v>
      </c>
      <c r="D104" s="74">
        <v>42751</v>
      </c>
      <c r="E104" s="55" t="s">
        <v>130</v>
      </c>
      <c r="F104" s="55" t="s">
        <v>130</v>
      </c>
      <c r="G104" s="55" t="s">
        <v>130</v>
      </c>
      <c r="H104" s="55" t="s">
        <v>132</v>
      </c>
    </row>
    <row r="105" spans="1:8" ht="13" x14ac:dyDescent="0.15">
      <c r="A105" s="72" t="str">
        <f>HYPERLINK("https://reports.ofsted.gov.uk/provider/44/318","Ofsted Local Authority Webpage")</f>
        <v>Ofsted Local Authority Webpage</v>
      </c>
      <c r="B105" s="73" t="s">
        <v>244</v>
      </c>
      <c r="C105" s="55" t="s">
        <v>129</v>
      </c>
      <c r="D105" s="74">
        <v>44592</v>
      </c>
      <c r="E105" s="55" t="s">
        <v>132</v>
      </c>
      <c r="F105" s="55" t="s">
        <v>132</v>
      </c>
      <c r="G105" s="55" t="s">
        <v>132</v>
      </c>
      <c r="H105" s="55" t="s">
        <v>132</v>
      </c>
    </row>
    <row r="106" spans="1:8" ht="13" x14ac:dyDescent="0.15">
      <c r="A106" s="72" t="str">
        <f>HYPERLINK("https://reports.ofsted.gov.uk/provider/44/80542","Ofsted Local Authority Webpage")</f>
        <v>Ofsted Local Authority Webpage</v>
      </c>
      <c r="B106" s="73" t="s">
        <v>245</v>
      </c>
      <c r="C106" s="55" t="s">
        <v>144</v>
      </c>
      <c r="D106" s="74">
        <v>43129</v>
      </c>
      <c r="E106" s="55" t="s">
        <v>130</v>
      </c>
      <c r="F106" s="55" t="s">
        <v>130</v>
      </c>
      <c r="G106" s="55" t="s">
        <v>130</v>
      </c>
      <c r="H106" s="55" t="s">
        <v>132</v>
      </c>
    </row>
    <row r="107" spans="1:8" ht="13" x14ac:dyDescent="0.15">
      <c r="A107" s="72" t="str">
        <f>HYPERLINK("https://reports.ofsted.gov.uk/provider/44/372","Ofsted Local Authority Webpage")</f>
        <v>Ofsted Local Authority Webpage</v>
      </c>
      <c r="B107" s="73" t="s">
        <v>246</v>
      </c>
      <c r="C107" s="55" t="s">
        <v>134</v>
      </c>
      <c r="D107" s="74">
        <v>43045</v>
      </c>
      <c r="E107" s="55" t="s">
        <v>132</v>
      </c>
      <c r="F107" s="55" t="s">
        <v>132</v>
      </c>
      <c r="G107" s="55" t="s">
        <v>132</v>
      </c>
      <c r="H107" s="55" t="s">
        <v>130</v>
      </c>
    </row>
    <row r="108" spans="1:8" ht="13" x14ac:dyDescent="0.15">
      <c r="A108" s="72" t="str">
        <f>HYPERLINK("https://reports.ofsted.gov.uk/provider/44/80547","Ofsted Local Authority Webpage")</f>
        <v>Ofsted Local Authority Webpage</v>
      </c>
      <c r="B108" s="73" t="s">
        <v>247</v>
      </c>
      <c r="C108" s="55" t="s">
        <v>172</v>
      </c>
      <c r="D108" s="74">
        <v>43892</v>
      </c>
      <c r="E108" s="55" t="s">
        <v>130</v>
      </c>
      <c r="F108" s="55" t="s">
        <v>130</v>
      </c>
      <c r="G108" s="55" t="s">
        <v>130</v>
      </c>
      <c r="H108" s="55" t="s">
        <v>130</v>
      </c>
    </row>
    <row r="109" spans="1:8" ht="13" x14ac:dyDescent="0.15">
      <c r="A109" s="72" t="str">
        <f>HYPERLINK("https://reports.ofsted.gov.uk/provider/44/80548","Ofsted Local Authority Webpage")</f>
        <v>Ofsted Local Authority Webpage</v>
      </c>
      <c r="B109" s="73" t="s">
        <v>248</v>
      </c>
      <c r="C109" s="55" t="s">
        <v>144</v>
      </c>
      <c r="D109" s="74">
        <v>43381</v>
      </c>
      <c r="E109" s="55" t="s">
        <v>132</v>
      </c>
      <c r="F109" s="55" t="s">
        <v>132</v>
      </c>
      <c r="G109" s="55" t="s">
        <v>132</v>
      </c>
      <c r="H109" s="55" t="s">
        <v>132</v>
      </c>
    </row>
    <row r="110" spans="1:8" ht="13" x14ac:dyDescent="0.15">
      <c r="A110" s="72" t="str">
        <f>HYPERLINK("https://reports.ofsted.gov.uk/provider/44/80549","Ofsted Local Authority Webpage")</f>
        <v>Ofsted Local Authority Webpage</v>
      </c>
      <c r="B110" s="73" t="s">
        <v>249</v>
      </c>
      <c r="C110" s="55" t="s">
        <v>142</v>
      </c>
      <c r="D110" s="74">
        <v>43045</v>
      </c>
      <c r="E110" s="55" t="s">
        <v>146</v>
      </c>
      <c r="F110" s="55" t="s">
        <v>146</v>
      </c>
      <c r="G110" s="55" t="s">
        <v>146</v>
      </c>
      <c r="H110" s="55" t="s">
        <v>146</v>
      </c>
    </row>
    <row r="111" spans="1:8" ht="13" x14ac:dyDescent="0.15">
      <c r="A111" s="72" t="str">
        <f>HYPERLINK("https://reports.ofsted.gov.uk/provider/44/80550","Ofsted Local Authority Webpage")</f>
        <v>Ofsted Local Authority Webpage</v>
      </c>
      <c r="B111" s="73" t="s">
        <v>250</v>
      </c>
      <c r="C111" s="55" t="s">
        <v>144</v>
      </c>
      <c r="D111" s="74">
        <v>42422</v>
      </c>
      <c r="E111" s="55" t="s">
        <v>130</v>
      </c>
      <c r="F111" s="55" t="s">
        <v>130</v>
      </c>
      <c r="G111" s="55" t="s">
        <v>130</v>
      </c>
      <c r="H111" s="55" t="s">
        <v>130</v>
      </c>
    </row>
    <row r="112" spans="1:8" ht="13" x14ac:dyDescent="0.15">
      <c r="A112" s="72" t="str">
        <f>HYPERLINK("https://reports.ofsted.gov.uk/provider/44/80551","Ofsted Local Authority Webpage")</f>
        <v>Ofsted Local Authority Webpage</v>
      </c>
      <c r="B112" s="73" t="s">
        <v>251</v>
      </c>
      <c r="C112" s="55" t="s">
        <v>134</v>
      </c>
      <c r="D112" s="74">
        <v>43661</v>
      </c>
      <c r="E112" s="55" t="s">
        <v>132</v>
      </c>
      <c r="F112" s="55" t="s">
        <v>132</v>
      </c>
      <c r="G112" s="55" t="s">
        <v>130</v>
      </c>
      <c r="H112" s="55" t="s">
        <v>132</v>
      </c>
    </row>
    <row r="113" spans="1:8" ht="13" x14ac:dyDescent="0.15">
      <c r="A113" s="72" t="str">
        <f>HYPERLINK("https://reports.ofsted.gov.uk/provider/44/80552","Ofsted Local Authority Webpage")</f>
        <v>Ofsted Local Authority Webpage</v>
      </c>
      <c r="B113" s="73" t="s">
        <v>252</v>
      </c>
      <c r="C113" s="55" t="s">
        <v>142</v>
      </c>
      <c r="D113" s="74">
        <v>44599</v>
      </c>
      <c r="E113" s="55" t="s">
        <v>132</v>
      </c>
      <c r="F113" s="55" t="s">
        <v>132</v>
      </c>
      <c r="G113" s="55" t="s">
        <v>130</v>
      </c>
      <c r="H113" s="55" t="s">
        <v>132</v>
      </c>
    </row>
    <row r="114" spans="1:8" ht="13" x14ac:dyDescent="0.15">
      <c r="A114" s="72" t="str">
        <f>HYPERLINK("https://reports.ofsted.gov.uk/provider/44/871","Ofsted Local Authority Webpage")</f>
        <v>Ofsted Local Authority Webpage</v>
      </c>
      <c r="B114" s="73" t="s">
        <v>253</v>
      </c>
      <c r="C114" s="55" t="s">
        <v>150</v>
      </c>
      <c r="D114" s="74">
        <v>43486</v>
      </c>
      <c r="E114" s="55" t="s">
        <v>130</v>
      </c>
      <c r="F114" s="55" t="s">
        <v>130</v>
      </c>
      <c r="G114" s="55" t="s">
        <v>130</v>
      </c>
      <c r="H114" s="55" t="s">
        <v>130</v>
      </c>
    </row>
    <row r="115" spans="1:8" ht="13" x14ac:dyDescent="0.15">
      <c r="A115" s="72" t="str">
        <f>HYPERLINK("https://reports.ofsted.gov.uk/provider/44/80554","Ofsted Local Authority Webpage")</f>
        <v>Ofsted Local Authority Webpage</v>
      </c>
      <c r="B115" s="73" t="s">
        <v>254</v>
      </c>
      <c r="C115" s="55" t="s">
        <v>142</v>
      </c>
      <c r="D115" s="74">
        <v>43780</v>
      </c>
      <c r="E115" s="55" t="s">
        <v>130</v>
      </c>
      <c r="F115" s="55" t="s">
        <v>130</v>
      </c>
      <c r="G115" s="55" t="s">
        <v>130</v>
      </c>
      <c r="H115" s="55" t="s">
        <v>132</v>
      </c>
    </row>
    <row r="116" spans="1:8" ht="13" x14ac:dyDescent="0.15">
      <c r="A116" s="72" t="str">
        <f>HYPERLINK("https://reports.ofsted.gov.uk/provider/44/80555","Ofsted Local Authority Webpage")</f>
        <v>Ofsted Local Authority Webpage</v>
      </c>
      <c r="B116" s="73" t="s">
        <v>255</v>
      </c>
      <c r="C116" s="55" t="s">
        <v>136</v>
      </c>
      <c r="D116" s="74">
        <v>43046</v>
      </c>
      <c r="E116" s="55" t="s">
        <v>130</v>
      </c>
      <c r="F116" s="55" t="s">
        <v>130</v>
      </c>
      <c r="G116" s="55" t="s">
        <v>130</v>
      </c>
      <c r="H116" s="55" t="s">
        <v>130</v>
      </c>
    </row>
    <row r="117" spans="1:8" ht="13" x14ac:dyDescent="0.15">
      <c r="A117" s="72" t="str">
        <f>HYPERLINK("https://reports.ofsted.gov.uk/provider/44/80556","Ofsted Local Authority Webpage")</f>
        <v>Ofsted Local Authority Webpage</v>
      </c>
      <c r="B117" s="73" t="s">
        <v>256</v>
      </c>
      <c r="C117" s="55" t="s">
        <v>136</v>
      </c>
      <c r="D117" s="74">
        <v>43528</v>
      </c>
      <c r="E117" s="55" t="s">
        <v>130</v>
      </c>
      <c r="F117" s="55" t="s">
        <v>130</v>
      </c>
      <c r="G117" s="55" t="s">
        <v>130</v>
      </c>
      <c r="H117" s="55" t="s">
        <v>130</v>
      </c>
    </row>
    <row r="118" spans="1:8" ht="13" x14ac:dyDescent="0.15">
      <c r="A118" s="72" t="str">
        <f>HYPERLINK("https://reports.ofsted.gov.uk/provider/44/80557","Ofsted Local Authority Webpage")</f>
        <v>Ofsted Local Authority Webpage</v>
      </c>
      <c r="B118" s="73" t="s">
        <v>257</v>
      </c>
      <c r="C118" s="55" t="s">
        <v>170</v>
      </c>
      <c r="D118" s="74">
        <v>42989</v>
      </c>
      <c r="E118" s="55" t="s">
        <v>132</v>
      </c>
      <c r="F118" s="55" t="s">
        <v>132</v>
      </c>
      <c r="G118" s="55" t="s">
        <v>132</v>
      </c>
      <c r="H118" s="55" t="s">
        <v>132</v>
      </c>
    </row>
    <row r="119" spans="1:8" ht="13" x14ac:dyDescent="0.15">
      <c r="A119" s="72" t="str">
        <f>HYPERLINK("https://reports.ofsted.gov.uk/provider/44/80558","Ofsted Local Authority Webpage")</f>
        <v>Ofsted Local Authority Webpage</v>
      </c>
      <c r="B119" s="73" t="s">
        <v>258</v>
      </c>
      <c r="C119" s="55" t="s">
        <v>150</v>
      </c>
      <c r="D119" s="74">
        <v>43787</v>
      </c>
      <c r="E119" s="55" t="s">
        <v>130</v>
      </c>
      <c r="F119" s="55" t="s">
        <v>130</v>
      </c>
      <c r="G119" s="55" t="s">
        <v>130</v>
      </c>
      <c r="H119" s="55" t="s">
        <v>130</v>
      </c>
    </row>
    <row r="120" spans="1:8" ht="13" x14ac:dyDescent="0.15">
      <c r="A120" s="72" t="str">
        <f>HYPERLINK("https://reports.ofsted.gov.uk/provider/44/80559","Ofsted Local Authority Webpage")</f>
        <v>Ofsted Local Authority Webpage</v>
      </c>
      <c r="B120" s="73" t="s">
        <v>259</v>
      </c>
      <c r="C120" s="55" t="s">
        <v>138</v>
      </c>
      <c r="D120" s="74">
        <v>43661</v>
      </c>
      <c r="E120" s="55" t="s">
        <v>130</v>
      </c>
      <c r="F120" s="55" t="s">
        <v>130</v>
      </c>
      <c r="G120" s="55" t="s">
        <v>130</v>
      </c>
      <c r="H120" s="55" t="s">
        <v>130</v>
      </c>
    </row>
    <row r="121" spans="1:8" ht="13" x14ac:dyDescent="0.15">
      <c r="A121" s="72" t="str">
        <f>HYPERLINK("https://reports.ofsted.gov.uk/provider/44/80514","Ofsted Local Authority Webpage")</f>
        <v>Ofsted Local Authority Webpage</v>
      </c>
      <c r="B121" s="73" t="s">
        <v>260</v>
      </c>
      <c r="C121" s="55" t="s">
        <v>129</v>
      </c>
      <c r="D121" s="74">
        <v>42800</v>
      </c>
      <c r="E121" s="55" t="s">
        <v>132</v>
      </c>
      <c r="F121" s="55" t="s">
        <v>132</v>
      </c>
      <c r="G121" s="55" t="s">
        <v>132</v>
      </c>
      <c r="H121" s="55" t="s">
        <v>130</v>
      </c>
    </row>
    <row r="122" spans="1:8" ht="13" x14ac:dyDescent="0.15">
      <c r="A122" s="72" t="str">
        <f>HYPERLINK("https://reports.ofsted.gov.uk/provider/44/80560","Ofsted Local Authority Webpage")</f>
        <v>Ofsted Local Authority Webpage</v>
      </c>
      <c r="B122" s="73" t="s">
        <v>261</v>
      </c>
      <c r="C122" s="55" t="s">
        <v>144</v>
      </c>
      <c r="D122" s="74">
        <v>43731</v>
      </c>
      <c r="E122" s="55" t="s">
        <v>146</v>
      </c>
      <c r="F122" s="55" t="s">
        <v>130</v>
      </c>
      <c r="G122" s="55" t="s">
        <v>130</v>
      </c>
      <c r="H122" s="55" t="s">
        <v>146</v>
      </c>
    </row>
    <row r="123" spans="1:8" ht="13" x14ac:dyDescent="0.15">
      <c r="A123" s="72" t="str">
        <f>HYPERLINK("https://reports.ofsted.gov.uk/provider/44/80561","Ofsted Local Authority Webpage")</f>
        <v>Ofsted Local Authority Webpage</v>
      </c>
      <c r="B123" s="73" t="s">
        <v>262</v>
      </c>
      <c r="C123" s="55" t="s">
        <v>142</v>
      </c>
      <c r="D123" s="74">
        <v>43500</v>
      </c>
      <c r="E123" s="55" t="s">
        <v>132</v>
      </c>
      <c r="F123" s="55" t="s">
        <v>132</v>
      </c>
      <c r="G123" s="55" t="s">
        <v>130</v>
      </c>
      <c r="H123" s="55" t="s">
        <v>132</v>
      </c>
    </row>
    <row r="124" spans="1:8" ht="13" x14ac:dyDescent="0.15">
      <c r="A124" s="72" t="str">
        <f>HYPERLINK("https://reports.ofsted.gov.uk/provider/44/80562","Ofsted Local Authority Webpage")</f>
        <v>Ofsted Local Authority Webpage</v>
      </c>
      <c r="B124" s="73" t="s">
        <v>263</v>
      </c>
      <c r="C124" s="55" t="s">
        <v>144</v>
      </c>
      <c r="D124" s="74">
        <v>42922</v>
      </c>
      <c r="E124" s="55" t="s">
        <v>132</v>
      </c>
      <c r="F124" s="55" t="s">
        <v>132</v>
      </c>
      <c r="G124" s="55" t="s">
        <v>132</v>
      </c>
      <c r="H124" s="55" t="s">
        <v>132</v>
      </c>
    </row>
    <row r="125" spans="1:8" ht="13" x14ac:dyDescent="0.15">
      <c r="A125" s="72" t="str">
        <f>HYPERLINK("https://reports.ofsted.gov.uk/provider/44/80563","Ofsted Local Authority Webpage")</f>
        <v>Ofsted Local Authority Webpage</v>
      </c>
      <c r="B125" s="73" t="s">
        <v>264</v>
      </c>
      <c r="C125" s="55" t="s">
        <v>170</v>
      </c>
      <c r="D125" s="74">
        <v>43605</v>
      </c>
      <c r="E125" s="55" t="s">
        <v>130</v>
      </c>
      <c r="F125" s="55" t="s">
        <v>130</v>
      </c>
      <c r="G125" s="55" t="s">
        <v>130</v>
      </c>
      <c r="H125" s="55" t="s">
        <v>130</v>
      </c>
    </row>
    <row r="126" spans="1:8" ht="13" x14ac:dyDescent="0.15">
      <c r="A126" s="72" t="str">
        <f>HYPERLINK("https://reports.ofsted.gov.uk/provider/44/80564","Ofsted Local Authority Webpage")</f>
        <v>Ofsted Local Authority Webpage</v>
      </c>
      <c r="B126" s="73" t="s">
        <v>265</v>
      </c>
      <c r="C126" s="55" t="s">
        <v>142</v>
      </c>
      <c r="D126" s="74">
        <v>43500</v>
      </c>
      <c r="E126" s="55" t="s">
        <v>146</v>
      </c>
      <c r="F126" s="55" t="s">
        <v>146</v>
      </c>
      <c r="G126" s="55" t="s">
        <v>146</v>
      </c>
      <c r="H126" s="55" t="s">
        <v>146</v>
      </c>
    </row>
    <row r="127" spans="1:8" ht="13" x14ac:dyDescent="0.15">
      <c r="A127" s="72" t="str">
        <f>HYPERLINK("https://reports.ofsted.gov.uk/provider/44/80565","Ofsted Local Authority Webpage")</f>
        <v>Ofsted Local Authority Webpage</v>
      </c>
      <c r="B127" s="73" t="s">
        <v>266</v>
      </c>
      <c r="C127" s="55" t="s">
        <v>138</v>
      </c>
      <c r="D127" s="74">
        <v>43563</v>
      </c>
      <c r="E127" s="55" t="s">
        <v>140</v>
      </c>
      <c r="F127" s="55" t="s">
        <v>140</v>
      </c>
      <c r="G127" s="55" t="s">
        <v>140</v>
      </c>
      <c r="H127" s="55" t="s">
        <v>132</v>
      </c>
    </row>
    <row r="128" spans="1:8" ht="13" x14ac:dyDescent="0.15">
      <c r="A128" s="72" t="str">
        <f>HYPERLINK("https://reports.ofsted.gov.uk/provider/44/394","Ofsted Local Authority Webpage")</f>
        <v>Ofsted Local Authority Webpage</v>
      </c>
      <c r="B128" s="73" t="s">
        <v>267</v>
      </c>
      <c r="C128" s="55" t="s">
        <v>170</v>
      </c>
      <c r="D128" s="74">
        <v>44375</v>
      </c>
      <c r="E128" s="55" t="s">
        <v>140</v>
      </c>
      <c r="F128" s="55" t="s">
        <v>140</v>
      </c>
      <c r="G128" s="55" t="s">
        <v>132</v>
      </c>
      <c r="H128" s="55" t="s">
        <v>140</v>
      </c>
    </row>
    <row r="129" spans="1:8" ht="13" x14ac:dyDescent="0.15">
      <c r="A129" s="72" t="str">
        <f>HYPERLINK("https://reports.ofsted.gov.uk/provider/44/80567","Ofsted Local Authority Webpage")</f>
        <v>Ofsted Local Authority Webpage</v>
      </c>
      <c r="B129" s="73" t="s">
        <v>268</v>
      </c>
      <c r="C129" s="55" t="s">
        <v>150</v>
      </c>
      <c r="D129" s="74">
        <v>44578</v>
      </c>
      <c r="E129" s="55" t="s">
        <v>130</v>
      </c>
      <c r="F129" s="55" t="s">
        <v>130</v>
      </c>
      <c r="G129" s="55" t="s">
        <v>130</v>
      </c>
      <c r="H129" s="55" t="s">
        <v>130</v>
      </c>
    </row>
    <row r="130" spans="1:8" ht="13" x14ac:dyDescent="0.15">
      <c r="A130" s="72" t="str">
        <f>HYPERLINK("https://reports.ofsted.gov.uk/provider/44/80515","Ofsted Local Authority Webpage")</f>
        <v>Ofsted Local Authority Webpage</v>
      </c>
      <c r="B130" s="73" t="s">
        <v>269</v>
      </c>
      <c r="C130" s="55" t="s">
        <v>129</v>
      </c>
      <c r="D130" s="74">
        <v>44536</v>
      </c>
      <c r="E130" s="55" t="s">
        <v>132</v>
      </c>
      <c r="F130" s="55" t="s">
        <v>140</v>
      </c>
      <c r="G130" s="55" t="s">
        <v>132</v>
      </c>
      <c r="H130" s="55" t="s">
        <v>132</v>
      </c>
    </row>
    <row r="131" spans="1:8" ht="13" x14ac:dyDescent="0.15">
      <c r="A131" s="72" t="str">
        <f>HYPERLINK("https://reports.ofsted.gov.uk/provider/44/80568","Ofsted Local Authority Webpage")</f>
        <v>Ofsted Local Authority Webpage</v>
      </c>
      <c r="B131" s="73" t="s">
        <v>270</v>
      </c>
      <c r="C131" s="55" t="s">
        <v>136</v>
      </c>
      <c r="D131" s="74">
        <v>43647</v>
      </c>
      <c r="E131" s="55" t="s">
        <v>132</v>
      </c>
      <c r="F131" s="55" t="s">
        <v>132</v>
      </c>
      <c r="G131" s="55" t="s">
        <v>132</v>
      </c>
      <c r="H131" s="55" t="s">
        <v>130</v>
      </c>
    </row>
    <row r="132" spans="1:8" ht="13" x14ac:dyDescent="0.15">
      <c r="A132" s="72" t="str">
        <f>HYPERLINK("https://reports.ofsted.gov.uk/provider/44/357","Ofsted Local Authority Webpage")</f>
        <v>Ofsted Local Authority Webpage</v>
      </c>
      <c r="B132" s="73" t="s">
        <v>271</v>
      </c>
      <c r="C132" s="55" t="s">
        <v>144</v>
      </c>
      <c r="D132" s="74">
        <v>43598</v>
      </c>
      <c r="E132" s="55" t="s">
        <v>130</v>
      </c>
      <c r="F132" s="55" t="s">
        <v>130</v>
      </c>
      <c r="G132" s="55" t="s">
        <v>130</v>
      </c>
      <c r="H132" s="55" t="s">
        <v>130</v>
      </c>
    </row>
    <row r="133" spans="1:8" ht="13" x14ac:dyDescent="0.15">
      <c r="A133" s="72" t="str">
        <f>HYPERLINK("https://reports.ofsted.gov.uk/provider/44/80570","Ofsted Local Authority Webpage")</f>
        <v>Ofsted Local Authority Webpage</v>
      </c>
      <c r="B133" s="73" t="s">
        <v>272</v>
      </c>
      <c r="C133" s="55" t="s">
        <v>142</v>
      </c>
      <c r="D133" s="74">
        <v>43850</v>
      </c>
      <c r="E133" s="55" t="s">
        <v>140</v>
      </c>
      <c r="F133" s="55" t="s">
        <v>140</v>
      </c>
      <c r="G133" s="55" t="s">
        <v>132</v>
      </c>
      <c r="H133" s="55" t="s">
        <v>140</v>
      </c>
    </row>
    <row r="134" spans="1:8" ht="13" x14ac:dyDescent="0.15">
      <c r="A134" s="72" t="str">
        <f>HYPERLINK("https://reports.ofsted.gov.uk/provider/44/80571","Ofsted Local Authority Webpage")</f>
        <v>Ofsted Local Authority Webpage</v>
      </c>
      <c r="B134" s="73" t="s">
        <v>273</v>
      </c>
      <c r="C134" s="55" t="s">
        <v>138</v>
      </c>
      <c r="D134" s="74">
        <v>43780</v>
      </c>
      <c r="E134" s="55" t="s">
        <v>132</v>
      </c>
      <c r="F134" s="55" t="s">
        <v>132</v>
      </c>
      <c r="G134" s="55" t="s">
        <v>132</v>
      </c>
      <c r="H134" s="55" t="s">
        <v>132</v>
      </c>
    </row>
    <row r="135" spans="1:8" ht="13" x14ac:dyDescent="0.15">
      <c r="A135" s="72" t="str">
        <f>HYPERLINK("https://reports.ofsted.gov.uk/provider/44/880","Ofsted Local Authority Webpage")</f>
        <v>Ofsted Local Authority Webpage</v>
      </c>
      <c r="B135" s="73" t="s">
        <v>274</v>
      </c>
      <c r="C135" s="55" t="s">
        <v>136</v>
      </c>
      <c r="D135" s="74">
        <v>43262</v>
      </c>
      <c r="E135" s="55" t="s">
        <v>146</v>
      </c>
      <c r="F135" s="55" t="s">
        <v>146</v>
      </c>
      <c r="G135" s="55" t="s">
        <v>146</v>
      </c>
      <c r="H135" s="55" t="s">
        <v>130</v>
      </c>
    </row>
    <row r="136" spans="1:8" ht="13" x14ac:dyDescent="0.15">
      <c r="A136" s="72" t="str">
        <f>HYPERLINK("https://reports.ofsted.gov.uk/provider/44/211","Ofsted Local Authority Webpage")</f>
        <v>Ofsted Local Authority Webpage</v>
      </c>
      <c r="B136" s="73" t="s">
        <v>275</v>
      </c>
      <c r="C136" s="55" t="s">
        <v>129</v>
      </c>
      <c r="D136" s="74">
        <v>43626</v>
      </c>
      <c r="E136" s="55" t="s">
        <v>132</v>
      </c>
      <c r="F136" s="55" t="s">
        <v>132</v>
      </c>
      <c r="G136" s="55" t="s">
        <v>132</v>
      </c>
      <c r="H136" s="55" t="s">
        <v>132</v>
      </c>
    </row>
    <row r="137" spans="1:8" ht="13" x14ac:dyDescent="0.15">
      <c r="A137" s="72" t="str">
        <f>HYPERLINK("https://reports.ofsted.gov.uk/provider/44/80573","Ofsted Local Authority Webpage")</f>
        <v>Ofsted Local Authority Webpage</v>
      </c>
      <c r="B137" s="73" t="s">
        <v>276</v>
      </c>
      <c r="C137" s="55" t="s">
        <v>144</v>
      </c>
      <c r="D137" s="74">
        <v>43528</v>
      </c>
      <c r="E137" s="55" t="s">
        <v>146</v>
      </c>
      <c r="F137" s="55" t="s">
        <v>146</v>
      </c>
      <c r="G137" s="55" t="s">
        <v>130</v>
      </c>
      <c r="H137" s="55" t="s">
        <v>130</v>
      </c>
    </row>
    <row r="138" spans="1:8" ht="13" x14ac:dyDescent="0.15">
      <c r="A138" s="72" t="str">
        <f>HYPERLINK("https://reports.ofsted.gov.uk/provider/44/80451","Ofsted Local Authority Webpage")</f>
        <v>Ofsted Local Authority Webpage</v>
      </c>
      <c r="B138" s="73" t="s">
        <v>277</v>
      </c>
      <c r="C138" s="55" t="s">
        <v>134</v>
      </c>
      <c r="D138" s="74">
        <v>44508</v>
      </c>
      <c r="E138" s="55" t="s">
        <v>132</v>
      </c>
      <c r="F138" s="55" t="s">
        <v>140</v>
      </c>
      <c r="G138" s="55" t="s">
        <v>132</v>
      </c>
      <c r="H138" s="55" t="s">
        <v>132</v>
      </c>
    </row>
    <row r="139" spans="1:8" ht="13" x14ac:dyDescent="0.15">
      <c r="A139" s="72" t="str">
        <f>HYPERLINK("https://reports.ofsted.gov.uk/provider/44/80574","Ofsted Local Authority Webpage")</f>
        <v>Ofsted Local Authority Webpage</v>
      </c>
      <c r="B139" s="73" t="s">
        <v>278</v>
      </c>
      <c r="C139" s="55" t="s">
        <v>142</v>
      </c>
      <c r="D139" s="74">
        <v>44473</v>
      </c>
      <c r="E139" s="55" t="s">
        <v>132</v>
      </c>
      <c r="F139" s="55" t="s">
        <v>132</v>
      </c>
      <c r="G139" s="55" t="s">
        <v>130</v>
      </c>
      <c r="H139" s="55" t="s">
        <v>132</v>
      </c>
    </row>
    <row r="140" spans="1:8" ht="13" x14ac:dyDescent="0.15">
      <c r="A140" s="72" t="str">
        <f>HYPERLINK("https://reports.ofsted.gov.uk/provider/44/80517","Ofsted Local Authority Webpage")</f>
        <v>Ofsted Local Authority Webpage</v>
      </c>
      <c r="B140" s="73" t="s">
        <v>279</v>
      </c>
      <c r="C140" s="55" t="s">
        <v>129</v>
      </c>
      <c r="D140" s="74">
        <v>43493</v>
      </c>
      <c r="E140" s="55" t="s">
        <v>132</v>
      </c>
      <c r="F140" s="55" t="s">
        <v>140</v>
      </c>
      <c r="G140" s="55" t="s">
        <v>132</v>
      </c>
      <c r="H140" s="55" t="s">
        <v>132</v>
      </c>
    </row>
    <row r="141" spans="1:8" ht="13" x14ac:dyDescent="0.15">
      <c r="A141" s="72" t="str">
        <f>HYPERLINK("https://reports.ofsted.gov.uk/provider/44/80518","Ofsted Local Authority Webpage")</f>
        <v>Ofsted Local Authority Webpage</v>
      </c>
      <c r="B141" s="73" t="s">
        <v>280</v>
      </c>
      <c r="C141" s="55" t="s">
        <v>129</v>
      </c>
      <c r="D141" s="74">
        <v>43228</v>
      </c>
      <c r="E141" s="55" t="s">
        <v>130</v>
      </c>
      <c r="F141" s="55" t="s">
        <v>130</v>
      </c>
      <c r="G141" s="55" t="s">
        <v>130</v>
      </c>
      <c r="H141" s="55" t="s">
        <v>130</v>
      </c>
    </row>
    <row r="142" spans="1:8" ht="13" x14ac:dyDescent="0.15">
      <c r="A142" s="72" t="str">
        <f>HYPERLINK("https://reports.ofsted.gov.uk/provider/44/80575","Ofsted Local Authority Webpage")</f>
        <v>Ofsted Local Authority Webpage</v>
      </c>
      <c r="B142" s="73" t="s">
        <v>281</v>
      </c>
      <c r="C142" s="55" t="s">
        <v>144</v>
      </c>
      <c r="D142" s="74">
        <v>43654</v>
      </c>
      <c r="E142" s="55" t="s">
        <v>132</v>
      </c>
      <c r="F142" s="55" t="s">
        <v>132</v>
      </c>
      <c r="G142" s="55" t="s">
        <v>132</v>
      </c>
      <c r="H142" s="55" t="s">
        <v>132</v>
      </c>
    </row>
    <row r="143" spans="1:8" ht="13" x14ac:dyDescent="0.15">
      <c r="A143" s="72" t="str">
        <f>HYPERLINK("https://reports.ofsted.gov.uk/provider/44/937","Ofsted Local Authority Webpage")</f>
        <v>Ofsted Local Authority Webpage</v>
      </c>
      <c r="B143" s="73" t="s">
        <v>282</v>
      </c>
      <c r="C143" s="55" t="s">
        <v>142</v>
      </c>
      <c r="D143" s="74">
        <v>44522</v>
      </c>
      <c r="E143" s="55" t="s">
        <v>132</v>
      </c>
      <c r="F143" s="55" t="s">
        <v>132</v>
      </c>
      <c r="G143" s="55" t="s">
        <v>132</v>
      </c>
      <c r="H143" s="55" t="s">
        <v>132</v>
      </c>
    </row>
    <row r="144" spans="1:8" ht="13" x14ac:dyDescent="0.15">
      <c r="A144" s="72" t="str">
        <f>HYPERLINK("https://reports.ofsted.gov.uk/provider/44/80577","Ofsted Local Authority Webpage")</f>
        <v>Ofsted Local Authority Webpage</v>
      </c>
      <c r="B144" s="73" t="s">
        <v>283</v>
      </c>
      <c r="C144" s="55" t="s">
        <v>150</v>
      </c>
      <c r="D144" s="74">
        <v>42863</v>
      </c>
      <c r="E144" s="55" t="s">
        <v>132</v>
      </c>
      <c r="F144" s="55" t="s">
        <v>132</v>
      </c>
      <c r="G144" s="55" t="s">
        <v>130</v>
      </c>
      <c r="H144" s="55" t="s">
        <v>132</v>
      </c>
    </row>
    <row r="145" spans="1:8" ht="13" x14ac:dyDescent="0.15">
      <c r="A145" s="72" t="s">
        <v>227</v>
      </c>
      <c r="B145" s="73" t="s">
        <v>284</v>
      </c>
      <c r="C145" s="55" t="s">
        <v>172</v>
      </c>
      <c r="D145" s="74" t="s">
        <v>229</v>
      </c>
      <c r="E145" s="55" t="s">
        <v>229</v>
      </c>
      <c r="F145" s="55" t="s">
        <v>229</v>
      </c>
      <c r="G145" s="55" t="s">
        <v>229</v>
      </c>
      <c r="H145" s="55" t="s">
        <v>229</v>
      </c>
    </row>
    <row r="146" spans="1:8" ht="13" x14ac:dyDescent="0.15">
      <c r="A146" s="72" t="str">
        <f>HYPERLINK("https://reports.ofsted.gov.uk/provider/44/80578","Ofsted Local Authority Webpage")</f>
        <v>Ofsted Local Authority Webpage</v>
      </c>
      <c r="B146" s="73" t="s">
        <v>285</v>
      </c>
      <c r="C146" s="55" t="s">
        <v>150</v>
      </c>
      <c r="D146" s="74">
        <v>43521</v>
      </c>
      <c r="E146" s="55" t="s">
        <v>146</v>
      </c>
      <c r="F146" s="55" t="s">
        <v>146</v>
      </c>
      <c r="G146" s="55" t="s">
        <v>146</v>
      </c>
      <c r="H146" s="55" t="s">
        <v>146</v>
      </c>
    </row>
    <row r="147" spans="1:8" ht="13" x14ac:dyDescent="0.15">
      <c r="A147" s="72" t="str">
        <f>HYPERLINK("https://reports.ofsted.gov.uk/provider/44/80519","Ofsted Local Authority Webpage")</f>
        <v>Ofsted Local Authority Webpage</v>
      </c>
      <c r="B147" s="73" t="s">
        <v>286</v>
      </c>
      <c r="C147" s="55" t="s">
        <v>129</v>
      </c>
      <c r="D147" s="74">
        <v>43717</v>
      </c>
      <c r="E147" s="55" t="s">
        <v>140</v>
      </c>
      <c r="F147" s="55" t="s">
        <v>140</v>
      </c>
      <c r="G147" s="55" t="s">
        <v>140</v>
      </c>
      <c r="H147" s="55" t="s">
        <v>140</v>
      </c>
    </row>
    <row r="148" spans="1:8" ht="13" x14ac:dyDescent="0.15">
      <c r="A148" s="72" t="str">
        <f>HYPERLINK("https://reports.ofsted.gov.uk/provider/44/80579","Ofsted Local Authority Webpage")</f>
        <v>Ofsted Local Authority Webpage</v>
      </c>
      <c r="B148" s="73" t="s">
        <v>287</v>
      </c>
      <c r="C148" s="55" t="s">
        <v>144</v>
      </c>
      <c r="D148" s="74">
        <v>42751</v>
      </c>
      <c r="E148" s="55" t="s">
        <v>132</v>
      </c>
      <c r="F148" s="55" t="s">
        <v>132</v>
      </c>
      <c r="G148" s="55" t="s">
        <v>130</v>
      </c>
      <c r="H148" s="55" t="s">
        <v>132</v>
      </c>
    </row>
    <row r="149" spans="1:8" ht="13" x14ac:dyDescent="0.15">
      <c r="A149" s="72" t="str">
        <f>HYPERLINK("https://reports.ofsted.gov.uk/provider/44/80580","Ofsted Local Authority Webpage")</f>
        <v>Ofsted Local Authority Webpage</v>
      </c>
      <c r="B149" s="73" t="s">
        <v>288</v>
      </c>
      <c r="C149" s="55" t="s">
        <v>136</v>
      </c>
      <c r="D149" s="74">
        <v>43619</v>
      </c>
      <c r="E149" s="55" t="s">
        <v>132</v>
      </c>
      <c r="F149" s="55" t="s">
        <v>132</v>
      </c>
      <c r="G149" s="55" t="s">
        <v>132</v>
      </c>
      <c r="H149" s="55" t="s">
        <v>132</v>
      </c>
    </row>
    <row r="150" spans="1:8" ht="13" x14ac:dyDescent="0.15">
      <c r="A150" s="72" t="str">
        <f>HYPERLINK("https://reports.ofsted.gov.uk/provider/44/80546","Ofsted Local Authority Webpage")</f>
        <v>Ofsted Local Authority Webpage</v>
      </c>
      <c r="B150" s="73" t="s">
        <v>289</v>
      </c>
      <c r="C150" s="55" t="s">
        <v>150</v>
      </c>
      <c r="D150" s="74">
        <v>43843</v>
      </c>
      <c r="E150" s="55" t="s">
        <v>132</v>
      </c>
      <c r="F150" s="55" t="s">
        <v>132</v>
      </c>
      <c r="G150" s="55" t="s">
        <v>132</v>
      </c>
      <c r="H150" s="55" t="s">
        <v>130</v>
      </c>
    </row>
    <row r="151" spans="1:8" ht="13" x14ac:dyDescent="0.15">
      <c r="A151" s="72" t="str">
        <f>HYPERLINK("https://reports.ofsted.gov.uk/provider/44/344","Ofsted Local Authority Webpage")</f>
        <v>Ofsted Local Authority Webpage</v>
      </c>
      <c r="B151" s="73" t="s">
        <v>290</v>
      </c>
      <c r="C151" s="55" t="s">
        <v>144</v>
      </c>
      <c r="D151" s="74">
        <v>43633</v>
      </c>
      <c r="E151" s="55" t="s">
        <v>130</v>
      </c>
      <c r="F151" s="55" t="s">
        <v>132</v>
      </c>
      <c r="G151" s="55" t="s">
        <v>130</v>
      </c>
      <c r="H151" s="55" t="s">
        <v>130</v>
      </c>
    </row>
    <row r="152" spans="1:8" ht="13" x14ac:dyDescent="0.15">
      <c r="A152" s="72" t="str">
        <f>HYPERLINK("https://reports.ofsted.gov.uk/provider/44/80582","Ofsted Local Authority Webpage")</f>
        <v>Ofsted Local Authority Webpage</v>
      </c>
      <c r="B152" s="73" t="s">
        <v>291</v>
      </c>
      <c r="C152" s="55" t="s">
        <v>150</v>
      </c>
      <c r="D152" s="74">
        <v>43619</v>
      </c>
      <c r="E152" s="55" t="s">
        <v>130</v>
      </c>
      <c r="F152" s="55" t="s">
        <v>130</v>
      </c>
      <c r="G152" s="55" t="s">
        <v>130</v>
      </c>
      <c r="H152" s="55" t="s">
        <v>130</v>
      </c>
    </row>
    <row r="153" spans="1:8" ht="13" x14ac:dyDescent="0.15">
      <c r="A153" s="72" t="str">
        <f>HYPERLINK("https://reports.ofsted.gov.uk/provider/44/336","Ofsted Local Authority Webpage")</f>
        <v>Ofsted Local Authority Webpage</v>
      </c>
      <c r="B153" s="73" t="s">
        <v>292</v>
      </c>
      <c r="C153" s="55" t="s">
        <v>142</v>
      </c>
      <c r="D153" s="74">
        <v>42751</v>
      </c>
      <c r="E153" s="55" t="s">
        <v>132</v>
      </c>
      <c r="F153" s="55" t="s">
        <v>132</v>
      </c>
      <c r="G153" s="55" t="s">
        <v>130</v>
      </c>
      <c r="H153" s="55" t="s">
        <v>132</v>
      </c>
    </row>
    <row r="154" spans="1:8" ht="13" x14ac:dyDescent="0.15">
      <c r="A154" s="72" t="str">
        <f>HYPERLINK("https://reports.ofsted.gov.uk/provider/44/80584","Ofsted Local Authority Webpage")</f>
        <v>Ofsted Local Authority Webpage</v>
      </c>
      <c r="B154" s="73" t="s">
        <v>293</v>
      </c>
      <c r="C154" s="55" t="s">
        <v>142</v>
      </c>
      <c r="D154" s="74">
        <v>43633</v>
      </c>
      <c r="E154" s="55" t="s">
        <v>130</v>
      </c>
      <c r="F154" s="55" t="s">
        <v>130</v>
      </c>
      <c r="G154" s="55" t="s">
        <v>130</v>
      </c>
      <c r="H154" s="55" t="s">
        <v>130</v>
      </c>
    </row>
    <row r="155" spans="1:8" ht="13" x14ac:dyDescent="0.15">
      <c r="A155" s="72" t="str">
        <f>HYPERLINK("https://reports.ofsted.gov.uk/provider/44/80453","Ofsted Local Authority Webpage")</f>
        <v>Ofsted Local Authority Webpage</v>
      </c>
      <c r="B155" s="73" t="s">
        <v>294</v>
      </c>
      <c r="C155" s="55" t="s">
        <v>134</v>
      </c>
      <c r="D155" s="74">
        <v>42688</v>
      </c>
      <c r="E155" s="55" t="s">
        <v>132</v>
      </c>
      <c r="F155" s="55" t="s">
        <v>132</v>
      </c>
      <c r="G155" s="55" t="s">
        <v>130</v>
      </c>
      <c r="H155" s="55" t="s">
        <v>132</v>
      </c>
    </row>
  </sheetData>
  <hyperlinks>
    <hyperlink ref="A90" r:id="rId1" xr:uid="{ED1CB204-EC2A-CA42-B277-76D72F8D487D}"/>
    <hyperlink ref="A145" r:id="rId2" xr:uid="{F84383D7-E8D1-D246-8D70-0E656F686EB1}"/>
  </hyperlinks>
  <pageMargins left="0.7" right="0.7" top="0.75" bottom="0.75" header="0.3" footer="0.3"/>
  <pageSetup paperSize="0" fitToWidth="0" fitToHeight="0" orientation="portrait" horizontalDpi="0" verticalDpi="0" copies="0"/>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E8F99F-05E4-5C4E-9487-00D66203DC12}">
  <dimension ref="A1:J132"/>
  <sheetViews>
    <sheetView workbookViewId="0"/>
  </sheetViews>
  <sheetFormatPr baseColWidth="10" defaultColWidth="12.796875" defaultRowHeight="12.75" x14ac:dyDescent="0.15"/>
  <cols>
    <col min="1" max="1" width="38.796875" style="55" customWidth="1"/>
    <col min="2" max="2" width="46.59765625" style="55" bestFit="1" customWidth="1"/>
    <col min="3" max="3" width="46.59765625" style="55" customWidth="1"/>
    <col min="4" max="4" width="31.796875" style="74" customWidth="1"/>
    <col min="5" max="5" width="31.796875" style="55" customWidth="1"/>
    <col min="6" max="6" width="31.59765625" style="55" customWidth="1"/>
    <col min="7" max="7" width="27" style="55" customWidth="1"/>
    <col min="8" max="8" width="91.59765625" style="55" customWidth="1"/>
    <col min="9" max="9" width="84.19921875" style="55" customWidth="1"/>
    <col min="10" max="10" width="35.796875" style="55" customWidth="1"/>
    <col min="11" max="11" width="12.796875" style="55" customWidth="1"/>
    <col min="12" max="16384" width="12.796875" style="55"/>
  </cols>
  <sheetData>
    <row r="1" spans="1:10" ht="19" x14ac:dyDescent="0.2">
      <c r="A1" s="53" t="s">
        <v>295</v>
      </c>
      <c r="E1" s="69"/>
      <c r="H1" s="69"/>
    </row>
    <row r="2" spans="1:10" ht="13" x14ac:dyDescent="0.15">
      <c r="A2" s="75" t="s">
        <v>296</v>
      </c>
    </row>
    <row r="3" spans="1:10" ht="14" x14ac:dyDescent="0.15">
      <c r="A3" s="71" t="s">
        <v>120</v>
      </c>
      <c r="B3" s="71" t="s">
        <v>121</v>
      </c>
      <c r="C3" s="71" t="s">
        <v>122</v>
      </c>
      <c r="D3" s="76" t="s">
        <v>297</v>
      </c>
      <c r="E3" s="71" t="s">
        <v>298</v>
      </c>
      <c r="F3" s="71" t="s">
        <v>124</v>
      </c>
      <c r="G3" s="71" t="s">
        <v>125</v>
      </c>
      <c r="H3" s="71" t="s">
        <v>126</v>
      </c>
      <c r="I3" s="71" t="s">
        <v>127</v>
      </c>
      <c r="J3" s="71" t="s">
        <v>299</v>
      </c>
    </row>
    <row r="4" spans="1:10" ht="13" x14ac:dyDescent="0.15">
      <c r="A4" s="72" t="str">
        <f>HYPERLINK("https://reports.ofsted.gov.uk/provider/44/80486","Ofsted Local Authority Webpage")</f>
        <v>Ofsted Local Authority Webpage</v>
      </c>
      <c r="B4" s="55" t="s">
        <v>128</v>
      </c>
      <c r="C4" s="55" t="s">
        <v>129</v>
      </c>
      <c r="D4" s="74">
        <v>44342</v>
      </c>
      <c r="E4" s="55" t="s">
        <v>300</v>
      </c>
      <c r="J4" s="55" t="s">
        <v>301</v>
      </c>
    </row>
    <row r="5" spans="1:10" ht="13" x14ac:dyDescent="0.15">
      <c r="A5" s="72" t="str">
        <f>HYPERLINK("https://reports.ofsted.gov.uk/provider/44/302","Ofsted Local Authority Webpage")</f>
        <v>Ofsted Local Authority Webpage</v>
      </c>
      <c r="B5" s="55" t="s">
        <v>131</v>
      </c>
      <c r="C5" s="55" t="s">
        <v>129</v>
      </c>
      <c r="D5" s="74">
        <v>44370</v>
      </c>
      <c r="E5" s="55" t="s">
        <v>300</v>
      </c>
      <c r="J5" s="55" t="s">
        <v>302</v>
      </c>
    </row>
    <row r="6" spans="1:10" ht="13" x14ac:dyDescent="0.15">
      <c r="A6" s="72" t="str">
        <f>HYPERLINK("https://reports.ofsted.gov.uk/provider/44/80427","Ofsted Local Authority Webpage")</f>
        <v>Ofsted Local Authority Webpage</v>
      </c>
      <c r="B6" s="55" t="s">
        <v>135</v>
      </c>
      <c r="C6" s="55" t="s">
        <v>136</v>
      </c>
      <c r="D6" s="74">
        <v>44620</v>
      </c>
      <c r="E6" s="55" t="s">
        <v>303</v>
      </c>
      <c r="F6" s="55" t="s">
        <v>132</v>
      </c>
      <c r="G6" s="55" t="s">
        <v>132</v>
      </c>
      <c r="H6" s="55" t="s">
        <v>132</v>
      </c>
      <c r="I6" s="55" t="s">
        <v>132</v>
      </c>
    </row>
    <row r="7" spans="1:10" ht="13" x14ac:dyDescent="0.15">
      <c r="A7" s="72" t="str">
        <f>HYPERLINK("https://reports.ofsted.gov.uk/provider/44/80428","Ofsted Local Authority Webpage")</f>
        <v>Ofsted Local Authority Webpage</v>
      </c>
      <c r="B7" s="55" t="s">
        <v>137</v>
      </c>
      <c r="C7" s="55" t="s">
        <v>138</v>
      </c>
      <c r="D7" s="74">
        <v>44515</v>
      </c>
      <c r="E7" s="55" t="s">
        <v>304</v>
      </c>
      <c r="F7" s="55" t="s">
        <v>132</v>
      </c>
      <c r="G7" s="55" t="s">
        <v>132</v>
      </c>
      <c r="H7" s="55" t="s">
        <v>132</v>
      </c>
      <c r="I7" s="55" t="s">
        <v>132</v>
      </c>
    </row>
    <row r="8" spans="1:10" ht="13" x14ac:dyDescent="0.15">
      <c r="A8" s="72" t="str">
        <f>HYPERLINK("https://reports.ofsted.gov.uk/provider/44/80429","Ofsted Local Authority Webpage")</f>
        <v>Ofsted Local Authority Webpage</v>
      </c>
      <c r="B8" s="55" t="s">
        <v>141</v>
      </c>
      <c r="C8" s="55" t="s">
        <v>142</v>
      </c>
      <c r="D8" s="74">
        <v>44496</v>
      </c>
      <c r="E8" s="55" t="s">
        <v>300</v>
      </c>
      <c r="J8" s="55" t="s">
        <v>302</v>
      </c>
    </row>
    <row r="9" spans="1:10" ht="13" x14ac:dyDescent="0.15">
      <c r="A9" s="72" t="str">
        <f>HYPERLINK("https://reports.ofsted.gov.uk/provider/44/80430","Ofsted Local Authority Webpage")</f>
        <v>Ofsted Local Authority Webpage</v>
      </c>
      <c r="B9" s="55" t="s">
        <v>143</v>
      </c>
      <c r="C9" s="55" t="s">
        <v>144</v>
      </c>
      <c r="D9" s="74">
        <v>44585</v>
      </c>
      <c r="E9" s="55" t="s">
        <v>304</v>
      </c>
      <c r="F9" s="55" t="s">
        <v>130</v>
      </c>
      <c r="G9" s="55" t="s">
        <v>130</v>
      </c>
      <c r="H9" s="55" t="s">
        <v>130</v>
      </c>
      <c r="I9" s="55" t="s">
        <v>130</v>
      </c>
    </row>
    <row r="10" spans="1:10" ht="13" x14ac:dyDescent="0.15">
      <c r="A10" s="72" t="str">
        <f>HYPERLINK("https://reports.ofsted.gov.uk/provider/44/80431","Ofsted Local Authority Webpage")</f>
        <v>Ofsted Local Authority Webpage</v>
      </c>
      <c r="B10" s="55" t="s">
        <v>145</v>
      </c>
      <c r="C10" s="55" t="s">
        <v>144</v>
      </c>
      <c r="D10" s="74">
        <v>44572</v>
      </c>
      <c r="E10" s="55" t="s">
        <v>305</v>
      </c>
      <c r="J10" s="55" t="s">
        <v>306</v>
      </c>
    </row>
    <row r="11" spans="1:10" ht="13" x14ac:dyDescent="0.15">
      <c r="A11" s="72" t="str">
        <f>HYPERLINK("https://reports.ofsted.gov.uk/provider/44/80431","Ofsted Local Authority Webpage")</f>
        <v>Ofsted Local Authority Webpage</v>
      </c>
      <c r="B11" s="55" t="s">
        <v>145</v>
      </c>
      <c r="C11" s="55" t="s">
        <v>144</v>
      </c>
      <c r="D11" s="74">
        <v>44467</v>
      </c>
      <c r="E11" s="55" t="s">
        <v>305</v>
      </c>
      <c r="J11" s="55" t="s">
        <v>307</v>
      </c>
    </row>
    <row r="12" spans="1:10" ht="13" x14ac:dyDescent="0.15">
      <c r="A12" s="72" t="str">
        <f>HYPERLINK("https://reports.ofsted.gov.uk/provider/44/350","Ofsted Local Authority Webpage")</f>
        <v>Ofsted Local Authority Webpage</v>
      </c>
      <c r="B12" s="55" t="s">
        <v>147</v>
      </c>
      <c r="C12" s="55" t="s">
        <v>144</v>
      </c>
      <c r="D12" s="74">
        <v>44376</v>
      </c>
      <c r="E12" s="55" t="s">
        <v>300</v>
      </c>
      <c r="J12" s="55" t="s">
        <v>307</v>
      </c>
    </row>
    <row r="13" spans="1:10" ht="13" x14ac:dyDescent="0.15">
      <c r="A13" s="72" t="str">
        <f>HYPERLINK("https://reports.ofsted.gov.uk/provider/44/839","Ofsted Local Authority Webpage")</f>
        <v>Ofsted Local Authority Webpage</v>
      </c>
      <c r="B13" s="55" t="s">
        <v>148</v>
      </c>
      <c r="C13" s="55" t="s">
        <v>136</v>
      </c>
      <c r="D13" s="74">
        <v>44536</v>
      </c>
      <c r="E13" s="55" t="s">
        <v>304</v>
      </c>
      <c r="F13" s="55" t="s">
        <v>146</v>
      </c>
      <c r="G13" s="55" t="s">
        <v>146</v>
      </c>
      <c r="H13" s="55" t="s">
        <v>146</v>
      </c>
      <c r="I13" s="55" t="s">
        <v>130</v>
      </c>
    </row>
    <row r="14" spans="1:10" ht="13" x14ac:dyDescent="0.15">
      <c r="A14" s="72" t="str">
        <f>HYPERLINK("https://reports.ofsted.gov.uk/provider/44/867","Ofsted Local Authority Webpage")</f>
        <v>Ofsted Local Authority Webpage</v>
      </c>
      <c r="B14" s="55" t="s">
        <v>149</v>
      </c>
      <c r="C14" s="55" t="s">
        <v>150</v>
      </c>
      <c r="D14" s="74">
        <v>44384</v>
      </c>
      <c r="E14" s="55" t="s">
        <v>300</v>
      </c>
      <c r="J14" s="55" t="s">
        <v>308</v>
      </c>
    </row>
    <row r="15" spans="1:10" ht="13" x14ac:dyDescent="0.15">
      <c r="A15" s="72" t="str">
        <f>HYPERLINK("https://reports.ofsted.gov.uk/provider/44/80449","Ofsted Local Authority Webpage")</f>
        <v>Ofsted Local Authority Webpage</v>
      </c>
      <c r="B15" s="55" t="s">
        <v>151</v>
      </c>
      <c r="C15" s="55" t="s">
        <v>309</v>
      </c>
      <c r="D15" s="74">
        <v>44446</v>
      </c>
      <c r="E15" s="55" t="s">
        <v>305</v>
      </c>
      <c r="J15" s="55" t="s">
        <v>307</v>
      </c>
    </row>
    <row r="16" spans="1:10" ht="13" x14ac:dyDescent="0.15">
      <c r="A16" s="72" t="str">
        <f>HYPERLINK("https://reports.ofsted.gov.uk/provider/44/80449","Ofsted Local Authority Webpage")</f>
        <v>Ofsted Local Authority Webpage</v>
      </c>
      <c r="B16" s="55" t="s">
        <v>151</v>
      </c>
      <c r="C16" s="55" t="s">
        <v>309</v>
      </c>
      <c r="D16" s="74">
        <v>44314</v>
      </c>
      <c r="E16" s="55" t="s">
        <v>305</v>
      </c>
      <c r="J16" s="55" t="s">
        <v>308</v>
      </c>
    </row>
    <row r="17" spans="1:10" ht="13" x14ac:dyDescent="0.15">
      <c r="A17" s="72" t="str">
        <f>HYPERLINK("https://reports.ofsted.gov.uk/provider/44/80449","Ofsted Local Authority Webpage")</f>
        <v>Ofsted Local Authority Webpage</v>
      </c>
      <c r="B17" s="55" t="s">
        <v>151</v>
      </c>
      <c r="C17" s="55" t="s">
        <v>309</v>
      </c>
      <c r="D17" s="74">
        <v>44594</v>
      </c>
      <c r="E17" s="55" t="s">
        <v>305</v>
      </c>
      <c r="J17" s="55" t="s">
        <v>310</v>
      </c>
    </row>
    <row r="18" spans="1:10" ht="13" x14ac:dyDescent="0.15">
      <c r="A18" s="72" t="str">
        <f>HYPERLINK("https://reports.ofsted.gov.uk/provider/44/80441","Ofsted Local Authority Webpage")</f>
        <v>Ofsted Local Authority Webpage</v>
      </c>
      <c r="B18" s="55" t="s">
        <v>154</v>
      </c>
      <c r="C18" s="55" t="s">
        <v>136</v>
      </c>
      <c r="D18" s="74">
        <v>44537</v>
      </c>
      <c r="E18" s="55" t="s">
        <v>300</v>
      </c>
      <c r="J18" s="55" t="s">
        <v>306</v>
      </c>
    </row>
    <row r="19" spans="1:10" ht="13" x14ac:dyDescent="0.15">
      <c r="A19" s="72" t="str">
        <f>HYPERLINK("https://reports.ofsted.gov.uk/provider/44/80490","Ofsted Local Authority Webpage")</f>
        <v>Ofsted Local Authority Webpage</v>
      </c>
      <c r="B19" s="55" t="s">
        <v>155</v>
      </c>
      <c r="C19" s="55" t="s">
        <v>129</v>
      </c>
      <c r="D19" s="74">
        <v>44453</v>
      </c>
      <c r="E19" s="55" t="s">
        <v>300</v>
      </c>
      <c r="J19" s="55" t="s">
        <v>302</v>
      </c>
    </row>
    <row r="20" spans="1:10" ht="13" x14ac:dyDescent="0.15">
      <c r="A20" s="72" t="str">
        <f>HYPERLINK("https://reports.ofsted.gov.uk/provider/44/825","Ofsted Local Authority Webpage")</f>
        <v>Ofsted Local Authority Webpage</v>
      </c>
      <c r="B20" s="55" t="s">
        <v>156</v>
      </c>
      <c r="C20" s="55" t="s">
        <v>150</v>
      </c>
      <c r="D20" s="74">
        <v>44536</v>
      </c>
      <c r="E20" s="55" t="s">
        <v>304</v>
      </c>
      <c r="F20" s="55" t="s">
        <v>130</v>
      </c>
      <c r="G20" s="55" t="s">
        <v>130</v>
      </c>
      <c r="H20" s="55" t="s">
        <v>130</v>
      </c>
      <c r="I20" s="55" t="s">
        <v>130</v>
      </c>
    </row>
    <row r="21" spans="1:10" ht="13" x14ac:dyDescent="0.15">
      <c r="A21" s="72" t="str">
        <f>HYPERLINK("https://reports.ofsted.gov.uk/provider/44/80443","Ofsted Local Authority Webpage")</f>
        <v>Ofsted Local Authority Webpage</v>
      </c>
      <c r="B21" s="55" t="s">
        <v>157</v>
      </c>
      <c r="C21" s="55" t="s">
        <v>144</v>
      </c>
      <c r="D21" s="74">
        <v>44494</v>
      </c>
      <c r="E21" s="55" t="s">
        <v>304</v>
      </c>
      <c r="F21" s="55" t="s">
        <v>146</v>
      </c>
      <c r="G21" s="55" t="s">
        <v>146</v>
      </c>
      <c r="H21" s="55" t="s">
        <v>130</v>
      </c>
      <c r="I21" s="55" t="s">
        <v>146</v>
      </c>
    </row>
    <row r="22" spans="1:10" ht="13" x14ac:dyDescent="0.15">
      <c r="A22" s="72" t="str">
        <f>HYPERLINK("https://reports.ofsted.gov.uk/provider/44/80444","Ofsted Local Authority Webpage")</f>
        <v>Ofsted Local Authority Webpage</v>
      </c>
      <c r="B22" s="55" t="s">
        <v>158</v>
      </c>
      <c r="C22" s="55" t="s">
        <v>309</v>
      </c>
      <c r="D22" s="74">
        <v>44606</v>
      </c>
      <c r="E22" s="55" t="s">
        <v>300</v>
      </c>
      <c r="J22" s="55" t="s">
        <v>311</v>
      </c>
    </row>
    <row r="23" spans="1:10" ht="13" x14ac:dyDescent="0.15">
      <c r="A23" s="72" t="str">
        <f>HYPERLINK("https://reports.ofsted.gov.uk/provider/44/80445","Ofsted Local Authority Webpage")</f>
        <v>Ofsted Local Authority Webpage</v>
      </c>
      <c r="B23" s="55" t="s">
        <v>159</v>
      </c>
      <c r="C23" s="55" t="s">
        <v>138</v>
      </c>
      <c r="D23" s="74">
        <v>44630</v>
      </c>
      <c r="E23" s="55" t="s">
        <v>300</v>
      </c>
      <c r="J23" s="55" t="s">
        <v>308</v>
      </c>
    </row>
    <row r="24" spans="1:10" ht="13" x14ac:dyDescent="0.15">
      <c r="A24" s="72" t="str">
        <f>HYPERLINK("https://reports.ofsted.gov.uk/provider/44/80446","Ofsted Local Authority Webpage")</f>
        <v>Ofsted Local Authority Webpage</v>
      </c>
      <c r="B24" s="55" t="s">
        <v>161</v>
      </c>
      <c r="C24" s="55" t="s">
        <v>138</v>
      </c>
      <c r="D24" s="74">
        <v>44578</v>
      </c>
      <c r="E24" s="55" t="s">
        <v>303</v>
      </c>
      <c r="F24" s="55" t="s">
        <v>132</v>
      </c>
      <c r="G24" s="55" t="s">
        <v>132</v>
      </c>
      <c r="H24" s="55" t="s">
        <v>130</v>
      </c>
      <c r="I24" s="55" t="s">
        <v>132</v>
      </c>
    </row>
    <row r="25" spans="1:10" ht="13" x14ac:dyDescent="0.15">
      <c r="A25" s="72" t="str">
        <f>HYPERLINK("https://reports.ofsted.gov.uk/provider/44/80447","Ofsted Local Authority Webpage")</f>
        <v>Ofsted Local Authority Webpage</v>
      </c>
      <c r="B25" s="55" t="s">
        <v>162</v>
      </c>
      <c r="C25" s="55" t="s">
        <v>144</v>
      </c>
      <c r="D25" s="74">
        <v>44503</v>
      </c>
      <c r="E25" s="55" t="s">
        <v>300</v>
      </c>
      <c r="J25" s="55" t="s">
        <v>308</v>
      </c>
    </row>
    <row r="26" spans="1:10" ht="13" x14ac:dyDescent="0.15">
      <c r="A26" s="72" t="str">
        <f>HYPERLINK("https://reports.ofsted.gov.uk/provider/44/896","Ofsted Local Authority Webpage")</f>
        <v>Ofsted Local Authority Webpage</v>
      </c>
      <c r="B26" s="55" t="s">
        <v>163</v>
      </c>
      <c r="C26" s="55" t="s">
        <v>144</v>
      </c>
      <c r="D26" s="74">
        <v>44537</v>
      </c>
      <c r="E26" s="55" t="s">
        <v>300</v>
      </c>
      <c r="J26" s="55" t="s">
        <v>306</v>
      </c>
    </row>
    <row r="27" spans="1:10" ht="13" x14ac:dyDescent="0.15">
      <c r="A27" s="72" t="str">
        <f>HYPERLINK("https://reports.ofsted.gov.uk/provider/44/80454","Ofsted Local Authority Webpage")</f>
        <v>Ofsted Local Authority Webpage</v>
      </c>
      <c r="B27" s="55" t="s">
        <v>165</v>
      </c>
      <c r="C27" s="55" t="s">
        <v>136</v>
      </c>
      <c r="D27" s="74">
        <v>44579</v>
      </c>
      <c r="E27" s="55" t="s">
        <v>300</v>
      </c>
      <c r="J27" s="55" t="s">
        <v>307</v>
      </c>
    </row>
    <row r="28" spans="1:10" ht="13" x14ac:dyDescent="0.15">
      <c r="A28" s="72" t="str">
        <f>HYPERLINK("https://reports.ofsted.gov.uk/provider/44/80456","Ofsted Local Authority Webpage")</f>
        <v>Ofsted Local Authority Webpage</v>
      </c>
      <c r="B28" s="55" t="s">
        <v>166</v>
      </c>
      <c r="C28" s="55" t="s">
        <v>142</v>
      </c>
      <c r="D28" s="74">
        <v>44328</v>
      </c>
      <c r="E28" s="55" t="s">
        <v>300</v>
      </c>
      <c r="J28" s="55" t="s">
        <v>301</v>
      </c>
    </row>
    <row r="29" spans="1:10" ht="13" x14ac:dyDescent="0.15">
      <c r="A29" s="72" t="str">
        <f>HYPERLINK("https://reports.ofsted.gov.uk/provider/44/306","Ofsted Local Authority Webpage")</f>
        <v>Ofsted Local Authority Webpage</v>
      </c>
      <c r="B29" s="55" t="s">
        <v>167</v>
      </c>
      <c r="C29" s="55" t="s">
        <v>129</v>
      </c>
      <c r="D29" s="74">
        <v>44362</v>
      </c>
      <c r="E29" s="55" t="s">
        <v>300</v>
      </c>
      <c r="J29" s="55" t="s">
        <v>306</v>
      </c>
    </row>
    <row r="30" spans="1:10" ht="13" x14ac:dyDescent="0.15">
      <c r="A30" s="72" t="str">
        <f>HYPERLINK("https://reports.ofsted.gov.uk/provider/44/80457","Ofsted Local Authority Webpage")</f>
        <v>Ofsted Local Authority Webpage</v>
      </c>
      <c r="B30" s="55" t="s">
        <v>168</v>
      </c>
      <c r="C30" s="55" t="s">
        <v>144</v>
      </c>
      <c r="D30" s="74">
        <v>44398</v>
      </c>
      <c r="E30" s="55" t="s">
        <v>300</v>
      </c>
      <c r="J30" s="55" t="s">
        <v>308</v>
      </c>
    </row>
    <row r="31" spans="1:10" ht="13" x14ac:dyDescent="0.15">
      <c r="A31" s="72" t="str">
        <f>HYPERLINK("https://reports.ofsted.gov.uk/provider/44/841","Ofsted Local Authority Webpage")</f>
        <v>Ofsted Local Authority Webpage</v>
      </c>
      <c r="B31" s="55" t="s">
        <v>169</v>
      </c>
      <c r="C31" s="55" t="s">
        <v>309</v>
      </c>
      <c r="D31" s="74">
        <v>44495</v>
      </c>
      <c r="E31" s="55" t="s">
        <v>300</v>
      </c>
      <c r="J31" s="55" t="s">
        <v>311</v>
      </c>
    </row>
    <row r="32" spans="1:10" ht="13" x14ac:dyDescent="0.15">
      <c r="A32" s="72" t="str">
        <f>HYPERLINK("https://reports.ofsted.gov.uk/provider/44/80459","Ofsted Local Authority Webpage")</f>
        <v>Ofsted Local Authority Webpage</v>
      </c>
      <c r="B32" s="55" t="s">
        <v>171</v>
      </c>
      <c r="C32" s="55" t="s">
        <v>172</v>
      </c>
      <c r="D32" s="74">
        <v>44377</v>
      </c>
      <c r="E32" s="55" t="s">
        <v>300</v>
      </c>
      <c r="J32" s="55" t="s">
        <v>302</v>
      </c>
    </row>
    <row r="33" spans="1:10" ht="13" x14ac:dyDescent="0.15">
      <c r="A33" s="72" t="str">
        <f>HYPERLINK("https://reports.ofsted.gov.uk/provider/44/830","Ofsted Local Authority Webpage")</f>
        <v>Ofsted Local Authority Webpage</v>
      </c>
      <c r="B33" s="55" t="s">
        <v>173</v>
      </c>
      <c r="C33" s="55" t="s">
        <v>172</v>
      </c>
      <c r="D33" s="74">
        <v>44489</v>
      </c>
      <c r="E33" s="55" t="s">
        <v>300</v>
      </c>
      <c r="J33" s="55" t="s">
        <v>311</v>
      </c>
    </row>
    <row r="34" spans="1:10" ht="13" x14ac:dyDescent="0.15">
      <c r="A34" s="72" t="str">
        <f>HYPERLINK("https://reports.ofsted.gov.uk/provider/44/80461","Ofsted Local Authority Webpage")</f>
        <v>Ofsted Local Authority Webpage</v>
      </c>
      <c r="B34" s="55" t="s">
        <v>174</v>
      </c>
      <c r="C34" s="55" t="s">
        <v>136</v>
      </c>
      <c r="D34" s="74">
        <v>44594</v>
      </c>
      <c r="E34" s="55" t="s">
        <v>305</v>
      </c>
      <c r="J34" s="55" t="s">
        <v>306</v>
      </c>
    </row>
    <row r="35" spans="1:10" ht="13" x14ac:dyDescent="0.15">
      <c r="A35" s="72" t="str">
        <f>HYPERLINK("https://reports.ofsted.gov.uk/provider/44/80461","Ofsted Local Authority Webpage")</f>
        <v>Ofsted Local Authority Webpage</v>
      </c>
      <c r="B35" s="55" t="s">
        <v>174</v>
      </c>
      <c r="C35" s="55" t="s">
        <v>136</v>
      </c>
      <c r="D35" s="74">
        <v>44342</v>
      </c>
      <c r="E35" s="55" t="s">
        <v>300</v>
      </c>
      <c r="J35" s="55" t="s">
        <v>301</v>
      </c>
    </row>
    <row r="36" spans="1:10" ht="13" x14ac:dyDescent="0.15">
      <c r="A36" s="72" t="str">
        <f>HYPERLINK("https://reports.ofsted.gov.uk/provider/44/80462","Ofsted Local Authority Webpage")</f>
        <v>Ofsted Local Authority Webpage</v>
      </c>
      <c r="B36" s="55" t="s">
        <v>175</v>
      </c>
      <c r="C36" s="55" t="s">
        <v>309</v>
      </c>
      <c r="D36" s="74">
        <v>44606</v>
      </c>
      <c r="E36" s="55" t="s">
        <v>304</v>
      </c>
      <c r="F36" s="55" t="s">
        <v>130</v>
      </c>
      <c r="G36" s="55" t="s">
        <v>146</v>
      </c>
      <c r="H36" s="55" t="s">
        <v>130</v>
      </c>
      <c r="I36" s="55" t="s">
        <v>130</v>
      </c>
    </row>
    <row r="37" spans="1:10" ht="13" x14ac:dyDescent="0.15">
      <c r="A37" s="72" t="str">
        <f>HYPERLINK("https://reports.ofsted.gov.uk/provider/44/80463","Ofsted Local Authority Webpage")</f>
        <v>Ofsted Local Authority Webpage</v>
      </c>
      <c r="B37" s="55" t="s">
        <v>176</v>
      </c>
      <c r="C37" s="55" t="s">
        <v>136</v>
      </c>
      <c r="D37" s="74">
        <v>44466</v>
      </c>
      <c r="E37" s="55" t="s">
        <v>304</v>
      </c>
      <c r="F37" s="55" t="s">
        <v>132</v>
      </c>
      <c r="G37" s="55" t="s">
        <v>140</v>
      </c>
      <c r="H37" s="55" t="s">
        <v>132</v>
      </c>
      <c r="I37" s="55" t="s">
        <v>132</v>
      </c>
    </row>
    <row r="38" spans="1:10" ht="13" x14ac:dyDescent="0.15">
      <c r="A38" s="72" t="str">
        <f>HYPERLINK("https://reports.ofsted.gov.uk/provider/44/80465","Ofsted Local Authority Webpage")</f>
        <v>Ofsted Local Authority Webpage</v>
      </c>
      <c r="B38" s="55" t="s">
        <v>178</v>
      </c>
      <c r="C38" s="55" t="s">
        <v>309</v>
      </c>
      <c r="D38" s="74">
        <v>44390</v>
      </c>
      <c r="E38" s="55" t="s">
        <v>300</v>
      </c>
      <c r="J38" s="55" t="s">
        <v>302</v>
      </c>
    </row>
    <row r="39" spans="1:10" ht="13" x14ac:dyDescent="0.15">
      <c r="A39" s="72" t="str">
        <f>HYPERLINK("https://reports.ofsted.gov.uk/provider/44/80493","Ofsted Local Authority Webpage")</f>
        <v>Ofsted Local Authority Webpage</v>
      </c>
      <c r="B39" s="55" t="s">
        <v>179</v>
      </c>
      <c r="C39" s="55" t="s">
        <v>129</v>
      </c>
      <c r="D39" s="74">
        <v>44503</v>
      </c>
      <c r="E39" s="55" t="s">
        <v>300</v>
      </c>
      <c r="J39" s="55" t="s">
        <v>311</v>
      </c>
    </row>
    <row r="40" spans="1:10" ht="13" x14ac:dyDescent="0.15">
      <c r="A40" s="72" t="str">
        <f>HYPERLINK("https://reports.ofsted.gov.uk/provider/44/811","Ofsted Local Authority Webpage")</f>
        <v>Ofsted Local Authority Webpage</v>
      </c>
      <c r="B40" s="55" t="s">
        <v>180</v>
      </c>
      <c r="C40" s="55" t="s">
        <v>309</v>
      </c>
      <c r="D40" s="74">
        <v>44600</v>
      </c>
      <c r="E40" s="55" t="s">
        <v>305</v>
      </c>
      <c r="J40" s="55" t="s">
        <v>302</v>
      </c>
    </row>
    <row r="41" spans="1:10" ht="13" x14ac:dyDescent="0.15">
      <c r="A41" s="72" t="str">
        <f>HYPERLINK("https://reports.ofsted.gov.uk/provider/44/811","Ofsted Local Authority Webpage")</f>
        <v>Ofsted Local Authority Webpage</v>
      </c>
      <c r="B41" s="55" t="s">
        <v>180</v>
      </c>
      <c r="C41" s="55" t="s">
        <v>309</v>
      </c>
      <c r="D41" s="74">
        <v>44328</v>
      </c>
      <c r="E41" s="55" t="s">
        <v>300</v>
      </c>
      <c r="J41" s="55" t="s">
        <v>301</v>
      </c>
    </row>
    <row r="42" spans="1:10" ht="13" x14ac:dyDescent="0.15">
      <c r="A42" s="72" t="str">
        <f>HYPERLINK("https://reports.ofsted.gov.uk/provider/44/80468","Ofsted Local Authority Webpage")</f>
        <v>Ofsted Local Authority Webpage</v>
      </c>
      <c r="B42" s="55" t="s">
        <v>183</v>
      </c>
      <c r="C42" s="55" t="s">
        <v>138</v>
      </c>
      <c r="D42" s="74">
        <v>44487</v>
      </c>
      <c r="E42" s="55" t="s">
        <v>300</v>
      </c>
      <c r="J42" s="55" t="s">
        <v>311</v>
      </c>
    </row>
    <row r="43" spans="1:10" ht="13" x14ac:dyDescent="0.15">
      <c r="A43" s="72" t="str">
        <f>HYPERLINK("https://reports.ofsted.gov.uk/provider/44/80469","Ofsted Local Authority Webpage")</f>
        <v>Ofsted Local Authority Webpage</v>
      </c>
      <c r="B43" s="55" t="s">
        <v>184</v>
      </c>
      <c r="C43" s="55" t="s">
        <v>309</v>
      </c>
      <c r="D43" s="74">
        <v>44461</v>
      </c>
      <c r="E43" s="55" t="s">
        <v>300</v>
      </c>
      <c r="J43" s="55" t="s">
        <v>306</v>
      </c>
    </row>
    <row r="44" spans="1:10" ht="13" x14ac:dyDescent="0.15">
      <c r="A44" s="72" t="str">
        <f>HYPERLINK("https://reports.ofsted.gov.uk/provider/44/916","Ofsted Local Authority Webpage")</f>
        <v>Ofsted Local Authority Webpage</v>
      </c>
      <c r="B44" s="55" t="s">
        <v>185</v>
      </c>
      <c r="C44" s="55" t="s">
        <v>136</v>
      </c>
      <c r="D44" s="74">
        <v>44599</v>
      </c>
      <c r="E44" s="55" t="s">
        <v>304</v>
      </c>
      <c r="F44" s="55" t="s">
        <v>130</v>
      </c>
      <c r="G44" s="55" t="s">
        <v>130</v>
      </c>
      <c r="H44" s="55" t="s">
        <v>130</v>
      </c>
      <c r="I44" s="55" t="s">
        <v>130</v>
      </c>
    </row>
    <row r="45" spans="1:10" ht="13" x14ac:dyDescent="0.15">
      <c r="A45" s="72" t="str">
        <f>HYPERLINK("https://reports.ofsted.gov.uk/provider/44/80495","Ofsted Local Authority Webpage")</f>
        <v>Ofsted Local Authority Webpage</v>
      </c>
      <c r="B45" s="55" t="s">
        <v>186</v>
      </c>
      <c r="C45" s="55" t="s">
        <v>129</v>
      </c>
      <c r="D45" s="74">
        <v>44390</v>
      </c>
      <c r="E45" s="55" t="s">
        <v>300</v>
      </c>
      <c r="J45" s="55" t="s">
        <v>308</v>
      </c>
    </row>
    <row r="46" spans="1:10" ht="13" x14ac:dyDescent="0.15">
      <c r="A46" s="72" t="str">
        <f>HYPERLINK("https://reports.ofsted.gov.uk/provider/44/80496","Ofsted Local Authority Webpage")</f>
        <v>Ofsted Local Authority Webpage</v>
      </c>
      <c r="B46" s="55" t="s">
        <v>187</v>
      </c>
      <c r="C46" s="55" t="s">
        <v>129</v>
      </c>
      <c r="D46" s="74">
        <v>44405</v>
      </c>
      <c r="E46" s="55" t="s">
        <v>300</v>
      </c>
      <c r="J46" s="55" t="s">
        <v>308</v>
      </c>
    </row>
    <row r="47" spans="1:10" ht="13" x14ac:dyDescent="0.15">
      <c r="A47" s="72" t="str">
        <f>HYPERLINK("https://reports.ofsted.gov.uk/provider/44/80471","Ofsted Local Authority Webpage")</f>
        <v>Ofsted Local Authority Webpage</v>
      </c>
      <c r="B47" s="55" t="s">
        <v>188</v>
      </c>
      <c r="C47" s="55" t="s">
        <v>144</v>
      </c>
      <c r="D47" s="74">
        <v>44482</v>
      </c>
      <c r="E47" s="55" t="s">
        <v>300</v>
      </c>
      <c r="J47" s="55" t="s">
        <v>308</v>
      </c>
    </row>
    <row r="48" spans="1:10" ht="13" x14ac:dyDescent="0.15">
      <c r="A48" s="72" t="str">
        <f>HYPERLINK("https://reports.ofsted.gov.uk/provider/44/80497","Ofsted Local Authority Webpage")</f>
        <v>Ofsted Local Authority Webpage</v>
      </c>
      <c r="B48" s="55" t="s">
        <v>189</v>
      </c>
      <c r="C48" s="55" t="s">
        <v>129</v>
      </c>
      <c r="D48" s="74">
        <v>44580</v>
      </c>
      <c r="E48" s="55" t="s">
        <v>300</v>
      </c>
      <c r="J48" s="55" t="s">
        <v>306</v>
      </c>
    </row>
    <row r="49" spans="1:10" ht="13" x14ac:dyDescent="0.15">
      <c r="A49" s="72" t="str">
        <f>HYPERLINK("https://reports.ofsted.gov.uk/provider/44/80473","Ofsted Local Authority Webpage")</f>
        <v>Ofsted Local Authority Webpage</v>
      </c>
      <c r="B49" s="55" t="s">
        <v>193</v>
      </c>
      <c r="C49" s="55" t="s">
        <v>309</v>
      </c>
      <c r="D49" s="74">
        <v>44579</v>
      </c>
      <c r="E49" s="55" t="s">
        <v>300</v>
      </c>
      <c r="J49" s="55" t="s">
        <v>311</v>
      </c>
    </row>
    <row r="50" spans="1:10" ht="13" x14ac:dyDescent="0.15">
      <c r="A50" s="72" t="str">
        <f>HYPERLINK("https://reports.ofsted.gov.uk/provider/44/80500","Ofsted Local Authority Webpage")</f>
        <v>Ofsted Local Authority Webpage</v>
      </c>
      <c r="B50" s="55" t="s">
        <v>194</v>
      </c>
      <c r="C50" s="55" t="s">
        <v>129</v>
      </c>
      <c r="D50" s="74">
        <v>44328</v>
      </c>
      <c r="E50" s="55" t="s">
        <v>300</v>
      </c>
      <c r="J50" s="55" t="s">
        <v>301</v>
      </c>
    </row>
    <row r="51" spans="1:10" ht="13" x14ac:dyDescent="0.15">
      <c r="A51" s="72" t="str">
        <f>HYPERLINK("https://reports.ofsted.gov.uk/provider/44/884","Ofsted Local Authority Webpage")</f>
        <v>Ofsted Local Authority Webpage</v>
      </c>
      <c r="B51" s="55" t="s">
        <v>195</v>
      </c>
      <c r="C51" s="55" t="s">
        <v>142</v>
      </c>
      <c r="D51" s="74">
        <v>44384</v>
      </c>
      <c r="E51" s="55" t="s">
        <v>300</v>
      </c>
      <c r="J51" s="55" t="s">
        <v>308</v>
      </c>
    </row>
    <row r="52" spans="1:10" ht="13" x14ac:dyDescent="0.15">
      <c r="A52" s="72" t="str">
        <f>HYPERLINK("https://reports.ofsted.gov.uk/provider/44/884","Ofsted Local Authority Webpage")</f>
        <v>Ofsted Local Authority Webpage</v>
      </c>
      <c r="B52" s="55" t="s">
        <v>196</v>
      </c>
      <c r="C52" s="55" t="s">
        <v>138</v>
      </c>
      <c r="D52" s="74">
        <v>44398</v>
      </c>
      <c r="E52" s="55" t="s">
        <v>300</v>
      </c>
      <c r="J52" s="55" t="s">
        <v>310</v>
      </c>
    </row>
    <row r="53" spans="1:10" ht="13" x14ac:dyDescent="0.15">
      <c r="A53" s="72" t="str">
        <f>HYPERLINK("https://reports.ofsted.gov.uk/provider/44/313","Ofsted Local Authority Webpage")</f>
        <v>Ofsted Local Authority Webpage</v>
      </c>
      <c r="B53" s="55" t="s">
        <v>198</v>
      </c>
      <c r="C53" s="55" t="s">
        <v>129</v>
      </c>
      <c r="D53" s="74">
        <v>44391</v>
      </c>
      <c r="E53" s="55" t="s">
        <v>300</v>
      </c>
      <c r="J53" s="55" t="s">
        <v>310</v>
      </c>
    </row>
    <row r="54" spans="1:10" ht="13" x14ac:dyDescent="0.15">
      <c r="A54" s="72" t="str">
        <f>HYPERLINK("https://reports.ofsted.gov.uk/provider/44/80419","Ofsted Local Authority Webpage")</f>
        <v>Ofsted Local Authority Webpage</v>
      </c>
      <c r="B54" s="55" t="s">
        <v>199</v>
      </c>
      <c r="C54" s="55" t="s">
        <v>150</v>
      </c>
      <c r="D54" s="74">
        <v>44405</v>
      </c>
      <c r="E54" s="55" t="s">
        <v>300</v>
      </c>
      <c r="J54" s="55" t="s">
        <v>308</v>
      </c>
    </row>
    <row r="55" spans="1:10" ht="13" x14ac:dyDescent="0.15">
      <c r="A55" s="72" t="str">
        <f>HYPERLINK("https://reports.ofsted.gov.uk/provider/44/80477","Ofsted Local Authority Webpage")</f>
        <v>Ofsted Local Authority Webpage</v>
      </c>
      <c r="B55" s="55" t="s">
        <v>312</v>
      </c>
      <c r="C55" s="55" t="s">
        <v>309</v>
      </c>
      <c r="D55" s="74">
        <v>44518</v>
      </c>
      <c r="E55" s="55" t="s">
        <v>305</v>
      </c>
      <c r="J55" s="55" t="s">
        <v>307</v>
      </c>
    </row>
    <row r="56" spans="1:10" ht="13" x14ac:dyDescent="0.15">
      <c r="A56" s="72" t="str">
        <f>HYPERLINK("https://reports.ofsted.gov.uk/provider/44/80477","Ofsted Local Authority Webpage")</f>
        <v>Ofsted Local Authority Webpage</v>
      </c>
      <c r="B56" s="55" t="s">
        <v>312</v>
      </c>
      <c r="C56" s="55" t="s">
        <v>309</v>
      </c>
      <c r="D56" s="74">
        <v>44377</v>
      </c>
      <c r="E56" s="55" t="s">
        <v>305</v>
      </c>
      <c r="J56" s="55" t="s">
        <v>308</v>
      </c>
    </row>
    <row r="57" spans="1:10" ht="13" x14ac:dyDescent="0.15">
      <c r="A57" s="72" t="str">
        <f>HYPERLINK("https://reports.ofsted.gov.uk/provider/44/382","Ofsted Local Authority Webpage")</f>
        <v>Ofsted Local Authority Webpage</v>
      </c>
      <c r="B57" s="55" t="s">
        <v>206</v>
      </c>
      <c r="C57" s="55" t="s">
        <v>309</v>
      </c>
      <c r="D57" s="74">
        <v>44475</v>
      </c>
      <c r="E57" s="55" t="s">
        <v>300</v>
      </c>
      <c r="J57" s="55" t="s">
        <v>302</v>
      </c>
    </row>
    <row r="58" spans="1:10" ht="13" x14ac:dyDescent="0.15">
      <c r="A58" s="72" t="str">
        <f>HYPERLINK("https://reports.ofsted.gov.uk/provider/44/340","Ofsted Local Authority Webpage")</f>
        <v>Ofsted Local Authority Webpage</v>
      </c>
      <c r="B58" s="55" t="s">
        <v>207</v>
      </c>
      <c r="C58" s="55" t="s">
        <v>144</v>
      </c>
      <c r="D58" s="74">
        <v>44480</v>
      </c>
      <c r="E58" s="55" t="s">
        <v>304</v>
      </c>
      <c r="F58" s="55" t="s">
        <v>130</v>
      </c>
      <c r="G58" s="55" t="s">
        <v>130</v>
      </c>
      <c r="H58" s="55" t="s">
        <v>130</v>
      </c>
      <c r="I58" s="55" t="s">
        <v>130</v>
      </c>
    </row>
    <row r="59" spans="1:10" ht="13" x14ac:dyDescent="0.15">
      <c r="A59" s="72" t="str">
        <f>HYPERLINK("https://reports.ofsted.gov.uk/provider/44/80506","Ofsted Local Authority Webpage")</f>
        <v>Ofsted Local Authority Webpage</v>
      </c>
      <c r="B59" s="55" t="s">
        <v>208</v>
      </c>
      <c r="C59" s="55" t="s">
        <v>129</v>
      </c>
      <c r="D59" s="74">
        <v>44496</v>
      </c>
      <c r="E59" s="55" t="s">
        <v>300</v>
      </c>
      <c r="J59" s="55" t="s">
        <v>306</v>
      </c>
    </row>
    <row r="60" spans="1:10" ht="13" x14ac:dyDescent="0.15">
      <c r="A60" s="72" t="str">
        <f>HYPERLINK("https://reports.ofsted.gov.uk/provider/44/80480","Ofsted Local Authority Webpage")</f>
        <v>Ofsted Local Authority Webpage</v>
      </c>
      <c r="B60" s="55" t="s">
        <v>209</v>
      </c>
      <c r="C60" s="55" t="s">
        <v>144</v>
      </c>
      <c r="D60" s="74">
        <v>44383</v>
      </c>
      <c r="E60" s="55" t="s">
        <v>300</v>
      </c>
      <c r="J60" s="55" t="s">
        <v>308</v>
      </c>
    </row>
    <row r="61" spans="1:10" ht="13" x14ac:dyDescent="0.15">
      <c r="A61" s="72" t="str">
        <f>HYPERLINK("https://reports.ofsted.gov.uk/provider/44/383","Ofsted Local Authority Webpage")</f>
        <v>Ofsted Local Authority Webpage</v>
      </c>
      <c r="B61" s="55" t="s">
        <v>210</v>
      </c>
      <c r="C61" s="55" t="s">
        <v>309</v>
      </c>
      <c r="D61" s="74">
        <v>44397</v>
      </c>
      <c r="E61" s="55" t="s">
        <v>300</v>
      </c>
      <c r="J61" s="55" t="s">
        <v>306</v>
      </c>
    </row>
    <row r="62" spans="1:10" ht="13" x14ac:dyDescent="0.15">
      <c r="A62" s="72" t="str">
        <f>HYPERLINK("https://reports.ofsted.gov.uk/provider/44/80482","Ofsted Local Authority Webpage")</f>
        <v>Ofsted Local Authority Webpage</v>
      </c>
      <c r="B62" s="55" t="s">
        <v>211</v>
      </c>
      <c r="C62" s="55" t="s">
        <v>172</v>
      </c>
      <c r="D62" s="74">
        <v>44459</v>
      </c>
      <c r="E62" s="55" t="s">
        <v>304</v>
      </c>
      <c r="F62" s="55" t="s">
        <v>132</v>
      </c>
      <c r="G62" s="55" t="s">
        <v>132</v>
      </c>
      <c r="H62" s="55" t="s">
        <v>132</v>
      </c>
      <c r="I62" s="55" t="s">
        <v>132</v>
      </c>
    </row>
    <row r="63" spans="1:10" ht="13" x14ac:dyDescent="0.15">
      <c r="A63" s="72" t="str">
        <f>HYPERLINK("https://reports.ofsted.gov.uk/provider/44/80483","Ofsted Local Authority Webpage")</f>
        <v>Ofsted Local Authority Webpage</v>
      </c>
      <c r="B63" s="55" t="s">
        <v>212</v>
      </c>
      <c r="C63" s="55" t="s">
        <v>172</v>
      </c>
      <c r="D63" s="74">
        <v>44587</v>
      </c>
      <c r="E63" s="55" t="s">
        <v>300</v>
      </c>
      <c r="J63" s="55" t="s">
        <v>308</v>
      </c>
    </row>
    <row r="64" spans="1:10" ht="13" x14ac:dyDescent="0.15">
      <c r="A64" s="72" t="str">
        <f>HYPERLINK("https://reports.ofsted.gov.uk/provider/44/80508","Ofsted Local Authority Webpage")</f>
        <v>Ofsted Local Authority Webpage</v>
      </c>
      <c r="B64" s="55" t="s">
        <v>213</v>
      </c>
      <c r="C64" s="55" t="s">
        <v>129</v>
      </c>
      <c r="D64" s="74">
        <v>44398</v>
      </c>
      <c r="E64" s="55" t="s">
        <v>300</v>
      </c>
      <c r="J64" s="55" t="s">
        <v>302</v>
      </c>
    </row>
    <row r="65" spans="1:10" ht="13" x14ac:dyDescent="0.15">
      <c r="A65" s="72" t="str">
        <f>HYPERLINK("https://reports.ofsted.gov.uk/provider/44/80484","Ofsted Local Authority Webpage")</f>
        <v>Ofsted Local Authority Webpage</v>
      </c>
      <c r="B65" s="55" t="s">
        <v>214</v>
      </c>
      <c r="C65" s="55" t="s">
        <v>172</v>
      </c>
      <c r="D65" s="74">
        <v>44636</v>
      </c>
      <c r="E65" s="55" t="s">
        <v>300</v>
      </c>
      <c r="J65" s="55" t="s">
        <v>308</v>
      </c>
    </row>
    <row r="66" spans="1:10" ht="13" x14ac:dyDescent="0.15">
      <c r="A66" s="72" t="str">
        <f>HYPERLINK("https://reports.ofsted.gov.uk/provider/44/80485","Ofsted Local Authority Webpage")</f>
        <v>Ofsted Local Authority Webpage</v>
      </c>
      <c r="B66" s="55" t="s">
        <v>215</v>
      </c>
      <c r="C66" s="55" t="s">
        <v>144</v>
      </c>
      <c r="D66" s="74">
        <v>44369</v>
      </c>
      <c r="E66" s="55" t="s">
        <v>300</v>
      </c>
      <c r="J66" s="55" t="s">
        <v>308</v>
      </c>
    </row>
    <row r="67" spans="1:10" ht="13" x14ac:dyDescent="0.15">
      <c r="A67" s="72" t="str">
        <f>HYPERLINK("https://reports.ofsted.gov.uk/provider/44/80520","Ofsted Local Authority Webpage")</f>
        <v>Ofsted Local Authority Webpage</v>
      </c>
      <c r="B67" s="55" t="s">
        <v>216</v>
      </c>
      <c r="C67" s="55" t="s">
        <v>138</v>
      </c>
      <c r="D67" s="74">
        <v>44314</v>
      </c>
      <c r="E67" s="55" t="s">
        <v>300</v>
      </c>
      <c r="J67" s="55" t="s">
        <v>301</v>
      </c>
    </row>
    <row r="68" spans="1:10" ht="13" x14ac:dyDescent="0.15">
      <c r="A68" s="72" t="str">
        <f>HYPERLINK("https://reports.ofsted.gov.uk/provider/44/80520","Ofsted Local Authority Webpage")</f>
        <v>Ofsted Local Authority Webpage</v>
      </c>
      <c r="B68" s="55" t="s">
        <v>216</v>
      </c>
      <c r="C68" s="55" t="s">
        <v>138</v>
      </c>
      <c r="D68" s="74">
        <v>44405</v>
      </c>
      <c r="E68" s="55" t="s">
        <v>305</v>
      </c>
      <c r="J68" s="55" t="s">
        <v>302</v>
      </c>
    </row>
    <row r="69" spans="1:10" ht="13" x14ac:dyDescent="0.15">
      <c r="A69" s="72" t="str">
        <f>HYPERLINK("https://reports.ofsted.gov.uk/provider/44/80520","Ofsted Local Authority Webpage")</f>
        <v>Ofsted Local Authority Webpage</v>
      </c>
      <c r="B69" s="55" t="s">
        <v>216</v>
      </c>
      <c r="C69" s="55" t="s">
        <v>138</v>
      </c>
      <c r="D69" s="74">
        <v>44538</v>
      </c>
      <c r="E69" s="55" t="s">
        <v>305</v>
      </c>
      <c r="J69" s="55" t="s">
        <v>308</v>
      </c>
    </row>
    <row r="70" spans="1:10" ht="13" x14ac:dyDescent="0.15">
      <c r="A70" s="72" t="str">
        <f>HYPERLINK("https://reports.ofsted.gov.uk/provider/44/80522","Ofsted Local Authority Webpage")</f>
        <v>Ofsted Local Authority Webpage</v>
      </c>
      <c r="B70" s="55" t="s">
        <v>218</v>
      </c>
      <c r="C70" s="55" t="s">
        <v>150</v>
      </c>
      <c r="D70" s="74">
        <v>44341</v>
      </c>
      <c r="E70" s="55" t="s">
        <v>300</v>
      </c>
      <c r="J70" s="55" t="s">
        <v>301</v>
      </c>
    </row>
    <row r="71" spans="1:10" ht="13" x14ac:dyDescent="0.15">
      <c r="A71" s="72" t="str">
        <f>HYPERLINK("https://reports.ofsted.gov.uk/provider/44/80522","Ofsted Local Authority Webpage")</f>
        <v>Ofsted Local Authority Webpage</v>
      </c>
      <c r="B71" s="55" t="s">
        <v>218</v>
      </c>
      <c r="C71" s="55" t="s">
        <v>150</v>
      </c>
      <c r="D71" s="74">
        <v>44586</v>
      </c>
      <c r="E71" s="55" t="s">
        <v>305</v>
      </c>
      <c r="J71" s="55" t="s">
        <v>302</v>
      </c>
    </row>
    <row r="72" spans="1:10" ht="13" x14ac:dyDescent="0.15">
      <c r="A72" s="72" t="str">
        <f>HYPERLINK("https://reports.ofsted.gov.uk/provider/44/80522","Ofsted Local Authority Webpage")</f>
        <v>Ofsted Local Authority Webpage</v>
      </c>
      <c r="B72" s="55" t="s">
        <v>218</v>
      </c>
      <c r="C72" s="55" t="s">
        <v>150</v>
      </c>
      <c r="D72" s="74">
        <v>44453</v>
      </c>
      <c r="E72" s="55" t="s">
        <v>305</v>
      </c>
      <c r="J72" s="55" t="s">
        <v>308</v>
      </c>
    </row>
    <row r="73" spans="1:10" ht="13" x14ac:dyDescent="0.15">
      <c r="A73" s="72" t="str">
        <f>HYPERLINK("https://reports.ofsted.gov.uk/provider/44/80523","Ofsted Local Authority Webpage")</f>
        <v>Ofsted Local Authority Webpage</v>
      </c>
      <c r="B73" s="55" t="s">
        <v>220</v>
      </c>
      <c r="C73" s="55" t="s">
        <v>309</v>
      </c>
      <c r="D73" s="74">
        <v>44544</v>
      </c>
      <c r="E73" s="55" t="s">
        <v>305</v>
      </c>
      <c r="J73" s="55" t="s">
        <v>308</v>
      </c>
    </row>
    <row r="74" spans="1:10" ht="13" x14ac:dyDescent="0.15">
      <c r="A74" s="72" t="str">
        <f>HYPERLINK("https://reports.ofsted.gov.uk/provider/44/80523","Ofsted Local Authority Webpage")</f>
        <v>Ofsted Local Authority Webpage</v>
      </c>
      <c r="B74" s="55" t="s">
        <v>220</v>
      </c>
      <c r="C74" s="55" t="s">
        <v>309</v>
      </c>
      <c r="D74" s="74">
        <v>44342</v>
      </c>
      <c r="E74" s="55" t="s">
        <v>300</v>
      </c>
      <c r="J74" s="55" t="s">
        <v>301</v>
      </c>
    </row>
    <row r="75" spans="1:10" ht="13" x14ac:dyDescent="0.15">
      <c r="A75" s="72" t="str">
        <f>HYPERLINK("https://reports.ofsted.gov.uk/provider/44/80524","Ofsted Local Authority Webpage")</f>
        <v>Ofsted Local Authority Webpage</v>
      </c>
      <c r="B75" s="55" t="s">
        <v>221</v>
      </c>
      <c r="C75" s="55" t="s">
        <v>150</v>
      </c>
      <c r="D75" s="74">
        <v>44494</v>
      </c>
      <c r="E75" s="55" t="s">
        <v>304</v>
      </c>
      <c r="F75" s="55" t="s">
        <v>130</v>
      </c>
      <c r="G75" s="55" t="s">
        <v>130</v>
      </c>
      <c r="H75" s="55" t="s">
        <v>130</v>
      </c>
      <c r="I75" s="55" t="s">
        <v>130</v>
      </c>
    </row>
    <row r="76" spans="1:10" ht="13" x14ac:dyDescent="0.15">
      <c r="A76" s="72" t="str">
        <f>HYPERLINK("https://reports.ofsted.gov.uk/provider/44/80525","Ofsted Local Authority Webpage")</f>
        <v>Ofsted Local Authority Webpage</v>
      </c>
      <c r="B76" s="55" t="s">
        <v>222</v>
      </c>
      <c r="C76" s="55" t="s">
        <v>309</v>
      </c>
      <c r="D76" s="74">
        <v>44529</v>
      </c>
      <c r="E76" s="55" t="s">
        <v>304</v>
      </c>
      <c r="F76" s="55" t="s">
        <v>132</v>
      </c>
      <c r="G76" s="55" t="s">
        <v>132</v>
      </c>
      <c r="H76" s="55" t="s">
        <v>132</v>
      </c>
      <c r="I76" s="55" t="s">
        <v>132</v>
      </c>
    </row>
    <row r="77" spans="1:10" ht="13" x14ac:dyDescent="0.15">
      <c r="A77" s="72" t="str">
        <f>HYPERLINK("https://reports.ofsted.gov.uk/provider/44/316","Ofsted Local Authority Webpage")</f>
        <v>Ofsted Local Authority Webpage</v>
      </c>
      <c r="B77" s="55" t="s">
        <v>223</v>
      </c>
      <c r="C77" s="55" t="s">
        <v>129</v>
      </c>
      <c r="D77" s="74">
        <v>44341</v>
      </c>
      <c r="E77" s="55" t="s">
        <v>305</v>
      </c>
      <c r="J77" s="55" t="s">
        <v>308</v>
      </c>
    </row>
    <row r="78" spans="1:10" ht="13" x14ac:dyDescent="0.15">
      <c r="A78" s="72" t="str">
        <f>HYPERLINK("https://reports.ofsted.gov.uk/provider/44/316","Ofsted Local Authority Webpage")</f>
        <v>Ofsted Local Authority Webpage</v>
      </c>
      <c r="B78" s="55" t="s">
        <v>223</v>
      </c>
      <c r="C78" s="55" t="s">
        <v>129</v>
      </c>
      <c r="D78" s="74">
        <v>44453</v>
      </c>
      <c r="E78" s="55" t="s">
        <v>305</v>
      </c>
      <c r="J78" s="55" t="s">
        <v>302</v>
      </c>
    </row>
    <row r="79" spans="1:10" ht="13" x14ac:dyDescent="0.15">
      <c r="A79" s="72" t="str">
        <f>HYPERLINK("https://reports.ofsted.gov.uk/provider/44/316","Ofsted Local Authority Webpage")</f>
        <v>Ofsted Local Authority Webpage</v>
      </c>
      <c r="B79" s="55" t="s">
        <v>223</v>
      </c>
      <c r="C79" s="55" t="s">
        <v>129</v>
      </c>
      <c r="D79" s="74">
        <v>44623</v>
      </c>
      <c r="E79" s="55" t="s">
        <v>305</v>
      </c>
      <c r="J79" s="55" t="s">
        <v>306</v>
      </c>
    </row>
    <row r="80" spans="1:10" ht="13" x14ac:dyDescent="0.15">
      <c r="A80" s="72" t="str">
        <f>HYPERLINK("https://reports.ofsted.gov.uk/provider/44/80418","Ofsted Local Authority Webpage")</f>
        <v>Ofsted Local Authority Webpage</v>
      </c>
      <c r="B80" s="55" t="s">
        <v>224</v>
      </c>
      <c r="C80" s="55" t="s">
        <v>138</v>
      </c>
      <c r="D80" s="74">
        <v>44474</v>
      </c>
      <c r="E80" s="55" t="s">
        <v>300</v>
      </c>
      <c r="J80" s="55" t="s">
        <v>302</v>
      </c>
    </row>
    <row r="81" spans="1:10" ht="13" x14ac:dyDescent="0.15">
      <c r="A81" s="72" t="str">
        <f>HYPERLINK("https://reports.ofsted.gov.uk/provider/44/80526","Ofsted Local Authority Webpage")</f>
        <v>Ofsted Local Authority Webpage</v>
      </c>
      <c r="B81" s="55" t="s">
        <v>225</v>
      </c>
      <c r="C81" s="55" t="s">
        <v>309</v>
      </c>
      <c r="D81" s="74">
        <v>44473</v>
      </c>
      <c r="E81" s="55" t="s">
        <v>304</v>
      </c>
      <c r="F81" s="55" t="s">
        <v>146</v>
      </c>
      <c r="G81" s="55" t="s">
        <v>146</v>
      </c>
      <c r="H81" s="55" t="s">
        <v>146</v>
      </c>
      <c r="I81" s="55" t="s">
        <v>146</v>
      </c>
    </row>
    <row r="82" spans="1:10" ht="13" x14ac:dyDescent="0.15">
      <c r="A82" s="72" t="str">
        <f>HYPERLINK("https://reports.ofsted.gov.uk/provider/44/80526","Ofsted Local Authority Webpage")</f>
        <v>Ofsted Local Authority Webpage</v>
      </c>
      <c r="B82" s="55" t="s">
        <v>225</v>
      </c>
      <c r="C82" s="55" t="s">
        <v>309</v>
      </c>
      <c r="D82" s="74">
        <v>44321</v>
      </c>
      <c r="E82" s="55" t="s">
        <v>300</v>
      </c>
      <c r="J82" s="55" t="s">
        <v>301</v>
      </c>
    </row>
    <row r="83" spans="1:10" ht="13" x14ac:dyDescent="0.15">
      <c r="A83" s="72" t="str">
        <f>HYPERLINK("https://reports.ofsted.gov.uk/provider/44/815","Ofsted Local Authority Webpage")</f>
        <v>Ofsted Local Authority Webpage</v>
      </c>
      <c r="B83" s="55" t="s">
        <v>228</v>
      </c>
      <c r="C83" s="55" t="s">
        <v>172</v>
      </c>
      <c r="D83" s="74">
        <v>44502</v>
      </c>
      <c r="E83" s="55" t="s">
        <v>305</v>
      </c>
      <c r="J83" s="55" t="s">
        <v>311</v>
      </c>
    </row>
    <row r="84" spans="1:10" ht="13" x14ac:dyDescent="0.15">
      <c r="A84" s="72" t="str">
        <f>HYPERLINK("https://reports.ofsted.gov.uk/provider/44/815","Ofsted Local Authority Webpage")</f>
        <v>Ofsted Local Authority Webpage</v>
      </c>
      <c r="B84" s="55" t="s">
        <v>228</v>
      </c>
      <c r="C84" s="55" t="s">
        <v>172</v>
      </c>
      <c r="D84" s="74">
        <v>44405</v>
      </c>
      <c r="E84" s="55" t="s">
        <v>305</v>
      </c>
      <c r="J84" s="55" t="s">
        <v>308</v>
      </c>
    </row>
    <row r="85" spans="1:10" ht="13" x14ac:dyDescent="0.15">
      <c r="A85" s="72" t="s">
        <v>227</v>
      </c>
      <c r="B85" s="55" t="s">
        <v>230</v>
      </c>
      <c r="C85" s="55" t="s">
        <v>136</v>
      </c>
      <c r="D85" s="74">
        <v>44537</v>
      </c>
      <c r="E85" s="55" t="s">
        <v>300</v>
      </c>
      <c r="J85" s="55" t="s">
        <v>308</v>
      </c>
    </row>
    <row r="86" spans="1:10" ht="13" x14ac:dyDescent="0.15">
      <c r="A86" s="72" t="str">
        <f>HYPERLINK("https://reports.ofsted.gov.uk/provider/44/392","Ofsted Local Authority Webpage")</f>
        <v>Ofsted Local Authority Webpage</v>
      </c>
      <c r="B86" s="55" t="s">
        <v>232</v>
      </c>
      <c r="C86" s="55" t="s">
        <v>309</v>
      </c>
      <c r="D86" s="74">
        <v>44363</v>
      </c>
      <c r="E86" s="55" t="s">
        <v>300</v>
      </c>
      <c r="J86" s="55" t="s">
        <v>306</v>
      </c>
    </row>
    <row r="87" spans="1:10" ht="13" x14ac:dyDescent="0.15">
      <c r="A87" s="72" t="str">
        <f>HYPERLINK("https://reports.ofsted.gov.uk/provider/44/891","Ofsted Local Authority Webpage")</f>
        <v>Ofsted Local Authority Webpage</v>
      </c>
      <c r="B87" s="55" t="s">
        <v>234</v>
      </c>
      <c r="C87" s="55" t="s">
        <v>172</v>
      </c>
      <c r="D87" s="74">
        <v>44377</v>
      </c>
      <c r="E87" s="55" t="s">
        <v>300</v>
      </c>
      <c r="J87" s="55" t="s">
        <v>308</v>
      </c>
    </row>
    <row r="88" spans="1:10" ht="13" x14ac:dyDescent="0.15">
      <c r="A88" s="72" t="str">
        <f>HYPERLINK("https://reports.ofsted.gov.uk/provider/44/80536","Ofsted Local Authority Webpage")</f>
        <v>Ofsted Local Authority Webpage</v>
      </c>
      <c r="B88" s="55" t="s">
        <v>236</v>
      </c>
      <c r="C88" s="55" t="s">
        <v>144</v>
      </c>
      <c r="D88" s="74">
        <v>44530</v>
      </c>
      <c r="E88" s="55" t="s">
        <v>300</v>
      </c>
      <c r="J88" s="55" t="s">
        <v>308</v>
      </c>
    </row>
    <row r="89" spans="1:10" ht="13" x14ac:dyDescent="0.15">
      <c r="A89" s="72" t="str">
        <f>HYPERLINK("https://reports.ofsted.gov.uk/provider/44/879","Ofsted Local Authority Webpage")</f>
        <v>Ofsted Local Authority Webpage</v>
      </c>
      <c r="B89" s="55" t="s">
        <v>238</v>
      </c>
      <c r="C89" s="55" t="s">
        <v>138</v>
      </c>
      <c r="D89" s="74">
        <v>44369</v>
      </c>
      <c r="E89" s="55" t="s">
        <v>300</v>
      </c>
      <c r="J89" s="55" t="s">
        <v>302</v>
      </c>
    </row>
    <row r="90" spans="1:10" ht="13" x14ac:dyDescent="0.15">
      <c r="A90" s="72" t="str">
        <f>HYPERLINK("https://reports.ofsted.gov.uk/provider/44/80512","Ofsted Local Authority Webpage")</f>
        <v>Ofsted Local Authority Webpage</v>
      </c>
      <c r="B90" s="55" t="s">
        <v>241</v>
      </c>
      <c r="C90" s="55" t="s">
        <v>150</v>
      </c>
      <c r="D90" s="74">
        <v>44608</v>
      </c>
      <c r="E90" s="55" t="s">
        <v>300</v>
      </c>
      <c r="J90" s="55" t="s">
        <v>308</v>
      </c>
    </row>
    <row r="91" spans="1:10" ht="13" x14ac:dyDescent="0.15">
      <c r="A91" s="72" t="str">
        <f>HYPERLINK("https://reports.ofsted.gov.uk/provider/44/80542","Ofsted Local Authority Webpage")</f>
        <v>Ofsted Local Authority Webpage</v>
      </c>
      <c r="B91" s="55" t="s">
        <v>244</v>
      </c>
      <c r="C91" s="55" t="s">
        <v>129</v>
      </c>
      <c r="D91" s="74">
        <v>44592</v>
      </c>
      <c r="E91" s="55" t="s">
        <v>303</v>
      </c>
      <c r="F91" s="55" t="s">
        <v>132</v>
      </c>
      <c r="G91" s="55" t="s">
        <v>132</v>
      </c>
      <c r="H91" s="55" t="s">
        <v>132</v>
      </c>
      <c r="I91" s="55" t="s">
        <v>132</v>
      </c>
    </row>
    <row r="92" spans="1:10" ht="13" x14ac:dyDescent="0.15">
      <c r="A92" s="72" t="str">
        <f>HYPERLINK("https://reports.ofsted.gov.uk/provider/44/372","Ofsted Local Authority Webpage")</f>
        <v>Ofsted Local Authority Webpage</v>
      </c>
      <c r="B92" s="55" t="s">
        <v>245</v>
      </c>
      <c r="C92" s="55" t="s">
        <v>144</v>
      </c>
      <c r="D92" s="74">
        <v>44362</v>
      </c>
      <c r="E92" s="55" t="s">
        <v>300</v>
      </c>
      <c r="J92" s="55" t="s">
        <v>308</v>
      </c>
    </row>
    <row r="93" spans="1:10" ht="13" x14ac:dyDescent="0.15">
      <c r="A93" s="72" t="str">
        <f>HYPERLINK("https://reports.ofsted.gov.uk/provider/44/80548","Ofsted Local Authority Webpage")</f>
        <v>Ofsted Local Authority Webpage</v>
      </c>
      <c r="B93" s="55" t="s">
        <v>247</v>
      </c>
      <c r="C93" s="55" t="s">
        <v>172</v>
      </c>
      <c r="D93" s="74">
        <v>44580</v>
      </c>
      <c r="E93" s="55" t="s">
        <v>300</v>
      </c>
      <c r="J93" s="55" t="s">
        <v>302</v>
      </c>
    </row>
    <row r="94" spans="1:10" ht="13" x14ac:dyDescent="0.15">
      <c r="A94" s="72" t="str">
        <f>HYPERLINK("https://reports.ofsted.gov.uk/provider/44/80549","Ofsted Local Authority Webpage")</f>
        <v>Ofsted Local Authority Webpage</v>
      </c>
      <c r="B94" s="55" t="s">
        <v>248</v>
      </c>
      <c r="C94" s="55" t="s">
        <v>144</v>
      </c>
      <c r="D94" s="74">
        <v>44397</v>
      </c>
      <c r="E94" s="55" t="s">
        <v>300</v>
      </c>
      <c r="J94" s="55" t="s">
        <v>311</v>
      </c>
    </row>
    <row r="95" spans="1:10" ht="13" x14ac:dyDescent="0.15">
      <c r="A95" s="72" t="str">
        <f>HYPERLINK("https://reports.ofsted.gov.uk/provider/44/80550","Ofsted Local Authority Webpage")</f>
        <v>Ofsted Local Authority Webpage</v>
      </c>
      <c r="B95" s="55" t="s">
        <v>249</v>
      </c>
      <c r="C95" s="55" t="s">
        <v>142</v>
      </c>
      <c r="D95" s="74">
        <v>44516</v>
      </c>
      <c r="E95" s="55" t="s">
        <v>305</v>
      </c>
      <c r="J95" s="55" t="s">
        <v>302</v>
      </c>
    </row>
    <row r="96" spans="1:10" ht="13" x14ac:dyDescent="0.15">
      <c r="A96" s="72" t="str">
        <f>HYPERLINK("https://reports.ofsted.gov.uk/provider/44/80552","Ofsted Local Authority Webpage")</f>
        <v>Ofsted Local Authority Webpage</v>
      </c>
      <c r="B96" s="55" t="s">
        <v>251</v>
      </c>
      <c r="C96" s="55" t="s">
        <v>309</v>
      </c>
      <c r="D96" s="74">
        <v>44509</v>
      </c>
      <c r="E96" s="55" t="s">
        <v>300</v>
      </c>
      <c r="J96" s="55" t="s">
        <v>306</v>
      </c>
    </row>
    <row r="97" spans="1:10" ht="13" x14ac:dyDescent="0.15">
      <c r="A97" s="72" t="str">
        <f>HYPERLINK("https://reports.ofsted.gov.uk/provider/44/871","Ofsted Local Authority Webpage")</f>
        <v>Ofsted Local Authority Webpage</v>
      </c>
      <c r="B97" s="55" t="s">
        <v>252</v>
      </c>
      <c r="C97" s="55" t="s">
        <v>142</v>
      </c>
      <c r="D97" s="74">
        <v>44599</v>
      </c>
      <c r="E97" s="55" t="s">
        <v>303</v>
      </c>
      <c r="F97" s="55" t="s">
        <v>132</v>
      </c>
      <c r="G97" s="55" t="s">
        <v>132</v>
      </c>
      <c r="H97" s="55" t="s">
        <v>130</v>
      </c>
      <c r="I97" s="55" t="s">
        <v>132</v>
      </c>
    </row>
    <row r="98" spans="1:10" ht="13" x14ac:dyDescent="0.15">
      <c r="A98" s="72" t="str">
        <f>HYPERLINK("https://reports.ofsted.gov.uk/provider/44/80554","Ofsted Local Authority Webpage")</f>
        <v>Ofsted Local Authority Webpage</v>
      </c>
      <c r="B98" s="55" t="s">
        <v>253</v>
      </c>
      <c r="C98" s="55" t="s">
        <v>150</v>
      </c>
      <c r="D98" s="74">
        <v>44579</v>
      </c>
      <c r="E98" s="55" t="s">
        <v>300</v>
      </c>
      <c r="J98" s="55" t="s">
        <v>306</v>
      </c>
    </row>
    <row r="99" spans="1:10" ht="13" x14ac:dyDescent="0.15">
      <c r="A99" s="72" t="str">
        <f>HYPERLINK("https://reports.ofsted.gov.uk/provider/44/80555","Ofsted Local Authority Webpage")</f>
        <v>Ofsted Local Authority Webpage</v>
      </c>
      <c r="B99" s="55" t="s">
        <v>254</v>
      </c>
      <c r="C99" s="55" t="s">
        <v>142</v>
      </c>
      <c r="D99" s="74">
        <v>44370</v>
      </c>
      <c r="E99" s="55" t="s">
        <v>300</v>
      </c>
      <c r="J99" s="55" t="s">
        <v>310</v>
      </c>
    </row>
    <row r="100" spans="1:10" ht="13" x14ac:dyDescent="0.15">
      <c r="A100" s="72" t="str">
        <f>HYPERLINK("https://reports.ofsted.gov.uk/provider/44/80557","Ofsted Local Authority Webpage")</f>
        <v>Ofsted Local Authority Webpage</v>
      </c>
      <c r="B100" s="55" t="s">
        <v>256</v>
      </c>
      <c r="C100" s="55" t="s">
        <v>136</v>
      </c>
      <c r="D100" s="74">
        <v>44509</v>
      </c>
      <c r="E100" s="55" t="s">
        <v>300</v>
      </c>
      <c r="J100" s="55" t="s">
        <v>306</v>
      </c>
    </row>
    <row r="101" spans="1:10" ht="13" x14ac:dyDescent="0.15">
      <c r="A101" s="72" t="str">
        <f>HYPERLINK("https://reports.ofsted.gov.uk/provider/44/80558","Ofsted Local Authority Webpage")</f>
        <v>Ofsted Local Authority Webpage</v>
      </c>
      <c r="B101" s="55" t="s">
        <v>257</v>
      </c>
      <c r="C101" s="55" t="s">
        <v>309</v>
      </c>
      <c r="D101" s="74">
        <v>44622</v>
      </c>
      <c r="E101" s="55" t="s">
        <v>300</v>
      </c>
      <c r="J101" s="55" t="s">
        <v>311</v>
      </c>
    </row>
    <row r="102" spans="1:10" ht="13" x14ac:dyDescent="0.15">
      <c r="A102" s="72" t="str">
        <f>HYPERLINK("https://reports.ofsted.gov.uk/provider/44/80559","Ofsted Local Authority Webpage")</f>
        <v>Ofsted Local Authority Webpage</v>
      </c>
      <c r="B102" s="55" t="s">
        <v>258</v>
      </c>
      <c r="C102" s="55" t="s">
        <v>150</v>
      </c>
      <c r="D102" s="74">
        <v>44321</v>
      </c>
      <c r="E102" s="55" t="s">
        <v>300</v>
      </c>
      <c r="J102" s="55" t="s">
        <v>301</v>
      </c>
    </row>
    <row r="103" spans="1:10" ht="13" x14ac:dyDescent="0.15">
      <c r="A103" s="72" t="str">
        <f>HYPERLINK("https://reports.ofsted.gov.uk/provider/44/80561","Ofsted Local Authority Webpage")</f>
        <v>Ofsted Local Authority Webpage</v>
      </c>
      <c r="B103" s="55" t="s">
        <v>261</v>
      </c>
      <c r="C103" s="55" t="s">
        <v>144</v>
      </c>
      <c r="D103" s="74">
        <v>44335</v>
      </c>
      <c r="E103" s="55" t="s">
        <v>300</v>
      </c>
      <c r="J103" s="55" t="s">
        <v>301</v>
      </c>
    </row>
    <row r="104" spans="1:10" ht="13" x14ac:dyDescent="0.15">
      <c r="A104" s="72" t="str">
        <f>HYPERLINK("https://reports.ofsted.gov.uk/provider/44/80561","Ofsted Local Authority Webpage")</f>
        <v>Ofsted Local Authority Webpage</v>
      </c>
      <c r="B104" s="55" t="s">
        <v>261</v>
      </c>
      <c r="C104" s="55" t="s">
        <v>144</v>
      </c>
      <c r="D104" s="74">
        <v>44622</v>
      </c>
      <c r="E104" s="55" t="s">
        <v>305</v>
      </c>
      <c r="J104" s="55" t="s">
        <v>306</v>
      </c>
    </row>
    <row r="105" spans="1:10" ht="13" x14ac:dyDescent="0.15">
      <c r="A105" s="72" t="str">
        <f>HYPERLINK("https://reports.ofsted.gov.uk/provider/44/80561","Ofsted Local Authority Webpage")</f>
        <v>Ofsted Local Authority Webpage</v>
      </c>
      <c r="B105" s="55" t="s">
        <v>261</v>
      </c>
      <c r="C105" s="55" t="s">
        <v>144</v>
      </c>
      <c r="D105" s="74">
        <v>44523</v>
      </c>
      <c r="E105" s="55" t="s">
        <v>305</v>
      </c>
      <c r="J105" s="55" t="s">
        <v>308</v>
      </c>
    </row>
    <row r="106" spans="1:10" ht="13" x14ac:dyDescent="0.15">
      <c r="A106" s="72" t="str">
        <f>HYPERLINK("https://reports.ofsted.gov.uk/provider/44/80564","Ofsted Local Authority Webpage")</f>
        <v>Ofsted Local Authority Webpage</v>
      </c>
      <c r="B106" s="55" t="s">
        <v>264</v>
      </c>
      <c r="C106" s="55" t="s">
        <v>309</v>
      </c>
      <c r="D106" s="74">
        <v>44537</v>
      </c>
      <c r="E106" s="55" t="s">
        <v>300</v>
      </c>
      <c r="J106" s="55" t="s">
        <v>307</v>
      </c>
    </row>
    <row r="107" spans="1:10" ht="13" x14ac:dyDescent="0.15">
      <c r="A107" s="72" t="str">
        <f>HYPERLINK("https://reports.ofsted.gov.uk/provider/44/80565","Ofsted Local Authority Webpage")</f>
        <v>Ofsted Local Authority Webpage</v>
      </c>
      <c r="B107" s="55" t="s">
        <v>265</v>
      </c>
      <c r="C107" s="55" t="s">
        <v>142</v>
      </c>
      <c r="D107" s="74">
        <v>44629</v>
      </c>
      <c r="E107" s="55" t="s">
        <v>305</v>
      </c>
      <c r="J107" s="55" t="s">
        <v>308</v>
      </c>
    </row>
    <row r="108" spans="1:10" ht="13" x14ac:dyDescent="0.15">
      <c r="A108" s="72" t="str">
        <f>HYPERLINK("https://reports.ofsted.gov.uk/provider/44/80565","Ofsted Local Authority Webpage")</f>
        <v>Ofsted Local Authority Webpage</v>
      </c>
      <c r="B108" s="55" t="s">
        <v>265</v>
      </c>
      <c r="C108" s="55" t="s">
        <v>142</v>
      </c>
      <c r="D108" s="74">
        <v>44306</v>
      </c>
      <c r="E108" s="55" t="s">
        <v>305</v>
      </c>
      <c r="J108" s="55" t="s">
        <v>302</v>
      </c>
    </row>
    <row r="109" spans="1:10" ht="13" x14ac:dyDescent="0.15">
      <c r="A109" s="72" t="str">
        <f>HYPERLINK("https://reports.ofsted.gov.uk/provider/44/80565","Ofsted Local Authority Webpage")</f>
        <v>Ofsted Local Authority Webpage</v>
      </c>
      <c r="B109" s="55" t="s">
        <v>265</v>
      </c>
      <c r="C109" s="55" t="s">
        <v>142</v>
      </c>
      <c r="D109" s="74">
        <v>44406</v>
      </c>
      <c r="E109" s="55" t="s">
        <v>305</v>
      </c>
      <c r="J109" s="55" t="s">
        <v>311</v>
      </c>
    </row>
    <row r="110" spans="1:10" ht="13" x14ac:dyDescent="0.15">
      <c r="A110" s="72" t="str">
        <f>HYPERLINK("https://reports.ofsted.gov.uk/provider/44/80565","Ofsted Local Authority Webpage")</f>
        <v>Ofsted Local Authority Webpage</v>
      </c>
      <c r="B110" s="55" t="s">
        <v>265</v>
      </c>
      <c r="C110" s="55" t="s">
        <v>142</v>
      </c>
      <c r="D110" s="74">
        <v>44544</v>
      </c>
      <c r="E110" s="55" t="s">
        <v>305</v>
      </c>
      <c r="J110" s="55" t="s">
        <v>306</v>
      </c>
    </row>
    <row r="111" spans="1:10" ht="13" x14ac:dyDescent="0.15">
      <c r="A111" s="72" t="str">
        <f>HYPERLINK("https://reports.ofsted.gov.uk/provider/44/394","Ofsted Local Authority Webpage")</f>
        <v>Ofsted Local Authority Webpage</v>
      </c>
      <c r="B111" s="55" t="s">
        <v>266</v>
      </c>
      <c r="C111" s="55" t="s">
        <v>138</v>
      </c>
      <c r="D111" s="74">
        <v>44586</v>
      </c>
      <c r="E111" s="55" t="s">
        <v>300</v>
      </c>
      <c r="J111" s="55" t="s">
        <v>311</v>
      </c>
    </row>
    <row r="112" spans="1:10" ht="13" x14ac:dyDescent="0.15">
      <c r="A112" s="72" t="str">
        <f>HYPERLINK("https://reports.ofsted.gov.uk/provider/44/80567","Ofsted Local Authority Webpage")</f>
        <v>Ofsted Local Authority Webpage</v>
      </c>
      <c r="B112" s="55" t="s">
        <v>267</v>
      </c>
      <c r="C112" s="55" t="s">
        <v>309</v>
      </c>
      <c r="D112" s="74">
        <v>44375</v>
      </c>
      <c r="E112" s="55" t="s">
        <v>304</v>
      </c>
      <c r="F112" s="55" t="s">
        <v>140</v>
      </c>
      <c r="G112" s="55" t="s">
        <v>140</v>
      </c>
      <c r="H112" s="55" t="s">
        <v>132</v>
      </c>
      <c r="I112" s="55" t="s">
        <v>140</v>
      </c>
    </row>
    <row r="113" spans="1:10" ht="13" x14ac:dyDescent="0.15">
      <c r="A113" s="72" t="str">
        <f>HYPERLINK("https://reports.ofsted.gov.uk/provider/44/80515","Ofsted Local Authority Webpage")</f>
        <v>Ofsted Local Authority Webpage</v>
      </c>
      <c r="B113" s="55" t="s">
        <v>268</v>
      </c>
      <c r="C113" s="55" t="s">
        <v>150</v>
      </c>
      <c r="D113" s="74">
        <v>44446</v>
      </c>
      <c r="E113" s="55" t="s">
        <v>305</v>
      </c>
      <c r="J113" s="55" t="s">
        <v>311</v>
      </c>
    </row>
    <row r="114" spans="1:10" ht="13" x14ac:dyDescent="0.15">
      <c r="A114" s="72" t="str">
        <f>HYPERLINK("https://reports.ofsted.gov.uk/provider/44/80515","Ofsted Local Authority Webpage")</f>
        <v>Ofsted Local Authority Webpage</v>
      </c>
      <c r="B114" s="55" t="s">
        <v>268</v>
      </c>
      <c r="C114" s="55" t="s">
        <v>150</v>
      </c>
      <c r="D114" s="74">
        <v>44578</v>
      </c>
      <c r="E114" s="55" t="s">
        <v>304</v>
      </c>
      <c r="F114" s="55" t="s">
        <v>130</v>
      </c>
      <c r="G114" s="55" t="s">
        <v>130</v>
      </c>
      <c r="H114" s="55" t="s">
        <v>130</v>
      </c>
      <c r="I114" s="55" t="s">
        <v>130</v>
      </c>
    </row>
    <row r="115" spans="1:10" ht="13" x14ac:dyDescent="0.15">
      <c r="A115" s="72" t="str">
        <f>HYPERLINK("https://reports.ofsted.gov.uk/provider/44/80568","Ofsted Local Authority Webpage")</f>
        <v>Ofsted Local Authority Webpage</v>
      </c>
      <c r="B115" s="55" t="s">
        <v>269</v>
      </c>
      <c r="C115" s="55" t="s">
        <v>129</v>
      </c>
      <c r="D115" s="74">
        <v>44536</v>
      </c>
      <c r="E115" s="55" t="s">
        <v>303</v>
      </c>
      <c r="F115" s="55" t="s">
        <v>132</v>
      </c>
      <c r="G115" s="55" t="s">
        <v>140</v>
      </c>
      <c r="H115" s="55" t="s">
        <v>132</v>
      </c>
      <c r="I115" s="55" t="s">
        <v>132</v>
      </c>
    </row>
    <row r="116" spans="1:10" ht="13" x14ac:dyDescent="0.15">
      <c r="A116" s="72" t="str">
        <f>HYPERLINK("https://reports.ofsted.gov.uk/provider/44/80570","Ofsted Local Authority Webpage")</f>
        <v>Ofsted Local Authority Webpage</v>
      </c>
      <c r="B116" s="55" t="s">
        <v>271</v>
      </c>
      <c r="C116" s="55" t="s">
        <v>144</v>
      </c>
      <c r="D116" s="74">
        <v>44328</v>
      </c>
      <c r="E116" s="55" t="s">
        <v>300</v>
      </c>
      <c r="J116" s="55" t="s">
        <v>301</v>
      </c>
    </row>
    <row r="117" spans="1:10" ht="13" x14ac:dyDescent="0.15">
      <c r="A117" s="72" t="str">
        <f>HYPERLINK("https://reports.ofsted.gov.uk/provider/44/880","Ofsted Local Authority Webpage")</f>
        <v>Ofsted Local Authority Webpage</v>
      </c>
      <c r="B117" s="55" t="s">
        <v>273</v>
      </c>
      <c r="C117" s="55" t="s">
        <v>138</v>
      </c>
      <c r="D117" s="74">
        <v>44377</v>
      </c>
      <c r="E117" s="55" t="s">
        <v>300</v>
      </c>
      <c r="J117" s="55" t="s">
        <v>310</v>
      </c>
    </row>
    <row r="118" spans="1:10" ht="13" x14ac:dyDescent="0.15">
      <c r="A118" s="72" t="str">
        <f>HYPERLINK("https://reports.ofsted.gov.uk/provider/44/80451","Ofsted Local Authority Webpage")</f>
        <v>Ofsted Local Authority Webpage</v>
      </c>
      <c r="B118" s="55" t="s">
        <v>276</v>
      </c>
      <c r="C118" s="55" t="s">
        <v>144</v>
      </c>
      <c r="D118" s="74">
        <v>44467</v>
      </c>
      <c r="E118" s="55" t="s">
        <v>305</v>
      </c>
      <c r="J118" s="55" t="s">
        <v>308</v>
      </c>
    </row>
    <row r="119" spans="1:10" ht="13" x14ac:dyDescent="0.15">
      <c r="A119" s="72" t="str">
        <f>HYPERLINK("https://reports.ofsted.gov.uk/provider/44/80574","Ofsted Local Authority Webpage")</f>
        <v>Ofsted Local Authority Webpage</v>
      </c>
      <c r="B119" s="55" t="s">
        <v>277</v>
      </c>
      <c r="C119" s="55" t="s">
        <v>309</v>
      </c>
      <c r="D119" s="74">
        <v>44508</v>
      </c>
      <c r="E119" s="55" t="s">
        <v>304</v>
      </c>
      <c r="F119" s="55" t="s">
        <v>132</v>
      </c>
      <c r="G119" s="55" t="s">
        <v>140</v>
      </c>
      <c r="H119" s="55" t="s">
        <v>132</v>
      </c>
      <c r="I119" s="55" t="s">
        <v>132</v>
      </c>
    </row>
    <row r="120" spans="1:10" ht="13" x14ac:dyDescent="0.15">
      <c r="A120" s="72" t="str">
        <f>HYPERLINK("https://reports.ofsted.gov.uk/provider/44/80517","Ofsted Local Authority Webpage")</f>
        <v>Ofsted Local Authority Webpage</v>
      </c>
      <c r="B120" s="55" t="s">
        <v>278</v>
      </c>
      <c r="C120" s="55" t="s">
        <v>142</v>
      </c>
      <c r="D120" s="74">
        <v>44473</v>
      </c>
      <c r="E120" s="55" t="s">
        <v>304</v>
      </c>
      <c r="F120" s="55" t="s">
        <v>132</v>
      </c>
      <c r="G120" s="55" t="s">
        <v>132</v>
      </c>
      <c r="H120" s="55" t="s">
        <v>130</v>
      </c>
      <c r="I120" s="55" t="s">
        <v>132</v>
      </c>
    </row>
    <row r="121" spans="1:10" ht="13" x14ac:dyDescent="0.15">
      <c r="A121" s="72" t="str">
        <f>HYPERLINK("https://reports.ofsted.gov.uk/provider/44/80575","Ofsted Local Authority Webpage")</f>
        <v>Ofsted Local Authority Webpage</v>
      </c>
      <c r="B121" s="55" t="s">
        <v>280</v>
      </c>
      <c r="C121" s="55" t="s">
        <v>129</v>
      </c>
      <c r="D121" s="74">
        <v>44391</v>
      </c>
      <c r="E121" s="55" t="s">
        <v>300</v>
      </c>
      <c r="J121" s="55" t="s">
        <v>308</v>
      </c>
    </row>
    <row r="122" spans="1:10" ht="13" x14ac:dyDescent="0.15">
      <c r="A122" s="72" t="str">
        <f>HYPERLINK("https://reports.ofsted.gov.uk/provider/44/937","Ofsted Local Authority Webpage")</f>
        <v>Ofsted Local Authority Webpage</v>
      </c>
      <c r="B122" s="55" t="s">
        <v>281</v>
      </c>
      <c r="C122" s="55" t="s">
        <v>144</v>
      </c>
      <c r="D122" s="74">
        <v>44545</v>
      </c>
      <c r="E122" s="55" t="s">
        <v>300</v>
      </c>
      <c r="J122" s="55" t="s">
        <v>306</v>
      </c>
    </row>
    <row r="123" spans="1:10" ht="13" x14ac:dyDescent="0.15">
      <c r="A123" s="72" t="str">
        <f>HYPERLINK("https://reports.ofsted.gov.uk/provider/44/80577","Ofsted Local Authority Webpage")</f>
        <v>Ofsted Local Authority Webpage</v>
      </c>
      <c r="B123" s="55" t="s">
        <v>282</v>
      </c>
      <c r="C123" s="55" t="s">
        <v>142</v>
      </c>
      <c r="D123" s="74">
        <v>44522</v>
      </c>
      <c r="E123" s="55" t="s">
        <v>304</v>
      </c>
      <c r="F123" s="55" t="s">
        <v>132</v>
      </c>
      <c r="G123" s="55" t="s">
        <v>132</v>
      </c>
      <c r="H123" s="55" t="s">
        <v>132</v>
      </c>
      <c r="I123" s="55" t="s">
        <v>132</v>
      </c>
    </row>
    <row r="124" spans="1:10" ht="13" x14ac:dyDescent="0.15">
      <c r="A124" s="72" t="s">
        <v>227</v>
      </c>
      <c r="B124" s="55" t="s">
        <v>283</v>
      </c>
      <c r="C124" s="55" t="s">
        <v>150</v>
      </c>
      <c r="D124" s="74">
        <v>44356</v>
      </c>
      <c r="E124" s="55" t="s">
        <v>300</v>
      </c>
      <c r="J124" s="55" t="s">
        <v>308</v>
      </c>
    </row>
    <row r="125" spans="1:10" ht="13" x14ac:dyDescent="0.15">
      <c r="A125" s="72" t="str">
        <f>HYPERLINK("https://reports.ofsted.gov.uk/provider/44/80532","Ofsted Local Authority Webpage")</f>
        <v>Ofsted Local Authority Webpage</v>
      </c>
      <c r="B125" s="55" t="s">
        <v>284</v>
      </c>
      <c r="C125" s="55" t="s">
        <v>172</v>
      </c>
      <c r="D125" s="74">
        <v>44405</v>
      </c>
      <c r="E125" s="55" t="s">
        <v>305</v>
      </c>
      <c r="J125" s="55" t="s">
        <v>308</v>
      </c>
    </row>
    <row r="126" spans="1:10" ht="13" x14ac:dyDescent="0.15">
      <c r="A126" s="72" t="str">
        <f>HYPERLINK("https://reports.ofsted.gov.uk/provider/44/80532","Ofsted Local Authority Webpage")</f>
        <v>Ofsted Local Authority Webpage</v>
      </c>
      <c r="B126" s="55" t="s">
        <v>284</v>
      </c>
      <c r="C126" s="55" t="s">
        <v>172</v>
      </c>
      <c r="D126" s="74">
        <v>44502</v>
      </c>
      <c r="E126" s="55" t="s">
        <v>305</v>
      </c>
      <c r="J126" s="55" t="s">
        <v>311</v>
      </c>
    </row>
    <row r="127" spans="1:10" ht="13" x14ac:dyDescent="0.15">
      <c r="A127" s="72" t="str">
        <f>HYPERLINK("https://reports.ofsted.gov.uk/provider/44/80578","Ofsted Local Authority Webpage")</f>
        <v>Ofsted Local Authority Webpage</v>
      </c>
      <c r="B127" s="55" t="s">
        <v>285</v>
      </c>
      <c r="C127" s="55" t="s">
        <v>150</v>
      </c>
      <c r="D127" s="74">
        <v>44446</v>
      </c>
      <c r="E127" s="55" t="s">
        <v>305</v>
      </c>
      <c r="J127" s="55" t="s">
        <v>308</v>
      </c>
    </row>
    <row r="128" spans="1:10" ht="13" x14ac:dyDescent="0.15">
      <c r="A128" s="72" t="str">
        <f>HYPERLINK("https://reports.ofsted.gov.uk/provider/44/80578","Ofsted Local Authority Webpage")</f>
        <v>Ofsted Local Authority Webpage</v>
      </c>
      <c r="B128" s="55" t="s">
        <v>285</v>
      </c>
      <c r="C128" s="55" t="s">
        <v>150</v>
      </c>
      <c r="D128" s="74">
        <v>44334</v>
      </c>
      <c r="E128" s="55" t="s">
        <v>305</v>
      </c>
      <c r="J128" s="55" t="s">
        <v>307</v>
      </c>
    </row>
    <row r="129" spans="1:10" ht="13" x14ac:dyDescent="0.15">
      <c r="A129" s="72" t="str">
        <f>HYPERLINK("https://reports.ofsted.gov.uk/provider/44/80580","Ofsted Local Authority Webpage")</f>
        <v>Ofsted Local Authority Webpage</v>
      </c>
      <c r="B129" s="55" t="s">
        <v>288</v>
      </c>
      <c r="C129" s="55" t="s">
        <v>136</v>
      </c>
      <c r="D129" s="74">
        <v>44585</v>
      </c>
      <c r="E129" s="55" t="s">
        <v>300</v>
      </c>
      <c r="J129" s="55" t="s">
        <v>311</v>
      </c>
    </row>
    <row r="130" spans="1:10" ht="13" x14ac:dyDescent="0.15">
      <c r="A130" s="72" t="str">
        <f>HYPERLINK("https://reports.ofsted.gov.uk/provider/44/344","Ofsted Local Authority Webpage")</f>
        <v>Ofsted Local Authority Webpage</v>
      </c>
      <c r="B130" s="55" t="s">
        <v>290</v>
      </c>
      <c r="C130" s="55" t="s">
        <v>144</v>
      </c>
      <c r="D130" s="74">
        <v>44586</v>
      </c>
      <c r="E130" s="55" t="s">
        <v>300</v>
      </c>
      <c r="J130" s="55" t="s">
        <v>307</v>
      </c>
    </row>
    <row r="131" spans="1:10" ht="13" x14ac:dyDescent="0.15">
      <c r="A131" s="72" t="str">
        <f>HYPERLINK("https://reports.ofsted.gov.uk/provider/44/80582","Ofsted Local Authority Webpage")</f>
        <v>Ofsted Local Authority Webpage</v>
      </c>
      <c r="B131" s="55" t="s">
        <v>291</v>
      </c>
      <c r="C131" s="55" t="s">
        <v>150</v>
      </c>
      <c r="D131" s="74">
        <v>44363</v>
      </c>
      <c r="E131" s="55" t="s">
        <v>300</v>
      </c>
      <c r="J131" s="55" t="s">
        <v>308</v>
      </c>
    </row>
    <row r="132" spans="1:10" ht="13" x14ac:dyDescent="0.15">
      <c r="A132" s="72" t="str">
        <f>HYPERLINK("https://reports.ofsted.gov.uk/provider/44/80584","Ofsted Local Authority Webpage")</f>
        <v>Ofsted Local Authority Webpage</v>
      </c>
      <c r="B132" s="55" t="s">
        <v>293</v>
      </c>
      <c r="C132" s="55" t="s">
        <v>142</v>
      </c>
      <c r="D132" s="74">
        <v>44390</v>
      </c>
      <c r="E132" s="55" t="s">
        <v>300</v>
      </c>
      <c r="J132" s="55" t="s">
        <v>306</v>
      </c>
    </row>
  </sheetData>
  <hyperlinks>
    <hyperlink ref="A85" r:id="rId1" xr:uid="{E16C74BC-7976-8A40-ABB4-4D0B19D6F794}"/>
    <hyperlink ref="A124" r:id="rId2" xr:uid="{CFD26880-EE1F-4B4E-A1CB-7FF47A3685AF}"/>
  </hyperlinks>
  <pageMargins left="0.7" right="0.7" top="0.75" bottom="0.75" header="0.3" footer="0.3"/>
  <tableParts count="1">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BFBBA-35F3-534F-B3D2-ECFB3284B564}">
  <dimension ref="A1:AC3581"/>
  <sheetViews>
    <sheetView workbookViewId="0"/>
  </sheetViews>
  <sheetFormatPr baseColWidth="10" defaultColWidth="15.59765625" defaultRowHeight="12.75" x14ac:dyDescent="0.15"/>
  <cols>
    <col min="1" max="1" width="30.19921875" style="55" customWidth="1"/>
    <col min="2" max="2" width="15.59765625" style="55" customWidth="1"/>
    <col min="3" max="3" width="31.59765625" style="55" customWidth="1"/>
    <col min="4" max="4" width="71.59765625" style="55" bestFit="1" customWidth="1"/>
    <col min="5" max="5" width="27" style="74" customWidth="1"/>
    <col min="6" max="6" width="29.3984375" style="55" customWidth="1"/>
    <col min="7" max="7" width="15.59765625" style="55" customWidth="1"/>
    <col min="8" max="9" width="17.3984375" style="55" customWidth="1"/>
    <col min="10" max="11" width="15.59765625" style="55" customWidth="1"/>
    <col min="12" max="12" width="16.19921875" style="55" customWidth="1"/>
    <col min="13" max="13" width="21.796875" style="55" customWidth="1"/>
    <col min="14" max="14" width="37.796875" style="55" customWidth="1"/>
    <col min="15" max="15" width="23.796875" style="55" customWidth="1"/>
    <col min="16" max="16" width="40" style="55" customWidth="1"/>
    <col min="17" max="17" width="15.59765625" style="55" customWidth="1"/>
    <col min="18" max="18" width="16.3984375" style="77" bestFit="1" customWidth="1"/>
    <col min="19" max="19" width="16.3984375" style="78" customWidth="1"/>
    <col min="20" max="20" width="53.3984375" style="55" customWidth="1"/>
    <col min="21" max="21" width="46.796875" style="55" customWidth="1"/>
    <col min="22" max="22" width="38.59765625" style="74" customWidth="1"/>
    <col min="23" max="23" width="53.3984375" style="79" customWidth="1"/>
    <col min="24" max="24" width="40.3984375" style="55" customWidth="1"/>
    <col min="25" max="26" width="102.796875" style="55" customWidth="1"/>
    <col min="27" max="27" width="54.59765625" style="55" customWidth="1"/>
    <col min="28" max="28" width="102.796875" style="55" customWidth="1"/>
    <col min="29" max="29" width="90.59765625" style="55" customWidth="1"/>
    <col min="30" max="30" width="15.59765625" style="55" customWidth="1"/>
    <col min="31" max="16384" width="15.59765625" style="55"/>
  </cols>
  <sheetData>
    <row r="1" spans="1:29" ht="19" x14ac:dyDescent="0.2">
      <c r="A1" s="53" t="s">
        <v>313</v>
      </c>
    </row>
    <row r="2" spans="1:29" ht="13" x14ac:dyDescent="0.15">
      <c r="A2" s="75" t="s">
        <v>314</v>
      </c>
    </row>
    <row r="3" spans="1:29" ht="13" x14ac:dyDescent="0.15">
      <c r="A3" s="75" t="s">
        <v>315</v>
      </c>
    </row>
    <row r="4" spans="1:29" ht="13" x14ac:dyDescent="0.15"/>
    <row r="5" spans="1:29" ht="42" x14ac:dyDescent="0.15">
      <c r="A5" s="71" t="s">
        <v>120</v>
      </c>
      <c r="B5" s="71" t="s">
        <v>316</v>
      </c>
      <c r="C5" s="71" t="s">
        <v>317</v>
      </c>
      <c r="D5" s="71" t="s">
        <v>318</v>
      </c>
      <c r="E5" s="76" t="s">
        <v>319</v>
      </c>
      <c r="F5" s="71" t="s">
        <v>320</v>
      </c>
      <c r="G5" s="71" t="s">
        <v>321</v>
      </c>
      <c r="H5" s="71" t="s">
        <v>322</v>
      </c>
      <c r="I5" s="71" t="s">
        <v>323</v>
      </c>
      <c r="J5" s="71" t="s">
        <v>324</v>
      </c>
      <c r="K5" s="71" t="s">
        <v>325</v>
      </c>
      <c r="L5" s="71" t="s">
        <v>326</v>
      </c>
      <c r="M5" s="71" t="s">
        <v>122</v>
      </c>
      <c r="N5" s="71" t="s">
        <v>327</v>
      </c>
      <c r="O5" s="71" t="s">
        <v>328</v>
      </c>
      <c r="P5" s="71" t="s">
        <v>329</v>
      </c>
      <c r="Q5" s="71" t="s">
        <v>330</v>
      </c>
      <c r="R5" s="80" t="s">
        <v>331</v>
      </c>
      <c r="S5" s="81" t="s">
        <v>332</v>
      </c>
      <c r="T5" s="71" t="s">
        <v>333</v>
      </c>
      <c r="U5" s="71" t="s">
        <v>334</v>
      </c>
      <c r="V5" s="76" t="s">
        <v>335</v>
      </c>
      <c r="W5" s="76" t="s">
        <v>336</v>
      </c>
      <c r="X5" s="71" t="s">
        <v>337</v>
      </c>
      <c r="Y5" s="71" t="s">
        <v>338</v>
      </c>
      <c r="Z5" s="71" t="s">
        <v>339</v>
      </c>
      <c r="AA5" s="71" t="s">
        <v>340</v>
      </c>
      <c r="AB5" s="71" t="s">
        <v>341</v>
      </c>
      <c r="AC5" s="71" t="s">
        <v>342</v>
      </c>
    </row>
    <row r="6" spans="1:29" ht="13" x14ac:dyDescent="0.15">
      <c r="A6" s="72" t="str">
        <f t="shared" ref="A6:A69" si="0">HYPERLINK(_xlfn.CONCAT("http://reports.ofsted.gov.uk/inspection-reports/find-inspection-report/provider/CARE/",B6),"Ofsted Social Care Provider Webpage")</f>
        <v>Ofsted Social Care Provider Webpage</v>
      </c>
      <c r="B6" s="55">
        <v>1027077</v>
      </c>
      <c r="D6" s="55" t="s">
        <v>343</v>
      </c>
      <c r="E6" s="74">
        <v>41954</v>
      </c>
      <c r="F6" s="55" t="s">
        <v>344</v>
      </c>
      <c r="G6" s="55" t="s">
        <v>345</v>
      </c>
      <c r="H6" s="55" t="s">
        <v>346</v>
      </c>
      <c r="I6" s="55" t="s">
        <v>347</v>
      </c>
      <c r="J6" s="55" t="s">
        <v>221</v>
      </c>
      <c r="L6" s="55" t="s">
        <v>348</v>
      </c>
      <c r="M6" s="55" t="s">
        <v>150</v>
      </c>
      <c r="N6" s="55" t="s">
        <v>150</v>
      </c>
      <c r="O6" s="55" t="s">
        <v>221</v>
      </c>
      <c r="P6" s="55" t="s">
        <v>349</v>
      </c>
      <c r="Q6" s="55" t="s">
        <v>350</v>
      </c>
      <c r="R6" s="55"/>
      <c r="S6" s="74"/>
      <c r="U6" s="73" t="s">
        <v>351</v>
      </c>
      <c r="V6" s="74">
        <v>44473</v>
      </c>
      <c r="W6" s="74">
        <v>44519</v>
      </c>
      <c r="X6" s="55">
        <v>10169460</v>
      </c>
      <c r="Y6" s="74" t="s">
        <v>146</v>
      </c>
      <c r="Z6" s="74"/>
      <c r="AB6" s="55" t="s">
        <v>146</v>
      </c>
      <c r="AC6" s="55" t="s">
        <v>146</v>
      </c>
    </row>
    <row r="7" spans="1:29" ht="13" x14ac:dyDescent="0.15">
      <c r="A7" s="72" t="str">
        <f t="shared" si="0"/>
        <v>Ofsted Social Care Provider Webpage</v>
      </c>
      <c r="B7" s="55">
        <v>1027078</v>
      </c>
      <c r="D7" s="55" t="s">
        <v>343</v>
      </c>
      <c r="E7" s="74">
        <v>41954</v>
      </c>
      <c r="F7" s="55" t="s">
        <v>344</v>
      </c>
      <c r="G7" s="55" t="s">
        <v>352</v>
      </c>
      <c r="H7" s="55" t="s">
        <v>353</v>
      </c>
      <c r="I7" s="55" t="s">
        <v>354</v>
      </c>
      <c r="J7" s="55" t="s">
        <v>355</v>
      </c>
      <c r="K7" s="55" t="s">
        <v>282</v>
      </c>
      <c r="L7" s="55" t="s">
        <v>356</v>
      </c>
      <c r="M7" s="55" t="s">
        <v>172</v>
      </c>
      <c r="N7" s="55" t="s">
        <v>172</v>
      </c>
      <c r="O7" s="55" t="s">
        <v>284</v>
      </c>
      <c r="P7" s="55" t="s">
        <v>357</v>
      </c>
      <c r="Q7" s="55" t="s">
        <v>350</v>
      </c>
      <c r="R7" s="82"/>
      <c r="S7" s="83"/>
      <c r="U7" s="73" t="s">
        <v>351</v>
      </c>
      <c r="V7" s="74">
        <v>44354</v>
      </c>
      <c r="W7" s="74">
        <v>44470</v>
      </c>
      <c r="X7" s="55">
        <v>10169464</v>
      </c>
      <c r="Y7" s="55" t="s">
        <v>146</v>
      </c>
      <c r="AB7" s="55" t="s">
        <v>146</v>
      </c>
      <c r="AC7" s="55" t="s">
        <v>146</v>
      </c>
    </row>
    <row r="8" spans="1:29" ht="13" x14ac:dyDescent="0.15">
      <c r="A8" s="72" t="str">
        <f t="shared" si="0"/>
        <v>Ofsted Social Care Provider Webpage</v>
      </c>
      <c r="B8" s="55">
        <v>1027082</v>
      </c>
      <c r="D8" s="55" t="s">
        <v>358</v>
      </c>
      <c r="E8" s="74">
        <v>41495</v>
      </c>
      <c r="F8" s="55" t="s">
        <v>344</v>
      </c>
      <c r="G8" s="55" t="s">
        <v>359</v>
      </c>
      <c r="H8" s="55" t="s">
        <v>360</v>
      </c>
      <c r="I8" s="55" t="s">
        <v>360</v>
      </c>
      <c r="J8" s="55" t="s">
        <v>360</v>
      </c>
      <c r="K8" s="55" t="s">
        <v>360</v>
      </c>
      <c r="L8" s="55" t="s">
        <v>360</v>
      </c>
      <c r="M8" s="55" t="s">
        <v>144</v>
      </c>
      <c r="N8" s="55" t="s">
        <v>144</v>
      </c>
      <c r="O8" s="55" t="s">
        <v>250</v>
      </c>
      <c r="P8" s="55" t="s">
        <v>361</v>
      </c>
      <c r="Q8" s="55" t="s">
        <v>362</v>
      </c>
      <c r="R8" s="55"/>
      <c r="S8" s="74"/>
      <c r="T8" s="55" t="s">
        <v>359</v>
      </c>
      <c r="U8" s="73" t="s">
        <v>351</v>
      </c>
      <c r="V8" s="74">
        <v>43690</v>
      </c>
      <c r="W8" s="74">
        <v>43734</v>
      </c>
      <c r="X8" s="55">
        <v>10092998</v>
      </c>
      <c r="Y8" s="55" t="s">
        <v>140</v>
      </c>
      <c r="AB8" s="55" t="s">
        <v>140</v>
      </c>
      <c r="AC8" s="55" t="s">
        <v>140</v>
      </c>
    </row>
    <row r="9" spans="1:29" ht="13" x14ac:dyDescent="0.15">
      <c r="A9" s="72" t="str">
        <f t="shared" si="0"/>
        <v>Ofsted Social Care Provider Webpage</v>
      </c>
      <c r="B9" s="55">
        <v>1027083</v>
      </c>
      <c r="D9" s="55" t="s">
        <v>358</v>
      </c>
      <c r="E9" s="74">
        <v>41495</v>
      </c>
      <c r="F9" s="55" t="s">
        <v>344</v>
      </c>
      <c r="G9" s="55" t="s">
        <v>363</v>
      </c>
      <c r="H9" s="55" t="s">
        <v>360</v>
      </c>
      <c r="I9" s="55" t="s">
        <v>360</v>
      </c>
      <c r="J9" s="55" t="s">
        <v>360</v>
      </c>
      <c r="K9" s="55" t="s">
        <v>360</v>
      </c>
      <c r="L9" s="55" t="s">
        <v>360</v>
      </c>
      <c r="M9" s="55" t="s">
        <v>144</v>
      </c>
      <c r="N9" s="55" t="s">
        <v>144</v>
      </c>
      <c r="O9" s="55" t="s">
        <v>209</v>
      </c>
      <c r="P9" s="55" t="s">
        <v>364</v>
      </c>
      <c r="Q9" s="55" t="s">
        <v>362</v>
      </c>
      <c r="R9" s="55"/>
      <c r="S9" s="74"/>
      <c r="T9" s="55" t="s">
        <v>365</v>
      </c>
      <c r="U9" s="73" t="s">
        <v>351</v>
      </c>
      <c r="V9" s="74">
        <v>43690</v>
      </c>
      <c r="W9" s="74">
        <v>43739</v>
      </c>
      <c r="X9" s="55">
        <v>10092999</v>
      </c>
      <c r="Y9" s="74" t="s">
        <v>140</v>
      </c>
      <c r="Z9" s="74"/>
      <c r="AB9" s="55" t="s">
        <v>140</v>
      </c>
      <c r="AC9" s="55" t="s">
        <v>140</v>
      </c>
    </row>
    <row r="10" spans="1:29" ht="13" x14ac:dyDescent="0.15">
      <c r="A10" s="72" t="str">
        <f t="shared" si="0"/>
        <v>Ofsted Social Care Provider Webpage</v>
      </c>
      <c r="B10" s="55">
        <v>1027084</v>
      </c>
      <c r="D10" s="55" t="s">
        <v>358</v>
      </c>
      <c r="E10" s="74">
        <v>41754</v>
      </c>
      <c r="F10" s="55" t="s">
        <v>344</v>
      </c>
      <c r="G10" s="55" t="s">
        <v>366</v>
      </c>
      <c r="H10" s="55" t="s">
        <v>360</v>
      </c>
      <c r="I10" s="55" t="s">
        <v>360</v>
      </c>
      <c r="J10" s="55" t="s">
        <v>360</v>
      </c>
      <c r="K10" s="55" t="s">
        <v>360</v>
      </c>
      <c r="L10" s="55" t="s">
        <v>360</v>
      </c>
      <c r="M10" s="55" t="s">
        <v>136</v>
      </c>
      <c r="N10" s="55" t="s">
        <v>136</v>
      </c>
      <c r="O10" s="55" t="s">
        <v>230</v>
      </c>
      <c r="P10" s="55" t="s">
        <v>230</v>
      </c>
      <c r="Q10" s="55" t="s">
        <v>362</v>
      </c>
      <c r="R10" s="55"/>
      <c r="S10" s="74"/>
      <c r="T10" s="55" t="s">
        <v>367</v>
      </c>
      <c r="U10" s="73" t="s">
        <v>351</v>
      </c>
      <c r="V10" s="74">
        <v>43678</v>
      </c>
      <c r="W10" s="74">
        <v>43692</v>
      </c>
      <c r="X10" s="55">
        <v>10093000</v>
      </c>
      <c r="Y10" s="74" t="s">
        <v>132</v>
      </c>
      <c r="Z10" s="74"/>
      <c r="AB10" s="55" t="s">
        <v>132</v>
      </c>
      <c r="AC10" s="55" t="s">
        <v>132</v>
      </c>
    </row>
    <row r="11" spans="1:29" ht="13" x14ac:dyDescent="0.15">
      <c r="A11" s="72" t="str">
        <f t="shared" si="0"/>
        <v>Ofsted Social Care Provider Webpage</v>
      </c>
      <c r="B11" s="55">
        <v>1027092</v>
      </c>
      <c r="D11" s="55" t="s">
        <v>358</v>
      </c>
      <c r="E11" s="74">
        <v>42166</v>
      </c>
      <c r="F11" s="55" t="s">
        <v>344</v>
      </c>
      <c r="G11" s="55" t="s">
        <v>368</v>
      </c>
      <c r="H11" s="55" t="s">
        <v>360</v>
      </c>
      <c r="I11" s="55" t="s">
        <v>360</v>
      </c>
      <c r="J11" s="55" t="s">
        <v>360</v>
      </c>
      <c r="K11" s="55" t="s">
        <v>360</v>
      </c>
      <c r="L11" s="55" t="s">
        <v>360</v>
      </c>
      <c r="M11" s="55" t="s">
        <v>172</v>
      </c>
      <c r="N11" s="55" t="s">
        <v>172</v>
      </c>
      <c r="O11" s="55" t="s">
        <v>234</v>
      </c>
      <c r="P11" s="55" t="s">
        <v>369</v>
      </c>
      <c r="Q11" s="55" t="s">
        <v>362</v>
      </c>
      <c r="R11" s="55"/>
      <c r="S11" s="74"/>
      <c r="U11" s="73" t="s">
        <v>351</v>
      </c>
      <c r="V11" s="74">
        <v>43691</v>
      </c>
      <c r="W11" s="74">
        <v>43719</v>
      </c>
      <c r="X11" s="55">
        <v>10093004</v>
      </c>
      <c r="Y11" s="74" t="s">
        <v>140</v>
      </c>
      <c r="Z11" s="74"/>
      <c r="AB11" s="55" t="s">
        <v>140</v>
      </c>
      <c r="AC11" s="55" t="s">
        <v>140</v>
      </c>
    </row>
    <row r="12" spans="1:29" ht="13" x14ac:dyDescent="0.15">
      <c r="A12" s="72" t="str">
        <f t="shared" si="0"/>
        <v>Ofsted Social Care Provider Webpage</v>
      </c>
      <c r="B12" s="55">
        <v>1027093</v>
      </c>
      <c r="D12" s="55" t="s">
        <v>358</v>
      </c>
      <c r="E12" s="74">
        <v>42300</v>
      </c>
      <c r="F12" s="55" t="s">
        <v>344</v>
      </c>
      <c r="G12" s="55" t="s">
        <v>370</v>
      </c>
      <c r="H12" s="55" t="s">
        <v>360</v>
      </c>
      <c r="I12" s="55" t="s">
        <v>360</v>
      </c>
      <c r="J12" s="55" t="s">
        <v>360</v>
      </c>
      <c r="K12" s="55" t="s">
        <v>360</v>
      </c>
      <c r="L12" s="55" t="s">
        <v>360</v>
      </c>
      <c r="M12" s="55" t="s">
        <v>150</v>
      </c>
      <c r="N12" s="55" t="s">
        <v>150</v>
      </c>
      <c r="O12" s="55" t="s">
        <v>190</v>
      </c>
      <c r="P12" s="55" t="s">
        <v>371</v>
      </c>
      <c r="Q12" s="55" t="s">
        <v>350</v>
      </c>
      <c r="R12" s="55"/>
      <c r="S12" s="74"/>
      <c r="T12" s="55" t="s">
        <v>372</v>
      </c>
      <c r="U12" s="73" t="s">
        <v>351</v>
      </c>
      <c r="V12" s="74">
        <v>43676</v>
      </c>
      <c r="W12" s="74">
        <v>43704</v>
      </c>
      <c r="X12" s="55">
        <v>10093005</v>
      </c>
      <c r="Y12" s="74" t="s">
        <v>140</v>
      </c>
      <c r="Z12" s="74"/>
      <c r="AB12" s="55" t="s">
        <v>140</v>
      </c>
      <c r="AC12" s="55" t="s">
        <v>140</v>
      </c>
    </row>
    <row r="13" spans="1:29" ht="13" x14ac:dyDescent="0.15">
      <c r="A13" s="72" t="str">
        <f t="shared" si="0"/>
        <v>Ofsted Social Care Provider Webpage</v>
      </c>
      <c r="B13" s="55">
        <v>1027158</v>
      </c>
      <c r="D13" s="55" t="s">
        <v>373</v>
      </c>
      <c r="E13" s="74">
        <v>42251</v>
      </c>
      <c r="F13" s="55" t="s">
        <v>344</v>
      </c>
      <c r="G13" s="55" t="s">
        <v>360</v>
      </c>
      <c r="H13" s="55" t="s">
        <v>360</v>
      </c>
      <c r="I13" s="55" t="s">
        <v>360</v>
      </c>
      <c r="J13" s="55" t="s">
        <v>360</v>
      </c>
      <c r="K13" s="55" t="s">
        <v>360</v>
      </c>
      <c r="L13" s="55" t="s">
        <v>360</v>
      </c>
      <c r="M13" s="55" t="s">
        <v>138</v>
      </c>
      <c r="N13" s="55" t="s">
        <v>138</v>
      </c>
      <c r="O13" s="55" t="s">
        <v>224</v>
      </c>
      <c r="P13" s="55" t="s">
        <v>374</v>
      </c>
      <c r="Q13" s="55" t="s">
        <v>350</v>
      </c>
      <c r="R13" s="55">
        <v>6</v>
      </c>
      <c r="S13" s="74"/>
      <c r="T13" s="55" t="s">
        <v>375</v>
      </c>
      <c r="U13" s="73" t="s">
        <v>351</v>
      </c>
      <c r="V13" s="74">
        <v>44481</v>
      </c>
      <c r="W13" s="74">
        <v>44516</v>
      </c>
      <c r="X13" s="55">
        <v>10185778</v>
      </c>
      <c r="Y13" s="74" t="s">
        <v>132</v>
      </c>
      <c r="Z13" s="74"/>
      <c r="AB13" s="55" t="s">
        <v>132</v>
      </c>
      <c r="AC13" s="55" t="s">
        <v>132</v>
      </c>
    </row>
    <row r="14" spans="1:29" ht="13" x14ac:dyDescent="0.15">
      <c r="A14" s="72" t="str">
        <f t="shared" si="0"/>
        <v>Ofsted Social Care Provider Webpage</v>
      </c>
      <c r="B14" s="55">
        <v>1027164</v>
      </c>
      <c r="D14" s="55" t="s">
        <v>373</v>
      </c>
      <c r="E14" s="74">
        <v>42226</v>
      </c>
      <c r="F14" s="55" t="s">
        <v>344</v>
      </c>
      <c r="G14" s="55" t="s">
        <v>360</v>
      </c>
      <c r="H14" s="55" t="s">
        <v>360</v>
      </c>
      <c r="I14" s="55" t="s">
        <v>360</v>
      </c>
      <c r="J14" s="55" t="s">
        <v>360</v>
      </c>
      <c r="K14" s="55" t="s">
        <v>360</v>
      </c>
      <c r="L14" s="55" t="s">
        <v>360</v>
      </c>
      <c r="M14" s="55" t="s">
        <v>144</v>
      </c>
      <c r="N14" s="55" t="s">
        <v>144</v>
      </c>
      <c r="O14" s="55" t="s">
        <v>163</v>
      </c>
      <c r="P14" s="55" t="s">
        <v>376</v>
      </c>
      <c r="Q14" s="55" t="s">
        <v>350</v>
      </c>
      <c r="R14" s="55">
        <v>6</v>
      </c>
      <c r="S14" s="74"/>
      <c r="T14" s="55" t="s">
        <v>377</v>
      </c>
      <c r="U14" s="73" t="s">
        <v>351</v>
      </c>
      <c r="V14" s="74">
        <v>44607</v>
      </c>
      <c r="W14" s="74">
        <v>44651</v>
      </c>
      <c r="X14" s="55">
        <v>10186122</v>
      </c>
      <c r="Y14" s="74" t="s">
        <v>140</v>
      </c>
      <c r="Z14" s="74"/>
      <c r="AB14" s="55" t="s">
        <v>140</v>
      </c>
      <c r="AC14" s="55" t="s">
        <v>140</v>
      </c>
    </row>
    <row r="15" spans="1:29" ht="13" x14ac:dyDescent="0.15">
      <c r="A15" s="72" t="str">
        <f t="shared" si="0"/>
        <v>Ofsted Social Care Provider Webpage</v>
      </c>
      <c r="B15" s="55">
        <v>1155757</v>
      </c>
      <c r="D15" s="55" t="s">
        <v>373</v>
      </c>
      <c r="E15" s="74">
        <v>42142</v>
      </c>
      <c r="F15" s="55" t="s">
        <v>344</v>
      </c>
      <c r="G15" s="55" t="s">
        <v>360</v>
      </c>
      <c r="H15" s="55" t="s">
        <v>360</v>
      </c>
      <c r="I15" s="55" t="s">
        <v>360</v>
      </c>
      <c r="J15" s="55" t="s">
        <v>360</v>
      </c>
      <c r="K15" s="55" t="s">
        <v>360</v>
      </c>
      <c r="L15" s="55" t="s">
        <v>360</v>
      </c>
      <c r="M15" s="55" t="s">
        <v>378</v>
      </c>
      <c r="N15" s="55" t="s">
        <v>170</v>
      </c>
      <c r="O15" s="55" t="s">
        <v>233</v>
      </c>
      <c r="P15" s="55" t="s">
        <v>379</v>
      </c>
      <c r="Q15" s="55" t="s">
        <v>380</v>
      </c>
      <c r="R15" s="55">
        <v>3</v>
      </c>
      <c r="S15" s="74"/>
      <c r="T15" s="55" t="s">
        <v>381</v>
      </c>
      <c r="U15" s="73" t="s">
        <v>351</v>
      </c>
      <c r="V15" s="74">
        <v>44586</v>
      </c>
      <c r="W15" s="74">
        <v>44613</v>
      </c>
      <c r="X15" s="55">
        <v>10186718</v>
      </c>
      <c r="Y15" s="74" t="s">
        <v>130</v>
      </c>
      <c r="Z15" s="74"/>
      <c r="AB15" s="55" t="s">
        <v>130</v>
      </c>
      <c r="AC15" s="55" t="s">
        <v>130</v>
      </c>
    </row>
    <row r="16" spans="1:29" ht="13" x14ac:dyDescent="0.15">
      <c r="A16" s="72" t="str">
        <f t="shared" si="0"/>
        <v>Ofsted Social Care Provider Webpage</v>
      </c>
      <c r="B16" s="55">
        <v>1155761</v>
      </c>
      <c r="D16" s="55" t="s">
        <v>373</v>
      </c>
      <c r="E16" s="74">
        <v>42285</v>
      </c>
      <c r="F16" s="55" t="s">
        <v>344</v>
      </c>
      <c r="G16" s="55" t="s">
        <v>360</v>
      </c>
      <c r="H16" s="55" t="s">
        <v>360</v>
      </c>
      <c r="I16" s="55" t="s">
        <v>360</v>
      </c>
      <c r="J16" s="55" t="s">
        <v>360</v>
      </c>
      <c r="K16" s="55" t="s">
        <v>360</v>
      </c>
      <c r="L16" s="55" t="s">
        <v>360</v>
      </c>
      <c r="M16" s="55" t="s">
        <v>136</v>
      </c>
      <c r="N16" s="55" t="s">
        <v>136</v>
      </c>
      <c r="O16" s="55" t="s">
        <v>185</v>
      </c>
      <c r="P16" s="55" t="s">
        <v>382</v>
      </c>
      <c r="Q16" s="55" t="s">
        <v>350</v>
      </c>
      <c r="R16" s="55">
        <v>3</v>
      </c>
      <c r="S16" s="74"/>
      <c r="T16" s="55" t="s">
        <v>383</v>
      </c>
      <c r="U16" s="73" t="s">
        <v>351</v>
      </c>
      <c r="V16" s="74">
        <v>44481</v>
      </c>
      <c r="W16" s="74">
        <v>44505</v>
      </c>
      <c r="X16" s="55">
        <v>10186353</v>
      </c>
      <c r="Y16" s="74" t="s">
        <v>132</v>
      </c>
      <c r="Z16" s="74"/>
      <c r="AB16" s="55" t="s">
        <v>132</v>
      </c>
      <c r="AC16" s="55" t="s">
        <v>132</v>
      </c>
    </row>
    <row r="17" spans="1:29" ht="13" x14ac:dyDescent="0.15">
      <c r="A17" s="72" t="str">
        <f t="shared" si="0"/>
        <v>Ofsted Social Care Provider Webpage</v>
      </c>
      <c r="B17" s="55">
        <v>1155775</v>
      </c>
      <c r="D17" s="55" t="s">
        <v>373</v>
      </c>
      <c r="E17" s="74">
        <v>42271</v>
      </c>
      <c r="F17" s="55" t="s">
        <v>344</v>
      </c>
      <c r="G17" s="55" t="s">
        <v>360</v>
      </c>
      <c r="H17" s="55" t="s">
        <v>360</v>
      </c>
      <c r="I17" s="55" t="s">
        <v>360</v>
      </c>
      <c r="J17" s="55" t="s">
        <v>360</v>
      </c>
      <c r="K17" s="55" t="s">
        <v>360</v>
      </c>
      <c r="L17" s="55" t="s">
        <v>360</v>
      </c>
      <c r="M17" s="55" t="s">
        <v>144</v>
      </c>
      <c r="N17" s="55" t="s">
        <v>144</v>
      </c>
      <c r="O17" s="55" t="s">
        <v>217</v>
      </c>
      <c r="P17" s="55" t="s">
        <v>384</v>
      </c>
      <c r="Q17" s="55" t="s">
        <v>350</v>
      </c>
      <c r="R17" s="55">
        <v>1</v>
      </c>
      <c r="S17" s="74"/>
      <c r="T17" s="55" t="s">
        <v>385</v>
      </c>
      <c r="U17" s="73" t="s">
        <v>351</v>
      </c>
      <c r="V17" s="74">
        <v>44341</v>
      </c>
      <c r="W17" s="74">
        <v>44382</v>
      </c>
      <c r="X17" s="55">
        <v>10187231</v>
      </c>
      <c r="Y17" s="74" t="s">
        <v>132</v>
      </c>
      <c r="Z17" s="74"/>
      <c r="AB17" s="55" t="s">
        <v>132</v>
      </c>
      <c r="AC17" s="55" t="s">
        <v>130</v>
      </c>
    </row>
    <row r="18" spans="1:29" ht="13" x14ac:dyDescent="0.15">
      <c r="A18" s="72" t="str">
        <f t="shared" si="0"/>
        <v>Ofsted Social Care Provider Webpage</v>
      </c>
      <c r="B18" s="55">
        <v>1155780</v>
      </c>
      <c r="D18" s="55" t="s">
        <v>373</v>
      </c>
      <c r="E18" s="74">
        <v>42324</v>
      </c>
      <c r="F18" s="55" t="s">
        <v>344</v>
      </c>
      <c r="G18" s="55" t="s">
        <v>360</v>
      </c>
      <c r="H18" s="55" t="s">
        <v>360</v>
      </c>
      <c r="I18" s="55" t="s">
        <v>360</v>
      </c>
      <c r="J18" s="55" t="s">
        <v>360</v>
      </c>
      <c r="K18" s="55" t="s">
        <v>360</v>
      </c>
      <c r="L18" s="55" t="s">
        <v>360</v>
      </c>
      <c r="M18" s="55" t="s">
        <v>142</v>
      </c>
      <c r="N18" s="55" t="s">
        <v>142</v>
      </c>
      <c r="O18" s="55" t="s">
        <v>252</v>
      </c>
      <c r="P18" s="55" t="s">
        <v>386</v>
      </c>
      <c r="Q18" s="55" t="s">
        <v>350</v>
      </c>
      <c r="R18" s="55">
        <v>4</v>
      </c>
      <c r="S18" s="74"/>
      <c r="T18" s="55" t="s">
        <v>385</v>
      </c>
      <c r="U18" s="73" t="s">
        <v>351</v>
      </c>
      <c r="V18" s="74">
        <v>44370</v>
      </c>
      <c r="W18" s="74">
        <v>44417</v>
      </c>
      <c r="X18" s="55">
        <v>10186293</v>
      </c>
      <c r="Y18" s="74" t="s">
        <v>140</v>
      </c>
      <c r="Z18" s="74"/>
      <c r="AB18" s="55" t="s">
        <v>140</v>
      </c>
      <c r="AC18" s="55" t="s">
        <v>140</v>
      </c>
    </row>
    <row r="19" spans="1:29" ht="13" x14ac:dyDescent="0.15">
      <c r="A19" s="72" t="str">
        <f t="shared" si="0"/>
        <v>Ofsted Social Care Provider Webpage</v>
      </c>
      <c r="B19" s="55">
        <v>1156098</v>
      </c>
      <c r="D19" s="55" t="s">
        <v>373</v>
      </c>
      <c r="E19" s="74">
        <v>42375</v>
      </c>
      <c r="F19" s="55" t="s">
        <v>344</v>
      </c>
      <c r="G19" s="55" t="s">
        <v>360</v>
      </c>
      <c r="H19" s="55" t="s">
        <v>360</v>
      </c>
      <c r="I19" s="55" t="s">
        <v>360</v>
      </c>
      <c r="J19" s="55" t="s">
        <v>360</v>
      </c>
      <c r="K19" s="55" t="s">
        <v>360</v>
      </c>
      <c r="L19" s="55" t="s">
        <v>360</v>
      </c>
      <c r="M19" s="55" t="s">
        <v>144</v>
      </c>
      <c r="N19" s="55" t="s">
        <v>144</v>
      </c>
      <c r="O19" s="55" t="s">
        <v>147</v>
      </c>
      <c r="P19" s="55" t="s">
        <v>387</v>
      </c>
      <c r="Q19" s="55" t="s">
        <v>350</v>
      </c>
      <c r="R19" s="55">
        <v>3</v>
      </c>
      <c r="S19" s="74"/>
      <c r="T19" s="55" t="s">
        <v>385</v>
      </c>
      <c r="U19" s="73" t="s">
        <v>351</v>
      </c>
      <c r="V19" s="74">
        <v>44545</v>
      </c>
      <c r="W19" s="74">
        <v>44593</v>
      </c>
      <c r="X19" s="55">
        <v>10187624</v>
      </c>
      <c r="Y19" s="74" t="s">
        <v>130</v>
      </c>
      <c r="Z19" s="74"/>
      <c r="AB19" s="55" t="s">
        <v>130</v>
      </c>
      <c r="AC19" s="55" t="s">
        <v>130</v>
      </c>
    </row>
    <row r="20" spans="1:29" ht="13" x14ac:dyDescent="0.15">
      <c r="A20" s="72" t="str">
        <f t="shared" si="0"/>
        <v>Ofsted Social Care Provider Webpage</v>
      </c>
      <c r="B20" s="55">
        <v>1156103</v>
      </c>
      <c r="D20" s="55" t="s">
        <v>373</v>
      </c>
      <c r="E20" s="74">
        <v>42390</v>
      </c>
      <c r="F20" s="55" t="s">
        <v>344</v>
      </c>
      <c r="G20" s="55" t="s">
        <v>360</v>
      </c>
      <c r="H20" s="55" t="s">
        <v>360</v>
      </c>
      <c r="I20" s="55" t="s">
        <v>360</v>
      </c>
      <c r="J20" s="55" t="s">
        <v>360</v>
      </c>
      <c r="K20" s="55" t="s">
        <v>360</v>
      </c>
      <c r="L20" s="55" t="s">
        <v>360</v>
      </c>
      <c r="M20" s="55" t="s">
        <v>142</v>
      </c>
      <c r="N20" s="55" t="s">
        <v>142</v>
      </c>
      <c r="O20" s="55" t="s">
        <v>252</v>
      </c>
      <c r="P20" s="55" t="s">
        <v>388</v>
      </c>
      <c r="Q20" s="55" t="s">
        <v>350</v>
      </c>
      <c r="R20" s="55">
        <v>4</v>
      </c>
      <c r="S20" s="74"/>
      <c r="T20" s="55" t="s">
        <v>385</v>
      </c>
      <c r="U20" s="73" t="s">
        <v>351</v>
      </c>
      <c r="V20" s="74">
        <v>43677</v>
      </c>
      <c r="W20" s="74">
        <v>43700</v>
      </c>
      <c r="X20" s="55">
        <v>10097654</v>
      </c>
      <c r="Y20" s="74" t="s">
        <v>132</v>
      </c>
      <c r="Z20" s="74"/>
      <c r="AB20" s="55" t="s">
        <v>132</v>
      </c>
      <c r="AC20" s="55" t="s">
        <v>132</v>
      </c>
    </row>
    <row r="21" spans="1:29" ht="13" x14ac:dyDescent="0.15">
      <c r="A21" s="72" t="str">
        <f t="shared" si="0"/>
        <v>Ofsted Social Care Provider Webpage</v>
      </c>
      <c r="B21" s="55">
        <v>1156149</v>
      </c>
      <c r="D21" s="55" t="s">
        <v>389</v>
      </c>
      <c r="E21" s="74">
        <v>42292</v>
      </c>
      <c r="F21" s="55" t="s">
        <v>344</v>
      </c>
      <c r="G21" s="55" t="s">
        <v>390</v>
      </c>
      <c r="H21" s="55" t="s">
        <v>391</v>
      </c>
      <c r="I21" s="55" t="s">
        <v>392</v>
      </c>
      <c r="J21" s="55" t="s">
        <v>393</v>
      </c>
      <c r="L21" s="55" t="s">
        <v>394</v>
      </c>
      <c r="M21" s="55" t="s">
        <v>150</v>
      </c>
      <c r="N21" s="55" t="s">
        <v>150</v>
      </c>
      <c r="O21" s="55" t="s">
        <v>268</v>
      </c>
      <c r="P21" s="55" t="s">
        <v>395</v>
      </c>
      <c r="Q21" s="55" t="s">
        <v>350</v>
      </c>
      <c r="R21" s="55"/>
      <c r="S21" s="74"/>
      <c r="T21" s="55" t="s">
        <v>396</v>
      </c>
      <c r="U21" s="73" t="s">
        <v>351</v>
      </c>
      <c r="V21" s="74">
        <v>43885</v>
      </c>
      <c r="W21" s="74">
        <v>43928</v>
      </c>
      <c r="X21" s="55">
        <v>10138311</v>
      </c>
      <c r="Y21" s="74" t="s">
        <v>132</v>
      </c>
      <c r="Z21" s="74"/>
      <c r="AB21" s="55" t="s">
        <v>132</v>
      </c>
      <c r="AC21" s="55" t="s">
        <v>130</v>
      </c>
    </row>
    <row r="22" spans="1:29" ht="13" x14ac:dyDescent="0.15">
      <c r="A22" s="72" t="str">
        <f t="shared" si="0"/>
        <v>Ofsted Social Care Provider Webpage</v>
      </c>
      <c r="B22" s="55">
        <v>1159258</v>
      </c>
      <c r="D22" s="55" t="s">
        <v>373</v>
      </c>
      <c r="E22" s="74">
        <v>42291</v>
      </c>
      <c r="F22" s="55" t="s">
        <v>344</v>
      </c>
      <c r="G22" s="55" t="s">
        <v>360</v>
      </c>
      <c r="H22" s="55" t="s">
        <v>360</v>
      </c>
      <c r="I22" s="55" t="s">
        <v>360</v>
      </c>
      <c r="J22" s="55" t="s">
        <v>360</v>
      </c>
      <c r="K22" s="55" t="s">
        <v>360</v>
      </c>
      <c r="L22" s="55" t="s">
        <v>360</v>
      </c>
      <c r="M22" s="55" t="s">
        <v>144</v>
      </c>
      <c r="N22" s="55" t="s">
        <v>144</v>
      </c>
      <c r="O22" s="55" t="s">
        <v>217</v>
      </c>
      <c r="P22" s="55" t="s">
        <v>397</v>
      </c>
      <c r="Q22" s="55" t="s">
        <v>350</v>
      </c>
      <c r="R22" s="55">
        <v>4</v>
      </c>
      <c r="S22" s="74"/>
      <c r="T22" s="55" t="s">
        <v>385</v>
      </c>
      <c r="U22" s="73" t="s">
        <v>351</v>
      </c>
      <c r="V22" s="74">
        <v>44321</v>
      </c>
      <c r="W22" s="74">
        <v>44351</v>
      </c>
      <c r="X22" s="55">
        <v>10185349</v>
      </c>
      <c r="Y22" s="74" t="s">
        <v>132</v>
      </c>
      <c r="Z22" s="74"/>
      <c r="AB22" s="55" t="s">
        <v>132</v>
      </c>
      <c r="AC22" s="55" t="s">
        <v>132</v>
      </c>
    </row>
    <row r="23" spans="1:29" ht="13" x14ac:dyDescent="0.15">
      <c r="A23" s="72" t="str">
        <f t="shared" si="0"/>
        <v>Ofsted Social Care Provider Webpage</v>
      </c>
      <c r="B23" s="55">
        <v>1159262</v>
      </c>
      <c r="C23" s="55">
        <v>138602</v>
      </c>
      <c r="D23" s="55" t="s">
        <v>398</v>
      </c>
      <c r="E23" s="74">
        <v>42248</v>
      </c>
      <c r="F23" s="55" t="s">
        <v>344</v>
      </c>
      <c r="G23" s="55" t="s">
        <v>399</v>
      </c>
      <c r="H23" s="55" t="s">
        <v>400</v>
      </c>
      <c r="I23" s="55" t="s">
        <v>401</v>
      </c>
      <c r="J23" s="55" t="s">
        <v>402</v>
      </c>
      <c r="K23" s="55" t="s">
        <v>237</v>
      </c>
      <c r="L23" s="55" t="s">
        <v>403</v>
      </c>
      <c r="M23" s="55" t="s">
        <v>150</v>
      </c>
      <c r="N23" s="55" t="s">
        <v>150</v>
      </c>
      <c r="O23" s="55" t="s">
        <v>237</v>
      </c>
      <c r="P23" s="55" t="s">
        <v>404</v>
      </c>
      <c r="Q23" s="55" t="s">
        <v>350</v>
      </c>
      <c r="R23" s="55">
        <v>171</v>
      </c>
      <c r="S23" s="74"/>
      <c r="T23" s="55" t="s">
        <v>405</v>
      </c>
      <c r="U23" s="73" t="s">
        <v>351</v>
      </c>
      <c r="V23" s="74">
        <v>43753</v>
      </c>
      <c r="W23" s="74">
        <v>43775</v>
      </c>
      <c r="X23" s="55">
        <v>10092972</v>
      </c>
      <c r="Y23" s="74" t="s">
        <v>132</v>
      </c>
      <c r="Z23" s="74"/>
      <c r="AB23" s="55" t="s">
        <v>132</v>
      </c>
      <c r="AC23" s="55" t="s">
        <v>132</v>
      </c>
    </row>
    <row r="24" spans="1:29" ht="13" x14ac:dyDescent="0.15">
      <c r="A24" s="72" t="str">
        <f t="shared" si="0"/>
        <v>Ofsted Social Care Provider Webpage</v>
      </c>
      <c r="B24" s="55">
        <v>1159264</v>
      </c>
      <c r="C24" s="55">
        <v>138384</v>
      </c>
      <c r="D24" s="55" t="s">
        <v>398</v>
      </c>
      <c r="E24" s="74">
        <v>42370</v>
      </c>
      <c r="F24" s="55" t="s">
        <v>344</v>
      </c>
      <c r="G24" s="55" t="s">
        <v>406</v>
      </c>
      <c r="H24" s="55" t="s">
        <v>407</v>
      </c>
      <c r="I24" s="55" t="s">
        <v>408</v>
      </c>
      <c r="J24" s="55" t="s">
        <v>129</v>
      </c>
      <c r="L24" s="55" t="s">
        <v>409</v>
      </c>
      <c r="M24" s="55" t="s">
        <v>129</v>
      </c>
      <c r="N24" s="55" t="s">
        <v>129</v>
      </c>
      <c r="O24" s="55" t="s">
        <v>155</v>
      </c>
      <c r="P24" s="55" t="s">
        <v>410</v>
      </c>
      <c r="Q24" s="55" t="s">
        <v>350</v>
      </c>
      <c r="R24" s="55">
        <v>352</v>
      </c>
      <c r="S24" s="74"/>
      <c r="T24" s="55" t="s">
        <v>411</v>
      </c>
      <c r="U24" s="73" t="s">
        <v>351</v>
      </c>
      <c r="V24" s="74">
        <v>44530</v>
      </c>
      <c r="W24" s="74">
        <v>44582</v>
      </c>
      <c r="X24" s="55">
        <v>10183312</v>
      </c>
      <c r="Y24" s="74" t="s">
        <v>132</v>
      </c>
      <c r="Z24" s="74"/>
      <c r="AB24" s="55" t="s">
        <v>132</v>
      </c>
      <c r="AC24" s="55" t="s">
        <v>132</v>
      </c>
    </row>
    <row r="25" spans="1:29" ht="13" x14ac:dyDescent="0.15">
      <c r="A25" s="72" t="str">
        <f t="shared" si="0"/>
        <v>Ofsted Social Care Provider Webpage</v>
      </c>
      <c r="B25" s="55">
        <v>1159272</v>
      </c>
      <c r="D25" s="55" t="s">
        <v>373</v>
      </c>
      <c r="E25" s="74">
        <v>42284</v>
      </c>
      <c r="F25" s="55" t="s">
        <v>344</v>
      </c>
      <c r="G25" s="55" t="s">
        <v>360</v>
      </c>
      <c r="H25" s="55" t="s">
        <v>360</v>
      </c>
      <c r="I25" s="55" t="s">
        <v>360</v>
      </c>
      <c r="J25" s="55" t="s">
        <v>360</v>
      </c>
      <c r="K25" s="55" t="s">
        <v>360</v>
      </c>
      <c r="L25" s="55" t="s">
        <v>360</v>
      </c>
      <c r="M25" s="55" t="s">
        <v>378</v>
      </c>
      <c r="N25" s="55" t="s">
        <v>134</v>
      </c>
      <c r="O25" s="55" t="s">
        <v>232</v>
      </c>
      <c r="P25" s="55" t="s">
        <v>412</v>
      </c>
      <c r="Q25" s="55" t="s">
        <v>350</v>
      </c>
      <c r="R25" s="55">
        <v>4</v>
      </c>
      <c r="S25" s="74"/>
      <c r="T25" s="55" t="s">
        <v>385</v>
      </c>
      <c r="U25" s="73" t="s">
        <v>351</v>
      </c>
      <c r="V25" s="74">
        <v>44322</v>
      </c>
      <c r="W25" s="74">
        <v>44375</v>
      </c>
      <c r="X25" s="55">
        <v>10185574</v>
      </c>
      <c r="Y25" s="74" t="s">
        <v>146</v>
      </c>
      <c r="Z25" s="74"/>
      <c r="AB25" s="55" t="s">
        <v>146</v>
      </c>
      <c r="AC25" s="55" t="s">
        <v>146</v>
      </c>
    </row>
    <row r="26" spans="1:29" ht="13" x14ac:dyDescent="0.15">
      <c r="A26" s="72" t="str">
        <f t="shared" si="0"/>
        <v>Ofsted Social Care Provider Webpage</v>
      </c>
      <c r="B26" s="55">
        <v>1159380</v>
      </c>
      <c r="C26" s="55">
        <v>141957</v>
      </c>
      <c r="D26" s="55" t="s">
        <v>413</v>
      </c>
      <c r="E26" s="74">
        <v>42125</v>
      </c>
      <c r="F26" s="55" t="s">
        <v>344</v>
      </c>
      <c r="G26" s="55" t="s">
        <v>414</v>
      </c>
      <c r="H26" s="55" t="s">
        <v>415</v>
      </c>
      <c r="I26" s="55" t="s">
        <v>416</v>
      </c>
      <c r="J26" s="55" t="s">
        <v>417</v>
      </c>
      <c r="K26" s="55" t="s">
        <v>203</v>
      </c>
      <c r="L26" s="55" t="s">
        <v>418</v>
      </c>
      <c r="M26" s="55" t="s">
        <v>150</v>
      </c>
      <c r="N26" s="55" t="s">
        <v>150</v>
      </c>
      <c r="O26" s="55" t="s">
        <v>203</v>
      </c>
      <c r="P26" s="55" t="s">
        <v>419</v>
      </c>
      <c r="Q26" s="55" t="s">
        <v>420</v>
      </c>
      <c r="R26" s="55">
        <v>18</v>
      </c>
      <c r="S26" s="74"/>
      <c r="T26" s="55" t="s">
        <v>421</v>
      </c>
      <c r="U26" s="73" t="s">
        <v>351</v>
      </c>
      <c r="V26" s="74">
        <v>44594</v>
      </c>
      <c r="W26" s="74">
        <v>44657</v>
      </c>
      <c r="X26" s="55">
        <v>10183550</v>
      </c>
      <c r="Y26" s="74" t="s">
        <v>132</v>
      </c>
      <c r="Z26" s="74"/>
      <c r="AB26" s="55" t="s">
        <v>132</v>
      </c>
      <c r="AC26" s="55" t="s">
        <v>132</v>
      </c>
    </row>
    <row r="27" spans="1:29" ht="13" x14ac:dyDescent="0.15">
      <c r="A27" s="72" t="str">
        <f t="shared" si="0"/>
        <v>Ofsted Social Care Provider Webpage</v>
      </c>
      <c r="B27" s="55">
        <v>1159385</v>
      </c>
      <c r="D27" s="55" t="s">
        <v>373</v>
      </c>
      <c r="E27" s="74">
        <v>42535</v>
      </c>
      <c r="F27" s="55" t="s">
        <v>344</v>
      </c>
      <c r="G27" s="55" t="s">
        <v>360</v>
      </c>
      <c r="H27" s="55" t="s">
        <v>360</v>
      </c>
      <c r="I27" s="55" t="s">
        <v>360</v>
      </c>
      <c r="J27" s="55" t="s">
        <v>360</v>
      </c>
      <c r="K27" s="55" t="s">
        <v>360</v>
      </c>
      <c r="L27" s="55" t="s">
        <v>360</v>
      </c>
      <c r="M27" s="55" t="s">
        <v>142</v>
      </c>
      <c r="N27" s="55" t="s">
        <v>142</v>
      </c>
      <c r="O27" s="55" t="s">
        <v>252</v>
      </c>
      <c r="P27" s="55" t="s">
        <v>386</v>
      </c>
      <c r="Q27" s="55" t="s">
        <v>350</v>
      </c>
      <c r="R27" s="55">
        <v>4</v>
      </c>
      <c r="S27" s="74"/>
      <c r="T27" s="55" t="s">
        <v>385</v>
      </c>
      <c r="U27" s="73" t="s">
        <v>351</v>
      </c>
      <c r="V27" s="74">
        <v>44488</v>
      </c>
      <c r="W27" s="74">
        <v>44539</v>
      </c>
      <c r="X27" s="55">
        <v>10186121</v>
      </c>
      <c r="Y27" s="74" t="s">
        <v>132</v>
      </c>
      <c r="Z27" s="74"/>
      <c r="AB27" s="55" t="s">
        <v>132</v>
      </c>
      <c r="AC27" s="55" t="s">
        <v>130</v>
      </c>
    </row>
    <row r="28" spans="1:29" ht="13" x14ac:dyDescent="0.15">
      <c r="A28" s="72" t="str">
        <f t="shared" si="0"/>
        <v>Ofsted Social Care Provider Webpage</v>
      </c>
      <c r="B28" s="55">
        <v>1159390</v>
      </c>
      <c r="D28" s="55" t="s">
        <v>358</v>
      </c>
      <c r="E28" s="74">
        <v>42305</v>
      </c>
      <c r="F28" s="55" t="s">
        <v>344</v>
      </c>
      <c r="G28" s="55" t="s">
        <v>422</v>
      </c>
      <c r="H28" s="55" t="s">
        <v>360</v>
      </c>
      <c r="I28" s="55" t="s">
        <v>360</v>
      </c>
      <c r="J28" s="55" t="s">
        <v>360</v>
      </c>
      <c r="K28" s="55" t="s">
        <v>360</v>
      </c>
      <c r="L28" s="55" t="s">
        <v>360</v>
      </c>
      <c r="M28" s="55" t="s">
        <v>172</v>
      </c>
      <c r="N28" s="55" t="s">
        <v>172</v>
      </c>
      <c r="O28" s="55" t="s">
        <v>228</v>
      </c>
      <c r="P28" s="55" t="s">
        <v>423</v>
      </c>
      <c r="Q28" s="55" t="s">
        <v>350</v>
      </c>
      <c r="R28" s="55"/>
      <c r="S28" s="74"/>
      <c r="T28" s="55" t="s">
        <v>424</v>
      </c>
      <c r="U28" s="73" t="s">
        <v>351</v>
      </c>
      <c r="V28" s="74">
        <v>43675</v>
      </c>
      <c r="W28" s="74">
        <v>43711</v>
      </c>
      <c r="X28" s="55">
        <v>10093012</v>
      </c>
      <c r="Y28" s="74" t="s">
        <v>140</v>
      </c>
      <c r="Z28" s="74"/>
      <c r="AB28" s="55" t="s">
        <v>140</v>
      </c>
      <c r="AC28" s="55" t="s">
        <v>140</v>
      </c>
    </row>
    <row r="29" spans="1:29" ht="13" x14ac:dyDescent="0.15">
      <c r="A29" s="72" t="str">
        <f t="shared" si="0"/>
        <v>Ofsted Social Care Provider Webpage</v>
      </c>
      <c r="B29" s="55">
        <v>1159395</v>
      </c>
      <c r="C29" s="55">
        <v>114640</v>
      </c>
      <c r="D29" s="55" t="s">
        <v>398</v>
      </c>
      <c r="E29" s="74">
        <v>42248</v>
      </c>
      <c r="F29" s="55" t="s">
        <v>344</v>
      </c>
      <c r="G29" s="55" t="s">
        <v>425</v>
      </c>
      <c r="H29" s="55" t="s">
        <v>425</v>
      </c>
      <c r="I29" s="55" t="s">
        <v>426</v>
      </c>
      <c r="J29" s="55" t="s">
        <v>427</v>
      </c>
      <c r="K29" s="55" t="s">
        <v>181</v>
      </c>
      <c r="L29" s="55" t="s">
        <v>428</v>
      </c>
      <c r="M29" s="55" t="s">
        <v>150</v>
      </c>
      <c r="N29" s="55" t="s">
        <v>150</v>
      </c>
      <c r="O29" s="55" t="s">
        <v>181</v>
      </c>
      <c r="P29" s="55" t="s">
        <v>429</v>
      </c>
      <c r="Q29" s="55" t="s">
        <v>350</v>
      </c>
      <c r="R29" s="55">
        <v>104</v>
      </c>
      <c r="S29" s="74"/>
      <c r="T29" s="55" t="s">
        <v>430</v>
      </c>
      <c r="U29" s="73" t="s">
        <v>351</v>
      </c>
      <c r="V29" s="74">
        <v>44460</v>
      </c>
      <c r="W29" s="74">
        <v>44533</v>
      </c>
      <c r="X29" s="55">
        <v>10183307</v>
      </c>
      <c r="Y29" s="74" t="s">
        <v>140</v>
      </c>
      <c r="Z29" s="74"/>
      <c r="AB29" s="55" t="s">
        <v>132</v>
      </c>
      <c r="AC29" s="55" t="s">
        <v>140</v>
      </c>
    </row>
    <row r="30" spans="1:29" ht="13" x14ac:dyDescent="0.15">
      <c r="A30" s="72" t="str">
        <f t="shared" si="0"/>
        <v>Ofsted Social Care Provider Webpage</v>
      </c>
      <c r="B30" s="55">
        <v>1159397</v>
      </c>
      <c r="D30" s="55" t="s">
        <v>373</v>
      </c>
      <c r="E30" s="74">
        <v>42464</v>
      </c>
      <c r="F30" s="55" t="s">
        <v>344</v>
      </c>
      <c r="G30" s="55" t="s">
        <v>360</v>
      </c>
      <c r="H30" s="55" t="s">
        <v>360</v>
      </c>
      <c r="I30" s="55" t="s">
        <v>360</v>
      </c>
      <c r="J30" s="55" t="s">
        <v>360</v>
      </c>
      <c r="K30" s="55" t="s">
        <v>360</v>
      </c>
      <c r="L30" s="55" t="s">
        <v>360</v>
      </c>
      <c r="M30" s="55" t="s">
        <v>378</v>
      </c>
      <c r="N30" s="55" t="s">
        <v>134</v>
      </c>
      <c r="O30" s="55" t="s">
        <v>232</v>
      </c>
      <c r="P30" s="55" t="s">
        <v>412</v>
      </c>
      <c r="Q30" s="55" t="s">
        <v>350</v>
      </c>
      <c r="R30" s="55">
        <v>4</v>
      </c>
      <c r="S30" s="74"/>
      <c r="T30" s="55" t="s">
        <v>385</v>
      </c>
      <c r="U30" s="73" t="s">
        <v>351</v>
      </c>
      <c r="V30" s="74">
        <v>44419</v>
      </c>
      <c r="W30" s="74">
        <v>44453</v>
      </c>
      <c r="X30" s="55">
        <v>10185655</v>
      </c>
      <c r="Y30" s="74" t="s">
        <v>130</v>
      </c>
      <c r="Z30" s="74"/>
      <c r="AB30" s="55" t="s">
        <v>130</v>
      </c>
      <c r="AC30" s="55" t="s">
        <v>130</v>
      </c>
    </row>
    <row r="31" spans="1:29" ht="13" x14ac:dyDescent="0.15">
      <c r="A31" s="72" t="str">
        <f t="shared" si="0"/>
        <v>Ofsted Social Care Provider Webpage</v>
      </c>
      <c r="B31" s="55">
        <v>1159682</v>
      </c>
      <c r="D31" s="55" t="s">
        <v>373</v>
      </c>
      <c r="E31" s="74">
        <v>42269</v>
      </c>
      <c r="F31" s="55" t="s">
        <v>344</v>
      </c>
      <c r="G31" s="55" t="s">
        <v>360</v>
      </c>
      <c r="H31" s="55" t="s">
        <v>360</v>
      </c>
      <c r="I31" s="55" t="s">
        <v>360</v>
      </c>
      <c r="J31" s="55" t="s">
        <v>360</v>
      </c>
      <c r="K31" s="55" t="s">
        <v>360</v>
      </c>
      <c r="L31" s="55" t="s">
        <v>360</v>
      </c>
      <c r="M31" s="55" t="s">
        <v>129</v>
      </c>
      <c r="N31" s="55" t="s">
        <v>129</v>
      </c>
      <c r="O31" s="55" t="s">
        <v>201</v>
      </c>
      <c r="P31" s="55" t="s">
        <v>431</v>
      </c>
      <c r="Q31" s="55" t="s">
        <v>362</v>
      </c>
      <c r="R31" s="55">
        <v>4</v>
      </c>
      <c r="S31" s="74"/>
      <c r="T31" s="55" t="s">
        <v>432</v>
      </c>
      <c r="U31" s="73" t="s">
        <v>351</v>
      </c>
      <c r="V31" s="74">
        <v>44322</v>
      </c>
      <c r="W31" s="74">
        <v>44364</v>
      </c>
      <c r="X31" s="55">
        <v>10185107</v>
      </c>
      <c r="Y31" s="74" t="s">
        <v>132</v>
      </c>
      <c r="Z31" s="74"/>
      <c r="AB31" s="55" t="s">
        <v>132</v>
      </c>
      <c r="AC31" s="55" t="s">
        <v>132</v>
      </c>
    </row>
    <row r="32" spans="1:29" ht="13" x14ac:dyDescent="0.15">
      <c r="A32" s="72" t="str">
        <f t="shared" si="0"/>
        <v>Ofsted Social Care Provider Webpage</v>
      </c>
      <c r="B32" s="55">
        <v>1159755</v>
      </c>
      <c r="D32" s="55" t="s">
        <v>373</v>
      </c>
      <c r="E32" s="74">
        <v>42279</v>
      </c>
      <c r="F32" s="55" t="s">
        <v>344</v>
      </c>
      <c r="G32" s="55" t="s">
        <v>360</v>
      </c>
      <c r="H32" s="55" t="s">
        <v>360</v>
      </c>
      <c r="I32" s="55" t="s">
        <v>360</v>
      </c>
      <c r="J32" s="55" t="s">
        <v>360</v>
      </c>
      <c r="K32" s="55" t="s">
        <v>360</v>
      </c>
      <c r="L32" s="55" t="s">
        <v>360</v>
      </c>
      <c r="M32" s="55" t="s">
        <v>129</v>
      </c>
      <c r="N32" s="55" t="s">
        <v>129</v>
      </c>
      <c r="O32" s="55" t="s">
        <v>179</v>
      </c>
      <c r="P32" s="55" t="s">
        <v>433</v>
      </c>
      <c r="Q32" s="55" t="s">
        <v>362</v>
      </c>
      <c r="R32" s="55">
        <v>4</v>
      </c>
      <c r="S32" s="74"/>
      <c r="T32" s="55" t="s">
        <v>432</v>
      </c>
      <c r="U32" s="73" t="s">
        <v>351</v>
      </c>
      <c r="V32" s="74">
        <v>44587</v>
      </c>
      <c r="W32" s="74">
        <v>44620</v>
      </c>
      <c r="X32" s="55">
        <v>10186695</v>
      </c>
      <c r="Y32" s="74" t="s">
        <v>140</v>
      </c>
      <c r="Z32" s="74"/>
      <c r="AB32" s="55" t="s">
        <v>140</v>
      </c>
      <c r="AC32" s="55" t="s">
        <v>140</v>
      </c>
    </row>
    <row r="33" spans="1:29" ht="13" x14ac:dyDescent="0.15">
      <c r="A33" s="72" t="str">
        <f t="shared" si="0"/>
        <v>Ofsted Social Care Provider Webpage</v>
      </c>
      <c r="B33" s="55">
        <v>1159763</v>
      </c>
      <c r="D33" s="55" t="s">
        <v>373</v>
      </c>
      <c r="E33" s="74">
        <v>42255</v>
      </c>
      <c r="F33" s="55" t="s">
        <v>344</v>
      </c>
      <c r="G33" s="55" t="s">
        <v>360</v>
      </c>
      <c r="H33" s="55" t="s">
        <v>360</v>
      </c>
      <c r="I33" s="55" t="s">
        <v>360</v>
      </c>
      <c r="J33" s="55" t="s">
        <v>360</v>
      </c>
      <c r="K33" s="55" t="s">
        <v>360</v>
      </c>
      <c r="L33" s="55" t="s">
        <v>360</v>
      </c>
      <c r="M33" s="55" t="s">
        <v>378</v>
      </c>
      <c r="N33" s="55" t="s">
        <v>170</v>
      </c>
      <c r="O33" s="55" t="s">
        <v>169</v>
      </c>
      <c r="P33" s="55" t="s">
        <v>434</v>
      </c>
      <c r="Q33" s="55" t="s">
        <v>350</v>
      </c>
      <c r="R33" s="55">
        <v>7</v>
      </c>
      <c r="S33" s="74"/>
      <c r="T33" s="55" t="s">
        <v>435</v>
      </c>
      <c r="U33" s="73" t="s">
        <v>351</v>
      </c>
      <c r="V33" s="74">
        <v>43753</v>
      </c>
      <c r="W33" s="74">
        <v>43795</v>
      </c>
      <c r="X33" s="55">
        <v>10097232</v>
      </c>
      <c r="Y33" s="74" t="s">
        <v>132</v>
      </c>
      <c r="Z33" s="74"/>
      <c r="AB33" s="55" t="s">
        <v>132</v>
      </c>
      <c r="AC33" s="55" t="s">
        <v>132</v>
      </c>
    </row>
    <row r="34" spans="1:29" ht="13" x14ac:dyDescent="0.15">
      <c r="A34" s="72" t="str">
        <f t="shared" si="0"/>
        <v>Ofsted Social Care Provider Webpage</v>
      </c>
      <c r="B34" s="55">
        <v>1159868</v>
      </c>
      <c r="D34" s="55" t="s">
        <v>373</v>
      </c>
      <c r="E34" s="74">
        <v>42306</v>
      </c>
      <c r="F34" s="55" t="s">
        <v>344</v>
      </c>
      <c r="G34" s="55" t="s">
        <v>360</v>
      </c>
      <c r="H34" s="55" t="s">
        <v>360</v>
      </c>
      <c r="I34" s="55" t="s">
        <v>360</v>
      </c>
      <c r="J34" s="55" t="s">
        <v>360</v>
      </c>
      <c r="K34" s="55" t="s">
        <v>360</v>
      </c>
      <c r="L34" s="55" t="s">
        <v>360</v>
      </c>
      <c r="M34" s="55" t="s">
        <v>136</v>
      </c>
      <c r="N34" s="55" t="s">
        <v>136</v>
      </c>
      <c r="O34" s="55" t="s">
        <v>176</v>
      </c>
      <c r="P34" s="55" t="s">
        <v>436</v>
      </c>
      <c r="Q34" s="55" t="s">
        <v>350</v>
      </c>
      <c r="R34" s="55">
        <v>3</v>
      </c>
      <c r="S34" s="74"/>
      <c r="T34" s="55" t="s">
        <v>385</v>
      </c>
      <c r="U34" s="73" t="s">
        <v>351</v>
      </c>
      <c r="V34" s="74">
        <v>44383</v>
      </c>
      <c r="W34" s="74">
        <v>44413</v>
      </c>
      <c r="X34" s="55">
        <v>10193525</v>
      </c>
      <c r="Y34" s="74" t="s">
        <v>130</v>
      </c>
      <c r="Z34" s="74"/>
      <c r="AB34" s="55" t="s">
        <v>130</v>
      </c>
      <c r="AC34" s="55" t="s">
        <v>130</v>
      </c>
    </row>
    <row r="35" spans="1:29" ht="13" x14ac:dyDescent="0.15">
      <c r="A35" s="72" t="str">
        <f t="shared" si="0"/>
        <v>Ofsted Social Care Provider Webpage</v>
      </c>
      <c r="B35" s="55">
        <v>1159884</v>
      </c>
      <c r="D35" s="55" t="s">
        <v>373</v>
      </c>
      <c r="E35" s="74">
        <v>42436</v>
      </c>
      <c r="F35" s="55" t="s">
        <v>344</v>
      </c>
      <c r="G35" s="55" t="s">
        <v>360</v>
      </c>
      <c r="H35" s="55" t="s">
        <v>360</v>
      </c>
      <c r="I35" s="55" t="s">
        <v>360</v>
      </c>
      <c r="J35" s="55" t="s">
        <v>360</v>
      </c>
      <c r="K35" s="55" t="s">
        <v>360</v>
      </c>
      <c r="L35" s="55" t="s">
        <v>360</v>
      </c>
      <c r="M35" s="55" t="s">
        <v>378</v>
      </c>
      <c r="N35" s="55" t="s">
        <v>170</v>
      </c>
      <c r="O35" s="55" t="s">
        <v>264</v>
      </c>
      <c r="P35" s="55" t="s">
        <v>437</v>
      </c>
      <c r="Q35" s="55" t="s">
        <v>350</v>
      </c>
      <c r="R35" s="55">
        <v>5</v>
      </c>
      <c r="S35" s="74"/>
      <c r="T35" s="55" t="s">
        <v>438</v>
      </c>
      <c r="U35" s="73" t="s">
        <v>351</v>
      </c>
      <c r="V35" s="74">
        <v>44585</v>
      </c>
      <c r="W35" s="74">
        <v>44624</v>
      </c>
      <c r="X35" s="55">
        <v>10187308</v>
      </c>
      <c r="Y35" s="74" t="s">
        <v>132</v>
      </c>
      <c r="Z35" s="74"/>
      <c r="AB35" s="55" t="s">
        <v>132</v>
      </c>
      <c r="AC35" s="55" t="s">
        <v>132</v>
      </c>
    </row>
    <row r="36" spans="1:29" ht="13" x14ac:dyDescent="0.15">
      <c r="A36" s="72" t="str">
        <f t="shared" si="0"/>
        <v>Ofsted Social Care Provider Webpage</v>
      </c>
      <c r="B36" s="55">
        <v>1159903</v>
      </c>
      <c r="D36" s="55" t="s">
        <v>373</v>
      </c>
      <c r="E36" s="74">
        <v>42285</v>
      </c>
      <c r="F36" s="55" t="s">
        <v>344</v>
      </c>
      <c r="G36" s="55" t="s">
        <v>360</v>
      </c>
      <c r="H36" s="55" t="s">
        <v>360</v>
      </c>
      <c r="I36" s="55" t="s">
        <v>360</v>
      </c>
      <c r="J36" s="55" t="s">
        <v>360</v>
      </c>
      <c r="K36" s="55" t="s">
        <v>360</v>
      </c>
      <c r="L36" s="55" t="s">
        <v>360</v>
      </c>
      <c r="M36" s="55" t="s">
        <v>144</v>
      </c>
      <c r="N36" s="55" t="s">
        <v>144</v>
      </c>
      <c r="O36" s="55" t="s">
        <v>248</v>
      </c>
      <c r="P36" s="55" t="s">
        <v>439</v>
      </c>
      <c r="Q36" s="55" t="s">
        <v>350</v>
      </c>
      <c r="R36" s="55">
        <v>5</v>
      </c>
      <c r="S36" s="74"/>
      <c r="T36" s="55" t="s">
        <v>440</v>
      </c>
      <c r="U36" s="73" t="s">
        <v>351</v>
      </c>
      <c r="V36" s="74">
        <v>44356</v>
      </c>
      <c r="W36" s="74">
        <v>44385</v>
      </c>
      <c r="X36" s="55">
        <v>10185848</v>
      </c>
      <c r="Y36" s="74" t="s">
        <v>132</v>
      </c>
      <c r="Z36" s="74"/>
      <c r="AB36" s="55" t="s">
        <v>132</v>
      </c>
      <c r="AC36" s="55" t="s">
        <v>132</v>
      </c>
    </row>
    <row r="37" spans="1:29" ht="13" x14ac:dyDescent="0.15">
      <c r="A37" s="72" t="str">
        <f t="shared" si="0"/>
        <v>Ofsted Social Care Provider Webpage</v>
      </c>
      <c r="B37" s="55">
        <v>1164089</v>
      </c>
      <c r="D37" s="55" t="s">
        <v>373</v>
      </c>
      <c r="E37" s="74">
        <v>42232</v>
      </c>
      <c r="F37" s="55" t="s">
        <v>344</v>
      </c>
      <c r="G37" s="55" t="s">
        <v>360</v>
      </c>
      <c r="H37" s="55" t="s">
        <v>360</v>
      </c>
      <c r="I37" s="55" t="s">
        <v>360</v>
      </c>
      <c r="J37" s="55" t="s">
        <v>360</v>
      </c>
      <c r="K37" s="55" t="s">
        <v>360</v>
      </c>
      <c r="L37" s="55" t="s">
        <v>360</v>
      </c>
      <c r="M37" s="55" t="s">
        <v>138</v>
      </c>
      <c r="N37" s="55" t="s">
        <v>138</v>
      </c>
      <c r="O37" s="55" t="s">
        <v>196</v>
      </c>
      <c r="P37" s="55" t="s">
        <v>441</v>
      </c>
      <c r="Q37" s="55" t="s">
        <v>350</v>
      </c>
      <c r="R37" s="55">
        <v>4</v>
      </c>
      <c r="S37" s="74"/>
      <c r="T37" s="55" t="s">
        <v>442</v>
      </c>
      <c r="U37" s="73" t="s">
        <v>351</v>
      </c>
      <c r="V37" s="74">
        <v>44510</v>
      </c>
      <c r="W37" s="74">
        <v>44544</v>
      </c>
      <c r="X37" s="55">
        <v>10187319</v>
      </c>
      <c r="Y37" s="74" t="s">
        <v>132</v>
      </c>
      <c r="Z37" s="74"/>
      <c r="AB37" s="55" t="s">
        <v>132</v>
      </c>
      <c r="AC37" s="55" t="s">
        <v>132</v>
      </c>
    </row>
    <row r="38" spans="1:29" ht="13" x14ac:dyDescent="0.15">
      <c r="A38" s="72" t="str">
        <f t="shared" si="0"/>
        <v>Ofsted Social Care Provider Webpage</v>
      </c>
      <c r="B38" s="55">
        <v>1166735</v>
      </c>
      <c r="D38" s="55" t="s">
        <v>443</v>
      </c>
      <c r="E38" s="74">
        <v>42278</v>
      </c>
      <c r="F38" s="55" t="s">
        <v>344</v>
      </c>
      <c r="G38" s="55" t="s">
        <v>444</v>
      </c>
      <c r="H38" s="55" t="s">
        <v>445</v>
      </c>
      <c r="I38" s="55" t="s">
        <v>354</v>
      </c>
      <c r="J38" s="55" t="s">
        <v>129</v>
      </c>
      <c r="L38" s="55" t="s">
        <v>446</v>
      </c>
      <c r="M38" s="55" t="s">
        <v>129</v>
      </c>
      <c r="N38" s="55" t="s">
        <v>129</v>
      </c>
      <c r="O38" s="55" t="s">
        <v>160</v>
      </c>
      <c r="P38" s="55" t="s">
        <v>447</v>
      </c>
      <c r="Q38" s="55" t="s">
        <v>362</v>
      </c>
      <c r="R38" s="55"/>
      <c r="S38" s="74"/>
      <c r="T38" s="55" t="s">
        <v>448</v>
      </c>
      <c r="U38" s="73" t="s">
        <v>351</v>
      </c>
      <c r="V38" s="74">
        <v>43647</v>
      </c>
      <c r="W38" s="74">
        <v>43672</v>
      </c>
      <c r="X38" s="55">
        <v>10092927</v>
      </c>
      <c r="Y38" s="74" t="s">
        <v>132</v>
      </c>
      <c r="Z38" s="74"/>
      <c r="AB38" s="55" t="s">
        <v>132</v>
      </c>
      <c r="AC38" s="55" t="s">
        <v>132</v>
      </c>
    </row>
    <row r="39" spans="1:29" ht="13" x14ac:dyDescent="0.15">
      <c r="A39" s="72" t="str">
        <f t="shared" si="0"/>
        <v>Ofsted Social Care Provider Webpage</v>
      </c>
      <c r="B39" s="55">
        <v>1183069</v>
      </c>
      <c r="D39" s="55" t="s">
        <v>373</v>
      </c>
      <c r="E39" s="74">
        <v>42278</v>
      </c>
      <c r="F39" s="55" t="s">
        <v>344</v>
      </c>
      <c r="G39" s="55" t="s">
        <v>360</v>
      </c>
      <c r="H39" s="55" t="s">
        <v>360</v>
      </c>
      <c r="I39" s="55" t="s">
        <v>360</v>
      </c>
      <c r="J39" s="55" t="s">
        <v>360</v>
      </c>
      <c r="K39" s="55" t="s">
        <v>360</v>
      </c>
      <c r="L39" s="55" t="s">
        <v>360</v>
      </c>
      <c r="M39" s="55" t="s">
        <v>138</v>
      </c>
      <c r="N39" s="55" t="s">
        <v>138</v>
      </c>
      <c r="O39" s="55" t="s">
        <v>266</v>
      </c>
      <c r="P39" s="55" t="s">
        <v>449</v>
      </c>
      <c r="Q39" s="55" t="s">
        <v>350</v>
      </c>
      <c r="R39" s="55">
        <v>6</v>
      </c>
      <c r="S39" s="74"/>
      <c r="T39" s="55" t="s">
        <v>450</v>
      </c>
      <c r="U39" s="73" t="s">
        <v>351</v>
      </c>
      <c r="V39" s="74">
        <v>44390</v>
      </c>
      <c r="W39" s="74">
        <v>44417</v>
      </c>
      <c r="X39" s="55">
        <v>10185248</v>
      </c>
      <c r="Y39" s="74" t="s">
        <v>132</v>
      </c>
      <c r="Z39" s="74"/>
      <c r="AB39" s="55" t="s">
        <v>132</v>
      </c>
      <c r="AC39" s="55" t="s">
        <v>130</v>
      </c>
    </row>
    <row r="40" spans="1:29" ht="13" x14ac:dyDescent="0.15">
      <c r="A40" s="72" t="str">
        <f t="shared" si="0"/>
        <v>Ofsted Social Care Provider Webpage</v>
      </c>
      <c r="B40" s="55">
        <v>1183134</v>
      </c>
      <c r="D40" s="55" t="s">
        <v>451</v>
      </c>
      <c r="E40" s="74">
        <v>42279</v>
      </c>
      <c r="F40" s="55" t="s">
        <v>344</v>
      </c>
      <c r="G40" s="55" t="s">
        <v>452</v>
      </c>
      <c r="H40" s="55" t="s">
        <v>453</v>
      </c>
      <c r="I40" s="55" t="s">
        <v>354</v>
      </c>
      <c r="J40" s="55" t="s">
        <v>258</v>
      </c>
      <c r="K40" s="55" t="s">
        <v>190</v>
      </c>
      <c r="L40" s="55" t="s">
        <v>454</v>
      </c>
      <c r="M40" s="55" t="s">
        <v>150</v>
      </c>
      <c r="N40" s="55" t="s">
        <v>150</v>
      </c>
      <c r="O40" s="55" t="s">
        <v>258</v>
      </c>
      <c r="P40" s="55" t="s">
        <v>455</v>
      </c>
      <c r="Q40" s="55" t="s">
        <v>350</v>
      </c>
      <c r="R40" s="55">
        <v>5</v>
      </c>
      <c r="S40" s="74"/>
      <c r="T40" s="55" t="s">
        <v>456</v>
      </c>
      <c r="U40" s="73" t="s">
        <v>351</v>
      </c>
      <c r="V40" s="74">
        <v>43620</v>
      </c>
      <c r="W40" s="74">
        <v>43665</v>
      </c>
      <c r="X40" s="55">
        <v>10092993</v>
      </c>
      <c r="Y40" s="74" t="s">
        <v>140</v>
      </c>
      <c r="Z40" s="74"/>
      <c r="AB40" s="55" t="s">
        <v>132</v>
      </c>
      <c r="AC40" s="55" t="s">
        <v>140</v>
      </c>
    </row>
    <row r="41" spans="1:29" ht="13" x14ac:dyDescent="0.15">
      <c r="A41" s="72" t="str">
        <f t="shared" si="0"/>
        <v>Ofsted Social Care Provider Webpage</v>
      </c>
      <c r="B41" s="55">
        <v>1183136</v>
      </c>
      <c r="D41" s="55" t="s">
        <v>373</v>
      </c>
      <c r="E41" s="74">
        <v>42256</v>
      </c>
      <c r="F41" s="55" t="s">
        <v>344</v>
      </c>
      <c r="G41" s="55" t="s">
        <v>360</v>
      </c>
      <c r="H41" s="55" t="s">
        <v>360</v>
      </c>
      <c r="I41" s="55" t="s">
        <v>360</v>
      </c>
      <c r="J41" s="55" t="s">
        <v>360</v>
      </c>
      <c r="K41" s="55" t="s">
        <v>360</v>
      </c>
      <c r="L41" s="55" t="s">
        <v>360</v>
      </c>
      <c r="M41" s="55" t="s">
        <v>172</v>
      </c>
      <c r="N41" s="55" t="s">
        <v>172</v>
      </c>
      <c r="O41" s="55" t="s">
        <v>234</v>
      </c>
      <c r="P41" s="55" t="s">
        <v>457</v>
      </c>
      <c r="Q41" s="55" t="s">
        <v>362</v>
      </c>
      <c r="R41" s="55">
        <v>2</v>
      </c>
      <c r="S41" s="74"/>
      <c r="T41" s="55" t="s">
        <v>458</v>
      </c>
      <c r="U41" s="73" t="s">
        <v>351</v>
      </c>
      <c r="V41" s="74">
        <v>44369</v>
      </c>
      <c r="W41" s="74">
        <v>44407</v>
      </c>
      <c r="X41" s="55">
        <v>10185817</v>
      </c>
      <c r="Y41" s="74" t="s">
        <v>132</v>
      </c>
      <c r="Z41" s="74"/>
      <c r="AB41" s="55" t="s">
        <v>132</v>
      </c>
      <c r="AC41" s="55" t="s">
        <v>132</v>
      </c>
    </row>
    <row r="42" spans="1:29" ht="13" x14ac:dyDescent="0.15">
      <c r="A42" s="72" t="str">
        <f t="shared" si="0"/>
        <v>Ofsted Social Care Provider Webpage</v>
      </c>
      <c r="B42" s="55">
        <v>1183173</v>
      </c>
      <c r="D42" s="55" t="s">
        <v>373</v>
      </c>
      <c r="E42" s="74">
        <v>42317</v>
      </c>
      <c r="F42" s="55" t="s">
        <v>344</v>
      </c>
      <c r="G42" s="55" t="s">
        <v>360</v>
      </c>
      <c r="H42" s="55" t="s">
        <v>360</v>
      </c>
      <c r="I42" s="55" t="s">
        <v>360</v>
      </c>
      <c r="J42" s="55" t="s">
        <v>360</v>
      </c>
      <c r="K42" s="55" t="s">
        <v>360</v>
      </c>
      <c r="L42" s="55" t="s">
        <v>360</v>
      </c>
      <c r="M42" s="55" t="s">
        <v>172</v>
      </c>
      <c r="N42" s="55" t="s">
        <v>172</v>
      </c>
      <c r="O42" s="55" t="s">
        <v>228</v>
      </c>
      <c r="P42" s="55" t="s">
        <v>459</v>
      </c>
      <c r="Q42" s="55" t="s">
        <v>350</v>
      </c>
      <c r="R42" s="55">
        <v>4</v>
      </c>
      <c r="S42" s="74"/>
      <c r="T42" s="55" t="s">
        <v>460</v>
      </c>
      <c r="U42" s="73" t="s">
        <v>351</v>
      </c>
      <c r="V42" s="74">
        <v>44341</v>
      </c>
      <c r="W42" s="74">
        <v>44369</v>
      </c>
      <c r="X42" s="55">
        <v>10186963</v>
      </c>
      <c r="Y42" s="74" t="s">
        <v>130</v>
      </c>
      <c r="Z42" s="74"/>
      <c r="AB42" s="55" t="s">
        <v>130</v>
      </c>
      <c r="AC42" s="55" t="s">
        <v>130</v>
      </c>
    </row>
    <row r="43" spans="1:29" ht="13" x14ac:dyDescent="0.15">
      <c r="A43" s="72" t="str">
        <f t="shared" si="0"/>
        <v>Ofsted Social Care Provider Webpage</v>
      </c>
      <c r="B43" s="55">
        <v>1183197</v>
      </c>
      <c r="D43" s="55" t="s">
        <v>373</v>
      </c>
      <c r="E43" s="74">
        <v>42293</v>
      </c>
      <c r="F43" s="55" t="s">
        <v>344</v>
      </c>
      <c r="G43" s="55" t="s">
        <v>360</v>
      </c>
      <c r="H43" s="55" t="s">
        <v>360</v>
      </c>
      <c r="I43" s="55" t="s">
        <v>360</v>
      </c>
      <c r="J43" s="55" t="s">
        <v>360</v>
      </c>
      <c r="K43" s="55" t="s">
        <v>360</v>
      </c>
      <c r="L43" s="55" t="s">
        <v>360</v>
      </c>
      <c r="M43" s="55" t="s">
        <v>378</v>
      </c>
      <c r="N43" s="55" t="s">
        <v>134</v>
      </c>
      <c r="O43" s="55" t="s">
        <v>277</v>
      </c>
      <c r="P43" s="55" t="s">
        <v>461</v>
      </c>
      <c r="Q43" s="55" t="s">
        <v>350</v>
      </c>
      <c r="R43" s="55">
        <v>4</v>
      </c>
      <c r="S43" s="74"/>
      <c r="T43" s="55" t="s">
        <v>462</v>
      </c>
      <c r="U43" s="73" t="s">
        <v>351</v>
      </c>
      <c r="V43" s="74">
        <v>44586</v>
      </c>
      <c r="W43" s="74">
        <v>44627</v>
      </c>
      <c r="X43" s="55">
        <v>10186148</v>
      </c>
      <c r="Y43" s="74" t="s">
        <v>132</v>
      </c>
      <c r="Z43" s="74"/>
      <c r="AB43" s="55" t="s">
        <v>132</v>
      </c>
      <c r="AC43" s="55" t="s">
        <v>132</v>
      </c>
    </row>
    <row r="44" spans="1:29" ht="13" x14ac:dyDescent="0.15">
      <c r="A44" s="72" t="str">
        <f t="shared" si="0"/>
        <v>Ofsted Social Care Provider Webpage</v>
      </c>
      <c r="B44" s="55">
        <v>1183479</v>
      </c>
      <c r="D44" s="55" t="s">
        <v>373</v>
      </c>
      <c r="E44" s="74">
        <v>42277</v>
      </c>
      <c r="F44" s="55" t="s">
        <v>344</v>
      </c>
      <c r="G44" s="55" t="s">
        <v>360</v>
      </c>
      <c r="H44" s="55" t="s">
        <v>360</v>
      </c>
      <c r="I44" s="55" t="s">
        <v>360</v>
      </c>
      <c r="J44" s="55" t="s">
        <v>360</v>
      </c>
      <c r="K44" s="55" t="s">
        <v>360</v>
      </c>
      <c r="L44" s="55" t="s">
        <v>360</v>
      </c>
      <c r="M44" s="55" t="s">
        <v>150</v>
      </c>
      <c r="N44" s="55" t="s">
        <v>150</v>
      </c>
      <c r="O44" s="55" t="s">
        <v>253</v>
      </c>
      <c r="P44" s="55" t="s">
        <v>253</v>
      </c>
      <c r="Q44" s="55" t="s">
        <v>362</v>
      </c>
      <c r="R44" s="55">
        <v>6</v>
      </c>
      <c r="S44" s="74" t="s">
        <v>332</v>
      </c>
      <c r="T44" s="55" t="s">
        <v>463</v>
      </c>
      <c r="U44" s="73" t="s">
        <v>351</v>
      </c>
      <c r="V44" s="74">
        <v>43606</v>
      </c>
      <c r="W44" s="74">
        <v>43636</v>
      </c>
      <c r="X44" s="55">
        <v>10097239</v>
      </c>
      <c r="Y44" s="74" t="s">
        <v>132</v>
      </c>
      <c r="Z44" s="74"/>
      <c r="AB44" s="55" t="s">
        <v>132</v>
      </c>
      <c r="AC44" s="55" t="s">
        <v>132</v>
      </c>
    </row>
    <row r="45" spans="1:29" ht="13" x14ac:dyDescent="0.15">
      <c r="A45" s="72" t="str">
        <f t="shared" si="0"/>
        <v>Ofsted Social Care Provider Webpage</v>
      </c>
      <c r="B45" s="55">
        <v>1183495</v>
      </c>
      <c r="D45" s="55" t="s">
        <v>389</v>
      </c>
      <c r="E45" s="74">
        <v>42277</v>
      </c>
      <c r="F45" s="55" t="s">
        <v>344</v>
      </c>
      <c r="G45" s="55" t="s">
        <v>464</v>
      </c>
      <c r="H45" s="55" t="s">
        <v>465</v>
      </c>
      <c r="I45" s="55" t="s">
        <v>466</v>
      </c>
      <c r="J45" s="55" t="s">
        <v>253</v>
      </c>
      <c r="L45" s="55" t="s">
        <v>467</v>
      </c>
      <c r="M45" s="55" t="s">
        <v>150</v>
      </c>
      <c r="N45" s="55" t="s">
        <v>150</v>
      </c>
      <c r="O45" s="55" t="s">
        <v>253</v>
      </c>
      <c r="P45" s="55" t="s">
        <v>253</v>
      </c>
      <c r="Q45" s="55" t="s">
        <v>362</v>
      </c>
      <c r="R45" s="55"/>
      <c r="S45" s="74"/>
      <c r="T45" s="55" t="s">
        <v>463</v>
      </c>
      <c r="U45" s="73" t="s">
        <v>351</v>
      </c>
      <c r="V45" s="74">
        <v>44382</v>
      </c>
      <c r="W45" s="74">
        <v>44434</v>
      </c>
      <c r="X45" s="55">
        <v>10183289</v>
      </c>
      <c r="Y45" s="74" t="s">
        <v>132</v>
      </c>
      <c r="Z45" s="74"/>
      <c r="AB45" s="55" t="s">
        <v>132</v>
      </c>
      <c r="AC45" s="55" t="s">
        <v>132</v>
      </c>
    </row>
    <row r="46" spans="1:29" ht="13" x14ac:dyDescent="0.15">
      <c r="A46" s="72" t="str">
        <f t="shared" si="0"/>
        <v>Ofsted Social Care Provider Webpage</v>
      </c>
      <c r="B46" s="55">
        <v>1183499</v>
      </c>
      <c r="D46" s="55" t="s">
        <v>468</v>
      </c>
      <c r="E46" s="74">
        <v>42277</v>
      </c>
      <c r="F46" s="55" t="s">
        <v>344</v>
      </c>
      <c r="G46" s="55" t="s">
        <v>469</v>
      </c>
      <c r="H46" s="55" t="s">
        <v>470</v>
      </c>
      <c r="I46" s="55" t="s">
        <v>471</v>
      </c>
      <c r="J46" s="55" t="s">
        <v>253</v>
      </c>
      <c r="L46" s="55" t="s">
        <v>467</v>
      </c>
      <c r="M46" s="55" t="s">
        <v>150</v>
      </c>
      <c r="N46" s="55" t="s">
        <v>150</v>
      </c>
      <c r="O46" s="55" t="s">
        <v>253</v>
      </c>
      <c r="P46" s="55" t="s">
        <v>253</v>
      </c>
      <c r="Q46" s="55" t="s">
        <v>362</v>
      </c>
      <c r="R46" s="55"/>
      <c r="S46" s="74"/>
      <c r="T46" s="55" t="s">
        <v>463</v>
      </c>
      <c r="U46" s="73" t="s">
        <v>351</v>
      </c>
      <c r="V46" s="74">
        <v>43402</v>
      </c>
      <c r="W46" s="74">
        <v>43426</v>
      </c>
      <c r="X46" s="55">
        <v>10051993</v>
      </c>
      <c r="Y46" s="74" t="s">
        <v>132</v>
      </c>
      <c r="Z46" s="74"/>
      <c r="AB46" s="55" t="s">
        <v>130</v>
      </c>
      <c r="AC46" s="55" t="s">
        <v>132</v>
      </c>
    </row>
    <row r="47" spans="1:29" ht="13" x14ac:dyDescent="0.15">
      <c r="A47" s="72" t="str">
        <f t="shared" si="0"/>
        <v>Ofsted Social Care Provider Webpage</v>
      </c>
      <c r="B47" s="55">
        <v>1183574</v>
      </c>
      <c r="D47" s="55" t="s">
        <v>373</v>
      </c>
      <c r="E47" s="74">
        <v>42379</v>
      </c>
      <c r="F47" s="55" t="s">
        <v>344</v>
      </c>
      <c r="G47" s="55" t="s">
        <v>360</v>
      </c>
      <c r="H47" s="55" t="s">
        <v>360</v>
      </c>
      <c r="I47" s="55" t="s">
        <v>360</v>
      </c>
      <c r="J47" s="55" t="s">
        <v>360</v>
      </c>
      <c r="K47" s="55" t="s">
        <v>360</v>
      </c>
      <c r="L47" s="55" t="s">
        <v>360</v>
      </c>
      <c r="M47" s="55" t="s">
        <v>144</v>
      </c>
      <c r="N47" s="55" t="s">
        <v>144</v>
      </c>
      <c r="O47" s="55" t="s">
        <v>163</v>
      </c>
      <c r="P47" s="55" t="s">
        <v>472</v>
      </c>
      <c r="Q47" s="55" t="s">
        <v>380</v>
      </c>
      <c r="R47" s="55">
        <v>4</v>
      </c>
      <c r="S47" s="74"/>
      <c r="T47" s="55" t="s">
        <v>473</v>
      </c>
      <c r="U47" s="73" t="s">
        <v>351</v>
      </c>
      <c r="V47" s="74">
        <v>44510</v>
      </c>
      <c r="W47" s="74">
        <v>44559</v>
      </c>
      <c r="X47" s="55">
        <v>10187612</v>
      </c>
      <c r="Y47" s="74" t="s">
        <v>132</v>
      </c>
      <c r="Z47" s="74"/>
      <c r="AB47" s="55" t="s">
        <v>132</v>
      </c>
      <c r="AC47" s="55" t="s">
        <v>132</v>
      </c>
    </row>
    <row r="48" spans="1:29" ht="13" x14ac:dyDescent="0.15">
      <c r="A48" s="72" t="str">
        <f t="shared" si="0"/>
        <v>Ofsted Social Care Provider Webpage</v>
      </c>
      <c r="B48" s="55">
        <v>1183605</v>
      </c>
      <c r="D48" s="55" t="s">
        <v>373</v>
      </c>
      <c r="E48" s="74">
        <v>42429</v>
      </c>
      <c r="F48" s="55" t="s">
        <v>344</v>
      </c>
      <c r="G48" s="55" t="s">
        <v>360</v>
      </c>
      <c r="H48" s="55" t="s">
        <v>360</v>
      </c>
      <c r="I48" s="55" t="s">
        <v>360</v>
      </c>
      <c r="J48" s="55" t="s">
        <v>360</v>
      </c>
      <c r="K48" s="55" t="s">
        <v>360</v>
      </c>
      <c r="L48" s="55" t="s">
        <v>360</v>
      </c>
      <c r="M48" s="55" t="s">
        <v>144</v>
      </c>
      <c r="N48" s="55" t="s">
        <v>144</v>
      </c>
      <c r="O48" s="55" t="s">
        <v>209</v>
      </c>
      <c r="P48" s="55" t="s">
        <v>474</v>
      </c>
      <c r="Q48" s="55" t="s">
        <v>350</v>
      </c>
      <c r="R48" s="55">
        <v>3</v>
      </c>
      <c r="S48" s="74"/>
      <c r="T48" s="55" t="s">
        <v>475</v>
      </c>
      <c r="U48" s="73" t="s">
        <v>351</v>
      </c>
      <c r="V48" s="74">
        <v>44502</v>
      </c>
      <c r="W48" s="74">
        <v>44550</v>
      </c>
      <c r="X48" s="55">
        <v>10187006</v>
      </c>
      <c r="Y48" s="74" t="s">
        <v>140</v>
      </c>
      <c r="Z48" s="74"/>
      <c r="AB48" s="55" t="s">
        <v>140</v>
      </c>
      <c r="AC48" s="55" t="s">
        <v>140</v>
      </c>
    </row>
    <row r="49" spans="1:29" ht="13" x14ac:dyDescent="0.15">
      <c r="A49" s="72" t="str">
        <f t="shared" si="0"/>
        <v>Ofsted Social Care Provider Webpage</v>
      </c>
      <c r="B49" s="55">
        <v>1183799</v>
      </c>
      <c r="D49" s="55" t="s">
        <v>373</v>
      </c>
      <c r="E49" s="74">
        <v>42333</v>
      </c>
      <c r="F49" s="55" t="s">
        <v>344</v>
      </c>
      <c r="G49" s="55" t="s">
        <v>360</v>
      </c>
      <c r="H49" s="55" t="s">
        <v>360</v>
      </c>
      <c r="I49" s="55" t="s">
        <v>360</v>
      </c>
      <c r="J49" s="55" t="s">
        <v>360</v>
      </c>
      <c r="K49" s="55" t="s">
        <v>360</v>
      </c>
      <c r="L49" s="55" t="s">
        <v>360</v>
      </c>
      <c r="M49" s="55" t="s">
        <v>150</v>
      </c>
      <c r="N49" s="55" t="s">
        <v>150</v>
      </c>
      <c r="O49" s="55" t="s">
        <v>253</v>
      </c>
      <c r="P49" s="55" t="s">
        <v>253</v>
      </c>
      <c r="Q49" s="55" t="s">
        <v>350</v>
      </c>
      <c r="R49" s="55">
        <v>4</v>
      </c>
      <c r="S49" s="74"/>
      <c r="T49" s="55" t="s">
        <v>476</v>
      </c>
      <c r="U49" s="73" t="s">
        <v>351</v>
      </c>
      <c r="V49" s="74">
        <v>44355</v>
      </c>
      <c r="W49" s="74">
        <v>44393</v>
      </c>
      <c r="X49" s="55">
        <v>10185328</v>
      </c>
      <c r="Y49" s="74" t="s">
        <v>132</v>
      </c>
      <c r="Z49" s="74"/>
      <c r="AB49" s="55" t="s">
        <v>132</v>
      </c>
      <c r="AC49" s="55" t="s">
        <v>132</v>
      </c>
    </row>
    <row r="50" spans="1:29" ht="13" x14ac:dyDescent="0.15">
      <c r="A50" s="72" t="str">
        <f t="shared" si="0"/>
        <v>Ofsted Social Care Provider Webpage</v>
      </c>
      <c r="B50" s="55">
        <v>1183826</v>
      </c>
      <c r="D50" s="55" t="s">
        <v>373</v>
      </c>
      <c r="E50" s="74">
        <v>42464</v>
      </c>
      <c r="F50" s="55" t="s">
        <v>344</v>
      </c>
      <c r="G50" s="55" t="s">
        <v>360</v>
      </c>
      <c r="H50" s="55" t="s">
        <v>360</v>
      </c>
      <c r="I50" s="55" t="s">
        <v>360</v>
      </c>
      <c r="J50" s="55" t="s">
        <v>360</v>
      </c>
      <c r="K50" s="55" t="s">
        <v>360</v>
      </c>
      <c r="L50" s="55" t="s">
        <v>360</v>
      </c>
      <c r="M50" s="55" t="s">
        <v>378</v>
      </c>
      <c r="N50" s="55" t="s">
        <v>170</v>
      </c>
      <c r="O50" s="55" t="s">
        <v>267</v>
      </c>
      <c r="P50" s="55" t="s">
        <v>477</v>
      </c>
      <c r="Q50" s="55" t="s">
        <v>350</v>
      </c>
      <c r="R50" s="55">
        <v>8</v>
      </c>
      <c r="S50" s="74" t="s">
        <v>332</v>
      </c>
      <c r="T50" s="55" t="s">
        <v>478</v>
      </c>
      <c r="U50" s="73" t="s">
        <v>351</v>
      </c>
      <c r="V50" s="74">
        <v>44600</v>
      </c>
      <c r="W50" s="74">
        <v>44655</v>
      </c>
      <c r="X50" s="55">
        <v>10185852</v>
      </c>
      <c r="Y50" s="74" t="s">
        <v>130</v>
      </c>
      <c r="Z50" s="74"/>
      <c r="AB50" s="55" t="s">
        <v>130</v>
      </c>
      <c r="AC50" s="55" t="s">
        <v>130</v>
      </c>
    </row>
    <row r="51" spans="1:29" ht="13" x14ac:dyDescent="0.15">
      <c r="A51" s="72" t="str">
        <f t="shared" si="0"/>
        <v>Ofsted Social Care Provider Webpage</v>
      </c>
      <c r="B51" s="55">
        <v>1183911</v>
      </c>
      <c r="D51" s="55" t="s">
        <v>479</v>
      </c>
      <c r="E51" s="74">
        <v>42313</v>
      </c>
      <c r="F51" s="55" t="s">
        <v>344</v>
      </c>
      <c r="G51" s="55" t="s">
        <v>360</v>
      </c>
      <c r="H51" s="55" t="s">
        <v>360</v>
      </c>
      <c r="I51" s="55" t="s">
        <v>360</v>
      </c>
      <c r="J51" s="55" t="s">
        <v>360</v>
      </c>
      <c r="K51" s="55" t="s">
        <v>360</v>
      </c>
      <c r="L51" s="55" t="s">
        <v>360</v>
      </c>
      <c r="M51" s="55" t="s">
        <v>378</v>
      </c>
      <c r="N51" s="55" t="s">
        <v>134</v>
      </c>
      <c r="O51" s="55" t="s">
        <v>158</v>
      </c>
      <c r="P51" s="55" t="s">
        <v>480</v>
      </c>
      <c r="Q51" s="55" t="s">
        <v>350</v>
      </c>
      <c r="R51" s="55">
        <v>12</v>
      </c>
      <c r="S51" s="74"/>
      <c r="T51" s="55" t="s">
        <v>481</v>
      </c>
      <c r="U51" s="73" t="s">
        <v>351</v>
      </c>
      <c r="V51" s="74">
        <v>44320</v>
      </c>
      <c r="W51" s="74">
        <v>44355</v>
      </c>
      <c r="X51" s="55">
        <v>10187032</v>
      </c>
      <c r="Y51" s="74" t="s">
        <v>132</v>
      </c>
      <c r="Z51" s="74"/>
      <c r="AB51" s="55" t="s">
        <v>132</v>
      </c>
      <c r="AC51" s="55" t="s">
        <v>132</v>
      </c>
    </row>
    <row r="52" spans="1:29" ht="13" x14ac:dyDescent="0.15">
      <c r="A52" s="72" t="str">
        <f t="shared" si="0"/>
        <v>Ofsted Social Care Provider Webpage</v>
      </c>
      <c r="B52" s="55">
        <v>1183936</v>
      </c>
      <c r="D52" s="55" t="s">
        <v>373</v>
      </c>
      <c r="E52" s="74">
        <v>42240</v>
      </c>
      <c r="F52" s="55" t="s">
        <v>344</v>
      </c>
      <c r="G52" s="55" t="s">
        <v>360</v>
      </c>
      <c r="H52" s="55" t="s">
        <v>360</v>
      </c>
      <c r="I52" s="55" t="s">
        <v>360</v>
      </c>
      <c r="J52" s="55" t="s">
        <v>360</v>
      </c>
      <c r="K52" s="55" t="s">
        <v>360</v>
      </c>
      <c r="L52" s="55" t="s">
        <v>360</v>
      </c>
      <c r="M52" s="55" t="s">
        <v>129</v>
      </c>
      <c r="N52" s="55" t="s">
        <v>129</v>
      </c>
      <c r="O52" s="55" t="s">
        <v>155</v>
      </c>
      <c r="P52" s="55" t="s">
        <v>482</v>
      </c>
      <c r="Q52" s="55" t="s">
        <v>350</v>
      </c>
      <c r="R52" s="55">
        <v>6</v>
      </c>
      <c r="S52" s="74"/>
      <c r="T52" s="55" t="s">
        <v>483</v>
      </c>
      <c r="U52" s="73" t="s">
        <v>351</v>
      </c>
      <c r="V52" s="74">
        <v>43697</v>
      </c>
      <c r="W52" s="74">
        <v>43726</v>
      </c>
      <c r="X52" s="55">
        <v>10107763</v>
      </c>
      <c r="Y52" s="74" t="s">
        <v>132</v>
      </c>
      <c r="Z52" s="74"/>
      <c r="AB52" s="55" t="s">
        <v>130</v>
      </c>
      <c r="AC52" s="55" t="s">
        <v>132</v>
      </c>
    </row>
    <row r="53" spans="1:29" ht="13" x14ac:dyDescent="0.15">
      <c r="A53" s="72" t="str">
        <f t="shared" si="0"/>
        <v>Ofsted Social Care Provider Webpage</v>
      </c>
      <c r="B53" s="55">
        <v>1184093</v>
      </c>
      <c r="D53" s="55" t="s">
        <v>373</v>
      </c>
      <c r="E53" s="74">
        <v>42360</v>
      </c>
      <c r="F53" s="55" t="s">
        <v>344</v>
      </c>
      <c r="G53" s="55" t="s">
        <v>360</v>
      </c>
      <c r="H53" s="55" t="s">
        <v>360</v>
      </c>
      <c r="I53" s="55" t="s">
        <v>360</v>
      </c>
      <c r="J53" s="55" t="s">
        <v>360</v>
      </c>
      <c r="K53" s="55" t="s">
        <v>360</v>
      </c>
      <c r="L53" s="55" t="s">
        <v>360</v>
      </c>
      <c r="M53" s="55" t="s">
        <v>144</v>
      </c>
      <c r="N53" s="55" t="s">
        <v>144</v>
      </c>
      <c r="O53" s="55" t="s">
        <v>145</v>
      </c>
      <c r="P53" s="55" t="s">
        <v>484</v>
      </c>
      <c r="Q53" s="55" t="s">
        <v>350</v>
      </c>
      <c r="R53" s="55">
        <v>3</v>
      </c>
      <c r="S53" s="74"/>
      <c r="T53" s="55" t="s">
        <v>485</v>
      </c>
      <c r="U53" s="73" t="s">
        <v>351</v>
      </c>
      <c r="V53" s="74">
        <v>43888</v>
      </c>
      <c r="W53" s="74">
        <v>43927</v>
      </c>
      <c r="X53" s="55">
        <v>10097640</v>
      </c>
      <c r="Y53" s="74" t="s">
        <v>132</v>
      </c>
      <c r="Z53" s="74"/>
      <c r="AB53" s="55" t="s">
        <v>130</v>
      </c>
      <c r="AC53" s="55" t="s">
        <v>132</v>
      </c>
    </row>
    <row r="54" spans="1:29" ht="13" x14ac:dyDescent="0.15">
      <c r="A54" s="72" t="str">
        <f t="shared" si="0"/>
        <v>Ofsted Social Care Provider Webpage</v>
      </c>
      <c r="B54" s="55">
        <v>1185488</v>
      </c>
      <c r="D54" s="55" t="s">
        <v>373</v>
      </c>
      <c r="E54" s="74">
        <v>42338</v>
      </c>
      <c r="F54" s="55" t="s">
        <v>344</v>
      </c>
      <c r="G54" s="55" t="s">
        <v>360</v>
      </c>
      <c r="H54" s="55" t="s">
        <v>360</v>
      </c>
      <c r="I54" s="55" t="s">
        <v>360</v>
      </c>
      <c r="J54" s="55" t="s">
        <v>360</v>
      </c>
      <c r="K54" s="55" t="s">
        <v>360</v>
      </c>
      <c r="L54" s="55" t="s">
        <v>360</v>
      </c>
      <c r="M54" s="55" t="s">
        <v>150</v>
      </c>
      <c r="N54" s="55" t="s">
        <v>150</v>
      </c>
      <c r="O54" s="55" t="s">
        <v>241</v>
      </c>
      <c r="P54" s="55" t="s">
        <v>486</v>
      </c>
      <c r="Q54" s="55" t="s">
        <v>350</v>
      </c>
      <c r="R54" s="55">
        <v>4</v>
      </c>
      <c r="S54" s="74"/>
      <c r="T54" s="55" t="s">
        <v>487</v>
      </c>
      <c r="U54" s="73" t="s">
        <v>351</v>
      </c>
      <c r="V54" s="74">
        <v>44382</v>
      </c>
      <c r="W54" s="74">
        <v>44447</v>
      </c>
      <c r="X54" s="55">
        <v>10185934</v>
      </c>
      <c r="Y54" s="74" t="s">
        <v>132</v>
      </c>
      <c r="Z54" s="74"/>
      <c r="AB54" s="55" t="s">
        <v>132</v>
      </c>
      <c r="AC54" s="55" t="s">
        <v>132</v>
      </c>
    </row>
    <row r="55" spans="1:29" ht="13" x14ac:dyDescent="0.15">
      <c r="A55" s="72" t="str">
        <f t="shared" si="0"/>
        <v>Ofsted Social Care Provider Webpage</v>
      </c>
      <c r="B55" s="55">
        <v>1185765</v>
      </c>
      <c r="D55" s="55" t="s">
        <v>373</v>
      </c>
      <c r="E55" s="74">
        <v>42347</v>
      </c>
      <c r="F55" s="55" t="s">
        <v>344</v>
      </c>
      <c r="G55" s="55" t="s">
        <v>360</v>
      </c>
      <c r="H55" s="55" t="s">
        <v>360</v>
      </c>
      <c r="I55" s="55" t="s">
        <v>360</v>
      </c>
      <c r="J55" s="55" t="s">
        <v>360</v>
      </c>
      <c r="K55" s="55" t="s">
        <v>360</v>
      </c>
      <c r="L55" s="55" t="s">
        <v>360</v>
      </c>
      <c r="M55" s="55" t="s">
        <v>142</v>
      </c>
      <c r="N55" s="55" t="s">
        <v>142</v>
      </c>
      <c r="O55" s="55" t="s">
        <v>262</v>
      </c>
      <c r="P55" s="55" t="s">
        <v>488</v>
      </c>
      <c r="Q55" s="55" t="s">
        <v>350</v>
      </c>
      <c r="R55" s="55">
        <v>4</v>
      </c>
      <c r="S55" s="74"/>
      <c r="T55" s="55" t="s">
        <v>489</v>
      </c>
      <c r="U55" s="73" t="s">
        <v>351</v>
      </c>
      <c r="V55" s="74">
        <v>44629</v>
      </c>
      <c r="W55" s="74">
        <v>44672</v>
      </c>
      <c r="X55" s="55">
        <v>10187420</v>
      </c>
      <c r="Y55" s="74" t="s">
        <v>132</v>
      </c>
      <c r="Z55" s="74"/>
      <c r="AB55" s="55" t="s">
        <v>130</v>
      </c>
      <c r="AC55" s="55" t="s">
        <v>132</v>
      </c>
    </row>
    <row r="56" spans="1:29" ht="13" x14ac:dyDescent="0.15">
      <c r="A56" s="72" t="str">
        <f t="shared" si="0"/>
        <v>Ofsted Social Care Provider Webpage</v>
      </c>
      <c r="B56" s="55">
        <v>1185828</v>
      </c>
      <c r="D56" s="55" t="s">
        <v>373</v>
      </c>
      <c r="E56" s="74">
        <v>42408</v>
      </c>
      <c r="F56" s="55" t="s">
        <v>344</v>
      </c>
      <c r="G56" s="55" t="s">
        <v>360</v>
      </c>
      <c r="H56" s="55" t="s">
        <v>360</v>
      </c>
      <c r="I56" s="55" t="s">
        <v>360</v>
      </c>
      <c r="J56" s="55" t="s">
        <v>360</v>
      </c>
      <c r="K56" s="55" t="s">
        <v>360</v>
      </c>
      <c r="L56" s="55" t="s">
        <v>360</v>
      </c>
      <c r="M56" s="55" t="s">
        <v>144</v>
      </c>
      <c r="N56" s="55" t="s">
        <v>144</v>
      </c>
      <c r="O56" s="55" t="s">
        <v>287</v>
      </c>
      <c r="P56" s="55" t="s">
        <v>287</v>
      </c>
      <c r="Q56" s="55" t="s">
        <v>350</v>
      </c>
      <c r="R56" s="55">
        <v>4</v>
      </c>
      <c r="S56" s="74"/>
      <c r="T56" s="55" t="s">
        <v>490</v>
      </c>
      <c r="U56" s="73" t="s">
        <v>351</v>
      </c>
      <c r="V56" s="74">
        <v>44621</v>
      </c>
      <c r="W56" s="74">
        <v>44659</v>
      </c>
      <c r="X56" s="55">
        <v>10186825</v>
      </c>
      <c r="Y56" s="74" t="s">
        <v>132</v>
      </c>
      <c r="Z56" s="74"/>
      <c r="AB56" s="55" t="s">
        <v>132</v>
      </c>
      <c r="AC56" s="55" t="s">
        <v>132</v>
      </c>
    </row>
    <row r="57" spans="1:29" ht="13" x14ac:dyDescent="0.15">
      <c r="A57" s="72" t="str">
        <f t="shared" si="0"/>
        <v>Ofsted Social Care Provider Webpage</v>
      </c>
      <c r="B57" s="55">
        <v>1211772</v>
      </c>
      <c r="D57" s="55" t="s">
        <v>373</v>
      </c>
      <c r="E57" s="74">
        <v>42355</v>
      </c>
      <c r="F57" s="55" t="s">
        <v>344</v>
      </c>
      <c r="G57" s="55" t="s">
        <v>360</v>
      </c>
      <c r="H57" s="55" t="s">
        <v>360</v>
      </c>
      <c r="I57" s="55" t="s">
        <v>360</v>
      </c>
      <c r="J57" s="55" t="s">
        <v>360</v>
      </c>
      <c r="K57" s="55" t="s">
        <v>360</v>
      </c>
      <c r="L57" s="55" t="s">
        <v>360</v>
      </c>
      <c r="M57" s="55" t="s">
        <v>378</v>
      </c>
      <c r="N57" s="55" t="s">
        <v>134</v>
      </c>
      <c r="O57" s="55" t="s">
        <v>232</v>
      </c>
      <c r="P57" s="55" t="s">
        <v>491</v>
      </c>
      <c r="Q57" s="55" t="s">
        <v>350</v>
      </c>
      <c r="R57" s="55">
        <v>6</v>
      </c>
      <c r="S57" s="74"/>
      <c r="T57" s="55" t="s">
        <v>450</v>
      </c>
      <c r="U57" s="73" t="s">
        <v>351</v>
      </c>
      <c r="V57" s="74">
        <v>44543</v>
      </c>
      <c r="W57" s="74">
        <v>44588</v>
      </c>
      <c r="X57" s="55">
        <v>10185753</v>
      </c>
      <c r="Y57" s="74" t="s">
        <v>130</v>
      </c>
      <c r="Z57" s="74"/>
      <c r="AB57" s="55" t="s">
        <v>130</v>
      </c>
      <c r="AC57" s="55" t="s">
        <v>130</v>
      </c>
    </row>
    <row r="58" spans="1:29" ht="13" x14ac:dyDescent="0.15">
      <c r="A58" s="72" t="str">
        <f t="shared" si="0"/>
        <v>Ofsted Social Care Provider Webpage</v>
      </c>
      <c r="B58" s="55">
        <v>1212094</v>
      </c>
      <c r="D58" s="55" t="s">
        <v>373</v>
      </c>
      <c r="E58" s="74">
        <v>42409</v>
      </c>
      <c r="F58" s="55" t="s">
        <v>344</v>
      </c>
      <c r="G58" s="55" t="s">
        <v>360</v>
      </c>
      <c r="H58" s="55" t="s">
        <v>360</v>
      </c>
      <c r="I58" s="55" t="s">
        <v>360</v>
      </c>
      <c r="J58" s="55" t="s">
        <v>360</v>
      </c>
      <c r="K58" s="55" t="s">
        <v>360</v>
      </c>
      <c r="L58" s="55" t="s">
        <v>360</v>
      </c>
      <c r="M58" s="55" t="s">
        <v>144</v>
      </c>
      <c r="N58" s="55" t="s">
        <v>144</v>
      </c>
      <c r="O58" s="55" t="s">
        <v>248</v>
      </c>
      <c r="P58" s="55" t="s">
        <v>492</v>
      </c>
      <c r="Q58" s="55" t="s">
        <v>350</v>
      </c>
      <c r="R58" s="55">
        <v>4</v>
      </c>
      <c r="S58" s="74"/>
      <c r="T58" s="55" t="s">
        <v>493</v>
      </c>
      <c r="U58" s="73" t="s">
        <v>351</v>
      </c>
      <c r="V58" s="74">
        <v>44628</v>
      </c>
      <c r="W58" s="74">
        <v>44659</v>
      </c>
      <c r="X58" s="55">
        <v>10187517</v>
      </c>
      <c r="Y58" s="74" t="s">
        <v>132</v>
      </c>
      <c r="Z58" s="74"/>
      <c r="AB58" s="55" t="s">
        <v>132</v>
      </c>
      <c r="AC58" s="55" t="s">
        <v>132</v>
      </c>
    </row>
    <row r="59" spans="1:29" ht="13" x14ac:dyDescent="0.15">
      <c r="A59" s="72" t="str">
        <f t="shared" si="0"/>
        <v>Ofsted Social Care Provider Webpage</v>
      </c>
      <c r="B59" s="55">
        <v>1212117</v>
      </c>
      <c r="D59" s="55" t="s">
        <v>373</v>
      </c>
      <c r="E59" s="74">
        <v>42339</v>
      </c>
      <c r="F59" s="55" t="s">
        <v>344</v>
      </c>
      <c r="G59" s="55" t="s">
        <v>360</v>
      </c>
      <c r="H59" s="55" t="s">
        <v>360</v>
      </c>
      <c r="I59" s="55" t="s">
        <v>360</v>
      </c>
      <c r="J59" s="55" t="s">
        <v>360</v>
      </c>
      <c r="K59" s="55" t="s">
        <v>360</v>
      </c>
      <c r="L59" s="55" t="s">
        <v>360</v>
      </c>
      <c r="M59" s="55" t="s">
        <v>172</v>
      </c>
      <c r="N59" s="55" t="s">
        <v>172</v>
      </c>
      <c r="O59" s="55" t="s">
        <v>235</v>
      </c>
      <c r="P59" s="55" t="s">
        <v>494</v>
      </c>
      <c r="Q59" s="55" t="s">
        <v>350</v>
      </c>
      <c r="R59" s="55">
        <v>3</v>
      </c>
      <c r="S59" s="74"/>
      <c r="T59" s="55" t="s">
        <v>495</v>
      </c>
      <c r="U59" s="73" t="s">
        <v>351</v>
      </c>
      <c r="V59" s="74">
        <v>44481</v>
      </c>
      <c r="W59" s="74">
        <v>44512</v>
      </c>
      <c r="X59" s="55">
        <v>10186716</v>
      </c>
      <c r="Y59" s="74" t="s">
        <v>146</v>
      </c>
      <c r="Z59" s="74"/>
      <c r="AB59" s="55" t="s">
        <v>146</v>
      </c>
      <c r="AC59" s="55" t="s">
        <v>146</v>
      </c>
    </row>
    <row r="60" spans="1:29" ht="13" x14ac:dyDescent="0.15">
      <c r="A60" s="72" t="str">
        <f t="shared" si="0"/>
        <v>Ofsted Social Care Provider Webpage</v>
      </c>
      <c r="B60" s="55">
        <v>1212704</v>
      </c>
      <c r="D60" s="55" t="s">
        <v>373</v>
      </c>
      <c r="E60" s="74">
        <v>42628</v>
      </c>
      <c r="F60" s="55" t="s">
        <v>344</v>
      </c>
      <c r="G60" s="55" t="s">
        <v>360</v>
      </c>
      <c r="H60" s="55" t="s">
        <v>360</v>
      </c>
      <c r="I60" s="55" t="s">
        <v>360</v>
      </c>
      <c r="J60" s="55" t="s">
        <v>360</v>
      </c>
      <c r="K60" s="55" t="s">
        <v>360</v>
      </c>
      <c r="L60" s="55" t="s">
        <v>360</v>
      </c>
      <c r="M60" s="55" t="s">
        <v>378</v>
      </c>
      <c r="N60" s="55" t="s">
        <v>134</v>
      </c>
      <c r="O60" s="55" t="s">
        <v>232</v>
      </c>
      <c r="P60" s="55" t="s">
        <v>496</v>
      </c>
      <c r="Q60" s="55" t="s">
        <v>350</v>
      </c>
      <c r="R60" s="55">
        <v>3</v>
      </c>
      <c r="S60" s="74"/>
      <c r="T60" s="55" t="s">
        <v>493</v>
      </c>
      <c r="U60" s="73" t="s">
        <v>351</v>
      </c>
      <c r="V60" s="74">
        <v>44587</v>
      </c>
      <c r="W60" s="74">
        <v>44634</v>
      </c>
      <c r="X60" s="55">
        <v>10187494</v>
      </c>
      <c r="Y60" s="74" t="s">
        <v>132</v>
      </c>
      <c r="Z60" s="74"/>
      <c r="AB60" s="55" t="s">
        <v>132</v>
      </c>
      <c r="AC60" s="55" t="s">
        <v>132</v>
      </c>
    </row>
    <row r="61" spans="1:29" ht="13" x14ac:dyDescent="0.15">
      <c r="A61" s="72" t="str">
        <f t="shared" si="0"/>
        <v>Ofsted Social Care Provider Webpage</v>
      </c>
      <c r="B61" s="55">
        <v>1212708</v>
      </c>
      <c r="D61" s="55" t="s">
        <v>373</v>
      </c>
      <c r="E61" s="74">
        <v>42347</v>
      </c>
      <c r="F61" s="55" t="s">
        <v>344</v>
      </c>
      <c r="G61" s="55" t="s">
        <v>360</v>
      </c>
      <c r="H61" s="55" t="s">
        <v>360</v>
      </c>
      <c r="I61" s="55" t="s">
        <v>360</v>
      </c>
      <c r="J61" s="55" t="s">
        <v>360</v>
      </c>
      <c r="K61" s="55" t="s">
        <v>360</v>
      </c>
      <c r="L61" s="55" t="s">
        <v>360</v>
      </c>
      <c r="M61" s="55" t="s">
        <v>172</v>
      </c>
      <c r="N61" s="55" t="s">
        <v>172</v>
      </c>
      <c r="O61" s="55" t="s">
        <v>234</v>
      </c>
      <c r="P61" s="55" t="s">
        <v>457</v>
      </c>
      <c r="Q61" s="55" t="s">
        <v>350</v>
      </c>
      <c r="R61" s="55">
        <v>3</v>
      </c>
      <c r="S61" s="74"/>
      <c r="T61" s="55" t="s">
        <v>495</v>
      </c>
      <c r="U61" s="73" t="s">
        <v>351</v>
      </c>
      <c r="V61" s="74">
        <v>44489</v>
      </c>
      <c r="W61" s="74">
        <v>44526</v>
      </c>
      <c r="X61" s="55">
        <v>10206919</v>
      </c>
      <c r="Y61" s="74" t="s">
        <v>130</v>
      </c>
      <c r="Z61" s="74"/>
      <c r="AB61" s="55" t="s">
        <v>130</v>
      </c>
      <c r="AC61" s="55" t="s">
        <v>130</v>
      </c>
    </row>
    <row r="62" spans="1:29" ht="13" x14ac:dyDescent="0.15">
      <c r="A62" s="72" t="str">
        <f t="shared" si="0"/>
        <v>Ofsted Social Care Provider Webpage</v>
      </c>
      <c r="B62" s="55">
        <v>1212899</v>
      </c>
      <c r="D62" s="55" t="s">
        <v>389</v>
      </c>
      <c r="E62" s="74">
        <v>42522</v>
      </c>
      <c r="F62" s="55" t="s">
        <v>344</v>
      </c>
      <c r="G62" s="55" t="s">
        <v>497</v>
      </c>
      <c r="H62" s="55" t="s">
        <v>498</v>
      </c>
      <c r="I62" s="55" t="s">
        <v>499</v>
      </c>
      <c r="J62" s="55" t="s">
        <v>500</v>
      </c>
      <c r="K62" s="55" t="s">
        <v>190</v>
      </c>
      <c r="L62" s="55" t="s">
        <v>501</v>
      </c>
      <c r="M62" s="55" t="s">
        <v>150</v>
      </c>
      <c r="N62" s="55" t="s">
        <v>150</v>
      </c>
      <c r="O62" s="55" t="s">
        <v>190</v>
      </c>
      <c r="P62" s="55" t="s">
        <v>500</v>
      </c>
      <c r="Q62" s="55" t="s">
        <v>350</v>
      </c>
      <c r="R62" s="55"/>
      <c r="S62" s="74"/>
      <c r="T62" s="55" t="s">
        <v>502</v>
      </c>
      <c r="U62" s="73" t="s">
        <v>351</v>
      </c>
      <c r="V62" s="74">
        <v>44375</v>
      </c>
      <c r="W62" s="74">
        <v>44439</v>
      </c>
      <c r="X62" s="55">
        <v>10183405</v>
      </c>
      <c r="Y62" s="74" t="s">
        <v>132</v>
      </c>
      <c r="Z62" s="74"/>
      <c r="AB62" s="55" t="s">
        <v>132</v>
      </c>
      <c r="AC62" s="55" t="s">
        <v>132</v>
      </c>
    </row>
    <row r="63" spans="1:29" ht="13" x14ac:dyDescent="0.15">
      <c r="A63" s="72" t="str">
        <f t="shared" si="0"/>
        <v>Ofsted Social Care Provider Webpage</v>
      </c>
      <c r="B63" s="55">
        <v>1213416</v>
      </c>
      <c r="D63" s="55" t="s">
        <v>373</v>
      </c>
      <c r="E63" s="74">
        <v>42332</v>
      </c>
      <c r="F63" s="55" t="s">
        <v>344</v>
      </c>
      <c r="G63" s="55" t="s">
        <v>360</v>
      </c>
      <c r="H63" s="55" t="s">
        <v>360</v>
      </c>
      <c r="I63" s="55" t="s">
        <v>360</v>
      </c>
      <c r="J63" s="55" t="s">
        <v>360</v>
      </c>
      <c r="K63" s="55" t="s">
        <v>360</v>
      </c>
      <c r="L63" s="55" t="s">
        <v>360</v>
      </c>
      <c r="M63" s="55" t="s">
        <v>142</v>
      </c>
      <c r="N63" s="55" t="s">
        <v>142</v>
      </c>
      <c r="O63" s="55" t="s">
        <v>252</v>
      </c>
      <c r="P63" s="55" t="s">
        <v>503</v>
      </c>
      <c r="Q63" s="55" t="s">
        <v>350</v>
      </c>
      <c r="R63" s="55">
        <v>2</v>
      </c>
      <c r="S63" s="74"/>
      <c r="T63" s="55" t="s">
        <v>504</v>
      </c>
      <c r="U63" s="73" t="s">
        <v>351</v>
      </c>
      <c r="V63" s="74">
        <v>44454</v>
      </c>
      <c r="W63" s="74">
        <v>44505</v>
      </c>
      <c r="X63" s="55">
        <v>10187625</v>
      </c>
      <c r="Y63" s="74" t="s">
        <v>140</v>
      </c>
      <c r="Z63" s="74"/>
      <c r="AB63" s="55" t="s">
        <v>140</v>
      </c>
      <c r="AC63" s="55" t="s">
        <v>140</v>
      </c>
    </row>
    <row r="64" spans="1:29" ht="13" x14ac:dyDescent="0.15">
      <c r="A64" s="72" t="str">
        <f t="shared" si="0"/>
        <v>Ofsted Social Care Provider Webpage</v>
      </c>
      <c r="B64" s="55">
        <v>1213822</v>
      </c>
      <c r="C64" s="55">
        <v>141512</v>
      </c>
      <c r="D64" s="55" t="s">
        <v>413</v>
      </c>
      <c r="E64" s="74">
        <v>42095</v>
      </c>
      <c r="F64" s="55" t="s">
        <v>344</v>
      </c>
      <c r="G64" s="55" t="s">
        <v>505</v>
      </c>
      <c r="H64" s="55" t="s">
        <v>506</v>
      </c>
      <c r="I64" s="55" t="s">
        <v>507</v>
      </c>
      <c r="J64" s="55" t="s">
        <v>508</v>
      </c>
      <c r="K64" s="55" t="s">
        <v>183</v>
      </c>
      <c r="L64" s="55" t="s">
        <v>509</v>
      </c>
      <c r="M64" s="55" t="s">
        <v>138</v>
      </c>
      <c r="N64" s="55" t="s">
        <v>138</v>
      </c>
      <c r="O64" s="55" t="s">
        <v>183</v>
      </c>
      <c r="P64" s="55" t="s">
        <v>510</v>
      </c>
      <c r="Q64" s="55" t="s">
        <v>420</v>
      </c>
      <c r="R64" s="55">
        <v>28</v>
      </c>
      <c r="S64" s="74"/>
      <c r="T64" s="55" t="s">
        <v>511</v>
      </c>
      <c r="U64" s="73" t="s">
        <v>351</v>
      </c>
      <c r="V64" s="74">
        <v>44481</v>
      </c>
      <c r="W64" s="74">
        <v>44518</v>
      </c>
      <c r="X64" s="55">
        <v>10183499</v>
      </c>
      <c r="Y64" s="74" t="s">
        <v>130</v>
      </c>
      <c r="Z64" s="74"/>
      <c r="AB64" s="55" t="s">
        <v>130</v>
      </c>
      <c r="AC64" s="55" t="s">
        <v>130</v>
      </c>
    </row>
    <row r="65" spans="1:29" ht="13" x14ac:dyDescent="0.15">
      <c r="A65" s="72" t="str">
        <f t="shared" si="0"/>
        <v>Ofsted Social Care Provider Webpage</v>
      </c>
      <c r="B65" s="55">
        <v>1213828</v>
      </c>
      <c r="D65" s="55" t="s">
        <v>373</v>
      </c>
      <c r="E65" s="74">
        <v>42276</v>
      </c>
      <c r="F65" s="55" t="s">
        <v>344</v>
      </c>
      <c r="G65" s="55" t="s">
        <v>360</v>
      </c>
      <c r="H65" s="55" t="s">
        <v>360</v>
      </c>
      <c r="I65" s="55" t="s">
        <v>360</v>
      </c>
      <c r="J65" s="55" t="s">
        <v>360</v>
      </c>
      <c r="K65" s="55" t="s">
        <v>360</v>
      </c>
      <c r="L65" s="55" t="s">
        <v>360</v>
      </c>
      <c r="M65" s="55" t="s">
        <v>144</v>
      </c>
      <c r="N65" s="55" t="s">
        <v>144</v>
      </c>
      <c r="O65" s="55" t="s">
        <v>261</v>
      </c>
      <c r="P65" s="55" t="s">
        <v>512</v>
      </c>
      <c r="Q65" s="55" t="s">
        <v>350</v>
      </c>
      <c r="R65" s="55">
        <v>2</v>
      </c>
      <c r="S65" s="74"/>
      <c r="T65" s="55" t="s">
        <v>513</v>
      </c>
      <c r="U65" s="73" t="s">
        <v>351</v>
      </c>
      <c r="V65" s="74">
        <v>44299</v>
      </c>
      <c r="W65" s="74">
        <v>44337</v>
      </c>
      <c r="X65" s="55">
        <v>10185703</v>
      </c>
      <c r="Y65" s="74" t="s">
        <v>130</v>
      </c>
      <c r="Z65" s="74"/>
      <c r="AB65" s="55" t="s">
        <v>130</v>
      </c>
      <c r="AC65" s="55" t="s">
        <v>130</v>
      </c>
    </row>
    <row r="66" spans="1:29" ht="13" x14ac:dyDescent="0.15">
      <c r="A66" s="72" t="str">
        <f t="shared" si="0"/>
        <v>Ofsted Social Care Provider Webpage</v>
      </c>
      <c r="B66" s="55">
        <v>1214266</v>
      </c>
      <c r="D66" s="55" t="s">
        <v>373</v>
      </c>
      <c r="E66" s="74">
        <v>42318</v>
      </c>
      <c r="F66" s="55" t="s">
        <v>344</v>
      </c>
      <c r="G66" s="55" t="s">
        <v>360</v>
      </c>
      <c r="H66" s="55" t="s">
        <v>360</v>
      </c>
      <c r="I66" s="55" t="s">
        <v>360</v>
      </c>
      <c r="J66" s="55" t="s">
        <v>360</v>
      </c>
      <c r="K66" s="55" t="s">
        <v>360</v>
      </c>
      <c r="L66" s="55" t="s">
        <v>360</v>
      </c>
      <c r="M66" s="55" t="s">
        <v>172</v>
      </c>
      <c r="N66" s="55" t="s">
        <v>172</v>
      </c>
      <c r="O66" s="55" t="s">
        <v>212</v>
      </c>
      <c r="P66" s="55" t="s">
        <v>514</v>
      </c>
      <c r="Q66" s="55" t="s">
        <v>350</v>
      </c>
      <c r="R66" s="55">
        <v>4</v>
      </c>
      <c r="S66" s="74"/>
      <c r="T66" s="55" t="s">
        <v>515</v>
      </c>
      <c r="U66" s="73" t="s">
        <v>351</v>
      </c>
      <c r="V66" s="74">
        <v>44418</v>
      </c>
      <c r="W66" s="74">
        <v>44455</v>
      </c>
      <c r="X66" s="55">
        <v>10186946</v>
      </c>
      <c r="Y66" s="74" t="s">
        <v>132</v>
      </c>
      <c r="Z66" s="74"/>
      <c r="AB66" s="55" t="s">
        <v>130</v>
      </c>
      <c r="AC66" s="55" t="s">
        <v>132</v>
      </c>
    </row>
    <row r="67" spans="1:29" ht="13" x14ac:dyDescent="0.15">
      <c r="A67" s="72" t="str">
        <f t="shared" si="0"/>
        <v>Ofsted Social Care Provider Webpage</v>
      </c>
      <c r="B67" s="55">
        <v>1214270</v>
      </c>
      <c r="D67" s="55" t="s">
        <v>373</v>
      </c>
      <c r="E67" s="74">
        <v>42356</v>
      </c>
      <c r="F67" s="55" t="s">
        <v>344</v>
      </c>
      <c r="G67" s="55" t="s">
        <v>360</v>
      </c>
      <c r="H67" s="55" t="s">
        <v>360</v>
      </c>
      <c r="I67" s="55" t="s">
        <v>360</v>
      </c>
      <c r="J67" s="55" t="s">
        <v>360</v>
      </c>
      <c r="K67" s="55" t="s">
        <v>360</v>
      </c>
      <c r="L67" s="55" t="s">
        <v>360</v>
      </c>
      <c r="M67" s="55" t="s">
        <v>144</v>
      </c>
      <c r="N67" s="55" t="s">
        <v>144</v>
      </c>
      <c r="O67" s="55" t="s">
        <v>162</v>
      </c>
      <c r="P67" s="55" t="s">
        <v>516</v>
      </c>
      <c r="Q67" s="55" t="s">
        <v>350</v>
      </c>
      <c r="R67" s="55">
        <v>1</v>
      </c>
      <c r="S67" s="74"/>
      <c r="T67" s="55" t="s">
        <v>517</v>
      </c>
      <c r="U67" s="73" t="s">
        <v>351</v>
      </c>
      <c r="V67" s="74">
        <v>44530</v>
      </c>
      <c r="W67" s="74">
        <v>44574</v>
      </c>
      <c r="X67" s="55">
        <v>10205466</v>
      </c>
      <c r="Y67" s="74" t="s">
        <v>132</v>
      </c>
      <c r="Z67" s="74"/>
      <c r="AB67" s="55" t="s">
        <v>132</v>
      </c>
      <c r="AC67" s="55" t="s">
        <v>132</v>
      </c>
    </row>
    <row r="68" spans="1:29" ht="13" x14ac:dyDescent="0.15">
      <c r="A68" s="72" t="str">
        <f t="shared" si="0"/>
        <v>Ofsted Social Care Provider Webpage</v>
      </c>
      <c r="B68" s="55">
        <v>1214396</v>
      </c>
      <c r="D68" s="55" t="s">
        <v>373</v>
      </c>
      <c r="E68" s="74">
        <v>42382</v>
      </c>
      <c r="F68" s="55" t="s">
        <v>344</v>
      </c>
      <c r="G68" s="55" t="s">
        <v>360</v>
      </c>
      <c r="H68" s="55" t="s">
        <v>360</v>
      </c>
      <c r="I68" s="55" t="s">
        <v>360</v>
      </c>
      <c r="J68" s="55" t="s">
        <v>360</v>
      </c>
      <c r="K68" s="55" t="s">
        <v>360</v>
      </c>
      <c r="L68" s="55" t="s">
        <v>360</v>
      </c>
      <c r="M68" s="55" t="s">
        <v>142</v>
      </c>
      <c r="N68" s="55" t="s">
        <v>142</v>
      </c>
      <c r="O68" s="55" t="s">
        <v>195</v>
      </c>
      <c r="P68" s="55" t="s">
        <v>518</v>
      </c>
      <c r="Q68" s="55" t="s">
        <v>350</v>
      </c>
      <c r="R68" s="55">
        <v>2</v>
      </c>
      <c r="S68" s="74"/>
      <c r="T68" s="55" t="s">
        <v>519</v>
      </c>
      <c r="U68" s="73" t="s">
        <v>351</v>
      </c>
      <c r="V68" s="74">
        <v>44495</v>
      </c>
      <c r="W68" s="74">
        <v>44537</v>
      </c>
      <c r="X68" s="55">
        <v>10187358</v>
      </c>
      <c r="Y68" s="74" t="s">
        <v>132</v>
      </c>
      <c r="Z68" s="74"/>
      <c r="AB68" s="55" t="s">
        <v>132</v>
      </c>
      <c r="AC68" s="55" t="s">
        <v>132</v>
      </c>
    </row>
    <row r="69" spans="1:29" ht="13" x14ac:dyDescent="0.15">
      <c r="A69" s="72" t="str">
        <f t="shared" si="0"/>
        <v>Ofsted Social Care Provider Webpage</v>
      </c>
      <c r="B69" s="55">
        <v>1215521</v>
      </c>
      <c r="D69" s="55" t="s">
        <v>373</v>
      </c>
      <c r="E69" s="74">
        <v>42345</v>
      </c>
      <c r="F69" s="55" t="s">
        <v>344</v>
      </c>
      <c r="G69" s="55" t="s">
        <v>360</v>
      </c>
      <c r="H69" s="55" t="s">
        <v>360</v>
      </c>
      <c r="I69" s="55" t="s">
        <v>360</v>
      </c>
      <c r="J69" s="55" t="s">
        <v>360</v>
      </c>
      <c r="K69" s="55" t="s">
        <v>360</v>
      </c>
      <c r="L69" s="55" t="s">
        <v>360</v>
      </c>
      <c r="M69" s="55" t="s">
        <v>172</v>
      </c>
      <c r="N69" s="55" t="s">
        <v>172</v>
      </c>
      <c r="O69" s="55" t="s">
        <v>234</v>
      </c>
      <c r="P69" s="55" t="s">
        <v>369</v>
      </c>
      <c r="Q69" s="55" t="s">
        <v>350</v>
      </c>
      <c r="R69" s="55">
        <v>3</v>
      </c>
      <c r="S69" s="74"/>
      <c r="T69" s="55" t="s">
        <v>520</v>
      </c>
      <c r="U69" s="73" t="s">
        <v>351</v>
      </c>
      <c r="V69" s="74">
        <v>44565</v>
      </c>
      <c r="W69" s="74">
        <v>44594</v>
      </c>
      <c r="X69" s="55">
        <v>10187545</v>
      </c>
      <c r="Y69" s="74" t="s">
        <v>140</v>
      </c>
      <c r="Z69" s="74"/>
      <c r="AB69" s="55" t="s">
        <v>140</v>
      </c>
      <c r="AC69" s="55" t="s">
        <v>140</v>
      </c>
    </row>
    <row r="70" spans="1:29" ht="13" x14ac:dyDescent="0.15">
      <c r="A70" s="72" t="str">
        <f t="shared" ref="A70:A133" si="1">HYPERLINK(_xlfn.CONCAT("http://reports.ofsted.gov.uk/inspection-reports/find-inspection-report/provider/CARE/",B70),"Ofsted Social Care Provider Webpage")</f>
        <v>Ofsted Social Care Provider Webpage</v>
      </c>
      <c r="B70" s="55">
        <v>1216505</v>
      </c>
      <c r="D70" s="55" t="s">
        <v>373</v>
      </c>
      <c r="E70" s="74">
        <v>42403</v>
      </c>
      <c r="F70" s="55" t="s">
        <v>344</v>
      </c>
      <c r="G70" s="55" t="s">
        <v>360</v>
      </c>
      <c r="H70" s="55" t="s">
        <v>360</v>
      </c>
      <c r="I70" s="55" t="s">
        <v>360</v>
      </c>
      <c r="J70" s="55" t="s">
        <v>360</v>
      </c>
      <c r="K70" s="55" t="s">
        <v>360</v>
      </c>
      <c r="L70" s="55" t="s">
        <v>360</v>
      </c>
      <c r="M70" s="55" t="s">
        <v>378</v>
      </c>
      <c r="N70" s="55" t="s">
        <v>170</v>
      </c>
      <c r="O70" s="55" t="s">
        <v>222</v>
      </c>
      <c r="P70" s="55" t="s">
        <v>521</v>
      </c>
      <c r="Q70" s="55" t="s">
        <v>350</v>
      </c>
      <c r="R70" s="55">
        <v>5</v>
      </c>
      <c r="S70" s="74"/>
      <c r="T70" s="55" t="s">
        <v>522</v>
      </c>
      <c r="U70" s="73" t="s">
        <v>351</v>
      </c>
      <c r="V70" s="74">
        <v>44482</v>
      </c>
      <c r="W70" s="74">
        <v>44523</v>
      </c>
      <c r="X70" s="55">
        <v>10205931</v>
      </c>
      <c r="Y70" s="74" t="s">
        <v>132</v>
      </c>
      <c r="Z70" s="74"/>
      <c r="AB70" s="55" t="s">
        <v>132</v>
      </c>
      <c r="AC70" s="55" t="s">
        <v>130</v>
      </c>
    </row>
    <row r="71" spans="1:29" ht="13" x14ac:dyDescent="0.15">
      <c r="A71" s="72" t="str">
        <f t="shared" si="1"/>
        <v>Ofsted Social Care Provider Webpage</v>
      </c>
      <c r="B71" s="55">
        <v>1220887</v>
      </c>
      <c r="D71" s="55" t="s">
        <v>373</v>
      </c>
      <c r="E71" s="74">
        <v>42337</v>
      </c>
      <c r="F71" s="55" t="s">
        <v>344</v>
      </c>
      <c r="G71" s="55" t="s">
        <v>360</v>
      </c>
      <c r="H71" s="55" t="s">
        <v>360</v>
      </c>
      <c r="I71" s="55" t="s">
        <v>360</v>
      </c>
      <c r="J71" s="55" t="s">
        <v>360</v>
      </c>
      <c r="K71" s="55" t="s">
        <v>360</v>
      </c>
      <c r="L71" s="55" t="s">
        <v>360</v>
      </c>
      <c r="M71" s="55" t="s">
        <v>142</v>
      </c>
      <c r="N71" s="55" t="s">
        <v>142</v>
      </c>
      <c r="O71" s="55" t="s">
        <v>262</v>
      </c>
      <c r="P71" s="55" t="s">
        <v>523</v>
      </c>
      <c r="Q71" s="55" t="s">
        <v>350</v>
      </c>
      <c r="R71" s="55">
        <v>3</v>
      </c>
      <c r="S71" s="74"/>
      <c r="T71" s="55" t="s">
        <v>524</v>
      </c>
      <c r="U71" s="73" t="s">
        <v>351</v>
      </c>
      <c r="V71" s="74">
        <v>44503</v>
      </c>
      <c r="W71" s="74">
        <v>44540</v>
      </c>
      <c r="X71" s="55">
        <v>10186381</v>
      </c>
      <c r="Y71" s="74" t="s">
        <v>130</v>
      </c>
      <c r="Z71" s="74"/>
      <c r="AB71" s="55" t="s">
        <v>130</v>
      </c>
      <c r="AC71" s="55" t="s">
        <v>130</v>
      </c>
    </row>
    <row r="72" spans="1:29" ht="13" x14ac:dyDescent="0.15">
      <c r="A72" s="72" t="str">
        <f t="shared" si="1"/>
        <v>Ofsted Social Care Provider Webpage</v>
      </c>
      <c r="B72" s="55">
        <v>1221357</v>
      </c>
      <c r="D72" s="55" t="s">
        <v>373</v>
      </c>
      <c r="E72" s="74">
        <v>42530</v>
      </c>
      <c r="F72" s="55" t="s">
        <v>344</v>
      </c>
      <c r="G72" s="55" t="s">
        <v>360</v>
      </c>
      <c r="H72" s="55" t="s">
        <v>360</v>
      </c>
      <c r="I72" s="55" t="s">
        <v>360</v>
      </c>
      <c r="J72" s="55" t="s">
        <v>360</v>
      </c>
      <c r="K72" s="55" t="s">
        <v>360</v>
      </c>
      <c r="L72" s="55" t="s">
        <v>360</v>
      </c>
      <c r="M72" s="55" t="s">
        <v>144</v>
      </c>
      <c r="N72" s="55" t="s">
        <v>144</v>
      </c>
      <c r="O72" s="55" t="s">
        <v>145</v>
      </c>
      <c r="P72" s="55" t="s">
        <v>525</v>
      </c>
      <c r="Q72" s="55" t="s">
        <v>350</v>
      </c>
      <c r="R72" s="55">
        <v>4</v>
      </c>
      <c r="S72" s="74"/>
      <c r="T72" s="55" t="s">
        <v>493</v>
      </c>
      <c r="U72" s="73" t="s">
        <v>351</v>
      </c>
      <c r="V72" s="74">
        <v>44523</v>
      </c>
      <c r="W72" s="74">
        <v>44579</v>
      </c>
      <c r="X72" s="55">
        <v>10185924</v>
      </c>
      <c r="Y72" s="74" t="s">
        <v>132</v>
      </c>
      <c r="Z72" s="74"/>
      <c r="AB72" s="55" t="s">
        <v>130</v>
      </c>
      <c r="AC72" s="55" t="s">
        <v>130</v>
      </c>
    </row>
    <row r="73" spans="1:29" ht="13" x14ac:dyDescent="0.15">
      <c r="A73" s="72" t="str">
        <f t="shared" si="1"/>
        <v>Ofsted Social Care Provider Webpage</v>
      </c>
      <c r="B73" s="55">
        <v>1221437</v>
      </c>
      <c r="D73" s="55" t="s">
        <v>373</v>
      </c>
      <c r="E73" s="74">
        <v>42444</v>
      </c>
      <c r="F73" s="55" t="s">
        <v>344</v>
      </c>
      <c r="G73" s="55" t="s">
        <v>360</v>
      </c>
      <c r="H73" s="55" t="s">
        <v>360</v>
      </c>
      <c r="I73" s="55" t="s">
        <v>360</v>
      </c>
      <c r="J73" s="55" t="s">
        <v>360</v>
      </c>
      <c r="K73" s="55" t="s">
        <v>360</v>
      </c>
      <c r="L73" s="55" t="s">
        <v>360</v>
      </c>
      <c r="M73" s="55" t="s">
        <v>136</v>
      </c>
      <c r="N73" s="55" t="s">
        <v>136</v>
      </c>
      <c r="O73" s="55" t="s">
        <v>176</v>
      </c>
      <c r="P73" s="55" t="s">
        <v>526</v>
      </c>
      <c r="Q73" s="55" t="s">
        <v>350</v>
      </c>
      <c r="R73" s="55">
        <v>5</v>
      </c>
      <c r="S73" s="74" t="s">
        <v>332</v>
      </c>
      <c r="T73" s="55" t="s">
        <v>527</v>
      </c>
      <c r="U73" s="73" t="s">
        <v>351</v>
      </c>
      <c r="V73" s="74">
        <v>44431</v>
      </c>
      <c r="W73" s="74">
        <v>44482</v>
      </c>
      <c r="X73" s="55">
        <v>10187664</v>
      </c>
      <c r="Y73" s="74" t="s">
        <v>132</v>
      </c>
      <c r="Z73" s="74"/>
      <c r="AB73" s="55" t="s">
        <v>132</v>
      </c>
      <c r="AC73" s="55" t="s">
        <v>132</v>
      </c>
    </row>
    <row r="74" spans="1:29" ht="13" x14ac:dyDescent="0.15">
      <c r="A74" s="72" t="str">
        <f t="shared" si="1"/>
        <v>Ofsted Social Care Provider Webpage</v>
      </c>
      <c r="B74" s="55">
        <v>1221446</v>
      </c>
      <c r="D74" s="55" t="s">
        <v>389</v>
      </c>
      <c r="E74" s="74">
        <v>42573</v>
      </c>
      <c r="F74" s="55" t="s">
        <v>344</v>
      </c>
      <c r="G74" s="55" t="s">
        <v>528</v>
      </c>
      <c r="H74" s="55" t="s">
        <v>529</v>
      </c>
      <c r="I74" s="55" t="s">
        <v>530</v>
      </c>
      <c r="J74" s="55" t="s">
        <v>129</v>
      </c>
      <c r="L74" s="55" t="s">
        <v>531</v>
      </c>
      <c r="M74" s="55" t="s">
        <v>129</v>
      </c>
      <c r="N74" s="55" t="s">
        <v>129</v>
      </c>
      <c r="O74" s="55" t="s">
        <v>197</v>
      </c>
      <c r="P74" s="55" t="s">
        <v>532</v>
      </c>
      <c r="Q74" s="55" t="s">
        <v>350</v>
      </c>
      <c r="R74" s="55"/>
      <c r="S74" s="74"/>
      <c r="T74" s="55" t="s">
        <v>533</v>
      </c>
      <c r="U74" s="73" t="s">
        <v>351</v>
      </c>
      <c r="V74" s="74">
        <v>43416</v>
      </c>
      <c r="W74" s="74">
        <v>43447</v>
      </c>
      <c r="X74" s="55">
        <v>10030592</v>
      </c>
      <c r="Y74" s="74" t="s">
        <v>132</v>
      </c>
      <c r="Z74" s="74"/>
      <c r="AB74" s="55" t="s">
        <v>132</v>
      </c>
      <c r="AC74" s="55" t="s">
        <v>132</v>
      </c>
    </row>
    <row r="75" spans="1:29" ht="13" x14ac:dyDescent="0.15">
      <c r="A75" s="72" t="str">
        <f t="shared" si="1"/>
        <v>Ofsted Social Care Provider Webpage</v>
      </c>
      <c r="B75" s="55">
        <v>1221700</v>
      </c>
      <c r="D75" s="55" t="s">
        <v>373</v>
      </c>
      <c r="E75" s="74">
        <v>42402</v>
      </c>
      <c r="F75" s="55" t="s">
        <v>344</v>
      </c>
      <c r="G75" s="55" t="s">
        <v>360</v>
      </c>
      <c r="H75" s="55" t="s">
        <v>360</v>
      </c>
      <c r="I75" s="55" t="s">
        <v>360</v>
      </c>
      <c r="J75" s="55" t="s">
        <v>360</v>
      </c>
      <c r="K75" s="55" t="s">
        <v>360</v>
      </c>
      <c r="L75" s="55" t="s">
        <v>360</v>
      </c>
      <c r="M75" s="55" t="s">
        <v>144</v>
      </c>
      <c r="N75" s="55" t="s">
        <v>144</v>
      </c>
      <c r="O75" s="55" t="s">
        <v>209</v>
      </c>
      <c r="P75" s="55" t="s">
        <v>534</v>
      </c>
      <c r="Q75" s="55" t="s">
        <v>350</v>
      </c>
      <c r="R75" s="55">
        <v>5</v>
      </c>
      <c r="S75" s="74"/>
      <c r="T75" s="55" t="s">
        <v>493</v>
      </c>
      <c r="U75" s="73" t="s">
        <v>351</v>
      </c>
      <c r="V75" s="74">
        <v>44615</v>
      </c>
      <c r="W75" s="74">
        <v>44659</v>
      </c>
      <c r="X75" s="55">
        <v>10186280</v>
      </c>
      <c r="Y75" s="74" t="s">
        <v>132</v>
      </c>
      <c r="Z75" s="74"/>
      <c r="AB75" s="55" t="s">
        <v>132</v>
      </c>
      <c r="AC75" s="55" t="s">
        <v>132</v>
      </c>
    </row>
    <row r="76" spans="1:29" ht="13" x14ac:dyDescent="0.15">
      <c r="A76" s="72" t="str">
        <f t="shared" si="1"/>
        <v>Ofsted Social Care Provider Webpage</v>
      </c>
      <c r="B76" s="55">
        <v>1222039</v>
      </c>
      <c r="D76" s="55" t="s">
        <v>389</v>
      </c>
      <c r="E76" s="74">
        <v>42653</v>
      </c>
      <c r="F76" s="55" t="s">
        <v>344</v>
      </c>
      <c r="G76" s="55" t="s">
        <v>535</v>
      </c>
      <c r="H76" s="55" t="s">
        <v>536</v>
      </c>
      <c r="I76" s="55" t="s">
        <v>537</v>
      </c>
      <c r="J76" s="55" t="s">
        <v>155</v>
      </c>
      <c r="L76" s="55" t="s">
        <v>538</v>
      </c>
      <c r="M76" s="55" t="s">
        <v>129</v>
      </c>
      <c r="N76" s="55" t="s">
        <v>129</v>
      </c>
      <c r="O76" s="55" t="s">
        <v>155</v>
      </c>
      <c r="P76" s="55" t="s">
        <v>410</v>
      </c>
      <c r="Q76" s="55" t="s">
        <v>350</v>
      </c>
      <c r="R76" s="55"/>
      <c r="S76" s="74"/>
      <c r="T76" s="55" t="s">
        <v>539</v>
      </c>
      <c r="U76" s="73" t="s">
        <v>351</v>
      </c>
      <c r="V76" s="74">
        <v>43766</v>
      </c>
      <c r="W76" s="74">
        <v>43797</v>
      </c>
      <c r="X76" s="55">
        <v>10093307</v>
      </c>
      <c r="Y76" s="74" t="s">
        <v>132</v>
      </c>
      <c r="Z76" s="74"/>
      <c r="AB76" s="55" t="s">
        <v>132</v>
      </c>
      <c r="AC76" s="55" t="s">
        <v>132</v>
      </c>
    </row>
    <row r="77" spans="1:29" ht="13" x14ac:dyDescent="0.15">
      <c r="A77" s="72" t="str">
        <f t="shared" si="1"/>
        <v>Ofsted Social Care Provider Webpage</v>
      </c>
      <c r="B77" s="55">
        <v>1222089</v>
      </c>
      <c r="D77" s="55" t="s">
        <v>373</v>
      </c>
      <c r="E77" s="74">
        <v>42417</v>
      </c>
      <c r="F77" s="55" t="s">
        <v>344</v>
      </c>
      <c r="G77" s="55" t="s">
        <v>360</v>
      </c>
      <c r="H77" s="55" t="s">
        <v>360</v>
      </c>
      <c r="I77" s="55" t="s">
        <v>360</v>
      </c>
      <c r="J77" s="55" t="s">
        <v>360</v>
      </c>
      <c r="K77" s="55" t="s">
        <v>360</v>
      </c>
      <c r="L77" s="55" t="s">
        <v>360</v>
      </c>
      <c r="M77" s="55" t="s">
        <v>142</v>
      </c>
      <c r="N77" s="55" t="s">
        <v>142</v>
      </c>
      <c r="O77" s="55" t="s">
        <v>265</v>
      </c>
      <c r="P77" s="55" t="s">
        <v>540</v>
      </c>
      <c r="Q77" s="55" t="s">
        <v>350</v>
      </c>
      <c r="R77" s="55">
        <v>4</v>
      </c>
      <c r="S77" s="74"/>
      <c r="T77" s="55" t="s">
        <v>541</v>
      </c>
      <c r="U77" s="73" t="s">
        <v>351</v>
      </c>
      <c r="V77" s="74">
        <v>44369</v>
      </c>
      <c r="W77" s="74">
        <v>44397</v>
      </c>
      <c r="X77" s="55">
        <v>10185412</v>
      </c>
      <c r="Y77" s="74" t="s">
        <v>130</v>
      </c>
      <c r="Z77" s="74"/>
      <c r="AB77" s="55" t="s">
        <v>130</v>
      </c>
      <c r="AC77" s="55" t="s">
        <v>130</v>
      </c>
    </row>
    <row r="78" spans="1:29" ht="13" x14ac:dyDescent="0.15">
      <c r="A78" s="72" t="str">
        <f t="shared" si="1"/>
        <v>Ofsted Social Care Provider Webpage</v>
      </c>
      <c r="B78" s="55">
        <v>1223201</v>
      </c>
      <c r="D78" s="55" t="s">
        <v>373</v>
      </c>
      <c r="E78" s="74">
        <v>42348</v>
      </c>
      <c r="F78" s="55" t="s">
        <v>344</v>
      </c>
      <c r="G78" s="55" t="s">
        <v>360</v>
      </c>
      <c r="H78" s="55" t="s">
        <v>360</v>
      </c>
      <c r="I78" s="55" t="s">
        <v>360</v>
      </c>
      <c r="J78" s="55" t="s">
        <v>360</v>
      </c>
      <c r="K78" s="55" t="s">
        <v>360</v>
      </c>
      <c r="L78" s="55" t="s">
        <v>360</v>
      </c>
      <c r="M78" s="55" t="s">
        <v>378</v>
      </c>
      <c r="N78" s="55" t="s">
        <v>134</v>
      </c>
      <c r="O78" s="55" t="s">
        <v>210</v>
      </c>
      <c r="P78" s="55" t="s">
        <v>542</v>
      </c>
      <c r="Q78" s="55" t="s">
        <v>380</v>
      </c>
      <c r="R78" s="55">
        <v>4</v>
      </c>
      <c r="S78" s="74"/>
      <c r="T78" s="55" t="s">
        <v>543</v>
      </c>
      <c r="U78" s="73" t="s">
        <v>351</v>
      </c>
      <c r="V78" s="74">
        <v>44426</v>
      </c>
      <c r="W78" s="74">
        <v>44462</v>
      </c>
      <c r="X78" s="55">
        <v>10185459</v>
      </c>
      <c r="Y78" s="74" t="s">
        <v>140</v>
      </c>
      <c r="Z78" s="74"/>
      <c r="AB78" s="55" t="s">
        <v>140</v>
      </c>
      <c r="AC78" s="55" t="s">
        <v>140</v>
      </c>
    </row>
    <row r="79" spans="1:29" ht="13" x14ac:dyDescent="0.15">
      <c r="A79" s="72" t="str">
        <f t="shared" si="1"/>
        <v>Ofsted Social Care Provider Webpage</v>
      </c>
      <c r="B79" s="55">
        <v>1223501</v>
      </c>
      <c r="D79" s="55" t="s">
        <v>373</v>
      </c>
      <c r="E79" s="74">
        <v>42404</v>
      </c>
      <c r="F79" s="55" t="s">
        <v>344</v>
      </c>
      <c r="G79" s="55" t="s">
        <v>360</v>
      </c>
      <c r="H79" s="55" t="s">
        <v>360</v>
      </c>
      <c r="I79" s="55" t="s">
        <v>360</v>
      </c>
      <c r="J79" s="55" t="s">
        <v>360</v>
      </c>
      <c r="K79" s="55" t="s">
        <v>360</v>
      </c>
      <c r="L79" s="55" t="s">
        <v>360</v>
      </c>
      <c r="M79" s="55" t="s">
        <v>144</v>
      </c>
      <c r="N79" s="55" t="s">
        <v>144</v>
      </c>
      <c r="O79" s="55" t="s">
        <v>209</v>
      </c>
      <c r="P79" s="55" t="s">
        <v>544</v>
      </c>
      <c r="Q79" s="55" t="s">
        <v>350</v>
      </c>
      <c r="R79" s="55">
        <v>4</v>
      </c>
      <c r="S79" s="74"/>
      <c r="T79" s="55" t="s">
        <v>493</v>
      </c>
      <c r="U79" s="73" t="s">
        <v>351</v>
      </c>
      <c r="V79" s="74">
        <v>43740</v>
      </c>
      <c r="W79" s="74">
        <v>43781</v>
      </c>
      <c r="X79" s="55">
        <v>10097660</v>
      </c>
      <c r="Y79" s="74" t="s">
        <v>132</v>
      </c>
      <c r="Z79" s="74"/>
      <c r="AB79" s="55" t="s">
        <v>132</v>
      </c>
      <c r="AC79" s="55" t="s">
        <v>132</v>
      </c>
    </row>
    <row r="80" spans="1:29" ht="13" x14ac:dyDescent="0.15">
      <c r="A80" s="72" t="str">
        <f t="shared" si="1"/>
        <v>Ofsted Social Care Provider Webpage</v>
      </c>
      <c r="B80" s="55">
        <v>1223681</v>
      </c>
      <c r="D80" s="55" t="s">
        <v>373</v>
      </c>
      <c r="E80" s="74">
        <v>42474</v>
      </c>
      <c r="F80" s="55" t="s">
        <v>344</v>
      </c>
      <c r="G80" s="55" t="s">
        <v>360</v>
      </c>
      <c r="H80" s="55" t="s">
        <v>360</v>
      </c>
      <c r="I80" s="55" t="s">
        <v>360</v>
      </c>
      <c r="J80" s="55" t="s">
        <v>360</v>
      </c>
      <c r="K80" s="55" t="s">
        <v>360</v>
      </c>
      <c r="L80" s="55" t="s">
        <v>360</v>
      </c>
      <c r="M80" s="55" t="s">
        <v>144</v>
      </c>
      <c r="N80" s="55" t="s">
        <v>144</v>
      </c>
      <c r="O80" s="55" t="s">
        <v>209</v>
      </c>
      <c r="P80" s="55" t="s">
        <v>545</v>
      </c>
      <c r="Q80" s="55" t="s">
        <v>350</v>
      </c>
      <c r="R80" s="55">
        <v>3</v>
      </c>
      <c r="S80" s="74"/>
      <c r="T80" s="55" t="s">
        <v>485</v>
      </c>
      <c r="U80" s="73" t="s">
        <v>351</v>
      </c>
      <c r="V80" s="74">
        <v>44335</v>
      </c>
      <c r="W80" s="74">
        <v>44370</v>
      </c>
      <c r="X80" s="55">
        <v>10185983</v>
      </c>
      <c r="Y80" s="74" t="s">
        <v>130</v>
      </c>
      <c r="Z80" s="74"/>
      <c r="AB80" s="55" t="s">
        <v>130</v>
      </c>
      <c r="AC80" s="55" t="s">
        <v>130</v>
      </c>
    </row>
    <row r="81" spans="1:29" ht="13" x14ac:dyDescent="0.15">
      <c r="A81" s="72" t="str">
        <f t="shared" si="1"/>
        <v>Ofsted Social Care Provider Webpage</v>
      </c>
      <c r="B81" s="55">
        <v>1224093</v>
      </c>
      <c r="D81" s="55" t="s">
        <v>373</v>
      </c>
      <c r="E81" s="74">
        <v>42312</v>
      </c>
      <c r="F81" s="55" t="s">
        <v>344</v>
      </c>
      <c r="G81" s="55" t="s">
        <v>360</v>
      </c>
      <c r="H81" s="55" t="s">
        <v>360</v>
      </c>
      <c r="I81" s="55" t="s">
        <v>360</v>
      </c>
      <c r="J81" s="55" t="s">
        <v>360</v>
      </c>
      <c r="K81" s="55" t="s">
        <v>360</v>
      </c>
      <c r="L81" s="55" t="s">
        <v>360</v>
      </c>
      <c r="M81" s="55" t="s">
        <v>138</v>
      </c>
      <c r="N81" s="55" t="s">
        <v>138</v>
      </c>
      <c r="O81" s="55" t="s">
        <v>196</v>
      </c>
      <c r="P81" s="55" t="s">
        <v>546</v>
      </c>
      <c r="Q81" s="55" t="s">
        <v>350</v>
      </c>
      <c r="R81" s="55">
        <v>4</v>
      </c>
      <c r="S81" s="74"/>
      <c r="T81" s="55" t="s">
        <v>442</v>
      </c>
      <c r="U81" s="73" t="s">
        <v>351</v>
      </c>
      <c r="V81" s="74">
        <v>44426</v>
      </c>
      <c r="W81" s="74">
        <v>44456</v>
      </c>
      <c r="X81" s="55">
        <v>10186492</v>
      </c>
      <c r="Y81" s="74" t="s">
        <v>132</v>
      </c>
      <c r="Z81" s="74"/>
      <c r="AB81" s="55" t="s">
        <v>132</v>
      </c>
      <c r="AC81" s="55" t="s">
        <v>132</v>
      </c>
    </row>
    <row r="82" spans="1:29" ht="13" x14ac:dyDescent="0.15">
      <c r="A82" s="72" t="str">
        <f t="shared" si="1"/>
        <v>Ofsted Social Care Provider Webpage</v>
      </c>
      <c r="B82" s="55">
        <v>1224663</v>
      </c>
      <c r="D82" s="55" t="s">
        <v>373</v>
      </c>
      <c r="E82" s="74">
        <v>42368</v>
      </c>
      <c r="F82" s="55" t="s">
        <v>344</v>
      </c>
      <c r="G82" s="55" t="s">
        <v>360</v>
      </c>
      <c r="H82" s="55" t="s">
        <v>360</v>
      </c>
      <c r="I82" s="55" t="s">
        <v>360</v>
      </c>
      <c r="J82" s="55" t="s">
        <v>360</v>
      </c>
      <c r="K82" s="55" t="s">
        <v>360</v>
      </c>
      <c r="L82" s="55" t="s">
        <v>360</v>
      </c>
      <c r="M82" s="55" t="s">
        <v>172</v>
      </c>
      <c r="N82" s="55" t="s">
        <v>172</v>
      </c>
      <c r="O82" s="55" t="s">
        <v>212</v>
      </c>
      <c r="P82" s="55" t="s">
        <v>547</v>
      </c>
      <c r="Q82" s="55" t="s">
        <v>350</v>
      </c>
      <c r="R82" s="55">
        <v>3</v>
      </c>
      <c r="S82" s="74"/>
      <c r="T82" s="55" t="s">
        <v>489</v>
      </c>
      <c r="U82" s="73" t="s">
        <v>351</v>
      </c>
      <c r="V82" s="74">
        <v>44594</v>
      </c>
      <c r="W82" s="74">
        <v>44634</v>
      </c>
      <c r="X82" s="55">
        <v>10187620</v>
      </c>
      <c r="Y82" s="74" t="s">
        <v>132</v>
      </c>
      <c r="Z82" s="74"/>
      <c r="AB82" s="55" t="s">
        <v>132</v>
      </c>
      <c r="AC82" s="55" t="s">
        <v>132</v>
      </c>
    </row>
    <row r="83" spans="1:29" ht="13" x14ac:dyDescent="0.15">
      <c r="A83" s="72" t="str">
        <f t="shared" si="1"/>
        <v>Ofsted Social Care Provider Webpage</v>
      </c>
      <c r="B83" s="55">
        <v>1224685</v>
      </c>
      <c r="D83" s="55" t="s">
        <v>389</v>
      </c>
      <c r="E83" s="74">
        <v>42438</v>
      </c>
      <c r="F83" s="55" t="s">
        <v>344</v>
      </c>
      <c r="G83" s="55" t="s">
        <v>548</v>
      </c>
      <c r="H83" s="55" t="s">
        <v>549</v>
      </c>
      <c r="I83" s="55" t="s">
        <v>550</v>
      </c>
      <c r="J83" s="55" t="s">
        <v>551</v>
      </c>
      <c r="L83" s="55" t="s">
        <v>552</v>
      </c>
      <c r="M83" s="55" t="s">
        <v>129</v>
      </c>
      <c r="N83" s="55" t="s">
        <v>129</v>
      </c>
      <c r="O83" s="55" t="s">
        <v>167</v>
      </c>
      <c r="P83" s="55" t="s">
        <v>553</v>
      </c>
      <c r="Q83" s="55" t="s">
        <v>350</v>
      </c>
      <c r="R83" s="55"/>
      <c r="S83" s="74"/>
      <c r="T83" s="55" t="s">
        <v>554</v>
      </c>
      <c r="U83" s="73" t="s">
        <v>351</v>
      </c>
      <c r="V83" s="74">
        <v>43787</v>
      </c>
      <c r="W83" s="74">
        <v>43839</v>
      </c>
      <c r="X83" s="55">
        <v>10093269</v>
      </c>
      <c r="Y83" s="74" t="s">
        <v>140</v>
      </c>
      <c r="Z83" s="74"/>
      <c r="AB83" s="55" t="s">
        <v>140</v>
      </c>
      <c r="AC83" s="55" t="s">
        <v>140</v>
      </c>
    </row>
    <row r="84" spans="1:29" ht="13" x14ac:dyDescent="0.15">
      <c r="A84" s="72" t="str">
        <f t="shared" si="1"/>
        <v>Ofsted Social Care Provider Webpage</v>
      </c>
      <c r="B84" s="55">
        <v>1225136</v>
      </c>
      <c r="D84" s="55" t="s">
        <v>373</v>
      </c>
      <c r="E84" s="74">
        <v>42508</v>
      </c>
      <c r="F84" s="55" t="s">
        <v>344</v>
      </c>
      <c r="G84" s="55" t="s">
        <v>360</v>
      </c>
      <c r="H84" s="55" t="s">
        <v>360</v>
      </c>
      <c r="I84" s="55" t="s">
        <v>360</v>
      </c>
      <c r="J84" s="55" t="s">
        <v>360</v>
      </c>
      <c r="K84" s="55" t="s">
        <v>360</v>
      </c>
      <c r="L84" s="55" t="s">
        <v>360</v>
      </c>
      <c r="M84" s="55" t="s">
        <v>144</v>
      </c>
      <c r="N84" s="55" t="s">
        <v>144</v>
      </c>
      <c r="O84" s="55" t="s">
        <v>209</v>
      </c>
      <c r="P84" s="55" t="s">
        <v>555</v>
      </c>
      <c r="Q84" s="55" t="s">
        <v>350</v>
      </c>
      <c r="R84" s="55">
        <v>4</v>
      </c>
      <c r="S84" s="74"/>
      <c r="T84" s="55" t="s">
        <v>385</v>
      </c>
      <c r="U84" s="73" t="s">
        <v>351</v>
      </c>
      <c r="V84" s="74">
        <v>44405</v>
      </c>
      <c r="W84" s="74">
        <v>44456</v>
      </c>
      <c r="X84" s="55">
        <v>10186768</v>
      </c>
      <c r="Y84" s="74" t="s">
        <v>132</v>
      </c>
      <c r="Z84" s="74"/>
      <c r="AB84" s="55" t="s">
        <v>132</v>
      </c>
      <c r="AC84" s="55" t="s">
        <v>132</v>
      </c>
    </row>
    <row r="85" spans="1:29" ht="13" x14ac:dyDescent="0.15">
      <c r="A85" s="72" t="str">
        <f t="shared" si="1"/>
        <v>Ofsted Social Care Provider Webpage</v>
      </c>
      <c r="B85" s="55">
        <v>1225371</v>
      </c>
      <c r="D85" s="55" t="s">
        <v>373</v>
      </c>
      <c r="E85" s="74">
        <v>42487</v>
      </c>
      <c r="F85" s="55" t="s">
        <v>344</v>
      </c>
      <c r="G85" s="55" t="s">
        <v>360</v>
      </c>
      <c r="H85" s="55" t="s">
        <v>360</v>
      </c>
      <c r="I85" s="55" t="s">
        <v>360</v>
      </c>
      <c r="J85" s="55" t="s">
        <v>360</v>
      </c>
      <c r="K85" s="55" t="s">
        <v>360</v>
      </c>
      <c r="L85" s="55" t="s">
        <v>360</v>
      </c>
      <c r="M85" s="55" t="s">
        <v>144</v>
      </c>
      <c r="N85" s="55" t="s">
        <v>144</v>
      </c>
      <c r="O85" s="55" t="s">
        <v>281</v>
      </c>
      <c r="P85" s="55" t="s">
        <v>556</v>
      </c>
      <c r="Q85" s="55" t="s">
        <v>350</v>
      </c>
      <c r="R85" s="55">
        <v>2</v>
      </c>
      <c r="S85" s="74"/>
      <c r="T85" s="55" t="s">
        <v>557</v>
      </c>
      <c r="U85" s="73" t="s">
        <v>351</v>
      </c>
      <c r="V85" s="74">
        <v>44580</v>
      </c>
      <c r="W85" s="74">
        <v>44631</v>
      </c>
      <c r="X85" s="55">
        <v>10186889</v>
      </c>
      <c r="Y85" s="74" t="s">
        <v>146</v>
      </c>
      <c r="Z85" s="74"/>
      <c r="AB85" s="55" t="s">
        <v>146</v>
      </c>
      <c r="AC85" s="55" t="s">
        <v>146</v>
      </c>
    </row>
    <row r="86" spans="1:29" ht="13" x14ac:dyDescent="0.15">
      <c r="A86" s="72" t="str">
        <f t="shared" si="1"/>
        <v>Ofsted Social Care Provider Webpage</v>
      </c>
      <c r="B86" s="55">
        <v>1225624</v>
      </c>
      <c r="D86" s="55" t="s">
        <v>389</v>
      </c>
      <c r="E86" s="74">
        <v>42600</v>
      </c>
      <c r="F86" s="55" t="s">
        <v>344</v>
      </c>
      <c r="G86" s="55" t="s">
        <v>558</v>
      </c>
      <c r="H86" s="55" t="s">
        <v>559</v>
      </c>
      <c r="I86" s="55" t="s">
        <v>560</v>
      </c>
      <c r="J86" s="55" t="s">
        <v>561</v>
      </c>
      <c r="K86" s="55" t="s">
        <v>209</v>
      </c>
      <c r="L86" s="55" t="s">
        <v>562</v>
      </c>
      <c r="M86" s="55" t="s">
        <v>144</v>
      </c>
      <c r="N86" s="55" t="s">
        <v>144</v>
      </c>
      <c r="O86" s="55" t="s">
        <v>209</v>
      </c>
      <c r="P86" s="55" t="s">
        <v>561</v>
      </c>
      <c r="Q86" s="55" t="s">
        <v>350</v>
      </c>
      <c r="R86" s="55"/>
      <c r="S86" s="74"/>
      <c r="T86" s="55" t="s">
        <v>502</v>
      </c>
      <c r="U86" s="73" t="s">
        <v>351</v>
      </c>
      <c r="V86" s="74">
        <v>44578</v>
      </c>
      <c r="W86" s="74">
        <v>44613</v>
      </c>
      <c r="X86" s="55">
        <v>10183390</v>
      </c>
      <c r="Y86" s="74" t="s">
        <v>132</v>
      </c>
      <c r="Z86" s="74"/>
      <c r="AB86" s="55" t="s">
        <v>132</v>
      </c>
      <c r="AC86" s="55" t="s">
        <v>140</v>
      </c>
    </row>
    <row r="87" spans="1:29" ht="13" x14ac:dyDescent="0.15">
      <c r="A87" s="72" t="str">
        <f t="shared" si="1"/>
        <v>Ofsted Social Care Provider Webpage</v>
      </c>
      <c r="B87" s="55">
        <v>1225887</v>
      </c>
      <c r="D87" s="55" t="s">
        <v>373</v>
      </c>
      <c r="E87" s="74">
        <v>42384</v>
      </c>
      <c r="F87" s="55" t="s">
        <v>344</v>
      </c>
      <c r="G87" s="55" t="s">
        <v>360</v>
      </c>
      <c r="H87" s="55" t="s">
        <v>360</v>
      </c>
      <c r="I87" s="55" t="s">
        <v>360</v>
      </c>
      <c r="J87" s="55" t="s">
        <v>360</v>
      </c>
      <c r="K87" s="55" t="s">
        <v>360</v>
      </c>
      <c r="L87" s="55" t="s">
        <v>360</v>
      </c>
      <c r="M87" s="55" t="s">
        <v>150</v>
      </c>
      <c r="N87" s="55" t="s">
        <v>150</v>
      </c>
      <c r="O87" s="55" t="s">
        <v>203</v>
      </c>
      <c r="P87" s="55" t="s">
        <v>563</v>
      </c>
      <c r="Q87" s="55" t="s">
        <v>350</v>
      </c>
      <c r="R87" s="55">
        <v>2</v>
      </c>
      <c r="S87" s="74"/>
      <c r="T87" s="55" t="s">
        <v>564</v>
      </c>
      <c r="U87" s="73" t="s">
        <v>351</v>
      </c>
      <c r="V87" s="74">
        <v>44516</v>
      </c>
      <c r="W87" s="74">
        <v>44580</v>
      </c>
      <c r="X87" s="55">
        <v>10186548</v>
      </c>
      <c r="Y87" s="74" t="s">
        <v>130</v>
      </c>
      <c r="Z87" s="74"/>
      <c r="AB87" s="55" t="s">
        <v>130</v>
      </c>
      <c r="AC87" s="55" t="s">
        <v>146</v>
      </c>
    </row>
    <row r="88" spans="1:29" ht="13" x14ac:dyDescent="0.15">
      <c r="A88" s="72" t="str">
        <f t="shared" si="1"/>
        <v>Ofsted Social Care Provider Webpage</v>
      </c>
      <c r="B88" s="55">
        <v>1226266</v>
      </c>
      <c r="D88" s="55" t="s">
        <v>373</v>
      </c>
      <c r="E88" s="74">
        <v>42380</v>
      </c>
      <c r="F88" s="55" t="s">
        <v>344</v>
      </c>
      <c r="G88" s="55" t="s">
        <v>360</v>
      </c>
      <c r="H88" s="55" t="s">
        <v>360</v>
      </c>
      <c r="I88" s="55" t="s">
        <v>360</v>
      </c>
      <c r="J88" s="55" t="s">
        <v>360</v>
      </c>
      <c r="K88" s="55" t="s">
        <v>360</v>
      </c>
      <c r="L88" s="55" t="s">
        <v>360</v>
      </c>
      <c r="M88" s="55" t="s">
        <v>150</v>
      </c>
      <c r="N88" s="55" t="s">
        <v>150</v>
      </c>
      <c r="O88" s="55" t="s">
        <v>285</v>
      </c>
      <c r="P88" s="55" t="s">
        <v>565</v>
      </c>
      <c r="Q88" s="55" t="s">
        <v>350</v>
      </c>
      <c r="R88" s="55">
        <v>6</v>
      </c>
      <c r="S88" s="74"/>
      <c r="T88" s="55" t="s">
        <v>566</v>
      </c>
      <c r="U88" s="73" t="s">
        <v>351</v>
      </c>
      <c r="V88" s="74">
        <v>44355</v>
      </c>
      <c r="W88" s="74">
        <v>44386</v>
      </c>
      <c r="X88" s="55">
        <v>10187549</v>
      </c>
      <c r="Y88" s="74" t="s">
        <v>132</v>
      </c>
      <c r="Z88" s="74"/>
      <c r="AB88" s="55" t="s">
        <v>140</v>
      </c>
      <c r="AC88" s="55" t="s">
        <v>132</v>
      </c>
    </row>
    <row r="89" spans="1:29" ht="13" x14ac:dyDescent="0.15">
      <c r="A89" s="72" t="str">
        <f t="shared" si="1"/>
        <v>Ofsted Social Care Provider Webpage</v>
      </c>
      <c r="B89" s="55">
        <v>1226271</v>
      </c>
      <c r="D89" s="55" t="s">
        <v>443</v>
      </c>
      <c r="E89" s="74">
        <v>42332</v>
      </c>
      <c r="F89" s="55" t="s">
        <v>344</v>
      </c>
      <c r="G89" s="55" t="s">
        <v>567</v>
      </c>
      <c r="H89" s="55" t="s">
        <v>568</v>
      </c>
      <c r="I89" s="55" t="s">
        <v>569</v>
      </c>
      <c r="J89" s="55" t="s">
        <v>570</v>
      </c>
      <c r="L89" s="55" t="s">
        <v>571</v>
      </c>
      <c r="M89" s="55" t="s">
        <v>136</v>
      </c>
      <c r="N89" s="55" t="s">
        <v>136</v>
      </c>
      <c r="O89" s="55" t="s">
        <v>174</v>
      </c>
      <c r="P89" s="55" t="s">
        <v>572</v>
      </c>
      <c r="Q89" s="55" t="s">
        <v>350</v>
      </c>
      <c r="R89" s="55"/>
      <c r="S89" s="74"/>
      <c r="T89" s="55" t="s">
        <v>567</v>
      </c>
      <c r="U89" s="73" t="s">
        <v>351</v>
      </c>
      <c r="V89" s="74">
        <v>43585</v>
      </c>
      <c r="W89" s="74">
        <v>43609</v>
      </c>
      <c r="X89" s="55">
        <v>10092928</v>
      </c>
      <c r="Y89" s="74" t="s">
        <v>140</v>
      </c>
      <c r="Z89" s="74"/>
      <c r="AB89" s="55" t="s">
        <v>132</v>
      </c>
      <c r="AC89" s="55" t="s">
        <v>140</v>
      </c>
    </row>
    <row r="90" spans="1:29" ht="13" x14ac:dyDescent="0.15">
      <c r="A90" s="72" t="str">
        <f t="shared" si="1"/>
        <v>Ofsted Social Care Provider Webpage</v>
      </c>
      <c r="B90" s="55">
        <v>1226397</v>
      </c>
      <c r="D90" s="55" t="s">
        <v>373</v>
      </c>
      <c r="E90" s="74">
        <v>42672</v>
      </c>
      <c r="F90" s="55" t="s">
        <v>344</v>
      </c>
      <c r="G90" s="55" t="s">
        <v>360</v>
      </c>
      <c r="H90" s="55" t="s">
        <v>360</v>
      </c>
      <c r="I90" s="55" t="s">
        <v>360</v>
      </c>
      <c r="J90" s="55" t="s">
        <v>360</v>
      </c>
      <c r="K90" s="55" t="s">
        <v>360</v>
      </c>
      <c r="L90" s="55" t="s">
        <v>360</v>
      </c>
      <c r="M90" s="55" t="s">
        <v>142</v>
      </c>
      <c r="N90" s="55" t="s">
        <v>142</v>
      </c>
      <c r="O90" s="55" t="s">
        <v>141</v>
      </c>
      <c r="P90" s="55" t="s">
        <v>573</v>
      </c>
      <c r="Q90" s="55" t="s">
        <v>350</v>
      </c>
      <c r="R90" s="55">
        <v>4</v>
      </c>
      <c r="S90" s="74"/>
      <c r="T90" s="55" t="s">
        <v>574</v>
      </c>
      <c r="U90" s="73" t="s">
        <v>351</v>
      </c>
      <c r="V90" s="74">
        <v>44594</v>
      </c>
      <c r="W90" s="74">
        <v>44634</v>
      </c>
      <c r="X90" s="55">
        <v>10212714</v>
      </c>
      <c r="Y90" s="74" t="s">
        <v>132</v>
      </c>
      <c r="Z90" s="74"/>
      <c r="AB90" s="55" t="s">
        <v>132</v>
      </c>
      <c r="AC90" s="55" t="s">
        <v>132</v>
      </c>
    </row>
    <row r="91" spans="1:29" ht="13" x14ac:dyDescent="0.15">
      <c r="A91" s="72" t="str">
        <f t="shared" si="1"/>
        <v>Ofsted Social Care Provider Webpage</v>
      </c>
      <c r="B91" s="55">
        <v>1226495</v>
      </c>
      <c r="D91" s="55" t="s">
        <v>373</v>
      </c>
      <c r="E91" s="74">
        <v>42376</v>
      </c>
      <c r="F91" s="55" t="s">
        <v>344</v>
      </c>
      <c r="G91" s="55" t="s">
        <v>360</v>
      </c>
      <c r="H91" s="55" t="s">
        <v>360</v>
      </c>
      <c r="I91" s="55" t="s">
        <v>360</v>
      </c>
      <c r="J91" s="55" t="s">
        <v>360</v>
      </c>
      <c r="K91" s="55" t="s">
        <v>360</v>
      </c>
      <c r="L91" s="55" t="s">
        <v>360</v>
      </c>
      <c r="M91" s="55" t="s">
        <v>150</v>
      </c>
      <c r="N91" s="55" t="s">
        <v>150</v>
      </c>
      <c r="O91" s="55" t="s">
        <v>285</v>
      </c>
      <c r="P91" s="55" t="s">
        <v>575</v>
      </c>
      <c r="Q91" s="55" t="s">
        <v>350</v>
      </c>
      <c r="R91" s="55">
        <v>5</v>
      </c>
      <c r="S91" s="74"/>
      <c r="T91" s="55" t="s">
        <v>566</v>
      </c>
      <c r="U91" s="73" t="s">
        <v>351</v>
      </c>
      <c r="V91" s="74">
        <v>44342</v>
      </c>
      <c r="W91" s="74">
        <v>44397</v>
      </c>
      <c r="X91" s="55">
        <v>10186800</v>
      </c>
      <c r="Y91" s="74" t="s">
        <v>132</v>
      </c>
      <c r="Z91" s="74"/>
      <c r="AB91" s="55" t="s">
        <v>132</v>
      </c>
      <c r="AC91" s="55" t="s">
        <v>132</v>
      </c>
    </row>
    <row r="92" spans="1:29" ht="13" x14ac:dyDescent="0.15">
      <c r="A92" s="72" t="str">
        <f t="shared" si="1"/>
        <v>Ofsted Social Care Provider Webpage</v>
      </c>
      <c r="B92" s="55">
        <v>1226612</v>
      </c>
      <c r="D92" s="55" t="s">
        <v>373</v>
      </c>
      <c r="E92" s="74">
        <v>42566</v>
      </c>
      <c r="F92" s="55" t="s">
        <v>344</v>
      </c>
      <c r="G92" s="55" t="s">
        <v>360</v>
      </c>
      <c r="H92" s="55" t="s">
        <v>360</v>
      </c>
      <c r="I92" s="55" t="s">
        <v>360</v>
      </c>
      <c r="J92" s="55" t="s">
        <v>360</v>
      </c>
      <c r="K92" s="55" t="s">
        <v>360</v>
      </c>
      <c r="L92" s="55" t="s">
        <v>360</v>
      </c>
      <c r="M92" s="55" t="s">
        <v>138</v>
      </c>
      <c r="N92" s="55" t="s">
        <v>138</v>
      </c>
      <c r="O92" s="55" t="s">
        <v>183</v>
      </c>
      <c r="P92" s="55" t="s">
        <v>576</v>
      </c>
      <c r="Q92" s="55" t="s">
        <v>350</v>
      </c>
      <c r="R92" s="55">
        <v>4</v>
      </c>
      <c r="S92" s="74"/>
      <c r="T92" s="55" t="s">
        <v>577</v>
      </c>
      <c r="U92" s="73" t="s">
        <v>351</v>
      </c>
      <c r="V92" s="74">
        <v>44488</v>
      </c>
      <c r="W92" s="74">
        <v>44522</v>
      </c>
      <c r="X92" s="55">
        <v>10185912</v>
      </c>
      <c r="Y92" s="74" t="s">
        <v>132</v>
      </c>
      <c r="Z92" s="74"/>
      <c r="AB92" s="55" t="s">
        <v>132</v>
      </c>
      <c r="AC92" s="55" t="s">
        <v>132</v>
      </c>
    </row>
    <row r="93" spans="1:29" ht="13" x14ac:dyDescent="0.15">
      <c r="A93" s="72" t="str">
        <f t="shared" si="1"/>
        <v>Ofsted Social Care Provider Webpage</v>
      </c>
      <c r="B93" s="55">
        <v>1226630</v>
      </c>
      <c r="D93" s="55" t="s">
        <v>389</v>
      </c>
      <c r="E93" s="74">
        <v>42429</v>
      </c>
      <c r="F93" s="55" t="s">
        <v>344</v>
      </c>
      <c r="G93" s="55" t="s">
        <v>578</v>
      </c>
      <c r="H93" s="55" t="s">
        <v>579</v>
      </c>
      <c r="I93" s="55" t="s">
        <v>580</v>
      </c>
      <c r="J93" s="55" t="s">
        <v>581</v>
      </c>
      <c r="L93" s="55" t="s">
        <v>582</v>
      </c>
      <c r="M93" s="55" t="s">
        <v>136</v>
      </c>
      <c r="N93" s="55" t="s">
        <v>136</v>
      </c>
      <c r="O93" s="55" t="s">
        <v>255</v>
      </c>
      <c r="P93" s="55" t="s">
        <v>583</v>
      </c>
      <c r="Q93" s="55" t="s">
        <v>350</v>
      </c>
      <c r="R93" s="55"/>
      <c r="S93" s="74"/>
      <c r="T93" s="55" t="s">
        <v>502</v>
      </c>
      <c r="U93" s="73" t="s">
        <v>351</v>
      </c>
      <c r="V93" s="74">
        <v>43899</v>
      </c>
      <c r="W93" s="74">
        <v>43924</v>
      </c>
      <c r="X93" s="55">
        <v>10093268</v>
      </c>
      <c r="Y93" s="74" t="s">
        <v>132</v>
      </c>
      <c r="Z93" s="74"/>
      <c r="AB93" s="55" t="s">
        <v>130</v>
      </c>
      <c r="AC93" s="55" t="s">
        <v>130</v>
      </c>
    </row>
    <row r="94" spans="1:29" ht="13" x14ac:dyDescent="0.15">
      <c r="A94" s="72" t="str">
        <f t="shared" si="1"/>
        <v>Ofsted Social Care Provider Webpage</v>
      </c>
      <c r="B94" s="55">
        <v>1226757</v>
      </c>
      <c r="D94" s="55" t="s">
        <v>373</v>
      </c>
      <c r="E94" s="74">
        <v>42446</v>
      </c>
      <c r="F94" s="55" t="s">
        <v>344</v>
      </c>
      <c r="G94" s="55" t="s">
        <v>360</v>
      </c>
      <c r="H94" s="55" t="s">
        <v>360</v>
      </c>
      <c r="I94" s="55" t="s">
        <v>360</v>
      </c>
      <c r="J94" s="55" t="s">
        <v>360</v>
      </c>
      <c r="K94" s="55" t="s">
        <v>360</v>
      </c>
      <c r="L94" s="55" t="s">
        <v>360</v>
      </c>
      <c r="M94" s="55" t="s">
        <v>138</v>
      </c>
      <c r="N94" s="55" t="s">
        <v>138</v>
      </c>
      <c r="O94" s="55" t="s">
        <v>273</v>
      </c>
      <c r="P94" s="55" t="s">
        <v>584</v>
      </c>
      <c r="Q94" s="55" t="s">
        <v>350</v>
      </c>
      <c r="R94" s="55">
        <v>3</v>
      </c>
      <c r="S94" s="74"/>
      <c r="T94" s="55" t="s">
        <v>585</v>
      </c>
      <c r="U94" s="73" t="s">
        <v>351</v>
      </c>
      <c r="V94" s="74">
        <v>44538</v>
      </c>
      <c r="W94" s="74">
        <v>44589</v>
      </c>
      <c r="X94" s="55">
        <v>10186821</v>
      </c>
      <c r="Y94" s="74" t="s">
        <v>132</v>
      </c>
      <c r="Z94" s="74"/>
      <c r="AB94" s="55" t="s">
        <v>132</v>
      </c>
      <c r="AC94" s="55" t="s">
        <v>132</v>
      </c>
    </row>
    <row r="95" spans="1:29" ht="13" x14ac:dyDescent="0.15">
      <c r="A95" s="72" t="str">
        <f t="shared" si="1"/>
        <v>Ofsted Social Care Provider Webpage</v>
      </c>
      <c r="B95" s="55">
        <v>1226858</v>
      </c>
      <c r="D95" s="55" t="s">
        <v>389</v>
      </c>
      <c r="E95" s="74">
        <v>42591</v>
      </c>
      <c r="F95" s="55" t="s">
        <v>344</v>
      </c>
      <c r="G95" s="55" t="s">
        <v>586</v>
      </c>
      <c r="H95" s="55" t="s">
        <v>587</v>
      </c>
      <c r="I95" s="55" t="s">
        <v>588</v>
      </c>
      <c r="J95" s="55" t="s">
        <v>248</v>
      </c>
      <c r="L95" s="55" t="s">
        <v>589</v>
      </c>
      <c r="M95" s="55" t="s">
        <v>144</v>
      </c>
      <c r="N95" s="55" t="s">
        <v>144</v>
      </c>
      <c r="O95" s="55" t="s">
        <v>248</v>
      </c>
      <c r="P95" s="55" t="s">
        <v>439</v>
      </c>
      <c r="Q95" s="55" t="s">
        <v>362</v>
      </c>
      <c r="R95" s="55"/>
      <c r="S95" s="74"/>
      <c r="T95" s="55" t="s">
        <v>367</v>
      </c>
      <c r="U95" s="73" t="s">
        <v>351</v>
      </c>
      <c r="V95" s="74">
        <v>43353</v>
      </c>
      <c r="W95" s="74">
        <v>43371</v>
      </c>
      <c r="X95" s="55">
        <v>10046850</v>
      </c>
      <c r="Y95" s="74" t="s">
        <v>132</v>
      </c>
      <c r="Z95" s="74"/>
      <c r="AB95" s="55" t="s">
        <v>132</v>
      </c>
      <c r="AC95" s="55" t="s">
        <v>132</v>
      </c>
    </row>
    <row r="96" spans="1:29" ht="13" x14ac:dyDescent="0.15">
      <c r="A96" s="72" t="str">
        <f t="shared" si="1"/>
        <v>Ofsted Social Care Provider Webpage</v>
      </c>
      <c r="B96" s="55">
        <v>1226971</v>
      </c>
      <c r="D96" s="55" t="s">
        <v>479</v>
      </c>
      <c r="E96" s="74">
        <v>42466</v>
      </c>
      <c r="F96" s="55" t="s">
        <v>344</v>
      </c>
      <c r="G96" s="55" t="s">
        <v>360</v>
      </c>
      <c r="H96" s="55" t="s">
        <v>360</v>
      </c>
      <c r="I96" s="55" t="s">
        <v>360</v>
      </c>
      <c r="J96" s="55" t="s">
        <v>360</v>
      </c>
      <c r="K96" s="55" t="s">
        <v>360</v>
      </c>
      <c r="L96" s="55" t="s">
        <v>360</v>
      </c>
      <c r="M96" s="55" t="s">
        <v>136</v>
      </c>
      <c r="N96" s="55" t="s">
        <v>136</v>
      </c>
      <c r="O96" s="55" t="s">
        <v>256</v>
      </c>
      <c r="P96" s="55" t="s">
        <v>590</v>
      </c>
      <c r="Q96" s="55" t="s">
        <v>362</v>
      </c>
      <c r="R96" s="55">
        <v>12</v>
      </c>
      <c r="S96" s="74"/>
      <c r="T96" s="55" t="s">
        <v>591</v>
      </c>
      <c r="U96" s="73" t="s">
        <v>351</v>
      </c>
      <c r="V96" s="74">
        <v>44448</v>
      </c>
      <c r="W96" s="74">
        <v>44480</v>
      </c>
      <c r="X96" s="55">
        <v>10186939</v>
      </c>
      <c r="Y96" s="74" t="s">
        <v>132</v>
      </c>
      <c r="Z96" s="74"/>
      <c r="AB96" s="55" t="s">
        <v>132</v>
      </c>
      <c r="AC96" s="55" t="s">
        <v>132</v>
      </c>
    </row>
    <row r="97" spans="1:29" ht="13" x14ac:dyDescent="0.15">
      <c r="A97" s="72" t="str">
        <f t="shared" si="1"/>
        <v>Ofsted Social Care Provider Webpage</v>
      </c>
      <c r="B97" s="55">
        <v>1226975</v>
      </c>
      <c r="D97" s="55" t="s">
        <v>373</v>
      </c>
      <c r="E97" s="74">
        <v>42397</v>
      </c>
      <c r="F97" s="55" t="s">
        <v>344</v>
      </c>
      <c r="G97" s="55" t="s">
        <v>360</v>
      </c>
      <c r="H97" s="55" t="s">
        <v>360</v>
      </c>
      <c r="I97" s="55" t="s">
        <v>360</v>
      </c>
      <c r="J97" s="55" t="s">
        <v>360</v>
      </c>
      <c r="K97" s="55" t="s">
        <v>360</v>
      </c>
      <c r="L97" s="55" t="s">
        <v>360</v>
      </c>
      <c r="M97" s="55" t="s">
        <v>172</v>
      </c>
      <c r="N97" s="55" t="s">
        <v>172</v>
      </c>
      <c r="O97" s="55" t="s">
        <v>212</v>
      </c>
      <c r="P97" s="55" t="s">
        <v>592</v>
      </c>
      <c r="Q97" s="55" t="s">
        <v>350</v>
      </c>
      <c r="R97" s="55">
        <v>3</v>
      </c>
      <c r="S97" s="74"/>
      <c r="T97" s="55" t="s">
        <v>489</v>
      </c>
      <c r="U97" s="73" t="s">
        <v>351</v>
      </c>
      <c r="V97" s="74">
        <v>44586</v>
      </c>
      <c r="W97" s="74">
        <v>44622</v>
      </c>
      <c r="X97" s="55">
        <v>10187142</v>
      </c>
      <c r="Y97" s="74" t="s">
        <v>132</v>
      </c>
      <c r="Z97" s="74"/>
      <c r="AB97" s="55" t="s">
        <v>132</v>
      </c>
      <c r="AC97" s="55" t="s">
        <v>132</v>
      </c>
    </row>
    <row r="98" spans="1:29" ht="13" x14ac:dyDescent="0.15">
      <c r="A98" s="72" t="str">
        <f t="shared" si="1"/>
        <v>Ofsted Social Care Provider Webpage</v>
      </c>
      <c r="B98" s="55">
        <v>1226977</v>
      </c>
      <c r="D98" s="55" t="s">
        <v>373</v>
      </c>
      <c r="E98" s="74">
        <v>42472</v>
      </c>
      <c r="F98" s="55" t="s">
        <v>344</v>
      </c>
      <c r="G98" s="55" t="s">
        <v>360</v>
      </c>
      <c r="H98" s="55" t="s">
        <v>360</v>
      </c>
      <c r="I98" s="55" t="s">
        <v>360</v>
      </c>
      <c r="J98" s="55" t="s">
        <v>360</v>
      </c>
      <c r="K98" s="55" t="s">
        <v>360</v>
      </c>
      <c r="L98" s="55" t="s">
        <v>360</v>
      </c>
      <c r="M98" s="55" t="s">
        <v>150</v>
      </c>
      <c r="N98" s="55" t="s">
        <v>150</v>
      </c>
      <c r="O98" s="55" t="s">
        <v>203</v>
      </c>
      <c r="P98" s="55" t="s">
        <v>593</v>
      </c>
      <c r="Q98" s="55" t="s">
        <v>350</v>
      </c>
      <c r="R98" s="55">
        <v>2</v>
      </c>
      <c r="S98" s="74"/>
      <c r="T98" s="55" t="s">
        <v>594</v>
      </c>
      <c r="U98" s="73" t="s">
        <v>351</v>
      </c>
      <c r="V98" s="74">
        <v>44453</v>
      </c>
      <c r="W98" s="74">
        <v>44503</v>
      </c>
      <c r="X98" s="55">
        <v>10185184</v>
      </c>
      <c r="Y98" s="74" t="s">
        <v>132</v>
      </c>
      <c r="Z98" s="74"/>
      <c r="AB98" s="55" t="s">
        <v>132</v>
      </c>
      <c r="AC98" s="55" t="s">
        <v>130</v>
      </c>
    </row>
    <row r="99" spans="1:29" ht="13" x14ac:dyDescent="0.15">
      <c r="A99" s="72" t="str">
        <f t="shared" si="1"/>
        <v>Ofsted Social Care Provider Webpage</v>
      </c>
      <c r="B99" s="55">
        <v>1226978</v>
      </c>
      <c r="D99" s="55" t="s">
        <v>373</v>
      </c>
      <c r="E99" s="74">
        <v>42516</v>
      </c>
      <c r="F99" s="55" t="s">
        <v>344</v>
      </c>
      <c r="G99" s="55" t="s">
        <v>360</v>
      </c>
      <c r="H99" s="55" t="s">
        <v>360</v>
      </c>
      <c r="I99" s="55" t="s">
        <v>360</v>
      </c>
      <c r="J99" s="55" t="s">
        <v>360</v>
      </c>
      <c r="K99" s="55" t="s">
        <v>360</v>
      </c>
      <c r="L99" s="55" t="s">
        <v>360</v>
      </c>
      <c r="M99" s="55" t="s">
        <v>378</v>
      </c>
      <c r="N99" s="55" t="s">
        <v>134</v>
      </c>
      <c r="O99" s="55" t="s">
        <v>232</v>
      </c>
      <c r="P99" s="55" t="s">
        <v>595</v>
      </c>
      <c r="Q99" s="55" t="s">
        <v>350</v>
      </c>
      <c r="R99" s="55">
        <v>2</v>
      </c>
      <c r="S99" s="74"/>
      <c r="T99" s="55" t="s">
        <v>385</v>
      </c>
      <c r="U99" s="73" t="s">
        <v>351</v>
      </c>
      <c r="V99" s="74">
        <v>44440</v>
      </c>
      <c r="W99" s="74">
        <v>44474</v>
      </c>
      <c r="X99" s="55">
        <v>10202608</v>
      </c>
      <c r="Y99" s="74" t="s">
        <v>132</v>
      </c>
      <c r="Z99" s="74"/>
      <c r="AB99" s="55" t="s">
        <v>132</v>
      </c>
      <c r="AC99" s="55" t="s">
        <v>132</v>
      </c>
    </row>
    <row r="100" spans="1:29" ht="13" x14ac:dyDescent="0.15">
      <c r="A100" s="72" t="str">
        <f t="shared" si="1"/>
        <v>Ofsted Social Care Provider Webpage</v>
      </c>
      <c r="B100" s="55">
        <v>1227060</v>
      </c>
      <c r="D100" s="55" t="s">
        <v>479</v>
      </c>
      <c r="E100" s="74">
        <v>42347</v>
      </c>
      <c r="F100" s="55" t="s">
        <v>344</v>
      </c>
      <c r="G100" s="55" t="s">
        <v>360</v>
      </c>
      <c r="H100" s="55" t="s">
        <v>360</v>
      </c>
      <c r="I100" s="55" t="s">
        <v>360</v>
      </c>
      <c r="J100" s="55" t="s">
        <v>360</v>
      </c>
      <c r="K100" s="55" t="s">
        <v>360</v>
      </c>
      <c r="L100" s="55" t="s">
        <v>360</v>
      </c>
      <c r="M100" s="55" t="s">
        <v>378</v>
      </c>
      <c r="N100" s="55" t="s">
        <v>134</v>
      </c>
      <c r="O100" s="55" t="s">
        <v>232</v>
      </c>
      <c r="P100" s="55" t="s">
        <v>496</v>
      </c>
      <c r="Q100" s="55" t="s">
        <v>350</v>
      </c>
      <c r="R100" s="55">
        <v>6</v>
      </c>
      <c r="S100" s="74"/>
      <c r="T100" s="55" t="s">
        <v>596</v>
      </c>
      <c r="U100" s="73" t="s">
        <v>351</v>
      </c>
      <c r="V100" s="74">
        <v>44600</v>
      </c>
      <c r="W100" s="74">
        <v>44652</v>
      </c>
      <c r="X100" s="55">
        <v>10185396</v>
      </c>
      <c r="Y100" s="74" t="s">
        <v>130</v>
      </c>
      <c r="Z100" s="74"/>
      <c r="AB100" s="55" t="s">
        <v>130</v>
      </c>
      <c r="AC100" s="55" t="s">
        <v>130</v>
      </c>
    </row>
    <row r="101" spans="1:29" ht="13" x14ac:dyDescent="0.15">
      <c r="A101" s="72" t="str">
        <f t="shared" si="1"/>
        <v>Ofsted Social Care Provider Webpage</v>
      </c>
      <c r="B101" s="55">
        <v>1227335</v>
      </c>
      <c r="D101" s="55" t="s">
        <v>373</v>
      </c>
      <c r="E101" s="74">
        <v>42517</v>
      </c>
      <c r="F101" s="55" t="s">
        <v>344</v>
      </c>
      <c r="G101" s="55" t="s">
        <v>360</v>
      </c>
      <c r="H101" s="55" t="s">
        <v>360</v>
      </c>
      <c r="I101" s="55" t="s">
        <v>360</v>
      </c>
      <c r="J101" s="55" t="s">
        <v>360</v>
      </c>
      <c r="K101" s="55" t="s">
        <v>360</v>
      </c>
      <c r="L101" s="55" t="s">
        <v>360</v>
      </c>
      <c r="M101" s="55" t="s">
        <v>144</v>
      </c>
      <c r="N101" s="55" t="s">
        <v>144</v>
      </c>
      <c r="O101" s="55" t="s">
        <v>209</v>
      </c>
      <c r="P101" s="55" t="s">
        <v>597</v>
      </c>
      <c r="Q101" s="55" t="s">
        <v>350</v>
      </c>
      <c r="R101" s="55">
        <v>3</v>
      </c>
      <c r="S101" s="74"/>
      <c r="T101" s="55" t="s">
        <v>598</v>
      </c>
      <c r="U101" s="73" t="s">
        <v>351</v>
      </c>
      <c r="V101" s="74">
        <v>43676</v>
      </c>
      <c r="W101" s="74">
        <v>43696</v>
      </c>
      <c r="X101" s="55">
        <v>10097707</v>
      </c>
      <c r="Y101" s="74" t="s">
        <v>130</v>
      </c>
      <c r="Z101" s="74"/>
      <c r="AB101" s="55" t="s">
        <v>130</v>
      </c>
      <c r="AC101" s="55" t="s">
        <v>130</v>
      </c>
    </row>
    <row r="102" spans="1:29" ht="13" x14ac:dyDescent="0.15">
      <c r="A102" s="72" t="str">
        <f t="shared" si="1"/>
        <v>Ofsted Social Care Provider Webpage</v>
      </c>
      <c r="B102" s="55">
        <v>1227596</v>
      </c>
      <c r="D102" s="55" t="s">
        <v>373</v>
      </c>
      <c r="E102" s="74">
        <v>42423</v>
      </c>
      <c r="F102" s="55" t="s">
        <v>344</v>
      </c>
      <c r="G102" s="55" t="s">
        <v>360</v>
      </c>
      <c r="H102" s="55" t="s">
        <v>360</v>
      </c>
      <c r="I102" s="55" t="s">
        <v>360</v>
      </c>
      <c r="J102" s="55" t="s">
        <v>360</v>
      </c>
      <c r="K102" s="55" t="s">
        <v>360</v>
      </c>
      <c r="L102" s="55" t="s">
        <v>360</v>
      </c>
      <c r="M102" s="55" t="s">
        <v>142</v>
      </c>
      <c r="N102" s="55" t="s">
        <v>142</v>
      </c>
      <c r="O102" s="55" t="s">
        <v>262</v>
      </c>
      <c r="P102" s="55" t="s">
        <v>523</v>
      </c>
      <c r="Q102" s="55" t="s">
        <v>350</v>
      </c>
      <c r="R102" s="55">
        <v>3</v>
      </c>
      <c r="S102" s="74"/>
      <c r="T102" s="55" t="s">
        <v>504</v>
      </c>
      <c r="U102" s="73" t="s">
        <v>351</v>
      </c>
      <c r="V102" s="74">
        <v>44621</v>
      </c>
      <c r="W102" s="74">
        <v>44665</v>
      </c>
      <c r="X102" s="55">
        <v>10186873</v>
      </c>
      <c r="Y102" s="74" t="s">
        <v>132</v>
      </c>
      <c r="Z102" s="74"/>
      <c r="AB102" s="55" t="s">
        <v>132</v>
      </c>
      <c r="AC102" s="55" t="s">
        <v>132</v>
      </c>
    </row>
    <row r="103" spans="1:29" ht="13" x14ac:dyDescent="0.15">
      <c r="A103" s="72" t="str">
        <f t="shared" si="1"/>
        <v>Ofsted Social Care Provider Webpage</v>
      </c>
      <c r="B103" s="55">
        <v>1227599</v>
      </c>
      <c r="D103" s="55" t="s">
        <v>451</v>
      </c>
      <c r="E103" s="74">
        <v>42535</v>
      </c>
      <c r="F103" s="55" t="s">
        <v>344</v>
      </c>
      <c r="G103" s="55" t="s">
        <v>599</v>
      </c>
      <c r="H103" s="55" t="s">
        <v>600</v>
      </c>
      <c r="I103" s="55" t="s">
        <v>601</v>
      </c>
      <c r="J103" s="55" t="s">
        <v>290</v>
      </c>
      <c r="L103" s="55" t="s">
        <v>602</v>
      </c>
      <c r="M103" s="55" t="s">
        <v>144</v>
      </c>
      <c r="N103" s="55" t="s">
        <v>144</v>
      </c>
      <c r="O103" s="55" t="s">
        <v>290</v>
      </c>
      <c r="P103" s="55" t="s">
        <v>603</v>
      </c>
      <c r="Q103" s="55" t="s">
        <v>350</v>
      </c>
      <c r="R103" s="55">
        <v>4</v>
      </c>
      <c r="S103" s="74"/>
      <c r="T103" s="55" t="s">
        <v>599</v>
      </c>
      <c r="U103" s="73" t="s">
        <v>351</v>
      </c>
      <c r="V103" s="74">
        <v>44496</v>
      </c>
      <c r="W103" s="74">
        <v>44546</v>
      </c>
      <c r="X103" s="55">
        <v>10213235</v>
      </c>
      <c r="Y103" s="74" t="s">
        <v>132</v>
      </c>
      <c r="Z103" s="74"/>
      <c r="AB103" s="55" t="s">
        <v>132</v>
      </c>
      <c r="AC103" s="55" t="s">
        <v>132</v>
      </c>
    </row>
    <row r="104" spans="1:29" ht="13" x14ac:dyDescent="0.15">
      <c r="A104" s="72" t="str">
        <f t="shared" si="1"/>
        <v>Ofsted Social Care Provider Webpage</v>
      </c>
      <c r="B104" s="55">
        <v>1227778</v>
      </c>
      <c r="D104" s="55" t="s">
        <v>389</v>
      </c>
      <c r="E104" s="74">
        <v>42458</v>
      </c>
      <c r="F104" s="55" t="s">
        <v>344</v>
      </c>
      <c r="G104" s="55" t="s">
        <v>604</v>
      </c>
      <c r="H104" s="55" t="s">
        <v>605</v>
      </c>
      <c r="I104" s="55" t="s">
        <v>354</v>
      </c>
      <c r="J104" s="55" t="s">
        <v>606</v>
      </c>
      <c r="K104" s="55" t="s">
        <v>183</v>
      </c>
      <c r="L104" s="55" t="s">
        <v>607</v>
      </c>
      <c r="M104" s="55" t="s">
        <v>138</v>
      </c>
      <c r="N104" s="55" t="s">
        <v>138</v>
      </c>
      <c r="O104" s="55" t="s">
        <v>183</v>
      </c>
      <c r="P104" s="55" t="s">
        <v>608</v>
      </c>
      <c r="Q104" s="55" t="s">
        <v>350</v>
      </c>
      <c r="R104" s="55"/>
      <c r="S104" s="74"/>
      <c r="T104" s="55" t="s">
        <v>604</v>
      </c>
      <c r="U104" s="73" t="s">
        <v>351</v>
      </c>
      <c r="V104" s="74">
        <v>43584</v>
      </c>
      <c r="W104" s="74">
        <v>43608</v>
      </c>
      <c r="X104" s="55">
        <v>10093270</v>
      </c>
      <c r="Y104" s="74" t="s">
        <v>132</v>
      </c>
      <c r="Z104" s="74"/>
      <c r="AB104" s="55" t="s">
        <v>132</v>
      </c>
      <c r="AC104" s="55" t="s">
        <v>130</v>
      </c>
    </row>
    <row r="105" spans="1:29" ht="13" x14ac:dyDescent="0.15">
      <c r="A105" s="72" t="str">
        <f t="shared" si="1"/>
        <v>Ofsted Social Care Provider Webpage</v>
      </c>
      <c r="B105" s="55">
        <v>1227788</v>
      </c>
      <c r="D105" s="55" t="s">
        <v>373</v>
      </c>
      <c r="E105" s="74">
        <v>42426</v>
      </c>
      <c r="F105" s="55" t="s">
        <v>344</v>
      </c>
      <c r="G105" s="55" t="s">
        <v>360</v>
      </c>
      <c r="H105" s="55" t="s">
        <v>360</v>
      </c>
      <c r="I105" s="55" t="s">
        <v>360</v>
      </c>
      <c r="J105" s="55" t="s">
        <v>360</v>
      </c>
      <c r="K105" s="55" t="s">
        <v>360</v>
      </c>
      <c r="L105" s="55" t="s">
        <v>360</v>
      </c>
      <c r="M105" s="55" t="s">
        <v>136</v>
      </c>
      <c r="N105" s="55" t="s">
        <v>136</v>
      </c>
      <c r="O105" s="55" t="s">
        <v>255</v>
      </c>
      <c r="P105" s="55" t="s">
        <v>609</v>
      </c>
      <c r="Q105" s="55" t="s">
        <v>350</v>
      </c>
      <c r="R105" s="55">
        <v>2</v>
      </c>
      <c r="S105" s="74"/>
      <c r="T105" s="55" t="s">
        <v>610</v>
      </c>
      <c r="U105" s="73" t="s">
        <v>351</v>
      </c>
      <c r="V105" s="74">
        <v>44544</v>
      </c>
      <c r="W105" s="74">
        <v>44589</v>
      </c>
      <c r="X105" s="55">
        <v>10187196</v>
      </c>
      <c r="Y105" s="55" t="s">
        <v>132</v>
      </c>
      <c r="Z105" s="74"/>
      <c r="AB105" s="55" t="s">
        <v>132</v>
      </c>
      <c r="AC105" s="55" t="s">
        <v>132</v>
      </c>
    </row>
    <row r="106" spans="1:29" ht="13" x14ac:dyDescent="0.15">
      <c r="A106" s="72" t="str">
        <f t="shared" si="1"/>
        <v>Ofsted Social Care Provider Webpage</v>
      </c>
      <c r="B106" s="55">
        <v>1227869</v>
      </c>
      <c r="D106" s="55" t="s">
        <v>373</v>
      </c>
      <c r="E106" s="74">
        <v>42660</v>
      </c>
      <c r="F106" s="55" t="s">
        <v>344</v>
      </c>
      <c r="G106" s="55" t="s">
        <v>360</v>
      </c>
      <c r="H106" s="55" t="s">
        <v>360</v>
      </c>
      <c r="I106" s="55" t="s">
        <v>360</v>
      </c>
      <c r="J106" s="55" t="s">
        <v>360</v>
      </c>
      <c r="K106" s="55" t="s">
        <v>360</v>
      </c>
      <c r="L106" s="55" t="s">
        <v>360</v>
      </c>
      <c r="M106" s="55" t="s">
        <v>142</v>
      </c>
      <c r="N106" s="55" t="s">
        <v>142</v>
      </c>
      <c r="O106" s="55" t="s">
        <v>278</v>
      </c>
      <c r="P106" s="55" t="s">
        <v>611</v>
      </c>
      <c r="Q106" s="55" t="s">
        <v>350</v>
      </c>
      <c r="R106" s="55">
        <v>5</v>
      </c>
      <c r="S106" s="74"/>
      <c r="T106" s="55" t="s">
        <v>574</v>
      </c>
      <c r="U106" s="73" t="s">
        <v>351</v>
      </c>
      <c r="V106" s="74">
        <v>44600</v>
      </c>
      <c r="W106" s="74">
        <v>44644</v>
      </c>
      <c r="X106" s="55">
        <v>10187249</v>
      </c>
      <c r="Y106" s="55" t="s">
        <v>132</v>
      </c>
      <c r="Z106" s="74"/>
      <c r="AB106" s="55" t="s">
        <v>132</v>
      </c>
      <c r="AC106" s="55" t="s">
        <v>132</v>
      </c>
    </row>
    <row r="107" spans="1:29" ht="13" x14ac:dyDescent="0.15">
      <c r="A107" s="72" t="str">
        <f t="shared" si="1"/>
        <v>Ofsted Social Care Provider Webpage</v>
      </c>
      <c r="B107" s="55">
        <v>1228090</v>
      </c>
      <c r="D107" s="55" t="s">
        <v>373</v>
      </c>
      <c r="E107" s="74">
        <v>42487</v>
      </c>
      <c r="F107" s="55" t="s">
        <v>344</v>
      </c>
      <c r="G107" s="55" t="s">
        <v>360</v>
      </c>
      <c r="H107" s="55" t="s">
        <v>360</v>
      </c>
      <c r="I107" s="55" t="s">
        <v>360</v>
      </c>
      <c r="J107" s="55" t="s">
        <v>360</v>
      </c>
      <c r="K107" s="55" t="s">
        <v>360</v>
      </c>
      <c r="L107" s="55" t="s">
        <v>360</v>
      </c>
      <c r="M107" s="55" t="s">
        <v>142</v>
      </c>
      <c r="N107" s="55" t="s">
        <v>142</v>
      </c>
      <c r="O107" s="55" t="s">
        <v>141</v>
      </c>
      <c r="P107" s="55" t="s">
        <v>612</v>
      </c>
      <c r="Q107" s="55" t="s">
        <v>350</v>
      </c>
      <c r="R107" s="55">
        <v>4</v>
      </c>
      <c r="S107" s="74"/>
      <c r="T107" s="55" t="s">
        <v>613</v>
      </c>
      <c r="U107" s="73" t="s">
        <v>351</v>
      </c>
      <c r="V107" s="74">
        <v>44509</v>
      </c>
      <c r="W107" s="74">
        <v>44550</v>
      </c>
      <c r="X107" s="55">
        <v>10186328</v>
      </c>
      <c r="Y107" s="55" t="s">
        <v>132</v>
      </c>
      <c r="Z107" s="74"/>
      <c r="AB107" s="55" t="s">
        <v>132</v>
      </c>
      <c r="AC107" s="55" t="s">
        <v>132</v>
      </c>
    </row>
    <row r="108" spans="1:29" ht="13" x14ac:dyDescent="0.15">
      <c r="A108" s="72" t="str">
        <f t="shared" si="1"/>
        <v>Ofsted Social Care Provider Webpage</v>
      </c>
      <c r="B108" s="55">
        <v>1228091</v>
      </c>
      <c r="D108" s="55" t="s">
        <v>373</v>
      </c>
      <c r="E108" s="74">
        <v>42548</v>
      </c>
      <c r="F108" s="55" t="s">
        <v>344</v>
      </c>
      <c r="G108" s="55" t="s">
        <v>360</v>
      </c>
      <c r="H108" s="55" t="s">
        <v>360</v>
      </c>
      <c r="I108" s="55" t="s">
        <v>360</v>
      </c>
      <c r="J108" s="55" t="s">
        <v>360</v>
      </c>
      <c r="K108" s="55" t="s">
        <v>360</v>
      </c>
      <c r="L108" s="55" t="s">
        <v>360</v>
      </c>
      <c r="M108" s="55" t="s">
        <v>144</v>
      </c>
      <c r="N108" s="55" t="s">
        <v>144</v>
      </c>
      <c r="O108" s="55" t="s">
        <v>163</v>
      </c>
      <c r="P108" s="55" t="s">
        <v>614</v>
      </c>
      <c r="Q108" s="55" t="s">
        <v>350</v>
      </c>
      <c r="R108" s="55">
        <v>3</v>
      </c>
      <c r="S108" s="74"/>
      <c r="T108" s="55" t="s">
        <v>615</v>
      </c>
      <c r="U108" s="73" t="s">
        <v>351</v>
      </c>
      <c r="V108" s="74">
        <v>44315</v>
      </c>
      <c r="W108" s="74">
        <v>44342</v>
      </c>
      <c r="X108" s="55">
        <v>10185735</v>
      </c>
      <c r="Y108" s="74" t="s">
        <v>132</v>
      </c>
      <c r="Z108" s="74"/>
      <c r="AB108" s="55" t="s">
        <v>132</v>
      </c>
      <c r="AC108" s="55" t="s">
        <v>132</v>
      </c>
    </row>
    <row r="109" spans="1:29" ht="13" x14ac:dyDescent="0.15">
      <c r="A109" s="72" t="str">
        <f t="shared" si="1"/>
        <v>Ofsted Social Care Provider Webpage</v>
      </c>
      <c r="B109" s="55">
        <v>1228092</v>
      </c>
      <c r="D109" s="55" t="s">
        <v>373</v>
      </c>
      <c r="E109" s="74">
        <v>42480</v>
      </c>
      <c r="F109" s="55" t="s">
        <v>344</v>
      </c>
      <c r="G109" s="55" t="s">
        <v>360</v>
      </c>
      <c r="H109" s="55" t="s">
        <v>360</v>
      </c>
      <c r="I109" s="55" t="s">
        <v>360</v>
      </c>
      <c r="J109" s="55" t="s">
        <v>360</v>
      </c>
      <c r="K109" s="55" t="s">
        <v>360</v>
      </c>
      <c r="L109" s="55" t="s">
        <v>360</v>
      </c>
      <c r="M109" s="55" t="s">
        <v>138</v>
      </c>
      <c r="N109" s="55" t="s">
        <v>138</v>
      </c>
      <c r="O109" s="55" t="s">
        <v>183</v>
      </c>
      <c r="P109" s="55" t="s">
        <v>616</v>
      </c>
      <c r="Q109" s="55" t="s">
        <v>350</v>
      </c>
      <c r="R109" s="55">
        <v>4</v>
      </c>
      <c r="S109" s="74"/>
      <c r="T109" s="55" t="s">
        <v>617</v>
      </c>
      <c r="U109" s="73" t="s">
        <v>351</v>
      </c>
      <c r="V109" s="74">
        <v>43783</v>
      </c>
      <c r="W109" s="74">
        <v>43802</v>
      </c>
      <c r="X109" s="55">
        <v>10097688</v>
      </c>
      <c r="Y109" s="55" t="s">
        <v>132</v>
      </c>
      <c r="Z109" s="74"/>
      <c r="AB109" s="55" t="s">
        <v>132</v>
      </c>
      <c r="AC109" s="55" t="s">
        <v>132</v>
      </c>
    </row>
    <row r="110" spans="1:29" ht="13" x14ac:dyDescent="0.15">
      <c r="A110" s="72" t="str">
        <f t="shared" si="1"/>
        <v>Ofsted Social Care Provider Webpage</v>
      </c>
      <c r="B110" s="55">
        <v>1228191</v>
      </c>
      <c r="D110" s="55" t="s">
        <v>373</v>
      </c>
      <c r="E110" s="74">
        <v>42489</v>
      </c>
      <c r="F110" s="55" t="s">
        <v>344</v>
      </c>
      <c r="G110" s="55" t="s">
        <v>360</v>
      </c>
      <c r="H110" s="55" t="s">
        <v>360</v>
      </c>
      <c r="I110" s="55" t="s">
        <v>360</v>
      </c>
      <c r="J110" s="55" t="s">
        <v>360</v>
      </c>
      <c r="K110" s="55" t="s">
        <v>360</v>
      </c>
      <c r="L110" s="55" t="s">
        <v>360</v>
      </c>
      <c r="M110" s="55" t="s">
        <v>142</v>
      </c>
      <c r="N110" s="55" t="s">
        <v>142</v>
      </c>
      <c r="O110" s="55" t="s">
        <v>262</v>
      </c>
      <c r="P110" s="55" t="s">
        <v>618</v>
      </c>
      <c r="Q110" s="55" t="s">
        <v>350</v>
      </c>
      <c r="R110" s="55">
        <v>2</v>
      </c>
      <c r="S110" s="74"/>
      <c r="T110" s="55" t="s">
        <v>619</v>
      </c>
      <c r="U110" s="73" t="s">
        <v>351</v>
      </c>
      <c r="V110" s="74">
        <v>44424</v>
      </c>
      <c r="W110" s="74">
        <v>44456</v>
      </c>
      <c r="X110" s="55">
        <v>10185170</v>
      </c>
      <c r="Y110" s="55" t="s">
        <v>140</v>
      </c>
      <c r="Z110" s="74"/>
      <c r="AB110" s="55" t="s">
        <v>140</v>
      </c>
      <c r="AC110" s="55" t="s">
        <v>140</v>
      </c>
    </row>
    <row r="111" spans="1:29" ht="13" x14ac:dyDescent="0.15">
      <c r="A111" s="72" t="str">
        <f t="shared" si="1"/>
        <v>Ofsted Social Care Provider Webpage</v>
      </c>
      <c r="B111" s="55">
        <v>1228523</v>
      </c>
      <c r="D111" s="55" t="s">
        <v>389</v>
      </c>
      <c r="E111" s="74">
        <v>42528</v>
      </c>
      <c r="F111" s="55" t="s">
        <v>344</v>
      </c>
      <c r="G111" s="55" t="s">
        <v>620</v>
      </c>
      <c r="H111" s="55" t="s">
        <v>621</v>
      </c>
      <c r="I111" s="55" t="s">
        <v>622</v>
      </c>
      <c r="J111" s="55" t="s">
        <v>210</v>
      </c>
      <c r="L111" s="55" t="s">
        <v>623</v>
      </c>
      <c r="M111" s="55" t="s">
        <v>378</v>
      </c>
      <c r="N111" s="55" t="s">
        <v>134</v>
      </c>
      <c r="O111" s="55" t="s">
        <v>210</v>
      </c>
      <c r="P111" s="55" t="s">
        <v>624</v>
      </c>
      <c r="Q111" s="55" t="s">
        <v>350</v>
      </c>
      <c r="R111" s="55"/>
      <c r="S111" s="74"/>
      <c r="T111" s="55" t="s">
        <v>625</v>
      </c>
      <c r="U111" s="73" t="s">
        <v>351</v>
      </c>
      <c r="V111" s="74">
        <v>44501</v>
      </c>
      <c r="W111" s="74">
        <v>44566</v>
      </c>
      <c r="X111" s="55">
        <v>10183374</v>
      </c>
      <c r="Y111" s="55" t="s">
        <v>132</v>
      </c>
      <c r="Z111" s="74"/>
      <c r="AB111" s="55" t="s">
        <v>132</v>
      </c>
      <c r="AC111" s="55" t="s">
        <v>132</v>
      </c>
    </row>
    <row r="112" spans="1:29" ht="13" x14ac:dyDescent="0.15">
      <c r="A112" s="72" t="str">
        <f t="shared" si="1"/>
        <v>Ofsted Social Care Provider Webpage</v>
      </c>
      <c r="B112" s="55">
        <v>1228919</v>
      </c>
      <c r="D112" s="55" t="s">
        <v>373</v>
      </c>
      <c r="E112" s="74">
        <v>42458</v>
      </c>
      <c r="F112" s="55" t="s">
        <v>344</v>
      </c>
      <c r="G112" s="55" t="s">
        <v>360</v>
      </c>
      <c r="H112" s="55" t="s">
        <v>360</v>
      </c>
      <c r="I112" s="55" t="s">
        <v>360</v>
      </c>
      <c r="J112" s="55" t="s">
        <v>360</v>
      </c>
      <c r="K112" s="55" t="s">
        <v>360</v>
      </c>
      <c r="L112" s="55" t="s">
        <v>360</v>
      </c>
      <c r="M112" s="55" t="s">
        <v>150</v>
      </c>
      <c r="N112" s="55" t="s">
        <v>150</v>
      </c>
      <c r="O112" s="55" t="s">
        <v>181</v>
      </c>
      <c r="P112" s="55" t="s">
        <v>626</v>
      </c>
      <c r="Q112" s="55" t="s">
        <v>350</v>
      </c>
      <c r="R112" s="55">
        <v>2</v>
      </c>
      <c r="S112" s="74"/>
      <c r="T112" s="55" t="s">
        <v>627</v>
      </c>
      <c r="U112" s="73" t="s">
        <v>351</v>
      </c>
      <c r="V112" s="74">
        <v>43684</v>
      </c>
      <c r="W112" s="74">
        <v>43717</v>
      </c>
      <c r="X112" s="55">
        <v>10097677</v>
      </c>
      <c r="Y112" s="55" t="s">
        <v>140</v>
      </c>
      <c r="Z112" s="74"/>
      <c r="AB112" s="55" t="s">
        <v>132</v>
      </c>
      <c r="AC112" s="55" t="s">
        <v>140</v>
      </c>
    </row>
    <row r="113" spans="1:29" ht="13" x14ac:dyDescent="0.15">
      <c r="A113" s="72" t="str">
        <f t="shared" si="1"/>
        <v>Ofsted Social Care Provider Webpage</v>
      </c>
      <c r="B113" s="55">
        <v>1229229</v>
      </c>
      <c r="D113" s="55" t="s">
        <v>373</v>
      </c>
      <c r="E113" s="74">
        <v>42461</v>
      </c>
      <c r="F113" s="55" t="s">
        <v>344</v>
      </c>
      <c r="G113" s="55" t="s">
        <v>360</v>
      </c>
      <c r="H113" s="55" t="s">
        <v>360</v>
      </c>
      <c r="I113" s="55" t="s">
        <v>360</v>
      </c>
      <c r="J113" s="55" t="s">
        <v>360</v>
      </c>
      <c r="K113" s="55" t="s">
        <v>360</v>
      </c>
      <c r="L113" s="55" t="s">
        <v>360</v>
      </c>
      <c r="M113" s="55" t="s">
        <v>172</v>
      </c>
      <c r="N113" s="55" t="s">
        <v>172</v>
      </c>
      <c r="O113" s="55" t="s">
        <v>235</v>
      </c>
      <c r="P113" s="55" t="s">
        <v>628</v>
      </c>
      <c r="Q113" s="55" t="s">
        <v>350</v>
      </c>
      <c r="R113" s="55">
        <v>2</v>
      </c>
      <c r="S113" s="74"/>
      <c r="T113" s="55" t="s">
        <v>517</v>
      </c>
      <c r="U113" s="73" t="s">
        <v>351</v>
      </c>
      <c r="V113" s="74">
        <v>44468</v>
      </c>
      <c r="W113" s="74">
        <v>44495</v>
      </c>
      <c r="X113" s="55">
        <v>10185969</v>
      </c>
      <c r="Y113" s="55" t="s">
        <v>132</v>
      </c>
      <c r="Z113" s="74"/>
      <c r="AB113" s="55" t="s">
        <v>132</v>
      </c>
      <c r="AC113" s="55" t="s">
        <v>132</v>
      </c>
    </row>
    <row r="114" spans="1:29" ht="13" x14ac:dyDescent="0.15">
      <c r="A114" s="72" t="str">
        <f t="shared" si="1"/>
        <v>Ofsted Social Care Provider Webpage</v>
      </c>
      <c r="B114" s="55">
        <v>1229417</v>
      </c>
      <c r="D114" s="55" t="s">
        <v>373</v>
      </c>
      <c r="E114" s="74">
        <v>42465</v>
      </c>
      <c r="F114" s="55" t="s">
        <v>344</v>
      </c>
      <c r="G114" s="55" t="s">
        <v>360</v>
      </c>
      <c r="H114" s="55" t="s">
        <v>360</v>
      </c>
      <c r="I114" s="55" t="s">
        <v>360</v>
      </c>
      <c r="J114" s="55" t="s">
        <v>360</v>
      </c>
      <c r="K114" s="55" t="s">
        <v>360</v>
      </c>
      <c r="L114" s="55" t="s">
        <v>360</v>
      </c>
      <c r="M114" s="55" t="s">
        <v>378</v>
      </c>
      <c r="N114" s="55" t="s">
        <v>170</v>
      </c>
      <c r="O114" s="55" t="s">
        <v>220</v>
      </c>
      <c r="P114" s="55" t="s">
        <v>220</v>
      </c>
      <c r="Q114" s="55" t="s">
        <v>350</v>
      </c>
      <c r="R114" s="55">
        <v>1</v>
      </c>
      <c r="S114" s="74"/>
      <c r="T114" s="55" t="s">
        <v>385</v>
      </c>
      <c r="U114" s="73" t="s">
        <v>351</v>
      </c>
      <c r="V114" s="74">
        <v>44320</v>
      </c>
      <c r="W114" s="74">
        <v>44358</v>
      </c>
      <c r="X114" s="55">
        <v>10185128</v>
      </c>
      <c r="Y114" s="55" t="s">
        <v>130</v>
      </c>
      <c r="Z114" s="74"/>
      <c r="AB114" s="55" t="s">
        <v>130</v>
      </c>
      <c r="AC114" s="55" t="s">
        <v>146</v>
      </c>
    </row>
    <row r="115" spans="1:29" ht="13" x14ac:dyDescent="0.15">
      <c r="A115" s="72" t="str">
        <f t="shared" si="1"/>
        <v>Ofsted Social Care Provider Webpage</v>
      </c>
      <c r="B115" s="55">
        <v>1229534</v>
      </c>
      <c r="D115" s="55" t="s">
        <v>373</v>
      </c>
      <c r="E115" s="74">
        <v>42487</v>
      </c>
      <c r="F115" s="55" t="s">
        <v>344</v>
      </c>
      <c r="G115" s="55" t="s">
        <v>360</v>
      </c>
      <c r="H115" s="55" t="s">
        <v>360</v>
      </c>
      <c r="I115" s="55" t="s">
        <v>360</v>
      </c>
      <c r="J115" s="55" t="s">
        <v>360</v>
      </c>
      <c r="K115" s="55" t="s">
        <v>360</v>
      </c>
      <c r="L115" s="55" t="s">
        <v>360</v>
      </c>
      <c r="M115" s="55" t="s">
        <v>144</v>
      </c>
      <c r="N115" s="55" t="s">
        <v>144</v>
      </c>
      <c r="O115" s="55" t="s">
        <v>209</v>
      </c>
      <c r="P115" s="55" t="s">
        <v>629</v>
      </c>
      <c r="Q115" s="55" t="s">
        <v>350</v>
      </c>
      <c r="R115" s="55">
        <v>8</v>
      </c>
      <c r="S115" s="74"/>
      <c r="T115" s="55" t="s">
        <v>630</v>
      </c>
      <c r="U115" s="73" t="s">
        <v>351</v>
      </c>
      <c r="V115" s="74">
        <v>44299</v>
      </c>
      <c r="W115" s="74">
        <v>44348</v>
      </c>
      <c r="X115" s="55">
        <v>10186616</v>
      </c>
      <c r="Y115" s="74" t="s">
        <v>130</v>
      </c>
      <c r="Z115" s="74"/>
      <c r="AB115" s="55" t="s">
        <v>130</v>
      </c>
      <c r="AC115" s="55" t="s">
        <v>130</v>
      </c>
    </row>
    <row r="116" spans="1:29" ht="13" x14ac:dyDescent="0.15">
      <c r="A116" s="72" t="str">
        <f t="shared" si="1"/>
        <v>Ofsted Social Care Provider Webpage</v>
      </c>
      <c r="B116" s="55">
        <v>1229762</v>
      </c>
      <c r="D116" s="55" t="s">
        <v>373</v>
      </c>
      <c r="E116" s="74">
        <v>42429</v>
      </c>
      <c r="F116" s="55" t="s">
        <v>344</v>
      </c>
      <c r="G116" s="55" t="s">
        <v>360</v>
      </c>
      <c r="H116" s="55" t="s">
        <v>360</v>
      </c>
      <c r="I116" s="55" t="s">
        <v>360</v>
      </c>
      <c r="J116" s="55" t="s">
        <v>360</v>
      </c>
      <c r="K116" s="55" t="s">
        <v>360</v>
      </c>
      <c r="L116" s="55" t="s">
        <v>360</v>
      </c>
      <c r="M116" s="55" t="s">
        <v>172</v>
      </c>
      <c r="N116" s="55" t="s">
        <v>172</v>
      </c>
      <c r="O116" s="55" t="s">
        <v>212</v>
      </c>
      <c r="P116" s="55" t="s">
        <v>547</v>
      </c>
      <c r="Q116" s="55" t="s">
        <v>350</v>
      </c>
      <c r="R116" s="55">
        <v>3</v>
      </c>
      <c r="S116" s="74"/>
      <c r="T116" s="55" t="s">
        <v>489</v>
      </c>
      <c r="U116" s="73" t="s">
        <v>351</v>
      </c>
      <c r="V116" s="74">
        <v>44376</v>
      </c>
      <c r="W116" s="74">
        <v>44407</v>
      </c>
      <c r="X116" s="55">
        <v>10186413</v>
      </c>
      <c r="Y116" s="74" t="s">
        <v>132</v>
      </c>
      <c r="Z116" s="74"/>
      <c r="AB116" s="55" t="s">
        <v>132</v>
      </c>
      <c r="AC116" s="55" t="s">
        <v>132</v>
      </c>
    </row>
    <row r="117" spans="1:29" ht="13" x14ac:dyDescent="0.15">
      <c r="A117" s="72" t="str">
        <f t="shared" si="1"/>
        <v>Ofsted Social Care Provider Webpage</v>
      </c>
      <c r="B117" s="55">
        <v>1229765</v>
      </c>
      <c r="D117" s="55" t="s">
        <v>358</v>
      </c>
      <c r="E117" s="74">
        <v>42440</v>
      </c>
      <c r="F117" s="55" t="s">
        <v>344</v>
      </c>
      <c r="G117" s="55" t="s">
        <v>631</v>
      </c>
      <c r="H117" s="55" t="s">
        <v>360</v>
      </c>
      <c r="I117" s="55" t="s">
        <v>360</v>
      </c>
      <c r="J117" s="55" t="s">
        <v>360</v>
      </c>
      <c r="K117" s="55" t="s">
        <v>360</v>
      </c>
      <c r="L117" s="55" t="s">
        <v>360</v>
      </c>
      <c r="M117" s="55" t="s">
        <v>150</v>
      </c>
      <c r="N117" s="55" t="s">
        <v>150</v>
      </c>
      <c r="O117" s="55" t="s">
        <v>203</v>
      </c>
      <c r="P117" s="55" t="s">
        <v>632</v>
      </c>
      <c r="Q117" s="55" t="s">
        <v>350</v>
      </c>
      <c r="R117" s="55"/>
      <c r="S117" s="74"/>
      <c r="T117" s="55" t="s">
        <v>631</v>
      </c>
      <c r="U117" s="73" t="s">
        <v>351</v>
      </c>
      <c r="V117" s="74">
        <v>43895</v>
      </c>
      <c r="W117" s="74">
        <v>43936</v>
      </c>
      <c r="X117" s="55">
        <v>10093015</v>
      </c>
      <c r="Y117" s="74" t="s">
        <v>132</v>
      </c>
      <c r="Z117" s="74"/>
      <c r="AB117" s="55" t="s">
        <v>132</v>
      </c>
      <c r="AC117" s="55" t="s">
        <v>132</v>
      </c>
    </row>
    <row r="118" spans="1:29" ht="13" x14ac:dyDescent="0.15">
      <c r="A118" s="72" t="str">
        <f t="shared" si="1"/>
        <v>Ofsted Social Care Provider Webpage</v>
      </c>
      <c r="B118" s="55">
        <v>1229766</v>
      </c>
      <c r="D118" s="55" t="s">
        <v>479</v>
      </c>
      <c r="E118" s="74">
        <v>42383</v>
      </c>
      <c r="F118" s="55" t="s">
        <v>344</v>
      </c>
      <c r="G118" s="55" t="s">
        <v>360</v>
      </c>
      <c r="H118" s="55" t="s">
        <v>360</v>
      </c>
      <c r="I118" s="55" t="s">
        <v>360</v>
      </c>
      <c r="J118" s="55" t="s">
        <v>360</v>
      </c>
      <c r="K118" s="55" t="s">
        <v>360</v>
      </c>
      <c r="L118" s="55" t="s">
        <v>360</v>
      </c>
      <c r="M118" s="55" t="s">
        <v>138</v>
      </c>
      <c r="N118" s="55" t="s">
        <v>138</v>
      </c>
      <c r="O118" s="55" t="s">
        <v>159</v>
      </c>
      <c r="P118" s="55" t="s">
        <v>633</v>
      </c>
      <c r="Q118" s="55" t="s">
        <v>350</v>
      </c>
      <c r="R118" s="55">
        <v>29</v>
      </c>
      <c r="S118" s="74"/>
      <c r="T118" s="55" t="s">
        <v>634</v>
      </c>
      <c r="U118" s="73" t="s">
        <v>351</v>
      </c>
      <c r="V118" s="74">
        <v>44320</v>
      </c>
      <c r="W118" s="74">
        <v>44343</v>
      </c>
      <c r="X118" s="55">
        <v>10185176</v>
      </c>
      <c r="Y118" s="74" t="s">
        <v>132</v>
      </c>
      <c r="Z118" s="74"/>
      <c r="AB118" s="55" t="s">
        <v>132</v>
      </c>
      <c r="AC118" s="55" t="s">
        <v>132</v>
      </c>
    </row>
    <row r="119" spans="1:29" ht="13" x14ac:dyDescent="0.15">
      <c r="A119" s="72" t="str">
        <f t="shared" si="1"/>
        <v>Ofsted Social Care Provider Webpage</v>
      </c>
      <c r="B119" s="55">
        <v>1229977</v>
      </c>
      <c r="D119" s="55" t="s">
        <v>373</v>
      </c>
      <c r="E119" s="74">
        <v>42618</v>
      </c>
      <c r="F119" s="55" t="s">
        <v>344</v>
      </c>
      <c r="G119" s="55" t="s">
        <v>360</v>
      </c>
      <c r="H119" s="55" t="s">
        <v>360</v>
      </c>
      <c r="I119" s="55" t="s">
        <v>360</v>
      </c>
      <c r="J119" s="55" t="s">
        <v>360</v>
      </c>
      <c r="K119" s="55" t="s">
        <v>360</v>
      </c>
      <c r="L119" s="55" t="s">
        <v>360</v>
      </c>
      <c r="M119" s="55" t="s">
        <v>150</v>
      </c>
      <c r="N119" s="55" t="s">
        <v>150</v>
      </c>
      <c r="O119" s="55" t="s">
        <v>237</v>
      </c>
      <c r="P119" s="55" t="s">
        <v>635</v>
      </c>
      <c r="Q119" s="55" t="s">
        <v>380</v>
      </c>
      <c r="R119" s="55">
        <v>6</v>
      </c>
      <c r="S119" s="74"/>
      <c r="T119" s="55" t="s">
        <v>636</v>
      </c>
      <c r="U119" s="73" t="s">
        <v>351</v>
      </c>
      <c r="V119" s="74">
        <v>44566</v>
      </c>
      <c r="W119" s="74">
        <v>44617</v>
      </c>
      <c r="X119" s="55">
        <v>10185840</v>
      </c>
      <c r="Y119" s="74" t="s">
        <v>132</v>
      </c>
      <c r="Z119" s="74"/>
      <c r="AB119" s="55" t="s">
        <v>132</v>
      </c>
      <c r="AC119" s="55" t="s">
        <v>132</v>
      </c>
    </row>
    <row r="120" spans="1:29" ht="13" x14ac:dyDescent="0.15">
      <c r="A120" s="72" t="str">
        <f t="shared" si="1"/>
        <v>Ofsted Social Care Provider Webpage</v>
      </c>
      <c r="B120" s="55">
        <v>1230268</v>
      </c>
      <c r="D120" s="55" t="s">
        <v>373</v>
      </c>
      <c r="E120" s="74">
        <v>42495</v>
      </c>
      <c r="F120" s="55" t="s">
        <v>344</v>
      </c>
      <c r="G120" s="55" t="s">
        <v>360</v>
      </c>
      <c r="H120" s="55" t="s">
        <v>360</v>
      </c>
      <c r="I120" s="55" t="s">
        <v>360</v>
      </c>
      <c r="J120" s="55" t="s">
        <v>360</v>
      </c>
      <c r="K120" s="55" t="s">
        <v>360</v>
      </c>
      <c r="L120" s="55" t="s">
        <v>360</v>
      </c>
      <c r="M120" s="55" t="s">
        <v>138</v>
      </c>
      <c r="N120" s="55" t="s">
        <v>138</v>
      </c>
      <c r="O120" s="55" t="s">
        <v>259</v>
      </c>
      <c r="P120" s="55" t="s">
        <v>637</v>
      </c>
      <c r="Q120" s="55" t="s">
        <v>350</v>
      </c>
      <c r="R120" s="55">
        <v>5</v>
      </c>
      <c r="S120" s="74"/>
      <c r="T120" s="55" t="s">
        <v>638</v>
      </c>
      <c r="U120" s="73" t="s">
        <v>351</v>
      </c>
      <c r="V120" s="74">
        <v>44481</v>
      </c>
      <c r="W120" s="74">
        <v>44518</v>
      </c>
      <c r="X120" s="55">
        <v>10185356</v>
      </c>
      <c r="Y120" s="74" t="s">
        <v>132</v>
      </c>
      <c r="Z120" s="74"/>
      <c r="AB120" s="55" t="s">
        <v>132</v>
      </c>
      <c r="AC120" s="55" t="s">
        <v>132</v>
      </c>
    </row>
    <row r="121" spans="1:29" ht="13" x14ac:dyDescent="0.15">
      <c r="A121" s="72" t="str">
        <f t="shared" si="1"/>
        <v>Ofsted Social Care Provider Webpage</v>
      </c>
      <c r="B121" s="55">
        <v>1230411</v>
      </c>
      <c r="D121" s="55" t="s">
        <v>373</v>
      </c>
      <c r="E121" s="74">
        <v>42486</v>
      </c>
      <c r="F121" s="55" t="s">
        <v>344</v>
      </c>
      <c r="G121" s="55" t="s">
        <v>360</v>
      </c>
      <c r="H121" s="55" t="s">
        <v>360</v>
      </c>
      <c r="I121" s="55" t="s">
        <v>360</v>
      </c>
      <c r="J121" s="55" t="s">
        <v>360</v>
      </c>
      <c r="K121" s="55" t="s">
        <v>360</v>
      </c>
      <c r="L121" s="55" t="s">
        <v>360</v>
      </c>
      <c r="M121" s="55" t="s">
        <v>150</v>
      </c>
      <c r="N121" s="55" t="s">
        <v>150</v>
      </c>
      <c r="O121" s="55" t="s">
        <v>268</v>
      </c>
      <c r="P121" s="55" t="s">
        <v>639</v>
      </c>
      <c r="Q121" s="55" t="s">
        <v>380</v>
      </c>
      <c r="R121" s="55">
        <v>2</v>
      </c>
      <c r="S121" s="74"/>
      <c r="T121" s="55" t="s">
        <v>640</v>
      </c>
      <c r="U121" s="73" t="s">
        <v>351</v>
      </c>
      <c r="V121" s="74">
        <v>44397</v>
      </c>
      <c r="W121" s="74">
        <v>44445</v>
      </c>
      <c r="X121" s="55">
        <v>10187122</v>
      </c>
      <c r="Y121" s="74" t="s">
        <v>132</v>
      </c>
      <c r="Z121" s="74"/>
      <c r="AB121" s="55" t="s">
        <v>132</v>
      </c>
      <c r="AC121" s="55" t="s">
        <v>132</v>
      </c>
    </row>
    <row r="122" spans="1:29" ht="13" x14ac:dyDescent="0.15">
      <c r="A122" s="72" t="str">
        <f t="shared" si="1"/>
        <v>Ofsted Social Care Provider Webpage</v>
      </c>
      <c r="B122" s="55">
        <v>1230415</v>
      </c>
      <c r="D122" s="55" t="s">
        <v>373</v>
      </c>
      <c r="E122" s="74">
        <v>42556</v>
      </c>
      <c r="F122" s="55" t="s">
        <v>344</v>
      </c>
      <c r="G122" s="55" t="s">
        <v>360</v>
      </c>
      <c r="H122" s="55" t="s">
        <v>360</v>
      </c>
      <c r="I122" s="55" t="s">
        <v>360</v>
      </c>
      <c r="J122" s="55" t="s">
        <v>360</v>
      </c>
      <c r="K122" s="55" t="s">
        <v>360</v>
      </c>
      <c r="L122" s="55" t="s">
        <v>360</v>
      </c>
      <c r="M122" s="55" t="s">
        <v>142</v>
      </c>
      <c r="N122" s="55" t="s">
        <v>142</v>
      </c>
      <c r="O122" s="55" t="s">
        <v>141</v>
      </c>
      <c r="P122" s="55" t="s">
        <v>641</v>
      </c>
      <c r="Q122" s="55" t="s">
        <v>350</v>
      </c>
      <c r="R122" s="55">
        <v>4</v>
      </c>
      <c r="S122" s="74"/>
      <c r="T122" s="55" t="s">
        <v>642</v>
      </c>
      <c r="U122" s="73" t="s">
        <v>351</v>
      </c>
      <c r="V122" s="74">
        <v>44517</v>
      </c>
      <c r="W122" s="74">
        <v>44566</v>
      </c>
      <c r="X122" s="55">
        <v>10185223</v>
      </c>
      <c r="Y122" s="74" t="s">
        <v>132</v>
      </c>
      <c r="Z122" s="74"/>
      <c r="AB122" s="55" t="s">
        <v>132</v>
      </c>
      <c r="AC122" s="55" t="s">
        <v>140</v>
      </c>
    </row>
    <row r="123" spans="1:29" ht="13" x14ac:dyDescent="0.15">
      <c r="A123" s="72" t="str">
        <f t="shared" si="1"/>
        <v>Ofsted Social Care Provider Webpage</v>
      </c>
      <c r="B123" s="55">
        <v>1230416</v>
      </c>
      <c r="D123" s="55" t="s">
        <v>373</v>
      </c>
      <c r="E123" s="74">
        <v>42499</v>
      </c>
      <c r="F123" s="55" t="s">
        <v>344</v>
      </c>
      <c r="G123" s="55" t="s">
        <v>360</v>
      </c>
      <c r="H123" s="55" t="s">
        <v>360</v>
      </c>
      <c r="I123" s="55" t="s">
        <v>360</v>
      </c>
      <c r="J123" s="55" t="s">
        <v>360</v>
      </c>
      <c r="K123" s="55" t="s">
        <v>360</v>
      </c>
      <c r="L123" s="55" t="s">
        <v>360</v>
      </c>
      <c r="M123" s="55" t="s">
        <v>138</v>
      </c>
      <c r="N123" s="55" t="s">
        <v>138</v>
      </c>
      <c r="O123" s="55" t="s">
        <v>137</v>
      </c>
      <c r="P123" s="55" t="s">
        <v>643</v>
      </c>
      <c r="Q123" s="55" t="s">
        <v>350</v>
      </c>
      <c r="R123" s="55">
        <v>4</v>
      </c>
      <c r="S123" s="74"/>
      <c r="T123" s="55" t="s">
        <v>385</v>
      </c>
      <c r="U123" s="73" t="s">
        <v>351</v>
      </c>
      <c r="V123" s="74">
        <v>44565</v>
      </c>
      <c r="W123" s="74">
        <v>44587</v>
      </c>
      <c r="X123" s="55">
        <v>10185649</v>
      </c>
      <c r="Y123" s="74" t="s">
        <v>132</v>
      </c>
      <c r="Z123" s="74"/>
      <c r="AB123" s="55" t="s">
        <v>132</v>
      </c>
      <c r="AC123" s="55" t="s">
        <v>140</v>
      </c>
    </row>
    <row r="124" spans="1:29" ht="13" x14ac:dyDescent="0.15">
      <c r="A124" s="72" t="str">
        <f t="shared" si="1"/>
        <v>Ofsted Social Care Provider Webpage</v>
      </c>
      <c r="B124" s="55">
        <v>1230725</v>
      </c>
      <c r="D124" s="55" t="s">
        <v>373</v>
      </c>
      <c r="E124" s="74">
        <v>42528</v>
      </c>
      <c r="F124" s="55" t="s">
        <v>344</v>
      </c>
      <c r="G124" s="55" t="s">
        <v>360</v>
      </c>
      <c r="H124" s="55" t="s">
        <v>360</v>
      </c>
      <c r="I124" s="55" t="s">
        <v>360</v>
      </c>
      <c r="J124" s="55" t="s">
        <v>360</v>
      </c>
      <c r="K124" s="55" t="s">
        <v>360</v>
      </c>
      <c r="L124" s="55" t="s">
        <v>360</v>
      </c>
      <c r="M124" s="55" t="s">
        <v>138</v>
      </c>
      <c r="N124" s="55" t="s">
        <v>138</v>
      </c>
      <c r="O124" s="55" t="s">
        <v>183</v>
      </c>
      <c r="P124" s="55" t="s">
        <v>510</v>
      </c>
      <c r="Q124" s="55" t="s">
        <v>350</v>
      </c>
      <c r="R124" s="55">
        <v>6</v>
      </c>
      <c r="S124" s="74"/>
      <c r="T124" s="55" t="s">
        <v>644</v>
      </c>
      <c r="U124" s="73" t="s">
        <v>351</v>
      </c>
      <c r="V124" s="74">
        <v>44447</v>
      </c>
      <c r="W124" s="74">
        <v>44475</v>
      </c>
      <c r="X124" s="55">
        <v>10185923</v>
      </c>
      <c r="Y124" s="74" t="s">
        <v>132</v>
      </c>
      <c r="Z124" s="74"/>
      <c r="AB124" s="55" t="s">
        <v>132</v>
      </c>
      <c r="AC124" s="55" t="s">
        <v>132</v>
      </c>
    </row>
    <row r="125" spans="1:29" ht="13" x14ac:dyDescent="0.15">
      <c r="A125" s="72" t="str">
        <f t="shared" si="1"/>
        <v>Ofsted Social Care Provider Webpage</v>
      </c>
      <c r="B125" s="55">
        <v>1230838</v>
      </c>
      <c r="D125" s="55" t="s">
        <v>389</v>
      </c>
      <c r="E125" s="74">
        <v>42604</v>
      </c>
      <c r="F125" s="55" t="s">
        <v>344</v>
      </c>
      <c r="G125" s="55" t="s">
        <v>645</v>
      </c>
      <c r="H125" s="55" t="s">
        <v>646</v>
      </c>
      <c r="I125" s="55" t="s">
        <v>647</v>
      </c>
      <c r="J125" s="55" t="s">
        <v>648</v>
      </c>
      <c r="K125" s="55" t="s">
        <v>209</v>
      </c>
      <c r="L125" s="55" t="s">
        <v>649</v>
      </c>
      <c r="M125" s="55" t="s">
        <v>144</v>
      </c>
      <c r="N125" s="55" t="s">
        <v>144</v>
      </c>
      <c r="O125" s="55" t="s">
        <v>209</v>
      </c>
      <c r="P125" s="55" t="s">
        <v>650</v>
      </c>
      <c r="Q125" s="55" t="s">
        <v>350</v>
      </c>
      <c r="R125" s="55"/>
      <c r="S125" s="74"/>
      <c r="T125" s="55" t="s">
        <v>645</v>
      </c>
      <c r="U125" s="73" t="s">
        <v>351</v>
      </c>
      <c r="V125" s="74">
        <v>44431</v>
      </c>
      <c r="W125" s="74">
        <v>44473</v>
      </c>
      <c r="X125" s="55">
        <v>10183389</v>
      </c>
      <c r="Y125" s="74" t="s">
        <v>132</v>
      </c>
      <c r="Z125" s="74"/>
      <c r="AB125" s="55" t="s">
        <v>132</v>
      </c>
      <c r="AC125" s="55" t="s">
        <v>132</v>
      </c>
    </row>
    <row r="126" spans="1:29" ht="13" x14ac:dyDescent="0.15">
      <c r="A126" s="72" t="str">
        <f t="shared" si="1"/>
        <v>Ofsted Social Care Provider Webpage</v>
      </c>
      <c r="B126" s="55">
        <v>1231067</v>
      </c>
      <c r="D126" s="55" t="s">
        <v>373</v>
      </c>
      <c r="E126" s="74">
        <v>42437</v>
      </c>
      <c r="F126" s="55" t="s">
        <v>344</v>
      </c>
      <c r="G126" s="55" t="s">
        <v>360</v>
      </c>
      <c r="H126" s="55" t="s">
        <v>360</v>
      </c>
      <c r="I126" s="55" t="s">
        <v>360</v>
      </c>
      <c r="J126" s="55" t="s">
        <v>360</v>
      </c>
      <c r="K126" s="55" t="s">
        <v>360</v>
      </c>
      <c r="L126" s="55" t="s">
        <v>360</v>
      </c>
      <c r="M126" s="55" t="s">
        <v>136</v>
      </c>
      <c r="N126" s="55" t="s">
        <v>136</v>
      </c>
      <c r="O126" s="55" t="s">
        <v>174</v>
      </c>
      <c r="P126" s="55" t="s">
        <v>651</v>
      </c>
      <c r="Q126" s="55" t="s">
        <v>350</v>
      </c>
      <c r="R126" s="55">
        <v>1</v>
      </c>
      <c r="S126" s="74"/>
      <c r="T126" s="55" t="s">
        <v>652</v>
      </c>
      <c r="U126" s="73" t="s">
        <v>351</v>
      </c>
      <c r="V126" s="74">
        <v>44357</v>
      </c>
      <c r="W126" s="74">
        <v>44385</v>
      </c>
      <c r="X126" s="55">
        <v>10185481</v>
      </c>
      <c r="Y126" s="74" t="s">
        <v>132</v>
      </c>
      <c r="Z126" s="74"/>
      <c r="AB126" s="55" t="s">
        <v>132</v>
      </c>
      <c r="AC126" s="55" t="s">
        <v>130</v>
      </c>
    </row>
    <row r="127" spans="1:29" ht="13" x14ac:dyDescent="0.15">
      <c r="A127" s="72" t="str">
        <f t="shared" si="1"/>
        <v>Ofsted Social Care Provider Webpage</v>
      </c>
      <c r="B127" s="55">
        <v>1231311</v>
      </c>
      <c r="D127" s="55" t="s">
        <v>373</v>
      </c>
      <c r="E127" s="74">
        <v>42590</v>
      </c>
      <c r="F127" s="55" t="s">
        <v>344</v>
      </c>
      <c r="G127" s="55" t="s">
        <v>360</v>
      </c>
      <c r="H127" s="55" t="s">
        <v>360</v>
      </c>
      <c r="I127" s="55" t="s">
        <v>360</v>
      </c>
      <c r="J127" s="55" t="s">
        <v>360</v>
      </c>
      <c r="K127" s="55" t="s">
        <v>360</v>
      </c>
      <c r="L127" s="55" t="s">
        <v>360</v>
      </c>
      <c r="M127" s="55" t="s">
        <v>142</v>
      </c>
      <c r="N127" s="55" t="s">
        <v>142</v>
      </c>
      <c r="O127" s="55" t="s">
        <v>272</v>
      </c>
      <c r="P127" s="55" t="s">
        <v>653</v>
      </c>
      <c r="Q127" s="55" t="s">
        <v>350</v>
      </c>
      <c r="R127" s="55">
        <v>3</v>
      </c>
      <c r="S127" s="74"/>
      <c r="T127" s="55" t="s">
        <v>654</v>
      </c>
      <c r="U127" s="73" t="s">
        <v>351</v>
      </c>
      <c r="V127" s="74">
        <v>44503</v>
      </c>
      <c r="W127" s="74">
        <v>44571</v>
      </c>
      <c r="X127" s="55">
        <v>10187237</v>
      </c>
      <c r="Y127" s="74" t="s">
        <v>130</v>
      </c>
      <c r="Z127" s="74"/>
      <c r="AB127" s="55" t="s">
        <v>130</v>
      </c>
      <c r="AC127" s="55" t="s">
        <v>130</v>
      </c>
    </row>
    <row r="128" spans="1:29" ht="13" x14ac:dyDescent="0.15">
      <c r="A128" s="72" t="str">
        <f t="shared" si="1"/>
        <v>Ofsted Social Care Provider Webpage</v>
      </c>
      <c r="B128" s="55">
        <v>1231399</v>
      </c>
      <c r="D128" s="55" t="s">
        <v>373</v>
      </c>
      <c r="E128" s="74">
        <v>42551</v>
      </c>
      <c r="F128" s="55" t="s">
        <v>344</v>
      </c>
      <c r="G128" s="55" t="s">
        <v>360</v>
      </c>
      <c r="H128" s="55" t="s">
        <v>360</v>
      </c>
      <c r="I128" s="55" t="s">
        <v>360</v>
      </c>
      <c r="J128" s="55" t="s">
        <v>360</v>
      </c>
      <c r="K128" s="55" t="s">
        <v>360</v>
      </c>
      <c r="L128" s="55" t="s">
        <v>360</v>
      </c>
      <c r="M128" s="55" t="s">
        <v>144</v>
      </c>
      <c r="N128" s="55" t="s">
        <v>144</v>
      </c>
      <c r="O128" s="55" t="s">
        <v>145</v>
      </c>
      <c r="P128" s="55" t="s">
        <v>484</v>
      </c>
      <c r="Q128" s="55" t="s">
        <v>350</v>
      </c>
      <c r="R128" s="55">
        <v>4</v>
      </c>
      <c r="S128" s="74"/>
      <c r="T128" s="55" t="s">
        <v>485</v>
      </c>
      <c r="U128" s="73" t="s">
        <v>351</v>
      </c>
      <c r="V128" s="74">
        <v>43902</v>
      </c>
      <c r="W128" s="74">
        <v>43938</v>
      </c>
      <c r="X128" s="55">
        <v>10097725</v>
      </c>
      <c r="Y128" s="74" t="s">
        <v>132</v>
      </c>
      <c r="Z128" s="74"/>
      <c r="AB128" s="55" t="s">
        <v>132</v>
      </c>
      <c r="AC128" s="55" t="s">
        <v>132</v>
      </c>
    </row>
    <row r="129" spans="1:29" ht="13" x14ac:dyDescent="0.15">
      <c r="A129" s="72" t="str">
        <f t="shared" si="1"/>
        <v>Ofsted Social Care Provider Webpage</v>
      </c>
      <c r="B129" s="55">
        <v>1231404</v>
      </c>
      <c r="D129" s="55" t="s">
        <v>373</v>
      </c>
      <c r="E129" s="74">
        <v>42754</v>
      </c>
      <c r="F129" s="55" t="s">
        <v>344</v>
      </c>
      <c r="G129" s="55" t="s">
        <v>360</v>
      </c>
      <c r="H129" s="55" t="s">
        <v>360</v>
      </c>
      <c r="I129" s="55" t="s">
        <v>360</v>
      </c>
      <c r="J129" s="55" t="s">
        <v>360</v>
      </c>
      <c r="K129" s="55" t="s">
        <v>360</v>
      </c>
      <c r="L129" s="55" t="s">
        <v>360</v>
      </c>
      <c r="M129" s="55" t="s">
        <v>144</v>
      </c>
      <c r="N129" s="55" t="s">
        <v>144</v>
      </c>
      <c r="O129" s="55" t="s">
        <v>215</v>
      </c>
      <c r="P129" s="55" t="s">
        <v>655</v>
      </c>
      <c r="Q129" s="55" t="s">
        <v>350</v>
      </c>
      <c r="R129" s="55">
        <v>5</v>
      </c>
      <c r="S129" s="74"/>
      <c r="T129" s="55" t="s">
        <v>656</v>
      </c>
      <c r="U129" s="73" t="s">
        <v>351</v>
      </c>
      <c r="V129" s="74">
        <v>44572</v>
      </c>
      <c r="W129" s="74">
        <v>44602</v>
      </c>
      <c r="X129" s="55">
        <v>10186434</v>
      </c>
      <c r="Y129" s="74" t="s">
        <v>140</v>
      </c>
      <c r="Z129" s="74"/>
      <c r="AB129" s="55" t="s">
        <v>140</v>
      </c>
      <c r="AC129" s="55" t="s">
        <v>140</v>
      </c>
    </row>
    <row r="130" spans="1:29" ht="13" x14ac:dyDescent="0.15">
      <c r="A130" s="72" t="str">
        <f t="shared" si="1"/>
        <v>Ofsted Social Care Provider Webpage</v>
      </c>
      <c r="B130" s="55">
        <v>1231405</v>
      </c>
      <c r="D130" s="55" t="s">
        <v>373</v>
      </c>
      <c r="E130" s="74">
        <v>42404</v>
      </c>
      <c r="F130" s="55" t="s">
        <v>344</v>
      </c>
      <c r="G130" s="55" t="s">
        <v>360</v>
      </c>
      <c r="H130" s="55" t="s">
        <v>360</v>
      </c>
      <c r="I130" s="55" t="s">
        <v>360</v>
      </c>
      <c r="J130" s="55" t="s">
        <v>360</v>
      </c>
      <c r="K130" s="55" t="s">
        <v>360</v>
      </c>
      <c r="L130" s="55" t="s">
        <v>360</v>
      </c>
      <c r="M130" s="55" t="s">
        <v>144</v>
      </c>
      <c r="N130" s="55" t="s">
        <v>144</v>
      </c>
      <c r="O130" s="55" t="s">
        <v>209</v>
      </c>
      <c r="P130" s="55" t="s">
        <v>534</v>
      </c>
      <c r="Q130" s="55" t="s">
        <v>380</v>
      </c>
      <c r="R130" s="55">
        <v>6</v>
      </c>
      <c r="S130" s="74" t="s">
        <v>332</v>
      </c>
      <c r="T130" s="55" t="s">
        <v>657</v>
      </c>
      <c r="U130" s="73" t="s">
        <v>351</v>
      </c>
      <c r="V130" s="74">
        <v>44614</v>
      </c>
      <c r="W130" s="74">
        <v>44656</v>
      </c>
      <c r="X130" s="55">
        <v>10185680</v>
      </c>
      <c r="Y130" s="74" t="s">
        <v>132</v>
      </c>
      <c r="Z130" s="74"/>
      <c r="AB130" s="55" t="s">
        <v>132</v>
      </c>
      <c r="AC130" s="55" t="s">
        <v>132</v>
      </c>
    </row>
    <row r="131" spans="1:29" ht="13" x14ac:dyDescent="0.15">
      <c r="A131" s="72" t="str">
        <f t="shared" si="1"/>
        <v>Ofsted Social Care Provider Webpage</v>
      </c>
      <c r="B131" s="55">
        <v>1231454</v>
      </c>
      <c r="D131" s="55" t="s">
        <v>358</v>
      </c>
      <c r="E131" s="74">
        <v>42657</v>
      </c>
      <c r="F131" s="55" t="s">
        <v>344</v>
      </c>
      <c r="G131" s="55" t="s">
        <v>658</v>
      </c>
      <c r="H131" s="55" t="s">
        <v>360</v>
      </c>
      <c r="I131" s="55" t="s">
        <v>360</v>
      </c>
      <c r="J131" s="55" t="s">
        <v>360</v>
      </c>
      <c r="K131" s="55" t="s">
        <v>360</v>
      </c>
      <c r="L131" s="55" t="s">
        <v>360</v>
      </c>
      <c r="M131" s="55" t="s">
        <v>129</v>
      </c>
      <c r="N131" s="55" t="s">
        <v>129</v>
      </c>
      <c r="O131" s="55" t="s">
        <v>201</v>
      </c>
      <c r="P131" s="55" t="s">
        <v>431</v>
      </c>
      <c r="Q131" s="55" t="s">
        <v>362</v>
      </c>
      <c r="R131" s="55"/>
      <c r="S131" s="74"/>
      <c r="T131" s="55" t="s">
        <v>659</v>
      </c>
      <c r="U131" s="73" t="s">
        <v>351</v>
      </c>
      <c r="V131" s="74">
        <v>43614</v>
      </c>
      <c r="W131" s="74">
        <v>43636</v>
      </c>
      <c r="X131" s="55">
        <v>10093019</v>
      </c>
      <c r="Y131" s="74" t="s">
        <v>132</v>
      </c>
      <c r="Z131" s="74"/>
      <c r="AB131" s="55" t="s">
        <v>132</v>
      </c>
      <c r="AC131" s="55" t="s">
        <v>132</v>
      </c>
    </row>
    <row r="132" spans="1:29" ht="13" x14ac:dyDescent="0.15">
      <c r="A132" s="72" t="str">
        <f t="shared" si="1"/>
        <v>Ofsted Social Care Provider Webpage</v>
      </c>
      <c r="B132" s="55">
        <v>1231458</v>
      </c>
      <c r="D132" s="55" t="s">
        <v>373</v>
      </c>
      <c r="E132" s="74">
        <v>42503</v>
      </c>
      <c r="F132" s="55" t="s">
        <v>344</v>
      </c>
      <c r="G132" s="55" t="s">
        <v>360</v>
      </c>
      <c r="H132" s="55" t="s">
        <v>360</v>
      </c>
      <c r="I132" s="55" t="s">
        <v>360</v>
      </c>
      <c r="J132" s="55" t="s">
        <v>360</v>
      </c>
      <c r="K132" s="55" t="s">
        <v>360</v>
      </c>
      <c r="L132" s="55" t="s">
        <v>360</v>
      </c>
      <c r="M132" s="55" t="s">
        <v>142</v>
      </c>
      <c r="N132" s="55" t="s">
        <v>142</v>
      </c>
      <c r="O132" s="55" t="s">
        <v>141</v>
      </c>
      <c r="P132" s="55" t="s">
        <v>660</v>
      </c>
      <c r="Q132" s="55" t="s">
        <v>350</v>
      </c>
      <c r="R132" s="55">
        <v>4</v>
      </c>
      <c r="S132" s="74"/>
      <c r="T132" s="55" t="s">
        <v>661</v>
      </c>
      <c r="U132" s="73" t="s">
        <v>351</v>
      </c>
      <c r="V132" s="74">
        <v>44571</v>
      </c>
      <c r="W132" s="74">
        <v>44601</v>
      </c>
      <c r="X132" s="55">
        <v>10185890</v>
      </c>
      <c r="Y132" s="74" t="s">
        <v>132</v>
      </c>
      <c r="Z132" s="74"/>
      <c r="AB132" s="55" t="s">
        <v>132</v>
      </c>
      <c r="AC132" s="55" t="s">
        <v>132</v>
      </c>
    </row>
    <row r="133" spans="1:29" ht="13" x14ac:dyDescent="0.15">
      <c r="A133" s="72" t="str">
        <f t="shared" si="1"/>
        <v>Ofsted Social Care Provider Webpage</v>
      </c>
      <c r="B133" s="55">
        <v>1231525</v>
      </c>
      <c r="D133" s="55" t="s">
        <v>373</v>
      </c>
      <c r="E133" s="74">
        <v>42474</v>
      </c>
      <c r="F133" s="55" t="s">
        <v>344</v>
      </c>
      <c r="G133" s="55" t="s">
        <v>360</v>
      </c>
      <c r="H133" s="55" t="s">
        <v>360</v>
      </c>
      <c r="I133" s="55" t="s">
        <v>360</v>
      </c>
      <c r="J133" s="55" t="s">
        <v>360</v>
      </c>
      <c r="K133" s="55" t="s">
        <v>360</v>
      </c>
      <c r="L133" s="55" t="s">
        <v>360</v>
      </c>
      <c r="M133" s="55" t="s">
        <v>378</v>
      </c>
      <c r="N133" s="55" t="s">
        <v>134</v>
      </c>
      <c r="O133" s="55" t="s">
        <v>180</v>
      </c>
      <c r="P133" s="55" t="s">
        <v>662</v>
      </c>
      <c r="Q133" s="55" t="s">
        <v>350</v>
      </c>
      <c r="R133" s="55">
        <v>1</v>
      </c>
      <c r="S133" s="74"/>
      <c r="T133" s="55" t="s">
        <v>385</v>
      </c>
      <c r="U133" s="73" t="s">
        <v>351</v>
      </c>
      <c r="V133" s="74">
        <v>44481</v>
      </c>
      <c r="W133" s="74">
        <v>44526</v>
      </c>
      <c r="X133" s="55">
        <v>10186822</v>
      </c>
      <c r="Y133" s="74" t="s">
        <v>132</v>
      </c>
      <c r="Z133" s="74"/>
      <c r="AB133" s="55" t="s">
        <v>132</v>
      </c>
      <c r="AC133" s="55" t="s">
        <v>132</v>
      </c>
    </row>
    <row r="134" spans="1:29" ht="13" x14ac:dyDescent="0.15">
      <c r="A134" s="72" t="str">
        <f t="shared" ref="A134:A197" si="2">HYPERLINK(_xlfn.CONCAT("http://reports.ofsted.gov.uk/inspection-reports/find-inspection-report/provider/CARE/",B134),"Ofsted Social Care Provider Webpage")</f>
        <v>Ofsted Social Care Provider Webpage</v>
      </c>
      <c r="B134" s="55">
        <v>1231812</v>
      </c>
      <c r="D134" s="55" t="s">
        <v>373</v>
      </c>
      <c r="E134" s="74">
        <v>42622</v>
      </c>
      <c r="F134" s="55" t="s">
        <v>344</v>
      </c>
      <c r="G134" s="55" t="s">
        <v>360</v>
      </c>
      <c r="H134" s="55" t="s">
        <v>360</v>
      </c>
      <c r="I134" s="55" t="s">
        <v>360</v>
      </c>
      <c r="J134" s="55" t="s">
        <v>360</v>
      </c>
      <c r="K134" s="55" t="s">
        <v>360</v>
      </c>
      <c r="L134" s="55" t="s">
        <v>360</v>
      </c>
      <c r="M134" s="55" t="s">
        <v>142</v>
      </c>
      <c r="N134" s="55" t="s">
        <v>142</v>
      </c>
      <c r="O134" s="55" t="s">
        <v>141</v>
      </c>
      <c r="P134" s="55" t="s">
        <v>641</v>
      </c>
      <c r="Q134" s="55" t="s">
        <v>350</v>
      </c>
      <c r="R134" s="55">
        <v>4</v>
      </c>
      <c r="S134" s="74"/>
      <c r="T134" s="55" t="s">
        <v>613</v>
      </c>
      <c r="U134" s="73" t="s">
        <v>351</v>
      </c>
      <c r="V134" s="74">
        <v>44578</v>
      </c>
      <c r="W134" s="74">
        <v>44627</v>
      </c>
      <c r="X134" s="55">
        <v>10186717</v>
      </c>
      <c r="Y134" s="74" t="s">
        <v>132</v>
      </c>
      <c r="Z134" s="74"/>
      <c r="AB134" s="55" t="s">
        <v>132</v>
      </c>
      <c r="AC134" s="55" t="s">
        <v>140</v>
      </c>
    </row>
    <row r="135" spans="1:29" ht="13" x14ac:dyDescent="0.15">
      <c r="A135" s="72" t="str">
        <f t="shared" si="2"/>
        <v>Ofsted Social Care Provider Webpage</v>
      </c>
      <c r="B135" s="55">
        <v>1231957</v>
      </c>
      <c r="D135" s="55" t="s">
        <v>358</v>
      </c>
      <c r="E135" s="74">
        <v>42548</v>
      </c>
      <c r="F135" s="55" t="s">
        <v>344</v>
      </c>
      <c r="G135" s="55" t="s">
        <v>663</v>
      </c>
      <c r="H135" s="55" t="s">
        <v>360</v>
      </c>
      <c r="I135" s="55" t="s">
        <v>360</v>
      </c>
      <c r="J135" s="55" t="s">
        <v>360</v>
      </c>
      <c r="K135" s="55" t="s">
        <v>360</v>
      </c>
      <c r="L135" s="55" t="s">
        <v>360</v>
      </c>
      <c r="M135" s="55" t="s">
        <v>138</v>
      </c>
      <c r="N135" s="55" t="s">
        <v>138</v>
      </c>
      <c r="O135" s="55" t="s">
        <v>183</v>
      </c>
      <c r="P135" s="55" t="s">
        <v>664</v>
      </c>
      <c r="Q135" s="55" t="s">
        <v>350</v>
      </c>
      <c r="R135" s="55"/>
      <c r="S135" s="74"/>
      <c r="T135" s="55" t="s">
        <v>665</v>
      </c>
      <c r="U135" s="73"/>
      <c r="W135" s="74"/>
      <c r="Y135" s="74"/>
      <c r="Z135" s="74"/>
    </row>
    <row r="136" spans="1:29" ht="13" x14ac:dyDescent="0.15">
      <c r="A136" s="72" t="str">
        <f t="shared" si="2"/>
        <v>Ofsted Social Care Provider Webpage</v>
      </c>
      <c r="B136" s="55">
        <v>1232171</v>
      </c>
      <c r="D136" s="55" t="s">
        <v>373</v>
      </c>
      <c r="E136" s="74">
        <v>42508</v>
      </c>
      <c r="F136" s="55" t="s">
        <v>344</v>
      </c>
      <c r="G136" s="55" t="s">
        <v>360</v>
      </c>
      <c r="H136" s="55" t="s">
        <v>360</v>
      </c>
      <c r="I136" s="55" t="s">
        <v>360</v>
      </c>
      <c r="J136" s="55" t="s">
        <v>360</v>
      </c>
      <c r="K136" s="55" t="s">
        <v>360</v>
      </c>
      <c r="L136" s="55" t="s">
        <v>360</v>
      </c>
      <c r="M136" s="55" t="s">
        <v>378</v>
      </c>
      <c r="N136" s="55" t="s">
        <v>134</v>
      </c>
      <c r="O136" s="55" t="s">
        <v>175</v>
      </c>
      <c r="P136" s="55" t="s">
        <v>666</v>
      </c>
      <c r="Q136" s="55" t="s">
        <v>350</v>
      </c>
      <c r="R136" s="55">
        <v>3</v>
      </c>
      <c r="S136" s="74"/>
      <c r="T136" s="55" t="s">
        <v>667</v>
      </c>
      <c r="U136" s="73" t="s">
        <v>351</v>
      </c>
      <c r="V136" s="74">
        <v>44410</v>
      </c>
      <c r="W136" s="74">
        <v>44439</v>
      </c>
      <c r="X136" s="55">
        <v>10186082</v>
      </c>
      <c r="Y136" s="74" t="s">
        <v>132</v>
      </c>
      <c r="Z136" s="74"/>
      <c r="AB136" s="55" t="s">
        <v>132</v>
      </c>
      <c r="AC136" s="55" t="s">
        <v>130</v>
      </c>
    </row>
    <row r="137" spans="1:29" ht="13" x14ac:dyDescent="0.15">
      <c r="A137" s="72" t="str">
        <f t="shared" si="2"/>
        <v>Ofsted Social Care Provider Webpage</v>
      </c>
      <c r="B137" s="55">
        <v>1232200</v>
      </c>
      <c r="D137" s="55" t="s">
        <v>373</v>
      </c>
      <c r="E137" s="74">
        <v>42529</v>
      </c>
      <c r="F137" s="55" t="s">
        <v>344</v>
      </c>
      <c r="G137" s="55" t="s">
        <v>360</v>
      </c>
      <c r="H137" s="55" t="s">
        <v>360</v>
      </c>
      <c r="I137" s="55" t="s">
        <v>360</v>
      </c>
      <c r="J137" s="55" t="s">
        <v>360</v>
      </c>
      <c r="K137" s="55" t="s">
        <v>360</v>
      </c>
      <c r="L137" s="55" t="s">
        <v>360</v>
      </c>
      <c r="M137" s="55" t="s">
        <v>172</v>
      </c>
      <c r="N137" s="55" t="s">
        <v>172</v>
      </c>
      <c r="O137" s="55" t="s">
        <v>228</v>
      </c>
      <c r="P137" s="55" t="s">
        <v>459</v>
      </c>
      <c r="Q137" s="55" t="s">
        <v>350</v>
      </c>
      <c r="R137" s="55">
        <v>3</v>
      </c>
      <c r="S137" s="74"/>
      <c r="T137" s="55" t="s">
        <v>668</v>
      </c>
      <c r="U137" s="73" t="s">
        <v>351</v>
      </c>
      <c r="V137" s="74">
        <v>44594</v>
      </c>
      <c r="W137" s="74">
        <v>44634</v>
      </c>
      <c r="X137" s="55">
        <v>10185510</v>
      </c>
      <c r="Y137" s="74" t="s">
        <v>132</v>
      </c>
      <c r="Z137" s="74"/>
      <c r="AB137" s="55" t="s">
        <v>132</v>
      </c>
      <c r="AC137" s="55" t="s">
        <v>132</v>
      </c>
    </row>
    <row r="138" spans="1:29" ht="13" x14ac:dyDescent="0.15">
      <c r="A138" s="72" t="str">
        <f t="shared" si="2"/>
        <v>Ofsted Social Care Provider Webpage</v>
      </c>
      <c r="B138" s="55">
        <v>1232379</v>
      </c>
      <c r="D138" s="55" t="s">
        <v>389</v>
      </c>
      <c r="E138" s="74">
        <v>42866</v>
      </c>
      <c r="F138" s="55" t="s">
        <v>344</v>
      </c>
      <c r="G138" s="55" t="s">
        <v>669</v>
      </c>
      <c r="H138" s="55" t="s">
        <v>670</v>
      </c>
      <c r="I138" s="55" t="s">
        <v>671</v>
      </c>
      <c r="J138" s="55" t="s">
        <v>672</v>
      </c>
      <c r="L138" s="55" t="s">
        <v>673</v>
      </c>
      <c r="M138" s="55" t="s">
        <v>378</v>
      </c>
      <c r="N138" s="55" t="s">
        <v>170</v>
      </c>
      <c r="O138" s="55" t="s">
        <v>178</v>
      </c>
      <c r="P138" s="55" t="s">
        <v>434</v>
      </c>
      <c r="Q138" s="55" t="s">
        <v>350</v>
      </c>
      <c r="R138" s="55"/>
      <c r="S138" s="74"/>
      <c r="U138" s="73" t="s">
        <v>351</v>
      </c>
      <c r="V138" s="74">
        <v>43633</v>
      </c>
      <c r="W138" s="74">
        <v>43661</v>
      </c>
      <c r="X138" s="55">
        <v>10093309</v>
      </c>
      <c r="Y138" s="74" t="s">
        <v>132</v>
      </c>
      <c r="Z138" s="74"/>
      <c r="AB138" s="55" t="s">
        <v>132</v>
      </c>
      <c r="AC138" s="55" t="s">
        <v>132</v>
      </c>
    </row>
    <row r="139" spans="1:29" ht="13" x14ac:dyDescent="0.15">
      <c r="A139" s="72" t="str">
        <f t="shared" si="2"/>
        <v>Ofsted Social Care Provider Webpage</v>
      </c>
      <c r="B139" s="55">
        <v>1232380</v>
      </c>
      <c r="D139" s="55" t="s">
        <v>373</v>
      </c>
      <c r="E139" s="74">
        <v>42446</v>
      </c>
      <c r="F139" s="55" t="s">
        <v>344</v>
      </c>
      <c r="G139" s="55" t="s">
        <v>360</v>
      </c>
      <c r="H139" s="55" t="s">
        <v>360</v>
      </c>
      <c r="I139" s="55" t="s">
        <v>360</v>
      </c>
      <c r="J139" s="55" t="s">
        <v>360</v>
      </c>
      <c r="K139" s="55" t="s">
        <v>360</v>
      </c>
      <c r="L139" s="55" t="s">
        <v>360</v>
      </c>
      <c r="M139" s="55" t="s">
        <v>144</v>
      </c>
      <c r="N139" s="55" t="s">
        <v>144</v>
      </c>
      <c r="O139" s="55" t="s">
        <v>147</v>
      </c>
      <c r="P139" s="55" t="s">
        <v>674</v>
      </c>
      <c r="Q139" s="55" t="s">
        <v>362</v>
      </c>
      <c r="R139" s="55">
        <v>6</v>
      </c>
      <c r="S139" s="74" t="s">
        <v>332</v>
      </c>
      <c r="T139" s="55" t="s">
        <v>675</v>
      </c>
      <c r="U139" s="73" t="s">
        <v>351</v>
      </c>
      <c r="V139" s="74">
        <v>44622</v>
      </c>
      <c r="W139" s="74">
        <v>44680</v>
      </c>
      <c r="X139" s="55">
        <v>10185269</v>
      </c>
      <c r="Y139" s="74" t="s">
        <v>132</v>
      </c>
      <c r="Z139" s="74"/>
      <c r="AB139" s="55" t="s">
        <v>132</v>
      </c>
      <c r="AC139" s="55" t="s">
        <v>130</v>
      </c>
    </row>
    <row r="140" spans="1:29" ht="13" x14ac:dyDescent="0.15">
      <c r="A140" s="72" t="str">
        <f t="shared" si="2"/>
        <v>Ofsted Social Care Provider Webpage</v>
      </c>
      <c r="B140" s="55">
        <v>1232649</v>
      </c>
      <c r="D140" s="55" t="s">
        <v>373</v>
      </c>
      <c r="E140" s="74">
        <v>42559</v>
      </c>
      <c r="F140" s="55" t="s">
        <v>344</v>
      </c>
      <c r="G140" s="55" t="s">
        <v>360</v>
      </c>
      <c r="H140" s="55" t="s">
        <v>360</v>
      </c>
      <c r="I140" s="55" t="s">
        <v>360</v>
      </c>
      <c r="J140" s="55" t="s">
        <v>360</v>
      </c>
      <c r="K140" s="55" t="s">
        <v>360</v>
      </c>
      <c r="L140" s="55" t="s">
        <v>360</v>
      </c>
      <c r="M140" s="55" t="s">
        <v>378</v>
      </c>
      <c r="N140" s="55" t="s">
        <v>170</v>
      </c>
      <c r="O140" s="55" t="s">
        <v>184</v>
      </c>
      <c r="P140" s="55" t="s">
        <v>676</v>
      </c>
      <c r="Q140" s="55" t="s">
        <v>350</v>
      </c>
      <c r="R140" s="55">
        <v>5</v>
      </c>
      <c r="S140" s="74"/>
      <c r="T140" s="55" t="s">
        <v>677</v>
      </c>
      <c r="U140" s="73" t="s">
        <v>351</v>
      </c>
      <c r="V140" s="74">
        <v>44509</v>
      </c>
      <c r="W140" s="74">
        <v>44543</v>
      </c>
      <c r="X140" s="55">
        <v>10185709</v>
      </c>
      <c r="Y140" s="74" t="s">
        <v>132</v>
      </c>
      <c r="Z140" s="74"/>
      <c r="AB140" s="55" t="s">
        <v>132</v>
      </c>
      <c r="AC140" s="55" t="s">
        <v>140</v>
      </c>
    </row>
    <row r="141" spans="1:29" ht="13" x14ac:dyDescent="0.15">
      <c r="A141" s="72" t="str">
        <f t="shared" si="2"/>
        <v>Ofsted Social Care Provider Webpage</v>
      </c>
      <c r="B141" s="55">
        <v>1232650</v>
      </c>
      <c r="D141" s="55" t="s">
        <v>373</v>
      </c>
      <c r="E141" s="74">
        <v>42572</v>
      </c>
      <c r="F141" s="55" t="s">
        <v>344</v>
      </c>
      <c r="G141" s="55" t="s">
        <v>360</v>
      </c>
      <c r="H141" s="55" t="s">
        <v>360</v>
      </c>
      <c r="I141" s="55" t="s">
        <v>360</v>
      </c>
      <c r="J141" s="55" t="s">
        <v>360</v>
      </c>
      <c r="K141" s="55" t="s">
        <v>360</v>
      </c>
      <c r="L141" s="55" t="s">
        <v>360</v>
      </c>
      <c r="M141" s="55" t="s">
        <v>378</v>
      </c>
      <c r="N141" s="55" t="s">
        <v>134</v>
      </c>
      <c r="O141" s="55" t="s">
        <v>175</v>
      </c>
      <c r="P141" s="55" t="s">
        <v>678</v>
      </c>
      <c r="Q141" s="55" t="s">
        <v>350</v>
      </c>
      <c r="R141" s="55">
        <v>3</v>
      </c>
      <c r="S141" s="74"/>
      <c r="T141" s="55" t="s">
        <v>679</v>
      </c>
      <c r="U141" s="73" t="s">
        <v>351</v>
      </c>
      <c r="V141" s="74">
        <v>44481</v>
      </c>
      <c r="W141" s="74">
        <v>44511</v>
      </c>
      <c r="X141" s="55">
        <v>10185808</v>
      </c>
      <c r="Y141" s="74" t="s">
        <v>132</v>
      </c>
      <c r="Z141" s="74"/>
      <c r="AB141" s="55" t="s">
        <v>132</v>
      </c>
      <c r="AC141" s="55" t="s">
        <v>132</v>
      </c>
    </row>
    <row r="142" spans="1:29" ht="13" x14ac:dyDescent="0.15">
      <c r="A142" s="72" t="str">
        <f t="shared" si="2"/>
        <v>Ofsted Social Care Provider Webpage</v>
      </c>
      <c r="B142" s="55">
        <v>1232651</v>
      </c>
      <c r="D142" s="55" t="s">
        <v>389</v>
      </c>
      <c r="E142" s="74">
        <v>42503</v>
      </c>
      <c r="F142" s="55" t="s">
        <v>344</v>
      </c>
      <c r="G142" s="55" t="s">
        <v>680</v>
      </c>
      <c r="H142" s="55" t="s">
        <v>681</v>
      </c>
      <c r="I142" s="55" t="s">
        <v>682</v>
      </c>
      <c r="J142" s="55" t="s">
        <v>246</v>
      </c>
      <c r="K142" s="55" t="s">
        <v>683</v>
      </c>
      <c r="L142" s="55" t="s">
        <v>684</v>
      </c>
      <c r="M142" s="55" t="s">
        <v>378</v>
      </c>
      <c r="N142" s="55" t="s">
        <v>134</v>
      </c>
      <c r="O142" s="55" t="s">
        <v>246</v>
      </c>
      <c r="P142" s="55" t="s">
        <v>685</v>
      </c>
      <c r="Q142" s="55" t="s">
        <v>350</v>
      </c>
      <c r="R142" s="55"/>
      <c r="S142" s="74"/>
      <c r="T142" s="55" t="s">
        <v>680</v>
      </c>
      <c r="U142" s="73" t="s">
        <v>351</v>
      </c>
      <c r="V142" s="74">
        <v>44522</v>
      </c>
      <c r="W142" s="74">
        <v>44580</v>
      </c>
      <c r="X142" s="55">
        <v>10183371</v>
      </c>
      <c r="Y142" s="74" t="s">
        <v>140</v>
      </c>
      <c r="Z142" s="74"/>
      <c r="AB142" s="55" t="s">
        <v>140</v>
      </c>
      <c r="AC142" s="55" t="s">
        <v>140</v>
      </c>
    </row>
    <row r="143" spans="1:29" ht="13" x14ac:dyDescent="0.15">
      <c r="A143" s="72" t="str">
        <f t="shared" si="2"/>
        <v>Ofsted Social Care Provider Webpage</v>
      </c>
      <c r="B143" s="55">
        <v>1232657</v>
      </c>
      <c r="D143" s="55" t="s">
        <v>373</v>
      </c>
      <c r="E143" s="74">
        <v>42777</v>
      </c>
      <c r="F143" s="55" t="s">
        <v>344</v>
      </c>
      <c r="G143" s="55" t="s">
        <v>360</v>
      </c>
      <c r="H143" s="55" t="s">
        <v>360</v>
      </c>
      <c r="I143" s="55" t="s">
        <v>360</v>
      </c>
      <c r="J143" s="55" t="s">
        <v>360</v>
      </c>
      <c r="K143" s="55" t="s">
        <v>360</v>
      </c>
      <c r="L143" s="55" t="s">
        <v>360</v>
      </c>
      <c r="M143" s="55" t="s">
        <v>142</v>
      </c>
      <c r="N143" s="55" t="s">
        <v>142</v>
      </c>
      <c r="O143" s="55" t="s">
        <v>254</v>
      </c>
      <c r="P143" s="55" t="s">
        <v>254</v>
      </c>
      <c r="Q143" s="55" t="s">
        <v>350</v>
      </c>
      <c r="R143" s="55">
        <v>4</v>
      </c>
      <c r="S143" s="74"/>
      <c r="T143" s="55" t="s">
        <v>574</v>
      </c>
      <c r="U143" s="73" t="s">
        <v>351</v>
      </c>
      <c r="V143" s="74">
        <v>44369</v>
      </c>
      <c r="W143" s="74">
        <v>44396</v>
      </c>
      <c r="X143" s="55">
        <v>10186179</v>
      </c>
      <c r="Y143" s="74" t="s">
        <v>132</v>
      </c>
      <c r="Z143" s="74"/>
      <c r="AB143" s="55" t="s">
        <v>132</v>
      </c>
      <c r="AC143" s="55" t="s">
        <v>130</v>
      </c>
    </row>
    <row r="144" spans="1:29" ht="13" x14ac:dyDescent="0.15">
      <c r="A144" s="72" t="str">
        <f t="shared" si="2"/>
        <v>Ofsted Social Care Provider Webpage</v>
      </c>
      <c r="B144" s="55">
        <v>1232658</v>
      </c>
      <c r="D144" s="55" t="s">
        <v>373</v>
      </c>
      <c r="E144" s="74">
        <v>42660</v>
      </c>
      <c r="F144" s="55" t="s">
        <v>344</v>
      </c>
      <c r="G144" s="55" t="s">
        <v>360</v>
      </c>
      <c r="H144" s="55" t="s">
        <v>360</v>
      </c>
      <c r="I144" s="55" t="s">
        <v>360</v>
      </c>
      <c r="J144" s="55" t="s">
        <v>360</v>
      </c>
      <c r="K144" s="55" t="s">
        <v>360</v>
      </c>
      <c r="L144" s="55" t="s">
        <v>360</v>
      </c>
      <c r="M144" s="55" t="s">
        <v>144</v>
      </c>
      <c r="N144" s="55" t="s">
        <v>144</v>
      </c>
      <c r="O144" s="55" t="s">
        <v>162</v>
      </c>
      <c r="P144" s="55" t="s">
        <v>686</v>
      </c>
      <c r="Q144" s="55" t="s">
        <v>350</v>
      </c>
      <c r="R144" s="55">
        <v>5</v>
      </c>
      <c r="S144" s="74"/>
      <c r="T144" s="55" t="s">
        <v>574</v>
      </c>
      <c r="U144" s="73" t="s">
        <v>351</v>
      </c>
      <c r="V144" s="74">
        <v>44544</v>
      </c>
      <c r="W144" s="74">
        <v>44592</v>
      </c>
      <c r="X144" s="55">
        <v>10186706</v>
      </c>
      <c r="Y144" s="74" t="s">
        <v>132</v>
      </c>
      <c r="Z144" s="74"/>
      <c r="AB144" s="55" t="s">
        <v>140</v>
      </c>
      <c r="AC144" s="55" t="s">
        <v>132</v>
      </c>
    </row>
    <row r="145" spans="1:29" ht="13" x14ac:dyDescent="0.15">
      <c r="A145" s="72" t="str">
        <f t="shared" si="2"/>
        <v>Ofsted Social Care Provider Webpage</v>
      </c>
      <c r="B145" s="55">
        <v>1233307</v>
      </c>
      <c r="D145" s="55" t="s">
        <v>373</v>
      </c>
      <c r="E145" s="74">
        <v>42702</v>
      </c>
      <c r="F145" s="55" t="s">
        <v>344</v>
      </c>
      <c r="G145" s="55" t="s">
        <v>360</v>
      </c>
      <c r="H145" s="55" t="s">
        <v>360</v>
      </c>
      <c r="I145" s="55" t="s">
        <v>360</v>
      </c>
      <c r="J145" s="55" t="s">
        <v>360</v>
      </c>
      <c r="K145" s="55" t="s">
        <v>360</v>
      </c>
      <c r="L145" s="55" t="s">
        <v>360</v>
      </c>
      <c r="M145" s="55" t="s">
        <v>378</v>
      </c>
      <c r="N145" s="55" t="s">
        <v>170</v>
      </c>
      <c r="O145" s="55" t="s">
        <v>222</v>
      </c>
      <c r="P145" s="55" t="s">
        <v>521</v>
      </c>
      <c r="Q145" s="55" t="s">
        <v>380</v>
      </c>
      <c r="R145" s="55">
        <v>6</v>
      </c>
      <c r="S145" s="74"/>
      <c r="T145" s="55" t="s">
        <v>687</v>
      </c>
      <c r="U145" s="73" t="s">
        <v>351</v>
      </c>
      <c r="V145" s="74">
        <v>44516</v>
      </c>
      <c r="W145" s="74">
        <v>44551</v>
      </c>
      <c r="X145" s="55">
        <v>10185085</v>
      </c>
      <c r="Y145" s="74" t="s">
        <v>132</v>
      </c>
      <c r="Z145" s="74"/>
      <c r="AB145" s="55" t="s">
        <v>132</v>
      </c>
      <c r="AC145" s="55" t="s">
        <v>132</v>
      </c>
    </row>
    <row r="146" spans="1:29" ht="13" x14ac:dyDescent="0.15">
      <c r="A146" s="72" t="str">
        <f t="shared" si="2"/>
        <v>Ofsted Social Care Provider Webpage</v>
      </c>
      <c r="B146" s="55">
        <v>1233309</v>
      </c>
      <c r="D146" s="55" t="s">
        <v>389</v>
      </c>
      <c r="E146" s="74">
        <v>42957</v>
      </c>
      <c r="F146" s="55" t="s">
        <v>344</v>
      </c>
      <c r="G146" s="55" t="s">
        <v>688</v>
      </c>
      <c r="H146" s="55" t="s">
        <v>689</v>
      </c>
      <c r="I146" s="55" t="s">
        <v>690</v>
      </c>
      <c r="J146" s="55" t="s">
        <v>292</v>
      </c>
      <c r="L146" s="55" t="s">
        <v>691</v>
      </c>
      <c r="M146" s="55" t="s">
        <v>142</v>
      </c>
      <c r="N146" s="55" t="s">
        <v>142</v>
      </c>
      <c r="O146" s="55" t="s">
        <v>262</v>
      </c>
      <c r="P146" s="55" t="s">
        <v>692</v>
      </c>
      <c r="Q146" s="55" t="s">
        <v>350</v>
      </c>
      <c r="R146" s="55"/>
      <c r="S146" s="74"/>
      <c r="T146" s="55" t="s">
        <v>502</v>
      </c>
      <c r="U146" s="73" t="s">
        <v>351</v>
      </c>
      <c r="V146" s="74">
        <v>43318</v>
      </c>
      <c r="W146" s="74">
        <v>43343</v>
      </c>
      <c r="X146" s="55">
        <v>10053968</v>
      </c>
      <c r="Y146" s="74" t="s">
        <v>132</v>
      </c>
      <c r="Z146" s="74"/>
      <c r="AB146" s="55" t="s">
        <v>132</v>
      </c>
      <c r="AC146" s="55" t="s">
        <v>130</v>
      </c>
    </row>
    <row r="147" spans="1:29" ht="13" x14ac:dyDescent="0.15">
      <c r="A147" s="72" t="str">
        <f t="shared" si="2"/>
        <v>Ofsted Social Care Provider Webpage</v>
      </c>
      <c r="B147" s="55">
        <v>1233310</v>
      </c>
      <c r="D147" s="55" t="s">
        <v>373</v>
      </c>
      <c r="E147" s="74">
        <v>42590</v>
      </c>
      <c r="F147" s="55" t="s">
        <v>344</v>
      </c>
      <c r="G147" s="55" t="s">
        <v>360</v>
      </c>
      <c r="H147" s="55" t="s">
        <v>360</v>
      </c>
      <c r="I147" s="55" t="s">
        <v>360</v>
      </c>
      <c r="J147" s="55" t="s">
        <v>360</v>
      </c>
      <c r="K147" s="55" t="s">
        <v>360</v>
      </c>
      <c r="L147" s="55" t="s">
        <v>360</v>
      </c>
      <c r="M147" s="55" t="s">
        <v>144</v>
      </c>
      <c r="N147" s="55" t="s">
        <v>144</v>
      </c>
      <c r="O147" s="55" t="s">
        <v>147</v>
      </c>
      <c r="P147" s="55" t="s">
        <v>674</v>
      </c>
      <c r="Q147" s="55" t="s">
        <v>362</v>
      </c>
      <c r="R147" s="55">
        <v>3</v>
      </c>
      <c r="S147" s="74"/>
      <c r="T147" s="55" t="s">
        <v>675</v>
      </c>
      <c r="U147" s="73" t="s">
        <v>351</v>
      </c>
      <c r="V147" s="74">
        <v>44572</v>
      </c>
      <c r="W147" s="74">
        <v>44614</v>
      </c>
      <c r="X147" s="55">
        <v>10185492</v>
      </c>
      <c r="Y147" s="74" t="s">
        <v>132</v>
      </c>
      <c r="Z147" s="74"/>
      <c r="AB147" s="55" t="s">
        <v>132</v>
      </c>
      <c r="AC147" s="55" t="s">
        <v>130</v>
      </c>
    </row>
    <row r="148" spans="1:29" ht="13" x14ac:dyDescent="0.15">
      <c r="A148" s="72" t="str">
        <f t="shared" si="2"/>
        <v>Ofsted Social Care Provider Webpage</v>
      </c>
      <c r="B148" s="55">
        <v>1233463</v>
      </c>
      <c r="C148" s="55">
        <v>130627</v>
      </c>
      <c r="D148" s="55" t="s">
        <v>693</v>
      </c>
      <c r="E148" s="74">
        <v>42438</v>
      </c>
      <c r="F148" s="55" t="s">
        <v>344</v>
      </c>
      <c r="G148" s="55" t="s">
        <v>694</v>
      </c>
      <c r="H148" s="55" t="s">
        <v>695</v>
      </c>
      <c r="I148" s="55" t="s">
        <v>696</v>
      </c>
      <c r="J148" s="55" t="s">
        <v>697</v>
      </c>
      <c r="K148" s="55" t="s">
        <v>165</v>
      </c>
      <c r="L148" s="55" t="s">
        <v>698</v>
      </c>
      <c r="M148" s="55" t="s">
        <v>136</v>
      </c>
      <c r="N148" s="55" t="s">
        <v>136</v>
      </c>
      <c r="O148" s="55" t="s">
        <v>165</v>
      </c>
      <c r="P148" s="55" t="s">
        <v>699</v>
      </c>
      <c r="Q148" s="55" t="s">
        <v>350</v>
      </c>
      <c r="R148" s="55">
        <v>278</v>
      </c>
      <c r="S148" s="74"/>
      <c r="T148" s="55" t="s">
        <v>700</v>
      </c>
      <c r="U148" s="73" t="s">
        <v>351</v>
      </c>
      <c r="V148" s="74">
        <v>43437</v>
      </c>
      <c r="W148" s="74">
        <v>43476</v>
      </c>
      <c r="X148" s="55">
        <v>10029046</v>
      </c>
      <c r="Y148" s="74" t="s">
        <v>132</v>
      </c>
      <c r="Z148" s="74"/>
      <c r="AB148" s="55" t="s">
        <v>132</v>
      </c>
      <c r="AC148" s="55" t="s">
        <v>132</v>
      </c>
    </row>
    <row r="149" spans="1:29" ht="13" x14ac:dyDescent="0.15">
      <c r="A149" s="72" t="str">
        <f t="shared" si="2"/>
        <v>Ofsted Social Care Provider Webpage</v>
      </c>
      <c r="B149" s="55">
        <v>1233894</v>
      </c>
      <c r="C149" s="55">
        <v>138333</v>
      </c>
      <c r="D149" s="55" t="s">
        <v>398</v>
      </c>
      <c r="E149" s="74">
        <v>42445</v>
      </c>
      <c r="F149" s="55" t="s">
        <v>344</v>
      </c>
      <c r="G149" s="55" t="s">
        <v>701</v>
      </c>
      <c r="H149" s="55" t="s">
        <v>702</v>
      </c>
      <c r="I149" s="55" t="s">
        <v>354</v>
      </c>
      <c r="J149" s="55" t="s">
        <v>703</v>
      </c>
      <c r="K149" s="55" t="s">
        <v>176</v>
      </c>
      <c r="L149" s="55" t="s">
        <v>704</v>
      </c>
      <c r="M149" s="55" t="s">
        <v>136</v>
      </c>
      <c r="N149" s="55" t="s">
        <v>136</v>
      </c>
      <c r="O149" s="55" t="s">
        <v>705</v>
      </c>
      <c r="P149" s="55" t="s">
        <v>706</v>
      </c>
      <c r="Q149" s="55" t="s">
        <v>350</v>
      </c>
      <c r="R149" s="55">
        <v>60</v>
      </c>
      <c r="S149" s="74"/>
      <c r="T149" s="55" t="s">
        <v>707</v>
      </c>
      <c r="U149" s="73" t="s">
        <v>351</v>
      </c>
      <c r="V149" s="74">
        <v>43382</v>
      </c>
      <c r="W149" s="74">
        <v>43422</v>
      </c>
      <c r="X149" s="55">
        <v>10077987</v>
      </c>
      <c r="Y149" s="74" t="s">
        <v>132</v>
      </c>
      <c r="Z149" s="74"/>
      <c r="AB149" s="55" t="s">
        <v>132</v>
      </c>
      <c r="AC149" s="55" t="s">
        <v>132</v>
      </c>
    </row>
    <row r="150" spans="1:29" ht="13" x14ac:dyDescent="0.15">
      <c r="A150" s="72" t="str">
        <f t="shared" si="2"/>
        <v>Ofsted Social Care Provider Webpage</v>
      </c>
      <c r="B150" s="55">
        <v>1233899</v>
      </c>
      <c r="D150" s="55" t="s">
        <v>373</v>
      </c>
      <c r="E150" s="74">
        <v>42654</v>
      </c>
      <c r="F150" s="55" t="s">
        <v>344</v>
      </c>
      <c r="G150" s="55" t="s">
        <v>360</v>
      </c>
      <c r="H150" s="55" t="s">
        <v>360</v>
      </c>
      <c r="I150" s="55" t="s">
        <v>360</v>
      </c>
      <c r="J150" s="55" t="s">
        <v>360</v>
      </c>
      <c r="K150" s="55" t="s">
        <v>360</v>
      </c>
      <c r="L150" s="55" t="s">
        <v>360</v>
      </c>
      <c r="M150" s="55" t="s">
        <v>144</v>
      </c>
      <c r="N150" s="55" t="s">
        <v>144</v>
      </c>
      <c r="O150" s="55" t="s">
        <v>168</v>
      </c>
      <c r="P150" s="55" t="s">
        <v>708</v>
      </c>
      <c r="Q150" s="55" t="s">
        <v>350</v>
      </c>
      <c r="R150" s="55">
        <v>2</v>
      </c>
      <c r="S150" s="74"/>
      <c r="T150" s="55" t="s">
        <v>709</v>
      </c>
      <c r="U150" s="73" t="s">
        <v>351</v>
      </c>
      <c r="V150" s="74">
        <v>44622</v>
      </c>
      <c r="W150" s="74">
        <v>44680</v>
      </c>
      <c r="X150" s="55">
        <v>10185007</v>
      </c>
      <c r="Y150" s="74" t="s">
        <v>132</v>
      </c>
      <c r="Z150" s="74"/>
      <c r="AB150" s="55" t="s">
        <v>132</v>
      </c>
      <c r="AC150" s="55" t="s">
        <v>132</v>
      </c>
    </row>
    <row r="151" spans="1:29" ht="13" x14ac:dyDescent="0.15">
      <c r="A151" s="72" t="str">
        <f t="shared" si="2"/>
        <v>Ofsted Social Care Provider Webpage</v>
      </c>
      <c r="B151" s="55">
        <v>1233981</v>
      </c>
      <c r="D151" s="55" t="s">
        <v>373</v>
      </c>
      <c r="E151" s="74">
        <v>42599</v>
      </c>
      <c r="F151" s="55" t="s">
        <v>344</v>
      </c>
      <c r="G151" s="55" t="s">
        <v>360</v>
      </c>
      <c r="H151" s="55" t="s">
        <v>360</v>
      </c>
      <c r="I151" s="55" t="s">
        <v>360</v>
      </c>
      <c r="J151" s="55" t="s">
        <v>360</v>
      </c>
      <c r="K151" s="55" t="s">
        <v>360</v>
      </c>
      <c r="L151" s="55" t="s">
        <v>360</v>
      </c>
      <c r="M151" s="55" t="s">
        <v>378</v>
      </c>
      <c r="N151" s="55" t="s">
        <v>134</v>
      </c>
      <c r="O151" s="55" t="s">
        <v>206</v>
      </c>
      <c r="P151" s="55" t="s">
        <v>710</v>
      </c>
      <c r="Q151" s="55" t="s">
        <v>350</v>
      </c>
      <c r="R151" s="55">
        <v>2</v>
      </c>
      <c r="S151" s="74"/>
      <c r="T151" s="55" t="s">
        <v>711</v>
      </c>
      <c r="U151" s="73" t="s">
        <v>351</v>
      </c>
      <c r="V151" s="74">
        <v>44376</v>
      </c>
      <c r="W151" s="74">
        <v>44406</v>
      </c>
      <c r="X151" s="55">
        <v>10185304</v>
      </c>
      <c r="Y151" s="74" t="s">
        <v>132</v>
      </c>
      <c r="Z151" s="74"/>
      <c r="AB151" s="55" t="s">
        <v>132</v>
      </c>
      <c r="AC151" s="55" t="s">
        <v>132</v>
      </c>
    </row>
    <row r="152" spans="1:29" ht="13" x14ac:dyDescent="0.15">
      <c r="A152" s="72" t="str">
        <f t="shared" si="2"/>
        <v>Ofsted Social Care Provider Webpage</v>
      </c>
      <c r="B152" s="55">
        <v>1234166</v>
      </c>
      <c r="D152" s="55" t="s">
        <v>373</v>
      </c>
      <c r="E152" s="74">
        <v>42633</v>
      </c>
      <c r="F152" s="55" t="s">
        <v>344</v>
      </c>
      <c r="G152" s="55" t="s">
        <v>360</v>
      </c>
      <c r="H152" s="55" t="s">
        <v>360</v>
      </c>
      <c r="I152" s="55" t="s">
        <v>360</v>
      </c>
      <c r="J152" s="55" t="s">
        <v>360</v>
      </c>
      <c r="K152" s="55" t="s">
        <v>360</v>
      </c>
      <c r="L152" s="55" t="s">
        <v>360</v>
      </c>
      <c r="M152" s="55" t="s">
        <v>129</v>
      </c>
      <c r="N152" s="55" t="s">
        <v>129</v>
      </c>
      <c r="O152" s="55" t="s">
        <v>223</v>
      </c>
      <c r="P152" s="55" t="s">
        <v>712</v>
      </c>
      <c r="Q152" s="55" t="s">
        <v>350</v>
      </c>
      <c r="R152" s="55">
        <v>3</v>
      </c>
      <c r="S152" s="74"/>
      <c r="T152" s="55" t="s">
        <v>713</v>
      </c>
      <c r="U152" s="73" t="s">
        <v>351</v>
      </c>
      <c r="V152" s="74">
        <v>44425</v>
      </c>
      <c r="W152" s="74">
        <v>44461</v>
      </c>
      <c r="X152" s="55">
        <v>10185651</v>
      </c>
      <c r="Y152" s="74" t="s">
        <v>132</v>
      </c>
      <c r="Z152" s="74"/>
      <c r="AB152" s="55" t="s">
        <v>132</v>
      </c>
      <c r="AC152" s="55" t="s">
        <v>132</v>
      </c>
    </row>
    <row r="153" spans="1:29" ht="13" x14ac:dyDescent="0.15">
      <c r="A153" s="72" t="str">
        <f t="shared" si="2"/>
        <v>Ofsted Social Care Provider Webpage</v>
      </c>
      <c r="B153" s="55">
        <v>1234243</v>
      </c>
      <c r="D153" s="55" t="s">
        <v>373</v>
      </c>
      <c r="E153" s="74">
        <v>42517</v>
      </c>
      <c r="F153" s="55" t="s">
        <v>344</v>
      </c>
      <c r="G153" s="55" t="s">
        <v>360</v>
      </c>
      <c r="H153" s="55" t="s">
        <v>360</v>
      </c>
      <c r="I153" s="55" t="s">
        <v>360</v>
      </c>
      <c r="J153" s="55" t="s">
        <v>360</v>
      </c>
      <c r="K153" s="55" t="s">
        <v>360</v>
      </c>
      <c r="L153" s="55" t="s">
        <v>360</v>
      </c>
      <c r="M153" s="55" t="s">
        <v>172</v>
      </c>
      <c r="N153" s="55" t="s">
        <v>172</v>
      </c>
      <c r="O153" s="55" t="s">
        <v>212</v>
      </c>
      <c r="P153" s="55" t="s">
        <v>547</v>
      </c>
      <c r="Q153" s="55" t="s">
        <v>350</v>
      </c>
      <c r="R153" s="55">
        <v>3</v>
      </c>
      <c r="S153" s="74"/>
      <c r="T153" s="55" t="s">
        <v>489</v>
      </c>
      <c r="U153" s="73" t="s">
        <v>351</v>
      </c>
      <c r="V153" s="74">
        <v>44508</v>
      </c>
      <c r="W153" s="74">
        <v>44547</v>
      </c>
      <c r="X153" s="55">
        <v>10213274</v>
      </c>
      <c r="Y153" s="74" t="s">
        <v>130</v>
      </c>
      <c r="Z153" s="74"/>
      <c r="AB153" s="55" t="s">
        <v>130</v>
      </c>
      <c r="AC153" s="55" t="s">
        <v>130</v>
      </c>
    </row>
    <row r="154" spans="1:29" ht="13" x14ac:dyDescent="0.15">
      <c r="A154" s="72" t="str">
        <f t="shared" si="2"/>
        <v>Ofsted Social Care Provider Webpage</v>
      </c>
      <c r="B154" s="55">
        <v>1234244</v>
      </c>
      <c r="D154" s="55" t="s">
        <v>373</v>
      </c>
      <c r="E154" s="74">
        <v>42502</v>
      </c>
      <c r="F154" s="55" t="s">
        <v>344</v>
      </c>
      <c r="G154" s="55" t="s">
        <v>360</v>
      </c>
      <c r="H154" s="55" t="s">
        <v>360</v>
      </c>
      <c r="I154" s="55" t="s">
        <v>360</v>
      </c>
      <c r="J154" s="55" t="s">
        <v>360</v>
      </c>
      <c r="K154" s="55" t="s">
        <v>360</v>
      </c>
      <c r="L154" s="55" t="s">
        <v>360</v>
      </c>
      <c r="M154" s="55" t="s">
        <v>172</v>
      </c>
      <c r="N154" s="55" t="s">
        <v>172</v>
      </c>
      <c r="O154" s="55" t="s">
        <v>212</v>
      </c>
      <c r="P154" s="55" t="s">
        <v>714</v>
      </c>
      <c r="Q154" s="55" t="s">
        <v>350</v>
      </c>
      <c r="R154" s="55">
        <v>3</v>
      </c>
      <c r="S154" s="74"/>
      <c r="T154" s="55" t="s">
        <v>489</v>
      </c>
      <c r="U154" s="73" t="s">
        <v>351</v>
      </c>
      <c r="V154" s="74">
        <v>44334</v>
      </c>
      <c r="W154" s="74">
        <v>44371</v>
      </c>
      <c r="X154" s="55">
        <v>10185569</v>
      </c>
      <c r="Y154" s="74" t="s">
        <v>140</v>
      </c>
      <c r="Z154" s="74"/>
      <c r="AB154" s="55" t="s">
        <v>140</v>
      </c>
      <c r="AC154" s="55" t="s">
        <v>140</v>
      </c>
    </row>
    <row r="155" spans="1:29" ht="13" x14ac:dyDescent="0.15">
      <c r="A155" s="72" t="str">
        <f t="shared" si="2"/>
        <v>Ofsted Social Care Provider Webpage</v>
      </c>
      <c r="B155" s="55">
        <v>1234317</v>
      </c>
      <c r="D155" s="55" t="s">
        <v>373</v>
      </c>
      <c r="E155" s="74">
        <v>42586</v>
      </c>
      <c r="F155" s="55" t="s">
        <v>344</v>
      </c>
      <c r="G155" s="55" t="s">
        <v>360</v>
      </c>
      <c r="H155" s="55" t="s">
        <v>360</v>
      </c>
      <c r="I155" s="55" t="s">
        <v>360</v>
      </c>
      <c r="J155" s="55" t="s">
        <v>360</v>
      </c>
      <c r="K155" s="55" t="s">
        <v>360</v>
      </c>
      <c r="L155" s="55" t="s">
        <v>360</v>
      </c>
      <c r="M155" s="55" t="s">
        <v>378</v>
      </c>
      <c r="N155" s="55" t="s">
        <v>134</v>
      </c>
      <c r="O155" s="55" t="s">
        <v>158</v>
      </c>
      <c r="P155" s="55" t="s">
        <v>480</v>
      </c>
      <c r="Q155" s="55" t="s">
        <v>350</v>
      </c>
      <c r="R155" s="55">
        <v>6</v>
      </c>
      <c r="S155" s="74"/>
      <c r="T155" s="55" t="s">
        <v>377</v>
      </c>
      <c r="U155" s="73" t="s">
        <v>351</v>
      </c>
      <c r="V155" s="74">
        <v>44341</v>
      </c>
      <c r="W155" s="74">
        <v>44378</v>
      </c>
      <c r="X155" s="55">
        <v>10185360</v>
      </c>
      <c r="Y155" s="74" t="s">
        <v>130</v>
      </c>
      <c r="Z155" s="74"/>
      <c r="AB155" s="55" t="s">
        <v>132</v>
      </c>
      <c r="AC155" s="55" t="s">
        <v>132</v>
      </c>
    </row>
    <row r="156" spans="1:29" ht="13" x14ac:dyDescent="0.15">
      <c r="A156" s="72" t="str">
        <f t="shared" si="2"/>
        <v>Ofsted Social Care Provider Webpage</v>
      </c>
      <c r="B156" s="55">
        <v>1234324</v>
      </c>
      <c r="D156" s="55" t="s">
        <v>451</v>
      </c>
      <c r="E156" s="74">
        <v>42551</v>
      </c>
      <c r="F156" s="55" t="s">
        <v>344</v>
      </c>
      <c r="G156" s="55" t="s">
        <v>715</v>
      </c>
      <c r="H156" s="55" t="s">
        <v>716</v>
      </c>
      <c r="I156" s="55" t="s">
        <v>354</v>
      </c>
      <c r="J156" s="55" t="s">
        <v>192</v>
      </c>
      <c r="L156" s="55" t="s">
        <v>717</v>
      </c>
      <c r="M156" s="55" t="s">
        <v>129</v>
      </c>
      <c r="N156" s="55" t="s">
        <v>129</v>
      </c>
      <c r="O156" s="55" t="s">
        <v>192</v>
      </c>
      <c r="P156" s="55" t="s">
        <v>718</v>
      </c>
      <c r="Q156" s="55" t="s">
        <v>350</v>
      </c>
      <c r="R156" s="55">
        <v>3</v>
      </c>
      <c r="S156" s="74"/>
      <c r="T156" s="55" t="s">
        <v>719</v>
      </c>
      <c r="U156" s="73" t="s">
        <v>351</v>
      </c>
      <c r="V156" s="74">
        <v>44351</v>
      </c>
      <c r="W156" s="74">
        <v>44386</v>
      </c>
      <c r="X156" s="55">
        <v>10183278</v>
      </c>
      <c r="Y156" s="74" t="s">
        <v>132</v>
      </c>
      <c r="Z156" s="74"/>
      <c r="AB156" s="55" t="s">
        <v>132</v>
      </c>
      <c r="AC156" s="55" t="s">
        <v>130</v>
      </c>
    </row>
    <row r="157" spans="1:29" ht="13" x14ac:dyDescent="0.15">
      <c r="A157" s="72" t="str">
        <f t="shared" si="2"/>
        <v>Ofsted Social Care Provider Webpage</v>
      </c>
      <c r="B157" s="55">
        <v>1234374</v>
      </c>
      <c r="D157" s="55" t="s">
        <v>373</v>
      </c>
      <c r="E157" s="74">
        <v>42502</v>
      </c>
      <c r="F157" s="55" t="s">
        <v>344</v>
      </c>
      <c r="G157" s="55" t="s">
        <v>360</v>
      </c>
      <c r="H157" s="55" t="s">
        <v>360</v>
      </c>
      <c r="I157" s="55" t="s">
        <v>360</v>
      </c>
      <c r="J157" s="55" t="s">
        <v>360</v>
      </c>
      <c r="K157" s="55" t="s">
        <v>360</v>
      </c>
      <c r="L157" s="55" t="s">
        <v>360</v>
      </c>
      <c r="M157" s="55" t="s">
        <v>136</v>
      </c>
      <c r="N157" s="55" t="s">
        <v>136</v>
      </c>
      <c r="O157" s="55" t="s">
        <v>165</v>
      </c>
      <c r="P157" s="55" t="s">
        <v>720</v>
      </c>
      <c r="Q157" s="55" t="s">
        <v>350</v>
      </c>
      <c r="R157" s="55">
        <v>2</v>
      </c>
      <c r="S157" s="74"/>
      <c r="T157" s="55" t="s">
        <v>721</v>
      </c>
      <c r="U157" s="73" t="s">
        <v>351</v>
      </c>
      <c r="V157" s="74">
        <v>44349</v>
      </c>
      <c r="W157" s="74">
        <v>44379</v>
      </c>
      <c r="X157" s="55">
        <v>10186145</v>
      </c>
      <c r="Y157" s="74" t="s">
        <v>130</v>
      </c>
      <c r="Z157" s="74"/>
      <c r="AB157" s="55" t="s">
        <v>130</v>
      </c>
      <c r="AC157" s="55" t="s">
        <v>130</v>
      </c>
    </row>
    <row r="158" spans="1:29" ht="13" x14ac:dyDescent="0.15">
      <c r="A158" s="72" t="str">
        <f t="shared" si="2"/>
        <v>Ofsted Social Care Provider Webpage</v>
      </c>
      <c r="B158" s="55">
        <v>1234377</v>
      </c>
      <c r="D158" s="55" t="s">
        <v>389</v>
      </c>
      <c r="E158" s="74">
        <v>42578</v>
      </c>
      <c r="F158" s="55" t="s">
        <v>344</v>
      </c>
      <c r="G158" s="55" t="s">
        <v>722</v>
      </c>
      <c r="H158" s="55" t="s">
        <v>723</v>
      </c>
      <c r="I158" s="55" t="s">
        <v>354</v>
      </c>
      <c r="J158" s="55" t="s">
        <v>281</v>
      </c>
      <c r="L158" s="55" t="s">
        <v>724</v>
      </c>
      <c r="M158" s="55" t="s">
        <v>144</v>
      </c>
      <c r="N158" s="55" t="s">
        <v>144</v>
      </c>
      <c r="O158" s="55" t="s">
        <v>281</v>
      </c>
      <c r="P158" s="55" t="s">
        <v>725</v>
      </c>
      <c r="Q158" s="55" t="s">
        <v>350</v>
      </c>
      <c r="R158" s="55"/>
      <c r="S158" s="74"/>
      <c r="T158" s="55" t="s">
        <v>726</v>
      </c>
      <c r="U158" s="73" t="s">
        <v>351</v>
      </c>
      <c r="V158" s="74">
        <v>44515</v>
      </c>
      <c r="W158" s="74">
        <v>44575</v>
      </c>
      <c r="X158" s="55">
        <v>10183388</v>
      </c>
      <c r="Y158" s="74" t="s">
        <v>132</v>
      </c>
      <c r="Z158" s="74"/>
      <c r="AB158" s="55" t="s">
        <v>132</v>
      </c>
      <c r="AC158" s="55" t="s">
        <v>132</v>
      </c>
    </row>
    <row r="159" spans="1:29" ht="13" x14ac:dyDescent="0.15">
      <c r="A159" s="72" t="str">
        <f t="shared" si="2"/>
        <v>Ofsted Social Care Provider Webpage</v>
      </c>
      <c r="B159" s="55">
        <v>1234430</v>
      </c>
      <c r="D159" s="55" t="s">
        <v>373</v>
      </c>
      <c r="E159" s="74">
        <v>42579</v>
      </c>
      <c r="F159" s="55" t="s">
        <v>344</v>
      </c>
      <c r="G159" s="55" t="s">
        <v>360</v>
      </c>
      <c r="H159" s="55" t="s">
        <v>360</v>
      </c>
      <c r="I159" s="55" t="s">
        <v>360</v>
      </c>
      <c r="J159" s="55" t="s">
        <v>360</v>
      </c>
      <c r="K159" s="55" t="s">
        <v>360</v>
      </c>
      <c r="L159" s="55" t="s">
        <v>360</v>
      </c>
      <c r="M159" s="55" t="s">
        <v>142</v>
      </c>
      <c r="N159" s="55" t="s">
        <v>142</v>
      </c>
      <c r="O159" s="55" t="s">
        <v>141</v>
      </c>
      <c r="P159" s="55" t="s">
        <v>573</v>
      </c>
      <c r="Q159" s="55" t="s">
        <v>350</v>
      </c>
      <c r="R159" s="55">
        <v>3</v>
      </c>
      <c r="S159" s="74"/>
      <c r="T159" s="55" t="s">
        <v>727</v>
      </c>
      <c r="U159" s="73" t="s">
        <v>351</v>
      </c>
      <c r="V159" s="74">
        <v>44585</v>
      </c>
      <c r="W159" s="74">
        <v>44621</v>
      </c>
      <c r="X159" s="55">
        <v>10187581</v>
      </c>
      <c r="Y159" s="74" t="s">
        <v>130</v>
      </c>
      <c r="Z159" s="74"/>
      <c r="AB159" s="55" t="s">
        <v>130</v>
      </c>
      <c r="AC159" s="55" t="s">
        <v>130</v>
      </c>
    </row>
    <row r="160" spans="1:29" ht="13" x14ac:dyDescent="0.15">
      <c r="A160" s="72" t="str">
        <f t="shared" si="2"/>
        <v>Ofsted Social Care Provider Webpage</v>
      </c>
      <c r="B160" s="55">
        <v>1234432</v>
      </c>
      <c r="D160" s="55" t="s">
        <v>373</v>
      </c>
      <c r="E160" s="74">
        <v>42524</v>
      </c>
      <c r="F160" s="55" t="s">
        <v>728</v>
      </c>
      <c r="G160" s="55" t="s">
        <v>360</v>
      </c>
      <c r="H160" s="55" t="s">
        <v>360</v>
      </c>
      <c r="I160" s="55" t="s">
        <v>360</v>
      </c>
      <c r="J160" s="55" t="s">
        <v>360</v>
      </c>
      <c r="K160" s="55" t="s">
        <v>360</v>
      </c>
      <c r="L160" s="55" t="s">
        <v>360</v>
      </c>
      <c r="M160" s="55" t="s">
        <v>144</v>
      </c>
      <c r="N160" s="55" t="s">
        <v>144</v>
      </c>
      <c r="O160" s="55" t="s">
        <v>207</v>
      </c>
      <c r="P160" s="55" t="s">
        <v>207</v>
      </c>
      <c r="Q160" s="55" t="s">
        <v>350</v>
      </c>
      <c r="R160" s="55">
        <v>2</v>
      </c>
      <c r="S160" s="74"/>
      <c r="T160" s="55" t="s">
        <v>729</v>
      </c>
      <c r="U160" s="73" t="s">
        <v>351</v>
      </c>
      <c r="V160" s="74">
        <v>44446</v>
      </c>
      <c r="W160" s="74">
        <v>44482</v>
      </c>
      <c r="X160" s="55">
        <v>10186844</v>
      </c>
      <c r="Y160" s="74" t="s">
        <v>146</v>
      </c>
      <c r="Z160" s="74"/>
      <c r="AB160" s="55" t="s">
        <v>146</v>
      </c>
      <c r="AC160" s="55" t="s">
        <v>146</v>
      </c>
    </row>
    <row r="161" spans="1:29" ht="13" x14ac:dyDescent="0.15">
      <c r="A161" s="72" t="str">
        <f t="shared" si="2"/>
        <v>Ofsted Social Care Provider Webpage</v>
      </c>
      <c r="B161" s="55">
        <v>1234621</v>
      </c>
      <c r="D161" s="55" t="s">
        <v>373</v>
      </c>
      <c r="E161" s="74">
        <v>42570</v>
      </c>
      <c r="F161" s="55" t="s">
        <v>344</v>
      </c>
      <c r="G161" s="55" t="s">
        <v>360</v>
      </c>
      <c r="H161" s="55" t="s">
        <v>360</v>
      </c>
      <c r="I161" s="55" t="s">
        <v>360</v>
      </c>
      <c r="J161" s="55" t="s">
        <v>360</v>
      </c>
      <c r="K161" s="55" t="s">
        <v>360</v>
      </c>
      <c r="L161" s="55" t="s">
        <v>360</v>
      </c>
      <c r="M161" s="55" t="s">
        <v>138</v>
      </c>
      <c r="N161" s="55" t="s">
        <v>138</v>
      </c>
      <c r="O161" s="55" t="s">
        <v>183</v>
      </c>
      <c r="P161" s="55" t="s">
        <v>730</v>
      </c>
      <c r="Q161" s="55" t="s">
        <v>350</v>
      </c>
      <c r="R161" s="55">
        <v>5</v>
      </c>
      <c r="S161" s="74"/>
      <c r="T161" s="55" t="s">
        <v>450</v>
      </c>
      <c r="U161" s="73" t="s">
        <v>351</v>
      </c>
      <c r="V161" s="74">
        <v>44403</v>
      </c>
      <c r="W161" s="74">
        <v>44435</v>
      </c>
      <c r="X161" s="55">
        <v>10186617</v>
      </c>
      <c r="Y161" s="74" t="s">
        <v>130</v>
      </c>
      <c r="Z161" s="74"/>
      <c r="AB161" s="55" t="s">
        <v>130</v>
      </c>
      <c r="AC161" s="55" t="s">
        <v>130</v>
      </c>
    </row>
    <row r="162" spans="1:29" ht="13" x14ac:dyDescent="0.15">
      <c r="A162" s="72" t="str">
        <f t="shared" si="2"/>
        <v>Ofsted Social Care Provider Webpage</v>
      </c>
      <c r="B162" s="55">
        <v>1234851</v>
      </c>
      <c r="D162" s="55" t="s">
        <v>443</v>
      </c>
      <c r="E162" s="74">
        <v>42608</v>
      </c>
      <c r="F162" s="55" t="s">
        <v>344</v>
      </c>
      <c r="G162" s="55" t="s">
        <v>731</v>
      </c>
      <c r="H162" s="55" t="s">
        <v>732</v>
      </c>
      <c r="I162" s="55" t="s">
        <v>354</v>
      </c>
      <c r="J162" s="55" t="s">
        <v>733</v>
      </c>
      <c r="K162" s="55" t="s">
        <v>190</v>
      </c>
      <c r="L162" s="55" t="s">
        <v>734</v>
      </c>
      <c r="M162" s="55" t="s">
        <v>150</v>
      </c>
      <c r="N162" s="55" t="s">
        <v>150</v>
      </c>
      <c r="O162" s="55" t="s">
        <v>190</v>
      </c>
      <c r="P162" s="55" t="s">
        <v>500</v>
      </c>
      <c r="Q162" s="55" t="s">
        <v>350</v>
      </c>
      <c r="R162" s="55"/>
      <c r="S162" s="74"/>
      <c r="T162" s="55" t="s">
        <v>735</v>
      </c>
      <c r="U162" s="73" t="s">
        <v>351</v>
      </c>
      <c r="V162" s="74">
        <v>44544</v>
      </c>
      <c r="W162" s="74">
        <v>44609</v>
      </c>
      <c r="X162" s="55">
        <v>10183303</v>
      </c>
      <c r="Y162" s="74" t="s">
        <v>140</v>
      </c>
      <c r="Z162" s="74"/>
      <c r="AB162" s="55" t="s">
        <v>140</v>
      </c>
      <c r="AC162" s="55" t="s">
        <v>140</v>
      </c>
    </row>
    <row r="163" spans="1:29" ht="13" x14ac:dyDescent="0.15">
      <c r="A163" s="72" t="str">
        <f t="shared" si="2"/>
        <v>Ofsted Social Care Provider Webpage</v>
      </c>
      <c r="B163" s="55">
        <v>1235384</v>
      </c>
      <c r="D163" s="55" t="s">
        <v>373</v>
      </c>
      <c r="E163" s="74">
        <v>42594</v>
      </c>
      <c r="F163" s="55" t="s">
        <v>344</v>
      </c>
      <c r="G163" s="55" t="s">
        <v>360</v>
      </c>
      <c r="H163" s="55" t="s">
        <v>360</v>
      </c>
      <c r="I163" s="55" t="s">
        <v>360</v>
      </c>
      <c r="J163" s="55" t="s">
        <v>360</v>
      </c>
      <c r="K163" s="55" t="s">
        <v>360</v>
      </c>
      <c r="L163" s="55" t="s">
        <v>360</v>
      </c>
      <c r="M163" s="55" t="s">
        <v>144</v>
      </c>
      <c r="N163" s="55" t="s">
        <v>144</v>
      </c>
      <c r="O163" s="55" t="s">
        <v>209</v>
      </c>
      <c r="P163" s="55" t="s">
        <v>736</v>
      </c>
      <c r="Q163" s="55" t="s">
        <v>350</v>
      </c>
      <c r="R163" s="55">
        <v>2</v>
      </c>
      <c r="S163" s="74"/>
      <c r="T163" s="55" t="s">
        <v>737</v>
      </c>
      <c r="U163" s="73" t="s">
        <v>351</v>
      </c>
      <c r="V163" s="74">
        <v>44615</v>
      </c>
      <c r="W163" s="74">
        <v>44665</v>
      </c>
      <c r="X163" s="55">
        <v>10185750</v>
      </c>
      <c r="Y163" s="74" t="s">
        <v>132</v>
      </c>
      <c r="Z163" s="74"/>
      <c r="AB163" s="55" t="s">
        <v>132</v>
      </c>
      <c r="AC163" s="55" t="s">
        <v>132</v>
      </c>
    </row>
    <row r="164" spans="1:29" ht="13" x14ac:dyDescent="0.15">
      <c r="A164" s="72" t="str">
        <f t="shared" si="2"/>
        <v>Ofsted Social Care Provider Webpage</v>
      </c>
      <c r="B164" s="55">
        <v>1235576</v>
      </c>
      <c r="D164" s="55" t="s">
        <v>373</v>
      </c>
      <c r="E164" s="74">
        <v>42537</v>
      </c>
      <c r="F164" s="55" t="s">
        <v>344</v>
      </c>
      <c r="G164" s="55" t="s">
        <v>360</v>
      </c>
      <c r="H164" s="55" t="s">
        <v>360</v>
      </c>
      <c r="I164" s="55" t="s">
        <v>360</v>
      </c>
      <c r="J164" s="55" t="s">
        <v>360</v>
      </c>
      <c r="K164" s="55" t="s">
        <v>360</v>
      </c>
      <c r="L164" s="55" t="s">
        <v>360</v>
      </c>
      <c r="M164" s="55" t="s">
        <v>136</v>
      </c>
      <c r="N164" s="55" t="s">
        <v>136</v>
      </c>
      <c r="O164" s="55" t="s">
        <v>239</v>
      </c>
      <c r="P164" s="55" t="s">
        <v>738</v>
      </c>
      <c r="Q164" s="55" t="s">
        <v>350</v>
      </c>
      <c r="R164" s="55">
        <v>2</v>
      </c>
      <c r="S164" s="74"/>
      <c r="T164" s="55" t="s">
        <v>739</v>
      </c>
      <c r="U164" s="73" t="s">
        <v>351</v>
      </c>
      <c r="V164" s="74">
        <v>44518</v>
      </c>
      <c r="W164" s="74">
        <v>44575</v>
      </c>
      <c r="X164" s="55">
        <v>10186790</v>
      </c>
      <c r="Y164" s="74" t="s">
        <v>132</v>
      </c>
      <c r="Z164" s="74"/>
      <c r="AB164" s="55" t="s">
        <v>132</v>
      </c>
      <c r="AC164" s="55" t="s">
        <v>132</v>
      </c>
    </row>
    <row r="165" spans="1:29" ht="13" x14ac:dyDescent="0.15">
      <c r="A165" s="72" t="str">
        <f t="shared" si="2"/>
        <v>Ofsted Social Care Provider Webpage</v>
      </c>
      <c r="B165" s="55">
        <v>1235653</v>
      </c>
      <c r="D165" s="55" t="s">
        <v>373</v>
      </c>
      <c r="E165" s="74">
        <v>42472</v>
      </c>
      <c r="F165" s="55" t="s">
        <v>344</v>
      </c>
      <c r="G165" s="55" t="s">
        <v>360</v>
      </c>
      <c r="H165" s="55" t="s">
        <v>360</v>
      </c>
      <c r="I165" s="55" t="s">
        <v>360</v>
      </c>
      <c r="J165" s="55" t="s">
        <v>360</v>
      </c>
      <c r="K165" s="55" t="s">
        <v>360</v>
      </c>
      <c r="L165" s="55" t="s">
        <v>360</v>
      </c>
      <c r="M165" s="55" t="s">
        <v>129</v>
      </c>
      <c r="N165" s="55" t="s">
        <v>129</v>
      </c>
      <c r="O165" s="55" t="s">
        <v>219</v>
      </c>
      <c r="P165" s="55" t="s">
        <v>740</v>
      </c>
      <c r="Q165" s="55" t="s">
        <v>350</v>
      </c>
      <c r="R165" s="55">
        <v>4</v>
      </c>
      <c r="S165" s="74"/>
      <c r="T165" s="55" t="s">
        <v>741</v>
      </c>
      <c r="U165" s="73" t="s">
        <v>351</v>
      </c>
      <c r="V165" s="74">
        <v>43683</v>
      </c>
      <c r="W165" s="74">
        <v>43717</v>
      </c>
      <c r="X165" s="55">
        <v>10097684</v>
      </c>
      <c r="Y165" s="74" t="s">
        <v>130</v>
      </c>
      <c r="Z165" s="74"/>
      <c r="AB165" s="55" t="s">
        <v>130</v>
      </c>
      <c r="AC165" s="55" t="s">
        <v>130</v>
      </c>
    </row>
    <row r="166" spans="1:29" ht="13" x14ac:dyDescent="0.15">
      <c r="A166" s="72" t="str">
        <f t="shared" si="2"/>
        <v>Ofsted Social Care Provider Webpage</v>
      </c>
      <c r="B166" s="55">
        <v>1235654</v>
      </c>
      <c r="D166" s="55" t="s">
        <v>373</v>
      </c>
      <c r="E166" s="74">
        <v>42566</v>
      </c>
      <c r="F166" s="55" t="s">
        <v>344</v>
      </c>
      <c r="G166" s="55" t="s">
        <v>360</v>
      </c>
      <c r="H166" s="55" t="s">
        <v>360</v>
      </c>
      <c r="I166" s="55" t="s">
        <v>360</v>
      </c>
      <c r="J166" s="55" t="s">
        <v>360</v>
      </c>
      <c r="K166" s="55" t="s">
        <v>360</v>
      </c>
      <c r="L166" s="55" t="s">
        <v>360</v>
      </c>
      <c r="M166" s="55" t="s">
        <v>172</v>
      </c>
      <c r="N166" s="55" t="s">
        <v>172</v>
      </c>
      <c r="O166" s="55" t="s">
        <v>212</v>
      </c>
      <c r="P166" s="55" t="s">
        <v>547</v>
      </c>
      <c r="Q166" s="55" t="s">
        <v>350</v>
      </c>
      <c r="R166" s="55">
        <v>4</v>
      </c>
      <c r="S166" s="74"/>
      <c r="T166" s="55" t="s">
        <v>489</v>
      </c>
      <c r="U166" s="73" t="s">
        <v>351</v>
      </c>
      <c r="V166" s="74">
        <v>44397</v>
      </c>
      <c r="W166" s="74">
        <v>44433</v>
      </c>
      <c r="X166" s="55">
        <v>10186346</v>
      </c>
      <c r="Y166" s="74" t="s">
        <v>132</v>
      </c>
      <c r="Z166" s="74"/>
      <c r="AB166" s="55" t="s">
        <v>132</v>
      </c>
      <c r="AC166" s="55" t="s">
        <v>130</v>
      </c>
    </row>
    <row r="167" spans="1:29" ht="13" x14ac:dyDescent="0.15">
      <c r="A167" s="72" t="str">
        <f t="shared" si="2"/>
        <v>Ofsted Social Care Provider Webpage</v>
      </c>
      <c r="B167" s="55">
        <v>1235818</v>
      </c>
      <c r="D167" s="55" t="s">
        <v>373</v>
      </c>
      <c r="E167" s="74">
        <v>42530</v>
      </c>
      <c r="F167" s="55" t="s">
        <v>344</v>
      </c>
      <c r="G167" s="55" t="s">
        <v>360</v>
      </c>
      <c r="H167" s="55" t="s">
        <v>360</v>
      </c>
      <c r="I167" s="55" t="s">
        <v>360</v>
      </c>
      <c r="J167" s="55" t="s">
        <v>360</v>
      </c>
      <c r="K167" s="55" t="s">
        <v>360</v>
      </c>
      <c r="L167" s="55" t="s">
        <v>360</v>
      </c>
      <c r="M167" s="55" t="s">
        <v>378</v>
      </c>
      <c r="N167" s="55" t="s">
        <v>134</v>
      </c>
      <c r="O167" s="55" t="s">
        <v>232</v>
      </c>
      <c r="P167" s="55" t="s">
        <v>412</v>
      </c>
      <c r="Q167" s="55" t="s">
        <v>350</v>
      </c>
      <c r="R167" s="55">
        <v>4</v>
      </c>
      <c r="S167" s="74"/>
      <c r="T167" s="55" t="s">
        <v>385</v>
      </c>
      <c r="U167" s="73" t="s">
        <v>351</v>
      </c>
      <c r="V167" s="74">
        <v>44593</v>
      </c>
      <c r="W167" s="74">
        <v>44641</v>
      </c>
      <c r="X167" s="55">
        <v>10185729</v>
      </c>
      <c r="Y167" s="74" t="s">
        <v>132</v>
      </c>
      <c r="Z167" s="74"/>
      <c r="AB167" s="55" t="s">
        <v>132</v>
      </c>
      <c r="AC167" s="55" t="s">
        <v>132</v>
      </c>
    </row>
    <row r="168" spans="1:29" ht="13" x14ac:dyDescent="0.15">
      <c r="A168" s="72" t="str">
        <f t="shared" si="2"/>
        <v>Ofsted Social Care Provider Webpage</v>
      </c>
      <c r="B168" s="55">
        <v>1236026</v>
      </c>
      <c r="D168" s="55" t="s">
        <v>373</v>
      </c>
      <c r="E168" s="74">
        <v>42497</v>
      </c>
      <c r="F168" s="55" t="s">
        <v>344</v>
      </c>
      <c r="G168" s="55" t="s">
        <v>360</v>
      </c>
      <c r="H168" s="55" t="s">
        <v>360</v>
      </c>
      <c r="I168" s="55" t="s">
        <v>360</v>
      </c>
      <c r="J168" s="55" t="s">
        <v>360</v>
      </c>
      <c r="K168" s="55" t="s">
        <v>360</v>
      </c>
      <c r="L168" s="55" t="s">
        <v>360</v>
      </c>
      <c r="M168" s="55" t="s">
        <v>378</v>
      </c>
      <c r="N168" s="55" t="s">
        <v>170</v>
      </c>
      <c r="O168" s="55" t="s">
        <v>178</v>
      </c>
      <c r="P168" s="55" t="s">
        <v>434</v>
      </c>
      <c r="Q168" s="55" t="s">
        <v>350</v>
      </c>
      <c r="R168" s="55">
        <v>4</v>
      </c>
      <c r="S168" s="74"/>
      <c r="T168" s="55" t="s">
        <v>385</v>
      </c>
      <c r="U168" s="73" t="s">
        <v>351</v>
      </c>
      <c r="V168" s="74">
        <v>44376</v>
      </c>
      <c r="W168" s="74">
        <v>44406</v>
      </c>
      <c r="X168" s="55">
        <v>10186677</v>
      </c>
      <c r="Y168" s="74" t="s">
        <v>132</v>
      </c>
      <c r="Z168" s="74"/>
      <c r="AB168" s="55" t="s">
        <v>132</v>
      </c>
      <c r="AC168" s="55" t="s">
        <v>132</v>
      </c>
    </row>
    <row r="169" spans="1:29" ht="13" x14ac:dyDescent="0.15">
      <c r="A169" s="72" t="str">
        <f t="shared" si="2"/>
        <v>Ofsted Social Care Provider Webpage</v>
      </c>
      <c r="B169" s="55">
        <v>1236131</v>
      </c>
      <c r="D169" s="55" t="s">
        <v>389</v>
      </c>
      <c r="E169" s="74">
        <v>42674</v>
      </c>
      <c r="F169" s="55" t="s">
        <v>344</v>
      </c>
      <c r="G169" s="55" t="s">
        <v>742</v>
      </c>
      <c r="H169" s="55" t="s">
        <v>743</v>
      </c>
      <c r="I169" s="55" t="s">
        <v>744</v>
      </c>
      <c r="J169" s="55" t="s">
        <v>745</v>
      </c>
      <c r="L169" s="55" t="s">
        <v>746</v>
      </c>
      <c r="M169" s="55" t="s">
        <v>142</v>
      </c>
      <c r="N169" s="55" t="s">
        <v>142</v>
      </c>
      <c r="O169" s="55" t="s">
        <v>195</v>
      </c>
      <c r="P169" s="55" t="s">
        <v>747</v>
      </c>
      <c r="Q169" s="55" t="s">
        <v>350</v>
      </c>
      <c r="R169" s="55"/>
      <c r="S169" s="74"/>
      <c r="T169" s="55" t="s">
        <v>742</v>
      </c>
      <c r="U169" s="73" t="s">
        <v>351</v>
      </c>
      <c r="V169" s="74">
        <v>43325</v>
      </c>
      <c r="W169" s="74">
        <v>43355</v>
      </c>
      <c r="X169" s="55">
        <v>10030602</v>
      </c>
      <c r="Y169" s="74" t="s">
        <v>132</v>
      </c>
      <c r="Z169" s="74"/>
      <c r="AB169" s="55" t="s">
        <v>132</v>
      </c>
      <c r="AC169" s="55" t="s">
        <v>132</v>
      </c>
    </row>
    <row r="170" spans="1:29" ht="13" x14ac:dyDescent="0.15">
      <c r="A170" s="72" t="str">
        <f t="shared" si="2"/>
        <v>Ofsted Social Care Provider Webpage</v>
      </c>
      <c r="B170" s="55">
        <v>1236278</v>
      </c>
      <c r="D170" s="55" t="s">
        <v>373</v>
      </c>
      <c r="E170" s="74">
        <v>42527</v>
      </c>
      <c r="F170" s="55" t="s">
        <v>344</v>
      </c>
      <c r="G170" s="55" t="s">
        <v>360</v>
      </c>
      <c r="H170" s="55" t="s">
        <v>360</v>
      </c>
      <c r="I170" s="55" t="s">
        <v>360</v>
      </c>
      <c r="J170" s="55" t="s">
        <v>360</v>
      </c>
      <c r="K170" s="55" t="s">
        <v>360</v>
      </c>
      <c r="L170" s="55" t="s">
        <v>360</v>
      </c>
      <c r="M170" s="55" t="s">
        <v>136</v>
      </c>
      <c r="N170" s="55" t="s">
        <v>136</v>
      </c>
      <c r="O170" s="55" t="s">
        <v>165</v>
      </c>
      <c r="P170" s="55" t="s">
        <v>748</v>
      </c>
      <c r="Q170" s="55" t="s">
        <v>350</v>
      </c>
      <c r="R170" s="55">
        <v>3</v>
      </c>
      <c r="S170" s="74"/>
      <c r="T170" s="55" t="s">
        <v>450</v>
      </c>
      <c r="U170" s="73" t="s">
        <v>351</v>
      </c>
      <c r="V170" s="74">
        <v>44328</v>
      </c>
      <c r="W170" s="74">
        <v>44368</v>
      </c>
      <c r="X170" s="55">
        <v>10187668</v>
      </c>
      <c r="Y170" s="74" t="s">
        <v>130</v>
      </c>
      <c r="Z170" s="74"/>
      <c r="AB170" s="55" t="s">
        <v>130</v>
      </c>
      <c r="AC170" s="55" t="s">
        <v>130</v>
      </c>
    </row>
    <row r="171" spans="1:29" ht="13" x14ac:dyDescent="0.15">
      <c r="A171" s="72" t="str">
        <f t="shared" si="2"/>
        <v>Ofsted Social Care Provider Webpage</v>
      </c>
      <c r="B171" s="55">
        <v>1236387</v>
      </c>
      <c r="D171" s="55" t="s">
        <v>373</v>
      </c>
      <c r="E171" s="74">
        <v>42509</v>
      </c>
      <c r="F171" s="55" t="s">
        <v>344</v>
      </c>
      <c r="G171" s="55" t="s">
        <v>360</v>
      </c>
      <c r="H171" s="55" t="s">
        <v>360</v>
      </c>
      <c r="I171" s="55" t="s">
        <v>360</v>
      </c>
      <c r="J171" s="55" t="s">
        <v>360</v>
      </c>
      <c r="K171" s="55" t="s">
        <v>360</v>
      </c>
      <c r="L171" s="55" t="s">
        <v>360</v>
      </c>
      <c r="M171" s="55" t="s">
        <v>150</v>
      </c>
      <c r="N171" s="55" t="s">
        <v>150</v>
      </c>
      <c r="O171" s="55" t="s">
        <v>190</v>
      </c>
      <c r="P171" s="55" t="s">
        <v>749</v>
      </c>
      <c r="Q171" s="55" t="s">
        <v>350</v>
      </c>
      <c r="R171" s="55">
        <v>4</v>
      </c>
      <c r="S171" s="74"/>
      <c r="T171" s="55" t="s">
        <v>450</v>
      </c>
      <c r="U171" s="73" t="s">
        <v>351</v>
      </c>
      <c r="V171" s="74">
        <v>44390</v>
      </c>
      <c r="W171" s="74">
        <v>44445</v>
      </c>
      <c r="X171" s="55">
        <v>10185776</v>
      </c>
      <c r="Y171" s="74" t="s">
        <v>140</v>
      </c>
      <c r="Z171" s="74"/>
      <c r="AB171" s="55" t="s">
        <v>140</v>
      </c>
      <c r="AC171" s="55" t="s">
        <v>140</v>
      </c>
    </row>
    <row r="172" spans="1:29" ht="13" x14ac:dyDescent="0.15">
      <c r="A172" s="72" t="str">
        <f t="shared" si="2"/>
        <v>Ofsted Social Care Provider Webpage</v>
      </c>
      <c r="B172" s="55">
        <v>1236450</v>
      </c>
      <c r="D172" s="55" t="s">
        <v>373</v>
      </c>
      <c r="E172" s="74">
        <v>42598</v>
      </c>
      <c r="F172" s="55" t="s">
        <v>344</v>
      </c>
      <c r="G172" s="55" t="s">
        <v>360</v>
      </c>
      <c r="H172" s="55" t="s">
        <v>360</v>
      </c>
      <c r="I172" s="55" t="s">
        <v>360</v>
      </c>
      <c r="J172" s="55" t="s">
        <v>360</v>
      </c>
      <c r="K172" s="55" t="s">
        <v>360</v>
      </c>
      <c r="L172" s="55" t="s">
        <v>360</v>
      </c>
      <c r="M172" s="55" t="s">
        <v>378</v>
      </c>
      <c r="N172" s="55" t="s">
        <v>134</v>
      </c>
      <c r="O172" s="55" t="s">
        <v>206</v>
      </c>
      <c r="P172" s="55" t="s">
        <v>750</v>
      </c>
      <c r="Q172" s="55" t="s">
        <v>350</v>
      </c>
      <c r="R172" s="55">
        <v>5</v>
      </c>
      <c r="S172" s="74"/>
      <c r="T172" s="55" t="s">
        <v>751</v>
      </c>
      <c r="U172" s="73" t="s">
        <v>351</v>
      </c>
      <c r="V172" s="74">
        <v>44599</v>
      </c>
      <c r="W172" s="74">
        <v>44656</v>
      </c>
      <c r="X172" s="55">
        <v>10186582</v>
      </c>
      <c r="Y172" s="74" t="s">
        <v>132</v>
      </c>
      <c r="Z172" s="74"/>
      <c r="AB172" s="55" t="s">
        <v>132</v>
      </c>
      <c r="AC172" s="55" t="s">
        <v>132</v>
      </c>
    </row>
    <row r="173" spans="1:29" ht="13" x14ac:dyDescent="0.15">
      <c r="A173" s="72" t="str">
        <f t="shared" si="2"/>
        <v>Ofsted Social Care Provider Webpage</v>
      </c>
      <c r="B173" s="55">
        <v>1236453</v>
      </c>
      <c r="D173" s="55" t="s">
        <v>358</v>
      </c>
      <c r="E173" s="74">
        <v>42566</v>
      </c>
      <c r="F173" s="55" t="s">
        <v>344</v>
      </c>
      <c r="G173" s="55" t="s">
        <v>752</v>
      </c>
      <c r="H173" s="55" t="s">
        <v>360</v>
      </c>
      <c r="I173" s="55" t="s">
        <v>360</v>
      </c>
      <c r="J173" s="55" t="s">
        <v>360</v>
      </c>
      <c r="K173" s="55" t="s">
        <v>360</v>
      </c>
      <c r="L173" s="55" t="s">
        <v>360</v>
      </c>
      <c r="M173" s="55" t="s">
        <v>129</v>
      </c>
      <c r="N173" s="55" t="s">
        <v>129</v>
      </c>
      <c r="O173" s="55" t="s">
        <v>260</v>
      </c>
      <c r="P173" s="55" t="s">
        <v>753</v>
      </c>
      <c r="Q173" s="55" t="s">
        <v>350</v>
      </c>
      <c r="R173" s="55"/>
      <c r="S173" s="74"/>
      <c r="T173" s="55" t="s">
        <v>754</v>
      </c>
      <c r="U173" s="73" t="s">
        <v>351</v>
      </c>
      <c r="V173" s="74">
        <v>42706</v>
      </c>
      <c r="W173" s="74">
        <v>42748</v>
      </c>
      <c r="X173" s="55">
        <v>10021991</v>
      </c>
      <c r="Y173" s="74" t="s">
        <v>132</v>
      </c>
      <c r="Z173" s="74"/>
      <c r="AB173" s="55" t="s">
        <v>132</v>
      </c>
      <c r="AC173" s="55" t="s">
        <v>132</v>
      </c>
    </row>
    <row r="174" spans="1:29" ht="13" x14ac:dyDescent="0.15">
      <c r="A174" s="72" t="str">
        <f t="shared" si="2"/>
        <v>Ofsted Social Care Provider Webpage</v>
      </c>
      <c r="B174" s="55">
        <v>1236532</v>
      </c>
      <c r="D174" s="55" t="s">
        <v>373</v>
      </c>
      <c r="E174" s="74">
        <v>42565</v>
      </c>
      <c r="F174" s="55" t="s">
        <v>344</v>
      </c>
      <c r="G174" s="55" t="s">
        <v>360</v>
      </c>
      <c r="H174" s="55" t="s">
        <v>360</v>
      </c>
      <c r="I174" s="55" t="s">
        <v>360</v>
      </c>
      <c r="J174" s="55" t="s">
        <v>360</v>
      </c>
      <c r="K174" s="55" t="s">
        <v>360</v>
      </c>
      <c r="L174" s="55" t="s">
        <v>360</v>
      </c>
      <c r="M174" s="55" t="s">
        <v>150</v>
      </c>
      <c r="N174" s="55" t="s">
        <v>150</v>
      </c>
      <c r="O174" s="55" t="s">
        <v>237</v>
      </c>
      <c r="P174" s="55" t="s">
        <v>635</v>
      </c>
      <c r="Q174" s="55" t="s">
        <v>350</v>
      </c>
      <c r="R174" s="55">
        <v>5</v>
      </c>
      <c r="S174" s="74"/>
      <c r="T174" s="55" t="s">
        <v>755</v>
      </c>
      <c r="U174" s="73" t="s">
        <v>351</v>
      </c>
      <c r="V174" s="74">
        <v>44592</v>
      </c>
      <c r="W174" s="74">
        <v>44635</v>
      </c>
      <c r="X174" s="55">
        <v>10185765</v>
      </c>
      <c r="Y174" s="74" t="s">
        <v>140</v>
      </c>
      <c r="Z174" s="74"/>
      <c r="AB174" s="55" t="s">
        <v>140</v>
      </c>
      <c r="AC174" s="55" t="s">
        <v>140</v>
      </c>
    </row>
    <row r="175" spans="1:29" ht="13" x14ac:dyDescent="0.15">
      <c r="A175" s="72" t="str">
        <f t="shared" si="2"/>
        <v>Ofsted Social Care Provider Webpage</v>
      </c>
      <c r="B175" s="55">
        <v>1236540</v>
      </c>
      <c r="D175" s="55" t="s">
        <v>373</v>
      </c>
      <c r="E175" s="74">
        <v>42535</v>
      </c>
      <c r="F175" s="55" t="s">
        <v>344</v>
      </c>
      <c r="G175" s="55" t="s">
        <v>360</v>
      </c>
      <c r="H175" s="55" t="s">
        <v>360</v>
      </c>
      <c r="I175" s="55" t="s">
        <v>360</v>
      </c>
      <c r="J175" s="55" t="s">
        <v>360</v>
      </c>
      <c r="K175" s="55" t="s">
        <v>360</v>
      </c>
      <c r="L175" s="55" t="s">
        <v>360</v>
      </c>
      <c r="M175" s="55" t="s">
        <v>378</v>
      </c>
      <c r="N175" s="55" t="s">
        <v>134</v>
      </c>
      <c r="O175" s="55" t="s">
        <v>158</v>
      </c>
      <c r="P175" s="55" t="s">
        <v>480</v>
      </c>
      <c r="Q175" s="55" t="s">
        <v>380</v>
      </c>
      <c r="R175" s="55">
        <v>3</v>
      </c>
      <c r="S175" s="74"/>
      <c r="T175" s="55" t="s">
        <v>756</v>
      </c>
      <c r="U175" s="73" t="s">
        <v>351</v>
      </c>
      <c r="V175" s="74">
        <v>44537</v>
      </c>
      <c r="W175" s="74">
        <v>44579</v>
      </c>
      <c r="X175" s="55">
        <v>10185955</v>
      </c>
      <c r="Y175" s="74" t="s">
        <v>140</v>
      </c>
      <c r="Z175" s="74"/>
      <c r="AB175" s="55" t="s">
        <v>140</v>
      </c>
      <c r="AC175" s="55" t="s">
        <v>140</v>
      </c>
    </row>
    <row r="176" spans="1:29" ht="13" x14ac:dyDescent="0.15">
      <c r="A176" s="72" t="str">
        <f t="shared" si="2"/>
        <v>Ofsted Social Care Provider Webpage</v>
      </c>
      <c r="B176" s="55">
        <v>1236620</v>
      </c>
      <c r="D176" s="55" t="s">
        <v>373</v>
      </c>
      <c r="E176" s="74">
        <v>42569</v>
      </c>
      <c r="F176" s="55" t="s">
        <v>344</v>
      </c>
      <c r="G176" s="55" t="s">
        <v>360</v>
      </c>
      <c r="H176" s="55" t="s">
        <v>360</v>
      </c>
      <c r="I176" s="55" t="s">
        <v>360</v>
      </c>
      <c r="J176" s="55" t="s">
        <v>360</v>
      </c>
      <c r="K176" s="55" t="s">
        <v>360</v>
      </c>
      <c r="L176" s="55" t="s">
        <v>360</v>
      </c>
      <c r="M176" s="55" t="s">
        <v>136</v>
      </c>
      <c r="N176" s="55" t="s">
        <v>136</v>
      </c>
      <c r="O176" s="55" t="s">
        <v>255</v>
      </c>
      <c r="P176" s="55" t="s">
        <v>757</v>
      </c>
      <c r="Q176" s="55" t="s">
        <v>350</v>
      </c>
      <c r="R176" s="55">
        <v>4</v>
      </c>
      <c r="S176" s="74"/>
      <c r="T176" s="55" t="s">
        <v>385</v>
      </c>
      <c r="U176" s="73" t="s">
        <v>351</v>
      </c>
      <c r="V176" s="74">
        <v>44460</v>
      </c>
      <c r="W176" s="74">
        <v>44488</v>
      </c>
      <c r="X176" s="55">
        <v>10186626</v>
      </c>
      <c r="Y176" s="74" t="s">
        <v>132</v>
      </c>
      <c r="Z176" s="74"/>
      <c r="AB176" s="55" t="s">
        <v>132</v>
      </c>
      <c r="AC176" s="55" t="s">
        <v>130</v>
      </c>
    </row>
    <row r="177" spans="1:29" ht="13" x14ac:dyDescent="0.15">
      <c r="A177" s="72" t="str">
        <f t="shared" si="2"/>
        <v>Ofsted Social Care Provider Webpage</v>
      </c>
      <c r="B177" s="55">
        <v>1236625</v>
      </c>
      <c r="D177" s="55" t="s">
        <v>373</v>
      </c>
      <c r="E177" s="74">
        <v>42572</v>
      </c>
      <c r="F177" s="55" t="s">
        <v>344</v>
      </c>
      <c r="G177" s="55" t="s">
        <v>360</v>
      </c>
      <c r="H177" s="55" t="s">
        <v>360</v>
      </c>
      <c r="I177" s="55" t="s">
        <v>360</v>
      </c>
      <c r="J177" s="55" t="s">
        <v>360</v>
      </c>
      <c r="K177" s="55" t="s">
        <v>360</v>
      </c>
      <c r="L177" s="55" t="s">
        <v>360</v>
      </c>
      <c r="M177" s="55" t="s">
        <v>172</v>
      </c>
      <c r="N177" s="55" t="s">
        <v>172</v>
      </c>
      <c r="O177" s="55" t="s">
        <v>212</v>
      </c>
      <c r="P177" s="55" t="s">
        <v>547</v>
      </c>
      <c r="Q177" s="55" t="s">
        <v>350</v>
      </c>
      <c r="R177" s="55">
        <v>3</v>
      </c>
      <c r="S177" s="74"/>
      <c r="T177" s="55" t="s">
        <v>758</v>
      </c>
      <c r="U177" s="73" t="s">
        <v>351</v>
      </c>
      <c r="V177" s="74">
        <v>44327</v>
      </c>
      <c r="W177" s="74">
        <v>44356</v>
      </c>
      <c r="X177" s="55">
        <v>10187359</v>
      </c>
      <c r="Y177" s="74" t="s">
        <v>132</v>
      </c>
      <c r="Z177" s="74"/>
      <c r="AB177" s="55" t="s">
        <v>132</v>
      </c>
      <c r="AC177" s="55" t="s">
        <v>132</v>
      </c>
    </row>
    <row r="178" spans="1:29" ht="13" x14ac:dyDescent="0.15">
      <c r="A178" s="72" t="str">
        <f t="shared" si="2"/>
        <v>Ofsted Social Care Provider Webpage</v>
      </c>
      <c r="B178" s="55">
        <v>1236771</v>
      </c>
      <c r="D178" s="55" t="s">
        <v>373</v>
      </c>
      <c r="E178" s="74">
        <v>42622</v>
      </c>
      <c r="F178" s="55" t="s">
        <v>344</v>
      </c>
      <c r="G178" s="55" t="s">
        <v>360</v>
      </c>
      <c r="H178" s="55" t="s">
        <v>360</v>
      </c>
      <c r="I178" s="55" t="s">
        <v>360</v>
      </c>
      <c r="J178" s="55" t="s">
        <v>360</v>
      </c>
      <c r="K178" s="55" t="s">
        <v>360</v>
      </c>
      <c r="L178" s="55" t="s">
        <v>360</v>
      </c>
      <c r="M178" s="55" t="s">
        <v>144</v>
      </c>
      <c r="N178" s="55" t="s">
        <v>144</v>
      </c>
      <c r="O178" s="55" t="s">
        <v>250</v>
      </c>
      <c r="P178" s="55" t="s">
        <v>759</v>
      </c>
      <c r="Q178" s="55" t="s">
        <v>350</v>
      </c>
      <c r="R178" s="55">
        <v>4</v>
      </c>
      <c r="S178" s="74"/>
      <c r="T178" s="55" t="s">
        <v>493</v>
      </c>
      <c r="U178" s="73" t="s">
        <v>351</v>
      </c>
      <c r="V178" s="74">
        <v>44600</v>
      </c>
      <c r="W178" s="74">
        <v>44658</v>
      </c>
      <c r="X178" s="55">
        <v>10185439</v>
      </c>
      <c r="Y178" s="74" t="s">
        <v>132</v>
      </c>
      <c r="Z178" s="74"/>
      <c r="AB178" s="55" t="s">
        <v>132</v>
      </c>
      <c r="AC178" s="55" t="s">
        <v>132</v>
      </c>
    </row>
    <row r="179" spans="1:29" ht="13" x14ac:dyDescent="0.15">
      <c r="A179" s="72" t="str">
        <f t="shared" si="2"/>
        <v>Ofsted Social Care Provider Webpage</v>
      </c>
      <c r="B179" s="55">
        <v>1236773</v>
      </c>
      <c r="D179" s="55" t="s">
        <v>373</v>
      </c>
      <c r="E179" s="74">
        <v>42718</v>
      </c>
      <c r="F179" s="55" t="s">
        <v>344</v>
      </c>
      <c r="G179" s="55" t="s">
        <v>360</v>
      </c>
      <c r="H179" s="55" t="s">
        <v>360</v>
      </c>
      <c r="I179" s="55" t="s">
        <v>360</v>
      </c>
      <c r="J179" s="55" t="s">
        <v>360</v>
      </c>
      <c r="K179" s="55" t="s">
        <v>360</v>
      </c>
      <c r="L179" s="55" t="s">
        <v>360</v>
      </c>
      <c r="M179" s="55" t="s">
        <v>378</v>
      </c>
      <c r="N179" s="55" t="s">
        <v>134</v>
      </c>
      <c r="O179" s="55" t="s">
        <v>206</v>
      </c>
      <c r="P179" s="55" t="s">
        <v>760</v>
      </c>
      <c r="Q179" s="55" t="s">
        <v>350</v>
      </c>
      <c r="R179" s="55">
        <v>1</v>
      </c>
      <c r="S179" s="74"/>
      <c r="T179" s="55" t="s">
        <v>385</v>
      </c>
      <c r="U179" s="73" t="s">
        <v>351</v>
      </c>
      <c r="V179" s="74">
        <v>44341</v>
      </c>
      <c r="W179" s="74">
        <v>44376</v>
      </c>
      <c r="X179" s="55">
        <v>10185783</v>
      </c>
      <c r="Y179" s="74" t="s">
        <v>140</v>
      </c>
      <c r="Z179" s="74"/>
      <c r="AB179" s="55" t="s">
        <v>140</v>
      </c>
      <c r="AC179" s="55" t="s">
        <v>140</v>
      </c>
    </row>
    <row r="180" spans="1:29" ht="13" x14ac:dyDescent="0.15">
      <c r="A180" s="72" t="str">
        <f t="shared" si="2"/>
        <v>Ofsted Social Care Provider Webpage</v>
      </c>
      <c r="B180" s="55">
        <v>1236832</v>
      </c>
      <c r="D180" s="55" t="s">
        <v>373</v>
      </c>
      <c r="E180" s="74">
        <v>42559</v>
      </c>
      <c r="F180" s="55" t="s">
        <v>344</v>
      </c>
      <c r="G180" s="55" t="s">
        <v>360</v>
      </c>
      <c r="H180" s="55" t="s">
        <v>360</v>
      </c>
      <c r="I180" s="55" t="s">
        <v>360</v>
      </c>
      <c r="J180" s="55" t="s">
        <v>360</v>
      </c>
      <c r="K180" s="55" t="s">
        <v>360</v>
      </c>
      <c r="L180" s="55" t="s">
        <v>360</v>
      </c>
      <c r="M180" s="55" t="s">
        <v>138</v>
      </c>
      <c r="N180" s="55" t="s">
        <v>138</v>
      </c>
      <c r="O180" s="55" t="s">
        <v>161</v>
      </c>
      <c r="P180" s="55" t="s">
        <v>761</v>
      </c>
      <c r="Q180" s="55" t="s">
        <v>350</v>
      </c>
      <c r="R180" s="55">
        <v>4</v>
      </c>
      <c r="S180" s="74"/>
      <c r="T180" s="55" t="s">
        <v>762</v>
      </c>
      <c r="U180" s="73" t="s">
        <v>351</v>
      </c>
      <c r="V180" s="74">
        <v>44566</v>
      </c>
      <c r="W180" s="74">
        <v>44594</v>
      </c>
      <c r="X180" s="55">
        <v>10186888</v>
      </c>
      <c r="Y180" s="74" t="s">
        <v>132</v>
      </c>
      <c r="Z180" s="74"/>
      <c r="AB180" s="55" t="s">
        <v>132</v>
      </c>
      <c r="AC180" s="55" t="s">
        <v>132</v>
      </c>
    </row>
    <row r="181" spans="1:29" ht="13" x14ac:dyDescent="0.15">
      <c r="A181" s="72" t="str">
        <f t="shared" si="2"/>
        <v>Ofsted Social Care Provider Webpage</v>
      </c>
      <c r="B181" s="55">
        <v>1236901</v>
      </c>
      <c r="D181" s="55" t="s">
        <v>389</v>
      </c>
      <c r="E181" s="74">
        <v>42564</v>
      </c>
      <c r="F181" s="55" t="s">
        <v>344</v>
      </c>
      <c r="G181" s="55" t="s">
        <v>763</v>
      </c>
      <c r="H181" s="55" t="s">
        <v>764</v>
      </c>
      <c r="I181" s="55" t="s">
        <v>765</v>
      </c>
      <c r="J181" s="55" t="s">
        <v>555</v>
      </c>
      <c r="K181" s="55" t="s">
        <v>209</v>
      </c>
      <c r="L181" s="55" t="s">
        <v>766</v>
      </c>
      <c r="M181" s="55" t="s">
        <v>144</v>
      </c>
      <c r="N181" s="55" t="s">
        <v>144</v>
      </c>
      <c r="O181" s="55" t="s">
        <v>209</v>
      </c>
      <c r="P181" s="55" t="s">
        <v>555</v>
      </c>
      <c r="Q181" s="55" t="s">
        <v>350</v>
      </c>
      <c r="R181" s="55"/>
      <c r="S181" s="74"/>
      <c r="T181" s="55" t="s">
        <v>763</v>
      </c>
      <c r="U181" s="73" t="s">
        <v>351</v>
      </c>
      <c r="V181" s="74">
        <v>44389</v>
      </c>
      <c r="W181" s="74">
        <v>44428</v>
      </c>
      <c r="X181" s="55">
        <v>10183385</v>
      </c>
      <c r="Y181" s="74" t="s">
        <v>132</v>
      </c>
      <c r="Z181" s="74"/>
      <c r="AB181" s="55" t="s">
        <v>132</v>
      </c>
      <c r="AC181" s="55" t="s">
        <v>132</v>
      </c>
    </row>
    <row r="182" spans="1:29" ht="13" x14ac:dyDescent="0.15">
      <c r="A182" s="72" t="str">
        <f t="shared" si="2"/>
        <v>Ofsted Social Care Provider Webpage</v>
      </c>
      <c r="B182" s="55">
        <v>1236916</v>
      </c>
      <c r="D182" s="55" t="s">
        <v>373</v>
      </c>
      <c r="E182" s="74">
        <v>42544</v>
      </c>
      <c r="F182" s="55" t="s">
        <v>344</v>
      </c>
      <c r="G182" s="55" t="s">
        <v>360</v>
      </c>
      <c r="H182" s="55" t="s">
        <v>360</v>
      </c>
      <c r="I182" s="55" t="s">
        <v>360</v>
      </c>
      <c r="J182" s="55" t="s">
        <v>360</v>
      </c>
      <c r="K182" s="55" t="s">
        <v>360</v>
      </c>
      <c r="L182" s="55" t="s">
        <v>360</v>
      </c>
      <c r="M182" s="55" t="s">
        <v>136</v>
      </c>
      <c r="N182" s="55" t="s">
        <v>136</v>
      </c>
      <c r="O182" s="55" t="s">
        <v>230</v>
      </c>
      <c r="P182" s="55" t="s">
        <v>767</v>
      </c>
      <c r="Q182" s="55" t="s">
        <v>350</v>
      </c>
      <c r="R182" s="55">
        <v>3</v>
      </c>
      <c r="S182" s="74"/>
      <c r="T182" s="55" t="s">
        <v>768</v>
      </c>
      <c r="U182" s="73" t="s">
        <v>351</v>
      </c>
      <c r="V182" s="74">
        <v>44327</v>
      </c>
      <c r="W182" s="74">
        <v>44390</v>
      </c>
      <c r="X182" s="55">
        <v>10185736</v>
      </c>
      <c r="Y182" s="74" t="s">
        <v>130</v>
      </c>
      <c r="Z182" s="74"/>
      <c r="AB182" s="55" t="s">
        <v>130</v>
      </c>
      <c r="AC182" s="55" t="s">
        <v>130</v>
      </c>
    </row>
    <row r="183" spans="1:29" ht="13" x14ac:dyDescent="0.15">
      <c r="A183" s="72" t="str">
        <f t="shared" si="2"/>
        <v>Ofsted Social Care Provider Webpage</v>
      </c>
      <c r="B183" s="55">
        <v>1237027</v>
      </c>
      <c r="D183" s="55" t="s">
        <v>373</v>
      </c>
      <c r="E183" s="74">
        <v>42550</v>
      </c>
      <c r="F183" s="55" t="s">
        <v>344</v>
      </c>
      <c r="G183" s="55" t="s">
        <v>360</v>
      </c>
      <c r="H183" s="55" t="s">
        <v>360</v>
      </c>
      <c r="I183" s="55" t="s">
        <v>360</v>
      </c>
      <c r="J183" s="55" t="s">
        <v>360</v>
      </c>
      <c r="K183" s="55" t="s">
        <v>360</v>
      </c>
      <c r="L183" s="55" t="s">
        <v>360</v>
      </c>
      <c r="M183" s="55" t="s">
        <v>129</v>
      </c>
      <c r="N183" s="55" t="s">
        <v>129</v>
      </c>
      <c r="O183" s="55" t="s">
        <v>186</v>
      </c>
      <c r="P183" s="55" t="s">
        <v>769</v>
      </c>
      <c r="Q183" s="55" t="s">
        <v>350</v>
      </c>
      <c r="R183" s="55">
        <v>3</v>
      </c>
      <c r="S183" s="74"/>
      <c r="T183" s="55" t="s">
        <v>713</v>
      </c>
      <c r="U183" s="73" t="s">
        <v>351</v>
      </c>
      <c r="V183" s="74">
        <v>44314</v>
      </c>
      <c r="W183" s="74">
        <v>44350</v>
      </c>
      <c r="X183" s="55">
        <v>10186404</v>
      </c>
      <c r="Y183" s="74" t="s">
        <v>132</v>
      </c>
      <c r="Z183" s="74"/>
      <c r="AB183" s="55" t="s">
        <v>132</v>
      </c>
      <c r="AC183" s="55" t="s">
        <v>132</v>
      </c>
    </row>
    <row r="184" spans="1:29" ht="13" x14ac:dyDescent="0.15">
      <c r="A184" s="72" t="str">
        <f t="shared" si="2"/>
        <v>Ofsted Social Care Provider Webpage</v>
      </c>
      <c r="B184" s="55">
        <v>1237336</v>
      </c>
      <c r="D184" s="55" t="s">
        <v>389</v>
      </c>
      <c r="E184" s="74">
        <v>42657</v>
      </c>
      <c r="F184" s="55" t="s">
        <v>344</v>
      </c>
      <c r="G184" s="55" t="s">
        <v>770</v>
      </c>
      <c r="H184" s="55" t="s">
        <v>771</v>
      </c>
      <c r="I184" s="55" t="s">
        <v>772</v>
      </c>
      <c r="J184" s="55" t="s">
        <v>141</v>
      </c>
      <c r="K184" s="55" t="s">
        <v>142</v>
      </c>
      <c r="L184" s="55" t="s">
        <v>773</v>
      </c>
      <c r="M184" s="55" t="s">
        <v>142</v>
      </c>
      <c r="N184" s="55" t="s">
        <v>142</v>
      </c>
      <c r="O184" s="55" t="s">
        <v>141</v>
      </c>
      <c r="P184" s="55" t="s">
        <v>774</v>
      </c>
      <c r="Q184" s="55" t="s">
        <v>350</v>
      </c>
      <c r="R184" s="55"/>
      <c r="S184" s="74"/>
      <c r="T184" s="55" t="s">
        <v>775</v>
      </c>
      <c r="U184" s="73" t="s">
        <v>351</v>
      </c>
      <c r="V184" s="74">
        <v>44529</v>
      </c>
      <c r="W184" s="74">
        <v>44585</v>
      </c>
      <c r="X184" s="55">
        <v>10183430</v>
      </c>
      <c r="Y184" s="74" t="s">
        <v>132</v>
      </c>
      <c r="Z184" s="74"/>
      <c r="AB184" s="55" t="s">
        <v>132</v>
      </c>
      <c r="AC184" s="55" t="s">
        <v>132</v>
      </c>
    </row>
    <row r="185" spans="1:29" ht="13" x14ac:dyDescent="0.15">
      <c r="A185" s="72" t="str">
        <f t="shared" si="2"/>
        <v>Ofsted Social Care Provider Webpage</v>
      </c>
      <c r="B185" s="55">
        <v>1237582</v>
      </c>
      <c r="D185" s="55" t="s">
        <v>373</v>
      </c>
      <c r="E185" s="74">
        <v>42506</v>
      </c>
      <c r="F185" s="55" t="s">
        <v>344</v>
      </c>
      <c r="G185" s="55" t="s">
        <v>360</v>
      </c>
      <c r="H185" s="55" t="s">
        <v>360</v>
      </c>
      <c r="I185" s="55" t="s">
        <v>360</v>
      </c>
      <c r="J185" s="55" t="s">
        <v>360</v>
      </c>
      <c r="K185" s="55" t="s">
        <v>360</v>
      </c>
      <c r="L185" s="55" t="s">
        <v>360</v>
      </c>
      <c r="M185" s="55" t="s">
        <v>144</v>
      </c>
      <c r="N185" s="55" t="s">
        <v>144</v>
      </c>
      <c r="O185" s="55" t="s">
        <v>245</v>
      </c>
      <c r="P185" s="55" t="s">
        <v>245</v>
      </c>
      <c r="Q185" s="55" t="s">
        <v>380</v>
      </c>
      <c r="R185" s="55">
        <v>5</v>
      </c>
      <c r="S185" s="74"/>
      <c r="T185" s="55" t="s">
        <v>776</v>
      </c>
      <c r="U185" s="73" t="s">
        <v>351</v>
      </c>
      <c r="V185" s="74">
        <v>43901</v>
      </c>
      <c r="W185" s="74">
        <v>43956</v>
      </c>
      <c r="X185" s="55">
        <v>10097701</v>
      </c>
      <c r="Y185" s="74" t="s">
        <v>132</v>
      </c>
      <c r="Z185" s="74"/>
      <c r="AB185" s="55" t="s">
        <v>132</v>
      </c>
      <c r="AC185" s="55" t="s">
        <v>132</v>
      </c>
    </row>
    <row r="186" spans="1:29" ht="13" x14ac:dyDescent="0.15">
      <c r="A186" s="72" t="str">
        <f t="shared" si="2"/>
        <v>Ofsted Social Care Provider Webpage</v>
      </c>
      <c r="B186" s="55">
        <v>1238043</v>
      </c>
      <c r="D186" s="55" t="s">
        <v>373</v>
      </c>
      <c r="E186" s="74">
        <v>42552</v>
      </c>
      <c r="F186" s="55" t="s">
        <v>344</v>
      </c>
      <c r="G186" s="55" t="s">
        <v>360</v>
      </c>
      <c r="H186" s="55" t="s">
        <v>360</v>
      </c>
      <c r="I186" s="55" t="s">
        <v>360</v>
      </c>
      <c r="J186" s="55" t="s">
        <v>360</v>
      </c>
      <c r="K186" s="55" t="s">
        <v>360</v>
      </c>
      <c r="L186" s="55" t="s">
        <v>360</v>
      </c>
      <c r="M186" s="55" t="s">
        <v>144</v>
      </c>
      <c r="N186" s="55" t="s">
        <v>144</v>
      </c>
      <c r="O186" s="55" t="s">
        <v>209</v>
      </c>
      <c r="P186" s="55" t="s">
        <v>777</v>
      </c>
      <c r="Q186" s="55" t="s">
        <v>350</v>
      </c>
      <c r="R186" s="55">
        <v>5</v>
      </c>
      <c r="S186" s="74"/>
      <c r="T186" s="55" t="s">
        <v>778</v>
      </c>
      <c r="U186" s="73" t="s">
        <v>351</v>
      </c>
      <c r="V186" s="74">
        <v>44572</v>
      </c>
      <c r="W186" s="74">
        <v>44608</v>
      </c>
      <c r="X186" s="55">
        <v>10213785</v>
      </c>
      <c r="Y186" s="74" t="s">
        <v>132</v>
      </c>
      <c r="Z186" s="74"/>
      <c r="AB186" s="55" t="s">
        <v>130</v>
      </c>
      <c r="AC186" s="55" t="s">
        <v>132</v>
      </c>
    </row>
    <row r="187" spans="1:29" ht="13" x14ac:dyDescent="0.15">
      <c r="A187" s="72" t="str">
        <f t="shared" si="2"/>
        <v>Ofsted Social Care Provider Webpage</v>
      </c>
      <c r="B187" s="55">
        <v>1238047</v>
      </c>
      <c r="C187" s="55">
        <v>140971</v>
      </c>
      <c r="D187" s="55" t="s">
        <v>693</v>
      </c>
      <c r="E187" s="74">
        <v>42504</v>
      </c>
      <c r="F187" s="55" t="s">
        <v>344</v>
      </c>
      <c r="G187" s="55" t="s">
        <v>779</v>
      </c>
      <c r="H187" s="55" t="s">
        <v>780</v>
      </c>
      <c r="I187" s="55" t="s">
        <v>781</v>
      </c>
      <c r="J187" s="55" t="s">
        <v>570</v>
      </c>
      <c r="K187" s="55" t="s">
        <v>174</v>
      </c>
      <c r="L187" s="55" t="s">
        <v>782</v>
      </c>
      <c r="M187" s="55" t="s">
        <v>136</v>
      </c>
      <c r="N187" s="55" t="s">
        <v>136</v>
      </c>
      <c r="O187" s="55" t="s">
        <v>174</v>
      </c>
      <c r="P187" s="55" t="s">
        <v>570</v>
      </c>
      <c r="Q187" s="55" t="s">
        <v>420</v>
      </c>
      <c r="R187" s="55">
        <v>37</v>
      </c>
      <c r="S187" s="74"/>
      <c r="T187" s="55" t="s">
        <v>779</v>
      </c>
      <c r="U187" s="73" t="s">
        <v>351</v>
      </c>
      <c r="V187" s="74">
        <v>43361</v>
      </c>
      <c r="W187" s="74">
        <v>43385</v>
      </c>
      <c r="X187" s="55">
        <v>10046857</v>
      </c>
      <c r="Y187" s="74" t="s">
        <v>140</v>
      </c>
      <c r="Z187" s="74"/>
      <c r="AB187" s="55" t="s">
        <v>140</v>
      </c>
      <c r="AC187" s="55" t="s">
        <v>140</v>
      </c>
    </row>
    <row r="188" spans="1:29" ht="13" x14ac:dyDescent="0.15">
      <c r="A188" s="72" t="str">
        <f t="shared" si="2"/>
        <v>Ofsted Social Care Provider Webpage</v>
      </c>
      <c r="B188" s="55">
        <v>1239886</v>
      </c>
      <c r="D188" s="55" t="s">
        <v>451</v>
      </c>
      <c r="E188" s="74">
        <v>42639</v>
      </c>
      <c r="F188" s="55" t="s">
        <v>344</v>
      </c>
      <c r="G188" s="55" t="s">
        <v>783</v>
      </c>
      <c r="H188" s="55" t="s">
        <v>784</v>
      </c>
      <c r="I188" s="55" t="s">
        <v>354</v>
      </c>
      <c r="J188" s="55" t="s">
        <v>759</v>
      </c>
      <c r="L188" s="55" t="s">
        <v>785</v>
      </c>
      <c r="M188" s="55" t="s">
        <v>144</v>
      </c>
      <c r="N188" s="55" t="s">
        <v>144</v>
      </c>
      <c r="O188" s="55" t="s">
        <v>250</v>
      </c>
      <c r="P188" s="55" t="s">
        <v>759</v>
      </c>
      <c r="Q188" s="55" t="s">
        <v>350</v>
      </c>
      <c r="R188" s="55">
        <v>4</v>
      </c>
      <c r="S188" s="74"/>
      <c r="T188" s="55" t="s">
        <v>786</v>
      </c>
      <c r="U188" s="73" t="s">
        <v>351</v>
      </c>
      <c r="V188" s="74">
        <v>44446</v>
      </c>
      <c r="W188" s="74">
        <v>44476</v>
      </c>
      <c r="X188" s="55">
        <v>10183448</v>
      </c>
      <c r="Y188" s="74" t="s">
        <v>132</v>
      </c>
      <c r="Z188" s="74"/>
      <c r="AB188" s="55" t="s">
        <v>132</v>
      </c>
      <c r="AC188" s="55" t="s">
        <v>130</v>
      </c>
    </row>
    <row r="189" spans="1:29" ht="13" x14ac:dyDescent="0.15">
      <c r="A189" s="72" t="str">
        <f t="shared" si="2"/>
        <v>Ofsted Social Care Provider Webpage</v>
      </c>
      <c r="B189" s="55">
        <v>1239948</v>
      </c>
      <c r="D189" s="55" t="s">
        <v>373</v>
      </c>
      <c r="E189" s="74">
        <v>42515</v>
      </c>
      <c r="F189" s="55" t="s">
        <v>344</v>
      </c>
      <c r="G189" s="55" t="s">
        <v>360</v>
      </c>
      <c r="H189" s="55" t="s">
        <v>360</v>
      </c>
      <c r="I189" s="55" t="s">
        <v>360</v>
      </c>
      <c r="J189" s="55" t="s">
        <v>360</v>
      </c>
      <c r="K189" s="55" t="s">
        <v>360</v>
      </c>
      <c r="L189" s="55" t="s">
        <v>360</v>
      </c>
      <c r="M189" s="55" t="s">
        <v>150</v>
      </c>
      <c r="N189" s="55" t="s">
        <v>150</v>
      </c>
      <c r="O189" s="55" t="s">
        <v>240</v>
      </c>
      <c r="P189" s="55" t="s">
        <v>787</v>
      </c>
      <c r="Q189" s="55" t="s">
        <v>380</v>
      </c>
      <c r="R189" s="55">
        <v>3</v>
      </c>
      <c r="S189" s="74"/>
      <c r="T189" s="55" t="s">
        <v>788</v>
      </c>
      <c r="U189" s="73" t="s">
        <v>351</v>
      </c>
      <c r="V189" s="74">
        <v>44369</v>
      </c>
      <c r="W189" s="74">
        <v>44420</v>
      </c>
      <c r="X189" s="55">
        <v>10187355</v>
      </c>
      <c r="Y189" s="74" t="s">
        <v>132</v>
      </c>
      <c r="Z189" s="74"/>
      <c r="AB189" s="55" t="s">
        <v>132</v>
      </c>
      <c r="AC189" s="55" t="s">
        <v>132</v>
      </c>
    </row>
    <row r="190" spans="1:29" ht="13" x14ac:dyDescent="0.15">
      <c r="A190" s="72" t="str">
        <f t="shared" si="2"/>
        <v>Ofsted Social Care Provider Webpage</v>
      </c>
      <c r="B190" s="55">
        <v>1239953</v>
      </c>
      <c r="D190" s="55" t="s">
        <v>373</v>
      </c>
      <c r="E190" s="74">
        <v>42557</v>
      </c>
      <c r="F190" s="55" t="s">
        <v>344</v>
      </c>
      <c r="G190" s="55" t="s">
        <v>360</v>
      </c>
      <c r="H190" s="55" t="s">
        <v>360</v>
      </c>
      <c r="I190" s="55" t="s">
        <v>360</v>
      </c>
      <c r="J190" s="55" t="s">
        <v>360</v>
      </c>
      <c r="K190" s="55" t="s">
        <v>360</v>
      </c>
      <c r="L190" s="55" t="s">
        <v>360</v>
      </c>
      <c r="M190" s="55" t="s">
        <v>136</v>
      </c>
      <c r="N190" s="55" t="s">
        <v>136</v>
      </c>
      <c r="O190" s="55" t="s">
        <v>255</v>
      </c>
      <c r="P190" s="55" t="s">
        <v>583</v>
      </c>
      <c r="Q190" s="55" t="s">
        <v>350</v>
      </c>
      <c r="R190" s="55">
        <v>4</v>
      </c>
      <c r="S190" s="74"/>
      <c r="T190" s="55" t="s">
        <v>789</v>
      </c>
      <c r="U190" s="73" t="s">
        <v>351</v>
      </c>
      <c r="V190" s="74">
        <v>44334</v>
      </c>
      <c r="W190" s="74">
        <v>44371</v>
      </c>
      <c r="X190" s="55">
        <v>10185582</v>
      </c>
      <c r="Y190" s="74" t="s">
        <v>130</v>
      </c>
      <c r="Z190" s="74"/>
      <c r="AB190" s="55" t="s">
        <v>130</v>
      </c>
      <c r="AC190" s="55" t="s">
        <v>130</v>
      </c>
    </row>
    <row r="191" spans="1:29" ht="13" x14ac:dyDescent="0.15">
      <c r="A191" s="72" t="str">
        <f t="shared" si="2"/>
        <v>Ofsted Social Care Provider Webpage</v>
      </c>
      <c r="B191" s="55">
        <v>1240397</v>
      </c>
      <c r="D191" s="55" t="s">
        <v>373</v>
      </c>
      <c r="E191" s="74">
        <v>42585</v>
      </c>
      <c r="F191" s="55" t="s">
        <v>344</v>
      </c>
      <c r="G191" s="55" t="s">
        <v>360</v>
      </c>
      <c r="H191" s="55" t="s">
        <v>360</v>
      </c>
      <c r="I191" s="55" t="s">
        <v>360</v>
      </c>
      <c r="J191" s="55" t="s">
        <v>360</v>
      </c>
      <c r="K191" s="55" t="s">
        <v>360</v>
      </c>
      <c r="L191" s="55" t="s">
        <v>360</v>
      </c>
      <c r="M191" s="55" t="s">
        <v>172</v>
      </c>
      <c r="N191" s="55" t="s">
        <v>172</v>
      </c>
      <c r="O191" s="55" t="s">
        <v>214</v>
      </c>
      <c r="P191" s="55" t="s">
        <v>790</v>
      </c>
      <c r="Q191" s="55" t="s">
        <v>350</v>
      </c>
      <c r="R191" s="55">
        <v>5</v>
      </c>
      <c r="S191" s="74"/>
      <c r="T191" s="55" t="s">
        <v>791</v>
      </c>
      <c r="U191" s="73" t="s">
        <v>351</v>
      </c>
      <c r="V191" s="74">
        <v>44341</v>
      </c>
      <c r="W191" s="74">
        <v>44376</v>
      </c>
      <c r="X191" s="55">
        <v>10186793</v>
      </c>
      <c r="Y191" s="74" t="s">
        <v>132</v>
      </c>
      <c r="Z191" s="74"/>
      <c r="AB191" s="55" t="s">
        <v>130</v>
      </c>
      <c r="AC191" s="55" t="s">
        <v>132</v>
      </c>
    </row>
    <row r="192" spans="1:29" ht="13" x14ac:dyDescent="0.15">
      <c r="A192" s="72" t="str">
        <f t="shared" si="2"/>
        <v>Ofsted Social Care Provider Webpage</v>
      </c>
      <c r="B192" s="55">
        <v>1240433</v>
      </c>
      <c r="D192" s="55" t="s">
        <v>373</v>
      </c>
      <c r="E192" s="74">
        <v>42601</v>
      </c>
      <c r="F192" s="55" t="s">
        <v>344</v>
      </c>
      <c r="G192" s="55" t="s">
        <v>360</v>
      </c>
      <c r="H192" s="55" t="s">
        <v>360</v>
      </c>
      <c r="I192" s="55" t="s">
        <v>360</v>
      </c>
      <c r="J192" s="55" t="s">
        <v>360</v>
      </c>
      <c r="K192" s="55" t="s">
        <v>360</v>
      </c>
      <c r="L192" s="55" t="s">
        <v>360</v>
      </c>
      <c r="M192" s="55" t="s">
        <v>378</v>
      </c>
      <c r="N192" s="55" t="s">
        <v>134</v>
      </c>
      <c r="O192" s="55" t="s">
        <v>226</v>
      </c>
      <c r="P192" s="55" t="s">
        <v>662</v>
      </c>
      <c r="Q192" s="55" t="s">
        <v>350</v>
      </c>
      <c r="R192" s="55">
        <v>3</v>
      </c>
      <c r="S192" s="74"/>
      <c r="T192" s="55" t="s">
        <v>517</v>
      </c>
      <c r="U192" s="73" t="s">
        <v>351</v>
      </c>
      <c r="V192" s="74">
        <v>44544</v>
      </c>
      <c r="W192" s="74">
        <v>44593</v>
      </c>
      <c r="X192" s="55">
        <v>10186473</v>
      </c>
      <c r="Y192" s="74" t="s">
        <v>140</v>
      </c>
      <c r="Z192" s="74"/>
      <c r="AB192" s="55" t="s">
        <v>140</v>
      </c>
      <c r="AC192" s="55" t="s">
        <v>140</v>
      </c>
    </row>
    <row r="193" spans="1:29" ht="13" x14ac:dyDescent="0.15">
      <c r="A193" s="72" t="str">
        <f t="shared" si="2"/>
        <v>Ofsted Social Care Provider Webpage</v>
      </c>
      <c r="B193" s="55">
        <v>1240449</v>
      </c>
      <c r="D193" s="55" t="s">
        <v>373</v>
      </c>
      <c r="E193" s="74">
        <v>42529</v>
      </c>
      <c r="F193" s="55" t="s">
        <v>344</v>
      </c>
      <c r="G193" s="55" t="s">
        <v>360</v>
      </c>
      <c r="H193" s="55" t="s">
        <v>360</v>
      </c>
      <c r="I193" s="55" t="s">
        <v>360</v>
      </c>
      <c r="J193" s="55" t="s">
        <v>360</v>
      </c>
      <c r="K193" s="55" t="s">
        <v>360</v>
      </c>
      <c r="L193" s="55" t="s">
        <v>360</v>
      </c>
      <c r="M193" s="55" t="s">
        <v>144</v>
      </c>
      <c r="N193" s="55" t="s">
        <v>144</v>
      </c>
      <c r="O193" s="55" t="s">
        <v>207</v>
      </c>
      <c r="P193" s="55" t="s">
        <v>792</v>
      </c>
      <c r="Q193" s="55" t="s">
        <v>350</v>
      </c>
      <c r="R193" s="55">
        <v>3</v>
      </c>
      <c r="S193" s="74"/>
      <c r="T193" s="55" t="s">
        <v>793</v>
      </c>
      <c r="U193" s="73" t="s">
        <v>351</v>
      </c>
      <c r="V193" s="74">
        <v>44481</v>
      </c>
      <c r="W193" s="74">
        <v>44530</v>
      </c>
      <c r="X193" s="55">
        <v>10186271</v>
      </c>
      <c r="Y193" s="74" t="s">
        <v>130</v>
      </c>
      <c r="Z193" s="74"/>
      <c r="AB193" s="55" t="s">
        <v>130</v>
      </c>
      <c r="AC193" s="55" t="s">
        <v>130</v>
      </c>
    </row>
    <row r="194" spans="1:29" ht="13" x14ac:dyDescent="0.15">
      <c r="A194" s="72" t="str">
        <f t="shared" si="2"/>
        <v>Ofsted Social Care Provider Webpage</v>
      </c>
      <c r="B194" s="55">
        <v>1240572</v>
      </c>
      <c r="D194" s="55" t="s">
        <v>373</v>
      </c>
      <c r="E194" s="74">
        <v>42702</v>
      </c>
      <c r="F194" s="55" t="s">
        <v>344</v>
      </c>
      <c r="G194" s="55" t="s">
        <v>360</v>
      </c>
      <c r="H194" s="55" t="s">
        <v>360</v>
      </c>
      <c r="I194" s="55" t="s">
        <v>360</v>
      </c>
      <c r="J194" s="55" t="s">
        <v>360</v>
      </c>
      <c r="K194" s="55" t="s">
        <v>360</v>
      </c>
      <c r="L194" s="55" t="s">
        <v>360</v>
      </c>
      <c r="M194" s="55" t="s">
        <v>144</v>
      </c>
      <c r="N194" s="55" t="s">
        <v>144</v>
      </c>
      <c r="O194" s="55" t="s">
        <v>209</v>
      </c>
      <c r="P194" s="55" t="s">
        <v>555</v>
      </c>
      <c r="Q194" s="55" t="s">
        <v>350</v>
      </c>
      <c r="R194" s="55">
        <v>4</v>
      </c>
      <c r="S194" s="74"/>
      <c r="T194" s="55" t="s">
        <v>485</v>
      </c>
      <c r="U194" s="73" t="s">
        <v>351</v>
      </c>
      <c r="V194" s="74">
        <v>44510</v>
      </c>
      <c r="W194" s="74">
        <v>44543</v>
      </c>
      <c r="X194" s="55">
        <v>10186087</v>
      </c>
      <c r="Y194" s="74" t="s">
        <v>132</v>
      </c>
      <c r="Z194" s="74"/>
      <c r="AB194" s="55" t="s">
        <v>132</v>
      </c>
      <c r="AC194" s="55" t="s">
        <v>132</v>
      </c>
    </row>
    <row r="195" spans="1:29" ht="13" x14ac:dyDescent="0.15">
      <c r="A195" s="72" t="str">
        <f t="shared" si="2"/>
        <v>Ofsted Social Care Provider Webpage</v>
      </c>
      <c r="B195" s="55">
        <v>1240573</v>
      </c>
      <c r="D195" s="55" t="s">
        <v>373</v>
      </c>
      <c r="E195" s="74">
        <v>42705</v>
      </c>
      <c r="F195" s="55" t="s">
        <v>344</v>
      </c>
      <c r="G195" s="55" t="s">
        <v>360</v>
      </c>
      <c r="H195" s="55" t="s">
        <v>360</v>
      </c>
      <c r="I195" s="55" t="s">
        <v>360</v>
      </c>
      <c r="J195" s="55" t="s">
        <v>360</v>
      </c>
      <c r="K195" s="55" t="s">
        <v>360</v>
      </c>
      <c r="L195" s="55" t="s">
        <v>360</v>
      </c>
      <c r="M195" s="55" t="s">
        <v>144</v>
      </c>
      <c r="N195" s="55" t="s">
        <v>144</v>
      </c>
      <c r="O195" s="55" t="s">
        <v>209</v>
      </c>
      <c r="P195" s="55" t="s">
        <v>364</v>
      </c>
      <c r="Q195" s="55" t="s">
        <v>350</v>
      </c>
      <c r="R195" s="55">
        <v>4</v>
      </c>
      <c r="S195" s="74"/>
      <c r="T195" s="55" t="s">
        <v>485</v>
      </c>
      <c r="U195" s="73" t="s">
        <v>351</v>
      </c>
      <c r="V195" s="74">
        <v>44362</v>
      </c>
      <c r="W195" s="74">
        <v>44397</v>
      </c>
      <c r="X195" s="55">
        <v>10185704</v>
      </c>
      <c r="Y195" s="74" t="s">
        <v>132</v>
      </c>
      <c r="Z195" s="74"/>
      <c r="AB195" s="55" t="s">
        <v>132</v>
      </c>
      <c r="AC195" s="55" t="s">
        <v>132</v>
      </c>
    </row>
    <row r="196" spans="1:29" ht="13" x14ac:dyDescent="0.15">
      <c r="A196" s="72" t="str">
        <f t="shared" si="2"/>
        <v>Ofsted Social Care Provider Webpage</v>
      </c>
      <c r="B196" s="55">
        <v>1240753</v>
      </c>
      <c r="D196" s="55" t="s">
        <v>373</v>
      </c>
      <c r="E196" s="74">
        <v>42599</v>
      </c>
      <c r="F196" s="55" t="s">
        <v>344</v>
      </c>
      <c r="G196" s="55" t="s">
        <v>360</v>
      </c>
      <c r="H196" s="55" t="s">
        <v>360</v>
      </c>
      <c r="I196" s="55" t="s">
        <v>360</v>
      </c>
      <c r="J196" s="55" t="s">
        <v>360</v>
      </c>
      <c r="K196" s="55" t="s">
        <v>360</v>
      </c>
      <c r="L196" s="55" t="s">
        <v>360</v>
      </c>
      <c r="M196" s="55" t="s">
        <v>144</v>
      </c>
      <c r="N196" s="55" t="s">
        <v>144</v>
      </c>
      <c r="O196" s="55" t="s">
        <v>209</v>
      </c>
      <c r="P196" s="55" t="s">
        <v>777</v>
      </c>
      <c r="Q196" s="55" t="s">
        <v>350</v>
      </c>
      <c r="R196" s="55">
        <v>4</v>
      </c>
      <c r="S196" s="74"/>
      <c r="T196" s="55" t="s">
        <v>794</v>
      </c>
      <c r="U196" s="73" t="s">
        <v>351</v>
      </c>
      <c r="V196" s="74">
        <v>44405</v>
      </c>
      <c r="W196" s="74">
        <v>44452</v>
      </c>
      <c r="X196" s="55">
        <v>10186056</v>
      </c>
      <c r="Y196" s="74" t="s">
        <v>146</v>
      </c>
      <c r="Z196" s="74"/>
      <c r="AB196" s="55" t="s">
        <v>146</v>
      </c>
      <c r="AC196" s="55" t="s">
        <v>146</v>
      </c>
    </row>
    <row r="197" spans="1:29" ht="13" x14ac:dyDescent="0.15">
      <c r="A197" s="72" t="str">
        <f t="shared" si="2"/>
        <v>Ofsted Social Care Provider Webpage</v>
      </c>
      <c r="B197" s="55">
        <v>1240801</v>
      </c>
      <c r="D197" s="55" t="s">
        <v>373</v>
      </c>
      <c r="E197" s="74">
        <v>42548</v>
      </c>
      <c r="F197" s="55" t="s">
        <v>344</v>
      </c>
      <c r="G197" s="55" t="s">
        <v>360</v>
      </c>
      <c r="H197" s="55" t="s">
        <v>360</v>
      </c>
      <c r="I197" s="55" t="s">
        <v>360</v>
      </c>
      <c r="J197" s="55" t="s">
        <v>360</v>
      </c>
      <c r="K197" s="55" t="s">
        <v>360</v>
      </c>
      <c r="L197" s="55" t="s">
        <v>360</v>
      </c>
      <c r="M197" s="55" t="s">
        <v>144</v>
      </c>
      <c r="N197" s="55" t="s">
        <v>144</v>
      </c>
      <c r="O197" s="55" t="s">
        <v>287</v>
      </c>
      <c r="P197" s="55" t="s">
        <v>287</v>
      </c>
      <c r="Q197" s="55" t="s">
        <v>350</v>
      </c>
      <c r="R197" s="55">
        <v>3</v>
      </c>
      <c r="S197" s="74"/>
      <c r="T197" s="55" t="s">
        <v>513</v>
      </c>
      <c r="U197" s="73" t="s">
        <v>351</v>
      </c>
      <c r="V197" s="74">
        <v>43781</v>
      </c>
      <c r="W197" s="74">
        <v>43816</v>
      </c>
      <c r="X197" s="55">
        <v>10097723</v>
      </c>
      <c r="Y197" s="74" t="s">
        <v>132</v>
      </c>
      <c r="Z197" s="74"/>
      <c r="AB197" s="55" t="s">
        <v>132</v>
      </c>
      <c r="AC197" s="55" t="s">
        <v>132</v>
      </c>
    </row>
    <row r="198" spans="1:29" ht="13" x14ac:dyDescent="0.15">
      <c r="A198" s="72" t="str">
        <f t="shared" ref="A198:A261" si="3">HYPERLINK(_xlfn.CONCAT("http://reports.ofsted.gov.uk/inspection-reports/find-inspection-report/provider/CARE/",B198),"Ofsted Social Care Provider Webpage")</f>
        <v>Ofsted Social Care Provider Webpage</v>
      </c>
      <c r="B198" s="55">
        <v>1240802</v>
      </c>
      <c r="D198" s="55" t="s">
        <v>373</v>
      </c>
      <c r="E198" s="74">
        <v>42564</v>
      </c>
      <c r="F198" s="55" t="s">
        <v>344</v>
      </c>
      <c r="G198" s="55" t="s">
        <v>360</v>
      </c>
      <c r="H198" s="55" t="s">
        <v>360</v>
      </c>
      <c r="I198" s="55" t="s">
        <v>360</v>
      </c>
      <c r="J198" s="55" t="s">
        <v>360</v>
      </c>
      <c r="K198" s="55" t="s">
        <v>360</v>
      </c>
      <c r="L198" s="55" t="s">
        <v>360</v>
      </c>
      <c r="M198" s="55" t="s">
        <v>136</v>
      </c>
      <c r="N198" s="55" t="s">
        <v>136</v>
      </c>
      <c r="O198" s="55" t="s">
        <v>255</v>
      </c>
      <c r="P198" s="55" t="s">
        <v>583</v>
      </c>
      <c r="Q198" s="55" t="s">
        <v>350</v>
      </c>
      <c r="R198" s="55">
        <v>4</v>
      </c>
      <c r="S198" s="74"/>
      <c r="T198" s="55" t="s">
        <v>385</v>
      </c>
      <c r="U198" s="73" t="s">
        <v>351</v>
      </c>
      <c r="V198" s="74">
        <v>44495</v>
      </c>
      <c r="W198" s="74">
        <v>44522</v>
      </c>
      <c r="X198" s="55">
        <v>10185413</v>
      </c>
      <c r="Y198" s="74" t="s">
        <v>130</v>
      </c>
      <c r="Z198" s="74"/>
      <c r="AB198" s="55" t="s">
        <v>130</v>
      </c>
      <c r="AC198" s="55" t="s">
        <v>130</v>
      </c>
    </row>
    <row r="199" spans="1:29" ht="13" x14ac:dyDescent="0.15">
      <c r="A199" s="72" t="str">
        <f t="shared" si="3"/>
        <v>Ofsted Social Care Provider Webpage</v>
      </c>
      <c r="B199" s="55">
        <v>1240843</v>
      </c>
      <c r="D199" s="55" t="s">
        <v>373</v>
      </c>
      <c r="E199" s="74">
        <v>43031</v>
      </c>
      <c r="F199" s="55" t="s">
        <v>344</v>
      </c>
      <c r="G199" s="55" t="s">
        <v>360</v>
      </c>
      <c r="H199" s="55" t="s">
        <v>360</v>
      </c>
      <c r="I199" s="55" t="s">
        <v>360</v>
      </c>
      <c r="J199" s="55" t="s">
        <v>360</v>
      </c>
      <c r="K199" s="55" t="s">
        <v>360</v>
      </c>
      <c r="L199" s="55" t="s">
        <v>360</v>
      </c>
      <c r="M199" s="55" t="s">
        <v>144</v>
      </c>
      <c r="N199" s="55" t="s">
        <v>144</v>
      </c>
      <c r="O199" s="55" t="s">
        <v>145</v>
      </c>
      <c r="P199" s="55" t="s">
        <v>525</v>
      </c>
      <c r="Q199" s="55" t="s">
        <v>350</v>
      </c>
      <c r="R199" s="55">
        <v>2</v>
      </c>
      <c r="S199" s="74"/>
      <c r="T199" s="55" t="s">
        <v>794</v>
      </c>
      <c r="U199" s="73" t="s">
        <v>351</v>
      </c>
      <c r="V199" s="74">
        <v>44530</v>
      </c>
      <c r="W199" s="74">
        <v>44575</v>
      </c>
      <c r="X199" s="55">
        <v>10186454</v>
      </c>
      <c r="Y199" s="74" t="s">
        <v>130</v>
      </c>
      <c r="Z199" s="74"/>
      <c r="AB199" s="55" t="s">
        <v>130</v>
      </c>
      <c r="AC199" s="55" t="s">
        <v>130</v>
      </c>
    </row>
    <row r="200" spans="1:29" ht="13" x14ac:dyDescent="0.15">
      <c r="A200" s="72" t="str">
        <f t="shared" si="3"/>
        <v>Ofsted Social Care Provider Webpage</v>
      </c>
      <c r="B200" s="55">
        <v>1240844</v>
      </c>
      <c r="D200" s="55" t="s">
        <v>373</v>
      </c>
      <c r="E200" s="74">
        <v>42782</v>
      </c>
      <c r="F200" s="55" t="s">
        <v>344</v>
      </c>
      <c r="G200" s="55" t="s">
        <v>360</v>
      </c>
      <c r="H200" s="55" t="s">
        <v>360</v>
      </c>
      <c r="I200" s="55" t="s">
        <v>360</v>
      </c>
      <c r="J200" s="55" t="s">
        <v>360</v>
      </c>
      <c r="K200" s="55" t="s">
        <v>360</v>
      </c>
      <c r="L200" s="55" t="s">
        <v>360</v>
      </c>
      <c r="M200" s="55" t="s">
        <v>144</v>
      </c>
      <c r="N200" s="55" t="s">
        <v>144</v>
      </c>
      <c r="O200" s="55" t="s">
        <v>209</v>
      </c>
      <c r="P200" s="55" t="s">
        <v>777</v>
      </c>
      <c r="Q200" s="55" t="s">
        <v>350</v>
      </c>
      <c r="R200" s="55">
        <v>2</v>
      </c>
      <c r="S200" s="74"/>
      <c r="T200" s="55" t="s">
        <v>794</v>
      </c>
      <c r="U200" s="73" t="s">
        <v>351</v>
      </c>
      <c r="V200" s="74">
        <v>44530</v>
      </c>
      <c r="W200" s="74">
        <v>44575</v>
      </c>
      <c r="X200" s="55">
        <v>10187036</v>
      </c>
      <c r="Y200" s="74" t="s">
        <v>132</v>
      </c>
      <c r="Z200" s="74"/>
      <c r="AB200" s="55" t="s">
        <v>132</v>
      </c>
      <c r="AC200" s="55" t="s">
        <v>132</v>
      </c>
    </row>
    <row r="201" spans="1:29" ht="13" x14ac:dyDescent="0.15">
      <c r="A201" s="72" t="str">
        <f t="shared" si="3"/>
        <v>Ofsted Social Care Provider Webpage</v>
      </c>
      <c r="B201" s="55">
        <v>1240883</v>
      </c>
      <c r="D201" s="55" t="s">
        <v>373</v>
      </c>
      <c r="E201" s="74">
        <v>42600</v>
      </c>
      <c r="F201" s="55" t="s">
        <v>344</v>
      </c>
      <c r="G201" s="55" t="s">
        <v>360</v>
      </c>
      <c r="H201" s="55" t="s">
        <v>360</v>
      </c>
      <c r="I201" s="55" t="s">
        <v>360</v>
      </c>
      <c r="J201" s="55" t="s">
        <v>360</v>
      </c>
      <c r="K201" s="55" t="s">
        <v>360</v>
      </c>
      <c r="L201" s="55" t="s">
        <v>360</v>
      </c>
      <c r="M201" s="55" t="s">
        <v>144</v>
      </c>
      <c r="N201" s="55" t="s">
        <v>144</v>
      </c>
      <c r="O201" s="55" t="s">
        <v>209</v>
      </c>
      <c r="P201" s="55" t="s">
        <v>561</v>
      </c>
      <c r="Q201" s="55" t="s">
        <v>350</v>
      </c>
      <c r="R201" s="55">
        <v>3</v>
      </c>
      <c r="S201" s="74"/>
      <c r="T201" s="55" t="s">
        <v>794</v>
      </c>
      <c r="U201" s="73" t="s">
        <v>351</v>
      </c>
      <c r="V201" s="74">
        <v>44497</v>
      </c>
      <c r="W201" s="74">
        <v>44544</v>
      </c>
      <c r="X201" s="55">
        <v>10212706</v>
      </c>
      <c r="Y201" s="74" t="s">
        <v>132</v>
      </c>
      <c r="Z201" s="74"/>
      <c r="AB201" s="55" t="s">
        <v>132</v>
      </c>
      <c r="AC201" s="55" t="s">
        <v>132</v>
      </c>
    </row>
    <row r="202" spans="1:29" ht="13" x14ac:dyDescent="0.15">
      <c r="A202" s="72" t="str">
        <f t="shared" si="3"/>
        <v>Ofsted Social Care Provider Webpage</v>
      </c>
      <c r="B202" s="55">
        <v>1240884</v>
      </c>
      <c r="D202" s="55" t="s">
        <v>373</v>
      </c>
      <c r="E202" s="74">
        <v>42667</v>
      </c>
      <c r="F202" s="55" t="s">
        <v>344</v>
      </c>
      <c r="G202" s="55" t="s">
        <v>360</v>
      </c>
      <c r="H202" s="55" t="s">
        <v>360</v>
      </c>
      <c r="I202" s="55" t="s">
        <v>360</v>
      </c>
      <c r="J202" s="55" t="s">
        <v>360</v>
      </c>
      <c r="K202" s="55" t="s">
        <v>360</v>
      </c>
      <c r="L202" s="55" t="s">
        <v>360</v>
      </c>
      <c r="M202" s="55" t="s">
        <v>144</v>
      </c>
      <c r="N202" s="55" t="s">
        <v>144</v>
      </c>
      <c r="O202" s="55" t="s">
        <v>209</v>
      </c>
      <c r="P202" s="55" t="s">
        <v>544</v>
      </c>
      <c r="Q202" s="55" t="s">
        <v>350</v>
      </c>
      <c r="R202" s="55">
        <v>2</v>
      </c>
      <c r="S202" s="74"/>
      <c r="T202" s="55" t="s">
        <v>794</v>
      </c>
      <c r="U202" s="73" t="s">
        <v>351</v>
      </c>
      <c r="V202" s="74">
        <v>44588</v>
      </c>
      <c r="W202" s="74">
        <v>44643</v>
      </c>
      <c r="X202" s="55">
        <v>10186429</v>
      </c>
      <c r="Y202" s="74" t="s">
        <v>130</v>
      </c>
      <c r="Z202" s="74"/>
      <c r="AB202" s="55" t="s">
        <v>130</v>
      </c>
      <c r="AC202" s="55" t="s">
        <v>130</v>
      </c>
    </row>
    <row r="203" spans="1:29" ht="13" x14ac:dyDescent="0.15">
      <c r="A203" s="72" t="str">
        <f t="shared" si="3"/>
        <v>Ofsted Social Care Provider Webpage</v>
      </c>
      <c r="B203" s="55">
        <v>1240936</v>
      </c>
      <c r="D203" s="55" t="s">
        <v>373</v>
      </c>
      <c r="E203" s="74">
        <v>42688</v>
      </c>
      <c r="F203" s="55" t="s">
        <v>344</v>
      </c>
      <c r="G203" s="55" t="s">
        <v>360</v>
      </c>
      <c r="H203" s="55" t="s">
        <v>360</v>
      </c>
      <c r="I203" s="55" t="s">
        <v>360</v>
      </c>
      <c r="J203" s="55" t="s">
        <v>360</v>
      </c>
      <c r="K203" s="55" t="s">
        <v>360</v>
      </c>
      <c r="L203" s="55" t="s">
        <v>360</v>
      </c>
      <c r="M203" s="55" t="s">
        <v>142</v>
      </c>
      <c r="N203" s="55" t="s">
        <v>142</v>
      </c>
      <c r="O203" s="55" t="s">
        <v>141</v>
      </c>
      <c r="P203" s="55" t="s">
        <v>795</v>
      </c>
      <c r="Q203" s="55" t="s">
        <v>350</v>
      </c>
      <c r="R203" s="55">
        <v>3</v>
      </c>
      <c r="S203" s="74"/>
      <c r="T203" s="55" t="s">
        <v>613</v>
      </c>
      <c r="U203" s="73" t="s">
        <v>351</v>
      </c>
      <c r="V203" s="74">
        <v>44321</v>
      </c>
      <c r="W203" s="74">
        <v>44370</v>
      </c>
      <c r="X203" s="55">
        <v>10185210</v>
      </c>
      <c r="Y203" s="74" t="s">
        <v>132</v>
      </c>
      <c r="Z203" s="74"/>
      <c r="AB203" s="55" t="s">
        <v>132</v>
      </c>
      <c r="AC203" s="55" t="s">
        <v>132</v>
      </c>
    </row>
    <row r="204" spans="1:29" ht="13" x14ac:dyDescent="0.15">
      <c r="A204" s="72" t="str">
        <f t="shared" si="3"/>
        <v>Ofsted Social Care Provider Webpage</v>
      </c>
      <c r="B204" s="55">
        <v>1241023</v>
      </c>
      <c r="D204" s="55" t="s">
        <v>373</v>
      </c>
      <c r="E204" s="74">
        <v>42600</v>
      </c>
      <c r="F204" s="55" t="s">
        <v>344</v>
      </c>
      <c r="G204" s="55" t="s">
        <v>360</v>
      </c>
      <c r="H204" s="55" t="s">
        <v>360</v>
      </c>
      <c r="I204" s="55" t="s">
        <v>360</v>
      </c>
      <c r="J204" s="55" t="s">
        <v>360</v>
      </c>
      <c r="K204" s="55" t="s">
        <v>360</v>
      </c>
      <c r="L204" s="55" t="s">
        <v>360</v>
      </c>
      <c r="M204" s="55" t="s">
        <v>150</v>
      </c>
      <c r="N204" s="55" t="s">
        <v>150</v>
      </c>
      <c r="O204" s="55" t="s">
        <v>285</v>
      </c>
      <c r="P204" s="55" t="s">
        <v>796</v>
      </c>
      <c r="Q204" s="55" t="s">
        <v>350</v>
      </c>
      <c r="R204" s="55">
        <v>8</v>
      </c>
      <c r="S204" s="74"/>
      <c r="T204" s="55" t="s">
        <v>797</v>
      </c>
      <c r="U204" s="73" t="s">
        <v>351</v>
      </c>
      <c r="V204" s="74">
        <v>44607</v>
      </c>
      <c r="W204" s="74">
        <v>44655</v>
      </c>
      <c r="X204" s="55">
        <v>10187416</v>
      </c>
      <c r="Y204" s="74" t="s">
        <v>132</v>
      </c>
      <c r="Z204" s="74"/>
      <c r="AB204" s="55" t="s">
        <v>132</v>
      </c>
      <c r="AC204" s="55" t="s">
        <v>130</v>
      </c>
    </row>
    <row r="205" spans="1:29" ht="13" x14ac:dyDescent="0.15">
      <c r="A205" s="72" t="str">
        <f t="shared" si="3"/>
        <v>Ofsted Social Care Provider Webpage</v>
      </c>
      <c r="B205" s="55">
        <v>1241261</v>
      </c>
      <c r="D205" s="55" t="s">
        <v>373</v>
      </c>
      <c r="E205" s="74">
        <v>42650</v>
      </c>
      <c r="F205" s="55" t="s">
        <v>344</v>
      </c>
      <c r="G205" s="55" t="s">
        <v>360</v>
      </c>
      <c r="H205" s="55" t="s">
        <v>360</v>
      </c>
      <c r="I205" s="55" t="s">
        <v>360</v>
      </c>
      <c r="J205" s="55" t="s">
        <v>360</v>
      </c>
      <c r="K205" s="55" t="s">
        <v>360</v>
      </c>
      <c r="L205" s="55" t="s">
        <v>360</v>
      </c>
      <c r="M205" s="55" t="s">
        <v>172</v>
      </c>
      <c r="N205" s="55" t="s">
        <v>172</v>
      </c>
      <c r="O205" s="55" t="s">
        <v>212</v>
      </c>
      <c r="P205" s="55" t="s">
        <v>798</v>
      </c>
      <c r="Q205" s="55" t="s">
        <v>350</v>
      </c>
      <c r="R205" s="55">
        <v>2</v>
      </c>
      <c r="S205" s="74"/>
      <c r="T205" s="55" t="s">
        <v>799</v>
      </c>
      <c r="U205" s="73" t="s">
        <v>351</v>
      </c>
      <c r="V205" s="74">
        <v>44627</v>
      </c>
      <c r="W205" s="74">
        <v>44665</v>
      </c>
      <c r="X205" s="55">
        <v>10187232</v>
      </c>
      <c r="Y205" s="74" t="s">
        <v>132</v>
      </c>
      <c r="Z205" s="74"/>
      <c r="AB205" s="55" t="s">
        <v>132</v>
      </c>
      <c r="AC205" s="55" t="s">
        <v>132</v>
      </c>
    </row>
    <row r="206" spans="1:29" ht="13" x14ac:dyDescent="0.15">
      <c r="A206" s="72" t="str">
        <f t="shared" si="3"/>
        <v>Ofsted Social Care Provider Webpage</v>
      </c>
      <c r="B206" s="55">
        <v>1241263</v>
      </c>
      <c r="D206" s="55" t="s">
        <v>373</v>
      </c>
      <c r="E206" s="74">
        <v>42669</v>
      </c>
      <c r="F206" s="55" t="s">
        <v>344</v>
      </c>
      <c r="G206" s="55" t="s">
        <v>360</v>
      </c>
      <c r="H206" s="55" t="s">
        <v>360</v>
      </c>
      <c r="I206" s="55" t="s">
        <v>360</v>
      </c>
      <c r="J206" s="55" t="s">
        <v>360</v>
      </c>
      <c r="K206" s="55" t="s">
        <v>360</v>
      </c>
      <c r="L206" s="55" t="s">
        <v>360</v>
      </c>
      <c r="M206" s="55" t="s">
        <v>150</v>
      </c>
      <c r="N206" s="55" t="s">
        <v>150</v>
      </c>
      <c r="O206" s="55" t="s">
        <v>203</v>
      </c>
      <c r="P206" s="55" t="s">
        <v>800</v>
      </c>
      <c r="Q206" s="55" t="s">
        <v>350</v>
      </c>
      <c r="R206" s="55">
        <v>6</v>
      </c>
      <c r="S206" s="74"/>
      <c r="T206" s="55" t="s">
        <v>801</v>
      </c>
      <c r="U206" s="73" t="s">
        <v>351</v>
      </c>
      <c r="V206" s="74">
        <v>44453</v>
      </c>
      <c r="W206" s="74">
        <v>44508</v>
      </c>
      <c r="X206" s="55">
        <v>10187369</v>
      </c>
      <c r="Y206" s="74" t="s">
        <v>140</v>
      </c>
      <c r="Z206" s="74"/>
      <c r="AB206" s="55" t="s">
        <v>140</v>
      </c>
      <c r="AC206" s="55" t="s">
        <v>132</v>
      </c>
    </row>
    <row r="207" spans="1:29" ht="13" x14ac:dyDescent="0.15">
      <c r="A207" s="72" t="str">
        <f t="shared" si="3"/>
        <v>Ofsted Social Care Provider Webpage</v>
      </c>
      <c r="B207" s="55">
        <v>1241412</v>
      </c>
      <c r="D207" s="55" t="s">
        <v>389</v>
      </c>
      <c r="E207" s="74">
        <v>42632</v>
      </c>
      <c r="F207" s="55" t="s">
        <v>344</v>
      </c>
      <c r="G207" s="55" t="s">
        <v>802</v>
      </c>
      <c r="H207" s="55" t="s">
        <v>803</v>
      </c>
      <c r="I207" s="55" t="s">
        <v>804</v>
      </c>
      <c r="J207" s="55" t="s">
        <v>805</v>
      </c>
      <c r="K207" s="55" t="s">
        <v>147</v>
      </c>
      <c r="L207" s="55" t="s">
        <v>806</v>
      </c>
      <c r="M207" s="55" t="s">
        <v>144</v>
      </c>
      <c r="N207" s="55" t="s">
        <v>144</v>
      </c>
      <c r="O207" s="55" t="s">
        <v>147</v>
      </c>
      <c r="P207" s="55" t="s">
        <v>807</v>
      </c>
      <c r="Q207" s="55" t="s">
        <v>350</v>
      </c>
      <c r="R207" s="55"/>
      <c r="S207" s="74"/>
      <c r="T207" s="55" t="s">
        <v>802</v>
      </c>
      <c r="U207" s="73" t="s">
        <v>351</v>
      </c>
      <c r="V207" s="74">
        <v>44459</v>
      </c>
      <c r="W207" s="74">
        <v>44498</v>
      </c>
      <c r="X207" s="55">
        <v>10183392</v>
      </c>
      <c r="Y207" s="74" t="s">
        <v>140</v>
      </c>
      <c r="Z207" s="74"/>
      <c r="AB207" s="55" t="s">
        <v>140</v>
      </c>
      <c r="AC207" s="55" t="s">
        <v>132</v>
      </c>
    </row>
    <row r="208" spans="1:29" ht="13" x14ac:dyDescent="0.15">
      <c r="A208" s="72" t="str">
        <f t="shared" si="3"/>
        <v>Ofsted Social Care Provider Webpage</v>
      </c>
      <c r="B208" s="55">
        <v>1241499</v>
      </c>
      <c r="D208" s="55" t="s">
        <v>389</v>
      </c>
      <c r="E208" s="74">
        <v>42650</v>
      </c>
      <c r="F208" s="55" t="s">
        <v>344</v>
      </c>
      <c r="G208" s="55" t="s">
        <v>808</v>
      </c>
      <c r="H208" s="55" t="s">
        <v>809</v>
      </c>
      <c r="I208" s="55" t="s">
        <v>810</v>
      </c>
      <c r="J208" s="55" t="s">
        <v>811</v>
      </c>
      <c r="L208" s="55" t="s">
        <v>812</v>
      </c>
      <c r="M208" s="55" t="s">
        <v>138</v>
      </c>
      <c r="N208" s="55" t="s">
        <v>138</v>
      </c>
      <c r="O208" s="55" t="s">
        <v>183</v>
      </c>
      <c r="P208" s="55" t="s">
        <v>813</v>
      </c>
      <c r="Q208" s="55" t="s">
        <v>350</v>
      </c>
      <c r="R208" s="55"/>
      <c r="S208" s="74"/>
      <c r="T208" s="55" t="s">
        <v>814</v>
      </c>
      <c r="U208" s="73" t="s">
        <v>351</v>
      </c>
      <c r="V208" s="74">
        <v>44606</v>
      </c>
      <c r="W208" s="74">
        <v>44652</v>
      </c>
      <c r="X208" s="55">
        <v>10183360</v>
      </c>
      <c r="Y208" s="74" t="s">
        <v>132</v>
      </c>
      <c r="Z208" s="74"/>
      <c r="AB208" s="55" t="s">
        <v>132</v>
      </c>
      <c r="AC208" s="55" t="s">
        <v>132</v>
      </c>
    </row>
    <row r="209" spans="1:29" ht="13" x14ac:dyDescent="0.15">
      <c r="A209" s="72" t="str">
        <f t="shared" si="3"/>
        <v>Ofsted Social Care Provider Webpage</v>
      </c>
      <c r="B209" s="55">
        <v>1241634</v>
      </c>
      <c r="D209" s="55" t="s">
        <v>373</v>
      </c>
      <c r="E209" s="74">
        <v>42604</v>
      </c>
      <c r="F209" s="55" t="s">
        <v>344</v>
      </c>
      <c r="G209" s="55" t="s">
        <v>360</v>
      </c>
      <c r="H209" s="55" t="s">
        <v>360</v>
      </c>
      <c r="I209" s="55" t="s">
        <v>360</v>
      </c>
      <c r="J209" s="55" t="s">
        <v>360</v>
      </c>
      <c r="K209" s="55" t="s">
        <v>360</v>
      </c>
      <c r="L209" s="55" t="s">
        <v>360</v>
      </c>
      <c r="M209" s="55" t="s">
        <v>144</v>
      </c>
      <c r="N209" s="55" t="s">
        <v>144</v>
      </c>
      <c r="O209" s="55" t="s">
        <v>287</v>
      </c>
      <c r="P209" s="55" t="s">
        <v>815</v>
      </c>
      <c r="Q209" s="55" t="s">
        <v>350</v>
      </c>
      <c r="R209" s="55">
        <v>2</v>
      </c>
      <c r="S209" s="74"/>
      <c r="T209" s="55" t="s">
        <v>816</v>
      </c>
      <c r="U209" s="73" t="s">
        <v>351</v>
      </c>
      <c r="V209" s="74">
        <v>44306</v>
      </c>
      <c r="W209" s="74">
        <v>44337</v>
      </c>
      <c r="X209" s="55">
        <v>10185378</v>
      </c>
      <c r="Y209" s="74" t="s">
        <v>132</v>
      </c>
      <c r="Z209" s="74"/>
      <c r="AB209" s="55" t="s">
        <v>132</v>
      </c>
      <c r="AC209" s="55" t="s">
        <v>130</v>
      </c>
    </row>
    <row r="210" spans="1:29" ht="13" x14ac:dyDescent="0.15">
      <c r="A210" s="72" t="str">
        <f t="shared" si="3"/>
        <v>Ofsted Social Care Provider Webpage</v>
      </c>
      <c r="B210" s="55">
        <v>1241664</v>
      </c>
      <c r="D210" s="55" t="s">
        <v>389</v>
      </c>
      <c r="E210" s="74">
        <v>42759</v>
      </c>
      <c r="F210" s="55" t="s">
        <v>344</v>
      </c>
      <c r="G210" s="55" t="s">
        <v>817</v>
      </c>
      <c r="H210" s="55" t="s">
        <v>818</v>
      </c>
      <c r="I210" s="55" t="s">
        <v>354</v>
      </c>
      <c r="J210" s="55" t="s">
        <v>819</v>
      </c>
      <c r="K210" s="55" t="s">
        <v>820</v>
      </c>
      <c r="L210" s="55" t="s">
        <v>821</v>
      </c>
      <c r="M210" s="55" t="s">
        <v>138</v>
      </c>
      <c r="N210" s="55" t="s">
        <v>138</v>
      </c>
      <c r="O210" s="55" t="s">
        <v>161</v>
      </c>
      <c r="P210" s="55" t="s">
        <v>822</v>
      </c>
      <c r="Q210" s="55" t="s">
        <v>350</v>
      </c>
      <c r="R210" s="55"/>
      <c r="S210" s="74"/>
      <c r="T210" s="55" t="s">
        <v>823</v>
      </c>
      <c r="U210" s="73" t="s">
        <v>351</v>
      </c>
      <c r="V210" s="74">
        <v>43444</v>
      </c>
      <c r="W210" s="74">
        <v>43469</v>
      </c>
      <c r="X210" s="55">
        <v>10039526</v>
      </c>
      <c r="Y210" s="74" t="s">
        <v>132</v>
      </c>
      <c r="Z210" s="74"/>
      <c r="AB210" s="55" t="s">
        <v>132</v>
      </c>
      <c r="AC210" s="55" t="s">
        <v>140</v>
      </c>
    </row>
    <row r="211" spans="1:29" ht="13" x14ac:dyDescent="0.15">
      <c r="A211" s="72" t="str">
        <f t="shared" si="3"/>
        <v>Ofsted Social Care Provider Webpage</v>
      </c>
      <c r="B211" s="55">
        <v>1241752</v>
      </c>
      <c r="D211" s="55" t="s">
        <v>373</v>
      </c>
      <c r="E211" s="74">
        <v>42709</v>
      </c>
      <c r="F211" s="55" t="s">
        <v>344</v>
      </c>
      <c r="G211" s="55" t="s">
        <v>360</v>
      </c>
      <c r="H211" s="55" t="s">
        <v>360</v>
      </c>
      <c r="I211" s="55" t="s">
        <v>360</v>
      </c>
      <c r="J211" s="55" t="s">
        <v>360</v>
      </c>
      <c r="K211" s="55" t="s">
        <v>360</v>
      </c>
      <c r="L211" s="55" t="s">
        <v>360</v>
      </c>
      <c r="M211" s="55" t="s">
        <v>172</v>
      </c>
      <c r="N211" s="55" t="s">
        <v>172</v>
      </c>
      <c r="O211" s="55" t="s">
        <v>235</v>
      </c>
      <c r="P211" s="55" t="s">
        <v>628</v>
      </c>
      <c r="Q211" s="55" t="s">
        <v>362</v>
      </c>
      <c r="R211" s="55">
        <v>2</v>
      </c>
      <c r="S211" s="74"/>
      <c r="T211" s="55" t="s">
        <v>824</v>
      </c>
      <c r="U211" s="73" t="s">
        <v>351</v>
      </c>
      <c r="V211" s="74">
        <v>44579</v>
      </c>
      <c r="W211" s="74">
        <v>44609</v>
      </c>
      <c r="X211" s="55">
        <v>10187586</v>
      </c>
      <c r="Y211" s="74" t="s">
        <v>140</v>
      </c>
      <c r="Z211" s="74"/>
      <c r="AB211" s="55" t="s">
        <v>140</v>
      </c>
      <c r="AC211" s="55" t="s">
        <v>140</v>
      </c>
    </row>
    <row r="212" spans="1:29" ht="13" x14ac:dyDescent="0.15">
      <c r="A212" s="72" t="str">
        <f t="shared" si="3"/>
        <v>Ofsted Social Care Provider Webpage</v>
      </c>
      <c r="B212" s="55">
        <v>1241757</v>
      </c>
      <c r="D212" s="55" t="s">
        <v>373</v>
      </c>
      <c r="E212" s="74">
        <v>42591</v>
      </c>
      <c r="F212" s="55" t="s">
        <v>344</v>
      </c>
      <c r="G212" s="55" t="s">
        <v>360</v>
      </c>
      <c r="H212" s="55" t="s">
        <v>360</v>
      </c>
      <c r="I212" s="55" t="s">
        <v>360</v>
      </c>
      <c r="J212" s="55" t="s">
        <v>360</v>
      </c>
      <c r="K212" s="55" t="s">
        <v>360</v>
      </c>
      <c r="L212" s="55" t="s">
        <v>360</v>
      </c>
      <c r="M212" s="55" t="s">
        <v>144</v>
      </c>
      <c r="N212" s="55" t="s">
        <v>144</v>
      </c>
      <c r="O212" s="55" t="s">
        <v>287</v>
      </c>
      <c r="P212" s="55" t="s">
        <v>287</v>
      </c>
      <c r="Q212" s="55" t="s">
        <v>350</v>
      </c>
      <c r="R212" s="55">
        <v>3</v>
      </c>
      <c r="S212" s="74"/>
      <c r="T212" s="55" t="s">
        <v>513</v>
      </c>
      <c r="U212" s="73" t="s">
        <v>351</v>
      </c>
      <c r="V212" s="74">
        <v>44614</v>
      </c>
      <c r="W212" s="74">
        <v>44655</v>
      </c>
      <c r="X212" s="55">
        <v>10185116</v>
      </c>
      <c r="Y212" s="74" t="s">
        <v>132</v>
      </c>
      <c r="Z212" s="74"/>
      <c r="AB212" s="55" t="s">
        <v>132</v>
      </c>
      <c r="AC212" s="55" t="s">
        <v>132</v>
      </c>
    </row>
    <row r="213" spans="1:29" ht="13" x14ac:dyDescent="0.15">
      <c r="A213" s="72" t="str">
        <f t="shared" si="3"/>
        <v>Ofsted Social Care Provider Webpage</v>
      </c>
      <c r="B213" s="55">
        <v>1241776</v>
      </c>
      <c r="D213" s="55" t="s">
        <v>373</v>
      </c>
      <c r="E213" s="74">
        <v>42782</v>
      </c>
      <c r="F213" s="55" t="s">
        <v>344</v>
      </c>
      <c r="G213" s="55" t="s">
        <v>360</v>
      </c>
      <c r="H213" s="55" t="s">
        <v>360</v>
      </c>
      <c r="I213" s="55" t="s">
        <v>360</v>
      </c>
      <c r="J213" s="55" t="s">
        <v>360</v>
      </c>
      <c r="K213" s="55" t="s">
        <v>360</v>
      </c>
      <c r="L213" s="55" t="s">
        <v>360</v>
      </c>
      <c r="M213" s="55" t="s">
        <v>142</v>
      </c>
      <c r="N213" s="55" t="s">
        <v>142</v>
      </c>
      <c r="O213" s="55" t="s">
        <v>282</v>
      </c>
      <c r="P213" s="55" t="s">
        <v>355</v>
      </c>
      <c r="Q213" s="55" t="s">
        <v>350</v>
      </c>
      <c r="R213" s="55">
        <v>4</v>
      </c>
      <c r="S213" s="74"/>
      <c r="T213" s="55" t="s">
        <v>493</v>
      </c>
      <c r="U213" s="73" t="s">
        <v>351</v>
      </c>
      <c r="V213" s="74">
        <v>44607</v>
      </c>
      <c r="W213" s="74">
        <v>44643</v>
      </c>
      <c r="X213" s="55">
        <v>10187512</v>
      </c>
      <c r="Y213" s="74" t="s">
        <v>132</v>
      </c>
      <c r="Z213" s="74"/>
      <c r="AB213" s="55" t="s">
        <v>132</v>
      </c>
      <c r="AC213" s="55" t="s">
        <v>132</v>
      </c>
    </row>
    <row r="214" spans="1:29" ht="13" x14ac:dyDescent="0.15">
      <c r="A214" s="72" t="str">
        <f t="shared" si="3"/>
        <v>Ofsted Social Care Provider Webpage</v>
      </c>
      <c r="B214" s="55">
        <v>1241781</v>
      </c>
      <c r="C214" s="55">
        <v>143046</v>
      </c>
      <c r="D214" s="55" t="s">
        <v>398</v>
      </c>
      <c r="E214" s="74">
        <v>42795</v>
      </c>
      <c r="F214" s="55" t="s">
        <v>344</v>
      </c>
      <c r="G214" s="55" t="s">
        <v>825</v>
      </c>
      <c r="H214" s="55" t="s">
        <v>826</v>
      </c>
      <c r="I214" s="55" t="s">
        <v>354</v>
      </c>
      <c r="J214" s="55" t="s">
        <v>827</v>
      </c>
      <c r="L214" s="55" t="s">
        <v>828</v>
      </c>
      <c r="M214" s="55" t="s">
        <v>150</v>
      </c>
      <c r="N214" s="55" t="s">
        <v>150</v>
      </c>
      <c r="O214" s="55" t="s">
        <v>153</v>
      </c>
      <c r="P214" s="55" t="s">
        <v>829</v>
      </c>
      <c r="Q214" s="55" t="s">
        <v>350</v>
      </c>
      <c r="R214" s="55">
        <v>83</v>
      </c>
      <c r="S214" s="74"/>
      <c r="U214" s="73" t="s">
        <v>351</v>
      </c>
      <c r="V214" s="74">
        <v>44467</v>
      </c>
      <c r="W214" s="74">
        <v>44517</v>
      </c>
      <c r="X214" s="55">
        <v>10183337</v>
      </c>
      <c r="Y214" s="74" t="s">
        <v>132</v>
      </c>
      <c r="Z214" s="74"/>
      <c r="AB214" s="55" t="s">
        <v>132</v>
      </c>
      <c r="AC214" s="55" t="s">
        <v>132</v>
      </c>
    </row>
    <row r="215" spans="1:29" ht="13" x14ac:dyDescent="0.15">
      <c r="A215" s="72" t="str">
        <f t="shared" si="3"/>
        <v>Ofsted Social Care Provider Webpage</v>
      </c>
      <c r="B215" s="55">
        <v>1241782</v>
      </c>
      <c r="D215" s="55" t="s">
        <v>373</v>
      </c>
      <c r="E215" s="74">
        <v>42718</v>
      </c>
      <c r="F215" s="55" t="s">
        <v>344</v>
      </c>
      <c r="G215" s="55" t="s">
        <v>360</v>
      </c>
      <c r="H215" s="55" t="s">
        <v>360</v>
      </c>
      <c r="I215" s="55" t="s">
        <v>360</v>
      </c>
      <c r="J215" s="55" t="s">
        <v>360</v>
      </c>
      <c r="K215" s="55" t="s">
        <v>360</v>
      </c>
      <c r="L215" s="55" t="s">
        <v>360</v>
      </c>
      <c r="M215" s="55" t="s">
        <v>144</v>
      </c>
      <c r="N215" s="55" t="s">
        <v>144</v>
      </c>
      <c r="O215" s="55" t="s">
        <v>209</v>
      </c>
      <c r="P215" s="55" t="s">
        <v>474</v>
      </c>
      <c r="Q215" s="55" t="s">
        <v>380</v>
      </c>
      <c r="R215" s="55">
        <v>6</v>
      </c>
      <c r="S215" s="74"/>
      <c r="T215" s="55" t="s">
        <v>657</v>
      </c>
      <c r="U215" s="73" t="s">
        <v>351</v>
      </c>
      <c r="V215" s="74">
        <v>44299</v>
      </c>
      <c r="W215" s="74">
        <v>44336</v>
      </c>
      <c r="X215" s="55">
        <v>10185024</v>
      </c>
      <c r="Y215" s="74" t="s">
        <v>132</v>
      </c>
      <c r="Z215" s="74"/>
      <c r="AB215" s="55" t="s">
        <v>132</v>
      </c>
      <c r="AC215" s="55" t="s">
        <v>132</v>
      </c>
    </row>
    <row r="216" spans="1:29" ht="13" x14ac:dyDescent="0.15">
      <c r="A216" s="72" t="str">
        <f t="shared" si="3"/>
        <v>Ofsted Social Care Provider Webpage</v>
      </c>
      <c r="B216" s="55">
        <v>1241785</v>
      </c>
      <c r="D216" s="55" t="s">
        <v>373</v>
      </c>
      <c r="E216" s="74">
        <v>42759</v>
      </c>
      <c r="F216" s="55" t="s">
        <v>344</v>
      </c>
      <c r="G216" s="55" t="s">
        <v>360</v>
      </c>
      <c r="H216" s="55" t="s">
        <v>360</v>
      </c>
      <c r="I216" s="55" t="s">
        <v>360</v>
      </c>
      <c r="J216" s="55" t="s">
        <v>360</v>
      </c>
      <c r="K216" s="55" t="s">
        <v>360</v>
      </c>
      <c r="L216" s="55" t="s">
        <v>360</v>
      </c>
      <c r="M216" s="55" t="s">
        <v>150</v>
      </c>
      <c r="N216" s="55" t="s">
        <v>150</v>
      </c>
      <c r="O216" s="55" t="s">
        <v>190</v>
      </c>
      <c r="P216" s="55" t="s">
        <v>830</v>
      </c>
      <c r="Q216" s="55" t="s">
        <v>350</v>
      </c>
      <c r="R216" s="55">
        <v>9</v>
      </c>
      <c r="S216" s="74"/>
      <c r="T216" s="55" t="s">
        <v>450</v>
      </c>
      <c r="U216" s="73" t="s">
        <v>351</v>
      </c>
      <c r="V216" s="74">
        <v>44307</v>
      </c>
      <c r="W216" s="74">
        <v>44355</v>
      </c>
      <c r="X216" s="55">
        <v>10186421</v>
      </c>
      <c r="Y216" s="74" t="s">
        <v>132</v>
      </c>
      <c r="Z216" s="74"/>
      <c r="AB216" s="55" t="s">
        <v>132</v>
      </c>
      <c r="AC216" s="55" t="s">
        <v>132</v>
      </c>
    </row>
    <row r="217" spans="1:29" ht="13" x14ac:dyDescent="0.15">
      <c r="A217" s="72" t="str">
        <f t="shared" si="3"/>
        <v>Ofsted Social Care Provider Webpage</v>
      </c>
      <c r="B217" s="55">
        <v>1241789</v>
      </c>
      <c r="D217" s="55" t="s">
        <v>373</v>
      </c>
      <c r="E217" s="74">
        <v>42605</v>
      </c>
      <c r="F217" s="55" t="s">
        <v>344</v>
      </c>
      <c r="G217" s="55" t="s">
        <v>360</v>
      </c>
      <c r="H217" s="55" t="s">
        <v>360</v>
      </c>
      <c r="I217" s="55" t="s">
        <v>360</v>
      </c>
      <c r="J217" s="55" t="s">
        <v>360</v>
      </c>
      <c r="K217" s="55" t="s">
        <v>360</v>
      </c>
      <c r="L217" s="55" t="s">
        <v>360</v>
      </c>
      <c r="M217" s="55" t="s">
        <v>172</v>
      </c>
      <c r="N217" s="55" t="s">
        <v>172</v>
      </c>
      <c r="O217" s="55" t="s">
        <v>212</v>
      </c>
      <c r="P217" s="55" t="s">
        <v>592</v>
      </c>
      <c r="Q217" s="55" t="s">
        <v>350</v>
      </c>
      <c r="R217" s="55">
        <v>3</v>
      </c>
      <c r="S217" s="74"/>
      <c r="T217" s="55" t="s">
        <v>489</v>
      </c>
      <c r="U217" s="73" t="s">
        <v>351</v>
      </c>
      <c r="V217" s="74">
        <v>44614</v>
      </c>
      <c r="W217" s="74">
        <v>44652</v>
      </c>
      <c r="X217" s="55">
        <v>10186477</v>
      </c>
      <c r="Y217" s="74" t="s">
        <v>132</v>
      </c>
      <c r="Z217" s="74"/>
      <c r="AB217" s="55" t="s">
        <v>132</v>
      </c>
      <c r="AC217" s="55" t="s">
        <v>132</v>
      </c>
    </row>
    <row r="218" spans="1:29" ht="13" x14ac:dyDescent="0.15">
      <c r="A218" s="72" t="str">
        <f t="shared" si="3"/>
        <v>Ofsted Social Care Provider Webpage</v>
      </c>
      <c r="B218" s="55">
        <v>1241836</v>
      </c>
      <c r="D218" s="55" t="s">
        <v>373</v>
      </c>
      <c r="E218" s="74">
        <v>42759</v>
      </c>
      <c r="F218" s="55" t="s">
        <v>344</v>
      </c>
      <c r="G218" s="55" t="s">
        <v>360</v>
      </c>
      <c r="H218" s="55" t="s">
        <v>360</v>
      </c>
      <c r="I218" s="55" t="s">
        <v>360</v>
      </c>
      <c r="J218" s="55" t="s">
        <v>360</v>
      </c>
      <c r="K218" s="55" t="s">
        <v>360</v>
      </c>
      <c r="L218" s="55" t="s">
        <v>360</v>
      </c>
      <c r="M218" s="55" t="s">
        <v>150</v>
      </c>
      <c r="N218" s="55" t="s">
        <v>150</v>
      </c>
      <c r="O218" s="55" t="s">
        <v>190</v>
      </c>
      <c r="P218" s="55" t="s">
        <v>830</v>
      </c>
      <c r="Q218" s="55" t="s">
        <v>350</v>
      </c>
      <c r="R218" s="55">
        <v>7</v>
      </c>
      <c r="S218" s="74"/>
      <c r="T218" s="55" t="s">
        <v>450</v>
      </c>
      <c r="U218" s="73" t="s">
        <v>351</v>
      </c>
      <c r="V218" s="74">
        <v>44453</v>
      </c>
      <c r="W218" s="74">
        <v>44494</v>
      </c>
      <c r="X218" s="55">
        <v>10186436</v>
      </c>
      <c r="Y218" s="74" t="s">
        <v>132</v>
      </c>
      <c r="Z218" s="74"/>
      <c r="AB218" s="55" t="s">
        <v>132</v>
      </c>
      <c r="AC218" s="55" t="s">
        <v>132</v>
      </c>
    </row>
    <row r="219" spans="1:29" ht="13" x14ac:dyDescent="0.15">
      <c r="A219" s="72" t="str">
        <f t="shared" si="3"/>
        <v>Ofsted Social Care Provider Webpage</v>
      </c>
      <c r="B219" s="55">
        <v>1241840</v>
      </c>
      <c r="D219" s="55" t="s">
        <v>373</v>
      </c>
      <c r="E219" s="74">
        <v>42612</v>
      </c>
      <c r="F219" s="55" t="s">
        <v>344</v>
      </c>
      <c r="G219" s="55" t="s">
        <v>360</v>
      </c>
      <c r="H219" s="55" t="s">
        <v>360</v>
      </c>
      <c r="I219" s="55" t="s">
        <v>360</v>
      </c>
      <c r="J219" s="55" t="s">
        <v>360</v>
      </c>
      <c r="K219" s="55" t="s">
        <v>360</v>
      </c>
      <c r="L219" s="55" t="s">
        <v>360</v>
      </c>
      <c r="M219" s="55" t="s">
        <v>136</v>
      </c>
      <c r="N219" s="55" t="s">
        <v>136</v>
      </c>
      <c r="O219" s="55" t="s">
        <v>135</v>
      </c>
      <c r="P219" s="55" t="s">
        <v>831</v>
      </c>
      <c r="Q219" s="55" t="s">
        <v>350</v>
      </c>
      <c r="R219" s="55">
        <v>4</v>
      </c>
      <c r="S219" s="74"/>
      <c r="T219" s="55" t="s">
        <v>832</v>
      </c>
      <c r="U219" s="73" t="s">
        <v>351</v>
      </c>
      <c r="V219" s="74">
        <v>44362</v>
      </c>
      <c r="W219" s="74">
        <v>44393</v>
      </c>
      <c r="X219" s="55">
        <v>10186379</v>
      </c>
      <c r="Y219" s="74" t="s">
        <v>130</v>
      </c>
      <c r="Z219" s="74"/>
      <c r="AB219" s="55" t="s">
        <v>132</v>
      </c>
      <c r="AC219" s="55" t="s">
        <v>130</v>
      </c>
    </row>
    <row r="220" spans="1:29" ht="13" x14ac:dyDescent="0.15">
      <c r="A220" s="72" t="str">
        <f t="shared" si="3"/>
        <v>Ofsted Social Care Provider Webpage</v>
      </c>
      <c r="B220" s="55">
        <v>1241855</v>
      </c>
      <c r="D220" s="55" t="s">
        <v>373</v>
      </c>
      <c r="E220" s="74">
        <v>42762</v>
      </c>
      <c r="F220" s="55" t="s">
        <v>344</v>
      </c>
      <c r="G220" s="55" t="s">
        <v>360</v>
      </c>
      <c r="H220" s="55" t="s">
        <v>360</v>
      </c>
      <c r="I220" s="55" t="s">
        <v>360</v>
      </c>
      <c r="J220" s="55" t="s">
        <v>360</v>
      </c>
      <c r="K220" s="55" t="s">
        <v>360</v>
      </c>
      <c r="L220" s="55" t="s">
        <v>360</v>
      </c>
      <c r="M220" s="55" t="s">
        <v>142</v>
      </c>
      <c r="N220" s="55" t="s">
        <v>142</v>
      </c>
      <c r="O220" s="55" t="s">
        <v>141</v>
      </c>
      <c r="P220" s="55" t="s">
        <v>774</v>
      </c>
      <c r="Q220" s="55" t="s">
        <v>350</v>
      </c>
      <c r="R220" s="55">
        <v>4</v>
      </c>
      <c r="S220" s="74"/>
      <c r="T220" s="55" t="s">
        <v>613</v>
      </c>
      <c r="U220" s="73" t="s">
        <v>351</v>
      </c>
      <c r="V220" s="74">
        <v>44335</v>
      </c>
      <c r="W220" s="74">
        <v>44379</v>
      </c>
      <c r="X220" s="55">
        <v>10187629</v>
      </c>
      <c r="Y220" s="74" t="s">
        <v>132</v>
      </c>
      <c r="Z220" s="74"/>
      <c r="AB220" s="55" t="s">
        <v>132</v>
      </c>
      <c r="AC220" s="55" t="s">
        <v>132</v>
      </c>
    </row>
    <row r="221" spans="1:29" ht="13" x14ac:dyDescent="0.15">
      <c r="A221" s="72" t="str">
        <f t="shared" si="3"/>
        <v>Ofsted Social Care Provider Webpage</v>
      </c>
      <c r="B221" s="55">
        <v>1241897</v>
      </c>
      <c r="D221" s="55" t="s">
        <v>373</v>
      </c>
      <c r="E221" s="74">
        <v>42703</v>
      </c>
      <c r="F221" s="55" t="s">
        <v>344</v>
      </c>
      <c r="G221" s="55" t="s">
        <v>360</v>
      </c>
      <c r="H221" s="55" t="s">
        <v>360</v>
      </c>
      <c r="I221" s="55" t="s">
        <v>360</v>
      </c>
      <c r="J221" s="55" t="s">
        <v>360</v>
      </c>
      <c r="K221" s="55" t="s">
        <v>360</v>
      </c>
      <c r="L221" s="55" t="s">
        <v>360</v>
      </c>
      <c r="M221" s="55" t="s">
        <v>138</v>
      </c>
      <c r="N221" s="55" t="s">
        <v>138</v>
      </c>
      <c r="O221" s="55" t="s">
        <v>183</v>
      </c>
      <c r="P221" s="55" t="s">
        <v>510</v>
      </c>
      <c r="Q221" s="55" t="s">
        <v>350</v>
      </c>
      <c r="R221" s="55">
        <v>8</v>
      </c>
      <c r="S221" s="74"/>
      <c r="T221" s="55" t="s">
        <v>644</v>
      </c>
      <c r="U221" s="73" t="s">
        <v>351</v>
      </c>
      <c r="V221" s="74">
        <v>44399</v>
      </c>
      <c r="W221" s="74">
        <v>44428</v>
      </c>
      <c r="X221" s="55">
        <v>10185103</v>
      </c>
      <c r="Y221" s="74" t="s">
        <v>130</v>
      </c>
      <c r="Z221" s="74"/>
      <c r="AB221" s="55" t="s">
        <v>130</v>
      </c>
      <c r="AC221" s="55" t="s">
        <v>130</v>
      </c>
    </row>
    <row r="222" spans="1:29" ht="13" x14ac:dyDescent="0.15">
      <c r="A222" s="72" t="str">
        <f t="shared" si="3"/>
        <v>Ofsted Social Care Provider Webpage</v>
      </c>
      <c r="B222" s="55">
        <v>1241939</v>
      </c>
      <c r="D222" s="55" t="s">
        <v>373</v>
      </c>
      <c r="E222" s="74">
        <v>42704</v>
      </c>
      <c r="F222" s="55" t="s">
        <v>344</v>
      </c>
      <c r="G222" s="55" t="s">
        <v>360</v>
      </c>
      <c r="H222" s="55" t="s">
        <v>360</v>
      </c>
      <c r="I222" s="55" t="s">
        <v>360</v>
      </c>
      <c r="J222" s="55" t="s">
        <v>360</v>
      </c>
      <c r="K222" s="55" t="s">
        <v>360</v>
      </c>
      <c r="L222" s="55" t="s">
        <v>360</v>
      </c>
      <c r="M222" s="55" t="s">
        <v>150</v>
      </c>
      <c r="N222" s="55" t="s">
        <v>150</v>
      </c>
      <c r="O222" s="55" t="s">
        <v>199</v>
      </c>
      <c r="P222" s="55" t="s">
        <v>199</v>
      </c>
      <c r="Q222" s="55" t="s">
        <v>350</v>
      </c>
      <c r="R222" s="55">
        <v>3</v>
      </c>
      <c r="S222" s="74"/>
      <c r="T222" s="55" t="s">
        <v>833</v>
      </c>
      <c r="U222" s="73" t="s">
        <v>351</v>
      </c>
      <c r="V222" s="74">
        <v>43810</v>
      </c>
      <c r="W222" s="74">
        <v>43853</v>
      </c>
      <c r="X222" s="55">
        <v>10097809</v>
      </c>
      <c r="Y222" s="74" t="s">
        <v>132</v>
      </c>
      <c r="Z222" s="74"/>
      <c r="AB222" s="55" t="s">
        <v>132</v>
      </c>
      <c r="AC222" s="55" t="s">
        <v>132</v>
      </c>
    </row>
    <row r="223" spans="1:29" ht="13" x14ac:dyDescent="0.15">
      <c r="A223" s="72" t="str">
        <f t="shared" si="3"/>
        <v>Ofsted Social Care Provider Webpage</v>
      </c>
      <c r="B223" s="55">
        <v>1241970</v>
      </c>
      <c r="D223" s="55" t="s">
        <v>373</v>
      </c>
      <c r="E223" s="74">
        <v>42744</v>
      </c>
      <c r="F223" s="55" t="s">
        <v>344</v>
      </c>
      <c r="G223" s="55" t="s">
        <v>360</v>
      </c>
      <c r="H223" s="55" t="s">
        <v>360</v>
      </c>
      <c r="I223" s="55" t="s">
        <v>360</v>
      </c>
      <c r="J223" s="55" t="s">
        <v>360</v>
      </c>
      <c r="K223" s="55" t="s">
        <v>360</v>
      </c>
      <c r="L223" s="55" t="s">
        <v>360</v>
      </c>
      <c r="M223" s="55" t="s">
        <v>144</v>
      </c>
      <c r="N223" s="55" t="s">
        <v>144</v>
      </c>
      <c r="O223" s="55" t="s">
        <v>168</v>
      </c>
      <c r="P223" s="55" t="s">
        <v>834</v>
      </c>
      <c r="Q223" s="55" t="s">
        <v>350</v>
      </c>
      <c r="R223" s="55">
        <v>2</v>
      </c>
      <c r="S223" s="74"/>
      <c r="T223" s="55" t="s">
        <v>485</v>
      </c>
      <c r="U223" s="73" t="s">
        <v>351</v>
      </c>
      <c r="V223" s="74">
        <v>44621</v>
      </c>
      <c r="W223" s="74">
        <v>44678</v>
      </c>
      <c r="X223" s="55">
        <v>10187598</v>
      </c>
      <c r="Y223" s="74" t="s">
        <v>132</v>
      </c>
      <c r="Z223" s="74"/>
      <c r="AB223" s="55" t="s">
        <v>132</v>
      </c>
      <c r="AC223" s="55" t="s">
        <v>132</v>
      </c>
    </row>
    <row r="224" spans="1:29" ht="13" x14ac:dyDescent="0.15">
      <c r="A224" s="72" t="str">
        <f t="shared" si="3"/>
        <v>Ofsted Social Care Provider Webpage</v>
      </c>
      <c r="B224" s="55">
        <v>1241975</v>
      </c>
      <c r="D224" s="55" t="s">
        <v>373</v>
      </c>
      <c r="E224" s="74">
        <v>42806</v>
      </c>
      <c r="F224" s="55" t="s">
        <v>344</v>
      </c>
      <c r="G224" s="55" t="s">
        <v>360</v>
      </c>
      <c r="H224" s="55" t="s">
        <v>360</v>
      </c>
      <c r="I224" s="55" t="s">
        <v>360</v>
      </c>
      <c r="J224" s="55" t="s">
        <v>360</v>
      </c>
      <c r="K224" s="55" t="s">
        <v>360</v>
      </c>
      <c r="L224" s="55" t="s">
        <v>360</v>
      </c>
      <c r="M224" s="55" t="s">
        <v>142</v>
      </c>
      <c r="N224" s="55" t="s">
        <v>142</v>
      </c>
      <c r="O224" s="55" t="s">
        <v>177</v>
      </c>
      <c r="P224" s="55" t="s">
        <v>835</v>
      </c>
      <c r="Q224" s="55" t="s">
        <v>350</v>
      </c>
      <c r="R224" s="55">
        <v>4</v>
      </c>
      <c r="S224" s="74"/>
      <c r="T224" s="55" t="s">
        <v>489</v>
      </c>
      <c r="U224" s="73" t="s">
        <v>351</v>
      </c>
      <c r="V224" s="74">
        <v>43334</v>
      </c>
      <c r="W224" s="74">
        <v>43353</v>
      </c>
      <c r="X224" s="55">
        <v>10051209</v>
      </c>
      <c r="Y224" s="74" t="s">
        <v>132</v>
      </c>
      <c r="Z224" s="74"/>
      <c r="AB224" s="55" t="s">
        <v>132</v>
      </c>
      <c r="AC224" s="55" t="s">
        <v>132</v>
      </c>
    </row>
    <row r="225" spans="1:29" ht="13" x14ac:dyDescent="0.15">
      <c r="A225" s="72" t="str">
        <f t="shared" si="3"/>
        <v>Ofsted Social Care Provider Webpage</v>
      </c>
      <c r="B225" s="55">
        <v>1242101</v>
      </c>
      <c r="D225" s="55" t="s">
        <v>389</v>
      </c>
      <c r="E225" s="74">
        <v>42751</v>
      </c>
      <c r="F225" s="55" t="s">
        <v>344</v>
      </c>
      <c r="G225" s="55" t="s">
        <v>836</v>
      </c>
      <c r="H225" s="55" t="s">
        <v>837</v>
      </c>
      <c r="I225" s="55" t="s">
        <v>838</v>
      </c>
      <c r="J225" s="55" t="s">
        <v>839</v>
      </c>
      <c r="K225" s="55" t="s">
        <v>183</v>
      </c>
      <c r="L225" s="55" t="s">
        <v>840</v>
      </c>
      <c r="M225" s="55" t="s">
        <v>138</v>
      </c>
      <c r="N225" s="55" t="s">
        <v>138</v>
      </c>
      <c r="O225" s="55" t="s">
        <v>259</v>
      </c>
      <c r="P225" s="55" t="s">
        <v>637</v>
      </c>
      <c r="Q225" s="55" t="s">
        <v>350</v>
      </c>
      <c r="R225" s="55"/>
      <c r="S225" s="74"/>
      <c r="T225" s="55" t="s">
        <v>836</v>
      </c>
      <c r="U225" s="73" t="s">
        <v>351</v>
      </c>
      <c r="V225" s="74">
        <v>44585</v>
      </c>
      <c r="W225" s="74">
        <v>44629</v>
      </c>
      <c r="X225" s="55">
        <v>10183346</v>
      </c>
      <c r="Y225" s="74" t="s">
        <v>132</v>
      </c>
      <c r="Z225" s="74"/>
      <c r="AB225" s="55" t="s">
        <v>132</v>
      </c>
      <c r="AC225" s="55" t="s">
        <v>132</v>
      </c>
    </row>
    <row r="226" spans="1:29" ht="13" x14ac:dyDescent="0.15">
      <c r="A226" s="72" t="str">
        <f t="shared" si="3"/>
        <v>Ofsted Social Care Provider Webpage</v>
      </c>
      <c r="B226" s="55">
        <v>1242116</v>
      </c>
      <c r="D226" s="55" t="s">
        <v>373</v>
      </c>
      <c r="E226" s="74">
        <v>42674</v>
      </c>
      <c r="F226" s="55" t="s">
        <v>344</v>
      </c>
      <c r="G226" s="55" t="s">
        <v>360</v>
      </c>
      <c r="H226" s="55" t="s">
        <v>360</v>
      </c>
      <c r="I226" s="55" t="s">
        <v>360</v>
      </c>
      <c r="J226" s="55" t="s">
        <v>360</v>
      </c>
      <c r="K226" s="55" t="s">
        <v>360</v>
      </c>
      <c r="L226" s="55" t="s">
        <v>360</v>
      </c>
      <c r="M226" s="55" t="s">
        <v>144</v>
      </c>
      <c r="N226" s="55" t="s">
        <v>144</v>
      </c>
      <c r="O226" s="55" t="s">
        <v>207</v>
      </c>
      <c r="P226" s="55" t="s">
        <v>207</v>
      </c>
      <c r="Q226" s="55" t="s">
        <v>380</v>
      </c>
      <c r="R226" s="55">
        <v>4</v>
      </c>
      <c r="S226" s="74"/>
      <c r="T226" s="55" t="s">
        <v>841</v>
      </c>
      <c r="U226" s="73" t="s">
        <v>351</v>
      </c>
      <c r="V226" s="74">
        <v>43592</v>
      </c>
      <c r="W226" s="74">
        <v>43640</v>
      </c>
      <c r="X226" s="55">
        <v>10097793</v>
      </c>
      <c r="Y226" s="74" t="s">
        <v>132</v>
      </c>
      <c r="Z226" s="74"/>
      <c r="AB226" s="55" t="s">
        <v>132</v>
      </c>
      <c r="AC226" s="55" t="s">
        <v>132</v>
      </c>
    </row>
    <row r="227" spans="1:29" ht="13" x14ac:dyDescent="0.15">
      <c r="A227" s="72" t="str">
        <f t="shared" si="3"/>
        <v>Ofsted Social Care Provider Webpage</v>
      </c>
      <c r="B227" s="55">
        <v>1242216</v>
      </c>
      <c r="D227" s="55" t="s">
        <v>373</v>
      </c>
      <c r="E227" s="74">
        <v>42635</v>
      </c>
      <c r="F227" s="55" t="s">
        <v>344</v>
      </c>
      <c r="G227" s="55" t="s">
        <v>360</v>
      </c>
      <c r="H227" s="55" t="s">
        <v>360</v>
      </c>
      <c r="I227" s="55" t="s">
        <v>360</v>
      </c>
      <c r="J227" s="55" t="s">
        <v>360</v>
      </c>
      <c r="K227" s="55" t="s">
        <v>360</v>
      </c>
      <c r="L227" s="55" t="s">
        <v>360</v>
      </c>
      <c r="M227" s="55" t="s">
        <v>172</v>
      </c>
      <c r="N227" s="55" t="s">
        <v>172</v>
      </c>
      <c r="O227" s="55" t="s">
        <v>212</v>
      </c>
      <c r="P227" s="55" t="s">
        <v>842</v>
      </c>
      <c r="Q227" s="55" t="s">
        <v>350</v>
      </c>
      <c r="R227" s="55">
        <v>4</v>
      </c>
      <c r="S227" s="74"/>
      <c r="T227" s="55" t="s">
        <v>843</v>
      </c>
      <c r="U227" s="73" t="s">
        <v>351</v>
      </c>
      <c r="V227" s="74">
        <v>44516</v>
      </c>
      <c r="W227" s="74">
        <v>44546</v>
      </c>
      <c r="X227" s="55">
        <v>10186819</v>
      </c>
      <c r="Y227" s="74" t="s">
        <v>132</v>
      </c>
      <c r="Z227" s="74"/>
      <c r="AB227" s="55" t="s">
        <v>132</v>
      </c>
      <c r="AC227" s="55" t="s">
        <v>132</v>
      </c>
    </row>
    <row r="228" spans="1:29" ht="13" x14ac:dyDescent="0.15">
      <c r="A228" s="72" t="str">
        <f t="shared" si="3"/>
        <v>Ofsted Social Care Provider Webpage</v>
      </c>
      <c r="B228" s="55">
        <v>1243868</v>
      </c>
      <c r="D228" s="55" t="s">
        <v>389</v>
      </c>
      <c r="E228" s="74">
        <v>42712</v>
      </c>
      <c r="F228" s="55" t="s">
        <v>344</v>
      </c>
      <c r="G228" s="55" t="s">
        <v>844</v>
      </c>
      <c r="H228" s="55" t="s">
        <v>845</v>
      </c>
      <c r="I228" s="55" t="s">
        <v>354</v>
      </c>
      <c r="J228" s="55" t="s">
        <v>846</v>
      </c>
      <c r="L228" s="55" t="s">
        <v>847</v>
      </c>
      <c r="M228" s="55" t="s">
        <v>138</v>
      </c>
      <c r="N228" s="55" t="s">
        <v>138</v>
      </c>
      <c r="O228" s="55" t="s">
        <v>196</v>
      </c>
      <c r="P228" s="55" t="s">
        <v>848</v>
      </c>
      <c r="Q228" s="55" t="s">
        <v>350</v>
      </c>
      <c r="R228" s="55"/>
      <c r="S228" s="74"/>
      <c r="T228" s="55" t="s">
        <v>849</v>
      </c>
      <c r="U228" s="73" t="s">
        <v>351</v>
      </c>
      <c r="V228" s="74">
        <v>43528</v>
      </c>
      <c r="W228" s="74">
        <v>43553</v>
      </c>
      <c r="X228" s="55">
        <v>10092767</v>
      </c>
      <c r="Y228" s="74" t="s">
        <v>132</v>
      </c>
      <c r="Z228" s="74"/>
      <c r="AB228" s="55" t="s">
        <v>132</v>
      </c>
      <c r="AC228" s="55" t="s">
        <v>132</v>
      </c>
    </row>
    <row r="229" spans="1:29" ht="13" x14ac:dyDescent="0.15">
      <c r="A229" s="72" t="str">
        <f t="shared" si="3"/>
        <v>Ofsted Social Care Provider Webpage</v>
      </c>
      <c r="B229" s="55">
        <v>1243962</v>
      </c>
      <c r="D229" s="55" t="s">
        <v>373</v>
      </c>
      <c r="E229" s="74">
        <v>43052</v>
      </c>
      <c r="F229" s="55" t="s">
        <v>344</v>
      </c>
      <c r="G229" s="55" t="s">
        <v>360</v>
      </c>
      <c r="H229" s="55" t="s">
        <v>360</v>
      </c>
      <c r="I229" s="55" t="s">
        <v>360</v>
      </c>
      <c r="J229" s="55" t="s">
        <v>360</v>
      </c>
      <c r="K229" s="55" t="s">
        <v>360</v>
      </c>
      <c r="L229" s="55" t="s">
        <v>360</v>
      </c>
      <c r="M229" s="55" t="s">
        <v>142</v>
      </c>
      <c r="N229" s="55" t="s">
        <v>142</v>
      </c>
      <c r="O229" s="55" t="s">
        <v>262</v>
      </c>
      <c r="P229" s="55" t="s">
        <v>850</v>
      </c>
      <c r="Q229" s="55" t="s">
        <v>851</v>
      </c>
      <c r="R229" s="55">
        <v>6</v>
      </c>
      <c r="S229" s="74" t="s">
        <v>332</v>
      </c>
      <c r="T229" s="55" t="s">
        <v>852</v>
      </c>
      <c r="U229" s="73" t="s">
        <v>351</v>
      </c>
      <c r="V229" s="74">
        <v>44529</v>
      </c>
      <c r="W229" s="74">
        <v>44586</v>
      </c>
      <c r="X229" s="55">
        <v>10186994</v>
      </c>
      <c r="Y229" s="74" t="s">
        <v>132</v>
      </c>
      <c r="Z229" s="74"/>
      <c r="AB229" s="55" t="s">
        <v>132</v>
      </c>
      <c r="AC229" s="55" t="s">
        <v>132</v>
      </c>
    </row>
    <row r="230" spans="1:29" ht="13" x14ac:dyDescent="0.15">
      <c r="A230" s="72" t="str">
        <f t="shared" si="3"/>
        <v>Ofsted Social Care Provider Webpage</v>
      </c>
      <c r="B230" s="55">
        <v>1244000</v>
      </c>
      <c r="D230" s="55" t="s">
        <v>373</v>
      </c>
      <c r="E230" s="74">
        <v>42643</v>
      </c>
      <c r="F230" s="55" t="s">
        <v>344</v>
      </c>
      <c r="G230" s="55" t="s">
        <v>360</v>
      </c>
      <c r="H230" s="55" t="s">
        <v>360</v>
      </c>
      <c r="I230" s="55" t="s">
        <v>360</v>
      </c>
      <c r="J230" s="55" t="s">
        <v>360</v>
      </c>
      <c r="K230" s="55" t="s">
        <v>360</v>
      </c>
      <c r="L230" s="55" t="s">
        <v>360</v>
      </c>
      <c r="M230" s="55" t="s">
        <v>142</v>
      </c>
      <c r="N230" s="55" t="s">
        <v>142</v>
      </c>
      <c r="O230" s="55" t="s">
        <v>272</v>
      </c>
      <c r="P230" s="55" t="s">
        <v>653</v>
      </c>
      <c r="Q230" s="55" t="s">
        <v>350</v>
      </c>
      <c r="R230" s="55">
        <v>5</v>
      </c>
      <c r="S230" s="74" t="s">
        <v>332</v>
      </c>
      <c r="T230" s="55" t="s">
        <v>751</v>
      </c>
      <c r="U230" s="73" t="s">
        <v>351</v>
      </c>
      <c r="V230" s="74">
        <v>43811</v>
      </c>
      <c r="W230" s="74">
        <v>43844</v>
      </c>
      <c r="X230" s="55">
        <v>10097768</v>
      </c>
      <c r="Y230" s="74" t="s">
        <v>140</v>
      </c>
      <c r="Z230" s="74"/>
      <c r="AB230" s="55" t="s">
        <v>140</v>
      </c>
      <c r="AC230" s="55" t="s">
        <v>140</v>
      </c>
    </row>
    <row r="231" spans="1:29" ht="13" x14ac:dyDescent="0.15">
      <c r="A231" s="72" t="str">
        <f t="shared" si="3"/>
        <v>Ofsted Social Care Provider Webpage</v>
      </c>
      <c r="B231" s="55">
        <v>1244108</v>
      </c>
      <c r="D231" s="55" t="s">
        <v>373</v>
      </c>
      <c r="E231" s="74">
        <v>42906</v>
      </c>
      <c r="F231" s="55" t="s">
        <v>344</v>
      </c>
      <c r="G231" s="55" t="s">
        <v>360</v>
      </c>
      <c r="H231" s="55" t="s">
        <v>360</v>
      </c>
      <c r="I231" s="55" t="s">
        <v>360</v>
      </c>
      <c r="J231" s="55" t="s">
        <v>360</v>
      </c>
      <c r="K231" s="55" t="s">
        <v>360</v>
      </c>
      <c r="L231" s="55" t="s">
        <v>360</v>
      </c>
      <c r="M231" s="55" t="s">
        <v>150</v>
      </c>
      <c r="N231" s="55" t="s">
        <v>150</v>
      </c>
      <c r="O231" s="55" t="s">
        <v>203</v>
      </c>
      <c r="P231" s="55" t="s">
        <v>853</v>
      </c>
      <c r="Q231" s="55" t="s">
        <v>350</v>
      </c>
      <c r="R231" s="55">
        <v>3</v>
      </c>
      <c r="S231" s="74"/>
      <c r="T231" s="55" t="s">
        <v>854</v>
      </c>
      <c r="U231" s="73" t="s">
        <v>351</v>
      </c>
      <c r="V231" s="74">
        <v>44334</v>
      </c>
      <c r="W231" s="74">
        <v>44392</v>
      </c>
      <c r="X231" s="55">
        <v>10185215</v>
      </c>
      <c r="Y231" s="74" t="s">
        <v>132</v>
      </c>
      <c r="Z231" s="74"/>
      <c r="AB231" s="55" t="s">
        <v>132</v>
      </c>
      <c r="AC231" s="55" t="s">
        <v>132</v>
      </c>
    </row>
    <row r="232" spans="1:29" ht="13" x14ac:dyDescent="0.15">
      <c r="A232" s="72" t="str">
        <f t="shared" si="3"/>
        <v>Ofsted Social Care Provider Webpage</v>
      </c>
      <c r="B232" s="55">
        <v>1244117</v>
      </c>
      <c r="D232" s="55" t="s">
        <v>373</v>
      </c>
      <c r="E232" s="74">
        <v>42705</v>
      </c>
      <c r="F232" s="55" t="s">
        <v>344</v>
      </c>
      <c r="G232" s="55" t="s">
        <v>360</v>
      </c>
      <c r="H232" s="55" t="s">
        <v>360</v>
      </c>
      <c r="I232" s="55" t="s">
        <v>360</v>
      </c>
      <c r="J232" s="55" t="s">
        <v>360</v>
      </c>
      <c r="K232" s="55" t="s">
        <v>360</v>
      </c>
      <c r="L232" s="55" t="s">
        <v>360</v>
      </c>
      <c r="M232" s="55" t="s">
        <v>172</v>
      </c>
      <c r="N232" s="55" t="s">
        <v>172</v>
      </c>
      <c r="O232" s="55" t="s">
        <v>235</v>
      </c>
      <c r="P232" s="55" t="s">
        <v>855</v>
      </c>
      <c r="Q232" s="55" t="s">
        <v>362</v>
      </c>
      <c r="R232" s="55">
        <v>5</v>
      </c>
      <c r="S232" s="74"/>
      <c r="T232" s="55" t="s">
        <v>856</v>
      </c>
      <c r="U232" s="73" t="s">
        <v>351</v>
      </c>
      <c r="V232" s="74">
        <v>43696</v>
      </c>
      <c r="W232" s="74">
        <v>43719</v>
      </c>
      <c r="X232" s="55">
        <v>10097812</v>
      </c>
      <c r="Y232" s="74" t="s">
        <v>130</v>
      </c>
      <c r="Z232" s="74"/>
      <c r="AB232" s="55" t="s">
        <v>130</v>
      </c>
      <c r="AC232" s="55" t="s">
        <v>130</v>
      </c>
    </row>
    <row r="233" spans="1:29" ht="13" x14ac:dyDescent="0.15">
      <c r="A233" s="72" t="str">
        <f t="shared" si="3"/>
        <v>Ofsted Social Care Provider Webpage</v>
      </c>
      <c r="B233" s="55">
        <v>1244137</v>
      </c>
      <c r="D233" s="55" t="s">
        <v>373</v>
      </c>
      <c r="E233" s="74">
        <v>42668</v>
      </c>
      <c r="F233" s="55" t="s">
        <v>344</v>
      </c>
      <c r="G233" s="55" t="s">
        <v>360</v>
      </c>
      <c r="H233" s="55" t="s">
        <v>360</v>
      </c>
      <c r="I233" s="55" t="s">
        <v>360</v>
      </c>
      <c r="J233" s="55" t="s">
        <v>360</v>
      </c>
      <c r="K233" s="55" t="s">
        <v>360</v>
      </c>
      <c r="L233" s="55" t="s">
        <v>360</v>
      </c>
      <c r="M233" s="55" t="s">
        <v>136</v>
      </c>
      <c r="N233" s="55" t="s">
        <v>136</v>
      </c>
      <c r="O233" s="55" t="s">
        <v>174</v>
      </c>
      <c r="P233" s="55" t="s">
        <v>857</v>
      </c>
      <c r="Q233" s="55" t="s">
        <v>350</v>
      </c>
      <c r="R233" s="55">
        <v>2</v>
      </c>
      <c r="S233" s="74"/>
      <c r="T233" s="55" t="s">
        <v>858</v>
      </c>
      <c r="U233" s="73" t="s">
        <v>351</v>
      </c>
      <c r="V233" s="74">
        <v>44495</v>
      </c>
      <c r="W233" s="74">
        <v>44538</v>
      </c>
      <c r="X233" s="55">
        <v>10186509</v>
      </c>
      <c r="Y233" s="74" t="s">
        <v>140</v>
      </c>
      <c r="Z233" s="74"/>
      <c r="AB233" s="55" t="s">
        <v>140</v>
      </c>
      <c r="AC233" s="55" t="s">
        <v>140</v>
      </c>
    </row>
    <row r="234" spans="1:29" ht="13" x14ac:dyDescent="0.15">
      <c r="A234" s="72" t="str">
        <f t="shared" si="3"/>
        <v>Ofsted Social Care Provider Webpage</v>
      </c>
      <c r="B234" s="55">
        <v>1244160</v>
      </c>
      <c r="D234" s="55" t="s">
        <v>373</v>
      </c>
      <c r="E234" s="74">
        <v>42661</v>
      </c>
      <c r="F234" s="55" t="s">
        <v>344</v>
      </c>
      <c r="G234" s="55" t="s">
        <v>360</v>
      </c>
      <c r="H234" s="55" t="s">
        <v>360</v>
      </c>
      <c r="I234" s="55" t="s">
        <v>360</v>
      </c>
      <c r="J234" s="55" t="s">
        <v>360</v>
      </c>
      <c r="K234" s="55" t="s">
        <v>360</v>
      </c>
      <c r="L234" s="55" t="s">
        <v>360</v>
      </c>
      <c r="M234" s="55" t="s">
        <v>150</v>
      </c>
      <c r="N234" s="55" t="s">
        <v>150</v>
      </c>
      <c r="O234" s="55" t="s">
        <v>237</v>
      </c>
      <c r="P234" s="55" t="s">
        <v>859</v>
      </c>
      <c r="Q234" s="55" t="s">
        <v>350</v>
      </c>
      <c r="R234" s="55">
        <v>8</v>
      </c>
      <c r="S234" s="74"/>
      <c r="T234" s="55" t="s">
        <v>435</v>
      </c>
      <c r="U234" s="73" t="s">
        <v>351</v>
      </c>
      <c r="V234" s="74">
        <v>44566</v>
      </c>
      <c r="W234" s="74">
        <v>44623</v>
      </c>
      <c r="X234" s="55">
        <v>10187336</v>
      </c>
      <c r="Y234" s="74" t="s">
        <v>132</v>
      </c>
      <c r="Z234" s="74"/>
      <c r="AB234" s="55" t="s">
        <v>132</v>
      </c>
      <c r="AC234" s="55" t="s">
        <v>132</v>
      </c>
    </row>
    <row r="235" spans="1:29" ht="13" x14ac:dyDescent="0.15">
      <c r="A235" s="72" t="str">
        <f t="shared" si="3"/>
        <v>Ofsted Social Care Provider Webpage</v>
      </c>
      <c r="B235" s="55">
        <v>1244161</v>
      </c>
      <c r="D235" s="55" t="s">
        <v>373</v>
      </c>
      <c r="E235" s="74">
        <v>42632</v>
      </c>
      <c r="F235" s="55" t="s">
        <v>344</v>
      </c>
      <c r="G235" s="55" t="s">
        <v>360</v>
      </c>
      <c r="H235" s="55" t="s">
        <v>360</v>
      </c>
      <c r="I235" s="55" t="s">
        <v>360</v>
      </c>
      <c r="J235" s="55" t="s">
        <v>360</v>
      </c>
      <c r="K235" s="55" t="s">
        <v>360</v>
      </c>
      <c r="L235" s="55" t="s">
        <v>360</v>
      </c>
      <c r="M235" s="55" t="s">
        <v>172</v>
      </c>
      <c r="N235" s="55" t="s">
        <v>172</v>
      </c>
      <c r="O235" s="55" t="s">
        <v>173</v>
      </c>
      <c r="P235" s="55" t="s">
        <v>860</v>
      </c>
      <c r="Q235" s="55" t="s">
        <v>350</v>
      </c>
      <c r="R235" s="55">
        <v>1</v>
      </c>
      <c r="S235" s="74"/>
      <c r="T235" s="55" t="s">
        <v>861</v>
      </c>
      <c r="U235" s="73" t="s">
        <v>351</v>
      </c>
      <c r="V235" s="74">
        <v>44382</v>
      </c>
      <c r="W235" s="74">
        <v>44410</v>
      </c>
      <c r="X235" s="55">
        <v>10187213</v>
      </c>
      <c r="Y235" s="74" t="s">
        <v>132</v>
      </c>
      <c r="Z235" s="74"/>
      <c r="AB235" s="55" t="s">
        <v>132</v>
      </c>
      <c r="AC235" s="55" t="s">
        <v>132</v>
      </c>
    </row>
    <row r="236" spans="1:29" ht="13" x14ac:dyDescent="0.15">
      <c r="A236" s="72" t="str">
        <f t="shared" si="3"/>
        <v>Ofsted Social Care Provider Webpage</v>
      </c>
      <c r="B236" s="55">
        <v>1244280</v>
      </c>
      <c r="D236" s="55" t="s">
        <v>373</v>
      </c>
      <c r="E236" s="74">
        <v>42681</v>
      </c>
      <c r="F236" s="55" t="s">
        <v>344</v>
      </c>
      <c r="G236" s="55" t="s">
        <v>360</v>
      </c>
      <c r="H236" s="55" t="s">
        <v>360</v>
      </c>
      <c r="I236" s="55" t="s">
        <v>360</v>
      </c>
      <c r="J236" s="55" t="s">
        <v>360</v>
      </c>
      <c r="K236" s="55" t="s">
        <v>360</v>
      </c>
      <c r="L236" s="55" t="s">
        <v>360</v>
      </c>
      <c r="M236" s="55" t="s">
        <v>378</v>
      </c>
      <c r="N236" s="55" t="s">
        <v>134</v>
      </c>
      <c r="O236" s="55" t="s">
        <v>151</v>
      </c>
      <c r="P236" s="55" t="s">
        <v>862</v>
      </c>
      <c r="Q236" s="55" t="s">
        <v>350</v>
      </c>
      <c r="R236" s="55">
        <v>7</v>
      </c>
      <c r="S236" s="74"/>
      <c r="T236" s="55" t="s">
        <v>435</v>
      </c>
      <c r="U236" s="73" t="s">
        <v>351</v>
      </c>
      <c r="V236" s="74">
        <v>44362</v>
      </c>
      <c r="W236" s="74">
        <v>44473</v>
      </c>
      <c r="X236" s="55">
        <v>10185229</v>
      </c>
      <c r="Y236" s="74" t="s">
        <v>130</v>
      </c>
      <c r="Z236" s="74"/>
      <c r="AB236" s="55" t="s">
        <v>130</v>
      </c>
      <c r="AC236" s="55" t="s">
        <v>130</v>
      </c>
    </row>
    <row r="237" spans="1:29" ht="13" x14ac:dyDescent="0.15">
      <c r="A237" s="72" t="str">
        <f t="shared" si="3"/>
        <v>Ofsted Social Care Provider Webpage</v>
      </c>
      <c r="B237" s="55">
        <v>1244283</v>
      </c>
      <c r="D237" s="55" t="s">
        <v>373</v>
      </c>
      <c r="E237" s="74">
        <v>42744</v>
      </c>
      <c r="F237" s="55" t="s">
        <v>344</v>
      </c>
      <c r="G237" s="55" t="s">
        <v>360</v>
      </c>
      <c r="H237" s="55" t="s">
        <v>360</v>
      </c>
      <c r="I237" s="55" t="s">
        <v>360</v>
      </c>
      <c r="J237" s="55" t="s">
        <v>360</v>
      </c>
      <c r="K237" s="55" t="s">
        <v>360</v>
      </c>
      <c r="L237" s="55" t="s">
        <v>360</v>
      </c>
      <c r="M237" s="55" t="s">
        <v>144</v>
      </c>
      <c r="N237" s="55" t="s">
        <v>144</v>
      </c>
      <c r="O237" s="55" t="s">
        <v>209</v>
      </c>
      <c r="P237" s="55" t="s">
        <v>561</v>
      </c>
      <c r="Q237" s="55" t="s">
        <v>350</v>
      </c>
      <c r="R237" s="55">
        <v>3</v>
      </c>
      <c r="S237" s="74"/>
      <c r="T237" s="55" t="s">
        <v>485</v>
      </c>
      <c r="U237" s="73" t="s">
        <v>351</v>
      </c>
      <c r="V237" s="74">
        <v>43900</v>
      </c>
      <c r="W237" s="74">
        <v>43938</v>
      </c>
      <c r="X237" s="55">
        <v>10097829</v>
      </c>
      <c r="Y237" s="74" t="s">
        <v>132</v>
      </c>
      <c r="Z237" s="74"/>
      <c r="AB237" s="55" t="s">
        <v>132</v>
      </c>
      <c r="AC237" s="55" t="s">
        <v>132</v>
      </c>
    </row>
    <row r="238" spans="1:29" ht="13" x14ac:dyDescent="0.15">
      <c r="A238" s="72" t="str">
        <f t="shared" si="3"/>
        <v>Ofsted Social Care Provider Webpage</v>
      </c>
      <c r="B238" s="55">
        <v>1244287</v>
      </c>
      <c r="D238" s="55" t="s">
        <v>373</v>
      </c>
      <c r="E238" s="74">
        <v>42654</v>
      </c>
      <c r="F238" s="55" t="s">
        <v>344</v>
      </c>
      <c r="G238" s="55" t="s">
        <v>360</v>
      </c>
      <c r="H238" s="55" t="s">
        <v>360</v>
      </c>
      <c r="I238" s="55" t="s">
        <v>360</v>
      </c>
      <c r="J238" s="55" t="s">
        <v>360</v>
      </c>
      <c r="K238" s="55" t="s">
        <v>360</v>
      </c>
      <c r="L238" s="55" t="s">
        <v>360</v>
      </c>
      <c r="M238" s="55" t="s">
        <v>144</v>
      </c>
      <c r="N238" s="55" t="s">
        <v>144</v>
      </c>
      <c r="O238" s="55" t="s">
        <v>209</v>
      </c>
      <c r="P238" s="55" t="s">
        <v>650</v>
      </c>
      <c r="Q238" s="55" t="s">
        <v>350</v>
      </c>
      <c r="R238" s="55">
        <v>5</v>
      </c>
      <c r="S238" s="74"/>
      <c r="T238" s="55" t="s">
        <v>863</v>
      </c>
      <c r="U238" s="73" t="s">
        <v>351</v>
      </c>
      <c r="V238" s="74">
        <v>44357</v>
      </c>
      <c r="W238" s="74">
        <v>44389</v>
      </c>
      <c r="X238" s="55">
        <v>10195288</v>
      </c>
      <c r="Y238" s="74" t="s">
        <v>130</v>
      </c>
      <c r="Z238" s="74"/>
      <c r="AB238" s="55" t="s">
        <v>130</v>
      </c>
      <c r="AC238" s="55" t="s">
        <v>130</v>
      </c>
    </row>
    <row r="239" spans="1:29" ht="13" x14ac:dyDescent="0.15">
      <c r="A239" s="72" t="str">
        <f t="shared" si="3"/>
        <v>Ofsted Social Care Provider Webpage</v>
      </c>
      <c r="B239" s="55">
        <v>1244350</v>
      </c>
      <c r="D239" s="55" t="s">
        <v>373</v>
      </c>
      <c r="E239" s="74">
        <v>42698</v>
      </c>
      <c r="F239" s="55" t="s">
        <v>344</v>
      </c>
      <c r="G239" s="55" t="s">
        <v>360</v>
      </c>
      <c r="H239" s="55" t="s">
        <v>360</v>
      </c>
      <c r="I239" s="55" t="s">
        <v>360</v>
      </c>
      <c r="J239" s="55" t="s">
        <v>360</v>
      </c>
      <c r="K239" s="55" t="s">
        <v>360</v>
      </c>
      <c r="L239" s="55" t="s">
        <v>360</v>
      </c>
      <c r="M239" s="55" t="s">
        <v>142</v>
      </c>
      <c r="N239" s="55" t="s">
        <v>142</v>
      </c>
      <c r="O239" s="55" t="s">
        <v>141</v>
      </c>
      <c r="P239" s="55" t="s">
        <v>864</v>
      </c>
      <c r="Q239" s="55" t="s">
        <v>350</v>
      </c>
      <c r="R239" s="55">
        <v>3</v>
      </c>
      <c r="S239" s="74"/>
      <c r="T239" s="55" t="s">
        <v>865</v>
      </c>
      <c r="U239" s="73" t="s">
        <v>351</v>
      </c>
      <c r="V239" s="74">
        <v>44487</v>
      </c>
      <c r="W239" s="74">
        <v>44522</v>
      </c>
      <c r="X239" s="55">
        <v>10199269</v>
      </c>
      <c r="Y239" s="74" t="s">
        <v>130</v>
      </c>
      <c r="Z239" s="74"/>
      <c r="AB239" s="55" t="s">
        <v>130</v>
      </c>
      <c r="AC239" s="55" t="s">
        <v>146</v>
      </c>
    </row>
    <row r="240" spans="1:29" ht="13" x14ac:dyDescent="0.15">
      <c r="A240" s="72" t="str">
        <f t="shared" si="3"/>
        <v>Ofsted Social Care Provider Webpage</v>
      </c>
      <c r="B240" s="55">
        <v>1244386</v>
      </c>
      <c r="D240" s="55" t="s">
        <v>373</v>
      </c>
      <c r="E240" s="74">
        <v>42894</v>
      </c>
      <c r="F240" s="55" t="s">
        <v>344</v>
      </c>
      <c r="G240" s="55" t="s">
        <v>360</v>
      </c>
      <c r="H240" s="55" t="s">
        <v>360</v>
      </c>
      <c r="I240" s="55" t="s">
        <v>360</v>
      </c>
      <c r="J240" s="55" t="s">
        <v>360</v>
      </c>
      <c r="K240" s="55" t="s">
        <v>360</v>
      </c>
      <c r="L240" s="55" t="s">
        <v>360</v>
      </c>
      <c r="M240" s="55" t="s">
        <v>129</v>
      </c>
      <c r="N240" s="55" t="s">
        <v>129</v>
      </c>
      <c r="O240" s="55" t="s">
        <v>167</v>
      </c>
      <c r="P240" s="55" t="s">
        <v>866</v>
      </c>
      <c r="Q240" s="55" t="s">
        <v>350</v>
      </c>
      <c r="R240" s="55">
        <v>9</v>
      </c>
      <c r="S240" s="74"/>
      <c r="T240" s="55" t="s">
        <v>867</v>
      </c>
      <c r="U240" s="73" t="s">
        <v>351</v>
      </c>
      <c r="V240" s="74">
        <v>43766</v>
      </c>
      <c r="W240" s="74">
        <v>43804</v>
      </c>
      <c r="X240" s="55">
        <v>10096637</v>
      </c>
      <c r="Y240" s="74" t="s">
        <v>130</v>
      </c>
      <c r="Z240" s="74"/>
      <c r="AB240" s="55" t="s">
        <v>130</v>
      </c>
      <c r="AC240" s="55" t="s">
        <v>130</v>
      </c>
    </row>
    <row r="241" spans="1:29" ht="13" x14ac:dyDescent="0.15">
      <c r="A241" s="72" t="str">
        <f t="shared" si="3"/>
        <v>Ofsted Social Care Provider Webpage</v>
      </c>
      <c r="B241" s="55">
        <v>1244413</v>
      </c>
      <c r="D241" s="55" t="s">
        <v>373</v>
      </c>
      <c r="E241" s="74">
        <v>42769</v>
      </c>
      <c r="F241" s="55" t="s">
        <v>344</v>
      </c>
      <c r="G241" s="55" t="s">
        <v>360</v>
      </c>
      <c r="H241" s="55" t="s">
        <v>360</v>
      </c>
      <c r="I241" s="55" t="s">
        <v>360</v>
      </c>
      <c r="J241" s="55" t="s">
        <v>360</v>
      </c>
      <c r="K241" s="55" t="s">
        <v>360</v>
      </c>
      <c r="L241" s="55" t="s">
        <v>360</v>
      </c>
      <c r="M241" s="55" t="s">
        <v>378</v>
      </c>
      <c r="N241" s="55" t="s">
        <v>170</v>
      </c>
      <c r="O241" s="55" t="s">
        <v>264</v>
      </c>
      <c r="P241" s="55" t="s">
        <v>437</v>
      </c>
      <c r="Q241" s="55" t="s">
        <v>350</v>
      </c>
      <c r="R241" s="55">
        <v>3</v>
      </c>
      <c r="S241" s="74"/>
      <c r="T241" s="55" t="s">
        <v>868</v>
      </c>
      <c r="U241" s="73" t="s">
        <v>351</v>
      </c>
      <c r="V241" s="74">
        <v>44487</v>
      </c>
      <c r="W241" s="74">
        <v>44532</v>
      </c>
      <c r="X241" s="55">
        <v>10186522</v>
      </c>
      <c r="Y241" s="74" t="s">
        <v>132</v>
      </c>
      <c r="Z241" s="74"/>
      <c r="AB241" s="55" t="s">
        <v>130</v>
      </c>
      <c r="AC241" s="55" t="s">
        <v>130</v>
      </c>
    </row>
    <row r="242" spans="1:29" ht="13" x14ac:dyDescent="0.15">
      <c r="A242" s="72" t="str">
        <f t="shared" si="3"/>
        <v>Ofsted Social Care Provider Webpage</v>
      </c>
      <c r="B242" s="55">
        <v>1244426</v>
      </c>
      <c r="D242" s="55" t="s">
        <v>373</v>
      </c>
      <c r="E242" s="74">
        <v>42789</v>
      </c>
      <c r="F242" s="55" t="s">
        <v>344</v>
      </c>
      <c r="G242" s="55" t="s">
        <v>360</v>
      </c>
      <c r="H242" s="55" t="s">
        <v>360</v>
      </c>
      <c r="I242" s="55" t="s">
        <v>360</v>
      </c>
      <c r="J242" s="55" t="s">
        <v>360</v>
      </c>
      <c r="K242" s="55" t="s">
        <v>360</v>
      </c>
      <c r="L242" s="55" t="s">
        <v>360</v>
      </c>
      <c r="M242" s="55" t="s">
        <v>150</v>
      </c>
      <c r="N242" s="55" t="s">
        <v>150</v>
      </c>
      <c r="O242" s="55" t="s">
        <v>237</v>
      </c>
      <c r="P242" s="55" t="s">
        <v>869</v>
      </c>
      <c r="Q242" s="55" t="s">
        <v>380</v>
      </c>
      <c r="R242" s="55">
        <v>6</v>
      </c>
      <c r="S242" s="74"/>
      <c r="T242" s="55" t="s">
        <v>636</v>
      </c>
      <c r="U242" s="73" t="s">
        <v>351</v>
      </c>
      <c r="V242" s="74">
        <v>44473</v>
      </c>
      <c r="W242" s="74">
        <v>44533</v>
      </c>
      <c r="X242" s="55">
        <v>10187298</v>
      </c>
      <c r="Y242" s="74" t="s">
        <v>132</v>
      </c>
      <c r="Z242" s="74"/>
      <c r="AB242" s="55" t="s">
        <v>130</v>
      </c>
      <c r="AC242" s="55" t="s">
        <v>132</v>
      </c>
    </row>
    <row r="243" spans="1:29" ht="13" x14ac:dyDescent="0.15">
      <c r="A243" s="72" t="str">
        <f t="shared" si="3"/>
        <v>Ofsted Social Care Provider Webpage</v>
      </c>
      <c r="B243" s="55">
        <v>1244460</v>
      </c>
      <c r="D243" s="55" t="s">
        <v>373</v>
      </c>
      <c r="E243" s="74">
        <v>42689</v>
      </c>
      <c r="F243" s="55" t="s">
        <v>344</v>
      </c>
      <c r="G243" s="55" t="s">
        <v>360</v>
      </c>
      <c r="H243" s="55" t="s">
        <v>360</v>
      </c>
      <c r="I243" s="55" t="s">
        <v>360</v>
      </c>
      <c r="J243" s="55" t="s">
        <v>360</v>
      </c>
      <c r="K243" s="55" t="s">
        <v>360</v>
      </c>
      <c r="L243" s="55" t="s">
        <v>360</v>
      </c>
      <c r="M243" s="55" t="s">
        <v>144</v>
      </c>
      <c r="N243" s="55" t="s">
        <v>144</v>
      </c>
      <c r="O243" s="55" t="s">
        <v>209</v>
      </c>
      <c r="P243" s="55" t="s">
        <v>561</v>
      </c>
      <c r="Q243" s="55" t="s">
        <v>350</v>
      </c>
      <c r="R243" s="55">
        <v>5</v>
      </c>
      <c r="S243" s="74"/>
      <c r="T243" s="55" t="s">
        <v>440</v>
      </c>
      <c r="U243" s="73" t="s">
        <v>351</v>
      </c>
      <c r="V243" s="74">
        <v>43886</v>
      </c>
      <c r="W243" s="74">
        <v>43927</v>
      </c>
      <c r="X243" s="55">
        <v>10097801</v>
      </c>
      <c r="Y243" s="74" t="s">
        <v>140</v>
      </c>
      <c r="Z243" s="74"/>
      <c r="AB243" s="55" t="s">
        <v>140</v>
      </c>
      <c r="AC243" s="55" t="s">
        <v>132</v>
      </c>
    </row>
    <row r="244" spans="1:29" ht="13" x14ac:dyDescent="0.15">
      <c r="A244" s="72" t="str">
        <f t="shared" si="3"/>
        <v>Ofsted Social Care Provider Webpage</v>
      </c>
      <c r="B244" s="55">
        <v>1244493</v>
      </c>
      <c r="D244" s="55" t="s">
        <v>373</v>
      </c>
      <c r="E244" s="74">
        <v>42776</v>
      </c>
      <c r="F244" s="55" t="s">
        <v>344</v>
      </c>
      <c r="G244" s="55" t="s">
        <v>360</v>
      </c>
      <c r="H244" s="55" t="s">
        <v>360</v>
      </c>
      <c r="I244" s="55" t="s">
        <v>360</v>
      </c>
      <c r="J244" s="55" t="s">
        <v>360</v>
      </c>
      <c r="K244" s="55" t="s">
        <v>360</v>
      </c>
      <c r="L244" s="55" t="s">
        <v>360</v>
      </c>
      <c r="M244" s="55" t="s">
        <v>144</v>
      </c>
      <c r="N244" s="55" t="s">
        <v>144</v>
      </c>
      <c r="O244" s="55" t="s">
        <v>271</v>
      </c>
      <c r="P244" s="55" t="s">
        <v>870</v>
      </c>
      <c r="Q244" s="55" t="s">
        <v>350</v>
      </c>
      <c r="R244" s="55">
        <v>4</v>
      </c>
      <c r="S244" s="74"/>
      <c r="T244" s="55" t="s">
        <v>871</v>
      </c>
      <c r="U244" s="73" t="s">
        <v>351</v>
      </c>
      <c r="V244" s="74">
        <v>43796</v>
      </c>
      <c r="W244" s="74">
        <v>43829</v>
      </c>
      <c r="X244" s="55">
        <v>10097847</v>
      </c>
      <c r="Y244" s="74" t="s">
        <v>132</v>
      </c>
      <c r="Z244" s="74"/>
      <c r="AB244" s="55" t="s">
        <v>132</v>
      </c>
      <c r="AC244" s="55" t="s">
        <v>132</v>
      </c>
    </row>
    <row r="245" spans="1:29" ht="13" x14ac:dyDescent="0.15">
      <c r="A245" s="72" t="str">
        <f t="shared" si="3"/>
        <v>Ofsted Social Care Provider Webpage</v>
      </c>
      <c r="B245" s="55">
        <v>1244533</v>
      </c>
      <c r="D245" s="55" t="s">
        <v>389</v>
      </c>
      <c r="E245" s="74">
        <v>42636</v>
      </c>
      <c r="F245" s="55" t="s">
        <v>344</v>
      </c>
      <c r="G245" s="55" t="s">
        <v>872</v>
      </c>
      <c r="H245" s="55" t="s">
        <v>873</v>
      </c>
      <c r="I245" s="55" t="s">
        <v>874</v>
      </c>
      <c r="J245" s="55" t="s">
        <v>263</v>
      </c>
      <c r="L245" s="55" t="s">
        <v>875</v>
      </c>
      <c r="M245" s="55" t="s">
        <v>144</v>
      </c>
      <c r="N245" s="55" t="s">
        <v>144</v>
      </c>
      <c r="O245" s="55" t="s">
        <v>263</v>
      </c>
      <c r="P245" s="55" t="s">
        <v>876</v>
      </c>
      <c r="Q245" s="55" t="s">
        <v>350</v>
      </c>
      <c r="R245" s="55"/>
      <c r="S245" s="74"/>
      <c r="T245" s="55" t="s">
        <v>377</v>
      </c>
      <c r="U245" s="73" t="s">
        <v>351</v>
      </c>
      <c r="V245" s="74">
        <v>44382</v>
      </c>
      <c r="W245" s="74">
        <v>44434</v>
      </c>
      <c r="X245" s="55">
        <v>10183391</v>
      </c>
      <c r="Y245" s="74" t="s">
        <v>132</v>
      </c>
      <c r="Z245" s="74"/>
      <c r="AB245" s="55" t="s">
        <v>132</v>
      </c>
      <c r="AC245" s="55" t="s">
        <v>132</v>
      </c>
    </row>
    <row r="246" spans="1:29" ht="13" x14ac:dyDescent="0.15">
      <c r="A246" s="72" t="str">
        <f t="shared" si="3"/>
        <v>Ofsted Social Care Provider Webpage</v>
      </c>
      <c r="B246" s="55">
        <v>1244627</v>
      </c>
      <c r="D246" s="55" t="s">
        <v>389</v>
      </c>
      <c r="E246" s="74">
        <v>42689</v>
      </c>
      <c r="F246" s="55" t="s">
        <v>344</v>
      </c>
      <c r="G246" s="55" t="s">
        <v>877</v>
      </c>
      <c r="H246" s="55" t="s">
        <v>878</v>
      </c>
      <c r="I246" s="55" t="s">
        <v>879</v>
      </c>
      <c r="J246" s="55" t="s">
        <v>238</v>
      </c>
      <c r="L246" s="55" t="s">
        <v>880</v>
      </c>
      <c r="M246" s="55" t="s">
        <v>172</v>
      </c>
      <c r="N246" s="55" t="s">
        <v>172</v>
      </c>
      <c r="O246" s="55" t="s">
        <v>228</v>
      </c>
      <c r="P246" s="55" t="s">
        <v>423</v>
      </c>
      <c r="Q246" s="55" t="s">
        <v>350</v>
      </c>
      <c r="R246" s="55"/>
      <c r="S246" s="74"/>
      <c r="T246" s="55" t="s">
        <v>881</v>
      </c>
      <c r="U246" s="73" t="s">
        <v>351</v>
      </c>
      <c r="V246" s="74">
        <v>44578</v>
      </c>
      <c r="W246" s="74">
        <v>44615</v>
      </c>
      <c r="X246" s="55">
        <v>10183341</v>
      </c>
      <c r="Y246" s="74" t="s">
        <v>132</v>
      </c>
      <c r="Z246" s="74"/>
      <c r="AB246" s="55" t="s">
        <v>130</v>
      </c>
      <c r="AC246" s="55" t="s">
        <v>132</v>
      </c>
    </row>
    <row r="247" spans="1:29" ht="13" x14ac:dyDescent="0.15">
      <c r="A247" s="72" t="str">
        <f t="shared" si="3"/>
        <v>Ofsted Social Care Provider Webpage</v>
      </c>
      <c r="B247" s="55">
        <v>1244881</v>
      </c>
      <c r="D247" s="55" t="s">
        <v>373</v>
      </c>
      <c r="E247" s="74">
        <v>42626</v>
      </c>
      <c r="F247" s="55" t="s">
        <v>344</v>
      </c>
      <c r="G247" s="55" t="s">
        <v>360</v>
      </c>
      <c r="H247" s="55" t="s">
        <v>360</v>
      </c>
      <c r="I247" s="55" t="s">
        <v>360</v>
      </c>
      <c r="J247" s="55" t="s">
        <v>360</v>
      </c>
      <c r="K247" s="55" t="s">
        <v>360</v>
      </c>
      <c r="L247" s="55" t="s">
        <v>360</v>
      </c>
      <c r="M247" s="55" t="s">
        <v>144</v>
      </c>
      <c r="N247" s="55" t="s">
        <v>144</v>
      </c>
      <c r="O247" s="55" t="s">
        <v>245</v>
      </c>
      <c r="P247" s="55" t="s">
        <v>245</v>
      </c>
      <c r="Q247" s="55" t="s">
        <v>350</v>
      </c>
      <c r="R247" s="55">
        <v>2</v>
      </c>
      <c r="S247" s="74"/>
      <c r="T247" s="55" t="s">
        <v>711</v>
      </c>
      <c r="U247" s="73" t="s">
        <v>351</v>
      </c>
      <c r="V247" s="74">
        <v>44502</v>
      </c>
      <c r="W247" s="74">
        <v>44550</v>
      </c>
      <c r="X247" s="55">
        <v>10187020</v>
      </c>
      <c r="Y247" s="74" t="s">
        <v>132</v>
      </c>
      <c r="Z247" s="74"/>
      <c r="AB247" s="55" t="s">
        <v>132</v>
      </c>
      <c r="AC247" s="55" t="s">
        <v>132</v>
      </c>
    </row>
    <row r="248" spans="1:29" ht="13" x14ac:dyDescent="0.15">
      <c r="A248" s="72" t="str">
        <f t="shared" si="3"/>
        <v>Ofsted Social Care Provider Webpage</v>
      </c>
      <c r="B248" s="55">
        <v>1244946</v>
      </c>
      <c r="D248" s="55" t="s">
        <v>373</v>
      </c>
      <c r="E248" s="74">
        <v>42647</v>
      </c>
      <c r="F248" s="55" t="s">
        <v>344</v>
      </c>
      <c r="G248" s="55" t="s">
        <v>360</v>
      </c>
      <c r="H248" s="55" t="s">
        <v>360</v>
      </c>
      <c r="I248" s="55" t="s">
        <v>360</v>
      </c>
      <c r="J248" s="55" t="s">
        <v>360</v>
      </c>
      <c r="K248" s="55" t="s">
        <v>360</v>
      </c>
      <c r="L248" s="55" t="s">
        <v>360</v>
      </c>
      <c r="M248" s="55" t="s">
        <v>144</v>
      </c>
      <c r="N248" s="55" t="s">
        <v>144</v>
      </c>
      <c r="O248" s="55" t="s">
        <v>287</v>
      </c>
      <c r="P248" s="55" t="s">
        <v>287</v>
      </c>
      <c r="Q248" s="55" t="s">
        <v>380</v>
      </c>
      <c r="R248" s="55">
        <v>2</v>
      </c>
      <c r="S248" s="74"/>
      <c r="T248" s="55" t="s">
        <v>882</v>
      </c>
      <c r="U248" s="73" t="s">
        <v>351</v>
      </c>
      <c r="V248" s="74">
        <v>43858</v>
      </c>
      <c r="W248" s="74">
        <v>43880</v>
      </c>
      <c r="X248" s="55">
        <v>10097774</v>
      </c>
      <c r="Y248" s="74" t="s">
        <v>132</v>
      </c>
      <c r="Z248" s="74"/>
      <c r="AB248" s="55" t="s">
        <v>132</v>
      </c>
      <c r="AC248" s="55" t="s">
        <v>132</v>
      </c>
    </row>
    <row r="249" spans="1:29" ht="13" x14ac:dyDescent="0.15">
      <c r="A249" s="72" t="str">
        <f t="shared" si="3"/>
        <v>Ofsted Social Care Provider Webpage</v>
      </c>
      <c r="B249" s="55">
        <v>1245565</v>
      </c>
      <c r="D249" s="55" t="s">
        <v>373</v>
      </c>
      <c r="E249" s="74">
        <v>42690</v>
      </c>
      <c r="F249" s="55" t="s">
        <v>344</v>
      </c>
      <c r="G249" s="55" t="s">
        <v>360</v>
      </c>
      <c r="H249" s="55" t="s">
        <v>360</v>
      </c>
      <c r="I249" s="55" t="s">
        <v>360</v>
      </c>
      <c r="J249" s="55" t="s">
        <v>360</v>
      </c>
      <c r="K249" s="55" t="s">
        <v>360</v>
      </c>
      <c r="L249" s="55" t="s">
        <v>360</v>
      </c>
      <c r="M249" s="55" t="s">
        <v>172</v>
      </c>
      <c r="N249" s="55" t="s">
        <v>172</v>
      </c>
      <c r="O249" s="55" t="s">
        <v>212</v>
      </c>
      <c r="P249" s="55" t="s">
        <v>883</v>
      </c>
      <c r="Q249" s="55" t="s">
        <v>350</v>
      </c>
      <c r="R249" s="55">
        <v>3</v>
      </c>
      <c r="S249" s="74"/>
      <c r="T249" s="55" t="s">
        <v>517</v>
      </c>
      <c r="U249" s="73" t="s">
        <v>351</v>
      </c>
      <c r="V249" s="74">
        <v>44522</v>
      </c>
      <c r="W249" s="74">
        <v>44572</v>
      </c>
      <c r="X249" s="55">
        <v>10187383</v>
      </c>
      <c r="Y249" s="74" t="s">
        <v>130</v>
      </c>
      <c r="Z249" s="74"/>
      <c r="AB249" s="55" t="s">
        <v>130</v>
      </c>
      <c r="AC249" s="55" t="s">
        <v>130</v>
      </c>
    </row>
    <row r="250" spans="1:29" ht="13" x14ac:dyDescent="0.15">
      <c r="A250" s="72" t="str">
        <f t="shared" si="3"/>
        <v>Ofsted Social Care Provider Webpage</v>
      </c>
      <c r="B250" s="55">
        <v>1245572</v>
      </c>
      <c r="D250" s="55" t="s">
        <v>373</v>
      </c>
      <c r="E250" s="74">
        <v>42780</v>
      </c>
      <c r="F250" s="55" t="s">
        <v>344</v>
      </c>
      <c r="G250" s="55" t="s">
        <v>360</v>
      </c>
      <c r="H250" s="55" t="s">
        <v>360</v>
      </c>
      <c r="I250" s="55" t="s">
        <v>360</v>
      </c>
      <c r="J250" s="55" t="s">
        <v>360</v>
      </c>
      <c r="K250" s="55" t="s">
        <v>360</v>
      </c>
      <c r="L250" s="55" t="s">
        <v>360</v>
      </c>
      <c r="M250" s="55" t="s">
        <v>378</v>
      </c>
      <c r="N250" s="55" t="s">
        <v>134</v>
      </c>
      <c r="O250" s="55" t="s">
        <v>151</v>
      </c>
      <c r="P250" s="55" t="s">
        <v>884</v>
      </c>
      <c r="Q250" s="55" t="s">
        <v>350</v>
      </c>
      <c r="R250" s="55">
        <v>4</v>
      </c>
      <c r="S250" s="74"/>
      <c r="T250" s="55" t="s">
        <v>489</v>
      </c>
      <c r="U250" s="73" t="s">
        <v>351</v>
      </c>
      <c r="V250" s="74">
        <v>44551</v>
      </c>
      <c r="W250" s="74">
        <v>44588</v>
      </c>
      <c r="X250" s="55">
        <v>10186760</v>
      </c>
      <c r="Y250" s="74" t="s">
        <v>132</v>
      </c>
      <c r="Z250" s="74"/>
      <c r="AB250" s="55" t="s">
        <v>132</v>
      </c>
      <c r="AC250" s="55" t="s">
        <v>132</v>
      </c>
    </row>
    <row r="251" spans="1:29" ht="13" x14ac:dyDescent="0.15">
      <c r="A251" s="72" t="str">
        <f t="shared" si="3"/>
        <v>Ofsted Social Care Provider Webpage</v>
      </c>
      <c r="B251" s="55">
        <v>1245823</v>
      </c>
      <c r="D251" s="55" t="s">
        <v>373</v>
      </c>
      <c r="E251" s="74">
        <v>42683</v>
      </c>
      <c r="F251" s="55" t="s">
        <v>344</v>
      </c>
      <c r="G251" s="55" t="s">
        <v>360</v>
      </c>
      <c r="H251" s="55" t="s">
        <v>360</v>
      </c>
      <c r="I251" s="55" t="s">
        <v>360</v>
      </c>
      <c r="J251" s="55" t="s">
        <v>360</v>
      </c>
      <c r="K251" s="55" t="s">
        <v>360</v>
      </c>
      <c r="L251" s="55" t="s">
        <v>360</v>
      </c>
      <c r="M251" s="55" t="s">
        <v>142</v>
      </c>
      <c r="N251" s="55" t="s">
        <v>142</v>
      </c>
      <c r="O251" s="55" t="s">
        <v>177</v>
      </c>
      <c r="P251" s="55" t="s">
        <v>885</v>
      </c>
      <c r="Q251" s="55" t="s">
        <v>350</v>
      </c>
      <c r="R251" s="55">
        <v>6</v>
      </c>
      <c r="S251" s="74"/>
      <c r="T251" s="55" t="s">
        <v>751</v>
      </c>
      <c r="U251" s="73" t="s">
        <v>351</v>
      </c>
      <c r="V251" s="74">
        <v>44550</v>
      </c>
      <c r="W251" s="74">
        <v>44600</v>
      </c>
      <c r="X251" s="55">
        <v>10185264</v>
      </c>
      <c r="Y251" s="74" t="s">
        <v>130</v>
      </c>
      <c r="Z251" s="74"/>
      <c r="AB251" s="55" t="s">
        <v>130</v>
      </c>
      <c r="AC251" s="55" t="s">
        <v>130</v>
      </c>
    </row>
    <row r="252" spans="1:29" ht="13" x14ac:dyDescent="0.15">
      <c r="A252" s="72" t="str">
        <f t="shared" si="3"/>
        <v>Ofsted Social Care Provider Webpage</v>
      </c>
      <c r="B252" s="55">
        <v>1245829</v>
      </c>
      <c r="D252" s="55" t="s">
        <v>373</v>
      </c>
      <c r="E252" s="74">
        <v>42705</v>
      </c>
      <c r="F252" s="55" t="s">
        <v>344</v>
      </c>
      <c r="G252" s="55" t="s">
        <v>360</v>
      </c>
      <c r="H252" s="55" t="s">
        <v>360</v>
      </c>
      <c r="I252" s="55" t="s">
        <v>360</v>
      </c>
      <c r="J252" s="55" t="s">
        <v>360</v>
      </c>
      <c r="K252" s="55" t="s">
        <v>360</v>
      </c>
      <c r="L252" s="55" t="s">
        <v>360</v>
      </c>
      <c r="M252" s="55" t="s">
        <v>172</v>
      </c>
      <c r="N252" s="55" t="s">
        <v>172</v>
      </c>
      <c r="O252" s="55" t="s">
        <v>212</v>
      </c>
      <c r="P252" s="55" t="s">
        <v>714</v>
      </c>
      <c r="Q252" s="55" t="s">
        <v>350</v>
      </c>
      <c r="R252" s="55">
        <v>3</v>
      </c>
      <c r="S252" s="74"/>
      <c r="T252" s="55" t="s">
        <v>520</v>
      </c>
      <c r="U252" s="73" t="s">
        <v>351</v>
      </c>
      <c r="V252" s="74">
        <v>44461</v>
      </c>
      <c r="W252" s="74">
        <v>44495</v>
      </c>
      <c r="X252" s="55">
        <v>10185539</v>
      </c>
      <c r="Y252" s="74" t="s">
        <v>140</v>
      </c>
      <c r="Z252" s="74"/>
      <c r="AB252" s="55" t="s">
        <v>140</v>
      </c>
      <c r="AC252" s="55" t="s">
        <v>140</v>
      </c>
    </row>
    <row r="253" spans="1:29" ht="13" x14ac:dyDescent="0.15">
      <c r="A253" s="72" t="str">
        <f t="shared" si="3"/>
        <v>Ofsted Social Care Provider Webpage</v>
      </c>
      <c r="B253" s="55">
        <v>1246331</v>
      </c>
      <c r="D253" s="55" t="s">
        <v>373</v>
      </c>
      <c r="E253" s="74">
        <v>42765</v>
      </c>
      <c r="F253" s="55" t="s">
        <v>344</v>
      </c>
      <c r="G253" s="55" t="s">
        <v>360</v>
      </c>
      <c r="H253" s="55" t="s">
        <v>360</v>
      </c>
      <c r="I253" s="55" t="s">
        <v>360</v>
      </c>
      <c r="J253" s="55" t="s">
        <v>360</v>
      </c>
      <c r="K253" s="55" t="s">
        <v>360</v>
      </c>
      <c r="L253" s="55" t="s">
        <v>360</v>
      </c>
      <c r="M253" s="55" t="s">
        <v>144</v>
      </c>
      <c r="N253" s="55" t="s">
        <v>144</v>
      </c>
      <c r="O253" s="55" t="s">
        <v>209</v>
      </c>
      <c r="P253" s="55" t="s">
        <v>597</v>
      </c>
      <c r="Q253" s="55" t="s">
        <v>350</v>
      </c>
      <c r="R253" s="55">
        <v>4</v>
      </c>
      <c r="S253" s="74"/>
      <c r="T253" s="55" t="s">
        <v>886</v>
      </c>
      <c r="U253" s="73" t="s">
        <v>351</v>
      </c>
      <c r="V253" s="74">
        <v>43803</v>
      </c>
      <c r="W253" s="74">
        <v>43838</v>
      </c>
      <c r="X253" s="55">
        <v>10097838</v>
      </c>
      <c r="Y253" s="74" t="s">
        <v>140</v>
      </c>
      <c r="Z253" s="74"/>
      <c r="AB253" s="55" t="s">
        <v>140</v>
      </c>
      <c r="AC253" s="55" t="s">
        <v>140</v>
      </c>
    </row>
    <row r="254" spans="1:29" ht="13" x14ac:dyDescent="0.15">
      <c r="A254" s="72" t="str">
        <f t="shared" si="3"/>
        <v>Ofsted Social Care Provider Webpage</v>
      </c>
      <c r="B254" s="55">
        <v>1246449</v>
      </c>
      <c r="D254" s="55" t="s">
        <v>373</v>
      </c>
      <c r="E254" s="74">
        <v>42775</v>
      </c>
      <c r="F254" s="55" t="s">
        <v>344</v>
      </c>
      <c r="G254" s="55" t="s">
        <v>360</v>
      </c>
      <c r="H254" s="55" t="s">
        <v>360</v>
      </c>
      <c r="I254" s="55" t="s">
        <v>360</v>
      </c>
      <c r="J254" s="55" t="s">
        <v>360</v>
      </c>
      <c r="K254" s="55" t="s">
        <v>360</v>
      </c>
      <c r="L254" s="55" t="s">
        <v>360</v>
      </c>
      <c r="M254" s="55" t="s">
        <v>150</v>
      </c>
      <c r="N254" s="55" t="s">
        <v>150</v>
      </c>
      <c r="O254" s="55" t="s">
        <v>190</v>
      </c>
      <c r="P254" s="55" t="s">
        <v>887</v>
      </c>
      <c r="Q254" s="55" t="s">
        <v>350</v>
      </c>
      <c r="R254" s="55">
        <v>5</v>
      </c>
      <c r="S254" s="74"/>
      <c r="T254" s="55" t="s">
        <v>888</v>
      </c>
      <c r="U254" s="73" t="s">
        <v>351</v>
      </c>
      <c r="V254" s="74">
        <v>44447</v>
      </c>
      <c r="W254" s="74">
        <v>44483</v>
      </c>
      <c r="X254" s="55">
        <v>10186814</v>
      </c>
      <c r="Y254" s="74" t="s">
        <v>132</v>
      </c>
      <c r="Z254" s="74"/>
      <c r="AB254" s="55" t="s">
        <v>132</v>
      </c>
      <c r="AC254" s="55" t="s">
        <v>132</v>
      </c>
    </row>
    <row r="255" spans="1:29" ht="13" x14ac:dyDescent="0.15">
      <c r="A255" s="72" t="str">
        <f t="shared" si="3"/>
        <v>Ofsted Social Care Provider Webpage</v>
      </c>
      <c r="B255" s="55">
        <v>1246521</v>
      </c>
      <c r="D255" s="55" t="s">
        <v>373</v>
      </c>
      <c r="E255" s="74">
        <v>42696</v>
      </c>
      <c r="F255" s="55" t="s">
        <v>344</v>
      </c>
      <c r="G255" s="55" t="s">
        <v>360</v>
      </c>
      <c r="H255" s="55" t="s">
        <v>360</v>
      </c>
      <c r="I255" s="55" t="s">
        <v>360</v>
      </c>
      <c r="J255" s="55" t="s">
        <v>360</v>
      </c>
      <c r="K255" s="55" t="s">
        <v>360</v>
      </c>
      <c r="L255" s="55" t="s">
        <v>360</v>
      </c>
      <c r="M255" s="55" t="s">
        <v>150</v>
      </c>
      <c r="N255" s="55" t="s">
        <v>150</v>
      </c>
      <c r="O255" s="55" t="s">
        <v>190</v>
      </c>
      <c r="P255" s="55" t="s">
        <v>889</v>
      </c>
      <c r="Q255" s="55" t="s">
        <v>350</v>
      </c>
      <c r="R255" s="55">
        <v>14</v>
      </c>
      <c r="S255" s="74"/>
      <c r="T255" s="55" t="s">
        <v>890</v>
      </c>
      <c r="U255" s="73" t="s">
        <v>351</v>
      </c>
      <c r="V255" s="74">
        <v>44369</v>
      </c>
      <c r="W255" s="74">
        <v>44404</v>
      </c>
      <c r="X255" s="55">
        <v>10185587</v>
      </c>
      <c r="Y255" s="74" t="s">
        <v>132</v>
      </c>
      <c r="Z255" s="74"/>
      <c r="AB255" s="55" t="s">
        <v>132</v>
      </c>
      <c r="AC255" s="55" t="s">
        <v>132</v>
      </c>
    </row>
    <row r="256" spans="1:29" ht="13" x14ac:dyDescent="0.15">
      <c r="A256" s="72" t="str">
        <f t="shared" si="3"/>
        <v>Ofsted Social Care Provider Webpage</v>
      </c>
      <c r="B256" s="55">
        <v>1246831</v>
      </c>
      <c r="D256" s="55" t="s">
        <v>373</v>
      </c>
      <c r="E256" s="74">
        <v>42716</v>
      </c>
      <c r="F256" s="55" t="s">
        <v>344</v>
      </c>
      <c r="G256" s="55" t="s">
        <v>360</v>
      </c>
      <c r="H256" s="55" t="s">
        <v>360</v>
      </c>
      <c r="I256" s="55" t="s">
        <v>360</v>
      </c>
      <c r="J256" s="55" t="s">
        <v>360</v>
      </c>
      <c r="K256" s="55" t="s">
        <v>360</v>
      </c>
      <c r="L256" s="55" t="s">
        <v>360</v>
      </c>
      <c r="M256" s="55" t="s">
        <v>136</v>
      </c>
      <c r="N256" s="55" t="s">
        <v>136</v>
      </c>
      <c r="O256" s="55" t="s">
        <v>705</v>
      </c>
      <c r="P256" s="55" t="s">
        <v>891</v>
      </c>
      <c r="Q256" s="55" t="s">
        <v>350</v>
      </c>
      <c r="R256" s="55">
        <v>3</v>
      </c>
      <c r="S256" s="74"/>
      <c r="T256" s="55" t="s">
        <v>892</v>
      </c>
      <c r="U256" s="73" t="s">
        <v>351</v>
      </c>
      <c r="V256" s="74">
        <v>44355</v>
      </c>
      <c r="W256" s="74">
        <v>44390</v>
      </c>
      <c r="X256" s="55">
        <v>10185193</v>
      </c>
      <c r="Y256" s="74" t="s">
        <v>132</v>
      </c>
      <c r="Z256" s="74"/>
      <c r="AB256" s="55" t="s">
        <v>132</v>
      </c>
      <c r="AC256" s="55" t="s">
        <v>132</v>
      </c>
    </row>
    <row r="257" spans="1:29" ht="13" x14ac:dyDescent="0.15">
      <c r="A257" s="72" t="str">
        <f t="shared" si="3"/>
        <v>Ofsted Social Care Provider Webpage</v>
      </c>
      <c r="B257" s="55">
        <v>1246834</v>
      </c>
      <c r="D257" s="55" t="s">
        <v>373</v>
      </c>
      <c r="E257" s="74">
        <v>42668</v>
      </c>
      <c r="F257" s="55" t="s">
        <v>344</v>
      </c>
      <c r="G257" s="55" t="s">
        <v>360</v>
      </c>
      <c r="H257" s="55" t="s">
        <v>360</v>
      </c>
      <c r="I257" s="55" t="s">
        <v>360</v>
      </c>
      <c r="J257" s="55" t="s">
        <v>360</v>
      </c>
      <c r="K257" s="55" t="s">
        <v>360</v>
      </c>
      <c r="L257" s="55" t="s">
        <v>360</v>
      </c>
      <c r="M257" s="55" t="s">
        <v>150</v>
      </c>
      <c r="N257" s="55" t="s">
        <v>150</v>
      </c>
      <c r="O257" s="55" t="s">
        <v>285</v>
      </c>
      <c r="P257" s="55" t="s">
        <v>893</v>
      </c>
      <c r="Q257" s="55" t="s">
        <v>350</v>
      </c>
      <c r="R257" s="55">
        <v>5</v>
      </c>
      <c r="S257" s="74"/>
      <c r="T257" s="55" t="s">
        <v>894</v>
      </c>
      <c r="U257" s="73" t="s">
        <v>351</v>
      </c>
      <c r="V257" s="74">
        <v>43859</v>
      </c>
      <c r="W257" s="74">
        <v>43887</v>
      </c>
      <c r="X257" s="55">
        <v>10097788</v>
      </c>
      <c r="Y257" s="74" t="s">
        <v>132</v>
      </c>
      <c r="Z257" s="74"/>
      <c r="AB257" s="55" t="s">
        <v>132</v>
      </c>
      <c r="AC257" s="55" t="s">
        <v>132</v>
      </c>
    </row>
    <row r="258" spans="1:29" ht="13" x14ac:dyDescent="0.15">
      <c r="A258" s="72" t="str">
        <f t="shared" si="3"/>
        <v>Ofsted Social Care Provider Webpage</v>
      </c>
      <c r="B258" s="55">
        <v>1247144</v>
      </c>
      <c r="D258" s="55" t="s">
        <v>373</v>
      </c>
      <c r="E258" s="74">
        <v>42702</v>
      </c>
      <c r="F258" s="55" t="s">
        <v>344</v>
      </c>
      <c r="G258" s="55" t="s">
        <v>360</v>
      </c>
      <c r="H258" s="55" t="s">
        <v>360</v>
      </c>
      <c r="I258" s="55" t="s">
        <v>360</v>
      </c>
      <c r="J258" s="55" t="s">
        <v>360</v>
      </c>
      <c r="K258" s="55" t="s">
        <v>360</v>
      </c>
      <c r="L258" s="55" t="s">
        <v>360</v>
      </c>
      <c r="M258" s="55" t="s">
        <v>172</v>
      </c>
      <c r="N258" s="55" t="s">
        <v>172</v>
      </c>
      <c r="O258" s="55" t="s">
        <v>171</v>
      </c>
      <c r="P258" s="55" t="s">
        <v>895</v>
      </c>
      <c r="Q258" s="55" t="s">
        <v>350</v>
      </c>
      <c r="R258" s="55">
        <v>4</v>
      </c>
      <c r="S258" s="74"/>
      <c r="T258" s="55" t="s">
        <v>865</v>
      </c>
      <c r="U258" s="73" t="s">
        <v>351</v>
      </c>
      <c r="V258" s="74">
        <v>44349</v>
      </c>
      <c r="W258" s="74">
        <v>44386</v>
      </c>
      <c r="X258" s="55">
        <v>10185766</v>
      </c>
      <c r="Y258" s="74" t="s">
        <v>130</v>
      </c>
      <c r="Z258" s="74"/>
      <c r="AB258" s="55" t="s">
        <v>130</v>
      </c>
      <c r="AC258" s="55" t="s">
        <v>130</v>
      </c>
    </row>
    <row r="259" spans="1:29" ht="13" x14ac:dyDescent="0.15">
      <c r="A259" s="72" t="str">
        <f t="shared" si="3"/>
        <v>Ofsted Social Care Provider Webpage</v>
      </c>
      <c r="B259" s="55">
        <v>1247212</v>
      </c>
      <c r="D259" s="55" t="s">
        <v>373</v>
      </c>
      <c r="E259" s="74">
        <v>42773</v>
      </c>
      <c r="F259" s="55" t="s">
        <v>344</v>
      </c>
      <c r="G259" s="55" t="s">
        <v>360</v>
      </c>
      <c r="H259" s="55" t="s">
        <v>360</v>
      </c>
      <c r="I259" s="55" t="s">
        <v>360</v>
      </c>
      <c r="J259" s="55" t="s">
        <v>360</v>
      </c>
      <c r="K259" s="55" t="s">
        <v>360</v>
      </c>
      <c r="L259" s="55" t="s">
        <v>360</v>
      </c>
      <c r="M259" s="55" t="s">
        <v>144</v>
      </c>
      <c r="N259" s="55" t="s">
        <v>144</v>
      </c>
      <c r="O259" s="55" t="s">
        <v>261</v>
      </c>
      <c r="P259" s="55" t="s">
        <v>512</v>
      </c>
      <c r="Q259" s="55" t="s">
        <v>350</v>
      </c>
      <c r="R259" s="55">
        <v>4</v>
      </c>
      <c r="S259" s="74"/>
      <c r="T259" s="55" t="s">
        <v>598</v>
      </c>
      <c r="U259" s="73" t="s">
        <v>351</v>
      </c>
      <c r="V259" s="74">
        <v>44580</v>
      </c>
      <c r="W259" s="74">
        <v>44607</v>
      </c>
      <c r="X259" s="55">
        <v>10186337</v>
      </c>
      <c r="Y259" s="74" t="s">
        <v>132</v>
      </c>
      <c r="Z259" s="74"/>
      <c r="AB259" s="55" t="s">
        <v>132</v>
      </c>
      <c r="AC259" s="55" t="s">
        <v>132</v>
      </c>
    </row>
    <row r="260" spans="1:29" ht="13" x14ac:dyDescent="0.15">
      <c r="A260" s="72" t="str">
        <f t="shared" si="3"/>
        <v>Ofsted Social Care Provider Webpage</v>
      </c>
      <c r="B260" s="55">
        <v>1247244</v>
      </c>
      <c r="D260" s="55" t="s">
        <v>373</v>
      </c>
      <c r="E260" s="74">
        <v>42857</v>
      </c>
      <c r="F260" s="55" t="s">
        <v>344</v>
      </c>
      <c r="G260" s="55" t="s">
        <v>360</v>
      </c>
      <c r="H260" s="55" t="s">
        <v>360</v>
      </c>
      <c r="I260" s="55" t="s">
        <v>360</v>
      </c>
      <c r="J260" s="55" t="s">
        <v>360</v>
      </c>
      <c r="K260" s="55" t="s">
        <v>360</v>
      </c>
      <c r="L260" s="55" t="s">
        <v>360</v>
      </c>
      <c r="M260" s="55" t="s">
        <v>172</v>
      </c>
      <c r="N260" s="55" t="s">
        <v>172</v>
      </c>
      <c r="O260" s="55" t="s">
        <v>284</v>
      </c>
      <c r="P260" s="55" t="s">
        <v>357</v>
      </c>
      <c r="Q260" s="55" t="s">
        <v>350</v>
      </c>
      <c r="R260" s="55">
        <v>3</v>
      </c>
      <c r="S260" s="74"/>
      <c r="T260" s="55" t="s">
        <v>896</v>
      </c>
      <c r="U260" s="73" t="s">
        <v>351</v>
      </c>
      <c r="V260" s="74">
        <v>44334</v>
      </c>
      <c r="W260" s="74">
        <v>44375</v>
      </c>
      <c r="X260" s="55">
        <v>10186288</v>
      </c>
      <c r="Y260" s="74" t="s">
        <v>140</v>
      </c>
      <c r="Z260" s="74"/>
      <c r="AB260" s="55" t="s">
        <v>132</v>
      </c>
      <c r="AC260" s="55" t="s">
        <v>140</v>
      </c>
    </row>
    <row r="261" spans="1:29" ht="13" x14ac:dyDescent="0.15">
      <c r="A261" s="72" t="str">
        <f t="shared" si="3"/>
        <v>Ofsted Social Care Provider Webpage</v>
      </c>
      <c r="B261" s="55">
        <v>1247384</v>
      </c>
      <c r="D261" s="55" t="s">
        <v>373</v>
      </c>
      <c r="E261" s="74">
        <v>42649</v>
      </c>
      <c r="F261" s="55" t="s">
        <v>344</v>
      </c>
      <c r="G261" s="55" t="s">
        <v>360</v>
      </c>
      <c r="H261" s="55" t="s">
        <v>360</v>
      </c>
      <c r="I261" s="55" t="s">
        <v>360</v>
      </c>
      <c r="J261" s="55" t="s">
        <v>360</v>
      </c>
      <c r="K261" s="55" t="s">
        <v>360</v>
      </c>
      <c r="L261" s="55" t="s">
        <v>360</v>
      </c>
      <c r="M261" s="55" t="s">
        <v>150</v>
      </c>
      <c r="N261" s="55" t="s">
        <v>150</v>
      </c>
      <c r="O261" s="55" t="s">
        <v>190</v>
      </c>
      <c r="P261" s="55" t="s">
        <v>897</v>
      </c>
      <c r="Q261" s="55" t="s">
        <v>350</v>
      </c>
      <c r="R261" s="55">
        <v>2</v>
      </c>
      <c r="S261" s="74"/>
      <c r="T261" s="55" t="s">
        <v>610</v>
      </c>
      <c r="U261" s="73" t="s">
        <v>351</v>
      </c>
      <c r="V261" s="74">
        <v>44376</v>
      </c>
      <c r="W261" s="74">
        <v>44424</v>
      </c>
      <c r="X261" s="55">
        <v>10185849</v>
      </c>
      <c r="Y261" s="74" t="s">
        <v>140</v>
      </c>
      <c r="Z261" s="74"/>
      <c r="AB261" s="55" t="s">
        <v>140</v>
      </c>
      <c r="AC261" s="55" t="s">
        <v>132</v>
      </c>
    </row>
    <row r="262" spans="1:29" ht="13" x14ac:dyDescent="0.15">
      <c r="A262" s="72" t="str">
        <f t="shared" ref="A262:A325" si="4">HYPERLINK(_xlfn.CONCAT("http://reports.ofsted.gov.uk/inspection-reports/find-inspection-report/provider/CARE/",B262),"Ofsted Social Care Provider Webpage")</f>
        <v>Ofsted Social Care Provider Webpage</v>
      </c>
      <c r="B262" s="55">
        <v>1247390</v>
      </c>
      <c r="D262" s="55" t="s">
        <v>373</v>
      </c>
      <c r="E262" s="74">
        <v>42726</v>
      </c>
      <c r="F262" s="55" t="s">
        <v>344</v>
      </c>
      <c r="G262" s="55" t="s">
        <v>360</v>
      </c>
      <c r="H262" s="55" t="s">
        <v>360</v>
      </c>
      <c r="I262" s="55" t="s">
        <v>360</v>
      </c>
      <c r="J262" s="55" t="s">
        <v>360</v>
      </c>
      <c r="K262" s="55" t="s">
        <v>360</v>
      </c>
      <c r="L262" s="55" t="s">
        <v>360</v>
      </c>
      <c r="M262" s="55" t="s">
        <v>136</v>
      </c>
      <c r="N262" s="55" t="s">
        <v>136</v>
      </c>
      <c r="O262" s="55" t="s">
        <v>185</v>
      </c>
      <c r="P262" s="55" t="s">
        <v>898</v>
      </c>
      <c r="Q262" s="55" t="s">
        <v>350</v>
      </c>
      <c r="R262" s="55">
        <v>8</v>
      </c>
      <c r="S262" s="74"/>
      <c r="T262" s="55" t="s">
        <v>899</v>
      </c>
      <c r="U262" s="73" t="s">
        <v>351</v>
      </c>
      <c r="V262" s="74">
        <v>44392</v>
      </c>
      <c r="W262" s="74">
        <v>44434</v>
      </c>
      <c r="X262" s="55">
        <v>10186503</v>
      </c>
      <c r="Y262" s="74" t="s">
        <v>130</v>
      </c>
      <c r="Z262" s="74"/>
      <c r="AB262" s="55" t="s">
        <v>130</v>
      </c>
      <c r="AC262" s="55" t="s">
        <v>146</v>
      </c>
    </row>
    <row r="263" spans="1:29" ht="13" x14ac:dyDescent="0.15">
      <c r="A263" s="72" t="str">
        <f t="shared" si="4"/>
        <v>Ofsted Social Care Provider Webpage</v>
      </c>
      <c r="B263" s="55">
        <v>1247491</v>
      </c>
      <c r="D263" s="55" t="s">
        <v>373</v>
      </c>
      <c r="E263" s="74">
        <v>42705</v>
      </c>
      <c r="F263" s="55" t="s">
        <v>344</v>
      </c>
      <c r="G263" s="55" t="s">
        <v>360</v>
      </c>
      <c r="H263" s="55" t="s">
        <v>360</v>
      </c>
      <c r="I263" s="55" t="s">
        <v>360</v>
      </c>
      <c r="J263" s="55" t="s">
        <v>360</v>
      </c>
      <c r="K263" s="55" t="s">
        <v>360</v>
      </c>
      <c r="L263" s="55" t="s">
        <v>360</v>
      </c>
      <c r="M263" s="55" t="s">
        <v>144</v>
      </c>
      <c r="N263" s="55" t="s">
        <v>144</v>
      </c>
      <c r="O263" s="55" t="s">
        <v>215</v>
      </c>
      <c r="P263" s="55" t="s">
        <v>655</v>
      </c>
      <c r="Q263" s="55" t="s">
        <v>350</v>
      </c>
      <c r="R263" s="55">
        <v>4</v>
      </c>
      <c r="S263" s="74"/>
      <c r="T263" s="55" t="s">
        <v>900</v>
      </c>
      <c r="U263" s="73" t="s">
        <v>351</v>
      </c>
      <c r="V263" s="74">
        <v>44579</v>
      </c>
      <c r="W263" s="74">
        <v>44608</v>
      </c>
      <c r="X263" s="55">
        <v>10186795</v>
      </c>
      <c r="Y263" s="74" t="s">
        <v>132</v>
      </c>
      <c r="Z263" s="74"/>
      <c r="AB263" s="55" t="s">
        <v>132</v>
      </c>
      <c r="AC263" s="55" t="s">
        <v>130</v>
      </c>
    </row>
    <row r="264" spans="1:29" ht="13" x14ac:dyDescent="0.15">
      <c r="A264" s="72" t="str">
        <f t="shared" si="4"/>
        <v>Ofsted Social Care Provider Webpage</v>
      </c>
      <c r="B264" s="55">
        <v>1247559</v>
      </c>
      <c r="D264" s="55" t="s">
        <v>373</v>
      </c>
      <c r="E264" s="74">
        <v>42787</v>
      </c>
      <c r="F264" s="55" t="s">
        <v>344</v>
      </c>
      <c r="G264" s="55" t="s">
        <v>360</v>
      </c>
      <c r="H264" s="55" t="s">
        <v>360</v>
      </c>
      <c r="I264" s="55" t="s">
        <v>360</v>
      </c>
      <c r="J264" s="55" t="s">
        <v>360</v>
      </c>
      <c r="K264" s="55" t="s">
        <v>360</v>
      </c>
      <c r="L264" s="55" t="s">
        <v>360</v>
      </c>
      <c r="M264" s="55" t="s">
        <v>144</v>
      </c>
      <c r="N264" s="55" t="s">
        <v>144</v>
      </c>
      <c r="O264" s="55" t="s">
        <v>209</v>
      </c>
      <c r="P264" s="55" t="s">
        <v>364</v>
      </c>
      <c r="Q264" s="55" t="s">
        <v>350</v>
      </c>
      <c r="R264" s="55">
        <v>5</v>
      </c>
      <c r="S264" s="74"/>
      <c r="T264" s="55" t="s">
        <v>435</v>
      </c>
      <c r="U264" s="73" t="s">
        <v>351</v>
      </c>
      <c r="V264" s="74">
        <v>44384</v>
      </c>
      <c r="W264" s="74">
        <v>44419</v>
      </c>
      <c r="X264" s="55">
        <v>10186402</v>
      </c>
      <c r="Y264" s="74" t="s">
        <v>132</v>
      </c>
      <c r="Z264" s="74"/>
      <c r="AB264" s="55" t="s">
        <v>130</v>
      </c>
      <c r="AC264" s="55" t="s">
        <v>132</v>
      </c>
    </row>
    <row r="265" spans="1:29" ht="13" x14ac:dyDescent="0.15">
      <c r="A265" s="72" t="str">
        <f t="shared" si="4"/>
        <v>Ofsted Social Care Provider Webpage</v>
      </c>
      <c r="B265" s="55">
        <v>1247560</v>
      </c>
      <c r="D265" s="55" t="s">
        <v>373</v>
      </c>
      <c r="E265" s="74">
        <v>42803</v>
      </c>
      <c r="F265" s="55" t="s">
        <v>344</v>
      </c>
      <c r="G265" s="55" t="s">
        <v>360</v>
      </c>
      <c r="H265" s="55" t="s">
        <v>360</v>
      </c>
      <c r="I265" s="55" t="s">
        <v>360</v>
      </c>
      <c r="J265" s="55" t="s">
        <v>360</v>
      </c>
      <c r="K265" s="55" t="s">
        <v>360</v>
      </c>
      <c r="L265" s="55" t="s">
        <v>360</v>
      </c>
      <c r="M265" s="55" t="s">
        <v>144</v>
      </c>
      <c r="N265" s="55" t="s">
        <v>144</v>
      </c>
      <c r="O265" s="55" t="s">
        <v>168</v>
      </c>
      <c r="P265" s="55" t="s">
        <v>834</v>
      </c>
      <c r="Q265" s="55" t="s">
        <v>350</v>
      </c>
      <c r="R265" s="55">
        <v>4</v>
      </c>
      <c r="S265" s="74"/>
      <c r="T265" s="55" t="s">
        <v>435</v>
      </c>
      <c r="U265" s="73" t="s">
        <v>351</v>
      </c>
      <c r="V265" s="74">
        <v>44628</v>
      </c>
      <c r="W265" s="74">
        <v>44679</v>
      </c>
      <c r="X265" s="55">
        <v>10187066</v>
      </c>
      <c r="Y265" s="74" t="s">
        <v>140</v>
      </c>
      <c r="Z265" s="74"/>
      <c r="AB265" s="55" t="s">
        <v>140</v>
      </c>
      <c r="AC265" s="55" t="s">
        <v>140</v>
      </c>
    </row>
    <row r="266" spans="1:29" ht="13" x14ac:dyDescent="0.15">
      <c r="A266" s="72" t="str">
        <f t="shared" si="4"/>
        <v>Ofsted Social Care Provider Webpage</v>
      </c>
      <c r="B266" s="55">
        <v>1247670</v>
      </c>
      <c r="D266" s="55" t="s">
        <v>373</v>
      </c>
      <c r="E266" s="74">
        <v>42724</v>
      </c>
      <c r="F266" s="55" t="s">
        <v>344</v>
      </c>
      <c r="G266" s="55" t="s">
        <v>360</v>
      </c>
      <c r="H266" s="55" t="s">
        <v>360</v>
      </c>
      <c r="I266" s="55" t="s">
        <v>360</v>
      </c>
      <c r="J266" s="55" t="s">
        <v>360</v>
      </c>
      <c r="K266" s="55" t="s">
        <v>360</v>
      </c>
      <c r="L266" s="55" t="s">
        <v>360</v>
      </c>
      <c r="M266" s="55" t="s">
        <v>144</v>
      </c>
      <c r="N266" s="55" t="s">
        <v>144</v>
      </c>
      <c r="O266" s="55" t="s">
        <v>168</v>
      </c>
      <c r="P266" s="55" t="s">
        <v>901</v>
      </c>
      <c r="Q266" s="55" t="s">
        <v>350</v>
      </c>
      <c r="R266" s="55">
        <v>5</v>
      </c>
      <c r="S266" s="74" t="s">
        <v>332</v>
      </c>
      <c r="T266" s="55" t="s">
        <v>902</v>
      </c>
      <c r="U266" s="73" t="s">
        <v>351</v>
      </c>
      <c r="V266" s="74">
        <v>44628</v>
      </c>
      <c r="W266" s="74">
        <v>44679</v>
      </c>
      <c r="X266" s="55">
        <v>10187187</v>
      </c>
      <c r="Y266" s="74" t="s">
        <v>132</v>
      </c>
      <c r="Z266" s="74"/>
      <c r="AB266" s="55" t="s">
        <v>132</v>
      </c>
      <c r="AC266" s="55" t="s">
        <v>130</v>
      </c>
    </row>
    <row r="267" spans="1:29" ht="13" x14ac:dyDescent="0.15">
      <c r="A267" s="72" t="str">
        <f t="shared" si="4"/>
        <v>Ofsted Social Care Provider Webpage</v>
      </c>
      <c r="B267" s="55">
        <v>1247764</v>
      </c>
      <c r="D267" s="55" t="s">
        <v>373</v>
      </c>
      <c r="E267" s="74">
        <v>42797</v>
      </c>
      <c r="F267" s="55" t="s">
        <v>344</v>
      </c>
      <c r="G267" s="55" t="s">
        <v>360</v>
      </c>
      <c r="H267" s="55" t="s">
        <v>360</v>
      </c>
      <c r="I267" s="55" t="s">
        <v>360</v>
      </c>
      <c r="J267" s="55" t="s">
        <v>360</v>
      </c>
      <c r="K267" s="55" t="s">
        <v>360</v>
      </c>
      <c r="L267" s="55" t="s">
        <v>360</v>
      </c>
      <c r="M267" s="55" t="s">
        <v>142</v>
      </c>
      <c r="N267" s="55" t="s">
        <v>142</v>
      </c>
      <c r="O267" s="55" t="s">
        <v>195</v>
      </c>
      <c r="P267" s="55" t="s">
        <v>518</v>
      </c>
      <c r="Q267" s="55" t="s">
        <v>350</v>
      </c>
      <c r="R267" s="55">
        <v>5</v>
      </c>
      <c r="S267" s="74"/>
      <c r="T267" s="55" t="s">
        <v>574</v>
      </c>
      <c r="U267" s="73" t="s">
        <v>351</v>
      </c>
      <c r="V267" s="74">
        <v>44322</v>
      </c>
      <c r="W267" s="74">
        <v>44364</v>
      </c>
      <c r="X267" s="55">
        <v>10186739</v>
      </c>
      <c r="Y267" s="74" t="s">
        <v>140</v>
      </c>
      <c r="Z267" s="74"/>
      <c r="AB267" s="55" t="s">
        <v>132</v>
      </c>
      <c r="AC267" s="55" t="s">
        <v>140</v>
      </c>
    </row>
    <row r="268" spans="1:29" ht="13" x14ac:dyDescent="0.15">
      <c r="A268" s="72" t="str">
        <f t="shared" si="4"/>
        <v>Ofsted Social Care Provider Webpage</v>
      </c>
      <c r="B268" s="55">
        <v>1247773</v>
      </c>
      <c r="D268" s="55" t="s">
        <v>373</v>
      </c>
      <c r="E268" s="74">
        <v>42704</v>
      </c>
      <c r="F268" s="55" t="s">
        <v>344</v>
      </c>
      <c r="G268" s="55" t="s">
        <v>360</v>
      </c>
      <c r="H268" s="55" t="s">
        <v>360</v>
      </c>
      <c r="I268" s="55" t="s">
        <v>360</v>
      </c>
      <c r="J268" s="55" t="s">
        <v>360</v>
      </c>
      <c r="K268" s="55" t="s">
        <v>360</v>
      </c>
      <c r="L268" s="55" t="s">
        <v>360</v>
      </c>
      <c r="M268" s="55" t="s">
        <v>144</v>
      </c>
      <c r="N268" s="55" t="s">
        <v>144</v>
      </c>
      <c r="O268" s="55" t="s">
        <v>217</v>
      </c>
      <c r="P268" s="55" t="s">
        <v>903</v>
      </c>
      <c r="Q268" s="55" t="s">
        <v>350</v>
      </c>
      <c r="R268" s="55">
        <v>5</v>
      </c>
      <c r="S268" s="74"/>
      <c r="T268" s="55" t="s">
        <v>900</v>
      </c>
      <c r="U268" s="73" t="s">
        <v>351</v>
      </c>
      <c r="V268" s="74">
        <v>44580</v>
      </c>
      <c r="W268" s="74">
        <v>44623</v>
      </c>
      <c r="X268" s="55">
        <v>10185160</v>
      </c>
      <c r="Y268" s="74" t="s">
        <v>132</v>
      </c>
      <c r="Z268" s="74"/>
      <c r="AB268" s="55" t="s">
        <v>132</v>
      </c>
      <c r="AC268" s="55" t="s">
        <v>132</v>
      </c>
    </row>
    <row r="269" spans="1:29" ht="13" x14ac:dyDescent="0.15">
      <c r="A269" s="72" t="str">
        <f t="shared" si="4"/>
        <v>Ofsted Social Care Provider Webpage</v>
      </c>
      <c r="B269" s="55">
        <v>1247776</v>
      </c>
      <c r="D269" s="55" t="s">
        <v>373</v>
      </c>
      <c r="E269" s="74">
        <v>42705</v>
      </c>
      <c r="F269" s="55" t="s">
        <v>344</v>
      </c>
      <c r="G269" s="55" t="s">
        <v>360</v>
      </c>
      <c r="H269" s="55" t="s">
        <v>360</v>
      </c>
      <c r="I269" s="55" t="s">
        <v>360</v>
      </c>
      <c r="J269" s="55" t="s">
        <v>360</v>
      </c>
      <c r="K269" s="55" t="s">
        <v>360</v>
      </c>
      <c r="L269" s="55" t="s">
        <v>360</v>
      </c>
      <c r="M269" s="55" t="s">
        <v>144</v>
      </c>
      <c r="N269" s="55" t="s">
        <v>144</v>
      </c>
      <c r="O269" s="55" t="s">
        <v>215</v>
      </c>
      <c r="P269" s="55" t="s">
        <v>655</v>
      </c>
      <c r="Q269" s="55" t="s">
        <v>350</v>
      </c>
      <c r="R269" s="55">
        <v>3</v>
      </c>
      <c r="S269" s="74"/>
      <c r="T269" s="55" t="s">
        <v>900</v>
      </c>
      <c r="U269" s="73" t="s">
        <v>351</v>
      </c>
      <c r="V269" s="74">
        <v>44566</v>
      </c>
      <c r="W269" s="74">
        <v>44609</v>
      </c>
      <c r="X269" s="55">
        <v>10185088</v>
      </c>
      <c r="Y269" s="74" t="s">
        <v>132</v>
      </c>
      <c r="Z269" s="74"/>
      <c r="AB269" s="55" t="s">
        <v>132</v>
      </c>
      <c r="AC269" s="55" t="s">
        <v>132</v>
      </c>
    </row>
    <row r="270" spans="1:29" ht="13" x14ac:dyDescent="0.15">
      <c r="A270" s="72" t="str">
        <f t="shared" si="4"/>
        <v>Ofsted Social Care Provider Webpage</v>
      </c>
      <c r="B270" s="55">
        <v>1248043</v>
      </c>
      <c r="D270" s="55" t="s">
        <v>373</v>
      </c>
      <c r="E270" s="74">
        <v>42706</v>
      </c>
      <c r="F270" s="55" t="s">
        <v>344</v>
      </c>
      <c r="G270" s="55" t="s">
        <v>360</v>
      </c>
      <c r="H270" s="55" t="s">
        <v>360</v>
      </c>
      <c r="I270" s="55" t="s">
        <v>360</v>
      </c>
      <c r="J270" s="55" t="s">
        <v>360</v>
      </c>
      <c r="K270" s="55" t="s">
        <v>360</v>
      </c>
      <c r="L270" s="55" t="s">
        <v>360</v>
      </c>
      <c r="M270" s="55" t="s">
        <v>144</v>
      </c>
      <c r="N270" s="55" t="s">
        <v>144</v>
      </c>
      <c r="O270" s="55" t="s">
        <v>215</v>
      </c>
      <c r="P270" s="55" t="s">
        <v>655</v>
      </c>
      <c r="Q270" s="55" t="s">
        <v>350</v>
      </c>
      <c r="R270" s="55">
        <v>2</v>
      </c>
      <c r="S270" s="74"/>
      <c r="T270" s="55" t="s">
        <v>900</v>
      </c>
      <c r="U270" s="73" t="s">
        <v>351</v>
      </c>
      <c r="V270" s="74">
        <v>44566</v>
      </c>
      <c r="W270" s="74">
        <v>44602</v>
      </c>
      <c r="X270" s="55">
        <v>10187022</v>
      </c>
      <c r="Y270" s="74" t="s">
        <v>132</v>
      </c>
      <c r="Z270" s="74"/>
      <c r="AB270" s="55" t="s">
        <v>132</v>
      </c>
      <c r="AC270" s="55" t="s">
        <v>132</v>
      </c>
    </row>
    <row r="271" spans="1:29" ht="13" x14ac:dyDescent="0.15">
      <c r="A271" s="72" t="str">
        <f t="shared" si="4"/>
        <v>Ofsted Social Care Provider Webpage</v>
      </c>
      <c r="B271" s="55">
        <v>1248071</v>
      </c>
      <c r="D271" s="55" t="s">
        <v>373</v>
      </c>
      <c r="E271" s="74">
        <v>42738</v>
      </c>
      <c r="F271" s="55" t="s">
        <v>344</v>
      </c>
      <c r="G271" s="55" t="s">
        <v>360</v>
      </c>
      <c r="H271" s="55" t="s">
        <v>360</v>
      </c>
      <c r="I271" s="55" t="s">
        <v>360</v>
      </c>
      <c r="J271" s="55" t="s">
        <v>360</v>
      </c>
      <c r="K271" s="55" t="s">
        <v>360</v>
      </c>
      <c r="L271" s="55" t="s">
        <v>360</v>
      </c>
      <c r="M271" s="55" t="s">
        <v>136</v>
      </c>
      <c r="N271" s="55" t="s">
        <v>136</v>
      </c>
      <c r="O271" s="55" t="s">
        <v>239</v>
      </c>
      <c r="P271" s="55" t="s">
        <v>738</v>
      </c>
      <c r="Q271" s="55" t="s">
        <v>350</v>
      </c>
      <c r="R271" s="55">
        <v>2</v>
      </c>
      <c r="S271" s="74"/>
      <c r="T271" s="55" t="s">
        <v>739</v>
      </c>
      <c r="U271" s="73" t="s">
        <v>351</v>
      </c>
      <c r="V271" s="74">
        <v>44529</v>
      </c>
      <c r="W271" s="74">
        <v>44582</v>
      </c>
      <c r="X271" s="55">
        <v>10185567</v>
      </c>
      <c r="Y271" s="74" t="s">
        <v>132</v>
      </c>
      <c r="Z271" s="74"/>
      <c r="AB271" s="55" t="s">
        <v>132</v>
      </c>
      <c r="AC271" s="55" t="s">
        <v>132</v>
      </c>
    </row>
    <row r="272" spans="1:29" ht="13" x14ac:dyDescent="0.15">
      <c r="A272" s="72" t="str">
        <f t="shared" si="4"/>
        <v>Ofsted Social Care Provider Webpage</v>
      </c>
      <c r="B272" s="55">
        <v>1248509</v>
      </c>
      <c r="D272" s="55" t="s">
        <v>373</v>
      </c>
      <c r="E272" s="74">
        <v>42849</v>
      </c>
      <c r="F272" s="55" t="s">
        <v>344</v>
      </c>
      <c r="G272" s="55" t="s">
        <v>360</v>
      </c>
      <c r="H272" s="55" t="s">
        <v>360</v>
      </c>
      <c r="I272" s="55" t="s">
        <v>360</v>
      </c>
      <c r="J272" s="55" t="s">
        <v>360</v>
      </c>
      <c r="K272" s="55" t="s">
        <v>360</v>
      </c>
      <c r="L272" s="55" t="s">
        <v>360</v>
      </c>
      <c r="M272" s="55" t="s">
        <v>172</v>
      </c>
      <c r="N272" s="55" t="s">
        <v>172</v>
      </c>
      <c r="O272" s="55" t="s">
        <v>228</v>
      </c>
      <c r="P272" s="55" t="s">
        <v>459</v>
      </c>
      <c r="Q272" s="55" t="s">
        <v>350</v>
      </c>
      <c r="R272" s="55">
        <v>2</v>
      </c>
      <c r="S272" s="74"/>
      <c r="T272" s="55" t="s">
        <v>904</v>
      </c>
      <c r="U272" s="73" t="s">
        <v>351</v>
      </c>
      <c r="V272" s="74">
        <v>44614</v>
      </c>
      <c r="W272" s="74">
        <v>44658</v>
      </c>
      <c r="X272" s="55">
        <v>10185405</v>
      </c>
      <c r="Y272" s="74" t="s">
        <v>132</v>
      </c>
      <c r="Z272" s="74"/>
      <c r="AB272" s="55" t="s">
        <v>132</v>
      </c>
      <c r="AC272" s="55" t="s">
        <v>132</v>
      </c>
    </row>
    <row r="273" spans="1:29" ht="13" x14ac:dyDescent="0.15">
      <c r="A273" s="72" t="str">
        <f t="shared" si="4"/>
        <v>Ofsted Social Care Provider Webpage</v>
      </c>
      <c r="B273" s="55">
        <v>1248773</v>
      </c>
      <c r="D273" s="55" t="s">
        <v>373</v>
      </c>
      <c r="E273" s="74">
        <v>42789</v>
      </c>
      <c r="F273" s="55" t="s">
        <v>344</v>
      </c>
      <c r="G273" s="55" t="s">
        <v>360</v>
      </c>
      <c r="H273" s="55" t="s">
        <v>360</v>
      </c>
      <c r="I273" s="55" t="s">
        <v>360</v>
      </c>
      <c r="J273" s="55" t="s">
        <v>360</v>
      </c>
      <c r="K273" s="55" t="s">
        <v>360</v>
      </c>
      <c r="L273" s="55" t="s">
        <v>360</v>
      </c>
      <c r="M273" s="55" t="s">
        <v>378</v>
      </c>
      <c r="N273" s="55" t="s">
        <v>170</v>
      </c>
      <c r="O273" s="55" t="s">
        <v>178</v>
      </c>
      <c r="P273" s="55" t="s">
        <v>905</v>
      </c>
      <c r="Q273" s="55" t="s">
        <v>350</v>
      </c>
      <c r="R273" s="55">
        <v>5</v>
      </c>
      <c r="S273" s="74"/>
      <c r="T273" s="55" t="s">
        <v>906</v>
      </c>
      <c r="U273" s="73" t="s">
        <v>351</v>
      </c>
      <c r="V273" s="74">
        <v>44488</v>
      </c>
      <c r="W273" s="74">
        <v>44518</v>
      </c>
      <c r="X273" s="55">
        <v>10187128</v>
      </c>
      <c r="Y273" s="74" t="s">
        <v>130</v>
      </c>
      <c r="Z273" s="74"/>
      <c r="AB273" s="55" t="s">
        <v>130</v>
      </c>
      <c r="AC273" s="55" t="s">
        <v>146</v>
      </c>
    </row>
    <row r="274" spans="1:29" ht="13" x14ac:dyDescent="0.15">
      <c r="A274" s="72" t="str">
        <f t="shared" si="4"/>
        <v>Ofsted Social Care Provider Webpage</v>
      </c>
      <c r="B274" s="55">
        <v>1248979</v>
      </c>
      <c r="D274" s="55" t="s">
        <v>373</v>
      </c>
      <c r="E274" s="74">
        <v>42794</v>
      </c>
      <c r="F274" s="55" t="s">
        <v>344</v>
      </c>
      <c r="G274" s="55" t="s">
        <v>360</v>
      </c>
      <c r="H274" s="55" t="s">
        <v>360</v>
      </c>
      <c r="I274" s="55" t="s">
        <v>360</v>
      </c>
      <c r="J274" s="55" t="s">
        <v>360</v>
      </c>
      <c r="K274" s="55" t="s">
        <v>360</v>
      </c>
      <c r="L274" s="55" t="s">
        <v>360</v>
      </c>
      <c r="M274" s="55" t="s">
        <v>138</v>
      </c>
      <c r="N274" s="55" t="s">
        <v>138</v>
      </c>
      <c r="O274" s="55" t="s">
        <v>183</v>
      </c>
      <c r="P274" s="55" t="s">
        <v>907</v>
      </c>
      <c r="Q274" s="55" t="s">
        <v>350</v>
      </c>
      <c r="R274" s="55">
        <v>7</v>
      </c>
      <c r="S274" s="74"/>
      <c r="T274" s="55" t="s">
        <v>908</v>
      </c>
      <c r="U274" s="73" t="s">
        <v>351</v>
      </c>
      <c r="V274" s="74">
        <v>44329</v>
      </c>
      <c r="W274" s="74">
        <v>44356</v>
      </c>
      <c r="X274" s="55">
        <v>10186258</v>
      </c>
      <c r="Y274" s="74" t="s">
        <v>132</v>
      </c>
      <c r="Z274" s="74"/>
      <c r="AB274" s="55" t="s">
        <v>132</v>
      </c>
      <c r="AC274" s="55" t="s">
        <v>130</v>
      </c>
    </row>
    <row r="275" spans="1:29" ht="13" x14ac:dyDescent="0.15">
      <c r="A275" s="72" t="str">
        <f t="shared" si="4"/>
        <v>Ofsted Social Care Provider Webpage</v>
      </c>
      <c r="B275" s="55">
        <v>1249031</v>
      </c>
      <c r="D275" s="55" t="s">
        <v>373</v>
      </c>
      <c r="E275" s="74">
        <v>42706</v>
      </c>
      <c r="F275" s="55" t="s">
        <v>344</v>
      </c>
      <c r="G275" s="55" t="s">
        <v>360</v>
      </c>
      <c r="H275" s="55" t="s">
        <v>360</v>
      </c>
      <c r="I275" s="55" t="s">
        <v>360</v>
      </c>
      <c r="J275" s="55" t="s">
        <v>360</v>
      </c>
      <c r="K275" s="55" t="s">
        <v>360</v>
      </c>
      <c r="L275" s="55" t="s">
        <v>360</v>
      </c>
      <c r="M275" s="55" t="s">
        <v>144</v>
      </c>
      <c r="N275" s="55" t="s">
        <v>144</v>
      </c>
      <c r="O275" s="55" t="s">
        <v>290</v>
      </c>
      <c r="P275" s="55" t="s">
        <v>909</v>
      </c>
      <c r="Q275" s="55" t="s">
        <v>350</v>
      </c>
      <c r="R275" s="55">
        <v>3</v>
      </c>
      <c r="S275" s="74"/>
      <c r="T275" s="55" t="s">
        <v>900</v>
      </c>
      <c r="U275" s="73" t="s">
        <v>351</v>
      </c>
      <c r="V275" s="74">
        <v>44425</v>
      </c>
      <c r="W275" s="74">
        <v>44459</v>
      </c>
      <c r="X275" s="55">
        <v>10185865</v>
      </c>
      <c r="Y275" s="74" t="s">
        <v>130</v>
      </c>
      <c r="Z275" s="74"/>
      <c r="AB275" s="55" t="s">
        <v>130</v>
      </c>
      <c r="AC275" s="55" t="s">
        <v>130</v>
      </c>
    </row>
    <row r="276" spans="1:29" ht="13" x14ac:dyDescent="0.15">
      <c r="A276" s="72" t="str">
        <f t="shared" si="4"/>
        <v>Ofsted Social Care Provider Webpage</v>
      </c>
      <c r="B276" s="55">
        <v>1249034</v>
      </c>
      <c r="D276" s="55" t="s">
        <v>373</v>
      </c>
      <c r="E276" s="74">
        <v>42958</v>
      </c>
      <c r="F276" s="55" t="s">
        <v>344</v>
      </c>
      <c r="G276" s="55" t="s">
        <v>360</v>
      </c>
      <c r="H276" s="55" t="s">
        <v>360</v>
      </c>
      <c r="I276" s="55" t="s">
        <v>360</v>
      </c>
      <c r="J276" s="55" t="s">
        <v>360</v>
      </c>
      <c r="K276" s="55" t="s">
        <v>360</v>
      </c>
      <c r="L276" s="55" t="s">
        <v>360</v>
      </c>
      <c r="M276" s="55" t="s">
        <v>142</v>
      </c>
      <c r="N276" s="55" t="s">
        <v>142</v>
      </c>
      <c r="O276" s="55" t="s">
        <v>262</v>
      </c>
      <c r="P276" s="55" t="s">
        <v>850</v>
      </c>
      <c r="Q276" s="55" t="s">
        <v>350</v>
      </c>
      <c r="R276" s="55">
        <v>1</v>
      </c>
      <c r="S276" s="74"/>
      <c r="T276" s="55" t="s">
        <v>910</v>
      </c>
      <c r="U276" s="73" t="s">
        <v>351</v>
      </c>
      <c r="V276" s="74">
        <v>44579</v>
      </c>
      <c r="W276" s="74">
        <v>44614</v>
      </c>
      <c r="X276" s="55">
        <v>10186835</v>
      </c>
      <c r="Y276" s="74" t="s">
        <v>132</v>
      </c>
      <c r="Z276" s="74"/>
      <c r="AB276" s="55" t="s">
        <v>132</v>
      </c>
      <c r="AC276" s="55" t="s">
        <v>132</v>
      </c>
    </row>
    <row r="277" spans="1:29" ht="13" x14ac:dyDescent="0.15">
      <c r="A277" s="72" t="str">
        <f t="shared" si="4"/>
        <v>Ofsted Social Care Provider Webpage</v>
      </c>
      <c r="B277" s="55">
        <v>1249035</v>
      </c>
      <c r="D277" s="55" t="s">
        <v>373</v>
      </c>
      <c r="E277" s="74">
        <v>42815</v>
      </c>
      <c r="F277" s="55" t="s">
        <v>344</v>
      </c>
      <c r="G277" s="55" t="s">
        <v>360</v>
      </c>
      <c r="H277" s="55" t="s">
        <v>360</v>
      </c>
      <c r="I277" s="55" t="s">
        <v>360</v>
      </c>
      <c r="J277" s="55" t="s">
        <v>360</v>
      </c>
      <c r="K277" s="55" t="s">
        <v>360</v>
      </c>
      <c r="L277" s="55" t="s">
        <v>360</v>
      </c>
      <c r="M277" s="55" t="s">
        <v>144</v>
      </c>
      <c r="N277" s="55" t="s">
        <v>144</v>
      </c>
      <c r="O277" s="55" t="s">
        <v>209</v>
      </c>
      <c r="P277" s="55" t="s">
        <v>545</v>
      </c>
      <c r="Q277" s="55" t="s">
        <v>350</v>
      </c>
      <c r="R277" s="55">
        <v>6</v>
      </c>
      <c r="S277" s="74"/>
      <c r="T277" s="55" t="s">
        <v>377</v>
      </c>
      <c r="U277" s="73" t="s">
        <v>351</v>
      </c>
      <c r="V277" s="74">
        <v>44593</v>
      </c>
      <c r="W277" s="74">
        <v>44636</v>
      </c>
      <c r="X277" s="55">
        <v>10186243</v>
      </c>
      <c r="Y277" s="74" t="s">
        <v>132</v>
      </c>
      <c r="Z277" s="74"/>
      <c r="AB277" s="55" t="s">
        <v>132</v>
      </c>
      <c r="AC277" s="55" t="s">
        <v>132</v>
      </c>
    </row>
    <row r="278" spans="1:29" ht="13" x14ac:dyDescent="0.15">
      <c r="A278" s="72" t="str">
        <f t="shared" si="4"/>
        <v>Ofsted Social Care Provider Webpage</v>
      </c>
      <c r="B278" s="55">
        <v>1249111</v>
      </c>
      <c r="D278" s="55" t="s">
        <v>373</v>
      </c>
      <c r="E278" s="74">
        <v>42718</v>
      </c>
      <c r="F278" s="55" t="s">
        <v>344</v>
      </c>
      <c r="G278" s="55" t="s">
        <v>360</v>
      </c>
      <c r="H278" s="55" t="s">
        <v>360</v>
      </c>
      <c r="I278" s="55" t="s">
        <v>360</v>
      </c>
      <c r="J278" s="55" t="s">
        <v>360</v>
      </c>
      <c r="K278" s="55" t="s">
        <v>360</v>
      </c>
      <c r="L278" s="55" t="s">
        <v>360</v>
      </c>
      <c r="M278" s="55" t="s">
        <v>150</v>
      </c>
      <c r="N278" s="55" t="s">
        <v>150</v>
      </c>
      <c r="O278" s="55" t="s">
        <v>190</v>
      </c>
      <c r="P278" s="55" t="s">
        <v>897</v>
      </c>
      <c r="Q278" s="55" t="s">
        <v>350</v>
      </c>
      <c r="R278" s="55">
        <v>2</v>
      </c>
      <c r="S278" s="74"/>
      <c r="T278" s="55" t="s">
        <v>911</v>
      </c>
      <c r="U278" s="73" t="s">
        <v>351</v>
      </c>
      <c r="V278" s="74">
        <v>44389</v>
      </c>
      <c r="W278" s="74">
        <v>44448</v>
      </c>
      <c r="X278" s="55">
        <v>10198616</v>
      </c>
      <c r="Y278" s="74" t="s">
        <v>132</v>
      </c>
      <c r="Z278" s="74"/>
      <c r="AB278" s="55" t="s">
        <v>132</v>
      </c>
      <c r="AC278" s="55" t="s">
        <v>130</v>
      </c>
    </row>
    <row r="279" spans="1:29" ht="13" x14ac:dyDescent="0.15">
      <c r="A279" s="72" t="str">
        <f t="shared" si="4"/>
        <v>Ofsted Social Care Provider Webpage</v>
      </c>
      <c r="B279" s="55">
        <v>1249115</v>
      </c>
      <c r="D279" s="55" t="s">
        <v>373</v>
      </c>
      <c r="E279" s="74">
        <v>42806</v>
      </c>
      <c r="F279" s="55" t="s">
        <v>344</v>
      </c>
      <c r="G279" s="55" t="s">
        <v>360</v>
      </c>
      <c r="H279" s="55" t="s">
        <v>360</v>
      </c>
      <c r="I279" s="55" t="s">
        <v>360</v>
      </c>
      <c r="J279" s="55" t="s">
        <v>360</v>
      </c>
      <c r="K279" s="55" t="s">
        <v>360</v>
      </c>
      <c r="L279" s="55" t="s">
        <v>360</v>
      </c>
      <c r="M279" s="55" t="s">
        <v>378</v>
      </c>
      <c r="N279" s="55" t="s">
        <v>134</v>
      </c>
      <c r="O279" s="55" t="s">
        <v>158</v>
      </c>
      <c r="P279" s="55" t="s">
        <v>912</v>
      </c>
      <c r="Q279" s="55" t="s">
        <v>350</v>
      </c>
      <c r="R279" s="55">
        <v>4</v>
      </c>
      <c r="S279" s="74"/>
      <c r="T279" s="55" t="s">
        <v>377</v>
      </c>
      <c r="U279" s="73" t="s">
        <v>351</v>
      </c>
      <c r="V279" s="74">
        <v>44306</v>
      </c>
      <c r="W279" s="74">
        <v>44343</v>
      </c>
      <c r="X279" s="55">
        <v>10186518</v>
      </c>
      <c r="Y279" s="74" t="s">
        <v>132</v>
      </c>
      <c r="Z279" s="74"/>
      <c r="AB279" s="55" t="s">
        <v>132</v>
      </c>
      <c r="AC279" s="55" t="s">
        <v>132</v>
      </c>
    </row>
    <row r="280" spans="1:29" ht="13" x14ac:dyDescent="0.15">
      <c r="A280" s="72" t="str">
        <f t="shared" si="4"/>
        <v>Ofsted Social Care Provider Webpage</v>
      </c>
      <c r="B280" s="55">
        <v>1249117</v>
      </c>
      <c r="D280" s="55" t="s">
        <v>373</v>
      </c>
      <c r="E280" s="74">
        <v>43283</v>
      </c>
      <c r="F280" s="55" t="s">
        <v>344</v>
      </c>
      <c r="G280" s="55" t="s">
        <v>360</v>
      </c>
      <c r="H280" s="55" t="s">
        <v>360</v>
      </c>
      <c r="I280" s="55" t="s">
        <v>360</v>
      </c>
      <c r="J280" s="55" t="s">
        <v>360</v>
      </c>
      <c r="K280" s="55" t="s">
        <v>360</v>
      </c>
      <c r="L280" s="55" t="s">
        <v>360</v>
      </c>
      <c r="M280" s="55" t="s">
        <v>142</v>
      </c>
      <c r="N280" s="55" t="s">
        <v>142</v>
      </c>
      <c r="O280" s="55" t="s">
        <v>262</v>
      </c>
      <c r="P280" s="55" t="s">
        <v>850</v>
      </c>
      <c r="Q280" s="55" t="s">
        <v>350</v>
      </c>
      <c r="R280" s="55">
        <v>1</v>
      </c>
      <c r="S280" s="74"/>
      <c r="T280" s="55" t="s">
        <v>910</v>
      </c>
      <c r="U280" s="73" t="s">
        <v>351</v>
      </c>
      <c r="V280" s="74">
        <v>44530</v>
      </c>
      <c r="W280" s="74">
        <v>44579</v>
      </c>
      <c r="X280" s="55">
        <v>10187009</v>
      </c>
      <c r="Y280" s="74" t="s">
        <v>140</v>
      </c>
      <c r="Z280" s="74"/>
      <c r="AB280" s="55" t="s">
        <v>140</v>
      </c>
      <c r="AC280" s="55" t="s">
        <v>140</v>
      </c>
    </row>
    <row r="281" spans="1:29" ht="13" x14ac:dyDescent="0.15">
      <c r="A281" s="72" t="str">
        <f t="shared" si="4"/>
        <v>Ofsted Social Care Provider Webpage</v>
      </c>
      <c r="B281" s="55">
        <v>1249123</v>
      </c>
      <c r="D281" s="55" t="s">
        <v>373</v>
      </c>
      <c r="E281" s="74">
        <v>42870</v>
      </c>
      <c r="F281" s="55" t="s">
        <v>344</v>
      </c>
      <c r="G281" s="55" t="s">
        <v>360</v>
      </c>
      <c r="H281" s="55" t="s">
        <v>360</v>
      </c>
      <c r="I281" s="55" t="s">
        <v>360</v>
      </c>
      <c r="J281" s="55" t="s">
        <v>360</v>
      </c>
      <c r="K281" s="55" t="s">
        <v>360</v>
      </c>
      <c r="L281" s="55" t="s">
        <v>360</v>
      </c>
      <c r="M281" s="55" t="s">
        <v>144</v>
      </c>
      <c r="N281" s="55" t="s">
        <v>144</v>
      </c>
      <c r="O281" s="55" t="s">
        <v>168</v>
      </c>
      <c r="P281" s="55" t="s">
        <v>913</v>
      </c>
      <c r="Q281" s="55" t="s">
        <v>350</v>
      </c>
      <c r="R281" s="55">
        <v>6</v>
      </c>
      <c r="S281" s="74"/>
      <c r="T281" s="55" t="s">
        <v>504</v>
      </c>
      <c r="U281" s="73" t="s">
        <v>351</v>
      </c>
      <c r="V281" s="74">
        <v>43774</v>
      </c>
      <c r="W281" s="74">
        <v>43819</v>
      </c>
      <c r="X281" s="55">
        <v>10096609</v>
      </c>
      <c r="Y281" s="74" t="s">
        <v>132</v>
      </c>
      <c r="Z281" s="74"/>
      <c r="AB281" s="55" t="s">
        <v>132</v>
      </c>
      <c r="AC281" s="55" t="s">
        <v>130</v>
      </c>
    </row>
    <row r="282" spans="1:29" ht="13" x14ac:dyDescent="0.15">
      <c r="A282" s="72" t="str">
        <f t="shared" si="4"/>
        <v>Ofsted Social Care Provider Webpage</v>
      </c>
      <c r="B282" s="55">
        <v>1249183</v>
      </c>
      <c r="D282" s="55" t="s">
        <v>373</v>
      </c>
      <c r="E282" s="74">
        <v>42849</v>
      </c>
      <c r="F282" s="55" t="s">
        <v>344</v>
      </c>
      <c r="G282" s="55" t="s">
        <v>360</v>
      </c>
      <c r="H282" s="55" t="s">
        <v>360</v>
      </c>
      <c r="I282" s="55" t="s">
        <v>360</v>
      </c>
      <c r="J282" s="55" t="s">
        <v>360</v>
      </c>
      <c r="K282" s="55" t="s">
        <v>360</v>
      </c>
      <c r="L282" s="55" t="s">
        <v>360</v>
      </c>
      <c r="M282" s="55" t="s">
        <v>378</v>
      </c>
      <c r="N282" s="55" t="s">
        <v>134</v>
      </c>
      <c r="O282" s="55" t="s">
        <v>151</v>
      </c>
      <c r="P282" s="55" t="s">
        <v>862</v>
      </c>
      <c r="Q282" s="55" t="s">
        <v>350</v>
      </c>
      <c r="R282" s="55">
        <v>4</v>
      </c>
      <c r="S282" s="74"/>
      <c r="T282" s="55" t="s">
        <v>489</v>
      </c>
      <c r="U282" s="73" t="s">
        <v>351</v>
      </c>
      <c r="V282" s="74">
        <v>44608</v>
      </c>
      <c r="W282" s="74">
        <v>44644</v>
      </c>
      <c r="X282" s="55">
        <v>10186767</v>
      </c>
      <c r="Y282" s="74" t="s">
        <v>140</v>
      </c>
      <c r="Z282" s="74"/>
      <c r="AB282" s="55" t="s">
        <v>132</v>
      </c>
      <c r="AC282" s="55" t="s">
        <v>132</v>
      </c>
    </row>
    <row r="283" spans="1:29" ht="13" x14ac:dyDescent="0.15">
      <c r="A283" s="72" t="str">
        <f t="shared" si="4"/>
        <v>Ofsted Social Care Provider Webpage</v>
      </c>
      <c r="B283" s="55">
        <v>1249196</v>
      </c>
      <c r="D283" s="55" t="s">
        <v>373</v>
      </c>
      <c r="E283" s="74">
        <v>42758</v>
      </c>
      <c r="F283" s="55" t="s">
        <v>344</v>
      </c>
      <c r="G283" s="55" t="s">
        <v>360</v>
      </c>
      <c r="H283" s="55" t="s">
        <v>360</v>
      </c>
      <c r="I283" s="55" t="s">
        <v>360</v>
      </c>
      <c r="J283" s="55" t="s">
        <v>360</v>
      </c>
      <c r="K283" s="55" t="s">
        <v>360</v>
      </c>
      <c r="L283" s="55" t="s">
        <v>360</v>
      </c>
      <c r="M283" s="55" t="s">
        <v>136</v>
      </c>
      <c r="N283" s="55" t="s">
        <v>136</v>
      </c>
      <c r="O283" s="55" t="s">
        <v>255</v>
      </c>
      <c r="P283" s="55" t="s">
        <v>757</v>
      </c>
      <c r="Q283" s="55" t="s">
        <v>350</v>
      </c>
      <c r="R283" s="55">
        <v>4</v>
      </c>
      <c r="S283" s="74"/>
      <c r="T283" s="55" t="s">
        <v>914</v>
      </c>
      <c r="U283" s="73" t="s">
        <v>351</v>
      </c>
      <c r="V283" s="74">
        <v>44397</v>
      </c>
      <c r="W283" s="74">
        <v>44428</v>
      </c>
      <c r="X283" s="55">
        <v>10187489</v>
      </c>
      <c r="Y283" s="74" t="s">
        <v>132</v>
      </c>
      <c r="Z283" s="74"/>
      <c r="AB283" s="55" t="s">
        <v>132</v>
      </c>
      <c r="AC283" s="55" t="s">
        <v>132</v>
      </c>
    </row>
    <row r="284" spans="1:29" ht="13" x14ac:dyDescent="0.15">
      <c r="A284" s="72" t="str">
        <f t="shared" si="4"/>
        <v>Ofsted Social Care Provider Webpage</v>
      </c>
      <c r="B284" s="55">
        <v>1249259</v>
      </c>
      <c r="D284" s="55" t="s">
        <v>373</v>
      </c>
      <c r="E284" s="74">
        <v>42797</v>
      </c>
      <c r="F284" s="55" t="s">
        <v>344</v>
      </c>
      <c r="G284" s="55" t="s">
        <v>360</v>
      </c>
      <c r="H284" s="55" t="s">
        <v>360</v>
      </c>
      <c r="I284" s="55" t="s">
        <v>360</v>
      </c>
      <c r="J284" s="55" t="s">
        <v>360</v>
      </c>
      <c r="K284" s="55" t="s">
        <v>360</v>
      </c>
      <c r="L284" s="55" t="s">
        <v>360</v>
      </c>
      <c r="M284" s="55" t="s">
        <v>150</v>
      </c>
      <c r="N284" s="55" t="s">
        <v>150</v>
      </c>
      <c r="O284" s="55" t="s">
        <v>190</v>
      </c>
      <c r="P284" s="55" t="s">
        <v>830</v>
      </c>
      <c r="Q284" s="55" t="s">
        <v>350</v>
      </c>
      <c r="R284" s="55">
        <v>4</v>
      </c>
      <c r="S284" s="74"/>
      <c r="T284" s="55" t="s">
        <v>450</v>
      </c>
      <c r="U284" s="73" t="s">
        <v>351</v>
      </c>
      <c r="V284" s="74">
        <v>44383</v>
      </c>
      <c r="W284" s="74">
        <v>44439</v>
      </c>
      <c r="X284" s="55">
        <v>10185577</v>
      </c>
      <c r="Y284" s="74" t="s">
        <v>132</v>
      </c>
      <c r="Z284" s="74"/>
      <c r="AB284" s="55" t="s">
        <v>132</v>
      </c>
      <c r="AC284" s="55" t="s">
        <v>132</v>
      </c>
    </row>
    <row r="285" spans="1:29" ht="13" x14ac:dyDescent="0.15">
      <c r="A285" s="72" t="str">
        <f t="shared" si="4"/>
        <v>Ofsted Social Care Provider Webpage</v>
      </c>
      <c r="B285" s="55">
        <v>1249264</v>
      </c>
      <c r="D285" s="55" t="s">
        <v>373</v>
      </c>
      <c r="E285" s="74">
        <v>42781</v>
      </c>
      <c r="F285" s="55" t="s">
        <v>344</v>
      </c>
      <c r="G285" s="55" t="s">
        <v>360</v>
      </c>
      <c r="H285" s="55" t="s">
        <v>360</v>
      </c>
      <c r="I285" s="55" t="s">
        <v>360</v>
      </c>
      <c r="J285" s="55" t="s">
        <v>360</v>
      </c>
      <c r="K285" s="55" t="s">
        <v>360</v>
      </c>
      <c r="L285" s="55" t="s">
        <v>360</v>
      </c>
      <c r="M285" s="55" t="s">
        <v>144</v>
      </c>
      <c r="N285" s="55" t="s">
        <v>144</v>
      </c>
      <c r="O285" s="55" t="s">
        <v>168</v>
      </c>
      <c r="P285" s="55" t="s">
        <v>913</v>
      </c>
      <c r="Q285" s="55" t="s">
        <v>350</v>
      </c>
      <c r="R285" s="55">
        <v>4</v>
      </c>
      <c r="S285" s="74"/>
      <c r="T285" s="55" t="s">
        <v>915</v>
      </c>
      <c r="U285" s="73" t="s">
        <v>351</v>
      </c>
      <c r="V285" s="74">
        <v>44369</v>
      </c>
      <c r="W285" s="74">
        <v>44399</v>
      </c>
      <c r="X285" s="55">
        <v>10196641</v>
      </c>
      <c r="Y285" s="74" t="s">
        <v>130</v>
      </c>
      <c r="Z285" s="74"/>
      <c r="AB285" s="55" t="s">
        <v>132</v>
      </c>
      <c r="AC285" s="55" t="s">
        <v>130</v>
      </c>
    </row>
    <row r="286" spans="1:29" ht="13" x14ac:dyDescent="0.15">
      <c r="A286" s="72" t="str">
        <f t="shared" si="4"/>
        <v>Ofsted Social Care Provider Webpage</v>
      </c>
      <c r="B286" s="55">
        <v>1249326</v>
      </c>
      <c r="D286" s="55" t="s">
        <v>373</v>
      </c>
      <c r="E286" s="74">
        <v>42802</v>
      </c>
      <c r="F286" s="55" t="s">
        <v>344</v>
      </c>
      <c r="G286" s="55" t="s">
        <v>360</v>
      </c>
      <c r="H286" s="55" t="s">
        <v>360</v>
      </c>
      <c r="I286" s="55" t="s">
        <v>360</v>
      </c>
      <c r="J286" s="55" t="s">
        <v>360</v>
      </c>
      <c r="K286" s="55" t="s">
        <v>360</v>
      </c>
      <c r="L286" s="55" t="s">
        <v>360</v>
      </c>
      <c r="M286" s="55" t="s">
        <v>142</v>
      </c>
      <c r="N286" s="55" t="s">
        <v>142</v>
      </c>
      <c r="O286" s="55" t="s">
        <v>262</v>
      </c>
      <c r="P286" s="55" t="s">
        <v>916</v>
      </c>
      <c r="Q286" s="55" t="s">
        <v>350</v>
      </c>
      <c r="R286" s="55">
        <v>4</v>
      </c>
      <c r="S286" s="74"/>
      <c r="T286" s="55" t="s">
        <v>917</v>
      </c>
      <c r="U286" s="73" t="s">
        <v>351</v>
      </c>
      <c r="V286" s="74">
        <v>44426</v>
      </c>
      <c r="W286" s="74">
        <v>44469</v>
      </c>
      <c r="X286" s="55">
        <v>10185173</v>
      </c>
      <c r="Y286" s="74" t="s">
        <v>132</v>
      </c>
      <c r="Z286" s="74"/>
      <c r="AB286" s="55" t="s">
        <v>132</v>
      </c>
      <c r="AC286" s="55" t="s">
        <v>132</v>
      </c>
    </row>
    <row r="287" spans="1:29" ht="13" x14ac:dyDescent="0.15">
      <c r="A287" s="72" t="str">
        <f t="shared" si="4"/>
        <v>Ofsted Social Care Provider Webpage</v>
      </c>
      <c r="B287" s="55">
        <v>1249715</v>
      </c>
      <c r="D287" s="55" t="s">
        <v>373</v>
      </c>
      <c r="E287" s="74">
        <v>42836</v>
      </c>
      <c r="F287" s="55" t="s">
        <v>344</v>
      </c>
      <c r="G287" s="55" t="s">
        <v>360</v>
      </c>
      <c r="H287" s="55" t="s">
        <v>360</v>
      </c>
      <c r="I287" s="55" t="s">
        <v>360</v>
      </c>
      <c r="J287" s="55" t="s">
        <v>360</v>
      </c>
      <c r="K287" s="55" t="s">
        <v>360</v>
      </c>
      <c r="L287" s="55" t="s">
        <v>360</v>
      </c>
      <c r="M287" s="55" t="s">
        <v>150</v>
      </c>
      <c r="N287" s="55" t="s">
        <v>150</v>
      </c>
      <c r="O287" s="55" t="s">
        <v>190</v>
      </c>
      <c r="P287" s="55" t="s">
        <v>749</v>
      </c>
      <c r="Q287" s="55" t="s">
        <v>350</v>
      </c>
      <c r="R287" s="55">
        <v>4</v>
      </c>
      <c r="S287" s="74"/>
      <c r="T287" s="55" t="s">
        <v>450</v>
      </c>
      <c r="U287" s="73" t="s">
        <v>351</v>
      </c>
      <c r="V287" s="74">
        <v>44426</v>
      </c>
      <c r="W287" s="74">
        <v>44466</v>
      </c>
      <c r="X287" s="55">
        <v>10187496</v>
      </c>
      <c r="Y287" s="74" t="s">
        <v>140</v>
      </c>
      <c r="Z287" s="74"/>
      <c r="AB287" s="55" t="s">
        <v>132</v>
      </c>
      <c r="AC287" s="55" t="s">
        <v>140</v>
      </c>
    </row>
    <row r="288" spans="1:29" ht="13" x14ac:dyDescent="0.15">
      <c r="A288" s="72" t="str">
        <f t="shared" si="4"/>
        <v>Ofsted Social Care Provider Webpage</v>
      </c>
      <c r="B288" s="55">
        <v>1249787</v>
      </c>
      <c r="D288" s="55" t="s">
        <v>373</v>
      </c>
      <c r="E288" s="74">
        <v>42720</v>
      </c>
      <c r="F288" s="55" t="s">
        <v>344</v>
      </c>
      <c r="G288" s="55" t="s">
        <v>360</v>
      </c>
      <c r="H288" s="55" t="s">
        <v>360</v>
      </c>
      <c r="I288" s="55" t="s">
        <v>360</v>
      </c>
      <c r="J288" s="55" t="s">
        <v>360</v>
      </c>
      <c r="K288" s="55" t="s">
        <v>360</v>
      </c>
      <c r="L288" s="55" t="s">
        <v>360</v>
      </c>
      <c r="M288" s="55" t="s">
        <v>136</v>
      </c>
      <c r="N288" s="55" t="s">
        <v>136</v>
      </c>
      <c r="O288" s="55" t="s">
        <v>174</v>
      </c>
      <c r="P288" s="55" t="s">
        <v>651</v>
      </c>
      <c r="Q288" s="55" t="s">
        <v>350</v>
      </c>
      <c r="R288" s="55">
        <v>1</v>
      </c>
      <c r="S288" s="74"/>
      <c r="T288" s="55" t="s">
        <v>652</v>
      </c>
      <c r="U288" s="73" t="s">
        <v>351</v>
      </c>
      <c r="V288" s="74">
        <v>44308</v>
      </c>
      <c r="W288" s="74">
        <v>44336</v>
      </c>
      <c r="X288" s="55">
        <v>10186260</v>
      </c>
      <c r="Y288" s="74" t="s">
        <v>132</v>
      </c>
      <c r="Z288" s="74"/>
      <c r="AB288" s="55" t="s">
        <v>132</v>
      </c>
      <c r="AC288" s="55" t="s">
        <v>132</v>
      </c>
    </row>
    <row r="289" spans="1:29" ht="13" x14ac:dyDescent="0.15">
      <c r="A289" s="72" t="str">
        <f t="shared" si="4"/>
        <v>Ofsted Social Care Provider Webpage</v>
      </c>
      <c r="B289" s="55">
        <v>1249881</v>
      </c>
      <c r="D289" s="55" t="s">
        <v>389</v>
      </c>
      <c r="E289" s="74">
        <v>42954</v>
      </c>
      <c r="F289" s="55" t="s">
        <v>344</v>
      </c>
      <c r="G289" s="55" t="s">
        <v>918</v>
      </c>
      <c r="H289" s="55" t="s">
        <v>918</v>
      </c>
      <c r="I289" s="55" t="s">
        <v>919</v>
      </c>
      <c r="J289" s="55" t="s">
        <v>920</v>
      </c>
      <c r="L289" s="55" t="s">
        <v>921</v>
      </c>
      <c r="M289" s="55" t="s">
        <v>142</v>
      </c>
      <c r="N289" s="55" t="s">
        <v>142</v>
      </c>
      <c r="O289" s="55" t="s">
        <v>282</v>
      </c>
      <c r="P289" s="55" t="s">
        <v>922</v>
      </c>
      <c r="Q289" s="55" t="s">
        <v>350</v>
      </c>
      <c r="R289" s="55"/>
      <c r="S289" s="74"/>
      <c r="T289" s="55" t="s">
        <v>918</v>
      </c>
      <c r="U289" s="73" t="s">
        <v>351</v>
      </c>
      <c r="V289" s="74">
        <v>43325</v>
      </c>
      <c r="W289" s="74">
        <v>43357</v>
      </c>
      <c r="X289" s="55">
        <v>10053966</v>
      </c>
      <c r="Y289" s="74" t="s">
        <v>132</v>
      </c>
      <c r="Z289" s="74"/>
      <c r="AB289" s="55" t="s">
        <v>132</v>
      </c>
      <c r="AC289" s="55" t="s">
        <v>132</v>
      </c>
    </row>
    <row r="290" spans="1:29" ht="13" x14ac:dyDescent="0.15">
      <c r="A290" s="72" t="str">
        <f t="shared" si="4"/>
        <v>Ofsted Social Care Provider Webpage</v>
      </c>
      <c r="B290" s="55">
        <v>1250035</v>
      </c>
      <c r="D290" s="55" t="s">
        <v>373</v>
      </c>
      <c r="E290" s="74">
        <v>42774</v>
      </c>
      <c r="F290" s="55" t="s">
        <v>344</v>
      </c>
      <c r="G290" s="55" t="s">
        <v>360</v>
      </c>
      <c r="H290" s="55" t="s">
        <v>360</v>
      </c>
      <c r="I290" s="55" t="s">
        <v>360</v>
      </c>
      <c r="J290" s="55" t="s">
        <v>360</v>
      </c>
      <c r="K290" s="55" t="s">
        <v>360</v>
      </c>
      <c r="L290" s="55" t="s">
        <v>360</v>
      </c>
      <c r="M290" s="55" t="s">
        <v>144</v>
      </c>
      <c r="N290" s="55" t="s">
        <v>144</v>
      </c>
      <c r="O290" s="55" t="s">
        <v>261</v>
      </c>
      <c r="P290" s="55" t="s">
        <v>512</v>
      </c>
      <c r="Q290" s="55" t="s">
        <v>350</v>
      </c>
      <c r="R290" s="55">
        <v>4</v>
      </c>
      <c r="S290" s="74"/>
      <c r="T290" s="55" t="s">
        <v>923</v>
      </c>
      <c r="U290" s="73" t="s">
        <v>351</v>
      </c>
      <c r="V290" s="74">
        <v>44509</v>
      </c>
      <c r="W290" s="74">
        <v>44547</v>
      </c>
      <c r="X290" s="55">
        <v>10186364</v>
      </c>
      <c r="Y290" s="74" t="s">
        <v>132</v>
      </c>
      <c r="Z290" s="74"/>
      <c r="AB290" s="55" t="s">
        <v>132</v>
      </c>
      <c r="AC290" s="55" t="s">
        <v>132</v>
      </c>
    </row>
    <row r="291" spans="1:29" ht="13" x14ac:dyDescent="0.15">
      <c r="A291" s="72" t="str">
        <f t="shared" si="4"/>
        <v>Ofsted Social Care Provider Webpage</v>
      </c>
      <c r="B291" s="55">
        <v>1250039</v>
      </c>
      <c r="D291" s="55" t="s">
        <v>373</v>
      </c>
      <c r="E291" s="74">
        <v>42796</v>
      </c>
      <c r="F291" s="55" t="s">
        <v>344</v>
      </c>
      <c r="G291" s="55" t="s">
        <v>360</v>
      </c>
      <c r="H291" s="55" t="s">
        <v>360</v>
      </c>
      <c r="I291" s="55" t="s">
        <v>360</v>
      </c>
      <c r="J291" s="55" t="s">
        <v>360</v>
      </c>
      <c r="K291" s="55" t="s">
        <v>360</v>
      </c>
      <c r="L291" s="55" t="s">
        <v>360</v>
      </c>
      <c r="M291" s="55" t="s">
        <v>172</v>
      </c>
      <c r="N291" s="55" t="s">
        <v>172</v>
      </c>
      <c r="O291" s="55" t="s">
        <v>212</v>
      </c>
      <c r="P291" s="55" t="s">
        <v>798</v>
      </c>
      <c r="Q291" s="55" t="s">
        <v>350</v>
      </c>
      <c r="R291" s="55">
        <v>4</v>
      </c>
      <c r="S291" s="74"/>
      <c r="T291" s="55" t="s">
        <v>799</v>
      </c>
      <c r="U291" s="73" t="s">
        <v>351</v>
      </c>
      <c r="V291" s="74">
        <v>44341</v>
      </c>
      <c r="W291" s="74">
        <v>44384</v>
      </c>
      <c r="X291" s="55">
        <v>10186641</v>
      </c>
      <c r="Y291" s="74" t="s">
        <v>130</v>
      </c>
      <c r="Z291" s="74"/>
      <c r="AB291" s="55" t="s">
        <v>130</v>
      </c>
      <c r="AC291" s="55" t="s">
        <v>130</v>
      </c>
    </row>
    <row r="292" spans="1:29" ht="13" x14ac:dyDescent="0.15">
      <c r="A292" s="72" t="str">
        <f t="shared" si="4"/>
        <v>Ofsted Social Care Provider Webpage</v>
      </c>
      <c r="B292" s="55">
        <v>1250134</v>
      </c>
      <c r="D292" s="55" t="s">
        <v>443</v>
      </c>
      <c r="E292" s="74">
        <v>43124</v>
      </c>
      <c r="F292" s="55" t="s">
        <v>344</v>
      </c>
      <c r="G292" s="55" t="s">
        <v>924</v>
      </c>
      <c r="H292" s="55" t="s">
        <v>925</v>
      </c>
      <c r="I292" s="55" t="s">
        <v>926</v>
      </c>
      <c r="J292" s="55" t="s">
        <v>927</v>
      </c>
      <c r="L292" s="55" t="s">
        <v>928</v>
      </c>
      <c r="M292" s="55" t="s">
        <v>378</v>
      </c>
      <c r="N292" s="55" t="s">
        <v>134</v>
      </c>
      <c r="O292" s="55" t="s">
        <v>204</v>
      </c>
      <c r="P292" s="55" t="s">
        <v>929</v>
      </c>
      <c r="Q292" s="55" t="s">
        <v>350</v>
      </c>
      <c r="R292" s="55"/>
      <c r="S292" s="74"/>
      <c r="T292" s="55" t="s">
        <v>930</v>
      </c>
      <c r="U292" s="73" t="s">
        <v>351</v>
      </c>
      <c r="V292" s="74">
        <v>43503</v>
      </c>
      <c r="W292" s="74">
        <v>43539</v>
      </c>
      <c r="X292" s="55">
        <v>10056252</v>
      </c>
      <c r="Y292" s="74" t="s">
        <v>132</v>
      </c>
      <c r="Z292" s="74"/>
      <c r="AB292" s="55" t="s">
        <v>130</v>
      </c>
      <c r="AC292" s="55" t="s">
        <v>132</v>
      </c>
    </row>
    <row r="293" spans="1:29" ht="13" x14ac:dyDescent="0.15">
      <c r="A293" s="72" t="str">
        <f t="shared" si="4"/>
        <v>Ofsted Social Care Provider Webpage</v>
      </c>
      <c r="B293" s="55">
        <v>1250186</v>
      </c>
      <c r="D293" s="55" t="s">
        <v>373</v>
      </c>
      <c r="E293" s="74">
        <v>42872</v>
      </c>
      <c r="F293" s="55" t="s">
        <v>344</v>
      </c>
      <c r="G293" s="55" t="s">
        <v>360</v>
      </c>
      <c r="H293" s="55" t="s">
        <v>360</v>
      </c>
      <c r="I293" s="55" t="s">
        <v>360</v>
      </c>
      <c r="J293" s="55" t="s">
        <v>360</v>
      </c>
      <c r="K293" s="55" t="s">
        <v>360</v>
      </c>
      <c r="L293" s="55" t="s">
        <v>360</v>
      </c>
      <c r="M293" s="55" t="s">
        <v>142</v>
      </c>
      <c r="N293" s="55" t="s">
        <v>142</v>
      </c>
      <c r="O293" s="55" t="s">
        <v>272</v>
      </c>
      <c r="P293" s="55" t="s">
        <v>653</v>
      </c>
      <c r="Q293" s="55" t="s">
        <v>350</v>
      </c>
      <c r="R293" s="55">
        <v>4</v>
      </c>
      <c r="S293" s="74"/>
      <c r="T293" s="55" t="s">
        <v>377</v>
      </c>
      <c r="U293" s="73" t="s">
        <v>351</v>
      </c>
      <c r="V293" s="74">
        <v>44627</v>
      </c>
      <c r="W293" s="74">
        <v>44665</v>
      </c>
      <c r="X293" s="55">
        <v>10187325</v>
      </c>
      <c r="Y293" s="74" t="s">
        <v>132</v>
      </c>
      <c r="Z293" s="74"/>
      <c r="AB293" s="55" t="s">
        <v>132</v>
      </c>
      <c r="AC293" s="55" t="s">
        <v>132</v>
      </c>
    </row>
    <row r="294" spans="1:29" ht="13" x14ac:dyDescent="0.15">
      <c r="A294" s="72" t="str">
        <f t="shared" si="4"/>
        <v>Ofsted Social Care Provider Webpage</v>
      </c>
      <c r="B294" s="55">
        <v>1250194</v>
      </c>
      <c r="D294" s="55" t="s">
        <v>373</v>
      </c>
      <c r="E294" s="74">
        <v>42921</v>
      </c>
      <c r="F294" s="55" t="s">
        <v>344</v>
      </c>
      <c r="G294" s="55" t="s">
        <v>360</v>
      </c>
      <c r="H294" s="55" t="s">
        <v>360</v>
      </c>
      <c r="I294" s="55" t="s">
        <v>360</v>
      </c>
      <c r="J294" s="55" t="s">
        <v>360</v>
      </c>
      <c r="K294" s="55" t="s">
        <v>360</v>
      </c>
      <c r="L294" s="55" t="s">
        <v>360</v>
      </c>
      <c r="M294" s="55" t="s">
        <v>150</v>
      </c>
      <c r="N294" s="55" t="s">
        <v>150</v>
      </c>
      <c r="O294" s="55" t="s">
        <v>285</v>
      </c>
      <c r="P294" s="55" t="s">
        <v>893</v>
      </c>
      <c r="Q294" s="55" t="s">
        <v>350</v>
      </c>
      <c r="R294" s="55">
        <v>4</v>
      </c>
      <c r="S294" s="74"/>
      <c r="T294" s="55" t="s">
        <v>931</v>
      </c>
      <c r="U294" s="73" t="s">
        <v>351</v>
      </c>
      <c r="V294" s="74">
        <v>43663</v>
      </c>
      <c r="W294" s="74">
        <v>43690</v>
      </c>
      <c r="X294" s="55">
        <v>10096654</v>
      </c>
      <c r="Y294" s="74" t="s">
        <v>132</v>
      </c>
      <c r="Z294" s="74"/>
      <c r="AB294" s="55" t="s">
        <v>132</v>
      </c>
      <c r="AC294" s="55" t="s">
        <v>132</v>
      </c>
    </row>
    <row r="295" spans="1:29" ht="13" x14ac:dyDescent="0.15">
      <c r="A295" s="72" t="str">
        <f t="shared" si="4"/>
        <v>Ofsted Social Care Provider Webpage</v>
      </c>
      <c r="B295" s="55">
        <v>1250196</v>
      </c>
      <c r="D295" s="55" t="s">
        <v>373</v>
      </c>
      <c r="E295" s="74">
        <v>42859</v>
      </c>
      <c r="F295" s="55" t="s">
        <v>344</v>
      </c>
      <c r="G295" s="55" t="s">
        <v>360</v>
      </c>
      <c r="H295" s="55" t="s">
        <v>360</v>
      </c>
      <c r="I295" s="55" t="s">
        <v>360</v>
      </c>
      <c r="J295" s="55" t="s">
        <v>360</v>
      </c>
      <c r="K295" s="55" t="s">
        <v>360</v>
      </c>
      <c r="L295" s="55" t="s">
        <v>360</v>
      </c>
      <c r="M295" s="55" t="s">
        <v>378</v>
      </c>
      <c r="N295" s="55" t="s">
        <v>134</v>
      </c>
      <c r="O295" s="55" t="s">
        <v>175</v>
      </c>
      <c r="P295" s="55" t="s">
        <v>932</v>
      </c>
      <c r="Q295" s="55" t="s">
        <v>350</v>
      </c>
      <c r="R295" s="55">
        <v>2</v>
      </c>
      <c r="S295" s="74"/>
      <c r="T295" s="55" t="s">
        <v>933</v>
      </c>
      <c r="U295" s="73" t="s">
        <v>351</v>
      </c>
      <c r="V295" s="74">
        <v>44523</v>
      </c>
      <c r="W295" s="74">
        <v>44567</v>
      </c>
      <c r="X295" s="55">
        <v>10186225</v>
      </c>
      <c r="Y295" s="74" t="s">
        <v>140</v>
      </c>
      <c r="Z295" s="74"/>
      <c r="AB295" s="55" t="s">
        <v>140</v>
      </c>
      <c r="AC295" s="55" t="s">
        <v>132</v>
      </c>
    </row>
    <row r="296" spans="1:29" ht="13" x14ac:dyDescent="0.15">
      <c r="A296" s="72" t="str">
        <f t="shared" si="4"/>
        <v>Ofsted Social Care Provider Webpage</v>
      </c>
      <c r="B296" s="55">
        <v>1250253</v>
      </c>
      <c r="D296" s="55" t="s">
        <v>373</v>
      </c>
      <c r="E296" s="74">
        <v>42733</v>
      </c>
      <c r="F296" s="55" t="s">
        <v>344</v>
      </c>
      <c r="G296" s="55" t="s">
        <v>360</v>
      </c>
      <c r="H296" s="55" t="s">
        <v>360</v>
      </c>
      <c r="I296" s="55" t="s">
        <v>360</v>
      </c>
      <c r="J296" s="55" t="s">
        <v>360</v>
      </c>
      <c r="K296" s="55" t="s">
        <v>360</v>
      </c>
      <c r="L296" s="55" t="s">
        <v>360</v>
      </c>
      <c r="M296" s="55" t="s">
        <v>138</v>
      </c>
      <c r="N296" s="55" t="s">
        <v>138</v>
      </c>
      <c r="O296" s="55" t="s">
        <v>266</v>
      </c>
      <c r="P296" s="55" t="s">
        <v>934</v>
      </c>
      <c r="Q296" s="55" t="s">
        <v>350</v>
      </c>
      <c r="R296" s="55">
        <v>4</v>
      </c>
      <c r="S296" s="74" t="s">
        <v>332</v>
      </c>
      <c r="T296" s="55" t="s">
        <v>935</v>
      </c>
      <c r="U296" s="73" t="s">
        <v>351</v>
      </c>
      <c r="V296" s="74">
        <v>44350</v>
      </c>
      <c r="W296" s="74">
        <v>44379</v>
      </c>
      <c r="X296" s="55">
        <v>10185118</v>
      </c>
      <c r="Y296" s="74" t="s">
        <v>130</v>
      </c>
      <c r="Z296" s="74"/>
      <c r="AB296" s="55" t="s">
        <v>130</v>
      </c>
      <c r="AC296" s="55" t="s">
        <v>130</v>
      </c>
    </row>
    <row r="297" spans="1:29" ht="13" x14ac:dyDescent="0.15">
      <c r="A297" s="72" t="str">
        <f t="shared" si="4"/>
        <v>Ofsted Social Care Provider Webpage</v>
      </c>
      <c r="B297" s="55">
        <v>1250521</v>
      </c>
      <c r="D297" s="55" t="s">
        <v>373</v>
      </c>
      <c r="E297" s="74">
        <v>42864</v>
      </c>
      <c r="F297" s="55" t="s">
        <v>344</v>
      </c>
      <c r="G297" s="55" t="s">
        <v>360</v>
      </c>
      <c r="H297" s="55" t="s">
        <v>360</v>
      </c>
      <c r="I297" s="55" t="s">
        <v>360</v>
      </c>
      <c r="J297" s="55" t="s">
        <v>360</v>
      </c>
      <c r="K297" s="55" t="s">
        <v>360</v>
      </c>
      <c r="L297" s="55" t="s">
        <v>360</v>
      </c>
      <c r="M297" s="55" t="s">
        <v>150</v>
      </c>
      <c r="N297" s="55" t="s">
        <v>150</v>
      </c>
      <c r="O297" s="55" t="s">
        <v>203</v>
      </c>
      <c r="P297" s="55" t="s">
        <v>800</v>
      </c>
      <c r="Q297" s="55" t="s">
        <v>350</v>
      </c>
      <c r="R297" s="55">
        <v>4</v>
      </c>
      <c r="S297" s="74"/>
      <c r="T297" s="55" t="s">
        <v>483</v>
      </c>
      <c r="U297" s="73" t="s">
        <v>351</v>
      </c>
      <c r="V297" s="74">
        <v>44579</v>
      </c>
      <c r="W297" s="74">
        <v>44622</v>
      </c>
      <c r="X297" s="55">
        <v>10185147</v>
      </c>
      <c r="Y297" s="74" t="s">
        <v>132</v>
      </c>
      <c r="Z297" s="74"/>
      <c r="AB297" s="55" t="s">
        <v>132</v>
      </c>
      <c r="AC297" s="55" t="s">
        <v>132</v>
      </c>
    </row>
    <row r="298" spans="1:29" ht="13" x14ac:dyDescent="0.15">
      <c r="A298" s="72" t="str">
        <f t="shared" si="4"/>
        <v>Ofsted Social Care Provider Webpage</v>
      </c>
      <c r="B298" s="55">
        <v>1250902</v>
      </c>
      <c r="D298" s="55" t="s">
        <v>373</v>
      </c>
      <c r="E298" s="74">
        <v>42775</v>
      </c>
      <c r="F298" s="55" t="s">
        <v>344</v>
      </c>
      <c r="G298" s="55" t="s">
        <v>360</v>
      </c>
      <c r="H298" s="55" t="s">
        <v>360</v>
      </c>
      <c r="I298" s="55" t="s">
        <v>360</v>
      </c>
      <c r="J298" s="55" t="s">
        <v>360</v>
      </c>
      <c r="K298" s="55" t="s">
        <v>360</v>
      </c>
      <c r="L298" s="55" t="s">
        <v>360</v>
      </c>
      <c r="M298" s="55" t="s">
        <v>150</v>
      </c>
      <c r="N298" s="55" t="s">
        <v>150</v>
      </c>
      <c r="O298" s="55" t="s">
        <v>190</v>
      </c>
      <c r="P298" s="55" t="s">
        <v>936</v>
      </c>
      <c r="Q298" s="55" t="s">
        <v>350</v>
      </c>
      <c r="R298" s="55">
        <v>4</v>
      </c>
      <c r="S298" s="74"/>
      <c r="T298" s="55" t="s">
        <v>755</v>
      </c>
      <c r="U298" s="73" t="s">
        <v>351</v>
      </c>
      <c r="V298" s="74">
        <v>44391</v>
      </c>
      <c r="W298" s="74">
        <v>44439</v>
      </c>
      <c r="X298" s="55">
        <v>10186202</v>
      </c>
      <c r="Y298" s="74" t="s">
        <v>132</v>
      </c>
      <c r="Z298" s="74"/>
      <c r="AB298" s="55" t="s">
        <v>132</v>
      </c>
      <c r="AC298" s="55" t="s">
        <v>132</v>
      </c>
    </row>
    <row r="299" spans="1:29" ht="13" x14ac:dyDescent="0.15">
      <c r="A299" s="72" t="str">
        <f t="shared" si="4"/>
        <v>Ofsted Social Care Provider Webpage</v>
      </c>
      <c r="B299" s="55">
        <v>1250915</v>
      </c>
      <c r="D299" s="55" t="s">
        <v>373</v>
      </c>
      <c r="E299" s="74">
        <v>42810</v>
      </c>
      <c r="F299" s="55" t="s">
        <v>344</v>
      </c>
      <c r="G299" s="55" t="s">
        <v>360</v>
      </c>
      <c r="H299" s="55" t="s">
        <v>360</v>
      </c>
      <c r="I299" s="55" t="s">
        <v>360</v>
      </c>
      <c r="J299" s="55" t="s">
        <v>360</v>
      </c>
      <c r="K299" s="55" t="s">
        <v>360</v>
      </c>
      <c r="L299" s="55" t="s">
        <v>360</v>
      </c>
      <c r="M299" s="55" t="s">
        <v>144</v>
      </c>
      <c r="N299" s="55" t="s">
        <v>144</v>
      </c>
      <c r="O299" s="55" t="s">
        <v>245</v>
      </c>
      <c r="P299" s="55" t="s">
        <v>245</v>
      </c>
      <c r="Q299" s="55" t="s">
        <v>350</v>
      </c>
      <c r="R299" s="55">
        <v>3</v>
      </c>
      <c r="S299" s="74"/>
      <c r="T299" s="55" t="s">
        <v>613</v>
      </c>
      <c r="U299" s="73" t="s">
        <v>351</v>
      </c>
      <c r="V299" s="74">
        <v>44614</v>
      </c>
      <c r="W299" s="74">
        <v>44656</v>
      </c>
      <c r="X299" s="55">
        <v>10185991</v>
      </c>
      <c r="Y299" s="74" t="s">
        <v>132</v>
      </c>
      <c r="Z299" s="74"/>
      <c r="AB299" s="55" t="s">
        <v>132</v>
      </c>
      <c r="AC299" s="55" t="s">
        <v>132</v>
      </c>
    </row>
    <row r="300" spans="1:29" ht="13" x14ac:dyDescent="0.15">
      <c r="A300" s="72" t="str">
        <f t="shared" si="4"/>
        <v>Ofsted Social Care Provider Webpage</v>
      </c>
      <c r="B300" s="55">
        <v>1250931</v>
      </c>
      <c r="D300" s="55" t="s">
        <v>373</v>
      </c>
      <c r="E300" s="74">
        <v>42788</v>
      </c>
      <c r="F300" s="55" t="s">
        <v>344</v>
      </c>
      <c r="G300" s="55" t="s">
        <v>360</v>
      </c>
      <c r="H300" s="55" t="s">
        <v>360</v>
      </c>
      <c r="I300" s="55" t="s">
        <v>360</v>
      </c>
      <c r="J300" s="55" t="s">
        <v>360</v>
      </c>
      <c r="K300" s="55" t="s">
        <v>360</v>
      </c>
      <c r="L300" s="55" t="s">
        <v>360</v>
      </c>
      <c r="M300" s="55" t="s">
        <v>150</v>
      </c>
      <c r="N300" s="55" t="s">
        <v>150</v>
      </c>
      <c r="O300" s="55" t="s">
        <v>181</v>
      </c>
      <c r="P300" s="55" t="s">
        <v>937</v>
      </c>
      <c r="Q300" s="55" t="s">
        <v>350</v>
      </c>
      <c r="R300" s="55">
        <v>6</v>
      </c>
      <c r="S300" s="74"/>
      <c r="T300" s="55" t="s">
        <v>574</v>
      </c>
      <c r="U300" s="73" t="s">
        <v>351</v>
      </c>
      <c r="V300" s="74">
        <v>44474</v>
      </c>
      <c r="W300" s="74">
        <v>44544</v>
      </c>
      <c r="X300" s="55">
        <v>10186131</v>
      </c>
      <c r="Y300" s="74" t="s">
        <v>132</v>
      </c>
      <c r="Z300" s="74"/>
      <c r="AB300" s="55" t="s">
        <v>130</v>
      </c>
      <c r="AC300" s="55" t="s">
        <v>130</v>
      </c>
    </row>
    <row r="301" spans="1:29" ht="13" x14ac:dyDescent="0.15">
      <c r="A301" s="72" t="str">
        <f t="shared" si="4"/>
        <v>Ofsted Social Care Provider Webpage</v>
      </c>
      <c r="B301" s="55">
        <v>1251073</v>
      </c>
      <c r="D301" s="55" t="s">
        <v>373</v>
      </c>
      <c r="E301" s="74">
        <v>42790</v>
      </c>
      <c r="F301" s="55" t="s">
        <v>344</v>
      </c>
      <c r="G301" s="55" t="s">
        <v>360</v>
      </c>
      <c r="H301" s="55" t="s">
        <v>360</v>
      </c>
      <c r="I301" s="55" t="s">
        <v>360</v>
      </c>
      <c r="J301" s="55" t="s">
        <v>360</v>
      </c>
      <c r="K301" s="55" t="s">
        <v>360</v>
      </c>
      <c r="L301" s="55" t="s">
        <v>360</v>
      </c>
      <c r="M301" s="55" t="s">
        <v>144</v>
      </c>
      <c r="N301" s="55" t="s">
        <v>144</v>
      </c>
      <c r="O301" s="55" t="s">
        <v>217</v>
      </c>
      <c r="P301" s="55" t="s">
        <v>903</v>
      </c>
      <c r="Q301" s="55" t="s">
        <v>380</v>
      </c>
      <c r="R301" s="55">
        <v>5</v>
      </c>
      <c r="S301" s="74"/>
      <c r="T301" s="55" t="s">
        <v>938</v>
      </c>
      <c r="U301" s="73" t="s">
        <v>351</v>
      </c>
      <c r="V301" s="74">
        <v>44614</v>
      </c>
      <c r="W301" s="74">
        <v>44645</v>
      </c>
      <c r="X301" s="55">
        <v>10185110</v>
      </c>
      <c r="Y301" s="74" t="s">
        <v>140</v>
      </c>
      <c r="Z301" s="74"/>
      <c r="AB301" s="55" t="s">
        <v>140</v>
      </c>
      <c r="AC301" s="55" t="s">
        <v>140</v>
      </c>
    </row>
    <row r="302" spans="1:29" ht="13" x14ac:dyDescent="0.15">
      <c r="A302" s="72" t="str">
        <f t="shared" si="4"/>
        <v>Ofsted Social Care Provider Webpage</v>
      </c>
      <c r="B302" s="55">
        <v>1251076</v>
      </c>
      <c r="D302" s="55" t="s">
        <v>373</v>
      </c>
      <c r="E302" s="74">
        <v>42747</v>
      </c>
      <c r="F302" s="55" t="s">
        <v>344</v>
      </c>
      <c r="G302" s="55" t="s">
        <v>360</v>
      </c>
      <c r="H302" s="55" t="s">
        <v>360</v>
      </c>
      <c r="I302" s="55" t="s">
        <v>360</v>
      </c>
      <c r="J302" s="55" t="s">
        <v>360</v>
      </c>
      <c r="K302" s="55" t="s">
        <v>360</v>
      </c>
      <c r="L302" s="55" t="s">
        <v>360</v>
      </c>
      <c r="M302" s="55" t="s">
        <v>172</v>
      </c>
      <c r="N302" s="55" t="s">
        <v>172</v>
      </c>
      <c r="O302" s="55" t="s">
        <v>212</v>
      </c>
      <c r="P302" s="55" t="s">
        <v>547</v>
      </c>
      <c r="Q302" s="55" t="s">
        <v>350</v>
      </c>
      <c r="R302" s="55">
        <v>4</v>
      </c>
      <c r="S302" s="74"/>
      <c r="T302" s="55" t="s">
        <v>489</v>
      </c>
      <c r="U302" s="73" t="s">
        <v>351</v>
      </c>
      <c r="V302" s="74">
        <v>44369</v>
      </c>
      <c r="W302" s="74">
        <v>44412</v>
      </c>
      <c r="X302" s="55">
        <v>10187018</v>
      </c>
      <c r="Y302" s="74" t="s">
        <v>132</v>
      </c>
      <c r="Z302" s="74"/>
      <c r="AB302" s="55" t="s">
        <v>132</v>
      </c>
      <c r="AC302" s="55" t="s">
        <v>132</v>
      </c>
    </row>
    <row r="303" spans="1:29" ht="13" x14ac:dyDescent="0.15">
      <c r="A303" s="72" t="str">
        <f t="shared" si="4"/>
        <v>Ofsted Social Care Provider Webpage</v>
      </c>
      <c r="B303" s="55">
        <v>1251364</v>
      </c>
      <c r="D303" s="55" t="s">
        <v>373</v>
      </c>
      <c r="E303" s="74">
        <v>42881</v>
      </c>
      <c r="F303" s="55" t="s">
        <v>344</v>
      </c>
      <c r="G303" s="55" t="s">
        <v>360</v>
      </c>
      <c r="H303" s="55" t="s">
        <v>360</v>
      </c>
      <c r="I303" s="55" t="s">
        <v>360</v>
      </c>
      <c r="J303" s="55" t="s">
        <v>360</v>
      </c>
      <c r="K303" s="55" t="s">
        <v>360</v>
      </c>
      <c r="L303" s="55" t="s">
        <v>360</v>
      </c>
      <c r="M303" s="55" t="s">
        <v>129</v>
      </c>
      <c r="N303" s="55" t="s">
        <v>129</v>
      </c>
      <c r="O303" s="55" t="s">
        <v>160</v>
      </c>
      <c r="P303" s="55" t="s">
        <v>447</v>
      </c>
      <c r="Q303" s="55" t="s">
        <v>350</v>
      </c>
      <c r="R303" s="55">
        <v>6</v>
      </c>
      <c r="S303" s="74"/>
      <c r="T303" s="55" t="s">
        <v>939</v>
      </c>
      <c r="U303" s="73" t="s">
        <v>351</v>
      </c>
      <c r="V303" s="74">
        <v>44356</v>
      </c>
      <c r="W303" s="74">
        <v>44393</v>
      </c>
      <c r="X303" s="55">
        <v>10185134</v>
      </c>
      <c r="Y303" s="74" t="s">
        <v>132</v>
      </c>
      <c r="Z303" s="74"/>
      <c r="AB303" s="55" t="s">
        <v>132</v>
      </c>
      <c r="AC303" s="55" t="s">
        <v>132</v>
      </c>
    </row>
    <row r="304" spans="1:29" ht="13" x14ac:dyDescent="0.15">
      <c r="A304" s="72" t="str">
        <f t="shared" si="4"/>
        <v>Ofsted Social Care Provider Webpage</v>
      </c>
      <c r="B304" s="55">
        <v>1251708</v>
      </c>
      <c r="C304" s="55">
        <v>130690</v>
      </c>
      <c r="D304" s="55" t="s">
        <v>693</v>
      </c>
      <c r="E304" s="74">
        <v>42713</v>
      </c>
      <c r="F304" s="55" t="s">
        <v>344</v>
      </c>
      <c r="G304" s="55" t="s">
        <v>940</v>
      </c>
      <c r="H304" s="55" t="s">
        <v>941</v>
      </c>
      <c r="I304" s="55" t="s">
        <v>354</v>
      </c>
      <c r="J304" s="55" t="s">
        <v>942</v>
      </c>
      <c r="K304" s="55" t="s">
        <v>190</v>
      </c>
      <c r="L304" s="55" t="s">
        <v>943</v>
      </c>
      <c r="M304" s="55" t="s">
        <v>150</v>
      </c>
      <c r="N304" s="55" t="s">
        <v>150</v>
      </c>
      <c r="O304" s="55" t="s">
        <v>190</v>
      </c>
      <c r="P304" s="55" t="s">
        <v>749</v>
      </c>
      <c r="Q304" s="55" t="s">
        <v>350</v>
      </c>
      <c r="R304" s="55">
        <v>54</v>
      </c>
      <c r="S304" s="74"/>
      <c r="T304" s="55" t="s">
        <v>940</v>
      </c>
      <c r="U304" s="73" t="s">
        <v>351</v>
      </c>
      <c r="V304" s="74">
        <v>43872</v>
      </c>
      <c r="W304" s="74">
        <v>43900</v>
      </c>
      <c r="X304" s="55">
        <v>10046863</v>
      </c>
      <c r="Y304" s="74" t="s">
        <v>132</v>
      </c>
      <c r="Z304" s="74"/>
      <c r="AB304" s="55" t="s">
        <v>132</v>
      </c>
      <c r="AC304" s="55" t="s">
        <v>132</v>
      </c>
    </row>
    <row r="305" spans="1:29" ht="13" x14ac:dyDescent="0.15">
      <c r="A305" s="72" t="str">
        <f t="shared" si="4"/>
        <v>Ofsted Social Care Provider Webpage</v>
      </c>
      <c r="B305" s="55">
        <v>1251774</v>
      </c>
      <c r="C305" s="55">
        <v>130776</v>
      </c>
      <c r="D305" s="55" t="s">
        <v>693</v>
      </c>
      <c r="E305" s="74">
        <v>42738</v>
      </c>
      <c r="F305" s="55" t="s">
        <v>344</v>
      </c>
      <c r="G305" s="55" t="s">
        <v>944</v>
      </c>
      <c r="H305" s="55" t="s">
        <v>945</v>
      </c>
      <c r="I305" s="55" t="s">
        <v>354</v>
      </c>
      <c r="J305" s="55" t="s">
        <v>946</v>
      </c>
      <c r="L305" s="55" t="s">
        <v>947</v>
      </c>
      <c r="M305" s="55" t="s">
        <v>172</v>
      </c>
      <c r="N305" s="55" t="s">
        <v>172</v>
      </c>
      <c r="O305" s="55" t="s">
        <v>235</v>
      </c>
      <c r="P305" s="55" t="s">
        <v>948</v>
      </c>
      <c r="Q305" s="55" t="s">
        <v>350</v>
      </c>
      <c r="R305" s="55">
        <v>102</v>
      </c>
      <c r="S305" s="74"/>
      <c r="T305" s="55" t="s">
        <v>944</v>
      </c>
      <c r="U305" s="73" t="s">
        <v>351</v>
      </c>
      <c r="V305" s="74">
        <v>43473</v>
      </c>
      <c r="W305" s="74">
        <v>43495</v>
      </c>
      <c r="X305" s="55">
        <v>10056254</v>
      </c>
      <c r="Y305" s="74" t="s">
        <v>132</v>
      </c>
      <c r="Z305" s="74"/>
      <c r="AB305" s="55" t="s">
        <v>132</v>
      </c>
      <c r="AC305" s="55" t="s">
        <v>132</v>
      </c>
    </row>
    <row r="306" spans="1:29" ht="13" x14ac:dyDescent="0.15">
      <c r="A306" s="72" t="str">
        <f t="shared" si="4"/>
        <v>Ofsted Social Care Provider Webpage</v>
      </c>
      <c r="B306" s="55">
        <v>1251947</v>
      </c>
      <c r="D306" s="55" t="s">
        <v>373</v>
      </c>
      <c r="E306" s="74">
        <v>42835</v>
      </c>
      <c r="F306" s="55" t="s">
        <v>344</v>
      </c>
      <c r="G306" s="55" t="s">
        <v>360</v>
      </c>
      <c r="H306" s="55" t="s">
        <v>360</v>
      </c>
      <c r="I306" s="55" t="s">
        <v>360</v>
      </c>
      <c r="J306" s="55" t="s">
        <v>360</v>
      </c>
      <c r="K306" s="55" t="s">
        <v>360</v>
      </c>
      <c r="L306" s="55" t="s">
        <v>360</v>
      </c>
      <c r="M306" s="55" t="s">
        <v>142</v>
      </c>
      <c r="N306" s="55" t="s">
        <v>142</v>
      </c>
      <c r="O306" s="55" t="s">
        <v>262</v>
      </c>
      <c r="P306" s="55" t="s">
        <v>949</v>
      </c>
      <c r="Q306" s="55" t="s">
        <v>350</v>
      </c>
      <c r="R306" s="55">
        <v>4</v>
      </c>
      <c r="S306" s="74"/>
      <c r="T306" s="55" t="s">
        <v>865</v>
      </c>
      <c r="U306" s="73" t="s">
        <v>351</v>
      </c>
      <c r="V306" s="74">
        <v>43720</v>
      </c>
      <c r="W306" s="74">
        <v>43752</v>
      </c>
      <c r="X306" s="55">
        <v>10096597</v>
      </c>
      <c r="Y306" s="74" t="s">
        <v>132</v>
      </c>
      <c r="Z306" s="74"/>
      <c r="AB306" s="55" t="s">
        <v>132</v>
      </c>
      <c r="AC306" s="55" t="s">
        <v>132</v>
      </c>
    </row>
    <row r="307" spans="1:29" ht="13" x14ac:dyDescent="0.15">
      <c r="A307" s="72" t="str">
        <f t="shared" si="4"/>
        <v>Ofsted Social Care Provider Webpage</v>
      </c>
      <c r="B307" s="55">
        <v>1252023</v>
      </c>
      <c r="D307" s="55" t="s">
        <v>373</v>
      </c>
      <c r="E307" s="74">
        <v>42893</v>
      </c>
      <c r="F307" s="55" t="s">
        <v>344</v>
      </c>
      <c r="G307" s="55" t="s">
        <v>360</v>
      </c>
      <c r="H307" s="55" t="s">
        <v>360</v>
      </c>
      <c r="I307" s="55" t="s">
        <v>360</v>
      </c>
      <c r="J307" s="55" t="s">
        <v>360</v>
      </c>
      <c r="K307" s="55" t="s">
        <v>360</v>
      </c>
      <c r="L307" s="55" t="s">
        <v>360</v>
      </c>
      <c r="M307" s="55" t="s">
        <v>172</v>
      </c>
      <c r="N307" s="55" t="s">
        <v>172</v>
      </c>
      <c r="O307" s="55" t="s">
        <v>212</v>
      </c>
      <c r="P307" s="55" t="s">
        <v>547</v>
      </c>
      <c r="Q307" s="55" t="s">
        <v>350</v>
      </c>
      <c r="R307" s="55">
        <v>3</v>
      </c>
      <c r="S307" s="74"/>
      <c r="T307" s="55" t="s">
        <v>950</v>
      </c>
      <c r="U307" s="73" t="s">
        <v>351</v>
      </c>
      <c r="V307" s="74">
        <v>44362</v>
      </c>
      <c r="W307" s="74">
        <v>44391</v>
      </c>
      <c r="X307" s="55">
        <v>10185996</v>
      </c>
      <c r="Y307" s="74" t="s">
        <v>132</v>
      </c>
      <c r="Z307" s="74"/>
      <c r="AB307" s="55" t="s">
        <v>130</v>
      </c>
      <c r="AC307" s="55" t="s">
        <v>132</v>
      </c>
    </row>
    <row r="308" spans="1:29" ht="13" x14ac:dyDescent="0.15">
      <c r="A308" s="72" t="str">
        <f t="shared" si="4"/>
        <v>Ofsted Social Care Provider Webpage</v>
      </c>
      <c r="B308" s="55">
        <v>1252095</v>
      </c>
      <c r="D308" s="55" t="s">
        <v>373</v>
      </c>
      <c r="E308" s="74">
        <v>42794</v>
      </c>
      <c r="F308" s="55" t="s">
        <v>344</v>
      </c>
      <c r="G308" s="55" t="s">
        <v>360</v>
      </c>
      <c r="H308" s="55" t="s">
        <v>360</v>
      </c>
      <c r="I308" s="55" t="s">
        <v>360</v>
      </c>
      <c r="J308" s="55" t="s">
        <v>360</v>
      </c>
      <c r="K308" s="55" t="s">
        <v>360</v>
      </c>
      <c r="L308" s="55" t="s">
        <v>360</v>
      </c>
      <c r="M308" s="55" t="s">
        <v>378</v>
      </c>
      <c r="N308" s="55" t="s">
        <v>134</v>
      </c>
      <c r="O308" s="55" t="s">
        <v>158</v>
      </c>
      <c r="P308" s="55" t="s">
        <v>480</v>
      </c>
      <c r="Q308" s="55" t="s">
        <v>350</v>
      </c>
      <c r="R308" s="55">
        <v>2</v>
      </c>
      <c r="S308" s="74"/>
      <c r="T308" s="55" t="s">
        <v>951</v>
      </c>
      <c r="U308" s="73" t="s">
        <v>351</v>
      </c>
      <c r="V308" s="74">
        <v>44614</v>
      </c>
      <c r="W308" s="74">
        <v>44652</v>
      </c>
      <c r="X308" s="55">
        <v>10186599</v>
      </c>
      <c r="Y308" s="74" t="s">
        <v>132</v>
      </c>
      <c r="Z308" s="74"/>
      <c r="AB308" s="55" t="s">
        <v>132</v>
      </c>
      <c r="AC308" s="55" t="s">
        <v>132</v>
      </c>
    </row>
    <row r="309" spans="1:29" ht="13" x14ac:dyDescent="0.15">
      <c r="A309" s="72" t="str">
        <f t="shared" si="4"/>
        <v>Ofsted Social Care Provider Webpage</v>
      </c>
      <c r="B309" s="55">
        <v>1252120</v>
      </c>
      <c r="D309" s="55" t="s">
        <v>373</v>
      </c>
      <c r="E309" s="74">
        <v>42874</v>
      </c>
      <c r="F309" s="55" t="s">
        <v>344</v>
      </c>
      <c r="G309" s="55" t="s">
        <v>360</v>
      </c>
      <c r="H309" s="55" t="s">
        <v>360</v>
      </c>
      <c r="I309" s="55" t="s">
        <v>360</v>
      </c>
      <c r="J309" s="55" t="s">
        <v>360</v>
      </c>
      <c r="K309" s="55" t="s">
        <v>360</v>
      </c>
      <c r="L309" s="55" t="s">
        <v>360</v>
      </c>
      <c r="M309" s="55" t="s">
        <v>378</v>
      </c>
      <c r="N309" s="55" t="s">
        <v>170</v>
      </c>
      <c r="O309" s="55" t="s">
        <v>178</v>
      </c>
      <c r="P309" s="55" t="s">
        <v>952</v>
      </c>
      <c r="Q309" s="55" t="s">
        <v>350</v>
      </c>
      <c r="R309" s="55">
        <v>6</v>
      </c>
      <c r="S309" s="74"/>
      <c r="T309" s="55" t="s">
        <v>953</v>
      </c>
      <c r="U309" s="73" t="s">
        <v>351</v>
      </c>
      <c r="V309" s="74">
        <v>43599</v>
      </c>
      <c r="W309" s="74">
        <v>43650</v>
      </c>
      <c r="X309" s="55">
        <v>10096612</v>
      </c>
      <c r="Y309" s="74" t="s">
        <v>130</v>
      </c>
      <c r="Z309" s="74"/>
      <c r="AB309" s="55" t="s">
        <v>130</v>
      </c>
      <c r="AC309" s="55" t="s">
        <v>130</v>
      </c>
    </row>
    <row r="310" spans="1:29" ht="13" x14ac:dyDescent="0.15">
      <c r="A310" s="72" t="str">
        <f t="shared" si="4"/>
        <v>Ofsted Social Care Provider Webpage</v>
      </c>
      <c r="B310" s="55">
        <v>1252937</v>
      </c>
      <c r="D310" s="55" t="s">
        <v>373</v>
      </c>
      <c r="E310" s="74">
        <v>42796</v>
      </c>
      <c r="F310" s="55" t="s">
        <v>344</v>
      </c>
      <c r="G310" s="55" t="s">
        <v>360</v>
      </c>
      <c r="H310" s="55" t="s">
        <v>360</v>
      </c>
      <c r="I310" s="55" t="s">
        <v>360</v>
      </c>
      <c r="J310" s="55" t="s">
        <v>360</v>
      </c>
      <c r="K310" s="55" t="s">
        <v>360</v>
      </c>
      <c r="L310" s="55" t="s">
        <v>360</v>
      </c>
      <c r="M310" s="55" t="s">
        <v>150</v>
      </c>
      <c r="N310" s="55" t="s">
        <v>150</v>
      </c>
      <c r="O310" s="55" t="s">
        <v>285</v>
      </c>
      <c r="P310" s="55" t="s">
        <v>565</v>
      </c>
      <c r="Q310" s="55" t="s">
        <v>350</v>
      </c>
      <c r="R310" s="55">
        <v>4</v>
      </c>
      <c r="S310" s="74"/>
      <c r="T310" s="55" t="s">
        <v>574</v>
      </c>
      <c r="U310" s="73" t="s">
        <v>351</v>
      </c>
      <c r="V310" s="74">
        <v>44403</v>
      </c>
      <c r="W310" s="74">
        <v>44483</v>
      </c>
      <c r="X310" s="55">
        <v>10185799</v>
      </c>
      <c r="Y310" s="74" t="s">
        <v>132</v>
      </c>
      <c r="Z310" s="74"/>
      <c r="AB310" s="55" t="s">
        <v>130</v>
      </c>
      <c r="AC310" s="55" t="s">
        <v>132</v>
      </c>
    </row>
    <row r="311" spans="1:29" ht="13" x14ac:dyDescent="0.15">
      <c r="A311" s="72" t="str">
        <f t="shared" si="4"/>
        <v>Ofsted Social Care Provider Webpage</v>
      </c>
      <c r="B311" s="55">
        <v>1253008</v>
      </c>
      <c r="D311" s="55" t="s">
        <v>373</v>
      </c>
      <c r="E311" s="74">
        <v>42894</v>
      </c>
      <c r="F311" s="55" t="s">
        <v>344</v>
      </c>
      <c r="G311" s="55" t="s">
        <v>360</v>
      </c>
      <c r="H311" s="55" t="s">
        <v>360</v>
      </c>
      <c r="I311" s="55" t="s">
        <v>360</v>
      </c>
      <c r="J311" s="55" t="s">
        <v>360</v>
      </c>
      <c r="K311" s="55" t="s">
        <v>360</v>
      </c>
      <c r="L311" s="55" t="s">
        <v>360</v>
      </c>
      <c r="M311" s="55" t="s">
        <v>378</v>
      </c>
      <c r="N311" s="55" t="s">
        <v>134</v>
      </c>
      <c r="O311" s="55" t="s">
        <v>175</v>
      </c>
      <c r="P311" s="55" t="s">
        <v>678</v>
      </c>
      <c r="Q311" s="55" t="s">
        <v>350</v>
      </c>
      <c r="R311" s="55">
        <v>2</v>
      </c>
      <c r="S311" s="74"/>
      <c r="T311" s="55" t="s">
        <v>517</v>
      </c>
      <c r="U311" s="73" t="s">
        <v>351</v>
      </c>
      <c r="V311" s="74">
        <v>44403</v>
      </c>
      <c r="W311" s="74">
        <v>44431</v>
      </c>
      <c r="X311" s="55">
        <v>10185948</v>
      </c>
      <c r="Y311" s="74" t="s">
        <v>130</v>
      </c>
      <c r="Z311" s="74"/>
      <c r="AB311" s="55" t="s">
        <v>130</v>
      </c>
      <c r="AC311" s="55" t="s">
        <v>130</v>
      </c>
    </row>
    <row r="312" spans="1:29" ht="13" x14ac:dyDescent="0.15">
      <c r="A312" s="72" t="str">
        <f t="shared" si="4"/>
        <v>Ofsted Social Care Provider Webpage</v>
      </c>
      <c r="B312" s="55">
        <v>1253501</v>
      </c>
      <c r="D312" s="55" t="s">
        <v>373</v>
      </c>
      <c r="E312" s="74">
        <v>42765</v>
      </c>
      <c r="F312" s="55" t="s">
        <v>344</v>
      </c>
      <c r="G312" s="55" t="s">
        <v>360</v>
      </c>
      <c r="H312" s="55" t="s">
        <v>360</v>
      </c>
      <c r="I312" s="55" t="s">
        <v>360</v>
      </c>
      <c r="J312" s="55" t="s">
        <v>360</v>
      </c>
      <c r="K312" s="55" t="s">
        <v>360</v>
      </c>
      <c r="L312" s="55" t="s">
        <v>360</v>
      </c>
      <c r="M312" s="55" t="s">
        <v>172</v>
      </c>
      <c r="N312" s="55" t="s">
        <v>172</v>
      </c>
      <c r="O312" s="55" t="s">
        <v>212</v>
      </c>
      <c r="P312" s="55" t="s">
        <v>547</v>
      </c>
      <c r="Q312" s="55" t="s">
        <v>350</v>
      </c>
      <c r="R312" s="55">
        <v>3</v>
      </c>
      <c r="S312" s="74"/>
      <c r="T312" s="55" t="s">
        <v>489</v>
      </c>
      <c r="U312" s="73" t="s">
        <v>351</v>
      </c>
      <c r="V312" s="74">
        <v>44544</v>
      </c>
      <c r="W312" s="74">
        <v>44588</v>
      </c>
      <c r="X312" s="55">
        <v>10187026</v>
      </c>
      <c r="Y312" s="74" t="s">
        <v>140</v>
      </c>
      <c r="Z312" s="74"/>
      <c r="AB312" s="55" t="s">
        <v>140</v>
      </c>
      <c r="AC312" s="55" t="s">
        <v>140</v>
      </c>
    </row>
    <row r="313" spans="1:29" ht="13" x14ac:dyDescent="0.15">
      <c r="A313" s="72" t="str">
        <f t="shared" si="4"/>
        <v>Ofsted Social Care Provider Webpage</v>
      </c>
      <c r="B313" s="55">
        <v>1253623</v>
      </c>
      <c r="D313" s="55" t="s">
        <v>373</v>
      </c>
      <c r="E313" s="74">
        <v>42923</v>
      </c>
      <c r="F313" s="55" t="s">
        <v>344</v>
      </c>
      <c r="G313" s="55" t="s">
        <v>360</v>
      </c>
      <c r="H313" s="55" t="s">
        <v>360</v>
      </c>
      <c r="I313" s="55" t="s">
        <v>360</v>
      </c>
      <c r="J313" s="55" t="s">
        <v>360</v>
      </c>
      <c r="K313" s="55" t="s">
        <v>360</v>
      </c>
      <c r="L313" s="55" t="s">
        <v>360</v>
      </c>
      <c r="M313" s="55" t="s">
        <v>142</v>
      </c>
      <c r="N313" s="55" t="s">
        <v>142</v>
      </c>
      <c r="O313" s="55" t="s">
        <v>141</v>
      </c>
      <c r="P313" s="55" t="s">
        <v>795</v>
      </c>
      <c r="Q313" s="55" t="s">
        <v>350</v>
      </c>
      <c r="R313" s="55">
        <v>2</v>
      </c>
      <c r="S313" s="74"/>
      <c r="T313" s="55" t="s">
        <v>954</v>
      </c>
      <c r="U313" s="73" t="s">
        <v>351</v>
      </c>
      <c r="V313" s="74">
        <v>44314</v>
      </c>
      <c r="W313" s="74">
        <v>44362</v>
      </c>
      <c r="X313" s="55">
        <v>10187674</v>
      </c>
      <c r="Y313" s="74" t="s">
        <v>146</v>
      </c>
      <c r="Z313" s="74"/>
      <c r="AB313" s="55" t="s">
        <v>146</v>
      </c>
      <c r="AC313" s="55" t="s">
        <v>146</v>
      </c>
    </row>
    <row r="314" spans="1:29" ht="13" x14ac:dyDescent="0.15">
      <c r="A314" s="72" t="str">
        <f t="shared" si="4"/>
        <v>Ofsted Social Care Provider Webpage</v>
      </c>
      <c r="B314" s="55">
        <v>1253711</v>
      </c>
      <c r="D314" s="55" t="s">
        <v>373</v>
      </c>
      <c r="E314" s="74">
        <v>42926</v>
      </c>
      <c r="F314" s="55" t="s">
        <v>344</v>
      </c>
      <c r="G314" s="55" t="s">
        <v>360</v>
      </c>
      <c r="H314" s="55" t="s">
        <v>360</v>
      </c>
      <c r="I314" s="55" t="s">
        <v>360</v>
      </c>
      <c r="J314" s="55" t="s">
        <v>360</v>
      </c>
      <c r="K314" s="55" t="s">
        <v>360</v>
      </c>
      <c r="L314" s="55" t="s">
        <v>360</v>
      </c>
      <c r="M314" s="55" t="s">
        <v>142</v>
      </c>
      <c r="N314" s="55" t="s">
        <v>142</v>
      </c>
      <c r="O314" s="55" t="s">
        <v>141</v>
      </c>
      <c r="P314" s="55" t="s">
        <v>660</v>
      </c>
      <c r="Q314" s="55" t="s">
        <v>350</v>
      </c>
      <c r="R314" s="55">
        <v>3</v>
      </c>
      <c r="S314" s="74"/>
      <c r="T314" s="55" t="s">
        <v>642</v>
      </c>
      <c r="U314" s="73" t="s">
        <v>351</v>
      </c>
      <c r="V314" s="74">
        <v>44404</v>
      </c>
      <c r="W314" s="74">
        <v>44462</v>
      </c>
      <c r="X314" s="55">
        <v>10186688</v>
      </c>
      <c r="Y314" s="74" t="s">
        <v>130</v>
      </c>
      <c r="Z314" s="74"/>
      <c r="AB314" s="55" t="s">
        <v>130</v>
      </c>
      <c r="AC314" s="55" t="s">
        <v>130</v>
      </c>
    </row>
    <row r="315" spans="1:29" ht="13" x14ac:dyDescent="0.15">
      <c r="A315" s="72" t="str">
        <f t="shared" si="4"/>
        <v>Ofsted Social Care Provider Webpage</v>
      </c>
      <c r="B315" s="55">
        <v>1253716</v>
      </c>
      <c r="D315" s="55" t="s">
        <v>373</v>
      </c>
      <c r="E315" s="74">
        <v>42788</v>
      </c>
      <c r="F315" s="55" t="s">
        <v>344</v>
      </c>
      <c r="G315" s="55" t="s">
        <v>360</v>
      </c>
      <c r="H315" s="55" t="s">
        <v>360</v>
      </c>
      <c r="I315" s="55" t="s">
        <v>360</v>
      </c>
      <c r="J315" s="55" t="s">
        <v>360</v>
      </c>
      <c r="K315" s="55" t="s">
        <v>360</v>
      </c>
      <c r="L315" s="55" t="s">
        <v>360</v>
      </c>
      <c r="M315" s="55" t="s">
        <v>150</v>
      </c>
      <c r="N315" s="55" t="s">
        <v>150</v>
      </c>
      <c r="O315" s="55" t="s">
        <v>285</v>
      </c>
      <c r="P315" s="55" t="s">
        <v>575</v>
      </c>
      <c r="Q315" s="55" t="s">
        <v>350</v>
      </c>
      <c r="R315" s="55">
        <v>4</v>
      </c>
      <c r="S315" s="74"/>
      <c r="T315" s="55" t="s">
        <v>574</v>
      </c>
      <c r="U315" s="73" t="s">
        <v>351</v>
      </c>
      <c r="V315" s="74">
        <v>44510</v>
      </c>
      <c r="W315" s="74">
        <v>44566</v>
      </c>
      <c r="X315" s="55">
        <v>10186363</v>
      </c>
      <c r="Y315" s="74" t="s">
        <v>140</v>
      </c>
      <c r="Z315" s="74"/>
      <c r="AB315" s="55" t="s">
        <v>140</v>
      </c>
      <c r="AC315" s="55" t="s">
        <v>140</v>
      </c>
    </row>
    <row r="316" spans="1:29" ht="13" x14ac:dyDescent="0.15">
      <c r="A316" s="72" t="str">
        <f t="shared" si="4"/>
        <v>Ofsted Social Care Provider Webpage</v>
      </c>
      <c r="B316" s="55">
        <v>1253975</v>
      </c>
      <c r="D316" s="55" t="s">
        <v>373</v>
      </c>
      <c r="E316" s="74">
        <v>42912</v>
      </c>
      <c r="F316" s="55" t="s">
        <v>344</v>
      </c>
      <c r="G316" s="55" t="s">
        <v>360</v>
      </c>
      <c r="H316" s="55" t="s">
        <v>360</v>
      </c>
      <c r="I316" s="55" t="s">
        <v>360</v>
      </c>
      <c r="J316" s="55" t="s">
        <v>360</v>
      </c>
      <c r="K316" s="55" t="s">
        <v>360</v>
      </c>
      <c r="L316" s="55" t="s">
        <v>360</v>
      </c>
      <c r="M316" s="55" t="s">
        <v>144</v>
      </c>
      <c r="N316" s="55" t="s">
        <v>144</v>
      </c>
      <c r="O316" s="55" t="s">
        <v>209</v>
      </c>
      <c r="P316" s="55" t="s">
        <v>484</v>
      </c>
      <c r="Q316" s="55" t="s">
        <v>350</v>
      </c>
      <c r="R316" s="55">
        <v>2</v>
      </c>
      <c r="S316" s="74"/>
      <c r="T316" s="55" t="s">
        <v>955</v>
      </c>
      <c r="U316" s="73" t="s">
        <v>351</v>
      </c>
      <c r="V316" s="74">
        <v>44356</v>
      </c>
      <c r="W316" s="74">
        <v>44383</v>
      </c>
      <c r="X316" s="55">
        <v>10186581</v>
      </c>
      <c r="Y316" s="74" t="s">
        <v>132</v>
      </c>
      <c r="Z316" s="74"/>
      <c r="AB316" s="55" t="s">
        <v>132</v>
      </c>
      <c r="AC316" s="55" t="s">
        <v>132</v>
      </c>
    </row>
    <row r="317" spans="1:29" ht="13" x14ac:dyDescent="0.15">
      <c r="A317" s="72" t="str">
        <f t="shared" si="4"/>
        <v>Ofsted Social Care Provider Webpage</v>
      </c>
      <c r="B317" s="55">
        <v>1254055</v>
      </c>
      <c r="D317" s="55" t="s">
        <v>373</v>
      </c>
      <c r="E317" s="74">
        <v>42968</v>
      </c>
      <c r="F317" s="55" t="s">
        <v>344</v>
      </c>
      <c r="G317" s="55" t="s">
        <v>360</v>
      </c>
      <c r="H317" s="55" t="s">
        <v>360</v>
      </c>
      <c r="I317" s="55" t="s">
        <v>360</v>
      </c>
      <c r="J317" s="55" t="s">
        <v>360</v>
      </c>
      <c r="K317" s="55" t="s">
        <v>360</v>
      </c>
      <c r="L317" s="55" t="s">
        <v>360</v>
      </c>
      <c r="M317" s="55" t="s">
        <v>144</v>
      </c>
      <c r="N317" s="55" t="s">
        <v>144</v>
      </c>
      <c r="O317" s="55" t="s">
        <v>145</v>
      </c>
      <c r="P317" s="55" t="s">
        <v>525</v>
      </c>
      <c r="Q317" s="55" t="s">
        <v>350</v>
      </c>
      <c r="R317" s="55">
        <v>4</v>
      </c>
      <c r="S317" s="74"/>
      <c r="T317" s="55" t="s">
        <v>485</v>
      </c>
      <c r="U317" s="73" t="s">
        <v>351</v>
      </c>
      <c r="V317" s="74">
        <v>44621</v>
      </c>
      <c r="W317" s="74">
        <v>44678</v>
      </c>
      <c r="X317" s="55">
        <v>10187617</v>
      </c>
      <c r="Y317" s="74" t="s">
        <v>132</v>
      </c>
      <c r="Z317" s="74"/>
      <c r="AB317" s="55" t="s">
        <v>132</v>
      </c>
      <c r="AC317" s="55" t="s">
        <v>130</v>
      </c>
    </row>
    <row r="318" spans="1:29" ht="13" x14ac:dyDescent="0.15">
      <c r="A318" s="72" t="str">
        <f t="shared" si="4"/>
        <v>Ofsted Social Care Provider Webpage</v>
      </c>
      <c r="B318" s="55">
        <v>1254088</v>
      </c>
      <c r="D318" s="55" t="s">
        <v>389</v>
      </c>
      <c r="E318" s="74">
        <v>43056</v>
      </c>
      <c r="F318" s="55" t="s">
        <v>344</v>
      </c>
      <c r="G318" s="55" t="s">
        <v>956</v>
      </c>
      <c r="H318" s="55" t="s">
        <v>957</v>
      </c>
      <c r="I318" s="55" t="s">
        <v>958</v>
      </c>
      <c r="J318" s="55" t="s">
        <v>612</v>
      </c>
      <c r="L318" s="55" t="s">
        <v>959</v>
      </c>
      <c r="M318" s="55" t="s">
        <v>142</v>
      </c>
      <c r="N318" s="55" t="s">
        <v>142</v>
      </c>
      <c r="O318" s="55" t="s">
        <v>278</v>
      </c>
      <c r="P318" s="55" t="s">
        <v>611</v>
      </c>
      <c r="Q318" s="55" t="s">
        <v>350</v>
      </c>
      <c r="R318" s="55"/>
      <c r="S318" s="74"/>
      <c r="T318" s="55" t="s">
        <v>960</v>
      </c>
      <c r="U318" s="73" t="s">
        <v>351</v>
      </c>
      <c r="V318" s="74">
        <v>43619</v>
      </c>
      <c r="W318" s="74">
        <v>43637</v>
      </c>
      <c r="X318" s="55">
        <v>10093278</v>
      </c>
      <c r="Y318" s="74" t="s">
        <v>132</v>
      </c>
      <c r="Z318" s="74"/>
      <c r="AB318" s="55" t="s">
        <v>132</v>
      </c>
      <c r="AC318" s="55" t="s">
        <v>132</v>
      </c>
    </row>
    <row r="319" spans="1:29" ht="13" x14ac:dyDescent="0.15">
      <c r="A319" s="72" t="str">
        <f t="shared" si="4"/>
        <v>Ofsted Social Care Provider Webpage</v>
      </c>
      <c r="B319" s="55">
        <v>1254258</v>
      </c>
      <c r="D319" s="55" t="s">
        <v>373</v>
      </c>
      <c r="E319" s="74">
        <v>42871</v>
      </c>
      <c r="F319" s="55" t="s">
        <v>344</v>
      </c>
      <c r="G319" s="55" t="s">
        <v>360</v>
      </c>
      <c r="H319" s="55" t="s">
        <v>360</v>
      </c>
      <c r="I319" s="55" t="s">
        <v>360</v>
      </c>
      <c r="J319" s="55" t="s">
        <v>360</v>
      </c>
      <c r="K319" s="55" t="s">
        <v>360</v>
      </c>
      <c r="L319" s="55" t="s">
        <v>360</v>
      </c>
      <c r="M319" s="55" t="s">
        <v>144</v>
      </c>
      <c r="N319" s="55" t="s">
        <v>144</v>
      </c>
      <c r="O319" s="55" t="s">
        <v>168</v>
      </c>
      <c r="P319" s="55" t="s">
        <v>834</v>
      </c>
      <c r="Q319" s="55" t="s">
        <v>350</v>
      </c>
      <c r="R319" s="55">
        <v>4</v>
      </c>
      <c r="S319" s="74"/>
      <c r="T319" s="55" t="s">
        <v>435</v>
      </c>
      <c r="U319" s="73" t="s">
        <v>351</v>
      </c>
      <c r="V319" s="74">
        <v>44635</v>
      </c>
      <c r="W319" s="74">
        <v>44679</v>
      </c>
      <c r="X319" s="55">
        <v>10186048</v>
      </c>
      <c r="Y319" s="74" t="s">
        <v>132</v>
      </c>
      <c r="Z319" s="74"/>
      <c r="AB319" s="55" t="s">
        <v>132</v>
      </c>
      <c r="AC319" s="55" t="s">
        <v>140</v>
      </c>
    </row>
    <row r="320" spans="1:29" ht="13" x14ac:dyDescent="0.15">
      <c r="A320" s="72" t="str">
        <f t="shared" si="4"/>
        <v>Ofsted Social Care Provider Webpage</v>
      </c>
      <c r="B320" s="55">
        <v>1254308</v>
      </c>
      <c r="D320" s="55" t="s">
        <v>373</v>
      </c>
      <c r="E320" s="74">
        <v>42879</v>
      </c>
      <c r="F320" s="55" t="s">
        <v>344</v>
      </c>
      <c r="G320" s="55" t="s">
        <v>360</v>
      </c>
      <c r="H320" s="55" t="s">
        <v>360</v>
      </c>
      <c r="I320" s="55" t="s">
        <v>360</v>
      </c>
      <c r="J320" s="55" t="s">
        <v>360</v>
      </c>
      <c r="K320" s="55" t="s">
        <v>360</v>
      </c>
      <c r="L320" s="55" t="s">
        <v>360</v>
      </c>
      <c r="M320" s="55" t="s">
        <v>172</v>
      </c>
      <c r="N320" s="55" t="s">
        <v>172</v>
      </c>
      <c r="O320" s="55" t="s">
        <v>173</v>
      </c>
      <c r="P320" s="55" t="s">
        <v>961</v>
      </c>
      <c r="Q320" s="55" t="s">
        <v>350</v>
      </c>
      <c r="R320" s="55">
        <v>5</v>
      </c>
      <c r="S320" s="74"/>
      <c r="T320" s="55" t="s">
        <v>962</v>
      </c>
      <c r="U320" s="73" t="s">
        <v>351</v>
      </c>
      <c r="V320" s="74">
        <v>44509</v>
      </c>
      <c r="W320" s="74">
        <v>44537</v>
      </c>
      <c r="X320" s="55">
        <v>10186214</v>
      </c>
      <c r="Y320" s="74" t="s">
        <v>132</v>
      </c>
      <c r="Z320" s="74"/>
      <c r="AB320" s="55" t="s">
        <v>132</v>
      </c>
      <c r="AC320" s="55" t="s">
        <v>132</v>
      </c>
    </row>
    <row r="321" spans="1:29" ht="13" x14ac:dyDescent="0.15">
      <c r="A321" s="72" t="str">
        <f t="shared" si="4"/>
        <v>Ofsted Social Care Provider Webpage</v>
      </c>
      <c r="B321" s="55">
        <v>1254316</v>
      </c>
      <c r="D321" s="55" t="s">
        <v>373</v>
      </c>
      <c r="E321" s="74">
        <v>42984</v>
      </c>
      <c r="F321" s="55" t="s">
        <v>344</v>
      </c>
      <c r="G321" s="55" t="s">
        <v>360</v>
      </c>
      <c r="H321" s="55" t="s">
        <v>360</v>
      </c>
      <c r="I321" s="55" t="s">
        <v>360</v>
      </c>
      <c r="J321" s="55" t="s">
        <v>360</v>
      </c>
      <c r="K321" s="55" t="s">
        <v>360</v>
      </c>
      <c r="L321" s="55" t="s">
        <v>360</v>
      </c>
      <c r="M321" s="55" t="s">
        <v>378</v>
      </c>
      <c r="N321" s="55" t="s">
        <v>134</v>
      </c>
      <c r="O321" s="55" t="s">
        <v>204</v>
      </c>
      <c r="P321" s="55" t="s">
        <v>929</v>
      </c>
      <c r="Q321" s="55" t="s">
        <v>350</v>
      </c>
      <c r="R321" s="55">
        <v>4</v>
      </c>
      <c r="S321" s="74"/>
      <c r="T321" s="55" t="s">
        <v>963</v>
      </c>
      <c r="U321" s="73" t="s">
        <v>351</v>
      </c>
      <c r="V321" s="74">
        <v>44607</v>
      </c>
      <c r="W321" s="74">
        <v>44658</v>
      </c>
      <c r="X321" s="55">
        <v>10185070</v>
      </c>
      <c r="Y321" s="74" t="s">
        <v>130</v>
      </c>
      <c r="Z321" s="74"/>
      <c r="AB321" s="55" t="s">
        <v>130</v>
      </c>
      <c r="AC321" s="55" t="s">
        <v>130</v>
      </c>
    </row>
    <row r="322" spans="1:29" ht="13" x14ac:dyDescent="0.15">
      <c r="A322" s="72" t="str">
        <f t="shared" si="4"/>
        <v>Ofsted Social Care Provider Webpage</v>
      </c>
      <c r="B322" s="55">
        <v>1254555</v>
      </c>
      <c r="D322" s="55" t="s">
        <v>373</v>
      </c>
      <c r="E322" s="74">
        <v>42835</v>
      </c>
      <c r="F322" s="55" t="s">
        <v>344</v>
      </c>
      <c r="G322" s="55" t="s">
        <v>360</v>
      </c>
      <c r="H322" s="55" t="s">
        <v>360</v>
      </c>
      <c r="I322" s="55" t="s">
        <v>360</v>
      </c>
      <c r="J322" s="55" t="s">
        <v>360</v>
      </c>
      <c r="K322" s="55" t="s">
        <v>360</v>
      </c>
      <c r="L322" s="55" t="s">
        <v>360</v>
      </c>
      <c r="M322" s="55" t="s">
        <v>144</v>
      </c>
      <c r="N322" s="55" t="s">
        <v>144</v>
      </c>
      <c r="O322" s="55" t="s">
        <v>209</v>
      </c>
      <c r="P322" s="55" t="s">
        <v>561</v>
      </c>
      <c r="Q322" s="55" t="s">
        <v>350</v>
      </c>
      <c r="R322" s="55">
        <v>2</v>
      </c>
      <c r="S322" s="74"/>
      <c r="T322" s="55" t="s">
        <v>490</v>
      </c>
      <c r="U322" s="73" t="s">
        <v>351</v>
      </c>
      <c r="V322" s="74">
        <v>44321</v>
      </c>
      <c r="W322" s="74">
        <v>44340</v>
      </c>
      <c r="X322" s="55">
        <v>10187155</v>
      </c>
      <c r="Y322" s="74" t="s">
        <v>132</v>
      </c>
      <c r="Z322" s="74"/>
      <c r="AB322" s="55" t="s">
        <v>132</v>
      </c>
      <c r="AC322" s="55" t="s">
        <v>132</v>
      </c>
    </row>
    <row r="323" spans="1:29" ht="13" x14ac:dyDescent="0.15">
      <c r="A323" s="72" t="str">
        <f t="shared" si="4"/>
        <v>Ofsted Social Care Provider Webpage</v>
      </c>
      <c r="B323" s="55">
        <v>1254740</v>
      </c>
      <c r="D323" s="55" t="s">
        <v>373</v>
      </c>
      <c r="E323" s="74">
        <v>42832</v>
      </c>
      <c r="F323" s="55" t="s">
        <v>344</v>
      </c>
      <c r="G323" s="55" t="s">
        <v>360</v>
      </c>
      <c r="H323" s="55" t="s">
        <v>360</v>
      </c>
      <c r="I323" s="55" t="s">
        <v>360</v>
      </c>
      <c r="J323" s="55" t="s">
        <v>360</v>
      </c>
      <c r="K323" s="55" t="s">
        <v>360</v>
      </c>
      <c r="L323" s="55" t="s">
        <v>360</v>
      </c>
      <c r="M323" s="55" t="s">
        <v>136</v>
      </c>
      <c r="N323" s="55" t="s">
        <v>136</v>
      </c>
      <c r="O323" s="55" t="s">
        <v>239</v>
      </c>
      <c r="P323" s="55" t="s">
        <v>964</v>
      </c>
      <c r="Q323" s="55" t="s">
        <v>350</v>
      </c>
      <c r="R323" s="55">
        <v>2</v>
      </c>
      <c r="S323" s="74"/>
      <c r="T323" s="55" t="s">
        <v>739</v>
      </c>
      <c r="U323" s="73" t="s">
        <v>351</v>
      </c>
      <c r="V323" s="74">
        <v>44356</v>
      </c>
      <c r="W323" s="74">
        <v>44389</v>
      </c>
      <c r="X323" s="55">
        <v>10186092</v>
      </c>
      <c r="Y323" s="74" t="s">
        <v>130</v>
      </c>
      <c r="Z323" s="74"/>
      <c r="AB323" s="55" t="s">
        <v>130</v>
      </c>
      <c r="AC323" s="55" t="s">
        <v>130</v>
      </c>
    </row>
    <row r="324" spans="1:29" ht="13" x14ac:dyDescent="0.15">
      <c r="A324" s="72" t="str">
        <f t="shared" si="4"/>
        <v>Ofsted Social Care Provider Webpage</v>
      </c>
      <c r="B324" s="55">
        <v>1254745</v>
      </c>
      <c r="D324" s="55" t="s">
        <v>373</v>
      </c>
      <c r="E324" s="74">
        <v>42879</v>
      </c>
      <c r="F324" s="55" t="s">
        <v>344</v>
      </c>
      <c r="G324" s="55" t="s">
        <v>360</v>
      </c>
      <c r="H324" s="55" t="s">
        <v>360</v>
      </c>
      <c r="I324" s="55" t="s">
        <v>360</v>
      </c>
      <c r="J324" s="55" t="s">
        <v>360</v>
      </c>
      <c r="K324" s="55" t="s">
        <v>360</v>
      </c>
      <c r="L324" s="55" t="s">
        <v>360</v>
      </c>
      <c r="M324" s="55" t="s">
        <v>172</v>
      </c>
      <c r="N324" s="55" t="s">
        <v>172</v>
      </c>
      <c r="O324" s="55" t="s">
        <v>234</v>
      </c>
      <c r="P324" s="55" t="s">
        <v>965</v>
      </c>
      <c r="Q324" s="55" t="s">
        <v>350</v>
      </c>
      <c r="R324" s="55">
        <v>5</v>
      </c>
      <c r="S324" s="74"/>
      <c r="T324" s="55" t="s">
        <v>962</v>
      </c>
      <c r="U324" s="73" t="s">
        <v>351</v>
      </c>
      <c r="V324" s="74">
        <v>44306</v>
      </c>
      <c r="W324" s="74">
        <v>44342</v>
      </c>
      <c r="X324" s="55">
        <v>10187514</v>
      </c>
      <c r="Y324" s="55" t="s">
        <v>130</v>
      </c>
      <c r="AB324" s="55" t="s">
        <v>130</v>
      </c>
      <c r="AC324" s="55" t="s">
        <v>130</v>
      </c>
    </row>
    <row r="325" spans="1:29" ht="13" x14ac:dyDescent="0.15">
      <c r="A325" s="72" t="str">
        <f t="shared" si="4"/>
        <v>Ofsted Social Care Provider Webpage</v>
      </c>
      <c r="B325" s="55">
        <v>1254782</v>
      </c>
      <c r="D325" s="55" t="s">
        <v>373</v>
      </c>
      <c r="E325" s="74">
        <v>42895</v>
      </c>
      <c r="F325" s="55" t="s">
        <v>344</v>
      </c>
      <c r="G325" s="55" t="s">
        <v>360</v>
      </c>
      <c r="H325" s="55" t="s">
        <v>360</v>
      </c>
      <c r="I325" s="55" t="s">
        <v>360</v>
      </c>
      <c r="J325" s="55" t="s">
        <v>360</v>
      </c>
      <c r="K325" s="55" t="s">
        <v>360</v>
      </c>
      <c r="L325" s="55" t="s">
        <v>360</v>
      </c>
      <c r="M325" s="55" t="s">
        <v>150</v>
      </c>
      <c r="N325" s="55" t="s">
        <v>150</v>
      </c>
      <c r="O325" s="55" t="s">
        <v>190</v>
      </c>
      <c r="P325" s="55" t="s">
        <v>966</v>
      </c>
      <c r="Q325" s="55" t="s">
        <v>380</v>
      </c>
      <c r="R325" s="55">
        <v>4</v>
      </c>
      <c r="S325" s="74"/>
      <c r="T325" s="55" t="s">
        <v>967</v>
      </c>
      <c r="U325" s="73" t="s">
        <v>351</v>
      </c>
      <c r="V325" s="74">
        <v>44488</v>
      </c>
      <c r="W325" s="74">
        <v>44565</v>
      </c>
      <c r="X325" s="55">
        <v>10185401</v>
      </c>
      <c r="Y325" s="74" t="s">
        <v>146</v>
      </c>
      <c r="Z325" s="74"/>
      <c r="AB325" s="55" t="s">
        <v>146</v>
      </c>
      <c r="AC325" s="55" t="s">
        <v>146</v>
      </c>
    </row>
    <row r="326" spans="1:29" ht="13" x14ac:dyDescent="0.15">
      <c r="A326" s="72" t="str">
        <f t="shared" ref="A326:A389" si="5">HYPERLINK(_xlfn.CONCAT("http://reports.ofsted.gov.uk/inspection-reports/find-inspection-report/provider/CARE/",B326),"Ofsted Social Care Provider Webpage")</f>
        <v>Ofsted Social Care Provider Webpage</v>
      </c>
      <c r="B326" s="55">
        <v>1254786</v>
      </c>
      <c r="D326" s="55" t="s">
        <v>389</v>
      </c>
      <c r="E326" s="74">
        <v>42825</v>
      </c>
      <c r="F326" s="55" t="s">
        <v>344</v>
      </c>
      <c r="G326" s="55" t="s">
        <v>968</v>
      </c>
      <c r="H326" s="55" t="s">
        <v>969</v>
      </c>
      <c r="I326" s="55" t="s">
        <v>970</v>
      </c>
      <c r="J326" s="55" t="s">
        <v>267</v>
      </c>
      <c r="L326" s="55" t="s">
        <v>971</v>
      </c>
      <c r="M326" s="55" t="s">
        <v>378</v>
      </c>
      <c r="N326" s="55" t="s">
        <v>170</v>
      </c>
      <c r="O326" s="55" t="s">
        <v>267</v>
      </c>
      <c r="P326" s="55" t="s">
        <v>972</v>
      </c>
      <c r="Q326" s="55" t="s">
        <v>362</v>
      </c>
      <c r="R326" s="55"/>
      <c r="S326" s="74"/>
      <c r="T326" s="55" t="s">
        <v>973</v>
      </c>
      <c r="U326" s="73" t="s">
        <v>351</v>
      </c>
      <c r="V326" s="74">
        <v>43367</v>
      </c>
      <c r="W326" s="74">
        <v>43402</v>
      </c>
      <c r="X326" s="55">
        <v>10048940</v>
      </c>
      <c r="Y326" s="74" t="s">
        <v>132</v>
      </c>
      <c r="Z326" s="74"/>
      <c r="AB326" s="55" t="s">
        <v>130</v>
      </c>
      <c r="AC326" s="55" t="s">
        <v>132</v>
      </c>
    </row>
    <row r="327" spans="1:29" ht="13" x14ac:dyDescent="0.15">
      <c r="A327" s="72" t="str">
        <f t="shared" si="5"/>
        <v>Ofsted Social Care Provider Webpage</v>
      </c>
      <c r="B327" s="55">
        <v>1254834</v>
      </c>
      <c r="D327" s="55" t="s">
        <v>468</v>
      </c>
      <c r="E327" s="74">
        <v>42825</v>
      </c>
      <c r="F327" s="55" t="s">
        <v>344</v>
      </c>
      <c r="G327" s="55" t="s">
        <v>974</v>
      </c>
      <c r="H327" s="55" t="s">
        <v>969</v>
      </c>
      <c r="I327" s="55" t="s">
        <v>970</v>
      </c>
      <c r="J327" s="55" t="s">
        <v>267</v>
      </c>
      <c r="L327" s="55" t="s">
        <v>971</v>
      </c>
      <c r="M327" s="55" t="s">
        <v>378</v>
      </c>
      <c r="N327" s="55" t="s">
        <v>170</v>
      </c>
      <c r="O327" s="55" t="s">
        <v>267</v>
      </c>
      <c r="P327" s="55" t="s">
        <v>972</v>
      </c>
      <c r="Q327" s="55" t="s">
        <v>362</v>
      </c>
      <c r="R327" s="55"/>
      <c r="S327" s="74"/>
      <c r="T327" s="55" t="s">
        <v>973</v>
      </c>
      <c r="U327" s="73" t="s">
        <v>351</v>
      </c>
      <c r="V327" s="74">
        <v>43367</v>
      </c>
      <c r="W327" s="74">
        <v>43397</v>
      </c>
      <c r="X327" s="55">
        <v>10048939</v>
      </c>
      <c r="Y327" s="74" t="s">
        <v>132</v>
      </c>
      <c r="Z327" s="74"/>
      <c r="AB327" s="55" t="s">
        <v>132</v>
      </c>
      <c r="AC327" s="55" t="s">
        <v>140</v>
      </c>
    </row>
    <row r="328" spans="1:29" ht="13" x14ac:dyDescent="0.15">
      <c r="A328" s="72" t="str">
        <f t="shared" si="5"/>
        <v>Ofsted Social Care Provider Webpage</v>
      </c>
      <c r="B328" s="55">
        <v>1254835</v>
      </c>
      <c r="D328" s="55" t="s">
        <v>373</v>
      </c>
      <c r="E328" s="74">
        <v>42825</v>
      </c>
      <c r="F328" s="55" t="s">
        <v>344</v>
      </c>
      <c r="G328" s="55" t="s">
        <v>360</v>
      </c>
      <c r="H328" s="55" t="s">
        <v>360</v>
      </c>
      <c r="I328" s="55" t="s">
        <v>360</v>
      </c>
      <c r="J328" s="55" t="s">
        <v>360</v>
      </c>
      <c r="K328" s="55" t="s">
        <v>360</v>
      </c>
      <c r="L328" s="55" t="s">
        <v>360</v>
      </c>
      <c r="M328" s="55" t="s">
        <v>378</v>
      </c>
      <c r="N328" s="55" t="s">
        <v>170</v>
      </c>
      <c r="O328" s="55" t="s">
        <v>267</v>
      </c>
      <c r="P328" s="55" t="s">
        <v>975</v>
      </c>
      <c r="Q328" s="55" t="s">
        <v>362</v>
      </c>
      <c r="R328" s="55">
        <v>6</v>
      </c>
      <c r="S328" s="74"/>
      <c r="T328" s="55" t="s">
        <v>973</v>
      </c>
      <c r="U328" s="73" t="s">
        <v>351</v>
      </c>
      <c r="V328" s="74">
        <v>44572</v>
      </c>
      <c r="W328" s="74">
        <v>44613</v>
      </c>
      <c r="X328" s="55">
        <v>10186810</v>
      </c>
      <c r="Y328" s="74" t="s">
        <v>140</v>
      </c>
      <c r="Z328" s="74"/>
      <c r="AB328" s="55" t="s">
        <v>132</v>
      </c>
      <c r="AC328" s="55" t="s">
        <v>132</v>
      </c>
    </row>
    <row r="329" spans="1:29" ht="13" x14ac:dyDescent="0.15">
      <c r="A329" s="72" t="str">
        <f t="shared" si="5"/>
        <v>Ofsted Social Care Provider Webpage</v>
      </c>
      <c r="B329" s="55">
        <v>1254837</v>
      </c>
      <c r="D329" s="55" t="s">
        <v>373</v>
      </c>
      <c r="E329" s="74">
        <v>42825</v>
      </c>
      <c r="F329" s="55" t="s">
        <v>344</v>
      </c>
      <c r="G329" s="55" t="s">
        <v>360</v>
      </c>
      <c r="H329" s="55" t="s">
        <v>360</v>
      </c>
      <c r="I329" s="55" t="s">
        <v>360</v>
      </c>
      <c r="J329" s="55" t="s">
        <v>360</v>
      </c>
      <c r="K329" s="55" t="s">
        <v>360</v>
      </c>
      <c r="L329" s="55" t="s">
        <v>360</v>
      </c>
      <c r="M329" s="55" t="s">
        <v>378</v>
      </c>
      <c r="N329" s="55" t="s">
        <v>170</v>
      </c>
      <c r="O329" s="55" t="s">
        <v>267</v>
      </c>
      <c r="P329" s="55" t="s">
        <v>972</v>
      </c>
      <c r="Q329" s="55" t="s">
        <v>362</v>
      </c>
      <c r="R329" s="55">
        <v>6</v>
      </c>
      <c r="S329" s="74"/>
      <c r="T329" s="55" t="s">
        <v>973</v>
      </c>
      <c r="U329" s="73" t="s">
        <v>351</v>
      </c>
      <c r="V329" s="74">
        <v>44355</v>
      </c>
      <c r="W329" s="74">
        <v>44390</v>
      </c>
      <c r="X329" s="55">
        <v>10185862</v>
      </c>
      <c r="Y329" s="74" t="s">
        <v>132</v>
      </c>
      <c r="Z329" s="74"/>
      <c r="AB329" s="55" t="s">
        <v>132</v>
      </c>
      <c r="AC329" s="55" t="s">
        <v>140</v>
      </c>
    </row>
    <row r="330" spans="1:29" ht="13" x14ac:dyDescent="0.15">
      <c r="A330" s="72" t="str">
        <f t="shared" si="5"/>
        <v>Ofsted Social Care Provider Webpage</v>
      </c>
      <c r="B330" s="55">
        <v>1254840</v>
      </c>
      <c r="D330" s="55" t="s">
        <v>373</v>
      </c>
      <c r="E330" s="74">
        <v>43105</v>
      </c>
      <c r="F330" s="55" t="s">
        <v>344</v>
      </c>
      <c r="G330" s="55" t="s">
        <v>360</v>
      </c>
      <c r="H330" s="55" t="s">
        <v>360</v>
      </c>
      <c r="I330" s="55" t="s">
        <v>360</v>
      </c>
      <c r="J330" s="55" t="s">
        <v>360</v>
      </c>
      <c r="K330" s="55" t="s">
        <v>360</v>
      </c>
      <c r="L330" s="55" t="s">
        <v>360</v>
      </c>
      <c r="M330" s="55" t="s">
        <v>142</v>
      </c>
      <c r="N330" s="55" t="s">
        <v>142</v>
      </c>
      <c r="O330" s="55" t="s">
        <v>292</v>
      </c>
      <c r="P330" s="55" t="s">
        <v>976</v>
      </c>
      <c r="Q330" s="55" t="s">
        <v>350</v>
      </c>
      <c r="R330" s="55">
        <v>3</v>
      </c>
      <c r="S330" s="74"/>
      <c r="T330" s="55" t="s">
        <v>574</v>
      </c>
      <c r="U330" s="73" t="s">
        <v>351</v>
      </c>
      <c r="V330" s="74">
        <v>44335</v>
      </c>
      <c r="W330" s="74">
        <v>44369</v>
      </c>
      <c r="X330" s="55">
        <v>10185162</v>
      </c>
      <c r="Y330" s="74" t="s">
        <v>132</v>
      </c>
      <c r="Z330" s="74"/>
      <c r="AB330" s="55" t="s">
        <v>132</v>
      </c>
      <c r="AC330" s="55" t="s">
        <v>132</v>
      </c>
    </row>
    <row r="331" spans="1:29" ht="13" x14ac:dyDescent="0.15">
      <c r="A331" s="72" t="str">
        <f t="shared" si="5"/>
        <v>Ofsted Social Care Provider Webpage</v>
      </c>
      <c r="B331" s="55">
        <v>1254841</v>
      </c>
      <c r="D331" s="55" t="s">
        <v>373</v>
      </c>
      <c r="E331" s="74">
        <v>42825</v>
      </c>
      <c r="F331" s="55" t="s">
        <v>344</v>
      </c>
      <c r="G331" s="55" t="s">
        <v>360</v>
      </c>
      <c r="H331" s="55" t="s">
        <v>360</v>
      </c>
      <c r="I331" s="55" t="s">
        <v>360</v>
      </c>
      <c r="J331" s="55" t="s">
        <v>360</v>
      </c>
      <c r="K331" s="55" t="s">
        <v>360</v>
      </c>
      <c r="L331" s="55" t="s">
        <v>360</v>
      </c>
      <c r="M331" s="55" t="s">
        <v>378</v>
      </c>
      <c r="N331" s="55" t="s">
        <v>170</v>
      </c>
      <c r="O331" s="55" t="s">
        <v>267</v>
      </c>
      <c r="P331" s="55" t="s">
        <v>975</v>
      </c>
      <c r="Q331" s="55" t="s">
        <v>362</v>
      </c>
      <c r="R331" s="55">
        <v>6</v>
      </c>
      <c r="S331" s="74"/>
      <c r="T331" s="55" t="s">
        <v>973</v>
      </c>
      <c r="U331" s="73" t="s">
        <v>351</v>
      </c>
      <c r="V331" s="74">
        <v>44544</v>
      </c>
      <c r="W331" s="74">
        <v>44610</v>
      </c>
      <c r="X331" s="55">
        <v>10185509</v>
      </c>
      <c r="Y331" s="74" t="s">
        <v>140</v>
      </c>
      <c r="Z331" s="74"/>
      <c r="AB331" s="55" t="s">
        <v>132</v>
      </c>
      <c r="AC331" s="55" t="s">
        <v>140</v>
      </c>
    </row>
    <row r="332" spans="1:29" ht="13" x14ac:dyDescent="0.15">
      <c r="A332" s="72" t="str">
        <f t="shared" si="5"/>
        <v>Ofsted Social Care Provider Webpage</v>
      </c>
      <c r="B332" s="55">
        <v>1254843</v>
      </c>
      <c r="D332" s="55" t="s">
        <v>373</v>
      </c>
      <c r="E332" s="74">
        <v>42825</v>
      </c>
      <c r="F332" s="55" t="s">
        <v>344</v>
      </c>
      <c r="G332" s="55" t="s">
        <v>360</v>
      </c>
      <c r="H332" s="55" t="s">
        <v>360</v>
      </c>
      <c r="I332" s="55" t="s">
        <v>360</v>
      </c>
      <c r="J332" s="55" t="s">
        <v>360</v>
      </c>
      <c r="K332" s="55" t="s">
        <v>360</v>
      </c>
      <c r="L332" s="55" t="s">
        <v>360</v>
      </c>
      <c r="M332" s="55" t="s">
        <v>378</v>
      </c>
      <c r="N332" s="55" t="s">
        <v>170</v>
      </c>
      <c r="O332" s="55" t="s">
        <v>267</v>
      </c>
      <c r="P332" s="55" t="s">
        <v>972</v>
      </c>
      <c r="Q332" s="55" t="s">
        <v>362</v>
      </c>
      <c r="R332" s="55">
        <v>6</v>
      </c>
      <c r="S332" s="74"/>
      <c r="T332" s="55" t="s">
        <v>973</v>
      </c>
      <c r="U332" s="73" t="s">
        <v>351</v>
      </c>
      <c r="V332" s="74">
        <v>44320</v>
      </c>
      <c r="W332" s="74">
        <v>44354</v>
      </c>
      <c r="X332" s="55">
        <v>10186441</v>
      </c>
      <c r="Y332" s="74" t="s">
        <v>130</v>
      </c>
      <c r="Z332" s="74"/>
      <c r="AB332" s="55" t="s">
        <v>130</v>
      </c>
      <c r="AC332" s="55" t="s">
        <v>130</v>
      </c>
    </row>
    <row r="333" spans="1:29" ht="13" x14ac:dyDescent="0.15">
      <c r="A333" s="72" t="str">
        <f t="shared" si="5"/>
        <v>Ofsted Social Care Provider Webpage</v>
      </c>
      <c r="B333" s="55">
        <v>1254864</v>
      </c>
      <c r="D333" s="55" t="s">
        <v>373</v>
      </c>
      <c r="E333" s="74">
        <v>42879</v>
      </c>
      <c r="F333" s="55" t="s">
        <v>344</v>
      </c>
      <c r="G333" s="55" t="s">
        <v>360</v>
      </c>
      <c r="H333" s="55" t="s">
        <v>360</v>
      </c>
      <c r="I333" s="55" t="s">
        <v>360</v>
      </c>
      <c r="J333" s="55" t="s">
        <v>360</v>
      </c>
      <c r="K333" s="55" t="s">
        <v>360</v>
      </c>
      <c r="L333" s="55" t="s">
        <v>360</v>
      </c>
      <c r="M333" s="55" t="s">
        <v>172</v>
      </c>
      <c r="N333" s="55" t="s">
        <v>172</v>
      </c>
      <c r="O333" s="55" t="s">
        <v>235</v>
      </c>
      <c r="P333" s="55" t="s">
        <v>948</v>
      </c>
      <c r="Q333" s="55" t="s">
        <v>350</v>
      </c>
      <c r="R333" s="55">
        <v>3</v>
      </c>
      <c r="S333" s="74"/>
      <c r="T333" s="55" t="s">
        <v>962</v>
      </c>
      <c r="U333" s="73" t="s">
        <v>351</v>
      </c>
      <c r="V333" s="74">
        <v>44502</v>
      </c>
      <c r="W333" s="74">
        <v>44533</v>
      </c>
      <c r="X333" s="55">
        <v>10186029</v>
      </c>
      <c r="Y333" s="74" t="s">
        <v>132</v>
      </c>
      <c r="Z333" s="74"/>
      <c r="AB333" s="55" t="s">
        <v>132</v>
      </c>
      <c r="AC333" s="55" t="s">
        <v>132</v>
      </c>
    </row>
    <row r="334" spans="1:29" ht="13" x14ac:dyDescent="0.15">
      <c r="A334" s="72" t="str">
        <f t="shared" si="5"/>
        <v>Ofsted Social Care Provider Webpage</v>
      </c>
      <c r="B334" s="55">
        <v>1255139</v>
      </c>
      <c r="D334" s="55" t="s">
        <v>373</v>
      </c>
      <c r="E334" s="74">
        <v>42879</v>
      </c>
      <c r="F334" s="55" t="s">
        <v>344</v>
      </c>
      <c r="G334" s="55" t="s">
        <v>360</v>
      </c>
      <c r="H334" s="55" t="s">
        <v>360</v>
      </c>
      <c r="I334" s="55" t="s">
        <v>360</v>
      </c>
      <c r="J334" s="55" t="s">
        <v>360</v>
      </c>
      <c r="K334" s="55" t="s">
        <v>360</v>
      </c>
      <c r="L334" s="55" t="s">
        <v>360</v>
      </c>
      <c r="M334" s="55" t="s">
        <v>172</v>
      </c>
      <c r="N334" s="55" t="s">
        <v>172</v>
      </c>
      <c r="O334" s="55" t="s">
        <v>234</v>
      </c>
      <c r="P334" s="55" t="s">
        <v>965</v>
      </c>
      <c r="Q334" s="55" t="s">
        <v>350</v>
      </c>
      <c r="R334" s="55">
        <v>6</v>
      </c>
      <c r="S334" s="74"/>
      <c r="T334" s="55" t="s">
        <v>962</v>
      </c>
      <c r="U334" s="73" t="s">
        <v>351</v>
      </c>
      <c r="V334" s="74">
        <v>44593</v>
      </c>
      <c r="W334" s="74">
        <v>44628</v>
      </c>
      <c r="X334" s="55">
        <v>10185330</v>
      </c>
      <c r="Y334" s="74" t="s">
        <v>132</v>
      </c>
      <c r="Z334" s="74"/>
      <c r="AB334" s="55" t="s">
        <v>132</v>
      </c>
      <c r="AC334" s="55" t="s">
        <v>132</v>
      </c>
    </row>
    <row r="335" spans="1:29" ht="13" x14ac:dyDescent="0.15">
      <c r="A335" s="72" t="str">
        <f t="shared" si="5"/>
        <v>Ofsted Social Care Provider Webpage</v>
      </c>
      <c r="B335" s="55">
        <v>1255143</v>
      </c>
      <c r="D335" s="55" t="s">
        <v>389</v>
      </c>
      <c r="E335" s="74">
        <v>42897</v>
      </c>
      <c r="F335" s="55" t="s">
        <v>344</v>
      </c>
      <c r="G335" s="55" t="s">
        <v>977</v>
      </c>
      <c r="H335" s="55" t="s">
        <v>978</v>
      </c>
      <c r="I335" s="55" t="s">
        <v>979</v>
      </c>
      <c r="J335" s="55" t="s">
        <v>419</v>
      </c>
      <c r="L335" s="55" t="s">
        <v>980</v>
      </c>
      <c r="M335" s="55" t="s">
        <v>150</v>
      </c>
      <c r="N335" s="55" t="s">
        <v>150</v>
      </c>
      <c r="O335" s="55" t="s">
        <v>203</v>
      </c>
      <c r="P335" s="55" t="s">
        <v>419</v>
      </c>
      <c r="Q335" s="55" t="s">
        <v>350</v>
      </c>
      <c r="R335" s="55"/>
      <c r="S335" s="74"/>
      <c r="T335" s="55" t="s">
        <v>981</v>
      </c>
      <c r="U335" s="73" t="s">
        <v>351</v>
      </c>
      <c r="V335" s="74">
        <v>43731</v>
      </c>
      <c r="W335" s="74">
        <v>43768</v>
      </c>
      <c r="X335" s="55">
        <v>10093310</v>
      </c>
      <c r="Y335" s="74" t="s">
        <v>132</v>
      </c>
      <c r="Z335" s="74"/>
      <c r="AB335" s="55" t="s">
        <v>132</v>
      </c>
      <c r="AC335" s="55" t="s">
        <v>132</v>
      </c>
    </row>
    <row r="336" spans="1:29" ht="13" x14ac:dyDescent="0.15">
      <c r="A336" s="72" t="str">
        <f t="shared" si="5"/>
        <v>Ofsted Social Care Provider Webpage</v>
      </c>
      <c r="B336" s="55">
        <v>1255407</v>
      </c>
      <c r="D336" s="55" t="s">
        <v>373</v>
      </c>
      <c r="E336" s="74">
        <v>42996</v>
      </c>
      <c r="F336" s="55" t="s">
        <v>344</v>
      </c>
      <c r="G336" s="55" t="s">
        <v>360</v>
      </c>
      <c r="H336" s="55" t="s">
        <v>360</v>
      </c>
      <c r="I336" s="55" t="s">
        <v>360</v>
      </c>
      <c r="J336" s="55" t="s">
        <v>360</v>
      </c>
      <c r="K336" s="55" t="s">
        <v>360</v>
      </c>
      <c r="L336" s="55" t="s">
        <v>360</v>
      </c>
      <c r="M336" s="55" t="s">
        <v>136</v>
      </c>
      <c r="N336" s="55" t="s">
        <v>136</v>
      </c>
      <c r="O336" s="55" t="s">
        <v>174</v>
      </c>
      <c r="P336" s="55" t="s">
        <v>982</v>
      </c>
      <c r="Q336" s="55" t="s">
        <v>350</v>
      </c>
      <c r="R336" s="55">
        <v>4</v>
      </c>
      <c r="S336" s="74"/>
      <c r="T336" s="55" t="s">
        <v>858</v>
      </c>
      <c r="U336" s="73" t="s">
        <v>351</v>
      </c>
      <c r="V336" s="74">
        <v>44446</v>
      </c>
      <c r="W336" s="74">
        <v>44476</v>
      </c>
      <c r="X336" s="55">
        <v>10187096</v>
      </c>
      <c r="Y336" s="74" t="s">
        <v>132</v>
      </c>
      <c r="Z336" s="74"/>
      <c r="AB336" s="55" t="s">
        <v>132</v>
      </c>
      <c r="AC336" s="55" t="s">
        <v>132</v>
      </c>
    </row>
    <row r="337" spans="1:29" ht="13" x14ac:dyDescent="0.15">
      <c r="A337" s="72" t="str">
        <f t="shared" si="5"/>
        <v>Ofsted Social Care Provider Webpage</v>
      </c>
      <c r="B337" s="55">
        <v>1255520</v>
      </c>
      <c r="D337" s="55" t="s">
        <v>373</v>
      </c>
      <c r="E337" s="74">
        <v>42926</v>
      </c>
      <c r="F337" s="55" t="s">
        <v>344</v>
      </c>
      <c r="G337" s="55" t="s">
        <v>360</v>
      </c>
      <c r="H337" s="55" t="s">
        <v>360</v>
      </c>
      <c r="I337" s="55" t="s">
        <v>360</v>
      </c>
      <c r="J337" s="55" t="s">
        <v>360</v>
      </c>
      <c r="K337" s="55" t="s">
        <v>360</v>
      </c>
      <c r="L337" s="55" t="s">
        <v>360</v>
      </c>
      <c r="M337" s="55" t="s">
        <v>144</v>
      </c>
      <c r="N337" s="55" t="s">
        <v>144</v>
      </c>
      <c r="O337" s="55" t="s">
        <v>209</v>
      </c>
      <c r="P337" s="55" t="s">
        <v>364</v>
      </c>
      <c r="Q337" s="55" t="s">
        <v>350</v>
      </c>
      <c r="R337" s="55">
        <v>3</v>
      </c>
      <c r="S337" s="74"/>
      <c r="T337" s="55" t="s">
        <v>485</v>
      </c>
      <c r="U337" s="73" t="s">
        <v>351</v>
      </c>
      <c r="V337" s="74">
        <v>43873</v>
      </c>
      <c r="W337" s="74">
        <v>43893</v>
      </c>
      <c r="X337" s="55">
        <v>10096658</v>
      </c>
      <c r="Y337" s="74" t="s">
        <v>132</v>
      </c>
      <c r="Z337" s="74"/>
      <c r="AB337" s="55" t="s">
        <v>132</v>
      </c>
      <c r="AC337" s="55" t="s">
        <v>132</v>
      </c>
    </row>
    <row r="338" spans="1:29" ht="13" x14ac:dyDescent="0.15">
      <c r="A338" s="72" t="str">
        <f t="shared" si="5"/>
        <v>Ofsted Social Care Provider Webpage</v>
      </c>
      <c r="B338" s="55">
        <v>1255743</v>
      </c>
      <c r="D338" s="55" t="s">
        <v>373</v>
      </c>
      <c r="E338" s="74">
        <v>42879</v>
      </c>
      <c r="F338" s="55" t="s">
        <v>344</v>
      </c>
      <c r="G338" s="55" t="s">
        <v>360</v>
      </c>
      <c r="H338" s="55" t="s">
        <v>360</v>
      </c>
      <c r="I338" s="55" t="s">
        <v>360</v>
      </c>
      <c r="J338" s="55" t="s">
        <v>360</v>
      </c>
      <c r="K338" s="55" t="s">
        <v>360</v>
      </c>
      <c r="L338" s="55" t="s">
        <v>360</v>
      </c>
      <c r="M338" s="55" t="s">
        <v>172</v>
      </c>
      <c r="N338" s="55" t="s">
        <v>172</v>
      </c>
      <c r="O338" s="55" t="s">
        <v>171</v>
      </c>
      <c r="P338" s="55" t="s">
        <v>983</v>
      </c>
      <c r="Q338" s="55" t="s">
        <v>350</v>
      </c>
      <c r="R338" s="55">
        <v>5</v>
      </c>
      <c r="S338" s="74"/>
      <c r="T338" s="55" t="s">
        <v>962</v>
      </c>
      <c r="U338" s="73" t="s">
        <v>351</v>
      </c>
      <c r="V338" s="74">
        <v>44342</v>
      </c>
      <c r="W338" s="74">
        <v>44370</v>
      </c>
      <c r="X338" s="55">
        <v>10185659</v>
      </c>
      <c r="Y338" s="74" t="s">
        <v>132</v>
      </c>
      <c r="Z338" s="74"/>
      <c r="AB338" s="55" t="s">
        <v>132</v>
      </c>
      <c r="AC338" s="55" t="s">
        <v>132</v>
      </c>
    </row>
    <row r="339" spans="1:29" ht="13" x14ac:dyDescent="0.15">
      <c r="A339" s="72" t="str">
        <f t="shared" si="5"/>
        <v>Ofsted Social Care Provider Webpage</v>
      </c>
      <c r="B339" s="55">
        <v>1255744</v>
      </c>
      <c r="D339" s="55" t="s">
        <v>373</v>
      </c>
      <c r="E339" s="74">
        <v>42879</v>
      </c>
      <c r="F339" s="55" t="s">
        <v>344</v>
      </c>
      <c r="G339" s="55" t="s">
        <v>360</v>
      </c>
      <c r="H339" s="55" t="s">
        <v>360</v>
      </c>
      <c r="I339" s="55" t="s">
        <v>360</v>
      </c>
      <c r="J339" s="55" t="s">
        <v>360</v>
      </c>
      <c r="K339" s="55" t="s">
        <v>360</v>
      </c>
      <c r="L339" s="55" t="s">
        <v>360</v>
      </c>
      <c r="M339" s="55" t="s">
        <v>142</v>
      </c>
      <c r="N339" s="55" t="s">
        <v>142</v>
      </c>
      <c r="O339" s="55" t="s">
        <v>293</v>
      </c>
      <c r="P339" s="55" t="s">
        <v>984</v>
      </c>
      <c r="Q339" s="55" t="s">
        <v>350</v>
      </c>
      <c r="R339" s="55">
        <v>3</v>
      </c>
      <c r="S339" s="74"/>
      <c r="T339" s="55" t="s">
        <v>962</v>
      </c>
      <c r="U339" s="73" t="s">
        <v>351</v>
      </c>
      <c r="V339" s="74">
        <v>44538</v>
      </c>
      <c r="W339" s="74">
        <v>44585</v>
      </c>
      <c r="X339" s="55">
        <v>10186860</v>
      </c>
      <c r="Y339" s="74" t="s">
        <v>132</v>
      </c>
      <c r="Z339" s="74"/>
      <c r="AB339" s="55" t="s">
        <v>130</v>
      </c>
      <c r="AC339" s="55" t="s">
        <v>132</v>
      </c>
    </row>
    <row r="340" spans="1:29" ht="13" x14ac:dyDescent="0.15">
      <c r="A340" s="72" t="str">
        <f t="shared" si="5"/>
        <v>Ofsted Social Care Provider Webpage</v>
      </c>
      <c r="B340" s="55">
        <v>1255745</v>
      </c>
      <c r="D340" s="55" t="s">
        <v>373</v>
      </c>
      <c r="E340" s="74">
        <v>42879</v>
      </c>
      <c r="F340" s="55" t="s">
        <v>344</v>
      </c>
      <c r="G340" s="55" t="s">
        <v>360</v>
      </c>
      <c r="H340" s="55" t="s">
        <v>360</v>
      </c>
      <c r="I340" s="55" t="s">
        <v>360</v>
      </c>
      <c r="J340" s="55" t="s">
        <v>360</v>
      </c>
      <c r="K340" s="55" t="s">
        <v>360</v>
      </c>
      <c r="L340" s="55" t="s">
        <v>360</v>
      </c>
      <c r="M340" s="55" t="s">
        <v>172</v>
      </c>
      <c r="N340" s="55" t="s">
        <v>172</v>
      </c>
      <c r="O340" s="55" t="s">
        <v>284</v>
      </c>
      <c r="P340" s="55" t="s">
        <v>985</v>
      </c>
      <c r="Q340" s="55" t="s">
        <v>350</v>
      </c>
      <c r="R340" s="55">
        <v>5</v>
      </c>
      <c r="S340" s="74"/>
      <c r="T340" s="55" t="s">
        <v>962</v>
      </c>
      <c r="U340" s="73" t="s">
        <v>351</v>
      </c>
      <c r="V340" s="74">
        <v>44460</v>
      </c>
      <c r="W340" s="74">
        <v>44494</v>
      </c>
      <c r="X340" s="55">
        <v>10186032</v>
      </c>
      <c r="Y340" s="74" t="s">
        <v>140</v>
      </c>
      <c r="Z340" s="74"/>
      <c r="AB340" s="55" t="s">
        <v>132</v>
      </c>
      <c r="AC340" s="55" t="s">
        <v>140</v>
      </c>
    </row>
    <row r="341" spans="1:29" ht="13" x14ac:dyDescent="0.15">
      <c r="A341" s="72" t="str">
        <f t="shared" si="5"/>
        <v>Ofsted Social Care Provider Webpage</v>
      </c>
      <c r="B341" s="55">
        <v>1255746</v>
      </c>
      <c r="D341" s="55" t="s">
        <v>373</v>
      </c>
      <c r="E341" s="74">
        <v>42879</v>
      </c>
      <c r="F341" s="55" t="s">
        <v>344</v>
      </c>
      <c r="G341" s="55" t="s">
        <v>360</v>
      </c>
      <c r="H341" s="55" t="s">
        <v>360</v>
      </c>
      <c r="I341" s="55" t="s">
        <v>360</v>
      </c>
      <c r="J341" s="55" t="s">
        <v>360</v>
      </c>
      <c r="K341" s="55" t="s">
        <v>360</v>
      </c>
      <c r="L341" s="55" t="s">
        <v>360</v>
      </c>
      <c r="M341" s="55" t="s">
        <v>138</v>
      </c>
      <c r="N341" s="55" t="s">
        <v>138</v>
      </c>
      <c r="O341" s="55" t="s">
        <v>137</v>
      </c>
      <c r="P341" s="55" t="s">
        <v>137</v>
      </c>
      <c r="Q341" s="55" t="s">
        <v>350</v>
      </c>
      <c r="R341" s="55">
        <v>5</v>
      </c>
      <c r="S341" s="74"/>
      <c r="T341" s="55" t="s">
        <v>962</v>
      </c>
      <c r="U341" s="73" t="s">
        <v>351</v>
      </c>
      <c r="V341" s="74">
        <v>44565</v>
      </c>
      <c r="W341" s="74">
        <v>44601</v>
      </c>
      <c r="X341" s="55">
        <v>10185914</v>
      </c>
      <c r="Y341" s="74" t="s">
        <v>132</v>
      </c>
      <c r="Z341" s="74"/>
      <c r="AB341" s="55" t="s">
        <v>132</v>
      </c>
      <c r="AC341" s="55" t="s">
        <v>132</v>
      </c>
    </row>
    <row r="342" spans="1:29" ht="13" x14ac:dyDescent="0.15">
      <c r="A342" s="72" t="str">
        <f t="shared" si="5"/>
        <v>Ofsted Social Care Provider Webpage</v>
      </c>
      <c r="B342" s="55">
        <v>1255747</v>
      </c>
      <c r="D342" s="55" t="s">
        <v>373</v>
      </c>
      <c r="E342" s="74">
        <v>42879</v>
      </c>
      <c r="F342" s="55" t="s">
        <v>344</v>
      </c>
      <c r="G342" s="55" t="s">
        <v>360</v>
      </c>
      <c r="H342" s="55" t="s">
        <v>360</v>
      </c>
      <c r="I342" s="55" t="s">
        <v>360</v>
      </c>
      <c r="J342" s="55" t="s">
        <v>360</v>
      </c>
      <c r="K342" s="55" t="s">
        <v>360</v>
      </c>
      <c r="L342" s="55" t="s">
        <v>360</v>
      </c>
      <c r="M342" s="55" t="s">
        <v>172</v>
      </c>
      <c r="N342" s="55" t="s">
        <v>172</v>
      </c>
      <c r="O342" s="55" t="s">
        <v>284</v>
      </c>
      <c r="P342" s="55" t="s">
        <v>986</v>
      </c>
      <c r="Q342" s="55" t="s">
        <v>350</v>
      </c>
      <c r="R342" s="55">
        <v>5</v>
      </c>
      <c r="S342" s="74"/>
      <c r="T342" s="55" t="s">
        <v>962</v>
      </c>
      <c r="U342" s="73" t="s">
        <v>351</v>
      </c>
      <c r="V342" s="74">
        <v>44355</v>
      </c>
      <c r="W342" s="74">
        <v>44382</v>
      </c>
      <c r="X342" s="55">
        <v>10186958</v>
      </c>
      <c r="Y342" s="74" t="s">
        <v>132</v>
      </c>
      <c r="Z342" s="74"/>
      <c r="AB342" s="55" t="s">
        <v>132</v>
      </c>
      <c r="AC342" s="55" t="s">
        <v>132</v>
      </c>
    </row>
    <row r="343" spans="1:29" ht="13" x14ac:dyDescent="0.15">
      <c r="A343" s="72" t="str">
        <f t="shared" si="5"/>
        <v>Ofsted Social Care Provider Webpage</v>
      </c>
      <c r="B343" s="55">
        <v>1255748</v>
      </c>
      <c r="D343" s="55" t="s">
        <v>373</v>
      </c>
      <c r="E343" s="74">
        <v>42879</v>
      </c>
      <c r="F343" s="55" t="s">
        <v>344</v>
      </c>
      <c r="G343" s="55" t="s">
        <v>360</v>
      </c>
      <c r="H343" s="55" t="s">
        <v>360</v>
      </c>
      <c r="I343" s="55" t="s">
        <v>360</v>
      </c>
      <c r="J343" s="55" t="s">
        <v>360</v>
      </c>
      <c r="K343" s="55" t="s">
        <v>360</v>
      </c>
      <c r="L343" s="55" t="s">
        <v>360</v>
      </c>
      <c r="M343" s="55" t="s">
        <v>172</v>
      </c>
      <c r="N343" s="55" t="s">
        <v>172</v>
      </c>
      <c r="O343" s="55" t="s">
        <v>234</v>
      </c>
      <c r="P343" s="55" t="s">
        <v>369</v>
      </c>
      <c r="Q343" s="55" t="s">
        <v>350</v>
      </c>
      <c r="R343" s="55">
        <v>5</v>
      </c>
      <c r="S343" s="74"/>
      <c r="T343" s="55" t="s">
        <v>962</v>
      </c>
      <c r="U343" s="73" t="s">
        <v>351</v>
      </c>
      <c r="V343" s="74">
        <v>44419</v>
      </c>
      <c r="W343" s="74">
        <v>44459</v>
      </c>
      <c r="X343" s="55">
        <v>10186203</v>
      </c>
      <c r="Y343" s="74" t="s">
        <v>132</v>
      </c>
      <c r="Z343" s="74"/>
      <c r="AB343" s="55" t="s">
        <v>132</v>
      </c>
      <c r="AC343" s="55" t="s">
        <v>132</v>
      </c>
    </row>
    <row r="344" spans="1:29" ht="13" x14ac:dyDescent="0.15">
      <c r="A344" s="72" t="str">
        <f t="shared" si="5"/>
        <v>Ofsted Social Care Provider Webpage</v>
      </c>
      <c r="B344" s="55">
        <v>1255753</v>
      </c>
      <c r="D344" s="55" t="s">
        <v>389</v>
      </c>
      <c r="E344" s="74">
        <v>42955</v>
      </c>
      <c r="F344" s="55" t="s">
        <v>344</v>
      </c>
      <c r="G344" s="55" t="s">
        <v>987</v>
      </c>
      <c r="H344" s="55" t="s">
        <v>988</v>
      </c>
      <c r="I344" s="55" t="s">
        <v>989</v>
      </c>
      <c r="J344" s="55" t="s">
        <v>292</v>
      </c>
      <c r="L344" s="55" t="s">
        <v>691</v>
      </c>
      <c r="M344" s="55" t="s">
        <v>142</v>
      </c>
      <c r="N344" s="55" t="s">
        <v>142</v>
      </c>
      <c r="O344" s="55" t="s">
        <v>262</v>
      </c>
      <c r="P344" s="55" t="s">
        <v>692</v>
      </c>
      <c r="Q344" s="55" t="s">
        <v>350</v>
      </c>
      <c r="R344" s="55"/>
      <c r="S344" s="74"/>
      <c r="T344" s="55" t="s">
        <v>502</v>
      </c>
      <c r="U344" s="73" t="s">
        <v>351</v>
      </c>
      <c r="V344" s="74">
        <v>43304</v>
      </c>
      <c r="W344" s="74">
        <v>43346</v>
      </c>
      <c r="X344" s="55">
        <v>10053967</v>
      </c>
      <c r="Y344" s="74" t="s">
        <v>132</v>
      </c>
      <c r="Z344" s="74"/>
      <c r="AB344" s="55" t="s">
        <v>130</v>
      </c>
      <c r="AC344" s="55" t="s">
        <v>132</v>
      </c>
    </row>
    <row r="345" spans="1:29" ht="13" x14ac:dyDescent="0.15">
      <c r="A345" s="72" t="str">
        <f t="shared" si="5"/>
        <v>Ofsted Social Care Provider Webpage</v>
      </c>
      <c r="B345" s="55">
        <v>1255823</v>
      </c>
      <c r="D345" s="55" t="s">
        <v>373</v>
      </c>
      <c r="E345" s="74">
        <v>42906</v>
      </c>
      <c r="F345" s="55" t="s">
        <v>344</v>
      </c>
      <c r="G345" s="55" t="s">
        <v>360</v>
      </c>
      <c r="H345" s="55" t="s">
        <v>360</v>
      </c>
      <c r="I345" s="55" t="s">
        <v>360</v>
      </c>
      <c r="J345" s="55" t="s">
        <v>360</v>
      </c>
      <c r="K345" s="55" t="s">
        <v>360</v>
      </c>
      <c r="L345" s="55" t="s">
        <v>360</v>
      </c>
      <c r="M345" s="55" t="s">
        <v>150</v>
      </c>
      <c r="N345" s="55" t="s">
        <v>150</v>
      </c>
      <c r="O345" s="55" t="s">
        <v>190</v>
      </c>
      <c r="P345" s="55" t="s">
        <v>749</v>
      </c>
      <c r="Q345" s="55" t="s">
        <v>380</v>
      </c>
      <c r="R345" s="55">
        <v>5</v>
      </c>
      <c r="S345" s="74"/>
      <c r="T345" s="55" t="s">
        <v>967</v>
      </c>
      <c r="U345" s="73" t="s">
        <v>351</v>
      </c>
      <c r="V345" s="74">
        <v>44433</v>
      </c>
      <c r="W345" s="74">
        <v>44483</v>
      </c>
      <c r="X345" s="55">
        <v>10185111</v>
      </c>
      <c r="Y345" s="74" t="s">
        <v>132</v>
      </c>
      <c r="Z345" s="74"/>
      <c r="AB345" s="55" t="s">
        <v>132</v>
      </c>
      <c r="AC345" s="55" t="s">
        <v>130</v>
      </c>
    </row>
    <row r="346" spans="1:29" ht="13" x14ac:dyDescent="0.15">
      <c r="A346" s="72" t="str">
        <f t="shared" si="5"/>
        <v>Ofsted Social Care Provider Webpage</v>
      </c>
      <c r="B346" s="55">
        <v>1256058</v>
      </c>
      <c r="D346" s="55" t="s">
        <v>373</v>
      </c>
      <c r="E346" s="74">
        <v>42879</v>
      </c>
      <c r="F346" s="55" t="s">
        <v>728</v>
      </c>
      <c r="G346" s="55" t="s">
        <v>360</v>
      </c>
      <c r="H346" s="55" t="s">
        <v>360</v>
      </c>
      <c r="I346" s="55" t="s">
        <v>360</v>
      </c>
      <c r="J346" s="55" t="s">
        <v>360</v>
      </c>
      <c r="K346" s="55" t="s">
        <v>360</v>
      </c>
      <c r="L346" s="55" t="s">
        <v>360</v>
      </c>
      <c r="M346" s="55" t="s">
        <v>150</v>
      </c>
      <c r="N346" s="55" t="s">
        <v>150</v>
      </c>
      <c r="O346" s="55" t="s">
        <v>237</v>
      </c>
      <c r="P346" s="55" t="s">
        <v>990</v>
      </c>
      <c r="Q346" s="55" t="s">
        <v>350</v>
      </c>
      <c r="R346" s="55">
        <v>5</v>
      </c>
      <c r="S346" s="74"/>
      <c r="T346" s="55" t="s">
        <v>962</v>
      </c>
      <c r="U346" s="73" t="s">
        <v>351</v>
      </c>
      <c r="V346" s="74">
        <v>44334</v>
      </c>
      <c r="W346" s="74">
        <v>44376</v>
      </c>
      <c r="X346" s="55">
        <v>10186316</v>
      </c>
      <c r="Y346" s="74" t="s">
        <v>132</v>
      </c>
      <c r="Z346" s="74"/>
      <c r="AB346" s="55" t="s">
        <v>140</v>
      </c>
      <c r="AC346" s="55" t="s">
        <v>132</v>
      </c>
    </row>
    <row r="347" spans="1:29" ht="13" x14ac:dyDescent="0.15">
      <c r="A347" s="72" t="str">
        <f t="shared" si="5"/>
        <v>Ofsted Social Care Provider Webpage</v>
      </c>
      <c r="B347" s="55">
        <v>1256059</v>
      </c>
      <c r="D347" s="55" t="s">
        <v>373</v>
      </c>
      <c r="E347" s="74">
        <v>42879</v>
      </c>
      <c r="F347" s="55" t="s">
        <v>344</v>
      </c>
      <c r="G347" s="55" t="s">
        <v>360</v>
      </c>
      <c r="H347" s="55" t="s">
        <v>360</v>
      </c>
      <c r="I347" s="55" t="s">
        <v>360</v>
      </c>
      <c r="J347" s="55" t="s">
        <v>360</v>
      </c>
      <c r="K347" s="55" t="s">
        <v>360</v>
      </c>
      <c r="L347" s="55" t="s">
        <v>360</v>
      </c>
      <c r="M347" s="55" t="s">
        <v>172</v>
      </c>
      <c r="N347" s="55" t="s">
        <v>172</v>
      </c>
      <c r="O347" s="55" t="s">
        <v>228</v>
      </c>
      <c r="P347" s="55" t="s">
        <v>991</v>
      </c>
      <c r="Q347" s="55" t="s">
        <v>350</v>
      </c>
      <c r="R347" s="55">
        <v>5</v>
      </c>
      <c r="S347" s="74"/>
      <c r="T347" s="55" t="s">
        <v>962</v>
      </c>
      <c r="U347" s="73" t="s">
        <v>351</v>
      </c>
      <c r="V347" s="74">
        <v>44587</v>
      </c>
      <c r="W347" s="74">
        <v>44620</v>
      </c>
      <c r="X347" s="55">
        <v>10187478</v>
      </c>
      <c r="Y347" s="74" t="s">
        <v>132</v>
      </c>
      <c r="Z347" s="74"/>
      <c r="AB347" s="55" t="s">
        <v>132</v>
      </c>
      <c r="AC347" s="55" t="s">
        <v>132</v>
      </c>
    </row>
    <row r="348" spans="1:29" ht="13" x14ac:dyDescent="0.15">
      <c r="A348" s="72" t="str">
        <f t="shared" si="5"/>
        <v>Ofsted Social Care Provider Webpage</v>
      </c>
      <c r="B348" s="55">
        <v>1256060</v>
      </c>
      <c r="D348" s="55" t="s">
        <v>373</v>
      </c>
      <c r="E348" s="74">
        <v>42879</v>
      </c>
      <c r="F348" s="55" t="s">
        <v>344</v>
      </c>
      <c r="G348" s="55" t="s">
        <v>360</v>
      </c>
      <c r="H348" s="55" t="s">
        <v>360</v>
      </c>
      <c r="I348" s="55" t="s">
        <v>360</v>
      </c>
      <c r="J348" s="55" t="s">
        <v>360</v>
      </c>
      <c r="K348" s="55" t="s">
        <v>360</v>
      </c>
      <c r="L348" s="55" t="s">
        <v>360</v>
      </c>
      <c r="M348" s="55" t="s">
        <v>172</v>
      </c>
      <c r="N348" s="55" t="s">
        <v>172</v>
      </c>
      <c r="O348" s="55" t="s">
        <v>284</v>
      </c>
      <c r="P348" s="55" t="s">
        <v>357</v>
      </c>
      <c r="Q348" s="55" t="s">
        <v>350</v>
      </c>
      <c r="R348" s="55">
        <v>5</v>
      </c>
      <c r="S348" s="74"/>
      <c r="T348" s="55" t="s">
        <v>962</v>
      </c>
      <c r="U348" s="73" t="s">
        <v>351</v>
      </c>
      <c r="V348" s="74">
        <v>44447</v>
      </c>
      <c r="W348" s="74">
        <v>44477</v>
      </c>
      <c r="X348" s="55">
        <v>10185689</v>
      </c>
      <c r="Y348" s="74" t="s">
        <v>132</v>
      </c>
      <c r="Z348" s="74"/>
      <c r="AB348" s="55" t="s">
        <v>132</v>
      </c>
      <c r="AC348" s="55" t="s">
        <v>132</v>
      </c>
    </row>
    <row r="349" spans="1:29" ht="13" x14ac:dyDescent="0.15">
      <c r="A349" s="72" t="str">
        <f t="shared" si="5"/>
        <v>Ofsted Social Care Provider Webpage</v>
      </c>
      <c r="B349" s="55">
        <v>1256061</v>
      </c>
      <c r="D349" s="55" t="s">
        <v>373</v>
      </c>
      <c r="E349" s="74">
        <v>42879</v>
      </c>
      <c r="F349" s="55" t="s">
        <v>344</v>
      </c>
      <c r="G349" s="55" t="s">
        <v>360</v>
      </c>
      <c r="H349" s="55" t="s">
        <v>360</v>
      </c>
      <c r="I349" s="55" t="s">
        <v>360</v>
      </c>
      <c r="J349" s="55" t="s">
        <v>360</v>
      </c>
      <c r="K349" s="55" t="s">
        <v>360</v>
      </c>
      <c r="L349" s="55" t="s">
        <v>360</v>
      </c>
      <c r="M349" s="55" t="s">
        <v>172</v>
      </c>
      <c r="N349" s="55" t="s">
        <v>172</v>
      </c>
      <c r="O349" s="55" t="s">
        <v>228</v>
      </c>
      <c r="P349" s="55" t="s">
        <v>459</v>
      </c>
      <c r="Q349" s="55" t="s">
        <v>350</v>
      </c>
      <c r="R349" s="55">
        <v>5</v>
      </c>
      <c r="S349" s="74"/>
      <c r="T349" s="55" t="s">
        <v>962</v>
      </c>
      <c r="U349" s="73" t="s">
        <v>351</v>
      </c>
      <c r="V349" s="74">
        <v>44362</v>
      </c>
      <c r="W349" s="74">
        <v>44399</v>
      </c>
      <c r="X349" s="55">
        <v>10186113</v>
      </c>
      <c r="Y349" s="74" t="s">
        <v>132</v>
      </c>
      <c r="Z349" s="74"/>
      <c r="AB349" s="55" t="s">
        <v>132</v>
      </c>
      <c r="AC349" s="55" t="s">
        <v>132</v>
      </c>
    </row>
    <row r="350" spans="1:29" ht="13" x14ac:dyDescent="0.15">
      <c r="A350" s="72" t="str">
        <f t="shared" si="5"/>
        <v>Ofsted Social Care Provider Webpage</v>
      </c>
      <c r="B350" s="55">
        <v>1256064</v>
      </c>
      <c r="D350" s="55" t="s">
        <v>693</v>
      </c>
      <c r="E350" s="74">
        <v>42816</v>
      </c>
      <c r="F350" s="55" t="s">
        <v>344</v>
      </c>
      <c r="G350" s="55" t="s">
        <v>992</v>
      </c>
      <c r="H350" s="55" t="s">
        <v>993</v>
      </c>
      <c r="I350" s="55" t="s">
        <v>354</v>
      </c>
      <c r="J350" s="55" t="s">
        <v>994</v>
      </c>
      <c r="K350" s="55" t="s">
        <v>255</v>
      </c>
      <c r="L350" s="55" t="s">
        <v>995</v>
      </c>
      <c r="M350" s="55" t="s">
        <v>136</v>
      </c>
      <c r="N350" s="55" t="s">
        <v>136</v>
      </c>
      <c r="O350" s="55" t="s">
        <v>255</v>
      </c>
      <c r="P350" s="55" t="s">
        <v>583</v>
      </c>
      <c r="Q350" s="55" t="s">
        <v>350</v>
      </c>
      <c r="R350" s="55">
        <v>66</v>
      </c>
      <c r="S350" s="74"/>
      <c r="T350" s="55" t="s">
        <v>992</v>
      </c>
      <c r="U350" s="73" t="s">
        <v>351</v>
      </c>
      <c r="V350" s="74">
        <v>44608</v>
      </c>
      <c r="W350" s="74">
        <v>44652</v>
      </c>
      <c r="X350" s="55">
        <v>10183255</v>
      </c>
      <c r="Y350" s="74" t="s">
        <v>132</v>
      </c>
      <c r="Z350" s="74"/>
      <c r="AB350" s="55" t="s">
        <v>132</v>
      </c>
      <c r="AC350" s="55" t="s">
        <v>132</v>
      </c>
    </row>
    <row r="351" spans="1:29" ht="13" x14ac:dyDescent="0.15">
      <c r="A351" s="72" t="str">
        <f t="shared" si="5"/>
        <v>Ofsted Social Care Provider Webpage</v>
      </c>
      <c r="B351" s="55">
        <v>1256134</v>
      </c>
      <c r="D351" s="55" t="s">
        <v>373</v>
      </c>
      <c r="E351" s="74">
        <v>42893</v>
      </c>
      <c r="F351" s="55" t="s">
        <v>344</v>
      </c>
      <c r="G351" s="55" t="s">
        <v>360</v>
      </c>
      <c r="H351" s="55" t="s">
        <v>360</v>
      </c>
      <c r="I351" s="55" t="s">
        <v>360</v>
      </c>
      <c r="J351" s="55" t="s">
        <v>360</v>
      </c>
      <c r="K351" s="55" t="s">
        <v>360</v>
      </c>
      <c r="L351" s="55" t="s">
        <v>360</v>
      </c>
      <c r="M351" s="55" t="s">
        <v>144</v>
      </c>
      <c r="N351" s="55" t="s">
        <v>144</v>
      </c>
      <c r="O351" s="55" t="s">
        <v>236</v>
      </c>
      <c r="P351" s="55" t="s">
        <v>996</v>
      </c>
      <c r="Q351" s="55" t="s">
        <v>350</v>
      </c>
      <c r="R351" s="55">
        <v>4</v>
      </c>
      <c r="S351" s="74"/>
      <c r="T351" s="55" t="s">
        <v>863</v>
      </c>
      <c r="U351" s="73" t="s">
        <v>351</v>
      </c>
      <c r="V351" s="74">
        <v>44608</v>
      </c>
      <c r="W351" s="74">
        <v>44655</v>
      </c>
      <c r="X351" s="55">
        <v>10186187</v>
      </c>
      <c r="Y351" s="74" t="s">
        <v>132</v>
      </c>
      <c r="Z351" s="74"/>
      <c r="AB351" s="55" t="s">
        <v>132</v>
      </c>
      <c r="AC351" s="55" t="s">
        <v>132</v>
      </c>
    </row>
    <row r="352" spans="1:29" ht="13" x14ac:dyDescent="0.15">
      <c r="A352" s="72" t="str">
        <f t="shared" si="5"/>
        <v>Ofsted Social Care Provider Webpage</v>
      </c>
      <c r="B352" s="55">
        <v>1256135</v>
      </c>
      <c r="D352" s="55" t="s">
        <v>373</v>
      </c>
      <c r="E352" s="74">
        <v>42879</v>
      </c>
      <c r="F352" s="55" t="s">
        <v>344</v>
      </c>
      <c r="G352" s="55" t="s">
        <v>360</v>
      </c>
      <c r="H352" s="55" t="s">
        <v>360</v>
      </c>
      <c r="I352" s="55" t="s">
        <v>360</v>
      </c>
      <c r="J352" s="55" t="s">
        <v>360</v>
      </c>
      <c r="K352" s="55" t="s">
        <v>360</v>
      </c>
      <c r="L352" s="55" t="s">
        <v>360</v>
      </c>
      <c r="M352" s="55" t="s">
        <v>142</v>
      </c>
      <c r="N352" s="55" t="s">
        <v>142</v>
      </c>
      <c r="O352" s="55" t="s">
        <v>262</v>
      </c>
      <c r="P352" s="55" t="s">
        <v>949</v>
      </c>
      <c r="Q352" s="55" t="s">
        <v>350</v>
      </c>
      <c r="R352" s="55">
        <v>3</v>
      </c>
      <c r="S352" s="74"/>
      <c r="T352" s="55" t="s">
        <v>962</v>
      </c>
      <c r="U352" s="73" t="s">
        <v>351</v>
      </c>
      <c r="V352" s="74">
        <v>44425</v>
      </c>
      <c r="W352" s="74">
        <v>44468</v>
      </c>
      <c r="X352" s="55">
        <v>10185643</v>
      </c>
      <c r="Y352" s="74" t="s">
        <v>130</v>
      </c>
      <c r="Z352" s="74"/>
      <c r="AB352" s="55" t="s">
        <v>130</v>
      </c>
      <c r="AC352" s="55" t="s">
        <v>130</v>
      </c>
    </row>
    <row r="353" spans="1:29" ht="13" x14ac:dyDescent="0.15">
      <c r="A353" s="72" t="str">
        <f t="shared" si="5"/>
        <v>Ofsted Social Care Provider Webpage</v>
      </c>
      <c r="B353" s="55">
        <v>1256367</v>
      </c>
      <c r="D353" s="55" t="s">
        <v>373</v>
      </c>
      <c r="E353" s="74">
        <v>42879</v>
      </c>
      <c r="F353" s="55" t="s">
        <v>344</v>
      </c>
      <c r="G353" s="55" t="s">
        <v>360</v>
      </c>
      <c r="H353" s="55" t="s">
        <v>360</v>
      </c>
      <c r="I353" s="55" t="s">
        <v>360</v>
      </c>
      <c r="J353" s="55" t="s">
        <v>360</v>
      </c>
      <c r="K353" s="55" t="s">
        <v>360</v>
      </c>
      <c r="L353" s="55" t="s">
        <v>360</v>
      </c>
      <c r="M353" s="55" t="s">
        <v>172</v>
      </c>
      <c r="N353" s="55" t="s">
        <v>172</v>
      </c>
      <c r="O353" s="55" t="s">
        <v>284</v>
      </c>
      <c r="P353" s="55" t="s">
        <v>985</v>
      </c>
      <c r="Q353" s="55" t="s">
        <v>350</v>
      </c>
      <c r="R353" s="55">
        <v>5</v>
      </c>
      <c r="S353" s="74"/>
      <c r="T353" s="55" t="s">
        <v>962</v>
      </c>
      <c r="U353" s="73" t="s">
        <v>351</v>
      </c>
      <c r="V353" s="74">
        <v>44384</v>
      </c>
      <c r="W353" s="74">
        <v>44414</v>
      </c>
      <c r="X353" s="55">
        <v>10185321</v>
      </c>
      <c r="Y353" s="74" t="s">
        <v>132</v>
      </c>
      <c r="Z353" s="74"/>
      <c r="AB353" s="55" t="s">
        <v>132</v>
      </c>
      <c r="AC353" s="55" t="s">
        <v>130</v>
      </c>
    </row>
    <row r="354" spans="1:29" ht="13" x14ac:dyDescent="0.15">
      <c r="A354" s="72" t="str">
        <f t="shared" si="5"/>
        <v>Ofsted Social Care Provider Webpage</v>
      </c>
      <c r="B354" s="55">
        <v>1256404</v>
      </c>
      <c r="D354" s="55" t="s">
        <v>373</v>
      </c>
      <c r="E354" s="74">
        <v>42879</v>
      </c>
      <c r="F354" s="55" t="s">
        <v>344</v>
      </c>
      <c r="G354" s="55" t="s">
        <v>360</v>
      </c>
      <c r="H354" s="55" t="s">
        <v>360</v>
      </c>
      <c r="I354" s="55" t="s">
        <v>360</v>
      </c>
      <c r="J354" s="55" t="s">
        <v>360</v>
      </c>
      <c r="K354" s="55" t="s">
        <v>360</v>
      </c>
      <c r="L354" s="55" t="s">
        <v>360</v>
      </c>
      <c r="M354" s="55" t="s">
        <v>172</v>
      </c>
      <c r="N354" s="55" t="s">
        <v>172</v>
      </c>
      <c r="O354" s="55" t="s">
        <v>235</v>
      </c>
      <c r="P354" s="55" t="s">
        <v>855</v>
      </c>
      <c r="Q354" s="55" t="s">
        <v>350</v>
      </c>
      <c r="R354" s="55">
        <v>5</v>
      </c>
      <c r="S354" s="74"/>
      <c r="T354" s="55" t="s">
        <v>962</v>
      </c>
      <c r="U354" s="73" t="s">
        <v>351</v>
      </c>
      <c r="V354" s="74">
        <v>44495</v>
      </c>
      <c r="W354" s="74">
        <v>44525</v>
      </c>
      <c r="X354" s="55">
        <v>10186532</v>
      </c>
      <c r="Y354" s="74" t="s">
        <v>132</v>
      </c>
      <c r="Z354" s="74"/>
      <c r="AB354" s="55" t="s">
        <v>132</v>
      </c>
      <c r="AC354" s="55" t="s">
        <v>140</v>
      </c>
    </row>
    <row r="355" spans="1:29" ht="13" x14ac:dyDescent="0.15">
      <c r="A355" s="72" t="str">
        <f t="shared" si="5"/>
        <v>Ofsted Social Care Provider Webpage</v>
      </c>
      <c r="B355" s="55">
        <v>1256417</v>
      </c>
      <c r="D355" s="55" t="s">
        <v>373</v>
      </c>
      <c r="E355" s="74">
        <v>42951</v>
      </c>
      <c r="F355" s="55" t="s">
        <v>344</v>
      </c>
      <c r="G355" s="55" t="s">
        <v>360</v>
      </c>
      <c r="H355" s="55" t="s">
        <v>360</v>
      </c>
      <c r="I355" s="55" t="s">
        <v>360</v>
      </c>
      <c r="J355" s="55" t="s">
        <v>360</v>
      </c>
      <c r="K355" s="55" t="s">
        <v>360</v>
      </c>
      <c r="L355" s="55" t="s">
        <v>360</v>
      </c>
      <c r="M355" s="55" t="s">
        <v>150</v>
      </c>
      <c r="N355" s="55" t="s">
        <v>150</v>
      </c>
      <c r="O355" s="55" t="s">
        <v>203</v>
      </c>
      <c r="P355" s="55" t="s">
        <v>800</v>
      </c>
      <c r="Q355" s="55" t="s">
        <v>350</v>
      </c>
      <c r="R355" s="55">
        <v>7</v>
      </c>
      <c r="S355" s="74"/>
      <c r="T355" s="55" t="s">
        <v>483</v>
      </c>
      <c r="U355" s="73" t="s">
        <v>351</v>
      </c>
      <c r="V355" s="74">
        <v>44636</v>
      </c>
      <c r="W355" s="74">
        <v>44678</v>
      </c>
      <c r="X355" s="55">
        <v>10186870</v>
      </c>
      <c r="Y355" s="74" t="s">
        <v>140</v>
      </c>
      <c r="Z355" s="74"/>
      <c r="AB355" s="55" t="s">
        <v>132</v>
      </c>
      <c r="AC355" s="55" t="s">
        <v>140</v>
      </c>
    </row>
    <row r="356" spans="1:29" ht="13" x14ac:dyDescent="0.15">
      <c r="A356" s="72" t="str">
        <f t="shared" si="5"/>
        <v>Ofsted Social Care Provider Webpage</v>
      </c>
      <c r="B356" s="55">
        <v>1256452</v>
      </c>
      <c r="D356" s="55" t="s">
        <v>373</v>
      </c>
      <c r="E356" s="74">
        <v>42929</v>
      </c>
      <c r="F356" s="55" t="s">
        <v>344</v>
      </c>
      <c r="G356" s="55" t="s">
        <v>360</v>
      </c>
      <c r="H356" s="55" t="s">
        <v>360</v>
      </c>
      <c r="I356" s="55" t="s">
        <v>360</v>
      </c>
      <c r="J356" s="55" t="s">
        <v>360</v>
      </c>
      <c r="K356" s="55" t="s">
        <v>360</v>
      </c>
      <c r="L356" s="55" t="s">
        <v>360</v>
      </c>
      <c r="M356" s="55" t="s">
        <v>138</v>
      </c>
      <c r="N356" s="55" t="s">
        <v>138</v>
      </c>
      <c r="O356" s="55" t="s">
        <v>183</v>
      </c>
      <c r="P356" s="55" t="s">
        <v>907</v>
      </c>
      <c r="Q356" s="55" t="s">
        <v>350</v>
      </c>
      <c r="R356" s="55">
        <v>5</v>
      </c>
      <c r="S356" s="74"/>
      <c r="T356" s="55" t="s">
        <v>997</v>
      </c>
      <c r="U356" s="73" t="s">
        <v>351</v>
      </c>
      <c r="V356" s="74">
        <v>44431</v>
      </c>
      <c r="W356" s="74">
        <v>44455</v>
      </c>
      <c r="X356" s="55">
        <v>10186682</v>
      </c>
      <c r="Y356" s="74" t="s">
        <v>132</v>
      </c>
      <c r="Z356" s="74"/>
      <c r="AB356" s="55" t="s">
        <v>132</v>
      </c>
      <c r="AC356" s="55" t="s">
        <v>132</v>
      </c>
    </row>
    <row r="357" spans="1:29" ht="13" x14ac:dyDescent="0.15">
      <c r="A357" s="72" t="str">
        <f t="shared" si="5"/>
        <v>Ofsted Social Care Provider Webpage</v>
      </c>
      <c r="B357" s="55">
        <v>1256500</v>
      </c>
      <c r="D357" s="55" t="s">
        <v>373</v>
      </c>
      <c r="E357" s="74">
        <v>42897</v>
      </c>
      <c r="F357" s="55" t="s">
        <v>344</v>
      </c>
      <c r="G357" s="55" t="s">
        <v>360</v>
      </c>
      <c r="H357" s="55" t="s">
        <v>360</v>
      </c>
      <c r="I357" s="55" t="s">
        <v>360</v>
      </c>
      <c r="J357" s="55" t="s">
        <v>360</v>
      </c>
      <c r="K357" s="55" t="s">
        <v>360</v>
      </c>
      <c r="L357" s="55" t="s">
        <v>360</v>
      </c>
      <c r="M357" s="55" t="s">
        <v>378</v>
      </c>
      <c r="N357" s="55" t="s">
        <v>134</v>
      </c>
      <c r="O357" s="55" t="s">
        <v>232</v>
      </c>
      <c r="P357" s="55" t="s">
        <v>595</v>
      </c>
      <c r="Q357" s="55" t="s">
        <v>380</v>
      </c>
      <c r="R357" s="55">
        <v>6</v>
      </c>
      <c r="S357" s="74" t="s">
        <v>332</v>
      </c>
      <c r="T357" s="55" t="s">
        <v>998</v>
      </c>
      <c r="U357" s="73" t="s">
        <v>351</v>
      </c>
      <c r="V357" s="74">
        <v>44511</v>
      </c>
      <c r="W357" s="74">
        <v>44547</v>
      </c>
      <c r="X357" s="55">
        <v>10185458</v>
      </c>
      <c r="Y357" s="74" t="s">
        <v>140</v>
      </c>
      <c r="Z357" s="74"/>
      <c r="AB357" s="55" t="s">
        <v>140</v>
      </c>
      <c r="AC357" s="55" t="s">
        <v>132</v>
      </c>
    </row>
    <row r="358" spans="1:29" ht="13" x14ac:dyDescent="0.15">
      <c r="A358" s="72" t="str">
        <f t="shared" si="5"/>
        <v>Ofsted Social Care Provider Webpage</v>
      </c>
      <c r="B358" s="55">
        <v>1256563</v>
      </c>
      <c r="D358" s="55" t="s">
        <v>389</v>
      </c>
      <c r="E358" s="74">
        <v>42985</v>
      </c>
      <c r="F358" s="55" t="s">
        <v>344</v>
      </c>
      <c r="G358" s="55" t="s">
        <v>999</v>
      </c>
      <c r="H358" s="55" t="s">
        <v>1000</v>
      </c>
      <c r="I358" s="55" t="s">
        <v>1001</v>
      </c>
      <c r="J358" s="55" t="s">
        <v>1002</v>
      </c>
      <c r="L358" s="55" t="s">
        <v>1003</v>
      </c>
      <c r="M358" s="55" t="s">
        <v>150</v>
      </c>
      <c r="N358" s="55" t="s">
        <v>150</v>
      </c>
      <c r="O358" s="55" t="s">
        <v>203</v>
      </c>
      <c r="P358" s="55" t="s">
        <v>563</v>
      </c>
      <c r="Q358" s="55" t="s">
        <v>350</v>
      </c>
      <c r="R358" s="55"/>
      <c r="S358" s="74"/>
      <c r="T358" s="55" t="s">
        <v>1004</v>
      </c>
      <c r="U358" s="73" t="s">
        <v>351</v>
      </c>
      <c r="V358" s="74">
        <v>43311</v>
      </c>
      <c r="W358" s="74">
        <v>43340</v>
      </c>
      <c r="X358" s="55">
        <v>10049196</v>
      </c>
      <c r="Y358" s="74" t="s">
        <v>132</v>
      </c>
      <c r="Z358" s="74"/>
      <c r="AB358" s="55" t="s">
        <v>132</v>
      </c>
      <c r="AC358" s="55" t="s">
        <v>130</v>
      </c>
    </row>
    <row r="359" spans="1:29" ht="13" x14ac:dyDescent="0.15">
      <c r="A359" s="72" t="str">
        <f t="shared" si="5"/>
        <v>Ofsted Social Care Provider Webpage</v>
      </c>
      <c r="B359" s="55">
        <v>1256608</v>
      </c>
      <c r="D359" s="55" t="s">
        <v>373</v>
      </c>
      <c r="E359" s="74">
        <v>42920</v>
      </c>
      <c r="F359" s="55" t="s">
        <v>344</v>
      </c>
      <c r="G359" s="55" t="s">
        <v>360</v>
      </c>
      <c r="H359" s="55" t="s">
        <v>360</v>
      </c>
      <c r="I359" s="55" t="s">
        <v>360</v>
      </c>
      <c r="J359" s="55" t="s">
        <v>360</v>
      </c>
      <c r="K359" s="55" t="s">
        <v>360</v>
      </c>
      <c r="L359" s="55" t="s">
        <v>360</v>
      </c>
      <c r="M359" s="55" t="s">
        <v>378</v>
      </c>
      <c r="N359" s="55" t="s">
        <v>134</v>
      </c>
      <c r="O359" s="55" t="s">
        <v>175</v>
      </c>
      <c r="P359" s="55" t="s">
        <v>932</v>
      </c>
      <c r="Q359" s="55" t="s">
        <v>350</v>
      </c>
      <c r="R359" s="55">
        <v>3</v>
      </c>
      <c r="S359" s="74"/>
      <c r="T359" s="55" t="s">
        <v>933</v>
      </c>
      <c r="U359" s="73" t="s">
        <v>351</v>
      </c>
      <c r="V359" s="74">
        <v>44530</v>
      </c>
      <c r="W359" s="74">
        <v>44582</v>
      </c>
      <c r="X359" s="55">
        <v>10187243</v>
      </c>
      <c r="Y359" s="74" t="s">
        <v>140</v>
      </c>
      <c r="Z359" s="74"/>
      <c r="AB359" s="55" t="s">
        <v>140</v>
      </c>
      <c r="AC359" s="55" t="s">
        <v>140</v>
      </c>
    </row>
    <row r="360" spans="1:29" ht="13" x14ac:dyDescent="0.15">
      <c r="A360" s="72" t="str">
        <f t="shared" si="5"/>
        <v>Ofsted Social Care Provider Webpage</v>
      </c>
      <c r="B360" s="55">
        <v>1256610</v>
      </c>
      <c r="D360" s="55" t="s">
        <v>373</v>
      </c>
      <c r="E360" s="74">
        <v>42879</v>
      </c>
      <c r="F360" s="55" t="s">
        <v>344</v>
      </c>
      <c r="G360" s="55" t="s">
        <v>360</v>
      </c>
      <c r="H360" s="55" t="s">
        <v>360</v>
      </c>
      <c r="I360" s="55" t="s">
        <v>360</v>
      </c>
      <c r="J360" s="55" t="s">
        <v>360</v>
      </c>
      <c r="K360" s="55" t="s">
        <v>360</v>
      </c>
      <c r="L360" s="55" t="s">
        <v>360</v>
      </c>
      <c r="M360" s="55" t="s">
        <v>172</v>
      </c>
      <c r="N360" s="55" t="s">
        <v>172</v>
      </c>
      <c r="O360" s="55" t="s">
        <v>234</v>
      </c>
      <c r="P360" s="55" t="s">
        <v>965</v>
      </c>
      <c r="Q360" s="55" t="s">
        <v>350</v>
      </c>
      <c r="R360" s="55">
        <v>3</v>
      </c>
      <c r="S360" s="74"/>
      <c r="T360" s="55" t="s">
        <v>962</v>
      </c>
      <c r="U360" s="73" t="s">
        <v>351</v>
      </c>
      <c r="V360" s="74">
        <v>44460</v>
      </c>
      <c r="W360" s="74">
        <v>44494</v>
      </c>
      <c r="X360" s="55">
        <v>10186371</v>
      </c>
      <c r="Y360" s="74" t="s">
        <v>132</v>
      </c>
      <c r="Z360" s="74"/>
      <c r="AB360" s="55" t="s">
        <v>132</v>
      </c>
      <c r="AC360" s="55" t="s">
        <v>132</v>
      </c>
    </row>
    <row r="361" spans="1:29" ht="13" x14ac:dyDescent="0.15">
      <c r="A361" s="72" t="str">
        <f t="shared" si="5"/>
        <v>Ofsted Social Care Provider Webpage</v>
      </c>
      <c r="B361" s="55">
        <v>1256638</v>
      </c>
      <c r="D361" s="55" t="s">
        <v>373</v>
      </c>
      <c r="E361" s="74">
        <v>43032</v>
      </c>
      <c r="F361" s="55" t="s">
        <v>344</v>
      </c>
      <c r="G361" s="55" t="s">
        <v>360</v>
      </c>
      <c r="H361" s="55" t="s">
        <v>360</v>
      </c>
      <c r="I361" s="55" t="s">
        <v>360</v>
      </c>
      <c r="J361" s="55" t="s">
        <v>360</v>
      </c>
      <c r="K361" s="55" t="s">
        <v>360</v>
      </c>
      <c r="L361" s="55" t="s">
        <v>360</v>
      </c>
      <c r="M361" s="55" t="s">
        <v>142</v>
      </c>
      <c r="N361" s="55" t="s">
        <v>142</v>
      </c>
      <c r="O361" s="55" t="s">
        <v>262</v>
      </c>
      <c r="P361" s="55" t="s">
        <v>916</v>
      </c>
      <c r="Q361" s="55" t="s">
        <v>350</v>
      </c>
      <c r="R361" s="55">
        <v>3</v>
      </c>
      <c r="S361" s="74"/>
      <c r="T361" s="55" t="s">
        <v>504</v>
      </c>
      <c r="U361" s="73" t="s">
        <v>351</v>
      </c>
      <c r="V361" s="74">
        <v>44522</v>
      </c>
      <c r="W361" s="74">
        <v>44572</v>
      </c>
      <c r="X361" s="55">
        <v>10186658</v>
      </c>
      <c r="Y361" s="74" t="s">
        <v>132</v>
      </c>
      <c r="Z361" s="74"/>
      <c r="AB361" s="55" t="s">
        <v>132</v>
      </c>
      <c r="AC361" s="55" t="s">
        <v>132</v>
      </c>
    </row>
    <row r="362" spans="1:29" ht="13" x14ac:dyDescent="0.15">
      <c r="A362" s="72" t="str">
        <f t="shared" si="5"/>
        <v>Ofsted Social Care Provider Webpage</v>
      </c>
      <c r="B362" s="55">
        <v>1256639</v>
      </c>
      <c r="D362" s="55" t="s">
        <v>373</v>
      </c>
      <c r="E362" s="74">
        <v>42950</v>
      </c>
      <c r="F362" s="55" t="s">
        <v>344</v>
      </c>
      <c r="G362" s="55" t="s">
        <v>360</v>
      </c>
      <c r="H362" s="55" t="s">
        <v>360</v>
      </c>
      <c r="I362" s="55" t="s">
        <v>360</v>
      </c>
      <c r="J362" s="55" t="s">
        <v>360</v>
      </c>
      <c r="K362" s="55" t="s">
        <v>360</v>
      </c>
      <c r="L362" s="55" t="s">
        <v>360</v>
      </c>
      <c r="M362" s="55" t="s">
        <v>136</v>
      </c>
      <c r="N362" s="55" t="s">
        <v>136</v>
      </c>
      <c r="O362" s="55" t="s">
        <v>185</v>
      </c>
      <c r="P362" s="55" t="s">
        <v>898</v>
      </c>
      <c r="Q362" s="55" t="s">
        <v>350</v>
      </c>
      <c r="R362" s="55">
        <v>4</v>
      </c>
      <c r="S362" s="74"/>
      <c r="T362" s="55" t="s">
        <v>768</v>
      </c>
      <c r="U362" s="73" t="s">
        <v>351</v>
      </c>
      <c r="V362" s="74">
        <v>44592</v>
      </c>
      <c r="W362" s="74">
        <v>44634</v>
      </c>
      <c r="X362" s="55">
        <v>10185868</v>
      </c>
      <c r="Y362" s="74" t="s">
        <v>130</v>
      </c>
      <c r="Z362" s="74"/>
      <c r="AB362" s="55" t="s">
        <v>130</v>
      </c>
      <c r="AC362" s="55" t="s">
        <v>130</v>
      </c>
    </row>
    <row r="363" spans="1:29" ht="13" x14ac:dyDescent="0.15">
      <c r="A363" s="72" t="str">
        <f t="shared" si="5"/>
        <v>Ofsted Social Care Provider Webpage</v>
      </c>
      <c r="B363" s="55">
        <v>1256658</v>
      </c>
      <c r="D363" s="55" t="s">
        <v>373</v>
      </c>
      <c r="E363" s="74">
        <v>42920</v>
      </c>
      <c r="F363" s="55" t="s">
        <v>344</v>
      </c>
      <c r="G363" s="55" t="s">
        <v>360</v>
      </c>
      <c r="H363" s="55" t="s">
        <v>360</v>
      </c>
      <c r="I363" s="55" t="s">
        <v>360</v>
      </c>
      <c r="J363" s="55" t="s">
        <v>360</v>
      </c>
      <c r="K363" s="55" t="s">
        <v>360</v>
      </c>
      <c r="L363" s="55" t="s">
        <v>360</v>
      </c>
      <c r="M363" s="55" t="s">
        <v>144</v>
      </c>
      <c r="N363" s="55" t="s">
        <v>144</v>
      </c>
      <c r="O363" s="55" t="s">
        <v>188</v>
      </c>
      <c r="P363" s="55" t="s">
        <v>188</v>
      </c>
      <c r="Q363" s="55" t="s">
        <v>350</v>
      </c>
      <c r="R363" s="55">
        <v>2</v>
      </c>
      <c r="S363" s="74"/>
      <c r="T363" s="55" t="s">
        <v>729</v>
      </c>
      <c r="U363" s="73" t="s">
        <v>351</v>
      </c>
      <c r="V363" s="74">
        <v>44488</v>
      </c>
      <c r="W363" s="74">
        <v>44518</v>
      </c>
      <c r="X363" s="55">
        <v>10187179</v>
      </c>
      <c r="Y363" s="74" t="s">
        <v>130</v>
      </c>
      <c r="Z363" s="74"/>
      <c r="AB363" s="55" t="s">
        <v>130</v>
      </c>
      <c r="AC363" s="55" t="s">
        <v>130</v>
      </c>
    </row>
    <row r="364" spans="1:29" ht="13" x14ac:dyDescent="0.15">
      <c r="A364" s="72" t="str">
        <f t="shared" si="5"/>
        <v>Ofsted Social Care Provider Webpage</v>
      </c>
      <c r="B364" s="55">
        <v>1256660</v>
      </c>
      <c r="D364" s="55" t="s">
        <v>373</v>
      </c>
      <c r="E364" s="74">
        <v>43258</v>
      </c>
      <c r="F364" s="55" t="s">
        <v>344</v>
      </c>
      <c r="G364" s="55" t="s">
        <v>360</v>
      </c>
      <c r="H364" s="55" t="s">
        <v>360</v>
      </c>
      <c r="I364" s="55" t="s">
        <v>360</v>
      </c>
      <c r="J364" s="55" t="s">
        <v>360</v>
      </c>
      <c r="K364" s="55" t="s">
        <v>360</v>
      </c>
      <c r="L364" s="55" t="s">
        <v>360</v>
      </c>
      <c r="M364" s="55" t="s">
        <v>138</v>
      </c>
      <c r="N364" s="55" t="s">
        <v>138</v>
      </c>
      <c r="O364" s="55" t="s">
        <v>259</v>
      </c>
      <c r="P364" s="55" t="s">
        <v>637</v>
      </c>
      <c r="Q364" s="55" t="s">
        <v>350</v>
      </c>
      <c r="R364" s="55">
        <v>5</v>
      </c>
      <c r="S364" s="74"/>
      <c r="T364" s="55" t="s">
        <v>644</v>
      </c>
      <c r="U364" s="73" t="s">
        <v>351</v>
      </c>
      <c r="V364" s="74">
        <v>44350</v>
      </c>
      <c r="W364" s="74">
        <v>44376</v>
      </c>
      <c r="X364" s="55">
        <v>10194130</v>
      </c>
      <c r="Y364" s="74" t="s">
        <v>130</v>
      </c>
      <c r="Z364" s="74"/>
      <c r="AB364" s="55" t="s">
        <v>130</v>
      </c>
      <c r="AC364" s="55" t="s">
        <v>130</v>
      </c>
    </row>
    <row r="365" spans="1:29" ht="13" x14ac:dyDescent="0.15">
      <c r="A365" s="72" t="str">
        <f t="shared" si="5"/>
        <v>Ofsted Social Care Provider Webpage</v>
      </c>
      <c r="B365" s="55">
        <v>1256770</v>
      </c>
      <c r="D365" s="55" t="s">
        <v>451</v>
      </c>
      <c r="E365" s="74">
        <v>43185</v>
      </c>
      <c r="F365" s="55" t="s">
        <v>344</v>
      </c>
      <c r="G365" s="55" t="s">
        <v>1005</v>
      </c>
      <c r="H365" s="55" t="s">
        <v>1006</v>
      </c>
      <c r="I365" s="55" t="s">
        <v>354</v>
      </c>
      <c r="J365" s="55" t="s">
        <v>215</v>
      </c>
      <c r="L365" s="55" t="s">
        <v>1007</v>
      </c>
      <c r="M365" s="55" t="s">
        <v>144</v>
      </c>
      <c r="N365" s="55" t="s">
        <v>144</v>
      </c>
      <c r="O365" s="55" t="s">
        <v>215</v>
      </c>
      <c r="P365" s="55" t="s">
        <v>1008</v>
      </c>
      <c r="Q365" s="55" t="s">
        <v>350</v>
      </c>
      <c r="R365" s="55">
        <v>3</v>
      </c>
      <c r="S365" s="74"/>
      <c r="T365" s="55" t="s">
        <v>1009</v>
      </c>
      <c r="U365" s="73" t="s">
        <v>351</v>
      </c>
      <c r="V365" s="74">
        <v>43516</v>
      </c>
      <c r="W365" s="74">
        <v>43564</v>
      </c>
      <c r="X365" s="55">
        <v>10056255</v>
      </c>
      <c r="Y365" s="74" t="s">
        <v>132</v>
      </c>
      <c r="Z365" s="74"/>
      <c r="AB365" s="55" t="s">
        <v>132</v>
      </c>
      <c r="AC365" s="55" t="s">
        <v>132</v>
      </c>
    </row>
    <row r="366" spans="1:29" ht="13" x14ac:dyDescent="0.15">
      <c r="A366" s="72" t="str">
        <f t="shared" si="5"/>
        <v>Ofsted Social Care Provider Webpage</v>
      </c>
      <c r="B366" s="55">
        <v>1256771</v>
      </c>
      <c r="D366" s="55" t="s">
        <v>373</v>
      </c>
      <c r="E366" s="74">
        <v>42909</v>
      </c>
      <c r="F366" s="55" t="s">
        <v>344</v>
      </c>
      <c r="G366" s="55" t="s">
        <v>360</v>
      </c>
      <c r="H366" s="55" t="s">
        <v>360</v>
      </c>
      <c r="I366" s="55" t="s">
        <v>360</v>
      </c>
      <c r="J366" s="55" t="s">
        <v>360</v>
      </c>
      <c r="K366" s="55" t="s">
        <v>360</v>
      </c>
      <c r="L366" s="55" t="s">
        <v>360</v>
      </c>
      <c r="M366" s="55" t="s">
        <v>136</v>
      </c>
      <c r="N366" s="55" t="s">
        <v>136</v>
      </c>
      <c r="O366" s="55" t="s">
        <v>174</v>
      </c>
      <c r="P366" s="55" t="s">
        <v>1010</v>
      </c>
      <c r="Q366" s="55" t="s">
        <v>350</v>
      </c>
      <c r="R366" s="55">
        <v>3</v>
      </c>
      <c r="S366" s="74"/>
      <c r="T366" s="55" t="s">
        <v>858</v>
      </c>
      <c r="U366" s="73" t="s">
        <v>351</v>
      </c>
      <c r="V366" s="74">
        <v>44474</v>
      </c>
      <c r="W366" s="74">
        <v>44510</v>
      </c>
      <c r="X366" s="55">
        <v>10187590</v>
      </c>
      <c r="Y366" s="74" t="s">
        <v>140</v>
      </c>
      <c r="Z366" s="74"/>
      <c r="AB366" s="55" t="s">
        <v>140</v>
      </c>
      <c r="AC366" s="55" t="s">
        <v>140</v>
      </c>
    </row>
    <row r="367" spans="1:29" ht="13" x14ac:dyDescent="0.15">
      <c r="A367" s="72" t="str">
        <f t="shared" si="5"/>
        <v>Ofsted Social Care Provider Webpage</v>
      </c>
      <c r="B367" s="55">
        <v>1256795</v>
      </c>
      <c r="D367" s="55" t="s">
        <v>373</v>
      </c>
      <c r="E367" s="74">
        <v>42916</v>
      </c>
      <c r="F367" s="55" t="s">
        <v>344</v>
      </c>
      <c r="G367" s="55" t="s">
        <v>360</v>
      </c>
      <c r="H367" s="55" t="s">
        <v>360</v>
      </c>
      <c r="I367" s="55" t="s">
        <v>360</v>
      </c>
      <c r="J367" s="55" t="s">
        <v>360</v>
      </c>
      <c r="K367" s="55" t="s">
        <v>360</v>
      </c>
      <c r="L367" s="55" t="s">
        <v>360</v>
      </c>
      <c r="M367" s="55" t="s">
        <v>378</v>
      </c>
      <c r="N367" s="55" t="s">
        <v>134</v>
      </c>
      <c r="O367" s="55" t="s">
        <v>206</v>
      </c>
      <c r="P367" s="55" t="s">
        <v>760</v>
      </c>
      <c r="Q367" s="55" t="s">
        <v>350</v>
      </c>
      <c r="R367" s="55">
        <v>4</v>
      </c>
      <c r="S367" s="74"/>
      <c r="T367" s="55" t="s">
        <v>489</v>
      </c>
      <c r="U367" s="73" t="s">
        <v>351</v>
      </c>
      <c r="V367" s="74">
        <v>43893</v>
      </c>
      <c r="W367" s="74">
        <v>43917</v>
      </c>
      <c r="X367" s="55">
        <v>10096650</v>
      </c>
      <c r="Y367" s="74" t="s">
        <v>132</v>
      </c>
      <c r="Z367" s="74"/>
      <c r="AB367" s="55" t="s">
        <v>132</v>
      </c>
      <c r="AC367" s="55" t="s">
        <v>132</v>
      </c>
    </row>
    <row r="368" spans="1:29" ht="13" x14ac:dyDescent="0.15">
      <c r="A368" s="72" t="str">
        <f t="shared" si="5"/>
        <v>Ofsted Social Care Provider Webpage</v>
      </c>
      <c r="B368" s="55">
        <v>1256904</v>
      </c>
      <c r="D368" s="55" t="s">
        <v>373</v>
      </c>
      <c r="E368" s="74">
        <v>42848</v>
      </c>
      <c r="F368" s="55" t="s">
        <v>344</v>
      </c>
      <c r="G368" s="55" t="s">
        <v>360</v>
      </c>
      <c r="H368" s="55" t="s">
        <v>360</v>
      </c>
      <c r="I368" s="55" t="s">
        <v>360</v>
      </c>
      <c r="J368" s="55" t="s">
        <v>360</v>
      </c>
      <c r="K368" s="55" t="s">
        <v>360</v>
      </c>
      <c r="L368" s="55" t="s">
        <v>360</v>
      </c>
      <c r="M368" s="55" t="s">
        <v>144</v>
      </c>
      <c r="N368" s="55" t="s">
        <v>144</v>
      </c>
      <c r="O368" s="55" t="s">
        <v>209</v>
      </c>
      <c r="P368" s="55" t="s">
        <v>561</v>
      </c>
      <c r="Q368" s="55" t="s">
        <v>350</v>
      </c>
      <c r="R368" s="55">
        <v>3</v>
      </c>
      <c r="S368" s="74"/>
      <c r="T368" s="55" t="s">
        <v>490</v>
      </c>
      <c r="U368" s="73" t="s">
        <v>351</v>
      </c>
      <c r="V368" s="74">
        <v>44334</v>
      </c>
      <c r="W368" s="74">
        <v>44357</v>
      </c>
      <c r="X368" s="55">
        <v>10185714</v>
      </c>
      <c r="Y368" s="74" t="s">
        <v>132</v>
      </c>
      <c r="Z368" s="74"/>
      <c r="AB368" s="55" t="s">
        <v>132</v>
      </c>
      <c r="AC368" s="55" t="s">
        <v>132</v>
      </c>
    </row>
    <row r="369" spans="1:29" ht="13" x14ac:dyDescent="0.15">
      <c r="A369" s="72" t="str">
        <f t="shared" si="5"/>
        <v>Ofsted Social Care Provider Webpage</v>
      </c>
      <c r="B369" s="55">
        <v>1256973</v>
      </c>
      <c r="D369" s="55" t="s">
        <v>373</v>
      </c>
      <c r="E369" s="74">
        <v>42951</v>
      </c>
      <c r="F369" s="55" t="s">
        <v>344</v>
      </c>
      <c r="G369" s="55" t="s">
        <v>360</v>
      </c>
      <c r="H369" s="55" t="s">
        <v>360</v>
      </c>
      <c r="I369" s="55" t="s">
        <v>360</v>
      </c>
      <c r="J369" s="55" t="s">
        <v>360</v>
      </c>
      <c r="K369" s="55" t="s">
        <v>360</v>
      </c>
      <c r="L369" s="55" t="s">
        <v>360</v>
      </c>
      <c r="M369" s="55" t="s">
        <v>150</v>
      </c>
      <c r="N369" s="55" t="s">
        <v>150</v>
      </c>
      <c r="O369" s="55" t="s">
        <v>268</v>
      </c>
      <c r="P369" s="55" t="s">
        <v>395</v>
      </c>
      <c r="Q369" s="55" t="s">
        <v>350</v>
      </c>
      <c r="R369" s="55">
        <v>6</v>
      </c>
      <c r="S369" s="74"/>
      <c r="T369" s="55" t="s">
        <v>1011</v>
      </c>
      <c r="U369" s="73" t="s">
        <v>351</v>
      </c>
      <c r="V369" s="74">
        <v>44431</v>
      </c>
      <c r="W369" s="74">
        <v>44462</v>
      </c>
      <c r="X369" s="55">
        <v>10187133</v>
      </c>
      <c r="Y369" s="74" t="s">
        <v>132</v>
      </c>
      <c r="Z369" s="74"/>
      <c r="AB369" s="55" t="s">
        <v>132</v>
      </c>
      <c r="AC369" s="55" t="s">
        <v>130</v>
      </c>
    </row>
    <row r="370" spans="1:29" ht="13" x14ac:dyDescent="0.15">
      <c r="A370" s="72" t="str">
        <f t="shared" si="5"/>
        <v>Ofsted Social Care Provider Webpage</v>
      </c>
      <c r="B370" s="55">
        <v>1257013</v>
      </c>
      <c r="D370" s="55" t="s">
        <v>373</v>
      </c>
      <c r="E370" s="74">
        <v>42936</v>
      </c>
      <c r="F370" s="55" t="s">
        <v>344</v>
      </c>
      <c r="G370" s="55" t="s">
        <v>360</v>
      </c>
      <c r="H370" s="55" t="s">
        <v>360</v>
      </c>
      <c r="I370" s="55" t="s">
        <v>360</v>
      </c>
      <c r="J370" s="55" t="s">
        <v>360</v>
      </c>
      <c r="K370" s="55" t="s">
        <v>360</v>
      </c>
      <c r="L370" s="55" t="s">
        <v>360</v>
      </c>
      <c r="M370" s="55" t="s">
        <v>172</v>
      </c>
      <c r="N370" s="55" t="s">
        <v>172</v>
      </c>
      <c r="O370" s="55" t="s">
        <v>234</v>
      </c>
      <c r="P370" s="55" t="s">
        <v>965</v>
      </c>
      <c r="Q370" s="55" t="s">
        <v>350</v>
      </c>
      <c r="R370" s="55">
        <v>6</v>
      </c>
      <c r="S370" s="74"/>
      <c r="T370" s="55" t="s">
        <v>517</v>
      </c>
      <c r="U370" s="73" t="s">
        <v>351</v>
      </c>
      <c r="V370" s="74">
        <v>44363</v>
      </c>
      <c r="W370" s="74">
        <v>44400</v>
      </c>
      <c r="X370" s="55">
        <v>10186521</v>
      </c>
      <c r="Y370" s="74" t="s">
        <v>132</v>
      </c>
      <c r="Z370" s="74"/>
      <c r="AB370" s="55" t="s">
        <v>132</v>
      </c>
      <c r="AC370" s="55" t="s">
        <v>132</v>
      </c>
    </row>
    <row r="371" spans="1:29" ht="13" x14ac:dyDescent="0.15">
      <c r="A371" s="72" t="str">
        <f t="shared" si="5"/>
        <v>Ofsted Social Care Provider Webpage</v>
      </c>
      <c r="B371" s="55">
        <v>1257022</v>
      </c>
      <c r="D371" s="55" t="s">
        <v>373</v>
      </c>
      <c r="E371" s="74">
        <v>42941</v>
      </c>
      <c r="F371" s="55" t="s">
        <v>344</v>
      </c>
      <c r="G371" s="55" t="s">
        <v>360</v>
      </c>
      <c r="H371" s="55" t="s">
        <v>360</v>
      </c>
      <c r="I371" s="55" t="s">
        <v>360</v>
      </c>
      <c r="J371" s="55" t="s">
        <v>360</v>
      </c>
      <c r="K371" s="55" t="s">
        <v>360</v>
      </c>
      <c r="L371" s="55" t="s">
        <v>360</v>
      </c>
      <c r="M371" s="55" t="s">
        <v>129</v>
      </c>
      <c r="N371" s="55" t="s">
        <v>129</v>
      </c>
      <c r="O371" s="55" t="s">
        <v>194</v>
      </c>
      <c r="P371" s="55" t="s">
        <v>1012</v>
      </c>
      <c r="Q371" s="55" t="s">
        <v>350</v>
      </c>
      <c r="R371" s="55">
        <v>6</v>
      </c>
      <c r="S371" s="74"/>
      <c r="T371" s="55" t="s">
        <v>1013</v>
      </c>
      <c r="U371" s="73" t="s">
        <v>351</v>
      </c>
      <c r="V371" s="74">
        <v>44328</v>
      </c>
      <c r="W371" s="74">
        <v>44358</v>
      </c>
      <c r="X371" s="55">
        <v>10187011</v>
      </c>
      <c r="Y371" s="74" t="s">
        <v>132</v>
      </c>
      <c r="Z371" s="74"/>
      <c r="AB371" s="55" t="s">
        <v>132</v>
      </c>
      <c r="AC371" s="55" t="s">
        <v>132</v>
      </c>
    </row>
    <row r="372" spans="1:29" ht="13" x14ac:dyDescent="0.15">
      <c r="A372" s="72" t="str">
        <f t="shared" si="5"/>
        <v>Ofsted Social Care Provider Webpage</v>
      </c>
      <c r="B372" s="55">
        <v>1257065</v>
      </c>
      <c r="D372" s="55" t="s">
        <v>373</v>
      </c>
      <c r="E372" s="74">
        <v>42908</v>
      </c>
      <c r="F372" s="55" t="s">
        <v>344</v>
      </c>
      <c r="G372" s="55" t="s">
        <v>360</v>
      </c>
      <c r="H372" s="55" t="s">
        <v>360</v>
      </c>
      <c r="I372" s="55" t="s">
        <v>360</v>
      </c>
      <c r="J372" s="55" t="s">
        <v>360</v>
      </c>
      <c r="K372" s="55" t="s">
        <v>360</v>
      </c>
      <c r="L372" s="55" t="s">
        <v>360</v>
      </c>
      <c r="M372" s="55" t="s">
        <v>150</v>
      </c>
      <c r="N372" s="55" t="s">
        <v>150</v>
      </c>
      <c r="O372" s="55" t="s">
        <v>190</v>
      </c>
      <c r="P372" s="55" t="s">
        <v>371</v>
      </c>
      <c r="Q372" s="55" t="s">
        <v>380</v>
      </c>
      <c r="R372" s="55">
        <v>4</v>
      </c>
      <c r="S372" s="74"/>
      <c r="T372" s="55" t="s">
        <v>967</v>
      </c>
      <c r="U372" s="73" t="s">
        <v>351</v>
      </c>
      <c r="V372" s="74">
        <v>44523</v>
      </c>
      <c r="W372" s="74">
        <v>44574</v>
      </c>
      <c r="X372" s="55">
        <v>10185542</v>
      </c>
      <c r="Y372" s="74" t="s">
        <v>140</v>
      </c>
      <c r="Z372" s="74"/>
      <c r="AB372" s="55" t="s">
        <v>140</v>
      </c>
      <c r="AC372" s="55" t="s">
        <v>140</v>
      </c>
    </row>
    <row r="373" spans="1:29" ht="13" x14ac:dyDescent="0.15">
      <c r="A373" s="72" t="str">
        <f t="shared" si="5"/>
        <v>Ofsted Social Care Provider Webpage</v>
      </c>
      <c r="B373" s="55">
        <v>1257073</v>
      </c>
      <c r="D373" s="55" t="s">
        <v>373</v>
      </c>
      <c r="E373" s="74">
        <v>43291</v>
      </c>
      <c r="F373" s="55" t="s">
        <v>344</v>
      </c>
      <c r="G373" s="55" t="s">
        <v>360</v>
      </c>
      <c r="H373" s="55" t="s">
        <v>360</v>
      </c>
      <c r="I373" s="55" t="s">
        <v>360</v>
      </c>
      <c r="J373" s="55" t="s">
        <v>360</v>
      </c>
      <c r="K373" s="55" t="s">
        <v>360</v>
      </c>
      <c r="L373" s="55" t="s">
        <v>360</v>
      </c>
      <c r="M373" s="55" t="s">
        <v>378</v>
      </c>
      <c r="N373" s="55" t="s">
        <v>134</v>
      </c>
      <c r="O373" s="55" t="s">
        <v>206</v>
      </c>
      <c r="P373" s="55" t="s">
        <v>760</v>
      </c>
      <c r="Q373" s="55" t="s">
        <v>350</v>
      </c>
      <c r="R373" s="55">
        <v>3</v>
      </c>
      <c r="S373" s="74"/>
      <c r="T373" s="55" t="s">
        <v>489</v>
      </c>
      <c r="U373" s="73" t="s">
        <v>351</v>
      </c>
      <c r="V373" s="74">
        <v>43678</v>
      </c>
      <c r="W373" s="74">
        <v>43700</v>
      </c>
      <c r="X373" s="55">
        <v>10105805</v>
      </c>
      <c r="Y373" s="74" t="s">
        <v>132</v>
      </c>
      <c r="Z373" s="74"/>
      <c r="AB373" s="55" t="s">
        <v>132</v>
      </c>
      <c r="AC373" s="55" t="s">
        <v>132</v>
      </c>
    </row>
    <row r="374" spans="1:29" ht="13" x14ac:dyDescent="0.15">
      <c r="A374" s="72" t="str">
        <f t="shared" si="5"/>
        <v>Ofsted Social Care Provider Webpage</v>
      </c>
      <c r="B374" s="55">
        <v>1257074</v>
      </c>
      <c r="D374" s="55" t="s">
        <v>373</v>
      </c>
      <c r="E374" s="74">
        <v>43018</v>
      </c>
      <c r="F374" s="55" t="s">
        <v>344</v>
      </c>
      <c r="G374" s="55" t="s">
        <v>360</v>
      </c>
      <c r="H374" s="55" t="s">
        <v>360</v>
      </c>
      <c r="I374" s="55" t="s">
        <v>360</v>
      </c>
      <c r="J374" s="55" t="s">
        <v>360</v>
      </c>
      <c r="K374" s="55" t="s">
        <v>360</v>
      </c>
      <c r="L374" s="55" t="s">
        <v>360</v>
      </c>
      <c r="M374" s="55" t="s">
        <v>142</v>
      </c>
      <c r="N374" s="55" t="s">
        <v>142</v>
      </c>
      <c r="O374" s="55" t="s">
        <v>195</v>
      </c>
      <c r="P374" s="55" t="s">
        <v>518</v>
      </c>
      <c r="Q374" s="55" t="s">
        <v>350</v>
      </c>
      <c r="R374" s="55">
        <v>8</v>
      </c>
      <c r="S374" s="74"/>
      <c r="T374" s="55" t="s">
        <v>1014</v>
      </c>
      <c r="U374" s="73" t="s">
        <v>351</v>
      </c>
      <c r="V374" s="74">
        <v>44538</v>
      </c>
      <c r="W374" s="74">
        <v>44586</v>
      </c>
      <c r="X374" s="55">
        <v>10185965</v>
      </c>
      <c r="Y374" s="74" t="s">
        <v>140</v>
      </c>
      <c r="Z374" s="74"/>
      <c r="AB374" s="55" t="s">
        <v>132</v>
      </c>
      <c r="AC374" s="55" t="s">
        <v>140</v>
      </c>
    </row>
    <row r="375" spans="1:29" ht="13" x14ac:dyDescent="0.15">
      <c r="A375" s="72" t="str">
        <f t="shared" si="5"/>
        <v>Ofsted Social Care Provider Webpage</v>
      </c>
      <c r="B375" s="55">
        <v>1257101</v>
      </c>
      <c r="D375" s="55" t="s">
        <v>373</v>
      </c>
      <c r="E375" s="74">
        <v>42948</v>
      </c>
      <c r="F375" s="55" t="s">
        <v>344</v>
      </c>
      <c r="G375" s="55" t="s">
        <v>360</v>
      </c>
      <c r="H375" s="55" t="s">
        <v>360</v>
      </c>
      <c r="I375" s="55" t="s">
        <v>360</v>
      </c>
      <c r="J375" s="55" t="s">
        <v>360</v>
      </c>
      <c r="K375" s="55" t="s">
        <v>360</v>
      </c>
      <c r="L375" s="55" t="s">
        <v>360</v>
      </c>
      <c r="M375" s="55" t="s">
        <v>129</v>
      </c>
      <c r="N375" s="55" t="s">
        <v>129</v>
      </c>
      <c r="O375" s="55" t="s">
        <v>139</v>
      </c>
      <c r="P375" s="55" t="s">
        <v>1015</v>
      </c>
      <c r="Q375" s="55" t="s">
        <v>350</v>
      </c>
      <c r="R375" s="55">
        <v>3</v>
      </c>
      <c r="S375" s="74"/>
      <c r="T375" s="55" t="s">
        <v>1016</v>
      </c>
      <c r="U375" s="73" t="s">
        <v>351</v>
      </c>
      <c r="V375" s="74">
        <v>44334</v>
      </c>
      <c r="W375" s="74">
        <v>44372</v>
      </c>
      <c r="X375" s="55">
        <v>10186277</v>
      </c>
      <c r="Y375" s="74" t="s">
        <v>132</v>
      </c>
      <c r="Z375" s="74"/>
      <c r="AB375" s="55" t="s">
        <v>132</v>
      </c>
      <c r="AC375" s="55" t="s">
        <v>132</v>
      </c>
    </row>
    <row r="376" spans="1:29" ht="13" x14ac:dyDescent="0.15">
      <c r="A376" s="72" t="str">
        <f t="shared" si="5"/>
        <v>Ofsted Social Care Provider Webpage</v>
      </c>
      <c r="B376" s="55">
        <v>1257182</v>
      </c>
      <c r="D376" s="55" t="s">
        <v>373</v>
      </c>
      <c r="E376" s="74">
        <v>42971</v>
      </c>
      <c r="F376" s="55" t="s">
        <v>344</v>
      </c>
      <c r="G376" s="55" t="s">
        <v>360</v>
      </c>
      <c r="H376" s="55" t="s">
        <v>360</v>
      </c>
      <c r="I376" s="55" t="s">
        <v>360</v>
      </c>
      <c r="J376" s="55" t="s">
        <v>360</v>
      </c>
      <c r="K376" s="55" t="s">
        <v>360</v>
      </c>
      <c r="L376" s="55" t="s">
        <v>360</v>
      </c>
      <c r="M376" s="55" t="s">
        <v>129</v>
      </c>
      <c r="N376" s="55" t="s">
        <v>129</v>
      </c>
      <c r="O376" s="55" t="s">
        <v>131</v>
      </c>
      <c r="P376" s="55" t="s">
        <v>1017</v>
      </c>
      <c r="Q376" s="55" t="s">
        <v>350</v>
      </c>
      <c r="R376" s="55">
        <v>2</v>
      </c>
      <c r="S376" s="74"/>
      <c r="T376" s="55" t="s">
        <v>1018</v>
      </c>
      <c r="U376" s="73" t="s">
        <v>351</v>
      </c>
      <c r="V376" s="74">
        <v>43780</v>
      </c>
      <c r="W376" s="74">
        <v>43812</v>
      </c>
      <c r="X376" s="55">
        <v>10097897</v>
      </c>
      <c r="Y376" s="74" t="s">
        <v>130</v>
      </c>
      <c r="Z376" s="74"/>
      <c r="AB376" s="55" t="s">
        <v>130</v>
      </c>
      <c r="AC376" s="55" t="s">
        <v>146</v>
      </c>
    </row>
    <row r="377" spans="1:29" ht="13" x14ac:dyDescent="0.15">
      <c r="A377" s="72" t="str">
        <f t="shared" si="5"/>
        <v>Ofsted Social Care Provider Webpage</v>
      </c>
      <c r="B377" s="55">
        <v>1257202</v>
      </c>
      <c r="D377" s="55" t="s">
        <v>373</v>
      </c>
      <c r="E377" s="74">
        <v>43088</v>
      </c>
      <c r="F377" s="55" t="s">
        <v>344</v>
      </c>
      <c r="G377" s="55" t="s">
        <v>360</v>
      </c>
      <c r="H377" s="55" t="s">
        <v>360</v>
      </c>
      <c r="I377" s="55" t="s">
        <v>360</v>
      </c>
      <c r="J377" s="55" t="s">
        <v>360</v>
      </c>
      <c r="K377" s="55" t="s">
        <v>360</v>
      </c>
      <c r="L377" s="55" t="s">
        <v>360</v>
      </c>
      <c r="M377" s="55" t="s">
        <v>142</v>
      </c>
      <c r="N377" s="55" t="s">
        <v>142</v>
      </c>
      <c r="O377" s="55" t="s">
        <v>262</v>
      </c>
      <c r="P377" s="55" t="s">
        <v>692</v>
      </c>
      <c r="Q377" s="55" t="s">
        <v>350</v>
      </c>
      <c r="R377" s="55">
        <v>4</v>
      </c>
      <c r="S377" s="74"/>
      <c r="T377" s="55" t="s">
        <v>1019</v>
      </c>
      <c r="U377" s="73" t="s">
        <v>351</v>
      </c>
      <c r="V377" s="74">
        <v>44567</v>
      </c>
      <c r="W377" s="74">
        <v>44603</v>
      </c>
      <c r="X377" s="55">
        <v>10186331</v>
      </c>
      <c r="Y377" s="74" t="s">
        <v>132</v>
      </c>
      <c r="Z377" s="74"/>
      <c r="AB377" s="55" t="s">
        <v>132</v>
      </c>
      <c r="AC377" s="55" t="s">
        <v>132</v>
      </c>
    </row>
    <row r="378" spans="1:29" ht="13" x14ac:dyDescent="0.15">
      <c r="A378" s="72" t="str">
        <f t="shared" si="5"/>
        <v>Ofsted Social Care Provider Webpage</v>
      </c>
      <c r="B378" s="55">
        <v>1257289</v>
      </c>
      <c r="D378" s="55" t="s">
        <v>373</v>
      </c>
      <c r="E378" s="74">
        <v>42943</v>
      </c>
      <c r="F378" s="55" t="s">
        <v>344</v>
      </c>
      <c r="G378" s="55" t="s">
        <v>360</v>
      </c>
      <c r="H378" s="55" t="s">
        <v>360</v>
      </c>
      <c r="I378" s="55" t="s">
        <v>360</v>
      </c>
      <c r="J378" s="55" t="s">
        <v>360</v>
      </c>
      <c r="K378" s="55" t="s">
        <v>360</v>
      </c>
      <c r="L378" s="55" t="s">
        <v>360</v>
      </c>
      <c r="M378" s="55" t="s">
        <v>129</v>
      </c>
      <c r="N378" s="55" t="s">
        <v>129</v>
      </c>
      <c r="O378" s="55" t="s">
        <v>213</v>
      </c>
      <c r="P378" s="55" t="s">
        <v>1020</v>
      </c>
      <c r="Q378" s="55" t="s">
        <v>362</v>
      </c>
      <c r="R378" s="55">
        <v>5</v>
      </c>
      <c r="S378" s="74" t="s">
        <v>332</v>
      </c>
      <c r="T378" s="55" t="s">
        <v>1021</v>
      </c>
      <c r="U378" s="73" t="s">
        <v>351</v>
      </c>
      <c r="V378" s="74">
        <v>44398</v>
      </c>
      <c r="W378" s="74">
        <v>44428</v>
      </c>
      <c r="X378" s="55">
        <v>10186713</v>
      </c>
      <c r="Y378" s="74" t="s">
        <v>132</v>
      </c>
      <c r="Z378" s="74"/>
      <c r="AB378" s="55" t="s">
        <v>132</v>
      </c>
      <c r="AC378" s="55" t="s">
        <v>132</v>
      </c>
    </row>
    <row r="379" spans="1:29" ht="13" x14ac:dyDescent="0.15">
      <c r="A379" s="72" t="str">
        <f t="shared" si="5"/>
        <v>Ofsted Social Care Provider Webpage</v>
      </c>
      <c r="B379" s="55">
        <v>1257501</v>
      </c>
      <c r="D379" s="55" t="s">
        <v>451</v>
      </c>
      <c r="E379" s="74">
        <v>42992</v>
      </c>
      <c r="F379" s="55" t="s">
        <v>344</v>
      </c>
      <c r="G379" s="55" t="s">
        <v>360</v>
      </c>
      <c r="H379" s="55" t="s">
        <v>360</v>
      </c>
      <c r="I379" s="55" t="s">
        <v>360</v>
      </c>
      <c r="J379" s="55" t="s">
        <v>360</v>
      </c>
      <c r="K379" s="55" t="s">
        <v>360</v>
      </c>
      <c r="L379" s="55" t="s">
        <v>360</v>
      </c>
      <c r="M379" s="55" t="s">
        <v>129</v>
      </c>
      <c r="N379" s="55" t="s">
        <v>129</v>
      </c>
      <c r="O379" s="55" t="s">
        <v>223</v>
      </c>
      <c r="P379" s="55" t="s">
        <v>712</v>
      </c>
      <c r="Q379" s="55" t="s">
        <v>350</v>
      </c>
      <c r="R379" s="55">
        <v>6</v>
      </c>
      <c r="S379" s="74"/>
      <c r="T379" s="55" t="s">
        <v>1022</v>
      </c>
      <c r="U379" s="73" t="s">
        <v>351</v>
      </c>
      <c r="V379" s="74">
        <v>43446</v>
      </c>
      <c r="W379" s="74">
        <v>43482</v>
      </c>
      <c r="X379" s="55">
        <v>10054064</v>
      </c>
      <c r="Y379" s="74" t="s">
        <v>132</v>
      </c>
      <c r="Z379" s="74"/>
      <c r="AB379" s="55" t="s">
        <v>132</v>
      </c>
      <c r="AC379" s="55" t="s">
        <v>132</v>
      </c>
    </row>
    <row r="380" spans="1:29" ht="13" x14ac:dyDescent="0.15">
      <c r="A380" s="72" t="str">
        <f t="shared" si="5"/>
        <v>Ofsted Social Care Provider Webpage</v>
      </c>
      <c r="B380" s="55">
        <v>1257573</v>
      </c>
      <c r="D380" s="55" t="s">
        <v>373</v>
      </c>
      <c r="E380" s="74">
        <v>42908</v>
      </c>
      <c r="F380" s="55" t="s">
        <v>344</v>
      </c>
      <c r="G380" s="55" t="s">
        <v>360</v>
      </c>
      <c r="H380" s="55" t="s">
        <v>360</v>
      </c>
      <c r="I380" s="55" t="s">
        <v>360</v>
      </c>
      <c r="J380" s="55" t="s">
        <v>360</v>
      </c>
      <c r="K380" s="55" t="s">
        <v>360</v>
      </c>
      <c r="L380" s="55" t="s">
        <v>360</v>
      </c>
      <c r="M380" s="55" t="s">
        <v>150</v>
      </c>
      <c r="N380" s="55" t="s">
        <v>150</v>
      </c>
      <c r="O380" s="55" t="s">
        <v>190</v>
      </c>
      <c r="P380" s="55" t="s">
        <v>500</v>
      </c>
      <c r="Q380" s="55" t="s">
        <v>380</v>
      </c>
      <c r="R380" s="55">
        <v>5</v>
      </c>
      <c r="S380" s="74"/>
      <c r="T380" s="55" t="s">
        <v>967</v>
      </c>
      <c r="U380" s="73" t="s">
        <v>351</v>
      </c>
      <c r="V380" s="74">
        <v>44322</v>
      </c>
      <c r="W380" s="74">
        <v>44368</v>
      </c>
      <c r="X380" s="55">
        <v>10185740</v>
      </c>
      <c r="Y380" s="74" t="s">
        <v>140</v>
      </c>
      <c r="Z380" s="74"/>
      <c r="AB380" s="55" t="s">
        <v>140</v>
      </c>
      <c r="AC380" s="55" t="s">
        <v>140</v>
      </c>
    </row>
    <row r="381" spans="1:29" ht="13" x14ac:dyDescent="0.15">
      <c r="A381" s="72" t="str">
        <f t="shared" si="5"/>
        <v>Ofsted Social Care Provider Webpage</v>
      </c>
      <c r="B381" s="55">
        <v>1257706</v>
      </c>
      <c r="D381" s="55" t="s">
        <v>373</v>
      </c>
      <c r="E381" s="74">
        <v>43263</v>
      </c>
      <c r="F381" s="55" t="s">
        <v>344</v>
      </c>
      <c r="G381" s="55" t="s">
        <v>360</v>
      </c>
      <c r="H381" s="55" t="s">
        <v>360</v>
      </c>
      <c r="I381" s="55" t="s">
        <v>360</v>
      </c>
      <c r="J381" s="55" t="s">
        <v>360</v>
      </c>
      <c r="K381" s="55" t="s">
        <v>360</v>
      </c>
      <c r="L381" s="55" t="s">
        <v>360</v>
      </c>
      <c r="M381" s="55" t="s">
        <v>378</v>
      </c>
      <c r="N381" s="55" t="s">
        <v>134</v>
      </c>
      <c r="O381" s="55" t="s">
        <v>158</v>
      </c>
      <c r="P381" s="55" t="s">
        <v>912</v>
      </c>
      <c r="Q381" s="55" t="s">
        <v>350</v>
      </c>
      <c r="R381" s="55">
        <v>2</v>
      </c>
      <c r="S381" s="74"/>
      <c r="T381" s="55" t="s">
        <v>1023</v>
      </c>
      <c r="U381" s="73" t="s">
        <v>351</v>
      </c>
      <c r="V381" s="74">
        <v>44361</v>
      </c>
      <c r="W381" s="74">
        <v>44390</v>
      </c>
      <c r="X381" s="55">
        <v>10185358</v>
      </c>
      <c r="Y381" s="74" t="s">
        <v>132</v>
      </c>
      <c r="Z381" s="74"/>
      <c r="AB381" s="55" t="s">
        <v>132</v>
      </c>
      <c r="AC381" s="55" t="s">
        <v>130</v>
      </c>
    </row>
    <row r="382" spans="1:29" ht="13" x14ac:dyDescent="0.15">
      <c r="A382" s="72" t="str">
        <f t="shared" si="5"/>
        <v>Ofsted Social Care Provider Webpage</v>
      </c>
      <c r="B382" s="55">
        <v>1257739</v>
      </c>
      <c r="D382" s="55" t="s">
        <v>373</v>
      </c>
      <c r="E382" s="74">
        <v>42957</v>
      </c>
      <c r="F382" s="55" t="s">
        <v>344</v>
      </c>
      <c r="G382" s="55" t="s">
        <v>360</v>
      </c>
      <c r="H382" s="55" t="s">
        <v>360</v>
      </c>
      <c r="I382" s="55" t="s">
        <v>360</v>
      </c>
      <c r="J382" s="55" t="s">
        <v>360</v>
      </c>
      <c r="K382" s="55" t="s">
        <v>360</v>
      </c>
      <c r="L382" s="55" t="s">
        <v>360</v>
      </c>
      <c r="M382" s="55" t="s">
        <v>144</v>
      </c>
      <c r="N382" s="55" t="s">
        <v>144</v>
      </c>
      <c r="O382" s="55" t="s">
        <v>209</v>
      </c>
      <c r="P382" s="55" t="s">
        <v>650</v>
      </c>
      <c r="Q382" s="55" t="s">
        <v>350</v>
      </c>
      <c r="R382" s="55">
        <v>3</v>
      </c>
      <c r="S382" s="74"/>
      <c r="T382" s="55" t="s">
        <v>377</v>
      </c>
      <c r="U382" s="73" t="s">
        <v>351</v>
      </c>
      <c r="V382" s="74">
        <v>44537</v>
      </c>
      <c r="W382" s="74">
        <v>44593</v>
      </c>
      <c r="X382" s="55">
        <v>10186377</v>
      </c>
      <c r="Y382" s="74" t="s">
        <v>130</v>
      </c>
      <c r="Z382" s="74"/>
      <c r="AB382" s="55" t="s">
        <v>130</v>
      </c>
      <c r="AC382" s="55" t="s">
        <v>146</v>
      </c>
    </row>
    <row r="383" spans="1:29" ht="13" x14ac:dyDescent="0.15">
      <c r="A383" s="72" t="str">
        <f t="shared" si="5"/>
        <v>Ofsted Social Care Provider Webpage</v>
      </c>
      <c r="B383" s="55">
        <v>1257740</v>
      </c>
      <c r="D383" s="55" t="s">
        <v>373</v>
      </c>
      <c r="E383" s="74">
        <v>42947</v>
      </c>
      <c r="F383" s="55" t="s">
        <v>344</v>
      </c>
      <c r="G383" s="55" t="s">
        <v>360</v>
      </c>
      <c r="H383" s="55" t="s">
        <v>360</v>
      </c>
      <c r="I383" s="55" t="s">
        <v>360</v>
      </c>
      <c r="J383" s="55" t="s">
        <v>360</v>
      </c>
      <c r="K383" s="55" t="s">
        <v>360</v>
      </c>
      <c r="L383" s="55" t="s">
        <v>360</v>
      </c>
      <c r="M383" s="55" t="s">
        <v>142</v>
      </c>
      <c r="N383" s="55" t="s">
        <v>142</v>
      </c>
      <c r="O383" s="55" t="s">
        <v>262</v>
      </c>
      <c r="P383" s="55" t="s">
        <v>949</v>
      </c>
      <c r="Q383" s="55" t="s">
        <v>350</v>
      </c>
      <c r="R383" s="55">
        <v>4</v>
      </c>
      <c r="S383" s="74"/>
      <c r="T383" s="55" t="s">
        <v>1024</v>
      </c>
      <c r="U383" s="73" t="s">
        <v>351</v>
      </c>
      <c r="V383" s="74">
        <v>44622</v>
      </c>
      <c r="W383" s="74">
        <v>44663</v>
      </c>
      <c r="X383" s="55">
        <v>10185126</v>
      </c>
      <c r="Y383" s="74" t="s">
        <v>132</v>
      </c>
      <c r="Z383" s="74"/>
      <c r="AB383" s="55" t="s">
        <v>132</v>
      </c>
      <c r="AC383" s="55" t="s">
        <v>132</v>
      </c>
    </row>
    <row r="384" spans="1:29" ht="13" x14ac:dyDescent="0.15">
      <c r="A384" s="72" t="str">
        <f t="shared" si="5"/>
        <v>Ofsted Social Care Provider Webpage</v>
      </c>
      <c r="B384" s="55">
        <v>1257796</v>
      </c>
      <c r="D384" s="55" t="s">
        <v>373</v>
      </c>
      <c r="E384" s="74">
        <v>42886</v>
      </c>
      <c r="F384" s="55" t="s">
        <v>344</v>
      </c>
      <c r="G384" s="55" t="s">
        <v>360</v>
      </c>
      <c r="H384" s="55" t="s">
        <v>360</v>
      </c>
      <c r="I384" s="55" t="s">
        <v>360</v>
      </c>
      <c r="J384" s="55" t="s">
        <v>360</v>
      </c>
      <c r="K384" s="55" t="s">
        <v>360</v>
      </c>
      <c r="L384" s="55" t="s">
        <v>360</v>
      </c>
      <c r="M384" s="55" t="s">
        <v>138</v>
      </c>
      <c r="N384" s="55" t="s">
        <v>138</v>
      </c>
      <c r="O384" s="55" t="s">
        <v>159</v>
      </c>
      <c r="P384" s="55" t="s">
        <v>1025</v>
      </c>
      <c r="Q384" s="55" t="s">
        <v>350</v>
      </c>
      <c r="R384" s="55">
        <v>12</v>
      </c>
      <c r="S384" s="74"/>
      <c r="T384" s="55" t="s">
        <v>385</v>
      </c>
      <c r="U384" s="73" t="s">
        <v>351</v>
      </c>
      <c r="V384" s="74">
        <v>44306</v>
      </c>
      <c r="W384" s="74">
        <v>44328</v>
      </c>
      <c r="X384" s="55">
        <v>10186397</v>
      </c>
      <c r="Y384" s="74" t="s">
        <v>132</v>
      </c>
      <c r="Z384" s="74"/>
      <c r="AB384" s="55" t="s">
        <v>132</v>
      </c>
      <c r="AC384" s="55" t="s">
        <v>132</v>
      </c>
    </row>
    <row r="385" spans="1:29" ht="13" x14ac:dyDescent="0.15">
      <c r="A385" s="72" t="str">
        <f t="shared" si="5"/>
        <v>Ofsted Social Care Provider Webpage</v>
      </c>
      <c r="B385" s="55">
        <v>1257929</v>
      </c>
      <c r="C385" s="55">
        <v>146516</v>
      </c>
      <c r="D385" s="55" t="s">
        <v>398</v>
      </c>
      <c r="E385" s="74">
        <v>43626</v>
      </c>
      <c r="F385" s="55" t="s">
        <v>344</v>
      </c>
      <c r="G385" s="55" t="s">
        <v>1026</v>
      </c>
      <c r="H385" s="55" t="s">
        <v>1027</v>
      </c>
      <c r="I385" s="55" t="s">
        <v>1028</v>
      </c>
      <c r="J385" s="55" t="s">
        <v>402</v>
      </c>
      <c r="L385" s="55" t="s">
        <v>1029</v>
      </c>
      <c r="M385" s="55" t="s">
        <v>150</v>
      </c>
      <c r="N385" s="55" t="s">
        <v>150</v>
      </c>
      <c r="O385" s="55" t="s">
        <v>237</v>
      </c>
      <c r="P385" s="55" t="s">
        <v>404</v>
      </c>
      <c r="Q385" s="55" t="s">
        <v>350</v>
      </c>
      <c r="R385" s="55">
        <v>300</v>
      </c>
      <c r="S385" s="74"/>
      <c r="T385" s="55" t="s">
        <v>1030</v>
      </c>
      <c r="U385" s="73" t="s">
        <v>351</v>
      </c>
      <c r="V385" s="74">
        <v>44488</v>
      </c>
      <c r="W385" s="74">
        <v>44537</v>
      </c>
      <c r="X385" s="55">
        <v>10183228</v>
      </c>
      <c r="Y385" s="74" t="s">
        <v>132</v>
      </c>
      <c r="Z385" s="74"/>
      <c r="AB385" s="55" t="s">
        <v>132</v>
      </c>
      <c r="AC385" s="55" t="s">
        <v>132</v>
      </c>
    </row>
    <row r="386" spans="1:29" ht="13" x14ac:dyDescent="0.15">
      <c r="A386" s="72" t="str">
        <f t="shared" si="5"/>
        <v>Ofsted Social Care Provider Webpage</v>
      </c>
      <c r="B386" s="55">
        <v>1258033</v>
      </c>
      <c r="D386" s="55" t="s">
        <v>451</v>
      </c>
      <c r="E386" s="74">
        <v>43159</v>
      </c>
      <c r="F386" s="55" t="s">
        <v>344</v>
      </c>
      <c r="G386" s="55" t="s">
        <v>1031</v>
      </c>
      <c r="H386" s="55" t="s">
        <v>1032</v>
      </c>
      <c r="I386" s="55" t="s">
        <v>354</v>
      </c>
      <c r="J386" s="55" t="s">
        <v>576</v>
      </c>
      <c r="K386" s="55" t="s">
        <v>183</v>
      </c>
      <c r="L386" s="55" t="s">
        <v>1033</v>
      </c>
      <c r="M386" s="55" t="s">
        <v>138</v>
      </c>
      <c r="N386" s="55" t="s">
        <v>138</v>
      </c>
      <c r="O386" s="55" t="s">
        <v>183</v>
      </c>
      <c r="P386" s="55" t="s">
        <v>576</v>
      </c>
      <c r="Q386" s="55" t="s">
        <v>350</v>
      </c>
      <c r="R386" s="55">
        <v>4</v>
      </c>
      <c r="S386" s="74"/>
      <c r="T386" s="55" t="s">
        <v>1031</v>
      </c>
      <c r="U386" s="73" t="s">
        <v>351</v>
      </c>
      <c r="V386" s="74">
        <v>43906</v>
      </c>
      <c r="W386" s="74">
        <v>43928</v>
      </c>
      <c r="X386" s="55">
        <v>10115609</v>
      </c>
      <c r="Y386" s="74" t="s">
        <v>132</v>
      </c>
      <c r="Z386" s="74"/>
      <c r="AB386" s="55" t="s">
        <v>132</v>
      </c>
      <c r="AC386" s="55" t="s">
        <v>132</v>
      </c>
    </row>
    <row r="387" spans="1:29" ht="13" x14ac:dyDescent="0.15">
      <c r="A387" s="72" t="str">
        <f t="shared" si="5"/>
        <v>Ofsted Social Care Provider Webpage</v>
      </c>
      <c r="B387" s="55">
        <v>1258089</v>
      </c>
      <c r="D387" s="55" t="s">
        <v>373</v>
      </c>
      <c r="E387" s="74">
        <v>43133</v>
      </c>
      <c r="F387" s="55" t="s">
        <v>344</v>
      </c>
      <c r="G387" s="55" t="s">
        <v>360</v>
      </c>
      <c r="H387" s="55" t="s">
        <v>360</v>
      </c>
      <c r="I387" s="55" t="s">
        <v>360</v>
      </c>
      <c r="J387" s="55" t="s">
        <v>360</v>
      </c>
      <c r="K387" s="55" t="s">
        <v>360</v>
      </c>
      <c r="L387" s="55" t="s">
        <v>360</v>
      </c>
      <c r="M387" s="55" t="s">
        <v>378</v>
      </c>
      <c r="N387" s="55" t="s">
        <v>134</v>
      </c>
      <c r="O387" s="55" t="s">
        <v>277</v>
      </c>
      <c r="P387" s="55" t="s">
        <v>1034</v>
      </c>
      <c r="Q387" s="55" t="s">
        <v>350</v>
      </c>
      <c r="R387" s="55">
        <v>4</v>
      </c>
      <c r="S387" s="74"/>
      <c r="T387" s="55" t="s">
        <v>489</v>
      </c>
      <c r="U387" s="73" t="s">
        <v>351</v>
      </c>
      <c r="V387" s="74">
        <v>44333</v>
      </c>
      <c r="W387" s="74">
        <v>44369</v>
      </c>
      <c r="X387" s="55">
        <v>10185172</v>
      </c>
      <c r="Y387" s="74" t="s">
        <v>130</v>
      </c>
      <c r="Z387" s="74"/>
      <c r="AB387" s="55" t="s">
        <v>130</v>
      </c>
      <c r="AC387" s="55" t="s">
        <v>130</v>
      </c>
    </row>
    <row r="388" spans="1:29" ht="13" x14ac:dyDescent="0.15">
      <c r="A388" s="72" t="str">
        <f t="shared" si="5"/>
        <v>Ofsted Social Care Provider Webpage</v>
      </c>
      <c r="B388" s="55">
        <v>1258091</v>
      </c>
      <c r="D388" s="55" t="s">
        <v>373</v>
      </c>
      <c r="E388" s="74">
        <v>42967</v>
      </c>
      <c r="F388" s="55" t="s">
        <v>344</v>
      </c>
      <c r="G388" s="55" t="s">
        <v>360</v>
      </c>
      <c r="H388" s="55" t="s">
        <v>360</v>
      </c>
      <c r="I388" s="55" t="s">
        <v>360</v>
      </c>
      <c r="J388" s="55" t="s">
        <v>360</v>
      </c>
      <c r="K388" s="55" t="s">
        <v>360</v>
      </c>
      <c r="L388" s="55" t="s">
        <v>360</v>
      </c>
      <c r="M388" s="55" t="s">
        <v>142</v>
      </c>
      <c r="N388" s="55" t="s">
        <v>142</v>
      </c>
      <c r="O388" s="55" t="s">
        <v>262</v>
      </c>
      <c r="P388" s="55" t="s">
        <v>1035</v>
      </c>
      <c r="Q388" s="55" t="s">
        <v>350</v>
      </c>
      <c r="R388" s="55">
        <v>5</v>
      </c>
      <c r="S388" s="74"/>
      <c r="T388" s="55" t="s">
        <v>385</v>
      </c>
      <c r="U388" s="73" t="s">
        <v>351</v>
      </c>
      <c r="V388" s="74">
        <v>44516</v>
      </c>
      <c r="W388" s="74">
        <v>44581</v>
      </c>
      <c r="X388" s="55">
        <v>10205475</v>
      </c>
      <c r="Y388" s="74" t="s">
        <v>130</v>
      </c>
      <c r="Z388" s="74"/>
      <c r="AB388" s="55" t="s">
        <v>130</v>
      </c>
      <c r="AC388" s="55" t="s">
        <v>130</v>
      </c>
    </row>
    <row r="389" spans="1:29" ht="13" x14ac:dyDescent="0.15">
      <c r="A389" s="72" t="str">
        <f t="shared" si="5"/>
        <v>Ofsted Social Care Provider Webpage</v>
      </c>
      <c r="B389" s="55">
        <v>1258092</v>
      </c>
      <c r="D389" s="55" t="s">
        <v>373</v>
      </c>
      <c r="E389" s="74">
        <v>42977</v>
      </c>
      <c r="F389" s="55" t="s">
        <v>344</v>
      </c>
      <c r="G389" s="55" t="s">
        <v>360</v>
      </c>
      <c r="H389" s="55" t="s">
        <v>360</v>
      </c>
      <c r="I389" s="55" t="s">
        <v>360</v>
      </c>
      <c r="J389" s="55" t="s">
        <v>360</v>
      </c>
      <c r="K389" s="55" t="s">
        <v>360</v>
      </c>
      <c r="L389" s="55" t="s">
        <v>360</v>
      </c>
      <c r="M389" s="55" t="s">
        <v>138</v>
      </c>
      <c r="N389" s="55" t="s">
        <v>138</v>
      </c>
      <c r="O389" s="55" t="s">
        <v>183</v>
      </c>
      <c r="P389" s="55" t="s">
        <v>508</v>
      </c>
      <c r="Q389" s="55" t="s">
        <v>350</v>
      </c>
      <c r="R389" s="55">
        <v>4</v>
      </c>
      <c r="S389" s="74"/>
      <c r="T389" s="55" t="s">
        <v>385</v>
      </c>
      <c r="U389" s="73" t="s">
        <v>351</v>
      </c>
      <c r="V389" s="74">
        <v>44326</v>
      </c>
      <c r="W389" s="74">
        <v>44351</v>
      </c>
      <c r="X389" s="55">
        <v>10187148</v>
      </c>
      <c r="Y389" s="74" t="s">
        <v>132</v>
      </c>
      <c r="Z389" s="74"/>
      <c r="AB389" s="55" t="s">
        <v>132</v>
      </c>
      <c r="AC389" s="55" t="s">
        <v>132</v>
      </c>
    </row>
    <row r="390" spans="1:29" ht="13" x14ac:dyDescent="0.15">
      <c r="A390" s="72" t="str">
        <f t="shared" ref="A390:A453" si="6">HYPERLINK(_xlfn.CONCAT("http://reports.ofsted.gov.uk/inspection-reports/find-inspection-report/provider/CARE/",B390),"Ofsted Social Care Provider Webpage")</f>
        <v>Ofsted Social Care Provider Webpage</v>
      </c>
      <c r="B390" s="55">
        <v>1258134</v>
      </c>
      <c r="D390" s="55" t="s">
        <v>373</v>
      </c>
      <c r="E390" s="74">
        <v>42961</v>
      </c>
      <c r="F390" s="55" t="s">
        <v>344</v>
      </c>
      <c r="G390" s="55" t="s">
        <v>360</v>
      </c>
      <c r="H390" s="55" t="s">
        <v>360</v>
      </c>
      <c r="I390" s="55" t="s">
        <v>360</v>
      </c>
      <c r="J390" s="55" t="s">
        <v>360</v>
      </c>
      <c r="K390" s="55" t="s">
        <v>360</v>
      </c>
      <c r="L390" s="55" t="s">
        <v>360</v>
      </c>
      <c r="M390" s="55" t="s">
        <v>172</v>
      </c>
      <c r="N390" s="55" t="s">
        <v>172</v>
      </c>
      <c r="O390" s="55" t="s">
        <v>235</v>
      </c>
      <c r="P390" s="55" t="s">
        <v>1036</v>
      </c>
      <c r="Q390" s="55" t="s">
        <v>350</v>
      </c>
      <c r="R390" s="55">
        <v>5</v>
      </c>
      <c r="S390" s="74"/>
      <c r="T390" s="55" t="s">
        <v>962</v>
      </c>
      <c r="U390" s="73" t="s">
        <v>351</v>
      </c>
      <c r="V390" s="74">
        <v>44391</v>
      </c>
      <c r="W390" s="74">
        <v>44419</v>
      </c>
      <c r="X390" s="55">
        <v>10186415</v>
      </c>
      <c r="Y390" s="74" t="s">
        <v>132</v>
      </c>
      <c r="Z390" s="74"/>
      <c r="AB390" s="55" t="s">
        <v>132</v>
      </c>
      <c r="AC390" s="55" t="s">
        <v>132</v>
      </c>
    </row>
    <row r="391" spans="1:29" ht="13" x14ac:dyDescent="0.15">
      <c r="A391" s="72" t="str">
        <f t="shared" si="6"/>
        <v>Ofsted Social Care Provider Webpage</v>
      </c>
      <c r="B391" s="55">
        <v>1258276</v>
      </c>
      <c r="D391" s="55" t="s">
        <v>373</v>
      </c>
      <c r="E391" s="74">
        <v>42887</v>
      </c>
      <c r="F391" s="55" t="s">
        <v>344</v>
      </c>
      <c r="G391" s="55" t="s">
        <v>360</v>
      </c>
      <c r="H391" s="55" t="s">
        <v>360</v>
      </c>
      <c r="I391" s="55" t="s">
        <v>360</v>
      </c>
      <c r="J391" s="55" t="s">
        <v>360</v>
      </c>
      <c r="K391" s="55" t="s">
        <v>360</v>
      </c>
      <c r="L391" s="55" t="s">
        <v>360</v>
      </c>
      <c r="M391" s="55" t="s">
        <v>138</v>
      </c>
      <c r="N391" s="55" t="s">
        <v>138</v>
      </c>
      <c r="O391" s="55" t="s">
        <v>266</v>
      </c>
      <c r="P391" s="55" t="s">
        <v>934</v>
      </c>
      <c r="Q391" s="55" t="s">
        <v>350</v>
      </c>
      <c r="R391" s="55">
        <v>6</v>
      </c>
      <c r="S391" s="74" t="s">
        <v>332</v>
      </c>
      <c r="T391" s="55" t="s">
        <v>935</v>
      </c>
      <c r="U391" s="73" t="s">
        <v>351</v>
      </c>
      <c r="V391" s="74">
        <v>44398</v>
      </c>
      <c r="W391" s="74">
        <v>44433</v>
      </c>
      <c r="X391" s="55">
        <v>10186358</v>
      </c>
      <c r="Y391" s="74" t="s">
        <v>130</v>
      </c>
      <c r="Z391" s="74"/>
      <c r="AB391" s="55" t="s">
        <v>130</v>
      </c>
      <c r="AC391" s="55" t="s">
        <v>146</v>
      </c>
    </row>
    <row r="392" spans="1:29" ht="13" x14ac:dyDescent="0.15">
      <c r="A392" s="72" t="str">
        <f t="shared" si="6"/>
        <v>Ofsted Social Care Provider Webpage</v>
      </c>
      <c r="B392" s="55">
        <v>1258343</v>
      </c>
      <c r="D392" s="55" t="s">
        <v>373</v>
      </c>
      <c r="E392" s="74">
        <v>42997</v>
      </c>
      <c r="F392" s="55" t="s">
        <v>344</v>
      </c>
      <c r="G392" s="55" t="s">
        <v>360</v>
      </c>
      <c r="H392" s="55" t="s">
        <v>360</v>
      </c>
      <c r="I392" s="55" t="s">
        <v>360</v>
      </c>
      <c r="J392" s="55" t="s">
        <v>360</v>
      </c>
      <c r="K392" s="55" t="s">
        <v>360</v>
      </c>
      <c r="L392" s="55" t="s">
        <v>360</v>
      </c>
      <c r="M392" s="55" t="s">
        <v>136</v>
      </c>
      <c r="N392" s="55" t="s">
        <v>136</v>
      </c>
      <c r="O392" s="55" t="s">
        <v>288</v>
      </c>
      <c r="P392" s="55" t="s">
        <v>1037</v>
      </c>
      <c r="Q392" s="55" t="s">
        <v>350</v>
      </c>
      <c r="R392" s="55">
        <v>4</v>
      </c>
      <c r="S392" s="74"/>
      <c r="T392" s="55" t="s">
        <v>888</v>
      </c>
      <c r="U392" s="73" t="s">
        <v>351</v>
      </c>
      <c r="V392" s="74">
        <v>44404</v>
      </c>
      <c r="W392" s="74">
        <v>44452</v>
      </c>
      <c r="X392" s="55">
        <v>10187115</v>
      </c>
      <c r="Y392" s="74" t="s">
        <v>132</v>
      </c>
      <c r="Z392" s="74"/>
      <c r="AB392" s="55" t="s">
        <v>132</v>
      </c>
      <c r="AC392" s="55" t="s">
        <v>132</v>
      </c>
    </row>
    <row r="393" spans="1:29" ht="13" x14ac:dyDescent="0.15">
      <c r="A393" s="72" t="str">
        <f t="shared" si="6"/>
        <v>Ofsted Social Care Provider Webpage</v>
      </c>
      <c r="B393" s="55">
        <v>1258386</v>
      </c>
      <c r="D393" s="55" t="s">
        <v>373</v>
      </c>
      <c r="E393" s="74">
        <v>42982</v>
      </c>
      <c r="F393" s="55" t="s">
        <v>344</v>
      </c>
      <c r="G393" s="55" t="s">
        <v>360</v>
      </c>
      <c r="H393" s="55" t="s">
        <v>360</v>
      </c>
      <c r="I393" s="55" t="s">
        <v>360</v>
      </c>
      <c r="J393" s="55" t="s">
        <v>360</v>
      </c>
      <c r="K393" s="55" t="s">
        <v>360</v>
      </c>
      <c r="L393" s="55" t="s">
        <v>360</v>
      </c>
      <c r="M393" s="55" t="s">
        <v>150</v>
      </c>
      <c r="N393" s="55" t="s">
        <v>150</v>
      </c>
      <c r="O393" s="55" t="s">
        <v>203</v>
      </c>
      <c r="P393" s="55" t="s">
        <v>1038</v>
      </c>
      <c r="Q393" s="55" t="s">
        <v>350</v>
      </c>
      <c r="R393" s="55">
        <v>3</v>
      </c>
      <c r="S393" s="74"/>
      <c r="T393" s="55" t="s">
        <v>1039</v>
      </c>
      <c r="U393" s="73" t="s">
        <v>351</v>
      </c>
      <c r="V393" s="74">
        <v>44418</v>
      </c>
      <c r="W393" s="74">
        <v>44452</v>
      </c>
      <c r="X393" s="55">
        <v>10187167</v>
      </c>
      <c r="Y393" s="74" t="s">
        <v>132</v>
      </c>
      <c r="Z393" s="74"/>
      <c r="AB393" s="55" t="s">
        <v>132</v>
      </c>
      <c r="AC393" s="55" t="s">
        <v>130</v>
      </c>
    </row>
    <row r="394" spans="1:29" ht="13" x14ac:dyDescent="0.15">
      <c r="A394" s="72" t="str">
        <f t="shared" si="6"/>
        <v>Ofsted Social Care Provider Webpage</v>
      </c>
      <c r="B394" s="55">
        <v>1258388</v>
      </c>
      <c r="D394" s="55" t="s">
        <v>358</v>
      </c>
      <c r="E394" s="74">
        <v>42929</v>
      </c>
      <c r="F394" s="55" t="s">
        <v>344</v>
      </c>
      <c r="G394" s="55" t="s">
        <v>1040</v>
      </c>
      <c r="H394" s="55" t="s">
        <v>360</v>
      </c>
      <c r="I394" s="55" t="s">
        <v>360</v>
      </c>
      <c r="J394" s="55" t="s">
        <v>360</v>
      </c>
      <c r="K394" s="55" t="s">
        <v>360</v>
      </c>
      <c r="L394" s="55" t="s">
        <v>360</v>
      </c>
      <c r="M394" s="55" t="s">
        <v>129</v>
      </c>
      <c r="N394" s="55" t="s">
        <v>129</v>
      </c>
      <c r="O394" s="55" t="s">
        <v>201</v>
      </c>
      <c r="P394" s="55" t="s">
        <v>431</v>
      </c>
      <c r="Q394" s="55" t="s">
        <v>362</v>
      </c>
      <c r="R394" s="55"/>
      <c r="S394" s="74"/>
      <c r="T394" s="55" t="s">
        <v>1041</v>
      </c>
      <c r="U394" s="73" t="s">
        <v>351</v>
      </c>
      <c r="V394" s="74">
        <v>43697</v>
      </c>
      <c r="W394" s="74">
        <v>43719</v>
      </c>
      <c r="X394" s="55">
        <v>10093021</v>
      </c>
      <c r="Y394" s="74" t="s">
        <v>132</v>
      </c>
      <c r="Z394" s="74"/>
      <c r="AB394" s="55" t="s">
        <v>132</v>
      </c>
      <c r="AC394" s="55" t="s">
        <v>132</v>
      </c>
    </row>
    <row r="395" spans="1:29" ht="13" x14ac:dyDescent="0.15">
      <c r="A395" s="72" t="str">
        <f t="shared" si="6"/>
        <v>Ofsted Social Care Provider Webpage</v>
      </c>
      <c r="B395" s="55">
        <v>1258434</v>
      </c>
      <c r="D395" s="55" t="s">
        <v>373</v>
      </c>
      <c r="E395" s="74">
        <v>43089</v>
      </c>
      <c r="F395" s="55" t="s">
        <v>344</v>
      </c>
      <c r="G395" s="55" t="s">
        <v>360</v>
      </c>
      <c r="H395" s="55" t="s">
        <v>360</v>
      </c>
      <c r="I395" s="55" t="s">
        <v>360</v>
      </c>
      <c r="J395" s="55" t="s">
        <v>360</v>
      </c>
      <c r="K395" s="55" t="s">
        <v>360</v>
      </c>
      <c r="L395" s="55" t="s">
        <v>360</v>
      </c>
      <c r="M395" s="55" t="s">
        <v>142</v>
      </c>
      <c r="N395" s="55" t="s">
        <v>142</v>
      </c>
      <c r="O395" s="55" t="s">
        <v>278</v>
      </c>
      <c r="P395" s="55" t="s">
        <v>1042</v>
      </c>
      <c r="Q395" s="55" t="s">
        <v>350</v>
      </c>
      <c r="R395" s="55">
        <v>4</v>
      </c>
      <c r="S395" s="74"/>
      <c r="T395" s="55" t="s">
        <v>489</v>
      </c>
      <c r="U395" s="73" t="s">
        <v>351</v>
      </c>
      <c r="V395" s="74">
        <v>44572</v>
      </c>
      <c r="W395" s="74">
        <v>44622</v>
      </c>
      <c r="X395" s="55">
        <v>10186964</v>
      </c>
      <c r="Y395" s="74" t="s">
        <v>132</v>
      </c>
      <c r="Z395" s="74"/>
      <c r="AB395" s="55" t="s">
        <v>132</v>
      </c>
      <c r="AC395" s="55" t="s">
        <v>132</v>
      </c>
    </row>
    <row r="396" spans="1:29" ht="13" x14ac:dyDescent="0.15">
      <c r="A396" s="72" t="str">
        <f t="shared" si="6"/>
        <v>Ofsted Social Care Provider Webpage</v>
      </c>
      <c r="B396" s="55">
        <v>1258436</v>
      </c>
      <c r="D396" s="55" t="s">
        <v>389</v>
      </c>
      <c r="E396" s="74">
        <v>42989</v>
      </c>
      <c r="F396" s="55" t="s">
        <v>344</v>
      </c>
      <c r="G396" s="55" t="s">
        <v>1043</v>
      </c>
      <c r="H396" s="55" t="s">
        <v>1044</v>
      </c>
      <c r="I396" s="55" t="s">
        <v>1045</v>
      </c>
      <c r="J396" s="55" t="s">
        <v>1046</v>
      </c>
      <c r="K396" s="55" t="s">
        <v>142</v>
      </c>
      <c r="L396" s="55" t="s">
        <v>1047</v>
      </c>
      <c r="M396" s="55" t="s">
        <v>142</v>
      </c>
      <c r="N396" s="55" t="s">
        <v>142</v>
      </c>
      <c r="O396" s="55" t="s">
        <v>254</v>
      </c>
      <c r="P396" s="55" t="s">
        <v>1048</v>
      </c>
      <c r="Q396" s="55" t="s">
        <v>350</v>
      </c>
      <c r="R396" s="55"/>
      <c r="S396" s="74"/>
      <c r="T396" s="55" t="s">
        <v>1043</v>
      </c>
      <c r="U396" s="73" t="s">
        <v>351</v>
      </c>
      <c r="V396" s="74">
        <v>44494</v>
      </c>
      <c r="W396" s="74">
        <v>44543</v>
      </c>
      <c r="X396" s="55">
        <v>10209982</v>
      </c>
      <c r="Y396" s="74" t="s">
        <v>140</v>
      </c>
      <c r="Z396" s="74"/>
    </row>
    <row r="397" spans="1:29" ht="13" x14ac:dyDescent="0.15">
      <c r="A397" s="72" t="str">
        <f t="shared" si="6"/>
        <v>Ofsted Social Care Provider Webpage</v>
      </c>
      <c r="B397" s="55">
        <v>1258463</v>
      </c>
      <c r="D397" s="55" t="s">
        <v>373</v>
      </c>
      <c r="E397" s="74">
        <v>43039</v>
      </c>
      <c r="F397" s="55" t="s">
        <v>344</v>
      </c>
      <c r="G397" s="55" t="s">
        <v>360</v>
      </c>
      <c r="H397" s="55" t="s">
        <v>360</v>
      </c>
      <c r="I397" s="55" t="s">
        <v>360</v>
      </c>
      <c r="J397" s="55" t="s">
        <v>360</v>
      </c>
      <c r="K397" s="55" t="s">
        <v>360</v>
      </c>
      <c r="L397" s="55" t="s">
        <v>360</v>
      </c>
      <c r="M397" s="55" t="s">
        <v>150</v>
      </c>
      <c r="N397" s="55" t="s">
        <v>150</v>
      </c>
      <c r="O397" s="55" t="s">
        <v>203</v>
      </c>
      <c r="P397" s="55" t="s">
        <v>593</v>
      </c>
      <c r="Q397" s="55" t="s">
        <v>350</v>
      </c>
      <c r="R397" s="55">
        <v>1</v>
      </c>
      <c r="S397" s="74"/>
      <c r="T397" s="55" t="s">
        <v>594</v>
      </c>
      <c r="U397" s="73" t="s">
        <v>351</v>
      </c>
      <c r="V397" s="74">
        <v>44410</v>
      </c>
      <c r="W397" s="74">
        <v>44454</v>
      </c>
      <c r="X397" s="55">
        <v>10186445</v>
      </c>
      <c r="Y397" s="74" t="s">
        <v>132</v>
      </c>
      <c r="Z397" s="74"/>
      <c r="AB397" s="55" t="s">
        <v>130</v>
      </c>
      <c r="AC397" s="55" t="s">
        <v>130</v>
      </c>
    </row>
    <row r="398" spans="1:29" ht="13" x14ac:dyDescent="0.15">
      <c r="A398" s="72" t="str">
        <f t="shared" si="6"/>
        <v>Ofsted Social Care Provider Webpage</v>
      </c>
      <c r="B398" s="55">
        <v>1258627</v>
      </c>
      <c r="D398" s="55" t="s">
        <v>373</v>
      </c>
      <c r="E398" s="74">
        <v>42926</v>
      </c>
      <c r="F398" s="55" t="s">
        <v>344</v>
      </c>
      <c r="G398" s="55" t="s">
        <v>360</v>
      </c>
      <c r="H398" s="55" t="s">
        <v>360</v>
      </c>
      <c r="I398" s="55" t="s">
        <v>360</v>
      </c>
      <c r="J398" s="55" t="s">
        <v>360</v>
      </c>
      <c r="K398" s="55" t="s">
        <v>360</v>
      </c>
      <c r="L398" s="55" t="s">
        <v>360</v>
      </c>
      <c r="M398" s="55" t="s">
        <v>378</v>
      </c>
      <c r="N398" s="55" t="s">
        <v>134</v>
      </c>
      <c r="O398" s="55" t="s">
        <v>175</v>
      </c>
      <c r="P398" s="55" t="s">
        <v>932</v>
      </c>
      <c r="Q398" s="55" t="s">
        <v>362</v>
      </c>
      <c r="R398" s="55">
        <v>4</v>
      </c>
      <c r="S398" s="74"/>
      <c r="T398" s="55" t="s">
        <v>1049</v>
      </c>
      <c r="U398" s="73" t="s">
        <v>351</v>
      </c>
      <c r="V398" s="74">
        <v>44327</v>
      </c>
      <c r="W398" s="74">
        <v>44364</v>
      </c>
      <c r="X398" s="55">
        <v>10185120</v>
      </c>
      <c r="Y398" s="74" t="s">
        <v>132</v>
      </c>
      <c r="Z398" s="74"/>
      <c r="AB398" s="55" t="s">
        <v>132</v>
      </c>
      <c r="AC398" s="55" t="s">
        <v>132</v>
      </c>
    </row>
    <row r="399" spans="1:29" ht="13" x14ac:dyDescent="0.15">
      <c r="A399" s="72" t="str">
        <f t="shared" si="6"/>
        <v>Ofsted Social Care Provider Webpage</v>
      </c>
      <c r="B399" s="55">
        <v>1258658</v>
      </c>
      <c r="D399" s="55" t="s">
        <v>373</v>
      </c>
      <c r="E399" s="74">
        <v>42993</v>
      </c>
      <c r="F399" s="55" t="s">
        <v>344</v>
      </c>
      <c r="G399" s="55" t="s">
        <v>360</v>
      </c>
      <c r="H399" s="55" t="s">
        <v>360</v>
      </c>
      <c r="I399" s="55" t="s">
        <v>360</v>
      </c>
      <c r="J399" s="55" t="s">
        <v>360</v>
      </c>
      <c r="K399" s="55" t="s">
        <v>360</v>
      </c>
      <c r="L399" s="55" t="s">
        <v>360</v>
      </c>
      <c r="M399" s="55" t="s">
        <v>138</v>
      </c>
      <c r="N399" s="55" t="s">
        <v>138</v>
      </c>
      <c r="O399" s="55" t="s">
        <v>183</v>
      </c>
      <c r="P399" s="55" t="s">
        <v>1050</v>
      </c>
      <c r="Q399" s="55" t="s">
        <v>350</v>
      </c>
      <c r="R399" s="55">
        <v>4</v>
      </c>
      <c r="S399" s="74"/>
      <c r="T399" s="55" t="s">
        <v>617</v>
      </c>
      <c r="U399" s="73" t="s">
        <v>351</v>
      </c>
      <c r="V399" s="74">
        <v>44361</v>
      </c>
      <c r="W399" s="74">
        <v>44432</v>
      </c>
      <c r="X399" s="55">
        <v>10186543</v>
      </c>
      <c r="Y399" s="74" t="s">
        <v>130</v>
      </c>
      <c r="Z399" s="74"/>
      <c r="AB399" s="55" t="s">
        <v>130</v>
      </c>
      <c r="AC399" s="55" t="s">
        <v>130</v>
      </c>
    </row>
    <row r="400" spans="1:29" ht="13" x14ac:dyDescent="0.15">
      <c r="A400" s="72" t="str">
        <f t="shared" si="6"/>
        <v>Ofsted Social Care Provider Webpage</v>
      </c>
      <c r="B400" s="55">
        <v>1258831</v>
      </c>
      <c r="D400" s="55" t="s">
        <v>373</v>
      </c>
      <c r="E400" s="74">
        <v>42951</v>
      </c>
      <c r="F400" s="55" t="s">
        <v>344</v>
      </c>
      <c r="G400" s="55" t="s">
        <v>360</v>
      </c>
      <c r="H400" s="55" t="s">
        <v>360</v>
      </c>
      <c r="I400" s="55" t="s">
        <v>360</v>
      </c>
      <c r="J400" s="55" t="s">
        <v>360</v>
      </c>
      <c r="K400" s="55" t="s">
        <v>360</v>
      </c>
      <c r="L400" s="55" t="s">
        <v>360</v>
      </c>
      <c r="M400" s="55" t="s">
        <v>150</v>
      </c>
      <c r="N400" s="55" t="s">
        <v>150</v>
      </c>
      <c r="O400" s="55" t="s">
        <v>190</v>
      </c>
      <c r="P400" s="55" t="s">
        <v>830</v>
      </c>
      <c r="Q400" s="55" t="s">
        <v>350</v>
      </c>
      <c r="R400" s="55">
        <v>3</v>
      </c>
      <c r="S400" s="74"/>
      <c r="T400" s="55" t="s">
        <v>1051</v>
      </c>
      <c r="U400" s="73" t="s">
        <v>351</v>
      </c>
      <c r="V400" s="74">
        <v>44588</v>
      </c>
      <c r="W400" s="74">
        <v>44628</v>
      </c>
      <c r="X400" s="55">
        <v>10187614</v>
      </c>
      <c r="Y400" s="74" t="s">
        <v>132</v>
      </c>
      <c r="Z400" s="74"/>
      <c r="AB400" s="55" t="s">
        <v>132</v>
      </c>
      <c r="AC400" s="55" t="s">
        <v>132</v>
      </c>
    </row>
    <row r="401" spans="1:29" ht="13" x14ac:dyDescent="0.15">
      <c r="A401" s="72" t="str">
        <f t="shared" si="6"/>
        <v>Ofsted Social Care Provider Webpage</v>
      </c>
      <c r="B401" s="55">
        <v>1258887</v>
      </c>
      <c r="D401" s="55" t="s">
        <v>373</v>
      </c>
      <c r="E401" s="74">
        <v>43112</v>
      </c>
      <c r="F401" s="55" t="s">
        <v>344</v>
      </c>
      <c r="G401" s="55" t="s">
        <v>360</v>
      </c>
      <c r="H401" s="55" t="s">
        <v>360</v>
      </c>
      <c r="I401" s="55" t="s">
        <v>360</v>
      </c>
      <c r="J401" s="55" t="s">
        <v>360</v>
      </c>
      <c r="K401" s="55" t="s">
        <v>360</v>
      </c>
      <c r="L401" s="55" t="s">
        <v>360</v>
      </c>
      <c r="M401" s="55" t="s">
        <v>142</v>
      </c>
      <c r="N401" s="55" t="s">
        <v>142</v>
      </c>
      <c r="O401" s="55" t="s">
        <v>292</v>
      </c>
      <c r="P401" s="55" t="s">
        <v>1052</v>
      </c>
      <c r="Q401" s="55" t="s">
        <v>350</v>
      </c>
      <c r="R401" s="55">
        <v>4</v>
      </c>
      <c r="S401" s="74"/>
      <c r="T401" s="55" t="s">
        <v>1053</v>
      </c>
      <c r="U401" s="73"/>
      <c r="W401" s="74"/>
      <c r="Y401" s="74"/>
      <c r="Z401" s="74"/>
    </row>
    <row r="402" spans="1:29" ht="13" x14ac:dyDescent="0.15">
      <c r="A402" s="72" t="str">
        <f t="shared" si="6"/>
        <v>Ofsted Social Care Provider Webpage</v>
      </c>
      <c r="B402" s="55">
        <v>1258890</v>
      </c>
      <c r="D402" s="55" t="s">
        <v>389</v>
      </c>
      <c r="E402" s="74">
        <v>43045</v>
      </c>
      <c r="F402" s="55" t="s">
        <v>344</v>
      </c>
      <c r="G402" s="55" t="s">
        <v>1054</v>
      </c>
      <c r="H402" s="55" t="s">
        <v>1055</v>
      </c>
      <c r="I402" s="55" t="s">
        <v>1056</v>
      </c>
      <c r="J402" s="55" t="s">
        <v>1057</v>
      </c>
      <c r="L402" s="55" t="s">
        <v>1058</v>
      </c>
      <c r="M402" s="55" t="s">
        <v>138</v>
      </c>
      <c r="N402" s="55" t="s">
        <v>138</v>
      </c>
      <c r="O402" s="55" t="s">
        <v>196</v>
      </c>
      <c r="P402" s="55" t="s">
        <v>1059</v>
      </c>
      <c r="Q402" s="55" t="s">
        <v>350</v>
      </c>
      <c r="R402" s="55"/>
      <c r="S402" s="74"/>
      <c r="T402" s="55" t="s">
        <v>1054</v>
      </c>
      <c r="U402" s="73" t="s">
        <v>351</v>
      </c>
      <c r="V402" s="74">
        <v>43402</v>
      </c>
      <c r="W402" s="74">
        <v>43424</v>
      </c>
      <c r="X402" s="55">
        <v>10054210</v>
      </c>
      <c r="Y402" s="74" t="s">
        <v>132</v>
      </c>
      <c r="Z402" s="74"/>
      <c r="AB402" s="55" t="s">
        <v>132</v>
      </c>
      <c r="AC402" s="55" t="s">
        <v>130</v>
      </c>
    </row>
    <row r="403" spans="1:29" ht="13" x14ac:dyDescent="0.15">
      <c r="A403" s="72" t="str">
        <f t="shared" si="6"/>
        <v>Ofsted Social Care Provider Webpage</v>
      </c>
      <c r="B403" s="55">
        <v>1258893</v>
      </c>
      <c r="D403" s="55" t="s">
        <v>373</v>
      </c>
      <c r="E403" s="74">
        <v>42991</v>
      </c>
      <c r="F403" s="55" t="s">
        <v>344</v>
      </c>
      <c r="G403" s="55" t="s">
        <v>360</v>
      </c>
      <c r="H403" s="55" t="s">
        <v>360</v>
      </c>
      <c r="I403" s="55" t="s">
        <v>360</v>
      </c>
      <c r="J403" s="55" t="s">
        <v>360</v>
      </c>
      <c r="K403" s="55" t="s">
        <v>360</v>
      </c>
      <c r="L403" s="55" t="s">
        <v>360</v>
      </c>
      <c r="M403" s="55" t="s">
        <v>142</v>
      </c>
      <c r="N403" s="55" t="s">
        <v>142</v>
      </c>
      <c r="O403" s="55" t="s">
        <v>293</v>
      </c>
      <c r="P403" s="55" t="s">
        <v>1060</v>
      </c>
      <c r="Q403" s="55" t="s">
        <v>350</v>
      </c>
      <c r="R403" s="55">
        <v>2</v>
      </c>
      <c r="S403" s="74"/>
      <c r="T403" s="55" t="s">
        <v>1061</v>
      </c>
      <c r="U403" s="73" t="s">
        <v>351</v>
      </c>
      <c r="V403" s="74">
        <v>43711</v>
      </c>
      <c r="W403" s="74">
        <v>43733</v>
      </c>
      <c r="X403" s="55">
        <v>10097909</v>
      </c>
      <c r="Y403" s="74" t="s">
        <v>132</v>
      </c>
      <c r="Z403" s="74"/>
      <c r="AB403" s="55" t="s">
        <v>132</v>
      </c>
      <c r="AC403" s="55" t="s">
        <v>132</v>
      </c>
    </row>
    <row r="404" spans="1:29" ht="13" x14ac:dyDescent="0.15">
      <c r="A404" s="72" t="str">
        <f t="shared" si="6"/>
        <v>Ofsted Social Care Provider Webpage</v>
      </c>
      <c r="B404" s="55">
        <v>1258894</v>
      </c>
      <c r="D404" s="55" t="s">
        <v>373</v>
      </c>
      <c r="E404" s="74">
        <v>42950</v>
      </c>
      <c r="F404" s="55" t="s">
        <v>344</v>
      </c>
      <c r="G404" s="55" t="s">
        <v>360</v>
      </c>
      <c r="H404" s="55" t="s">
        <v>360</v>
      </c>
      <c r="I404" s="55" t="s">
        <v>360</v>
      </c>
      <c r="J404" s="55" t="s">
        <v>360</v>
      </c>
      <c r="K404" s="55" t="s">
        <v>360</v>
      </c>
      <c r="L404" s="55" t="s">
        <v>360</v>
      </c>
      <c r="M404" s="55" t="s">
        <v>172</v>
      </c>
      <c r="N404" s="55" t="s">
        <v>172</v>
      </c>
      <c r="O404" s="55" t="s">
        <v>211</v>
      </c>
      <c r="P404" s="55" t="s">
        <v>1062</v>
      </c>
      <c r="Q404" s="55" t="s">
        <v>350</v>
      </c>
      <c r="R404" s="55">
        <v>6</v>
      </c>
      <c r="S404" s="74"/>
      <c r="T404" s="55" t="s">
        <v>1063</v>
      </c>
      <c r="U404" s="73" t="s">
        <v>351</v>
      </c>
      <c r="V404" s="74">
        <v>44453</v>
      </c>
      <c r="W404" s="74">
        <v>44488</v>
      </c>
      <c r="X404" s="55">
        <v>10187297</v>
      </c>
      <c r="Y404" s="74" t="s">
        <v>132</v>
      </c>
      <c r="Z404" s="74"/>
      <c r="AB404" s="55" t="s">
        <v>132</v>
      </c>
      <c r="AC404" s="55" t="s">
        <v>132</v>
      </c>
    </row>
    <row r="405" spans="1:29" ht="13" x14ac:dyDescent="0.15">
      <c r="A405" s="72" t="str">
        <f t="shared" si="6"/>
        <v>Ofsted Social Care Provider Webpage</v>
      </c>
      <c r="B405" s="55">
        <v>1258975</v>
      </c>
      <c r="D405" s="55" t="s">
        <v>373</v>
      </c>
      <c r="E405" s="74">
        <v>43024</v>
      </c>
      <c r="F405" s="55" t="s">
        <v>344</v>
      </c>
      <c r="G405" s="55" t="s">
        <v>360</v>
      </c>
      <c r="H405" s="55" t="s">
        <v>360</v>
      </c>
      <c r="I405" s="55" t="s">
        <v>360</v>
      </c>
      <c r="J405" s="55" t="s">
        <v>360</v>
      </c>
      <c r="K405" s="55" t="s">
        <v>360</v>
      </c>
      <c r="L405" s="55" t="s">
        <v>360</v>
      </c>
      <c r="M405" s="55" t="s">
        <v>144</v>
      </c>
      <c r="N405" s="55" t="s">
        <v>144</v>
      </c>
      <c r="O405" s="55" t="s">
        <v>236</v>
      </c>
      <c r="P405" s="55" t="s">
        <v>996</v>
      </c>
      <c r="Q405" s="55" t="s">
        <v>350</v>
      </c>
      <c r="R405" s="55">
        <v>3</v>
      </c>
      <c r="S405" s="74"/>
      <c r="T405" s="55" t="s">
        <v>1064</v>
      </c>
      <c r="U405" s="73" t="s">
        <v>351</v>
      </c>
      <c r="V405" s="74">
        <v>44579</v>
      </c>
      <c r="W405" s="74">
        <v>44614</v>
      </c>
      <c r="X405" s="55">
        <v>10185247</v>
      </c>
      <c r="Y405" s="74" t="s">
        <v>140</v>
      </c>
      <c r="Z405" s="74"/>
      <c r="AB405" s="55" t="s">
        <v>140</v>
      </c>
      <c r="AC405" s="55" t="s">
        <v>140</v>
      </c>
    </row>
    <row r="406" spans="1:29" ht="13" x14ac:dyDescent="0.15">
      <c r="A406" s="72" t="str">
        <f t="shared" si="6"/>
        <v>Ofsted Social Care Provider Webpage</v>
      </c>
      <c r="B406" s="55">
        <v>1259061</v>
      </c>
      <c r="D406" s="55" t="s">
        <v>373</v>
      </c>
      <c r="E406" s="74">
        <v>42986</v>
      </c>
      <c r="F406" s="55" t="s">
        <v>344</v>
      </c>
      <c r="G406" s="55" t="s">
        <v>360</v>
      </c>
      <c r="H406" s="55" t="s">
        <v>360</v>
      </c>
      <c r="I406" s="55" t="s">
        <v>360</v>
      </c>
      <c r="J406" s="55" t="s">
        <v>360</v>
      </c>
      <c r="K406" s="55" t="s">
        <v>360</v>
      </c>
      <c r="L406" s="55" t="s">
        <v>360</v>
      </c>
      <c r="M406" s="55" t="s">
        <v>144</v>
      </c>
      <c r="N406" s="55" t="s">
        <v>144</v>
      </c>
      <c r="O406" s="55" t="s">
        <v>209</v>
      </c>
      <c r="P406" s="55" t="s">
        <v>484</v>
      </c>
      <c r="Q406" s="55" t="s">
        <v>350</v>
      </c>
      <c r="R406" s="55">
        <v>2</v>
      </c>
      <c r="S406" s="74"/>
      <c r="T406" s="55" t="s">
        <v>1065</v>
      </c>
      <c r="U406" s="73" t="s">
        <v>351</v>
      </c>
      <c r="V406" s="74">
        <v>44600</v>
      </c>
      <c r="W406" s="74">
        <v>44643</v>
      </c>
      <c r="X406" s="55">
        <v>10185259</v>
      </c>
      <c r="Y406" s="74" t="s">
        <v>132</v>
      </c>
      <c r="Z406" s="74"/>
      <c r="AB406" s="55" t="s">
        <v>130</v>
      </c>
      <c r="AC406" s="55" t="s">
        <v>132</v>
      </c>
    </row>
    <row r="407" spans="1:29" ht="13" x14ac:dyDescent="0.15">
      <c r="A407" s="72" t="str">
        <f t="shared" si="6"/>
        <v>Ofsted Social Care Provider Webpage</v>
      </c>
      <c r="B407" s="55">
        <v>1259114</v>
      </c>
      <c r="D407" s="55" t="s">
        <v>373</v>
      </c>
      <c r="E407" s="74">
        <v>43125</v>
      </c>
      <c r="F407" s="55" t="s">
        <v>344</v>
      </c>
      <c r="G407" s="55" t="s">
        <v>360</v>
      </c>
      <c r="H407" s="55" t="s">
        <v>360</v>
      </c>
      <c r="I407" s="55" t="s">
        <v>360</v>
      </c>
      <c r="J407" s="55" t="s">
        <v>360</v>
      </c>
      <c r="K407" s="55" t="s">
        <v>360</v>
      </c>
      <c r="L407" s="55" t="s">
        <v>360</v>
      </c>
      <c r="M407" s="55" t="s">
        <v>142</v>
      </c>
      <c r="N407" s="55" t="s">
        <v>142</v>
      </c>
      <c r="O407" s="55" t="s">
        <v>262</v>
      </c>
      <c r="P407" s="55" t="s">
        <v>916</v>
      </c>
      <c r="Q407" s="55" t="s">
        <v>350</v>
      </c>
      <c r="R407" s="55">
        <v>3</v>
      </c>
      <c r="S407" s="74"/>
      <c r="T407" s="55" t="s">
        <v>917</v>
      </c>
      <c r="U407" s="73" t="s">
        <v>351</v>
      </c>
      <c r="V407" s="74">
        <v>44488</v>
      </c>
      <c r="W407" s="74">
        <v>44522</v>
      </c>
      <c r="X407" s="55">
        <v>10185737</v>
      </c>
      <c r="Y407" s="74" t="s">
        <v>130</v>
      </c>
      <c r="Z407" s="74"/>
      <c r="AB407" s="55" t="s">
        <v>130</v>
      </c>
      <c r="AC407" s="55" t="s">
        <v>130</v>
      </c>
    </row>
    <row r="408" spans="1:29" ht="13" x14ac:dyDescent="0.15">
      <c r="A408" s="72" t="str">
        <f t="shared" si="6"/>
        <v>Ofsted Social Care Provider Webpage</v>
      </c>
      <c r="B408" s="55">
        <v>1259118</v>
      </c>
      <c r="D408" s="55" t="s">
        <v>373</v>
      </c>
      <c r="E408" s="74">
        <v>42901</v>
      </c>
      <c r="F408" s="55" t="s">
        <v>344</v>
      </c>
      <c r="G408" s="55" t="s">
        <v>360</v>
      </c>
      <c r="H408" s="55" t="s">
        <v>360</v>
      </c>
      <c r="I408" s="55" t="s">
        <v>360</v>
      </c>
      <c r="J408" s="55" t="s">
        <v>360</v>
      </c>
      <c r="K408" s="55" t="s">
        <v>360</v>
      </c>
      <c r="L408" s="55" t="s">
        <v>360</v>
      </c>
      <c r="M408" s="55" t="s">
        <v>142</v>
      </c>
      <c r="N408" s="55" t="s">
        <v>142</v>
      </c>
      <c r="O408" s="55" t="s">
        <v>265</v>
      </c>
      <c r="P408" s="55" t="s">
        <v>1066</v>
      </c>
      <c r="Q408" s="55" t="s">
        <v>380</v>
      </c>
      <c r="R408" s="55">
        <v>2</v>
      </c>
      <c r="S408" s="74"/>
      <c r="T408" s="55" t="s">
        <v>1067</v>
      </c>
      <c r="U408" s="73" t="s">
        <v>351</v>
      </c>
      <c r="V408" s="74">
        <v>44376</v>
      </c>
      <c r="W408" s="74">
        <v>44407</v>
      </c>
      <c r="X408" s="55">
        <v>10187296</v>
      </c>
      <c r="Y408" s="74" t="s">
        <v>132</v>
      </c>
      <c r="Z408" s="74"/>
      <c r="AB408" s="55" t="s">
        <v>132</v>
      </c>
      <c r="AC408" s="55" t="s">
        <v>132</v>
      </c>
    </row>
    <row r="409" spans="1:29" ht="13" x14ac:dyDescent="0.15">
      <c r="A409" s="72" t="str">
        <f t="shared" si="6"/>
        <v>Ofsted Social Care Provider Webpage</v>
      </c>
      <c r="B409" s="55">
        <v>1259178</v>
      </c>
      <c r="D409" s="55" t="s">
        <v>373</v>
      </c>
      <c r="E409" s="74">
        <v>43146</v>
      </c>
      <c r="F409" s="55" t="s">
        <v>344</v>
      </c>
      <c r="G409" s="55" t="s">
        <v>360</v>
      </c>
      <c r="H409" s="55" t="s">
        <v>360</v>
      </c>
      <c r="I409" s="55" t="s">
        <v>360</v>
      </c>
      <c r="J409" s="55" t="s">
        <v>360</v>
      </c>
      <c r="K409" s="55" t="s">
        <v>360</v>
      </c>
      <c r="L409" s="55" t="s">
        <v>360</v>
      </c>
      <c r="M409" s="55" t="s">
        <v>142</v>
      </c>
      <c r="N409" s="55" t="s">
        <v>142</v>
      </c>
      <c r="O409" s="55" t="s">
        <v>141</v>
      </c>
      <c r="P409" s="55" t="s">
        <v>573</v>
      </c>
      <c r="Q409" s="55" t="s">
        <v>350</v>
      </c>
      <c r="R409" s="55">
        <v>2</v>
      </c>
      <c r="S409" s="74"/>
      <c r="T409" s="55" t="s">
        <v>1068</v>
      </c>
      <c r="U409" s="73" t="s">
        <v>351</v>
      </c>
      <c r="V409" s="74">
        <v>44348</v>
      </c>
      <c r="W409" s="74">
        <v>44404</v>
      </c>
      <c r="X409" s="55">
        <v>10187136</v>
      </c>
      <c r="Y409" s="74" t="s">
        <v>132</v>
      </c>
      <c r="Z409" s="74"/>
      <c r="AB409" s="55" t="s">
        <v>132</v>
      </c>
      <c r="AC409" s="55" t="s">
        <v>130</v>
      </c>
    </row>
    <row r="410" spans="1:29" ht="13" x14ac:dyDescent="0.15">
      <c r="A410" s="72" t="str">
        <f t="shared" si="6"/>
        <v>Ofsted Social Care Provider Webpage</v>
      </c>
      <c r="B410" s="55">
        <v>1259184</v>
      </c>
      <c r="D410" s="55" t="s">
        <v>373</v>
      </c>
      <c r="E410" s="74">
        <v>43131</v>
      </c>
      <c r="F410" s="55" t="s">
        <v>344</v>
      </c>
      <c r="G410" s="55" t="s">
        <v>360</v>
      </c>
      <c r="H410" s="55" t="s">
        <v>360</v>
      </c>
      <c r="I410" s="55" t="s">
        <v>360</v>
      </c>
      <c r="J410" s="55" t="s">
        <v>360</v>
      </c>
      <c r="K410" s="55" t="s">
        <v>360</v>
      </c>
      <c r="L410" s="55" t="s">
        <v>360</v>
      </c>
      <c r="M410" s="55" t="s">
        <v>172</v>
      </c>
      <c r="N410" s="55" t="s">
        <v>172</v>
      </c>
      <c r="O410" s="55" t="s">
        <v>173</v>
      </c>
      <c r="P410" s="55" t="s">
        <v>1069</v>
      </c>
      <c r="Q410" s="55" t="s">
        <v>350</v>
      </c>
      <c r="R410" s="55">
        <v>4</v>
      </c>
      <c r="S410" s="74"/>
      <c r="T410" s="55" t="s">
        <v>1070</v>
      </c>
      <c r="U410" s="73" t="s">
        <v>351</v>
      </c>
      <c r="V410" s="74">
        <v>44440</v>
      </c>
      <c r="W410" s="74">
        <v>44477</v>
      </c>
      <c r="X410" s="55">
        <v>10185522</v>
      </c>
      <c r="Y410" s="74" t="s">
        <v>140</v>
      </c>
      <c r="Z410" s="74"/>
      <c r="AB410" s="55" t="s">
        <v>132</v>
      </c>
      <c r="AC410" s="55" t="s">
        <v>132</v>
      </c>
    </row>
    <row r="411" spans="1:29" ht="13" x14ac:dyDescent="0.15">
      <c r="A411" s="72" t="str">
        <f t="shared" si="6"/>
        <v>Ofsted Social Care Provider Webpage</v>
      </c>
      <c r="B411" s="55">
        <v>1259216</v>
      </c>
      <c r="D411" s="55" t="s">
        <v>373</v>
      </c>
      <c r="E411" s="74">
        <v>42935</v>
      </c>
      <c r="F411" s="55" t="s">
        <v>344</v>
      </c>
      <c r="G411" s="55" t="s">
        <v>360</v>
      </c>
      <c r="H411" s="55" t="s">
        <v>360</v>
      </c>
      <c r="I411" s="55" t="s">
        <v>360</v>
      </c>
      <c r="J411" s="55" t="s">
        <v>360</v>
      </c>
      <c r="K411" s="55" t="s">
        <v>360</v>
      </c>
      <c r="L411" s="55" t="s">
        <v>360</v>
      </c>
      <c r="M411" s="55" t="s">
        <v>136</v>
      </c>
      <c r="N411" s="55" t="s">
        <v>136</v>
      </c>
      <c r="O411" s="55" t="s">
        <v>174</v>
      </c>
      <c r="P411" s="55" t="s">
        <v>651</v>
      </c>
      <c r="Q411" s="55" t="s">
        <v>350</v>
      </c>
      <c r="R411" s="55">
        <v>1</v>
      </c>
      <c r="S411" s="74"/>
      <c r="T411" s="55" t="s">
        <v>652</v>
      </c>
      <c r="U411" s="73" t="s">
        <v>351</v>
      </c>
      <c r="V411" s="74">
        <v>44544</v>
      </c>
      <c r="W411" s="74">
        <v>44593</v>
      </c>
      <c r="X411" s="55">
        <v>10185272</v>
      </c>
      <c r="Y411" s="74" t="s">
        <v>132</v>
      </c>
      <c r="Z411" s="74"/>
      <c r="AB411" s="55" t="s">
        <v>132</v>
      </c>
      <c r="AC411" s="55" t="s">
        <v>132</v>
      </c>
    </row>
    <row r="412" spans="1:29" ht="13" x14ac:dyDescent="0.15">
      <c r="A412" s="72" t="str">
        <f t="shared" si="6"/>
        <v>Ofsted Social Care Provider Webpage</v>
      </c>
      <c r="B412" s="55">
        <v>1259274</v>
      </c>
      <c r="D412" s="55" t="s">
        <v>389</v>
      </c>
      <c r="E412" s="74">
        <v>42983</v>
      </c>
      <c r="F412" s="55" t="s">
        <v>344</v>
      </c>
      <c r="G412" s="55" t="s">
        <v>1071</v>
      </c>
      <c r="H412" s="55" t="s">
        <v>1071</v>
      </c>
      <c r="I412" s="55" t="s">
        <v>1072</v>
      </c>
      <c r="J412" s="55" t="s">
        <v>1073</v>
      </c>
      <c r="L412" s="55" t="s">
        <v>1074</v>
      </c>
      <c r="M412" s="55" t="s">
        <v>138</v>
      </c>
      <c r="N412" s="55" t="s">
        <v>138</v>
      </c>
      <c r="O412" s="55" t="s">
        <v>159</v>
      </c>
      <c r="P412" s="55" t="s">
        <v>1073</v>
      </c>
      <c r="Q412" s="55" t="s">
        <v>350</v>
      </c>
      <c r="R412" s="55"/>
      <c r="S412" s="74"/>
      <c r="T412" s="55" t="s">
        <v>1071</v>
      </c>
      <c r="U412" s="73" t="s">
        <v>351</v>
      </c>
      <c r="V412" s="74">
        <v>43353</v>
      </c>
      <c r="W412" s="74">
        <v>43371</v>
      </c>
      <c r="X412" s="55">
        <v>10054209</v>
      </c>
      <c r="Y412" s="74" t="s">
        <v>132</v>
      </c>
      <c r="Z412" s="74"/>
      <c r="AB412" s="55" t="s">
        <v>132</v>
      </c>
      <c r="AC412" s="55" t="s">
        <v>132</v>
      </c>
    </row>
    <row r="413" spans="1:29" ht="13" x14ac:dyDescent="0.15">
      <c r="A413" s="72" t="str">
        <f t="shared" si="6"/>
        <v>Ofsted Social Care Provider Webpage</v>
      </c>
      <c r="B413" s="55">
        <v>1259415</v>
      </c>
      <c r="D413" s="55" t="s">
        <v>451</v>
      </c>
      <c r="E413" s="74">
        <v>42992</v>
      </c>
      <c r="F413" s="55" t="s">
        <v>344</v>
      </c>
      <c r="G413" s="55" t="s">
        <v>1075</v>
      </c>
      <c r="H413" s="55" t="s">
        <v>1076</v>
      </c>
      <c r="I413" s="55" t="s">
        <v>354</v>
      </c>
      <c r="J413" s="55" t="s">
        <v>129</v>
      </c>
      <c r="L413" s="55" t="s">
        <v>1077</v>
      </c>
      <c r="M413" s="55" t="s">
        <v>129</v>
      </c>
      <c r="N413" s="55" t="s">
        <v>129</v>
      </c>
      <c r="O413" s="55" t="s">
        <v>242</v>
      </c>
      <c r="P413" s="55" t="s">
        <v>1078</v>
      </c>
      <c r="Q413" s="55" t="s">
        <v>350</v>
      </c>
      <c r="R413" s="55">
        <v>4</v>
      </c>
      <c r="S413" s="74"/>
      <c r="T413" s="55" t="s">
        <v>1022</v>
      </c>
      <c r="U413" s="73" t="s">
        <v>351</v>
      </c>
      <c r="V413" s="74">
        <v>43495</v>
      </c>
      <c r="W413" s="74">
        <v>43522</v>
      </c>
      <c r="X413" s="55">
        <v>10054065</v>
      </c>
      <c r="Y413" s="74" t="s">
        <v>132</v>
      </c>
      <c r="Z413" s="74"/>
      <c r="AB413" s="55" t="s">
        <v>132</v>
      </c>
      <c r="AC413" s="55" t="s">
        <v>132</v>
      </c>
    </row>
    <row r="414" spans="1:29" ht="13" x14ac:dyDescent="0.15">
      <c r="A414" s="72" t="str">
        <f t="shared" si="6"/>
        <v>Ofsted Social Care Provider Webpage</v>
      </c>
      <c r="B414" s="55">
        <v>1259419</v>
      </c>
      <c r="D414" s="55" t="s">
        <v>373</v>
      </c>
      <c r="E414" s="74">
        <v>43049</v>
      </c>
      <c r="F414" s="55" t="s">
        <v>344</v>
      </c>
      <c r="G414" s="55" t="s">
        <v>360</v>
      </c>
      <c r="H414" s="55" t="s">
        <v>360</v>
      </c>
      <c r="I414" s="55" t="s">
        <v>360</v>
      </c>
      <c r="J414" s="55" t="s">
        <v>360</v>
      </c>
      <c r="K414" s="55" t="s">
        <v>360</v>
      </c>
      <c r="L414" s="55" t="s">
        <v>360</v>
      </c>
      <c r="M414" s="55" t="s">
        <v>172</v>
      </c>
      <c r="N414" s="55" t="s">
        <v>172</v>
      </c>
      <c r="O414" s="55" t="s">
        <v>212</v>
      </c>
      <c r="P414" s="55" t="s">
        <v>714</v>
      </c>
      <c r="Q414" s="55" t="s">
        <v>350</v>
      </c>
      <c r="R414" s="55">
        <v>1</v>
      </c>
      <c r="S414" s="74"/>
      <c r="T414" s="55" t="s">
        <v>861</v>
      </c>
      <c r="U414" s="73" t="s">
        <v>351</v>
      </c>
      <c r="V414" s="74">
        <v>44545</v>
      </c>
      <c r="W414" s="74">
        <v>44595</v>
      </c>
      <c r="X414" s="55">
        <v>10185571</v>
      </c>
      <c r="Y414" s="74" t="s">
        <v>132</v>
      </c>
      <c r="Z414" s="74"/>
      <c r="AB414" s="55" t="s">
        <v>132</v>
      </c>
      <c r="AC414" s="55" t="s">
        <v>132</v>
      </c>
    </row>
    <row r="415" spans="1:29" ht="13" x14ac:dyDescent="0.15">
      <c r="A415" s="72" t="str">
        <f t="shared" si="6"/>
        <v>Ofsted Social Care Provider Webpage</v>
      </c>
      <c r="B415" s="55">
        <v>1259508</v>
      </c>
      <c r="D415" s="55" t="s">
        <v>373</v>
      </c>
      <c r="E415" s="74">
        <v>42999</v>
      </c>
      <c r="F415" s="55" t="s">
        <v>344</v>
      </c>
      <c r="G415" s="55" t="s">
        <v>360</v>
      </c>
      <c r="H415" s="55" t="s">
        <v>360</v>
      </c>
      <c r="I415" s="55" t="s">
        <v>360</v>
      </c>
      <c r="J415" s="55" t="s">
        <v>360</v>
      </c>
      <c r="K415" s="55" t="s">
        <v>360</v>
      </c>
      <c r="L415" s="55" t="s">
        <v>360</v>
      </c>
      <c r="M415" s="55" t="s">
        <v>150</v>
      </c>
      <c r="N415" s="55" t="s">
        <v>150</v>
      </c>
      <c r="O415" s="55" t="s">
        <v>237</v>
      </c>
      <c r="P415" s="55" t="s">
        <v>869</v>
      </c>
      <c r="Q415" s="55" t="s">
        <v>350</v>
      </c>
      <c r="R415" s="55">
        <v>8</v>
      </c>
      <c r="S415" s="74"/>
      <c r="T415" s="55" t="s">
        <v>890</v>
      </c>
      <c r="U415" s="73" t="s">
        <v>351</v>
      </c>
      <c r="V415" s="74">
        <v>43542</v>
      </c>
      <c r="W415" s="74">
        <v>43567</v>
      </c>
      <c r="X415" s="55">
        <v>10051339</v>
      </c>
      <c r="Y415" s="55" t="s">
        <v>140</v>
      </c>
      <c r="AB415" s="55" t="s">
        <v>140</v>
      </c>
      <c r="AC415" s="55" t="s">
        <v>140</v>
      </c>
    </row>
    <row r="416" spans="1:29" ht="13" x14ac:dyDescent="0.15">
      <c r="A416" s="72" t="str">
        <f t="shared" si="6"/>
        <v>Ofsted Social Care Provider Webpage</v>
      </c>
      <c r="B416" s="55">
        <v>1259547</v>
      </c>
      <c r="D416" s="55" t="s">
        <v>373</v>
      </c>
      <c r="E416" s="74">
        <v>43010</v>
      </c>
      <c r="F416" s="55" t="s">
        <v>344</v>
      </c>
      <c r="G416" s="55" t="s">
        <v>360</v>
      </c>
      <c r="H416" s="55" t="s">
        <v>360</v>
      </c>
      <c r="I416" s="55" t="s">
        <v>360</v>
      </c>
      <c r="J416" s="55" t="s">
        <v>360</v>
      </c>
      <c r="K416" s="55" t="s">
        <v>360</v>
      </c>
      <c r="L416" s="55" t="s">
        <v>360</v>
      </c>
      <c r="M416" s="55" t="s">
        <v>172</v>
      </c>
      <c r="N416" s="55" t="s">
        <v>172</v>
      </c>
      <c r="O416" s="55" t="s">
        <v>228</v>
      </c>
      <c r="P416" s="55" t="s">
        <v>991</v>
      </c>
      <c r="Q416" s="55" t="s">
        <v>350</v>
      </c>
      <c r="R416" s="55">
        <v>3</v>
      </c>
      <c r="S416" s="74"/>
      <c r="T416" s="55" t="s">
        <v>1079</v>
      </c>
      <c r="U416" s="73" t="s">
        <v>351</v>
      </c>
      <c r="V416" s="74">
        <v>44615</v>
      </c>
      <c r="W416" s="74">
        <v>44663</v>
      </c>
      <c r="X416" s="55">
        <v>10186912</v>
      </c>
      <c r="Y416" s="74" t="s">
        <v>132</v>
      </c>
      <c r="Z416" s="74"/>
      <c r="AB416" s="55" t="s">
        <v>132</v>
      </c>
      <c r="AC416" s="55" t="s">
        <v>132</v>
      </c>
    </row>
    <row r="417" spans="1:29" ht="13" x14ac:dyDescent="0.15">
      <c r="A417" s="72" t="str">
        <f t="shared" si="6"/>
        <v>Ofsted Social Care Provider Webpage</v>
      </c>
      <c r="B417" s="55">
        <v>1259551</v>
      </c>
      <c r="D417" s="55" t="s">
        <v>373</v>
      </c>
      <c r="E417" s="74">
        <v>42990</v>
      </c>
      <c r="F417" s="55" t="s">
        <v>344</v>
      </c>
      <c r="G417" s="55" t="s">
        <v>360</v>
      </c>
      <c r="H417" s="55" t="s">
        <v>360</v>
      </c>
      <c r="I417" s="55" t="s">
        <v>360</v>
      </c>
      <c r="J417" s="55" t="s">
        <v>360</v>
      </c>
      <c r="K417" s="55" t="s">
        <v>360</v>
      </c>
      <c r="L417" s="55" t="s">
        <v>360</v>
      </c>
      <c r="M417" s="55" t="s">
        <v>138</v>
      </c>
      <c r="N417" s="55" t="s">
        <v>138</v>
      </c>
      <c r="O417" s="55" t="s">
        <v>238</v>
      </c>
      <c r="P417" s="55" t="s">
        <v>1080</v>
      </c>
      <c r="Q417" s="55" t="s">
        <v>350</v>
      </c>
      <c r="R417" s="55">
        <v>5</v>
      </c>
      <c r="S417" s="74"/>
      <c r="T417" s="55" t="s">
        <v>1079</v>
      </c>
      <c r="U417" s="73" t="s">
        <v>351</v>
      </c>
      <c r="V417" s="74">
        <v>44341</v>
      </c>
      <c r="W417" s="74">
        <v>44363</v>
      </c>
      <c r="X417" s="55">
        <v>10187193</v>
      </c>
      <c r="Y417" s="74" t="s">
        <v>132</v>
      </c>
      <c r="Z417" s="74"/>
      <c r="AB417" s="55" t="s">
        <v>132</v>
      </c>
      <c r="AC417" s="55" t="s">
        <v>132</v>
      </c>
    </row>
    <row r="418" spans="1:29" ht="13" x14ac:dyDescent="0.15">
      <c r="A418" s="72" t="str">
        <f t="shared" si="6"/>
        <v>Ofsted Social Care Provider Webpage</v>
      </c>
      <c r="B418" s="55">
        <v>1259617</v>
      </c>
      <c r="D418" s="55" t="s">
        <v>389</v>
      </c>
      <c r="E418" s="74">
        <v>43012</v>
      </c>
      <c r="F418" s="55" t="s">
        <v>344</v>
      </c>
      <c r="G418" s="55" t="s">
        <v>1081</v>
      </c>
      <c r="H418" s="55" t="s">
        <v>1082</v>
      </c>
      <c r="I418" s="55" t="s">
        <v>1083</v>
      </c>
      <c r="J418" s="55" t="s">
        <v>1084</v>
      </c>
      <c r="K418" s="55" t="s">
        <v>203</v>
      </c>
      <c r="L418" s="55" t="s">
        <v>1085</v>
      </c>
      <c r="M418" s="55" t="s">
        <v>150</v>
      </c>
      <c r="N418" s="55" t="s">
        <v>150</v>
      </c>
      <c r="O418" s="55" t="s">
        <v>218</v>
      </c>
      <c r="P418" s="55" t="s">
        <v>1086</v>
      </c>
      <c r="Q418" s="55" t="s">
        <v>350</v>
      </c>
      <c r="R418" s="55"/>
      <c r="S418" s="74"/>
      <c r="T418" s="55" t="s">
        <v>1087</v>
      </c>
      <c r="U418" s="73" t="s">
        <v>351</v>
      </c>
      <c r="V418" s="74">
        <v>43535</v>
      </c>
      <c r="W418" s="74">
        <v>43573</v>
      </c>
      <c r="X418" s="55">
        <v>10054016</v>
      </c>
      <c r="Y418" s="74" t="s">
        <v>132</v>
      </c>
      <c r="Z418" s="74"/>
      <c r="AB418" s="55" t="s">
        <v>132</v>
      </c>
      <c r="AC418" s="55" t="s">
        <v>132</v>
      </c>
    </row>
    <row r="419" spans="1:29" ht="13" x14ac:dyDescent="0.15">
      <c r="A419" s="72" t="str">
        <f t="shared" si="6"/>
        <v>Ofsted Social Care Provider Webpage</v>
      </c>
      <c r="B419" s="55">
        <v>1259631</v>
      </c>
      <c r="D419" s="55" t="s">
        <v>373</v>
      </c>
      <c r="E419" s="74">
        <v>43021</v>
      </c>
      <c r="F419" s="55" t="s">
        <v>344</v>
      </c>
      <c r="G419" s="55" t="s">
        <v>360</v>
      </c>
      <c r="H419" s="55" t="s">
        <v>360</v>
      </c>
      <c r="I419" s="55" t="s">
        <v>360</v>
      </c>
      <c r="J419" s="55" t="s">
        <v>360</v>
      </c>
      <c r="K419" s="55" t="s">
        <v>360</v>
      </c>
      <c r="L419" s="55" t="s">
        <v>360</v>
      </c>
      <c r="M419" s="55" t="s">
        <v>378</v>
      </c>
      <c r="N419" s="55" t="s">
        <v>134</v>
      </c>
      <c r="O419" s="55" t="s">
        <v>151</v>
      </c>
      <c r="P419" s="55" t="s">
        <v>862</v>
      </c>
      <c r="Q419" s="55" t="s">
        <v>350</v>
      </c>
      <c r="R419" s="55">
        <v>7</v>
      </c>
      <c r="S419" s="74"/>
      <c r="T419" s="55" t="s">
        <v>435</v>
      </c>
      <c r="U419" s="73" t="s">
        <v>351</v>
      </c>
      <c r="V419" s="74">
        <v>44620</v>
      </c>
      <c r="W419" s="74">
        <v>44664</v>
      </c>
      <c r="X419" s="55">
        <v>10185228</v>
      </c>
      <c r="Y419" s="74" t="s">
        <v>132</v>
      </c>
      <c r="Z419" s="74"/>
      <c r="AB419" s="55" t="s">
        <v>130</v>
      </c>
      <c r="AC419" s="55" t="s">
        <v>132</v>
      </c>
    </row>
    <row r="420" spans="1:29" ht="13" x14ac:dyDescent="0.15">
      <c r="A420" s="72" t="str">
        <f t="shared" si="6"/>
        <v>Ofsted Social Care Provider Webpage</v>
      </c>
      <c r="B420" s="55">
        <v>1259729</v>
      </c>
      <c r="D420" s="55" t="s">
        <v>389</v>
      </c>
      <c r="E420" s="74">
        <v>43069</v>
      </c>
      <c r="F420" s="55" t="s">
        <v>344</v>
      </c>
      <c r="G420" s="55" t="s">
        <v>1088</v>
      </c>
      <c r="H420" s="55" t="s">
        <v>1089</v>
      </c>
      <c r="I420" s="55" t="s">
        <v>354</v>
      </c>
      <c r="J420" s="55" t="s">
        <v>277</v>
      </c>
      <c r="L420" s="55" t="s">
        <v>1090</v>
      </c>
      <c r="M420" s="55" t="s">
        <v>378</v>
      </c>
      <c r="N420" s="55" t="s">
        <v>134</v>
      </c>
      <c r="O420" s="55" t="s">
        <v>277</v>
      </c>
      <c r="P420" s="55" t="s">
        <v>1034</v>
      </c>
      <c r="Q420" s="55" t="s">
        <v>350</v>
      </c>
      <c r="R420" s="55"/>
      <c r="S420" s="74"/>
      <c r="T420" s="55" t="s">
        <v>962</v>
      </c>
      <c r="U420" s="73" t="s">
        <v>351</v>
      </c>
      <c r="V420" s="74">
        <v>43395</v>
      </c>
      <c r="W420" s="74">
        <v>43424</v>
      </c>
      <c r="X420" s="55">
        <v>10055028</v>
      </c>
      <c r="Y420" s="74" t="s">
        <v>132</v>
      </c>
      <c r="Z420" s="74"/>
      <c r="AB420" s="55" t="s">
        <v>132</v>
      </c>
      <c r="AC420" s="55" t="s">
        <v>132</v>
      </c>
    </row>
    <row r="421" spans="1:29" ht="13" x14ac:dyDescent="0.15">
      <c r="A421" s="72" t="str">
        <f t="shared" si="6"/>
        <v>Ofsted Social Care Provider Webpage</v>
      </c>
      <c r="B421" s="55">
        <v>1259734</v>
      </c>
      <c r="D421" s="55" t="s">
        <v>373</v>
      </c>
      <c r="E421" s="74">
        <v>42989</v>
      </c>
      <c r="F421" s="55" t="s">
        <v>344</v>
      </c>
      <c r="G421" s="55" t="s">
        <v>360</v>
      </c>
      <c r="H421" s="55" t="s">
        <v>360</v>
      </c>
      <c r="I421" s="55" t="s">
        <v>360</v>
      </c>
      <c r="J421" s="55" t="s">
        <v>360</v>
      </c>
      <c r="K421" s="55" t="s">
        <v>360</v>
      </c>
      <c r="L421" s="55" t="s">
        <v>360</v>
      </c>
      <c r="M421" s="55" t="s">
        <v>150</v>
      </c>
      <c r="N421" s="55" t="s">
        <v>150</v>
      </c>
      <c r="O421" s="55" t="s">
        <v>190</v>
      </c>
      <c r="P421" s="55" t="s">
        <v>830</v>
      </c>
      <c r="Q421" s="55" t="s">
        <v>380</v>
      </c>
      <c r="R421" s="55">
        <v>4</v>
      </c>
      <c r="S421" s="74"/>
      <c r="T421" s="55" t="s">
        <v>967</v>
      </c>
      <c r="U421" s="73" t="s">
        <v>351</v>
      </c>
      <c r="V421" s="74">
        <v>44424</v>
      </c>
      <c r="W421" s="74">
        <v>44468</v>
      </c>
      <c r="X421" s="55">
        <v>10185256</v>
      </c>
      <c r="Y421" s="74" t="s">
        <v>132</v>
      </c>
      <c r="Z421" s="74"/>
      <c r="AB421" s="55" t="s">
        <v>132</v>
      </c>
      <c r="AC421" s="55" t="s">
        <v>132</v>
      </c>
    </row>
    <row r="422" spans="1:29" ht="13" x14ac:dyDescent="0.15">
      <c r="A422" s="72" t="str">
        <f t="shared" si="6"/>
        <v>Ofsted Social Care Provider Webpage</v>
      </c>
      <c r="B422" s="55">
        <v>1260700</v>
      </c>
      <c r="D422" s="55" t="s">
        <v>373</v>
      </c>
      <c r="E422" s="74">
        <v>43018</v>
      </c>
      <c r="F422" s="55" t="s">
        <v>344</v>
      </c>
      <c r="G422" s="55" t="s">
        <v>360</v>
      </c>
      <c r="H422" s="55" t="s">
        <v>360</v>
      </c>
      <c r="I422" s="55" t="s">
        <v>360</v>
      </c>
      <c r="J422" s="55" t="s">
        <v>360</v>
      </c>
      <c r="K422" s="55" t="s">
        <v>360</v>
      </c>
      <c r="L422" s="55" t="s">
        <v>360</v>
      </c>
      <c r="M422" s="55" t="s">
        <v>172</v>
      </c>
      <c r="N422" s="55" t="s">
        <v>172</v>
      </c>
      <c r="O422" s="55" t="s">
        <v>212</v>
      </c>
      <c r="P422" s="55" t="s">
        <v>592</v>
      </c>
      <c r="Q422" s="55" t="s">
        <v>350</v>
      </c>
      <c r="R422" s="55">
        <v>4</v>
      </c>
      <c r="S422" s="74"/>
      <c r="T422" s="55" t="s">
        <v>1091</v>
      </c>
      <c r="U422" s="73" t="s">
        <v>351</v>
      </c>
      <c r="V422" s="74">
        <v>44412</v>
      </c>
      <c r="W422" s="74">
        <v>44460</v>
      </c>
      <c r="X422" s="55">
        <v>10198150</v>
      </c>
      <c r="Y422" s="74" t="s">
        <v>130</v>
      </c>
      <c r="Z422" s="74"/>
      <c r="AB422" s="55" t="s">
        <v>130</v>
      </c>
      <c r="AC422" s="55" t="s">
        <v>130</v>
      </c>
    </row>
    <row r="423" spans="1:29" ht="13" x14ac:dyDescent="0.15">
      <c r="A423" s="72" t="str">
        <f t="shared" si="6"/>
        <v>Ofsted Social Care Provider Webpage</v>
      </c>
      <c r="B423" s="55">
        <v>1261138</v>
      </c>
      <c r="D423" s="55" t="s">
        <v>373</v>
      </c>
      <c r="E423" s="74">
        <v>42976</v>
      </c>
      <c r="F423" s="55" t="s">
        <v>344</v>
      </c>
      <c r="G423" s="55" t="s">
        <v>360</v>
      </c>
      <c r="H423" s="55" t="s">
        <v>360</v>
      </c>
      <c r="I423" s="55" t="s">
        <v>360</v>
      </c>
      <c r="J423" s="55" t="s">
        <v>360</v>
      </c>
      <c r="K423" s="55" t="s">
        <v>360</v>
      </c>
      <c r="L423" s="55" t="s">
        <v>360</v>
      </c>
      <c r="M423" s="55" t="s">
        <v>144</v>
      </c>
      <c r="N423" s="55" t="s">
        <v>144</v>
      </c>
      <c r="O423" s="55" t="s">
        <v>157</v>
      </c>
      <c r="P423" s="55" t="s">
        <v>1092</v>
      </c>
      <c r="Q423" s="55" t="s">
        <v>350</v>
      </c>
      <c r="R423" s="55">
        <v>5</v>
      </c>
      <c r="S423" s="74"/>
      <c r="T423" s="55" t="s">
        <v>1093</v>
      </c>
      <c r="U423" s="73" t="s">
        <v>351</v>
      </c>
      <c r="V423" s="74">
        <v>44579</v>
      </c>
      <c r="W423" s="74">
        <v>44608</v>
      </c>
      <c r="X423" s="55">
        <v>10186568</v>
      </c>
      <c r="Y423" s="74" t="s">
        <v>132</v>
      </c>
      <c r="Z423" s="74"/>
      <c r="AB423" s="55" t="s">
        <v>132</v>
      </c>
      <c r="AC423" s="55" t="s">
        <v>132</v>
      </c>
    </row>
    <row r="424" spans="1:29" ht="13" x14ac:dyDescent="0.15">
      <c r="A424" s="72" t="str">
        <f t="shared" si="6"/>
        <v>Ofsted Social Care Provider Webpage</v>
      </c>
      <c r="B424" s="55">
        <v>1262657</v>
      </c>
      <c r="D424" s="55" t="s">
        <v>373</v>
      </c>
      <c r="E424" s="74">
        <v>42996</v>
      </c>
      <c r="F424" s="55" t="s">
        <v>344</v>
      </c>
      <c r="G424" s="55" t="s">
        <v>360</v>
      </c>
      <c r="H424" s="55" t="s">
        <v>360</v>
      </c>
      <c r="I424" s="55" t="s">
        <v>360</v>
      </c>
      <c r="J424" s="55" t="s">
        <v>360</v>
      </c>
      <c r="K424" s="55" t="s">
        <v>360</v>
      </c>
      <c r="L424" s="55" t="s">
        <v>360</v>
      </c>
      <c r="M424" s="55" t="s">
        <v>144</v>
      </c>
      <c r="N424" s="55" t="s">
        <v>144</v>
      </c>
      <c r="O424" s="55" t="s">
        <v>209</v>
      </c>
      <c r="P424" s="55" t="s">
        <v>544</v>
      </c>
      <c r="Q424" s="55" t="s">
        <v>350</v>
      </c>
      <c r="R424" s="55">
        <v>2</v>
      </c>
      <c r="S424" s="74"/>
      <c r="T424" s="55" t="s">
        <v>485</v>
      </c>
      <c r="U424" s="73" t="s">
        <v>351</v>
      </c>
      <c r="V424" s="74">
        <v>44623</v>
      </c>
      <c r="W424" s="74">
        <v>44670</v>
      </c>
      <c r="X424" s="55">
        <v>10185491</v>
      </c>
      <c r="Y424" s="74" t="s">
        <v>132</v>
      </c>
      <c r="Z424" s="74"/>
      <c r="AB424" s="55" t="s">
        <v>132</v>
      </c>
      <c r="AC424" s="55" t="s">
        <v>132</v>
      </c>
    </row>
    <row r="425" spans="1:29" ht="13" x14ac:dyDescent="0.15">
      <c r="A425" s="72" t="str">
        <f t="shared" si="6"/>
        <v>Ofsted Social Care Provider Webpage</v>
      </c>
      <c r="B425" s="55">
        <v>1262827</v>
      </c>
      <c r="D425" s="55" t="s">
        <v>451</v>
      </c>
      <c r="E425" s="74">
        <v>42989</v>
      </c>
      <c r="F425" s="55" t="s">
        <v>344</v>
      </c>
      <c r="G425" s="55" t="s">
        <v>1094</v>
      </c>
      <c r="H425" s="55" t="s">
        <v>1095</v>
      </c>
      <c r="I425" s="55" t="s">
        <v>354</v>
      </c>
      <c r="J425" s="55" t="s">
        <v>145</v>
      </c>
      <c r="L425" s="55" t="s">
        <v>1096</v>
      </c>
      <c r="M425" s="55" t="s">
        <v>144</v>
      </c>
      <c r="N425" s="55" t="s">
        <v>144</v>
      </c>
      <c r="O425" s="55" t="s">
        <v>145</v>
      </c>
      <c r="P425" s="55" t="s">
        <v>525</v>
      </c>
      <c r="Q425" s="55" t="s">
        <v>350</v>
      </c>
      <c r="R425" s="55">
        <v>5</v>
      </c>
      <c r="S425" s="74"/>
      <c r="T425" s="55" t="s">
        <v>1097</v>
      </c>
      <c r="U425" s="73" t="s">
        <v>351</v>
      </c>
      <c r="V425" s="74">
        <v>44614</v>
      </c>
      <c r="W425" s="74">
        <v>44658</v>
      </c>
      <c r="X425" s="55">
        <v>10204715</v>
      </c>
      <c r="Y425" s="74" t="s">
        <v>132</v>
      </c>
      <c r="Z425" s="74"/>
      <c r="AB425" s="55" t="s">
        <v>132</v>
      </c>
      <c r="AC425" s="55" t="s">
        <v>130</v>
      </c>
    </row>
    <row r="426" spans="1:29" ht="13" x14ac:dyDescent="0.15">
      <c r="A426" s="72" t="str">
        <f t="shared" si="6"/>
        <v>Ofsted Social Care Provider Webpage</v>
      </c>
      <c r="B426" s="55">
        <v>1262935</v>
      </c>
      <c r="D426" s="55" t="s">
        <v>373</v>
      </c>
      <c r="E426" s="74">
        <v>42965</v>
      </c>
      <c r="F426" s="55" t="s">
        <v>344</v>
      </c>
      <c r="G426" s="55" t="s">
        <v>360</v>
      </c>
      <c r="H426" s="55" t="s">
        <v>360</v>
      </c>
      <c r="I426" s="55" t="s">
        <v>360</v>
      </c>
      <c r="J426" s="55" t="s">
        <v>360</v>
      </c>
      <c r="K426" s="55" t="s">
        <v>360</v>
      </c>
      <c r="L426" s="55" t="s">
        <v>360</v>
      </c>
      <c r="M426" s="55" t="s">
        <v>144</v>
      </c>
      <c r="N426" s="55" t="s">
        <v>144</v>
      </c>
      <c r="O426" s="55" t="s">
        <v>168</v>
      </c>
      <c r="P426" s="55" t="s">
        <v>913</v>
      </c>
      <c r="Q426" s="55" t="s">
        <v>350</v>
      </c>
      <c r="R426" s="55">
        <v>6</v>
      </c>
      <c r="S426" s="74"/>
      <c r="T426" s="55" t="s">
        <v>1098</v>
      </c>
      <c r="U426" s="73" t="s">
        <v>351</v>
      </c>
      <c r="V426" s="74">
        <v>44461</v>
      </c>
      <c r="W426" s="74">
        <v>44509</v>
      </c>
      <c r="X426" s="55">
        <v>10186732</v>
      </c>
      <c r="Y426" s="74" t="s">
        <v>132</v>
      </c>
      <c r="Z426" s="74"/>
      <c r="AB426" s="55" t="s">
        <v>132</v>
      </c>
      <c r="AC426" s="55" t="s">
        <v>132</v>
      </c>
    </row>
    <row r="427" spans="1:29" ht="13" x14ac:dyDescent="0.15">
      <c r="A427" s="72" t="str">
        <f t="shared" si="6"/>
        <v>Ofsted Social Care Provider Webpage</v>
      </c>
      <c r="B427" s="55">
        <v>1263120</v>
      </c>
      <c r="D427" s="55" t="s">
        <v>373</v>
      </c>
      <c r="E427" s="74">
        <v>43000</v>
      </c>
      <c r="F427" s="55" t="s">
        <v>344</v>
      </c>
      <c r="G427" s="55" t="s">
        <v>360</v>
      </c>
      <c r="H427" s="55" t="s">
        <v>360</v>
      </c>
      <c r="I427" s="55" t="s">
        <v>360</v>
      </c>
      <c r="J427" s="55" t="s">
        <v>360</v>
      </c>
      <c r="K427" s="55" t="s">
        <v>360</v>
      </c>
      <c r="L427" s="55" t="s">
        <v>360</v>
      </c>
      <c r="M427" s="55" t="s">
        <v>144</v>
      </c>
      <c r="N427" s="55" t="s">
        <v>144</v>
      </c>
      <c r="O427" s="55" t="s">
        <v>290</v>
      </c>
      <c r="P427" s="55" t="s">
        <v>1099</v>
      </c>
      <c r="Q427" s="55" t="s">
        <v>350</v>
      </c>
      <c r="R427" s="55">
        <v>4</v>
      </c>
      <c r="S427" s="74"/>
      <c r="T427" s="55" t="s">
        <v>1100</v>
      </c>
      <c r="U427" s="73" t="s">
        <v>351</v>
      </c>
      <c r="V427" s="74">
        <v>44517</v>
      </c>
      <c r="W427" s="74">
        <v>44565</v>
      </c>
      <c r="X427" s="55">
        <v>10206356</v>
      </c>
      <c r="Y427" s="74" t="s">
        <v>130</v>
      </c>
      <c r="Z427" s="74"/>
      <c r="AB427" s="55" t="s">
        <v>130</v>
      </c>
      <c r="AC427" s="55" t="s">
        <v>130</v>
      </c>
    </row>
    <row r="428" spans="1:29" ht="13" x14ac:dyDescent="0.15">
      <c r="A428" s="72" t="str">
        <f t="shared" si="6"/>
        <v>Ofsted Social Care Provider Webpage</v>
      </c>
      <c r="B428" s="55">
        <v>1263124</v>
      </c>
      <c r="D428" s="55" t="s">
        <v>373</v>
      </c>
      <c r="E428" s="74">
        <v>43004</v>
      </c>
      <c r="F428" s="55" t="s">
        <v>344</v>
      </c>
      <c r="G428" s="55" t="s">
        <v>360</v>
      </c>
      <c r="H428" s="55" t="s">
        <v>360</v>
      </c>
      <c r="I428" s="55" t="s">
        <v>360</v>
      </c>
      <c r="J428" s="55" t="s">
        <v>360</v>
      </c>
      <c r="K428" s="55" t="s">
        <v>360</v>
      </c>
      <c r="L428" s="55" t="s">
        <v>360</v>
      </c>
      <c r="M428" s="55" t="s">
        <v>136</v>
      </c>
      <c r="N428" s="55" t="s">
        <v>136</v>
      </c>
      <c r="O428" s="55" t="s">
        <v>288</v>
      </c>
      <c r="P428" s="55" t="s">
        <v>1101</v>
      </c>
      <c r="Q428" s="55" t="s">
        <v>350</v>
      </c>
      <c r="R428" s="55">
        <v>5</v>
      </c>
      <c r="S428" s="74"/>
      <c r="T428" s="55" t="s">
        <v>1102</v>
      </c>
      <c r="U428" s="73" t="s">
        <v>351</v>
      </c>
      <c r="V428" s="74">
        <v>44487</v>
      </c>
      <c r="W428" s="74">
        <v>44529</v>
      </c>
      <c r="X428" s="55">
        <v>10201928</v>
      </c>
      <c r="Y428" s="74" t="s">
        <v>130</v>
      </c>
      <c r="Z428" s="74"/>
      <c r="AB428" s="55" t="s">
        <v>130</v>
      </c>
      <c r="AC428" s="55" t="s">
        <v>130</v>
      </c>
    </row>
    <row r="429" spans="1:29" ht="13" x14ac:dyDescent="0.15">
      <c r="A429" s="72" t="str">
        <f t="shared" si="6"/>
        <v>Ofsted Social Care Provider Webpage</v>
      </c>
      <c r="B429" s="55">
        <v>1263126</v>
      </c>
      <c r="D429" s="55" t="s">
        <v>373</v>
      </c>
      <c r="E429" s="74">
        <v>42951</v>
      </c>
      <c r="F429" s="55" t="s">
        <v>344</v>
      </c>
      <c r="G429" s="55" t="s">
        <v>360</v>
      </c>
      <c r="H429" s="55" t="s">
        <v>360</v>
      </c>
      <c r="I429" s="55" t="s">
        <v>360</v>
      </c>
      <c r="J429" s="55" t="s">
        <v>360</v>
      </c>
      <c r="K429" s="55" t="s">
        <v>360</v>
      </c>
      <c r="L429" s="55" t="s">
        <v>360</v>
      </c>
      <c r="M429" s="55" t="s">
        <v>144</v>
      </c>
      <c r="N429" s="55" t="s">
        <v>144</v>
      </c>
      <c r="O429" s="55" t="s">
        <v>168</v>
      </c>
      <c r="P429" s="55" t="s">
        <v>708</v>
      </c>
      <c r="Q429" s="55" t="s">
        <v>350</v>
      </c>
      <c r="R429" s="55">
        <v>2</v>
      </c>
      <c r="S429" s="74"/>
      <c r="T429" s="55" t="s">
        <v>709</v>
      </c>
      <c r="U429" s="73" t="s">
        <v>351</v>
      </c>
      <c r="V429" s="74">
        <v>44427</v>
      </c>
      <c r="W429" s="74">
        <v>44461</v>
      </c>
      <c r="X429" s="55">
        <v>10185014</v>
      </c>
      <c r="Y429" s="74" t="s">
        <v>132</v>
      </c>
      <c r="Z429" s="74"/>
      <c r="AB429" s="55" t="s">
        <v>132</v>
      </c>
      <c r="AC429" s="55" t="s">
        <v>132</v>
      </c>
    </row>
    <row r="430" spans="1:29" ht="13" x14ac:dyDescent="0.15">
      <c r="A430" s="72" t="str">
        <f t="shared" si="6"/>
        <v>Ofsted Social Care Provider Webpage</v>
      </c>
      <c r="B430" s="55">
        <v>1263129</v>
      </c>
      <c r="D430" s="55" t="s">
        <v>373</v>
      </c>
      <c r="E430" s="74">
        <v>43045</v>
      </c>
      <c r="F430" s="55" t="s">
        <v>344</v>
      </c>
      <c r="G430" s="55" t="s">
        <v>360</v>
      </c>
      <c r="H430" s="55" t="s">
        <v>360</v>
      </c>
      <c r="I430" s="55" t="s">
        <v>360</v>
      </c>
      <c r="J430" s="55" t="s">
        <v>360</v>
      </c>
      <c r="K430" s="55" t="s">
        <v>360</v>
      </c>
      <c r="L430" s="55" t="s">
        <v>360</v>
      </c>
      <c r="M430" s="55" t="s">
        <v>150</v>
      </c>
      <c r="N430" s="55" t="s">
        <v>150</v>
      </c>
      <c r="O430" s="55" t="s">
        <v>181</v>
      </c>
      <c r="P430" s="55" t="s">
        <v>937</v>
      </c>
      <c r="Q430" s="55" t="s">
        <v>350</v>
      </c>
      <c r="R430" s="55">
        <v>6</v>
      </c>
      <c r="S430" s="74"/>
      <c r="T430" s="55" t="s">
        <v>574</v>
      </c>
      <c r="U430" s="73" t="s">
        <v>351</v>
      </c>
      <c r="V430" s="74">
        <v>43899</v>
      </c>
      <c r="W430" s="74">
        <v>43998</v>
      </c>
      <c r="X430" s="55">
        <v>10097942</v>
      </c>
      <c r="Y430" s="74" t="s">
        <v>130</v>
      </c>
      <c r="Z430" s="74"/>
      <c r="AB430" s="55" t="s">
        <v>130</v>
      </c>
      <c r="AC430" s="55" t="s">
        <v>130</v>
      </c>
    </row>
    <row r="431" spans="1:29" ht="13" x14ac:dyDescent="0.15">
      <c r="A431" s="72" t="str">
        <f t="shared" si="6"/>
        <v>Ofsted Social Care Provider Webpage</v>
      </c>
      <c r="B431" s="55">
        <v>1263199</v>
      </c>
      <c r="D431" s="55" t="s">
        <v>373</v>
      </c>
      <c r="E431" s="74">
        <v>43006</v>
      </c>
      <c r="F431" s="55" t="s">
        <v>344</v>
      </c>
      <c r="G431" s="55" t="s">
        <v>360</v>
      </c>
      <c r="H431" s="55" t="s">
        <v>360</v>
      </c>
      <c r="I431" s="55" t="s">
        <v>360</v>
      </c>
      <c r="J431" s="55" t="s">
        <v>360</v>
      </c>
      <c r="K431" s="55" t="s">
        <v>360</v>
      </c>
      <c r="L431" s="55" t="s">
        <v>360</v>
      </c>
      <c r="M431" s="55" t="s">
        <v>144</v>
      </c>
      <c r="N431" s="55" t="s">
        <v>144</v>
      </c>
      <c r="O431" s="55" t="s">
        <v>287</v>
      </c>
      <c r="P431" s="55" t="s">
        <v>1103</v>
      </c>
      <c r="Q431" s="55" t="s">
        <v>350</v>
      </c>
      <c r="R431" s="55">
        <v>6</v>
      </c>
      <c r="S431" s="74"/>
      <c r="T431" s="55" t="s">
        <v>435</v>
      </c>
      <c r="U431" s="73" t="s">
        <v>351</v>
      </c>
      <c r="V431" s="74">
        <v>44621</v>
      </c>
      <c r="W431" s="74">
        <v>44662</v>
      </c>
      <c r="X431" s="55">
        <v>10185586</v>
      </c>
      <c r="Y431" s="74" t="s">
        <v>132</v>
      </c>
      <c r="Z431" s="74"/>
      <c r="AB431" s="55" t="s">
        <v>132</v>
      </c>
      <c r="AC431" s="55" t="s">
        <v>140</v>
      </c>
    </row>
    <row r="432" spans="1:29" ht="13" x14ac:dyDescent="0.15">
      <c r="A432" s="72" t="str">
        <f t="shared" si="6"/>
        <v>Ofsted Social Care Provider Webpage</v>
      </c>
      <c r="B432" s="55">
        <v>1263201</v>
      </c>
      <c r="D432" s="55" t="s">
        <v>373</v>
      </c>
      <c r="E432" s="74">
        <v>42982</v>
      </c>
      <c r="F432" s="55" t="s">
        <v>344</v>
      </c>
      <c r="G432" s="55" t="s">
        <v>360</v>
      </c>
      <c r="H432" s="55" t="s">
        <v>360</v>
      </c>
      <c r="I432" s="55" t="s">
        <v>360</v>
      </c>
      <c r="J432" s="55" t="s">
        <v>360</v>
      </c>
      <c r="K432" s="55" t="s">
        <v>360</v>
      </c>
      <c r="L432" s="55" t="s">
        <v>360</v>
      </c>
      <c r="M432" s="55" t="s">
        <v>378</v>
      </c>
      <c r="N432" s="55" t="s">
        <v>134</v>
      </c>
      <c r="O432" s="55" t="s">
        <v>246</v>
      </c>
      <c r="P432" s="55" t="s">
        <v>1104</v>
      </c>
      <c r="Q432" s="55" t="s">
        <v>350</v>
      </c>
      <c r="R432" s="55">
        <v>4</v>
      </c>
      <c r="S432" s="74"/>
      <c r="T432" s="55" t="s">
        <v>1105</v>
      </c>
      <c r="U432" s="73" t="s">
        <v>351</v>
      </c>
      <c r="V432" s="74">
        <v>44488</v>
      </c>
      <c r="W432" s="74">
        <v>44532</v>
      </c>
      <c r="X432" s="55">
        <v>10186635</v>
      </c>
      <c r="Y432" s="74" t="s">
        <v>132</v>
      </c>
      <c r="Z432" s="74"/>
      <c r="AB432" s="55" t="s">
        <v>132</v>
      </c>
      <c r="AC432" s="55" t="s">
        <v>132</v>
      </c>
    </row>
    <row r="433" spans="1:29" ht="13" x14ac:dyDescent="0.15">
      <c r="A433" s="72" t="str">
        <f t="shared" si="6"/>
        <v>Ofsted Social Care Provider Webpage</v>
      </c>
      <c r="B433" s="55">
        <v>1263270</v>
      </c>
      <c r="D433" s="55" t="s">
        <v>373</v>
      </c>
      <c r="E433" s="74">
        <v>42965</v>
      </c>
      <c r="F433" s="55" t="s">
        <v>344</v>
      </c>
      <c r="G433" s="55" t="s">
        <v>360</v>
      </c>
      <c r="H433" s="55" t="s">
        <v>360</v>
      </c>
      <c r="I433" s="55" t="s">
        <v>360</v>
      </c>
      <c r="J433" s="55" t="s">
        <v>360</v>
      </c>
      <c r="K433" s="55" t="s">
        <v>360</v>
      </c>
      <c r="L433" s="55" t="s">
        <v>360</v>
      </c>
      <c r="M433" s="55" t="s">
        <v>136</v>
      </c>
      <c r="N433" s="55" t="s">
        <v>136</v>
      </c>
      <c r="O433" s="55" t="s">
        <v>165</v>
      </c>
      <c r="P433" s="55" t="s">
        <v>748</v>
      </c>
      <c r="Q433" s="55" t="s">
        <v>350</v>
      </c>
      <c r="R433" s="55">
        <v>3</v>
      </c>
      <c r="S433" s="74"/>
      <c r="T433" s="55" t="s">
        <v>450</v>
      </c>
      <c r="U433" s="73" t="s">
        <v>351</v>
      </c>
      <c r="V433" s="74">
        <v>43319</v>
      </c>
      <c r="W433" s="74">
        <v>43336</v>
      </c>
      <c r="X433" s="55">
        <v>10054750</v>
      </c>
      <c r="Y433" s="74" t="s">
        <v>130</v>
      </c>
      <c r="Z433" s="74"/>
      <c r="AB433" s="55" t="s">
        <v>130</v>
      </c>
      <c r="AC433" s="55" t="s">
        <v>146</v>
      </c>
    </row>
    <row r="434" spans="1:29" ht="13" x14ac:dyDescent="0.15">
      <c r="A434" s="72" t="str">
        <f t="shared" si="6"/>
        <v>Ofsted Social Care Provider Webpage</v>
      </c>
      <c r="B434" s="55">
        <v>1263329</v>
      </c>
      <c r="D434" s="55" t="s">
        <v>373</v>
      </c>
      <c r="E434" s="74">
        <v>42991</v>
      </c>
      <c r="F434" s="55" t="s">
        <v>344</v>
      </c>
      <c r="G434" s="55" t="s">
        <v>360</v>
      </c>
      <c r="H434" s="55" t="s">
        <v>360</v>
      </c>
      <c r="I434" s="55" t="s">
        <v>360</v>
      </c>
      <c r="J434" s="55" t="s">
        <v>360</v>
      </c>
      <c r="K434" s="55" t="s">
        <v>360</v>
      </c>
      <c r="L434" s="55" t="s">
        <v>360</v>
      </c>
      <c r="M434" s="55" t="s">
        <v>142</v>
      </c>
      <c r="N434" s="55" t="s">
        <v>142</v>
      </c>
      <c r="O434" s="55" t="s">
        <v>262</v>
      </c>
      <c r="P434" s="55" t="s">
        <v>692</v>
      </c>
      <c r="Q434" s="55" t="s">
        <v>350</v>
      </c>
      <c r="R434" s="55">
        <v>1</v>
      </c>
      <c r="S434" s="74"/>
      <c r="T434" s="55" t="s">
        <v>1106</v>
      </c>
      <c r="U434" s="73" t="s">
        <v>351</v>
      </c>
      <c r="V434" s="74">
        <v>44621</v>
      </c>
      <c r="W434" s="74">
        <v>44663</v>
      </c>
      <c r="X434" s="55">
        <v>10185441</v>
      </c>
      <c r="Y434" s="74" t="s">
        <v>132</v>
      </c>
      <c r="Z434" s="74"/>
      <c r="AB434" s="55" t="s">
        <v>132</v>
      </c>
      <c r="AC434" s="55" t="s">
        <v>132</v>
      </c>
    </row>
    <row r="435" spans="1:29" ht="13" x14ac:dyDescent="0.15">
      <c r="A435" s="72" t="str">
        <f t="shared" si="6"/>
        <v>Ofsted Social Care Provider Webpage</v>
      </c>
      <c r="B435" s="55">
        <v>1263425</v>
      </c>
      <c r="D435" s="55" t="s">
        <v>373</v>
      </c>
      <c r="E435" s="74">
        <v>43368</v>
      </c>
      <c r="F435" s="55" t="s">
        <v>344</v>
      </c>
      <c r="G435" s="55" t="s">
        <v>360</v>
      </c>
      <c r="H435" s="55" t="s">
        <v>360</v>
      </c>
      <c r="I435" s="55" t="s">
        <v>360</v>
      </c>
      <c r="J435" s="55" t="s">
        <v>360</v>
      </c>
      <c r="K435" s="55" t="s">
        <v>360</v>
      </c>
      <c r="L435" s="55" t="s">
        <v>360</v>
      </c>
      <c r="M435" s="55" t="s">
        <v>144</v>
      </c>
      <c r="N435" s="55" t="s">
        <v>144</v>
      </c>
      <c r="O435" s="55" t="s">
        <v>263</v>
      </c>
      <c r="P435" s="55" t="s">
        <v>876</v>
      </c>
      <c r="Q435" s="55" t="s">
        <v>350</v>
      </c>
      <c r="R435" s="55">
        <v>2</v>
      </c>
      <c r="S435" s="74"/>
      <c r="T435" s="55" t="s">
        <v>1107</v>
      </c>
      <c r="U435" s="73" t="s">
        <v>351</v>
      </c>
      <c r="V435" s="74">
        <v>44377</v>
      </c>
      <c r="W435" s="74">
        <v>44410</v>
      </c>
      <c r="X435" s="55">
        <v>10186008</v>
      </c>
      <c r="Y435" s="74" t="s">
        <v>132</v>
      </c>
      <c r="Z435" s="74"/>
      <c r="AB435" s="55" t="s">
        <v>132</v>
      </c>
      <c r="AC435" s="55" t="s">
        <v>132</v>
      </c>
    </row>
    <row r="436" spans="1:29" ht="13" x14ac:dyDescent="0.15">
      <c r="A436" s="72" t="str">
        <f t="shared" si="6"/>
        <v>Ofsted Social Care Provider Webpage</v>
      </c>
      <c r="B436" s="55">
        <v>1263501</v>
      </c>
      <c r="D436" s="55" t="s">
        <v>389</v>
      </c>
      <c r="E436" s="74">
        <v>42990</v>
      </c>
      <c r="F436" s="55" t="s">
        <v>344</v>
      </c>
      <c r="G436" s="55" t="s">
        <v>1108</v>
      </c>
      <c r="H436" s="55" t="s">
        <v>1109</v>
      </c>
      <c r="I436" s="55" t="s">
        <v>1110</v>
      </c>
      <c r="J436" s="55" t="s">
        <v>1111</v>
      </c>
      <c r="L436" s="55" t="s">
        <v>1112</v>
      </c>
      <c r="M436" s="55" t="s">
        <v>150</v>
      </c>
      <c r="N436" s="55" t="s">
        <v>150</v>
      </c>
      <c r="O436" s="55" t="s">
        <v>218</v>
      </c>
      <c r="P436" s="55" t="s">
        <v>1113</v>
      </c>
      <c r="Q436" s="55" t="s">
        <v>350</v>
      </c>
      <c r="R436" s="55"/>
      <c r="S436" s="74"/>
      <c r="T436" s="55" t="s">
        <v>1004</v>
      </c>
      <c r="U436" s="73" t="s">
        <v>351</v>
      </c>
      <c r="V436" s="74">
        <v>43395</v>
      </c>
      <c r="W436" s="74">
        <v>43439</v>
      </c>
      <c r="X436" s="55">
        <v>10049195</v>
      </c>
      <c r="Y436" s="74" t="s">
        <v>132</v>
      </c>
      <c r="Z436" s="74"/>
      <c r="AB436" s="55" t="s">
        <v>130</v>
      </c>
      <c r="AC436" s="55" t="s">
        <v>132</v>
      </c>
    </row>
    <row r="437" spans="1:29" ht="13" x14ac:dyDescent="0.15">
      <c r="A437" s="72" t="str">
        <f t="shared" si="6"/>
        <v>Ofsted Social Care Provider Webpage</v>
      </c>
      <c r="B437" s="55">
        <v>1263505</v>
      </c>
      <c r="D437" s="55" t="s">
        <v>373</v>
      </c>
      <c r="E437" s="74">
        <v>43039</v>
      </c>
      <c r="F437" s="55" t="s">
        <v>344</v>
      </c>
      <c r="G437" s="55" t="s">
        <v>360</v>
      </c>
      <c r="H437" s="55" t="s">
        <v>360</v>
      </c>
      <c r="I437" s="55" t="s">
        <v>360</v>
      </c>
      <c r="J437" s="55" t="s">
        <v>360</v>
      </c>
      <c r="K437" s="55" t="s">
        <v>360</v>
      </c>
      <c r="L437" s="55" t="s">
        <v>360</v>
      </c>
      <c r="M437" s="55" t="s">
        <v>172</v>
      </c>
      <c r="N437" s="55" t="s">
        <v>172</v>
      </c>
      <c r="O437" s="55" t="s">
        <v>212</v>
      </c>
      <c r="P437" s="55" t="s">
        <v>514</v>
      </c>
      <c r="Q437" s="55" t="s">
        <v>350</v>
      </c>
      <c r="R437" s="55">
        <v>4</v>
      </c>
      <c r="S437" s="74"/>
      <c r="T437" s="55" t="s">
        <v>515</v>
      </c>
      <c r="U437" s="73" t="s">
        <v>351</v>
      </c>
      <c r="V437" s="74">
        <v>44503</v>
      </c>
      <c r="W437" s="74">
        <v>44538</v>
      </c>
      <c r="X437" s="55">
        <v>10186892</v>
      </c>
      <c r="Y437" s="74" t="s">
        <v>132</v>
      </c>
      <c r="Z437" s="74"/>
      <c r="AB437" s="55" t="s">
        <v>132</v>
      </c>
      <c r="AC437" s="55" t="s">
        <v>132</v>
      </c>
    </row>
    <row r="438" spans="1:29" ht="13" x14ac:dyDescent="0.15">
      <c r="A438" s="72" t="str">
        <f t="shared" si="6"/>
        <v>Ofsted Social Care Provider Webpage</v>
      </c>
      <c r="B438" s="55">
        <v>1263571</v>
      </c>
      <c r="D438" s="55" t="s">
        <v>373</v>
      </c>
      <c r="E438" s="74">
        <v>43025</v>
      </c>
      <c r="F438" s="55" t="s">
        <v>344</v>
      </c>
      <c r="G438" s="55" t="s">
        <v>360</v>
      </c>
      <c r="H438" s="55" t="s">
        <v>360</v>
      </c>
      <c r="I438" s="55" t="s">
        <v>360</v>
      </c>
      <c r="J438" s="55" t="s">
        <v>360</v>
      </c>
      <c r="K438" s="55" t="s">
        <v>360</v>
      </c>
      <c r="L438" s="55" t="s">
        <v>360</v>
      </c>
      <c r="M438" s="55" t="s">
        <v>136</v>
      </c>
      <c r="N438" s="55" t="s">
        <v>136</v>
      </c>
      <c r="O438" s="55" t="s">
        <v>185</v>
      </c>
      <c r="P438" s="55" t="s">
        <v>1114</v>
      </c>
      <c r="Q438" s="55" t="s">
        <v>350</v>
      </c>
      <c r="R438" s="55">
        <v>5</v>
      </c>
      <c r="S438" s="74"/>
      <c r="T438" s="55" t="s">
        <v>1115</v>
      </c>
      <c r="U438" s="73" t="s">
        <v>351</v>
      </c>
      <c r="V438" s="74">
        <v>43599</v>
      </c>
      <c r="W438" s="74">
        <v>43623</v>
      </c>
      <c r="X438" s="55">
        <v>10097930</v>
      </c>
      <c r="Y438" s="74" t="s">
        <v>132</v>
      </c>
      <c r="Z438" s="74"/>
      <c r="AB438" s="55" t="s">
        <v>132</v>
      </c>
      <c r="AC438" s="55" t="s">
        <v>140</v>
      </c>
    </row>
    <row r="439" spans="1:29" ht="13" x14ac:dyDescent="0.15">
      <c r="A439" s="72" t="str">
        <f t="shared" si="6"/>
        <v>Ofsted Social Care Provider Webpage</v>
      </c>
      <c r="B439" s="55">
        <v>1263673</v>
      </c>
      <c r="D439" s="55" t="s">
        <v>373</v>
      </c>
      <c r="E439" s="74">
        <v>42996</v>
      </c>
      <c r="F439" s="55" t="s">
        <v>344</v>
      </c>
      <c r="G439" s="55" t="s">
        <v>360</v>
      </c>
      <c r="H439" s="55" t="s">
        <v>360</v>
      </c>
      <c r="I439" s="55" t="s">
        <v>360</v>
      </c>
      <c r="J439" s="55" t="s">
        <v>360</v>
      </c>
      <c r="K439" s="55" t="s">
        <v>360</v>
      </c>
      <c r="L439" s="55" t="s">
        <v>360</v>
      </c>
      <c r="M439" s="55" t="s">
        <v>378</v>
      </c>
      <c r="N439" s="55" t="s">
        <v>134</v>
      </c>
      <c r="O439" s="55" t="s">
        <v>158</v>
      </c>
      <c r="P439" s="55" t="s">
        <v>480</v>
      </c>
      <c r="Q439" s="55" t="s">
        <v>350</v>
      </c>
      <c r="R439" s="55">
        <v>3</v>
      </c>
      <c r="S439" s="74"/>
      <c r="T439" s="55" t="s">
        <v>951</v>
      </c>
      <c r="U439" s="73" t="s">
        <v>351</v>
      </c>
      <c r="V439" s="74">
        <v>44572</v>
      </c>
      <c r="W439" s="74">
        <v>44602</v>
      </c>
      <c r="X439" s="55">
        <v>10185329</v>
      </c>
      <c r="Y439" s="74" t="s">
        <v>132</v>
      </c>
      <c r="Z439" s="74"/>
      <c r="AB439" s="55" t="s">
        <v>132</v>
      </c>
      <c r="AC439" s="55" t="s">
        <v>132</v>
      </c>
    </row>
    <row r="440" spans="1:29" ht="13" x14ac:dyDescent="0.15">
      <c r="A440" s="72" t="str">
        <f t="shared" si="6"/>
        <v>Ofsted Social Care Provider Webpage</v>
      </c>
      <c r="B440" s="55">
        <v>1263675</v>
      </c>
      <c r="D440" s="55" t="s">
        <v>389</v>
      </c>
      <c r="E440" s="74">
        <v>43026</v>
      </c>
      <c r="F440" s="55" t="s">
        <v>344</v>
      </c>
      <c r="G440" s="55" t="s">
        <v>1116</v>
      </c>
      <c r="H440" s="55" t="s">
        <v>1117</v>
      </c>
      <c r="I440" s="55" t="s">
        <v>354</v>
      </c>
      <c r="J440" s="55" t="s">
        <v>129</v>
      </c>
      <c r="L440" s="55" t="s">
        <v>1118</v>
      </c>
      <c r="M440" s="55" t="s">
        <v>129</v>
      </c>
      <c r="N440" s="55" t="s">
        <v>129</v>
      </c>
      <c r="O440" s="55" t="s">
        <v>260</v>
      </c>
      <c r="P440" s="55" t="s">
        <v>753</v>
      </c>
      <c r="Q440" s="55" t="s">
        <v>362</v>
      </c>
      <c r="R440" s="55"/>
      <c r="S440" s="74"/>
      <c r="T440" s="55" t="s">
        <v>1119</v>
      </c>
      <c r="U440" s="73" t="s">
        <v>351</v>
      </c>
      <c r="V440" s="74">
        <v>43661</v>
      </c>
      <c r="W440" s="74">
        <v>43698</v>
      </c>
      <c r="X440" s="55">
        <v>10093276</v>
      </c>
      <c r="Y440" s="74" t="s">
        <v>132</v>
      </c>
      <c r="Z440" s="74"/>
      <c r="AB440" s="55" t="s">
        <v>132</v>
      </c>
      <c r="AC440" s="55" t="s">
        <v>132</v>
      </c>
    </row>
    <row r="441" spans="1:29" ht="13" x14ac:dyDescent="0.15">
      <c r="A441" s="72" t="str">
        <f t="shared" si="6"/>
        <v>Ofsted Social Care Provider Webpage</v>
      </c>
      <c r="B441" s="55">
        <v>1263766</v>
      </c>
      <c r="D441" s="55" t="s">
        <v>373</v>
      </c>
      <c r="E441" s="74">
        <v>43031</v>
      </c>
      <c r="F441" s="55" t="s">
        <v>344</v>
      </c>
      <c r="G441" s="55" t="s">
        <v>360</v>
      </c>
      <c r="H441" s="55" t="s">
        <v>360</v>
      </c>
      <c r="I441" s="55" t="s">
        <v>360</v>
      </c>
      <c r="J441" s="55" t="s">
        <v>360</v>
      </c>
      <c r="K441" s="55" t="s">
        <v>360</v>
      </c>
      <c r="L441" s="55" t="s">
        <v>360</v>
      </c>
      <c r="M441" s="55" t="s">
        <v>144</v>
      </c>
      <c r="N441" s="55" t="s">
        <v>144</v>
      </c>
      <c r="O441" s="55" t="s">
        <v>271</v>
      </c>
      <c r="P441" s="55" t="s">
        <v>1120</v>
      </c>
      <c r="Q441" s="55" t="s">
        <v>380</v>
      </c>
      <c r="R441" s="55">
        <v>4</v>
      </c>
      <c r="S441" s="74"/>
      <c r="T441" s="55" t="s">
        <v>1121</v>
      </c>
      <c r="U441" s="73" t="s">
        <v>351</v>
      </c>
      <c r="V441" s="74">
        <v>44593</v>
      </c>
      <c r="W441" s="74">
        <v>44635</v>
      </c>
      <c r="X441" s="55">
        <v>10187055</v>
      </c>
      <c r="Y441" s="74" t="s">
        <v>130</v>
      </c>
      <c r="Z441" s="74"/>
      <c r="AB441" s="55" t="s">
        <v>130</v>
      </c>
      <c r="AC441" s="55" t="s">
        <v>146</v>
      </c>
    </row>
    <row r="442" spans="1:29" ht="13" x14ac:dyDescent="0.15">
      <c r="A442" s="72" t="str">
        <f t="shared" si="6"/>
        <v>Ofsted Social Care Provider Webpage</v>
      </c>
      <c r="B442" s="55">
        <v>1263768</v>
      </c>
      <c r="D442" s="55" t="s">
        <v>373</v>
      </c>
      <c r="E442" s="74">
        <v>43031</v>
      </c>
      <c r="F442" s="55" t="s">
        <v>344</v>
      </c>
      <c r="G442" s="55" t="s">
        <v>360</v>
      </c>
      <c r="H442" s="55" t="s">
        <v>360</v>
      </c>
      <c r="I442" s="55" t="s">
        <v>360</v>
      </c>
      <c r="J442" s="55" t="s">
        <v>360</v>
      </c>
      <c r="K442" s="55" t="s">
        <v>360</v>
      </c>
      <c r="L442" s="55" t="s">
        <v>360</v>
      </c>
      <c r="M442" s="55" t="s">
        <v>144</v>
      </c>
      <c r="N442" s="55" t="s">
        <v>144</v>
      </c>
      <c r="O442" s="55" t="s">
        <v>271</v>
      </c>
      <c r="P442" s="55" t="s">
        <v>1122</v>
      </c>
      <c r="Q442" s="55" t="s">
        <v>380</v>
      </c>
      <c r="R442" s="55">
        <v>3</v>
      </c>
      <c r="S442" s="74"/>
      <c r="T442" s="55" t="s">
        <v>1121</v>
      </c>
      <c r="U442" s="73" t="s">
        <v>351</v>
      </c>
      <c r="V442" s="74">
        <v>44481</v>
      </c>
      <c r="W442" s="74">
        <v>44523</v>
      </c>
      <c r="X442" s="55">
        <v>10185620</v>
      </c>
      <c r="Y442" s="74" t="s">
        <v>132</v>
      </c>
      <c r="Z442" s="74"/>
      <c r="AB442" s="55" t="s">
        <v>132</v>
      </c>
      <c r="AC442" s="55" t="s">
        <v>130</v>
      </c>
    </row>
    <row r="443" spans="1:29" ht="13" x14ac:dyDescent="0.15">
      <c r="A443" s="72" t="str">
        <f t="shared" si="6"/>
        <v>Ofsted Social Care Provider Webpage</v>
      </c>
      <c r="B443" s="55">
        <v>1263773</v>
      </c>
      <c r="D443" s="55" t="s">
        <v>373</v>
      </c>
      <c r="E443" s="74">
        <v>43070</v>
      </c>
      <c r="F443" s="55" t="s">
        <v>344</v>
      </c>
      <c r="G443" s="55" t="s">
        <v>360</v>
      </c>
      <c r="H443" s="55" t="s">
        <v>360</v>
      </c>
      <c r="I443" s="55" t="s">
        <v>360</v>
      </c>
      <c r="J443" s="55" t="s">
        <v>360</v>
      </c>
      <c r="K443" s="55" t="s">
        <v>360</v>
      </c>
      <c r="L443" s="55" t="s">
        <v>360</v>
      </c>
      <c r="M443" s="55" t="s">
        <v>172</v>
      </c>
      <c r="N443" s="55" t="s">
        <v>172</v>
      </c>
      <c r="O443" s="55" t="s">
        <v>212</v>
      </c>
      <c r="P443" s="55" t="s">
        <v>592</v>
      </c>
      <c r="Q443" s="55" t="s">
        <v>350</v>
      </c>
      <c r="R443" s="55">
        <v>4</v>
      </c>
      <c r="S443" s="74"/>
      <c r="T443" s="55" t="s">
        <v>515</v>
      </c>
      <c r="U443" s="73" t="s">
        <v>351</v>
      </c>
      <c r="V443" s="74">
        <v>44320</v>
      </c>
      <c r="W443" s="74">
        <v>44351</v>
      </c>
      <c r="X443" s="55">
        <v>10186484</v>
      </c>
      <c r="Y443" s="74" t="s">
        <v>132</v>
      </c>
      <c r="Z443" s="74"/>
      <c r="AB443" s="55" t="s">
        <v>132</v>
      </c>
      <c r="AC443" s="55" t="s">
        <v>140</v>
      </c>
    </row>
    <row r="444" spans="1:29" ht="13" x14ac:dyDescent="0.15">
      <c r="A444" s="72" t="str">
        <f t="shared" si="6"/>
        <v>Ofsted Social Care Provider Webpage</v>
      </c>
      <c r="B444" s="55">
        <v>1263776</v>
      </c>
      <c r="D444" s="55" t="s">
        <v>373</v>
      </c>
      <c r="E444" s="74">
        <v>42982</v>
      </c>
      <c r="F444" s="55" t="s">
        <v>344</v>
      </c>
      <c r="G444" s="55" t="s">
        <v>360</v>
      </c>
      <c r="H444" s="55" t="s">
        <v>360</v>
      </c>
      <c r="I444" s="55" t="s">
        <v>360</v>
      </c>
      <c r="J444" s="55" t="s">
        <v>360</v>
      </c>
      <c r="K444" s="55" t="s">
        <v>360</v>
      </c>
      <c r="L444" s="55" t="s">
        <v>360</v>
      </c>
      <c r="M444" s="55" t="s">
        <v>138</v>
      </c>
      <c r="N444" s="55" t="s">
        <v>138</v>
      </c>
      <c r="O444" s="55" t="s">
        <v>224</v>
      </c>
      <c r="P444" s="55" t="s">
        <v>1123</v>
      </c>
      <c r="Q444" s="55" t="s">
        <v>350</v>
      </c>
      <c r="R444" s="55">
        <v>2</v>
      </c>
      <c r="S444" s="74"/>
      <c r="T444" s="55" t="s">
        <v>1124</v>
      </c>
      <c r="U444" s="73" t="s">
        <v>351</v>
      </c>
      <c r="V444" s="74">
        <v>44305</v>
      </c>
      <c r="W444" s="74">
        <v>44333</v>
      </c>
      <c r="X444" s="55">
        <v>10186648</v>
      </c>
      <c r="Y444" s="74" t="s">
        <v>132</v>
      </c>
      <c r="Z444" s="74"/>
      <c r="AB444" s="55" t="s">
        <v>132</v>
      </c>
      <c r="AC444" s="55" t="s">
        <v>132</v>
      </c>
    </row>
    <row r="445" spans="1:29" ht="13" x14ac:dyDescent="0.15">
      <c r="A445" s="72" t="str">
        <f t="shared" si="6"/>
        <v>Ofsted Social Care Provider Webpage</v>
      </c>
      <c r="B445" s="55">
        <v>1263837</v>
      </c>
      <c r="D445" s="55" t="s">
        <v>373</v>
      </c>
      <c r="E445" s="74">
        <v>43012</v>
      </c>
      <c r="F445" s="55" t="s">
        <v>344</v>
      </c>
      <c r="G445" s="55" t="s">
        <v>360</v>
      </c>
      <c r="H445" s="55" t="s">
        <v>360</v>
      </c>
      <c r="I445" s="55" t="s">
        <v>360</v>
      </c>
      <c r="J445" s="55" t="s">
        <v>360</v>
      </c>
      <c r="K445" s="55" t="s">
        <v>360</v>
      </c>
      <c r="L445" s="55" t="s">
        <v>360</v>
      </c>
      <c r="M445" s="55" t="s">
        <v>172</v>
      </c>
      <c r="N445" s="55" t="s">
        <v>172</v>
      </c>
      <c r="O445" s="55" t="s">
        <v>171</v>
      </c>
      <c r="P445" s="55" t="s">
        <v>1125</v>
      </c>
      <c r="Q445" s="55" t="s">
        <v>350</v>
      </c>
      <c r="R445" s="55">
        <v>3</v>
      </c>
      <c r="S445" s="74"/>
      <c r="T445" s="55" t="s">
        <v>515</v>
      </c>
      <c r="U445" s="73" t="s">
        <v>351</v>
      </c>
      <c r="V445" s="74">
        <v>44403</v>
      </c>
      <c r="W445" s="74">
        <v>44431</v>
      </c>
      <c r="X445" s="55">
        <v>10187228</v>
      </c>
      <c r="Y445" s="74" t="s">
        <v>132</v>
      </c>
      <c r="Z445" s="74"/>
      <c r="AB445" s="55" t="s">
        <v>132</v>
      </c>
      <c r="AC445" s="55" t="s">
        <v>132</v>
      </c>
    </row>
    <row r="446" spans="1:29" ht="13" x14ac:dyDescent="0.15">
      <c r="A446" s="72" t="str">
        <f t="shared" si="6"/>
        <v>Ofsted Social Care Provider Webpage</v>
      </c>
      <c r="B446" s="55">
        <v>1263977</v>
      </c>
      <c r="D446" s="55" t="s">
        <v>373</v>
      </c>
      <c r="E446" s="74">
        <v>43075</v>
      </c>
      <c r="F446" s="55" t="s">
        <v>344</v>
      </c>
      <c r="G446" s="55" t="s">
        <v>360</v>
      </c>
      <c r="H446" s="55" t="s">
        <v>360</v>
      </c>
      <c r="I446" s="55" t="s">
        <v>360</v>
      </c>
      <c r="J446" s="55" t="s">
        <v>360</v>
      </c>
      <c r="K446" s="55" t="s">
        <v>360</v>
      </c>
      <c r="L446" s="55" t="s">
        <v>360</v>
      </c>
      <c r="M446" s="55" t="s">
        <v>142</v>
      </c>
      <c r="N446" s="55" t="s">
        <v>142</v>
      </c>
      <c r="O446" s="55" t="s">
        <v>278</v>
      </c>
      <c r="P446" s="55" t="s">
        <v>1126</v>
      </c>
      <c r="Q446" s="55" t="s">
        <v>350</v>
      </c>
      <c r="R446" s="55">
        <v>8</v>
      </c>
      <c r="S446" s="74"/>
      <c r="T446" s="55" t="s">
        <v>1127</v>
      </c>
      <c r="U446" s="73" t="s">
        <v>351</v>
      </c>
      <c r="V446" s="74">
        <v>44370</v>
      </c>
      <c r="W446" s="74">
        <v>44420</v>
      </c>
      <c r="X446" s="55">
        <v>10186447</v>
      </c>
      <c r="Y446" s="74" t="s">
        <v>130</v>
      </c>
      <c r="Z446" s="74"/>
      <c r="AB446" s="55" t="s">
        <v>130</v>
      </c>
      <c r="AC446" s="55" t="s">
        <v>130</v>
      </c>
    </row>
    <row r="447" spans="1:29" ht="13" x14ac:dyDescent="0.15">
      <c r="A447" s="72" t="str">
        <f t="shared" si="6"/>
        <v>Ofsted Social Care Provider Webpage</v>
      </c>
      <c r="B447" s="55">
        <v>1264016</v>
      </c>
      <c r="D447" s="55" t="s">
        <v>373</v>
      </c>
      <c r="E447" s="74">
        <v>42985</v>
      </c>
      <c r="F447" s="55" t="s">
        <v>344</v>
      </c>
      <c r="G447" s="55" t="s">
        <v>360</v>
      </c>
      <c r="H447" s="55" t="s">
        <v>360</v>
      </c>
      <c r="I447" s="55" t="s">
        <v>360</v>
      </c>
      <c r="J447" s="55" t="s">
        <v>360</v>
      </c>
      <c r="K447" s="55" t="s">
        <v>360</v>
      </c>
      <c r="L447" s="55" t="s">
        <v>360</v>
      </c>
      <c r="M447" s="55" t="s">
        <v>129</v>
      </c>
      <c r="N447" s="55" t="s">
        <v>129</v>
      </c>
      <c r="O447" s="55" t="s">
        <v>279</v>
      </c>
      <c r="P447" s="55" t="s">
        <v>1128</v>
      </c>
      <c r="Q447" s="55" t="s">
        <v>350</v>
      </c>
      <c r="R447" s="55">
        <v>6</v>
      </c>
      <c r="S447" s="74"/>
      <c r="T447" s="55" t="s">
        <v>1129</v>
      </c>
      <c r="U447" s="73" t="s">
        <v>351</v>
      </c>
      <c r="V447" s="74">
        <v>44602</v>
      </c>
      <c r="W447" s="74">
        <v>44664</v>
      </c>
      <c r="X447" s="55">
        <v>10186285</v>
      </c>
      <c r="Y447" s="74" t="s">
        <v>132</v>
      </c>
      <c r="Z447" s="74"/>
      <c r="AB447" s="55" t="s">
        <v>132</v>
      </c>
      <c r="AC447" s="55" t="s">
        <v>132</v>
      </c>
    </row>
    <row r="448" spans="1:29" ht="13" x14ac:dyDescent="0.15">
      <c r="A448" s="72" t="str">
        <f t="shared" si="6"/>
        <v>Ofsted Social Care Provider Webpage</v>
      </c>
      <c r="B448" s="55">
        <v>1264048</v>
      </c>
      <c r="D448" s="55" t="s">
        <v>373</v>
      </c>
      <c r="E448" s="74">
        <v>42990</v>
      </c>
      <c r="F448" s="55" t="s">
        <v>344</v>
      </c>
      <c r="G448" s="55" t="s">
        <v>360</v>
      </c>
      <c r="H448" s="55" t="s">
        <v>360</v>
      </c>
      <c r="I448" s="55" t="s">
        <v>360</v>
      </c>
      <c r="J448" s="55" t="s">
        <v>360</v>
      </c>
      <c r="K448" s="55" t="s">
        <v>360</v>
      </c>
      <c r="L448" s="55" t="s">
        <v>360</v>
      </c>
      <c r="M448" s="55" t="s">
        <v>129</v>
      </c>
      <c r="N448" s="55" t="s">
        <v>129</v>
      </c>
      <c r="O448" s="55" t="s">
        <v>152</v>
      </c>
      <c r="P448" s="55" t="s">
        <v>1130</v>
      </c>
      <c r="Q448" s="55" t="s">
        <v>350</v>
      </c>
      <c r="R448" s="55">
        <v>4</v>
      </c>
      <c r="S448" s="74"/>
      <c r="T448" s="55" t="s">
        <v>1131</v>
      </c>
      <c r="U448" s="73" t="s">
        <v>351</v>
      </c>
      <c r="V448" s="74">
        <v>44327</v>
      </c>
      <c r="W448" s="74">
        <v>44372</v>
      </c>
      <c r="X448" s="55">
        <v>10187061</v>
      </c>
      <c r="Y448" s="74" t="s">
        <v>130</v>
      </c>
      <c r="Z448" s="74"/>
      <c r="AB448" s="55" t="s">
        <v>130</v>
      </c>
      <c r="AC448" s="55" t="s">
        <v>130</v>
      </c>
    </row>
    <row r="449" spans="1:29" ht="13" x14ac:dyDescent="0.15">
      <c r="A449" s="72" t="str">
        <f t="shared" si="6"/>
        <v>Ofsted Social Care Provider Webpage</v>
      </c>
      <c r="B449" s="55">
        <v>1264286</v>
      </c>
      <c r="D449" s="55" t="s">
        <v>373</v>
      </c>
      <c r="E449" s="74">
        <v>43069</v>
      </c>
      <c r="F449" s="55" t="s">
        <v>344</v>
      </c>
      <c r="G449" s="55" t="s">
        <v>360</v>
      </c>
      <c r="H449" s="55" t="s">
        <v>360</v>
      </c>
      <c r="I449" s="55" t="s">
        <v>360</v>
      </c>
      <c r="J449" s="55" t="s">
        <v>360</v>
      </c>
      <c r="K449" s="55" t="s">
        <v>360</v>
      </c>
      <c r="L449" s="55" t="s">
        <v>360</v>
      </c>
      <c r="M449" s="55" t="s">
        <v>138</v>
      </c>
      <c r="N449" s="55" t="s">
        <v>138</v>
      </c>
      <c r="O449" s="55" t="s">
        <v>137</v>
      </c>
      <c r="P449" s="55" t="s">
        <v>137</v>
      </c>
      <c r="Q449" s="55" t="s">
        <v>350</v>
      </c>
      <c r="R449" s="55">
        <v>4</v>
      </c>
      <c r="S449" s="74"/>
      <c r="T449" s="55" t="s">
        <v>515</v>
      </c>
      <c r="U449" s="73" t="s">
        <v>351</v>
      </c>
      <c r="V449" s="74">
        <v>44460</v>
      </c>
      <c r="W449" s="74">
        <v>44480</v>
      </c>
      <c r="X449" s="55">
        <v>10185730</v>
      </c>
      <c r="Y449" s="74" t="s">
        <v>132</v>
      </c>
      <c r="Z449" s="74"/>
      <c r="AB449" s="55" t="s">
        <v>132</v>
      </c>
      <c r="AC449" s="55" t="s">
        <v>132</v>
      </c>
    </row>
    <row r="450" spans="1:29" ht="13" x14ac:dyDescent="0.15">
      <c r="A450" s="72" t="str">
        <f t="shared" si="6"/>
        <v>Ofsted Social Care Provider Webpage</v>
      </c>
      <c r="B450" s="55">
        <v>1264333</v>
      </c>
      <c r="D450" s="55" t="s">
        <v>373</v>
      </c>
      <c r="E450" s="74">
        <v>43216</v>
      </c>
      <c r="F450" s="55" t="s">
        <v>344</v>
      </c>
      <c r="G450" s="55" t="s">
        <v>360</v>
      </c>
      <c r="H450" s="55" t="s">
        <v>360</v>
      </c>
      <c r="I450" s="55" t="s">
        <v>360</v>
      </c>
      <c r="J450" s="55" t="s">
        <v>360</v>
      </c>
      <c r="K450" s="55" t="s">
        <v>360</v>
      </c>
      <c r="L450" s="55" t="s">
        <v>360</v>
      </c>
      <c r="M450" s="55" t="s">
        <v>144</v>
      </c>
      <c r="N450" s="55" t="s">
        <v>144</v>
      </c>
      <c r="O450" s="55" t="s">
        <v>209</v>
      </c>
      <c r="P450" s="55" t="s">
        <v>545</v>
      </c>
      <c r="Q450" s="55" t="s">
        <v>350</v>
      </c>
      <c r="R450" s="55">
        <v>3</v>
      </c>
      <c r="S450" s="74"/>
      <c r="T450" s="55" t="s">
        <v>493</v>
      </c>
      <c r="U450" s="73" t="s">
        <v>351</v>
      </c>
      <c r="V450" s="74">
        <v>44523</v>
      </c>
      <c r="W450" s="74">
        <v>44571</v>
      </c>
      <c r="X450" s="55">
        <v>10187119</v>
      </c>
      <c r="Y450" s="74" t="s">
        <v>132</v>
      </c>
      <c r="Z450" s="74"/>
      <c r="AB450" s="55" t="s">
        <v>132</v>
      </c>
      <c r="AC450" s="55" t="s">
        <v>140</v>
      </c>
    </row>
    <row r="451" spans="1:29" ht="13" x14ac:dyDescent="0.15">
      <c r="A451" s="72" t="str">
        <f t="shared" si="6"/>
        <v>Ofsted Social Care Provider Webpage</v>
      </c>
      <c r="B451" s="55">
        <v>1264335</v>
      </c>
      <c r="D451" s="55" t="s">
        <v>389</v>
      </c>
      <c r="E451" s="74">
        <v>43091</v>
      </c>
      <c r="F451" s="55" t="s">
        <v>344</v>
      </c>
      <c r="G451" s="55" t="s">
        <v>1132</v>
      </c>
      <c r="H451" s="55" t="s">
        <v>1133</v>
      </c>
      <c r="I451" s="55" t="s">
        <v>1134</v>
      </c>
      <c r="J451" s="55" t="s">
        <v>1060</v>
      </c>
      <c r="L451" s="55" t="s">
        <v>1135</v>
      </c>
      <c r="M451" s="55" t="s">
        <v>142</v>
      </c>
      <c r="N451" s="55" t="s">
        <v>142</v>
      </c>
      <c r="O451" s="55" t="s">
        <v>293</v>
      </c>
      <c r="P451" s="55" t="s">
        <v>1136</v>
      </c>
      <c r="Q451" s="55" t="s">
        <v>350</v>
      </c>
      <c r="R451" s="55"/>
      <c r="S451" s="74"/>
      <c r="T451" s="55" t="s">
        <v>1132</v>
      </c>
      <c r="U451" s="73" t="s">
        <v>351</v>
      </c>
      <c r="V451" s="74">
        <v>44459</v>
      </c>
      <c r="W451" s="74">
        <v>44496</v>
      </c>
      <c r="X451" s="55">
        <v>10183292</v>
      </c>
      <c r="Y451" s="74" t="s">
        <v>132</v>
      </c>
      <c r="Z451" s="74"/>
      <c r="AB451" s="55" t="s">
        <v>132</v>
      </c>
      <c r="AC451" s="55" t="s">
        <v>132</v>
      </c>
    </row>
    <row r="452" spans="1:29" ht="13" x14ac:dyDescent="0.15">
      <c r="A452" s="72" t="str">
        <f t="shared" si="6"/>
        <v>Ofsted Social Care Provider Webpage</v>
      </c>
      <c r="B452" s="55">
        <v>1264438</v>
      </c>
      <c r="D452" s="55" t="s">
        <v>373</v>
      </c>
      <c r="E452" s="74">
        <v>43082</v>
      </c>
      <c r="F452" s="55" t="s">
        <v>344</v>
      </c>
      <c r="G452" s="55" t="s">
        <v>360</v>
      </c>
      <c r="H452" s="55" t="s">
        <v>360</v>
      </c>
      <c r="I452" s="55" t="s">
        <v>360</v>
      </c>
      <c r="J452" s="55" t="s">
        <v>360</v>
      </c>
      <c r="K452" s="55" t="s">
        <v>360</v>
      </c>
      <c r="L452" s="55" t="s">
        <v>360</v>
      </c>
      <c r="M452" s="55" t="s">
        <v>378</v>
      </c>
      <c r="N452" s="55" t="s">
        <v>134</v>
      </c>
      <c r="O452" s="55" t="s">
        <v>175</v>
      </c>
      <c r="P452" s="55" t="s">
        <v>678</v>
      </c>
      <c r="Q452" s="55" t="s">
        <v>350</v>
      </c>
      <c r="R452" s="55">
        <v>4</v>
      </c>
      <c r="S452" s="74"/>
      <c r="T452" s="55" t="s">
        <v>861</v>
      </c>
      <c r="U452" s="73" t="s">
        <v>351</v>
      </c>
      <c r="V452" s="74">
        <v>44537</v>
      </c>
      <c r="W452" s="74">
        <v>44586</v>
      </c>
      <c r="X452" s="55">
        <v>10206918</v>
      </c>
      <c r="Y452" s="74" t="s">
        <v>132</v>
      </c>
      <c r="Z452" s="74"/>
      <c r="AB452" s="55" t="s">
        <v>132</v>
      </c>
      <c r="AC452" s="55" t="s">
        <v>132</v>
      </c>
    </row>
    <row r="453" spans="1:29" ht="13" x14ac:dyDescent="0.15">
      <c r="A453" s="72" t="str">
        <f t="shared" si="6"/>
        <v>Ofsted Social Care Provider Webpage</v>
      </c>
      <c r="B453" s="55">
        <v>1264537</v>
      </c>
      <c r="D453" s="55" t="s">
        <v>373</v>
      </c>
      <c r="E453" s="74">
        <v>43068</v>
      </c>
      <c r="F453" s="55" t="s">
        <v>344</v>
      </c>
      <c r="G453" s="55" t="s">
        <v>360</v>
      </c>
      <c r="H453" s="55" t="s">
        <v>360</v>
      </c>
      <c r="I453" s="55" t="s">
        <v>360</v>
      </c>
      <c r="J453" s="55" t="s">
        <v>360</v>
      </c>
      <c r="K453" s="55" t="s">
        <v>360</v>
      </c>
      <c r="L453" s="55" t="s">
        <v>360</v>
      </c>
      <c r="M453" s="55" t="s">
        <v>144</v>
      </c>
      <c r="N453" s="55" t="s">
        <v>144</v>
      </c>
      <c r="O453" s="55" t="s">
        <v>287</v>
      </c>
      <c r="P453" s="55" t="s">
        <v>287</v>
      </c>
      <c r="Q453" s="55" t="s">
        <v>350</v>
      </c>
      <c r="R453" s="55">
        <v>5</v>
      </c>
      <c r="S453" s="74"/>
      <c r="T453" s="55" t="s">
        <v>863</v>
      </c>
      <c r="U453" s="73" t="s">
        <v>351</v>
      </c>
      <c r="V453" s="74">
        <v>44502</v>
      </c>
      <c r="W453" s="74">
        <v>44550</v>
      </c>
      <c r="X453" s="55">
        <v>10186802</v>
      </c>
      <c r="Y453" s="74" t="s">
        <v>132</v>
      </c>
      <c r="Z453" s="74"/>
      <c r="AB453" s="55" t="s">
        <v>132</v>
      </c>
      <c r="AC453" s="55" t="s">
        <v>132</v>
      </c>
    </row>
    <row r="454" spans="1:29" ht="13" x14ac:dyDescent="0.15">
      <c r="A454" s="72" t="str">
        <f t="shared" ref="A454:A517" si="7">HYPERLINK(_xlfn.CONCAT("http://reports.ofsted.gov.uk/inspection-reports/find-inspection-report/provider/CARE/",B454),"Ofsted Social Care Provider Webpage")</f>
        <v>Ofsted Social Care Provider Webpage</v>
      </c>
      <c r="B454" s="55">
        <v>1264538</v>
      </c>
      <c r="D454" s="55" t="s">
        <v>373</v>
      </c>
      <c r="E454" s="74">
        <v>43025</v>
      </c>
      <c r="F454" s="55" t="s">
        <v>344</v>
      </c>
      <c r="G454" s="55" t="s">
        <v>360</v>
      </c>
      <c r="H454" s="55" t="s">
        <v>360</v>
      </c>
      <c r="I454" s="55" t="s">
        <v>360</v>
      </c>
      <c r="J454" s="55" t="s">
        <v>360</v>
      </c>
      <c r="K454" s="55" t="s">
        <v>360</v>
      </c>
      <c r="L454" s="55" t="s">
        <v>360</v>
      </c>
      <c r="M454" s="55" t="s">
        <v>144</v>
      </c>
      <c r="N454" s="55" t="s">
        <v>144</v>
      </c>
      <c r="O454" s="55" t="s">
        <v>209</v>
      </c>
      <c r="P454" s="55" t="s">
        <v>736</v>
      </c>
      <c r="Q454" s="55" t="s">
        <v>350</v>
      </c>
      <c r="R454" s="55">
        <v>3</v>
      </c>
      <c r="S454" s="74"/>
      <c r="T454" s="55" t="s">
        <v>737</v>
      </c>
      <c r="U454" s="73" t="s">
        <v>351</v>
      </c>
      <c r="V454" s="74">
        <v>44530</v>
      </c>
      <c r="W454" s="74">
        <v>44575</v>
      </c>
      <c r="X454" s="55">
        <v>10185357</v>
      </c>
      <c r="Y454" s="74" t="s">
        <v>132</v>
      </c>
      <c r="Z454" s="74"/>
      <c r="AB454" s="55" t="s">
        <v>132</v>
      </c>
      <c r="AC454" s="55" t="s">
        <v>132</v>
      </c>
    </row>
    <row r="455" spans="1:29" ht="13" x14ac:dyDescent="0.15">
      <c r="A455" s="72" t="str">
        <f t="shared" si="7"/>
        <v>Ofsted Social Care Provider Webpage</v>
      </c>
      <c r="B455" s="55">
        <v>1264592</v>
      </c>
      <c r="C455" s="55">
        <v>136947</v>
      </c>
      <c r="D455" s="55" t="s">
        <v>398</v>
      </c>
      <c r="E455" s="74">
        <v>42979</v>
      </c>
      <c r="F455" s="55" t="s">
        <v>344</v>
      </c>
      <c r="G455" s="55" t="s">
        <v>1137</v>
      </c>
      <c r="H455" s="55" t="s">
        <v>1138</v>
      </c>
      <c r="I455" s="55" t="s">
        <v>1139</v>
      </c>
      <c r="J455" s="55" t="s">
        <v>1140</v>
      </c>
      <c r="K455" s="55" t="s">
        <v>181</v>
      </c>
      <c r="L455" s="55" t="s">
        <v>1141</v>
      </c>
      <c r="M455" s="55" t="s">
        <v>150</v>
      </c>
      <c r="N455" s="55" t="s">
        <v>150</v>
      </c>
      <c r="O455" s="55" t="s">
        <v>181</v>
      </c>
      <c r="P455" s="55" t="s">
        <v>1142</v>
      </c>
      <c r="Q455" s="55" t="s">
        <v>350</v>
      </c>
      <c r="R455" s="55">
        <v>30</v>
      </c>
      <c r="S455" s="74"/>
      <c r="T455" s="55" t="s">
        <v>1143</v>
      </c>
      <c r="U455" s="73" t="s">
        <v>351</v>
      </c>
      <c r="V455" s="74">
        <v>43360</v>
      </c>
      <c r="W455" s="74">
        <v>43388</v>
      </c>
      <c r="X455" s="55">
        <v>10054003</v>
      </c>
      <c r="Y455" s="74" t="s">
        <v>140</v>
      </c>
      <c r="Z455" s="74"/>
      <c r="AB455" s="55" t="s">
        <v>140</v>
      </c>
      <c r="AC455" s="55" t="s">
        <v>140</v>
      </c>
    </row>
    <row r="456" spans="1:29" ht="13" x14ac:dyDescent="0.15">
      <c r="A456" s="72" t="str">
        <f t="shared" si="7"/>
        <v>Ofsted Social Care Provider Webpage</v>
      </c>
      <c r="B456" s="55">
        <v>1264707</v>
      </c>
      <c r="D456" s="55" t="s">
        <v>468</v>
      </c>
      <c r="E456" s="74">
        <v>43166</v>
      </c>
      <c r="F456" s="55" t="s">
        <v>344</v>
      </c>
      <c r="G456" s="55" t="s">
        <v>1144</v>
      </c>
      <c r="H456" s="55" t="s">
        <v>1145</v>
      </c>
      <c r="I456" s="55" t="s">
        <v>1146</v>
      </c>
      <c r="J456" s="55" t="s">
        <v>1147</v>
      </c>
      <c r="L456" s="55" t="s">
        <v>1148</v>
      </c>
      <c r="M456" s="55" t="s">
        <v>142</v>
      </c>
      <c r="N456" s="55" t="s">
        <v>142</v>
      </c>
      <c r="O456" s="55" t="s">
        <v>249</v>
      </c>
      <c r="P456" s="55" t="s">
        <v>1149</v>
      </c>
      <c r="Q456" s="55" t="s">
        <v>362</v>
      </c>
      <c r="R456" s="55"/>
      <c r="S456" s="74"/>
      <c r="T456" s="55" t="s">
        <v>1150</v>
      </c>
      <c r="U456" s="73" t="s">
        <v>351</v>
      </c>
      <c r="V456" s="74">
        <v>43473</v>
      </c>
      <c r="W456" s="74">
        <v>43511</v>
      </c>
      <c r="X456" s="55">
        <v>10056248</v>
      </c>
      <c r="Y456" s="74" t="s">
        <v>130</v>
      </c>
      <c r="Z456" s="74"/>
      <c r="AB456" s="55" t="s">
        <v>130</v>
      </c>
      <c r="AC456" s="55" t="s">
        <v>130</v>
      </c>
    </row>
    <row r="457" spans="1:29" ht="13" x14ac:dyDescent="0.15">
      <c r="A457" s="72" t="str">
        <f t="shared" si="7"/>
        <v>Ofsted Social Care Provider Webpage</v>
      </c>
      <c r="B457" s="55">
        <v>1264756</v>
      </c>
      <c r="D457" s="55" t="s">
        <v>373</v>
      </c>
      <c r="E457" s="74">
        <v>43029</v>
      </c>
      <c r="F457" s="55" t="s">
        <v>344</v>
      </c>
      <c r="G457" s="55" t="s">
        <v>360</v>
      </c>
      <c r="H457" s="55" t="s">
        <v>360</v>
      </c>
      <c r="I457" s="55" t="s">
        <v>360</v>
      </c>
      <c r="J457" s="55" t="s">
        <v>360</v>
      </c>
      <c r="K457" s="55" t="s">
        <v>360</v>
      </c>
      <c r="L457" s="55" t="s">
        <v>360</v>
      </c>
      <c r="M457" s="55" t="s">
        <v>136</v>
      </c>
      <c r="N457" s="55" t="s">
        <v>136</v>
      </c>
      <c r="O457" s="55" t="s">
        <v>174</v>
      </c>
      <c r="P457" s="55" t="s">
        <v>982</v>
      </c>
      <c r="Q457" s="55" t="s">
        <v>350</v>
      </c>
      <c r="R457" s="55">
        <v>2</v>
      </c>
      <c r="S457" s="74"/>
      <c r="T457" s="55" t="s">
        <v>1151</v>
      </c>
      <c r="U457" s="73" t="s">
        <v>351</v>
      </c>
      <c r="V457" s="74">
        <v>44453</v>
      </c>
      <c r="W457" s="74">
        <v>44480</v>
      </c>
      <c r="X457" s="55">
        <v>10203861</v>
      </c>
      <c r="Y457" s="74" t="s">
        <v>132</v>
      </c>
      <c r="Z457" s="74"/>
      <c r="AB457" s="55" t="s">
        <v>132</v>
      </c>
      <c r="AC457" s="55" t="s">
        <v>130</v>
      </c>
    </row>
    <row r="458" spans="1:29" ht="13" x14ac:dyDescent="0.15">
      <c r="A458" s="72" t="str">
        <f t="shared" si="7"/>
        <v>Ofsted Social Care Provider Webpage</v>
      </c>
      <c r="B458" s="55">
        <v>1264840</v>
      </c>
      <c r="D458" s="55" t="s">
        <v>373</v>
      </c>
      <c r="E458" s="74">
        <v>43073</v>
      </c>
      <c r="F458" s="55" t="s">
        <v>344</v>
      </c>
      <c r="G458" s="55" t="s">
        <v>360</v>
      </c>
      <c r="H458" s="55" t="s">
        <v>360</v>
      </c>
      <c r="I458" s="55" t="s">
        <v>360</v>
      </c>
      <c r="J458" s="55" t="s">
        <v>360</v>
      </c>
      <c r="K458" s="55" t="s">
        <v>360</v>
      </c>
      <c r="L458" s="55" t="s">
        <v>360</v>
      </c>
      <c r="M458" s="55" t="s">
        <v>142</v>
      </c>
      <c r="N458" s="55" t="s">
        <v>142</v>
      </c>
      <c r="O458" s="55" t="s">
        <v>166</v>
      </c>
      <c r="P458" s="55" t="s">
        <v>1152</v>
      </c>
      <c r="Q458" s="55" t="s">
        <v>350</v>
      </c>
      <c r="R458" s="55">
        <v>3</v>
      </c>
      <c r="S458" s="74"/>
      <c r="T458" s="55" t="s">
        <v>517</v>
      </c>
      <c r="U458" s="73" t="s">
        <v>351</v>
      </c>
      <c r="V458" s="74">
        <v>44425</v>
      </c>
      <c r="W458" s="74">
        <v>44473</v>
      </c>
      <c r="X458" s="55">
        <v>10186206</v>
      </c>
      <c r="Y458" s="74" t="s">
        <v>132</v>
      </c>
      <c r="Z458" s="74"/>
      <c r="AB458" s="55" t="s">
        <v>132</v>
      </c>
      <c r="AC458" s="55" t="s">
        <v>130</v>
      </c>
    </row>
    <row r="459" spans="1:29" ht="13" x14ac:dyDescent="0.15">
      <c r="A459" s="72" t="str">
        <f t="shared" si="7"/>
        <v>Ofsted Social Care Provider Webpage</v>
      </c>
      <c r="B459" s="55">
        <v>1264841</v>
      </c>
      <c r="D459" s="55" t="s">
        <v>373</v>
      </c>
      <c r="E459" s="74">
        <v>43087</v>
      </c>
      <c r="F459" s="55" t="s">
        <v>344</v>
      </c>
      <c r="G459" s="55" t="s">
        <v>360</v>
      </c>
      <c r="H459" s="55" t="s">
        <v>360</v>
      </c>
      <c r="I459" s="55" t="s">
        <v>360</v>
      </c>
      <c r="J459" s="55" t="s">
        <v>360</v>
      </c>
      <c r="K459" s="55" t="s">
        <v>360</v>
      </c>
      <c r="L459" s="55" t="s">
        <v>360</v>
      </c>
      <c r="M459" s="55" t="s">
        <v>129</v>
      </c>
      <c r="N459" s="55" t="s">
        <v>129</v>
      </c>
      <c r="O459" s="55" t="s">
        <v>139</v>
      </c>
      <c r="P459" s="55" t="s">
        <v>1153</v>
      </c>
      <c r="Q459" s="55" t="s">
        <v>362</v>
      </c>
      <c r="R459" s="55">
        <v>10</v>
      </c>
      <c r="S459" s="74" t="s">
        <v>332</v>
      </c>
      <c r="T459" s="55" t="s">
        <v>1154</v>
      </c>
      <c r="U459" s="73" t="s">
        <v>351</v>
      </c>
      <c r="V459" s="74">
        <v>44525</v>
      </c>
      <c r="W459" s="74">
        <v>44579</v>
      </c>
      <c r="X459" s="55">
        <v>10185710</v>
      </c>
      <c r="Y459" s="74" t="s">
        <v>132</v>
      </c>
      <c r="Z459" s="74"/>
      <c r="AB459" s="55" t="s">
        <v>132</v>
      </c>
      <c r="AC459" s="55" t="s">
        <v>132</v>
      </c>
    </row>
    <row r="460" spans="1:29" ht="13" x14ac:dyDescent="0.15">
      <c r="A460" s="72" t="str">
        <f t="shared" si="7"/>
        <v>Ofsted Social Care Provider Webpage</v>
      </c>
      <c r="B460" s="55">
        <v>1265010</v>
      </c>
      <c r="D460" s="55" t="s">
        <v>389</v>
      </c>
      <c r="E460" s="74">
        <v>43083</v>
      </c>
      <c r="F460" s="55" t="s">
        <v>344</v>
      </c>
      <c r="G460" s="55" t="s">
        <v>1155</v>
      </c>
      <c r="H460" s="55" t="s">
        <v>1156</v>
      </c>
      <c r="I460" s="55" t="s">
        <v>1157</v>
      </c>
      <c r="J460" s="55" t="s">
        <v>129</v>
      </c>
      <c r="K460" s="55" t="s">
        <v>1158</v>
      </c>
      <c r="L460" s="55" t="s">
        <v>1159</v>
      </c>
      <c r="M460" s="55" t="s">
        <v>129</v>
      </c>
      <c r="N460" s="55" t="s">
        <v>129</v>
      </c>
      <c r="O460" s="55" t="s">
        <v>213</v>
      </c>
      <c r="P460" s="55" t="s">
        <v>1160</v>
      </c>
      <c r="Q460" s="55" t="s">
        <v>350</v>
      </c>
      <c r="R460" s="55"/>
      <c r="S460" s="74"/>
      <c r="T460" s="55" t="s">
        <v>1155</v>
      </c>
      <c r="U460" s="73" t="s">
        <v>351</v>
      </c>
      <c r="V460" s="74">
        <v>44340</v>
      </c>
      <c r="W460" s="74">
        <v>44389</v>
      </c>
      <c r="X460" s="55">
        <v>10183264</v>
      </c>
      <c r="Y460" s="74" t="s">
        <v>132</v>
      </c>
      <c r="Z460" s="74"/>
      <c r="AB460" s="55" t="s">
        <v>132</v>
      </c>
      <c r="AC460" s="55" t="s">
        <v>130</v>
      </c>
    </row>
    <row r="461" spans="1:29" ht="13" x14ac:dyDescent="0.15">
      <c r="A461" s="72" t="str">
        <f t="shared" si="7"/>
        <v>Ofsted Social Care Provider Webpage</v>
      </c>
      <c r="B461" s="55">
        <v>1265092</v>
      </c>
      <c r="D461" s="55" t="s">
        <v>373</v>
      </c>
      <c r="E461" s="74">
        <v>43103</v>
      </c>
      <c r="F461" s="55" t="s">
        <v>344</v>
      </c>
      <c r="G461" s="55" t="s">
        <v>360</v>
      </c>
      <c r="H461" s="55" t="s">
        <v>360</v>
      </c>
      <c r="I461" s="55" t="s">
        <v>360</v>
      </c>
      <c r="J461" s="55" t="s">
        <v>360</v>
      </c>
      <c r="K461" s="55" t="s">
        <v>360</v>
      </c>
      <c r="L461" s="55" t="s">
        <v>360</v>
      </c>
      <c r="M461" s="55" t="s">
        <v>144</v>
      </c>
      <c r="N461" s="55" t="s">
        <v>144</v>
      </c>
      <c r="O461" s="55" t="s">
        <v>147</v>
      </c>
      <c r="P461" s="55" t="s">
        <v>674</v>
      </c>
      <c r="Q461" s="55" t="s">
        <v>350</v>
      </c>
      <c r="R461" s="55">
        <v>7</v>
      </c>
      <c r="S461" s="74"/>
      <c r="T461" s="55" t="s">
        <v>1161</v>
      </c>
      <c r="U461" s="73" t="s">
        <v>351</v>
      </c>
      <c r="V461" s="74">
        <v>44418</v>
      </c>
      <c r="W461" s="74">
        <v>44453</v>
      </c>
      <c r="X461" s="55">
        <v>10187293</v>
      </c>
      <c r="Y461" s="74" t="s">
        <v>132</v>
      </c>
      <c r="Z461" s="74"/>
      <c r="AB461" s="55" t="s">
        <v>132</v>
      </c>
      <c r="AC461" s="55" t="s">
        <v>132</v>
      </c>
    </row>
    <row r="462" spans="1:29" ht="13" x14ac:dyDescent="0.15">
      <c r="A462" s="72" t="str">
        <f t="shared" si="7"/>
        <v>Ofsted Social Care Provider Webpage</v>
      </c>
      <c r="B462" s="55">
        <v>1265096</v>
      </c>
      <c r="D462" s="55" t="s">
        <v>373</v>
      </c>
      <c r="E462" s="74">
        <v>43209</v>
      </c>
      <c r="F462" s="55" t="s">
        <v>344</v>
      </c>
      <c r="G462" s="55" t="s">
        <v>360</v>
      </c>
      <c r="H462" s="55" t="s">
        <v>360</v>
      </c>
      <c r="I462" s="55" t="s">
        <v>360</v>
      </c>
      <c r="J462" s="55" t="s">
        <v>360</v>
      </c>
      <c r="K462" s="55" t="s">
        <v>360</v>
      </c>
      <c r="L462" s="55" t="s">
        <v>360</v>
      </c>
      <c r="M462" s="55" t="s">
        <v>142</v>
      </c>
      <c r="N462" s="55" t="s">
        <v>142</v>
      </c>
      <c r="O462" s="55" t="s">
        <v>292</v>
      </c>
      <c r="P462" s="55" t="s">
        <v>1162</v>
      </c>
      <c r="Q462" s="55" t="s">
        <v>350</v>
      </c>
      <c r="R462" s="55">
        <v>2</v>
      </c>
      <c r="S462" s="74"/>
      <c r="T462" s="55" t="s">
        <v>1163</v>
      </c>
      <c r="U462" s="73" t="s">
        <v>351</v>
      </c>
      <c r="V462" s="74">
        <v>44510</v>
      </c>
      <c r="W462" s="74">
        <v>44559</v>
      </c>
      <c r="X462" s="55">
        <v>10186974</v>
      </c>
      <c r="Y462" s="74" t="s">
        <v>132</v>
      </c>
      <c r="Z462" s="74"/>
      <c r="AB462" s="55" t="s">
        <v>132</v>
      </c>
      <c r="AC462" s="55" t="s">
        <v>130</v>
      </c>
    </row>
    <row r="463" spans="1:29" ht="13" x14ac:dyDescent="0.15">
      <c r="A463" s="72" t="str">
        <f t="shared" si="7"/>
        <v>Ofsted Social Care Provider Webpage</v>
      </c>
      <c r="B463" s="55">
        <v>1265128</v>
      </c>
      <c r="D463" s="55" t="s">
        <v>373</v>
      </c>
      <c r="E463" s="74">
        <v>43053</v>
      </c>
      <c r="F463" s="55" t="s">
        <v>344</v>
      </c>
      <c r="G463" s="55" t="s">
        <v>360</v>
      </c>
      <c r="H463" s="55" t="s">
        <v>360</v>
      </c>
      <c r="I463" s="55" t="s">
        <v>360</v>
      </c>
      <c r="J463" s="55" t="s">
        <v>360</v>
      </c>
      <c r="K463" s="55" t="s">
        <v>360</v>
      </c>
      <c r="L463" s="55" t="s">
        <v>360</v>
      </c>
      <c r="M463" s="55" t="s">
        <v>144</v>
      </c>
      <c r="N463" s="55" t="s">
        <v>144</v>
      </c>
      <c r="O463" s="55" t="s">
        <v>209</v>
      </c>
      <c r="P463" s="55" t="s">
        <v>544</v>
      </c>
      <c r="Q463" s="55" t="s">
        <v>350</v>
      </c>
      <c r="R463" s="55">
        <v>2</v>
      </c>
      <c r="S463" s="74"/>
      <c r="T463" s="55" t="s">
        <v>485</v>
      </c>
      <c r="U463" s="73" t="s">
        <v>351</v>
      </c>
      <c r="V463" s="74">
        <v>44510</v>
      </c>
      <c r="W463" s="74">
        <v>44559</v>
      </c>
      <c r="X463" s="55">
        <v>10187284</v>
      </c>
      <c r="Y463" s="74" t="s">
        <v>132</v>
      </c>
      <c r="Z463" s="74"/>
      <c r="AB463" s="55" t="s">
        <v>132</v>
      </c>
      <c r="AC463" s="55" t="s">
        <v>132</v>
      </c>
    </row>
    <row r="464" spans="1:29" ht="13" x14ac:dyDescent="0.15">
      <c r="A464" s="72" t="str">
        <f t="shared" si="7"/>
        <v>Ofsted Social Care Provider Webpage</v>
      </c>
      <c r="B464" s="55">
        <v>1266267</v>
      </c>
      <c r="D464" s="55" t="s">
        <v>373</v>
      </c>
      <c r="E464" s="74">
        <v>43228</v>
      </c>
      <c r="F464" s="55" t="s">
        <v>344</v>
      </c>
      <c r="G464" s="55" t="s">
        <v>360</v>
      </c>
      <c r="H464" s="55" t="s">
        <v>360</v>
      </c>
      <c r="I464" s="55" t="s">
        <v>360</v>
      </c>
      <c r="J464" s="55" t="s">
        <v>360</v>
      </c>
      <c r="K464" s="55" t="s">
        <v>360</v>
      </c>
      <c r="L464" s="55" t="s">
        <v>360</v>
      </c>
      <c r="M464" s="55" t="s">
        <v>142</v>
      </c>
      <c r="N464" s="55" t="s">
        <v>142</v>
      </c>
      <c r="O464" s="55" t="s">
        <v>292</v>
      </c>
      <c r="P464" s="55" t="s">
        <v>976</v>
      </c>
      <c r="Q464" s="55" t="s">
        <v>350</v>
      </c>
      <c r="R464" s="55">
        <v>6</v>
      </c>
      <c r="S464" s="74" t="s">
        <v>332</v>
      </c>
      <c r="T464" s="55" t="s">
        <v>1164</v>
      </c>
      <c r="U464" s="73" t="s">
        <v>351</v>
      </c>
      <c r="V464" s="74">
        <v>44515</v>
      </c>
      <c r="W464" s="74">
        <v>44559</v>
      </c>
      <c r="X464" s="55">
        <v>10187067</v>
      </c>
      <c r="Y464" s="74" t="s">
        <v>132</v>
      </c>
      <c r="Z464" s="74"/>
      <c r="AB464" s="55" t="s">
        <v>132</v>
      </c>
      <c r="AC464" s="55" t="s">
        <v>132</v>
      </c>
    </row>
    <row r="465" spans="1:29" ht="13" x14ac:dyDescent="0.15">
      <c r="A465" s="72" t="str">
        <f t="shared" si="7"/>
        <v>Ofsted Social Care Provider Webpage</v>
      </c>
      <c r="B465" s="55">
        <v>1266835</v>
      </c>
      <c r="D465" s="55" t="s">
        <v>373</v>
      </c>
      <c r="E465" s="74">
        <v>43033</v>
      </c>
      <c r="F465" s="55" t="s">
        <v>344</v>
      </c>
      <c r="G465" s="55" t="s">
        <v>360</v>
      </c>
      <c r="H465" s="55" t="s">
        <v>360</v>
      </c>
      <c r="I465" s="55" t="s">
        <v>360</v>
      </c>
      <c r="J465" s="55" t="s">
        <v>360</v>
      </c>
      <c r="K465" s="55" t="s">
        <v>360</v>
      </c>
      <c r="L465" s="55" t="s">
        <v>360</v>
      </c>
      <c r="M465" s="55" t="s">
        <v>136</v>
      </c>
      <c r="N465" s="55" t="s">
        <v>136</v>
      </c>
      <c r="O465" s="55" t="s">
        <v>135</v>
      </c>
      <c r="P465" s="55" t="s">
        <v>1165</v>
      </c>
      <c r="Q465" s="55" t="s">
        <v>362</v>
      </c>
      <c r="R465" s="55">
        <v>5</v>
      </c>
      <c r="S465" s="74" t="s">
        <v>332</v>
      </c>
      <c r="T465" s="55" t="s">
        <v>367</v>
      </c>
      <c r="U465" s="73" t="s">
        <v>351</v>
      </c>
      <c r="V465" s="74">
        <v>44545</v>
      </c>
      <c r="W465" s="74">
        <v>44589</v>
      </c>
      <c r="X465" s="55">
        <v>10185226</v>
      </c>
      <c r="Y465" s="74" t="s">
        <v>130</v>
      </c>
      <c r="Z465" s="74"/>
      <c r="AB465" s="55" t="s">
        <v>130</v>
      </c>
      <c r="AC465" s="55" t="s">
        <v>130</v>
      </c>
    </row>
    <row r="466" spans="1:29" ht="13" x14ac:dyDescent="0.15">
      <c r="A466" s="72" t="str">
        <f t="shared" si="7"/>
        <v>Ofsted Social Care Provider Webpage</v>
      </c>
      <c r="B466" s="55">
        <v>1266836</v>
      </c>
      <c r="C466" s="55">
        <v>123331</v>
      </c>
      <c r="D466" s="55" t="s">
        <v>413</v>
      </c>
      <c r="E466" s="74">
        <v>42948</v>
      </c>
      <c r="F466" s="55" t="s">
        <v>344</v>
      </c>
      <c r="G466" s="55" t="s">
        <v>1166</v>
      </c>
      <c r="H466" s="55" t="s">
        <v>1167</v>
      </c>
      <c r="I466" s="55" t="s">
        <v>354</v>
      </c>
      <c r="J466" s="55" t="s">
        <v>990</v>
      </c>
      <c r="K466" s="55" t="s">
        <v>237</v>
      </c>
      <c r="L466" s="55" t="s">
        <v>1168</v>
      </c>
      <c r="M466" s="55" t="s">
        <v>150</v>
      </c>
      <c r="N466" s="55" t="s">
        <v>150</v>
      </c>
      <c r="O466" s="55" t="s">
        <v>237</v>
      </c>
      <c r="P466" s="55" t="s">
        <v>990</v>
      </c>
      <c r="Q466" s="55" t="s">
        <v>350</v>
      </c>
      <c r="R466" s="55">
        <v>31</v>
      </c>
      <c r="S466" s="74"/>
      <c r="T466" s="55" t="s">
        <v>1169</v>
      </c>
      <c r="U466" s="73" t="s">
        <v>351</v>
      </c>
      <c r="V466" s="74">
        <v>43627</v>
      </c>
      <c r="W466" s="74">
        <v>43705</v>
      </c>
      <c r="X466" s="55">
        <v>10094784</v>
      </c>
      <c r="Y466" s="74" t="s">
        <v>140</v>
      </c>
      <c r="Z466" s="74"/>
      <c r="AB466" s="55" t="s">
        <v>140</v>
      </c>
      <c r="AC466" s="55" t="s">
        <v>140</v>
      </c>
    </row>
    <row r="467" spans="1:29" ht="13" x14ac:dyDescent="0.15">
      <c r="A467" s="72" t="str">
        <f t="shared" si="7"/>
        <v>Ofsted Social Care Provider Webpage</v>
      </c>
      <c r="B467" s="55">
        <v>1266838</v>
      </c>
      <c r="D467" s="55" t="s">
        <v>373</v>
      </c>
      <c r="E467" s="74">
        <v>43061</v>
      </c>
      <c r="F467" s="55" t="s">
        <v>344</v>
      </c>
      <c r="G467" s="55" t="s">
        <v>360</v>
      </c>
      <c r="H467" s="55" t="s">
        <v>360</v>
      </c>
      <c r="I467" s="55" t="s">
        <v>360</v>
      </c>
      <c r="J467" s="55" t="s">
        <v>360</v>
      </c>
      <c r="K467" s="55" t="s">
        <v>360</v>
      </c>
      <c r="L467" s="55" t="s">
        <v>360</v>
      </c>
      <c r="M467" s="55" t="s">
        <v>144</v>
      </c>
      <c r="N467" s="55" t="s">
        <v>144</v>
      </c>
      <c r="O467" s="55" t="s">
        <v>168</v>
      </c>
      <c r="P467" s="55" t="s">
        <v>913</v>
      </c>
      <c r="Q467" s="55" t="s">
        <v>350</v>
      </c>
      <c r="R467" s="55">
        <v>3</v>
      </c>
      <c r="S467" s="74"/>
      <c r="T467" s="55" t="s">
        <v>709</v>
      </c>
      <c r="U467" s="73" t="s">
        <v>351</v>
      </c>
      <c r="V467" s="74">
        <v>44628</v>
      </c>
      <c r="W467" s="74">
        <v>44673</v>
      </c>
      <c r="X467" s="55">
        <v>10185048</v>
      </c>
      <c r="Y467" s="74" t="s">
        <v>132</v>
      </c>
      <c r="Z467" s="74"/>
      <c r="AB467" s="55" t="s">
        <v>132</v>
      </c>
      <c r="AC467" s="55" t="s">
        <v>130</v>
      </c>
    </row>
    <row r="468" spans="1:29" ht="13" x14ac:dyDescent="0.15">
      <c r="A468" s="72" t="str">
        <f t="shared" si="7"/>
        <v>Ofsted Social Care Provider Webpage</v>
      </c>
      <c r="B468" s="55">
        <v>1267025</v>
      </c>
      <c r="C468" s="55">
        <v>143101</v>
      </c>
      <c r="D468" s="55" t="s">
        <v>398</v>
      </c>
      <c r="E468" s="74">
        <v>42615</v>
      </c>
      <c r="F468" s="55" t="s">
        <v>344</v>
      </c>
      <c r="G468" s="55" t="s">
        <v>1170</v>
      </c>
      <c r="H468" s="55" t="s">
        <v>1171</v>
      </c>
      <c r="I468" s="55" t="s">
        <v>1172</v>
      </c>
      <c r="J468" s="55" t="s">
        <v>142</v>
      </c>
      <c r="L468" s="55" t="s">
        <v>1173</v>
      </c>
      <c r="M468" s="55" t="s">
        <v>142</v>
      </c>
      <c r="N468" s="55" t="s">
        <v>142</v>
      </c>
      <c r="O468" s="55" t="s">
        <v>292</v>
      </c>
      <c r="P468" s="55" t="s">
        <v>1052</v>
      </c>
      <c r="Q468" s="55" t="s">
        <v>420</v>
      </c>
      <c r="R468" s="55">
        <v>100</v>
      </c>
      <c r="S468" s="74"/>
      <c r="T468" s="55" t="s">
        <v>1174</v>
      </c>
      <c r="U468" s="73" t="s">
        <v>351</v>
      </c>
      <c r="V468" s="74">
        <v>43886</v>
      </c>
      <c r="W468" s="74">
        <v>43921</v>
      </c>
      <c r="X468" s="55">
        <v>10121296</v>
      </c>
      <c r="Y468" s="74" t="s">
        <v>132</v>
      </c>
      <c r="Z468" s="74"/>
      <c r="AB468" s="55" t="s">
        <v>132</v>
      </c>
      <c r="AC468" s="55" t="s">
        <v>132</v>
      </c>
    </row>
    <row r="469" spans="1:29" ht="13" x14ac:dyDescent="0.15">
      <c r="A469" s="72" t="str">
        <f t="shared" si="7"/>
        <v>Ofsted Social Care Provider Webpage</v>
      </c>
      <c r="B469" s="55">
        <v>1267324</v>
      </c>
      <c r="D469" s="55" t="s">
        <v>389</v>
      </c>
      <c r="E469" s="74">
        <v>43166</v>
      </c>
      <c r="F469" s="55" t="s">
        <v>344</v>
      </c>
      <c r="G469" s="55" t="s">
        <v>1175</v>
      </c>
      <c r="H469" s="55" t="s">
        <v>1145</v>
      </c>
      <c r="I469" s="55" t="s">
        <v>1146</v>
      </c>
      <c r="J469" s="55" t="s">
        <v>1147</v>
      </c>
      <c r="L469" s="55" t="s">
        <v>1148</v>
      </c>
      <c r="M469" s="55" t="s">
        <v>142</v>
      </c>
      <c r="N469" s="55" t="s">
        <v>142</v>
      </c>
      <c r="O469" s="55" t="s">
        <v>249</v>
      </c>
      <c r="P469" s="55" t="s">
        <v>1149</v>
      </c>
      <c r="Q469" s="55" t="s">
        <v>362</v>
      </c>
      <c r="R469" s="55"/>
      <c r="S469" s="74"/>
      <c r="T469" s="55" t="s">
        <v>1150</v>
      </c>
      <c r="U469" s="73" t="s">
        <v>351</v>
      </c>
      <c r="V469" s="74">
        <v>44410</v>
      </c>
      <c r="W469" s="74">
        <v>44446</v>
      </c>
      <c r="X469" s="55">
        <v>10183275</v>
      </c>
      <c r="Y469" s="74" t="s">
        <v>132</v>
      </c>
      <c r="Z469" s="74"/>
      <c r="AB469" s="55" t="s">
        <v>132</v>
      </c>
      <c r="AC469" s="55" t="s">
        <v>132</v>
      </c>
    </row>
    <row r="470" spans="1:29" ht="13" x14ac:dyDescent="0.15">
      <c r="A470" s="72" t="str">
        <f t="shared" si="7"/>
        <v>Ofsted Social Care Provider Webpage</v>
      </c>
      <c r="B470" s="55">
        <v>1267532</v>
      </c>
      <c r="C470" s="55">
        <v>135792</v>
      </c>
      <c r="D470" s="55" t="s">
        <v>398</v>
      </c>
      <c r="E470" s="74">
        <v>43054</v>
      </c>
      <c r="F470" s="55" t="s">
        <v>344</v>
      </c>
      <c r="G470" s="55" t="s">
        <v>1176</v>
      </c>
      <c r="H470" s="55" t="s">
        <v>1177</v>
      </c>
      <c r="I470" s="55" t="s">
        <v>1178</v>
      </c>
      <c r="J470" s="55" t="s">
        <v>1179</v>
      </c>
      <c r="L470" s="55" t="s">
        <v>1180</v>
      </c>
      <c r="M470" s="55" t="s">
        <v>142</v>
      </c>
      <c r="N470" s="55" t="s">
        <v>142</v>
      </c>
      <c r="O470" s="55" t="s">
        <v>249</v>
      </c>
      <c r="P470" s="55" t="s">
        <v>1181</v>
      </c>
      <c r="Q470" s="55" t="s">
        <v>350</v>
      </c>
      <c r="R470" s="55">
        <v>30</v>
      </c>
      <c r="S470" s="74"/>
      <c r="T470" s="55" t="s">
        <v>1176</v>
      </c>
      <c r="U470" s="73" t="s">
        <v>351</v>
      </c>
      <c r="V470" s="74">
        <v>43900</v>
      </c>
      <c r="W470" s="74">
        <v>43942</v>
      </c>
      <c r="X470" s="55">
        <v>10120785</v>
      </c>
      <c r="Y470" s="74" t="s">
        <v>132</v>
      </c>
      <c r="Z470" s="74"/>
      <c r="AB470" s="55" t="s">
        <v>132</v>
      </c>
      <c r="AC470" s="55" t="s">
        <v>132</v>
      </c>
    </row>
    <row r="471" spans="1:29" ht="13" x14ac:dyDescent="0.15">
      <c r="A471" s="72" t="str">
        <f t="shared" si="7"/>
        <v>Ofsted Social Care Provider Webpage</v>
      </c>
      <c r="B471" s="55">
        <v>1267537</v>
      </c>
      <c r="D471" s="55" t="s">
        <v>373</v>
      </c>
      <c r="E471" s="74">
        <v>43080</v>
      </c>
      <c r="F471" s="55" t="s">
        <v>344</v>
      </c>
      <c r="G471" s="55" t="s">
        <v>360</v>
      </c>
      <c r="H471" s="55" t="s">
        <v>360</v>
      </c>
      <c r="I471" s="55" t="s">
        <v>360</v>
      </c>
      <c r="J471" s="55" t="s">
        <v>360</v>
      </c>
      <c r="K471" s="55" t="s">
        <v>360</v>
      </c>
      <c r="L471" s="55" t="s">
        <v>360</v>
      </c>
      <c r="M471" s="55" t="s">
        <v>172</v>
      </c>
      <c r="N471" s="55" t="s">
        <v>172</v>
      </c>
      <c r="O471" s="55" t="s">
        <v>173</v>
      </c>
      <c r="P471" s="55" t="s">
        <v>860</v>
      </c>
      <c r="Q471" s="55" t="s">
        <v>350</v>
      </c>
      <c r="R471" s="55">
        <v>3</v>
      </c>
      <c r="S471" s="74"/>
      <c r="T471" s="55" t="s">
        <v>520</v>
      </c>
      <c r="U471" s="73" t="s">
        <v>351</v>
      </c>
      <c r="V471" s="74">
        <v>44525</v>
      </c>
      <c r="W471" s="74">
        <v>44566</v>
      </c>
      <c r="X471" s="55">
        <v>10186344</v>
      </c>
      <c r="Y471" s="74" t="s">
        <v>140</v>
      </c>
      <c r="Z471" s="74"/>
      <c r="AB471" s="55" t="s">
        <v>132</v>
      </c>
      <c r="AC471" s="55" t="s">
        <v>140</v>
      </c>
    </row>
    <row r="472" spans="1:29" ht="13" x14ac:dyDescent="0.15">
      <c r="A472" s="72" t="str">
        <f t="shared" si="7"/>
        <v>Ofsted Social Care Provider Webpage</v>
      </c>
      <c r="B472" s="55">
        <v>1267650</v>
      </c>
      <c r="D472" s="55" t="s">
        <v>373</v>
      </c>
      <c r="E472" s="74">
        <v>43108</v>
      </c>
      <c r="F472" s="55" t="s">
        <v>344</v>
      </c>
      <c r="G472" s="55" t="s">
        <v>360</v>
      </c>
      <c r="H472" s="55" t="s">
        <v>360</v>
      </c>
      <c r="I472" s="55" t="s">
        <v>360</v>
      </c>
      <c r="J472" s="55" t="s">
        <v>360</v>
      </c>
      <c r="K472" s="55" t="s">
        <v>360</v>
      </c>
      <c r="L472" s="55" t="s">
        <v>360</v>
      </c>
      <c r="M472" s="55" t="s">
        <v>378</v>
      </c>
      <c r="N472" s="55" t="s">
        <v>170</v>
      </c>
      <c r="O472" s="55" t="s">
        <v>233</v>
      </c>
      <c r="P472" s="55" t="s">
        <v>379</v>
      </c>
      <c r="Q472" s="55" t="s">
        <v>350</v>
      </c>
      <c r="R472" s="55">
        <v>3</v>
      </c>
      <c r="S472" s="74"/>
      <c r="T472" s="55" t="s">
        <v>1182</v>
      </c>
      <c r="U472" s="73" t="s">
        <v>351</v>
      </c>
      <c r="V472" s="74">
        <v>44621</v>
      </c>
      <c r="W472" s="74">
        <v>44658</v>
      </c>
      <c r="X472" s="55">
        <v>10187542</v>
      </c>
      <c r="Y472" s="74" t="s">
        <v>132</v>
      </c>
      <c r="Z472" s="74"/>
      <c r="AB472" s="55" t="s">
        <v>132</v>
      </c>
      <c r="AC472" s="55" t="s">
        <v>140</v>
      </c>
    </row>
    <row r="473" spans="1:29" ht="13" x14ac:dyDescent="0.15">
      <c r="A473" s="72" t="str">
        <f t="shared" si="7"/>
        <v>Ofsted Social Care Provider Webpage</v>
      </c>
      <c r="B473" s="55">
        <v>1268334</v>
      </c>
      <c r="D473" s="55" t="s">
        <v>373</v>
      </c>
      <c r="E473" s="74">
        <v>43019</v>
      </c>
      <c r="F473" s="55" t="s">
        <v>344</v>
      </c>
      <c r="G473" s="55" t="s">
        <v>360</v>
      </c>
      <c r="H473" s="55" t="s">
        <v>360</v>
      </c>
      <c r="I473" s="55" t="s">
        <v>360</v>
      </c>
      <c r="J473" s="55" t="s">
        <v>360</v>
      </c>
      <c r="K473" s="55" t="s">
        <v>360</v>
      </c>
      <c r="L473" s="55" t="s">
        <v>360</v>
      </c>
      <c r="M473" s="55" t="s">
        <v>378</v>
      </c>
      <c r="N473" s="55" t="s">
        <v>170</v>
      </c>
      <c r="O473" s="55" t="s">
        <v>257</v>
      </c>
      <c r="P473" s="55" t="s">
        <v>1183</v>
      </c>
      <c r="Q473" s="55" t="s">
        <v>380</v>
      </c>
      <c r="R473" s="55">
        <v>4</v>
      </c>
      <c r="S473" s="74" t="s">
        <v>332</v>
      </c>
      <c r="T473" s="55" t="s">
        <v>1184</v>
      </c>
      <c r="U473" s="73" t="s">
        <v>351</v>
      </c>
      <c r="V473" s="74">
        <v>43662</v>
      </c>
      <c r="W473" s="74">
        <v>43685</v>
      </c>
      <c r="X473" s="55">
        <v>10097927</v>
      </c>
      <c r="Y473" s="74" t="s">
        <v>132</v>
      </c>
      <c r="Z473" s="74"/>
      <c r="AB473" s="55" t="s">
        <v>130</v>
      </c>
      <c r="AC473" s="55" t="s">
        <v>130</v>
      </c>
    </row>
    <row r="474" spans="1:29" ht="13" x14ac:dyDescent="0.15">
      <c r="A474" s="72" t="str">
        <f t="shared" si="7"/>
        <v>Ofsted Social Care Provider Webpage</v>
      </c>
      <c r="B474" s="55">
        <v>1268518</v>
      </c>
      <c r="D474" s="55" t="s">
        <v>373</v>
      </c>
      <c r="E474" s="74">
        <v>43069</v>
      </c>
      <c r="F474" s="55" t="s">
        <v>344</v>
      </c>
      <c r="G474" s="55" t="s">
        <v>360</v>
      </c>
      <c r="H474" s="55" t="s">
        <v>360</v>
      </c>
      <c r="I474" s="55" t="s">
        <v>360</v>
      </c>
      <c r="J474" s="55" t="s">
        <v>360</v>
      </c>
      <c r="K474" s="55" t="s">
        <v>360</v>
      </c>
      <c r="L474" s="55" t="s">
        <v>360</v>
      </c>
      <c r="M474" s="55" t="s">
        <v>136</v>
      </c>
      <c r="N474" s="55" t="s">
        <v>136</v>
      </c>
      <c r="O474" s="55" t="s">
        <v>239</v>
      </c>
      <c r="P474" s="55" t="s">
        <v>738</v>
      </c>
      <c r="Q474" s="55" t="s">
        <v>350</v>
      </c>
      <c r="R474" s="55">
        <v>2</v>
      </c>
      <c r="S474" s="74"/>
      <c r="T474" s="55" t="s">
        <v>739</v>
      </c>
      <c r="U474" s="73" t="s">
        <v>351</v>
      </c>
      <c r="V474" s="74">
        <v>44384</v>
      </c>
      <c r="W474" s="74">
        <v>44412</v>
      </c>
      <c r="X474" s="55">
        <v>10186369</v>
      </c>
      <c r="Y474" s="74" t="s">
        <v>132</v>
      </c>
      <c r="Z474" s="74"/>
      <c r="AB474" s="55" t="s">
        <v>140</v>
      </c>
      <c r="AC474" s="55" t="s">
        <v>132</v>
      </c>
    </row>
    <row r="475" spans="1:29" ht="13" x14ac:dyDescent="0.15">
      <c r="A475" s="72" t="str">
        <f t="shared" si="7"/>
        <v>Ofsted Social Care Provider Webpage</v>
      </c>
      <c r="B475" s="55">
        <v>1268530</v>
      </c>
      <c r="D475" s="55" t="s">
        <v>373</v>
      </c>
      <c r="E475" s="74">
        <v>43075</v>
      </c>
      <c r="F475" s="55" t="s">
        <v>344</v>
      </c>
      <c r="G475" s="55" t="s">
        <v>360</v>
      </c>
      <c r="H475" s="55" t="s">
        <v>360</v>
      </c>
      <c r="I475" s="55" t="s">
        <v>360</v>
      </c>
      <c r="J475" s="55" t="s">
        <v>360</v>
      </c>
      <c r="K475" s="55" t="s">
        <v>360</v>
      </c>
      <c r="L475" s="55" t="s">
        <v>360</v>
      </c>
      <c r="M475" s="55" t="s">
        <v>172</v>
      </c>
      <c r="N475" s="55" t="s">
        <v>172</v>
      </c>
      <c r="O475" s="55" t="s">
        <v>284</v>
      </c>
      <c r="P475" s="55" t="s">
        <v>986</v>
      </c>
      <c r="Q475" s="55" t="s">
        <v>350</v>
      </c>
      <c r="R475" s="55">
        <v>3</v>
      </c>
      <c r="S475" s="74"/>
      <c r="T475" s="55" t="s">
        <v>668</v>
      </c>
      <c r="U475" s="73" t="s">
        <v>351</v>
      </c>
      <c r="V475" s="74">
        <v>44537</v>
      </c>
      <c r="W475" s="74">
        <v>44582</v>
      </c>
      <c r="X475" s="55">
        <v>10205925</v>
      </c>
      <c r="Y475" s="74" t="s">
        <v>130</v>
      </c>
      <c r="Z475" s="74"/>
      <c r="AB475" s="55" t="s">
        <v>130</v>
      </c>
      <c r="AC475" s="55" t="s">
        <v>130</v>
      </c>
    </row>
    <row r="476" spans="1:29" ht="13" x14ac:dyDescent="0.15">
      <c r="A476" s="72" t="str">
        <f t="shared" si="7"/>
        <v>Ofsted Social Care Provider Webpage</v>
      </c>
      <c r="B476" s="55">
        <v>1268535</v>
      </c>
      <c r="D476" s="55" t="s">
        <v>373</v>
      </c>
      <c r="E476" s="74">
        <v>43283</v>
      </c>
      <c r="F476" s="55" t="s">
        <v>344</v>
      </c>
      <c r="G476" s="55" t="s">
        <v>360</v>
      </c>
      <c r="H476" s="55" t="s">
        <v>360</v>
      </c>
      <c r="I476" s="55" t="s">
        <v>360</v>
      </c>
      <c r="J476" s="55" t="s">
        <v>360</v>
      </c>
      <c r="K476" s="55" t="s">
        <v>360</v>
      </c>
      <c r="L476" s="55" t="s">
        <v>360</v>
      </c>
      <c r="M476" s="55" t="s">
        <v>142</v>
      </c>
      <c r="N476" s="55" t="s">
        <v>142</v>
      </c>
      <c r="O476" s="55" t="s">
        <v>292</v>
      </c>
      <c r="P476" s="55" t="s">
        <v>1052</v>
      </c>
      <c r="Q476" s="55" t="s">
        <v>350</v>
      </c>
      <c r="R476" s="55">
        <v>3</v>
      </c>
      <c r="S476" s="74"/>
      <c r="T476" s="55" t="s">
        <v>1185</v>
      </c>
      <c r="U476" s="73" t="s">
        <v>351</v>
      </c>
      <c r="V476" s="74">
        <v>44446</v>
      </c>
      <c r="W476" s="74">
        <v>44487</v>
      </c>
      <c r="X476" s="55">
        <v>10186016</v>
      </c>
      <c r="Y476" s="74" t="s">
        <v>132</v>
      </c>
      <c r="Z476" s="74"/>
      <c r="AB476" s="55" t="s">
        <v>132</v>
      </c>
      <c r="AC476" s="55" t="s">
        <v>132</v>
      </c>
    </row>
    <row r="477" spans="1:29" ht="13" x14ac:dyDescent="0.15">
      <c r="A477" s="72" t="str">
        <f t="shared" si="7"/>
        <v>Ofsted Social Care Provider Webpage</v>
      </c>
      <c r="B477" s="55">
        <v>1268883</v>
      </c>
      <c r="D477" s="55" t="s">
        <v>389</v>
      </c>
      <c r="E477" s="74">
        <v>43090</v>
      </c>
      <c r="F477" s="55" t="s">
        <v>344</v>
      </c>
      <c r="G477" s="55" t="s">
        <v>1186</v>
      </c>
      <c r="H477" s="55" t="s">
        <v>1187</v>
      </c>
      <c r="I477" s="55" t="s">
        <v>1188</v>
      </c>
      <c r="J477" s="55" t="s">
        <v>1189</v>
      </c>
      <c r="L477" s="55" t="s">
        <v>1190</v>
      </c>
      <c r="M477" s="55" t="s">
        <v>129</v>
      </c>
      <c r="N477" s="55" t="s">
        <v>129</v>
      </c>
      <c r="O477" s="55" t="s">
        <v>192</v>
      </c>
      <c r="P477" s="55" t="s">
        <v>1191</v>
      </c>
      <c r="Q477" s="55" t="s">
        <v>350</v>
      </c>
      <c r="R477" s="55"/>
      <c r="S477" s="74"/>
      <c r="T477" s="55" t="s">
        <v>1186</v>
      </c>
      <c r="U477" s="73" t="s">
        <v>351</v>
      </c>
      <c r="V477" s="74">
        <v>43857</v>
      </c>
      <c r="W477" s="74">
        <v>43894</v>
      </c>
      <c r="X477" s="55">
        <v>10093279</v>
      </c>
      <c r="Y477" s="74" t="s">
        <v>130</v>
      </c>
      <c r="Z477" s="74"/>
      <c r="AB477" s="55" t="s">
        <v>130</v>
      </c>
      <c r="AC477" s="55" t="s">
        <v>130</v>
      </c>
    </row>
    <row r="478" spans="1:29" ht="13" x14ac:dyDescent="0.15">
      <c r="A478" s="72" t="str">
        <f t="shared" si="7"/>
        <v>Ofsted Social Care Provider Webpage</v>
      </c>
      <c r="B478" s="55">
        <v>1268886</v>
      </c>
      <c r="D478" s="55" t="s">
        <v>373</v>
      </c>
      <c r="E478" s="74">
        <v>43243</v>
      </c>
      <c r="F478" s="55" t="s">
        <v>344</v>
      </c>
      <c r="G478" s="55" t="s">
        <v>360</v>
      </c>
      <c r="H478" s="55" t="s">
        <v>360</v>
      </c>
      <c r="I478" s="55" t="s">
        <v>360</v>
      </c>
      <c r="J478" s="55" t="s">
        <v>360</v>
      </c>
      <c r="K478" s="55" t="s">
        <v>360</v>
      </c>
      <c r="L478" s="55" t="s">
        <v>360</v>
      </c>
      <c r="M478" s="55" t="s">
        <v>129</v>
      </c>
      <c r="N478" s="55" t="s">
        <v>129</v>
      </c>
      <c r="O478" s="55" t="s">
        <v>242</v>
      </c>
      <c r="P478" s="55" t="s">
        <v>1192</v>
      </c>
      <c r="Q478" s="55" t="s">
        <v>350</v>
      </c>
      <c r="R478" s="55">
        <v>6</v>
      </c>
      <c r="S478" s="74"/>
      <c r="T478" s="55" t="s">
        <v>1193</v>
      </c>
      <c r="U478" s="73" t="s">
        <v>351</v>
      </c>
      <c r="V478" s="74">
        <v>44587</v>
      </c>
      <c r="W478" s="74">
        <v>44622</v>
      </c>
      <c r="X478" s="55">
        <v>10187595</v>
      </c>
      <c r="Y478" s="74" t="s">
        <v>132</v>
      </c>
      <c r="Z478" s="74"/>
      <c r="AB478" s="55" t="s">
        <v>130</v>
      </c>
      <c r="AC478" s="55" t="s">
        <v>132</v>
      </c>
    </row>
    <row r="479" spans="1:29" ht="13" x14ac:dyDescent="0.15">
      <c r="A479" s="72" t="str">
        <f t="shared" si="7"/>
        <v>Ofsted Social Care Provider Webpage</v>
      </c>
      <c r="B479" s="55">
        <v>1268928</v>
      </c>
      <c r="D479" s="55" t="s">
        <v>389</v>
      </c>
      <c r="E479" s="74">
        <v>43024</v>
      </c>
      <c r="F479" s="55" t="s">
        <v>344</v>
      </c>
      <c r="G479" s="55" t="s">
        <v>1194</v>
      </c>
      <c r="H479" s="55" t="s">
        <v>1195</v>
      </c>
      <c r="I479" s="55" t="s">
        <v>354</v>
      </c>
      <c r="J479" s="55" t="s">
        <v>1196</v>
      </c>
      <c r="K479" s="55" t="s">
        <v>129</v>
      </c>
      <c r="L479" s="55" t="s">
        <v>1197</v>
      </c>
      <c r="M479" s="55" t="s">
        <v>129</v>
      </c>
      <c r="N479" s="55" t="s">
        <v>129</v>
      </c>
      <c r="O479" s="55" t="s">
        <v>213</v>
      </c>
      <c r="P479" s="55" t="s">
        <v>410</v>
      </c>
      <c r="Q479" s="55" t="s">
        <v>350</v>
      </c>
      <c r="R479" s="55"/>
      <c r="S479" s="74"/>
      <c r="T479" s="55" t="s">
        <v>1194</v>
      </c>
      <c r="U479" s="73" t="s">
        <v>351</v>
      </c>
      <c r="V479" s="74">
        <v>43542</v>
      </c>
      <c r="W479" s="74">
        <v>43570</v>
      </c>
      <c r="X479" s="55">
        <v>10056352</v>
      </c>
      <c r="Y479" s="74" t="s">
        <v>132</v>
      </c>
      <c r="Z479" s="74"/>
      <c r="AB479" s="55" t="s">
        <v>132</v>
      </c>
      <c r="AC479" s="55" t="s">
        <v>132</v>
      </c>
    </row>
    <row r="480" spans="1:29" ht="13" x14ac:dyDescent="0.15">
      <c r="A480" s="72" t="str">
        <f t="shared" si="7"/>
        <v>Ofsted Social Care Provider Webpage</v>
      </c>
      <c r="B480" s="55">
        <v>1269072</v>
      </c>
      <c r="D480" s="55" t="s">
        <v>373</v>
      </c>
      <c r="E480" s="74">
        <v>43105</v>
      </c>
      <c r="F480" s="55" t="s">
        <v>344</v>
      </c>
      <c r="G480" s="55" t="s">
        <v>360</v>
      </c>
      <c r="H480" s="55" t="s">
        <v>360</v>
      </c>
      <c r="I480" s="55" t="s">
        <v>360</v>
      </c>
      <c r="J480" s="55" t="s">
        <v>360</v>
      </c>
      <c r="K480" s="55" t="s">
        <v>360</v>
      </c>
      <c r="L480" s="55" t="s">
        <v>360</v>
      </c>
      <c r="M480" s="55" t="s">
        <v>142</v>
      </c>
      <c r="N480" s="55" t="s">
        <v>142</v>
      </c>
      <c r="O480" s="55" t="s">
        <v>293</v>
      </c>
      <c r="P480" s="55" t="s">
        <v>1136</v>
      </c>
      <c r="Q480" s="55" t="s">
        <v>350</v>
      </c>
      <c r="R480" s="55">
        <v>3</v>
      </c>
      <c r="S480" s="74"/>
      <c r="T480" s="55" t="s">
        <v>768</v>
      </c>
      <c r="U480" s="73" t="s">
        <v>351</v>
      </c>
      <c r="V480" s="74">
        <v>44418</v>
      </c>
      <c r="W480" s="74">
        <v>44461</v>
      </c>
      <c r="X480" s="55">
        <v>10185578</v>
      </c>
      <c r="Y480" s="74" t="s">
        <v>132</v>
      </c>
      <c r="Z480" s="74"/>
      <c r="AB480" s="55" t="s">
        <v>132</v>
      </c>
      <c r="AC480" s="55" t="s">
        <v>130</v>
      </c>
    </row>
    <row r="481" spans="1:29" ht="13" x14ac:dyDescent="0.15">
      <c r="A481" s="72" t="str">
        <f t="shared" si="7"/>
        <v>Ofsted Social Care Provider Webpage</v>
      </c>
      <c r="B481" s="55">
        <v>1269215</v>
      </c>
      <c r="D481" s="55" t="s">
        <v>373</v>
      </c>
      <c r="E481" s="74">
        <v>43133</v>
      </c>
      <c r="F481" s="55" t="s">
        <v>344</v>
      </c>
      <c r="G481" s="55" t="s">
        <v>360</v>
      </c>
      <c r="H481" s="55" t="s">
        <v>360</v>
      </c>
      <c r="I481" s="55" t="s">
        <v>360</v>
      </c>
      <c r="J481" s="55" t="s">
        <v>360</v>
      </c>
      <c r="K481" s="55" t="s">
        <v>360</v>
      </c>
      <c r="L481" s="55" t="s">
        <v>360</v>
      </c>
      <c r="M481" s="55" t="s">
        <v>144</v>
      </c>
      <c r="N481" s="55" t="s">
        <v>144</v>
      </c>
      <c r="O481" s="55" t="s">
        <v>168</v>
      </c>
      <c r="P481" s="55" t="s">
        <v>834</v>
      </c>
      <c r="Q481" s="55" t="s">
        <v>350</v>
      </c>
      <c r="R481" s="55">
        <v>3</v>
      </c>
      <c r="S481" s="74"/>
      <c r="T481" s="55" t="s">
        <v>493</v>
      </c>
      <c r="U481" s="73" t="s">
        <v>351</v>
      </c>
      <c r="V481" s="74">
        <v>44342</v>
      </c>
      <c r="W481" s="74">
        <v>44383</v>
      </c>
      <c r="X481" s="55">
        <v>10186215</v>
      </c>
      <c r="Y481" s="74" t="s">
        <v>132</v>
      </c>
      <c r="Z481" s="74"/>
      <c r="AB481" s="55" t="s">
        <v>132</v>
      </c>
      <c r="AC481" s="55" t="s">
        <v>130</v>
      </c>
    </row>
    <row r="482" spans="1:29" ht="13" x14ac:dyDescent="0.15">
      <c r="A482" s="72" t="str">
        <f t="shared" si="7"/>
        <v>Ofsted Social Care Provider Webpage</v>
      </c>
      <c r="B482" s="55">
        <v>1269421</v>
      </c>
      <c r="D482" s="55" t="s">
        <v>373</v>
      </c>
      <c r="E482" s="74">
        <v>43123</v>
      </c>
      <c r="F482" s="55" t="s">
        <v>344</v>
      </c>
      <c r="G482" s="55" t="s">
        <v>360</v>
      </c>
      <c r="H482" s="55" t="s">
        <v>360</v>
      </c>
      <c r="I482" s="55" t="s">
        <v>360</v>
      </c>
      <c r="J482" s="55" t="s">
        <v>360</v>
      </c>
      <c r="K482" s="55" t="s">
        <v>360</v>
      </c>
      <c r="L482" s="55" t="s">
        <v>360</v>
      </c>
      <c r="M482" s="55" t="s">
        <v>172</v>
      </c>
      <c r="N482" s="55" t="s">
        <v>172</v>
      </c>
      <c r="O482" s="55" t="s">
        <v>173</v>
      </c>
      <c r="P482" s="55" t="s">
        <v>1198</v>
      </c>
      <c r="Q482" s="55" t="s">
        <v>350</v>
      </c>
      <c r="R482" s="55">
        <v>3</v>
      </c>
      <c r="S482" s="74"/>
      <c r="T482" s="55" t="s">
        <v>450</v>
      </c>
      <c r="U482" s="73" t="s">
        <v>351</v>
      </c>
      <c r="V482" s="74">
        <v>44565</v>
      </c>
      <c r="W482" s="74">
        <v>44593</v>
      </c>
      <c r="X482" s="55">
        <v>10186623</v>
      </c>
      <c r="Y482" s="74" t="s">
        <v>132</v>
      </c>
      <c r="Z482" s="74"/>
      <c r="AB482" s="55" t="s">
        <v>132</v>
      </c>
      <c r="AC482" s="55" t="s">
        <v>132</v>
      </c>
    </row>
    <row r="483" spans="1:29" ht="13" x14ac:dyDescent="0.15">
      <c r="A483" s="72" t="str">
        <f t="shared" si="7"/>
        <v>Ofsted Social Care Provider Webpage</v>
      </c>
      <c r="B483" s="55">
        <v>1269505</v>
      </c>
      <c r="D483" s="55" t="s">
        <v>373</v>
      </c>
      <c r="E483" s="74">
        <v>43151</v>
      </c>
      <c r="F483" s="55" t="s">
        <v>344</v>
      </c>
      <c r="G483" s="55" t="s">
        <v>360</v>
      </c>
      <c r="H483" s="55" t="s">
        <v>360</v>
      </c>
      <c r="I483" s="55" t="s">
        <v>360</v>
      </c>
      <c r="J483" s="55" t="s">
        <v>360</v>
      </c>
      <c r="K483" s="55" t="s">
        <v>360</v>
      </c>
      <c r="L483" s="55" t="s">
        <v>360</v>
      </c>
      <c r="M483" s="55" t="s">
        <v>138</v>
      </c>
      <c r="N483" s="55" t="s">
        <v>138</v>
      </c>
      <c r="O483" s="55" t="s">
        <v>161</v>
      </c>
      <c r="P483" s="55" t="s">
        <v>761</v>
      </c>
      <c r="Q483" s="55" t="s">
        <v>350</v>
      </c>
      <c r="R483" s="55">
        <v>4</v>
      </c>
      <c r="S483" s="74"/>
      <c r="T483" s="55" t="s">
        <v>762</v>
      </c>
      <c r="U483" s="73" t="s">
        <v>351</v>
      </c>
      <c r="V483" s="74">
        <v>44601</v>
      </c>
      <c r="W483" s="74">
        <v>44643</v>
      </c>
      <c r="X483" s="55">
        <v>10185432</v>
      </c>
      <c r="Y483" s="74" t="s">
        <v>132</v>
      </c>
      <c r="Z483" s="74"/>
      <c r="AB483" s="55" t="s">
        <v>132</v>
      </c>
      <c r="AC483" s="55" t="s">
        <v>132</v>
      </c>
    </row>
    <row r="484" spans="1:29" ht="13" x14ac:dyDescent="0.15">
      <c r="A484" s="72" t="str">
        <f t="shared" si="7"/>
        <v>Ofsted Social Care Provider Webpage</v>
      </c>
      <c r="B484" s="55">
        <v>1269565</v>
      </c>
      <c r="D484" s="55" t="s">
        <v>373</v>
      </c>
      <c r="E484" s="74">
        <v>43124</v>
      </c>
      <c r="F484" s="55" t="s">
        <v>344</v>
      </c>
      <c r="G484" s="55" t="s">
        <v>360</v>
      </c>
      <c r="H484" s="55" t="s">
        <v>360</v>
      </c>
      <c r="I484" s="55" t="s">
        <v>360</v>
      </c>
      <c r="J484" s="55" t="s">
        <v>360</v>
      </c>
      <c r="K484" s="55" t="s">
        <v>360</v>
      </c>
      <c r="L484" s="55" t="s">
        <v>360</v>
      </c>
      <c r="M484" s="55" t="s">
        <v>129</v>
      </c>
      <c r="N484" s="55" t="s">
        <v>129</v>
      </c>
      <c r="O484" s="55" t="s">
        <v>189</v>
      </c>
      <c r="P484" s="55" t="s">
        <v>1199</v>
      </c>
      <c r="Q484" s="55" t="s">
        <v>362</v>
      </c>
      <c r="R484" s="55">
        <v>4</v>
      </c>
      <c r="S484" s="74"/>
      <c r="T484" s="55" t="s">
        <v>1200</v>
      </c>
      <c r="U484" s="73" t="s">
        <v>351</v>
      </c>
      <c r="V484" s="74">
        <v>44431</v>
      </c>
      <c r="W484" s="74">
        <v>44468</v>
      </c>
      <c r="X484" s="55">
        <v>10186780</v>
      </c>
      <c r="Y484" s="74" t="s">
        <v>132</v>
      </c>
      <c r="Z484" s="74"/>
      <c r="AB484" s="55" t="s">
        <v>132</v>
      </c>
      <c r="AC484" s="55" t="s">
        <v>130</v>
      </c>
    </row>
    <row r="485" spans="1:29" ht="13" x14ac:dyDescent="0.15">
      <c r="A485" s="72" t="str">
        <f t="shared" si="7"/>
        <v>Ofsted Social Care Provider Webpage</v>
      </c>
      <c r="B485" s="55">
        <v>1269966</v>
      </c>
      <c r="D485" s="55" t="s">
        <v>373</v>
      </c>
      <c r="E485" s="74">
        <v>43147</v>
      </c>
      <c r="F485" s="55" t="s">
        <v>344</v>
      </c>
      <c r="G485" s="55" t="s">
        <v>360</v>
      </c>
      <c r="H485" s="55" t="s">
        <v>360</v>
      </c>
      <c r="I485" s="55" t="s">
        <v>360</v>
      </c>
      <c r="J485" s="55" t="s">
        <v>360</v>
      </c>
      <c r="K485" s="55" t="s">
        <v>360</v>
      </c>
      <c r="L485" s="55" t="s">
        <v>360</v>
      </c>
      <c r="M485" s="55" t="s">
        <v>129</v>
      </c>
      <c r="N485" s="55" t="s">
        <v>129</v>
      </c>
      <c r="O485" s="55" t="s">
        <v>128</v>
      </c>
      <c r="P485" s="55" t="s">
        <v>1201</v>
      </c>
      <c r="Q485" s="55" t="s">
        <v>350</v>
      </c>
      <c r="R485" s="55">
        <v>5</v>
      </c>
      <c r="S485" s="74"/>
      <c r="T485" s="55" t="s">
        <v>1202</v>
      </c>
      <c r="U485" s="73" t="s">
        <v>351</v>
      </c>
      <c r="V485" s="74">
        <v>44488</v>
      </c>
      <c r="W485" s="74">
        <v>44525</v>
      </c>
      <c r="X485" s="55">
        <v>10185888</v>
      </c>
      <c r="Y485" s="74" t="s">
        <v>132</v>
      </c>
      <c r="Z485" s="74"/>
      <c r="AB485" s="55" t="s">
        <v>132</v>
      </c>
      <c r="AC485" s="55" t="s">
        <v>132</v>
      </c>
    </row>
    <row r="486" spans="1:29" ht="13" x14ac:dyDescent="0.15">
      <c r="A486" s="72" t="str">
        <f t="shared" si="7"/>
        <v>Ofsted Social Care Provider Webpage</v>
      </c>
      <c r="B486" s="55">
        <v>1270002</v>
      </c>
      <c r="D486" s="55" t="s">
        <v>373</v>
      </c>
      <c r="E486" s="74">
        <v>43242</v>
      </c>
      <c r="F486" s="55" t="s">
        <v>344</v>
      </c>
      <c r="G486" s="55" t="s">
        <v>360</v>
      </c>
      <c r="H486" s="55" t="s">
        <v>360</v>
      </c>
      <c r="I486" s="55" t="s">
        <v>360</v>
      </c>
      <c r="J486" s="55" t="s">
        <v>360</v>
      </c>
      <c r="K486" s="55" t="s">
        <v>360</v>
      </c>
      <c r="L486" s="55" t="s">
        <v>360</v>
      </c>
      <c r="M486" s="55" t="s">
        <v>144</v>
      </c>
      <c r="N486" s="55" t="s">
        <v>144</v>
      </c>
      <c r="O486" s="55" t="s">
        <v>215</v>
      </c>
      <c r="P486" s="55" t="s">
        <v>1203</v>
      </c>
      <c r="Q486" s="55" t="s">
        <v>350</v>
      </c>
      <c r="R486" s="55">
        <v>2</v>
      </c>
      <c r="S486" s="74"/>
      <c r="T486" s="55" t="s">
        <v>1204</v>
      </c>
      <c r="U486" s="73" t="s">
        <v>351</v>
      </c>
      <c r="V486" s="74">
        <v>44572</v>
      </c>
      <c r="W486" s="74">
        <v>44624</v>
      </c>
      <c r="X486" s="55">
        <v>10185830</v>
      </c>
      <c r="Y486" s="74" t="s">
        <v>132</v>
      </c>
      <c r="Z486" s="74"/>
      <c r="AB486" s="55" t="s">
        <v>132</v>
      </c>
      <c r="AC486" s="55" t="s">
        <v>132</v>
      </c>
    </row>
    <row r="487" spans="1:29" ht="13" x14ac:dyDescent="0.15">
      <c r="A487" s="72" t="str">
        <f t="shared" si="7"/>
        <v>Ofsted Social Care Provider Webpage</v>
      </c>
      <c r="B487" s="55">
        <v>1270297</v>
      </c>
      <c r="D487" s="55" t="s">
        <v>373</v>
      </c>
      <c r="E487" s="74">
        <v>43063</v>
      </c>
      <c r="F487" s="55" t="s">
        <v>344</v>
      </c>
      <c r="G487" s="55" t="s">
        <v>360</v>
      </c>
      <c r="H487" s="55" t="s">
        <v>360</v>
      </c>
      <c r="I487" s="55" t="s">
        <v>360</v>
      </c>
      <c r="J487" s="55" t="s">
        <v>360</v>
      </c>
      <c r="K487" s="55" t="s">
        <v>360</v>
      </c>
      <c r="L487" s="55" t="s">
        <v>360</v>
      </c>
      <c r="M487" s="55" t="s">
        <v>144</v>
      </c>
      <c r="N487" s="55" t="s">
        <v>144</v>
      </c>
      <c r="O487" s="55" t="s">
        <v>157</v>
      </c>
      <c r="P487" s="55" t="s">
        <v>1092</v>
      </c>
      <c r="Q487" s="55" t="s">
        <v>350</v>
      </c>
      <c r="R487" s="55">
        <v>3</v>
      </c>
      <c r="S487" s="74"/>
      <c r="T487" s="55" t="s">
        <v>490</v>
      </c>
      <c r="U487" s="73" t="s">
        <v>351</v>
      </c>
      <c r="V487" s="74">
        <v>44327</v>
      </c>
      <c r="W487" s="74">
        <v>44354</v>
      </c>
      <c r="X487" s="55">
        <v>10186738</v>
      </c>
      <c r="Y487" s="74" t="s">
        <v>132</v>
      </c>
      <c r="Z487" s="74"/>
      <c r="AB487" s="55" t="s">
        <v>132</v>
      </c>
      <c r="AC487" s="55" t="s">
        <v>132</v>
      </c>
    </row>
    <row r="488" spans="1:29" ht="13" x14ac:dyDescent="0.15">
      <c r="A488" s="72" t="str">
        <f t="shared" si="7"/>
        <v>Ofsted Social Care Provider Webpage</v>
      </c>
      <c r="B488" s="55">
        <v>1270298</v>
      </c>
      <c r="D488" s="55" t="s">
        <v>373</v>
      </c>
      <c r="E488" s="74">
        <v>43242</v>
      </c>
      <c r="F488" s="55" t="s">
        <v>344</v>
      </c>
      <c r="G488" s="55" t="s">
        <v>360</v>
      </c>
      <c r="H488" s="55" t="s">
        <v>360</v>
      </c>
      <c r="I488" s="55" t="s">
        <v>360</v>
      </c>
      <c r="J488" s="55" t="s">
        <v>360</v>
      </c>
      <c r="K488" s="55" t="s">
        <v>360</v>
      </c>
      <c r="L488" s="55" t="s">
        <v>360</v>
      </c>
      <c r="M488" s="55" t="s">
        <v>142</v>
      </c>
      <c r="N488" s="55" t="s">
        <v>142</v>
      </c>
      <c r="O488" s="55" t="s">
        <v>262</v>
      </c>
      <c r="P488" s="55" t="s">
        <v>692</v>
      </c>
      <c r="Q488" s="55" t="s">
        <v>350</v>
      </c>
      <c r="R488" s="55">
        <v>4</v>
      </c>
      <c r="S488" s="74"/>
      <c r="T488" s="55" t="s">
        <v>1205</v>
      </c>
      <c r="U488" s="73" t="s">
        <v>351</v>
      </c>
      <c r="V488" s="74">
        <v>44397</v>
      </c>
      <c r="W488" s="74">
        <v>44435</v>
      </c>
      <c r="X488" s="55">
        <v>10186487</v>
      </c>
      <c r="Y488" s="74" t="s">
        <v>140</v>
      </c>
      <c r="Z488" s="74"/>
      <c r="AB488" s="55" t="s">
        <v>140</v>
      </c>
      <c r="AC488" s="55" t="s">
        <v>140</v>
      </c>
    </row>
    <row r="489" spans="1:29" ht="13" x14ac:dyDescent="0.15">
      <c r="A489" s="72" t="str">
        <f t="shared" si="7"/>
        <v>Ofsted Social Care Provider Webpage</v>
      </c>
      <c r="B489" s="55">
        <v>1270301</v>
      </c>
      <c r="D489" s="55" t="s">
        <v>373</v>
      </c>
      <c r="E489" s="74">
        <v>43139</v>
      </c>
      <c r="F489" s="55" t="s">
        <v>344</v>
      </c>
      <c r="G489" s="55" t="s">
        <v>360</v>
      </c>
      <c r="H489" s="55" t="s">
        <v>360</v>
      </c>
      <c r="I489" s="55" t="s">
        <v>360</v>
      </c>
      <c r="J489" s="55" t="s">
        <v>360</v>
      </c>
      <c r="K489" s="55" t="s">
        <v>360</v>
      </c>
      <c r="L489" s="55" t="s">
        <v>360</v>
      </c>
      <c r="M489" s="55" t="s">
        <v>144</v>
      </c>
      <c r="N489" s="55" t="s">
        <v>144</v>
      </c>
      <c r="O489" s="55" t="s">
        <v>209</v>
      </c>
      <c r="P489" s="55" t="s">
        <v>544</v>
      </c>
      <c r="Q489" s="55" t="s">
        <v>350</v>
      </c>
      <c r="R489" s="55">
        <v>3</v>
      </c>
      <c r="S489" s="74"/>
      <c r="T489" s="55" t="s">
        <v>816</v>
      </c>
      <c r="U489" s="73" t="s">
        <v>351</v>
      </c>
      <c r="V489" s="74">
        <v>44474</v>
      </c>
      <c r="W489" s="74">
        <v>44503</v>
      </c>
      <c r="X489" s="55">
        <v>10186930</v>
      </c>
      <c r="Y489" s="74" t="s">
        <v>132</v>
      </c>
      <c r="Z489" s="74"/>
      <c r="AB489" s="55" t="s">
        <v>132</v>
      </c>
      <c r="AC489" s="55" t="s">
        <v>132</v>
      </c>
    </row>
    <row r="490" spans="1:29" ht="13" x14ac:dyDescent="0.15">
      <c r="A490" s="72" t="str">
        <f t="shared" si="7"/>
        <v>Ofsted Social Care Provider Webpage</v>
      </c>
      <c r="B490" s="55">
        <v>1270393</v>
      </c>
      <c r="D490" s="55" t="s">
        <v>373</v>
      </c>
      <c r="E490" s="74">
        <v>43169</v>
      </c>
      <c r="F490" s="55" t="s">
        <v>344</v>
      </c>
      <c r="G490" s="55" t="s">
        <v>360</v>
      </c>
      <c r="H490" s="55" t="s">
        <v>360</v>
      </c>
      <c r="I490" s="55" t="s">
        <v>360</v>
      </c>
      <c r="J490" s="55" t="s">
        <v>360</v>
      </c>
      <c r="K490" s="55" t="s">
        <v>360</v>
      </c>
      <c r="L490" s="55" t="s">
        <v>360</v>
      </c>
      <c r="M490" s="55" t="s">
        <v>378</v>
      </c>
      <c r="N490" s="55" t="s">
        <v>134</v>
      </c>
      <c r="O490" s="55" t="s">
        <v>246</v>
      </c>
      <c r="P490" s="55" t="s">
        <v>1104</v>
      </c>
      <c r="Q490" s="55" t="s">
        <v>350</v>
      </c>
      <c r="R490" s="55">
        <v>3</v>
      </c>
      <c r="S490" s="74"/>
      <c r="T490" s="55" t="s">
        <v>758</v>
      </c>
      <c r="U490" s="73" t="s">
        <v>351</v>
      </c>
      <c r="V490" s="74">
        <v>44467</v>
      </c>
      <c r="W490" s="74">
        <v>44497</v>
      </c>
      <c r="X490" s="55">
        <v>10187178</v>
      </c>
      <c r="Y490" s="74" t="s">
        <v>132</v>
      </c>
      <c r="Z490" s="74"/>
      <c r="AB490" s="55" t="s">
        <v>132</v>
      </c>
      <c r="AC490" s="55" t="s">
        <v>132</v>
      </c>
    </row>
    <row r="491" spans="1:29" ht="13" x14ac:dyDescent="0.15">
      <c r="A491" s="72" t="str">
        <f t="shared" si="7"/>
        <v>Ofsted Social Care Provider Webpage</v>
      </c>
      <c r="B491" s="55">
        <v>1270568</v>
      </c>
      <c r="D491" s="55" t="s">
        <v>373</v>
      </c>
      <c r="E491" s="74">
        <v>43237</v>
      </c>
      <c r="F491" s="55" t="s">
        <v>344</v>
      </c>
      <c r="G491" s="55" t="s">
        <v>360</v>
      </c>
      <c r="H491" s="55" t="s">
        <v>360</v>
      </c>
      <c r="I491" s="55" t="s">
        <v>360</v>
      </c>
      <c r="J491" s="55" t="s">
        <v>360</v>
      </c>
      <c r="K491" s="55" t="s">
        <v>360</v>
      </c>
      <c r="L491" s="55" t="s">
        <v>360</v>
      </c>
      <c r="M491" s="55" t="s">
        <v>378</v>
      </c>
      <c r="N491" s="55" t="s">
        <v>134</v>
      </c>
      <c r="O491" s="55" t="s">
        <v>277</v>
      </c>
      <c r="P491" s="55" t="s">
        <v>277</v>
      </c>
      <c r="Q491" s="55" t="s">
        <v>350</v>
      </c>
      <c r="R491" s="55">
        <v>4</v>
      </c>
      <c r="S491" s="74"/>
      <c r="T491" s="55" t="s">
        <v>1206</v>
      </c>
      <c r="U491" s="73" t="s">
        <v>351</v>
      </c>
      <c r="V491" s="74">
        <v>44594</v>
      </c>
      <c r="W491" s="74">
        <v>44638</v>
      </c>
      <c r="X491" s="55">
        <v>10185538</v>
      </c>
      <c r="Y491" s="74" t="s">
        <v>132</v>
      </c>
      <c r="Z491" s="74"/>
      <c r="AB491" s="55" t="s">
        <v>132</v>
      </c>
      <c r="AC491" s="55" t="s">
        <v>132</v>
      </c>
    </row>
    <row r="492" spans="1:29" ht="13" x14ac:dyDescent="0.15">
      <c r="A492" s="72" t="str">
        <f t="shared" si="7"/>
        <v>Ofsted Social Care Provider Webpage</v>
      </c>
      <c r="B492" s="55">
        <v>1270731</v>
      </c>
      <c r="D492" s="55" t="s">
        <v>373</v>
      </c>
      <c r="E492" s="74">
        <v>43200</v>
      </c>
      <c r="F492" s="55" t="s">
        <v>344</v>
      </c>
      <c r="G492" s="55" t="s">
        <v>360</v>
      </c>
      <c r="H492" s="55" t="s">
        <v>360</v>
      </c>
      <c r="I492" s="55" t="s">
        <v>360</v>
      </c>
      <c r="J492" s="55" t="s">
        <v>360</v>
      </c>
      <c r="K492" s="55" t="s">
        <v>360</v>
      </c>
      <c r="L492" s="55" t="s">
        <v>360</v>
      </c>
      <c r="M492" s="55" t="s">
        <v>144</v>
      </c>
      <c r="N492" s="55" t="s">
        <v>144</v>
      </c>
      <c r="O492" s="55" t="s">
        <v>215</v>
      </c>
      <c r="P492" s="55" t="s">
        <v>1207</v>
      </c>
      <c r="Q492" s="55" t="s">
        <v>350</v>
      </c>
      <c r="R492" s="55">
        <v>3</v>
      </c>
      <c r="S492" s="74"/>
      <c r="T492" s="55" t="s">
        <v>1208</v>
      </c>
      <c r="U492" s="73" t="s">
        <v>351</v>
      </c>
      <c r="V492" s="74">
        <v>44321</v>
      </c>
      <c r="W492" s="74">
        <v>44362</v>
      </c>
      <c r="X492" s="55">
        <v>10185757</v>
      </c>
      <c r="Y492" s="74" t="s">
        <v>132</v>
      </c>
      <c r="Z492" s="74"/>
      <c r="AB492" s="55" t="s">
        <v>132</v>
      </c>
      <c r="AC492" s="55" t="s">
        <v>132</v>
      </c>
    </row>
    <row r="493" spans="1:29" ht="13" x14ac:dyDescent="0.15">
      <c r="A493" s="72" t="str">
        <f t="shared" si="7"/>
        <v>Ofsted Social Care Provider Webpage</v>
      </c>
      <c r="B493" s="55">
        <v>1270744</v>
      </c>
      <c r="D493" s="55" t="s">
        <v>373</v>
      </c>
      <c r="E493" s="74">
        <v>43153</v>
      </c>
      <c r="F493" s="55" t="s">
        <v>344</v>
      </c>
      <c r="G493" s="55" t="s">
        <v>360</v>
      </c>
      <c r="H493" s="55" t="s">
        <v>360</v>
      </c>
      <c r="I493" s="55" t="s">
        <v>360</v>
      </c>
      <c r="J493" s="55" t="s">
        <v>360</v>
      </c>
      <c r="K493" s="55" t="s">
        <v>360</v>
      </c>
      <c r="L493" s="55" t="s">
        <v>360</v>
      </c>
      <c r="M493" s="55" t="s">
        <v>150</v>
      </c>
      <c r="N493" s="55" t="s">
        <v>150</v>
      </c>
      <c r="O493" s="55" t="s">
        <v>181</v>
      </c>
      <c r="P493" s="55" t="s">
        <v>1142</v>
      </c>
      <c r="Q493" s="55" t="s">
        <v>350</v>
      </c>
      <c r="R493" s="55">
        <v>4</v>
      </c>
      <c r="S493" s="74"/>
      <c r="T493" s="55" t="s">
        <v>1209</v>
      </c>
      <c r="U493" s="73" t="s">
        <v>351</v>
      </c>
      <c r="V493" s="74">
        <v>44531</v>
      </c>
      <c r="W493" s="74">
        <v>44586</v>
      </c>
      <c r="X493" s="55">
        <v>10186571</v>
      </c>
      <c r="Y493" s="74" t="s">
        <v>132</v>
      </c>
      <c r="Z493" s="74"/>
      <c r="AB493" s="55" t="s">
        <v>132</v>
      </c>
      <c r="AC493" s="55" t="s">
        <v>130</v>
      </c>
    </row>
    <row r="494" spans="1:29" ht="13" x14ac:dyDescent="0.15">
      <c r="A494" s="72" t="str">
        <f t="shared" si="7"/>
        <v>Ofsted Social Care Provider Webpage</v>
      </c>
      <c r="B494" s="55">
        <v>1270767</v>
      </c>
      <c r="D494" s="55" t="s">
        <v>373</v>
      </c>
      <c r="E494" s="74">
        <v>43147</v>
      </c>
      <c r="F494" s="55" t="s">
        <v>344</v>
      </c>
      <c r="G494" s="55" t="s">
        <v>360</v>
      </c>
      <c r="H494" s="55" t="s">
        <v>360</v>
      </c>
      <c r="I494" s="55" t="s">
        <v>360</v>
      </c>
      <c r="J494" s="55" t="s">
        <v>360</v>
      </c>
      <c r="K494" s="55" t="s">
        <v>360</v>
      </c>
      <c r="L494" s="55" t="s">
        <v>360</v>
      </c>
      <c r="M494" s="55" t="s">
        <v>172</v>
      </c>
      <c r="N494" s="55" t="s">
        <v>172</v>
      </c>
      <c r="O494" s="55" t="s">
        <v>235</v>
      </c>
      <c r="P494" s="55" t="s">
        <v>628</v>
      </c>
      <c r="Q494" s="55" t="s">
        <v>350</v>
      </c>
      <c r="R494" s="55">
        <v>4</v>
      </c>
      <c r="S494" s="74"/>
      <c r="T494" s="55" t="s">
        <v>1210</v>
      </c>
      <c r="U494" s="73" t="s">
        <v>351</v>
      </c>
      <c r="V494" s="74">
        <v>44299</v>
      </c>
      <c r="W494" s="74">
        <v>44334</v>
      </c>
      <c r="X494" s="55">
        <v>10185446</v>
      </c>
      <c r="Y494" s="74" t="s">
        <v>132</v>
      </c>
      <c r="Z494" s="74"/>
      <c r="AB494" s="55" t="s">
        <v>132</v>
      </c>
      <c r="AC494" s="55" t="s">
        <v>132</v>
      </c>
    </row>
    <row r="495" spans="1:29" ht="13" x14ac:dyDescent="0.15">
      <c r="A495" s="72" t="str">
        <f t="shared" si="7"/>
        <v>Ofsted Social Care Provider Webpage</v>
      </c>
      <c r="B495" s="55">
        <v>1270802</v>
      </c>
      <c r="D495" s="55" t="s">
        <v>373</v>
      </c>
      <c r="E495" s="74">
        <v>43122</v>
      </c>
      <c r="F495" s="55" t="s">
        <v>344</v>
      </c>
      <c r="G495" s="55" t="s">
        <v>360</v>
      </c>
      <c r="H495" s="55" t="s">
        <v>360</v>
      </c>
      <c r="I495" s="55" t="s">
        <v>360</v>
      </c>
      <c r="J495" s="55" t="s">
        <v>360</v>
      </c>
      <c r="K495" s="55" t="s">
        <v>360</v>
      </c>
      <c r="L495" s="55" t="s">
        <v>360</v>
      </c>
      <c r="M495" s="55" t="s">
        <v>144</v>
      </c>
      <c r="N495" s="55" t="s">
        <v>144</v>
      </c>
      <c r="O495" s="55" t="s">
        <v>209</v>
      </c>
      <c r="P495" s="55" t="s">
        <v>736</v>
      </c>
      <c r="Q495" s="55" t="s">
        <v>350</v>
      </c>
      <c r="R495" s="55">
        <v>3</v>
      </c>
      <c r="S495" s="74"/>
      <c r="T495" s="55" t="s">
        <v>737</v>
      </c>
      <c r="U495" s="73" t="s">
        <v>351</v>
      </c>
      <c r="V495" s="74">
        <v>44510</v>
      </c>
      <c r="W495" s="74">
        <v>44559</v>
      </c>
      <c r="X495" s="55">
        <v>10185115</v>
      </c>
      <c r="Y495" s="74" t="s">
        <v>140</v>
      </c>
      <c r="Z495" s="74"/>
      <c r="AB495" s="55" t="s">
        <v>140</v>
      </c>
      <c r="AC495" s="55" t="s">
        <v>140</v>
      </c>
    </row>
    <row r="496" spans="1:29" ht="13" x14ac:dyDescent="0.15">
      <c r="A496" s="72" t="str">
        <f t="shared" si="7"/>
        <v>Ofsted Social Care Provider Webpage</v>
      </c>
      <c r="B496" s="55">
        <v>1271135</v>
      </c>
      <c r="D496" s="55" t="s">
        <v>373</v>
      </c>
      <c r="E496" s="74">
        <v>43146</v>
      </c>
      <c r="F496" s="55" t="s">
        <v>344</v>
      </c>
      <c r="G496" s="55" t="s">
        <v>360</v>
      </c>
      <c r="H496" s="55" t="s">
        <v>360</v>
      </c>
      <c r="I496" s="55" t="s">
        <v>360</v>
      </c>
      <c r="J496" s="55" t="s">
        <v>360</v>
      </c>
      <c r="K496" s="55" t="s">
        <v>360</v>
      </c>
      <c r="L496" s="55" t="s">
        <v>360</v>
      </c>
      <c r="M496" s="55" t="s">
        <v>144</v>
      </c>
      <c r="N496" s="55" t="s">
        <v>144</v>
      </c>
      <c r="O496" s="55" t="s">
        <v>263</v>
      </c>
      <c r="P496" s="55" t="s">
        <v>1211</v>
      </c>
      <c r="Q496" s="55" t="s">
        <v>380</v>
      </c>
      <c r="R496" s="55">
        <v>7</v>
      </c>
      <c r="S496" s="74"/>
      <c r="T496" s="55" t="s">
        <v>1212</v>
      </c>
      <c r="U496" s="73" t="s">
        <v>351</v>
      </c>
      <c r="V496" s="74">
        <v>44426</v>
      </c>
      <c r="W496" s="74">
        <v>44468</v>
      </c>
      <c r="X496" s="55">
        <v>10185343</v>
      </c>
      <c r="Y496" s="74" t="s">
        <v>132</v>
      </c>
      <c r="Z496" s="74"/>
      <c r="AB496" s="55" t="s">
        <v>132</v>
      </c>
      <c r="AC496" s="55" t="s">
        <v>132</v>
      </c>
    </row>
    <row r="497" spans="1:29" ht="13" x14ac:dyDescent="0.15">
      <c r="A497" s="72" t="str">
        <f t="shared" si="7"/>
        <v>Ofsted Social Care Provider Webpage</v>
      </c>
      <c r="B497" s="55">
        <v>1271182</v>
      </c>
      <c r="D497" s="55" t="s">
        <v>373</v>
      </c>
      <c r="E497" s="74">
        <v>43258</v>
      </c>
      <c r="F497" s="55" t="s">
        <v>344</v>
      </c>
      <c r="G497" s="55" t="s">
        <v>360</v>
      </c>
      <c r="H497" s="55" t="s">
        <v>360</v>
      </c>
      <c r="I497" s="55" t="s">
        <v>360</v>
      </c>
      <c r="J497" s="55" t="s">
        <v>360</v>
      </c>
      <c r="K497" s="55" t="s">
        <v>360</v>
      </c>
      <c r="L497" s="55" t="s">
        <v>360</v>
      </c>
      <c r="M497" s="55" t="s">
        <v>138</v>
      </c>
      <c r="N497" s="55" t="s">
        <v>138</v>
      </c>
      <c r="O497" s="55" t="s">
        <v>183</v>
      </c>
      <c r="P497" s="55" t="s">
        <v>907</v>
      </c>
      <c r="Q497" s="55" t="s">
        <v>350</v>
      </c>
      <c r="R497" s="55">
        <v>5</v>
      </c>
      <c r="S497" s="74"/>
      <c r="T497" s="55" t="s">
        <v>1213</v>
      </c>
      <c r="U497" s="73" t="s">
        <v>351</v>
      </c>
      <c r="V497" s="74">
        <v>44501</v>
      </c>
      <c r="W497" s="74">
        <v>44531</v>
      </c>
      <c r="X497" s="55">
        <v>10185786</v>
      </c>
      <c r="Y497" s="74" t="s">
        <v>132</v>
      </c>
      <c r="Z497" s="74"/>
      <c r="AB497" s="55" t="s">
        <v>132</v>
      </c>
      <c r="AC497" s="55" t="s">
        <v>132</v>
      </c>
    </row>
    <row r="498" spans="1:29" ht="13" x14ac:dyDescent="0.15">
      <c r="A498" s="72" t="str">
        <f t="shared" si="7"/>
        <v>Ofsted Social Care Provider Webpage</v>
      </c>
      <c r="B498" s="55">
        <v>1271213</v>
      </c>
      <c r="D498" s="55" t="s">
        <v>373</v>
      </c>
      <c r="E498" s="74">
        <v>43238</v>
      </c>
      <c r="F498" s="55" t="s">
        <v>344</v>
      </c>
      <c r="G498" s="55" t="s">
        <v>360</v>
      </c>
      <c r="H498" s="55" t="s">
        <v>360</v>
      </c>
      <c r="I498" s="55" t="s">
        <v>360</v>
      </c>
      <c r="J498" s="55" t="s">
        <v>360</v>
      </c>
      <c r="K498" s="55" t="s">
        <v>360</v>
      </c>
      <c r="L498" s="55" t="s">
        <v>360</v>
      </c>
      <c r="M498" s="55" t="s">
        <v>144</v>
      </c>
      <c r="N498" s="55" t="s">
        <v>144</v>
      </c>
      <c r="O498" s="55" t="s">
        <v>209</v>
      </c>
      <c r="P498" s="55" t="s">
        <v>545</v>
      </c>
      <c r="Q498" s="55" t="s">
        <v>350</v>
      </c>
      <c r="R498" s="55">
        <v>4</v>
      </c>
      <c r="S498" s="74"/>
      <c r="T498" s="55" t="s">
        <v>377</v>
      </c>
      <c r="U498" s="73" t="s">
        <v>351</v>
      </c>
      <c r="V498" s="74">
        <v>44600</v>
      </c>
      <c r="W498" s="74">
        <v>44648</v>
      </c>
      <c r="X498" s="55">
        <v>10198244</v>
      </c>
      <c r="Y498" s="74" t="s">
        <v>132</v>
      </c>
      <c r="Z498" s="74"/>
      <c r="AB498" s="55" t="s">
        <v>132</v>
      </c>
      <c r="AC498" s="55" t="s">
        <v>130</v>
      </c>
    </row>
    <row r="499" spans="1:29" ht="13" x14ac:dyDescent="0.15">
      <c r="A499" s="72" t="str">
        <f t="shared" si="7"/>
        <v>Ofsted Social Care Provider Webpage</v>
      </c>
      <c r="B499" s="55">
        <v>1271222</v>
      </c>
      <c r="D499" s="55" t="s">
        <v>373</v>
      </c>
      <c r="E499" s="74">
        <v>43125</v>
      </c>
      <c r="F499" s="55" t="s">
        <v>344</v>
      </c>
      <c r="G499" s="55" t="s">
        <v>360</v>
      </c>
      <c r="H499" s="55" t="s">
        <v>360</v>
      </c>
      <c r="I499" s="55" t="s">
        <v>360</v>
      </c>
      <c r="J499" s="55" t="s">
        <v>360</v>
      </c>
      <c r="K499" s="55" t="s">
        <v>360</v>
      </c>
      <c r="L499" s="55" t="s">
        <v>360</v>
      </c>
      <c r="M499" s="55" t="s">
        <v>144</v>
      </c>
      <c r="N499" s="55" t="s">
        <v>144</v>
      </c>
      <c r="O499" s="55" t="s">
        <v>209</v>
      </c>
      <c r="P499" s="55" t="s">
        <v>629</v>
      </c>
      <c r="Q499" s="55" t="s">
        <v>350</v>
      </c>
      <c r="R499" s="55">
        <v>2</v>
      </c>
      <c r="S499" s="74"/>
      <c r="T499" s="55" t="s">
        <v>1214</v>
      </c>
      <c r="U499" s="73" t="s">
        <v>351</v>
      </c>
      <c r="V499" s="74">
        <v>43628</v>
      </c>
      <c r="W499" s="74">
        <v>43654</v>
      </c>
      <c r="X499" s="55">
        <v>10097972</v>
      </c>
      <c r="Y499" s="74" t="s">
        <v>132</v>
      </c>
      <c r="Z499" s="74"/>
      <c r="AB499" s="55" t="s">
        <v>132</v>
      </c>
      <c r="AC499" s="55" t="s">
        <v>132</v>
      </c>
    </row>
    <row r="500" spans="1:29" ht="13" x14ac:dyDescent="0.15">
      <c r="A500" s="72" t="str">
        <f t="shared" si="7"/>
        <v>Ofsted Social Care Provider Webpage</v>
      </c>
      <c r="B500" s="55">
        <v>1271234</v>
      </c>
      <c r="D500" s="55" t="s">
        <v>373</v>
      </c>
      <c r="E500" s="74">
        <v>43196</v>
      </c>
      <c r="F500" s="55" t="s">
        <v>344</v>
      </c>
      <c r="G500" s="55" t="s">
        <v>360</v>
      </c>
      <c r="H500" s="55" t="s">
        <v>360</v>
      </c>
      <c r="I500" s="55" t="s">
        <v>360</v>
      </c>
      <c r="J500" s="55" t="s">
        <v>360</v>
      </c>
      <c r="K500" s="55" t="s">
        <v>360</v>
      </c>
      <c r="L500" s="55" t="s">
        <v>360</v>
      </c>
      <c r="M500" s="55" t="s">
        <v>142</v>
      </c>
      <c r="N500" s="55" t="s">
        <v>142</v>
      </c>
      <c r="O500" s="55" t="s">
        <v>262</v>
      </c>
      <c r="P500" s="55" t="s">
        <v>1215</v>
      </c>
      <c r="Q500" s="55" t="s">
        <v>350</v>
      </c>
      <c r="R500" s="55">
        <v>3</v>
      </c>
      <c r="S500" s="74"/>
      <c r="T500" s="55" t="s">
        <v>1216</v>
      </c>
      <c r="U500" s="73" t="s">
        <v>351</v>
      </c>
      <c r="V500" s="74">
        <v>44621</v>
      </c>
      <c r="W500" s="74">
        <v>44670</v>
      </c>
      <c r="X500" s="55">
        <v>10216209</v>
      </c>
      <c r="Y500" s="74" t="s">
        <v>132</v>
      </c>
      <c r="Z500" s="74"/>
      <c r="AB500" s="55" t="s">
        <v>132</v>
      </c>
      <c r="AC500" s="55" t="s">
        <v>130</v>
      </c>
    </row>
    <row r="501" spans="1:29" ht="13" x14ac:dyDescent="0.15">
      <c r="A501" s="72" t="str">
        <f t="shared" si="7"/>
        <v>Ofsted Social Care Provider Webpage</v>
      </c>
      <c r="B501" s="55">
        <v>1271375</v>
      </c>
      <c r="D501" s="55" t="s">
        <v>373</v>
      </c>
      <c r="E501" s="74">
        <v>43171</v>
      </c>
      <c r="F501" s="55" t="s">
        <v>344</v>
      </c>
      <c r="G501" s="55" t="s">
        <v>360</v>
      </c>
      <c r="H501" s="55" t="s">
        <v>360</v>
      </c>
      <c r="I501" s="55" t="s">
        <v>360</v>
      </c>
      <c r="J501" s="55" t="s">
        <v>360</v>
      </c>
      <c r="K501" s="55" t="s">
        <v>360</v>
      </c>
      <c r="L501" s="55" t="s">
        <v>360</v>
      </c>
      <c r="M501" s="55" t="s">
        <v>144</v>
      </c>
      <c r="N501" s="55" t="s">
        <v>144</v>
      </c>
      <c r="O501" s="55" t="s">
        <v>209</v>
      </c>
      <c r="P501" s="55" t="s">
        <v>555</v>
      </c>
      <c r="Q501" s="55" t="s">
        <v>350</v>
      </c>
      <c r="R501" s="55">
        <v>3</v>
      </c>
      <c r="S501" s="74"/>
      <c r="T501" s="55" t="s">
        <v>485</v>
      </c>
      <c r="U501" s="73" t="s">
        <v>351</v>
      </c>
      <c r="V501" s="74">
        <v>44398</v>
      </c>
      <c r="W501" s="74">
        <v>44433</v>
      </c>
      <c r="X501" s="55">
        <v>10185370</v>
      </c>
      <c r="Y501" s="74" t="s">
        <v>132</v>
      </c>
      <c r="Z501" s="74"/>
      <c r="AB501" s="55" t="s">
        <v>132</v>
      </c>
      <c r="AC501" s="55" t="s">
        <v>132</v>
      </c>
    </row>
    <row r="502" spans="1:29" ht="13" x14ac:dyDescent="0.15">
      <c r="A502" s="72" t="str">
        <f t="shared" si="7"/>
        <v>Ofsted Social Care Provider Webpage</v>
      </c>
      <c r="B502" s="55">
        <v>1271380</v>
      </c>
      <c r="D502" s="55" t="s">
        <v>373</v>
      </c>
      <c r="E502" s="74">
        <v>43306</v>
      </c>
      <c r="F502" s="55" t="s">
        <v>344</v>
      </c>
      <c r="G502" s="55" t="s">
        <v>360</v>
      </c>
      <c r="H502" s="55" t="s">
        <v>360</v>
      </c>
      <c r="I502" s="55" t="s">
        <v>360</v>
      </c>
      <c r="J502" s="55" t="s">
        <v>360</v>
      </c>
      <c r="K502" s="55" t="s">
        <v>360</v>
      </c>
      <c r="L502" s="55" t="s">
        <v>360</v>
      </c>
      <c r="M502" s="55" t="s">
        <v>150</v>
      </c>
      <c r="N502" s="55" t="s">
        <v>150</v>
      </c>
      <c r="O502" s="55" t="s">
        <v>156</v>
      </c>
      <c r="P502" s="55" t="s">
        <v>1217</v>
      </c>
      <c r="Q502" s="55" t="s">
        <v>362</v>
      </c>
      <c r="R502" s="55">
        <v>6</v>
      </c>
      <c r="S502" s="74" t="s">
        <v>332</v>
      </c>
      <c r="T502" s="55" t="s">
        <v>367</v>
      </c>
      <c r="U502" s="73" t="s">
        <v>351</v>
      </c>
      <c r="V502" s="74">
        <v>44600</v>
      </c>
      <c r="W502" s="74">
        <v>44643</v>
      </c>
      <c r="X502" s="55">
        <v>10187351</v>
      </c>
      <c r="Y502" s="74" t="s">
        <v>132</v>
      </c>
      <c r="Z502" s="74"/>
      <c r="AB502" s="55" t="s">
        <v>132</v>
      </c>
      <c r="AC502" s="55" t="s">
        <v>132</v>
      </c>
    </row>
    <row r="503" spans="1:29" ht="13" x14ac:dyDescent="0.15">
      <c r="A503" s="72" t="str">
        <f t="shared" si="7"/>
        <v>Ofsted Social Care Provider Webpage</v>
      </c>
      <c r="B503" s="55">
        <v>1271383</v>
      </c>
      <c r="D503" s="55" t="s">
        <v>373</v>
      </c>
      <c r="E503" s="74">
        <v>43220</v>
      </c>
      <c r="F503" s="55" t="s">
        <v>344</v>
      </c>
      <c r="G503" s="55" t="s">
        <v>360</v>
      </c>
      <c r="H503" s="55" t="s">
        <v>360</v>
      </c>
      <c r="I503" s="55" t="s">
        <v>360</v>
      </c>
      <c r="J503" s="55" t="s">
        <v>360</v>
      </c>
      <c r="K503" s="55" t="s">
        <v>360</v>
      </c>
      <c r="L503" s="55" t="s">
        <v>360</v>
      </c>
      <c r="M503" s="55" t="s">
        <v>172</v>
      </c>
      <c r="N503" s="55" t="s">
        <v>172</v>
      </c>
      <c r="O503" s="55" t="s">
        <v>234</v>
      </c>
      <c r="P503" s="55" t="s">
        <v>457</v>
      </c>
      <c r="Q503" s="55" t="s">
        <v>362</v>
      </c>
      <c r="R503" s="55">
        <v>3</v>
      </c>
      <c r="S503" s="74"/>
      <c r="T503" s="55" t="s">
        <v>458</v>
      </c>
      <c r="U503" s="73" t="s">
        <v>351</v>
      </c>
      <c r="V503" s="74">
        <v>44509</v>
      </c>
      <c r="W503" s="74">
        <v>44538</v>
      </c>
      <c r="X503" s="55">
        <v>10186529</v>
      </c>
      <c r="Y503" s="74" t="s">
        <v>132</v>
      </c>
      <c r="Z503" s="74"/>
      <c r="AB503" s="55" t="s">
        <v>132</v>
      </c>
      <c r="AC503" s="55" t="s">
        <v>132</v>
      </c>
    </row>
    <row r="504" spans="1:29" ht="13" x14ac:dyDescent="0.15">
      <c r="A504" s="72" t="str">
        <f t="shared" si="7"/>
        <v>Ofsted Social Care Provider Webpage</v>
      </c>
      <c r="B504" s="55">
        <v>1271467</v>
      </c>
      <c r="D504" s="55" t="s">
        <v>373</v>
      </c>
      <c r="E504" s="74">
        <v>43173</v>
      </c>
      <c r="F504" s="55" t="s">
        <v>344</v>
      </c>
      <c r="G504" s="55" t="s">
        <v>360</v>
      </c>
      <c r="H504" s="55" t="s">
        <v>360</v>
      </c>
      <c r="I504" s="55" t="s">
        <v>360</v>
      </c>
      <c r="J504" s="55" t="s">
        <v>360</v>
      </c>
      <c r="K504" s="55" t="s">
        <v>360</v>
      </c>
      <c r="L504" s="55" t="s">
        <v>360</v>
      </c>
      <c r="M504" s="55" t="s">
        <v>136</v>
      </c>
      <c r="N504" s="55" t="s">
        <v>136</v>
      </c>
      <c r="O504" s="55" t="s">
        <v>174</v>
      </c>
      <c r="P504" s="55" t="s">
        <v>857</v>
      </c>
      <c r="Q504" s="55" t="s">
        <v>350</v>
      </c>
      <c r="R504" s="55">
        <v>3</v>
      </c>
      <c r="S504" s="74"/>
      <c r="T504" s="55" t="s">
        <v>450</v>
      </c>
      <c r="U504" s="73" t="s">
        <v>351</v>
      </c>
      <c r="V504" s="74">
        <v>44504</v>
      </c>
      <c r="W504" s="74">
        <v>44539</v>
      </c>
      <c r="X504" s="55">
        <v>10185381</v>
      </c>
      <c r="Y504" s="74" t="s">
        <v>132</v>
      </c>
      <c r="Z504" s="74"/>
      <c r="AB504" s="55" t="s">
        <v>132</v>
      </c>
      <c r="AC504" s="55" t="s">
        <v>130</v>
      </c>
    </row>
    <row r="505" spans="1:29" ht="13" x14ac:dyDescent="0.15">
      <c r="A505" s="72" t="str">
        <f t="shared" si="7"/>
        <v>Ofsted Social Care Provider Webpage</v>
      </c>
      <c r="B505" s="55">
        <v>1271519</v>
      </c>
      <c r="D505" s="55" t="s">
        <v>373</v>
      </c>
      <c r="E505" s="74">
        <v>43305</v>
      </c>
      <c r="F505" s="55" t="s">
        <v>344</v>
      </c>
      <c r="G505" s="55" t="s">
        <v>360</v>
      </c>
      <c r="H505" s="55" t="s">
        <v>360</v>
      </c>
      <c r="I505" s="55" t="s">
        <v>360</v>
      </c>
      <c r="J505" s="55" t="s">
        <v>360</v>
      </c>
      <c r="K505" s="55" t="s">
        <v>360</v>
      </c>
      <c r="L505" s="55" t="s">
        <v>360</v>
      </c>
      <c r="M505" s="55" t="s">
        <v>142</v>
      </c>
      <c r="N505" s="55" t="s">
        <v>142</v>
      </c>
      <c r="O505" s="55" t="s">
        <v>278</v>
      </c>
      <c r="P505" s="55" t="s">
        <v>1042</v>
      </c>
      <c r="Q505" s="55" t="s">
        <v>350</v>
      </c>
      <c r="R505" s="55">
        <v>3</v>
      </c>
      <c r="S505" s="74"/>
      <c r="T505" s="55" t="s">
        <v>954</v>
      </c>
      <c r="U505" s="73" t="s">
        <v>351</v>
      </c>
      <c r="V505" s="74">
        <v>44335</v>
      </c>
      <c r="W505" s="74">
        <v>44364</v>
      </c>
      <c r="X505" s="55">
        <v>10187338</v>
      </c>
      <c r="Y505" s="74" t="s">
        <v>132</v>
      </c>
      <c r="Z505" s="74"/>
      <c r="AB505" s="55" t="s">
        <v>132</v>
      </c>
      <c r="AC505" s="55" t="s">
        <v>130</v>
      </c>
    </row>
    <row r="506" spans="1:29" ht="13" x14ac:dyDescent="0.15">
      <c r="A506" s="72" t="str">
        <f t="shared" si="7"/>
        <v>Ofsted Social Care Provider Webpage</v>
      </c>
      <c r="B506" s="55">
        <v>1271581</v>
      </c>
      <c r="D506" s="55" t="s">
        <v>373</v>
      </c>
      <c r="E506" s="74">
        <v>43194</v>
      </c>
      <c r="F506" s="55" t="s">
        <v>344</v>
      </c>
      <c r="G506" s="55" t="s">
        <v>360</v>
      </c>
      <c r="H506" s="55" t="s">
        <v>360</v>
      </c>
      <c r="I506" s="55" t="s">
        <v>360</v>
      </c>
      <c r="J506" s="55" t="s">
        <v>360</v>
      </c>
      <c r="K506" s="55" t="s">
        <v>360</v>
      </c>
      <c r="L506" s="55" t="s">
        <v>360</v>
      </c>
      <c r="M506" s="55" t="s">
        <v>144</v>
      </c>
      <c r="N506" s="55" t="s">
        <v>144</v>
      </c>
      <c r="O506" s="55" t="s">
        <v>147</v>
      </c>
      <c r="P506" s="55" t="s">
        <v>387</v>
      </c>
      <c r="Q506" s="55" t="s">
        <v>350</v>
      </c>
      <c r="R506" s="55">
        <v>2</v>
      </c>
      <c r="S506" s="74"/>
      <c r="T506" s="55" t="s">
        <v>1218</v>
      </c>
      <c r="U506" s="73" t="s">
        <v>351</v>
      </c>
      <c r="V506" s="74">
        <v>44530</v>
      </c>
      <c r="W506" s="74">
        <v>44571</v>
      </c>
      <c r="X506" s="55">
        <v>10186985</v>
      </c>
      <c r="Y506" s="74" t="s">
        <v>132</v>
      </c>
      <c r="Z506" s="74"/>
      <c r="AB506" s="55" t="s">
        <v>132</v>
      </c>
      <c r="AC506" s="55" t="s">
        <v>132</v>
      </c>
    </row>
    <row r="507" spans="1:29" ht="13" x14ac:dyDescent="0.15">
      <c r="A507" s="72" t="str">
        <f t="shared" si="7"/>
        <v>Ofsted Social Care Provider Webpage</v>
      </c>
      <c r="B507" s="55">
        <v>1271587</v>
      </c>
      <c r="D507" s="55" t="s">
        <v>373</v>
      </c>
      <c r="E507" s="74">
        <v>43196</v>
      </c>
      <c r="F507" s="55" t="s">
        <v>344</v>
      </c>
      <c r="G507" s="55" t="s">
        <v>360</v>
      </c>
      <c r="H507" s="55" t="s">
        <v>360</v>
      </c>
      <c r="I507" s="55" t="s">
        <v>360</v>
      </c>
      <c r="J507" s="55" t="s">
        <v>360</v>
      </c>
      <c r="K507" s="55" t="s">
        <v>360</v>
      </c>
      <c r="L507" s="55" t="s">
        <v>360</v>
      </c>
      <c r="M507" s="55" t="s">
        <v>142</v>
      </c>
      <c r="N507" s="55" t="s">
        <v>142</v>
      </c>
      <c r="O507" s="55" t="s">
        <v>195</v>
      </c>
      <c r="P507" s="55" t="s">
        <v>747</v>
      </c>
      <c r="Q507" s="55" t="s">
        <v>350</v>
      </c>
      <c r="R507" s="55">
        <v>4</v>
      </c>
      <c r="S507" s="74"/>
      <c r="T507" s="55" t="s">
        <v>1219</v>
      </c>
      <c r="U507" s="73" t="s">
        <v>351</v>
      </c>
      <c r="V507" s="74">
        <v>44306</v>
      </c>
      <c r="W507" s="74">
        <v>44326</v>
      </c>
      <c r="X507" s="55">
        <v>10185612</v>
      </c>
      <c r="Y507" s="74" t="s">
        <v>132</v>
      </c>
      <c r="Z507" s="74"/>
      <c r="AB507" s="55" t="s">
        <v>132</v>
      </c>
      <c r="AC507" s="55" t="s">
        <v>132</v>
      </c>
    </row>
    <row r="508" spans="1:29" ht="13" x14ac:dyDescent="0.15">
      <c r="A508" s="72" t="str">
        <f t="shared" si="7"/>
        <v>Ofsted Social Care Provider Webpage</v>
      </c>
      <c r="B508" s="55">
        <v>1271666</v>
      </c>
      <c r="D508" s="55" t="s">
        <v>373</v>
      </c>
      <c r="E508" s="74">
        <v>43185</v>
      </c>
      <c r="F508" s="55" t="s">
        <v>344</v>
      </c>
      <c r="G508" s="55" t="s">
        <v>360</v>
      </c>
      <c r="H508" s="55" t="s">
        <v>360</v>
      </c>
      <c r="I508" s="55" t="s">
        <v>360</v>
      </c>
      <c r="J508" s="55" t="s">
        <v>360</v>
      </c>
      <c r="K508" s="55" t="s">
        <v>360</v>
      </c>
      <c r="L508" s="55" t="s">
        <v>360</v>
      </c>
      <c r="M508" s="55" t="s">
        <v>378</v>
      </c>
      <c r="N508" s="55" t="s">
        <v>134</v>
      </c>
      <c r="O508" s="55" t="s">
        <v>151</v>
      </c>
      <c r="P508" s="55" t="s">
        <v>862</v>
      </c>
      <c r="Q508" s="55" t="s">
        <v>380</v>
      </c>
      <c r="R508" s="55">
        <v>4</v>
      </c>
      <c r="S508" s="74"/>
      <c r="T508" s="55" t="s">
        <v>1220</v>
      </c>
      <c r="U508" s="73" t="s">
        <v>351</v>
      </c>
      <c r="V508" s="74">
        <v>44440</v>
      </c>
      <c r="W508" s="74">
        <v>44475</v>
      </c>
      <c r="X508" s="55">
        <v>10186045</v>
      </c>
      <c r="Y508" s="74" t="s">
        <v>132</v>
      </c>
      <c r="Z508" s="74"/>
      <c r="AB508" s="55" t="s">
        <v>132</v>
      </c>
      <c r="AC508" s="55" t="s">
        <v>130</v>
      </c>
    </row>
    <row r="509" spans="1:29" ht="13" x14ac:dyDescent="0.15">
      <c r="A509" s="72" t="str">
        <f t="shared" si="7"/>
        <v>Ofsted Social Care Provider Webpage</v>
      </c>
      <c r="B509" s="55">
        <v>1271979</v>
      </c>
      <c r="D509" s="55" t="s">
        <v>373</v>
      </c>
      <c r="E509" s="74">
        <v>43185</v>
      </c>
      <c r="F509" s="55" t="s">
        <v>344</v>
      </c>
      <c r="G509" s="55" t="s">
        <v>360</v>
      </c>
      <c r="H509" s="55" t="s">
        <v>360</v>
      </c>
      <c r="I509" s="55" t="s">
        <v>360</v>
      </c>
      <c r="J509" s="55" t="s">
        <v>360</v>
      </c>
      <c r="K509" s="55" t="s">
        <v>360</v>
      </c>
      <c r="L509" s="55" t="s">
        <v>360</v>
      </c>
      <c r="M509" s="55" t="s">
        <v>138</v>
      </c>
      <c r="N509" s="55" t="s">
        <v>138</v>
      </c>
      <c r="O509" s="55" t="s">
        <v>224</v>
      </c>
      <c r="P509" s="55" t="s">
        <v>374</v>
      </c>
      <c r="Q509" s="55" t="s">
        <v>350</v>
      </c>
      <c r="R509" s="55">
        <v>3</v>
      </c>
      <c r="S509" s="74"/>
      <c r="T509" s="55" t="s">
        <v>1221</v>
      </c>
      <c r="U509" s="73" t="s">
        <v>351</v>
      </c>
      <c r="V509" s="74">
        <v>44544</v>
      </c>
      <c r="W509" s="74">
        <v>44588</v>
      </c>
      <c r="X509" s="55">
        <v>10185671</v>
      </c>
      <c r="Y509" s="74" t="s">
        <v>132</v>
      </c>
      <c r="Z509" s="74"/>
      <c r="AB509" s="55" t="s">
        <v>132</v>
      </c>
      <c r="AC509" s="55" t="s">
        <v>132</v>
      </c>
    </row>
    <row r="510" spans="1:29" ht="13" x14ac:dyDescent="0.15">
      <c r="A510" s="72" t="str">
        <f t="shared" si="7"/>
        <v>Ofsted Social Care Provider Webpage</v>
      </c>
      <c r="B510" s="55">
        <v>1271998</v>
      </c>
      <c r="D510" s="55" t="s">
        <v>373</v>
      </c>
      <c r="E510" s="74">
        <v>43243</v>
      </c>
      <c r="F510" s="55" t="s">
        <v>344</v>
      </c>
      <c r="G510" s="55" t="s">
        <v>360</v>
      </c>
      <c r="H510" s="55" t="s">
        <v>360</v>
      </c>
      <c r="I510" s="55" t="s">
        <v>360</v>
      </c>
      <c r="J510" s="55" t="s">
        <v>360</v>
      </c>
      <c r="K510" s="55" t="s">
        <v>360</v>
      </c>
      <c r="L510" s="55" t="s">
        <v>360</v>
      </c>
      <c r="M510" s="55" t="s">
        <v>144</v>
      </c>
      <c r="N510" s="55" t="s">
        <v>144</v>
      </c>
      <c r="O510" s="55" t="s">
        <v>209</v>
      </c>
      <c r="P510" s="55" t="s">
        <v>555</v>
      </c>
      <c r="Q510" s="55" t="s">
        <v>350</v>
      </c>
      <c r="R510" s="55">
        <v>3</v>
      </c>
      <c r="S510" s="74"/>
      <c r="T510" s="55" t="s">
        <v>377</v>
      </c>
      <c r="U510" s="73" t="s">
        <v>351</v>
      </c>
      <c r="V510" s="74">
        <v>44580</v>
      </c>
      <c r="W510" s="74">
        <v>44615</v>
      </c>
      <c r="X510" s="55">
        <v>10214432</v>
      </c>
      <c r="Y510" s="74" t="s">
        <v>130</v>
      </c>
      <c r="Z510" s="74"/>
      <c r="AB510" s="55" t="s">
        <v>130</v>
      </c>
      <c r="AC510" s="55" t="s">
        <v>146</v>
      </c>
    </row>
    <row r="511" spans="1:29" ht="13" x14ac:dyDescent="0.15">
      <c r="A511" s="72" t="str">
        <f t="shared" si="7"/>
        <v>Ofsted Social Care Provider Webpage</v>
      </c>
      <c r="B511" s="55">
        <v>1272220</v>
      </c>
      <c r="D511" s="55" t="s">
        <v>373</v>
      </c>
      <c r="E511" s="74">
        <v>43229</v>
      </c>
      <c r="F511" s="55" t="s">
        <v>344</v>
      </c>
      <c r="G511" s="55" t="s">
        <v>360</v>
      </c>
      <c r="H511" s="55" t="s">
        <v>360</v>
      </c>
      <c r="I511" s="55" t="s">
        <v>360</v>
      </c>
      <c r="J511" s="55" t="s">
        <v>360</v>
      </c>
      <c r="K511" s="55" t="s">
        <v>360</v>
      </c>
      <c r="L511" s="55" t="s">
        <v>360</v>
      </c>
      <c r="M511" s="55" t="s">
        <v>378</v>
      </c>
      <c r="N511" s="55" t="s">
        <v>170</v>
      </c>
      <c r="O511" s="55" t="s">
        <v>243</v>
      </c>
      <c r="P511" s="55" t="s">
        <v>1222</v>
      </c>
      <c r="Q511" s="55" t="s">
        <v>350</v>
      </c>
      <c r="R511" s="55">
        <v>2</v>
      </c>
      <c r="S511" s="74"/>
      <c r="T511" s="55" t="s">
        <v>1223</v>
      </c>
      <c r="U511" s="73" t="s">
        <v>351</v>
      </c>
      <c r="V511" s="74">
        <v>44340</v>
      </c>
      <c r="W511" s="74">
        <v>44384</v>
      </c>
      <c r="X511" s="55">
        <v>10185713</v>
      </c>
      <c r="Y511" s="74" t="s">
        <v>130</v>
      </c>
      <c r="Z511" s="74"/>
      <c r="AB511" s="55" t="s">
        <v>130</v>
      </c>
      <c r="AC511" s="55" t="s">
        <v>130</v>
      </c>
    </row>
    <row r="512" spans="1:29" ht="13" x14ac:dyDescent="0.15">
      <c r="A512" s="72" t="str">
        <f t="shared" si="7"/>
        <v>Ofsted Social Care Provider Webpage</v>
      </c>
      <c r="B512" s="55">
        <v>1272461</v>
      </c>
      <c r="D512" s="55" t="s">
        <v>373</v>
      </c>
      <c r="E512" s="74">
        <v>43148</v>
      </c>
      <c r="F512" s="55" t="s">
        <v>344</v>
      </c>
      <c r="G512" s="55" t="s">
        <v>360</v>
      </c>
      <c r="H512" s="55" t="s">
        <v>360</v>
      </c>
      <c r="I512" s="55" t="s">
        <v>360</v>
      </c>
      <c r="J512" s="55" t="s">
        <v>360</v>
      </c>
      <c r="K512" s="55" t="s">
        <v>360</v>
      </c>
      <c r="L512" s="55" t="s">
        <v>360</v>
      </c>
      <c r="M512" s="55" t="s">
        <v>129</v>
      </c>
      <c r="N512" s="55" t="s">
        <v>129</v>
      </c>
      <c r="O512" s="55" t="s">
        <v>191</v>
      </c>
      <c r="P512" s="55" t="s">
        <v>1224</v>
      </c>
      <c r="Q512" s="55" t="s">
        <v>350</v>
      </c>
      <c r="R512" s="55">
        <v>4</v>
      </c>
      <c r="S512" s="74"/>
      <c r="T512" s="55" t="s">
        <v>939</v>
      </c>
      <c r="U512" s="73" t="s">
        <v>351</v>
      </c>
      <c r="V512" s="74">
        <v>44622</v>
      </c>
      <c r="W512" s="74">
        <v>44678</v>
      </c>
      <c r="X512" s="55">
        <v>10185137</v>
      </c>
      <c r="Y512" s="74" t="s">
        <v>140</v>
      </c>
      <c r="Z512" s="74"/>
      <c r="AB512" s="55" t="s">
        <v>140</v>
      </c>
      <c r="AC512" s="55" t="s">
        <v>140</v>
      </c>
    </row>
    <row r="513" spans="1:29" ht="13" x14ac:dyDescent="0.15">
      <c r="A513" s="72" t="str">
        <f t="shared" si="7"/>
        <v>Ofsted Social Care Provider Webpage</v>
      </c>
      <c r="B513" s="55">
        <v>1272657</v>
      </c>
      <c r="D513" s="55" t="s">
        <v>373</v>
      </c>
      <c r="E513" s="74">
        <v>43258</v>
      </c>
      <c r="F513" s="55" t="s">
        <v>344</v>
      </c>
      <c r="G513" s="55" t="s">
        <v>360</v>
      </c>
      <c r="H513" s="55" t="s">
        <v>360</v>
      </c>
      <c r="I513" s="55" t="s">
        <v>360</v>
      </c>
      <c r="J513" s="55" t="s">
        <v>360</v>
      </c>
      <c r="K513" s="55" t="s">
        <v>360</v>
      </c>
      <c r="L513" s="55" t="s">
        <v>360</v>
      </c>
      <c r="M513" s="55" t="s">
        <v>138</v>
      </c>
      <c r="N513" s="55" t="s">
        <v>138</v>
      </c>
      <c r="O513" s="55" t="s">
        <v>266</v>
      </c>
      <c r="P513" s="55" t="s">
        <v>449</v>
      </c>
      <c r="Q513" s="55" t="s">
        <v>350</v>
      </c>
      <c r="R513" s="55">
        <v>4</v>
      </c>
      <c r="S513" s="74"/>
      <c r="T513" s="55" t="s">
        <v>1225</v>
      </c>
      <c r="U513" s="73" t="s">
        <v>351</v>
      </c>
      <c r="V513" s="74">
        <v>44488</v>
      </c>
      <c r="W513" s="74">
        <v>44523</v>
      </c>
      <c r="X513" s="55">
        <v>10185191</v>
      </c>
      <c r="Y513" s="74" t="s">
        <v>130</v>
      </c>
      <c r="Z513" s="74"/>
      <c r="AB513" s="55" t="s">
        <v>130</v>
      </c>
      <c r="AC513" s="55" t="s">
        <v>146</v>
      </c>
    </row>
    <row r="514" spans="1:29" ht="13" x14ac:dyDescent="0.15">
      <c r="A514" s="72" t="str">
        <f t="shared" si="7"/>
        <v>Ofsted Social Care Provider Webpage</v>
      </c>
      <c r="B514" s="55">
        <v>1273485</v>
      </c>
      <c r="D514" s="55" t="s">
        <v>373</v>
      </c>
      <c r="E514" s="74">
        <v>43180</v>
      </c>
      <c r="F514" s="55" t="s">
        <v>344</v>
      </c>
      <c r="G514" s="55" t="s">
        <v>360</v>
      </c>
      <c r="H514" s="55" t="s">
        <v>360</v>
      </c>
      <c r="I514" s="55" t="s">
        <v>360</v>
      </c>
      <c r="J514" s="55" t="s">
        <v>360</v>
      </c>
      <c r="K514" s="55" t="s">
        <v>360</v>
      </c>
      <c r="L514" s="55" t="s">
        <v>360</v>
      </c>
      <c r="M514" s="55" t="s">
        <v>142</v>
      </c>
      <c r="N514" s="55" t="s">
        <v>142</v>
      </c>
      <c r="O514" s="55" t="s">
        <v>141</v>
      </c>
      <c r="P514" s="55" t="s">
        <v>1226</v>
      </c>
      <c r="Q514" s="55" t="s">
        <v>362</v>
      </c>
      <c r="R514" s="55">
        <v>7</v>
      </c>
      <c r="S514" s="74" t="s">
        <v>332</v>
      </c>
      <c r="T514" s="55" t="s">
        <v>1227</v>
      </c>
      <c r="U514" s="73" t="s">
        <v>351</v>
      </c>
      <c r="V514" s="74">
        <v>44446</v>
      </c>
      <c r="W514" s="74">
        <v>44482</v>
      </c>
      <c r="X514" s="55">
        <v>10187466</v>
      </c>
      <c r="Y514" s="74" t="s">
        <v>132</v>
      </c>
      <c r="Z514" s="74"/>
      <c r="AB514" s="55" t="s">
        <v>132</v>
      </c>
      <c r="AC514" s="55" t="s">
        <v>132</v>
      </c>
    </row>
    <row r="515" spans="1:29" ht="13" x14ac:dyDescent="0.15">
      <c r="A515" s="72" t="str">
        <f t="shared" si="7"/>
        <v>Ofsted Social Care Provider Webpage</v>
      </c>
      <c r="B515" s="55">
        <v>1273493</v>
      </c>
      <c r="D515" s="55" t="s">
        <v>468</v>
      </c>
      <c r="E515" s="74">
        <v>43178</v>
      </c>
      <c r="F515" s="55" t="s">
        <v>344</v>
      </c>
      <c r="G515" s="55" t="s">
        <v>1228</v>
      </c>
      <c r="H515" s="55" t="s">
        <v>1229</v>
      </c>
      <c r="I515" s="55" t="s">
        <v>354</v>
      </c>
      <c r="J515" s="55" t="s">
        <v>141</v>
      </c>
      <c r="K515" s="55" t="s">
        <v>142</v>
      </c>
      <c r="L515" s="55" t="s">
        <v>1230</v>
      </c>
      <c r="M515" s="55" t="s">
        <v>142</v>
      </c>
      <c r="N515" s="55" t="s">
        <v>142</v>
      </c>
      <c r="O515" s="55" t="s">
        <v>141</v>
      </c>
      <c r="P515" s="55" t="s">
        <v>1231</v>
      </c>
      <c r="Q515" s="55" t="s">
        <v>362</v>
      </c>
      <c r="R515" s="55"/>
      <c r="S515" s="74"/>
      <c r="T515" s="55" t="s">
        <v>1227</v>
      </c>
      <c r="U515" s="73" t="s">
        <v>351</v>
      </c>
      <c r="V515" s="74">
        <v>43507</v>
      </c>
      <c r="W515" s="74">
        <v>43549</v>
      </c>
      <c r="X515" s="55">
        <v>10054193</v>
      </c>
      <c r="Y515" s="74" t="s">
        <v>132</v>
      </c>
      <c r="Z515" s="74"/>
      <c r="AB515" s="55" t="s">
        <v>132</v>
      </c>
      <c r="AC515" s="55" t="s">
        <v>140</v>
      </c>
    </row>
    <row r="516" spans="1:29" ht="13" x14ac:dyDescent="0.15">
      <c r="A516" s="72" t="str">
        <f t="shared" si="7"/>
        <v>Ofsted Social Care Provider Webpage</v>
      </c>
      <c r="B516" s="55">
        <v>1273497</v>
      </c>
      <c r="D516" s="55" t="s">
        <v>373</v>
      </c>
      <c r="E516" s="74">
        <v>43179</v>
      </c>
      <c r="F516" s="55" t="s">
        <v>344</v>
      </c>
      <c r="G516" s="55" t="s">
        <v>360</v>
      </c>
      <c r="H516" s="55" t="s">
        <v>360</v>
      </c>
      <c r="I516" s="55" t="s">
        <v>360</v>
      </c>
      <c r="J516" s="55" t="s">
        <v>360</v>
      </c>
      <c r="K516" s="55" t="s">
        <v>360</v>
      </c>
      <c r="L516" s="55" t="s">
        <v>360</v>
      </c>
      <c r="M516" s="55" t="s">
        <v>142</v>
      </c>
      <c r="N516" s="55" t="s">
        <v>142</v>
      </c>
      <c r="O516" s="55" t="s">
        <v>141</v>
      </c>
      <c r="P516" s="55" t="s">
        <v>774</v>
      </c>
      <c r="Q516" s="55" t="s">
        <v>362</v>
      </c>
      <c r="R516" s="55">
        <v>3</v>
      </c>
      <c r="S516" s="74" t="s">
        <v>332</v>
      </c>
      <c r="T516" s="55" t="s">
        <v>1227</v>
      </c>
      <c r="U516" s="73" t="s">
        <v>351</v>
      </c>
      <c r="V516" s="74">
        <v>44299</v>
      </c>
      <c r="W516" s="74">
        <v>44329</v>
      </c>
      <c r="X516" s="55">
        <v>10185445</v>
      </c>
      <c r="Y516" s="74" t="s">
        <v>130</v>
      </c>
      <c r="Z516" s="74"/>
      <c r="AB516" s="55" t="s">
        <v>130</v>
      </c>
      <c r="AC516" s="55" t="s">
        <v>130</v>
      </c>
    </row>
    <row r="517" spans="1:29" ht="13" x14ac:dyDescent="0.15">
      <c r="A517" s="72" t="str">
        <f t="shared" si="7"/>
        <v>Ofsted Social Care Provider Webpage</v>
      </c>
      <c r="B517" s="55">
        <v>1273591</v>
      </c>
      <c r="D517" s="55" t="s">
        <v>389</v>
      </c>
      <c r="E517" s="74">
        <v>43178</v>
      </c>
      <c r="F517" s="55" t="s">
        <v>344</v>
      </c>
      <c r="G517" s="55" t="s">
        <v>1232</v>
      </c>
      <c r="H517" s="55" t="s">
        <v>1229</v>
      </c>
      <c r="I517" s="55" t="s">
        <v>354</v>
      </c>
      <c r="J517" s="55" t="s">
        <v>141</v>
      </c>
      <c r="K517" s="55" t="s">
        <v>142</v>
      </c>
      <c r="L517" s="55" t="s">
        <v>1230</v>
      </c>
      <c r="M517" s="55" t="s">
        <v>142</v>
      </c>
      <c r="N517" s="55" t="s">
        <v>142</v>
      </c>
      <c r="O517" s="55" t="s">
        <v>141</v>
      </c>
      <c r="P517" s="55" t="s">
        <v>1231</v>
      </c>
      <c r="Q517" s="55" t="s">
        <v>362</v>
      </c>
      <c r="R517" s="55"/>
      <c r="S517" s="74"/>
      <c r="T517" s="55" t="s">
        <v>1227</v>
      </c>
      <c r="U517" s="73" t="s">
        <v>351</v>
      </c>
      <c r="V517" s="74">
        <v>44424</v>
      </c>
      <c r="W517" s="74">
        <v>44463</v>
      </c>
      <c r="X517" s="55">
        <v>10183274</v>
      </c>
      <c r="Y517" s="74" t="s">
        <v>132</v>
      </c>
      <c r="Z517" s="74"/>
      <c r="AB517" s="55" t="s">
        <v>132</v>
      </c>
      <c r="AC517" s="55" t="s">
        <v>130</v>
      </c>
    </row>
    <row r="518" spans="1:29" ht="13" x14ac:dyDescent="0.15">
      <c r="A518" s="72" t="str">
        <f t="shared" ref="A518:A581" si="8">HYPERLINK(_xlfn.CONCAT("http://reports.ofsted.gov.uk/inspection-reports/find-inspection-report/provider/CARE/",B518),"Ofsted Social Care Provider Webpage")</f>
        <v>Ofsted Social Care Provider Webpage</v>
      </c>
      <c r="B518" s="55">
        <v>1273658</v>
      </c>
      <c r="D518" s="55" t="s">
        <v>373</v>
      </c>
      <c r="E518" s="74">
        <v>43179</v>
      </c>
      <c r="F518" s="55" t="s">
        <v>344</v>
      </c>
      <c r="G518" s="55" t="s">
        <v>360</v>
      </c>
      <c r="H518" s="55" t="s">
        <v>360</v>
      </c>
      <c r="I518" s="55" t="s">
        <v>360</v>
      </c>
      <c r="J518" s="55" t="s">
        <v>360</v>
      </c>
      <c r="K518" s="55" t="s">
        <v>360</v>
      </c>
      <c r="L518" s="55" t="s">
        <v>360</v>
      </c>
      <c r="M518" s="55" t="s">
        <v>142</v>
      </c>
      <c r="N518" s="55" t="s">
        <v>142</v>
      </c>
      <c r="O518" s="55" t="s">
        <v>141</v>
      </c>
      <c r="P518" s="55" t="s">
        <v>774</v>
      </c>
      <c r="Q518" s="55" t="s">
        <v>362</v>
      </c>
      <c r="R518" s="55">
        <v>16</v>
      </c>
      <c r="S518" s="74"/>
      <c r="T518" s="55" t="s">
        <v>1227</v>
      </c>
      <c r="U518" s="73" t="s">
        <v>351</v>
      </c>
      <c r="V518" s="74">
        <v>44467</v>
      </c>
      <c r="W518" s="74">
        <v>44510</v>
      </c>
      <c r="X518" s="55">
        <v>10185645</v>
      </c>
      <c r="Y518" s="74" t="s">
        <v>132</v>
      </c>
      <c r="Z518" s="74"/>
      <c r="AB518" s="55" t="s">
        <v>132</v>
      </c>
      <c r="AC518" s="55" t="s">
        <v>130</v>
      </c>
    </row>
    <row r="519" spans="1:29" ht="13" x14ac:dyDescent="0.15">
      <c r="A519" s="72" t="str">
        <f t="shared" si="8"/>
        <v>Ofsted Social Care Provider Webpage</v>
      </c>
      <c r="B519" s="55">
        <v>1273663</v>
      </c>
      <c r="D519" s="55" t="s">
        <v>373</v>
      </c>
      <c r="E519" s="74">
        <v>43179</v>
      </c>
      <c r="F519" s="55" t="s">
        <v>344</v>
      </c>
      <c r="G519" s="55" t="s">
        <v>360</v>
      </c>
      <c r="H519" s="55" t="s">
        <v>360</v>
      </c>
      <c r="I519" s="55" t="s">
        <v>360</v>
      </c>
      <c r="J519" s="55" t="s">
        <v>360</v>
      </c>
      <c r="K519" s="55" t="s">
        <v>360</v>
      </c>
      <c r="L519" s="55" t="s">
        <v>360</v>
      </c>
      <c r="M519" s="55" t="s">
        <v>142</v>
      </c>
      <c r="N519" s="55" t="s">
        <v>142</v>
      </c>
      <c r="O519" s="55" t="s">
        <v>141</v>
      </c>
      <c r="P519" s="55" t="s">
        <v>1231</v>
      </c>
      <c r="Q519" s="55" t="s">
        <v>362</v>
      </c>
      <c r="R519" s="55">
        <v>12</v>
      </c>
      <c r="S519" s="74"/>
      <c r="T519" s="55" t="s">
        <v>1227</v>
      </c>
      <c r="U519" s="73" t="s">
        <v>351</v>
      </c>
      <c r="V519" s="74">
        <v>44356</v>
      </c>
      <c r="W519" s="74">
        <v>44411</v>
      </c>
      <c r="X519" s="55">
        <v>10185398</v>
      </c>
      <c r="Y519" s="74" t="s">
        <v>130</v>
      </c>
      <c r="Z519" s="74"/>
      <c r="AB519" s="55" t="s">
        <v>130</v>
      </c>
      <c r="AC519" s="55" t="s">
        <v>130</v>
      </c>
    </row>
    <row r="520" spans="1:29" ht="13" x14ac:dyDescent="0.15">
      <c r="A520" s="72" t="str">
        <f t="shared" si="8"/>
        <v>Ofsted Social Care Provider Webpage</v>
      </c>
      <c r="B520" s="55">
        <v>1273719</v>
      </c>
      <c r="D520" s="55" t="s">
        <v>373</v>
      </c>
      <c r="E520" s="74">
        <v>43255</v>
      </c>
      <c r="F520" s="55" t="s">
        <v>344</v>
      </c>
      <c r="G520" s="55" t="s">
        <v>360</v>
      </c>
      <c r="H520" s="55" t="s">
        <v>360</v>
      </c>
      <c r="I520" s="55" t="s">
        <v>360</v>
      </c>
      <c r="J520" s="55" t="s">
        <v>360</v>
      </c>
      <c r="K520" s="55" t="s">
        <v>360</v>
      </c>
      <c r="L520" s="55" t="s">
        <v>360</v>
      </c>
      <c r="M520" s="55" t="s">
        <v>129</v>
      </c>
      <c r="N520" s="55" t="s">
        <v>129</v>
      </c>
      <c r="O520" s="55" t="s">
        <v>167</v>
      </c>
      <c r="P520" s="55" t="s">
        <v>866</v>
      </c>
      <c r="Q520" s="55" t="s">
        <v>350</v>
      </c>
      <c r="R520" s="55">
        <v>3</v>
      </c>
      <c r="S520" s="74"/>
      <c r="T520" s="55" t="s">
        <v>1233</v>
      </c>
      <c r="U520" s="73" t="s">
        <v>351</v>
      </c>
      <c r="V520" s="74">
        <v>44501</v>
      </c>
      <c r="W520" s="74">
        <v>44547</v>
      </c>
      <c r="X520" s="55">
        <v>10185535</v>
      </c>
      <c r="Y520" s="74" t="s">
        <v>140</v>
      </c>
      <c r="Z520" s="74"/>
      <c r="AB520" s="55" t="s">
        <v>132</v>
      </c>
      <c r="AC520" s="55" t="s">
        <v>140</v>
      </c>
    </row>
    <row r="521" spans="1:29" ht="13" x14ac:dyDescent="0.15">
      <c r="A521" s="72" t="str">
        <f t="shared" si="8"/>
        <v>Ofsted Social Care Provider Webpage</v>
      </c>
      <c r="B521" s="55">
        <v>1273769</v>
      </c>
      <c r="D521" s="55" t="s">
        <v>373</v>
      </c>
      <c r="E521" s="74">
        <v>43424</v>
      </c>
      <c r="F521" s="55" t="s">
        <v>344</v>
      </c>
      <c r="G521" s="55" t="s">
        <v>360</v>
      </c>
      <c r="H521" s="55" t="s">
        <v>360</v>
      </c>
      <c r="I521" s="55" t="s">
        <v>360</v>
      </c>
      <c r="J521" s="55" t="s">
        <v>360</v>
      </c>
      <c r="K521" s="55" t="s">
        <v>360</v>
      </c>
      <c r="L521" s="55" t="s">
        <v>360</v>
      </c>
      <c r="M521" s="55" t="s">
        <v>142</v>
      </c>
      <c r="N521" s="55" t="s">
        <v>142</v>
      </c>
      <c r="O521" s="55" t="s">
        <v>292</v>
      </c>
      <c r="P521" s="55" t="s">
        <v>1162</v>
      </c>
      <c r="Q521" s="55" t="s">
        <v>350</v>
      </c>
      <c r="R521" s="55">
        <v>3</v>
      </c>
      <c r="S521" s="74"/>
      <c r="T521" s="55" t="s">
        <v>1234</v>
      </c>
      <c r="U521" s="73" t="s">
        <v>351</v>
      </c>
      <c r="V521" s="74">
        <v>44314</v>
      </c>
      <c r="W521" s="74">
        <v>44365</v>
      </c>
      <c r="X521" s="55">
        <v>10186545</v>
      </c>
      <c r="Y521" s="74" t="s">
        <v>130</v>
      </c>
      <c r="Z521" s="74"/>
      <c r="AB521" s="55" t="s">
        <v>130</v>
      </c>
      <c r="AC521" s="55" t="s">
        <v>130</v>
      </c>
    </row>
    <row r="522" spans="1:29" ht="13" x14ac:dyDescent="0.15">
      <c r="A522" s="72" t="str">
        <f t="shared" si="8"/>
        <v>Ofsted Social Care Provider Webpage</v>
      </c>
      <c r="B522" s="55">
        <v>1274089</v>
      </c>
      <c r="D522" s="55" t="s">
        <v>373</v>
      </c>
      <c r="E522" s="74">
        <v>43224</v>
      </c>
      <c r="F522" s="55" t="s">
        <v>344</v>
      </c>
      <c r="G522" s="55" t="s">
        <v>360</v>
      </c>
      <c r="H522" s="55" t="s">
        <v>360</v>
      </c>
      <c r="I522" s="55" t="s">
        <v>360</v>
      </c>
      <c r="J522" s="55" t="s">
        <v>360</v>
      </c>
      <c r="K522" s="55" t="s">
        <v>360</v>
      </c>
      <c r="L522" s="55" t="s">
        <v>360</v>
      </c>
      <c r="M522" s="55" t="s">
        <v>144</v>
      </c>
      <c r="N522" s="55" t="s">
        <v>144</v>
      </c>
      <c r="O522" s="55" t="s">
        <v>209</v>
      </c>
      <c r="P522" s="55" t="s">
        <v>777</v>
      </c>
      <c r="Q522" s="55" t="s">
        <v>350</v>
      </c>
      <c r="R522" s="55">
        <v>4</v>
      </c>
      <c r="S522" s="74"/>
      <c r="T522" s="55" t="s">
        <v>475</v>
      </c>
      <c r="U522" s="73" t="s">
        <v>351</v>
      </c>
      <c r="V522" s="74">
        <v>43837</v>
      </c>
      <c r="W522" s="74">
        <v>43861</v>
      </c>
      <c r="X522" s="55">
        <v>10098011</v>
      </c>
      <c r="Y522" s="74" t="s">
        <v>140</v>
      </c>
      <c r="Z522" s="74"/>
      <c r="AB522" s="55" t="s">
        <v>140</v>
      </c>
      <c r="AC522" s="55" t="s">
        <v>132</v>
      </c>
    </row>
    <row r="523" spans="1:29" ht="13" x14ac:dyDescent="0.15">
      <c r="A523" s="72" t="str">
        <f t="shared" si="8"/>
        <v>Ofsted Social Care Provider Webpage</v>
      </c>
      <c r="B523" s="55">
        <v>1274093</v>
      </c>
      <c r="D523" s="55" t="s">
        <v>373</v>
      </c>
      <c r="E523" s="74">
        <v>43258</v>
      </c>
      <c r="F523" s="55" t="s">
        <v>344</v>
      </c>
      <c r="G523" s="55" t="s">
        <v>360</v>
      </c>
      <c r="H523" s="55" t="s">
        <v>360</v>
      </c>
      <c r="I523" s="55" t="s">
        <v>360</v>
      </c>
      <c r="J523" s="55" t="s">
        <v>360</v>
      </c>
      <c r="K523" s="55" t="s">
        <v>360</v>
      </c>
      <c r="L523" s="55" t="s">
        <v>360</v>
      </c>
      <c r="M523" s="55" t="s">
        <v>172</v>
      </c>
      <c r="N523" s="55" t="s">
        <v>172</v>
      </c>
      <c r="O523" s="55" t="s">
        <v>228</v>
      </c>
      <c r="P523" s="55" t="s">
        <v>991</v>
      </c>
      <c r="Q523" s="55" t="s">
        <v>350</v>
      </c>
      <c r="R523" s="55">
        <v>5</v>
      </c>
      <c r="S523" s="74"/>
      <c r="T523" s="55" t="s">
        <v>962</v>
      </c>
      <c r="U523" s="73" t="s">
        <v>351</v>
      </c>
      <c r="V523" s="74">
        <v>44516</v>
      </c>
      <c r="W523" s="74">
        <v>44559</v>
      </c>
      <c r="X523" s="55">
        <v>10186373</v>
      </c>
      <c r="Y523" s="74" t="s">
        <v>132</v>
      </c>
      <c r="Z523" s="74"/>
      <c r="AB523" s="55" t="s">
        <v>132</v>
      </c>
      <c r="AC523" s="55" t="s">
        <v>132</v>
      </c>
    </row>
    <row r="524" spans="1:29" ht="13" x14ac:dyDescent="0.15">
      <c r="A524" s="72" t="str">
        <f t="shared" si="8"/>
        <v>Ofsted Social Care Provider Webpage</v>
      </c>
      <c r="B524" s="55">
        <v>1274341</v>
      </c>
      <c r="D524" s="55" t="s">
        <v>373</v>
      </c>
      <c r="E524" s="74">
        <v>43213</v>
      </c>
      <c r="F524" s="55" t="s">
        <v>344</v>
      </c>
      <c r="G524" s="55" t="s">
        <v>360</v>
      </c>
      <c r="H524" s="55" t="s">
        <v>360</v>
      </c>
      <c r="I524" s="55" t="s">
        <v>360</v>
      </c>
      <c r="J524" s="55" t="s">
        <v>360</v>
      </c>
      <c r="K524" s="55" t="s">
        <v>360</v>
      </c>
      <c r="L524" s="55" t="s">
        <v>360</v>
      </c>
      <c r="M524" s="55" t="s">
        <v>136</v>
      </c>
      <c r="N524" s="55" t="s">
        <v>136</v>
      </c>
      <c r="O524" s="55" t="s">
        <v>288</v>
      </c>
      <c r="P524" s="55" t="s">
        <v>1235</v>
      </c>
      <c r="Q524" s="55" t="s">
        <v>350</v>
      </c>
      <c r="R524" s="55">
        <v>3</v>
      </c>
      <c r="S524" s="74"/>
      <c r="T524" s="55" t="s">
        <v>1236</v>
      </c>
      <c r="U524" s="73" t="s">
        <v>351</v>
      </c>
      <c r="V524" s="74">
        <v>44336</v>
      </c>
      <c r="W524" s="74">
        <v>44375</v>
      </c>
      <c r="X524" s="55">
        <v>10187077</v>
      </c>
      <c r="Y524" s="74" t="s">
        <v>130</v>
      </c>
      <c r="Z524" s="74"/>
      <c r="AB524" s="55" t="s">
        <v>130</v>
      </c>
      <c r="AC524" s="55" t="s">
        <v>130</v>
      </c>
    </row>
    <row r="525" spans="1:29" ht="13" x14ac:dyDescent="0.15">
      <c r="A525" s="72" t="str">
        <f t="shared" si="8"/>
        <v>Ofsted Social Care Provider Webpage</v>
      </c>
      <c r="B525" s="55">
        <v>1274670</v>
      </c>
      <c r="D525" s="55" t="s">
        <v>373</v>
      </c>
      <c r="E525" s="74">
        <v>43215</v>
      </c>
      <c r="F525" s="55" t="s">
        <v>344</v>
      </c>
      <c r="G525" s="55" t="s">
        <v>360</v>
      </c>
      <c r="H525" s="55" t="s">
        <v>360</v>
      </c>
      <c r="I525" s="55" t="s">
        <v>360</v>
      </c>
      <c r="J525" s="55" t="s">
        <v>360</v>
      </c>
      <c r="K525" s="55" t="s">
        <v>360</v>
      </c>
      <c r="L525" s="55" t="s">
        <v>360</v>
      </c>
      <c r="M525" s="55" t="s">
        <v>142</v>
      </c>
      <c r="N525" s="55" t="s">
        <v>142</v>
      </c>
      <c r="O525" s="55" t="s">
        <v>262</v>
      </c>
      <c r="P525" s="55" t="s">
        <v>523</v>
      </c>
      <c r="Q525" s="55" t="s">
        <v>350</v>
      </c>
      <c r="R525" s="55">
        <v>2</v>
      </c>
      <c r="S525" s="74"/>
      <c r="T525" s="55" t="s">
        <v>517</v>
      </c>
      <c r="U525" s="73" t="s">
        <v>351</v>
      </c>
      <c r="V525" s="74">
        <v>44488</v>
      </c>
      <c r="W525" s="74">
        <v>44533</v>
      </c>
      <c r="X525" s="55">
        <v>10187345</v>
      </c>
      <c r="Y525" s="74" t="s">
        <v>130</v>
      </c>
      <c r="Z525" s="74"/>
      <c r="AB525" s="55" t="s">
        <v>130</v>
      </c>
      <c r="AC525" s="55" t="s">
        <v>130</v>
      </c>
    </row>
    <row r="526" spans="1:29" ht="13" x14ac:dyDescent="0.15">
      <c r="A526" s="72" t="str">
        <f t="shared" si="8"/>
        <v>Ofsted Social Care Provider Webpage</v>
      </c>
      <c r="B526" s="55">
        <v>1274672</v>
      </c>
      <c r="D526" s="55" t="s">
        <v>373</v>
      </c>
      <c r="E526" s="74">
        <v>43444</v>
      </c>
      <c r="F526" s="55" t="s">
        <v>344</v>
      </c>
      <c r="G526" s="55" t="s">
        <v>360</v>
      </c>
      <c r="H526" s="55" t="s">
        <v>360</v>
      </c>
      <c r="I526" s="55" t="s">
        <v>360</v>
      </c>
      <c r="J526" s="55" t="s">
        <v>360</v>
      </c>
      <c r="K526" s="55" t="s">
        <v>360</v>
      </c>
      <c r="L526" s="55" t="s">
        <v>360</v>
      </c>
      <c r="M526" s="55" t="s">
        <v>378</v>
      </c>
      <c r="N526" s="55" t="s">
        <v>134</v>
      </c>
      <c r="O526" s="55" t="s">
        <v>206</v>
      </c>
      <c r="P526" s="55" t="s">
        <v>760</v>
      </c>
      <c r="Q526" s="55" t="s">
        <v>350</v>
      </c>
      <c r="R526" s="55">
        <v>2</v>
      </c>
      <c r="S526" s="74"/>
      <c r="T526" s="55" t="s">
        <v>1237</v>
      </c>
      <c r="U526" s="73" t="s">
        <v>351</v>
      </c>
      <c r="V526" s="74">
        <v>44468</v>
      </c>
      <c r="W526" s="74">
        <v>44508</v>
      </c>
      <c r="X526" s="55">
        <v>10185954</v>
      </c>
      <c r="Y526" s="74" t="s">
        <v>132</v>
      </c>
      <c r="Z526" s="74"/>
      <c r="AB526" s="55" t="s">
        <v>132</v>
      </c>
      <c r="AC526" s="55" t="s">
        <v>132</v>
      </c>
    </row>
    <row r="527" spans="1:29" ht="13" x14ac:dyDescent="0.15">
      <c r="A527" s="72" t="str">
        <f t="shared" si="8"/>
        <v>Ofsted Social Care Provider Webpage</v>
      </c>
      <c r="B527" s="55">
        <v>1274720</v>
      </c>
      <c r="D527" s="55" t="s">
        <v>451</v>
      </c>
      <c r="E527" s="74">
        <v>43329</v>
      </c>
      <c r="F527" s="55" t="s">
        <v>344</v>
      </c>
      <c r="G527" s="55" t="s">
        <v>1238</v>
      </c>
      <c r="H527" s="55" t="s">
        <v>1239</v>
      </c>
      <c r="I527" s="55" t="s">
        <v>354</v>
      </c>
      <c r="J527" s="55" t="s">
        <v>710</v>
      </c>
      <c r="K527" s="55" t="s">
        <v>1240</v>
      </c>
      <c r="L527" s="55" t="s">
        <v>1241</v>
      </c>
      <c r="M527" s="55" t="s">
        <v>378</v>
      </c>
      <c r="N527" s="55" t="s">
        <v>134</v>
      </c>
      <c r="O527" s="55" t="s">
        <v>206</v>
      </c>
      <c r="P527" s="55" t="s">
        <v>710</v>
      </c>
      <c r="Q527" s="55" t="s">
        <v>350</v>
      </c>
      <c r="R527" s="55">
        <v>3</v>
      </c>
      <c r="S527" s="74"/>
      <c r="T527" s="55" t="s">
        <v>1238</v>
      </c>
      <c r="U527" s="73" t="s">
        <v>351</v>
      </c>
      <c r="V527" s="74">
        <v>43635</v>
      </c>
      <c r="W527" s="74">
        <v>43655</v>
      </c>
      <c r="X527" s="55">
        <v>10094965</v>
      </c>
      <c r="Y527" s="74" t="s">
        <v>132</v>
      </c>
      <c r="Z527" s="74"/>
      <c r="AB527" s="55" t="s">
        <v>132</v>
      </c>
      <c r="AC527" s="55" t="s">
        <v>130</v>
      </c>
    </row>
    <row r="528" spans="1:29" ht="13" x14ac:dyDescent="0.15">
      <c r="A528" s="72" t="str">
        <f t="shared" si="8"/>
        <v>Ofsted Social Care Provider Webpage</v>
      </c>
      <c r="B528" s="55">
        <v>1274769</v>
      </c>
      <c r="C528" s="55">
        <v>130645</v>
      </c>
      <c r="D528" s="55" t="s">
        <v>693</v>
      </c>
      <c r="E528" s="74">
        <v>43374</v>
      </c>
      <c r="F528" s="55" t="s">
        <v>344</v>
      </c>
      <c r="G528" s="55" t="s">
        <v>1242</v>
      </c>
      <c r="H528" s="55" t="s">
        <v>1242</v>
      </c>
      <c r="I528" s="55" t="s">
        <v>1243</v>
      </c>
      <c r="J528" s="55" t="s">
        <v>570</v>
      </c>
      <c r="K528" s="55" t="s">
        <v>174</v>
      </c>
      <c r="L528" s="55" t="s">
        <v>1244</v>
      </c>
      <c r="M528" s="55" t="s">
        <v>136</v>
      </c>
      <c r="N528" s="55" t="s">
        <v>136</v>
      </c>
      <c r="O528" s="55" t="s">
        <v>174</v>
      </c>
      <c r="P528" s="55" t="s">
        <v>570</v>
      </c>
      <c r="Q528" s="55" t="s">
        <v>350</v>
      </c>
      <c r="R528" s="55">
        <v>22</v>
      </c>
      <c r="S528" s="74"/>
      <c r="U528" s="73" t="s">
        <v>351</v>
      </c>
      <c r="V528" s="74">
        <v>43382</v>
      </c>
      <c r="W528" s="74">
        <v>43402</v>
      </c>
      <c r="X528" s="55">
        <v>10053797</v>
      </c>
      <c r="Y528" s="74" t="s">
        <v>132</v>
      </c>
      <c r="Z528" s="74"/>
      <c r="AB528" s="55" t="s">
        <v>132</v>
      </c>
      <c r="AC528" s="55" t="s">
        <v>132</v>
      </c>
    </row>
    <row r="529" spans="1:29" ht="13" x14ac:dyDescent="0.15">
      <c r="A529" s="72" t="str">
        <f t="shared" si="8"/>
        <v>Ofsted Social Care Provider Webpage</v>
      </c>
      <c r="B529" s="55">
        <v>1274846</v>
      </c>
      <c r="D529" s="55" t="s">
        <v>373</v>
      </c>
      <c r="E529" s="74">
        <v>43279</v>
      </c>
      <c r="F529" s="55" t="s">
        <v>344</v>
      </c>
      <c r="G529" s="55" t="s">
        <v>360</v>
      </c>
      <c r="H529" s="55" t="s">
        <v>360</v>
      </c>
      <c r="I529" s="55" t="s">
        <v>360</v>
      </c>
      <c r="J529" s="55" t="s">
        <v>360</v>
      </c>
      <c r="K529" s="55" t="s">
        <v>360</v>
      </c>
      <c r="L529" s="55" t="s">
        <v>360</v>
      </c>
      <c r="M529" s="55" t="s">
        <v>138</v>
      </c>
      <c r="N529" s="55" t="s">
        <v>138</v>
      </c>
      <c r="O529" s="55" t="s">
        <v>159</v>
      </c>
      <c r="P529" s="55" t="s">
        <v>1025</v>
      </c>
      <c r="Q529" s="55" t="s">
        <v>350</v>
      </c>
      <c r="R529" s="55">
        <v>6</v>
      </c>
      <c r="S529" s="74"/>
      <c r="T529" s="55" t="s">
        <v>1039</v>
      </c>
      <c r="U529" s="73" t="s">
        <v>351</v>
      </c>
      <c r="V529" s="74">
        <v>44431</v>
      </c>
      <c r="W529" s="74">
        <v>44461</v>
      </c>
      <c r="X529" s="55">
        <v>10186105</v>
      </c>
      <c r="Y529" s="74" t="s">
        <v>130</v>
      </c>
      <c r="Z529" s="74"/>
      <c r="AB529" s="55" t="s">
        <v>130</v>
      </c>
      <c r="AC529" s="55" t="s">
        <v>130</v>
      </c>
    </row>
    <row r="530" spans="1:29" ht="13" x14ac:dyDescent="0.15">
      <c r="A530" s="72" t="str">
        <f t="shared" si="8"/>
        <v>Ofsted Social Care Provider Webpage</v>
      </c>
      <c r="B530" s="55">
        <v>1274892</v>
      </c>
      <c r="D530" s="55" t="s">
        <v>389</v>
      </c>
      <c r="E530" s="74">
        <v>43301</v>
      </c>
      <c r="F530" s="55" t="s">
        <v>344</v>
      </c>
      <c r="G530" s="55" t="s">
        <v>1245</v>
      </c>
      <c r="H530" s="55" t="s">
        <v>1246</v>
      </c>
      <c r="I530" s="55" t="s">
        <v>354</v>
      </c>
      <c r="J530" s="55" t="s">
        <v>1247</v>
      </c>
      <c r="L530" s="55" t="s">
        <v>1248</v>
      </c>
      <c r="M530" s="55" t="s">
        <v>378</v>
      </c>
      <c r="N530" s="55" t="s">
        <v>134</v>
      </c>
      <c r="O530" s="55" t="s">
        <v>180</v>
      </c>
      <c r="P530" s="55" t="s">
        <v>1249</v>
      </c>
      <c r="Q530" s="55" t="s">
        <v>350</v>
      </c>
      <c r="R530" s="55"/>
      <c r="S530" s="74"/>
      <c r="T530" s="55" t="s">
        <v>1245</v>
      </c>
      <c r="U530" s="73" t="s">
        <v>351</v>
      </c>
      <c r="V530" s="74">
        <v>43787</v>
      </c>
      <c r="W530" s="74">
        <v>43810</v>
      </c>
      <c r="X530" s="55">
        <v>10093284</v>
      </c>
      <c r="Y530" s="74" t="s">
        <v>132</v>
      </c>
      <c r="Z530" s="74"/>
      <c r="AB530" s="55" t="s">
        <v>132</v>
      </c>
      <c r="AC530" s="55" t="s">
        <v>132</v>
      </c>
    </row>
    <row r="531" spans="1:29" ht="13" x14ac:dyDescent="0.15">
      <c r="A531" s="72" t="str">
        <f t="shared" si="8"/>
        <v>Ofsted Social Care Provider Webpage</v>
      </c>
      <c r="B531" s="55">
        <v>1275188</v>
      </c>
      <c r="D531" s="55" t="s">
        <v>373</v>
      </c>
      <c r="E531" s="74">
        <v>43288</v>
      </c>
      <c r="F531" s="55" t="s">
        <v>344</v>
      </c>
      <c r="G531" s="55" t="s">
        <v>360</v>
      </c>
      <c r="H531" s="55" t="s">
        <v>360</v>
      </c>
      <c r="I531" s="55" t="s">
        <v>360</v>
      </c>
      <c r="J531" s="55" t="s">
        <v>360</v>
      </c>
      <c r="K531" s="55" t="s">
        <v>360</v>
      </c>
      <c r="L531" s="55" t="s">
        <v>360</v>
      </c>
      <c r="M531" s="55" t="s">
        <v>378</v>
      </c>
      <c r="N531" s="55" t="s">
        <v>134</v>
      </c>
      <c r="O531" s="55" t="s">
        <v>210</v>
      </c>
      <c r="P531" s="55" t="s">
        <v>1250</v>
      </c>
      <c r="Q531" s="55" t="s">
        <v>350</v>
      </c>
      <c r="R531" s="55">
        <v>1</v>
      </c>
      <c r="S531" s="74"/>
      <c r="T531" s="55" t="s">
        <v>1251</v>
      </c>
      <c r="U531" s="73" t="s">
        <v>351</v>
      </c>
      <c r="V531" s="74">
        <v>44544</v>
      </c>
      <c r="W531" s="74">
        <v>44592</v>
      </c>
      <c r="X531" s="55">
        <v>10187550</v>
      </c>
      <c r="Y531" s="74" t="s">
        <v>132</v>
      </c>
      <c r="Z531" s="74"/>
      <c r="AB531" s="55" t="s">
        <v>132</v>
      </c>
      <c r="AC531" s="55" t="s">
        <v>132</v>
      </c>
    </row>
    <row r="532" spans="1:29" ht="13" x14ac:dyDescent="0.15">
      <c r="A532" s="72" t="str">
        <f t="shared" si="8"/>
        <v>Ofsted Social Care Provider Webpage</v>
      </c>
      <c r="B532" s="55">
        <v>1275189</v>
      </c>
      <c r="D532" s="55" t="s">
        <v>373</v>
      </c>
      <c r="E532" s="74">
        <v>43288</v>
      </c>
      <c r="F532" s="55" t="s">
        <v>344</v>
      </c>
      <c r="G532" s="55" t="s">
        <v>360</v>
      </c>
      <c r="H532" s="55" t="s">
        <v>360</v>
      </c>
      <c r="I532" s="55" t="s">
        <v>360</v>
      </c>
      <c r="J532" s="55" t="s">
        <v>360</v>
      </c>
      <c r="K532" s="55" t="s">
        <v>360</v>
      </c>
      <c r="L532" s="55" t="s">
        <v>360</v>
      </c>
      <c r="M532" s="55" t="s">
        <v>378</v>
      </c>
      <c r="N532" s="55" t="s">
        <v>134</v>
      </c>
      <c r="O532" s="55" t="s">
        <v>210</v>
      </c>
      <c r="P532" s="55" t="s">
        <v>1250</v>
      </c>
      <c r="Q532" s="55" t="s">
        <v>350</v>
      </c>
      <c r="R532" s="55">
        <v>1</v>
      </c>
      <c r="S532" s="74"/>
      <c r="T532" s="55" t="s">
        <v>1251</v>
      </c>
      <c r="U532" s="73" t="s">
        <v>351</v>
      </c>
      <c r="V532" s="74">
        <v>44607</v>
      </c>
      <c r="W532" s="74">
        <v>44673</v>
      </c>
      <c r="X532" s="55">
        <v>10185661</v>
      </c>
      <c r="Y532" s="74" t="s">
        <v>132</v>
      </c>
      <c r="Z532" s="74"/>
      <c r="AB532" s="55" t="s">
        <v>132</v>
      </c>
      <c r="AC532" s="55" t="s">
        <v>132</v>
      </c>
    </row>
    <row r="533" spans="1:29" ht="13" x14ac:dyDescent="0.15">
      <c r="A533" s="72" t="str">
        <f t="shared" si="8"/>
        <v>Ofsted Social Care Provider Webpage</v>
      </c>
      <c r="B533" s="55">
        <v>1275228</v>
      </c>
      <c r="D533" s="55" t="s">
        <v>373</v>
      </c>
      <c r="E533" s="74">
        <v>43220</v>
      </c>
      <c r="F533" s="55" t="s">
        <v>344</v>
      </c>
      <c r="G533" s="55" t="s">
        <v>360</v>
      </c>
      <c r="H533" s="55" t="s">
        <v>360</v>
      </c>
      <c r="I533" s="55" t="s">
        <v>360</v>
      </c>
      <c r="J533" s="55" t="s">
        <v>360</v>
      </c>
      <c r="K533" s="55" t="s">
        <v>360</v>
      </c>
      <c r="L533" s="55" t="s">
        <v>360</v>
      </c>
      <c r="M533" s="55" t="s">
        <v>172</v>
      </c>
      <c r="N533" s="55" t="s">
        <v>172</v>
      </c>
      <c r="O533" s="55" t="s">
        <v>284</v>
      </c>
      <c r="P533" s="55" t="s">
        <v>357</v>
      </c>
      <c r="Q533" s="55" t="s">
        <v>350</v>
      </c>
      <c r="R533" s="55">
        <v>2</v>
      </c>
      <c r="S533" s="74"/>
      <c r="T533" s="55" t="s">
        <v>962</v>
      </c>
      <c r="U533" s="73" t="s">
        <v>351</v>
      </c>
      <c r="V533" s="74">
        <v>44579</v>
      </c>
      <c r="W533" s="74">
        <v>44614</v>
      </c>
      <c r="X533" s="55">
        <v>10185935</v>
      </c>
      <c r="Y533" s="74" t="s">
        <v>132</v>
      </c>
      <c r="Z533" s="74"/>
      <c r="AB533" s="55" t="s">
        <v>132</v>
      </c>
      <c r="AC533" s="55" t="s">
        <v>132</v>
      </c>
    </row>
    <row r="534" spans="1:29" ht="13" x14ac:dyDescent="0.15">
      <c r="A534" s="72" t="str">
        <f t="shared" si="8"/>
        <v>Ofsted Social Care Provider Webpage</v>
      </c>
      <c r="B534" s="55">
        <v>1275500</v>
      </c>
      <c r="D534" s="55" t="s">
        <v>373</v>
      </c>
      <c r="E534" s="74">
        <v>43347</v>
      </c>
      <c r="F534" s="55" t="s">
        <v>344</v>
      </c>
      <c r="G534" s="55" t="s">
        <v>360</v>
      </c>
      <c r="H534" s="55" t="s">
        <v>360</v>
      </c>
      <c r="I534" s="55" t="s">
        <v>360</v>
      </c>
      <c r="J534" s="55" t="s">
        <v>360</v>
      </c>
      <c r="K534" s="55" t="s">
        <v>360</v>
      </c>
      <c r="L534" s="55" t="s">
        <v>360</v>
      </c>
      <c r="M534" s="55" t="s">
        <v>150</v>
      </c>
      <c r="N534" s="55" t="s">
        <v>150</v>
      </c>
      <c r="O534" s="55" t="s">
        <v>181</v>
      </c>
      <c r="P534" s="55" t="s">
        <v>626</v>
      </c>
      <c r="Q534" s="55" t="s">
        <v>350</v>
      </c>
      <c r="R534" s="55">
        <v>2</v>
      </c>
      <c r="S534" s="74"/>
      <c r="T534" s="55" t="s">
        <v>1209</v>
      </c>
      <c r="U534" s="73" t="s">
        <v>351</v>
      </c>
      <c r="V534" s="74">
        <v>44587</v>
      </c>
      <c r="W534" s="74">
        <v>44624</v>
      </c>
      <c r="X534" s="55">
        <v>10187175</v>
      </c>
      <c r="Y534" s="74" t="s">
        <v>140</v>
      </c>
      <c r="Z534" s="74"/>
      <c r="AB534" s="55" t="s">
        <v>140</v>
      </c>
      <c r="AC534" s="55" t="s">
        <v>140</v>
      </c>
    </row>
    <row r="535" spans="1:29" ht="13" x14ac:dyDescent="0.15">
      <c r="A535" s="72" t="str">
        <f t="shared" si="8"/>
        <v>Ofsted Social Care Provider Webpage</v>
      </c>
      <c r="B535" s="55">
        <v>1275569</v>
      </c>
      <c r="D535" s="55" t="s">
        <v>479</v>
      </c>
      <c r="E535" s="74">
        <v>43269</v>
      </c>
      <c r="F535" s="55" t="s">
        <v>344</v>
      </c>
      <c r="G535" s="55" t="s">
        <v>360</v>
      </c>
      <c r="H535" s="55" t="s">
        <v>360</v>
      </c>
      <c r="I535" s="55" t="s">
        <v>360</v>
      </c>
      <c r="J535" s="55" t="s">
        <v>360</v>
      </c>
      <c r="K535" s="55" t="s">
        <v>360</v>
      </c>
      <c r="L535" s="55" t="s">
        <v>360</v>
      </c>
      <c r="M535" s="55" t="s">
        <v>150</v>
      </c>
      <c r="N535" s="55" t="s">
        <v>150</v>
      </c>
      <c r="O535" s="55" t="s">
        <v>237</v>
      </c>
      <c r="P535" s="55" t="s">
        <v>869</v>
      </c>
      <c r="Q535" s="55" t="s">
        <v>350</v>
      </c>
      <c r="R535" s="55">
        <v>31</v>
      </c>
      <c r="S535" s="74"/>
      <c r="T535" s="55" t="s">
        <v>1252</v>
      </c>
      <c r="U535" s="73" t="s">
        <v>351</v>
      </c>
      <c r="V535" s="74">
        <v>44307</v>
      </c>
      <c r="W535" s="74">
        <v>44351</v>
      </c>
      <c r="X535" s="55">
        <v>10187289</v>
      </c>
      <c r="Y535" s="74" t="s">
        <v>140</v>
      </c>
      <c r="Z535" s="74"/>
      <c r="AB535" s="55" t="s">
        <v>140</v>
      </c>
      <c r="AC535" s="55" t="s">
        <v>132</v>
      </c>
    </row>
    <row r="536" spans="1:29" ht="13" x14ac:dyDescent="0.15">
      <c r="A536" s="72" t="str">
        <f t="shared" si="8"/>
        <v>Ofsted Social Care Provider Webpage</v>
      </c>
      <c r="B536" s="55">
        <v>1275649</v>
      </c>
      <c r="D536" s="55" t="s">
        <v>373</v>
      </c>
      <c r="E536" s="74">
        <v>43237</v>
      </c>
      <c r="F536" s="55" t="s">
        <v>344</v>
      </c>
      <c r="G536" s="55" t="s">
        <v>360</v>
      </c>
      <c r="H536" s="55" t="s">
        <v>360</v>
      </c>
      <c r="I536" s="55" t="s">
        <v>360</v>
      </c>
      <c r="J536" s="55" t="s">
        <v>360</v>
      </c>
      <c r="K536" s="55" t="s">
        <v>360</v>
      </c>
      <c r="L536" s="55" t="s">
        <v>360</v>
      </c>
      <c r="M536" s="55" t="s">
        <v>144</v>
      </c>
      <c r="N536" s="55" t="s">
        <v>144</v>
      </c>
      <c r="O536" s="55" t="s">
        <v>168</v>
      </c>
      <c r="P536" s="55" t="s">
        <v>913</v>
      </c>
      <c r="Q536" s="55" t="s">
        <v>350</v>
      </c>
      <c r="R536" s="55">
        <v>6</v>
      </c>
      <c r="S536" s="74"/>
      <c r="T536" s="55" t="s">
        <v>1098</v>
      </c>
      <c r="U536" s="73" t="s">
        <v>351</v>
      </c>
      <c r="V536" s="74">
        <v>43649</v>
      </c>
      <c r="W536" s="74">
        <v>43670</v>
      </c>
      <c r="X536" s="55">
        <v>10098019</v>
      </c>
      <c r="Y536" s="74" t="s">
        <v>140</v>
      </c>
      <c r="Z536" s="74"/>
      <c r="AB536" s="55" t="s">
        <v>140</v>
      </c>
      <c r="AC536" s="55" t="s">
        <v>132</v>
      </c>
    </row>
    <row r="537" spans="1:29" ht="13" x14ac:dyDescent="0.15">
      <c r="A537" s="72" t="str">
        <f t="shared" si="8"/>
        <v>Ofsted Social Care Provider Webpage</v>
      </c>
      <c r="B537" s="55">
        <v>1275966</v>
      </c>
      <c r="D537" s="55" t="s">
        <v>373</v>
      </c>
      <c r="E537" s="74">
        <v>43301</v>
      </c>
      <c r="F537" s="55" t="s">
        <v>344</v>
      </c>
      <c r="G537" s="55" t="s">
        <v>360</v>
      </c>
      <c r="H537" s="55" t="s">
        <v>360</v>
      </c>
      <c r="I537" s="55" t="s">
        <v>360</v>
      </c>
      <c r="J537" s="55" t="s">
        <v>360</v>
      </c>
      <c r="K537" s="55" t="s">
        <v>360</v>
      </c>
      <c r="L537" s="55" t="s">
        <v>360</v>
      </c>
      <c r="M537" s="55" t="s">
        <v>142</v>
      </c>
      <c r="N537" s="55" t="s">
        <v>142</v>
      </c>
      <c r="O537" s="55" t="s">
        <v>262</v>
      </c>
      <c r="P537" s="55" t="s">
        <v>916</v>
      </c>
      <c r="Q537" s="55" t="s">
        <v>350</v>
      </c>
      <c r="R537" s="55">
        <v>6</v>
      </c>
      <c r="S537" s="74"/>
      <c r="T537" s="55" t="s">
        <v>1253</v>
      </c>
      <c r="U537" s="73" t="s">
        <v>351</v>
      </c>
      <c r="V537" s="74">
        <v>44355</v>
      </c>
      <c r="W537" s="74">
        <v>44386</v>
      </c>
      <c r="X537" s="55">
        <v>10185687</v>
      </c>
      <c r="Y537" s="74" t="s">
        <v>132</v>
      </c>
      <c r="Z537" s="74"/>
      <c r="AB537" s="55" t="s">
        <v>132</v>
      </c>
      <c r="AC537" s="55" t="s">
        <v>130</v>
      </c>
    </row>
    <row r="538" spans="1:29" ht="13" x14ac:dyDescent="0.15">
      <c r="A538" s="72" t="str">
        <f t="shared" si="8"/>
        <v>Ofsted Social Care Provider Webpage</v>
      </c>
      <c r="B538" s="55">
        <v>1276009</v>
      </c>
      <c r="D538" s="55" t="s">
        <v>451</v>
      </c>
      <c r="E538" s="74">
        <v>43299</v>
      </c>
      <c r="F538" s="55" t="s">
        <v>344</v>
      </c>
      <c r="G538" s="55" t="s">
        <v>1254</v>
      </c>
      <c r="H538" s="55" t="s">
        <v>1255</v>
      </c>
      <c r="I538" s="55" t="s">
        <v>354</v>
      </c>
      <c r="J538" s="55" t="s">
        <v>1256</v>
      </c>
      <c r="K538" s="55" t="s">
        <v>173</v>
      </c>
      <c r="L538" s="55" t="s">
        <v>1257</v>
      </c>
      <c r="M538" s="55" t="s">
        <v>172</v>
      </c>
      <c r="N538" s="55" t="s">
        <v>172</v>
      </c>
      <c r="O538" s="55" t="s">
        <v>173</v>
      </c>
      <c r="P538" s="55" t="s">
        <v>1258</v>
      </c>
      <c r="Q538" s="55" t="s">
        <v>350</v>
      </c>
      <c r="R538" s="55">
        <v>6</v>
      </c>
      <c r="S538" s="74"/>
      <c r="T538" s="55" t="s">
        <v>1259</v>
      </c>
      <c r="U538" s="73" t="s">
        <v>351</v>
      </c>
      <c r="V538" s="74">
        <v>43655</v>
      </c>
      <c r="W538" s="74">
        <v>43675</v>
      </c>
      <c r="X538" s="55">
        <v>10080871</v>
      </c>
      <c r="Y538" s="74" t="s">
        <v>132</v>
      </c>
      <c r="Z538" s="74"/>
      <c r="AB538" s="55" t="s">
        <v>132</v>
      </c>
      <c r="AC538" s="55" t="s">
        <v>132</v>
      </c>
    </row>
    <row r="539" spans="1:29" ht="13" x14ac:dyDescent="0.15">
      <c r="A539" s="72" t="str">
        <f t="shared" si="8"/>
        <v>Ofsted Social Care Provider Webpage</v>
      </c>
      <c r="B539" s="55">
        <v>1276010</v>
      </c>
      <c r="D539" s="55" t="s">
        <v>373</v>
      </c>
      <c r="E539" s="74">
        <v>43234</v>
      </c>
      <c r="F539" s="55" t="s">
        <v>344</v>
      </c>
      <c r="G539" s="55" t="s">
        <v>360</v>
      </c>
      <c r="H539" s="55" t="s">
        <v>360</v>
      </c>
      <c r="I539" s="55" t="s">
        <v>360</v>
      </c>
      <c r="J539" s="55" t="s">
        <v>360</v>
      </c>
      <c r="K539" s="55" t="s">
        <v>360</v>
      </c>
      <c r="L539" s="55" t="s">
        <v>360</v>
      </c>
      <c r="M539" s="55" t="s">
        <v>142</v>
      </c>
      <c r="N539" s="55" t="s">
        <v>142</v>
      </c>
      <c r="O539" s="55" t="s">
        <v>252</v>
      </c>
      <c r="P539" s="55" t="s">
        <v>388</v>
      </c>
      <c r="Q539" s="55" t="s">
        <v>350</v>
      </c>
      <c r="R539" s="55">
        <v>3</v>
      </c>
      <c r="S539" s="74"/>
      <c r="T539" s="55" t="s">
        <v>1260</v>
      </c>
      <c r="U539" s="73" t="s">
        <v>351</v>
      </c>
      <c r="V539" s="74">
        <v>44536</v>
      </c>
      <c r="W539" s="74">
        <v>44581</v>
      </c>
      <c r="X539" s="55">
        <v>10185364</v>
      </c>
      <c r="Y539" s="74" t="s">
        <v>132</v>
      </c>
      <c r="Z539" s="74"/>
      <c r="AB539" s="55" t="s">
        <v>132</v>
      </c>
      <c r="AC539" s="55" t="s">
        <v>130</v>
      </c>
    </row>
    <row r="540" spans="1:29" ht="13" x14ac:dyDescent="0.15">
      <c r="A540" s="72" t="str">
        <f t="shared" si="8"/>
        <v>Ofsted Social Care Provider Webpage</v>
      </c>
      <c r="B540" s="55">
        <v>1276111</v>
      </c>
      <c r="D540" s="55" t="s">
        <v>373</v>
      </c>
      <c r="E540" s="74">
        <v>43319</v>
      </c>
      <c r="F540" s="55" t="s">
        <v>344</v>
      </c>
      <c r="G540" s="55" t="s">
        <v>360</v>
      </c>
      <c r="H540" s="55" t="s">
        <v>360</v>
      </c>
      <c r="I540" s="55" t="s">
        <v>360</v>
      </c>
      <c r="J540" s="55" t="s">
        <v>360</v>
      </c>
      <c r="K540" s="55" t="s">
        <v>360</v>
      </c>
      <c r="L540" s="55" t="s">
        <v>360</v>
      </c>
      <c r="M540" s="55" t="s">
        <v>142</v>
      </c>
      <c r="N540" s="55" t="s">
        <v>142</v>
      </c>
      <c r="O540" s="55" t="s">
        <v>141</v>
      </c>
      <c r="P540" s="55" t="s">
        <v>774</v>
      </c>
      <c r="Q540" s="55" t="s">
        <v>350</v>
      </c>
      <c r="R540" s="55">
        <v>5</v>
      </c>
      <c r="S540" s="74"/>
      <c r="T540" s="55" t="s">
        <v>1261</v>
      </c>
      <c r="U540" s="73" t="s">
        <v>351</v>
      </c>
      <c r="V540" s="74">
        <v>44405</v>
      </c>
      <c r="W540" s="74">
        <v>44433</v>
      </c>
      <c r="X540" s="55">
        <v>10186516</v>
      </c>
      <c r="Y540" s="74" t="s">
        <v>132</v>
      </c>
      <c r="Z540" s="74"/>
      <c r="AB540" s="55" t="s">
        <v>132</v>
      </c>
      <c r="AC540" s="55" t="s">
        <v>132</v>
      </c>
    </row>
    <row r="541" spans="1:29" ht="13" x14ac:dyDescent="0.15">
      <c r="A541" s="72" t="str">
        <f t="shared" si="8"/>
        <v>Ofsted Social Care Provider Webpage</v>
      </c>
      <c r="B541" s="55">
        <v>1276216</v>
      </c>
      <c r="D541" s="55" t="s">
        <v>373</v>
      </c>
      <c r="E541" s="74">
        <v>43304</v>
      </c>
      <c r="F541" s="55" t="s">
        <v>344</v>
      </c>
      <c r="G541" s="55" t="s">
        <v>360</v>
      </c>
      <c r="H541" s="55" t="s">
        <v>360</v>
      </c>
      <c r="I541" s="55" t="s">
        <v>360</v>
      </c>
      <c r="J541" s="55" t="s">
        <v>360</v>
      </c>
      <c r="K541" s="55" t="s">
        <v>360</v>
      </c>
      <c r="L541" s="55" t="s">
        <v>360</v>
      </c>
      <c r="M541" s="55" t="s">
        <v>142</v>
      </c>
      <c r="N541" s="55" t="s">
        <v>142</v>
      </c>
      <c r="O541" s="55" t="s">
        <v>262</v>
      </c>
      <c r="P541" s="55" t="s">
        <v>916</v>
      </c>
      <c r="Q541" s="55" t="s">
        <v>350</v>
      </c>
      <c r="R541" s="55">
        <v>3</v>
      </c>
      <c r="S541" s="74"/>
      <c r="T541" s="55" t="s">
        <v>489</v>
      </c>
      <c r="U541" s="73" t="s">
        <v>351</v>
      </c>
      <c r="V541" s="74">
        <v>44508</v>
      </c>
      <c r="W541" s="74">
        <v>44540</v>
      </c>
      <c r="X541" s="55">
        <v>10185748</v>
      </c>
      <c r="Y541" s="74" t="s">
        <v>132</v>
      </c>
      <c r="Z541" s="74"/>
      <c r="AB541" s="55" t="s">
        <v>132</v>
      </c>
      <c r="AC541" s="55" t="s">
        <v>132</v>
      </c>
    </row>
    <row r="542" spans="1:29" ht="13" x14ac:dyDescent="0.15">
      <c r="A542" s="72" t="str">
        <f t="shared" si="8"/>
        <v>Ofsted Social Care Provider Webpage</v>
      </c>
      <c r="B542" s="55">
        <v>1276249</v>
      </c>
      <c r="D542" s="55" t="s">
        <v>373</v>
      </c>
      <c r="E542" s="74">
        <v>43249</v>
      </c>
      <c r="F542" s="55" t="s">
        <v>344</v>
      </c>
      <c r="G542" s="55" t="s">
        <v>360</v>
      </c>
      <c r="H542" s="55" t="s">
        <v>360</v>
      </c>
      <c r="I542" s="55" t="s">
        <v>360</v>
      </c>
      <c r="J542" s="55" t="s">
        <v>360</v>
      </c>
      <c r="K542" s="55" t="s">
        <v>360</v>
      </c>
      <c r="L542" s="55" t="s">
        <v>360</v>
      </c>
      <c r="M542" s="55" t="s">
        <v>172</v>
      </c>
      <c r="N542" s="55" t="s">
        <v>172</v>
      </c>
      <c r="O542" s="55" t="s">
        <v>212</v>
      </c>
      <c r="P542" s="55" t="s">
        <v>798</v>
      </c>
      <c r="Q542" s="55" t="s">
        <v>350</v>
      </c>
      <c r="R542" s="55">
        <v>3</v>
      </c>
      <c r="S542" s="74"/>
      <c r="T542" s="55" t="s">
        <v>517</v>
      </c>
      <c r="U542" s="73" t="s">
        <v>351</v>
      </c>
      <c r="V542" s="74">
        <v>44312</v>
      </c>
      <c r="W542" s="74">
        <v>44356</v>
      </c>
      <c r="X542" s="55">
        <v>10187203</v>
      </c>
      <c r="Y542" s="74" t="s">
        <v>130</v>
      </c>
      <c r="Z542" s="74"/>
      <c r="AB542" s="55" t="s">
        <v>130</v>
      </c>
      <c r="AC542" s="55" t="s">
        <v>130</v>
      </c>
    </row>
    <row r="543" spans="1:29" ht="13" x14ac:dyDescent="0.15">
      <c r="A543" s="72" t="str">
        <f t="shared" si="8"/>
        <v>Ofsted Social Care Provider Webpage</v>
      </c>
      <c r="B543" s="55">
        <v>1276421</v>
      </c>
      <c r="D543" s="55" t="s">
        <v>373</v>
      </c>
      <c r="E543" s="74">
        <v>43328</v>
      </c>
      <c r="F543" s="55" t="s">
        <v>344</v>
      </c>
      <c r="G543" s="55" t="s">
        <v>360</v>
      </c>
      <c r="H543" s="55" t="s">
        <v>360</v>
      </c>
      <c r="I543" s="55" t="s">
        <v>360</v>
      </c>
      <c r="J543" s="55" t="s">
        <v>360</v>
      </c>
      <c r="K543" s="55" t="s">
        <v>360</v>
      </c>
      <c r="L543" s="55" t="s">
        <v>360</v>
      </c>
      <c r="M543" s="55" t="s">
        <v>378</v>
      </c>
      <c r="N543" s="55" t="s">
        <v>170</v>
      </c>
      <c r="O543" s="55" t="s">
        <v>178</v>
      </c>
      <c r="P543" s="55" t="s">
        <v>952</v>
      </c>
      <c r="Q543" s="55" t="s">
        <v>350</v>
      </c>
      <c r="R543" s="55">
        <v>4</v>
      </c>
      <c r="S543" s="74"/>
      <c r="T543" s="55" t="s">
        <v>1262</v>
      </c>
      <c r="U543" s="73" t="s">
        <v>351</v>
      </c>
      <c r="V543" s="74">
        <v>44599</v>
      </c>
      <c r="W543" s="74">
        <v>44641</v>
      </c>
      <c r="X543" s="55">
        <v>10186542</v>
      </c>
      <c r="Y543" s="74" t="s">
        <v>132</v>
      </c>
      <c r="Z543" s="74"/>
      <c r="AB543" s="55" t="s">
        <v>132</v>
      </c>
      <c r="AC543" s="55" t="s">
        <v>132</v>
      </c>
    </row>
    <row r="544" spans="1:29" ht="13" x14ac:dyDescent="0.15">
      <c r="A544" s="72" t="str">
        <f t="shared" si="8"/>
        <v>Ofsted Social Care Provider Webpage</v>
      </c>
      <c r="B544" s="55">
        <v>1276442</v>
      </c>
      <c r="D544" s="55" t="s">
        <v>373</v>
      </c>
      <c r="E544" s="74">
        <v>43356</v>
      </c>
      <c r="F544" s="55" t="s">
        <v>344</v>
      </c>
      <c r="G544" s="55" t="s">
        <v>360</v>
      </c>
      <c r="H544" s="55" t="s">
        <v>360</v>
      </c>
      <c r="I544" s="55" t="s">
        <v>360</v>
      </c>
      <c r="J544" s="55" t="s">
        <v>360</v>
      </c>
      <c r="K544" s="55" t="s">
        <v>360</v>
      </c>
      <c r="L544" s="55" t="s">
        <v>360</v>
      </c>
      <c r="M544" s="55" t="s">
        <v>150</v>
      </c>
      <c r="N544" s="55" t="s">
        <v>150</v>
      </c>
      <c r="O544" s="55" t="s">
        <v>203</v>
      </c>
      <c r="P544" s="55" t="s">
        <v>1263</v>
      </c>
      <c r="Q544" s="55" t="s">
        <v>350</v>
      </c>
      <c r="R544" s="55">
        <v>3</v>
      </c>
      <c r="S544" s="74"/>
      <c r="T544" s="55" t="s">
        <v>489</v>
      </c>
      <c r="U544" s="73" t="s">
        <v>351</v>
      </c>
      <c r="V544" s="74">
        <v>44482</v>
      </c>
      <c r="W544" s="74">
        <v>44525</v>
      </c>
      <c r="X544" s="55">
        <v>10205000</v>
      </c>
      <c r="Y544" s="74" t="s">
        <v>132</v>
      </c>
      <c r="Z544" s="74"/>
      <c r="AB544" s="55" t="s">
        <v>132</v>
      </c>
      <c r="AC544" s="55" t="s">
        <v>132</v>
      </c>
    </row>
    <row r="545" spans="1:29" ht="13" x14ac:dyDescent="0.15">
      <c r="A545" s="72" t="str">
        <f t="shared" si="8"/>
        <v>Ofsted Social Care Provider Webpage</v>
      </c>
      <c r="B545" s="55">
        <v>1276600</v>
      </c>
      <c r="C545" s="55">
        <v>119027</v>
      </c>
      <c r="D545" s="55" t="s">
        <v>413</v>
      </c>
      <c r="E545" s="74">
        <v>43135</v>
      </c>
      <c r="F545" s="55" t="s">
        <v>344</v>
      </c>
      <c r="G545" s="55" t="s">
        <v>1264</v>
      </c>
      <c r="H545" s="55" t="s">
        <v>1265</v>
      </c>
      <c r="I545" s="55" t="s">
        <v>1266</v>
      </c>
      <c r="J545" s="55" t="s">
        <v>1038</v>
      </c>
      <c r="K545" s="55" t="s">
        <v>203</v>
      </c>
      <c r="L545" s="55" t="s">
        <v>1267</v>
      </c>
      <c r="M545" s="55" t="s">
        <v>150</v>
      </c>
      <c r="N545" s="55" t="s">
        <v>150</v>
      </c>
      <c r="O545" s="55" t="s">
        <v>203</v>
      </c>
      <c r="P545" s="55" t="s">
        <v>1268</v>
      </c>
      <c r="Q545" s="55" t="s">
        <v>362</v>
      </c>
      <c r="R545" s="55">
        <v>10</v>
      </c>
      <c r="S545" s="74"/>
      <c r="T545" s="55" t="s">
        <v>824</v>
      </c>
      <c r="U545" s="73" t="s">
        <v>351</v>
      </c>
      <c r="V545" s="74">
        <v>44615</v>
      </c>
      <c r="W545" s="74">
        <v>44679</v>
      </c>
      <c r="X545" s="55">
        <v>10183557</v>
      </c>
      <c r="Y545" s="74" t="s">
        <v>140</v>
      </c>
      <c r="Z545" s="74"/>
      <c r="AB545" s="55" t="s">
        <v>140</v>
      </c>
      <c r="AC545" s="55" t="s">
        <v>140</v>
      </c>
    </row>
    <row r="546" spans="1:29" ht="13" x14ac:dyDescent="0.15">
      <c r="A546" s="72" t="str">
        <f t="shared" si="8"/>
        <v>Ofsted Social Care Provider Webpage</v>
      </c>
      <c r="B546" s="55">
        <v>1276719</v>
      </c>
      <c r="D546" s="55" t="s">
        <v>373</v>
      </c>
      <c r="E546" s="74">
        <v>43236</v>
      </c>
      <c r="F546" s="55" t="s">
        <v>344</v>
      </c>
      <c r="G546" s="55" t="s">
        <v>360</v>
      </c>
      <c r="H546" s="55" t="s">
        <v>360</v>
      </c>
      <c r="I546" s="55" t="s">
        <v>360</v>
      </c>
      <c r="J546" s="55" t="s">
        <v>360</v>
      </c>
      <c r="K546" s="55" t="s">
        <v>360</v>
      </c>
      <c r="L546" s="55" t="s">
        <v>360</v>
      </c>
      <c r="M546" s="55" t="s">
        <v>136</v>
      </c>
      <c r="N546" s="55" t="s">
        <v>136</v>
      </c>
      <c r="O546" s="55" t="s">
        <v>165</v>
      </c>
      <c r="P546" s="55" t="s">
        <v>1269</v>
      </c>
      <c r="Q546" s="55" t="s">
        <v>350</v>
      </c>
      <c r="R546" s="55">
        <v>3</v>
      </c>
      <c r="S546" s="74"/>
      <c r="T546" s="55" t="s">
        <v>1270</v>
      </c>
      <c r="U546" s="73" t="s">
        <v>351</v>
      </c>
      <c r="V546" s="74">
        <v>44336</v>
      </c>
      <c r="W546" s="74">
        <v>44385</v>
      </c>
      <c r="X546" s="55">
        <v>10187419</v>
      </c>
      <c r="Y546" s="74" t="s">
        <v>132</v>
      </c>
      <c r="Z546" s="74"/>
      <c r="AB546" s="55" t="s">
        <v>132</v>
      </c>
      <c r="AC546" s="55" t="s">
        <v>132</v>
      </c>
    </row>
    <row r="547" spans="1:29" ht="13" x14ac:dyDescent="0.15">
      <c r="A547" s="72" t="str">
        <f t="shared" si="8"/>
        <v>Ofsted Social Care Provider Webpage</v>
      </c>
      <c r="B547" s="55">
        <v>1276911</v>
      </c>
      <c r="D547" s="55" t="s">
        <v>373</v>
      </c>
      <c r="E547" s="74">
        <v>43402</v>
      </c>
      <c r="F547" s="55" t="s">
        <v>344</v>
      </c>
      <c r="G547" s="55" t="s">
        <v>360</v>
      </c>
      <c r="H547" s="55" t="s">
        <v>360</v>
      </c>
      <c r="I547" s="55" t="s">
        <v>360</v>
      </c>
      <c r="J547" s="55" t="s">
        <v>360</v>
      </c>
      <c r="K547" s="55" t="s">
        <v>360</v>
      </c>
      <c r="L547" s="55" t="s">
        <v>360</v>
      </c>
      <c r="M547" s="55" t="s">
        <v>142</v>
      </c>
      <c r="N547" s="55" t="s">
        <v>142</v>
      </c>
      <c r="O547" s="55" t="s">
        <v>262</v>
      </c>
      <c r="P547" s="55" t="s">
        <v>850</v>
      </c>
      <c r="Q547" s="55" t="s">
        <v>350</v>
      </c>
      <c r="R547" s="55">
        <v>2</v>
      </c>
      <c r="S547" s="74"/>
      <c r="T547" s="55" t="s">
        <v>619</v>
      </c>
      <c r="U547" s="73" t="s">
        <v>351</v>
      </c>
      <c r="V547" s="74">
        <v>44326</v>
      </c>
      <c r="W547" s="74">
        <v>44361</v>
      </c>
      <c r="X547" s="55">
        <v>10186141</v>
      </c>
      <c r="Y547" s="74" t="s">
        <v>132</v>
      </c>
      <c r="Z547" s="74"/>
      <c r="AB547" s="55" t="s">
        <v>132</v>
      </c>
      <c r="AC547" s="55" t="s">
        <v>132</v>
      </c>
    </row>
    <row r="548" spans="1:29" ht="13" x14ac:dyDescent="0.15">
      <c r="A548" s="72" t="str">
        <f t="shared" si="8"/>
        <v>Ofsted Social Care Provider Webpage</v>
      </c>
      <c r="B548" s="55">
        <v>1277041</v>
      </c>
      <c r="D548" s="55" t="s">
        <v>373</v>
      </c>
      <c r="E548" s="74">
        <v>43263</v>
      </c>
      <c r="F548" s="55" t="s">
        <v>344</v>
      </c>
      <c r="G548" s="55" t="s">
        <v>360</v>
      </c>
      <c r="H548" s="55" t="s">
        <v>360</v>
      </c>
      <c r="I548" s="55" t="s">
        <v>360</v>
      </c>
      <c r="J548" s="55" t="s">
        <v>360</v>
      </c>
      <c r="K548" s="55" t="s">
        <v>360</v>
      </c>
      <c r="L548" s="55" t="s">
        <v>360</v>
      </c>
      <c r="M548" s="55" t="s">
        <v>172</v>
      </c>
      <c r="N548" s="55" t="s">
        <v>172</v>
      </c>
      <c r="O548" s="55" t="s">
        <v>234</v>
      </c>
      <c r="P548" s="55" t="s">
        <v>457</v>
      </c>
      <c r="Q548" s="55" t="s">
        <v>380</v>
      </c>
      <c r="R548" s="55">
        <v>2</v>
      </c>
      <c r="S548" s="74"/>
      <c r="T548" s="55" t="s">
        <v>1271</v>
      </c>
      <c r="U548" s="73" t="s">
        <v>351</v>
      </c>
      <c r="V548" s="74">
        <v>44390</v>
      </c>
      <c r="W548" s="74">
        <v>44417</v>
      </c>
      <c r="X548" s="55">
        <v>10185280</v>
      </c>
      <c r="Y548" s="74" t="s">
        <v>132</v>
      </c>
      <c r="Z548" s="74"/>
      <c r="AB548" s="55" t="s">
        <v>132</v>
      </c>
      <c r="AC548" s="55" t="s">
        <v>130</v>
      </c>
    </row>
    <row r="549" spans="1:29" ht="13" x14ac:dyDescent="0.15">
      <c r="A549" s="72" t="str">
        <f t="shared" si="8"/>
        <v>Ofsted Social Care Provider Webpage</v>
      </c>
      <c r="B549" s="55">
        <v>1277045</v>
      </c>
      <c r="D549" s="55" t="s">
        <v>373</v>
      </c>
      <c r="E549" s="74">
        <v>43315</v>
      </c>
      <c r="F549" s="55" t="s">
        <v>344</v>
      </c>
      <c r="G549" s="55" t="s">
        <v>360</v>
      </c>
      <c r="H549" s="55" t="s">
        <v>360</v>
      </c>
      <c r="I549" s="55" t="s">
        <v>360</v>
      </c>
      <c r="J549" s="55" t="s">
        <v>360</v>
      </c>
      <c r="K549" s="55" t="s">
        <v>360</v>
      </c>
      <c r="L549" s="55" t="s">
        <v>360</v>
      </c>
      <c r="M549" s="55" t="s">
        <v>136</v>
      </c>
      <c r="N549" s="55" t="s">
        <v>136</v>
      </c>
      <c r="O549" s="55" t="s">
        <v>165</v>
      </c>
      <c r="P549" s="55" t="s">
        <v>1269</v>
      </c>
      <c r="Q549" s="55" t="s">
        <v>350</v>
      </c>
      <c r="R549" s="55">
        <v>4</v>
      </c>
      <c r="S549" s="74"/>
      <c r="T549" s="55" t="s">
        <v>1105</v>
      </c>
      <c r="U549" s="73" t="s">
        <v>351</v>
      </c>
      <c r="V549" s="74">
        <v>44481</v>
      </c>
      <c r="W549" s="74">
        <v>44519</v>
      </c>
      <c r="X549" s="55">
        <v>10186562</v>
      </c>
      <c r="Y549" s="74" t="s">
        <v>132</v>
      </c>
      <c r="Z549" s="74"/>
      <c r="AB549" s="55" t="s">
        <v>132</v>
      </c>
      <c r="AC549" s="55" t="s">
        <v>132</v>
      </c>
    </row>
    <row r="550" spans="1:29" ht="13" x14ac:dyDescent="0.15">
      <c r="A550" s="72" t="str">
        <f t="shared" si="8"/>
        <v>Ofsted Social Care Provider Webpage</v>
      </c>
      <c r="B550" s="55">
        <v>1277049</v>
      </c>
      <c r="D550" s="55" t="s">
        <v>373</v>
      </c>
      <c r="E550" s="74">
        <v>43307</v>
      </c>
      <c r="F550" s="55" t="s">
        <v>344</v>
      </c>
      <c r="G550" s="55" t="s">
        <v>360</v>
      </c>
      <c r="H550" s="55" t="s">
        <v>360</v>
      </c>
      <c r="I550" s="55" t="s">
        <v>360</v>
      </c>
      <c r="J550" s="55" t="s">
        <v>360</v>
      </c>
      <c r="K550" s="55" t="s">
        <v>360</v>
      </c>
      <c r="L550" s="55" t="s">
        <v>360</v>
      </c>
      <c r="M550" s="55" t="s">
        <v>144</v>
      </c>
      <c r="N550" s="55" t="s">
        <v>144</v>
      </c>
      <c r="O550" s="55" t="s">
        <v>287</v>
      </c>
      <c r="P550" s="55" t="s">
        <v>815</v>
      </c>
      <c r="Q550" s="55" t="s">
        <v>350</v>
      </c>
      <c r="R550" s="55">
        <v>2</v>
      </c>
      <c r="S550" s="74"/>
      <c r="T550" s="55" t="s">
        <v>1272</v>
      </c>
      <c r="U550" s="73" t="s">
        <v>351</v>
      </c>
      <c r="V550" s="74">
        <v>44516</v>
      </c>
      <c r="W550" s="74">
        <v>44579</v>
      </c>
      <c r="X550" s="55">
        <v>10185106</v>
      </c>
      <c r="Y550" s="74" t="s">
        <v>146</v>
      </c>
      <c r="Z550" s="74"/>
      <c r="AB550" s="55" t="s">
        <v>146</v>
      </c>
      <c r="AC550" s="55" t="s">
        <v>146</v>
      </c>
    </row>
    <row r="551" spans="1:29" ht="13" x14ac:dyDescent="0.15">
      <c r="A551" s="72" t="str">
        <f t="shared" si="8"/>
        <v>Ofsted Social Care Provider Webpage</v>
      </c>
      <c r="B551" s="55">
        <v>1277076</v>
      </c>
      <c r="D551" s="55" t="s">
        <v>389</v>
      </c>
      <c r="E551" s="74">
        <v>43325</v>
      </c>
      <c r="F551" s="55" t="s">
        <v>344</v>
      </c>
      <c r="G551" s="55" t="s">
        <v>1273</v>
      </c>
      <c r="H551" s="55" t="s">
        <v>1274</v>
      </c>
      <c r="I551" s="55" t="s">
        <v>1275</v>
      </c>
      <c r="J551" s="55" t="s">
        <v>141</v>
      </c>
      <c r="L551" s="55" t="s">
        <v>1276</v>
      </c>
      <c r="M551" s="55" t="s">
        <v>142</v>
      </c>
      <c r="N551" s="55" t="s">
        <v>142</v>
      </c>
      <c r="O551" s="55" t="s">
        <v>141</v>
      </c>
      <c r="P551" s="55" t="s">
        <v>1226</v>
      </c>
      <c r="Q551" s="55" t="s">
        <v>350</v>
      </c>
      <c r="R551" s="55"/>
      <c r="S551" s="74"/>
      <c r="T551" s="55" t="s">
        <v>1273</v>
      </c>
      <c r="U551" s="73" t="s">
        <v>351</v>
      </c>
      <c r="V551" s="74">
        <v>44326</v>
      </c>
      <c r="W551" s="74">
        <v>44357</v>
      </c>
      <c r="X551" s="55">
        <v>10183291</v>
      </c>
      <c r="Y551" s="74" t="s">
        <v>130</v>
      </c>
      <c r="Z551" s="74"/>
      <c r="AB551" s="55" t="s">
        <v>130</v>
      </c>
      <c r="AC551" s="55" t="s">
        <v>146</v>
      </c>
    </row>
    <row r="552" spans="1:29" ht="13" x14ac:dyDescent="0.15">
      <c r="A552" s="72" t="str">
        <f t="shared" si="8"/>
        <v>Ofsted Social Care Provider Webpage</v>
      </c>
      <c r="B552" s="55">
        <v>1277079</v>
      </c>
      <c r="D552" s="55" t="s">
        <v>373</v>
      </c>
      <c r="E552" s="74">
        <v>43206</v>
      </c>
      <c r="F552" s="55" t="s">
        <v>344</v>
      </c>
      <c r="G552" s="55" t="s">
        <v>360</v>
      </c>
      <c r="H552" s="55" t="s">
        <v>360</v>
      </c>
      <c r="I552" s="55" t="s">
        <v>360</v>
      </c>
      <c r="J552" s="55" t="s">
        <v>360</v>
      </c>
      <c r="K552" s="55" t="s">
        <v>360</v>
      </c>
      <c r="L552" s="55" t="s">
        <v>360</v>
      </c>
      <c r="M552" s="55" t="s">
        <v>378</v>
      </c>
      <c r="N552" s="55" t="s">
        <v>134</v>
      </c>
      <c r="O552" s="55" t="s">
        <v>158</v>
      </c>
      <c r="P552" s="55" t="s">
        <v>912</v>
      </c>
      <c r="Q552" s="55" t="s">
        <v>350</v>
      </c>
      <c r="R552" s="55">
        <v>2</v>
      </c>
      <c r="S552" s="74"/>
      <c r="T552" s="55" t="s">
        <v>951</v>
      </c>
      <c r="U552" s="73" t="s">
        <v>351</v>
      </c>
      <c r="V552" s="74">
        <v>44635</v>
      </c>
      <c r="W552" s="74">
        <v>44680</v>
      </c>
      <c r="X552" s="55">
        <v>10186525</v>
      </c>
      <c r="Y552" s="74" t="s">
        <v>132</v>
      </c>
      <c r="Z552" s="74"/>
      <c r="AB552" s="55" t="s">
        <v>132</v>
      </c>
      <c r="AC552" s="55" t="s">
        <v>140</v>
      </c>
    </row>
    <row r="553" spans="1:29" ht="13" x14ac:dyDescent="0.15">
      <c r="A553" s="72" t="str">
        <f t="shared" si="8"/>
        <v>Ofsted Social Care Provider Webpage</v>
      </c>
      <c r="B553" s="55">
        <v>1277158</v>
      </c>
      <c r="D553" s="55" t="s">
        <v>373</v>
      </c>
      <c r="E553" s="74">
        <v>43279</v>
      </c>
      <c r="F553" s="55" t="s">
        <v>344</v>
      </c>
      <c r="G553" s="55" t="s">
        <v>360</v>
      </c>
      <c r="H553" s="55" t="s">
        <v>360</v>
      </c>
      <c r="I553" s="55" t="s">
        <v>360</v>
      </c>
      <c r="J553" s="55" t="s">
        <v>360</v>
      </c>
      <c r="K553" s="55" t="s">
        <v>360</v>
      </c>
      <c r="L553" s="55" t="s">
        <v>360</v>
      </c>
      <c r="M553" s="55" t="s">
        <v>144</v>
      </c>
      <c r="N553" s="55" t="s">
        <v>144</v>
      </c>
      <c r="O553" s="55" t="s">
        <v>145</v>
      </c>
      <c r="P553" s="55" t="s">
        <v>484</v>
      </c>
      <c r="Q553" s="55" t="s">
        <v>350</v>
      </c>
      <c r="R553" s="55">
        <v>2</v>
      </c>
      <c r="S553" s="74"/>
      <c r="T553" s="55" t="s">
        <v>955</v>
      </c>
      <c r="U553" s="73" t="s">
        <v>351</v>
      </c>
      <c r="V553" s="74">
        <v>44517</v>
      </c>
      <c r="W553" s="74">
        <v>44550</v>
      </c>
      <c r="X553" s="55">
        <v>10185066</v>
      </c>
      <c r="Y553" s="74" t="s">
        <v>130</v>
      </c>
      <c r="Z553" s="74"/>
      <c r="AB553" s="55" t="s">
        <v>130</v>
      </c>
      <c r="AC553" s="55" t="s">
        <v>130</v>
      </c>
    </row>
    <row r="554" spans="1:29" ht="13" x14ac:dyDescent="0.15">
      <c r="A554" s="72" t="str">
        <f t="shared" si="8"/>
        <v>Ofsted Social Care Provider Webpage</v>
      </c>
      <c r="B554" s="55">
        <v>1277304</v>
      </c>
      <c r="D554" s="55" t="s">
        <v>373</v>
      </c>
      <c r="E554" s="74">
        <v>43228</v>
      </c>
      <c r="F554" s="55" t="s">
        <v>344</v>
      </c>
      <c r="G554" s="55" t="s">
        <v>360</v>
      </c>
      <c r="H554" s="55" t="s">
        <v>360</v>
      </c>
      <c r="I554" s="55" t="s">
        <v>360</v>
      </c>
      <c r="J554" s="55" t="s">
        <v>360</v>
      </c>
      <c r="K554" s="55" t="s">
        <v>360</v>
      </c>
      <c r="L554" s="55" t="s">
        <v>360</v>
      </c>
      <c r="M554" s="55" t="s">
        <v>136</v>
      </c>
      <c r="N554" s="55" t="s">
        <v>136</v>
      </c>
      <c r="O554" s="55" t="s">
        <v>239</v>
      </c>
      <c r="P554" s="55" t="s">
        <v>738</v>
      </c>
      <c r="Q554" s="55" t="s">
        <v>350</v>
      </c>
      <c r="R554" s="55">
        <v>2</v>
      </c>
      <c r="S554" s="74"/>
      <c r="T554" s="55" t="s">
        <v>739</v>
      </c>
      <c r="U554" s="73" t="s">
        <v>351</v>
      </c>
      <c r="V554" s="74">
        <v>44307</v>
      </c>
      <c r="W554" s="74">
        <v>44341</v>
      </c>
      <c r="X554" s="55">
        <v>10185174</v>
      </c>
      <c r="Y554" s="74" t="s">
        <v>130</v>
      </c>
      <c r="Z554" s="74"/>
      <c r="AB554" s="55" t="s">
        <v>130</v>
      </c>
      <c r="AC554" s="55" t="s">
        <v>130</v>
      </c>
    </row>
    <row r="555" spans="1:29" ht="13" x14ac:dyDescent="0.15">
      <c r="A555" s="72" t="str">
        <f t="shared" si="8"/>
        <v>Ofsted Social Care Provider Webpage</v>
      </c>
      <c r="B555" s="55">
        <v>1277380</v>
      </c>
      <c r="D555" s="55" t="s">
        <v>373</v>
      </c>
      <c r="E555" s="74">
        <v>43273</v>
      </c>
      <c r="F555" s="55" t="s">
        <v>344</v>
      </c>
      <c r="G555" s="55" t="s">
        <v>360</v>
      </c>
      <c r="H555" s="55" t="s">
        <v>360</v>
      </c>
      <c r="I555" s="55" t="s">
        <v>360</v>
      </c>
      <c r="J555" s="55" t="s">
        <v>360</v>
      </c>
      <c r="K555" s="55" t="s">
        <v>360</v>
      </c>
      <c r="L555" s="55" t="s">
        <v>360</v>
      </c>
      <c r="M555" s="55" t="s">
        <v>378</v>
      </c>
      <c r="N555" s="55" t="s">
        <v>134</v>
      </c>
      <c r="O555" s="55" t="s">
        <v>232</v>
      </c>
      <c r="P555" s="55" t="s">
        <v>496</v>
      </c>
      <c r="Q555" s="55" t="s">
        <v>350</v>
      </c>
      <c r="R555" s="55">
        <v>5</v>
      </c>
      <c r="S555" s="74"/>
      <c r="T555" s="55" t="s">
        <v>863</v>
      </c>
      <c r="U555" s="73" t="s">
        <v>351</v>
      </c>
      <c r="V555" s="74">
        <v>44511</v>
      </c>
      <c r="W555" s="74">
        <v>44565</v>
      </c>
      <c r="X555" s="55">
        <v>10187381</v>
      </c>
      <c r="Y555" s="74" t="s">
        <v>132</v>
      </c>
      <c r="Z555" s="74"/>
      <c r="AB555" s="55" t="s">
        <v>132</v>
      </c>
      <c r="AC555" s="55" t="s">
        <v>132</v>
      </c>
    </row>
    <row r="556" spans="1:29" ht="13" x14ac:dyDescent="0.15">
      <c r="A556" s="72" t="str">
        <f t="shared" si="8"/>
        <v>Ofsted Social Care Provider Webpage</v>
      </c>
      <c r="B556" s="55">
        <v>1277453</v>
      </c>
      <c r="D556" s="55" t="s">
        <v>373</v>
      </c>
      <c r="E556" s="74">
        <v>43293</v>
      </c>
      <c r="F556" s="55" t="s">
        <v>344</v>
      </c>
      <c r="G556" s="55" t="s">
        <v>360</v>
      </c>
      <c r="H556" s="55" t="s">
        <v>360</v>
      </c>
      <c r="I556" s="55" t="s">
        <v>360</v>
      </c>
      <c r="J556" s="55" t="s">
        <v>360</v>
      </c>
      <c r="K556" s="55" t="s">
        <v>360</v>
      </c>
      <c r="L556" s="55" t="s">
        <v>360</v>
      </c>
      <c r="M556" s="55" t="s">
        <v>150</v>
      </c>
      <c r="N556" s="55" t="s">
        <v>150</v>
      </c>
      <c r="O556" s="55" t="s">
        <v>156</v>
      </c>
      <c r="P556" s="55" t="s">
        <v>1277</v>
      </c>
      <c r="Q556" s="55" t="s">
        <v>380</v>
      </c>
      <c r="R556" s="55">
        <v>5</v>
      </c>
      <c r="S556" s="74"/>
      <c r="T556" s="55" t="s">
        <v>1278</v>
      </c>
      <c r="U556" s="73" t="s">
        <v>351</v>
      </c>
      <c r="V556" s="74">
        <v>44405</v>
      </c>
      <c r="W556" s="74">
        <v>44449</v>
      </c>
      <c r="X556" s="55">
        <v>10187188</v>
      </c>
      <c r="Y556" s="74" t="s">
        <v>132</v>
      </c>
      <c r="Z556" s="74"/>
      <c r="AB556" s="55" t="s">
        <v>130</v>
      </c>
      <c r="AC556" s="55" t="s">
        <v>132</v>
      </c>
    </row>
    <row r="557" spans="1:29" ht="13" x14ac:dyDescent="0.15">
      <c r="A557" s="72" t="str">
        <f t="shared" si="8"/>
        <v>Ofsted Social Care Provider Webpage</v>
      </c>
      <c r="B557" s="55">
        <v>1277479</v>
      </c>
      <c r="D557" s="55" t="s">
        <v>373</v>
      </c>
      <c r="E557" s="74">
        <v>43285</v>
      </c>
      <c r="F557" s="55" t="s">
        <v>344</v>
      </c>
      <c r="G557" s="55" t="s">
        <v>360</v>
      </c>
      <c r="H557" s="55" t="s">
        <v>360</v>
      </c>
      <c r="I557" s="55" t="s">
        <v>360</v>
      </c>
      <c r="J557" s="55" t="s">
        <v>360</v>
      </c>
      <c r="K557" s="55" t="s">
        <v>360</v>
      </c>
      <c r="L557" s="55" t="s">
        <v>360</v>
      </c>
      <c r="M557" s="55" t="s">
        <v>172</v>
      </c>
      <c r="N557" s="55" t="s">
        <v>172</v>
      </c>
      <c r="O557" s="55" t="s">
        <v>228</v>
      </c>
      <c r="P557" s="55" t="s">
        <v>459</v>
      </c>
      <c r="Q557" s="55" t="s">
        <v>350</v>
      </c>
      <c r="R557" s="55">
        <v>2</v>
      </c>
      <c r="S557" s="74"/>
      <c r="T557" s="55" t="s">
        <v>904</v>
      </c>
      <c r="U557" s="73" t="s">
        <v>351</v>
      </c>
      <c r="V557" s="74">
        <v>44306</v>
      </c>
      <c r="W557" s="74">
        <v>44371</v>
      </c>
      <c r="X557" s="55">
        <v>10186903</v>
      </c>
      <c r="Y557" s="74" t="s">
        <v>132</v>
      </c>
      <c r="Z557" s="74"/>
      <c r="AB557" s="55" t="s">
        <v>132</v>
      </c>
      <c r="AC557" s="55" t="s">
        <v>132</v>
      </c>
    </row>
    <row r="558" spans="1:29" ht="13" x14ac:dyDescent="0.15">
      <c r="A558" s="72" t="str">
        <f t="shared" si="8"/>
        <v>Ofsted Social Care Provider Webpage</v>
      </c>
      <c r="B558" s="55">
        <v>1277497</v>
      </c>
      <c r="D558" s="55" t="s">
        <v>373</v>
      </c>
      <c r="E558" s="74">
        <v>43266</v>
      </c>
      <c r="F558" s="55" t="s">
        <v>344</v>
      </c>
      <c r="G558" s="55" t="s">
        <v>360</v>
      </c>
      <c r="H558" s="55" t="s">
        <v>360</v>
      </c>
      <c r="I558" s="55" t="s">
        <v>360</v>
      </c>
      <c r="J558" s="55" t="s">
        <v>360</v>
      </c>
      <c r="K558" s="55" t="s">
        <v>360</v>
      </c>
      <c r="L558" s="55" t="s">
        <v>360</v>
      </c>
      <c r="M558" s="55" t="s">
        <v>144</v>
      </c>
      <c r="N558" s="55" t="s">
        <v>144</v>
      </c>
      <c r="O558" s="55" t="s">
        <v>209</v>
      </c>
      <c r="P558" s="55" t="s">
        <v>364</v>
      </c>
      <c r="Q558" s="55" t="s">
        <v>350</v>
      </c>
      <c r="R558" s="55">
        <v>4</v>
      </c>
      <c r="S558" s="74"/>
      <c r="T558" s="55" t="s">
        <v>1279</v>
      </c>
      <c r="U558" s="73" t="s">
        <v>351</v>
      </c>
      <c r="V558" s="74">
        <v>43745</v>
      </c>
      <c r="W558" s="74">
        <v>43777</v>
      </c>
      <c r="X558" s="55">
        <v>10098041</v>
      </c>
      <c r="Y558" s="74" t="s">
        <v>130</v>
      </c>
      <c r="Z558" s="74"/>
      <c r="AB558" s="55" t="s">
        <v>130</v>
      </c>
      <c r="AC558" s="55" t="s">
        <v>130</v>
      </c>
    </row>
    <row r="559" spans="1:29" ht="13" x14ac:dyDescent="0.15">
      <c r="A559" s="72" t="str">
        <f t="shared" si="8"/>
        <v>Ofsted Social Care Provider Webpage</v>
      </c>
      <c r="B559" s="55">
        <v>1277552</v>
      </c>
      <c r="D559" s="55" t="s">
        <v>373</v>
      </c>
      <c r="E559" s="74">
        <v>43264</v>
      </c>
      <c r="F559" s="55" t="s">
        <v>344</v>
      </c>
      <c r="G559" s="55" t="s">
        <v>360</v>
      </c>
      <c r="H559" s="55" t="s">
        <v>360</v>
      </c>
      <c r="I559" s="55" t="s">
        <v>360</v>
      </c>
      <c r="J559" s="55" t="s">
        <v>360</v>
      </c>
      <c r="K559" s="55" t="s">
        <v>360</v>
      </c>
      <c r="L559" s="55" t="s">
        <v>360</v>
      </c>
      <c r="M559" s="55" t="s">
        <v>142</v>
      </c>
      <c r="N559" s="55" t="s">
        <v>142</v>
      </c>
      <c r="O559" s="55" t="s">
        <v>293</v>
      </c>
      <c r="P559" s="55" t="s">
        <v>1280</v>
      </c>
      <c r="Q559" s="55" t="s">
        <v>350</v>
      </c>
      <c r="R559" s="55">
        <v>2</v>
      </c>
      <c r="S559" s="74"/>
      <c r="T559" s="55" t="s">
        <v>1281</v>
      </c>
      <c r="U559" s="73" t="s">
        <v>351</v>
      </c>
      <c r="V559" s="74">
        <v>44495</v>
      </c>
      <c r="W559" s="74">
        <v>44538</v>
      </c>
      <c r="X559" s="55">
        <v>10185124</v>
      </c>
      <c r="Y559" s="74" t="s">
        <v>132</v>
      </c>
      <c r="Z559" s="74"/>
      <c r="AB559" s="55" t="s">
        <v>132</v>
      </c>
      <c r="AC559" s="55" t="s">
        <v>132</v>
      </c>
    </row>
    <row r="560" spans="1:29" ht="13" x14ac:dyDescent="0.15">
      <c r="A560" s="72" t="str">
        <f t="shared" si="8"/>
        <v>Ofsted Social Care Provider Webpage</v>
      </c>
      <c r="B560" s="55">
        <v>1277584</v>
      </c>
      <c r="D560" s="55" t="s">
        <v>373</v>
      </c>
      <c r="E560" s="74">
        <v>43241</v>
      </c>
      <c r="F560" s="55" t="s">
        <v>344</v>
      </c>
      <c r="G560" s="55" t="s">
        <v>360</v>
      </c>
      <c r="H560" s="55" t="s">
        <v>360</v>
      </c>
      <c r="I560" s="55" t="s">
        <v>360</v>
      </c>
      <c r="J560" s="55" t="s">
        <v>360</v>
      </c>
      <c r="K560" s="55" t="s">
        <v>360</v>
      </c>
      <c r="L560" s="55" t="s">
        <v>360</v>
      </c>
      <c r="M560" s="55" t="s">
        <v>136</v>
      </c>
      <c r="N560" s="55" t="s">
        <v>136</v>
      </c>
      <c r="O560" s="55" t="s">
        <v>255</v>
      </c>
      <c r="P560" s="55" t="s">
        <v>583</v>
      </c>
      <c r="Q560" s="55" t="s">
        <v>350</v>
      </c>
      <c r="R560" s="55">
        <v>3</v>
      </c>
      <c r="S560" s="74"/>
      <c r="T560" s="55" t="s">
        <v>1282</v>
      </c>
      <c r="U560" s="73" t="s">
        <v>351</v>
      </c>
      <c r="V560" s="74">
        <v>44447</v>
      </c>
      <c r="W560" s="74">
        <v>44488</v>
      </c>
      <c r="X560" s="55">
        <v>10185362</v>
      </c>
      <c r="Y560" s="74" t="s">
        <v>130</v>
      </c>
      <c r="Z560" s="74"/>
      <c r="AB560" s="55" t="s">
        <v>130</v>
      </c>
      <c r="AC560" s="55" t="s">
        <v>130</v>
      </c>
    </row>
    <row r="561" spans="1:29" ht="13" x14ac:dyDescent="0.15">
      <c r="A561" s="72" t="str">
        <f t="shared" si="8"/>
        <v>Ofsted Social Care Provider Webpage</v>
      </c>
      <c r="B561" s="55">
        <v>1277596</v>
      </c>
      <c r="D561" s="55" t="s">
        <v>389</v>
      </c>
      <c r="E561" s="74">
        <v>43385</v>
      </c>
      <c r="F561" s="55" t="s">
        <v>344</v>
      </c>
      <c r="G561" s="55" t="s">
        <v>1283</v>
      </c>
      <c r="H561" s="55" t="s">
        <v>1284</v>
      </c>
      <c r="I561" s="55" t="s">
        <v>1285</v>
      </c>
      <c r="J561" s="55" t="s">
        <v>198</v>
      </c>
      <c r="L561" s="55" t="s">
        <v>1286</v>
      </c>
      <c r="M561" s="55" t="s">
        <v>129</v>
      </c>
      <c r="N561" s="55" t="s">
        <v>129</v>
      </c>
      <c r="O561" s="55" t="s">
        <v>198</v>
      </c>
      <c r="P561" s="55" t="s">
        <v>1287</v>
      </c>
      <c r="Q561" s="55" t="s">
        <v>350</v>
      </c>
      <c r="R561" s="55"/>
      <c r="S561" s="74"/>
      <c r="T561" s="55" t="s">
        <v>1288</v>
      </c>
      <c r="U561" s="73" t="s">
        <v>351</v>
      </c>
      <c r="V561" s="74">
        <v>43773</v>
      </c>
      <c r="W561" s="74">
        <v>43804</v>
      </c>
      <c r="X561" s="55">
        <v>10093289</v>
      </c>
      <c r="Y561" s="74" t="s">
        <v>132</v>
      </c>
      <c r="Z561" s="74"/>
      <c r="AB561" s="55" t="s">
        <v>132</v>
      </c>
      <c r="AC561" s="55" t="s">
        <v>132</v>
      </c>
    </row>
    <row r="562" spans="1:29" ht="13" x14ac:dyDescent="0.15">
      <c r="A562" s="72" t="str">
        <f t="shared" si="8"/>
        <v>Ofsted Social Care Provider Webpage</v>
      </c>
      <c r="B562" s="55">
        <v>1277656</v>
      </c>
      <c r="D562" s="55" t="s">
        <v>373</v>
      </c>
      <c r="E562" s="74">
        <v>43360</v>
      </c>
      <c r="F562" s="55" t="s">
        <v>344</v>
      </c>
      <c r="G562" s="55" t="s">
        <v>360</v>
      </c>
      <c r="H562" s="55" t="s">
        <v>360</v>
      </c>
      <c r="I562" s="55" t="s">
        <v>360</v>
      </c>
      <c r="J562" s="55" t="s">
        <v>360</v>
      </c>
      <c r="K562" s="55" t="s">
        <v>360</v>
      </c>
      <c r="L562" s="55" t="s">
        <v>360</v>
      </c>
      <c r="M562" s="55" t="s">
        <v>144</v>
      </c>
      <c r="N562" s="55" t="s">
        <v>144</v>
      </c>
      <c r="O562" s="55" t="s">
        <v>261</v>
      </c>
      <c r="P562" s="55" t="s">
        <v>792</v>
      </c>
      <c r="Q562" s="55" t="s">
        <v>350</v>
      </c>
      <c r="R562" s="55">
        <v>3</v>
      </c>
      <c r="S562" s="74"/>
      <c r="T562" s="55" t="s">
        <v>1289</v>
      </c>
      <c r="U562" s="73" t="s">
        <v>351</v>
      </c>
      <c r="V562" s="74">
        <v>43620</v>
      </c>
      <c r="W562" s="74">
        <v>43644</v>
      </c>
      <c r="X562" s="55">
        <v>10098092</v>
      </c>
      <c r="Y562" s="74" t="s">
        <v>132</v>
      </c>
      <c r="Z562" s="74"/>
      <c r="AB562" s="55" t="s">
        <v>132</v>
      </c>
      <c r="AC562" s="55" t="s">
        <v>132</v>
      </c>
    </row>
    <row r="563" spans="1:29" ht="13" x14ac:dyDescent="0.15">
      <c r="A563" s="72" t="str">
        <f t="shared" si="8"/>
        <v>Ofsted Social Care Provider Webpage</v>
      </c>
      <c r="B563" s="55">
        <v>1277726</v>
      </c>
      <c r="D563" s="55" t="s">
        <v>373</v>
      </c>
      <c r="E563" s="74">
        <v>43276</v>
      </c>
      <c r="F563" s="55" t="s">
        <v>344</v>
      </c>
      <c r="G563" s="55" t="s">
        <v>360</v>
      </c>
      <c r="H563" s="55" t="s">
        <v>360</v>
      </c>
      <c r="I563" s="55" t="s">
        <v>360</v>
      </c>
      <c r="J563" s="55" t="s">
        <v>360</v>
      </c>
      <c r="K563" s="55" t="s">
        <v>360</v>
      </c>
      <c r="L563" s="55" t="s">
        <v>360</v>
      </c>
      <c r="M563" s="55" t="s">
        <v>172</v>
      </c>
      <c r="N563" s="55" t="s">
        <v>172</v>
      </c>
      <c r="O563" s="55" t="s">
        <v>235</v>
      </c>
      <c r="P563" s="55" t="s">
        <v>628</v>
      </c>
      <c r="Q563" s="55" t="s">
        <v>350</v>
      </c>
      <c r="R563" s="55">
        <v>6</v>
      </c>
      <c r="S563" s="74"/>
      <c r="T563" s="55" t="s">
        <v>1290</v>
      </c>
      <c r="U563" s="73" t="s">
        <v>351</v>
      </c>
      <c r="V563" s="74">
        <v>44474</v>
      </c>
      <c r="W563" s="74">
        <v>44510</v>
      </c>
      <c r="X563" s="55">
        <v>10187435</v>
      </c>
      <c r="Y563" s="74" t="s">
        <v>132</v>
      </c>
      <c r="Z563" s="74"/>
      <c r="AB563" s="55" t="s">
        <v>130</v>
      </c>
      <c r="AC563" s="55" t="s">
        <v>132</v>
      </c>
    </row>
    <row r="564" spans="1:29" ht="13" x14ac:dyDescent="0.15">
      <c r="A564" s="72" t="str">
        <f t="shared" si="8"/>
        <v>Ofsted Social Care Provider Webpage</v>
      </c>
      <c r="B564" s="55">
        <v>1277734</v>
      </c>
      <c r="D564" s="55" t="s">
        <v>373</v>
      </c>
      <c r="E564" s="74">
        <v>43626</v>
      </c>
      <c r="F564" s="55" t="s">
        <v>344</v>
      </c>
      <c r="G564" s="55" t="s">
        <v>360</v>
      </c>
      <c r="H564" s="55" t="s">
        <v>360</v>
      </c>
      <c r="I564" s="55" t="s">
        <v>360</v>
      </c>
      <c r="J564" s="55" t="s">
        <v>360</v>
      </c>
      <c r="K564" s="55" t="s">
        <v>360</v>
      </c>
      <c r="L564" s="55" t="s">
        <v>360</v>
      </c>
      <c r="M564" s="55" t="s">
        <v>142</v>
      </c>
      <c r="N564" s="55" t="s">
        <v>142</v>
      </c>
      <c r="O564" s="55" t="s">
        <v>272</v>
      </c>
      <c r="P564" s="55" t="s">
        <v>1291</v>
      </c>
      <c r="Q564" s="55" t="s">
        <v>350</v>
      </c>
      <c r="R564" s="55">
        <v>3</v>
      </c>
      <c r="S564" s="74"/>
      <c r="T564" s="55" t="s">
        <v>489</v>
      </c>
      <c r="U564" s="73" t="s">
        <v>351</v>
      </c>
      <c r="V564" s="74">
        <v>44510</v>
      </c>
      <c r="W564" s="74">
        <v>44533</v>
      </c>
      <c r="X564" s="55">
        <v>10186773</v>
      </c>
      <c r="Y564" s="74" t="s">
        <v>132</v>
      </c>
      <c r="Z564" s="74"/>
      <c r="AB564" s="55" t="s">
        <v>132</v>
      </c>
      <c r="AC564" s="55" t="s">
        <v>140</v>
      </c>
    </row>
    <row r="565" spans="1:29" ht="13" x14ac:dyDescent="0.15">
      <c r="A565" s="72" t="str">
        <f t="shared" si="8"/>
        <v>Ofsted Social Care Provider Webpage</v>
      </c>
      <c r="B565" s="55">
        <v>1277861</v>
      </c>
      <c r="D565" s="55" t="s">
        <v>373</v>
      </c>
      <c r="E565" s="74">
        <v>43257</v>
      </c>
      <c r="F565" s="55" t="s">
        <v>344</v>
      </c>
      <c r="G565" s="55" t="s">
        <v>360</v>
      </c>
      <c r="H565" s="55" t="s">
        <v>360</v>
      </c>
      <c r="I565" s="55" t="s">
        <v>360</v>
      </c>
      <c r="J565" s="55" t="s">
        <v>360</v>
      </c>
      <c r="K565" s="55" t="s">
        <v>360</v>
      </c>
      <c r="L565" s="55" t="s">
        <v>360</v>
      </c>
      <c r="M565" s="55" t="s">
        <v>136</v>
      </c>
      <c r="N565" s="55" t="s">
        <v>136</v>
      </c>
      <c r="O565" s="55" t="s">
        <v>185</v>
      </c>
      <c r="P565" s="55" t="s">
        <v>1292</v>
      </c>
      <c r="Q565" s="55" t="s">
        <v>350</v>
      </c>
      <c r="R565" s="55">
        <v>5</v>
      </c>
      <c r="S565" s="74"/>
      <c r="T565" s="55" t="s">
        <v>1293</v>
      </c>
      <c r="U565" s="73" t="s">
        <v>351</v>
      </c>
      <c r="V565" s="74">
        <v>44328</v>
      </c>
      <c r="W565" s="74">
        <v>44382</v>
      </c>
      <c r="X565" s="55">
        <v>10185450</v>
      </c>
      <c r="Y565" s="74" t="s">
        <v>132</v>
      </c>
      <c r="Z565" s="74"/>
      <c r="AB565" s="55" t="s">
        <v>132</v>
      </c>
      <c r="AC565" s="55" t="s">
        <v>132</v>
      </c>
    </row>
    <row r="566" spans="1:29" ht="13" x14ac:dyDescent="0.15">
      <c r="A566" s="72" t="str">
        <f t="shared" si="8"/>
        <v>Ofsted Social Care Provider Webpage</v>
      </c>
      <c r="B566" s="55">
        <v>1278017</v>
      </c>
      <c r="D566" s="55" t="s">
        <v>373</v>
      </c>
      <c r="E566" s="74">
        <v>43406</v>
      </c>
      <c r="F566" s="55" t="s">
        <v>344</v>
      </c>
      <c r="G566" s="55" t="s">
        <v>360</v>
      </c>
      <c r="H566" s="55" t="s">
        <v>360</v>
      </c>
      <c r="I566" s="55" t="s">
        <v>360</v>
      </c>
      <c r="J566" s="55" t="s">
        <v>360</v>
      </c>
      <c r="K566" s="55" t="s">
        <v>360</v>
      </c>
      <c r="L566" s="55" t="s">
        <v>360</v>
      </c>
      <c r="M566" s="55" t="s">
        <v>138</v>
      </c>
      <c r="N566" s="55" t="s">
        <v>138</v>
      </c>
      <c r="O566" s="55" t="s">
        <v>224</v>
      </c>
      <c r="P566" s="55" t="s">
        <v>1294</v>
      </c>
      <c r="Q566" s="55" t="s">
        <v>350</v>
      </c>
      <c r="R566" s="55">
        <v>8</v>
      </c>
      <c r="S566" s="74"/>
      <c r="T566" s="55" t="s">
        <v>450</v>
      </c>
      <c r="U566" s="73" t="s">
        <v>351</v>
      </c>
      <c r="V566" s="74">
        <v>44299</v>
      </c>
      <c r="W566" s="74">
        <v>44326</v>
      </c>
      <c r="X566" s="55">
        <v>10186164</v>
      </c>
      <c r="Y566" s="74" t="s">
        <v>130</v>
      </c>
      <c r="Z566" s="74"/>
      <c r="AB566" s="55" t="s">
        <v>130</v>
      </c>
      <c r="AC566" s="55" t="s">
        <v>130</v>
      </c>
    </row>
    <row r="567" spans="1:29" ht="13" x14ac:dyDescent="0.15">
      <c r="A567" s="72" t="str">
        <f t="shared" si="8"/>
        <v>Ofsted Social Care Provider Webpage</v>
      </c>
      <c r="B567" s="55">
        <v>1278020</v>
      </c>
      <c r="D567" s="55" t="s">
        <v>373</v>
      </c>
      <c r="E567" s="74">
        <v>43291</v>
      </c>
      <c r="F567" s="55" t="s">
        <v>344</v>
      </c>
      <c r="G567" s="55" t="s">
        <v>360</v>
      </c>
      <c r="H567" s="55" t="s">
        <v>360</v>
      </c>
      <c r="I567" s="55" t="s">
        <v>360</v>
      </c>
      <c r="J567" s="55" t="s">
        <v>360</v>
      </c>
      <c r="K567" s="55" t="s">
        <v>360</v>
      </c>
      <c r="L567" s="55" t="s">
        <v>360</v>
      </c>
      <c r="M567" s="55" t="s">
        <v>136</v>
      </c>
      <c r="N567" s="55" t="s">
        <v>136</v>
      </c>
      <c r="O567" s="55" t="s">
        <v>174</v>
      </c>
      <c r="P567" s="55" t="s">
        <v>1010</v>
      </c>
      <c r="Q567" s="55" t="s">
        <v>350</v>
      </c>
      <c r="R567" s="55">
        <v>3</v>
      </c>
      <c r="S567" s="74"/>
      <c r="T567" s="55" t="s">
        <v>1295</v>
      </c>
      <c r="U567" s="73" t="s">
        <v>351</v>
      </c>
      <c r="V567" s="74">
        <v>44628</v>
      </c>
      <c r="W567" s="74">
        <v>44671</v>
      </c>
      <c r="X567" s="55">
        <v>10185512</v>
      </c>
      <c r="Y567" s="74" t="s">
        <v>132</v>
      </c>
      <c r="Z567" s="74"/>
      <c r="AB567" s="55" t="s">
        <v>132</v>
      </c>
      <c r="AC567" s="55" t="s">
        <v>130</v>
      </c>
    </row>
    <row r="568" spans="1:29" ht="13" x14ac:dyDescent="0.15">
      <c r="A568" s="72" t="str">
        <f t="shared" si="8"/>
        <v>Ofsted Social Care Provider Webpage</v>
      </c>
      <c r="B568" s="55">
        <v>1278022</v>
      </c>
      <c r="D568" s="55" t="s">
        <v>373</v>
      </c>
      <c r="E568" s="74">
        <v>43238</v>
      </c>
      <c r="F568" s="55" t="s">
        <v>344</v>
      </c>
      <c r="G568" s="55" t="s">
        <v>360</v>
      </c>
      <c r="H568" s="55" t="s">
        <v>360</v>
      </c>
      <c r="I568" s="55" t="s">
        <v>360</v>
      </c>
      <c r="J568" s="55" t="s">
        <v>360</v>
      </c>
      <c r="K568" s="55" t="s">
        <v>360</v>
      </c>
      <c r="L568" s="55" t="s">
        <v>360</v>
      </c>
      <c r="M568" s="55" t="s">
        <v>144</v>
      </c>
      <c r="N568" s="55" t="s">
        <v>144</v>
      </c>
      <c r="O568" s="55" t="s">
        <v>250</v>
      </c>
      <c r="P568" s="55" t="s">
        <v>361</v>
      </c>
      <c r="Q568" s="55" t="s">
        <v>350</v>
      </c>
      <c r="R568" s="55">
        <v>2</v>
      </c>
      <c r="S568" s="74"/>
      <c r="T568" s="55" t="s">
        <v>1296</v>
      </c>
      <c r="U568" s="73" t="s">
        <v>351</v>
      </c>
      <c r="V568" s="74">
        <v>44600</v>
      </c>
      <c r="W568" s="74">
        <v>44648</v>
      </c>
      <c r="X568" s="55">
        <v>10186553</v>
      </c>
      <c r="Y568" s="74" t="s">
        <v>146</v>
      </c>
      <c r="Z568" s="74"/>
      <c r="AB568" s="55" t="s">
        <v>146</v>
      </c>
      <c r="AC568" s="55" t="s">
        <v>146</v>
      </c>
    </row>
    <row r="569" spans="1:29" ht="13" x14ac:dyDescent="0.15">
      <c r="A569" s="72" t="str">
        <f t="shared" si="8"/>
        <v>Ofsted Social Care Provider Webpage</v>
      </c>
      <c r="B569" s="55">
        <v>1278217</v>
      </c>
      <c r="D569" s="55" t="s">
        <v>373</v>
      </c>
      <c r="E569" s="74">
        <v>43453</v>
      </c>
      <c r="F569" s="55" t="s">
        <v>344</v>
      </c>
      <c r="G569" s="55" t="s">
        <v>360</v>
      </c>
      <c r="H569" s="55" t="s">
        <v>360</v>
      </c>
      <c r="I569" s="55" t="s">
        <v>360</v>
      </c>
      <c r="J569" s="55" t="s">
        <v>360</v>
      </c>
      <c r="K569" s="55" t="s">
        <v>360</v>
      </c>
      <c r="L569" s="55" t="s">
        <v>360</v>
      </c>
      <c r="M569" s="55" t="s">
        <v>378</v>
      </c>
      <c r="N569" s="55" t="s">
        <v>170</v>
      </c>
      <c r="O569" s="55" t="s">
        <v>193</v>
      </c>
      <c r="P569" s="55" t="s">
        <v>193</v>
      </c>
      <c r="Q569" s="55" t="s">
        <v>350</v>
      </c>
      <c r="R569" s="55">
        <v>2</v>
      </c>
      <c r="S569" s="74"/>
      <c r="T569" s="55" t="s">
        <v>1297</v>
      </c>
      <c r="U569" s="73" t="s">
        <v>351</v>
      </c>
      <c r="V569" s="74">
        <v>44461</v>
      </c>
      <c r="W569" s="74">
        <v>44533</v>
      </c>
      <c r="X569" s="55">
        <v>10187189</v>
      </c>
      <c r="Y569" s="74" t="s">
        <v>130</v>
      </c>
      <c r="Z569" s="74"/>
      <c r="AB569" s="55" t="s">
        <v>130</v>
      </c>
      <c r="AC569" s="55" t="s">
        <v>130</v>
      </c>
    </row>
    <row r="570" spans="1:29" ht="13" x14ac:dyDescent="0.15">
      <c r="A570" s="72" t="str">
        <f t="shared" si="8"/>
        <v>Ofsted Social Care Provider Webpage</v>
      </c>
      <c r="B570" s="55">
        <v>1278368</v>
      </c>
      <c r="D570" s="55" t="s">
        <v>451</v>
      </c>
      <c r="E570" s="74">
        <v>43313</v>
      </c>
      <c r="F570" s="55" t="s">
        <v>344</v>
      </c>
      <c r="G570" s="55" t="s">
        <v>1298</v>
      </c>
      <c r="H570" s="55" t="s">
        <v>1299</v>
      </c>
      <c r="I570" s="55" t="s">
        <v>354</v>
      </c>
      <c r="J570" s="55" t="s">
        <v>759</v>
      </c>
      <c r="K570" s="55" t="s">
        <v>209</v>
      </c>
      <c r="L570" s="55" t="s">
        <v>1300</v>
      </c>
      <c r="M570" s="55" t="s">
        <v>144</v>
      </c>
      <c r="N570" s="55" t="s">
        <v>144</v>
      </c>
      <c r="O570" s="55" t="s">
        <v>250</v>
      </c>
      <c r="P570" s="55" t="s">
        <v>759</v>
      </c>
      <c r="Q570" s="55" t="s">
        <v>350</v>
      </c>
      <c r="R570" s="55">
        <v>4</v>
      </c>
      <c r="S570" s="74"/>
      <c r="T570" s="55" t="s">
        <v>786</v>
      </c>
      <c r="U570" s="73" t="s">
        <v>351</v>
      </c>
      <c r="V570" s="74">
        <v>43845</v>
      </c>
      <c r="W570" s="74">
        <v>43867</v>
      </c>
      <c r="X570" s="55">
        <v>10101069</v>
      </c>
      <c r="Y570" s="74" t="s">
        <v>132</v>
      </c>
      <c r="Z570" s="74"/>
      <c r="AB570" s="55" t="s">
        <v>132</v>
      </c>
      <c r="AC570" s="55" t="s">
        <v>132</v>
      </c>
    </row>
    <row r="571" spans="1:29" ht="13" x14ac:dyDescent="0.15">
      <c r="A571" s="72" t="str">
        <f t="shared" si="8"/>
        <v>Ofsted Social Care Provider Webpage</v>
      </c>
      <c r="B571" s="55">
        <v>1278421</v>
      </c>
      <c r="D571" s="55" t="s">
        <v>373</v>
      </c>
      <c r="E571" s="74">
        <v>43349</v>
      </c>
      <c r="F571" s="55" t="s">
        <v>344</v>
      </c>
      <c r="G571" s="55" t="s">
        <v>360</v>
      </c>
      <c r="H571" s="55" t="s">
        <v>360</v>
      </c>
      <c r="I571" s="55" t="s">
        <v>360</v>
      </c>
      <c r="J571" s="55" t="s">
        <v>360</v>
      </c>
      <c r="K571" s="55" t="s">
        <v>360</v>
      </c>
      <c r="L571" s="55" t="s">
        <v>360</v>
      </c>
      <c r="M571" s="55" t="s">
        <v>142</v>
      </c>
      <c r="N571" s="55" t="s">
        <v>142</v>
      </c>
      <c r="O571" s="55" t="s">
        <v>141</v>
      </c>
      <c r="P571" s="55" t="s">
        <v>1231</v>
      </c>
      <c r="Q571" s="55" t="s">
        <v>350</v>
      </c>
      <c r="R571" s="55">
        <v>4</v>
      </c>
      <c r="S571" s="74"/>
      <c r="T571" s="55" t="s">
        <v>960</v>
      </c>
      <c r="U571" s="73" t="s">
        <v>351</v>
      </c>
      <c r="V571" s="74">
        <v>44356</v>
      </c>
      <c r="W571" s="74">
        <v>44392</v>
      </c>
      <c r="X571" s="55">
        <v>10186632</v>
      </c>
      <c r="Y571" s="74" t="s">
        <v>132</v>
      </c>
      <c r="Z571" s="74"/>
      <c r="AB571" s="55" t="s">
        <v>132</v>
      </c>
      <c r="AC571" s="55" t="s">
        <v>132</v>
      </c>
    </row>
    <row r="572" spans="1:29" ht="13" x14ac:dyDescent="0.15">
      <c r="A572" s="72" t="str">
        <f t="shared" si="8"/>
        <v>Ofsted Social Care Provider Webpage</v>
      </c>
      <c r="B572" s="55">
        <v>1278708</v>
      </c>
      <c r="D572" s="55" t="s">
        <v>373</v>
      </c>
      <c r="E572" s="74">
        <v>43308</v>
      </c>
      <c r="F572" s="55" t="s">
        <v>344</v>
      </c>
      <c r="G572" s="55" t="s">
        <v>360</v>
      </c>
      <c r="H572" s="55" t="s">
        <v>360</v>
      </c>
      <c r="I572" s="55" t="s">
        <v>360</v>
      </c>
      <c r="J572" s="55" t="s">
        <v>360</v>
      </c>
      <c r="K572" s="55" t="s">
        <v>360</v>
      </c>
      <c r="L572" s="55" t="s">
        <v>360</v>
      </c>
      <c r="M572" s="55" t="s">
        <v>172</v>
      </c>
      <c r="N572" s="55" t="s">
        <v>172</v>
      </c>
      <c r="O572" s="55" t="s">
        <v>228</v>
      </c>
      <c r="P572" s="55" t="s">
        <v>459</v>
      </c>
      <c r="Q572" s="55" t="s">
        <v>350</v>
      </c>
      <c r="R572" s="55">
        <v>1</v>
      </c>
      <c r="S572" s="74"/>
      <c r="T572" s="55" t="s">
        <v>962</v>
      </c>
      <c r="U572" s="73" t="s">
        <v>351</v>
      </c>
      <c r="V572" s="74">
        <v>44426</v>
      </c>
      <c r="W572" s="74">
        <v>44456</v>
      </c>
      <c r="X572" s="55">
        <v>10186845</v>
      </c>
      <c r="Y572" s="74" t="s">
        <v>140</v>
      </c>
      <c r="Z572" s="74"/>
      <c r="AB572" s="55" t="s">
        <v>132</v>
      </c>
      <c r="AC572" s="55" t="s">
        <v>132</v>
      </c>
    </row>
    <row r="573" spans="1:29" ht="13" x14ac:dyDescent="0.15">
      <c r="A573" s="72" t="str">
        <f t="shared" si="8"/>
        <v>Ofsted Social Care Provider Webpage</v>
      </c>
      <c r="B573" s="55">
        <v>1278753</v>
      </c>
      <c r="D573" s="55" t="s">
        <v>373</v>
      </c>
      <c r="E573" s="74">
        <v>43349</v>
      </c>
      <c r="F573" s="55" t="s">
        <v>344</v>
      </c>
      <c r="G573" s="55" t="s">
        <v>360</v>
      </c>
      <c r="H573" s="55" t="s">
        <v>360</v>
      </c>
      <c r="I573" s="55" t="s">
        <v>360</v>
      </c>
      <c r="J573" s="55" t="s">
        <v>360</v>
      </c>
      <c r="K573" s="55" t="s">
        <v>360</v>
      </c>
      <c r="L573" s="55" t="s">
        <v>360</v>
      </c>
      <c r="M573" s="55" t="s">
        <v>144</v>
      </c>
      <c r="N573" s="55" t="s">
        <v>144</v>
      </c>
      <c r="O573" s="55" t="s">
        <v>236</v>
      </c>
      <c r="P573" s="55" t="s">
        <v>996</v>
      </c>
      <c r="Q573" s="55" t="s">
        <v>350</v>
      </c>
      <c r="R573" s="55">
        <v>3</v>
      </c>
      <c r="S573" s="74"/>
      <c r="T573" s="55" t="s">
        <v>1064</v>
      </c>
      <c r="U573" s="73" t="s">
        <v>351</v>
      </c>
      <c r="V573" s="74">
        <v>44530</v>
      </c>
      <c r="W573" s="74">
        <v>44571</v>
      </c>
      <c r="X573" s="55">
        <v>10185604</v>
      </c>
      <c r="Y573" s="74" t="s">
        <v>140</v>
      </c>
      <c r="Z573" s="74"/>
      <c r="AB573" s="55" t="s">
        <v>140</v>
      </c>
      <c r="AC573" s="55" t="s">
        <v>140</v>
      </c>
    </row>
    <row r="574" spans="1:29" ht="13" x14ac:dyDescent="0.15">
      <c r="A574" s="72" t="str">
        <f t="shared" si="8"/>
        <v>Ofsted Social Care Provider Webpage</v>
      </c>
      <c r="B574" s="55">
        <v>1278806</v>
      </c>
      <c r="D574" s="55" t="s">
        <v>373</v>
      </c>
      <c r="E574" s="74">
        <v>43349</v>
      </c>
      <c r="F574" s="55" t="s">
        <v>344</v>
      </c>
      <c r="G574" s="55" t="s">
        <v>360</v>
      </c>
      <c r="H574" s="55" t="s">
        <v>360</v>
      </c>
      <c r="I574" s="55" t="s">
        <v>360</v>
      </c>
      <c r="J574" s="55" t="s">
        <v>360</v>
      </c>
      <c r="K574" s="55" t="s">
        <v>360</v>
      </c>
      <c r="L574" s="55" t="s">
        <v>360</v>
      </c>
      <c r="M574" s="55" t="s">
        <v>142</v>
      </c>
      <c r="N574" s="55" t="s">
        <v>142</v>
      </c>
      <c r="O574" s="55" t="s">
        <v>166</v>
      </c>
      <c r="P574" s="55" t="s">
        <v>1301</v>
      </c>
      <c r="Q574" s="55" t="s">
        <v>380</v>
      </c>
      <c r="R574" s="55">
        <v>4</v>
      </c>
      <c r="S574" s="74"/>
      <c r="T574" s="55" t="s">
        <v>1302</v>
      </c>
      <c r="U574" s="73" t="s">
        <v>351</v>
      </c>
      <c r="V574" s="74">
        <v>44635</v>
      </c>
      <c r="W574" s="74">
        <v>44677</v>
      </c>
      <c r="X574" s="55">
        <v>10185864</v>
      </c>
      <c r="Y574" s="74" t="s">
        <v>132</v>
      </c>
      <c r="Z574" s="74"/>
      <c r="AB574" s="55" t="s">
        <v>132</v>
      </c>
      <c r="AC574" s="55" t="s">
        <v>132</v>
      </c>
    </row>
    <row r="575" spans="1:29" ht="13" x14ac:dyDescent="0.15">
      <c r="A575" s="72" t="str">
        <f t="shared" si="8"/>
        <v>Ofsted Social Care Provider Webpage</v>
      </c>
      <c r="B575" s="55">
        <v>1278873</v>
      </c>
      <c r="D575" s="55" t="s">
        <v>373</v>
      </c>
      <c r="E575" s="74">
        <v>43367</v>
      </c>
      <c r="F575" s="55" t="s">
        <v>344</v>
      </c>
      <c r="G575" s="55" t="s">
        <v>360</v>
      </c>
      <c r="H575" s="55" t="s">
        <v>360</v>
      </c>
      <c r="I575" s="55" t="s">
        <v>360</v>
      </c>
      <c r="J575" s="55" t="s">
        <v>360</v>
      </c>
      <c r="K575" s="55" t="s">
        <v>360</v>
      </c>
      <c r="L575" s="55" t="s">
        <v>360</v>
      </c>
      <c r="M575" s="55" t="s">
        <v>138</v>
      </c>
      <c r="N575" s="55" t="s">
        <v>138</v>
      </c>
      <c r="O575" s="55" t="s">
        <v>183</v>
      </c>
      <c r="P575" s="55" t="s">
        <v>664</v>
      </c>
      <c r="Q575" s="55" t="s">
        <v>350</v>
      </c>
      <c r="R575" s="55">
        <v>6</v>
      </c>
      <c r="S575" s="74"/>
      <c r="T575" s="55" t="s">
        <v>1303</v>
      </c>
      <c r="U575" s="73" t="s">
        <v>351</v>
      </c>
      <c r="V575" s="74">
        <v>44474</v>
      </c>
      <c r="W575" s="74">
        <v>44510</v>
      </c>
      <c r="X575" s="55">
        <v>10186420</v>
      </c>
      <c r="Y575" s="74" t="s">
        <v>132</v>
      </c>
      <c r="Z575" s="74"/>
      <c r="AB575" s="55" t="s">
        <v>132</v>
      </c>
      <c r="AC575" s="55" t="s">
        <v>132</v>
      </c>
    </row>
    <row r="576" spans="1:29" ht="13" x14ac:dyDescent="0.15">
      <c r="A576" s="72" t="str">
        <f t="shared" si="8"/>
        <v>Ofsted Social Care Provider Webpage</v>
      </c>
      <c r="B576" s="55">
        <v>1278959</v>
      </c>
      <c r="D576" s="55" t="s">
        <v>373</v>
      </c>
      <c r="E576" s="74">
        <v>43235</v>
      </c>
      <c r="F576" s="55" t="s">
        <v>344</v>
      </c>
      <c r="G576" s="55" t="s">
        <v>360</v>
      </c>
      <c r="H576" s="55" t="s">
        <v>360</v>
      </c>
      <c r="I576" s="55" t="s">
        <v>360</v>
      </c>
      <c r="J576" s="55" t="s">
        <v>360</v>
      </c>
      <c r="K576" s="55" t="s">
        <v>360</v>
      </c>
      <c r="L576" s="55" t="s">
        <v>360</v>
      </c>
      <c r="M576" s="55" t="s">
        <v>129</v>
      </c>
      <c r="N576" s="55" t="s">
        <v>129</v>
      </c>
      <c r="O576" s="55" t="s">
        <v>152</v>
      </c>
      <c r="P576" s="55" t="s">
        <v>1130</v>
      </c>
      <c r="Q576" s="55" t="s">
        <v>350</v>
      </c>
      <c r="R576" s="55">
        <v>3</v>
      </c>
      <c r="S576" s="74"/>
      <c r="T576" s="55" t="s">
        <v>1304</v>
      </c>
      <c r="U576" s="73" t="s">
        <v>351</v>
      </c>
      <c r="V576" s="74">
        <v>44586</v>
      </c>
      <c r="W576" s="74">
        <v>44621</v>
      </c>
      <c r="X576" s="55">
        <v>10185166</v>
      </c>
      <c r="Y576" s="74" t="s">
        <v>130</v>
      </c>
      <c r="Z576" s="74"/>
      <c r="AB576" s="55" t="s">
        <v>130</v>
      </c>
      <c r="AC576" s="55" t="s">
        <v>130</v>
      </c>
    </row>
    <row r="577" spans="1:29" ht="13" x14ac:dyDescent="0.15">
      <c r="A577" s="72" t="str">
        <f t="shared" si="8"/>
        <v>Ofsted Social Care Provider Webpage</v>
      </c>
      <c r="B577" s="55">
        <v>1278966</v>
      </c>
      <c r="D577" s="55" t="s">
        <v>479</v>
      </c>
      <c r="E577" s="74">
        <v>43332</v>
      </c>
      <c r="F577" s="55" t="s">
        <v>344</v>
      </c>
      <c r="G577" s="55" t="s">
        <v>360</v>
      </c>
      <c r="H577" s="55" t="s">
        <v>360</v>
      </c>
      <c r="I577" s="55" t="s">
        <v>360</v>
      </c>
      <c r="J577" s="55" t="s">
        <v>360</v>
      </c>
      <c r="K577" s="55" t="s">
        <v>360</v>
      </c>
      <c r="L577" s="55" t="s">
        <v>360</v>
      </c>
      <c r="M577" s="55" t="s">
        <v>172</v>
      </c>
      <c r="N577" s="55" t="s">
        <v>172</v>
      </c>
      <c r="O577" s="55" t="s">
        <v>173</v>
      </c>
      <c r="P577" s="55" t="s">
        <v>1305</v>
      </c>
      <c r="Q577" s="55" t="s">
        <v>350</v>
      </c>
      <c r="R577" s="55">
        <v>6</v>
      </c>
      <c r="S577" s="74"/>
      <c r="T577" s="55" t="s">
        <v>1306</v>
      </c>
      <c r="U577" s="73" t="s">
        <v>351</v>
      </c>
      <c r="V577" s="74">
        <v>44600</v>
      </c>
      <c r="W577" s="74">
        <v>44644</v>
      </c>
      <c r="X577" s="55">
        <v>10185074</v>
      </c>
      <c r="Y577" s="74" t="s">
        <v>132</v>
      </c>
      <c r="Z577" s="74"/>
      <c r="AB577" s="55" t="s">
        <v>132</v>
      </c>
      <c r="AC577" s="55" t="s">
        <v>132</v>
      </c>
    </row>
    <row r="578" spans="1:29" ht="13" x14ac:dyDescent="0.15">
      <c r="A578" s="72" t="str">
        <f t="shared" si="8"/>
        <v>Ofsted Social Care Provider Webpage</v>
      </c>
      <c r="B578" s="55">
        <v>1278968</v>
      </c>
      <c r="D578" s="55" t="s">
        <v>373</v>
      </c>
      <c r="E578" s="74">
        <v>43322</v>
      </c>
      <c r="F578" s="55" t="s">
        <v>344</v>
      </c>
      <c r="G578" s="55" t="s">
        <v>360</v>
      </c>
      <c r="H578" s="55" t="s">
        <v>360</v>
      </c>
      <c r="I578" s="55" t="s">
        <v>360</v>
      </c>
      <c r="J578" s="55" t="s">
        <v>360</v>
      </c>
      <c r="K578" s="55" t="s">
        <v>360</v>
      </c>
      <c r="L578" s="55" t="s">
        <v>360</v>
      </c>
      <c r="M578" s="55" t="s">
        <v>144</v>
      </c>
      <c r="N578" s="55" t="s">
        <v>144</v>
      </c>
      <c r="O578" s="55" t="s">
        <v>209</v>
      </c>
      <c r="P578" s="55" t="s">
        <v>364</v>
      </c>
      <c r="Q578" s="55" t="s">
        <v>380</v>
      </c>
      <c r="R578" s="55">
        <v>4</v>
      </c>
      <c r="S578" s="74"/>
      <c r="T578" s="55" t="s">
        <v>657</v>
      </c>
      <c r="U578" s="73" t="s">
        <v>351</v>
      </c>
      <c r="V578" s="74">
        <v>43787</v>
      </c>
      <c r="W578" s="74">
        <v>43811</v>
      </c>
      <c r="X578" s="55">
        <v>10098077</v>
      </c>
      <c r="Y578" s="74" t="s">
        <v>132</v>
      </c>
      <c r="Z578" s="74"/>
      <c r="AB578" s="55" t="s">
        <v>132</v>
      </c>
      <c r="AC578" s="55" t="s">
        <v>132</v>
      </c>
    </row>
    <row r="579" spans="1:29" ht="13" x14ac:dyDescent="0.15">
      <c r="A579" s="72" t="str">
        <f t="shared" si="8"/>
        <v>Ofsted Social Care Provider Webpage</v>
      </c>
      <c r="B579" s="55">
        <v>1280210</v>
      </c>
      <c r="D579" s="55" t="s">
        <v>373</v>
      </c>
      <c r="E579" s="74">
        <v>43314</v>
      </c>
      <c r="F579" s="55" t="s">
        <v>344</v>
      </c>
      <c r="G579" s="55" t="s">
        <v>360</v>
      </c>
      <c r="H579" s="55" t="s">
        <v>360</v>
      </c>
      <c r="I579" s="55" t="s">
        <v>360</v>
      </c>
      <c r="J579" s="55" t="s">
        <v>360</v>
      </c>
      <c r="K579" s="55" t="s">
        <v>360</v>
      </c>
      <c r="L579" s="55" t="s">
        <v>360</v>
      </c>
      <c r="M579" s="55" t="s">
        <v>142</v>
      </c>
      <c r="N579" s="55" t="s">
        <v>142</v>
      </c>
      <c r="O579" s="55" t="s">
        <v>262</v>
      </c>
      <c r="P579" s="55" t="s">
        <v>488</v>
      </c>
      <c r="Q579" s="55" t="s">
        <v>350</v>
      </c>
      <c r="R579" s="55">
        <v>2</v>
      </c>
      <c r="S579" s="74"/>
      <c r="T579" s="55" t="s">
        <v>1307</v>
      </c>
      <c r="U579" s="73" t="s">
        <v>351</v>
      </c>
      <c r="V579" s="74">
        <v>44341</v>
      </c>
      <c r="W579" s="74">
        <v>44375</v>
      </c>
      <c r="X579" s="55">
        <v>10185460</v>
      </c>
      <c r="Y579" s="74" t="s">
        <v>132</v>
      </c>
      <c r="Z579" s="74"/>
      <c r="AB579" s="55" t="s">
        <v>132</v>
      </c>
      <c r="AC579" s="55" t="s">
        <v>132</v>
      </c>
    </row>
    <row r="580" spans="1:29" ht="13" x14ac:dyDescent="0.15">
      <c r="A580" s="72" t="str">
        <f t="shared" si="8"/>
        <v>Ofsted Social Care Provider Webpage</v>
      </c>
      <c r="B580" s="55">
        <v>1280297</v>
      </c>
      <c r="D580" s="55" t="s">
        <v>389</v>
      </c>
      <c r="E580" s="74">
        <v>43320</v>
      </c>
      <c r="F580" s="55" t="s">
        <v>344</v>
      </c>
      <c r="G580" s="55" t="s">
        <v>1308</v>
      </c>
      <c r="H580" s="55" t="s">
        <v>1308</v>
      </c>
      <c r="I580" s="55" t="s">
        <v>1309</v>
      </c>
      <c r="J580" s="55" t="s">
        <v>1310</v>
      </c>
      <c r="L580" s="55" t="s">
        <v>1311</v>
      </c>
      <c r="M580" s="55" t="s">
        <v>129</v>
      </c>
      <c r="N580" s="55" t="s">
        <v>129</v>
      </c>
      <c r="O580" s="55" t="s">
        <v>205</v>
      </c>
      <c r="P580" s="55" t="s">
        <v>1312</v>
      </c>
      <c r="Q580" s="55" t="s">
        <v>362</v>
      </c>
      <c r="R580" s="55"/>
      <c r="S580" s="74"/>
      <c r="T580" s="55" t="s">
        <v>1313</v>
      </c>
      <c r="U580" s="73" t="s">
        <v>351</v>
      </c>
      <c r="V580" s="74">
        <v>43717</v>
      </c>
      <c r="W580" s="74">
        <v>43756</v>
      </c>
      <c r="X580" s="55">
        <v>10093285</v>
      </c>
      <c r="Y580" s="74" t="s">
        <v>132</v>
      </c>
      <c r="Z580" s="74"/>
      <c r="AB580" s="55" t="s">
        <v>132</v>
      </c>
      <c r="AC580" s="55" t="s">
        <v>132</v>
      </c>
    </row>
    <row r="581" spans="1:29" ht="13" x14ac:dyDescent="0.15">
      <c r="A581" s="72" t="str">
        <f t="shared" si="8"/>
        <v>Ofsted Social Care Provider Webpage</v>
      </c>
      <c r="B581" s="55">
        <v>1280370</v>
      </c>
      <c r="D581" s="55" t="s">
        <v>373</v>
      </c>
      <c r="E581" s="74">
        <v>43297</v>
      </c>
      <c r="F581" s="55" t="s">
        <v>344</v>
      </c>
      <c r="G581" s="55" t="s">
        <v>360</v>
      </c>
      <c r="H581" s="55" t="s">
        <v>360</v>
      </c>
      <c r="I581" s="55" t="s">
        <v>360</v>
      </c>
      <c r="J581" s="55" t="s">
        <v>360</v>
      </c>
      <c r="K581" s="55" t="s">
        <v>360</v>
      </c>
      <c r="L581" s="55" t="s">
        <v>360</v>
      </c>
      <c r="M581" s="55" t="s">
        <v>144</v>
      </c>
      <c r="N581" s="55" t="s">
        <v>144</v>
      </c>
      <c r="O581" s="55" t="s">
        <v>236</v>
      </c>
      <c r="P581" s="55" t="s">
        <v>996</v>
      </c>
      <c r="Q581" s="55" t="s">
        <v>350</v>
      </c>
      <c r="R581" s="55">
        <v>2</v>
      </c>
      <c r="S581" s="74"/>
      <c r="T581" s="55" t="s">
        <v>711</v>
      </c>
      <c r="U581" s="73" t="s">
        <v>351</v>
      </c>
      <c r="V581" s="74">
        <v>44546</v>
      </c>
      <c r="W581" s="74">
        <v>44589</v>
      </c>
      <c r="X581" s="55">
        <v>10186832</v>
      </c>
      <c r="Y581" s="74" t="s">
        <v>140</v>
      </c>
      <c r="Z581" s="74"/>
      <c r="AB581" s="55" t="s">
        <v>140</v>
      </c>
      <c r="AC581" s="55" t="s">
        <v>140</v>
      </c>
    </row>
    <row r="582" spans="1:29" ht="13" x14ac:dyDescent="0.15">
      <c r="A582" s="72" t="str">
        <f t="shared" ref="A582:A645" si="9">HYPERLINK(_xlfn.CONCAT("http://reports.ofsted.gov.uk/inspection-reports/find-inspection-report/provider/CARE/",B582),"Ofsted Social Care Provider Webpage")</f>
        <v>Ofsted Social Care Provider Webpage</v>
      </c>
      <c r="B582" s="55">
        <v>1280371</v>
      </c>
      <c r="D582" s="55" t="s">
        <v>373</v>
      </c>
      <c r="E582" s="74">
        <v>43297</v>
      </c>
      <c r="F582" s="55" t="s">
        <v>344</v>
      </c>
      <c r="G582" s="55" t="s">
        <v>360</v>
      </c>
      <c r="H582" s="55" t="s">
        <v>360</v>
      </c>
      <c r="I582" s="55" t="s">
        <v>360</v>
      </c>
      <c r="J582" s="55" t="s">
        <v>360</v>
      </c>
      <c r="K582" s="55" t="s">
        <v>360</v>
      </c>
      <c r="L582" s="55" t="s">
        <v>360</v>
      </c>
      <c r="M582" s="55" t="s">
        <v>144</v>
      </c>
      <c r="N582" s="55" t="s">
        <v>144</v>
      </c>
      <c r="O582" s="55" t="s">
        <v>236</v>
      </c>
      <c r="P582" s="55" t="s">
        <v>996</v>
      </c>
      <c r="Q582" s="55" t="s">
        <v>350</v>
      </c>
      <c r="R582" s="55">
        <v>2</v>
      </c>
      <c r="S582" s="74"/>
      <c r="T582" s="55" t="s">
        <v>711</v>
      </c>
      <c r="U582" s="73" t="s">
        <v>351</v>
      </c>
      <c r="V582" s="74">
        <v>44593</v>
      </c>
      <c r="W582" s="74">
        <v>44622</v>
      </c>
      <c r="X582" s="55">
        <v>10186696</v>
      </c>
      <c r="Y582" s="74" t="s">
        <v>132</v>
      </c>
      <c r="Z582" s="74"/>
      <c r="AB582" s="55" t="s">
        <v>132</v>
      </c>
      <c r="AC582" s="55" t="s">
        <v>140</v>
      </c>
    </row>
    <row r="583" spans="1:29" ht="13" x14ac:dyDescent="0.15">
      <c r="A583" s="72" t="str">
        <f t="shared" si="9"/>
        <v>Ofsted Social Care Provider Webpage</v>
      </c>
      <c r="B583" s="55">
        <v>1280412</v>
      </c>
      <c r="D583" s="55" t="s">
        <v>373</v>
      </c>
      <c r="E583" s="74">
        <v>43276</v>
      </c>
      <c r="F583" s="55" t="s">
        <v>344</v>
      </c>
      <c r="G583" s="55" t="s">
        <v>360</v>
      </c>
      <c r="H583" s="55" t="s">
        <v>360</v>
      </c>
      <c r="I583" s="55" t="s">
        <v>360</v>
      </c>
      <c r="J583" s="55" t="s">
        <v>360</v>
      </c>
      <c r="K583" s="55" t="s">
        <v>360</v>
      </c>
      <c r="L583" s="55" t="s">
        <v>360</v>
      </c>
      <c r="M583" s="55" t="s">
        <v>144</v>
      </c>
      <c r="N583" s="55" t="s">
        <v>144</v>
      </c>
      <c r="O583" s="55" t="s">
        <v>287</v>
      </c>
      <c r="P583" s="55" t="s">
        <v>1103</v>
      </c>
      <c r="Q583" s="55" t="s">
        <v>350</v>
      </c>
      <c r="R583" s="55">
        <v>4</v>
      </c>
      <c r="S583" s="74"/>
      <c r="T583" s="55" t="s">
        <v>1100</v>
      </c>
      <c r="U583" s="73" t="s">
        <v>351</v>
      </c>
      <c r="V583" s="74">
        <v>44566</v>
      </c>
      <c r="W583" s="74">
        <v>44603</v>
      </c>
      <c r="X583" s="55">
        <v>10186624</v>
      </c>
      <c r="Y583" s="74" t="s">
        <v>146</v>
      </c>
      <c r="Z583" s="74"/>
      <c r="AB583" s="55" t="s">
        <v>146</v>
      </c>
      <c r="AC583" s="55" t="s">
        <v>146</v>
      </c>
    </row>
    <row r="584" spans="1:29" ht="13" x14ac:dyDescent="0.15">
      <c r="A584" s="72" t="str">
        <f t="shared" si="9"/>
        <v>Ofsted Social Care Provider Webpage</v>
      </c>
      <c r="B584" s="55">
        <v>1280478</v>
      </c>
      <c r="D584" s="55" t="s">
        <v>373</v>
      </c>
      <c r="E584" s="74">
        <v>43792</v>
      </c>
      <c r="F584" s="55" t="s">
        <v>344</v>
      </c>
      <c r="G584" s="55" t="s">
        <v>360</v>
      </c>
      <c r="H584" s="55" t="s">
        <v>360</v>
      </c>
      <c r="I584" s="55" t="s">
        <v>360</v>
      </c>
      <c r="J584" s="55" t="s">
        <v>360</v>
      </c>
      <c r="K584" s="55" t="s">
        <v>360</v>
      </c>
      <c r="L584" s="55" t="s">
        <v>360</v>
      </c>
      <c r="M584" s="55" t="s">
        <v>142</v>
      </c>
      <c r="N584" s="55" t="s">
        <v>142</v>
      </c>
      <c r="O584" s="55" t="s">
        <v>262</v>
      </c>
      <c r="P584" s="55" t="s">
        <v>850</v>
      </c>
      <c r="Q584" s="55" t="s">
        <v>350</v>
      </c>
      <c r="R584" s="55">
        <v>2</v>
      </c>
      <c r="S584" s="74"/>
      <c r="T584" s="55" t="s">
        <v>1216</v>
      </c>
      <c r="U584" s="73"/>
      <c r="W584" s="74"/>
      <c r="Y584" s="74"/>
      <c r="Z584" s="74"/>
    </row>
    <row r="585" spans="1:29" ht="13" x14ac:dyDescent="0.15">
      <c r="A585" s="72" t="str">
        <f t="shared" si="9"/>
        <v>Ofsted Social Care Provider Webpage</v>
      </c>
      <c r="B585" s="55">
        <v>1280530</v>
      </c>
      <c r="D585" s="55" t="s">
        <v>389</v>
      </c>
      <c r="E585" s="74">
        <v>43455</v>
      </c>
      <c r="F585" s="55" t="s">
        <v>344</v>
      </c>
      <c r="G585" s="55" t="s">
        <v>1314</v>
      </c>
      <c r="H585" s="55" t="s">
        <v>1315</v>
      </c>
      <c r="I585" s="55" t="s">
        <v>1316</v>
      </c>
      <c r="J585" s="55" t="s">
        <v>1147</v>
      </c>
      <c r="K585" s="55" t="s">
        <v>142</v>
      </c>
      <c r="L585" s="55" t="s">
        <v>1317</v>
      </c>
      <c r="M585" s="55" t="s">
        <v>142</v>
      </c>
      <c r="N585" s="55" t="s">
        <v>142</v>
      </c>
      <c r="O585" s="55" t="s">
        <v>249</v>
      </c>
      <c r="P585" s="55" t="s">
        <v>1318</v>
      </c>
      <c r="Q585" s="55" t="s">
        <v>350</v>
      </c>
      <c r="R585" s="55"/>
      <c r="S585" s="74"/>
      <c r="T585" s="55" t="s">
        <v>1314</v>
      </c>
      <c r="U585" s="73" t="s">
        <v>351</v>
      </c>
      <c r="V585" s="74">
        <v>44466</v>
      </c>
      <c r="W585" s="74">
        <v>44495</v>
      </c>
      <c r="X585" s="55">
        <v>10183203</v>
      </c>
      <c r="Y585" s="74" t="s">
        <v>132</v>
      </c>
      <c r="Z585" s="74"/>
      <c r="AB585" s="55" t="s">
        <v>132</v>
      </c>
      <c r="AC585" s="55" t="s">
        <v>130</v>
      </c>
    </row>
    <row r="586" spans="1:29" ht="13" x14ac:dyDescent="0.15">
      <c r="A586" s="72" t="str">
        <f t="shared" si="9"/>
        <v>Ofsted Social Care Provider Webpage</v>
      </c>
      <c r="B586" s="55">
        <v>1280578</v>
      </c>
      <c r="D586" s="55" t="s">
        <v>373</v>
      </c>
      <c r="E586" s="74">
        <v>43280</v>
      </c>
      <c r="F586" s="55" t="s">
        <v>344</v>
      </c>
      <c r="G586" s="55" t="s">
        <v>360</v>
      </c>
      <c r="H586" s="55" t="s">
        <v>360</v>
      </c>
      <c r="I586" s="55" t="s">
        <v>360</v>
      </c>
      <c r="J586" s="55" t="s">
        <v>360</v>
      </c>
      <c r="K586" s="55" t="s">
        <v>360</v>
      </c>
      <c r="L586" s="55" t="s">
        <v>360</v>
      </c>
      <c r="M586" s="55" t="s">
        <v>136</v>
      </c>
      <c r="N586" s="55" t="s">
        <v>136</v>
      </c>
      <c r="O586" s="55" t="s">
        <v>185</v>
      </c>
      <c r="P586" s="55" t="s">
        <v>898</v>
      </c>
      <c r="Q586" s="55" t="s">
        <v>350</v>
      </c>
      <c r="R586" s="55">
        <v>6</v>
      </c>
      <c r="S586" s="74"/>
      <c r="T586" s="55" t="s">
        <v>1319</v>
      </c>
      <c r="U586" s="73" t="s">
        <v>351</v>
      </c>
      <c r="V586" s="74">
        <v>43739</v>
      </c>
      <c r="W586" s="74">
        <v>43760</v>
      </c>
      <c r="X586" s="55">
        <v>10098048</v>
      </c>
      <c r="Y586" s="74" t="s">
        <v>132</v>
      </c>
      <c r="Z586" s="74"/>
      <c r="AB586" s="55" t="s">
        <v>132</v>
      </c>
      <c r="AC586" s="55" t="s">
        <v>140</v>
      </c>
    </row>
    <row r="587" spans="1:29" ht="13" x14ac:dyDescent="0.15">
      <c r="A587" s="72" t="str">
        <f t="shared" si="9"/>
        <v>Ofsted Social Care Provider Webpage</v>
      </c>
      <c r="B587" s="55">
        <v>1280623</v>
      </c>
      <c r="D587" s="55" t="s">
        <v>373</v>
      </c>
      <c r="E587" s="74">
        <v>43389</v>
      </c>
      <c r="F587" s="55" t="s">
        <v>344</v>
      </c>
      <c r="G587" s="55" t="s">
        <v>360</v>
      </c>
      <c r="H587" s="55" t="s">
        <v>360</v>
      </c>
      <c r="I587" s="55" t="s">
        <v>360</v>
      </c>
      <c r="J587" s="55" t="s">
        <v>360</v>
      </c>
      <c r="K587" s="55" t="s">
        <v>360</v>
      </c>
      <c r="L587" s="55" t="s">
        <v>360</v>
      </c>
      <c r="M587" s="55" t="s">
        <v>142</v>
      </c>
      <c r="N587" s="55" t="s">
        <v>142</v>
      </c>
      <c r="O587" s="55" t="s">
        <v>292</v>
      </c>
      <c r="P587" s="55" t="s">
        <v>976</v>
      </c>
      <c r="Q587" s="55" t="s">
        <v>350</v>
      </c>
      <c r="R587" s="55">
        <v>3</v>
      </c>
      <c r="S587" s="74"/>
      <c r="T587" s="55" t="s">
        <v>1320</v>
      </c>
      <c r="U587" s="73" t="s">
        <v>351</v>
      </c>
      <c r="V587" s="74">
        <v>44307</v>
      </c>
      <c r="W587" s="74">
        <v>44348</v>
      </c>
      <c r="X587" s="55">
        <v>10187628</v>
      </c>
      <c r="Y587" s="74" t="s">
        <v>130</v>
      </c>
      <c r="Z587" s="74"/>
      <c r="AB587" s="55" t="s">
        <v>130</v>
      </c>
      <c r="AC587" s="55" t="s">
        <v>130</v>
      </c>
    </row>
    <row r="588" spans="1:29" ht="13" x14ac:dyDescent="0.15">
      <c r="A588" s="72" t="str">
        <f t="shared" si="9"/>
        <v>Ofsted Social Care Provider Webpage</v>
      </c>
      <c r="B588" s="55">
        <v>1280629</v>
      </c>
      <c r="D588" s="55" t="s">
        <v>373</v>
      </c>
      <c r="E588" s="74">
        <v>43313</v>
      </c>
      <c r="F588" s="55" t="s">
        <v>344</v>
      </c>
      <c r="G588" s="55" t="s">
        <v>360</v>
      </c>
      <c r="H588" s="55" t="s">
        <v>360</v>
      </c>
      <c r="I588" s="55" t="s">
        <v>360</v>
      </c>
      <c r="J588" s="55" t="s">
        <v>360</v>
      </c>
      <c r="K588" s="55" t="s">
        <v>360</v>
      </c>
      <c r="L588" s="55" t="s">
        <v>360</v>
      </c>
      <c r="M588" s="55" t="s">
        <v>142</v>
      </c>
      <c r="N588" s="55" t="s">
        <v>142</v>
      </c>
      <c r="O588" s="55" t="s">
        <v>262</v>
      </c>
      <c r="P588" s="55" t="s">
        <v>618</v>
      </c>
      <c r="Q588" s="55" t="s">
        <v>350</v>
      </c>
      <c r="R588" s="55">
        <v>3</v>
      </c>
      <c r="S588" s="74"/>
      <c r="T588" s="55" t="s">
        <v>385</v>
      </c>
      <c r="U588" s="73" t="s">
        <v>351</v>
      </c>
      <c r="V588" s="74">
        <v>44544</v>
      </c>
      <c r="W588" s="74">
        <v>44589</v>
      </c>
      <c r="X588" s="55">
        <v>10185157</v>
      </c>
      <c r="Y588" s="74" t="s">
        <v>132</v>
      </c>
      <c r="Z588" s="74"/>
      <c r="AB588" s="55" t="s">
        <v>132</v>
      </c>
      <c r="AC588" s="55" t="s">
        <v>132</v>
      </c>
    </row>
    <row r="589" spans="1:29" ht="13" x14ac:dyDescent="0.15">
      <c r="A589" s="72" t="str">
        <f t="shared" si="9"/>
        <v>Ofsted Social Care Provider Webpage</v>
      </c>
      <c r="B589" s="55">
        <v>1378486</v>
      </c>
      <c r="D589" s="55" t="s">
        <v>389</v>
      </c>
      <c r="E589" s="74">
        <v>43255</v>
      </c>
      <c r="F589" s="55" t="s">
        <v>344</v>
      </c>
      <c r="G589" s="55" t="s">
        <v>1321</v>
      </c>
      <c r="H589" s="55" t="s">
        <v>1322</v>
      </c>
      <c r="I589" s="55" t="s">
        <v>354</v>
      </c>
      <c r="J589" s="55" t="s">
        <v>1323</v>
      </c>
      <c r="K589" s="55" t="s">
        <v>174</v>
      </c>
      <c r="L589" s="55" t="s">
        <v>1324</v>
      </c>
      <c r="M589" s="55" t="s">
        <v>136</v>
      </c>
      <c r="N589" s="55" t="s">
        <v>136</v>
      </c>
      <c r="O589" s="55" t="s">
        <v>174</v>
      </c>
      <c r="P589" s="55" t="s">
        <v>857</v>
      </c>
      <c r="Q589" s="55" t="s">
        <v>350</v>
      </c>
      <c r="R589" s="55"/>
      <c r="S589" s="74"/>
      <c r="T589" s="55" t="s">
        <v>1325</v>
      </c>
      <c r="U589" s="73" t="s">
        <v>351</v>
      </c>
      <c r="V589" s="74">
        <v>43738</v>
      </c>
      <c r="W589" s="74">
        <v>43769</v>
      </c>
      <c r="X589" s="55">
        <v>10093281</v>
      </c>
      <c r="Y589" s="74" t="s">
        <v>130</v>
      </c>
      <c r="Z589" s="74"/>
      <c r="AB589" s="55" t="s">
        <v>130</v>
      </c>
      <c r="AC589" s="55" t="s">
        <v>130</v>
      </c>
    </row>
    <row r="590" spans="1:29" ht="13" x14ac:dyDescent="0.15">
      <c r="A590" s="72" t="str">
        <f t="shared" si="9"/>
        <v>Ofsted Social Care Provider Webpage</v>
      </c>
      <c r="B590" s="55">
        <v>2483425</v>
      </c>
      <c r="D590" s="55" t="s">
        <v>451</v>
      </c>
      <c r="E590" s="74">
        <v>43342</v>
      </c>
      <c r="F590" s="55" t="s">
        <v>344</v>
      </c>
      <c r="G590" s="55" t="s">
        <v>1326</v>
      </c>
      <c r="H590" s="55" t="s">
        <v>1327</v>
      </c>
      <c r="I590" s="55" t="s">
        <v>1328</v>
      </c>
      <c r="J590" s="55" t="s">
        <v>1329</v>
      </c>
      <c r="K590" s="55" t="s">
        <v>209</v>
      </c>
      <c r="L590" s="55" t="s">
        <v>1330</v>
      </c>
      <c r="M590" s="55" t="s">
        <v>144</v>
      </c>
      <c r="N590" s="55" t="s">
        <v>144</v>
      </c>
      <c r="O590" s="55" t="s">
        <v>143</v>
      </c>
      <c r="P590" s="55" t="s">
        <v>650</v>
      </c>
      <c r="Q590" s="55" t="s">
        <v>350</v>
      </c>
      <c r="R590" s="55">
        <v>5</v>
      </c>
      <c r="S590" s="74"/>
      <c r="T590" s="55" t="s">
        <v>1326</v>
      </c>
      <c r="U590" s="73" t="s">
        <v>351</v>
      </c>
      <c r="V590" s="74">
        <v>43697</v>
      </c>
      <c r="W590" s="74">
        <v>43847</v>
      </c>
      <c r="X590" s="55">
        <v>10094995</v>
      </c>
      <c r="Y590" s="74" t="s">
        <v>132</v>
      </c>
      <c r="Z590" s="74"/>
      <c r="AB590" s="55" t="s">
        <v>132</v>
      </c>
      <c r="AC590" s="55" t="s">
        <v>132</v>
      </c>
    </row>
    <row r="591" spans="1:29" ht="13" x14ac:dyDescent="0.15">
      <c r="A591" s="72" t="str">
        <f t="shared" si="9"/>
        <v>Ofsted Social Care Provider Webpage</v>
      </c>
      <c r="B591" s="55">
        <v>2483691</v>
      </c>
      <c r="D591" s="55" t="s">
        <v>373</v>
      </c>
      <c r="E591" s="74">
        <v>43342</v>
      </c>
      <c r="F591" s="55" t="s">
        <v>344</v>
      </c>
      <c r="G591" s="55" t="s">
        <v>360</v>
      </c>
      <c r="H591" s="55" t="s">
        <v>360</v>
      </c>
      <c r="I591" s="55" t="s">
        <v>360</v>
      </c>
      <c r="J591" s="55" t="s">
        <v>360</v>
      </c>
      <c r="K591" s="55" t="s">
        <v>360</v>
      </c>
      <c r="L591" s="55" t="s">
        <v>360</v>
      </c>
      <c r="M591" s="55" t="s">
        <v>150</v>
      </c>
      <c r="N591" s="55" t="s">
        <v>150</v>
      </c>
      <c r="O591" s="55" t="s">
        <v>153</v>
      </c>
      <c r="P591" s="55" t="s">
        <v>1331</v>
      </c>
      <c r="Q591" s="55" t="s">
        <v>350</v>
      </c>
      <c r="R591" s="55">
        <v>6</v>
      </c>
      <c r="S591" s="74"/>
      <c r="T591" s="55" t="s">
        <v>1332</v>
      </c>
      <c r="U591" s="73" t="s">
        <v>351</v>
      </c>
      <c r="V591" s="74">
        <v>44328</v>
      </c>
      <c r="W591" s="74">
        <v>44368</v>
      </c>
      <c r="X591" s="55">
        <v>10187504</v>
      </c>
      <c r="Y591" s="74" t="s">
        <v>132</v>
      </c>
      <c r="Z591" s="74"/>
      <c r="AB591" s="55" t="s">
        <v>130</v>
      </c>
      <c r="AC591" s="55" t="s">
        <v>132</v>
      </c>
    </row>
    <row r="592" spans="1:29" ht="13" x14ac:dyDescent="0.15">
      <c r="A592" s="72" t="str">
        <f t="shared" si="9"/>
        <v>Ofsted Social Care Provider Webpage</v>
      </c>
      <c r="B592" s="55">
        <v>2483693</v>
      </c>
      <c r="D592" s="55" t="s">
        <v>373</v>
      </c>
      <c r="E592" s="74">
        <v>43303</v>
      </c>
      <c r="F592" s="55" t="s">
        <v>344</v>
      </c>
      <c r="G592" s="55" t="s">
        <v>360</v>
      </c>
      <c r="H592" s="55" t="s">
        <v>360</v>
      </c>
      <c r="I592" s="55" t="s">
        <v>360</v>
      </c>
      <c r="J592" s="55" t="s">
        <v>360</v>
      </c>
      <c r="K592" s="55" t="s">
        <v>360</v>
      </c>
      <c r="L592" s="55" t="s">
        <v>360</v>
      </c>
      <c r="M592" s="55" t="s">
        <v>172</v>
      </c>
      <c r="N592" s="55" t="s">
        <v>172</v>
      </c>
      <c r="O592" s="55" t="s">
        <v>212</v>
      </c>
      <c r="P592" s="55" t="s">
        <v>798</v>
      </c>
      <c r="Q592" s="55" t="s">
        <v>350</v>
      </c>
      <c r="R592" s="55">
        <v>3</v>
      </c>
      <c r="S592" s="74"/>
      <c r="T592" s="55" t="s">
        <v>517</v>
      </c>
      <c r="U592" s="73" t="s">
        <v>351</v>
      </c>
      <c r="V592" s="74">
        <v>44473</v>
      </c>
      <c r="W592" s="74">
        <v>44495</v>
      </c>
      <c r="X592" s="55">
        <v>10185647</v>
      </c>
      <c r="Y592" s="74" t="s">
        <v>140</v>
      </c>
      <c r="Z592" s="74"/>
      <c r="AB592" s="55" t="s">
        <v>132</v>
      </c>
      <c r="AC592" s="55" t="s">
        <v>140</v>
      </c>
    </row>
    <row r="593" spans="1:29" ht="13" x14ac:dyDescent="0.15">
      <c r="A593" s="72" t="str">
        <f t="shared" si="9"/>
        <v>Ofsted Social Care Provider Webpage</v>
      </c>
      <c r="B593" s="55">
        <v>2483715</v>
      </c>
      <c r="D593" s="55" t="s">
        <v>373</v>
      </c>
      <c r="E593" s="74">
        <v>43307</v>
      </c>
      <c r="F593" s="55" t="s">
        <v>344</v>
      </c>
      <c r="G593" s="55" t="s">
        <v>360</v>
      </c>
      <c r="H593" s="55" t="s">
        <v>360</v>
      </c>
      <c r="I593" s="55" t="s">
        <v>360</v>
      </c>
      <c r="J593" s="55" t="s">
        <v>360</v>
      </c>
      <c r="K593" s="55" t="s">
        <v>360</v>
      </c>
      <c r="L593" s="55" t="s">
        <v>360</v>
      </c>
      <c r="M593" s="55" t="s">
        <v>150</v>
      </c>
      <c r="N593" s="55" t="s">
        <v>150</v>
      </c>
      <c r="O593" s="55" t="s">
        <v>283</v>
      </c>
      <c r="P593" s="55" t="s">
        <v>1333</v>
      </c>
      <c r="Q593" s="55" t="s">
        <v>350</v>
      </c>
      <c r="R593" s="55">
        <v>5</v>
      </c>
      <c r="S593" s="74"/>
      <c r="T593" s="55" t="s">
        <v>890</v>
      </c>
      <c r="U593" s="73" t="s">
        <v>351</v>
      </c>
      <c r="V593" s="74">
        <v>44515</v>
      </c>
      <c r="W593" s="74">
        <v>44581</v>
      </c>
      <c r="X593" s="55">
        <v>10186998</v>
      </c>
      <c r="Y593" s="74" t="s">
        <v>132</v>
      </c>
      <c r="Z593" s="74"/>
      <c r="AB593" s="55" t="s">
        <v>132</v>
      </c>
      <c r="AC593" s="55" t="s">
        <v>132</v>
      </c>
    </row>
    <row r="594" spans="1:29" ht="13" x14ac:dyDescent="0.15">
      <c r="A594" s="72" t="str">
        <f t="shared" si="9"/>
        <v>Ofsted Social Care Provider Webpage</v>
      </c>
      <c r="B594" s="55">
        <v>2483718</v>
      </c>
      <c r="D594" s="55" t="s">
        <v>373</v>
      </c>
      <c r="E594" s="74">
        <v>43412</v>
      </c>
      <c r="F594" s="55" t="s">
        <v>344</v>
      </c>
      <c r="G594" s="55" t="s">
        <v>360</v>
      </c>
      <c r="H594" s="55" t="s">
        <v>360</v>
      </c>
      <c r="I594" s="55" t="s">
        <v>360</v>
      </c>
      <c r="J594" s="55" t="s">
        <v>360</v>
      </c>
      <c r="K594" s="55" t="s">
        <v>360</v>
      </c>
      <c r="L594" s="55" t="s">
        <v>360</v>
      </c>
      <c r="M594" s="55" t="s">
        <v>378</v>
      </c>
      <c r="N594" s="55" t="s">
        <v>170</v>
      </c>
      <c r="O594" s="55" t="s">
        <v>264</v>
      </c>
      <c r="P594" s="55" t="s">
        <v>1334</v>
      </c>
      <c r="Q594" s="55" t="s">
        <v>350</v>
      </c>
      <c r="R594" s="55">
        <v>5</v>
      </c>
      <c r="S594" s="74"/>
      <c r="T594" s="55" t="s">
        <v>1335</v>
      </c>
      <c r="U594" s="73" t="s">
        <v>351</v>
      </c>
      <c r="V594" s="74">
        <v>44580</v>
      </c>
      <c r="W594" s="74">
        <v>44623</v>
      </c>
      <c r="X594" s="55">
        <v>10187370</v>
      </c>
      <c r="Y594" s="74" t="s">
        <v>132</v>
      </c>
      <c r="Z594" s="74"/>
      <c r="AB594" s="55" t="s">
        <v>132</v>
      </c>
      <c r="AC594" s="55" t="s">
        <v>132</v>
      </c>
    </row>
    <row r="595" spans="1:29" ht="13" x14ac:dyDescent="0.15">
      <c r="A595" s="72" t="str">
        <f t="shared" si="9"/>
        <v>Ofsted Social Care Provider Webpage</v>
      </c>
      <c r="B595" s="55">
        <v>2483748</v>
      </c>
      <c r="D595" s="55" t="s">
        <v>451</v>
      </c>
      <c r="E595" s="74">
        <v>43504</v>
      </c>
      <c r="F595" s="55" t="s">
        <v>344</v>
      </c>
      <c r="G595" s="55" t="s">
        <v>1336</v>
      </c>
      <c r="H595" s="55" t="s">
        <v>1337</v>
      </c>
      <c r="I595" s="55" t="s">
        <v>354</v>
      </c>
      <c r="J595" s="55" t="s">
        <v>1338</v>
      </c>
      <c r="K595" s="55" t="s">
        <v>1339</v>
      </c>
      <c r="L595" s="55" t="s">
        <v>1340</v>
      </c>
      <c r="M595" s="55" t="s">
        <v>144</v>
      </c>
      <c r="N595" s="55" t="s">
        <v>144</v>
      </c>
      <c r="O595" s="55" t="s">
        <v>261</v>
      </c>
      <c r="P595" s="55" t="s">
        <v>512</v>
      </c>
      <c r="Q595" s="55" t="s">
        <v>350</v>
      </c>
      <c r="R595" s="55">
        <v>2</v>
      </c>
      <c r="S595" s="74"/>
      <c r="T595" s="55" t="s">
        <v>1341</v>
      </c>
      <c r="U595" s="73" t="s">
        <v>351</v>
      </c>
      <c r="V595" s="74">
        <v>43804</v>
      </c>
      <c r="W595" s="74">
        <v>43865</v>
      </c>
      <c r="X595" s="55">
        <v>10107412</v>
      </c>
      <c r="Y595" s="74" t="s">
        <v>146</v>
      </c>
      <c r="Z595" s="74"/>
      <c r="AB595" s="55" t="s">
        <v>146</v>
      </c>
      <c r="AC595" s="55" t="s">
        <v>146</v>
      </c>
    </row>
    <row r="596" spans="1:29" ht="13" x14ac:dyDescent="0.15">
      <c r="A596" s="72" t="str">
        <f t="shared" si="9"/>
        <v>Ofsted Social Care Provider Webpage</v>
      </c>
      <c r="B596" s="55">
        <v>2483789</v>
      </c>
      <c r="D596" s="55" t="s">
        <v>373</v>
      </c>
      <c r="E596" s="74">
        <v>43342</v>
      </c>
      <c r="F596" s="55" t="s">
        <v>344</v>
      </c>
      <c r="G596" s="55" t="s">
        <v>360</v>
      </c>
      <c r="H596" s="55" t="s">
        <v>360</v>
      </c>
      <c r="I596" s="55" t="s">
        <v>360</v>
      </c>
      <c r="J596" s="55" t="s">
        <v>360</v>
      </c>
      <c r="K596" s="55" t="s">
        <v>360</v>
      </c>
      <c r="L596" s="55" t="s">
        <v>360</v>
      </c>
      <c r="M596" s="55" t="s">
        <v>144</v>
      </c>
      <c r="N596" s="55" t="s">
        <v>144</v>
      </c>
      <c r="O596" s="55" t="s">
        <v>290</v>
      </c>
      <c r="P596" s="55" t="s">
        <v>909</v>
      </c>
      <c r="Q596" s="55" t="s">
        <v>350</v>
      </c>
      <c r="R596" s="55">
        <v>3</v>
      </c>
      <c r="S596" s="74"/>
      <c r="T596" s="55" t="s">
        <v>1342</v>
      </c>
      <c r="U596" s="73" t="s">
        <v>351</v>
      </c>
      <c r="V596" s="74">
        <v>44370</v>
      </c>
      <c r="W596" s="74">
        <v>44403</v>
      </c>
      <c r="X596" s="55">
        <v>10186128</v>
      </c>
      <c r="Y596" s="74" t="s">
        <v>132</v>
      </c>
      <c r="Z596" s="74"/>
      <c r="AB596" s="55" t="s">
        <v>130</v>
      </c>
      <c r="AC596" s="55" t="s">
        <v>132</v>
      </c>
    </row>
    <row r="597" spans="1:29" ht="13" x14ac:dyDescent="0.15">
      <c r="A597" s="72" t="str">
        <f t="shared" si="9"/>
        <v>Ofsted Social Care Provider Webpage</v>
      </c>
      <c r="B597" s="55">
        <v>2483823</v>
      </c>
      <c r="D597" s="55" t="s">
        <v>373</v>
      </c>
      <c r="E597" s="74">
        <v>43402</v>
      </c>
      <c r="F597" s="55" t="s">
        <v>344</v>
      </c>
      <c r="G597" s="55" t="s">
        <v>360</v>
      </c>
      <c r="H597" s="55" t="s">
        <v>360</v>
      </c>
      <c r="I597" s="55" t="s">
        <v>360</v>
      </c>
      <c r="J597" s="55" t="s">
        <v>360</v>
      </c>
      <c r="K597" s="55" t="s">
        <v>360</v>
      </c>
      <c r="L597" s="55" t="s">
        <v>360</v>
      </c>
      <c r="M597" s="55" t="s">
        <v>172</v>
      </c>
      <c r="N597" s="55" t="s">
        <v>172</v>
      </c>
      <c r="O597" s="55" t="s">
        <v>212</v>
      </c>
      <c r="P597" s="55" t="s">
        <v>798</v>
      </c>
      <c r="Q597" s="55" t="s">
        <v>350</v>
      </c>
      <c r="R597" s="55">
        <v>3</v>
      </c>
      <c r="S597" s="74"/>
      <c r="T597" s="55" t="s">
        <v>517</v>
      </c>
      <c r="U597" s="73" t="s">
        <v>351</v>
      </c>
      <c r="V597" s="74">
        <v>44579</v>
      </c>
      <c r="W597" s="74">
        <v>44610</v>
      </c>
      <c r="X597" s="55">
        <v>10187577</v>
      </c>
      <c r="Y597" s="74" t="s">
        <v>132</v>
      </c>
      <c r="Z597" s="74"/>
      <c r="AB597" s="55" t="s">
        <v>132</v>
      </c>
      <c r="AC597" s="55" t="s">
        <v>130</v>
      </c>
    </row>
    <row r="598" spans="1:29" ht="13" x14ac:dyDescent="0.15">
      <c r="A598" s="72" t="str">
        <f t="shared" si="9"/>
        <v>Ofsted Social Care Provider Webpage</v>
      </c>
      <c r="B598" s="55">
        <v>2483830</v>
      </c>
      <c r="D598" s="55" t="s">
        <v>373</v>
      </c>
      <c r="E598" s="74">
        <v>43390</v>
      </c>
      <c r="F598" s="55" t="s">
        <v>344</v>
      </c>
      <c r="G598" s="55" t="s">
        <v>360</v>
      </c>
      <c r="H598" s="55" t="s">
        <v>360</v>
      </c>
      <c r="I598" s="55" t="s">
        <v>360</v>
      </c>
      <c r="J598" s="55" t="s">
        <v>360</v>
      </c>
      <c r="K598" s="55" t="s">
        <v>360</v>
      </c>
      <c r="L598" s="55" t="s">
        <v>360</v>
      </c>
      <c r="M598" s="55" t="s">
        <v>378</v>
      </c>
      <c r="N598" s="55" t="s">
        <v>134</v>
      </c>
      <c r="O598" s="55" t="s">
        <v>277</v>
      </c>
      <c r="P598" s="55" t="s">
        <v>461</v>
      </c>
      <c r="Q598" s="55" t="s">
        <v>350</v>
      </c>
      <c r="R598" s="55">
        <v>3</v>
      </c>
      <c r="S598" s="74"/>
      <c r="T598" s="55" t="s">
        <v>462</v>
      </c>
      <c r="U598" s="73" t="s">
        <v>351</v>
      </c>
      <c r="V598" s="74">
        <v>44567</v>
      </c>
      <c r="W598" s="74">
        <v>44614</v>
      </c>
      <c r="X598" s="55">
        <v>10185904</v>
      </c>
      <c r="Y598" s="74" t="s">
        <v>130</v>
      </c>
      <c r="Z598" s="74"/>
      <c r="AB598" s="55" t="s">
        <v>130</v>
      </c>
      <c r="AC598" s="55" t="s">
        <v>130</v>
      </c>
    </row>
    <row r="599" spans="1:29" ht="13" x14ac:dyDescent="0.15">
      <c r="A599" s="72" t="str">
        <f t="shared" si="9"/>
        <v>Ofsted Social Care Provider Webpage</v>
      </c>
      <c r="B599" s="55">
        <v>2483881</v>
      </c>
      <c r="D599" s="55" t="s">
        <v>373</v>
      </c>
      <c r="E599" s="74">
        <v>43335</v>
      </c>
      <c r="F599" s="55" t="s">
        <v>344</v>
      </c>
      <c r="G599" s="55" t="s">
        <v>360</v>
      </c>
      <c r="H599" s="55" t="s">
        <v>360</v>
      </c>
      <c r="I599" s="55" t="s">
        <v>360</v>
      </c>
      <c r="J599" s="55" t="s">
        <v>360</v>
      </c>
      <c r="K599" s="55" t="s">
        <v>360</v>
      </c>
      <c r="L599" s="55" t="s">
        <v>360</v>
      </c>
      <c r="M599" s="55" t="s">
        <v>172</v>
      </c>
      <c r="N599" s="55" t="s">
        <v>172</v>
      </c>
      <c r="O599" s="55" t="s">
        <v>211</v>
      </c>
      <c r="P599" s="55" t="s">
        <v>1343</v>
      </c>
      <c r="Q599" s="55" t="s">
        <v>350</v>
      </c>
      <c r="R599" s="55">
        <v>4</v>
      </c>
      <c r="S599" s="74"/>
      <c r="T599" s="55" t="s">
        <v>1344</v>
      </c>
      <c r="U599" s="73" t="s">
        <v>351</v>
      </c>
      <c r="V599" s="74">
        <v>44340</v>
      </c>
      <c r="W599" s="74">
        <v>44383</v>
      </c>
      <c r="X599" s="55">
        <v>10186322</v>
      </c>
      <c r="Y599" s="74" t="s">
        <v>130</v>
      </c>
      <c r="Z599" s="74"/>
      <c r="AB599" s="55" t="s">
        <v>130</v>
      </c>
      <c r="AC599" s="55" t="s">
        <v>130</v>
      </c>
    </row>
    <row r="600" spans="1:29" ht="13" x14ac:dyDescent="0.15">
      <c r="A600" s="72" t="str">
        <f t="shared" si="9"/>
        <v>Ofsted Social Care Provider Webpage</v>
      </c>
      <c r="B600" s="55">
        <v>2484055</v>
      </c>
      <c r="D600" s="55" t="s">
        <v>373</v>
      </c>
      <c r="E600" s="74">
        <v>43333</v>
      </c>
      <c r="F600" s="55" t="s">
        <v>344</v>
      </c>
      <c r="G600" s="55" t="s">
        <v>360</v>
      </c>
      <c r="H600" s="55" t="s">
        <v>360</v>
      </c>
      <c r="I600" s="55" t="s">
        <v>360</v>
      </c>
      <c r="J600" s="55" t="s">
        <v>360</v>
      </c>
      <c r="K600" s="55" t="s">
        <v>360</v>
      </c>
      <c r="L600" s="55" t="s">
        <v>360</v>
      </c>
      <c r="M600" s="55" t="s">
        <v>172</v>
      </c>
      <c r="N600" s="55" t="s">
        <v>172</v>
      </c>
      <c r="O600" s="55" t="s">
        <v>214</v>
      </c>
      <c r="P600" s="55" t="s">
        <v>1345</v>
      </c>
      <c r="Q600" s="55" t="s">
        <v>350</v>
      </c>
      <c r="R600" s="55">
        <v>4</v>
      </c>
      <c r="S600" s="74"/>
      <c r="T600" s="55" t="s">
        <v>799</v>
      </c>
      <c r="U600" s="73" t="s">
        <v>351</v>
      </c>
      <c r="V600" s="74">
        <v>43816</v>
      </c>
      <c r="W600" s="74">
        <v>43839</v>
      </c>
      <c r="X600" s="55">
        <v>10098081</v>
      </c>
      <c r="Y600" s="74" t="s">
        <v>132</v>
      </c>
      <c r="Z600" s="74"/>
      <c r="AB600" s="55" t="s">
        <v>132</v>
      </c>
      <c r="AC600" s="55" t="s">
        <v>132</v>
      </c>
    </row>
    <row r="601" spans="1:29" ht="13" x14ac:dyDescent="0.15">
      <c r="A601" s="72" t="str">
        <f t="shared" si="9"/>
        <v>Ofsted Social Care Provider Webpage</v>
      </c>
      <c r="B601" s="55">
        <v>2484180</v>
      </c>
      <c r="D601" s="55" t="s">
        <v>373</v>
      </c>
      <c r="E601" s="74">
        <v>43392</v>
      </c>
      <c r="F601" s="55" t="s">
        <v>344</v>
      </c>
      <c r="G601" s="55" t="s">
        <v>360</v>
      </c>
      <c r="H601" s="55" t="s">
        <v>360</v>
      </c>
      <c r="I601" s="55" t="s">
        <v>360</v>
      </c>
      <c r="J601" s="55" t="s">
        <v>360</v>
      </c>
      <c r="K601" s="55" t="s">
        <v>360</v>
      </c>
      <c r="L601" s="55" t="s">
        <v>360</v>
      </c>
      <c r="M601" s="55" t="s">
        <v>142</v>
      </c>
      <c r="N601" s="55" t="s">
        <v>142</v>
      </c>
      <c r="O601" s="55" t="s">
        <v>272</v>
      </c>
      <c r="P601" s="55" t="s">
        <v>1291</v>
      </c>
      <c r="Q601" s="55" t="s">
        <v>350</v>
      </c>
      <c r="R601" s="55">
        <v>2</v>
      </c>
      <c r="S601" s="74"/>
      <c r="T601" s="55" t="s">
        <v>1260</v>
      </c>
      <c r="U601" s="73" t="s">
        <v>351</v>
      </c>
      <c r="V601" s="74">
        <v>44566</v>
      </c>
      <c r="W601" s="74">
        <v>44596</v>
      </c>
      <c r="X601" s="55">
        <v>10216306</v>
      </c>
      <c r="Y601" s="74" t="s">
        <v>130</v>
      </c>
      <c r="Z601" s="74"/>
      <c r="AB601" s="55" t="s">
        <v>130</v>
      </c>
      <c r="AC601" s="55" t="s">
        <v>130</v>
      </c>
    </row>
    <row r="602" spans="1:29" ht="13" x14ac:dyDescent="0.15">
      <c r="A602" s="72" t="str">
        <f t="shared" si="9"/>
        <v>Ofsted Social Care Provider Webpage</v>
      </c>
      <c r="B602" s="55">
        <v>2484185</v>
      </c>
      <c r="D602" s="55" t="s">
        <v>389</v>
      </c>
      <c r="E602" s="74">
        <v>43532</v>
      </c>
      <c r="F602" s="55" t="s">
        <v>344</v>
      </c>
      <c r="G602" s="55" t="s">
        <v>1346</v>
      </c>
      <c r="H602" s="55" t="s">
        <v>1347</v>
      </c>
      <c r="I602" s="55" t="s">
        <v>1348</v>
      </c>
      <c r="J602" s="55" t="s">
        <v>1349</v>
      </c>
      <c r="K602" s="55" t="s">
        <v>1350</v>
      </c>
      <c r="L602" s="55" t="s">
        <v>1351</v>
      </c>
      <c r="M602" s="55" t="s">
        <v>172</v>
      </c>
      <c r="N602" s="55" t="s">
        <v>172</v>
      </c>
      <c r="O602" s="55" t="s">
        <v>284</v>
      </c>
      <c r="P602" s="55" t="s">
        <v>985</v>
      </c>
      <c r="Q602" s="55" t="s">
        <v>350</v>
      </c>
      <c r="R602" s="55"/>
      <c r="S602" s="74"/>
      <c r="T602" s="55" t="s">
        <v>1352</v>
      </c>
      <c r="U602" s="73" t="s">
        <v>351</v>
      </c>
      <c r="V602" s="74">
        <v>44410</v>
      </c>
      <c r="W602" s="74">
        <v>44447</v>
      </c>
      <c r="X602" s="55">
        <v>10183258</v>
      </c>
      <c r="Y602" s="74" t="s">
        <v>132</v>
      </c>
      <c r="Z602" s="74"/>
      <c r="AB602" s="55" t="s">
        <v>132</v>
      </c>
      <c r="AC602" s="55" t="s">
        <v>130</v>
      </c>
    </row>
    <row r="603" spans="1:29" ht="13" x14ac:dyDescent="0.15">
      <c r="A603" s="72" t="str">
        <f t="shared" si="9"/>
        <v>Ofsted Social Care Provider Webpage</v>
      </c>
      <c r="B603" s="55">
        <v>2484441</v>
      </c>
      <c r="D603" s="55" t="s">
        <v>373</v>
      </c>
      <c r="E603" s="74">
        <v>43318</v>
      </c>
      <c r="F603" s="55" t="s">
        <v>344</v>
      </c>
      <c r="G603" s="55" t="s">
        <v>360</v>
      </c>
      <c r="H603" s="55" t="s">
        <v>360</v>
      </c>
      <c r="I603" s="55" t="s">
        <v>360</v>
      </c>
      <c r="J603" s="55" t="s">
        <v>360</v>
      </c>
      <c r="K603" s="55" t="s">
        <v>360</v>
      </c>
      <c r="L603" s="55" t="s">
        <v>360</v>
      </c>
      <c r="M603" s="55" t="s">
        <v>142</v>
      </c>
      <c r="N603" s="55" t="s">
        <v>142</v>
      </c>
      <c r="O603" s="55" t="s">
        <v>265</v>
      </c>
      <c r="P603" s="55" t="s">
        <v>1066</v>
      </c>
      <c r="Q603" s="55" t="s">
        <v>380</v>
      </c>
      <c r="R603" s="55">
        <v>2</v>
      </c>
      <c r="S603" s="74"/>
      <c r="T603" s="55" t="s">
        <v>1067</v>
      </c>
      <c r="U603" s="73" t="s">
        <v>351</v>
      </c>
      <c r="V603" s="74">
        <v>44453</v>
      </c>
      <c r="W603" s="74">
        <v>44487</v>
      </c>
      <c r="X603" s="55">
        <v>10186335</v>
      </c>
      <c r="Y603" s="74" t="s">
        <v>132</v>
      </c>
      <c r="Z603" s="74"/>
      <c r="AB603" s="55" t="s">
        <v>132</v>
      </c>
      <c r="AC603" s="55" t="s">
        <v>132</v>
      </c>
    </row>
    <row r="604" spans="1:29" ht="13" x14ac:dyDescent="0.15">
      <c r="A604" s="72" t="str">
        <f t="shared" si="9"/>
        <v>Ofsted Social Care Provider Webpage</v>
      </c>
      <c r="B604" s="55">
        <v>2484443</v>
      </c>
      <c r="D604" s="55" t="s">
        <v>373</v>
      </c>
      <c r="E604" s="74">
        <v>43332</v>
      </c>
      <c r="F604" s="55" t="s">
        <v>344</v>
      </c>
      <c r="G604" s="55" t="s">
        <v>360</v>
      </c>
      <c r="H604" s="55" t="s">
        <v>360</v>
      </c>
      <c r="I604" s="55" t="s">
        <v>360</v>
      </c>
      <c r="J604" s="55" t="s">
        <v>360</v>
      </c>
      <c r="K604" s="55" t="s">
        <v>360</v>
      </c>
      <c r="L604" s="55" t="s">
        <v>360</v>
      </c>
      <c r="M604" s="55" t="s">
        <v>136</v>
      </c>
      <c r="N604" s="55" t="s">
        <v>136</v>
      </c>
      <c r="O604" s="55" t="s">
        <v>255</v>
      </c>
      <c r="P604" s="55" t="s">
        <v>609</v>
      </c>
      <c r="Q604" s="55" t="s">
        <v>350</v>
      </c>
      <c r="R604" s="55">
        <v>3</v>
      </c>
      <c r="S604" s="74"/>
      <c r="T604" s="55" t="s">
        <v>1151</v>
      </c>
      <c r="U604" s="73" t="s">
        <v>351</v>
      </c>
      <c r="V604" s="74">
        <v>44580</v>
      </c>
      <c r="W604" s="74">
        <v>44624</v>
      </c>
      <c r="X604" s="55">
        <v>10186026</v>
      </c>
      <c r="Y604" s="74" t="s">
        <v>146</v>
      </c>
      <c r="Z604" s="74"/>
      <c r="AB604" s="55" t="s">
        <v>146</v>
      </c>
      <c r="AC604" s="55" t="s">
        <v>146</v>
      </c>
    </row>
    <row r="605" spans="1:29" ht="13" x14ac:dyDescent="0.15">
      <c r="A605" s="72" t="str">
        <f t="shared" si="9"/>
        <v>Ofsted Social Care Provider Webpage</v>
      </c>
      <c r="B605" s="55">
        <v>2484586</v>
      </c>
      <c r="D605" s="55" t="s">
        <v>373</v>
      </c>
      <c r="E605" s="74">
        <v>43318</v>
      </c>
      <c r="F605" s="55" t="s">
        <v>344</v>
      </c>
      <c r="G605" s="55" t="s">
        <v>360</v>
      </c>
      <c r="H605" s="55" t="s">
        <v>360</v>
      </c>
      <c r="I605" s="55" t="s">
        <v>360</v>
      </c>
      <c r="J605" s="55" t="s">
        <v>360</v>
      </c>
      <c r="K605" s="55" t="s">
        <v>360</v>
      </c>
      <c r="L605" s="55" t="s">
        <v>360</v>
      </c>
      <c r="M605" s="55" t="s">
        <v>142</v>
      </c>
      <c r="N605" s="55" t="s">
        <v>142</v>
      </c>
      <c r="O605" s="55" t="s">
        <v>265</v>
      </c>
      <c r="P605" s="55" t="s">
        <v>1066</v>
      </c>
      <c r="Q605" s="55" t="s">
        <v>380</v>
      </c>
      <c r="R605" s="55">
        <v>2</v>
      </c>
      <c r="S605" s="74"/>
      <c r="T605" s="55" t="s">
        <v>1067</v>
      </c>
      <c r="U605" s="73" t="s">
        <v>351</v>
      </c>
      <c r="V605" s="74">
        <v>44383</v>
      </c>
      <c r="W605" s="74">
        <v>44432</v>
      </c>
      <c r="X605" s="55">
        <v>10187262</v>
      </c>
      <c r="Y605" s="74" t="s">
        <v>132</v>
      </c>
      <c r="Z605" s="74"/>
      <c r="AB605" s="55" t="s">
        <v>132</v>
      </c>
      <c r="AC605" s="55" t="s">
        <v>132</v>
      </c>
    </row>
    <row r="606" spans="1:29" ht="13" x14ac:dyDescent="0.15">
      <c r="A606" s="72" t="str">
        <f t="shared" si="9"/>
        <v>Ofsted Social Care Provider Webpage</v>
      </c>
      <c r="B606" s="55">
        <v>2484682</v>
      </c>
      <c r="D606" s="55" t="s">
        <v>373</v>
      </c>
      <c r="E606" s="74">
        <v>43318</v>
      </c>
      <c r="F606" s="55" t="s">
        <v>344</v>
      </c>
      <c r="G606" s="55" t="s">
        <v>360</v>
      </c>
      <c r="H606" s="55" t="s">
        <v>360</v>
      </c>
      <c r="I606" s="55" t="s">
        <v>360</v>
      </c>
      <c r="J606" s="55" t="s">
        <v>360</v>
      </c>
      <c r="K606" s="55" t="s">
        <v>360</v>
      </c>
      <c r="L606" s="55" t="s">
        <v>360</v>
      </c>
      <c r="M606" s="55" t="s">
        <v>144</v>
      </c>
      <c r="N606" s="55" t="s">
        <v>144</v>
      </c>
      <c r="O606" s="55" t="s">
        <v>157</v>
      </c>
      <c r="P606" s="55" t="s">
        <v>1092</v>
      </c>
      <c r="Q606" s="55" t="s">
        <v>350</v>
      </c>
      <c r="R606" s="55">
        <v>3</v>
      </c>
      <c r="S606" s="74"/>
      <c r="T606" s="55" t="s">
        <v>490</v>
      </c>
      <c r="U606" s="73" t="s">
        <v>351</v>
      </c>
      <c r="V606" s="74">
        <v>44306</v>
      </c>
      <c r="W606" s="74">
        <v>44334</v>
      </c>
      <c r="X606" s="55">
        <v>10187418</v>
      </c>
      <c r="Y606" s="74" t="s">
        <v>132</v>
      </c>
      <c r="Z606" s="74"/>
      <c r="AB606" s="55" t="s">
        <v>132</v>
      </c>
      <c r="AC606" s="55" t="s">
        <v>132</v>
      </c>
    </row>
    <row r="607" spans="1:29" ht="13" x14ac:dyDescent="0.15">
      <c r="A607" s="72" t="str">
        <f t="shared" si="9"/>
        <v>Ofsted Social Care Provider Webpage</v>
      </c>
      <c r="B607" s="55">
        <v>2490729</v>
      </c>
      <c r="D607" s="55" t="s">
        <v>373</v>
      </c>
      <c r="E607" s="74">
        <v>43627</v>
      </c>
      <c r="F607" s="55" t="s">
        <v>344</v>
      </c>
      <c r="G607" s="55" t="s">
        <v>360</v>
      </c>
      <c r="H607" s="55" t="s">
        <v>360</v>
      </c>
      <c r="I607" s="55" t="s">
        <v>360</v>
      </c>
      <c r="J607" s="55" t="s">
        <v>360</v>
      </c>
      <c r="K607" s="55" t="s">
        <v>360</v>
      </c>
      <c r="L607" s="55" t="s">
        <v>360</v>
      </c>
      <c r="M607" s="55" t="s">
        <v>142</v>
      </c>
      <c r="N607" s="55" t="s">
        <v>142</v>
      </c>
      <c r="O607" s="55" t="s">
        <v>262</v>
      </c>
      <c r="P607" s="55" t="s">
        <v>916</v>
      </c>
      <c r="Q607" s="55" t="s">
        <v>350</v>
      </c>
      <c r="R607" s="55">
        <v>3</v>
      </c>
      <c r="S607" s="74"/>
      <c r="T607" s="55" t="s">
        <v>489</v>
      </c>
      <c r="U607" s="73" t="s">
        <v>351</v>
      </c>
      <c r="V607" s="74">
        <v>44362</v>
      </c>
      <c r="W607" s="74">
        <v>44441</v>
      </c>
      <c r="X607" s="55">
        <v>10186103</v>
      </c>
      <c r="Y607" s="74" t="s">
        <v>132</v>
      </c>
      <c r="Z607" s="74"/>
      <c r="AB607" s="55" t="s">
        <v>132</v>
      </c>
      <c r="AC607" s="55" t="s">
        <v>132</v>
      </c>
    </row>
    <row r="608" spans="1:29" ht="13" x14ac:dyDescent="0.15">
      <c r="A608" s="72" t="str">
        <f t="shared" si="9"/>
        <v>Ofsted Social Care Provider Webpage</v>
      </c>
      <c r="B608" s="55">
        <v>2490894</v>
      </c>
      <c r="D608" s="55" t="s">
        <v>373</v>
      </c>
      <c r="E608" s="74">
        <v>43543</v>
      </c>
      <c r="F608" s="55" t="s">
        <v>344</v>
      </c>
      <c r="G608" s="55" t="s">
        <v>360</v>
      </c>
      <c r="H608" s="55" t="s">
        <v>360</v>
      </c>
      <c r="I608" s="55" t="s">
        <v>360</v>
      </c>
      <c r="J608" s="55" t="s">
        <v>360</v>
      </c>
      <c r="K608" s="55" t="s">
        <v>360</v>
      </c>
      <c r="L608" s="55" t="s">
        <v>360</v>
      </c>
      <c r="M608" s="55" t="s">
        <v>378</v>
      </c>
      <c r="N608" s="55" t="s">
        <v>170</v>
      </c>
      <c r="O608" s="55" t="s">
        <v>193</v>
      </c>
      <c r="P608" s="55" t="s">
        <v>193</v>
      </c>
      <c r="Q608" s="55" t="s">
        <v>380</v>
      </c>
      <c r="R608" s="55">
        <v>2</v>
      </c>
      <c r="S608" s="74"/>
      <c r="T608" s="55" t="s">
        <v>1353</v>
      </c>
      <c r="U608" s="73" t="s">
        <v>351</v>
      </c>
      <c r="V608" s="74">
        <v>44341</v>
      </c>
      <c r="W608" s="74">
        <v>44393</v>
      </c>
      <c r="X608" s="55">
        <v>10185013</v>
      </c>
      <c r="Y608" s="74" t="s">
        <v>132</v>
      </c>
      <c r="Z608" s="74"/>
      <c r="AB608" s="55" t="s">
        <v>130</v>
      </c>
      <c r="AC608" s="55" t="s">
        <v>130</v>
      </c>
    </row>
    <row r="609" spans="1:29" ht="13" x14ac:dyDescent="0.15">
      <c r="A609" s="72" t="str">
        <f t="shared" si="9"/>
        <v>Ofsted Social Care Provider Webpage</v>
      </c>
      <c r="B609" s="55">
        <v>2490938</v>
      </c>
      <c r="D609" s="55" t="s">
        <v>373</v>
      </c>
      <c r="E609" s="74">
        <v>43319</v>
      </c>
      <c r="F609" s="55" t="s">
        <v>344</v>
      </c>
      <c r="G609" s="55" t="s">
        <v>360</v>
      </c>
      <c r="H609" s="55" t="s">
        <v>360</v>
      </c>
      <c r="I609" s="55" t="s">
        <v>360</v>
      </c>
      <c r="J609" s="55" t="s">
        <v>360</v>
      </c>
      <c r="K609" s="55" t="s">
        <v>360</v>
      </c>
      <c r="L609" s="55" t="s">
        <v>360</v>
      </c>
      <c r="M609" s="55" t="s">
        <v>129</v>
      </c>
      <c r="N609" s="55" t="s">
        <v>129</v>
      </c>
      <c r="O609" s="55" t="s">
        <v>197</v>
      </c>
      <c r="P609" s="55" t="s">
        <v>532</v>
      </c>
      <c r="Q609" s="55" t="s">
        <v>380</v>
      </c>
      <c r="R609" s="55">
        <v>5</v>
      </c>
      <c r="S609" s="74"/>
      <c r="T609" s="55" t="s">
        <v>1354</v>
      </c>
      <c r="U609" s="73" t="s">
        <v>351</v>
      </c>
      <c r="V609" s="74">
        <v>44454</v>
      </c>
      <c r="W609" s="74">
        <v>44503</v>
      </c>
      <c r="X609" s="55">
        <v>10186399</v>
      </c>
      <c r="Y609" s="74" t="s">
        <v>130</v>
      </c>
      <c r="Z609" s="74"/>
      <c r="AB609" s="55" t="s">
        <v>130</v>
      </c>
      <c r="AC609" s="55" t="s">
        <v>130</v>
      </c>
    </row>
    <row r="610" spans="1:29" ht="13" x14ac:dyDescent="0.15">
      <c r="A610" s="72" t="str">
        <f t="shared" si="9"/>
        <v>Ofsted Social Care Provider Webpage</v>
      </c>
      <c r="B610" s="55">
        <v>2490939</v>
      </c>
      <c r="D610" s="55" t="s">
        <v>373</v>
      </c>
      <c r="E610" s="74">
        <v>43657</v>
      </c>
      <c r="F610" s="55" t="s">
        <v>344</v>
      </c>
      <c r="G610" s="55" t="s">
        <v>360</v>
      </c>
      <c r="H610" s="55" t="s">
        <v>360</v>
      </c>
      <c r="I610" s="55" t="s">
        <v>360</v>
      </c>
      <c r="J610" s="55" t="s">
        <v>360</v>
      </c>
      <c r="K610" s="55" t="s">
        <v>360</v>
      </c>
      <c r="L610" s="55" t="s">
        <v>360</v>
      </c>
      <c r="M610" s="55" t="s">
        <v>142</v>
      </c>
      <c r="N610" s="55" t="s">
        <v>142</v>
      </c>
      <c r="O610" s="55" t="s">
        <v>262</v>
      </c>
      <c r="P610" s="55" t="s">
        <v>850</v>
      </c>
      <c r="Q610" s="55" t="s">
        <v>350</v>
      </c>
      <c r="R610" s="55">
        <v>1</v>
      </c>
      <c r="S610" s="74"/>
      <c r="T610" s="55" t="s">
        <v>910</v>
      </c>
      <c r="U610" s="73" t="s">
        <v>351</v>
      </c>
      <c r="V610" s="74">
        <v>44509</v>
      </c>
      <c r="W610" s="74">
        <v>44544</v>
      </c>
      <c r="X610" s="55">
        <v>10185747</v>
      </c>
      <c r="Y610" s="74" t="s">
        <v>132</v>
      </c>
      <c r="Z610" s="74"/>
      <c r="AB610" s="55" t="s">
        <v>132</v>
      </c>
      <c r="AC610" s="55" t="s">
        <v>132</v>
      </c>
    </row>
    <row r="611" spans="1:29" ht="13" x14ac:dyDescent="0.15">
      <c r="A611" s="72" t="str">
        <f t="shared" si="9"/>
        <v>Ofsted Social Care Provider Webpage</v>
      </c>
      <c r="B611" s="55">
        <v>2490994</v>
      </c>
      <c r="D611" s="55" t="s">
        <v>373</v>
      </c>
      <c r="E611" s="74">
        <v>43509</v>
      </c>
      <c r="F611" s="55" t="s">
        <v>344</v>
      </c>
      <c r="G611" s="55" t="s">
        <v>360</v>
      </c>
      <c r="H611" s="55" t="s">
        <v>360</v>
      </c>
      <c r="I611" s="55" t="s">
        <v>360</v>
      </c>
      <c r="J611" s="55" t="s">
        <v>360</v>
      </c>
      <c r="K611" s="55" t="s">
        <v>360</v>
      </c>
      <c r="L611" s="55" t="s">
        <v>360</v>
      </c>
      <c r="M611" s="55" t="s">
        <v>172</v>
      </c>
      <c r="N611" s="55" t="s">
        <v>172</v>
      </c>
      <c r="O611" s="55" t="s">
        <v>235</v>
      </c>
      <c r="P611" s="55" t="s">
        <v>1355</v>
      </c>
      <c r="Q611" s="55" t="s">
        <v>350</v>
      </c>
      <c r="R611" s="55">
        <v>3</v>
      </c>
      <c r="S611" s="74"/>
      <c r="T611" s="55" t="s">
        <v>1356</v>
      </c>
      <c r="U611" s="73" t="s">
        <v>351</v>
      </c>
      <c r="V611" s="74">
        <v>44592</v>
      </c>
      <c r="W611" s="74">
        <v>44628</v>
      </c>
      <c r="X611" s="55">
        <v>10186747</v>
      </c>
      <c r="Y611" s="74" t="s">
        <v>132</v>
      </c>
      <c r="Z611" s="74"/>
      <c r="AB611" s="55" t="s">
        <v>132</v>
      </c>
      <c r="AC611" s="55" t="s">
        <v>132</v>
      </c>
    </row>
    <row r="612" spans="1:29" ht="13" x14ac:dyDescent="0.15">
      <c r="A612" s="72" t="str">
        <f t="shared" si="9"/>
        <v>Ofsted Social Care Provider Webpage</v>
      </c>
      <c r="B612" s="55">
        <v>2490996</v>
      </c>
      <c r="D612" s="55" t="s">
        <v>373</v>
      </c>
      <c r="E612" s="74">
        <v>43382</v>
      </c>
      <c r="F612" s="55" t="s">
        <v>344</v>
      </c>
      <c r="G612" s="55" t="s">
        <v>360</v>
      </c>
      <c r="H612" s="55" t="s">
        <v>360</v>
      </c>
      <c r="I612" s="55" t="s">
        <v>360</v>
      </c>
      <c r="J612" s="55" t="s">
        <v>360</v>
      </c>
      <c r="K612" s="55" t="s">
        <v>360</v>
      </c>
      <c r="L612" s="55" t="s">
        <v>360</v>
      </c>
      <c r="M612" s="55" t="s">
        <v>378</v>
      </c>
      <c r="N612" s="55" t="s">
        <v>134</v>
      </c>
      <c r="O612" s="55" t="s">
        <v>206</v>
      </c>
      <c r="P612" s="55" t="s">
        <v>710</v>
      </c>
      <c r="Q612" s="55" t="s">
        <v>350</v>
      </c>
      <c r="R612" s="55">
        <v>3</v>
      </c>
      <c r="S612" s="74"/>
      <c r="T612" s="55" t="s">
        <v>489</v>
      </c>
      <c r="U612" s="73" t="s">
        <v>351</v>
      </c>
      <c r="V612" s="74">
        <v>44614</v>
      </c>
      <c r="W612" s="74">
        <v>44659</v>
      </c>
      <c r="X612" s="55">
        <v>10185527</v>
      </c>
      <c r="Y612" s="74" t="s">
        <v>132</v>
      </c>
      <c r="Z612" s="74"/>
      <c r="AB612" s="55" t="s">
        <v>132</v>
      </c>
      <c r="AC612" s="55" t="s">
        <v>132</v>
      </c>
    </row>
    <row r="613" spans="1:29" ht="13" x14ac:dyDescent="0.15">
      <c r="A613" s="72" t="str">
        <f t="shared" si="9"/>
        <v>Ofsted Social Care Provider Webpage</v>
      </c>
      <c r="B613" s="55">
        <v>2490998</v>
      </c>
      <c r="D613" s="55" t="s">
        <v>373</v>
      </c>
      <c r="E613" s="74">
        <v>43433</v>
      </c>
      <c r="F613" s="55" t="s">
        <v>344</v>
      </c>
      <c r="G613" s="55" t="s">
        <v>360</v>
      </c>
      <c r="H613" s="55" t="s">
        <v>360</v>
      </c>
      <c r="I613" s="55" t="s">
        <v>360</v>
      </c>
      <c r="J613" s="55" t="s">
        <v>360</v>
      </c>
      <c r="K613" s="55" t="s">
        <v>360</v>
      </c>
      <c r="L613" s="55" t="s">
        <v>360</v>
      </c>
      <c r="M613" s="55" t="s">
        <v>144</v>
      </c>
      <c r="N613" s="55" t="s">
        <v>144</v>
      </c>
      <c r="O613" s="55" t="s">
        <v>145</v>
      </c>
      <c r="P613" s="55" t="s">
        <v>484</v>
      </c>
      <c r="Q613" s="55" t="s">
        <v>350</v>
      </c>
      <c r="R613" s="55">
        <v>2</v>
      </c>
      <c r="S613" s="74"/>
      <c r="T613" s="55" t="s">
        <v>485</v>
      </c>
      <c r="U613" s="73" t="s">
        <v>351</v>
      </c>
      <c r="V613" s="74">
        <v>44440</v>
      </c>
      <c r="W613" s="74">
        <v>44473</v>
      </c>
      <c r="X613" s="55">
        <v>10187500</v>
      </c>
      <c r="Y613" s="74" t="s">
        <v>132</v>
      </c>
      <c r="Z613" s="74"/>
      <c r="AB613" s="55" t="s">
        <v>132</v>
      </c>
      <c r="AC613" s="55" t="s">
        <v>132</v>
      </c>
    </row>
    <row r="614" spans="1:29" ht="13" x14ac:dyDescent="0.15">
      <c r="A614" s="72" t="str">
        <f t="shared" si="9"/>
        <v>Ofsted Social Care Provider Webpage</v>
      </c>
      <c r="B614" s="55">
        <v>2490999</v>
      </c>
      <c r="D614" s="55" t="s">
        <v>373</v>
      </c>
      <c r="E614" s="74">
        <v>43377</v>
      </c>
      <c r="F614" s="55" t="s">
        <v>344</v>
      </c>
      <c r="G614" s="55" t="s">
        <v>360</v>
      </c>
      <c r="H614" s="55" t="s">
        <v>360</v>
      </c>
      <c r="I614" s="55" t="s">
        <v>360</v>
      </c>
      <c r="J614" s="55" t="s">
        <v>360</v>
      </c>
      <c r="K614" s="55" t="s">
        <v>360</v>
      </c>
      <c r="L614" s="55" t="s">
        <v>360</v>
      </c>
      <c r="M614" s="55" t="s">
        <v>172</v>
      </c>
      <c r="N614" s="55" t="s">
        <v>172</v>
      </c>
      <c r="O614" s="55" t="s">
        <v>212</v>
      </c>
      <c r="P614" s="55" t="s">
        <v>883</v>
      </c>
      <c r="Q614" s="55" t="s">
        <v>350</v>
      </c>
      <c r="R614" s="55">
        <v>3</v>
      </c>
      <c r="S614" s="74"/>
      <c r="T614" s="55" t="s">
        <v>1357</v>
      </c>
      <c r="U614" s="73" t="s">
        <v>351</v>
      </c>
      <c r="V614" s="74">
        <v>44510</v>
      </c>
      <c r="W614" s="74">
        <v>44547</v>
      </c>
      <c r="X614" s="55">
        <v>10187222</v>
      </c>
      <c r="Y614" s="74" t="s">
        <v>132</v>
      </c>
      <c r="Z614" s="74"/>
      <c r="AB614" s="55" t="s">
        <v>132</v>
      </c>
      <c r="AC614" s="55" t="s">
        <v>132</v>
      </c>
    </row>
    <row r="615" spans="1:29" ht="13" x14ac:dyDescent="0.15">
      <c r="A615" s="72" t="str">
        <f t="shared" si="9"/>
        <v>Ofsted Social Care Provider Webpage</v>
      </c>
      <c r="B615" s="55">
        <v>2491037</v>
      </c>
      <c r="D615" s="55" t="s">
        <v>373</v>
      </c>
      <c r="E615" s="74">
        <v>43437</v>
      </c>
      <c r="F615" s="55" t="s">
        <v>344</v>
      </c>
      <c r="G615" s="55" t="s">
        <v>360</v>
      </c>
      <c r="H615" s="55" t="s">
        <v>360</v>
      </c>
      <c r="I615" s="55" t="s">
        <v>360</v>
      </c>
      <c r="J615" s="55" t="s">
        <v>360</v>
      </c>
      <c r="K615" s="55" t="s">
        <v>360</v>
      </c>
      <c r="L615" s="55" t="s">
        <v>360</v>
      </c>
      <c r="M615" s="55" t="s">
        <v>172</v>
      </c>
      <c r="N615" s="55" t="s">
        <v>172</v>
      </c>
      <c r="O615" s="55" t="s">
        <v>234</v>
      </c>
      <c r="P615" s="55" t="s">
        <v>457</v>
      </c>
      <c r="Q615" s="55" t="s">
        <v>350</v>
      </c>
      <c r="R615" s="55">
        <v>3</v>
      </c>
      <c r="S615" s="74"/>
      <c r="T615" s="55" t="s">
        <v>1358</v>
      </c>
      <c r="U615" s="73" t="s">
        <v>351</v>
      </c>
      <c r="V615" s="74">
        <v>44440</v>
      </c>
      <c r="W615" s="74">
        <v>44473</v>
      </c>
      <c r="X615" s="55">
        <v>10185936</v>
      </c>
      <c r="Y615" s="74" t="s">
        <v>132</v>
      </c>
      <c r="Z615" s="74"/>
      <c r="AB615" s="55" t="s">
        <v>132</v>
      </c>
      <c r="AC615" s="55" t="s">
        <v>130</v>
      </c>
    </row>
    <row r="616" spans="1:29" ht="13" x14ac:dyDescent="0.15">
      <c r="A616" s="72" t="str">
        <f t="shared" si="9"/>
        <v>Ofsted Social Care Provider Webpage</v>
      </c>
      <c r="B616" s="55">
        <v>2491059</v>
      </c>
      <c r="D616" s="55" t="s">
        <v>373</v>
      </c>
      <c r="E616" s="74">
        <v>43388</v>
      </c>
      <c r="F616" s="55" t="s">
        <v>344</v>
      </c>
      <c r="G616" s="55" t="s">
        <v>360</v>
      </c>
      <c r="H616" s="55" t="s">
        <v>360</v>
      </c>
      <c r="I616" s="55" t="s">
        <v>360</v>
      </c>
      <c r="J616" s="55" t="s">
        <v>360</v>
      </c>
      <c r="K616" s="55" t="s">
        <v>360</v>
      </c>
      <c r="L616" s="55" t="s">
        <v>360</v>
      </c>
      <c r="M616" s="55" t="s">
        <v>136</v>
      </c>
      <c r="N616" s="55" t="s">
        <v>136</v>
      </c>
      <c r="O616" s="55" t="s">
        <v>255</v>
      </c>
      <c r="P616" s="55" t="s">
        <v>583</v>
      </c>
      <c r="Q616" s="55" t="s">
        <v>350</v>
      </c>
      <c r="R616" s="55">
        <v>3</v>
      </c>
      <c r="S616" s="74"/>
      <c r="T616" s="55" t="s">
        <v>1359</v>
      </c>
      <c r="U616" s="73" t="s">
        <v>351</v>
      </c>
      <c r="V616" s="74">
        <v>44474</v>
      </c>
      <c r="W616" s="74">
        <v>44505</v>
      </c>
      <c r="X616" s="55">
        <v>10186859</v>
      </c>
      <c r="Y616" s="74" t="s">
        <v>130</v>
      </c>
      <c r="Z616" s="74"/>
      <c r="AB616" s="55" t="s">
        <v>130</v>
      </c>
      <c r="AC616" s="55" t="s">
        <v>130</v>
      </c>
    </row>
    <row r="617" spans="1:29" ht="13" x14ac:dyDescent="0.15">
      <c r="A617" s="72" t="str">
        <f t="shared" si="9"/>
        <v>Ofsted Social Care Provider Webpage</v>
      </c>
      <c r="B617" s="55">
        <v>2491062</v>
      </c>
      <c r="D617" s="55" t="s">
        <v>373</v>
      </c>
      <c r="E617" s="74">
        <v>43398</v>
      </c>
      <c r="F617" s="55" t="s">
        <v>344</v>
      </c>
      <c r="G617" s="55" t="s">
        <v>360</v>
      </c>
      <c r="H617" s="55" t="s">
        <v>360</v>
      </c>
      <c r="I617" s="55" t="s">
        <v>360</v>
      </c>
      <c r="J617" s="55" t="s">
        <v>360</v>
      </c>
      <c r="K617" s="55" t="s">
        <v>360</v>
      </c>
      <c r="L617" s="55" t="s">
        <v>360</v>
      </c>
      <c r="M617" s="55" t="s">
        <v>138</v>
      </c>
      <c r="N617" s="55" t="s">
        <v>138</v>
      </c>
      <c r="O617" s="55" t="s">
        <v>196</v>
      </c>
      <c r="P617" s="55" t="s">
        <v>1360</v>
      </c>
      <c r="Q617" s="55" t="s">
        <v>350</v>
      </c>
      <c r="R617" s="55">
        <v>2</v>
      </c>
      <c r="S617" s="74"/>
      <c r="T617" s="55" t="s">
        <v>1361</v>
      </c>
      <c r="U617" s="73" t="s">
        <v>351</v>
      </c>
      <c r="V617" s="74">
        <v>44460</v>
      </c>
      <c r="W617" s="74">
        <v>44487</v>
      </c>
      <c r="X617" s="55">
        <v>10185406</v>
      </c>
      <c r="Y617" s="74" t="s">
        <v>132</v>
      </c>
      <c r="Z617" s="74"/>
      <c r="AB617" s="55" t="s">
        <v>132</v>
      </c>
      <c r="AC617" s="55" t="s">
        <v>130</v>
      </c>
    </row>
    <row r="618" spans="1:29" ht="13" x14ac:dyDescent="0.15">
      <c r="A618" s="72" t="str">
        <f t="shared" si="9"/>
        <v>Ofsted Social Care Provider Webpage</v>
      </c>
      <c r="B618" s="55">
        <v>2494551</v>
      </c>
      <c r="D618" s="55" t="s">
        <v>373</v>
      </c>
      <c r="E618" s="74">
        <v>43423</v>
      </c>
      <c r="F618" s="55" t="s">
        <v>344</v>
      </c>
      <c r="G618" s="55" t="s">
        <v>360</v>
      </c>
      <c r="H618" s="55" t="s">
        <v>360</v>
      </c>
      <c r="I618" s="55" t="s">
        <v>360</v>
      </c>
      <c r="J618" s="55" t="s">
        <v>360</v>
      </c>
      <c r="K618" s="55" t="s">
        <v>360</v>
      </c>
      <c r="L618" s="55" t="s">
        <v>360</v>
      </c>
      <c r="M618" s="55" t="s">
        <v>378</v>
      </c>
      <c r="N618" s="55" t="s">
        <v>134</v>
      </c>
      <c r="O618" s="55" t="s">
        <v>277</v>
      </c>
      <c r="P618" s="55" t="s">
        <v>1362</v>
      </c>
      <c r="Q618" s="55" t="s">
        <v>350</v>
      </c>
      <c r="R618" s="55">
        <v>7</v>
      </c>
      <c r="S618" s="74"/>
      <c r="T618" s="55" t="s">
        <v>435</v>
      </c>
      <c r="U618" s="73" t="s">
        <v>351</v>
      </c>
      <c r="V618" s="74">
        <v>44578</v>
      </c>
      <c r="W618" s="74">
        <v>44623</v>
      </c>
      <c r="X618" s="55">
        <v>10185950</v>
      </c>
      <c r="Y618" s="74" t="s">
        <v>132</v>
      </c>
      <c r="Z618" s="74"/>
      <c r="AB618" s="55" t="s">
        <v>140</v>
      </c>
      <c r="AC618" s="55" t="s">
        <v>132</v>
      </c>
    </row>
    <row r="619" spans="1:29" ht="13" x14ac:dyDescent="0.15">
      <c r="A619" s="72" t="str">
        <f t="shared" si="9"/>
        <v>Ofsted Social Care Provider Webpage</v>
      </c>
      <c r="B619" s="55">
        <v>2494662</v>
      </c>
      <c r="D619" s="55" t="s">
        <v>373</v>
      </c>
      <c r="E619" s="74">
        <v>43494</v>
      </c>
      <c r="F619" s="55" t="s">
        <v>344</v>
      </c>
      <c r="G619" s="55" t="s">
        <v>360</v>
      </c>
      <c r="H619" s="55" t="s">
        <v>360</v>
      </c>
      <c r="I619" s="55" t="s">
        <v>360</v>
      </c>
      <c r="J619" s="55" t="s">
        <v>360</v>
      </c>
      <c r="K619" s="55" t="s">
        <v>360</v>
      </c>
      <c r="L619" s="55" t="s">
        <v>360</v>
      </c>
      <c r="M619" s="55" t="s">
        <v>144</v>
      </c>
      <c r="N619" s="55" t="s">
        <v>144</v>
      </c>
      <c r="O619" s="55" t="s">
        <v>281</v>
      </c>
      <c r="P619" s="55" t="s">
        <v>556</v>
      </c>
      <c r="Q619" s="55" t="s">
        <v>350</v>
      </c>
      <c r="R619" s="55">
        <v>3</v>
      </c>
      <c r="S619" s="74"/>
      <c r="T619" s="55" t="s">
        <v>1363</v>
      </c>
      <c r="U619" s="73" t="s">
        <v>351</v>
      </c>
      <c r="V619" s="74">
        <v>43648</v>
      </c>
      <c r="W619" s="74">
        <v>43676</v>
      </c>
      <c r="X619" s="55">
        <v>10102626</v>
      </c>
      <c r="Y619" s="74" t="s">
        <v>132</v>
      </c>
      <c r="Z619" s="74"/>
      <c r="AB619" s="55" t="s">
        <v>132</v>
      </c>
      <c r="AC619" s="55" t="s">
        <v>132</v>
      </c>
    </row>
    <row r="620" spans="1:29" ht="13" x14ac:dyDescent="0.15">
      <c r="A620" s="72" t="str">
        <f t="shared" si="9"/>
        <v>Ofsted Social Care Provider Webpage</v>
      </c>
      <c r="B620" s="55">
        <v>2494873</v>
      </c>
      <c r="D620" s="55" t="s">
        <v>373</v>
      </c>
      <c r="E620" s="74">
        <v>43445</v>
      </c>
      <c r="F620" s="55" t="s">
        <v>344</v>
      </c>
      <c r="G620" s="55" t="s">
        <v>360</v>
      </c>
      <c r="H620" s="55" t="s">
        <v>360</v>
      </c>
      <c r="I620" s="55" t="s">
        <v>360</v>
      </c>
      <c r="J620" s="55" t="s">
        <v>360</v>
      </c>
      <c r="K620" s="55" t="s">
        <v>360</v>
      </c>
      <c r="L620" s="55" t="s">
        <v>360</v>
      </c>
      <c r="M620" s="55" t="s">
        <v>142</v>
      </c>
      <c r="N620" s="55" t="s">
        <v>142</v>
      </c>
      <c r="O620" s="55" t="s">
        <v>249</v>
      </c>
      <c r="P620" s="55" t="s">
        <v>1318</v>
      </c>
      <c r="Q620" s="55" t="s">
        <v>350</v>
      </c>
      <c r="R620" s="55">
        <v>3</v>
      </c>
      <c r="S620" s="74"/>
      <c r="T620" s="55" t="s">
        <v>1364</v>
      </c>
      <c r="U620" s="73" t="s">
        <v>351</v>
      </c>
      <c r="V620" s="74">
        <v>44494</v>
      </c>
      <c r="W620" s="74">
        <v>44538</v>
      </c>
      <c r="X620" s="55">
        <v>10186559</v>
      </c>
      <c r="Y620" s="74" t="s">
        <v>132</v>
      </c>
      <c r="Z620" s="74"/>
      <c r="AB620" s="55" t="s">
        <v>132</v>
      </c>
      <c r="AC620" s="55" t="s">
        <v>132</v>
      </c>
    </row>
    <row r="621" spans="1:29" ht="13" x14ac:dyDescent="0.15">
      <c r="A621" s="72" t="str">
        <f t="shared" si="9"/>
        <v>Ofsted Social Care Provider Webpage</v>
      </c>
      <c r="B621" s="55">
        <v>2494962</v>
      </c>
      <c r="D621" s="55" t="s">
        <v>373</v>
      </c>
      <c r="E621" s="74">
        <v>43474</v>
      </c>
      <c r="F621" s="55" t="s">
        <v>344</v>
      </c>
      <c r="G621" s="55" t="s">
        <v>360</v>
      </c>
      <c r="H621" s="55" t="s">
        <v>360</v>
      </c>
      <c r="I621" s="55" t="s">
        <v>360</v>
      </c>
      <c r="J621" s="55" t="s">
        <v>360</v>
      </c>
      <c r="K621" s="55" t="s">
        <v>360</v>
      </c>
      <c r="L621" s="55" t="s">
        <v>360</v>
      </c>
      <c r="M621" s="55" t="s">
        <v>378</v>
      </c>
      <c r="N621" s="55" t="s">
        <v>134</v>
      </c>
      <c r="O621" s="55" t="s">
        <v>206</v>
      </c>
      <c r="P621" s="55" t="s">
        <v>750</v>
      </c>
      <c r="Q621" s="55" t="s">
        <v>350</v>
      </c>
      <c r="R621" s="55">
        <v>4</v>
      </c>
      <c r="S621" s="74"/>
      <c r="T621" s="55" t="s">
        <v>489</v>
      </c>
      <c r="U621" s="73" t="s">
        <v>351</v>
      </c>
      <c r="V621" s="74">
        <v>44629</v>
      </c>
      <c r="W621" s="74">
        <v>44676</v>
      </c>
      <c r="X621" s="55">
        <v>10185311</v>
      </c>
      <c r="Y621" s="74" t="s">
        <v>132</v>
      </c>
      <c r="Z621" s="74"/>
      <c r="AB621" s="55" t="s">
        <v>132</v>
      </c>
      <c r="AC621" s="55" t="s">
        <v>140</v>
      </c>
    </row>
    <row r="622" spans="1:29" ht="13" x14ac:dyDescent="0.15">
      <c r="A622" s="72" t="str">
        <f t="shared" si="9"/>
        <v>Ofsted Social Care Provider Webpage</v>
      </c>
      <c r="B622" s="55">
        <v>2495335</v>
      </c>
      <c r="D622" s="55" t="s">
        <v>373</v>
      </c>
      <c r="E622" s="74">
        <v>43385</v>
      </c>
      <c r="F622" s="55" t="s">
        <v>344</v>
      </c>
      <c r="G622" s="55" t="s">
        <v>360</v>
      </c>
      <c r="H622" s="55" t="s">
        <v>360</v>
      </c>
      <c r="I622" s="55" t="s">
        <v>360</v>
      </c>
      <c r="J622" s="55" t="s">
        <v>360</v>
      </c>
      <c r="K622" s="55" t="s">
        <v>360</v>
      </c>
      <c r="L622" s="55" t="s">
        <v>360</v>
      </c>
      <c r="M622" s="55" t="s">
        <v>144</v>
      </c>
      <c r="N622" s="55" t="s">
        <v>144</v>
      </c>
      <c r="O622" s="55" t="s">
        <v>188</v>
      </c>
      <c r="P622" s="55" t="s">
        <v>188</v>
      </c>
      <c r="Q622" s="55" t="s">
        <v>350</v>
      </c>
      <c r="R622" s="55">
        <v>4</v>
      </c>
      <c r="S622" s="74"/>
      <c r="T622" s="55" t="s">
        <v>1365</v>
      </c>
      <c r="U622" s="73" t="s">
        <v>351</v>
      </c>
      <c r="V622" s="74">
        <v>44355</v>
      </c>
      <c r="W622" s="74">
        <v>44389</v>
      </c>
      <c r="X622" s="55">
        <v>10194734</v>
      </c>
      <c r="Y622" s="74" t="s">
        <v>130</v>
      </c>
      <c r="Z622" s="74"/>
      <c r="AB622" s="55" t="s">
        <v>130</v>
      </c>
      <c r="AC622" s="55" t="s">
        <v>130</v>
      </c>
    </row>
    <row r="623" spans="1:29" ht="13" x14ac:dyDescent="0.15">
      <c r="A623" s="72" t="str">
        <f t="shared" si="9"/>
        <v>Ofsted Social Care Provider Webpage</v>
      </c>
      <c r="B623" s="55">
        <v>2495371</v>
      </c>
      <c r="D623" s="55" t="s">
        <v>373</v>
      </c>
      <c r="E623" s="74">
        <v>43383</v>
      </c>
      <c r="F623" s="55" t="s">
        <v>344</v>
      </c>
      <c r="G623" s="55" t="s">
        <v>360</v>
      </c>
      <c r="H623" s="55" t="s">
        <v>360</v>
      </c>
      <c r="I623" s="55" t="s">
        <v>360</v>
      </c>
      <c r="J623" s="55" t="s">
        <v>360</v>
      </c>
      <c r="K623" s="55" t="s">
        <v>360</v>
      </c>
      <c r="L623" s="55" t="s">
        <v>360</v>
      </c>
      <c r="M623" s="55" t="s">
        <v>172</v>
      </c>
      <c r="N623" s="55" t="s">
        <v>172</v>
      </c>
      <c r="O623" s="55" t="s">
        <v>228</v>
      </c>
      <c r="P623" s="55" t="s">
        <v>423</v>
      </c>
      <c r="Q623" s="55" t="s">
        <v>350</v>
      </c>
      <c r="R623" s="55">
        <v>3</v>
      </c>
      <c r="S623" s="74"/>
      <c r="T623" s="55" t="s">
        <v>1366</v>
      </c>
      <c r="U623" s="73" t="s">
        <v>351</v>
      </c>
      <c r="V623" s="74">
        <v>44348</v>
      </c>
      <c r="W623" s="74">
        <v>44383</v>
      </c>
      <c r="X623" s="55">
        <v>10187159</v>
      </c>
      <c r="Y623" s="74" t="s">
        <v>132</v>
      </c>
      <c r="Z623" s="74"/>
      <c r="AB623" s="55" t="s">
        <v>132</v>
      </c>
      <c r="AC623" s="55" t="s">
        <v>130</v>
      </c>
    </row>
    <row r="624" spans="1:29" ht="13" x14ac:dyDescent="0.15">
      <c r="A624" s="72" t="str">
        <f t="shared" si="9"/>
        <v>Ofsted Social Care Provider Webpage</v>
      </c>
      <c r="B624" s="55">
        <v>2495375</v>
      </c>
      <c r="D624" s="55" t="s">
        <v>373</v>
      </c>
      <c r="E624" s="74">
        <v>43423</v>
      </c>
      <c r="F624" s="55" t="s">
        <v>344</v>
      </c>
      <c r="G624" s="55" t="s">
        <v>360</v>
      </c>
      <c r="H624" s="55" t="s">
        <v>360</v>
      </c>
      <c r="I624" s="55" t="s">
        <v>360</v>
      </c>
      <c r="J624" s="55" t="s">
        <v>360</v>
      </c>
      <c r="K624" s="55" t="s">
        <v>360</v>
      </c>
      <c r="L624" s="55" t="s">
        <v>360</v>
      </c>
      <c r="M624" s="55" t="s">
        <v>129</v>
      </c>
      <c r="N624" s="55" t="s">
        <v>129</v>
      </c>
      <c r="O624" s="55" t="s">
        <v>280</v>
      </c>
      <c r="P624" s="55" t="s">
        <v>1367</v>
      </c>
      <c r="Q624" s="55" t="s">
        <v>362</v>
      </c>
      <c r="R624" s="55">
        <v>9</v>
      </c>
      <c r="S624" s="74"/>
      <c r="T624" s="55" t="s">
        <v>432</v>
      </c>
      <c r="U624" s="73" t="s">
        <v>351</v>
      </c>
      <c r="V624" s="74">
        <v>44328</v>
      </c>
      <c r="W624" s="74">
        <v>44376</v>
      </c>
      <c r="X624" s="55">
        <v>10186295</v>
      </c>
      <c r="Y624" s="74" t="s">
        <v>132</v>
      </c>
      <c r="Z624" s="74"/>
      <c r="AB624" s="55" t="s">
        <v>132</v>
      </c>
      <c r="AC624" s="55" t="s">
        <v>132</v>
      </c>
    </row>
    <row r="625" spans="1:29" ht="13" x14ac:dyDescent="0.15">
      <c r="A625" s="72" t="str">
        <f t="shared" si="9"/>
        <v>Ofsted Social Care Provider Webpage</v>
      </c>
      <c r="B625" s="55">
        <v>2495377</v>
      </c>
      <c r="D625" s="55" t="s">
        <v>479</v>
      </c>
      <c r="E625" s="74">
        <v>43369</v>
      </c>
      <c r="F625" s="55" t="s">
        <v>344</v>
      </c>
      <c r="G625" s="55" t="s">
        <v>360</v>
      </c>
      <c r="H625" s="55" t="s">
        <v>360</v>
      </c>
      <c r="I625" s="55" t="s">
        <v>360</v>
      </c>
      <c r="J625" s="55" t="s">
        <v>360</v>
      </c>
      <c r="K625" s="55" t="s">
        <v>360</v>
      </c>
      <c r="L625" s="55" t="s">
        <v>360</v>
      </c>
      <c r="M625" s="55" t="s">
        <v>138</v>
      </c>
      <c r="N625" s="55" t="s">
        <v>138</v>
      </c>
      <c r="O625" s="55" t="s">
        <v>196</v>
      </c>
      <c r="P625" s="55" t="s">
        <v>1368</v>
      </c>
      <c r="Q625" s="55" t="s">
        <v>362</v>
      </c>
      <c r="R625" s="55">
        <v>58</v>
      </c>
      <c r="S625" s="74"/>
      <c r="T625" s="55" t="s">
        <v>1369</v>
      </c>
      <c r="U625" s="73" t="s">
        <v>351</v>
      </c>
      <c r="V625" s="74">
        <v>44585</v>
      </c>
      <c r="W625" s="74">
        <v>44613</v>
      </c>
      <c r="X625" s="55">
        <v>10209963</v>
      </c>
      <c r="Y625" s="74" t="s">
        <v>130</v>
      </c>
      <c r="Z625" s="74"/>
      <c r="AB625" s="55" t="s">
        <v>130</v>
      </c>
      <c r="AC625" s="55" t="s">
        <v>130</v>
      </c>
    </row>
    <row r="626" spans="1:29" ht="13" x14ac:dyDescent="0.15">
      <c r="A626" s="72" t="str">
        <f t="shared" si="9"/>
        <v>Ofsted Social Care Provider Webpage</v>
      </c>
      <c r="B626" s="55">
        <v>2495397</v>
      </c>
      <c r="D626" s="55" t="s">
        <v>373</v>
      </c>
      <c r="E626" s="74">
        <v>43376</v>
      </c>
      <c r="F626" s="55" t="s">
        <v>344</v>
      </c>
      <c r="G626" s="55" t="s">
        <v>360</v>
      </c>
      <c r="H626" s="55" t="s">
        <v>360</v>
      </c>
      <c r="I626" s="55" t="s">
        <v>360</v>
      </c>
      <c r="J626" s="55" t="s">
        <v>360</v>
      </c>
      <c r="K626" s="55" t="s">
        <v>360</v>
      </c>
      <c r="L626" s="55" t="s">
        <v>360</v>
      </c>
      <c r="M626" s="55" t="s">
        <v>144</v>
      </c>
      <c r="N626" s="55" t="s">
        <v>144</v>
      </c>
      <c r="O626" s="55" t="s">
        <v>209</v>
      </c>
      <c r="P626" s="55" t="s">
        <v>544</v>
      </c>
      <c r="Q626" s="55" t="s">
        <v>350</v>
      </c>
      <c r="R626" s="55">
        <v>2</v>
      </c>
      <c r="S626" s="74"/>
      <c r="T626" s="55" t="s">
        <v>816</v>
      </c>
      <c r="U626" s="73" t="s">
        <v>351</v>
      </c>
      <c r="V626" s="74">
        <v>44461</v>
      </c>
      <c r="W626" s="74">
        <v>44508</v>
      </c>
      <c r="X626" s="55">
        <v>10185977</v>
      </c>
      <c r="Y626" s="74" t="s">
        <v>132</v>
      </c>
      <c r="Z626" s="74"/>
      <c r="AB626" s="55" t="s">
        <v>132</v>
      </c>
      <c r="AC626" s="55" t="s">
        <v>132</v>
      </c>
    </row>
    <row r="627" spans="1:29" ht="13" x14ac:dyDescent="0.15">
      <c r="A627" s="72" t="str">
        <f t="shared" si="9"/>
        <v>Ofsted Social Care Provider Webpage</v>
      </c>
      <c r="B627" s="55">
        <v>2495504</v>
      </c>
      <c r="D627" s="55" t="s">
        <v>373</v>
      </c>
      <c r="E627" s="74">
        <v>43382</v>
      </c>
      <c r="F627" s="55" t="s">
        <v>344</v>
      </c>
      <c r="G627" s="55" t="s">
        <v>360</v>
      </c>
      <c r="H627" s="55" t="s">
        <v>360</v>
      </c>
      <c r="I627" s="55" t="s">
        <v>360</v>
      </c>
      <c r="J627" s="55" t="s">
        <v>360</v>
      </c>
      <c r="K627" s="55" t="s">
        <v>360</v>
      </c>
      <c r="L627" s="55" t="s">
        <v>360</v>
      </c>
      <c r="M627" s="55" t="s">
        <v>172</v>
      </c>
      <c r="N627" s="55" t="s">
        <v>172</v>
      </c>
      <c r="O627" s="55" t="s">
        <v>173</v>
      </c>
      <c r="P627" s="55" t="s">
        <v>1069</v>
      </c>
      <c r="Q627" s="55" t="s">
        <v>350</v>
      </c>
      <c r="R627" s="55">
        <v>1</v>
      </c>
      <c r="S627" s="74"/>
      <c r="T627" s="55" t="s">
        <v>1370</v>
      </c>
      <c r="U627" s="73" t="s">
        <v>351</v>
      </c>
      <c r="V627" s="74">
        <v>44419</v>
      </c>
      <c r="W627" s="74">
        <v>44454</v>
      </c>
      <c r="X627" s="55">
        <v>10187622</v>
      </c>
      <c r="Y627" s="74" t="s">
        <v>132</v>
      </c>
      <c r="Z627" s="74"/>
      <c r="AB627" s="55" t="s">
        <v>132</v>
      </c>
      <c r="AC627" s="55" t="s">
        <v>130</v>
      </c>
    </row>
    <row r="628" spans="1:29" ht="13" x14ac:dyDescent="0.15">
      <c r="A628" s="72" t="str">
        <f t="shared" si="9"/>
        <v>Ofsted Social Care Provider Webpage</v>
      </c>
      <c r="B628" s="55">
        <v>2495513</v>
      </c>
      <c r="D628" s="55" t="s">
        <v>373</v>
      </c>
      <c r="E628" s="74">
        <v>43452</v>
      </c>
      <c r="F628" s="55" t="s">
        <v>344</v>
      </c>
      <c r="G628" s="55" t="s">
        <v>360</v>
      </c>
      <c r="H628" s="55" t="s">
        <v>360</v>
      </c>
      <c r="I628" s="55" t="s">
        <v>360</v>
      </c>
      <c r="J628" s="55" t="s">
        <v>360</v>
      </c>
      <c r="K628" s="55" t="s">
        <v>360</v>
      </c>
      <c r="L628" s="55" t="s">
        <v>360</v>
      </c>
      <c r="M628" s="55" t="s">
        <v>144</v>
      </c>
      <c r="N628" s="55" t="s">
        <v>144</v>
      </c>
      <c r="O628" s="55" t="s">
        <v>145</v>
      </c>
      <c r="P628" s="55" t="s">
        <v>525</v>
      </c>
      <c r="Q628" s="55" t="s">
        <v>350</v>
      </c>
      <c r="R628" s="55">
        <v>2</v>
      </c>
      <c r="S628" s="74"/>
      <c r="T628" s="55" t="s">
        <v>485</v>
      </c>
      <c r="U628" s="73" t="s">
        <v>351</v>
      </c>
      <c r="V628" s="74">
        <v>44460</v>
      </c>
      <c r="W628" s="74">
        <v>44495</v>
      </c>
      <c r="X628" s="55">
        <v>10186897</v>
      </c>
      <c r="Y628" s="74" t="s">
        <v>140</v>
      </c>
      <c r="Z628" s="74"/>
      <c r="AB628" s="55" t="s">
        <v>140</v>
      </c>
      <c r="AC628" s="55" t="s">
        <v>140</v>
      </c>
    </row>
    <row r="629" spans="1:29" ht="13" x14ac:dyDescent="0.15">
      <c r="A629" s="72" t="str">
        <f t="shared" si="9"/>
        <v>Ofsted Social Care Provider Webpage</v>
      </c>
      <c r="B629" s="55">
        <v>2495951</v>
      </c>
      <c r="D629" s="55" t="s">
        <v>373</v>
      </c>
      <c r="E629" s="74">
        <v>43389</v>
      </c>
      <c r="F629" s="55" t="s">
        <v>344</v>
      </c>
      <c r="G629" s="55" t="s">
        <v>360</v>
      </c>
      <c r="H629" s="55" t="s">
        <v>360</v>
      </c>
      <c r="I629" s="55" t="s">
        <v>360</v>
      </c>
      <c r="J629" s="55" t="s">
        <v>360</v>
      </c>
      <c r="K629" s="55" t="s">
        <v>360</v>
      </c>
      <c r="L629" s="55" t="s">
        <v>360</v>
      </c>
      <c r="M629" s="55" t="s">
        <v>172</v>
      </c>
      <c r="N629" s="55" t="s">
        <v>172</v>
      </c>
      <c r="O629" s="55" t="s">
        <v>212</v>
      </c>
      <c r="P629" s="55" t="s">
        <v>842</v>
      </c>
      <c r="Q629" s="55" t="s">
        <v>350</v>
      </c>
      <c r="R629" s="55">
        <v>3</v>
      </c>
      <c r="S629" s="74"/>
      <c r="T629" s="55" t="s">
        <v>950</v>
      </c>
      <c r="U629" s="73" t="s">
        <v>351</v>
      </c>
      <c r="V629" s="74">
        <v>44314</v>
      </c>
      <c r="W629" s="74">
        <v>44351</v>
      </c>
      <c r="X629" s="55">
        <v>10187537</v>
      </c>
      <c r="Y629" s="74" t="s">
        <v>132</v>
      </c>
      <c r="Z629" s="74"/>
      <c r="AB629" s="55" t="s">
        <v>130</v>
      </c>
      <c r="AC629" s="55" t="s">
        <v>130</v>
      </c>
    </row>
    <row r="630" spans="1:29" ht="13" x14ac:dyDescent="0.15">
      <c r="A630" s="72" t="str">
        <f t="shared" si="9"/>
        <v>Ofsted Social Care Provider Webpage</v>
      </c>
      <c r="B630" s="55">
        <v>2495967</v>
      </c>
      <c r="D630" s="55" t="s">
        <v>373</v>
      </c>
      <c r="E630" s="74">
        <v>43535</v>
      </c>
      <c r="F630" s="55" t="s">
        <v>344</v>
      </c>
      <c r="G630" s="55" t="s">
        <v>360</v>
      </c>
      <c r="H630" s="55" t="s">
        <v>360</v>
      </c>
      <c r="I630" s="55" t="s">
        <v>360</v>
      </c>
      <c r="J630" s="55" t="s">
        <v>360</v>
      </c>
      <c r="K630" s="55" t="s">
        <v>360</v>
      </c>
      <c r="L630" s="55" t="s">
        <v>360</v>
      </c>
      <c r="M630" s="55" t="s">
        <v>142</v>
      </c>
      <c r="N630" s="55" t="s">
        <v>142</v>
      </c>
      <c r="O630" s="55" t="s">
        <v>262</v>
      </c>
      <c r="P630" s="55" t="s">
        <v>488</v>
      </c>
      <c r="Q630" s="55" t="s">
        <v>350</v>
      </c>
      <c r="R630" s="55">
        <v>3</v>
      </c>
      <c r="S630" s="74"/>
      <c r="T630" s="55" t="s">
        <v>1371</v>
      </c>
      <c r="U630" s="73" t="s">
        <v>351</v>
      </c>
      <c r="V630" s="74">
        <v>44447</v>
      </c>
      <c r="W630" s="74">
        <v>44524</v>
      </c>
      <c r="X630" s="55">
        <v>10187247</v>
      </c>
      <c r="Y630" s="74" t="s">
        <v>140</v>
      </c>
      <c r="Z630" s="74"/>
      <c r="AB630" s="55" t="s">
        <v>140</v>
      </c>
      <c r="AC630" s="55" t="s">
        <v>140</v>
      </c>
    </row>
    <row r="631" spans="1:29" ht="13" x14ac:dyDescent="0.15">
      <c r="A631" s="72" t="str">
        <f t="shared" si="9"/>
        <v>Ofsted Social Care Provider Webpage</v>
      </c>
      <c r="B631" s="55">
        <v>2496251</v>
      </c>
      <c r="D631" s="55" t="s">
        <v>373</v>
      </c>
      <c r="E631" s="74">
        <v>43409</v>
      </c>
      <c r="F631" s="55" t="s">
        <v>344</v>
      </c>
      <c r="G631" s="55" t="s">
        <v>360</v>
      </c>
      <c r="H631" s="55" t="s">
        <v>360</v>
      </c>
      <c r="I631" s="55" t="s">
        <v>360</v>
      </c>
      <c r="J631" s="55" t="s">
        <v>360</v>
      </c>
      <c r="K631" s="55" t="s">
        <v>360</v>
      </c>
      <c r="L631" s="55" t="s">
        <v>360</v>
      </c>
      <c r="M631" s="55" t="s">
        <v>144</v>
      </c>
      <c r="N631" s="55" t="s">
        <v>144</v>
      </c>
      <c r="O631" s="55" t="s">
        <v>250</v>
      </c>
      <c r="P631" s="55" t="s">
        <v>1372</v>
      </c>
      <c r="Q631" s="55" t="s">
        <v>350</v>
      </c>
      <c r="R631" s="55">
        <v>4</v>
      </c>
      <c r="S631" s="74"/>
      <c r="T631" s="55" t="s">
        <v>1373</v>
      </c>
      <c r="U631" s="73" t="s">
        <v>351</v>
      </c>
      <c r="V631" s="74">
        <v>44523</v>
      </c>
      <c r="W631" s="74">
        <v>44571</v>
      </c>
      <c r="X631" s="55">
        <v>10186252</v>
      </c>
      <c r="Y631" s="74" t="s">
        <v>132</v>
      </c>
      <c r="Z631" s="74"/>
      <c r="AB631" s="55" t="s">
        <v>132</v>
      </c>
      <c r="AC631" s="55" t="s">
        <v>132</v>
      </c>
    </row>
    <row r="632" spans="1:29" ht="13" x14ac:dyDescent="0.15">
      <c r="A632" s="72" t="str">
        <f t="shared" si="9"/>
        <v>Ofsted Social Care Provider Webpage</v>
      </c>
      <c r="B632" s="55">
        <v>2496625</v>
      </c>
      <c r="D632" s="55" t="s">
        <v>373</v>
      </c>
      <c r="E632" s="74">
        <v>43410</v>
      </c>
      <c r="F632" s="55" t="s">
        <v>344</v>
      </c>
      <c r="G632" s="55" t="s">
        <v>360</v>
      </c>
      <c r="H632" s="55" t="s">
        <v>360</v>
      </c>
      <c r="I632" s="55" t="s">
        <v>360</v>
      </c>
      <c r="J632" s="55" t="s">
        <v>360</v>
      </c>
      <c r="K632" s="55" t="s">
        <v>360</v>
      </c>
      <c r="L632" s="55" t="s">
        <v>360</v>
      </c>
      <c r="M632" s="55" t="s">
        <v>378</v>
      </c>
      <c r="N632" s="55" t="s">
        <v>170</v>
      </c>
      <c r="O632" s="55" t="s">
        <v>184</v>
      </c>
      <c r="P632" s="55" t="s">
        <v>184</v>
      </c>
      <c r="Q632" s="55" t="s">
        <v>350</v>
      </c>
      <c r="R632" s="55">
        <v>2</v>
      </c>
      <c r="S632" s="74"/>
      <c r="T632" s="55" t="s">
        <v>385</v>
      </c>
      <c r="U632" s="73" t="s">
        <v>351</v>
      </c>
      <c r="V632" s="74">
        <v>44488</v>
      </c>
      <c r="W632" s="74">
        <v>44519</v>
      </c>
      <c r="X632" s="55">
        <v>10186667</v>
      </c>
      <c r="Y632" s="74" t="s">
        <v>132</v>
      </c>
      <c r="Z632" s="74"/>
      <c r="AB632" s="55" t="s">
        <v>132</v>
      </c>
      <c r="AC632" s="55" t="s">
        <v>132</v>
      </c>
    </row>
    <row r="633" spans="1:29" ht="13" x14ac:dyDescent="0.15">
      <c r="A633" s="72" t="str">
        <f t="shared" si="9"/>
        <v>Ofsted Social Care Provider Webpage</v>
      </c>
      <c r="B633" s="55">
        <v>2496627</v>
      </c>
      <c r="D633" s="55" t="s">
        <v>373</v>
      </c>
      <c r="E633" s="74">
        <v>43402</v>
      </c>
      <c r="F633" s="55" t="s">
        <v>344</v>
      </c>
      <c r="G633" s="55" t="s">
        <v>360</v>
      </c>
      <c r="H633" s="55" t="s">
        <v>360</v>
      </c>
      <c r="I633" s="55" t="s">
        <v>360</v>
      </c>
      <c r="J633" s="55" t="s">
        <v>360</v>
      </c>
      <c r="K633" s="55" t="s">
        <v>360</v>
      </c>
      <c r="L633" s="55" t="s">
        <v>360</v>
      </c>
      <c r="M633" s="55" t="s">
        <v>378</v>
      </c>
      <c r="N633" s="55" t="s">
        <v>170</v>
      </c>
      <c r="O633" s="55" t="s">
        <v>178</v>
      </c>
      <c r="P633" s="55" t="s">
        <v>1374</v>
      </c>
      <c r="Q633" s="55" t="s">
        <v>350</v>
      </c>
      <c r="R633" s="55">
        <v>3</v>
      </c>
      <c r="S633" s="74"/>
      <c r="T633" s="55" t="s">
        <v>435</v>
      </c>
      <c r="U633" s="73" t="s">
        <v>351</v>
      </c>
      <c r="V633" s="74">
        <v>44593</v>
      </c>
      <c r="W633" s="74">
        <v>44637</v>
      </c>
      <c r="X633" s="55">
        <v>10185858</v>
      </c>
      <c r="Y633" s="74" t="s">
        <v>132</v>
      </c>
      <c r="Z633" s="74"/>
      <c r="AB633" s="55" t="s">
        <v>132</v>
      </c>
      <c r="AC633" s="55" t="s">
        <v>132</v>
      </c>
    </row>
    <row r="634" spans="1:29" ht="13" x14ac:dyDescent="0.15">
      <c r="A634" s="72" t="str">
        <f t="shared" si="9"/>
        <v>Ofsted Social Care Provider Webpage</v>
      </c>
      <c r="B634" s="55">
        <v>2496764</v>
      </c>
      <c r="D634" s="55" t="s">
        <v>373</v>
      </c>
      <c r="E634" s="74">
        <v>43432</v>
      </c>
      <c r="F634" s="55" t="s">
        <v>344</v>
      </c>
      <c r="G634" s="55" t="s">
        <v>360</v>
      </c>
      <c r="H634" s="55" t="s">
        <v>360</v>
      </c>
      <c r="I634" s="55" t="s">
        <v>360</v>
      </c>
      <c r="J634" s="55" t="s">
        <v>360</v>
      </c>
      <c r="K634" s="55" t="s">
        <v>360</v>
      </c>
      <c r="L634" s="55" t="s">
        <v>360</v>
      </c>
      <c r="M634" s="55" t="s">
        <v>172</v>
      </c>
      <c r="N634" s="55" t="s">
        <v>172</v>
      </c>
      <c r="O634" s="55" t="s">
        <v>234</v>
      </c>
      <c r="P634" s="55" t="s">
        <v>965</v>
      </c>
      <c r="Q634" s="55" t="s">
        <v>350</v>
      </c>
      <c r="R634" s="55">
        <v>4</v>
      </c>
      <c r="S634" s="74"/>
      <c r="T634" s="55" t="s">
        <v>1375</v>
      </c>
      <c r="U634" s="73" t="s">
        <v>351</v>
      </c>
      <c r="V634" s="74">
        <v>44404</v>
      </c>
      <c r="W634" s="74">
        <v>44447</v>
      </c>
      <c r="X634" s="55">
        <v>10187305</v>
      </c>
      <c r="Y634" s="74" t="s">
        <v>140</v>
      </c>
      <c r="Z634" s="74"/>
      <c r="AB634" s="55" t="s">
        <v>132</v>
      </c>
      <c r="AC634" s="55" t="s">
        <v>140</v>
      </c>
    </row>
    <row r="635" spans="1:29" ht="13" x14ac:dyDescent="0.15">
      <c r="A635" s="72" t="str">
        <f t="shared" si="9"/>
        <v>Ofsted Social Care Provider Webpage</v>
      </c>
      <c r="B635" s="55">
        <v>2496864</v>
      </c>
      <c r="D635" s="55" t="s">
        <v>373</v>
      </c>
      <c r="E635" s="74">
        <v>43349</v>
      </c>
      <c r="F635" s="55" t="s">
        <v>344</v>
      </c>
      <c r="G635" s="55" t="s">
        <v>360</v>
      </c>
      <c r="H635" s="55" t="s">
        <v>360</v>
      </c>
      <c r="I635" s="55" t="s">
        <v>360</v>
      </c>
      <c r="J635" s="55" t="s">
        <v>360</v>
      </c>
      <c r="K635" s="55" t="s">
        <v>360</v>
      </c>
      <c r="L635" s="55" t="s">
        <v>360</v>
      </c>
      <c r="M635" s="55" t="s">
        <v>378</v>
      </c>
      <c r="N635" s="55" t="s">
        <v>170</v>
      </c>
      <c r="O635" s="55" t="s">
        <v>233</v>
      </c>
      <c r="P635" s="55" t="s">
        <v>1376</v>
      </c>
      <c r="Q635" s="55" t="s">
        <v>350</v>
      </c>
      <c r="R635" s="55">
        <v>2</v>
      </c>
      <c r="S635" s="74"/>
      <c r="T635" s="55" t="s">
        <v>385</v>
      </c>
      <c r="U635" s="73" t="s">
        <v>351</v>
      </c>
      <c r="V635" s="74">
        <v>44600</v>
      </c>
      <c r="W635" s="74">
        <v>44641</v>
      </c>
      <c r="X635" s="55">
        <v>10185468</v>
      </c>
      <c r="Y635" s="74" t="s">
        <v>132</v>
      </c>
      <c r="Z635" s="74"/>
      <c r="AB635" s="55" t="s">
        <v>132</v>
      </c>
      <c r="AC635" s="55" t="s">
        <v>132</v>
      </c>
    </row>
    <row r="636" spans="1:29" ht="13" x14ac:dyDescent="0.15">
      <c r="A636" s="72" t="str">
        <f t="shared" si="9"/>
        <v>Ofsted Social Care Provider Webpage</v>
      </c>
      <c r="B636" s="55">
        <v>2497049</v>
      </c>
      <c r="D636" s="55" t="s">
        <v>373</v>
      </c>
      <c r="E636" s="74">
        <v>43558</v>
      </c>
      <c r="F636" s="55" t="s">
        <v>344</v>
      </c>
      <c r="G636" s="55" t="s">
        <v>360</v>
      </c>
      <c r="H636" s="55" t="s">
        <v>360</v>
      </c>
      <c r="I636" s="55" t="s">
        <v>360</v>
      </c>
      <c r="J636" s="55" t="s">
        <v>360</v>
      </c>
      <c r="K636" s="55" t="s">
        <v>360</v>
      </c>
      <c r="L636" s="55" t="s">
        <v>360</v>
      </c>
      <c r="M636" s="55" t="s">
        <v>142</v>
      </c>
      <c r="N636" s="55" t="s">
        <v>142</v>
      </c>
      <c r="O636" s="55" t="s">
        <v>141</v>
      </c>
      <c r="P636" s="55" t="s">
        <v>612</v>
      </c>
      <c r="Q636" s="55" t="s">
        <v>350</v>
      </c>
      <c r="R636" s="55">
        <v>2</v>
      </c>
      <c r="S636" s="74"/>
      <c r="T636" s="55" t="s">
        <v>1377</v>
      </c>
      <c r="U636" s="73" t="s">
        <v>351</v>
      </c>
      <c r="V636" s="74">
        <v>44455</v>
      </c>
      <c r="W636" s="74">
        <v>44490</v>
      </c>
      <c r="X636" s="55">
        <v>10186560</v>
      </c>
      <c r="Y636" s="74" t="s">
        <v>132</v>
      </c>
      <c r="Z636" s="74"/>
      <c r="AB636" s="55" t="s">
        <v>132</v>
      </c>
      <c r="AC636" s="55" t="s">
        <v>132</v>
      </c>
    </row>
    <row r="637" spans="1:29" ht="13" x14ac:dyDescent="0.15">
      <c r="A637" s="72" t="str">
        <f t="shared" si="9"/>
        <v>Ofsted Social Care Provider Webpage</v>
      </c>
      <c r="B637" s="55">
        <v>2497538</v>
      </c>
      <c r="D637" s="55" t="s">
        <v>373</v>
      </c>
      <c r="E637" s="74">
        <v>43511</v>
      </c>
      <c r="F637" s="55" t="s">
        <v>344</v>
      </c>
      <c r="G637" s="55" t="s">
        <v>360</v>
      </c>
      <c r="H637" s="55" t="s">
        <v>360</v>
      </c>
      <c r="I637" s="55" t="s">
        <v>360</v>
      </c>
      <c r="J637" s="55" t="s">
        <v>360</v>
      </c>
      <c r="K637" s="55" t="s">
        <v>360</v>
      </c>
      <c r="L637" s="55" t="s">
        <v>360</v>
      </c>
      <c r="M637" s="55" t="s">
        <v>138</v>
      </c>
      <c r="N637" s="55" t="s">
        <v>138</v>
      </c>
      <c r="O637" s="55" t="s">
        <v>159</v>
      </c>
      <c r="P637" s="55" t="s">
        <v>1025</v>
      </c>
      <c r="Q637" s="55" t="s">
        <v>350</v>
      </c>
      <c r="R637" s="55">
        <v>5</v>
      </c>
      <c r="S637" s="74"/>
      <c r="T637" s="55" t="s">
        <v>1378</v>
      </c>
      <c r="U637" s="73" t="s">
        <v>351</v>
      </c>
      <c r="V637" s="74">
        <v>44468</v>
      </c>
      <c r="W637" s="74">
        <v>44488</v>
      </c>
      <c r="X637" s="55">
        <v>10185494</v>
      </c>
      <c r="Y637" s="74" t="s">
        <v>132</v>
      </c>
      <c r="Z637" s="74"/>
      <c r="AB637" s="55" t="s">
        <v>132</v>
      </c>
      <c r="AC637" s="55" t="s">
        <v>132</v>
      </c>
    </row>
    <row r="638" spans="1:29" ht="13" x14ac:dyDescent="0.15">
      <c r="A638" s="72" t="str">
        <f t="shared" si="9"/>
        <v>Ofsted Social Care Provider Webpage</v>
      </c>
      <c r="B638" s="55">
        <v>2497676</v>
      </c>
      <c r="D638" s="55" t="s">
        <v>389</v>
      </c>
      <c r="E638" s="74">
        <v>43616</v>
      </c>
      <c r="F638" s="55" t="s">
        <v>344</v>
      </c>
      <c r="G638" s="55" t="s">
        <v>1379</v>
      </c>
      <c r="H638" s="55" t="s">
        <v>1380</v>
      </c>
      <c r="I638" s="55" t="s">
        <v>1381</v>
      </c>
      <c r="J638" s="55" t="s">
        <v>252</v>
      </c>
      <c r="L638" s="55" t="s">
        <v>1382</v>
      </c>
      <c r="M638" s="55" t="s">
        <v>142</v>
      </c>
      <c r="N638" s="55" t="s">
        <v>142</v>
      </c>
      <c r="O638" s="55" t="s">
        <v>252</v>
      </c>
      <c r="P638" s="55" t="s">
        <v>386</v>
      </c>
      <c r="Q638" s="55" t="s">
        <v>350</v>
      </c>
      <c r="R638" s="55"/>
      <c r="S638" s="74"/>
      <c r="T638" s="55" t="s">
        <v>1379</v>
      </c>
      <c r="U638" s="73" t="s">
        <v>351</v>
      </c>
      <c r="V638" s="74">
        <v>43745</v>
      </c>
      <c r="W638" s="74">
        <v>43768</v>
      </c>
      <c r="X638" s="55">
        <v>10115067</v>
      </c>
      <c r="Y638" s="74" t="s">
        <v>132</v>
      </c>
      <c r="Z638" s="74"/>
      <c r="AB638" s="55" t="s">
        <v>132</v>
      </c>
      <c r="AC638" s="55" t="s">
        <v>130</v>
      </c>
    </row>
    <row r="639" spans="1:29" ht="13" x14ac:dyDescent="0.15">
      <c r="A639" s="72" t="str">
        <f t="shared" si="9"/>
        <v>Ofsted Social Care Provider Webpage</v>
      </c>
      <c r="B639" s="55">
        <v>2499314</v>
      </c>
      <c r="D639" s="55" t="s">
        <v>468</v>
      </c>
      <c r="E639" s="74">
        <v>43378</v>
      </c>
      <c r="F639" s="55" t="s">
        <v>344</v>
      </c>
      <c r="G639" s="55" t="s">
        <v>1383</v>
      </c>
      <c r="H639" s="55" t="s">
        <v>1384</v>
      </c>
      <c r="I639" s="55" t="s">
        <v>1385</v>
      </c>
      <c r="J639" s="55" t="s">
        <v>1386</v>
      </c>
      <c r="K639" s="55" t="s">
        <v>288</v>
      </c>
      <c r="L639" s="55" t="s">
        <v>1387</v>
      </c>
      <c r="M639" s="55" t="s">
        <v>136</v>
      </c>
      <c r="N639" s="55" t="s">
        <v>136</v>
      </c>
      <c r="O639" s="55" t="s">
        <v>288</v>
      </c>
      <c r="P639" s="55" t="s">
        <v>1388</v>
      </c>
      <c r="Q639" s="55" t="s">
        <v>380</v>
      </c>
      <c r="R639" s="55"/>
      <c r="S639" s="74"/>
      <c r="T639" s="55" t="s">
        <v>1389</v>
      </c>
      <c r="U639" s="73" t="s">
        <v>351</v>
      </c>
      <c r="V639" s="74">
        <v>44585</v>
      </c>
      <c r="W639" s="74">
        <v>44634</v>
      </c>
      <c r="X639" s="55">
        <v>10183246</v>
      </c>
      <c r="Y639" s="74" t="s">
        <v>132</v>
      </c>
      <c r="Z639" s="74"/>
      <c r="AB639" s="55" t="s">
        <v>132</v>
      </c>
      <c r="AC639" s="55" t="s">
        <v>130</v>
      </c>
    </row>
    <row r="640" spans="1:29" ht="13" x14ac:dyDescent="0.15">
      <c r="A640" s="72" t="str">
        <f t="shared" si="9"/>
        <v>Ofsted Social Care Provider Webpage</v>
      </c>
      <c r="B640" s="55">
        <v>2500044</v>
      </c>
      <c r="D640" s="55" t="s">
        <v>373</v>
      </c>
      <c r="E640" s="74">
        <v>43447</v>
      </c>
      <c r="F640" s="55" t="s">
        <v>344</v>
      </c>
      <c r="G640" s="55" t="s">
        <v>360</v>
      </c>
      <c r="H640" s="55" t="s">
        <v>360</v>
      </c>
      <c r="I640" s="55" t="s">
        <v>360</v>
      </c>
      <c r="J640" s="55" t="s">
        <v>360</v>
      </c>
      <c r="K640" s="55" t="s">
        <v>360</v>
      </c>
      <c r="L640" s="55" t="s">
        <v>360</v>
      </c>
      <c r="M640" s="55" t="s">
        <v>172</v>
      </c>
      <c r="N640" s="55" t="s">
        <v>172</v>
      </c>
      <c r="O640" s="55" t="s">
        <v>173</v>
      </c>
      <c r="P640" s="55" t="s">
        <v>1069</v>
      </c>
      <c r="Q640" s="55" t="s">
        <v>350</v>
      </c>
      <c r="R640" s="55">
        <v>2</v>
      </c>
      <c r="S640" s="74"/>
      <c r="T640" s="55" t="s">
        <v>861</v>
      </c>
      <c r="U640" s="73" t="s">
        <v>351</v>
      </c>
      <c r="V640" s="74">
        <v>44600</v>
      </c>
      <c r="W640" s="74">
        <v>44641</v>
      </c>
      <c r="X640" s="55">
        <v>10186123</v>
      </c>
      <c r="Y640" s="74" t="s">
        <v>140</v>
      </c>
      <c r="Z640" s="74"/>
      <c r="AB640" s="55" t="s">
        <v>132</v>
      </c>
      <c r="AC640" s="55" t="s">
        <v>140</v>
      </c>
    </row>
    <row r="641" spans="1:29" ht="13" x14ac:dyDescent="0.15">
      <c r="A641" s="72" t="str">
        <f t="shared" si="9"/>
        <v>Ofsted Social Care Provider Webpage</v>
      </c>
      <c r="B641" s="55">
        <v>2500324</v>
      </c>
      <c r="D641" s="55" t="s">
        <v>389</v>
      </c>
      <c r="E641" s="74">
        <v>43518</v>
      </c>
      <c r="F641" s="55" t="s">
        <v>344</v>
      </c>
      <c r="G641" s="55" t="s">
        <v>1390</v>
      </c>
      <c r="H641" s="55" t="s">
        <v>1391</v>
      </c>
      <c r="I641" s="55" t="s">
        <v>1392</v>
      </c>
      <c r="J641" s="55" t="s">
        <v>1393</v>
      </c>
      <c r="K641" s="55" t="s">
        <v>1240</v>
      </c>
      <c r="L641" s="55" t="s">
        <v>1394</v>
      </c>
      <c r="M641" s="55" t="s">
        <v>378</v>
      </c>
      <c r="N641" s="55" t="s">
        <v>134</v>
      </c>
      <c r="O641" s="55" t="s">
        <v>175</v>
      </c>
      <c r="P641" s="55" t="s">
        <v>666</v>
      </c>
      <c r="Q641" s="55" t="s">
        <v>350</v>
      </c>
      <c r="R641" s="55"/>
      <c r="S641" s="74"/>
      <c r="T641" s="55" t="s">
        <v>1395</v>
      </c>
      <c r="U641" s="73" t="s">
        <v>351</v>
      </c>
      <c r="V641" s="74">
        <v>43871</v>
      </c>
      <c r="W641" s="74">
        <v>43899</v>
      </c>
      <c r="X641" s="55">
        <v>10121152</v>
      </c>
      <c r="Y641" s="74" t="s">
        <v>132</v>
      </c>
      <c r="Z641" s="74"/>
      <c r="AB641" s="55" t="s">
        <v>132</v>
      </c>
      <c r="AC641" s="55" t="s">
        <v>130</v>
      </c>
    </row>
    <row r="642" spans="1:29" ht="13" x14ac:dyDescent="0.15">
      <c r="A642" s="72" t="str">
        <f t="shared" si="9"/>
        <v>Ofsted Social Care Provider Webpage</v>
      </c>
      <c r="B642" s="55">
        <v>2500668</v>
      </c>
      <c r="D642" s="55" t="s">
        <v>373</v>
      </c>
      <c r="E642" s="74">
        <v>43376</v>
      </c>
      <c r="F642" s="55" t="s">
        <v>344</v>
      </c>
      <c r="G642" s="55" t="s">
        <v>360</v>
      </c>
      <c r="H642" s="55" t="s">
        <v>360</v>
      </c>
      <c r="I642" s="55" t="s">
        <v>360</v>
      </c>
      <c r="J642" s="55" t="s">
        <v>360</v>
      </c>
      <c r="K642" s="55" t="s">
        <v>360</v>
      </c>
      <c r="L642" s="55" t="s">
        <v>360</v>
      </c>
      <c r="M642" s="55" t="s">
        <v>144</v>
      </c>
      <c r="N642" s="55" t="s">
        <v>144</v>
      </c>
      <c r="O642" s="55" t="s">
        <v>215</v>
      </c>
      <c r="P642" s="55" t="s">
        <v>1008</v>
      </c>
      <c r="Q642" s="55" t="s">
        <v>350</v>
      </c>
      <c r="R642" s="55">
        <v>3</v>
      </c>
      <c r="S642" s="74"/>
      <c r="T642" s="55" t="s">
        <v>793</v>
      </c>
      <c r="U642" s="73" t="s">
        <v>351</v>
      </c>
      <c r="V642" s="74">
        <v>44586</v>
      </c>
      <c r="W642" s="74">
        <v>44636</v>
      </c>
      <c r="X642" s="55">
        <v>10186398</v>
      </c>
      <c r="Y642" s="74" t="s">
        <v>132</v>
      </c>
      <c r="Z642" s="74"/>
      <c r="AB642" s="55" t="s">
        <v>132</v>
      </c>
      <c r="AC642" s="55" t="s">
        <v>132</v>
      </c>
    </row>
    <row r="643" spans="1:29" ht="13" x14ac:dyDescent="0.15">
      <c r="A643" s="72" t="str">
        <f t="shared" si="9"/>
        <v>Ofsted Social Care Provider Webpage</v>
      </c>
      <c r="B643" s="55">
        <v>2501397</v>
      </c>
      <c r="D643" s="55" t="s">
        <v>373</v>
      </c>
      <c r="E643" s="74">
        <v>43437</v>
      </c>
      <c r="F643" s="55" t="s">
        <v>344</v>
      </c>
      <c r="G643" s="55" t="s">
        <v>360</v>
      </c>
      <c r="H643" s="55" t="s">
        <v>360</v>
      </c>
      <c r="I643" s="55" t="s">
        <v>360</v>
      </c>
      <c r="J643" s="55" t="s">
        <v>360</v>
      </c>
      <c r="K643" s="55" t="s">
        <v>360</v>
      </c>
      <c r="L643" s="55" t="s">
        <v>360</v>
      </c>
      <c r="M643" s="55" t="s">
        <v>172</v>
      </c>
      <c r="N643" s="55" t="s">
        <v>172</v>
      </c>
      <c r="O643" s="55" t="s">
        <v>235</v>
      </c>
      <c r="P643" s="55" t="s">
        <v>1396</v>
      </c>
      <c r="Q643" s="55" t="s">
        <v>350</v>
      </c>
      <c r="R643" s="55">
        <v>1</v>
      </c>
      <c r="S643" s="74"/>
      <c r="T643" s="55" t="s">
        <v>517</v>
      </c>
      <c r="U643" s="73" t="s">
        <v>351</v>
      </c>
      <c r="V643" s="74">
        <v>44334</v>
      </c>
      <c r="W643" s="74">
        <v>44358</v>
      </c>
      <c r="X643" s="55">
        <v>10187361</v>
      </c>
      <c r="Y643" s="74" t="s">
        <v>132</v>
      </c>
      <c r="Z643" s="74"/>
      <c r="AB643" s="55" t="s">
        <v>132</v>
      </c>
      <c r="AC643" s="55" t="s">
        <v>132</v>
      </c>
    </row>
    <row r="644" spans="1:29" ht="13" x14ac:dyDescent="0.15">
      <c r="A644" s="72" t="str">
        <f t="shared" si="9"/>
        <v>Ofsted Social Care Provider Webpage</v>
      </c>
      <c r="B644" s="55">
        <v>2501555</v>
      </c>
      <c r="D644" s="55" t="s">
        <v>479</v>
      </c>
      <c r="E644" s="74">
        <v>43528</v>
      </c>
      <c r="F644" s="55" t="s">
        <v>344</v>
      </c>
      <c r="G644" s="55" t="s">
        <v>360</v>
      </c>
      <c r="H644" s="55" t="s">
        <v>360</v>
      </c>
      <c r="I644" s="55" t="s">
        <v>360</v>
      </c>
      <c r="J644" s="55" t="s">
        <v>360</v>
      </c>
      <c r="K644" s="55" t="s">
        <v>360</v>
      </c>
      <c r="L644" s="55" t="s">
        <v>360</v>
      </c>
      <c r="M644" s="55" t="s">
        <v>142</v>
      </c>
      <c r="N644" s="55" t="s">
        <v>142</v>
      </c>
      <c r="O644" s="55" t="s">
        <v>252</v>
      </c>
      <c r="P644" s="55" t="s">
        <v>503</v>
      </c>
      <c r="Q644" s="55" t="s">
        <v>350</v>
      </c>
      <c r="R644" s="55">
        <v>15</v>
      </c>
      <c r="S644" s="74"/>
      <c r="T644" s="55" t="s">
        <v>1260</v>
      </c>
      <c r="U644" s="73" t="s">
        <v>351</v>
      </c>
      <c r="V644" s="74">
        <v>44467</v>
      </c>
      <c r="W644" s="74">
        <v>44509</v>
      </c>
      <c r="X644" s="55">
        <v>10186643</v>
      </c>
      <c r="Y644" s="74" t="s">
        <v>130</v>
      </c>
      <c r="Z644" s="74"/>
      <c r="AB644" s="55" t="s">
        <v>130</v>
      </c>
      <c r="AC644" s="55" t="s">
        <v>130</v>
      </c>
    </row>
    <row r="645" spans="1:29" ht="13" x14ac:dyDescent="0.15">
      <c r="A645" s="72" t="str">
        <f t="shared" si="9"/>
        <v>Ofsted Social Care Provider Webpage</v>
      </c>
      <c r="B645" s="55">
        <v>2501566</v>
      </c>
      <c r="D645" s="55" t="s">
        <v>373</v>
      </c>
      <c r="E645" s="74">
        <v>43517</v>
      </c>
      <c r="F645" s="55" t="s">
        <v>344</v>
      </c>
      <c r="G645" s="55" t="s">
        <v>360</v>
      </c>
      <c r="H645" s="55" t="s">
        <v>360</v>
      </c>
      <c r="I645" s="55" t="s">
        <v>360</v>
      </c>
      <c r="J645" s="55" t="s">
        <v>360</v>
      </c>
      <c r="K645" s="55" t="s">
        <v>360</v>
      </c>
      <c r="L645" s="55" t="s">
        <v>360</v>
      </c>
      <c r="M645" s="55" t="s">
        <v>142</v>
      </c>
      <c r="N645" s="55" t="s">
        <v>142</v>
      </c>
      <c r="O645" s="55" t="s">
        <v>262</v>
      </c>
      <c r="P645" s="55" t="s">
        <v>618</v>
      </c>
      <c r="Q645" s="55" t="s">
        <v>350</v>
      </c>
      <c r="R645" s="55">
        <v>3</v>
      </c>
      <c r="S645" s="74"/>
      <c r="T645" s="55" t="s">
        <v>1397</v>
      </c>
      <c r="U645" s="73" t="s">
        <v>351</v>
      </c>
      <c r="V645" s="74">
        <v>44362</v>
      </c>
      <c r="W645" s="74">
        <v>44400</v>
      </c>
      <c r="X645" s="55">
        <v>10187457</v>
      </c>
      <c r="Y645" s="74" t="s">
        <v>132</v>
      </c>
      <c r="Z645" s="74"/>
      <c r="AB645" s="55" t="s">
        <v>132</v>
      </c>
      <c r="AC645" s="55" t="s">
        <v>132</v>
      </c>
    </row>
    <row r="646" spans="1:29" ht="13" x14ac:dyDescent="0.15">
      <c r="A646" s="72" t="str">
        <f t="shared" ref="A646:A709" si="10">HYPERLINK(_xlfn.CONCAT("http://reports.ofsted.gov.uk/inspection-reports/find-inspection-report/provider/CARE/",B646),"Ofsted Social Care Provider Webpage")</f>
        <v>Ofsted Social Care Provider Webpage</v>
      </c>
      <c r="B646" s="55">
        <v>2501791</v>
      </c>
      <c r="D646" s="55" t="s">
        <v>373</v>
      </c>
      <c r="E646" s="74">
        <v>43658</v>
      </c>
      <c r="F646" s="55" t="s">
        <v>344</v>
      </c>
      <c r="G646" s="55" t="s">
        <v>360</v>
      </c>
      <c r="H646" s="55" t="s">
        <v>360</v>
      </c>
      <c r="I646" s="55" t="s">
        <v>360</v>
      </c>
      <c r="J646" s="55" t="s">
        <v>360</v>
      </c>
      <c r="K646" s="55" t="s">
        <v>360</v>
      </c>
      <c r="L646" s="55" t="s">
        <v>360</v>
      </c>
      <c r="M646" s="55" t="s">
        <v>150</v>
      </c>
      <c r="N646" s="55" t="s">
        <v>150</v>
      </c>
      <c r="O646" s="55" t="s">
        <v>203</v>
      </c>
      <c r="P646" s="55" t="s">
        <v>853</v>
      </c>
      <c r="Q646" s="55" t="s">
        <v>350</v>
      </c>
      <c r="R646" s="55">
        <v>3</v>
      </c>
      <c r="S646" s="74"/>
      <c r="T646" s="55" t="s">
        <v>517</v>
      </c>
      <c r="U646" s="73" t="s">
        <v>351</v>
      </c>
      <c r="V646" s="74">
        <v>44356</v>
      </c>
      <c r="W646" s="74">
        <v>44413</v>
      </c>
      <c r="X646" s="55">
        <v>10187391</v>
      </c>
      <c r="Y646" s="74" t="s">
        <v>132</v>
      </c>
      <c r="Z646" s="74"/>
      <c r="AB646" s="55" t="s">
        <v>132</v>
      </c>
      <c r="AC646" s="55" t="s">
        <v>130</v>
      </c>
    </row>
    <row r="647" spans="1:29" ht="13" x14ac:dyDescent="0.15">
      <c r="A647" s="72" t="str">
        <f t="shared" si="10"/>
        <v>Ofsted Social Care Provider Webpage</v>
      </c>
      <c r="B647" s="55">
        <v>2502176</v>
      </c>
      <c r="D647" s="55" t="s">
        <v>373</v>
      </c>
      <c r="E647" s="74">
        <v>43469</v>
      </c>
      <c r="F647" s="55" t="s">
        <v>344</v>
      </c>
      <c r="G647" s="55" t="s">
        <v>360</v>
      </c>
      <c r="H647" s="55" t="s">
        <v>360</v>
      </c>
      <c r="I647" s="55" t="s">
        <v>360</v>
      </c>
      <c r="J647" s="55" t="s">
        <v>360</v>
      </c>
      <c r="K647" s="55" t="s">
        <v>360</v>
      </c>
      <c r="L647" s="55" t="s">
        <v>360</v>
      </c>
      <c r="M647" s="55" t="s">
        <v>378</v>
      </c>
      <c r="N647" s="55" t="s">
        <v>170</v>
      </c>
      <c r="O647" s="55" t="s">
        <v>178</v>
      </c>
      <c r="P647" s="55" t="s">
        <v>1374</v>
      </c>
      <c r="Q647" s="55" t="s">
        <v>350</v>
      </c>
      <c r="R647" s="55">
        <v>3</v>
      </c>
      <c r="S647" s="74"/>
      <c r="T647" s="55" t="s">
        <v>1398</v>
      </c>
      <c r="U647" s="73" t="s">
        <v>351</v>
      </c>
      <c r="V647" s="74">
        <v>44306</v>
      </c>
      <c r="W647" s="74">
        <v>44334</v>
      </c>
      <c r="X647" s="55">
        <v>10186537</v>
      </c>
      <c r="Y647" s="74" t="s">
        <v>132</v>
      </c>
      <c r="Z647" s="74"/>
      <c r="AB647" s="55" t="s">
        <v>132</v>
      </c>
      <c r="AC647" s="55" t="s">
        <v>130</v>
      </c>
    </row>
    <row r="648" spans="1:29" ht="13" x14ac:dyDescent="0.15">
      <c r="A648" s="72" t="str">
        <f t="shared" si="10"/>
        <v>Ofsted Social Care Provider Webpage</v>
      </c>
      <c r="B648" s="55">
        <v>2502314</v>
      </c>
      <c r="D648" s="55" t="s">
        <v>373</v>
      </c>
      <c r="E648" s="74">
        <v>43494</v>
      </c>
      <c r="F648" s="55" t="s">
        <v>344</v>
      </c>
      <c r="G648" s="55" t="s">
        <v>360</v>
      </c>
      <c r="H648" s="55" t="s">
        <v>360</v>
      </c>
      <c r="I648" s="55" t="s">
        <v>360</v>
      </c>
      <c r="J648" s="55" t="s">
        <v>360</v>
      </c>
      <c r="K648" s="55" t="s">
        <v>360</v>
      </c>
      <c r="L648" s="55" t="s">
        <v>360</v>
      </c>
      <c r="M648" s="55" t="s">
        <v>142</v>
      </c>
      <c r="N648" s="55" t="s">
        <v>142</v>
      </c>
      <c r="O648" s="55" t="s">
        <v>252</v>
      </c>
      <c r="P648" s="55" t="s">
        <v>503</v>
      </c>
      <c r="Q648" s="55" t="s">
        <v>350</v>
      </c>
      <c r="R648" s="55">
        <v>3</v>
      </c>
      <c r="S648" s="74"/>
      <c r="T648" s="55" t="s">
        <v>385</v>
      </c>
      <c r="U648" s="73" t="s">
        <v>351</v>
      </c>
      <c r="V648" s="74">
        <v>44404</v>
      </c>
      <c r="W648" s="74">
        <v>44439</v>
      </c>
      <c r="X648" s="55">
        <v>10185956</v>
      </c>
      <c r="Y648" s="74" t="s">
        <v>132</v>
      </c>
      <c r="Z648" s="74"/>
      <c r="AB648" s="55" t="s">
        <v>132</v>
      </c>
      <c r="AC648" s="55" t="s">
        <v>132</v>
      </c>
    </row>
    <row r="649" spans="1:29" ht="13" x14ac:dyDescent="0.15">
      <c r="A649" s="72" t="str">
        <f t="shared" si="10"/>
        <v>Ofsted Social Care Provider Webpage</v>
      </c>
      <c r="B649" s="55">
        <v>2502331</v>
      </c>
      <c r="D649" s="55" t="s">
        <v>389</v>
      </c>
      <c r="E649" s="74">
        <v>43496</v>
      </c>
      <c r="F649" s="55" t="s">
        <v>344</v>
      </c>
      <c r="G649" s="55" t="s">
        <v>1399</v>
      </c>
      <c r="H649" s="55" t="s">
        <v>1400</v>
      </c>
      <c r="I649" s="55" t="s">
        <v>1401</v>
      </c>
      <c r="J649" s="55" t="s">
        <v>241</v>
      </c>
      <c r="K649" s="55" t="s">
        <v>1402</v>
      </c>
      <c r="L649" s="55" t="s">
        <v>1403</v>
      </c>
      <c r="M649" s="55" t="s">
        <v>150</v>
      </c>
      <c r="N649" s="55" t="s">
        <v>150</v>
      </c>
      <c r="O649" s="55" t="s">
        <v>241</v>
      </c>
      <c r="P649" s="55" t="s">
        <v>486</v>
      </c>
      <c r="Q649" s="55" t="s">
        <v>362</v>
      </c>
      <c r="R649" s="55"/>
      <c r="S649" s="74"/>
      <c r="T649" s="55" t="s">
        <v>1404</v>
      </c>
      <c r="U649" s="73" t="s">
        <v>351</v>
      </c>
      <c r="V649" s="74">
        <v>44579</v>
      </c>
      <c r="W649" s="74">
        <v>44623</v>
      </c>
      <c r="X649" s="55">
        <v>10183271</v>
      </c>
      <c r="Y649" s="74" t="s">
        <v>132</v>
      </c>
      <c r="Z649" s="74"/>
      <c r="AB649" s="55" t="s">
        <v>132</v>
      </c>
      <c r="AC649" s="55" t="s">
        <v>132</v>
      </c>
    </row>
    <row r="650" spans="1:29" ht="13" x14ac:dyDescent="0.15">
      <c r="A650" s="72" t="str">
        <f t="shared" si="10"/>
        <v>Ofsted Social Care Provider Webpage</v>
      </c>
      <c r="B650" s="55">
        <v>2502333</v>
      </c>
      <c r="D650" s="55" t="s">
        <v>373</v>
      </c>
      <c r="E650" s="74">
        <v>43433</v>
      </c>
      <c r="F650" s="55" t="s">
        <v>344</v>
      </c>
      <c r="G650" s="55" t="s">
        <v>360</v>
      </c>
      <c r="H650" s="55" t="s">
        <v>360</v>
      </c>
      <c r="I650" s="55" t="s">
        <v>360</v>
      </c>
      <c r="J650" s="55" t="s">
        <v>360</v>
      </c>
      <c r="K650" s="55" t="s">
        <v>360</v>
      </c>
      <c r="L650" s="55" t="s">
        <v>360</v>
      </c>
      <c r="M650" s="55" t="s">
        <v>150</v>
      </c>
      <c r="N650" s="55" t="s">
        <v>150</v>
      </c>
      <c r="O650" s="55" t="s">
        <v>241</v>
      </c>
      <c r="P650" s="55" t="s">
        <v>486</v>
      </c>
      <c r="Q650" s="55" t="s">
        <v>362</v>
      </c>
      <c r="R650" s="55">
        <v>7</v>
      </c>
      <c r="S650" s="74" t="s">
        <v>332</v>
      </c>
      <c r="T650" s="55" t="s">
        <v>1404</v>
      </c>
      <c r="U650" s="73" t="s">
        <v>351</v>
      </c>
      <c r="V650" s="74">
        <v>44397</v>
      </c>
      <c r="W650" s="74">
        <v>44448</v>
      </c>
      <c r="X650" s="55">
        <v>10185536</v>
      </c>
      <c r="Y650" s="74" t="s">
        <v>140</v>
      </c>
      <c r="Z650" s="74"/>
      <c r="AB650" s="55" t="s">
        <v>140</v>
      </c>
      <c r="AC650" s="55" t="s">
        <v>140</v>
      </c>
    </row>
    <row r="651" spans="1:29" ht="13" x14ac:dyDescent="0.15">
      <c r="A651" s="72" t="str">
        <f t="shared" si="10"/>
        <v>Ofsted Social Care Provider Webpage</v>
      </c>
      <c r="B651" s="55">
        <v>2502334</v>
      </c>
      <c r="D651" s="55" t="s">
        <v>373</v>
      </c>
      <c r="E651" s="74">
        <v>43433</v>
      </c>
      <c r="F651" s="55" t="s">
        <v>344</v>
      </c>
      <c r="G651" s="55" t="s">
        <v>360</v>
      </c>
      <c r="H651" s="55" t="s">
        <v>360</v>
      </c>
      <c r="I651" s="55" t="s">
        <v>360</v>
      </c>
      <c r="J651" s="55" t="s">
        <v>360</v>
      </c>
      <c r="K651" s="55" t="s">
        <v>360</v>
      </c>
      <c r="L651" s="55" t="s">
        <v>360</v>
      </c>
      <c r="M651" s="55" t="s">
        <v>150</v>
      </c>
      <c r="N651" s="55" t="s">
        <v>150</v>
      </c>
      <c r="O651" s="55" t="s">
        <v>241</v>
      </c>
      <c r="P651" s="55" t="s">
        <v>486</v>
      </c>
      <c r="Q651" s="55" t="s">
        <v>362</v>
      </c>
      <c r="R651" s="55">
        <v>5</v>
      </c>
      <c r="S651" s="74"/>
      <c r="T651" s="55" t="s">
        <v>1404</v>
      </c>
      <c r="U651" s="73" t="s">
        <v>351</v>
      </c>
      <c r="V651" s="74">
        <v>44370</v>
      </c>
      <c r="W651" s="74">
        <v>44432</v>
      </c>
      <c r="X651" s="55">
        <v>10186729</v>
      </c>
      <c r="Y651" s="74" t="s">
        <v>132</v>
      </c>
      <c r="Z651" s="74"/>
      <c r="AB651" s="55" t="s">
        <v>132</v>
      </c>
      <c r="AC651" s="55" t="s">
        <v>132</v>
      </c>
    </row>
    <row r="652" spans="1:29" ht="13" x14ac:dyDescent="0.15">
      <c r="A652" s="72" t="str">
        <f t="shared" si="10"/>
        <v>Ofsted Social Care Provider Webpage</v>
      </c>
      <c r="B652" s="55">
        <v>2502382</v>
      </c>
      <c r="D652" s="55" t="s">
        <v>479</v>
      </c>
      <c r="E652" s="74">
        <v>43403</v>
      </c>
      <c r="F652" s="55" t="s">
        <v>344</v>
      </c>
      <c r="G652" s="55" t="s">
        <v>360</v>
      </c>
      <c r="H652" s="55" t="s">
        <v>360</v>
      </c>
      <c r="I652" s="55" t="s">
        <v>360</v>
      </c>
      <c r="J652" s="55" t="s">
        <v>360</v>
      </c>
      <c r="K652" s="55" t="s">
        <v>360</v>
      </c>
      <c r="L652" s="55" t="s">
        <v>360</v>
      </c>
      <c r="M652" s="55" t="s">
        <v>150</v>
      </c>
      <c r="N652" s="55" t="s">
        <v>150</v>
      </c>
      <c r="O652" s="55" t="s">
        <v>268</v>
      </c>
      <c r="P652" s="55" t="s">
        <v>639</v>
      </c>
      <c r="Q652" s="55" t="s">
        <v>362</v>
      </c>
      <c r="R652" s="55">
        <v>40</v>
      </c>
      <c r="S652" s="74"/>
      <c r="T652" s="55" t="s">
        <v>1405</v>
      </c>
      <c r="U652" s="73" t="s">
        <v>351</v>
      </c>
      <c r="V652" s="74">
        <v>44306</v>
      </c>
      <c r="W652" s="74">
        <v>44355</v>
      </c>
      <c r="X652" s="55">
        <v>10187023</v>
      </c>
      <c r="Y652" s="74" t="s">
        <v>132</v>
      </c>
      <c r="Z652" s="74"/>
      <c r="AB652" s="55" t="s">
        <v>132</v>
      </c>
      <c r="AC652" s="55" t="s">
        <v>132</v>
      </c>
    </row>
    <row r="653" spans="1:29" ht="13" x14ac:dyDescent="0.15">
      <c r="A653" s="72" t="str">
        <f t="shared" si="10"/>
        <v>Ofsted Social Care Provider Webpage</v>
      </c>
      <c r="B653" s="55">
        <v>2502918</v>
      </c>
      <c r="D653" s="55" t="s">
        <v>373</v>
      </c>
      <c r="E653" s="74">
        <v>43486</v>
      </c>
      <c r="F653" s="55" t="s">
        <v>344</v>
      </c>
      <c r="G653" s="55" t="s">
        <v>360</v>
      </c>
      <c r="H653" s="55" t="s">
        <v>360</v>
      </c>
      <c r="I653" s="55" t="s">
        <v>360</v>
      </c>
      <c r="J653" s="55" t="s">
        <v>360</v>
      </c>
      <c r="K653" s="55" t="s">
        <v>360</v>
      </c>
      <c r="L653" s="55" t="s">
        <v>360</v>
      </c>
      <c r="M653" s="55" t="s">
        <v>172</v>
      </c>
      <c r="N653" s="55" t="s">
        <v>172</v>
      </c>
      <c r="O653" s="55" t="s">
        <v>228</v>
      </c>
      <c r="P653" s="55" t="s">
        <v>423</v>
      </c>
      <c r="Q653" s="55" t="s">
        <v>350</v>
      </c>
      <c r="R653" s="55">
        <v>2</v>
      </c>
      <c r="S653" s="74"/>
      <c r="T653" s="55" t="s">
        <v>1366</v>
      </c>
      <c r="U653" s="73" t="s">
        <v>351</v>
      </c>
      <c r="V653" s="74">
        <v>44383</v>
      </c>
      <c r="W653" s="74">
        <v>44433</v>
      </c>
      <c r="X653" s="55">
        <v>10186662</v>
      </c>
      <c r="Y653" s="74" t="s">
        <v>132</v>
      </c>
      <c r="Z653" s="74"/>
      <c r="AB653" s="55" t="s">
        <v>130</v>
      </c>
      <c r="AC653" s="55" t="s">
        <v>132</v>
      </c>
    </row>
    <row r="654" spans="1:29" ht="13" x14ac:dyDescent="0.15">
      <c r="A654" s="72" t="str">
        <f t="shared" si="10"/>
        <v>Ofsted Social Care Provider Webpage</v>
      </c>
      <c r="B654" s="55">
        <v>2503031</v>
      </c>
      <c r="D654" s="55" t="s">
        <v>373</v>
      </c>
      <c r="E654" s="74">
        <v>43495</v>
      </c>
      <c r="F654" s="55" t="s">
        <v>344</v>
      </c>
      <c r="G654" s="55" t="s">
        <v>360</v>
      </c>
      <c r="H654" s="55" t="s">
        <v>360</v>
      </c>
      <c r="I654" s="55" t="s">
        <v>360</v>
      </c>
      <c r="J654" s="55" t="s">
        <v>360</v>
      </c>
      <c r="K654" s="55" t="s">
        <v>360</v>
      </c>
      <c r="L654" s="55" t="s">
        <v>360</v>
      </c>
      <c r="M654" s="55" t="s">
        <v>142</v>
      </c>
      <c r="N654" s="55" t="s">
        <v>142</v>
      </c>
      <c r="O654" s="55" t="s">
        <v>177</v>
      </c>
      <c r="P654" s="55" t="s">
        <v>1406</v>
      </c>
      <c r="Q654" s="55" t="s">
        <v>350</v>
      </c>
      <c r="R654" s="55">
        <v>3</v>
      </c>
      <c r="S654" s="74"/>
      <c r="T654" s="55" t="s">
        <v>1407</v>
      </c>
      <c r="U654" s="73" t="s">
        <v>351</v>
      </c>
      <c r="V654" s="74">
        <v>44566</v>
      </c>
      <c r="W654" s="74">
        <v>44603</v>
      </c>
      <c r="X654" s="55">
        <v>10187003</v>
      </c>
      <c r="Y654" s="74" t="s">
        <v>130</v>
      </c>
      <c r="Z654" s="74"/>
      <c r="AB654" s="55" t="s">
        <v>130</v>
      </c>
      <c r="AC654" s="55" t="s">
        <v>130</v>
      </c>
    </row>
    <row r="655" spans="1:29" ht="13" x14ac:dyDescent="0.15">
      <c r="A655" s="72" t="str">
        <f t="shared" si="10"/>
        <v>Ofsted Social Care Provider Webpage</v>
      </c>
      <c r="B655" s="55">
        <v>2503076</v>
      </c>
      <c r="D655" s="55" t="s">
        <v>373</v>
      </c>
      <c r="E655" s="74">
        <v>43513</v>
      </c>
      <c r="F655" s="55" t="s">
        <v>344</v>
      </c>
      <c r="G655" s="55" t="s">
        <v>360</v>
      </c>
      <c r="H655" s="55" t="s">
        <v>360</v>
      </c>
      <c r="I655" s="55" t="s">
        <v>360</v>
      </c>
      <c r="J655" s="55" t="s">
        <v>360</v>
      </c>
      <c r="K655" s="55" t="s">
        <v>360</v>
      </c>
      <c r="L655" s="55" t="s">
        <v>360</v>
      </c>
      <c r="M655" s="55" t="s">
        <v>142</v>
      </c>
      <c r="N655" s="55" t="s">
        <v>142</v>
      </c>
      <c r="O655" s="55" t="s">
        <v>262</v>
      </c>
      <c r="P655" s="55" t="s">
        <v>523</v>
      </c>
      <c r="Q655" s="55" t="s">
        <v>350</v>
      </c>
      <c r="R655" s="55">
        <v>3</v>
      </c>
      <c r="S655" s="74"/>
      <c r="T655" s="55" t="s">
        <v>524</v>
      </c>
      <c r="U655" s="73" t="s">
        <v>351</v>
      </c>
      <c r="V655" s="74">
        <v>44587</v>
      </c>
      <c r="W655" s="74">
        <v>44643</v>
      </c>
      <c r="X655" s="55">
        <v>10187197</v>
      </c>
      <c r="Y655" s="74" t="s">
        <v>130</v>
      </c>
      <c r="Z655" s="74"/>
      <c r="AB655" s="55" t="s">
        <v>130</v>
      </c>
      <c r="AC655" s="55" t="s">
        <v>146</v>
      </c>
    </row>
    <row r="656" spans="1:29" ht="13" x14ac:dyDescent="0.15">
      <c r="A656" s="72" t="str">
        <f t="shared" si="10"/>
        <v>Ofsted Social Care Provider Webpage</v>
      </c>
      <c r="B656" s="55">
        <v>2503134</v>
      </c>
      <c r="D656" s="55" t="s">
        <v>389</v>
      </c>
      <c r="E656" s="74">
        <v>43420</v>
      </c>
      <c r="F656" s="55" t="s">
        <v>344</v>
      </c>
      <c r="G656" s="55" t="s">
        <v>1408</v>
      </c>
      <c r="H656" s="55" t="s">
        <v>1409</v>
      </c>
      <c r="I656" s="55" t="s">
        <v>1410</v>
      </c>
      <c r="J656" s="55" t="s">
        <v>217</v>
      </c>
      <c r="L656" s="55" t="s">
        <v>1411</v>
      </c>
      <c r="M656" s="55" t="s">
        <v>144</v>
      </c>
      <c r="N656" s="55" t="s">
        <v>144</v>
      </c>
      <c r="O656" s="55" t="s">
        <v>217</v>
      </c>
      <c r="P656" s="55" t="s">
        <v>903</v>
      </c>
      <c r="Q656" s="55" t="s">
        <v>350</v>
      </c>
      <c r="R656" s="55"/>
      <c r="S656" s="74"/>
      <c r="T656" s="55" t="s">
        <v>1408</v>
      </c>
      <c r="U656" s="73" t="s">
        <v>351</v>
      </c>
      <c r="V656" s="74">
        <v>43752</v>
      </c>
      <c r="W656" s="74">
        <v>43776</v>
      </c>
      <c r="X656" s="55">
        <v>10093287</v>
      </c>
      <c r="Y656" s="74" t="s">
        <v>132</v>
      </c>
      <c r="Z656" s="74"/>
      <c r="AB656" s="55" t="s">
        <v>132</v>
      </c>
      <c r="AC656" s="55" t="s">
        <v>132</v>
      </c>
    </row>
    <row r="657" spans="1:29" ht="13" x14ac:dyDescent="0.15">
      <c r="A657" s="72" t="str">
        <f t="shared" si="10"/>
        <v>Ofsted Social Care Provider Webpage</v>
      </c>
      <c r="B657" s="55">
        <v>2503142</v>
      </c>
      <c r="D657" s="55" t="s">
        <v>373</v>
      </c>
      <c r="E657" s="74">
        <v>43565</v>
      </c>
      <c r="F657" s="55" t="s">
        <v>344</v>
      </c>
      <c r="G657" s="55" t="s">
        <v>360</v>
      </c>
      <c r="H657" s="55" t="s">
        <v>360</v>
      </c>
      <c r="I657" s="55" t="s">
        <v>360</v>
      </c>
      <c r="J657" s="55" t="s">
        <v>360</v>
      </c>
      <c r="K657" s="55" t="s">
        <v>360</v>
      </c>
      <c r="L657" s="55" t="s">
        <v>360</v>
      </c>
      <c r="M657" s="55" t="s">
        <v>129</v>
      </c>
      <c r="N657" s="55" t="s">
        <v>129</v>
      </c>
      <c r="O657" s="55" t="s">
        <v>182</v>
      </c>
      <c r="P657" s="55" t="s">
        <v>1412</v>
      </c>
      <c r="Q657" s="55" t="s">
        <v>350</v>
      </c>
      <c r="R657" s="55">
        <v>4</v>
      </c>
      <c r="S657" s="74"/>
      <c r="T657" s="55" t="s">
        <v>1413</v>
      </c>
      <c r="U657" s="73" t="s">
        <v>351</v>
      </c>
      <c r="V657" s="74">
        <v>44313</v>
      </c>
      <c r="W657" s="74">
        <v>44341</v>
      </c>
      <c r="X657" s="55">
        <v>10186980</v>
      </c>
      <c r="Y657" s="74" t="s">
        <v>132</v>
      </c>
      <c r="Z657" s="74"/>
      <c r="AB657" s="55" t="s">
        <v>132</v>
      </c>
      <c r="AC657" s="55" t="s">
        <v>132</v>
      </c>
    </row>
    <row r="658" spans="1:29" ht="13" x14ac:dyDescent="0.15">
      <c r="A658" s="72" t="str">
        <f t="shared" si="10"/>
        <v>Ofsted Social Care Provider Webpage</v>
      </c>
      <c r="B658" s="55">
        <v>2503143</v>
      </c>
      <c r="D658" s="55" t="s">
        <v>373</v>
      </c>
      <c r="E658" s="74">
        <v>43742</v>
      </c>
      <c r="F658" s="55" t="s">
        <v>344</v>
      </c>
      <c r="G658" s="55" t="s">
        <v>360</v>
      </c>
      <c r="H658" s="55" t="s">
        <v>360</v>
      </c>
      <c r="I658" s="55" t="s">
        <v>360</v>
      </c>
      <c r="J658" s="55" t="s">
        <v>360</v>
      </c>
      <c r="K658" s="55" t="s">
        <v>360</v>
      </c>
      <c r="L658" s="55" t="s">
        <v>360</v>
      </c>
      <c r="M658" s="55" t="s">
        <v>129</v>
      </c>
      <c r="N658" s="55" t="s">
        <v>129</v>
      </c>
      <c r="O658" s="55" t="s">
        <v>182</v>
      </c>
      <c r="P658" s="55" t="s">
        <v>1412</v>
      </c>
      <c r="Q658" s="55" t="s">
        <v>350</v>
      </c>
      <c r="R658" s="55">
        <v>4</v>
      </c>
      <c r="S658" s="74"/>
      <c r="T658" s="55" t="s">
        <v>1413</v>
      </c>
      <c r="U658" s="73" t="s">
        <v>351</v>
      </c>
      <c r="V658" s="74">
        <v>44452</v>
      </c>
      <c r="W658" s="74">
        <v>44481</v>
      </c>
      <c r="X658" s="55">
        <v>10186981</v>
      </c>
      <c r="Y658" s="74" t="s">
        <v>130</v>
      </c>
      <c r="Z658" s="74"/>
      <c r="AB658" s="55" t="s">
        <v>130</v>
      </c>
      <c r="AC658" s="55" t="s">
        <v>130</v>
      </c>
    </row>
    <row r="659" spans="1:29" ht="13" x14ac:dyDescent="0.15">
      <c r="A659" s="72" t="str">
        <f t="shared" si="10"/>
        <v>Ofsted Social Care Provider Webpage</v>
      </c>
      <c r="B659" s="55">
        <v>2503306</v>
      </c>
      <c r="D659" s="55" t="s">
        <v>373</v>
      </c>
      <c r="E659" s="74">
        <v>43614</v>
      </c>
      <c r="F659" s="55" t="s">
        <v>344</v>
      </c>
      <c r="G659" s="55" t="s">
        <v>360</v>
      </c>
      <c r="H659" s="55" t="s">
        <v>360</v>
      </c>
      <c r="I659" s="55" t="s">
        <v>360</v>
      </c>
      <c r="J659" s="55" t="s">
        <v>360</v>
      </c>
      <c r="K659" s="55" t="s">
        <v>360</v>
      </c>
      <c r="L659" s="55" t="s">
        <v>360</v>
      </c>
      <c r="M659" s="55" t="s">
        <v>172</v>
      </c>
      <c r="N659" s="55" t="s">
        <v>172</v>
      </c>
      <c r="O659" s="55" t="s">
        <v>214</v>
      </c>
      <c r="P659" s="55" t="s">
        <v>790</v>
      </c>
      <c r="Q659" s="55" t="s">
        <v>350</v>
      </c>
      <c r="R659" s="55">
        <v>6</v>
      </c>
      <c r="S659" s="74"/>
      <c r="T659" s="55" t="s">
        <v>375</v>
      </c>
      <c r="U659" s="73" t="s">
        <v>351</v>
      </c>
      <c r="V659" s="74">
        <v>43857</v>
      </c>
      <c r="W659" s="74">
        <v>43880</v>
      </c>
      <c r="X659" s="55">
        <v>10130070</v>
      </c>
      <c r="Y659" s="74" t="s">
        <v>132</v>
      </c>
      <c r="Z659" s="74"/>
      <c r="AB659" s="55" t="s">
        <v>132</v>
      </c>
      <c r="AC659" s="55" t="s">
        <v>132</v>
      </c>
    </row>
    <row r="660" spans="1:29" ht="13" x14ac:dyDescent="0.15">
      <c r="A660" s="72" t="str">
        <f t="shared" si="10"/>
        <v>Ofsted Social Care Provider Webpage</v>
      </c>
      <c r="B660" s="55">
        <v>2503574</v>
      </c>
      <c r="D660" s="55" t="s">
        <v>373</v>
      </c>
      <c r="E660" s="74">
        <v>43539</v>
      </c>
      <c r="F660" s="55" t="s">
        <v>344</v>
      </c>
      <c r="G660" s="55" t="s">
        <v>360</v>
      </c>
      <c r="H660" s="55" t="s">
        <v>360</v>
      </c>
      <c r="I660" s="55" t="s">
        <v>360</v>
      </c>
      <c r="J660" s="55" t="s">
        <v>360</v>
      </c>
      <c r="K660" s="55" t="s">
        <v>360</v>
      </c>
      <c r="L660" s="55" t="s">
        <v>360</v>
      </c>
      <c r="M660" s="55" t="s">
        <v>144</v>
      </c>
      <c r="N660" s="55" t="s">
        <v>144</v>
      </c>
      <c r="O660" s="55" t="s">
        <v>250</v>
      </c>
      <c r="P660" s="55" t="s">
        <v>361</v>
      </c>
      <c r="Q660" s="55" t="s">
        <v>350</v>
      </c>
      <c r="R660" s="55">
        <v>3</v>
      </c>
      <c r="S660" s="74"/>
      <c r="T660" s="55" t="s">
        <v>1414</v>
      </c>
      <c r="U660" s="73" t="s">
        <v>351</v>
      </c>
      <c r="V660" s="74">
        <v>43726</v>
      </c>
      <c r="W660" s="74">
        <v>43768</v>
      </c>
      <c r="X660" s="55">
        <v>10100979</v>
      </c>
      <c r="Y660" s="74" t="s">
        <v>132</v>
      </c>
      <c r="Z660" s="74"/>
      <c r="AB660" s="55" t="s">
        <v>132</v>
      </c>
      <c r="AC660" s="55" t="s">
        <v>132</v>
      </c>
    </row>
    <row r="661" spans="1:29" ht="13" x14ac:dyDescent="0.15">
      <c r="A661" s="72" t="str">
        <f t="shared" si="10"/>
        <v>Ofsted Social Care Provider Webpage</v>
      </c>
      <c r="B661" s="55">
        <v>2503598</v>
      </c>
      <c r="D661" s="55" t="s">
        <v>373</v>
      </c>
      <c r="E661" s="74">
        <v>43544</v>
      </c>
      <c r="F661" s="55" t="s">
        <v>344</v>
      </c>
      <c r="G661" s="55" t="s">
        <v>360</v>
      </c>
      <c r="H661" s="55" t="s">
        <v>360</v>
      </c>
      <c r="I661" s="55" t="s">
        <v>360</v>
      </c>
      <c r="J661" s="55" t="s">
        <v>360</v>
      </c>
      <c r="K661" s="55" t="s">
        <v>360</v>
      </c>
      <c r="L661" s="55" t="s">
        <v>360</v>
      </c>
      <c r="M661" s="55" t="s">
        <v>142</v>
      </c>
      <c r="N661" s="55" t="s">
        <v>142</v>
      </c>
      <c r="O661" s="55" t="s">
        <v>141</v>
      </c>
      <c r="P661" s="55" t="s">
        <v>641</v>
      </c>
      <c r="Q661" s="55" t="s">
        <v>350</v>
      </c>
      <c r="R661" s="55">
        <v>5</v>
      </c>
      <c r="S661" s="74"/>
      <c r="T661" s="55" t="s">
        <v>1415</v>
      </c>
      <c r="U661" s="73" t="s">
        <v>351</v>
      </c>
      <c r="V661" s="74">
        <v>44376</v>
      </c>
      <c r="W661" s="74">
        <v>44412</v>
      </c>
      <c r="X661" s="55">
        <v>10186686</v>
      </c>
      <c r="Y661" s="74" t="s">
        <v>130</v>
      </c>
      <c r="Z661" s="74"/>
      <c r="AB661" s="55" t="s">
        <v>130</v>
      </c>
      <c r="AC661" s="55" t="s">
        <v>130</v>
      </c>
    </row>
    <row r="662" spans="1:29" ht="13" x14ac:dyDescent="0.15">
      <c r="A662" s="72" t="str">
        <f t="shared" si="10"/>
        <v>Ofsted Social Care Provider Webpage</v>
      </c>
      <c r="B662" s="55">
        <v>2503605</v>
      </c>
      <c r="D662" s="55" t="s">
        <v>373</v>
      </c>
      <c r="E662" s="74">
        <v>43454</v>
      </c>
      <c r="F662" s="55" t="s">
        <v>344</v>
      </c>
      <c r="G662" s="55" t="s">
        <v>360</v>
      </c>
      <c r="H662" s="55" t="s">
        <v>360</v>
      </c>
      <c r="I662" s="55" t="s">
        <v>360</v>
      </c>
      <c r="J662" s="55" t="s">
        <v>360</v>
      </c>
      <c r="K662" s="55" t="s">
        <v>360</v>
      </c>
      <c r="L662" s="55" t="s">
        <v>360</v>
      </c>
      <c r="M662" s="55" t="s">
        <v>142</v>
      </c>
      <c r="N662" s="55" t="s">
        <v>142</v>
      </c>
      <c r="O662" s="55" t="s">
        <v>278</v>
      </c>
      <c r="P662" s="55" t="s">
        <v>1042</v>
      </c>
      <c r="Q662" s="55" t="s">
        <v>350</v>
      </c>
      <c r="R662" s="55">
        <v>6</v>
      </c>
      <c r="S662" s="74"/>
      <c r="T662" s="55" t="s">
        <v>1416</v>
      </c>
      <c r="U662" s="73" t="s">
        <v>351</v>
      </c>
      <c r="V662" s="74">
        <v>44314</v>
      </c>
      <c r="W662" s="74">
        <v>44341</v>
      </c>
      <c r="X662" s="55">
        <v>10185249</v>
      </c>
      <c r="Y662" s="74" t="s">
        <v>132</v>
      </c>
      <c r="Z662" s="74"/>
      <c r="AB662" s="55" t="s">
        <v>132</v>
      </c>
      <c r="AC662" s="55" t="s">
        <v>132</v>
      </c>
    </row>
    <row r="663" spans="1:29" ht="13" x14ac:dyDescent="0.15">
      <c r="A663" s="72" t="str">
        <f t="shared" si="10"/>
        <v>Ofsted Social Care Provider Webpage</v>
      </c>
      <c r="B663" s="55">
        <v>2503710</v>
      </c>
      <c r="D663" s="55" t="s">
        <v>373</v>
      </c>
      <c r="E663" s="74">
        <v>43559</v>
      </c>
      <c r="F663" s="55" t="s">
        <v>344</v>
      </c>
      <c r="G663" s="55" t="s">
        <v>360</v>
      </c>
      <c r="H663" s="55" t="s">
        <v>360</v>
      </c>
      <c r="I663" s="55" t="s">
        <v>360</v>
      </c>
      <c r="J663" s="55" t="s">
        <v>360</v>
      </c>
      <c r="K663" s="55" t="s">
        <v>360</v>
      </c>
      <c r="L663" s="55" t="s">
        <v>360</v>
      </c>
      <c r="M663" s="55" t="s">
        <v>142</v>
      </c>
      <c r="N663" s="55" t="s">
        <v>142</v>
      </c>
      <c r="O663" s="55" t="s">
        <v>293</v>
      </c>
      <c r="P663" s="55" t="s">
        <v>984</v>
      </c>
      <c r="Q663" s="55" t="s">
        <v>350</v>
      </c>
      <c r="R663" s="55">
        <v>4</v>
      </c>
      <c r="S663" s="74"/>
      <c r="T663" s="55" t="s">
        <v>1417</v>
      </c>
      <c r="U663" s="73" t="s">
        <v>351</v>
      </c>
      <c r="V663" s="74">
        <v>44606</v>
      </c>
      <c r="W663" s="74">
        <v>44644</v>
      </c>
      <c r="X663" s="55">
        <v>10186361</v>
      </c>
      <c r="Y663" s="74" t="s">
        <v>132</v>
      </c>
      <c r="Z663" s="74"/>
      <c r="AB663" s="55" t="s">
        <v>132</v>
      </c>
      <c r="AC663" s="55" t="s">
        <v>132</v>
      </c>
    </row>
    <row r="664" spans="1:29" ht="13" x14ac:dyDescent="0.15">
      <c r="A664" s="72" t="str">
        <f t="shared" si="10"/>
        <v>Ofsted Social Care Provider Webpage</v>
      </c>
      <c r="B664" s="55">
        <v>2503915</v>
      </c>
      <c r="D664" s="55" t="s">
        <v>373</v>
      </c>
      <c r="E664" s="74">
        <v>43627</v>
      </c>
      <c r="F664" s="55" t="s">
        <v>344</v>
      </c>
      <c r="G664" s="55" t="s">
        <v>360</v>
      </c>
      <c r="H664" s="55" t="s">
        <v>360</v>
      </c>
      <c r="I664" s="55" t="s">
        <v>360</v>
      </c>
      <c r="J664" s="55" t="s">
        <v>360</v>
      </c>
      <c r="K664" s="55" t="s">
        <v>360</v>
      </c>
      <c r="L664" s="55" t="s">
        <v>360</v>
      </c>
      <c r="M664" s="55" t="s">
        <v>142</v>
      </c>
      <c r="N664" s="55" t="s">
        <v>142</v>
      </c>
      <c r="O664" s="55" t="s">
        <v>262</v>
      </c>
      <c r="P664" s="55" t="s">
        <v>850</v>
      </c>
      <c r="Q664" s="55" t="s">
        <v>350</v>
      </c>
      <c r="R664" s="55">
        <v>3</v>
      </c>
      <c r="S664" s="74"/>
      <c r="T664" s="55" t="s">
        <v>541</v>
      </c>
      <c r="U664" s="73" t="s">
        <v>351</v>
      </c>
      <c r="V664" s="74">
        <v>44327</v>
      </c>
      <c r="W664" s="74">
        <v>44363</v>
      </c>
      <c r="X664" s="55">
        <v>10186446</v>
      </c>
      <c r="Y664" s="74" t="s">
        <v>132</v>
      </c>
      <c r="Z664" s="74"/>
      <c r="AB664" s="55" t="s">
        <v>132</v>
      </c>
      <c r="AC664" s="55" t="s">
        <v>132</v>
      </c>
    </row>
    <row r="665" spans="1:29" ht="13" x14ac:dyDescent="0.15">
      <c r="A665" s="72" t="str">
        <f t="shared" si="10"/>
        <v>Ofsted Social Care Provider Webpage</v>
      </c>
      <c r="B665" s="55">
        <v>2504082</v>
      </c>
      <c r="D665" s="55" t="s">
        <v>373</v>
      </c>
      <c r="E665" s="74">
        <v>43503</v>
      </c>
      <c r="F665" s="55" t="s">
        <v>344</v>
      </c>
      <c r="G665" s="55" t="s">
        <v>360</v>
      </c>
      <c r="H665" s="55" t="s">
        <v>360</v>
      </c>
      <c r="I665" s="55" t="s">
        <v>360</v>
      </c>
      <c r="J665" s="55" t="s">
        <v>360</v>
      </c>
      <c r="K665" s="55" t="s">
        <v>360</v>
      </c>
      <c r="L665" s="55" t="s">
        <v>360</v>
      </c>
      <c r="M665" s="55" t="s">
        <v>144</v>
      </c>
      <c r="N665" s="55" t="s">
        <v>144</v>
      </c>
      <c r="O665" s="55" t="s">
        <v>209</v>
      </c>
      <c r="P665" s="55" t="s">
        <v>650</v>
      </c>
      <c r="Q665" s="55" t="s">
        <v>350</v>
      </c>
      <c r="R665" s="55">
        <v>2</v>
      </c>
      <c r="S665" s="74"/>
      <c r="T665" s="55" t="s">
        <v>485</v>
      </c>
      <c r="U665" s="73" t="s">
        <v>351</v>
      </c>
      <c r="V665" s="74">
        <v>44398</v>
      </c>
      <c r="W665" s="74">
        <v>44424</v>
      </c>
      <c r="X665" s="55">
        <v>10186003</v>
      </c>
      <c r="Y665" s="74" t="s">
        <v>132</v>
      </c>
      <c r="Z665" s="74"/>
      <c r="AB665" s="55" t="s">
        <v>132</v>
      </c>
      <c r="AC665" s="55" t="s">
        <v>132</v>
      </c>
    </row>
    <row r="666" spans="1:29" ht="13" x14ac:dyDescent="0.15">
      <c r="A666" s="72" t="str">
        <f t="shared" si="10"/>
        <v>Ofsted Social Care Provider Webpage</v>
      </c>
      <c r="B666" s="55">
        <v>2504093</v>
      </c>
      <c r="D666" s="55" t="s">
        <v>373</v>
      </c>
      <c r="E666" s="74">
        <v>43489</v>
      </c>
      <c r="F666" s="55" t="s">
        <v>344</v>
      </c>
      <c r="G666" s="55" t="s">
        <v>360</v>
      </c>
      <c r="H666" s="55" t="s">
        <v>360</v>
      </c>
      <c r="I666" s="55" t="s">
        <v>360</v>
      </c>
      <c r="J666" s="55" t="s">
        <v>360</v>
      </c>
      <c r="K666" s="55" t="s">
        <v>360</v>
      </c>
      <c r="L666" s="55" t="s">
        <v>360</v>
      </c>
      <c r="M666" s="55" t="s">
        <v>144</v>
      </c>
      <c r="N666" s="55" t="s">
        <v>144</v>
      </c>
      <c r="O666" s="55" t="s">
        <v>281</v>
      </c>
      <c r="P666" s="55" t="s">
        <v>725</v>
      </c>
      <c r="Q666" s="55" t="s">
        <v>350</v>
      </c>
      <c r="R666" s="55">
        <v>5</v>
      </c>
      <c r="S666" s="74"/>
      <c r="T666" s="55" t="s">
        <v>863</v>
      </c>
      <c r="U666" s="73" t="s">
        <v>351</v>
      </c>
      <c r="V666" s="74">
        <v>44313</v>
      </c>
      <c r="W666" s="74">
        <v>44355</v>
      </c>
      <c r="X666" s="55">
        <v>10185552</v>
      </c>
      <c r="Y666" s="74" t="s">
        <v>132</v>
      </c>
      <c r="Z666" s="74"/>
      <c r="AB666" s="55" t="s">
        <v>132</v>
      </c>
      <c r="AC666" s="55" t="s">
        <v>130</v>
      </c>
    </row>
    <row r="667" spans="1:29" ht="13" x14ac:dyDescent="0.15">
      <c r="A667" s="72" t="str">
        <f t="shared" si="10"/>
        <v>Ofsted Social Care Provider Webpage</v>
      </c>
      <c r="B667" s="55">
        <v>2504478</v>
      </c>
      <c r="D667" s="55" t="s">
        <v>451</v>
      </c>
      <c r="E667" s="74">
        <v>43586</v>
      </c>
      <c r="F667" s="55" t="s">
        <v>344</v>
      </c>
      <c r="G667" s="55" t="s">
        <v>1418</v>
      </c>
      <c r="H667" s="55" t="s">
        <v>1419</v>
      </c>
      <c r="I667" s="55" t="s">
        <v>354</v>
      </c>
      <c r="J667" s="55" t="s">
        <v>1420</v>
      </c>
      <c r="K667" s="55" t="s">
        <v>293</v>
      </c>
      <c r="L667" s="55" t="s">
        <v>1421</v>
      </c>
      <c r="M667" s="55" t="s">
        <v>142</v>
      </c>
      <c r="N667" s="55" t="s">
        <v>142</v>
      </c>
      <c r="O667" s="55" t="s">
        <v>293</v>
      </c>
      <c r="P667" s="55" t="s">
        <v>1422</v>
      </c>
      <c r="Q667" s="55" t="s">
        <v>350</v>
      </c>
      <c r="R667" s="55">
        <v>6</v>
      </c>
      <c r="S667" s="74"/>
      <c r="T667" s="55" t="s">
        <v>1423</v>
      </c>
      <c r="U667" s="73" t="s">
        <v>351</v>
      </c>
      <c r="V667" s="74">
        <v>44327</v>
      </c>
      <c r="W667" s="74">
        <v>44357</v>
      </c>
      <c r="X667" s="55">
        <v>10183241</v>
      </c>
      <c r="Y667" s="74" t="s">
        <v>132</v>
      </c>
      <c r="Z667" s="74"/>
      <c r="AB667" s="55" t="s">
        <v>132</v>
      </c>
      <c r="AC667" s="55" t="s">
        <v>132</v>
      </c>
    </row>
    <row r="668" spans="1:29" ht="13" x14ac:dyDescent="0.15">
      <c r="A668" s="72" t="str">
        <f t="shared" si="10"/>
        <v>Ofsted Social Care Provider Webpage</v>
      </c>
      <c r="B668" s="55">
        <v>2504494</v>
      </c>
      <c r="D668" s="55" t="s">
        <v>373</v>
      </c>
      <c r="E668" s="74">
        <v>43516</v>
      </c>
      <c r="F668" s="55" t="s">
        <v>344</v>
      </c>
      <c r="G668" s="55" t="s">
        <v>360</v>
      </c>
      <c r="H668" s="55" t="s">
        <v>360</v>
      </c>
      <c r="I668" s="55" t="s">
        <v>360</v>
      </c>
      <c r="J668" s="55" t="s">
        <v>360</v>
      </c>
      <c r="K668" s="55" t="s">
        <v>360</v>
      </c>
      <c r="L668" s="55" t="s">
        <v>360</v>
      </c>
      <c r="M668" s="55" t="s">
        <v>172</v>
      </c>
      <c r="N668" s="55" t="s">
        <v>172</v>
      </c>
      <c r="O668" s="55" t="s">
        <v>212</v>
      </c>
      <c r="P668" s="55" t="s">
        <v>514</v>
      </c>
      <c r="Q668" s="55" t="s">
        <v>350</v>
      </c>
      <c r="R668" s="55">
        <v>4</v>
      </c>
      <c r="S668" s="74"/>
      <c r="T668" s="55" t="s">
        <v>1424</v>
      </c>
      <c r="U668" s="73" t="s">
        <v>351</v>
      </c>
      <c r="V668" s="74">
        <v>44404</v>
      </c>
      <c r="W668" s="74">
        <v>44447</v>
      </c>
      <c r="X668" s="55">
        <v>10187484</v>
      </c>
      <c r="Y668" s="74" t="s">
        <v>132</v>
      </c>
      <c r="Z668" s="74"/>
      <c r="AB668" s="55" t="s">
        <v>132</v>
      </c>
      <c r="AC668" s="55" t="s">
        <v>132</v>
      </c>
    </row>
    <row r="669" spans="1:29" ht="13" x14ac:dyDescent="0.15">
      <c r="A669" s="72" t="str">
        <f t="shared" si="10"/>
        <v>Ofsted Social Care Provider Webpage</v>
      </c>
      <c r="B669" s="55">
        <v>2504775</v>
      </c>
      <c r="D669" s="55" t="s">
        <v>373</v>
      </c>
      <c r="E669" s="74">
        <v>43508</v>
      </c>
      <c r="F669" s="55" t="s">
        <v>344</v>
      </c>
      <c r="G669" s="55" t="s">
        <v>360</v>
      </c>
      <c r="H669" s="55" t="s">
        <v>360</v>
      </c>
      <c r="I669" s="55" t="s">
        <v>360</v>
      </c>
      <c r="J669" s="55" t="s">
        <v>360</v>
      </c>
      <c r="K669" s="55" t="s">
        <v>360</v>
      </c>
      <c r="L669" s="55" t="s">
        <v>360</v>
      </c>
      <c r="M669" s="55" t="s">
        <v>150</v>
      </c>
      <c r="N669" s="55" t="s">
        <v>150</v>
      </c>
      <c r="O669" s="55" t="s">
        <v>190</v>
      </c>
      <c r="P669" s="55" t="s">
        <v>830</v>
      </c>
      <c r="Q669" s="55" t="s">
        <v>350</v>
      </c>
      <c r="R669" s="55">
        <v>4</v>
      </c>
      <c r="S669" s="74" t="s">
        <v>332</v>
      </c>
      <c r="T669" s="55" t="s">
        <v>1425</v>
      </c>
      <c r="U669" s="73" t="s">
        <v>351</v>
      </c>
      <c r="V669" s="74">
        <v>44501</v>
      </c>
      <c r="W669" s="74">
        <v>44547</v>
      </c>
      <c r="X669" s="55">
        <v>10186786</v>
      </c>
      <c r="Y669" s="74" t="s">
        <v>132</v>
      </c>
      <c r="Z669" s="74"/>
      <c r="AB669" s="55" t="s">
        <v>132</v>
      </c>
      <c r="AC669" s="55" t="s">
        <v>132</v>
      </c>
    </row>
    <row r="670" spans="1:29" ht="13" x14ac:dyDescent="0.15">
      <c r="A670" s="72" t="str">
        <f t="shared" si="10"/>
        <v>Ofsted Social Care Provider Webpage</v>
      </c>
      <c r="B670" s="55">
        <v>2505172</v>
      </c>
      <c r="D670" s="55" t="s">
        <v>373</v>
      </c>
      <c r="E670" s="74">
        <v>43564</v>
      </c>
      <c r="F670" s="55" t="s">
        <v>344</v>
      </c>
      <c r="G670" s="55" t="s">
        <v>360</v>
      </c>
      <c r="H670" s="55" t="s">
        <v>360</v>
      </c>
      <c r="I670" s="55" t="s">
        <v>360</v>
      </c>
      <c r="J670" s="55" t="s">
        <v>360</v>
      </c>
      <c r="K670" s="55" t="s">
        <v>360</v>
      </c>
      <c r="L670" s="55" t="s">
        <v>360</v>
      </c>
      <c r="M670" s="55" t="s">
        <v>129</v>
      </c>
      <c r="N670" s="55" t="s">
        <v>129</v>
      </c>
      <c r="O670" s="55" t="s">
        <v>192</v>
      </c>
      <c r="P670" s="55" t="s">
        <v>1191</v>
      </c>
      <c r="Q670" s="55" t="s">
        <v>350</v>
      </c>
      <c r="R670" s="55">
        <v>2</v>
      </c>
      <c r="S670" s="74"/>
      <c r="T670" s="55" t="s">
        <v>1018</v>
      </c>
      <c r="U670" s="73" t="s">
        <v>351</v>
      </c>
      <c r="V670" s="74">
        <v>44509</v>
      </c>
      <c r="W670" s="74">
        <v>44592</v>
      </c>
      <c r="X670" s="55">
        <v>10186317</v>
      </c>
      <c r="Y670" s="74" t="s">
        <v>130</v>
      </c>
      <c r="Z670" s="74"/>
      <c r="AB670" s="55" t="s">
        <v>130</v>
      </c>
      <c r="AC670" s="55" t="s">
        <v>146</v>
      </c>
    </row>
    <row r="671" spans="1:29" ht="13" x14ac:dyDescent="0.15">
      <c r="A671" s="72" t="str">
        <f t="shared" si="10"/>
        <v>Ofsted Social Care Provider Webpage</v>
      </c>
      <c r="B671" s="55">
        <v>2505378</v>
      </c>
      <c r="D671" s="55" t="s">
        <v>373</v>
      </c>
      <c r="E671" s="74">
        <v>43484</v>
      </c>
      <c r="F671" s="55" t="s">
        <v>344</v>
      </c>
      <c r="G671" s="55" t="s">
        <v>360</v>
      </c>
      <c r="H671" s="55" t="s">
        <v>360</v>
      </c>
      <c r="I671" s="55" t="s">
        <v>360</v>
      </c>
      <c r="J671" s="55" t="s">
        <v>360</v>
      </c>
      <c r="K671" s="55" t="s">
        <v>360</v>
      </c>
      <c r="L671" s="55" t="s">
        <v>360</v>
      </c>
      <c r="M671" s="55" t="s">
        <v>172</v>
      </c>
      <c r="N671" s="55" t="s">
        <v>172</v>
      </c>
      <c r="O671" s="55" t="s">
        <v>214</v>
      </c>
      <c r="P671" s="55" t="s">
        <v>1426</v>
      </c>
      <c r="Q671" s="55" t="s">
        <v>350</v>
      </c>
      <c r="R671" s="55">
        <v>3</v>
      </c>
      <c r="S671" s="74"/>
      <c r="T671" s="55" t="s">
        <v>517</v>
      </c>
      <c r="U671" s="73" t="s">
        <v>351</v>
      </c>
      <c r="V671" s="74">
        <v>44467</v>
      </c>
      <c r="W671" s="74">
        <v>44496</v>
      </c>
      <c r="X671" s="55">
        <v>10186488</v>
      </c>
      <c r="Y671" s="74" t="s">
        <v>132</v>
      </c>
      <c r="Z671" s="74"/>
      <c r="AB671" s="55" t="s">
        <v>132</v>
      </c>
      <c r="AC671" s="55" t="s">
        <v>132</v>
      </c>
    </row>
    <row r="672" spans="1:29" ht="13" x14ac:dyDescent="0.15">
      <c r="A672" s="72" t="str">
        <f t="shared" si="10"/>
        <v>Ofsted Social Care Provider Webpage</v>
      </c>
      <c r="B672" s="55">
        <v>2506101</v>
      </c>
      <c r="D672" s="55" t="s">
        <v>373</v>
      </c>
      <c r="E672" s="74">
        <v>43552</v>
      </c>
      <c r="F672" s="55" t="s">
        <v>344</v>
      </c>
      <c r="G672" s="55" t="s">
        <v>360</v>
      </c>
      <c r="H672" s="55" t="s">
        <v>360</v>
      </c>
      <c r="I672" s="55" t="s">
        <v>360</v>
      </c>
      <c r="J672" s="55" t="s">
        <v>360</v>
      </c>
      <c r="K672" s="55" t="s">
        <v>360</v>
      </c>
      <c r="L672" s="55" t="s">
        <v>360</v>
      </c>
      <c r="M672" s="55" t="s">
        <v>129</v>
      </c>
      <c r="N672" s="55" t="s">
        <v>129</v>
      </c>
      <c r="O672" s="55" t="s">
        <v>201</v>
      </c>
      <c r="P672" s="55" t="s">
        <v>1427</v>
      </c>
      <c r="Q672" s="55" t="s">
        <v>350</v>
      </c>
      <c r="R672" s="55">
        <v>5</v>
      </c>
      <c r="S672" s="74"/>
      <c r="T672" s="55" t="s">
        <v>939</v>
      </c>
      <c r="U672" s="73" t="s">
        <v>351</v>
      </c>
      <c r="V672" s="74">
        <v>44608</v>
      </c>
      <c r="W672" s="74">
        <v>44651</v>
      </c>
      <c r="X672" s="55">
        <v>10185138</v>
      </c>
      <c r="Y672" s="74" t="s">
        <v>132</v>
      </c>
      <c r="Z672" s="74"/>
      <c r="AB672" s="55" t="s">
        <v>132</v>
      </c>
      <c r="AC672" s="55" t="s">
        <v>132</v>
      </c>
    </row>
    <row r="673" spans="1:29" ht="13" x14ac:dyDescent="0.15">
      <c r="A673" s="72" t="str">
        <f t="shared" si="10"/>
        <v>Ofsted Social Care Provider Webpage</v>
      </c>
      <c r="B673" s="55">
        <v>2506232</v>
      </c>
      <c r="D673" s="55" t="s">
        <v>373</v>
      </c>
      <c r="E673" s="74">
        <v>43509</v>
      </c>
      <c r="F673" s="55" t="s">
        <v>344</v>
      </c>
      <c r="G673" s="55" t="s">
        <v>360</v>
      </c>
      <c r="H673" s="55" t="s">
        <v>360</v>
      </c>
      <c r="I673" s="55" t="s">
        <v>360</v>
      </c>
      <c r="J673" s="55" t="s">
        <v>360</v>
      </c>
      <c r="K673" s="55" t="s">
        <v>360</v>
      </c>
      <c r="L673" s="55" t="s">
        <v>360</v>
      </c>
      <c r="M673" s="55" t="s">
        <v>150</v>
      </c>
      <c r="N673" s="55" t="s">
        <v>150</v>
      </c>
      <c r="O673" s="55" t="s">
        <v>190</v>
      </c>
      <c r="P673" s="55" t="s">
        <v>1428</v>
      </c>
      <c r="Q673" s="55" t="s">
        <v>350</v>
      </c>
      <c r="R673" s="55">
        <v>3</v>
      </c>
      <c r="S673" s="74"/>
      <c r="T673" s="55" t="s">
        <v>755</v>
      </c>
      <c r="U673" s="73" t="s">
        <v>351</v>
      </c>
      <c r="V673" s="74">
        <v>44538</v>
      </c>
      <c r="W673" s="74">
        <v>44599</v>
      </c>
      <c r="X673" s="55">
        <v>10187271</v>
      </c>
      <c r="Y673" s="74" t="s">
        <v>132</v>
      </c>
      <c r="Z673" s="74"/>
      <c r="AB673" s="55" t="s">
        <v>132</v>
      </c>
      <c r="AC673" s="55" t="s">
        <v>132</v>
      </c>
    </row>
    <row r="674" spans="1:29" ht="13" x14ac:dyDescent="0.15">
      <c r="A674" s="72" t="str">
        <f t="shared" si="10"/>
        <v>Ofsted Social Care Provider Webpage</v>
      </c>
      <c r="B674" s="55">
        <v>2506856</v>
      </c>
      <c r="D674" s="55" t="s">
        <v>373</v>
      </c>
      <c r="E674" s="74">
        <v>43487</v>
      </c>
      <c r="F674" s="55" t="s">
        <v>344</v>
      </c>
      <c r="G674" s="55" t="s">
        <v>360</v>
      </c>
      <c r="H674" s="55" t="s">
        <v>360</v>
      </c>
      <c r="I674" s="55" t="s">
        <v>360</v>
      </c>
      <c r="J674" s="55" t="s">
        <v>360</v>
      </c>
      <c r="K674" s="55" t="s">
        <v>360</v>
      </c>
      <c r="L674" s="55" t="s">
        <v>360</v>
      </c>
      <c r="M674" s="55" t="s">
        <v>144</v>
      </c>
      <c r="N674" s="55" t="s">
        <v>144</v>
      </c>
      <c r="O674" s="55" t="s">
        <v>168</v>
      </c>
      <c r="P674" s="55" t="s">
        <v>708</v>
      </c>
      <c r="Q674" s="55" t="s">
        <v>350</v>
      </c>
      <c r="R674" s="55">
        <v>3</v>
      </c>
      <c r="S674" s="74"/>
      <c r="T674" s="55" t="s">
        <v>709</v>
      </c>
      <c r="U674" s="73" t="s">
        <v>351</v>
      </c>
      <c r="V674" s="74">
        <v>44377</v>
      </c>
      <c r="W674" s="74">
        <v>44413</v>
      </c>
      <c r="X674" s="55">
        <v>10185940</v>
      </c>
      <c r="Y674" s="74" t="s">
        <v>132</v>
      </c>
      <c r="Z674" s="74"/>
      <c r="AB674" s="55" t="s">
        <v>132</v>
      </c>
      <c r="AC674" s="55" t="s">
        <v>132</v>
      </c>
    </row>
    <row r="675" spans="1:29" ht="13" x14ac:dyDescent="0.15">
      <c r="A675" s="72" t="str">
        <f t="shared" si="10"/>
        <v>Ofsted Social Care Provider Webpage</v>
      </c>
      <c r="B675" s="55">
        <v>2507350</v>
      </c>
      <c r="D675" s="55" t="s">
        <v>373</v>
      </c>
      <c r="E675" s="74">
        <v>43564</v>
      </c>
      <c r="F675" s="55" t="s">
        <v>344</v>
      </c>
      <c r="G675" s="55" t="s">
        <v>360</v>
      </c>
      <c r="H675" s="55" t="s">
        <v>360</v>
      </c>
      <c r="I675" s="55" t="s">
        <v>360</v>
      </c>
      <c r="J675" s="55" t="s">
        <v>360</v>
      </c>
      <c r="K675" s="55" t="s">
        <v>360</v>
      </c>
      <c r="L675" s="55" t="s">
        <v>360</v>
      </c>
      <c r="M675" s="55" t="s">
        <v>172</v>
      </c>
      <c r="N675" s="55" t="s">
        <v>172</v>
      </c>
      <c r="O675" s="55" t="s">
        <v>211</v>
      </c>
      <c r="P675" s="55" t="s">
        <v>1343</v>
      </c>
      <c r="Q675" s="55" t="s">
        <v>362</v>
      </c>
      <c r="R675" s="55">
        <v>3</v>
      </c>
      <c r="S675" s="74"/>
      <c r="T675" s="55" t="s">
        <v>1429</v>
      </c>
      <c r="U675" s="73" t="s">
        <v>351</v>
      </c>
      <c r="V675" s="74">
        <v>44431</v>
      </c>
      <c r="W675" s="74">
        <v>44467</v>
      </c>
      <c r="X675" s="55">
        <v>10186759</v>
      </c>
      <c r="Y675" s="74" t="s">
        <v>130</v>
      </c>
      <c r="Z675" s="74"/>
      <c r="AB675" s="55" t="s">
        <v>130</v>
      </c>
      <c r="AC675" s="55" t="s">
        <v>130</v>
      </c>
    </row>
    <row r="676" spans="1:29" ht="13" x14ac:dyDescent="0.15">
      <c r="A676" s="72" t="str">
        <f t="shared" si="10"/>
        <v>Ofsted Social Care Provider Webpage</v>
      </c>
      <c r="B676" s="55">
        <v>2507361</v>
      </c>
      <c r="D676" s="55" t="s">
        <v>373</v>
      </c>
      <c r="E676" s="74">
        <v>43564</v>
      </c>
      <c r="F676" s="55" t="s">
        <v>344</v>
      </c>
      <c r="G676" s="55" t="s">
        <v>360</v>
      </c>
      <c r="H676" s="55" t="s">
        <v>360</v>
      </c>
      <c r="I676" s="55" t="s">
        <v>360</v>
      </c>
      <c r="J676" s="55" t="s">
        <v>360</v>
      </c>
      <c r="K676" s="55" t="s">
        <v>360</v>
      </c>
      <c r="L676" s="55" t="s">
        <v>360</v>
      </c>
      <c r="M676" s="55" t="s">
        <v>142</v>
      </c>
      <c r="N676" s="55" t="s">
        <v>142</v>
      </c>
      <c r="O676" s="55" t="s">
        <v>252</v>
      </c>
      <c r="P676" s="55" t="s">
        <v>503</v>
      </c>
      <c r="Q676" s="55" t="s">
        <v>350</v>
      </c>
      <c r="R676" s="55">
        <v>2</v>
      </c>
      <c r="S676" s="74"/>
      <c r="T676" s="55" t="s">
        <v>504</v>
      </c>
      <c r="U676" s="73" t="s">
        <v>351</v>
      </c>
      <c r="V676" s="74">
        <v>44508</v>
      </c>
      <c r="W676" s="74">
        <v>44551</v>
      </c>
      <c r="X676" s="55">
        <v>10186588</v>
      </c>
      <c r="Y676" s="74" t="s">
        <v>140</v>
      </c>
      <c r="Z676" s="74"/>
      <c r="AB676" s="55" t="s">
        <v>140</v>
      </c>
      <c r="AC676" s="55" t="s">
        <v>140</v>
      </c>
    </row>
    <row r="677" spans="1:29" ht="13" x14ac:dyDescent="0.15">
      <c r="A677" s="72" t="str">
        <f t="shared" si="10"/>
        <v>Ofsted Social Care Provider Webpage</v>
      </c>
      <c r="B677" s="55">
        <v>2507393</v>
      </c>
      <c r="D677" s="55" t="s">
        <v>373</v>
      </c>
      <c r="E677" s="74">
        <v>43713</v>
      </c>
      <c r="F677" s="55" t="s">
        <v>344</v>
      </c>
      <c r="G677" s="55" t="s">
        <v>360</v>
      </c>
      <c r="H677" s="55" t="s">
        <v>360</v>
      </c>
      <c r="I677" s="55" t="s">
        <v>360</v>
      </c>
      <c r="J677" s="55" t="s">
        <v>360</v>
      </c>
      <c r="K677" s="55" t="s">
        <v>360</v>
      </c>
      <c r="L677" s="55" t="s">
        <v>360</v>
      </c>
      <c r="M677" s="55" t="s">
        <v>142</v>
      </c>
      <c r="N677" s="55" t="s">
        <v>142</v>
      </c>
      <c r="O677" s="55" t="s">
        <v>262</v>
      </c>
      <c r="P677" s="55" t="s">
        <v>488</v>
      </c>
      <c r="Q677" s="55" t="s">
        <v>350</v>
      </c>
      <c r="R677" s="55">
        <v>2</v>
      </c>
      <c r="S677" s="74"/>
      <c r="T677" s="55" t="s">
        <v>1430</v>
      </c>
      <c r="U677" s="73" t="s">
        <v>351</v>
      </c>
      <c r="V677" s="74">
        <v>44572</v>
      </c>
      <c r="W677" s="74">
        <v>44634</v>
      </c>
      <c r="X677" s="55">
        <v>10186137</v>
      </c>
      <c r="Y677" s="74" t="s">
        <v>132</v>
      </c>
      <c r="Z677" s="74"/>
      <c r="AB677" s="55" t="s">
        <v>130</v>
      </c>
      <c r="AC677" s="55" t="s">
        <v>132</v>
      </c>
    </row>
    <row r="678" spans="1:29" ht="13" x14ac:dyDescent="0.15">
      <c r="A678" s="72" t="str">
        <f t="shared" si="10"/>
        <v>Ofsted Social Care Provider Webpage</v>
      </c>
      <c r="B678" s="55">
        <v>2507631</v>
      </c>
      <c r="D678" s="55" t="s">
        <v>373</v>
      </c>
      <c r="E678" s="74">
        <v>43469</v>
      </c>
      <c r="F678" s="55" t="s">
        <v>344</v>
      </c>
      <c r="G678" s="55" t="s">
        <v>360</v>
      </c>
      <c r="H678" s="55" t="s">
        <v>360</v>
      </c>
      <c r="I678" s="55" t="s">
        <v>360</v>
      </c>
      <c r="J678" s="55" t="s">
        <v>360</v>
      </c>
      <c r="K678" s="55" t="s">
        <v>360</v>
      </c>
      <c r="L678" s="55" t="s">
        <v>360</v>
      </c>
      <c r="M678" s="55" t="s">
        <v>136</v>
      </c>
      <c r="N678" s="55" t="s">
        <v>136</v>
      </c>
      <c r="O678" s="55" t="s">
        <v>255</v>
      </c>
      <c r="P678" s="55" t="s">
        <v>757</v>
      </c>
      <c r="Q678" s="55" t="s">
        <v>350</v>
      </c>
      <c r="R678" s="55">
        <v>4</v>
      </c>
      <c r="S678" s="74"/>
      <c r="T678" s="55" t="s">
        <v>789</v>
      </c>
      <c r="U678" s="73" t="s">
        <v>351</v>
      </c>
      <c r="V678" s="74">
        <v>44404</v>
      </c>
      <c r="W678" s="74">
        <v>44442</v>
      </c>
      <c r="X678" s="55">
        <v>10186284</v>
      </c>
      <c r="Y678" s="74" t="s">
        <v>130</v>
      </c>
      <c r="Z678" s="74"/>
      <c r="AB678" s="55" t="s">
        <v>130</v>
      </c>
      <c r="AC678" s="55" t="s">
        <v>130</v>
      </c>
    </row>
    <row r="679" spans="1:29" ht="13" x14ac:dyDescent="0.15">
      <c r="A679" s="72" t="str">
        <f t="shared" si="10"/>
        <v>Ofsted Social Care Provider Webpage</v>
      </c>
      <c r="B679" s="55">
        <v>2507724</v>
      </c>
      <c r="D679" s="55" t="s">
        <v>373</v>
      </c>
      <c r="E679" s="74">
        <v>43539</v>
      </c>
      <c r="F679" s="55" t="s">
        <v>344</v>
      </c>
      <c r="G679" s="55" t="s">
        <v>360</v>
      </c>
      <c r="H679" s="55" t="s">
        <v>360</v>
      </c>
      <c r="I679" s="55" t="s">
        <v>360</v>
      </c>
      <c r="J679" s="55" t="s">
        <v>360</v>
      </c>
      <c r="K679" s="55" t="s">
        <v>360</v>
      </c>
      <c r="L679" s="55" t="s">
        <v>360</v>
      </c>
      <c r="M679" s="55" t="s">
        <v>142</v>
      </c>
      <c r="N679" s="55" t="s">
        <v>142</v>
      </c>
      <c r="O679" s="55" t="s">
        <v>166</v>
      </c>
      <c r="P679" s="55" t="s">
        <v>1301</v>
      </c>
      <c r="Q679" s="55" t="s">
        <v>380</v>
      </c>
      <c r="R679" s="55">
        <v>4</v>
      </c>
      <c r="S679" s="74"/>
      <c r="T679" s="55" t="s">
        <v>1302</v>
      </c>
      <c r="U679" s="73" t="s">
        <v>351</v>
      </c>
      <c r="V679" s="74">
        <v>44587</v>
      </c>
      <c r="W679" s="74">
        <v>44642</v>
      </c>
      <c r="X679" s="55">
        <v>10185338</v>
      </c>
      <c r="Y679" s="74" t="s">
        <v>130</v>
      </c>
      <c r="Z679" s="74"/>
      <c r="AB679" s="55" t="s">
        <v>130</v>
      </c>
      <c r="AC679" s="55" t="s">
        <v>130</v>
      </c>
    </row>
    <row r="680" spans="1:29" ht="13" x14ac:dyDescent="0.15">
      <c r="A680" s="72" t="str">
        <f t="shared" si="10"/>
        <v>Ofsted Social Care Provider Webpage</v>
      </c>
      <c r="B680" s="55">
        <v>2507889</v>
      </c>
      <c r="D680" s="55" t="s">
        <v>373</v>
      </c>
      <c r="E680" s="74">
        <v>43592</v>
      </c>
      <c r="F680" s="55" t="s">
        <v>344</v>
      </c>
      <c r="G680" s="55" t="s">
        <v>360</v>
      </c>
      <c r="H680" s="55" t="s">
        <v>360</v>
      </c>
      <c r="I680" s="55" t="s">
        <v>360</v>
      </c>
      <c r="J680" s="55" t="s">
        <v>360</v>
      </c>
      <c r="K680" s="55" t="s">
        <v>360</v>
      </c>
      <c r="L680" s="55" t="s">
        <v>360</v>
      </c>
      <c r="M680" s="55" t="s">
        <v>144</v>
      </c>
      <c r="N680" s="55" t="s">
        <v>144</v>
      </c>
      <c r="O680" s="55" t="s">
        <v>145</v>
      </c>
      <c r="P680" s="55" t="s">
        <v>525</v>
      </c>
      <c r="Q680" s="55" t="s">
        <v>350</v>
      </c>
      <c r="R680" s="55">
        <v>1</v>
      </c>
      <c r="S680" s="74"/>
      <c r="T680" s="55" t="s">
        <v>1065</v>
      </c>
      <c r="U680" s="73" t="s">
        <v>351</v>
      </c>
      <c r="V680" s="74">
        <v>43893</v>
      </c>
      <c r="W680" s="74">
        <v>43942</v>
      </c>
      <c r="X680" s="55">
        <v>10105633</v>
      </c>
      <c r="Y680" s="74" t="s">
        <v>130</v>
      </c>
      <c r="Z680" s="74"/>
      <c r="AB680" s="55" t="s">
        <v>130</v>
      </c>
      <c r="AC680" s="55" t="s">
        <v>130</v>
      </c>
    </row>
    <row r="681" spans="1:29" ht="13" x14ac:dyDescent="0.15">
      <c r="A681" s="72" t="str">
        <f t="shared" si="10"/>
        <v>Ofsted Social Care Provider Webpage</v>
      </c>
      <c r="B681" s="55">
        <v>2508153</v>
      </c>
      <c r="D681" s="55" t="s">
        <v>373</v>
      </c>
      <c r="E681" s="74">
        <v>43501</v>
      </c>
      <c r="F681" s="55" t="s">
        <v>344</v>
      </c>
      <c r="G681" s="55" t="s">
        <v>360</v>
      </c>
      <c r="H681" s="55" t="s">
        <v>360</v>
      </c>
      <c r="I681" s="55" t="s">
        <v>360</v>
      </c>
      <c r="J681" s="55" t="s">
        <v>360</v>
      </c>
      <c r="K681" s="55" t="s">
        <v>360</v>
      </c>
      <c r="L681" s="55" t="s">
        <v>360</v>
      </c>
      <c r="M681" s="55" t="s">
        <v>144</v>
      </c>
      <c r="N681" s="55" t="s">
        <v>144</v>
      </c>
      <c r="O681" s="55" t="s">
        <v>145</v>
      </c>
      <c r="P681" s="55" t="s">
        <v>525</v>
      </c>
      <c r="Q681" s="55" t="s">
        <v>350</v>
      </c>
      <c r="R681" s="55">
        <v>2</v>
      </c>
      <c r="S681" s="74"/>
      <c r="T681" s="55" t="s">
        <v>485</v>
      </c>
      <c r="U681" s="73" t="s">
        <v>351</v>
      </c>
      <c r="V681" s="74">
        <v>44630</v>
      </c>
      <c r="W681" s="74">
        <v>44672</v>
      </c>
      <c r="X681" s="55">
        <v>10186463</v>
      </c>
      <c r="Y681" s="74" t="s">
        <v>140</v>
      </c>
      <c r="Z681" s="74"/>
      <c r="AB681" s="55" t="s">
        <v>140</v>
      </c>
      <c r="AC681" s="55" t="s">
        <v>140</v>
      </c>
    </row>
    <row r="682" spans="1:29" ht="13" x14ac:dyDescent="0.15">
      <c r="A682" s="72" t="str">
        <f t="shared" si="10"/>
        <v>Ofsted Social Care Provider Webpage</v>
      </c>
      <c r="B682" s="55">
        <v>2508344</v>
      </c>
      <c r="D682" s="55" t="s">
        <v>373</v>
      </c>
      <c r="E682" s="74">
        <v>43545</v>
      </c>
      <c r="F682" s="55" t="s">
        <v>344</v>
      </c>
      <c r="G682" s="55" t="s">
        <v>360</v>
      </c>
      <c r="H682" s="55" t="s">
        <v>360</v>
      </c>
      <c r="I682" s="55" t="s">
        <v>360</v>
      </c>
      <c r="J682" s="55" t="s">
        <v>360</v>
      </c>
      <c r="K682" s="55" t="s">
        <v>360</v>
      </c>
      <c r="L682" s="55" t="s">
        <v>360</v>
      </c>
      <c r="M682" s="55" t="s">
        <v>172</v>
      </c>
      <c r="N682" s="55" t="s">
        <v>172</v>
      </c>
      <c r="O682" s="55" t="s">
        <v>173</v>
      </c>
      <c r="P682" s="55" t="s">
        <v>1198</v>
      </c>
      <c r="Q682" s="55" t="s">
        <v>380</v>
      </c>
      <c r="R682" s="55">
        <v>2</v>
      </c>
      <c r="S682" s="74"/>
      <c r="T682" s="55" t="s">
        <v>1431</v>
      </c>
      <c r="U682" s="73" t="s">
        <v>351</v>
      </c>
      <c r="V682" s="74">
        <v>44495</v>
      </c>
      <c r="W682" s="74">
        <v>44533</v>
      </c>
      <c r="X682" s="55">
        <v>10186304</v>
      </c>
      <c r="Y682" s="74" t="s">
        <v>140</v>
      </c>
      <c r="Z682" s="74"/>
      <c r="AB682" s="55" t="s">
        <v>140</v>
      </c>
      <c r="AC682" s="55" t="s">
        <v>140</v>
      </c>
    </row>
    <row r="683" spans="1:29" ht="13" x14ac:dyDescent="0.15">
      <c r="A683" s="72" t="str">
        <f t="shared" si="10"/>
        <v>Ofsted Social Care Provider Webpage</v>
      </c>
      <c r="B683" s="55">
        <v>2508451</v>
      </c>
      <c r="D683" s="55" t="s">
        <v>373</v>
      </c>
      <c r="E683" s="74">
        <v>43451</v>
      </c>
      <c r="F683" s="55" t="s">
        <v>344</v>
      </c>
      <c r="G683" s="55" t="s">
        <v>360</v>
      </c>
      <c r="H683" s="55" t="s">
        <v>360</v>
      </c>
      <c r="I683" s="55" t="s">
        <v>360</v>
      </c>
      <c r="J683" s="55" t="s">
        <v>360</v>
      </c>
      <c r="K683" s="55" t="s">
        <v>360</v>
      </c>
      <c r="L683" s="55" t="s">
        <v>360</v>
      </c>
      <c r="M683" s="55" t="s">
        <v>150</v>
      </c>
      <c r="N683" s="55" t="s">
        <v>150</v>
      </c>
      <c r="O683" s="55" t="s">
        <v>190</v>
      </c>
      <c r="P683" s="55" t="s">
        <v>966</v>
      </c>
      <c r="Q683" s="55" t="s">
        <v>380</v>
      </c>
      <c r="R683" s="55">
        <v>4</v>
      </c>
      <c r="S683" s="74"/>
      <c r="T683" s="55" t="s">
        <v>967</v>
      </c>
      <c r="U683" s="73" t="s">
        <v>351</v>
      </c>
      <c r="V683" s="74">
        <v>44454</v>
      </c>
      <c r="W683" s="74">
        <v>44496</v>
      </c>
      <c r="X683" s="55">
        <v>10185060</v>
      </c>
      <c r="Y683" s="74" t="s">
        <v>130</v>
      </c>
      <c r="Z683" s="74"/>
      <c r="AB683" s="55" t="s">
        <v>130</v>
      </c>
      <c r="AC683" s="55" t="s">
        <v>130</v>
      </c>
    </row>
    <row r="684" spans="1:29" ht="13" x14ac:dyDescent="0.15">
      <c r="A684" s="72" t="str">
        <f t="shared" si="10"/>
        <v>Ofsted Social Care Provider Webpage</v>
      </c>
      <c r="B684" s="55">
        <v>2508456</v>
      </c>
      <c r="D684" s="55" t="s">
        <v>373</v>
      </c>
      <c r="E684" s="74">
        <v>43579</v>
      </c>
      <c r="F684" s="55" t="s">
        <v>344</v>
      </c>
      <c r="G684" s="55" t="s">
        <v>360</v>
      </c>
      <c r="H684" s="55" t="s">
        <v>360</v>
      </c>
      <c r="I684" s="55" t="s">
        <v>360</v>
      </c>
      <c r="J684" s="55" t="s">
        <v>360</v>
      </c>
      <c r="K684" s="55" t="s">
        <v>360</v>
      </c>
      <c r="L684" s="55" t="s">
        <v>360</v>
      </c>
      <c r="M684" s="55" t="s">
        <v>142</v>
      </c>
      <c r="N684" s="55" t="s">
        <v>142</v>
      </c>
      <c r="O684" s="55" t="s">
        <v>262</v>
      </c>
      <c r="P684" s="55" t="s">
        <v>1215</v>
      </c>
      <c r="Q684" s="55" t="s">
        <v>350</v>
      </c>
      <c r="R684" s="55">
        <v>3</v>
      </c>
      <c r="S684" s="74"/>
      <c r="T684" s="55" t="s">
        <v>917</v>
      </c>
      <c r="U684" s="73" t="s">
        <v>351</v>
      </c>
      <c r="V684" s="74">
        <v>44459</v>
      </c>
      <c r="W684" s="74">
        <v>44501</v>
      </c>
      <c r="X684" s="55">
        <v>10186621</v>
      </c>
      <c r="Y684" s="74" t="s">
        <v>140</v>
      </c>
      <c r="Z684" s="74"/>
      <c r="AB684" s="55" t="s">
        <v>140</v>
      </c>
      <c r="AC684" s="55" t="s">
        <v>132</v>
      </c>
    </row>
    <row r="685" spans="1:29" ht="13" x14ac:dyDescent="0.15">
      <c r="A685" s="72" t="str">
        <f t="shared" si="10"/>
        <v>Ofsted Social Care Provider Webpage</v>
      </c>
      <c r="B685" s="55">
        <v>2508513</v>
      </c>
      <c r="D685" s="55" t="s">
        <v>373</v>
      </c>
      <c r="E685" s="74">
        <v>43487</v>
      </c>
      <c r="F685" s="55" t="s">
        <v>344</v>
      </c>
      <c r="G685" s="55" t="s">
        <v>360</v>
      </c>
      <c r="H685" s="55" t="s">
        <v>360</v>
      </c>
      <c r="I685" s="55" t="s">
        <v>360</v>
      </c>
      <c r="J685" s="55" t="s">
        <v>360</v>
      </c>
      <c r="K685" s="55" t="s">
        <v>360</v>
      </c>
      <c r="L685" s="55" t="s">
        <v>360</v>
      </c>
      <c r="M685" s="55" t="s">
        <v>144</v>
      </c>
      <c r="N685" s="55" t="s">
        <v>144</v>
      </c>
      <c r="O685" s="55" t="s">
        <v>168</v>
      </c>
      <c r="P685" s="55" t="s">
        <v>708</v>
      </c>
      <c r="Q685" s="55" t="s">
        <v>380</v>
      </c>
      <c r="R685" s="55">
        <v>6</v>
      </c>
      <c r="S685" s="74"/>
      <c r="T685" s="55" t="s">
        <v>1432</v>
      </c>
      <c r="U685" s="73" t="s">
        <v>351</v>
      </c>
      <c r="V685" s="74">
        <v>44398</v>
      </c>
      <c r="W685" s="74">
        <v>44434</v>
      </c>
      <c r="X685" s="55">
        <v>10185012</v>
      </c>
      <c r="Y685" s="74" t="s">
        <v>132</v>
      </c>
      <c r="Z685" s="74"/>
      <c r="AB685" s="55" t="s">
        <v>132</v>
      </c>
      <c r="AC685" s="55" t="s">
        <v>132</v>
      </c>
    </row>
    <row r="686" spans="1:29" ht="13" x14ac:dyDescent="0.15">
      <c r="A686" s="72" t="str">
        <f t="shared" si="10"/>
        <v>Ofsted Social Care Provider Webpage</v>
      </c>
      <c r="B686" s="55">
        <v>2508525</v>
      </c>
      <c r="D686" s="55" t="s">
        <v>373</v>
      </c>
      <c r="E686" s="74">
        <v>43524</v>
      </c>
      <c r="F686" s="55" t="s">
        <v>344</v>
      </c>
      <c r="G686" s="55" t="s">
        <v>360</v>
      </c>
      <c r="H686" s="55" t="s">
        <v>360</v>
      </c>
      <c r="I686" s="55" t="s">
        <v>360</v>
      </c>
      <c r="J686" s="55" t="s">
        <v>360</v>
      </c>
      <c r="K686" s="55" t="s">
        <v>360</v>
      </c>
      <c r="L686" s="55" t="s">
        <v>360</v>
      </c>
      <c r="M686" s="55" t="s">
        <v>172</v>
      </c>
      <c r="N686" s="55" t="s">
        <v>172</v>
      </c>
      <c r="O686" s="55" t="s">
        <v>235</v>
      </c>
      <c r="P686" s="55" t="s">
        <v>948</v>
      </c>
      <c r="Q686" s="55" t="s">
        <v>350</v>
      </c>
      <c r="R686" s="55">
        <v>4</v>
      </c>
      <c r="S686" s="74"/>
      <c r="T686" s="55" t="s">
        <v>1433</v>
      </c>
      <c r="U686" s="73" t="s">
        <v>351</v>
      </c>
      <c r="V686" s="74">
        <v>44621</v>
      </c>
      <c r="W686" s="74">
        <v>44657</v>
      </c>
      <c r="X686" s="55">
        <v>10186283</v>
      </c>
      <c r="Y686" s="74" t="s">
        <v>132</v>
      </c>
      <c r="Z686" s="74"/>
      <c r="AB686" s="55" t="s">
        <v>132</v>
      </c>
      <c r="AC686" s="55" t="s">
        <v>140</v>
      </c>
    </row>
    <row r="687" spans="1:29" ht="13" x14ac:dyDescent="0.15">
      <c r="A687" s="72" t="str">
        <f t="shared" si="10"/>
        <v>Ofsted Social Care Provider Webpage</v>
      </c>
      <c r="B687" s="55">
        <v>2508545</v>
      </c>
      <c r="D687" s="55" t="s">
        <v>373</v>
      </c>
      <c r="E687" s="74">
        <v>43598</v>
      </c>
      <c r="F687" s="55" t="s">
        <v>344</v>
      </c>
      <c r="G687" s="55" t="s">
        <v>360</v>
      </c>
      <c r="H687" s="55" t="s">
        <v>360</v>
      </c>
      <c r="I687" s="55" t="s">
        <v>360</v>
      </c>
      <c r="J687" s="55" t="s">
        <v>360</v>
      </c>
      <c r="K687" s="55" t="s">
        <v>360</v>
      </c>
      <c r="L687" s="55" t="s">
        <v>360</v>
      </c>
      <c r="M687" s="55" t="s">
        <v>142</v>
      </c>
      <c r="N687" s="55" t="s">
        <v>142</v>
      </c>
      <c r="O687" s="55" t="s">
        <v>262</v>
      </c>
      <c r="P687" s="55" t="s">
        <v>916</v>
      </c>
      <c r="Q687" s="55" t="s">
        <v>350</v>
      </c>
      <c r="R687" s="55">
        <v>2</v>
      </c>
      <c r="S687" s="74"/>
      <c r="T687" s="55" t="s">
        <v>489</v>
      </c>
      <c r="U687" s="73" t="s">
        <v>351</v>
      </c>
      <c r="V687" s="74">
        <v>43803</v>
      </c>
      <c r="W687" s="74">
        <v>43867</v>
      </c>
      <c r="X687" s="55">
        <v>10115319</v>
      </c>
      <c r="Y687" s="74" t="s">
        <v>130</v>
      </c>
      <c r="Z687" s="74"/>
      <c r="AB687" s="55" t="s">
        <v>130</v>
      </c>
      <c r="AC687" s="55" t="s">
        <v>130</v>
      </c>
    </row>
    <row r="688" spans="1:29" ht="13" x14ac:dyDescent="0.15">
      <c r="A688" s="72" t="str">
        <f t="shared" si="10"/>
        <v>Ofsted Social Care Provider Webpage</v>
      </c>
      <c r="B688" s="55">
        <v>2508601</v>
      </c>
      <c r="D688" s="55" t="s">
        <v>373</v>
      </c>
      <c r="E688" s="74">
        <v>43566</v>
      </c>
      <c r="F688" s="55" t="s">
        <v>344</v>
      </c>
      <c r="G688" s="55" t="s">
        <v>360</v>
      </c>
      <c r="H688" s="55" t="s">
        <v>360</v>
      </c>
      <c r="I688" s="55" t="s">
        <v>360</v>
      </c>
      <c r="J688" s="55" t="s">
        <v>360</v>
      </c>
      <c r="K688" s="55" t="s">
        <v>360</v>
      </c>
      <c r="L688" s="55" t="s">
        <v>360</v>
      </c>
      <c r="M688" s="55" t="s">
        <v>144</v>
      </c>
      <c r="N688" s="55" t="s">
        <v>144</v>
      </c>
      <c r="O688" s="55" t="s">
        <v>209</v>
      </c>
      <c r="P688" s="55" t="s">
        <v>597</v>
      </c>
      <c r="Q688" s="55" t="s">
        <v>350</v>
      </c>
      <c r="R688" s="55">
        <v>3</v>
      </c>
      <c r="S688" s="74"/>
      <c r="T688" s="55" t="s">
        <v>886</v>
      </c>
      <c r="U688" s="73" t="s">
        <v>351</v>
      </c>
      <c r="V688" s="74">
        <v>44306</v>
      </c>
      <c r="W688" s="74">
        <v>44335</v>
      </c>
      <c r="X688" s="55">
        <v>10186554</v>
      </c>
      <c r="Y688" s="74" t="s">
        <v>132</v>
      </c>
      <c r="Z688" s="74"/>
      <c r="AB688" s="55" t="s">
        <v>132</v>
      </c>
      <c r="AC688" s="55" t="s">
        <v>132</v>
      </c>
    </row>
    <row r="689" spans="1:29" ht="13" x14ac:dyDescent="0.15">
      <c r="A689" s="72" t="str">
        <f t="shared" si="10"/>
        <v>Ofsted Social Care Provider Webpage</v>
      </c>
      <c r="B689" s="55">
        <v>2509056</v>
      </c>
      <c r="D689" s="55" t="s">
        <v>389</v>
      </c>
      <c r="E689" s="74">
        <v>43788</v>
      </c>
      <c r="F689" s="55" t="s">
        <v>344</v>
      </c>
      <c r="G689" s="55" t="s">
        <v>1434</v>
      </c>
      <c r="H689" s="55" t="s">
        <v>1435</v>
      </c>
      <c r="I689" s="55" t="s">
        <v>1436</v>
      </c>
      <c r="J689" s="55" t="s">
        <v>1437</v>
      </c>
      <c r="K689" s="55" t="s">
        <v>262</v>
      </c>
      <c r="L689" s="55" t="s">
        <v>1438</v>
      </c>
      <c r="M689" s="55" t="s">
        <v>142</v>
      </c>
      <c r="N689" s="55" t="s">
        <v>142</v>
      </c>
      <c r="O689" s="55" t="s">
        <v>262</v>
      </c>
      <c r="P689" s="55" t="s">
        <v>1215</v>
      </c>
      <c r="Q689" s="55" t="s">
        <v>350</v>
      </c>
      <c r="R689" s="55"/>
      <c r="S689" s="74"/>
      <c r="T689" s="55" t="s">
        <v>1439</v>
      </c>
      <c r="U689" s="73" t="s">
        <v>351</v>
      </c>
      <c r="V689" s="74">
        <v>44480</v>
      </c>
      <c r="W689" s="74">
        <v>44529</v>
      </c>
      <c r="X689" s="55">
        <v>10183208</v>
      </c>
      <c r="Y689" s="74" t="s">
        <v>132</v>
      </c>
      <c r="Z689" s="74"/>
      <c r="AB689" s="55" t="s">
        <v>132</v>
      </c>
      <c r="AC689" s="55" t="s">
        <v>132</v>
      </c>
    </row>
    <row r="690" spans="1:29" ht="13" x14ac:dyDescent="0.15">
      <c r="A690" s="72" t="str">
        <f t="shared" si="10"/>
        <v>Ofsted Social Care Provider Webpage</v>
      </c>
      <c r="B690" s="55">
        <v>2509269</v>
      </c>
      <c r="D690" s="55" t="s">
        <v>373</v>
      </c>
      <c r="E690" s="74">
        <v>43496</v>
      </c>
      <c r="F690" s="55" t="s">
        <v>344</v>
      </c>
      <c r="G690" s="55" t="s">
        <v>360</v>
      </c>
      <c r="H690" s="55" t="s">
        <v>360</v>
      </c>
      <c r="I690" s="55" t="s">
        <v>360</v>
      </c>
      <c r="J690" s="55" t="s">
        <v>360</v>
      </c>
      <c r="K690" s="55" t="s">
        <v>360</v>
      </c>
      <c r="L690" s="55" t="s">
        <v>360</v>
      </c>
      <c r="M690" s="55" t="s">
        <v>144</v>
      </c>
      <c r="N690" s="55" t="s">
        <v>144</v>
      </c>
      <c r="O690" s="55" t="s">
        <v>209</v>
      </c>
      <c r="P690" s="55" t="s">
        <v>544</v>
      </c>
      <c r="Q690" s="55" t="s">
        <v>350</v>
      </c>
      <c r="R690" s="55">
        <v>3</v>
      </c>
      <c r="S690" s="74"/>
      <c r="T690" s="55" t="s">
        <v>737</v>
      </c>
      <c r="U690" s="73" t="s">
        <v>351</v>
      </c>
      <c r="V690" s="74">
        <v>44356</v>
      </c>
      <c r="W690" s="74">
        <v>44391</v>
      </c>
      <c r="X690" s="55">
        <v>10186336</v>
      </c>
      <c r="Y690" s="74" t="s">
        <v>132</v>
      </c>
      <c r="Z690" s="74"/>
      <c r="AB690" s="55" t="s">
        <v>132</v>
      </c>
      <c r="AC690" s="55" t="s">
        <v>132</v>
      </c>
    </row>
    <row r="691" spans="1:29" ht="13" x14ac:dyDescent="0.15">
      <c r="A691" s="72" t="str">
        <f t="shared" si="10"/>
        <v>Ofsted Social Care Provider Webpage</v>
      </c>
      <c r="B691" s="55">
        <v>2509280</v>
      </c>
      <c r="D691" s="55" t="s">
        <v>373</v>
      </c>
      <c r="E691" s="74">
        <v>43529</v>
      </c>
      <c r="F691" s="55" t="s">
        <v>344</v>
      </c>
      <c r="G691" s="55" t="s">
        <v>360</v>
      </c>
      <c r="H691" s="55" t="s">
        <v>360</v>
      </c>
      <c r="I691" s="55" t="s">
        <v>360</v>
      </c>
      <c r="J691" s="55" t="s">
        <v>360</v>
      </c>
      <c r="K691" s="55" t="s">
        <v>360</v>
      </c>
      <c r="L691" s="55" t="s">
        <v>360</v>
      </c>
      <c r="M691" s="55" t="s">
        <v>378</v>
      </c>
      <c r="N691" s="55" t="s">
        <v>134</v>
      </c>
      <c r="O691" s="55" t="s">
        <v>158</v>
      </c>
      <c r="P691" s="55" t="s">
        <v>480</v>
      </c>
      <c r="Q691" s="55" t="s">
        <v>350</v>
      </c>
      <c r="R691" s="55">
        <v>2</v>
      </c>
      <c r="S691" s="74"/>
      <c r="T691" s="55" t="s">
        <v>485</v>
      </c>
      <c r="U691" s="73" t="s">
        <v>351</v>
      </c>
      <c r="V691" s="74">
        <v>44606</v>
      </c>
      <c r="W691" s="74">
        <v>44662</v>
      </c>
      <c r="X691" s="55">
        <v>10185241</v>
      </c>
      <c r="Y691" s="74" t="s">
        <v>130</v>
      </c>
      <c r="Z691" s="74"/>
      <c r="AB691" s="55" t="s">
        <v>132</v>
      </c>
      <c r="AC691" s="55" t="s">
        <v>130</v>
      </c>
    </row>
    <row r="692" spans="1:29" ht="13" x14ac:dyDescent="0.15">
      <c r="A692" s="72" t="str">
        <f t="shared" si="10"/>
        <v>Ofsted Social Care Provider Webpage</v>
      </c>
      <c r="B692" s="55">
        <v>2509298</v>
      </c>
      <c r="D692" s="55" t="s">
        <v>373</v>
      </c>
      <c r="E692" s="74">
        <v>43529</v>
      </c>
      <c r="F692" s="55" t="s">
        <v>344</v>
      </c>
      <c r="G692" s="55" t="s">
        <v>360</v>
      </c>
      <c r="H692" s="55" t="s">
        <v>360</v>
      </c>
      <c r="I692" s="55" t="s">
        <v>360</v>
      </c>
      <c r="J692" s="55" t="s">
        <v>360</v>
      </c>
      <c r="K692" s="55" t="s">
        <v>360</v>
      </c>
      <c r="L692" s="55" t="s">
        <v>360</v>
      </c>
      <c r="M692" s="55" t="s">
        <v>378</v>
      </c>
      <c r="N692" s="55" t="s">
        <v>134</v>
      </c>
      <c r="O692" s="55" t="s">
        <v>277</v>
      </c>
      <c r="P692" s="55" t="s">
        <v>277</v>
      </c>
      <c r="Q692" s="55" t="s">
        <v>350</v>
      </c>
      <c r="R692" s="55">
        <v>7</v>
      </c>
      <c r="S692" s="74"/>
      <c r="T692" s="55" t="s">
        <v>435</v>
      </c>
      <c r="U692" s="73" t="s">
        <v>351</v>
      </c>
      <c r="V692" s="74">
        <v>44579</v>
      </c>
      <c r="W692" s="74">
        <v>44600</v>
      </c>
      <c r="X692" s="55">
        <v>10185392</v>
      </c>
      <c r="Y692" s="74" t="s">
        <v>132</v>
      </c>
      <c r="Z692" s="74"/>
      <c r="AB692" s="55" t="s">
        <v>132</v>
      </c>
      <c r="AC692" s="55" t="s">
        <v>132</v>
      </c>
    </row>
    <row r="693" spans="1:29" ht="13" x14ac:dyDescent="0.15">
      <c r="A693" s="72" t="str">
        <f t="shared" si="10"/>
        <v>Ofsted Social Care Provider Webpage</v>
      </c>
      <c r="B693" s="55">
        <v>2509300</v>
      </c>
      <c r="D693" s="55" t="s">
        <v>373</v>
      </c>
      <c r="E693" s="74">
        <v>43549</v>
      </c>
      <c r="F693" s="55" t="s">
        <v>344</v>
      </c>
      <c r="G693" s="55" t="s">
        <v>360</v>
      </c>
      <c r="H693" s="55" t="s">
        <v>360</v>
      </c>
      <c r="I693" s="55" t="s">
        <v>360</v>
      </c>
      <c r="J693" s="55" t="s">
        <v>360</v>
      </c>
      <c r="K693" s="55" t="s">
        <v>360</v>
      </c>
      <c r="L693" s="55" t="s">
        <v>360</v>
      </c>
      <c r="M693" s="55" t="s">
        <v>142</v>
      </c>
      <c r="N693" s="55" t="s">
        <v>142</v>
      </c>
      <c r="O693" s="55" t="s">
        <v>282</v>
      </c>
      <c r="P693" s="55" t="s">
        <v>355</v>
      </c>
      <c r="Q693" s="55" t="s">
        <v>350</v>
      </c>
      <c r="R693" s="55">
        <v>7</v>
      </c>
      <c r="S693" s="74"/>
      <c r="T693" s="55" t="s">
        <v>435</v>
      </c>
      <c r="U693" s="73" t="s">
        <v>351</v>
      </c>
      <c r="V693" s="74">
        <v>44307</v>
      </c>
      <c r="W693" s="74">
        <v>44362</v>
      </c>
      <c r="X693" s="55">
        <v>10187455</v>
      </c>
      <c r="Y693" s="74" t="s">
        <v>132</v>
      </c>
      <c r="Z693" s="74"/>
      <c r="AB693" s="55" t="s">
        <v>130</v>
      </c>
      <c r="AC693" s="55" t="s">
        <v>132</v>
      </c>
    </row>
    <row r="694" spans="1:29" ht="13" x14ac:dyDescent="0.15">
      <c r="A694" s="72" t="str">
        <f t="shared" si="10"/>
        <v>Ofsted Social Care Provider Webpage</v>
      </c>
      <c r="B694" s="55">
        <v>2509365</v>
      </c>
      <c r="D694" s="55" t="s">
        <v>373</v>
      </c>
      <c r="E694" s="74">
        <v>43542</v>
      </c>
      <c r="F694" s="55" t="s">
        <v>344</v>
      </c>
      <c r="G694" s="55" t="s">
        <v>360</v>
      </c>
      <c r="H694" s="55" t="s">
        <v>360</v>
      </c>
      <c r="I694" s="55" t="s">
        <v>360</v>
      </c>
      <c r="J694" s="55" t="s">
        <v>360</v>
      </c>
      <c r="K694" s="55" t="s">
        <v>360</v>
      </c>
      <c r="L694" s="55" t="s">
        <v>360</v>
      </c>
      <c r="M694" s="55" t="s">
        <v>378</v>
      </c>
      <c r="N694" s="55" t="s">
        <v>134</v>
      </c>
      <c r="O694" s="55" t="s">
        <v>232</v>
      </c>
      <c r="P694" s="55" t="s">
        <v>412</v>
      </c>
      <c r="Q694" s="55" t="s">
        <v>350</v>
      </c>
      <c r="R694" s="55">
        <v>2</v>
      </c>
      <c r="S694" s="74"/>
      <c r="T694" s="55" t="s">
        <v>493</v>
      </c>
      <c r="U694" s="73" t="s">
        <v>351</v>
      </c>
      <c r="V694" s="74">
        <v>44566</v>
      </c>
      <c r="W694" s="74">
        <v>44603</v>
      </c>
      <c r="X694" s="55">
        <v>10187544</v>
      </c>
      <c r="Y694" s="74" t="s">
        <v>132</v>
      </c>
      <c r="Z694" s="74"/>
      <c r="AB694" s="55" t="s">
        <v>132</v>
      </c>
      <c r="AC694" s="55" t="s">
        <v>132</v>
      </c>
    </row>
    <row r="695" spans="1:29" ht="13" x14ac:dyDescent="0.15">
      <c r="A695" s="72" t="str">
        <f t="shared" si="10"/>
        <v>Ofsted Social Care Provider Webpage</v>
      </c>
      <c r="B695" s="55">
        <v>2509366</v>
      </c>
      <c r="D695" s="55" t="s">
        <v>373</v>
      </c>
      <c r="E695" s="74">
        <v>43542</v>
      </c>
      <c r="F695" s="55" t="s">
        <v>344</v>
      </c>
      <c r="G695" s="55" t="s">
        <v>360</v>
      </c>
      <c r="H695" s="55" t="s">
        <v>360</v>
      </c>
      <c r="I695" s="55" t="s">
        <v>360</v>
      </c>
      <c r="J695" s="55" t="s">
        <v>360</v>
      </c>
      <c r="K695" s="55" t="s">
        <v>360</v>
      </c>
      <c r="L695" s="55" t="s">
        <v>360</v>
      </c>
      <c r="M695" s="55" t="s">
        <v>378</v>
      </c>
      <c r="N695" s="55" t="s">
        <v>134</v>
      </c>
      <c r="O695" s="55" t="s">
        <v>277</v>
      </c>
      <c r="P695" s="55" t="s">
        <v>1362</v>
      </c>
      <c r="Q695" s="55" t="s">
        <v>350</v>
      </c>
      <c r="R695" s="55">
        <v>2</v>
      </c>
      <c r="S695" s="74"/>
      <c r="T695" s="55" t="s">
        <v>493</v>
      </c>
      <c r="U695" s="73" t="s">
        <v>351</v>
      </c>
      <c r="V695" s="74">
        <v>44628</v>
      </c>
      <c r="W695" s="74">
        <v>44672</v>
      </c>
      <c r="X695" s="55">
        <v>10185419</v>
      </c>
      <c r="Y695" s="74" t="s">
        <v>130</v>
      </c>
      <c r="Z695" s="74"/>
      <c r="AB695" s="55" t="s">
        <v>130</v>
      </c>
      <c r="AC695" s="55" t="s">
        <v>130</v>
      </c>
    </row>
    <row r="696" spans="1:29" ht="13" x14ac:dyDescent="0.15">
      <c r="A696" s="72" t="str">
        <f t="shared" si="10"/>
        <v>Ofsted Social Care Provider Webpage</v>
      </c>
      <c r="B696" s="55">
        <v>2509367</v>
      </c>
      <c r="D696" s="55" t="s">
        <v>373</v>
      </c>
      <c r="E696" s="74">
        <v>43546</v>
      </c>
      <c r="F696" s="55" t="s">
        <v>344</v>
      </c>
      <c r="G696" s="55" t="s">
        <v>360</v>
      </c>
      <c r="H696" s="55" t="s">
        <v>360</v>
      </c>
      <c r="I696" s="55" t="s">
        <v>360</v>
      </c>
      <c r="J696" s="55" t="s">
        <v>360</v>
      </c>
      <c r="K696" s="55" t="s">
        <v>360</v>
      </c>
      <c r="L696" s="55" t="s">
        <v>360</v>
      </c>
      <c r="M696" s="55" t="s">
        <v>378</v>
      </c>
      <c r="N696" s="55" t="s">
        <v>134</v>
      </c>
      <c r="O696" s="55" t="s">
        <v>277</v>
      </c>
      <c r="P696" s="55" t="s">
        <v>1362</v>
      </c>
      <c r="Q696" s="55" t="s">
        <v>350</v>
      </c>
      <c r="R696" s="55">
        <v>3</v>
      </c>
      <c r="S696" s="74"/>
      <c r="T696" s="55" t="s">
        <v>493</v>
      </c>
      <c r="U696" s="73" t="s">
        <v>351</v>
      </c>
      <c r="V696" s="74">
        <v>44593</v>
      </c>
      <c r="W696" s="74">
        <v>44642</v>
      </c>
      <c r="X696" s="55">
        <v>10187579</v>
      </c>
      <c r="Y696" s="74" t="s">
        <v>146</v>
      </c>
      <c r="Z696" s="74"/>
      <c r="AB696" s="55" t="s">
        <v>146</v>
      </c>
      <c r="AC696" s="55" t="s">
        <v>146</v>
      </c>
    </row>
    <row r="697" spans="1:29" ht="13" x14ac:dyDescent="0.15">
      <c r="A697" s="72" t="str">
        <f t="shared" si="10"/>
        <v>Ofsted Social Care Provider Webpage</v>
      </c>
      <c r="B697" s="55">
        <v>2509381</v>
      </c>
      <c r="D697" s="55" t="s">
        <v>373</v>
      </c>
      <c r="E697" s="74">
        <v>43657</v>
      </c>
      <c r="F697" s="55" t="s">
        <v>344</v>
      </c>
      <c r="G697" s="55" t="s">
        <v>360</v>
      </c>
      <c r="H697" s="55" t="s">
        <v>360</v>
      </c>
      <c r="I697" s="55" t="s">
        <v>360</v>
      </c>
      <c r="J697" s="55" t="s">
        <v>360</v>
      </c>
      <c r="K697" s="55" t="s">
        <v>360</v>
      </c>
      <c r="L697" s="55" t="s">
        <v>360</v>
      </c>
      <c r="M697" s="55" t="s">
        <v>144</v>
      </c>
      <c r="N697" s="55" t="s">
        <v>144</v>
      </c>
      <c r="O697" s="55" t="s">
        <v>215</v>
      </c>
      <c r="P697" s="55" t="s">
        <v>1440</v>
      </c>
      <c r="Q697" s="55" t="s">
        <v>350</v>
      </c>
      <c r="R697" s="55">
        <v>2</v>
      </c>
      <c r="S697" s="74"/>
      <c r="T697" s="55" t="s">
        <v>1441</v>
      </c>
      <c r="U697" s="73" t="s">
        <v>351</v>
      </c>
      <c r="V697" s="74">
        <v>44608</v>
      </c>
      <c r="W697" s="74">
        <v>44662</v>
      </c>
      <c r="X697" s="55">
        <v>10187089</v>
      </c>
      <c r="Y697" s="74" t="s">
        <v>130</v>
      </c>
      <c r="Z697" s="74"/>
      <c r="AB697" s="55" t="s">
        <v>130</v>
      </c>
      <c r="AC697" s="55" t="s">
        <v>130</v>
      </c>
    </row>
    <row r="698" spans="1:29" ht="13" x14ac:dyDescent="0.15">
      <c r="A698" s="72" t="str">
        <f t="shared" si="10"/>
        <v>Ofsted Social Care Provider Webpage</v>
      </c>
      <c r="B698" s="55">
        <v>2509452</v>
      </c>
      <c r="D698" s="55" t="s">
        <v>373</v>
      </c>
      <c r="E698" s="74">
        <v>43535</v>
      </c>
      <c r="F698" s="55" t="s">
        <v>344</v>
      </c>
      <c r="G698" s="55" t="s">
        <v>360</v>
      </c>
      <c r="H698" s="55" t="s">
        <v>360</v>
      </c>
      <c r="I698" s="55" t="s">
        <v>360</v>
      </c>
      <c r="J698" s="55" t="s">
        <v>360</v>
      </c>
      <c r="K698" s="55" t="s">
        <v>360</v>
      </c>
      <c r="L698" s="55" t="s">
        <v>360</v>
      </c>
      <c r="M698" s="55" t="s">
        <v>144</v>
      </c>
      <c r="N698" s="55" t="s">
        <v>144</v>
      </c>
      <c r="O698" s="55" t="s">
        <v>287</v>
      </c>
      <c r="P698" s="55" t="s">
        <v>1103</v>
      </c>
      <c r="Q698" s="55" t="s">
        <v>350</v>
      </c>
      <c r="R698" s="55">
        <v>3</v>
      </c>
      <c r="S698" s="74"/>
      <c r="T698" s="55" t="s">
        <v>489</v>
      </c>
      <c r="U698" s="73" t="s">
        <v>351</v>
      </c>
      <c r="V698" s="74">
        <v>44635</v>
      </c>
      <c r="W698" s="74">
        <v>44678</v>
      </c>
      <c r="X698" s="55">
        <v>10185588</v>
      </c>
      <c r="Y698" s="74" t="s">
        <v>132</v>
      </c>
      <c r="Z698" s="74"/>
      <c r="AB698" s="55" t="s">
        <v>132</v>
      </c>
      <c r="AC698" s="55" t="s">
        <v>132</v>
      </c>
    </row>
    <row r="699" spans="1:29" ht="13" x14ac:dyDescent="0.15">
      <c r="A699" s="72" t="str">
        <f t="shared" si="10"/>
        <v>Ofsted Social Care Provider Webpage</v>
      </c>
      <c r="B699" s="55">
        <v>2509473</v>
      </c>
      <c r="D699" s="55" t="s">
        <v>373</v>
      </c>
      <c r="E699" s="74">
        <v>43508</v>
      </c>
      <c r="F699" s="55" t="s">
        <v>344</v>
      </c>
      <c r="G699" s="55" t="s">
        <v>360</v>
      </c>
      <c r="H699" s="55" t="s">
        <v>360</v>
      </c>
      <c r="I699" s="55" t="s">
        <v>360</v>
      </c>
      <c r="J699" s="55" t="s">
        <v>360</v>
      </c>
      <c r="K699" s="55" t="s">
        <v>360</v>
      </c>
      <c r="L699" s="55" t="s">
        <v>360</v>
      </c>
      <c r="M699" s="55" t="s">
        <v>150</v>
      </c>
      <c r="N699" s="55" t="s">
        <v>150</v>
      </c>
      <c r="O699" s="55" t="s">
        <v>203</v>
      </c>
      <c r="P699" s="55" t="s">
        <v>593</v>
      </c>
      <c r="Q699" s="55" t="s">
        <v>350</v>
      </c>
      <c r="R699" s="55">
        <v>4</v>
      </c>
      <c r="S699" s="74"/>
      <c r="T699" s="55" t="s">
        <v>1442</v>
      </c>
      <c r="U699" s="73" t="s">
        <v>351</v>
      </c>
      <c r="V699" s="74">
        <v>44531</v>
      </c>
      <c r="W699" s="74">
        <v>44593</v>
      </c>
      <c r="X699" s="55">
        <v>10187460</v>
      </c>
      <c r="Y699" s="74" t="s">
        <v>132</v>
      </c>
      <c r="Z699" s="74"/>
      <c r="AB699" s="55" t="s">
        <v>132</v>
      </c>
      <c r="AC699" s="55" t="s">
        <v>132</v>
      </c>
    </row>
    <row r="700" spans="1:29" ht="13" x14ac:dyDescent="0.15">
      <c r="A700" s="72" t="str">
        <f t="shared" si="10"/>
        <v>Ofsted Social Care Provider Webpage</v>
      </c>
      <c r="B700" s="55">
        <v>2509643</v>
      </c>
      <c r="D700" s="55" t="s">
        <v>468</v>
      </c>
      <c r="E700" s="74">
        <v>43433</v>
      </c>
      <c r="F700" s="55" t="s">
        <v>344</v>
      </c>
      <c r="G700" s="55" t="s">
        <v>1443</v>
      </c>
      <c r="H700" s="55" t="s">
        <v>1444</v>
      </c>
      <c r="I700" s="55" t="s">
        <v>1445</v>
      </c>
      <c r="J700" s="55" t="s">
        <v>241</v>
      </c>
      <c r="K700" s="55" t="s">
        <v>1402</v>
      </c>
      <c r="L700" s="55" t="s">
        <v>1403</v>
      </c>
      <c r="M700" s="55" t="s">
        <v>150</v>
      </c>
      <c r="N700" s="55" t="s">
        <v>150</v>
      </c>
      <c r="O700" s="55" t="s">
        <v>241</v>
      </c>
      <c r="P700" s="55" t="s">
        <v>486</v>
      </c>
      <c r="Q700" s="55" t="s">
        <v>362</v>
      </c>
      <c r="R700" s="55"/>
      <c r="S700" s="74"/>
      <c r="T700" s="55" t="s">
        <v>1404</v>
      </c>
      <c r="U700" s="73"/>
      <c r="W700" s="74"/>
      <c r="Y700" s="74"/>
      <c r="Z700" s="74"/>
    </row>
    <row r="701" spans="1:29" ht="13" x14ac:dyDescent="0.15">
      <c r="A701" s="72" t="str">
        <f t="shared" si="10"/>
        <v>Ofsted Social Care Provider Webpage</v>
      </c>
      <c r="B701" s="55">
        <v>2509670</v>
      </c>
      <c r="D701" s="55" t="s">
        <v>373</v>
      </c>
      <c r="E701" s="74">
        <v>43552</v>
      </c>
      <c r="F701" s="55" t="s">
        <v>344</v>
      </c>
      <c r="G701" s="55" t="s">
        <v>360</v>
      </c>
      <c r="H701" s="55" t="s">
        <v>360</v>
      </c>
      <c r="I701" s="55" t="s">
        <v>360</v>
      </c>
      <c r="J701" s="55" t="s">
        <v>360</v>
      </c>
      <c r="K701" s="55" t="s">
        <v>360</v>
      </c>
      <c r="L701" s="55" t="s">
        <v>360</v>
      </c>
      <c r="M701" s="55" t="s">
        <v>144</v>
      </c>
      <c r="N701" s="55" t="s">
        <v>144</v>
      </c>
      <c r="O701" s="55" t="s">
        <v>263</v>
      </c>
      <c r="P701" s="55" t="s">
        <v>263</v>
      </c>
      <c r="Q701" s="55" t="s">
        <v>350</v>
      </c>
      <c r="R701" s="55">
        <v>4</v>
      </c>
      <c r="S701" s="74"/>
      <c r="T701" s="55" t="s">
        <v>1446</v>
      </c>
      <c r="U701" s="73" t="s">
        <v>351</v>
      </c>
      <c r="V701" s="74">
        <v>44356</v>
      </c>
      <c r="W701" s="74">
        <v>44399</v>
      </c>
      <c r="X701" s="55">
        <v>10186292</v>
      </c>
      <c r="Y701" s="74" t="s">
        <v>132</v>
      </c>
      <c r="Z701" s="74"/>
      <c r="AB701" s="55" t="s">
        <v>132</v>
      </c>
      <c r="AC701" s="55" t="s">
        <v>132</v>
      </c>
    </row>
    <row r="702" spans="1:29" ht="13" x14ac:dyDescent="0.15">
      <c r="A702" s="72" t="str">
        <f t="shared" si="10"/>
        <v>Ofsted Social Care Provider Webpage</v>
      </c>
      <c r="B702" s="55">
        <v>2509684</v>
      </c>
      <c r="D702" s="55" t="s">
        <v>373</v>
      </c>
      <c r="E702" s="74">
        <v>43434</v>
      </c>
      <c r="F702" s="55" t="s">
        <v>344</v>
      </c>
      <c r="G702" s="55" t="s">
        <v>360</v>
      </c>
      <c r="H702" s="55" t="s">
        <v>360</v>
      </c>
      <c r="I702" s="55" t="s">
        <v>360</v>
      </c>
      <c r="J702" s="55" t="s">
        <v>360</v>
      </c>
      <c r="K702" s="55" t="s">
        <v>360</v>
      </c>
      <c r="L702" s="55" t="s">
        <v>360</v>
      </c>
      <c r="M702" s="55" t="s">
        <v>136</v>
      </c>
      <c r="N702" s="55" t="s">
        <v>136</v>
      </c>
      <c r="O702" s="55" t="s">
        <v>255</v>
      </c>
      <c r="P702" s="55" t="s">
        <v>1447</v>
      </c>
      <c r="Q702" s="55" t="s">
        <v>350</v>
      </c>
      <c r="R702" s="55">
        <v>4</v>
      </c>
      <c r="S702" s="74"/>
      <c r="T702" s="55" t="s">
        <v>739</v>
      </c>
      <c r="U702" s="73" t="s">
        <v>351</v>
      </c>
      <c r="V702" s="74">
        <v>44600</v>
      </c>
      <c r="W702" s="74">
        <v>44648</v>
      </c>
      <c r="X702" s="55">
        <v>10186818</v>
      </c>
      <c r="Y702" s="74" t="s">
        <v>132</v>
      </c>
      <c r="Z702" s="74"/>
      <c r="AB702" s="55" t="s">
        <v>132</v>
      </c>
      <c r="AC702" s="55" t="s">
        <v>132</v>
      </c>
    </row>
    <row r="703" spans="1:29" ht="13" x14ac:dyDescent="0.15">
      <c r="A703" s="72" t="str">
        <f t="shared" si="10"/>
        <v>Ofsted Social Care Provider Webpage</v>
      </c>
      <c r="B703" s="55">
        <v>2509731</v>
      </c>
      <c r="D703" s="55" t="s">
        <v>373</v>
      </c>
      <c r="E703" s="74">
        <v>43563</v>
      </c>
      <c r="F703" s="55" t="s">
        <v>344</v>
      </c>
      <c r="G703" s="55" t="s">
        <v>360</v>
      </c>
      <c r="H703" s="55" t="s">
        <v>360</v>
      </c>
      <c r="I703" s="55" t="s">
        <v>360</v>
      </c>
      <c r="J703" s="55" t="s">
        <v>360</v>
      </c>
      <c r="K703" s="55" t="s">
        <v>360</v>
      </c>
      <c r="L703" s="55" t="s">
        <v>360</v>
      </c>
      <c r="M703" s="55" t="s">
        <v>142</v>
      </c>
      <c r="N703" s="55" t="s">
        <v>142</v>
      </c>
      <c r="O703" s="55" t="s">
        <v>262</v>
      </c>
      <c r="P703" s="55" t="s">
        <v>850</v>
      </c>
      <c r="Q703" s="55" t="s">
        <v>350</v>
      </c>
      <c r="R703" s="55">
        <v>3</v>
      </c>
      <c r="S703" s="74"/>
      <c r="T703" s="55" t="s">
        <v>1448</v>
      </c>
      <c r="U703" s="73" t="s">
        <v>351</v>
      </c>
      <c r="V703" s="74">
        <v>44369</v>
      </c>
      <c r="W703" s="74">
        <v>44399</v>
      </c>
      <c r="X703" s="55">
        <v>10185601</v>
      </c>
      <c r="Y703" s="74" t="s">
        <v>132</v>
      </c>
      <c r="Z703" s="74"/>
      <c r="AB703" s="55" t="s">
        <v>132</v>
      </c>
      <c r="AC703" s="55" t="s">
        <v>132</v>
      </c>
    </row>
    <row r="704" spans="1:29" ht="13" x14ac:dyDescent="0.15">
      <c r="A704" s="72" t="str">
        <f t="shared" si="10"/>
        <v>Ofsted Social Care Provider Webpage</v>
      </c>
      <c r="B704" s="55">
        <v>2509800</v>
      </c>
      <c r="D704" s="55" t="s">
        <v>373</v>
      </c>
      <c r="E704" s="74">
        <v>43698</v>
      </c>
      <c r="F704" s="55" t="s">
        <v>344</v>
      </c>
      <c r="G704" s="55" t="s">
        <v>360</v>
      </c>
      <c r="H704" s="55" t="s">
        <v>360</v>
      </c>
      <c r="I704" s="55" t="s">
        <v>360</v>
      </c>
      <c r="J704" s="55" t="s">
        <v>360</v>
      </c>
      <c r="K704" s="55" t="s">
        <v>360</v>
      </c>
      <c r="L704" s="55" t="s">
        <v>360</v>
      </c>
      <c r="M704" s="55" t="s">
        <v>144</v>
      </c>
      <c r="N704" s="55" t="s">
        <v>144</v>
      </c>
      <c r="O704" s="55" t="s">
        <v>281</v>
      </c>
      <c r="P704" s="55" t="s">
        <v>725</v>
      </c>
      <c r="Q704" s="55" t="s">
        <v>350</v>
      </c>
      <c r="R704" s="55">
        <v>2</v>
      </c>
      <c r="S704" s="74"/>
      <c r="T704" s="55" t="s">
        <v>1449</v>
      </c>
      <c r="U704" s="73" t="s">
        <v>351</v>
      </c>
      <c r="V704" s="74">
        <v>43888</v>
      </c>
      <c r="W704" s="74">
        <v>44005</v>
      </c>
      <c r="X704" s="55">
        <v>10127446</v>
      </c>
      <c r="Y704" s="74" t="s">
        <v>132</v>
      </c>
      <c r="Z704" s="74"/>
      <c r="AB704" s="55" t="s">
        <v>132</v>
      </c>
      <c r="AC704" s="55" t="s">
        <v>132</v>
      </c>
    </row>
    <row r="705" spans="1:29" ht="13" x14ac:dyDescent="0.15">
      <c r="A705" s="72" t="str">
        <f t="shared" si="10"/>
        <v>Ofsted Social Care Provider Webpage</v>
      </c>
      <c r="B705" s="55">
        <v>2509802</v>
      </c>
      <c r="D705" s="55" t="s">
        <v>373</v>
      </c>
      <c r="E705" s="74">
        <v>43703</v>
      </c>
      <c r="F705" s="55" t="s">
        <v>344</v>
      </c>
      <c r="G705" s="55" t="s">
        <v>360</v>
      </c>
      <c r="H705" s="55" t="s">
        <v>360</v>
      </c>
      <c r="I705" s="55" t="s">
        <v>360</v>
      </c>
      <c r="J705" s="55" t="s">
        <v>360</v>
      </c>
      <c r="K705" s="55" t="s">
        <v>360</v>
      </c>
      <c r="L705" s="55" t="s">
        <v>360</v>
      </c>
      <c r="M705" s="55" t="s">
        <v>144</v>
      </c>
      <c r="N705" s="55" t="s">
        <v>144</v>
      </c>
      <c r="O705" s="55" t="s">
        <v>261</v>
      </c>
      <c r="P705" s="55" t="s">
        <v>792</v>
      </c>
      <c r="Q705" s="55" t="s">
        <v>350</v>
      </c>
      <c r="R705" s="55">
        <v>3</v>
      </c>
      <c r="S705" s="74"/>
      <c r="T705" s="55" t="s">
        <v>1449</v>
      </c>
      <c r="U705" s="73" t="s">
        <v>351</v>
      </c>
      <c r="V705" s="74">
        <v>44418</v>
      </c>
      <c r="W705" s="74">
        <v>44454</v>
      </c>
      <c r="X705" s="55">
        <v>10187033</v>
      </c>
      <c r="Y705" s="74" t="s">
        <v>132</v>
      </c>
      <c r="Z705" s="74"/>
      <c r="AB705" s="55" t="s">
        <v>132</v>
      </c>
      <c r="AC705" s="55" t="s">
        <v>132</v>
      </c>
    </row>
    <row r="706" spans="1:29" ht="13" x14ac:dyDescent="0.15">
      <c r="A706" s="72" t="str">
        <f t="shared" si="10"/>
        <v>Ofsted Social Care Provider Webpage</v>
      </c>
      <c r="B706" s="55">
        <v>2509838</v>
      </c>
      <c r="D706" s="55" t="s">
        <v>373</v>
      </c>
      <c r="E706" s="74">
        <v>43509</v>
      </c>
      <c r="F706" s="55" t="s">
        <v>344</v>
      </c>
      <c r="G706" s="55" t="s">
        <v>360</v>
      </c>
      <c r="H706" s="55" t="s">
        <v>360</v>
      </c>
      <c r="I706" s="55" t="s">
        <v>360</v>
      </c>
      <c r="J706" s="55" t="s">
        <v>360</v>
      </c>
      <c r="K706" s="55" t="s">
        <v>360</v>
      </c>
      <c r="L706" s="55" t="s">
        <v>360</v>
      </c>
      <c r="M706" s="55" t="s">
        <v>144</v>
      </c>
      <c r="N706" s="55" t="s">
        <v>144</v>
      </c>
      <c r="O706" s="55" t="s">
        <v>147</v>
      </c>
      <c r="P706" s="55" t="s">
        <v>807</v>
      </c>
      <c r="Q706" s="55" t="s">
        <v>350</v>
      </c>
      <c r="R706" s="55">
        <v>3</v>
      </c>
      <c r="S706" s="74"/>
      <c r="T706" s="55" t="s">
        <v>440</v>
      </c>
      <c r="U706" s="73" t="s">
        <v>351</v>
      </c>
      <c r="V706" s="74">
        <v>44315</v>
      </c>
      <c r="W706" s="74">
        <v>44358</v>
      </c>
      <c r="X706" s="55">
        <v>10187246</v>
      </c>
      <c r="Y706" s="74" t="s">
        <v>140</v>
      </c>
      <c r="Z706" s="74"/>
      <c r="AB706" s="55" t="s">
        <v>132</v>
      </c>
      <c r="AC706" s="55" t="s">
        <v>140</v>
      </c>
    </row>
    <row r="707" spans="1:29" ht="13" x14ac:dyDescent="0.15">
      <c r="A707" s="72" t="str">
        <f t="shared" si="10"/>
        <v>Ofsted Social Care Provider Webpage</v>
      </c>
      <c r="B707" s="55">
        <v>2509892</v>
      </c>
      <c r="D707" s="55" t="s">
        <v>373</v>
      </c>
      <c r="E707" s="74">
        <v>44028</v>
      </c>
      <c r="F707" s="55" t="s">
        <v>344</v>
      </c>
      <c r="G707" s="55" t="s">
        <v>360</v>
      </c>
      <c r="H707" s="55" t="s">
        <v>360</v>
      </c>
      <c r="I707" s="55" t="s">
        <v>360</v>
      </c>
      <c r="J707" s="55" t="s">
        <v>360</v>
      </c>
      <c r="K707" s="55" t="s">
        <v>360</v>
      </c>
      <c r="L707" s="55" t="s">
        <v>360</v>
      </c>
      <c r="M707" s="55" t="s">
        <v>378</v>
      </c>
      <c r="N707" s="55" t="s">
        <v>170</v>
      </c>
      <c r="O707" s="55" t="s">
        <v>178</v>
      </c>
      <c r="P707" s="55" t="s">
        <v>1450</v>
      </c>
      <c r="Q707" s="55" t="s">
        <v>350</v>
      </c>
      <c r="R707" s="55">
        <v>4</v>
      </c>
      <c r="S707" s="74"/>
      <c r="T707" s="55" t="s">
        <v>1236</v>
      </c>
      <c r="U707" s="73" t="s">
        <v>351</v>
      </c>
      <c r="V707" s="74">
        <v>44313</v>
      </c>
      <c r="W707" s="74">
        <v>44350</v>
      </c>
      <c r="X707" s="55">
        <v>10187272</v>
      </c>
      <c r="Y707" s="74" t="s">
        <v>130</v>
      </c>
      <c r="Z707" s="74"/>
      <c r="AB707" s="55" t="s">
        <v>130</v>
      </c>
      <c r="AC707" s="55" t="s">
        <v>130</v>
      </c>
    </row>
    <row r="708" spans="1:29" ht="13" x14ac:dyDescent="0.15">
      <c r="A708" s="72" t="str">
        <f t="shared" si="10"/>
        <v>Ofsted Social Care Provider Webpage</v>
      </c>
      <c r="B708" s="55">
        <v>2509967</v>
      </c>
      <c r="D708" s="55" t="s">
        <v>389</v>
      </c>
      <c r="E708" s="74">
        <v>43753</v>
      </c>
      <c r="F708" s="55" t="s">
        <v>344</v>
      </c>
      <c r="G708" s="55" t="s">
        <v>1451</v>
      </c>
      <c r="H708" s="55" t="s">
        <v>1452</v>
      </c>
      <c r="I708" s="55" t="s">
        <v>1453</v>
      </c>
      <c r="J708" s="55" t="s">
        <v>1179</v>
      </c>
      <c r="L708" s="55" t="s">
        <v>1454</v>
      </c>
      <c r="M708" s="55" t="s">
        <v>142</v>
      </c>
      <c r="N708" s="55" t="s">
        <v>142</v>
      </c>
      <c r="O708" s="55" t="s">
        <v>249</v>
      </c>
      <c r="P708" s="55" t="s">
        <v>1181</v>
      </c>
      <c r="Q708" s="55" t="s">
        <v>350</v>
      </c>
      <c r="R708" s="55"/>
      <c r="S708" s="74"/>
      <c r="T708" s="55" t="s">
        <v>1451</v>
      </c>
      <c r="U708" s="73" t="s">
        <v>351</v>
      </c>
      <c r="V708" s="74">
        <v>44585</v>
      </c>
      <c r="W708" s="74">
        <v>44634</v>
      </c>
      <c r="X708" s="55">
        <v>10183207</v>
      </c>
      <c r="Y708" s="74" t="s">
        <v>132</v>
      </c>
      <c r="Z708" s="74"/>
      <c r="AB708" s="55" t="s">
        <v>132</v>
      </c>
      <c r="AC708" s="55" t="s">
        <v>130</v>
      </c>
    </row>
    <row r="709" spans="1:29" ht="13" x14ac:dyDescent="0.15">
      <c r="A709" s="72" t="str">
        <f t="shared" si="10"/>
        <v>Ofsted Social Care Provider Webpage</v>
      </c>
      <c r="B709" s="55">
        <v>2509968</v>
      </c>
      <c r="D709" s="55" t="s">
        <v>693</v>
      </c>
      <c r="E709" s="74">
        <v>43420</v>
      </c>
      <c r="F709" s="55" t="s">
        <v>344</v>
      </c>
      <c r="G709" s="55" t="s">
        <v>1455</v>
      </c>
      <c r="H709" s="55" t="s">
        <v>1456</v>
      </c>
      <c r="I709" s="55" t="s">
        <v>354</v>
      </c>
      <c r="J709" s="55" t="s">
        <v>1457</v>
      </c>
      <c r="K709" s="55" t="s">
        <v>195</v>
      </c>
      <c r="L709" s="55" t="s">
        <v>1458</v>
      </c>
      <c r="M709" s="55" t="s">
        <v>142</v>
      </c>
      <c r="N709" s="55" t="s">
        <v>142</v>
      </c>
      <c r="O709" s="55" t="s">
        <v>195</v>
      </c>
      <c r="P709" s="55" t="s">
        <v>747</v>
      </c>
      <c r="Q709" s="55" t="s">
        <v>350</v>
      </c>
      <c r="R709" s="55">
        <v>56</v>
      </c>
      <c r="S709" s="74"/>
      <c r="U709" s="73" t="s">
        <v>351</v>
      </c>
      <c r="V709" s="74">
        <v>43605</v>
      </c>
      <c r="W709" s="74">
        <v>43635</v>
      </c>
      <c r="X709" s="55">
        <v>10103300</v>
      </c>
      <c r="Y709" s="74" t="s">
        <v>132</v>
      </c>
      <c r="Z709" s="74"/>
      <c r="AB709" s="55" t="s">
        <v>132</v>
      </c>
      <c r="AC709" s="55" t="s">
        <v>132</v>
      </c>
    </row>
    <row r="710" spans="1:29" ht="13" x14ac:dyDescent="0.15">
      <c r="A710" s="72" t="str">
        <f t="shared" ref="A710:A773" si="11">HYPERLINK(_xlfn.CONCAT("http://reports.ofsted.gov.uk/inspection-reports/find-inspection-report/provider/CARE/",B710),"Ofsted Social Care Provider Webpage")</f>
        <v>Ofsted Social Care Provider Webpage</v>
      </c>
      <c r="B710" s="55">
        <v>2510199</v>
      </c>
      <c r="D710" s="55" t="s">
        <v>373</v>
      </c>
      <c r="E710" s="74">
        <v>43617</v>
      </c>
      <c r="F710" s="55" t="s">
        <v>344</v>
      </c>
      <c r="G710" s="55" t="s">
        <v>360</v>
      </c>
      <c r="H710" s="55" t="s">
        <v>360</v>
      </c>
      <c r="I710" s="55" t="s">
        <v>360</v>
      </c>
      <c r="J710" s="55" t="s">
        <v>360</v>
      </c>
      <c r="K710" s="55" t="s">
        <v>360</v>
      </c>
      <c r="L710" s="55" t="s">
        <v>360</v>
      </c>
      <c r="M710" s="55" t="s">
        <v>142</v>
      </c>
      <c r="N710" s="55" t="s">
        <v>142</v>
      </c>
      <c r="O710" s="55" t="s">
        <v>278</v>
      </c>
      <c r="P710" s="55" t="s">
        <v>1042</v>
      </c>
      <c r="Q710" s="55" t="s">
        <v>362</v>
      </c>
      <c r="R710" s="55">
        <v>4</v>
      </c>
      <c r="S710" s="74"/>
      <c r="T710" s="55" t="s">
        <v>432</v>
      </c>
      <c r="U710" s="73" t="s">
        <v>351</v>
      </c>
      <c r="V710" s="74">
        <v>44396</v>
      </c>
      <c r="W710" s="74">
        <v>44467</v>
      </c>
      <c r="X710" s="55">
        <v>10186720</v>
      </c>
      <c r="Y710" s="74" t="s">
        <v>132</v>
      </c>
      <c r="Z710" s="74"/>
      <c r="AB710" s="55" t="s">
        <v>130</v>
      </c>
      <c r="AC710" s="55" t="s">
        <v>132</v>
      </c>
    </row>
    <row r="711" spans="1:29" ht="13" x14ac:dyDescent="0.15">
      <c r="A711" s="72" t="str">
        <f t="shared" si="11"/>
        <v>Ofsted Social Care Provider Webpage</v>
      </c>
      <c r="B711" s="55">
        <v>2510201</v>
      </c>
      <c r="D711" s="55" t="s">
        <v>373</v>
      </c>
      <c r="E711" s="74">
        <v>43592</v>
      </c>
      <c r="F711" s="55" t="s">
        <v>344</v>
      </c>
      <c r="G711" s="55" t="s">
        <v>360</v>
      </c>
      <c r="H711" s="55" t="s">
        <v>360</v>
      </c>
      <c r="I711" s="55" t="s">
        <v>360</v>
      </c>
      <c r="J711" s="55" t="s">
        <v>360</v>
      </c>
      <c r="K711" s="55" t="s">
        <v>360</v>
      </c>
      <c r="L711" s="55" t="s">
        <v>360</v>
      </c>
      <c r="M711" s="55" t="s">
        <v>144</v>
      </c>
      <c r="N711" s="55" t="s">
        <v>144</v>
      </c>
      <c r="O711" s="55" t="s">
        <v>145</v>
      </c>
      <c r="P711" s="55" t="s">
        <v>525</v>
      </c>
      <c r="Q711" s="55" t="s">
        <v>350</v>
      </c>
      <c r="R711" s="55">
        <v>2</v>
      </c>
      <c r="S711" s="74"/>
      <c r="T711" s="55" t="s">
        <v>1065</v>
      </c>
      <c r="U711" s="73" t="s">
        <v>351</v>
      </c>
      <c r="V711" s="74">
        <v>44599</v>
      </c>
      <c r="W711" s="74">
        <v>44641</v>
      </c>
      <c r="X711" s="55">
        <v>10185622</v>
      </c>
      <c r="Y711" s="74" t="s">
        <v>132</v>
      </c>
      <c r="Z711" s="74"/>
      <c r="AB711" s="55" t="s">
        <v>132</v>
      </c>
      <c r="AC711" s="55" t="s">
        <v>132</v>
      </c>
    </row>
    <row r="712" spans="1:29" ht="13" x14ac:dyDescent="0.15">
      <c r="A712" s="72" t="str">
        <f t="shared" si="11"/>
        <v>Ofsted Social Care Provider Webpage</v>
      </c>
      <c r="B712" s="55">
        <v>2510315</v>
      </c>
      <c r="D712" s="55" t="s">
        <v>373</v>
      </c>
      <c r="E712" s="74">
        <v>43626</v>
      </c>
      <c r="F712" s="55" t="s">
        <v>344</v>
      </c>
      <c r="G712" s="55" t="s">
        <v>360</v>
      </c>
      <c r="H712" s="55" t="s">
        <v>360</v>
      </c>
      <c r="I712" s="55" t="s">
        <v>360</v>
      </c>
      <c r="J712" s="55" t="s">
        <v>360</v>
      </c>
      <c r="K712" s="55" t="s">
        <v>360</v>
      </c>
      <c r="L712" s="55" t="s">
        <v>360</v>
      </c>
      <c r="M712" s="55" t="s">
        <v>138</v>
      </c>
      <c r="N712" s="55" t="s">
        <v>138</v>
      </c>
      <c r="O712" s="55" t="s">
        <v>238</v>
      </c>
      <c r="P712" s="55" t="s">
        <v>238</v>
      </c>
      <c r="Q712" s="55" t="s">
        <v>350</v>
      </c>
      <c r="R712" s="55">
        <v>3</v>
      </c>
      <c r="S712" s="74"/>
      <c r="T712" s="55" t="s">
        <v>1079</v>
      </c>
      <c r="U712" s="73" t="s">
        <v>351</v>
      </c>
      <c r="V712" s="74">
        <v>44453</v>
      </c>
      <c r="W712" s="74">
        <v>44480</v>
      </c>
      <c r="X712" s="55">
        <v>10186495</v>
      </c>
      <c r="Y712" s="74" t="s">
        <v>132</v>
      </c>
      <c r="Z712" s="74"/>
      <c r="AB712" s="55" t="s">
        <v>132</v>
      </c>
      <c r="AC712" s="55" t="s">
        <v>132</v>
      </c>
    </row>
    <row r="713" spans="1:29" ht="13" x14ac:dyDescent="0.15">
      <c r="A713" s="72" t="str">
        <f t="shared" si="11"/>
        <v>Ofsted Social Care Provider Webpage</v>
      </c>
      <c r="B713" s="55">
        <v>2510323</v>
      </c>
      <c r="D713" s="55" t="s">
        <v>373</v>
      </c>
      <c r="E713" s="74">
        <v>43549</v>
      </c>
      <c r="F713" s="55" t="s">
        <v>344</v>
      </c>
      <c r="G713" s="55" t="s">
        <v>360</v>
      </c>
      <c r="H713" s="55" t="s">
        <v>360</v>
      </c>
      <c r="I713" s="55" t="s">
        <v>360</v>
      </c>
      <c r="J713" s="55" t="s">
        <v>360</v>
      </c>
      <c r="K713" s="55" t="s">
        <v>360</v>
      </c>
      <c r="L713" s="55" t="s">
        <v>360</v>
      </c>
      <c r="M713" s="55" t="s">
        <v>138</v>
      </c>
      <c r="N713" s="55" t="s">
        <v>138</v>
      </c>
      <c r="O713" s="55" t="s">
        <v>196</v>
      </c>
      <c r="P713" s="55" t="s">
        <v>441</v>
      </c>
      <c r="Q713" s="55" t="s">
        <v>362</v>
      </c>
      <c r="R713" s="55">
        <v>5</v>
      </c>
      <c r="S713" s="74"/>
      <c r="T713" s="55" t="s">
        <v>1459</v>
      </c>
      <c r="U713" s="73" t="s">
        <v>351</v>
      </c>
      <c r="V713" s="74">
        <v>44334</v>
      </c>
      <c r="W713" s="74">
        <v>44365</v>
      </c>
      <c r="X713" s="55">
        <v>10187601</v>
      </c>
      <c r="Y713" s="74" t="s">
        <v>140</v>
      </c>
      <c r="Z713" s="74"/>
      <c r="AB713" s="55" t="s">
        <v>140</v>
      </c>
      <c r="AC713" s="55" t="s">
        <v>132</v>
      </c>
    </row>
    <row r="714" spans="1:29" ht="13" x14ac:dyDescent="0.15">
      <c r="A714" s="72" t="str">
        <f t="shared" si="11"/>
        <v>Ofsted Social Care Provider Webpage</v>
      </c>
      <c r="B714" s="55">
        <v>2510324</v>
      </c>
      <c r="D714" s="55" t="s">
        <v>373</v>
      </c>
      <c r="E714" s="74">
        <v>43537</v>
      </c>
      <c r="F714" s="55" t="s">
        <v>344</v>
      </c>
      <c r="G714" s="55" t="s">
        <v>360</v>
      </c>
      <c r="H714" s="55" t="s">
        <v>360</v>
      </c>
      <c r="I714" s="55" t="s">
        <v>360</v>
      </c>
      <c r="J714" s="55" t="s">
        <v>360</v>
      </c>
      <c r="K714" s="55" t="s">
        <v>360</v>
      </c>
      <c r="L714" s="55" t="s">
        <v>360</v>
      </c>
      <c r="M714" s="55" t="s">
        <v>150</v>
      </c>
      <c r="N714" s="55" t="s">
        <v>150</v>
      </c>
      <c r="O714" s="55" t="s">
        <v>199</v>
      </c>
      <c r="P714" s="55" t="s">
        <v>199</v>
      </c>
      <c r="Q714" s="55" t="s">
        <v>350</v>
      </c>
      <c r="R714" s="55">
        <v>4</v>
      </c>
      <c r="S714" s="74"/>
      <c r="T714" s="55" t="s">
        <v>1460</v>
      </c>
      <c r="U714" s="73" t="s">
        <v>351</v>
      </c>
      <c r="V714" s="74">
        <v>43753</v>
      </c>
      <c r="W714" s="74">
        <v>43783</v>
      </c>
      <c r="X714" s="55">
        <v>10110867</v>
      </c>
      <c r="Y714" s="74" t="s">
        <v>132</v>
      </c>
      <c r="Z714" s="74"/>
      <c r="AB714" s="55" t="s">
        <v>132</v>
      </c>
      <c r="AC714" s="55" t="s">
        <v>132</v>
      </c>
    </row>
    <row r="715" spans="1:29" ht="13" x14ac:dyDescent="0.15">
      <c r="A715" s="72" t="str">
        <f t="shared" si="11"/>
        <v>Ofsted Social Care Provider Webpage</v>
      </c>
      <c r="B715" s="55">
        <v>2510328</v>
      </c>
      <c r="D715" s="55" t="s">
        <v>373</v>
      </c>
      <c r="E715" s="74">
        <v>43585</v>
      </c>
      <c r="F715" s="55" t="s">
        <v>344</v>
      </c>
      <c r="G715" s="55" t="s">
        <v>360</v>
      </c>
      <c r="H715" s="55" t="s">
        <v>360</v>
      </c>
      <c r="I715" s="55" t="s">
        <v>360</v>
      </c>
      <c r="J715" s="55" t="s">
        <v>360</v>
      </c>
      <c r="K715" s="55" t="s">
        <v>360</v>
      </c>
      <c r="L715" s="55" t="s">
        <v>360</v>
      </c>
      <c r="M715" s="55" t="s">
        <v>142</v>
      </c>
      <c r="N715" s="55" t="s">
        <v>142</v>
      </c>
      <c r="O715" s="55" t="s">
        <v>141</v>
      </c>
      <c r="P715" s="55" t="s">
        <v>641</v>
      </c>
      <c r="Q715" s="55" t="s">
        <v>350</v>
      </c>
      <c r="R715" s="55">
        <v>3</v>
      </c>
      <c r="S715" s="74"/>
      <c r="T715" s="55" t="s">
        <v>1461</v>
      </c>
      <c r="U715" s="73" t="s">
        <v>351</v>
      </c>
      <c r="V715" s="74">
        <v>44587</v>
      </c>
      <c r="W715" s="74">
        <v>44641</v>
      </c>
      <c r="X715" s="55">
        <v>10219489</v>
      </c>
      <c r="Y715" s="74" t="s">
        <v>130</v>
      </c>
      <c r="Z715" s="74"/>
      <c r="AB715" s="55" t="s">
        <v>130</v>
      </c>
      <c r="AC715" s="55" t="s">
        <v>130</v>
      </c>
    </row>
    <row r="716" spans="1:29" ht="13" x14ac:dyDescent="0.15">
      <c r="A716" s="72" t="str">
        <f t="shared" si="11"/>
        <v>Ofsted Social Care Provider Webpage</v>
      </c>
      <c r="B716" s="55">
        <v>2510604</v>
      </c>
      <c r="D716" s="55" t="s">
        <v>373</v>
      </c>
      <c r="E716" s="74">
        <v>43650</v>
      </c>
      <c r="F716" s="55" t="s">
        <v>344</v>
      </c>
      <c r="G716" s="55" t="s">
        <v>360</v>
      </c>
      <c r="H716" s="55" t="s">
        <v>360</v>
      </c>
      <c r="I716" s="55" t="s">
        <v>360</v>
      </c>
      <c r="J716" s="55" t="s">
        <v>360</v>
      </c>
      <c r="K716" s="55" t="s">
        <v>360</v>
      </c>
      <c r="L716" s="55" t="s">
        <v>360</v>
      </c>
      <c r="M716" s="55" t="s">
        <v>144</v>
      </c>
      <c r="N716" s="55" t="s">
        <v>144</v>
      </c>
      <c r="O716" s="55" t="s">
        <v>157</v>
      </c>
      <c r="P716" s="55" t="s">
        <v>1462</v>
      </c>
      <c r="Q716" s="55" t="s">
        <v>350</v>
      </c>
      <c r="R716" s="55">
        <v>4</v>
      </c>
      <c r="S716" s="74"/>
      <c r="T716" s="55" t="s">
        <v>1218</v>
      </c>
      <c r="U716" s="73" t="s">
        <v>351</v>
      </c>
      <c r="V716" s="74">
        <v>44327</v>
      </c>
      <c r="W716" s="74">
        <v>44357</v>
      </c>
      <c r="X716" s="55">
        <v>10185952</v>
      </c>
      <c r="Y716" s="74" t="s">
        <v>130</v>
      </c>
      <c r="Z716" s="74"/>
      <c r="AB716" s="55" t="s">
        <v>130</v>
      </c>
      <c r="AC716" s="55" t="s">
        <v>130</v>
      </c>
    </row>
    <row r="717" spans="1:29" ht="13" x14ac:dyDescent="0.15">
      <c r="A717" s="72" t="str">
        <f t="shared" si="11"/>
        <v>Ofsted Social Care Provider Webpage</v>
      </c>
      <c r="B717" s="55">
        <v>2510737</v>
      </c>
      <c r="D717" s="55" t="s">
        <v>373</v>
      </c>
      <c r="E717" s="74">
        <v>43602</v>
      </c>
      <c r="F717" s="55" t="s">
        <v>344</v>
      </c>
      <c r="G717" s="55" t="s">
        <v>360</v>
      </c>
      <c r="H717" s="55" t="s">
        <v>360</v>
      </c>
      <c r="I717" s="55" t="s">
        <v>360</v>
      </c>
      <c r="J717" s="55" t="s">
        <v>360</v>
      </c>
      <c r="K717" s="55" t="s">
        <v>360</v>
      </c>
      <c r="L717" s="55" t="s">
        <v>360</v>
      </c>
      <c r="M717" s="55" t="s">
        <v>144</v>
      </c>
      <c r="N717" s="55" t="s">
        <v>144</v>
      </c>
      <c r="O717" s="55" t="s">
        <v>250</v>
      </c>
      <c r="P717" s="55" t="s">
        <v>759</v>
      </c>
      <c r="Q717" s="55" t="s">
        <v>350</v>
      </c>
      <c r="R717" s="55">
        <v>2</v>
      </c>
      <c r="S717" s="74"/>
      <c r="T717" s="55" t="s">
        <v>1463</v>
      </c>
      <c r="U717" s="73" t="s">
        <v>351</v>
      </c>
      <c r="V717" s="74">
        <v>44622</v>
      </c>
      <c r="W717" s="74">
        <v>44673</v>
      </c>
      <c r="X717" s="55">
        <v>10187626</v>
      </c>
      <c r="Y717" s="74" t="s">
        <v>132</v>
      </c>
      <c r="Z717" s="74"/>
      <c r="AB717" s="55" t="s">
        <v>132</v>
      </c>
      <c r="AC717" s="55" t="s">
        <v>132</v>
      </c>
    </row>
    <row r="718" spans="1:29" ht="13" x14ac:dyDescent="0.15">
      <c r="A718" s="72" t="str">
        <f t="shared" si="11"/>
        <v>Ofsted Social Care Provider Webpage</v>
      </c>
      <c r="B718" s="55">
        <v>2510847</v>
      </c>
      <c r="D718" s="55" t="s">
        <v>373</v>
      </c>
      <c r="E718" s="74">
        <v>43572</v>
      </c>
      <c r="F718" s="55" t="s">
        <v>344</v>
      </c>
      <c r="G718" s="55" t="s">
        <v>360</v>
      </c>
      <c r="H718" s="55" t="s">
        <v>360</v>
      </c>
      <c r="I718" s="55" t="s">
        <v>360</v>
      </c>
      <c r="J718" s="55" t="s">
        <v>360</v>
      </c>
      <c r="K718" s="55" t="s">
        <v>360</v>
      </c>
      <c r="L718" s="55" t="s">
        <v>360</v>
      </c>
      <c r="M718" s="55" t="s">
        <v>144</v>
      </c>
      <c r="N718" s="55" t="s">
        <v>144</v>
      </c>
      <c r="O718" s="55" t="s">
        <v>209</v>
      </c>
      <c r="P718" s="55" t="s">
        <v>364</v>
      </c>
      <c r="Q718" s="55" t="s">
        <v>350</v>
      </c>
      <c r="R718" s="55">
        <v>1</v>
      </c>
      <c r="S718" s="74"/>
      <c r="T718" s="55" t="s">
        <v>1279</v>
      </c>
      <c r="U718" s="73" t="s">
        <v>351</v>
      </c>
      <c r="V718" s="74">
        <v>44594</v>
      </c>
      <c r="W718" s="74">
        <v>44649</v>
      </c>
      <c r="X718" s="55">
        <v>10186883</v>
      </c>
      <c r="Y718" s="74" t="s">
        <v>146</v>
      </c>
      <c r="Z718" s="74"/>
      <c r="AB718" s="55" t="s">
        <v>146</v>
      </c>
      <c r="AC718" s="55" t="s">
        <v>146</v>
      </c>
    </row>
    <row r="719" spans="1:29" ht="13" x14ac:dyDescent="0.15">
      <c r="A719" s="72" t="str">
        <f t="shared" si="11"/>
        <v>Ofsted Social Care Provider Webpage</v>
      </c>
      <c r="B719" s="55">
        <v>2511289</v>
      </c>
      <c r="D719" s="55" t="s">
        <v>373</v>
      </c>
      <c r="E719" s="74">
        <v>43486</v>
      </c>
      <c r="F719" s="55" t="s">
        <v>344</v>
      </c>
      <c r="G719" s="55" t="s">
        <v>360</v>
      </c>
      <c r="H719" s="55" t="s">
        <v>360</v>
      </c>
      <c r="I719" s="55" t="s">
        <v>360</v>
      </c>
      <c r="J719" s="55" t="s">
        <v>360</v>
      </c>
      <c r="K719" s="55" t="s">
        <v>360</v>
      </c>
      <c r="L719" s="55" t="s">
        <v>360</v>
      </c>
      <c r="M719" s="55" t="s">
        <v>136</v>
      </c>
      <c r="N719" s="55" t="s">
        <v>136</v>
      </c>
      <c r="O719" s="55" t="s">
        <v>239</v>
      </c>
      <c r="P719" s="55" t="s">
        <v>738</v>
      </c>
      <c r="Q719" s="55" t="s">
        <v>350</v>
      </c>
      <c r="R719" s="55">
        <v>1</v>
      </c>
      <c r="S719" s="74"/>
      <c r="T719" s="55" t="s">
        <v>385</v>
      </c>
      <c r="U719" s="73" t="s">
        <v>351</v>
      </c>
      <c r="V719" s="74">
        <v>44377</v>
      </c>
      <c r="W719" s="74">
        <v>44412</v>
      </c>
      <c r="X719" s="55">
        <v>10186653</v>
      </c>
      <c r="Y719" s="74" t="s">
        <v>132</v>
      </c>
      <c r="Z719" s="74"/>
      <c r="AB719" s="55" t="s">
        <v>132</v>
      </c>
      <c r="AC719" s="55" t="s">
        <v>132</v>
      </c>
    </row>
    <row r="720" spans="1:29" ht="13" x14ac:dyDescent="0.15">
      <c r="A720" s="72" t="str">
        <f t="shared" si="11"/>
        <v>Ofsted Social Care Provider Webpage</v>
      </c>
      <c r="B720" s="55">
        <v>2511429</v>
      </c>
      <c r="D720" s="55" t="s">
        <v>389</v>
      </c>
      <c r="E720" s="74">
        <v>43748</v>
      </c>
      <c r="F720" s="55" t="s">
        <v>344</v>
      </c>
      <c r="G720" s="55" t="s">
        <v>1464</v>
      </c>
      <c r="H720" s="55" t="s">
        <v>1465</v>
      </c>
      <c r="I720" s="55" t="s">
        <v>1466</v>
      </c>
      <c r="J720" s="55" t="s">
        <v>1467</v>
      </c>
      <c r="K720" s="55" t="s">
        <v>183</v>
      </c>
      <c r="L720" s="55" t="s">
        <v>1468</v>
      </c>
      <c r="M720" s="55" t="s">
        <v>129</v>
      </c>
      <c r="N720" s="55" t="s">
        <v>129</v>
      </c>
      <c r="O720" s="55" t="s">
        <v>128</v>
      </c>
      <c r="P720" s="55" t="s">
        <v>1467</v>
      </c>
      <c r="Q720" s="55" t="s">
        <v>350</v>
      </c>
      <c r="R720" s="55"/>
      <c r="S720" s="74"/>
      <c r="T720" s="55" t="s">
        <v>1464</v>
      </c>
      <c r="U720" s="73"/>
      <c r="W720" s="74"/>
      <c r="Y720" s="74"/>
      <c r="Z720" s="74"/>
    </row>
    <row r="721" spans="1:29" ht="13" x14ac:dyDescent="0.15">
      <c r="A721" s="72" t="str">
        <f t="shared" si="11"/>
        <v>Ofsted Social Care Provider Webpage</v>
      </c>
      <c r="B721" s="55">
        <v>2511614</v>
      </c>
      <c r="D721" s="55" t="s">
        <v>373</v>
      </c>
      <c r="E721" s="74">
        <v>43516</v>
      </c>
      <c r="F721" s="55" t="s">
        <v>344</v>
      </c>
      <c r="G721" s="55" t="s">
        <v>360</v>
      </c>
      <c r="H721" s="55" t="s">
        <v>360</v>
      </c>
      <c r="I721" s="55" t="s">
        <v>360</v>
      </c>
      <c r="J721" s="55" t="s">
        <v>360</v>
      </c>
      <c r="K721" s="55" t="s">
        <v>360</v>
      </c>
      <c r="L721" s="55" t="s">
        <v>360</v>
      </c>
      <c r="M721" s="55" t="s">
        <v>144</v>
      </c>
      <c r="N721" s="55" t="s">
        <v>144</v>
      </c>
      <c r="O721" s="55" t="s">
        <v>209</v>
      </c>
      <c r="P721" s="55" t="s">
        <v>545</v>
      </c>
      <c r="Q721" s="55" t="s">
        <v>350</v>
      </c>
      <c r="R721" s="55">
        <v>3</v>
      </c>
      <c r="S721" s="74"/>
      <c r="T721" s="55" t="s">
        <v>778</v>
      </c>
      <c r="U721" s="73" t="s">
        <v>351</v>
      </c>
      <c r="V721" s="74">
        <v>44370</v>
      </c>
      <c r="W721" s="74">
        <v>44432</v>
      </c>
      <c r="X721" s="55">
        <v>10186237</v>
      </c>
      <c r="Y721" s="74" t="s">
        <v>132</v>
      </c>
      <c r="Z721" s="74"/>
      <c r="AB721" s="55" t="s">
        <v>132</v>
      </c>
      <c r="AC721" s="55" t="s">
        <v>130</v>
      </c>
    </row>
    <row r="722" spans="1:29" ht="13" x14ac:dyDescent="0.15">
      <c r="A722" s="72" t="str">
        <f t="shared" si="11"/>
        <v>Ofsted Social Care Provider Webpage</v>
      </c>
      <c r="B722" s="55">
        <v>2511662</v>
      </c>
      <c r="D722" s="55" t="s">
        <v>373</v>
      </c>
      <c r="E722" s="74">
        <v>43612</v>
      </c>
      <c r="F722" s="55" t="s">
        <v>344</v>
      </c>
      <c r="G722" s="55" t="s">
        <v>360</v>
      </c>
      <c r="H722" s="55" t="s">
        <v>360</v>
      </c>
      <c r="I722" s="55" t="s">
        <v>360</v>
      </c>
      <c r="J722" s="55" t="s">
        <v>360</v>
      </c>
      <c r="K722" s="55" t="s">
        <v>360</v>
      </c>
      <c r="L722" s="55" t="s">
        <v>360</v>
      </c>
      <c r="M722" s="55" t="s">
        <v>144</v>
      </c>
      <c r="N722" s="55" t="s">
        <v>144</v>
      </c>
      <c r="O722" s="55" t="s">
        <v>209</v>
      </c>
      <c r="P722" s="55" t="s">
        <v>629</v>
      </c>
      <c r="Q722" s="55" t="s">
        <v>350</v>
      </c>
      <c r="R722" s="55">
        <v>2</v>
      </c>
      <c r="S722" s="74"/>
      <c r="T722" s="55" t="s">
        <v>485</v>
      </c>
      <c r="U722" s="73" t="s">
        <v>351</v>
      </c>
      <c r="V722" s="74">
        <v>44593</v>
      </c>
      <c r="W722" s="74">
        <v>44638</v>
      </c>
      <c r="X722" s="55">
        <v>10186673</v>
      </c>
      <c r="Y722" s="74" t="s">
        <v>132</v>
      </c>
      <c r="Z722" s="74"/>
      <c r="AB722" s="55" t="s">
        <v>132</v>
      </c>
      <c r="AC722" s="55" t="s">
        <v>132</v>
      </c>
    </row>
    <row r="723" spans="1:29" ht="13" x14ac:dyDescent="0.15">
      <c r="A723" s="72" t="str">
        <f t="shared" si="11"/>
        <v>Ofsted Social Care Provider Webpage</v>
      </c>
      <c r="B723" s="55">
        <v>2512897</v>
      </c>
      <c r="D723" s="55" t="s">
        <v>451</v>
      </c>
      <c r="E723" s="74">
        <v>43558</v>
      </c>
      <c r="F723" s="55" t="s">
        <v>344</v>
      </c>
      <c r="G723" s="55" t="s">
        <v>1469</v>
      </c>
      <c r="H723" s="55" t="s">
        <v>1470</v>
      </c>
      <c r="I723" s="55" t="s">
        <v>354</v>
      </c>
      <c r="J723" s="55" t="s">
        <v>1471</v>
      </c>
      <c r="L723" s="55" t="s">
        <v>1472</v>
      </c>
      <c r="M723" s="55" t="s">
        <v>144</v>
      </c>
      <c r="N723" s="55" t="s">
        <v>144</v>
      </c>
      <c r="O723" s="55" t="s">
        <v>271</v>
      </c>
      <c r="P723" s="55" t="s">
        <v>870</v>
      </c>
      <c r="Q723" s="55" t="s">
        <v>350</v>
      </c>
      <c r="R723" s="55">
        <v>7</v>
      </c>
      <c r="S723" s="74"/>
      <c r="T723" s="55" t="s">
        <v>1259</v>
      </c>
      <c r="U723" s="73" t="s">
        <v>351</v>
      </c>
      <c r="V723" s="74">
        <v>43865</v>
      </c>
      <c r="W723" s="74">
        <v>43887</v>
      </c>
      <c r="X723" s="55">
        <v>10134087</v>
      </c>
      <c r="Y723" s="74" t="s">
        <v>132</v>
      </c>
      <c r="Z723" s="74"/>
      <c r="AB723" s="55" t="s">
        <v>132</v>
      </c>
      <c r="AC723" s="55" t="s">
        <v>132</v>
      </c>
    </row>
    <row r="724" spans="1:29" ht="13" x14ac:dyDescent="0.15">
      <c r="A724" s="72" t="str">
        <f t="shared" si="11"/>
        <v>Ofsted Social Care Provider Webpage</v>
      </c>
      <c r="B724" s="55">
        <v>2512898</v>
      </c>
      <c r="D724" s="55" t="s">
        <v>373</v>
      </c>
      <c r="E724" s="74">
        <v>43543</v>
      </c>
      <c r="F724" s="55" t="s">
        <v>344</v>
      </c>
      <c r="G724" s="55" t="s">
        <v>360</v>
      </c>
      <c r="H724" s="55" t="s">
        <v>360</v>
      </c>
      <c r="I724" s="55" t="s">
        <v>360</v>
      </c>
      <c r="J724" s="55" t="s">
        <v>360</v>
      </c>
      <c r="K724" s="55" t="s">
        <v>360</v>
      </c>
      <c r="L724" s="55" t="s">
        <v>360</v>
      </c>
      <c r="M724" s="55" t="s">
        <v>172</v>
      </c>
      <c r="N724" s="55" t="s">
        <v>172</v>
      </c>
      <c r="O724" s="55" t="s">
        <v>171</v>
      </c>
      <c r="P724" s="55" t="s">
        <v>983</v>
      </c>
      <c r="Q724" s="55" t="s">
        <v>350</v>
      </c>
      <c r="R724" s="55">
        <v>2</v>
      </c>
      <c r="S724" s="74"/>
      <c r="T724" s="55" t="s">
        <v>1473</v>
      </c>
      <c r="U724" s="73" t="s">
        <v>351</v>
      </c>
      <c r="V724" s="74">
        <v>44523</v>
      </c>
      <c r="W724" s="74">
        <v>44565</v>
      </c>
      <c r="X724" s="55">
        <v>10187301</v>
      </c>
      <c r="Y724" s="74" t="s">
        <v>132</v>
      </c>
      <c r="Z724" s="74"/>
      <c r="AB724" s="55" t="s">
        <v>132</v>
      </c>
      <c r="AC724" s="55" t="s">
        <v>140</v>
      </c>
    </row>
    <row r="725" spans="1:29" ht="13" x14ac:dyDescent="0.15">
      <c r="A725" s="72" t="str">
        <f t="shared" si="11"/>
        <v>Ofsted Social Care Provider Webpage</v>
      </c>
      <c r="B725" s="55">
        <v>2513339</v>
      </c>
      <c r="D725" s="55" t="s">
        <v>373</v>
      </c>
      <c r="E725" s="74">
        <v>43493</v>
      </c>
      <c r="F725" s="55" t="s">
        <v>344</v>
      </c>
      <c r="G725" s="55" t="s">
        <v>360</v>
      </c>
      <c r="H725" s="55" t="s">
        <v>360</v>
      </c>
      <c r="I725" s="55" t="s">
        <v>360</v>
      </c>
      <c r="J725" s="55" t="s">
        <v>360</v>
      </c>
      <c r="K725" s="55" t="s">
        <v>360</v>
      </c>
      <c r="L725" s="55" t="s">
        <v>360</v>
      </c>
      <c r="M725" s="55" t="s">
        <v>138</v>
      </c>
      <c r="N725" s="55" t="s">
        <v>138</v>
      </c>
      <c r="O725" s="55" t="s">
        <v>161</v>
      </c>
      <c r="P725" s="55" t="s">
        <v>822</v>
      </c>
      <c r="Q725" s="55" t="s">
        <v>380</v>
      </c>
      <c r="R725" s="55">
        <v>5</v>
      </c>
      <c r="S725" s="74"/>
      <c r="T725" s="55" t="s">
        <v>1474</v>
      </c>
      <c r="U725" s="73" t="s">
        <v>351</v>
      </c>
      <c r="V725" s="74">
        <v>44538</v>
      </c>
      <c r="W725" s="74">
        <v>44581</v>
      </c>
      <c r="X725" s="55">
        <v>10185030</v>
      </c>
      <c r="Y725" s="74" t="s">
        <v>132</v>
      </c>
      <c r="Z725" s="74"/>
      <c r="AB725" s="55" t="s">
        <v>132</v>
      </c>
      <c r="AC725" s="55" t="s">
        <v>132</v>
      </c>
    </row>
    <row r="726" spans="1:29" ht="13" x14ac:dyDescent="0.15">
      <c r="A726" s="72" t="str">
        <f t="shared" si="11"/>
        <v>Ofsted Social Care Provider Webpage</v>
      </c>
      <c r="B726" s="55">
        <v>2513340</v>
      </c>
      <c r="D726" s="55" t="s">
        <v>373</v>
      </c>
      <c r="E726" s="74">
        <v>43843</v>
      </c>
      <c r="F726" s="55" t="s">
        <v>344</v>
      </c>
      <c r="G726" s="55" t="s">
        <v>360</v>
      </c>
      <c r="H726" s="55" t="s">
        <v>360</v>
      </c>
      <c r="I726" s="55" t="s">
        <v>360</v>
      </c>
      <c r="J726" s="55" t="s">
        <v>360</v>
      </c>
      <c r="K726" s="55" t="s">
        <v>360</v>
      </c>
      <c r="L726" s="55" t="s">
        <v>360</v>
      </c>
      <c r="M726" s="55" t="s">
        <v>142</v>
      </c>
      <c r="N726" s="55" t="s">
        <v>142</v>
      </c>
      <c r="O726" s="55" t="s">
        <v>292</v>
      </c>
      <c r="P726" s="55" t="s">
        <v>1162</v>
      </c>
      <c r="Q726" s="55" t="s">
        <v>350</v>
      </c>
      <c r="R726" s="55">
        <v>2</v>
      </c>
      <c r="S726" s="74"/>
      <c r="T726" s="55" t="s">
        <v>843</v>
      </c>
      <c r="U726" s="73" t="s">
        <v>351</v>
      </c>
      <c r="V726" s="74">
        <v>44572</v>
      </c>
      <c r="W726" s="74">
        <v>44613</v>
      </c>
      <c r="X726" s="55">
        <v>10213742</v>
      </c>
      <c r="Y726" s="74" t="s">
        <v>130</v>
      </c>
      <c r="Z726" s="74"/>
      <c r="AB726" s="55" t="s">
        <v>130</v>
      </c>
      <c r="AC726" s="55" t="s">
        <v>130</v>
      </c>
    </row>
    <row r="727" spans="1:29" ht="13" x14ac:dyDescent="0.15">
      <c r="A727" s="72" t="str">
        <f t="shared" si="11"/>
        <v>Ofsted Social Care Provider Webpage</v>
      </c>
      <c r="B727" s="55">
        <v>2513341</v>
      </c>
      <c r="D727" s="55" t="s">
        <v>373</v>
      </c>
      <c r="E727" s="74">
        <v>43683</v>
      </c>
      <c r="F727" s="55" t="s">
        <v>344</v>
      </c>
      <c r="G727" s="55" t="s">
        <v>360</v>
      </c>
      <c r="H727" s="55" t="s">
        <v>360</v>
      </c>
      <c r="I727" s="55" t="s">
        <v>360</v>
      </c>
      <c r="J727" s="55" t="s">
        <v>360</v>
      </c>
      <c r="K727" s="55" t="s">
        <v>360</v>
      </c>
      <c r="L727" s="55" t="s">
        <v>360</v>
      </c>
      <c r="M727" s="55" t="s">
        <v>142</v>
      </c>
      <c r="N727" s="55" t="s">
        <v>142</v>
      </c>
      <c r="O727" s="55" t="s">
        <v>195</v>
      </c>
      <c r="P727" s="55" t="s">
        <v>747</v>
      </c>
      <c r="Q727" s="55" t="s">
        <v>350</v>
      </c>
      <c r="R727" s="55">
        <v>5</v>
      </c>
      <c r="S727" s="74"/>
      <c r="T727" s="55" t="s">
        <v>843</v>
      </c>
      <c r="U727" s="73" t="s">
        <v>351</v>
      </c>
      <c r="V727" s="74">
        <v>44384</v>
      </c>
      <c r="W727" s="74">
        <v>44435</v>
      </c>
      <c r="X727" s="55">
        <v>10185534</v>
      </c>
      <c r="Y727" s="74" t="s">
        <v>140</v>
      </c>
      <c r="Z727" s="74"/>
      <c r="AB727" s="55" t="s">
        <v>140</v>
      </c>
      <c r="AC727" s="55" t="s">
        <v>140</v>
      </c>
    </row>
    <row r="728" spans="1:29" ht="13" x14ac:dyDescent="0.15">
      <c r="A728" s="72" t="str">
        <f t="shared" si="11"/>
        <v>Ofsted Social Care Provider Webpage</v>
      </c>
      <c r="B728" s="55">
        <v>2514259</v>
      </c>
      <c r="D728" s="55" t="s">
        <v>373</v>
      </c>
      <c r="E728" s="74">
        <v>43550</v>
      </c>
      <c r="F728" s="55" t="s">
        <v>344</v>
      </c>
      <c r="G728" s="55" t="s">
        <v>360</v>
      </c>
      <c r="H728" s="55" t="s">
        <v>360</v>
      </c>
      <c r="I728" s="55" t="s">
        <v>360</v>
      </c>
      <c r="J728" s="55" t="s">
        <v>360</v>
      </c>
      <c r="K728" s="55" t="s">
        <v>360</v>
      </c>
      <c r="L728" s="55" t="s">
        <v>360</v>
      </c>
      <c r="M728" s="55" t="s">
        <v>150</v>
      </c>
      <c r="N728" s="55" t="s">
        <v>150</v>
      </c>
      <c r="O728" s="55" t="s">
        <v>190</v>
      </c>
      <c r="P728" s="55" t="s">
        <v>749</v>
      </c>
      <c r="Q728" s="55" t="s">
        <v>350</v>
      </c>
      <c r="R728" s="55">
        <v>2</v>
      </c>
      <c r="S728" s="74"/>
      <c r="T728" s="55" t="s">
        <v>610</v>
      </c>
      <c r="U728" s="73" t="s">
        <v>351</v>
      </c>
      <c r="V728" s="74">
        <v>43669</v>
      </c>
      <c r="W728" s="74">
        <v>43692</v>
      </c>
      <c r="X728" s="55">
        <v>10105489</v>
      </c>
      <c r="Y728" s="74" t="s">
        <v>132</v>
      </c>
      <c r="Z728" s="74"/>
      <c r="AB728" s="55" t="s">
        <v>132</v>
      </c>
      <c r="AC728" s="55" t="s">
        <v>130</v>
      </c>
    </row>
    <row r="729" spans="1:29" ht="13" x14ac:dyDescent="0.15">
      <c r="A729" s="72" t="str">
        <f t="shared" si="11"/>
        <v>Ofsted Social Care Provider Webpage</v>
      </c>
      <c r="B729" s="55">
        <v>2514770</v>
      </c>
      <c r="D729" s="55" t="s">
        <v>373</v>
      </c>
      <c r="E729" s="74">
        <v>43572</v>
      </c>
      <c r="F729" s="55" t="s">
        <v>344</v>
      </c>
      <c r="G729" s="55" t="s">
        <v>360</v>
      </c>
      <c r="H729" s="55" t="s">
        <v>360</v>
      </c>
      <c r="I729" s="55" t="s">
        <v>360</v>
      </c>
      <c r="J729" s="55" t="s">
        <v>360</v>
      </c>
      <c r="K729" s="55" t="s">
        <v>360</v>
      </c>
      <c r="L729" s="55" t="s">
        <v>360</v>
      </c>
      <c r="M729" s="55" t="s">
        <v>378</v>
      </c>
      <c r="N729" s="55" t="s">
        <v>134</v>
      </c>
      <c r="O729" s="55" t="s">
        <v>158</v>
      </c>
      <c r="P729" s="55" t="s">
        <v>480</v>
      </c>
      <c r="Q729" s="55" t="s">
        <v>350</v>
      </c>
      <c r="R729" s="55">
        <v>2</v>
      </c>
      <c r="S729" s="74"/>
      <c r="T729" s="55" t="s">
        <v>711</v>
      </c>
      <c r="U729" s="73"/>
      <c r="W729" s="74"/>
      <c r="Y729" s="74"/>
      <c r="Z729" s="74"/>
    </row>
    <row r="730" spans="1:29" ht="13" x14ac:dyDescent="0.15">
      <c r="A730" s="72" t="str">
        <f t="shared" si="11"/>
        <v>Ofsted Social Care Provider Webpage</v>
      </c>
      <c r="B730" s="55">
        <v>2515370</v>
      </c>
      <c r="D730" s="55" t="s">
        <v>373</v>
      </c>
      <c r="E730" s="74">
        <v>43578</v>
      </c>
      <c r="F730" s="55" t="s">
        <v>344</v>
      </c>
      <c r="G730" s="55" t="s">
        <v>360</v>
      </c>
      <c r="H730" s="55" t="s">
        <v>360</v>
      </c>
      <c r="I730" s="55" t="s">
        <v>360</v>
      </c>
      <c r="J730" s="55" t="s">
        <v>360</v>
      </c>
      <c r="K730" s="55" t="s">
        <v>360</v>
      </c>
      <c r="L730" s="55" t="s">
        <v>360</v>
      </c>
      <c r="M730" s="55" t="s">
        <v>150</v>
      </c>
      <c r="N730" s="55" t="s">
        <v>150</v>
      </c>
      <c r="O730" s="55" t="s">
        <v>237</v>
      </c>
      <c r="P730" s="55" t="s">
        <v>990</v>
      </c>
      <c r="Q730" s="55" t="s">
        <v>350</v>
      </c>
      <c r="R730" s="55">
        <v>2</v>
      </c>
      <c r="S730" s="74"/>
      <c r="T730" s="55" t="s">
        <v>962</v>
      </c>
      <c r="U730" s="73" t="s">
        <v>351</v>
      </c>
      <c r="V730" s="74">
        <v>44586</v>
      </c>
      <c r="W730" s="74">
        <v>44634</v>
      </c>
      <c r="X730" s="55">
        <v>10214365</v>
      </c>
      <c r="Y730" s="74" t="s">
        <v>146</v>
      </c>
      <c r="Z730" s="74"/>
      <c r="AB730" s="55" t="s">
        <v>146</v>
      </c>
      <c r="AC730" s="55" t="s">
        <v>146</v>
      </c>
    </row>
    <row r="731" spans="1:29" ht="13" x14ac:dyDescent="0.15">
      <c r="A731" s="72" t="str">
        <f t="shared" si="11"/>
        <v>Ofsted Social Care Provider Webpage</v>
      </c>
      <c r="B731" s="55">
        <v>2515380</v>
      </c>
      <c r="D731" s="55" t="s">
        <v>373</v>
      </c>
      <c r="E731" s="74">
        <v>43507</v>
      </c>
      <c r="F731" s="55" t="s">
        <v>344</v>
      </c>
      <c r="G731" s="55" t="s">
        <v>360</v>
      </c>
      <c r="H731" s="55" t="s">
        <v>360</v>
      </c>
      <c r="I731" s="55" t="s">
        <v>360</v>
      </c>
      <c r="J731" s="55" t="s">
        <v>360</v>
      </c>
      <c r="K731" s="55" t="s">
        <v>360</v>
      </c>
      <c r="L731" s="55" t="s">
        <v>360</v>
      </c>
      <c r="M731" s="55" t="s">
        <v>172</v>
      </c>
      <c r="N731" s="55" t="s">
        <v>172</v>
      </c>
      <c r="O731" s="55" t="s">
        <v>284</v>
      </c>
      <c r="P731" s="55" t="s">
        <v>1475</v>
      </c>
      <c r="Q731" s="55" t="s">
        <v>350</v>
      </c>
      <c r="R731" s="55">
        <v>2</v>
      </c>
      <c r="S731" s="74"/>
      <c r="T731" s="55" t="s">
        <v>962</v>
      </c>
      <c r="U731" s="73" t="s">
        <v>351</v>
      </c>
      <c r="V731" s="74">
        <v>44586</v>
      </c>
      <c r="W731" s="74">
        <v>44630</v>
      </c>
      <c r="X731" s="55">
        <v>10186061</v>
      </c>
      <c r="Y731" s="74" t="s">
        <v>130</v>
      </c>
      <c r="Z731" s="74"/>
      <c r="AB731" s="55" t="s">
        <v>130</v>
      </c>
      <c r="AC731" s="55" t="s">
        <v>130</v>
      </c>
    </row>
    <row r="732" spans="1:29" ht="13" x14ac:dyDescent="0.15">
      <c r="A732" s="72" t="str">
        <f t="shared" si="11"/>
        <v>Ofsted Social Care Provider Webpage</v>
      </c>
      <c r="B732" s="55">
        <v>2515609</v>
      </c>
      <c r="D732" s="55" t="s">
        <v>373</v>
      </c>
      <c r="E732" s="74">
        <v>43517</v>
      </c>
      <c r="F732" s="55" t="s">
        <v>344</v>
      </c>
      <c r="G732" s="55" t="s">
        <v>360</v>
      </c>
      <c r="H732" s="55" t="s">
        <v>360</v>
      </c>
      <c r="I732" s="55" t="s">
        <v>360</v>
      </c>
      <c r="J732" s="55" t="s">
        <v>360</v>
      </c>
      <c r="K732" s="55" t="s">
        <v>360</v>
      </c>
      <c r="L732" s="55" t="s">
        <v>360</v>
      </c>
      <c r="M732" s="55" t="s">
        <v>142</v>
      </c>
      <c r="N732" s="55" t="s">
        <v>142</v>
      </c>
      <c r="O732" s="55" t="s">
        <v>166</v>
      </c>
      <c r="P732" s="55" t="s">
        <v>1476</v>
      </c>
      <c r="Q732" s="55" t="s">
        <v>350</v>
      </c>
      <c r="R732" s="55">
        <v>2</v>
      </c>
      <c r="S732" s="74"/>
      <c r="T732" s="55" t="s">
        <v>1164</v>
      </c>
      <c r="U732" s="73" t="s">
        <v>351</v>
      </c>
      <c r="V732" s="74">
        <v>44481</v>
      </c>
      <c r="W732" s="74">
        <v>44522</v>
      </c>
      <c r="X732" s="55">
        <v>10185961</v>
      </c>
      <c r="Y732" s="74" t="s">
        <v>130</v>
      </c>
      <c r="Z732" s="74"/>
      <c r="AB732" s="55" t="s">
        <v>130</v>
      </c>
      <c r="AC732" s="55" t="s">
        <v>146</v>
      </c>
    </row>
    <row r="733" spans="1:29" ht="13" x14ac:dyDescent="0.15">
      <c r="A733" s="72" t="str">
        <f t="shared" si="11"/>
        <v>Ofsted Social Care Provider Webpage</v>
      </c>
      <c r="B733" s="55">
        <v>2515613</v>
      </c>
      <c r="D733" s="55" t="s">
        <v>373</v>
      </c>
      <c r="E733" s="74">
        <v>43562</v>
      </c>
      <c r="F733" s="55" t="s">
        <v>344</v>
      </c>
      <c r="G733" s="55" t="s">
        <v>360</v>
      </c>
      <c r="H733" s="55" t="s">
        <v>360</v>
      </c>
      <c r="I733" s="55" t="s">
        <v>360</v>
      </c>
      <c r="J733" s="55" t="s">
        <v>360</v>
      </c>
      <c r="K733" s="55" t="s">
        <v>360</v>
      </c>
      <c r="L733" s="55" t="s">
        <v>360</v>
      </c>
      <c r="M733" s="55" t="s">
        <v>142</v>
      </c>
      <c r="N733" s="55" t="s">
        <v>142</v>
      </c>
      <c r="O733" s="55" t="s">
        <v>262</v>
      </c>
      <c r="P733" s="55" t="s">
        <v>488</v>
      </c>
      <c r="Q733" s="55" t="s">
        <v>350</v>
      </c>
      <c r="R733" s="55">
        <v>2</v>
      </c>
      <c r="S733" s="74"/>
      <c r="T733" s="55" t="s">
        <v>1307</v>
      </c>
      <c r="U733" s="73" t="s">
        <v>351</v>
      </c>
      <c r="V733" s="74">
        <v>44425</v>
      </c>
      <c r="W733" s="74">
        <v>44467</v>
      </c>
      <c r="X733" s="55">
        <v>10186347</v>
      </c>
      <c r="Y733" s="74" t="s">
        <v>132</v>
      </c>
      <c r="Z733" s="74"/>
      <c r="AB733" s="55" t="s">
        <v>132</v>
      </c>
      <c r="AC733" s="55" t="s">
        <v>132</v>
      </c>
    </row>
    <row r="734" spans="1:29" ht="13" x14ac:dyDescent="0.15">
      <c r="A734" s="72" t="str">
        <f t="shared" si="11"/>
        <v>Ofsted Social Care Provider Webpage</v>
      </c>
      <c r="B734" s="55">
        <v>2516349</v>
      </c>
      <c r="D734" s="55" t="s">
        <v>373</v>
      </c>
      <c r="E734" s="74">
        <v>43690</v>
      </c>
      <c r="F734" s="55" t="s">
        <v>344</v>
      </c>
      <c r="G734" s="55" t="s">
        <v>360</v>
      </c>
      <c r="H734" s="55" t="s">
        <v>360</v>
      </c>
      <c r="I734" s="55" t="s">
        <v>360</v>
      </c>
      <c r="J734" s="55" t="s">
        <v>360</v>
      </c>
      <c r="K734" s="55" t="s">
        <v>360</v>
      </c>
      <c r="L734" s="55" t="s">
        <v>360</v>
      </c>
      <c r="M734" s="55" t="s">
        <v>144</v>
      </c>
      <c r="N734" s="55" t="s">
        <v>144</v>
      </c>
      <c r="O734" s="55" t="s">
        <v>145</v>
      </c>
      <c r="P734" s="55" t="s">
        <v>525</v>
      </c>
      <c r="Q734" s="55" t="s">
        <v>350</v>
      </c>
      <c r="R734" s="55">
        <v>2</v>
      </c>
      <c r="S734" s="74"/>
      <c r="T734" s="55" t="s">
        <v>1065</v>
      </c>
      <c r="U734" s="73" t="s">
        <v>351</v>
      </c>
      <c r="V734" s="74">
        <v>44628</v>
      </c>
      <c r="W734" s="74">
        <v>44670</v>
      </c>
      <c r="X734" s="55">
        <v>10187471</v>
      </c>
      <c r="Y734" s="74" t="s">
        <v>132</v>
      </c>
      <c r="Z734" s="74"/>
      <c r="AB734" s="55" t="s">
        <v>132</v>
      </c>
      <c r="AC734" s="55" t="s">
        <v>132</v>
      </c>
    </row>
    <row r="735" spans="1:29" ht="13" x14ac:dyDescent="0.15">
      <c r="A735" s="72" t="str">
        <f t="shared" si="11"/>
        <v>Ofsted Social Care Provider Webpage</v>
      </c>
      <c r="B735" s="55">
        <v>2516553</v>
      </c>
      <c r="D735" s="55" t="s">
        <v>373</v>
      </c>
      <c r="E735" s="74">
        <v>43587</v>
      </c>
      <c r="F735" s="55" t="s">
        <v>344</v>
      </c>
      <c r="G735" s="55" t="s">
        <v>360</v>
      </c>
      <c r="H735" s="55" t="s">
        <v>360</v>
      </c>
      <c r="I735" s="55" t="s">
        <v>360</v>
      </c>
      <c r="J735" s="55" t="s">
        <v>360</v>
      </c>
      <c r="K735" s="55" t="s">
        <v>360</v>
      </c>
      <c r="L735" s="55" t="s">
        <v>360</v>
      </c>
      <c r="M735" s="55" t="s">
        <v>142</v>
      </c>
      <c r="N735" s="55" t="s">
        <v>142</v>
      </c>
      <c r="O735" s="55" t="s">
        <v>141</v>
      </c>
      <c r="P735" s="55" t="s">
        <v>573</v>
      </c>
      <c r="Q735" s="55" t="s">
        <v>350</v>
      </c>
      <c r="R735" s="55">
        <v>3</v>
      </c>
      <c r="S735" s="74"/>
      <c r="T735" s="55" t="s">
        <v>642</v>
      </c>
      <c r="U735" s="73" t="s">
        <v>351</v>
      </c>
      <c r="V735" s="74">
        <v>44460</v>
      </c>
      <c r="W735" s="74">
        <v>44515</v>
      </c>
      <c r="X735" s="55">
        <v>10185463</v>
      </c>
      <c r="Y735" s="74" t="s">
        <v>132</v>
      </c>
      <c r="Z735" s="74"/>
      <c r="AB735" s="55" t="s">
        <v>132</v>
      </c>
      <c r="AC735" s="55" t="s">
        <v>130</v>
      </c>
    </row>
    <row r="736" spans="1:29" ht="13" x14ac:dyDescent="0.15">
      <c r="A736" s="72" t="str">
        <f t="shared" si="11"/>
        <v>Ofsted Social Care Provider Webpage</v>
      </c>
      <c r="B736" s="55">
        <v>2516984</v>
      </c>
      <c r="D736" s="55" t="s">
        <v>373</v>
      </c>
      <c r="E736" s="74">
        <v>43621</v>
      </c>
      <c r="F736" s="55" t="s">
        <v>344</v>
      </c>
      <c r="G736" s="55" t="s">
        <v>360</v>
      </c>
      <c r="H736" s="55" t="s">
        <v>360</v>
      </c>
      <c r="I736" s="55" t="s">
        <v>360</v>
      </c>
      <c r="J736" s="55" t="s">
        <v>360</v>
      </c>
      <c r="K736" s="55" t="s">
        <v>360</v>
      </c>
      <c r="L736" s="55" t="s">
        <v>360</v>
      </c>
      <c r="M736" s="55" t="s">
        <v>142</v>
      </c>
      <c r="N736" s="55" t="s">
        <v>142</v>
      </c>
      <c r="O736" s="55" t="s">
        <v>293</v>
      </c>
      <c r="P736" s="55" t="s">
        <v>984</v>
      </c>
      <c r="Q736" s="55" t="s">
        <v>851</v>
      </c>
      <c r="R736" s="55">
        <v>5</v>
      </c>
      <c r="S736" s="74" t="s">
        <v>332</v>
      </c>
      <c r="T736" s="55" t="s">
        <v>1477</v>
      </c>
      <c r="U736" s="73" t="s">
        <v>351</v>
      </c>
      <c r="V736" s="74">
        <v>44355</v>
      </c>
      <c r="W736" s="74">
        <v>44379</v>
      </c>
      <c r="X736" s="55">
        <v>10186967</v>
      </c>
      <c r="Y736" s="74" t="s">
        <v>132</v>
      </c>
      <c r="Z736" s="74"/>
      <c r="AB736" s="55" t="s">
        <v>132</v>
      </c>
      <c r="AC736" s="55" t="s">
        <v>132</v>
      </c>
    </row>
    <row r="737" spans="1:29" ht="13" x14ac:dyDescent="0.15">
      <c r="A737" s="72" t="str">
        <f t="shared" si="11"/>
        <v>Ofsted Social Care Provider Webpage</v>
      </c>
      <c r="B737" s="55">
        <v>2517046</v>
      </c>
      <c r="D737" s="55" t="s">
        <v>373</v>
      </c>
      <c r="E737" s="74">
        <v>43497</v>
      </c>
      <c r="F737" s="55" t="s">
        <v>344</v>
      </c>
      <c r="G737" s="55" t="s">
        <v>360</v>
      </c>
      <c r="H737" s="55" t="s">
        <v>360</v>
      </c>
      <c r="I737" s="55" t="s">
        <v>360</v>
      </c>
      <c r="J737" s="55" t="s">
        <v>360</v>
      </c>
      <c r="K737" s="55" t="s">
        <v>360</v>
      </c>
      <c r="L737" s="55" t="s">
        <v>360</v>
      </c>
      <c r="M737" s="55" t="s">
        <v>378</v>
      </c>
      <c r="N737" s="55" t="s">
        <v>134</v>
      </c>
      <c r="O737" s="55" t="s">
        <v>204</v>
      </c>
      <c r="P737" s="55" t="s">
        <v>1478</v>
      </c>
      <c r="Q737" s="55" t="s">
        <v>380</v>
      </c>
      <c r="R737" s="55">
        <v>1</v>
      </c>
      <c r="S737" s="74"/>
      <c r="T737" s="55" t="s">
        <v>1479</v>
      </c>
      <c r="U737" s="73" t="s">
        <v>351</v>
      </c>
      <c r="V737" s="74">
        <v>44369</v>
      </c>
      <c r="W737" s="74">
        <v>44404</v>
      </c>
      <c r="X737" s="55">
        <v>10185046</v>
      </c>
      <c r="Y737" s="74" t="s">
        <v>140</v>
      </c>
      <c r="Z737" s="74"/>
      <c r="AB737" s="55" t="s">
        <v>132</v>
      </c>
      <c r="AC737" s="55" t="s">
        <v>140</v>
      </c>
    </row>
    <row r="738" spans="1:29" ht="13" x14ac:dyDescent="0.15">
      <c r="A738" s="72" t="str">
        <f t="shared" si="11"/>
        <v>Ofsted Social Care Provider Webpage</v>
      </c>
      <c r="B738" s="55">
        <v>2517054</v>
      </c>
      <c r="D738" s="55" t="s">
        <v>373</v>
      </c>
      <c r="E738" s="74">
        <v>43872</v>
      </c>
      <c r="F738" s="55" t="s">
        <v>344</v>
      </c>
      <c r="G738" s="55" t="s">
        <v>360</v>
      </c>
      <c r="H738" s="55" t="s">
        <v>360</v>
      </c>
      <c r="I738" s="55" t="s">
        <v>360</v>
      </c>
      <c r="J738" s="55" t="s">
        <v>360</v>
      </c>
      <c r="K738" s="55" t="s">
        <v>360</v>
      </c>
      <c r="L738" s="55" t="s">
        <v>360</v>
      </c>
      <c r="M738" s="55" t="s">
        <v>129</v>
      </c>
      <c r="N738" s="55" t="s">
        <v>129</v>
      </c>
      <c r="O738" s="55" t="s">
        <v>213</v>
      </c>
      <c r="P738" s="55" t="s">
        <v>1160</v>
      </c>
      <c r="Q738" s="55" t="s">
        <v>350</v>
      </c>
      <c r="R738" s="55">
        <v>3</v>
      </c>
      <c r="S738" s="74"/>
      <c r="T738" s="55" t="s">
        <v>1480</v>
      </c>
      <c r="U738" s="73" t="s">
        <v>351</v>
      </c>
      <c r="V738" s="74">
        <v>44474</v>
      </c>
      <c r="W738" s="74">
        <v>44525</v>
      </c>
      <c r="X738" s="55">
        <v>10186189</v>
      </c>
      <c r="Y738" s="74" t="s">
        <v>132</v>
      </c>
      <c r="Z738" s="74"/>
      <c r="AB738" s="55" t="s">
        <v>132</v>
      </c>
      <c r="AC738" s="55" t="s">
        <v>132</v>
      </c>
    </row>
    <row r="739" spans="1:29" ht="13" x14ac:dyDescent="0.15">
      <c r="A739" s="72" t="str">
        <f t="shared" si="11"/>
        <v>Ofsted Social Care Provider Webpage</v>
      </c>
      <c r="B739" s="55">
        <v>2517184</v>
      </c>
      <c r="D739" s="55" t="s">
        <v>373</v>
      </c>
      <c r="E739" s="74">
        <v>43545</v>
      </c>
      <c r="F739" s="55" t="s">
        <v>344</v>
      </c>
      <c r="G739" s="55" t="s">
        <v>360</v>
      </c>
      <c r="H739" s="55" t="s">
        <v>360</v>
      </c>
      <c r="I739" s="55" t="s">
        <v>360</v>
      </c>
      <c r="J739" s="55" t="s">
        <v>360</v>
      </c>
      <c r="K739" s="55" t="s">
        <v>360</v>
      </c>
      <c r="L739" s="55" t="s">
        <v>360</v>
      </c>
      <c r="M739" s="55" t="s">
        <v>378</v>
      </c>
      <c r="N739" s="55" t="s">
        <v>170</v>
      </c>
      <c r="O739" s="55" t="s">
        <v>178</v>
      </c>
      <c r="P739" s="55" t="s">
        <v>434</v>
      </c>
      <c r="Q739" s="55" t="s">
        <v>350</v>
      </c>
      <c r="R739" s="55">
        <v>2</v>
      </c>
      <c r="S739" s="74"/>
      <c r="T739" s="55" t="s">
        <v>1481</v>
      </c>
      <c r="U739" s="73" t="s">
        <v>351</v>
      </c>
      <c r="V739" s="74">
        <v>44573</v>
      </c>
      <c r="W739" s="74">
        <v>44603</v>
      </c>
      <c r="X739" s="55">
        <v>10186076</v>
      </c>
      <c r="Y739" s="74" t="s">
        <v>132</v>
      </c>
      <c r="Z739" s="74"/>
      <c r="AB739" s="55" t="s">
        <v>132</v>
      </c>
      <c r="AC739" s="55" t="s">
        <v>140</v>
      </c>
    </row>
    <row r="740" spans="1:29" ht="13" x14ac:dyDescent="0.15">
      <c r="A740" s="72" t="str">
        <f t="shared" si="11"/>
        <v>Ofsted Social Care Provider Webpage</v>
      </c>
      <c r="B740" s="55">
        <v>2517299</v>
      </c>
      <c r="D740" s="55" t="s">
        <v>373</v>
      </c>
      <c r="E740" s="74">
        <v>43589</v>
      </c>
      <c r="F740" s="55" t="s">
        <v>344</v>
      </c>
      <c r="G740" s="55" t="s">
        <v>360</v>
      </c>
      <c r="H740" s="55" t="s">
        <v>360</v>
      </c>
      <c r="I740" s="55" t="s">
        <v>360</v>
      </c>
      <c r="J740" s="55" t="s">
        <v>360</v>
      </c>
      <c r="K740" s="55" t="s">
        <v>360</v>
      </c>
      <c r="L740" s="55" t="s">
        <v>360</v>
      </c>
      <c r="M740" s="55" t="s">
        <v>150</v>
      </c>
      <c r="N740" s="55" t="s">
        <v>150</v>
      </c>
      <c r="O740" s="55" t="s">
        <v>156</v>
      </c>
      <c r="P740" s="55" t="s">
        <v>1277</v>
      </c>
      <c r="Q740" s="55" t="s">
        <v>380</v>
      </c>
      <c r="R740" s="55">
        <v>5</v>
      </c>
      <c r="S740" s="74"/>
      <c r="T740" s="55" t="s">
        <v>1278</v>
      </c>
      <c r="U740" s="73" t="s">
        <v>351</v>
      </c>
      <c r="V740" s="74">
        <v>44475</v>
      </c>
      <c r="W740" s="74">
        <v>44526</v>
      </c>
      <c r="X740" s="55">
        <v>10187485</v>
      </c>
      <c r="Y740" s="74" t="s">
        <v>132</v>
      </c>
      <c r="Z740" s="74"/>
      <c r="AB740" s="55" t="s">
        <v>132</v>
      </c>
      <c r="AC740" s="55" t="s">
        <v>132</v>
      </c>
    </row>
    <row r="741" spans="1:29" ht="13" x14ac:dyDescent="0.15">
      <c r="A741" s="72" t="str">
        <f t="shared" si="11"/>
        <v>Ofsted Social Care Provider Webpage</v>
      </c>
      <c r="B741" s="55">
        <v>2517429</v>
      </c>
      <c r="D741" s="55" t="s">
        <v>373</v>
      </c>
      <c r="E741" s="74">
        <v>43729</v>
      </c>
      <c r="F741" s="55" t="s">
        <v>344</v>
      </c>
      <c r="G741" s="55" t="s">
        <v>360</v>
      </c>
      <c r="H741" s="55" t="s">
        <v>360</v>
      </c>
      <c r="I741" s="55" t="s">
        <v>360</v>
      </c>
      <c r="J741" s="55" t="s">
        <v>360</v>
      </c>
      <c r="K741" s="55" t="s">
        <v>360</v>
      </c>
      <c r="L741" s="55" t="s">
        <v>360</v>
      </c>
      <c r="M741" s="55" t="s">
        <v>144</v>
      </c>
      <c r="N741" s="55" t="s">
        <v>144</v>
      </c>
      <c r="O741" s="55" t="s">
        <v>145</v>
      </c>
      <c r="P741" s="55" t="s">
        <v>525</v>
      </c>
      <c r="Q741" s="55" t="s">
        <v>350</v>
      </c>
      <c r="R741" s="55">
        <v>2</v>
      </c>
      <c r="S741" s="74"/>
      <c r="T741" s="55" t="s">
        <v>1482</v>
      </c>
      <c r="U741" s="73" t="s">
        <v>351</v>
      </c>
      <c r="V741" s="74">
        <v>44397</v>
      </c>
      <c r="W741" s="74">
        <v>44434</v>
      </c>
      <c r="X741" s="55">
        <v>10186908</v>
      </c>
      <c r="Y741" s="74" t="s">
        <v>140</v>
      </c>
      <c r="Z741" s="74"/>
      <c r="AB741" s="55" t="s">
        <v>140</v>
      </c>
      <c r="AC741" s="55" t="s">
        <v>140</v>
      </c>
    </row>
    <row r="742" spans="1:29" ht="13" x14ac:dyDescent="0.15">
      <c r="A742" s="72" t="str">
        <f t="shared" si="11"/>
        <v>Ofsted Social Care Provider Webpage</v>
      </c>
      <c r="B742" s="55">
        <v>2517443</v>
      </c>
      <c r="D742" s="55" t="s">
        <v>373</v>
      </c>
      <c r="E742" s="74">
        <v>43872</v>
      </c>
      <c r="F742" s="55" t="s">
        <v>344</v>
      </c>
      <c r="G742" s="55" t="s">
        <v>360</v>
      </c>
      <c r="H742" s="55" t="s">
        <v>360</v>
      </c>
      <c r="I742" s="55" t="s">
        <v>360</v>
      </c>
      <c r="J742" s="55" t="s">
        <v>360</v>
      </c>
      <c r="K742" s="55" t="s">
        <v>360</v>
      </c>
      <c r="L742" s="55" t="s">
        <v>360</v>
      </c>
      <c r="M742" s="55" t="s">
        <v>378</v>
      </c>
      <c r="N742" s="55" t="s">
        <v>134</v>
      </c>
      <c r="O742" s="55" t="s">
        <v>180</v>
      </c>
      <c r="P742" s="55" t="s">
        <v>1483</v>
      </c>
      <c r="Q742" s="55" t="s">
        <v>350</v>
      </c>
      <c r="R742" s="55">
        <v>1</v>
      </c>
      <c r="S742" s="74"/>
      <c r="T742" s="55" t="s">
        <v>1484</v>
      </c>
      <c r="U742" s="73" t="s">
        <v>351</v>
      </c>
      <c r="V742" s="74">
        <v>44510</v>
      </c>
      <c r="W742" s="74">
        <v>44546</v>
      </c>
      <c r="X742" s="55">
        <v>10186023</v>
      </c>
      <c r="Y742" s="74" t="s">
        <v>130</v>
      </c>
      <c r="Z742" s="74"/>
      <c r="AB742" s="55" t="s">
        <v>130</v>
      </c>
      <c r="AC742" s="55" t="s">
        <v>130</v>
      </c>
    </row>
    <row r="743" spans="1:29" ht="13" x14ac:dyDescent="0.15">
      <c r="A743" s="72" t="str">
        <f t="shared" si="11"/>
        <v>Ofsted Social Care Provider Webpage</v>
      </c>
      <c r="B743" s="55">
        <v>2519081</v>
      </c>
      <c r="D743" s="55" t="s">
        <v>373</v>
      </c>
      <c r="E743" s="74">
        <v>43622</v>
      </c>
      <c r="F743" s="55" t="s">
        <v>344</v>
      </c>
      <c r="G743" s="55" t="s">
        <v>360</v>
      </c>
      <c r="H743" s="55" t="s">
        <v>360</v>
      </c>
      <c r="I743" s="55" t="s">
        <v>360</v>
      </c>
      <c r="J743" s="55" t="s">
        <v>360</v>
      </c>
      <c r="K743" s="55" t="s">
        <v>360</v>
      </c>
      <c r="L743" s="55" t="s">
        <v>360</v>
      </c>
      <c r="M743" s="55" t="s">
        <v>378</v>
      </c>
      <c r="N743" s="55" t="s">
        <v>170</v>
      </c>
      <c r="O743" s="55" t="s">
        <v>184</v>
      </c>
      <c r="P743" s="55" t="s">
        <v>676</v>
      </c>
      <c r="Q743" s="55" t="s">
        <v>350</v>
      </c>
      <c r="R743" s="55">
        <v>5</v>
      </c>
      <c r="S743" s="74"/>
      <c r="T743" s="55" t="s">
        <v>1485</v>
      </c>
      <c r="U743" s="73" t="s">
        <v>351</v>
      </c>
      <c r="V743" s="74">
        <v>44369</v>
      </c>
      <c r="W743" s="74">
        <v>44398</v>
      </c>
      <c r="X743" s="55">
        <v>10186425</v>
      </c>
      <c r="Y743" s="74" t="s">
        <v>132</v>
      </c>
      <c r="Z743" s="74"/>
      <c r="AB743" s="55" t="s">
        <v>132</v>
      </c>
      <c r="AC743" s="55" t="s">
        <v>132</v>
      </c>
    </row>
    <row r="744" spans="1:29" ht="13" x14ac:dyDescent="0.15">
      <c r="A744" s="72" t="str">
        <f t="shared" si="11"/>
        <v>Ofsted Social Care Provider Webpage</v>
      </c>
      <c r="B744" s="55">
        <v>2519196</v>
      </c>
      <c r="D744" s="55" t="s">
        <v>373</v>
      </c>
      <c r="E744" s="74">
        <v>43761</v>
      </c>
      <c r="F744" s="55" t="s">
        <v>344</v>
      </c>
      <c r="G744" s="55" t="s">
        <v>360</v>
      </c>
      <c r="H744" s="55" t="s">
        <v>360</v>
      </c>
      <c r="I744" s="55" t="s">
        <v>360</v>
      </c>
      <c r="J744" s="55" t="s">
        <v>360</v>
      </c>
      <c r="K744" s="55" t="s">
        <v>360</v>
      </c>
      <c r="L744" s="55" t="s">
        <v>360</v>
      </c>
      <c r="M744" s="55" t="s">
        <v>144</v>
      </c>
      <c r="N744" s="55" t="s">
        <v>144</v>
      </c>
      <c r="O744" s="55" t="s">
        <v>209</v>
      </c>
      <c r="P744" s="55" t="s">
        <v>555</v>
      </c>
      <c r="Q744" s="55" t="s">
        <v>350</v>
      </c>
      <c r="R744" s="55">
        <v>3</v>
      </c>
      <c r="S744" s="74"/>
      <c r="T744" s="55" t="s">
        <v>1486</v>
      </c>
      <c r="U744" s="73" t="s">
        <v>351</v>
      </c>
      <c r="V744" s="74">
        <v>44469</v>
      </c>
      <c r="W744" s="74">
        <v>44508</v>
      </c>
      <c r="X744" s="55">
        <v>10187220</v>
      </c>
      <c r="Y744" s="74" t="s">
        <v>132</v>
      </c>
      <c r="Z744" s="74"/>
      <c r="AB744" s="55" t="s">
        <v>132</v>
      </c>
      <c r="AC744" s="55" t="s">
        <v>130</v>
      </c>
    </row>
    <row r="745" spans="1:29" ht="13" x14ac:dyDescent="0.15">
      <c r="A745" s="72" t="str">
        <f t="shared" si="11"/>
        <v>Ofsted Social Care Provider Webpage</v>
      </c>
      <c r="B745" s="55">
        <v>2519260</v>
      </c>
      <c r="D745" s="55" t="s">
        <v>373</v>
      </c>
      <c r="E745" s="74">
        <v>43600</v>
      </c>
      <c r="F745" s="55" t="s">
        <v>344</v>
      </c>
      <c r="G745" s="55" t="s">
        <v>360</v>
      </c>
      <c r="H745" s="55" t="s">
        <v>360</v>
      </c>
      <c r="I745" s="55" t="s">
        <v>360</v>
      </c>
      <c r="J745" s="55" t="s">
        <v>360</v>
      </c>
      <c r="K745" s="55" t="s">
        <v>360</v>
      </c>
      <c r="L745" s="55" t="s">
        <v>360</v>
      </c>
      <c r="M745" s="55" t="s">
        <v>136</v>
      </c>
      <c r="N745" s="55" t="s">
        <v>136</v>
      </c>
      <c r="O745" s="55" t="s">
        <v>288</v>
      </c>
      <c r="P745" s="55" t="s">
        <v>1487</v>
      </c>
      <c r="Q745" s="55" t="s">
        <v>350</v>
      </c>
      <c r="R745" s="55">
        <v>3</v>
      </c>
      <c r="S745" s="74"/>
      <c r="T745" s="55" t="s">
        <v>517</v>
      </c>
      <c r="U745" s="73" t="s">
        <v>351</v>
      </c>
      <c r="V745" s="74">
        <v>44488</v>
      </c>
      <c r="W745" s="74">
        <v>44515</v>
      </c>
      <c r="X745" s="55">
        <v>10186383</v>
      </c>
      <c r="Y745" s="74" t="s">
        <v>132</v>
      </c>
      <c r="Z745" s="74"/>
      <c r="AB745" s="55" t="s">
        <v>132</v>
      </c>
      <c r="AC745" s="55" t="s">
        <v>130</v>
      </c>
    </row>
    <row r="746" spans="1:29" ht="13" x14ac:dyDescent="0.15">
      <c r="A746" s="72" t="str">
        <f t="shared" si="11"/>
        <v>Ofsted Social Care Provider Webpage</v>
      </c>
      <c r="B746" s="55">
        <v>2519269</v>
      </c>
      <c r="D746" s="55" t="s">
        <v>373</v>
      </c>
      <c r="E746" s="74">
        <v>43651</v>
      </c>
      <c r="F746" s="55" t="s">
        <v>344</v>
      </c>
      <c r="G746" s="55" t="s">
        <v>360</v>
      </c>
      <c r="H746" s="55" t="s">
        <v>360</v>
      </c>
      <c r="I746" s="55" t="s">
        <v>360</v>
      </c>
      <c r="J746" s="55" t="s">
        <v>360</v>
      </c>
      <c r="K746" s="55" t="s">
        <v>360</v>
      </c>
      <c r="L746" s="55" t="s">
        <v>360</v>
      </c>
      <c r="M746" s="55" t="s">
        <v>142</v>
      </c>
      <c r="N746" s="55" t="s">
        <v>142</v>
      </c>
      <c r="O746" s="55" t="s">
        <v>292</v>
      </c>
      <c r="P746" s="55" t="s">
        <v>1052</v>
      </c>
      <c r="Q746" s="55" t="s">
        <v>350</v>
      </c>
      <c r="R746" s="55">
        <v>2</v>
      </c>
      <c r="S746" s="74"/>
      <c r="T746" s="55" t="s">
        <v>1488</v>
      </c>
      <c r="U746" s="73" t="s">
        <v>351</v>
      </c>
      <c r="V746" s="74">
        <v>44434</v>
      </c>
      <c r="W746" s="74">
        <v>44462</v>
      </c>
      <c r="X746" s="55">
        <v>10186670</v>
      </c>
      <c r="Y746" s="74" t="s">
        <v>132</v>
      </c>
      <c r="Z746" s="74"/>
      <c r="AB746" s="55" t="s">
        <v>132</v>
      </c>
      <c r="AC746" s="55" t="s">
        <v>132</v>
      </c>
    </row>
    <row r="747" spans="1:29" ht="13" x14ac:dyDescent="0.15">
      <c r="A747" s="72" t="str">
        <f t="shared" si="11"/>
        <v>Ofsted Social Care Provider Webpage</v>
      </c>
      <c r="B747" s="55">
        <v>2519592</v>
      </c>
      <c r="D747" s="55" t="s">
        <v>373</v>
      </c>
      <c r="E747" s="74">
        <v>43563</v>
      </c>
      <c r="F747" s="55" t="s">
        <v>344</v>
      </c>
      <c r="G747" s="55" t="s">
        <v>360</v>
      </c>
      <c r="H747" s="55" t="s">
        <v>360</v>
      </c>
      <c r="I747" s="55" t="s">
        <v>360</v>
      </c>
      <c r="J747" s="55" t="s">
        <v>360</v>
      </c>
      <c r="K747" s="55" t="s">
        <v>360</v>
      </c>
      <c r="L747" s="55" t="s">
        <v>360</v>
      </c>
      <c r="M747" s="55" t="s">
        <v>144</v>
      </c>
      <c r="N747" s="55" t="s">
        <v>144</v>
      </c>
      <c r="O747" s="55" t="s">
        <v>271</v>
      </c>
      <c r="P747" s="55" t="s">
        <v>1122</v>
      </c>
      <c r="Q747" s="55" t="s">
        <v>350</v>
      </c>
      <c r="R747" s="55">
        <v>4</v>
      </c>
      <c r="S747" s="74"/>
      <c r="T747" s="55" t="s">
        <v>377</v>
      </c>
      <c r="U747" s="73" t="s">
        <v>351</v>
      </c>
      <c r="V747" s="74">
        <v>44515</v>
      </c>
      <c r="W747" s="74">
        <v>44566</v>
      </c>
      <c r="X747" s="55">
        <v>10186209</v>
      </c>
      <c r="Y747" s="74" t="s">
        <v>132</v>
      </c>
      <c r="Z747" s="74"/>
      <c r="AB747" s="55" t="s">
        <v>132</v>
      </c>
      <c r="AC747" s="55" t="s">
        <v>130</v>
      </c>
    </row>
    <row r="748" spans="1:29" ht="13" x14ac:dyDescent="0.15">
      <c r="A748" s="72" t="str">
        <f t="shared" si="11"/>
        <v>Ofsted Social Care Provider Webpage</v>
      </c>
      <c r="B748" s="55">
        <v>2519919</v>
      </c>
      <c r="D748" s="55" t="s">
        <v>373</v>
      </c>
      <c r="E748" s="74">
        <v>43739</v>
      </c>
      <c r="F748" s="55" t="s">
        <v>344</v>
      </c>
      <c r="G748" s="55" t="s">
        <v>360</v>
      </c>
      <c r="H748" s="55" t="s">
        <v>360</v>
      </c>
      <c r="I748" s="55" t="s">
        <v>360</v>
      </c>
      <c r="J748" s="55" t="s">
        <v>360</v>
      </c>
      <c r="K748" s="55" t="s">
        <v>360</v>
      </c>
      <c r="L748" s="55" t="s">
        <v>360</v>
      </c>
      <c r="M748" s="55" t="s">
        <v>142</v>
      </c>
      <c r="N748" s="55" t="s">
        <v>142</v>
      </c>
      <c r="O748" s="55" t="s">
        <v>141</v>
      </c>
      <c r="P748" s="55" t="s">
        <v>573</v>
      </c>
      <c r="Q748" s="55" t="s">
        <v>350</v>
      </c>
      <c r="R748" s="55">
        <v>3</v>
      </c>
      <c r="S748" s="74"/>
      <c r="T748" s="55" t="s">
        <v>1489</v>
      </c>
      <c r="U748" s="73" t="s">
        <v>351</v>
      </c>
      <c r="V748" s="74">
        <v>44341</v>
      </c>
      <c r="W748" s="74">
        <v>44369</v>
      </c>
      <c r="X748" s="55">
        <v>10186520</v>
      </c>
      <c r="Y748" s="74" t="s">
        <v>132</v>
      </c>
      <c r="Z748" s="74"/>
      <c r="AB748" s="55" t="s">
        <v>132</v>
      </c>
      <c r="AC748" s="55" t="s">
        <v>132</v>
      </c>
    </row>
    <row r="749" spans="1:29" ht="13" x14ac:dyDescent="0.15">
      <c r="A749" s="72" t="str">
        <f t="shared" si="11"/>
        <v>Ofsted Social Care Provider Webpage</v>
      </c>
      <c r="B749" s="55">
        <v>2520922</v>
      </c>
      <c r="D749" s="55" t="s">
        <v>373</v>
      </c>
      <c r="E749" s="74">
        <v>43622</v>
      </c>
      <c r="F749" s="55" t="s">
        <v>344</v>
      </c>
      <c r="G749" s="55" t="s">
        <v>360</v>
      </c>
      <c r="H749" s="55" t="s">
        <v>360</v>
      </c>
      <c r="I749" s="55" t="s">
        <v>360</v>
      </c>
      <c r="J749" s="55" t="s">
        <v>360</v>
      </c>
      <c r="K749" s="55" t="s">
        <v>360</v>
      </c>
      <c r="L749" s="55" t="s">
        <v>360</v>
      </c>
      <c r="M749" s="55" t="s">
        <v>378</v>
      </c>
      <c r="N749" s="55" t="s">
        <v>170</v>
      </c>
      <c r="O749" s="55" t="s">
        <v>264</v>
      </c>
      <c r="P749" s="55" t="s">
        <v>437</v>
      </c>
      <c r="Q749" s="55" t="s">
        <v>350</v>
      </c>
      <c r="R749" s="55">
        <v>6</v>
      </c>
      <c r="S749" s="74"/>
      <c r="T749" s="55" t="s">
        <v>522</v>
      </c>
      <c r="U749" s="73" t="s">
        <v>351</v>
      </c>
      <c r="V749" s="74">
        <v>44593</v>
      </c>
      <c r="W749" s="74">
        <v>44636</v>
      </c>
      <c r="X749" s="55">
        <v>10185237</v>
      </c>
      <c r="Y749" s="74" t="s">
        <v>132</v>
      </c>
      <c r="Z749" s="74"/>
      <c r="AB749" s="55" t="s">
        <v>132</v>
      </c>
      <c r="AC749" s="55" t="s">
        <v>132</v>
      </c>
    </row>
    <row r="750" spans="1:29" ht="13" x14ac:dyDescent="0.15">
      <c r="A750" s="72" t="str">
        <f t="shared" si="11"/>
        <v>Ofsted Social Care Provider Webpage</v>
      </c>
      <c r="B750" s="55">
        <v>2521953</v>
      </c>
      <c r="D750" s="55" t="s">
        <v>373</v>
      </c>
      <c r="E750" s="74">
        <v>43739</v>
      </c>
      <c r="F750" s="55" t="s">
        <v>344</v>
      </c>
      <c r="G750" s="55" t="s">
        <v>360</v>
      </c>
      <c r="H750" s="55" t="s">
        <v>360</v>
      </c>
      <c r="I750" s="55" t="s">
        <v>360</v>
      </c>
      <c r="J750" s="55" t="s">
        <v>360</v>
      </c>
      <c r="K750" s="55" t="s">
        <v>360</v>
      </c>
      <c r="L750" s="55" t="s">
        <v>360</v>
      </c>
      <c r="M750" s="55" t="s">
        <v>144</v>
      </c>
      <c r="N750" s="55" t="s">
        <v>144</v>
      </c>
      <c r="O750" s="55" t="s">
        <v>209</v>
      </c>
      <c r="P750" s="55" t="s">
        <v>484</v>
      </c>
      <c r="Q750" s="55" t="s">
        <v>350</v>
      </c>
      <c r="R750" s="55">
        <v>2</v>
      </c>
      <c r="S750" s="74"/>
      <c r="T750" s="55" t="s">
        <v>493</v>
      </c>
      <c r="U750" s="73" t="s">
        <v>351</v>
      </c>
      <c r="V750" s="74">
        <v>44551</v>
      </c>
      <c r="W750" s="74">
        <v>44608</v>
      </c>
      <c r="X750" s="55">
        <v>10186721</v>
      </c>
      <c r="Y750" s="74" t="s">
        <v>140</v>
      </c>
      <c r="Z750" s="74"/>
      <c r="AB750" s="55" t="s">
        <v>140</v>
      </c>
      <c r="AC750" s="55" t="s">
        <v>132</v>
      </c>
    </row>
    <row r="751" spans="1:29" ht="13" x14ac:dyDescent="0.15">
      <c r="A751" s="72" t="str">
        <f t="shared" si="11"/>
        <v>Ofsted Social Care Provider Webpage</v>
      </c>
      <c r="B751" s="55">
        <v>2522240</v>
      </c>
      <c r="D751" s="55" t="s">
        <v>373</v>
      </c>
      <c r="E751" s="74">
        <v>43594</v>
      </c>
      <c r="F751" s="55" t="s">
        <v>344</v>
      </c>
      <c r="G751" s="55" t="s">
        <v>360</v>
      </c>
      <c r="H751" s="55" t="s">
        <v>360</v>
      </c>
      <c r="I751" s="55" t="s">
        <v>360</v>
      </c>
      <c r="J751" s="55" t="s">
        <v>360</v>
      </c>
      <c r="K751" s="55" t="s">
        <v>360</v>
      </c>
      <c r="L751" s="55" t="s">
        <v>360</v>
      </c>
      <c r="M751" s="55" t="s">
        <v>378</v>
      </c>
      <c r="N751" s="55" t="s">
        <v>170</v>
      </c>
      <c r="O751" s="55" t="s">
        <v>267</v>
      </c>
      <c r="P751" s="55" t="s">
        <v>477</v>
      </c>
      <c r="Q751" s="55" t="s">
        <v>362</v>
      </c>
      <c r="R751" s="55">
        <v>8</v>
      </c>
      <c r="S751" s="74"/>
      <c r="T751" s="55" t="s">
        <v>1490</v>
      </c>
      <c r="U751" s="73" t="s">
        <v>351</v>
      </c>
      <c r="V751" s="74">
        <v>44390</v>
      </c>
      <c r="W751" s="74">
        <v>44433</v>
      </c>
      <c r="X751" s="55">
        <v>10186971</v>
      </c>
      <c r="Y751" s="74" t="s">
        <v>130</v>
      </c>
      <c r="Z751" s="74"/>
      <c r="AB751" s="55" t="s">
        <v>130</v>
      </c>
      <c r="AC751" s="55" t="s">
        <v>130</v>
      </c>
    </row>
    <row r="752" spans="1:29" ht="13" x14ac:dyDescent="0.15">
      <c r="A752" s="72" t="str">
        <f t="shared" si="11"/>
        <v>Ofsted Social Care Provider Webpage</v>
      </c>
      <c r="B752" s="55">
        <v>2522796</v>
      </c>
      <c r="D752" s="55" t="s">
        <v>373</v>
      </c>
      <c r="E752" s="74">
        <v>43651</v>
      </c>
      <c r="F752" s="55" t="s">
        <v>344</v>
      </c>
      <c r="G752" s="55" t="s">
        <v>360</v>
      </c>
      <c r="H752" s="55" t="s">
        <v>360</v>
      </c>
      <c r="I752" s="55" t="s">
        <v>360</v>
      </c>
      <c r="J752" s="55" t="s">
        <v>360</v>
      </c>
      <c r="K752" s="55" t="s">
        <v>360</v>
      </c>
      <c r="L752" s="55" t="s">
        <v>360</v>
      </c>
      <c r="M752" s="55" t="s">
        <v>138</v>
      </c>
      <c r="N752" s="55" t="s">
        <v>138</v>
      </c>
      <c r="O752" s="55" t="s">
        <v>238</v>
      </c>
      <c r="P752" s="55" t="s">
        <v>238</v>
      </c>
      <c r="Q752" s="55" t="s">
        <v>350</v>
      </c>
      <c r="R752" s="55">
        <v>6</v>
      </c>
      <c r="S752" s="74"/>
      <c r="T752" s="55" t="s">
        <v>1491</v>
      </c>
      <c r="U752" s="73" t="s">
        <v>351</v>
      </c>
      <c r="V752" s="74">
        <v>44349</v>
      </c>
      <c r="W752" s="74">
        <v>44382</v>
      </c>
      <c r="X752" s="55">
        <v>10186315</v>
      </c>
      <c r="Y752" s="74" t="s">
        <v>132</v>
      </c>
      <c r="Z752" s="74"/>
      <c r="AB752" s="55" t="s">
        <v>140</v>
      </c>
      <c r="AC752" s="55" t="s">
        <v>132</v>
      </c>
    </row>
    <row r="753" spans="1:29" ht="13" x14ac:dyDescent="0.15">
      <c r="A753" s="72" t="str">
        <f t="shared" si="11"/>
        <v>Ofsted Social Care Provider Webpage</v>
      </c>
      <c r="B753" s="55">
        <v>2523025</v>
      </c>
      <c r="D753" s="55" t="s">
        <v>373</v>
      </c>
      <c r="E753" s="74">
        <v>43655</v>
      </c>
      <c r="F753" s="55" t="s">
        <v>344</v>
      </c>
      <c r="G753" s="55" t="s">
        <v>360</v>
      </c>
      <c r="H753" s="55" t="s">
        <v>360</v>
      </c>
      <c r="I753" s="55" t="s">
        <v>360</v>
      </c>
      <c r="J753" s="55" t="s">
        <v>360</v>
      </c>
      <c r="K753" s="55" t="s">
        <v>360</v>
      </c>
      <c r="L753" s="55" t="s">
        <v>360</v>
      </c>
      <c r="M753" s="55" t="s">
        <v>142</v>
      </c>
      <c r="N753" s="55" t="s">
        <v>142</v>
      </c>
      <c r="O753" s="55" t="s">
        <v>141</v>
      </c>
      <c r="P753" s="55" t="s">
        <v>1226</v>
      </c>
      <c r="Q753" s="55" t="s">
        <v>350</v>
      </c>
      <c r="R753" s="55">
        <v>6</v>
      </c>
      <c r="S753" s="74"/>
      <c r="T753" s="55" t="s">
        <v>574</v>
      </c>
      <c r="U753" s="73" t="s">
        <v>351</v>
      </c>
      <c r="V753" s="74">
        <v>44544</v>
      </c>
      <c r="W753" s="74">
        <v>44600</v>
      </c>
      <c r="X753" s="55">
        <v>10185663</v>
      </c>
      <c r="Y753" s="74" t="s">
        <v>140</v>
      </c>
      <c r="Z753" s="74"/>
      <c r="AB753" s="55" t="s">
        <v>140</v>
      </c>
      <c r="AC753" s="55" t="s">
        <v>140</v>
      </c>
    </row>
    <row r="754" spans="1:29" ht="13" x14ac:dyDescent="0.15">
      <c r="A754" s="72" t="str">
        <f t="shared" si="11"/>
        <v>Ofsted Social Care Provider Webpage</v>
      </c>
      <c r="B754" s="55">
        <v>2523027</v>
      </c>
      <c r="D754" s="55" t="s">
        <v>373</v>
      </c>
      <c r="E754" s="74">
        <v>43654</v>
      </c>
      <c r="F754" s="55" t="s">
        <v>344</v>
      </c>
      <c r="G754" s="55" t="s">
        <v>360</v>
      </c>
      <c r="H754" s="55" t="s">
        <v>360</v>
      </c>
      <c r="I754" s="55" t="s">
        <v>360</v>
      </c>
      <c r="J754" s="55" t="s">
        <v>360</v>
      </c>
      <c r="K754" s="55" t="s">
        <v>360</v>
      </c>
      <c r="L754" s="55" t="s">
        <v>360</v>
      </c>
      <c r="M754" s="55" t="s">
        <v>150</v>
      </c>
      <c r="N754" s="55" t="s">
        <v>150</v>
      </c>
      <c r="O754" s="55" t="s">
        <v>241</v>
      </c>
      <c r="P754" s="55" t="s">
        <v>1492</v>
      </c>
      <c r="Q754" s="55" t="s">
        <v>350</v>
      </c>
      <c r="R754" s="55">
        <v>1</v>
      </c>
      <c r="S754" s="74"/>
      <c r="T754" s="55" t="s">
        <v>487</v>
      </c>
      <c r="U754" s="73" t="s">
        <v>351</v>
      </c>
      <c r="V754" s="74">
        <v>44439</v>
      </c>
      <c r="W754" s="74">
        <v>44482</v>
      </c>
      <c r="X754" s="55">
        <v>10195750</v>
      </c>
      <c r="Y754" s="74" t="s">
        <v>130</v>
      </c>
      <c r="Z754" s="74"/>
      <c r="AB754" s="55" t="s">
        <v>130</v>
      </c>
      <c r="AC754" s="55" t="s">
        <v>130</v>
      </c>
    </row>
    <row r="755" spans="1:29" ht="13" x14ac:dyDescent="0.15">
      <c r="A755" s="72" t="str">
        <f t="shared" si="11"/>
        <v>Ofsted Social Care Provider Webpage</v>
      </c>
      <c r="B755" s="55">
        <v>2523028</v>
      </c>
      <c r="D755" s="55" t="s">
        <v>1493</v>
      </c>
      <c r="E755" s="74">
        <v>43613</v>
      </c>
      <c r="F755" s="55" t="s">
        <v>344</v>
      </c>
      <c r="G755" s="55" t="s">
        <v>360</v>
      </c>
      <c r="H755" s="55" t="s">
        <v>360</v>
      </c>
      <c r="I755" s="55" t="s">
        <v>360</v>
      </c>
      <c r="J755" s="55" t="s">
        <v>360</v>
      </c>
      <c r="K755" s="55" t="s">
        <v>360</v>
      </c>
      <c r="L755" s="55" t="s">
        <v>360</v>
      </c>
      <c r="M755" s="55" t="s">
        <v>144</v>
      </c>
      <c r="N755" s="55" t="s">
        <v>144</v>
      </c>
      <c r="O755" s="55" t="s">
        <v>145</v>
      </c>
      <c r="P755" s="55" t="s">
        <v>525</v>
      </c>
      <c r="Q755" s="55" t="s">
        <v>350</v>
      </c>
      <c r="R755" s="55">
        <v>1</v>
      </c>
      <c r="S755" s="74"/>
      <c r="T755" s="55" t="s">
        <v>485</v>
      </c>
      <c r="U755" s="73" t="s">
        <v>351</v>
      </c>
      <c r="V755" s="74">
        <v>44574</v>
      </c>
      <c r="W755" s="74">
        <v>44607</v>
      </c>
      <c r="X755" s="55">
        <v>10185198</v>
      </c>
      <c r="Y755" s="74" t="s">
        <v>132</v>
      </c>
      <c r="Z755" s="74"/>
      <c r="AB755" s="55" t="s">
        <v>132</v>
      </c>
      <c r="AC755" s="55" t="s">
        <v>132</v>
      </c>
    </row>
    <row r="756" spans="1:29" ht="13" x14ac:dyDescent="0.15">
      <c r="A756" s="72" t="str">
        <f t="shared" si="11"/>
        <v>Ofsted Social Care Provider Webpage</v>
      </c>
      <c r="B756" s="55">
        <v>2523030</v>
      </c>
      <c r="D756" s="55" t="s">
        <v>479</v>
      </c>
      <c r="E756" s="74">
        <v>43608</v>
      </c>
      <c r="F756" s="55" t="s">
        <v>344</v>
      </c>
      <c r="G756" s="55" t="s">
        <v>360</v>
      </c>
      <c r="H756" s="55" t="s">
        <v>360</v>
      </c>
      <c r="I756" s="55" t="s">
        <v>360</v>
      </c>
      <c r="J756" s="55" t="s">
        <v>360</v>
      </c>
      <c r="K756" s="55" t="s">
        <v>360</v>
      </c>
      <c r="L756" s="55" t="s">
        <v>360</v>
      </c>
      <c r="M756" s="55" t="s">
        <v>172</v>
      </c>
      <c r="N756" s="55" t="s">
        <v>172</v>
      </c>
      <c r="O756" s="55" t="s">
        <v>214</v>
      </c>
      <c r="P756" s="55" t="s">
        <v>1426</v>
      </c>
      <c r="Q756" s="55" t="s">
        <v>350</v>
      </c>
      <c r="R756" s="55">
        <v>16</v>
      </c>
      <c r="S756" s="74"/>
      <c r="T756" s="55" t="s">
        <v>1494</v>
      </c>
      <c r="U756" s="73" t="s">
        <v>351</v>
      </c>
      <c r="V756" s="74">
        <v>44537</v>
      </c>
      <c r="W756" s="74">
        <v>44580</v>
      </c>
      <c r="X756" s="55">
        <v>10185109</v>
      </c>
      <c r="Y756" s="74" t="s">
        <v>132</v>
      </c>
      <c r="Z756" s="74"/>
      <c r="AB756" s="55" t="s">
        <v>132</v>
      </c>
      <c r="AC756" s="55" t="s">
        <v>132</v>
      </c>
    </row>
    <row r="757" spans="1:29" ht="13" x14ac:dyDescent="0.15">
      <c r="A757" s="72" t="str">
        <f t="shared" si="11"/>
        <v>Ofsted Social Care Provider Webpage</v>
      </c>
      <c r="B757" s="55">
        <v>2523034</v>
      </c>
      <c r="D757" s="55" t="s">
        <v>373</v>
      </c>
      <c r="E757" s="74">
        <v>43658</v>
      </c>
      <c r="F757" s="55" t="s">
        <v>344</v>
      </c>
      <c r="G757" s="55" t="s">
        <v>360</v>
      </c>
      <c r="H757" s="55" t="s">
        <v>360</v>
      </c>
      <c r="I757" s="55" t="s">
        <v>360</v>
      </c>
      <c r="J757" s="55" t="s">
        <v>360</v>
      </c>
      <c r="K757" s="55" t="s">
        <v>360</v>
      </c>
      <c r="L757" s="55" t="s">
        <v>360</v>
      </c>
      <c r="M757" s="55" t="s">
        <v>150</v>
      </c>
      <c r="N757" s="55" t="s">
        <v>150</v>
      </c>
      <c r="O757" s="55" t="s">
        <v>203</v>
      </c>
      <c r="P757" s="55" t="s">
        <v>593</v>
      </c>
      <c r="Q757" s="55" t="s">
        <v>350</v>
      </c>
      <c r="R757" s="55">
        <v>3</v>
      </c>
      <c r="S757" s="74"/>
      <c r="T757" s="55" t="s">
        <v>594</v>
      </c>
      <c r="U757" s="73" t="s">
        <v>351</v>
      </c>
      <c r="V757" s="74">
        <v>44600</v>
      </c>
      <c r="W757" s="74">
        <v>44644</v>
      </c>
      <c r="X757" s="55">
        <v>10186133</v>
      </c>
      <c r="Y757" s="74" t="s">
        <v>132</v>
      </c>
      <c r="Z757" s="74"/>
      <c r="AB757" s="55" t="s">
        <v>132</v>
      </c>
      <c r="AC757" s="55" t="s">
        <v>130</v>
      </c>
    </row>
    <row r="758" spans="1:29" ht="13" x14ac:dyDescent="0.15">
      <c r="A758" s="72" t="str">
        <f t="shared" si="11"/>
        <v>Ofsted Social Care Provider Webpage</v>
      </c>
      <c r="B758" s="55">
        <v>2523036</v>
      </c>
      <c r="D758" s="55" t="s">
        <v>373</v>
      </c>
      <c r="E758" s="74">
        <v>43650</v>
      </c>
      <c r="F758" s="55" t="s">
        <v>344</v>
      </c>
      <c r="G758" s="55" t="s">
        <v>360</v>
      </c>
      <c r="H758" s="55" t="s">
        <v>360</v>
      </c>
      <c r="I758" s="55" t="s">
        <v>360</v>
      </c>
      <c r="J758" s="55" t="s">
        <v>360</v>
      </c>
      <c r="K758" s="55" t="s">
        <v>360</v>
      </c>
      <c r="L758" s="55" t="s">
        <v>360</v>
      </c>
      <c r="M758" s="55" t="s">
        <v>144</v>
      </c>
      <c r="N758" s="55" t="s">
        <v>144</v>
      </c>
      <c r="O758" s="55" t="s">
        <v>145</v>
      </c>
      <c r="P758" s="55" t="s">
        <v>525</v>
      </c>
      <c r="Q758" s="55" t="s">
        <v>350</v>
      </c>
      <c r="R758" s="55">
        <v>2</v>
      </c>
      <c r="S758" s="74"/>
      <c r="T758" s="55" t="s">
        <v>1065</v>
      </c>
      <c r="U758" s="73" t="s">
        <v>351</v>
      </c>
      <c r="V758" s="74">
        <v>44544</v>
      </c>
      <c r="W758" s="74">
        <v>44587</v>
      </c>
      <c r="X758" s="55">
        <v>10186219</v>
      </c>
      <c r="Y758" s="74" t="s">
        <v>132</v>
      </c>
      <c r="Z758" s="74"/>
      <c r="AB758" s="55" t="s">
        <v>132</v>
      </c>
      <c r="AC758" s="55" t="s">
        <v>132</v>
      </c>
    </row>
    <row r="759" spans="1:29" ht="13" x14ac:dyDescent="0.15">
      <c r="A759" s="72" t="str">
        <f t="shared" si="11"/>
        <v>Ofsted Social Care Provider Webpage</v>
      </c>
      <c r="B759" s="55">
        <v>2523037</v>
      </c>
      <c r="D759" s="55" t="s">
        <v>373</v>
      </c>
      <c r="E759" s="74">
        <v>43572</v>
      </c>
      <c r="F759" s="55" t="s">
        <v>344</v>
      </c>
      <c r="G759" s="55" t="s">
        <v>360</v>
      </c>
      <c r="H759" s="55" t="s">
        <v>360</v>
      </c>
      <c r="I759" s="55" t="s">
        <v>360</v>
      </c>
      <c r="J759" s="55" t="s">
        <v>360</v>
      </c>
      <c r="K759" s="55" t="s">
        <v>360</v>
      </c>
      <c r="L759" s="55" t="s">
        <v>360</v>
      </c>
      <c r="M759" s="55" t="s">
        <v>378</v>
      </c>
      <c r="N759" s="55" t="s">
        <v>134</v>
      </c>
      <c r="O759" s="55" t="s">
        <v>158</v>
      </c>
      <c r="P759" s="55" t="s">
        <v>480</v>
      </c>
      <c r="Q759" s="55" t="s">
        <v>350</v>
      </c>
      <c r="R759" s="55">
        <v>2</v>
      </c>
      <c r="S759" s="74"/>
      <c r="T759" s="55" t="s">
        <v>711</v>
      </c>
      <c r="U759" s="73" t="s">
        <v>351</v>
      </c>
      <c r="V759" s="74">
        <v>44613</v>
      </c>
      <c r="W759" s="74">
        <v>44658</v>
      </c>
      <c r="X759" s="55">
        <v>10185490</v>
      </c>
      <c r="Y759" s="74" t="s">
        <v>140</v>
      </c>
      <c r="Z759" s="74"/>
      <c r="AB759" s="55" t="s">
        <v>140</v>
      </c>
      <c r="AC759" s="55" t="s">
        <v>140</v>
      </c>
    </row>
    <row r="760" spans="1:29" ht="13" x14ac:dyDescent="0.15">
      <c r="A760" s="72" t="str">
        <f t="shared" si="11"/>
        <v>Ofsted Social Care Provider Webpage</v>
      </c>
      <c r="B760" s="55">
        <v>2523210</v>
      </c>
      <c r="D760" s="55" t="s">
        <v>443</v>
      </c>
      <c r="E760" s="74">
        <v>43731</v>
      </c>
      <c r="F760" s="55" t="s">
        <v>344</v>
      </c>
      <c r="G760" s="55" t="s">
        <v>1495</v>
      </c>
      <c r="H760" s="55" t="s">
        <v>1496</v>
      </c>
      <c r="I760" s="55" t="s">
        <v>1497</v>
      </c>
      <c r="J760" s="55" t="s">
        <v>1498</v>
      </c>
      <c r="K760" s="55" t="s">
        <v>183</v>
      </c>
      <c r="L760" s="55" t="s">
        <v>1499</v>
      </c>
      <c r="M760" s="55" t="s">
        <v>138</v>
      </c>
      <c r="N760" s="55" t="s">
        <v>138</v>
      </c>
      <c r="O760" s="55" t="s">
        <v>183</v>
      </c>
      <c r="P760" s="55" t="s">
        <v>730</v>
      </c>
      <c r="Q760" s="55" t="s">
        <v>350</v>
      </c>
      <c r="R760" s="55"/>
      <c r="S760" s="74"/>
      <c r="T760" s="55" t="s">
        <v>1495</v>
      </c>
      <c r="U760" s="73" t="s">
        <v>351</v>
      </c>
      <c r="V760" s="74">
        <v>44299</v>
      </c>
      <c r="W760" s="74">
        <v>44328</v>
      </c>
      <c r="X760" s="55">
        <v>10183213</v>
      </c>
      <c r="Y760" s="74" t="s">
        <v>132</v>
      </c>
      <c r="Z760" s="74"/>
      <c r="AB760" s="55" t="s">
        <v>132</v>
      </c>
      <c r="AC760" s="55" t="s">
        <v>132</v>
      </c>
    </row>
    <row r="761" spans="1:29" ht="13" x14ac:dyDescent="0.15">
      <c r="A761" s="72" t="str">
        <f t="shared" si="11"/>
        <v>Ofsted Social Care Provider Webpage</v>
      </c>
      <c r="B761" s="55">
        <v>2525634</v>
      </c>
      <c r="D761" s="55" t="s">
        <v>373</v>
      </c>
      <c r="E761" s="74">
        <v>43573</v>
      </c>
      <c r="F761" s="55" t="s">
        <v>344</v>
      </c>
      <c r="G761" s="55" t="s">
        <v>360</v>
      </c>
      <c r="H761" s="55" t="s">
        <v>360</v>
      </c>
      <c r="I761" s="55" t="s">
        <v>360</v>
      </c>
      <c r="J761" s="55" t="s">
        <v>360</v>
      </c>
      <c r="K761" s="55" t="s">
        <v>360</v>
      </c>
      <c r="L761" s="55" t="s">
        <v>360</v>
      </c>
      <c r="M761" s="55" t="s">
        <v>138</v>
      </c>
      <c r="N761" s="55" t="s">
        <v>138</v>
      </c>
      <c r="O761" s="55" t="s">
        <v>183</v>
      </c>
      <c r="P761" s="55" t="s">
        <v>1500</v>
      </c>
      <c r="Q761" s="55" t="s">
        <v>350</v>
      </c>
      <c r="R761" s="55">
        <v>5</v>
      </c>
      <c r="S761" s="74"/>
      <c r="T761" s="55" t="s">
        <v>997</v>
      </c>
      <c r="U761" s="73" t="s">
        <v>351</v>
      </c>
      <c r="V761" s="74">
        <v>44466</v>
      </c>
      <c r="W761" s="74">
        <v>44495</v>
      </c>
      <c r="X761" s="55">
        <v>10185518</v>
      </c>
      <c r="Y761" s="74" t="s">
        <v>132</v>
      </c>
      <c r="Z761" s="74"/>
      <c r="AB761" s="55" t="s">
        <v>132</v>
      </c>
      <c r="AC761" s="55" t="s">
        <v>132</v>
      </c>
    </row>
    <row r="762" spans="1:29" ht="13" x14ac:dyDescent="0.15">
      <c r="A762" s="72" t="str">
        <f t="shared" si="11"/>
        <v>Ofsted Social Care Provider Webpage</v>
      </c>
      <c r="B762" s="55">
        <v>2525774</v>
      </c>
      <c r="D762" s="55" t="s">
        <v>373</v>
      </c>
      <c r="E762" s="74">
        <v>43613</v>
      </c>
      <c r="F762" s="55" t="s">
        <v>344</v>
      </c>
      <c r="G762" s="55" t="s">
        <v>360</v>
      </c>
      <c r="H762" s="55" t="s">
        <v>360</v>
      </c>
      <c r="I762" s="55" t="s">
        <v>360</v>
      </c>
      <c r="J762" s="55" t="s">
        <v>360</v>
      </c>
      <c r="K762" s="55" t="s">
        <v>360</v>
      </c>
      <c r="L762" s="55" t="s">
        <v>360</v>
      </c>
      <c r="M762" s="55" t="s">
        <v>144</v>
      </c>
      <c r="N762" s="55" t="s">
        <v>144</v>
      </c>
      <c r="O762" s="55" t="s">
        <v>236</v>
      </c>
      <c r="P762" s="55" t="s">
        <v>996</v>
      </c>
      <c r="Q762" s="55" t="s">
        <v>350</v>
      </c>
      <c r="R762" s="55">
        <v>4</v>
      </c>
      <c r="S762" s="74"/>
      <c r="T762" s="55" t="s">
        <v>871</v>
      </c>
      <c r="U762" s="73" t="s">
        <v>351</v>
      </c>
      <c r="V762" s="74">
        <v>43732</v>
      </c>
      <c r="W762" s="74">
        <v>43762</v>
      </c>
      <c r="X762" s="55">
        <v>10108931</v>
      </c>
      <c r="Y762" s="74" t="s">
        <v>130</v>
      </c>
      <c r="Z762" s="74"/>
      <c r="AB762" s="55" t="s">
        <v>130</v>
      </c>
      <c r="AC762" s="55" t="s">
        <v>130</v>
      </c>
    </row>
    <row r="763" spans="1:29" ht="13" x14ac:dyDescent="0.15">
      <c r="A763" s="72" t="str">
        <f t="shared" si="11"/>
        <v>Ofsted Social Care Provider Webpage</v>
      </c>
      <c r="B763" s="55">
        <v>2525807</v>
      </c>
      <c r="D763" s="55" t="s">
        <v>373</v>
      </c>
      <c r="E763" s="74">
        <v>43672</v>
      </c>
      <c r="F763" s="55" t="s">
        <v>344</v>
      </c>
      <c r="G763" s="55" t="s">
        <v>360</v>
      </c>
      <c r="H763" s="55" t="s">
        <v>360</v>
      </c>
      <c r="I763" s="55" t="s">
        <v>360</v>
      </c>
      <c r="J763" s="55" t="s">
        <v>360</v>
      </c>
      <c r="K763" s="55" t="s">
        <v>360</v>
      </c>
      <c r="L763" s="55" t="s">
        <v>360</v>
      </c>
      <c r="M763" s="55" t="s">
        <v>142</v>
      </c>
      <c r="N763" s="55" t="s">
        <v>142</v>
      </c>
      <c r="O763" s="55" t="s">
        <v>293</v>
      </c>
      <c r="P763" s="55" t="s">
        <v>984</v>
      </c>
      <c r="Q763" s="55" t="s">
        <v>350</v>
      </c>
      <c r="R763" s="55">
        <v>4</v>
      </c>
      <c r="S763" s="74"/>
      <c r="T763" s="55" t="s">
        <v>1501</v>
      </c>
      <c r="U763" s="73" t="s">
        <v>351</v>
      </c>
      <c r="V763" s="74">
        <v>44592</v>
      </c>
      <c r="W763" s="74">
        <v>44629</v>
      </c>
      <c r="X763" s="55">
        <v>10185289</v>
      </c>
      <c r="Y763" s="74" t="s">
        <v>130</v>
      </c>
      <c r="Z763" s="74"/>
      <c r="AB763" s="55" t="s">
        <v>130</v>
      </c>
      <c r="AC763" s="55" t="s">
        <v>146</v>
      </c>
    </row>
    <row r="764" spans="1:29" ht="13" x14ac:dyDescent="0.15">
      <c r="A764" s="72" t="str">
        <f t="shared" si="11"/>
        <v>Ofsted Social Care Provider Webpage</v>
      </c>
      <c r="B764" s="55">
        <v>2526004</v>
      </c>
      <c r="D764" s="55" t="s">
        <v>373</v>
      </c>
      <c r="E764" s="74">
        <v>43579</v>
      </c>
      <c r="F764" s="55" t="s">
        <v>344</v>
      </c>
      <c r="G764" s="55" t="s">
        <v>360</v>
      </c>
      <c r="H764" s="55" t="s">
        <v>360</v>
      </c>
      <c r="I764" s="55" t="s">
        <v>360</v>
      </c>
      <c r="J764" s="55" t="s">
        <v>360</v>
      </c>
      <c r="K764" s="55" t="s">
        <v>360</v>
      </c>
      <c r="L764" s="55" t="s">
        <v>360</v>
      </c>
      <c r="M764" s="55" t="s">
        <v>144</v>
      </c>
      <c r="N764" s="55" t="s">
        <v>144</v>
      </c>
      <c r="O764" s="55" t="s">
        <v>162</v>
      </c>
      <c r="P764" s="55" t="s">
        <v>1502</v>
      </c>
      <c r="Q764" s="55" t="s">
        <v>350</v>
      </c>
      <c r="R764" s="55">
        <v>6</v>
      </c>
      <c r="S764" s="74"/>
      <c r="T764" s="55" t="s">
        <v>1503</v>
      </c>
      <c r="U764" s="73" t="s">
        <v>351</v>
      </c>
      <c r="V764" s="74">
        <v>44621</v>
      </c>
      <c r="W764" s="74">
        <v>44665</v>
      </c>
      <c r="X764" s="55">
        <v>10186212</v>
      </c>
      <c r="Y764" s="74" t="s">
        <v>140</v>
      </c>
      <c r="Z764" s="74"/>
      <c r="AB764" s="55" t="s">
        <v>132</v>
      </c>
      <c r="AC764" s="55" t="s">
        <v>140</v>
      </c>
    </row>
    <row r="765" spans="1:29" ht="13" x14ac:dyDescent="0.15">
      <c r="A765" s="72" t="str">
        <f t="shared" si="11"/>
        <v>Ofsted Social Care Provider Webpage</v>
      </c>
      <c r="B765" s="55">
        <v>2526435</v>
      </c>
      <c r="D765" s="55" t="s">
        <v>373</v>
      </c>
      <c r="E765" s="74">
        <v>43650</v>
      </c>
      <c r="F765" s="55" t="s">
        <v>344</v>
      </c>
      <c r="G765" s="55" t="s">
        <v>360</v>
      </c>
      <c r="H765" s="55" t="s">
        <v>360</v>
      </c>
      <c r="I765" s="55" t="s">
        <v>360</v>
      </c>
      <c r="J765" s="55" t="s">
        <v>360</v>
      </c>
      <c r="K765" s="55" t="s">
        <v>360</v>
      </c>
      <c r="L765" s="55" t="s">
        <v>360</v>
      </c>
      <c r="M765" s="55" t="s">
        <v>138</v>
      </c>
      <c r="N765" s="55" t="s">
        <v>138</v>
      </c>
      <c r="O765" s="55" t="s">
        <v>183</v>
      </c>
      <c r="P765" s="55" t="s">
        <v>1500</v>
      </c>
      <c r="Q765" s="55" t="s">
        <v>350</v>
      </c>
      <c r="R765" s="55">
        <v>3</v>
      </c>
      <c r="S765" s="74"/>
      <c r="T765" s="55" t="s">
        <v>1504</v>
      </c>
      <c r="U765" s="73" t="s">
        <v>351</v>
      </c>
      <c r="V765" s="74">
        <v>44314</v>
      </c>
      <c r="W765" s="74">
        <v>44343</v>
      </c>
      <c r="X765" s="55">
        <v>10186926</v>
      </c>
      <c r="Y765" s="74" t="s">
        <v>130</v>
      </c>
      <c r="Z765" s="74"/>
      <c r="AB765" s="55" t="s">
        <v>130</v>
      </c>
      <c r="AC765" s="55" t="s">
        <v>130</v>
      </c>
    </row>
    <row r="766" spans="1:29" ht="13" x14ac:dyDescent="0.15">
      <c r="A766" s="72" t="str">
        <f t="shared" si="11"/>
        <v>Ofsted Social Care Provider Webpage</v>
      </c>
      <c r="B766" s="55">
        <v>2526875</v>
      </c>
      <c r="D766" s="55" t="s">
        <v>373</v>
      </c>
      <c r="E766" s="74">
        <v>43707</v>
      </c>
      <c r="F766" s="55" t="s">
        <v>344</v>
      </c>
      <c r="G766" s="55" t="s">
        <v>360</v>
      </c>
      <c r="H766" s="55" t="s">
        <v>360</v>
      </c>
      <c r="I766" s="55" t="s">
        <v>360</v>
      </c>
      <c r="J766" s="55" t="s">
        <v>360</v>
      </c>
      <c r="K766" s="55" t="s">
        <v>360</v>
      </c>
      <c r="L766" s="55" t="s">
        <v>360</v>
      </c>
      <c r="M766" s="55" t="s">
        <v>142</v>
      </c>
      <c r="N766" s="55" t="s">
        <v>142</v>
      </c>
      <c r="O766" s="55" t="s">
        <v>262</v>
      </c>
      <c r="P766" s="55" t="s">
        <v>618</v>
      </c>
      <c r="Q766" s="55" t="s">
        <v>350</v>
      </c>
      <c r="R766" s="55">
        <v>5</v>
      </c>
      <c r="S766" s="74"/>
      <c r="T766" s="55" t="s">
        <v>1505</v>
      </c>
      <c r="U766" s="73" t="s">
        <v>351</v>
      </c>
      <c r="V766" s="74">
        <v>44579</v>
      </c>
      <c r="W766" s="74">
        <v>44622</v>
      </c>
      <c r="X766" s="55">
        <v>10186659</v>
      </c>
      <c r="Y766" s="74" t="s">
        <v>132</v>
      </c>
      <c r="Z766" s="74"/>
      <c r="AB766" s="55" t="s">
        <v>132</v>
      </c>
      <c r="AC766" s="55" t="s">
        <v>132</v>
      </c>
    </row>
    <row r="767" spans="1:29" ht="13" x14ac:dyDescent="0.15">
      <c r="A767" s="72" t="str">
        <f t="shared" si="11"/>
        <v>Ofsted Social Care Provider Webpage</v>
      </c>
      <c r="B767" s="55">
        <v>2526893</v>
      </c>
      <c r="D767" s="55" t="s">
        <v>373</v>
      </c>
      <c r="E767" s="74">
        <v>43741</v>
      </c>
      <c r="F767" s="55" t="s">
        <v>344</v>
      </c>
      <c r="G767" s="55" t="s">
        <v>360</v>
      </c>
      <c r="H767" s="55" t="s">
        <v>360</v>
      </c>
      <c r="I767" s="55" t="s">
        <v>360</v>
      </c>
      <c r="J767" s="55" t="s">
        <v>360</v>
      </c>
      <c r="K767" s="55" t="s">
        <v>360</v>
      </c>
      <c r="L767" s="55" t="s">
        <v>360</v>
      </c>
      <c r="M767" s="55" t="s">
        <v>142</v>
      </c>
      <c r="N767" s="55" t="s">
        <v>142</v>
      </c>
      <c r="O767" s="55" t="s">
        <v>265</v>
      </c>
      <c r="P767" s="55" t="s">
        <v>1215</v>
      </c>
      <c r="Q767" s="55" t="s">
        <v>350</v>
      </c>
      <c r="R767" s="55">
        <v>4</v>
      </c>
      <c r="S767" s="74"/>
      <c r="T767" s="55" t="s">
        <v>1505</v>
      </c>
      <c r="U767" s="73" t="s">
        <v>351</v>
      </c>
      <c r="V767" s="74">
        <v>44572</v>
      </c>
      <c r="W767" s="74">
        <v>44615</v>
      </c>
      <c r="X767" s="55">
        <v>10185594</v>
      </c>
      <c r="Y767" s="74" t="s">
        <v>132</v>
      </c>
      <c r="Z767" s="74"/>
      <c r="AB767" s="55" t="s">
        <v>132</v>
      </c>
      <c r="AC767" s="55" t="s">
        <v>132</v>
      </c>
    </row>
    <row r="768" spans="1:29" ht="13" x14ac:dyDescent="0.15">
      <c r="A768" s="72" t="str">
        <f t="shared" si="11"/>
        <v>Ofsted Social Care Provider Webpage</v>
      </c>
      <c r="B768" s="55">
        <v>2526920</v>
      </c>
      <c r="D768" s="55" t="s">
        <v>373</v>
      </c>
      <c r="E768" s="74">
        <v>43579</v>
      </c>
      <c r="F768" s="55" t="s">
        <v>344</v>
      </c>
      <c r="G768" s="55" t="s">
        <v>360</v>
      </c>
      <c r="H768" s="55" t="s">
        <v>360</v>
      </c>
      <c r="I768" s="55" t="s">
        <v>360</v>
      </c>
      <c r="J768" s="55" t="s">
        <v>360</v>
      </c>
      <c r="K768" s="55" t="s">
        <v>360</v>
      </c>
      <c r="L768" s="55" t="s">
        <v>360</v>
      </c>
      <c r="M768" s="55" t="s">
        <v>144</v>
      </c>
      <c r="N768" s="55" t="s">
        <v>144</v>
      </c>
      <c r="O768" s="55" t="s">
        <v>168</v>
      </c>
      <c r="P768" s="55" t="s">
        <v>913</v>
      </c>
      <c r="Q768" s="55" t="s">
        <v>350</v>
      </c>
      <c r="R768" s="55">
        <v>5</v>
      </c>
      <c r="S768" s="74"/>
      <c r="T768" s="55" t="s">
        <v>1098</v>
      </c>
      <c r="U768" s="73" t="s">
        <v>351</v>
      </c>
      <c r="V768" s="74">
        <v>43676</v>
      </c>
      <c r="W768" s="74">
        <v>43697</v>
      </c>
      <c r="X768" s="55">
        <v>10115378</v>
      </c>
      <c r="Y768" s="74" t="s">
        <v>132</v>
      </c>
      <c r="Z768" s="74"/>
      <c r="AB768" s="55" t="s">
        <v>132</v>
      </c>
      <c r="AC768" s="55" t="s">
        <v>132</v>
      </c>
    </row>
    <row r="769" spans="1:29" ht="13" x14ac:dyDescent="0.15">
      <c r="A769" s="72" t="str">
        <f t="shared" si="11"/>
        <v>Ofsted Social Care Provider Webpage</v>
      </c>
      <c r="B769" s="55">
        <v>2526921</v>
      </c>
      <c r="D769" s="55" t="s">
        <v>373</v>
      </c>
      <c r="E769" s="74">
        <v>43531</v>
      </c>
      <c r="F769" s="55" t="s">
        <v>344</v>
      </c>
      <c r="G769" s="55" t="s">
        <v>360</v>
      </c>
      <c r="H769" s="55" t="s">
        <v>360</v>
      </c>
      <c r="I769" s="55" t="s">
        <v>360</v>
      </c>
      <c r="J769" s="55" t="s">
        <v>360</v>
      </c>
      <c r="K769" s="55" t="s">
        <v>360</v>
      </c>
      <c r="L769" s="55" t="s">
        <v>360</v>
      </c>
      <c r="M769" s="55" t="s">
        <v>144</v>
      </c>
      <c r="N769" s="55" t="s">
        <v>144</v>
      </c>
      <c r="O769" s="55" t="s">
        <v>168</v>
      </c>
      <c r="P769" s="55" t="s">
        <v>913</v>
      </c>
      <c r="Q769" s="55" t="s">
        <v>350</v>
      </c>
      <c r="R769" s="55">
        <v>5</v>
      </c>
      <c r="S769" s="74"/>
      <c r="T769" s="55" t="s">
        <v>1098</v>
      </c>
      <c r="U769" s="73" t="s">
        <v>351</v>
      </c>
      <c r="V769" s="74">
        <v>44581</v>
      </c>
      <c r="W769" s="74">
        <v>44620</v>
      </c>
      <c r="X769" s="55">
        <v>10187252</v>
      </c>
      <c r="Y769" s="74" t="s">
        <v>132</v>
      </c>
      <c r="Z769" s="74"/>
      <c r="AB769" s="55" t="s">
        <v>132</v>
      </c>
      <c r="AC769" s="55" t="s">
        <v>132</v>
      </c>
    </row>
    <row r="770" spans="1:29" ht="13" x14ac:dyDescent="0.15">
      <c r="A770" s="72" t="str">
        <f t="shared" si="11"/>
        <v>Ofsted Social Care Provider Webpage</v>
      </c>
      <c r="B770" s="55">
        <v>2526987</v>
      </c>
      <c r="D770" s="55" t="s">
        <v>373</v>
      </c>
      <c r="E770" s="74">
        <v>43634</v>
      </c>
      <c r="F770" s="55" t="s">
        <v>344</v>
      </c>
      <c r="G770" s="55" t="s">
        <v>360</v>
      </c>
      <c r="H770" s="55" t="s">
        <v>360</v>
      </c>
      <c r="I770" s="55" t="s">
        <v>360</v>
      </c>
      <c r="J770" s="55" t="s">
        <v>360</v>
      </c>
      <c r="K770" s="55" t="s">
        <v>360</v>
      </c>
      <c r="L770" s="55" t="s">
        <v>360</v>
      </c>
      <c r="M770" s="55" t="s">
        <v>138</v>
      </c>
      <c r="N770" s="55" t="s">
        <v>138</v>
      </c>
      <c r="O770" s="55" t="s">
        <v>196</v>
      </c>
      <c r="P770" s="55" t="s">
        <v>1506</v>
      </c>
      <c r="Q770" s="55" t="s">
        <v>350</v>
      </c>
      <c r="R770" s="55">
        <v>2</v>
      </c>
      <c r="S770" s="74"/>
      <c r="T770" s="55" t="s">
        <v>1507</v>
      </c>
      <c r="U770" s="73" t="s">
        <v>351</v>
      </c>
      <c r="V770" s="74">
        <v>44503</v>
      </c>
      <c r="W770" s="74">
        <v>44538</v>
      </c>
      <c r="X770" s="55">
        <v>10186115</v>
      </c>
      <c r="Y770" s="74" t="s">
        <v>132</v>
      </c>
      <c r="Z770" s="74"/>
      <c r="AB770" s="55" t="s">
        <v>132</v>
      </c>
      <c r="AC770" s="55" t="s">
        <v>132</v>
      </c>
    </row>
    <row r="771" spans="1:29" ht="13" x14ac:dyDescent="0.15">
      <c r="A771" s="72" t="str">
        <f t="shared" si="11"/>
        <v>Ofsted Social Care Provider Webpage</v>
      </c>
      <c r="B771" s="55">
        <v>2526992</v>
      </c>
      <c r="D771" s="55" t="s">
        <v>373</v>
      </c>
      <c r="E771" s="74">
        <v>43709</v>
      </c>
      <c r="F771" s="55" t="s">
        <v>344</v>
      </c>
      <c r="G771" s="55" t="s">
        <v>360</v>
      </c>
      <c r="H771" s="55" t="s">
        <v>360</v>
      </c>
      <c r="I771" s="55" t="s">
        <v>360</v>
      </c>
      <c r="J771" s="55" t="s">
        <v>360</v>
      </c>
      <c r="K771" s="55" t="s">
        <v>360</v>
      </c>
      <c r="L771" s="55" t="s">
        <v>360</v>
      </c>
      <c r="M771" s="55" t="s">
        <v>378</v>
      </c>
      <c r="N771" s="55" t="s">
        <v>134</v>
      </c>
      <c r="O771" s="55" t="s">
        <v>206</v>
      </c>
      <c r="P771" s="55" t="s">
        <v>760</v>
      </c>
      <c r="Q771" s="55" t="s">
        <v>350</v>
      </c>
      <c r="R771" s="55">
        <v>2</v>
      </c>
      <c r="S771" s="74"/>
      <c r="T771" s="55" t="s">
        <v>485</v>
      </c>
      <c r="U771" s="73" t="s">
        <v>351</v>
      </c>
      <c r="V771" s="74">
        <v>44622</v>
      </c>
      <c r="W771" s="74">
        <v>44670</v>
      </c>
      <c r="X771" s="55">
        <v>10185751</v>
      </c>
      <c r="Y771" s="74" t="s">
        <v>132</v>
      </c>
      <c r="Z771" s="74"/>
      <c r="AB771" s="55" t="s">
        <v>132</v>
      </c>
      <c r="AC771" s="55" t="s">
        <v>132</v>
      </c>
    </row>
    <row r="772" spans="1:29" ht="13" x14ac:dyDescent="0.15">
      <c r="A772" s="72" t="str">
        <f t="shared" si="11"/>
        <v>Ofsted Social Care Provider Webpage</v>
      </c>
      <c r="B772" s="55">
        <v>2527312</v>
      </c>
      <c r="D772" s="55" t="s">
        <v>373</v>
      </c>
      <c r="E772" s="74">
        <v>43668</v>
      </c>
      <c r="F772" s="55" t="s">
        <v>344</v>
      </c>
      <c r="G772" s="55" t="s">
        <v>360</v>
      </c>
      <c r="H772" s="55" t="s">
        <v>360</v>
      </c>
      <c r="I772" s="55" t="s">
        <v>360</v>
      </c>
      <c r="J772" s="55" t="s">
        <v>360</v>
      </c>
      <c r="K772" s="55" t="s">
        <v>360</v>
      </c>
      <c r="L772" s="55" t="s">
        <v>360</v>
      </c>
      <c r="M772" s="55" t="s">
        <v>136</v>
      </c>
      <c r="N772" s="55" t="s">
        <v>136</v>
      </c>
      <c r="O772" s="55" t="s">
        <v>174</v>
      </c>
      <c r="P772" s="55" t="s">
        <v>651</v>
      </c>
      <c r="Q772" s="55" t="s">
        <v>350</v>
      </c>
      <c r="R772" s="55">
        <v>2</v>
      </c>
      <c r="S772" s="74"/>
      <c r="T772" s="55" t="s">
        <v>652</v>
      </c>
      <c r="U772" s="73" t="s">
        <v>351</v>
      </c>
      <c r="V772" s="74">
        <v>44397</v>
      </c>
      <c r="W772" s="74">
        <v>44434</v>
      </c>
      <c r="X772" s="55">
        <v>10185523</v>
      </c>
      <c r="Y772" s="74" t="s">
        <v>130</v>
      </c>
      <c r="Z772" s="74"/>
      <c r="AB772" s="55" t="s">
        <v>130</v>
      </c>
      <c r="AC772" s="55" t="s">
        <v>130</v>
      </c>
    </row>
    <row r="773" spans="1:29" ht="13" x14ac:dyDescent="0.15">
      <c r="A773" s="72" t="str">
        <f t="shared" si="11"/>
        <v>Ofsted Social Care Provider Webpage</v>
      </c>
      <c r="B773" s="55">
        <v>2527328</v>
      </c>
      <c r="D773" s="55" t="s">
        <v>451</v>
      </c>
      <c r="E773" s="74">
        <v>43623</v>
      </c>
      <c r="F773" s="55" t="s">
        <v>344</v>
      </c>
      <c r="G773" s="55" t="s">
        <v>1508</v>
      </c>
      <c r="H773" s="55" t="s">
        <v>1509</v>
      </c>
      <c r="I773" s="55" t="s">
        <v>1510</v>
      </c>
      <c r="J773" s="55" t="s">
        <v>215</v>
      </c>
      <c r="L773" s="55" t="s">
        <v>1511</v>
      </c>
      <c r="M773" s="55" t="s">
        <v>144</v>
      </c>
      <c r="N773" s="55" t="s">
        <v>144</v>
      </c>
      <c r="O773" s="55" t="s">
        <v>215</v>
      </c>
      <c r="P773" s="55" t="s">
        <v>1008</v>
      </c>
      <c r="Q773" s="55" t="s">
        <v>350</v>
      </c>
      <c r="R773" s="55">
        <v>5</v>
      </c>
      <c r="S773" s="74"/>
      <c r="T773" s="55" t="s">
        <v>1508</v>
      </c>
      <c r="U773" s="73" t="s">
        <v>351</v>
      </c>
      <c r="V773" s="74">
        <v>44538</v>
      </c>
      <c r="W773" s="74">
        <v>44600</v>
      </c>
      <c r="X773" s="55">
        <v>10183236</v>
      </c>
      <c r="Y773" s="74" t="s">
        <v>132</v>
      </c>
      <c r="Z773" s="74"/>
      <c r="AB773" s="55" t="s">
        <v>132</v>
      </c>
      <c r="AC773" s="55" t="s">
        <v>130</v>
      </c>
    </row>
    <row r="774" spans="1:29" ht="13" x14ac:dyDescent="0.15">
      <c r="A774" s="72" t="str">
        <f t="shared" ref="A774:A837" si="12">HYPERLINK(_xlfn.CONCAT("http://reports.ofsted.gov.uk/inspection-reports/find-inspection-report/provider/CARE/",B774),"Ofsted Social Care Provider Webpage")</f>
        <v>Ofsted Social Care Provider Webpage</v>
      </c>
      <c r="B774" s="55">
        <v>2527558</v>
      </c>
      <c r="D774" s="55" t="s">
        <v>373</v>
      </c>
      <c r="E774" s="74">
        <v>43860</v>
      </c>
      <c r="F774" s="55" t="s">
        <v>344</v>
      </c>
      <c r="G774" s="55" t="s">
        <v>360</v>
      </c>
      <c r="H774" s="55" t="s">
        <v>360</v>
      </c>
      <c r="I774" s="55" t="s">
        <v>360</v>
      </c>
      <c r="J774" s="55" t="s">
        <v>360</v>
      </c>
      <c r="K774" s="55" t="s">
        <v>360</v>
      </c>
      <c r="L774" s="55" t="s">
        <v>360</v>
      </c>
      <c r="M774" s="55" t="s">
        <v>144</v>
      </c>
      <c r="N774" s="55" t="s">
        <v>144</v>
      </c>
      <c r="O774" s="55" t="s">
        <v>209</v>
      </c>
      <c r="P774" s="55" t="s">
        <v>474</v>
      </c>
      <c r="Q774" s="55" t="s">
        <v>350</v>
      </c>
      <c r="R774" s="55">
        <v>5</v>
      </c>
      <c r="S774" s="74"/>
      <c r="T774" s="55" t="s">
        <v>863</v>
      </c>
      <c r="U774" s="73" t="s">
        <v>351</v>
      </c>
      <c r="V774" s="74">
        <v>44306</v>
      </c>
      <c r="W774" s="74">
        <v>44337</v>
      </c>
      <c r="X774" s="55">
        <v>10186481</v>
      </c>
      <c r="Y774" s="74" t="s">
        <v>130</v>
      </c>
      <c r="Z774" s="74"/>
      <c r="AB774" s="55" t="s">
        <v>130</v>
      </c>
      <c r="AC774" s="55" t="s">
        <v>130</v>
      </c>
    </row>
    <row r="775" spans="1:29" ht="13" x14ac:dyDescent="0.15">
      <c r="A775" s="72" t="str">
        <f t="shared" si="12"/>
        <v>Ofsted Social Care Provider Webpage</v>
      </c>
      <c r="B775" s="55">
        <v>2527654</v>
      </c>
      <c r="D775" s="55" t="s">
        <v>373</v>
      </c>
      <c r="E775" s="74">
        <v>43651</v>
      </c>
      <c r="F775" s="55" t="s">
        <v>344</v>
      </c>
      <c r="G775" s="55" t="s">
        <v>360</v>
      </c>
      <c r="H775" s="55" t="s">
        <v>360</v>
      </c>
      <c r="I775" s="55" t="s">
        <v>360</v>
      </c>
      <c r="J775" s="55" t="s">
        <v>360</v>
      </c>
      <c r="K775" s="55" t="s">
        <v>360</v>
      </c>
      <c r="L775" s="55" t="s">
        <v>360</v>
      </c>
      <c r="M775" s="55" t="s">
        <v>144</v>
      </c>
      <c r="N775" s="55" t="s">
        <v>144</v>
      </c>
      <c r="O775" s="55" t="s">
        <v>290</v>
      </c>
      <c r="P775" s="55" t="s">
        <v>1512</v>
      </c>
      <c r="Q775" s="55" t="s">
        <v>350</v>
      </c>
      <c r="R775" s="55">
        <v>2</v>
      </c>
      <c r="S775" s="74"/>
      <c r="T775" s="55" t="s">
        <v>1513</v>
      </c>
      <c r="U775" s="73" t="s">
        <v>351</v>
      </c>
      <c r="V775" s="74">
        <v>44425</v>
      </c>
      <c r="W775" s="74">
        <v>44466</v>
      </c>
      <c r="X775" s="55">
        <v>10186882</v>
      </c>
      <c r="Y775" s="74" t="s">
        <v>130</v>
      </c>
      <c r="Z775" s="74"/>
      <c r="AB775" s="55" t="s">
        <v>130</v>
      </c>
      <c r="AC775" s="55" t="s">
        <v>130</v>
      </c>
    </row>
    <row r="776" spans="1:29" ht="13" x14ac:dyDescent="0.15">
      <c r="A776" s="72" t="str">
        <f t="shared" si="12"/>
        <v>Ofsted Social Care Provider Webpage</v>
      </c>
      <c r="B776" s="55">
        <v>2527860</v>
      </c>
      <c r="D776" s="55" t="s">
        <v>373</v>
      </c>
      <c r="E776" s="74">
        <v>43670</v>
      </c>
      <c r="F776" s="55" t="s">
        <v>344</v>
      </c>
      <c r="G776" s="55" t="s">
        <v>360</v>
      </c>
      <c r="H776" s="55" t="s">
        <v>360</v>
      </c>
      <c r="I776" s="55" t="s">
        <v>360</v>
      </c>
      <c r="J776" s="55" t="s">
        <v>360</v>
      </c>
      <c r="K776" s="55" t="s">
        <v>360</v>
      </c>
      <c r="L776" s="55" t="s">
        <v>360</v>
      </c>
      <c r="M776" s="55" t="s">
        <v>144</v>
      </c>
      <c r="N776" s="55" t="s">
        <v>144</v>
      </c>
      <c r="O776" s="55" t="s">
        <v>209</v>
      </c>
      <c r="P776" s="55" t="s">
        <v>544</v>
      </c>
      <c r="Q776" s="55" t="s">
        <v>350</v>
      </c>
      <c r="R776" s="55">
        <v>1</v>
      </c>
      <c r="S776" s="74"/>
      <c r="T776" s="55" t="s">
        <v>485</v>
      </c>
      <c r="U776" s="73" t="s">
        <v>351</v>
      </c>
      <c r="V776" s="74">
        <v>43893</v>
      </c>
      <c r="W776" s="74">
        <v>43927</v>
      </c>
      <c r="X776" s="55">
        <v>10132494</v>
      </c>
      <c r="Y776" s="74" t="s">
        <v>132</v>
      </c>
      <c r="Z776" s="74"/>
      <c r="AB776" s="55" t="s">
        <v>132</v>
      </c>
      <c r="AC776" s="55" t="s">
        <v>132</v>
      </c>
    </row>
    <row r="777" spans="1:29" ht="13" x14ac:dyDescent="0.15">
      <c r="A777" s="72" t="str">
        <f t="shared" si="12"/>
        <v>Ofsted Social Care Provider Webpage</v>
      </c>
      <c r="B777" s="55">
        <v>2528080</v>
      </c>
      <c r="D777" s="55" t="s">
        <v>443</v>
      </c>
      <c r="E777" s="74">
        <v>43748</v>
      </c>
      <c r="F777" s="55" t="s">
        <v>344</v>
      </c>
      <c r="G777" s="55" t="s">
        <v>1514</v>
      </c>
      <c r="H777" s="55" t="s">
        <v>621</v>
      </c>
      <c r="I777" s="55" t="s">
        <v>1515</v>
      </c>
      <c r="J777" s="55" t="s">
        <v>1516</v>
      </c>
      <c r="K777" s="55" t="s">
        <v>268</v>
      </c>
      <c r="L777" s="55" t="s">
        <v>1517</v>
      </c>
      <c r="M777" s="55" t="s">
        <v>150</v>
      </c>
      <c r="N777" s="55" t="s">
        <v>150</v>
      </c>
      <c r="O777" s="55" t="s">
        <v>268</v>
      </c>
      <c r="P777" s="55" t="s">
        <v>1518</v>
      </c>
      <c r="Q777" s="55" t="s">
        <v>350</v>
      </c>
      <c r="R777" s="55"/>
      <c r="S777" s="74"/>
      <c r="T777" s="55" t="s">
        <v>1514</v>
      </c>
      <c r="U777" s="73"/>
      <c r="W777" s="74"/>
      <c r="Y777" s="74"/>
      <c r="Z777" s="74"/>
    </row>
    <row r="778" spans="1:29" ht="13" x14ac:dyDescent="0.15">
      <c r="A778" s="72" t="str">
        <f t="shared" si="12"/>
        <v>Ofsted Social Care Provider Webpage</v>
      </c>
      <c r="B778" s="55">
        <v>2528141</v>
      </c>
      <c r="D778" s="55" t="s">
        <v>373</v>
      </c>
      <c r="E778" s="74">
        <v>43619</v>
      </c>
      <c r="F778" s="55" t="s">
        <v>344</v>
      </c>
      <c r="G778" s="55" t="s">
        <v>360</v>
      </c>
      <c r="H778" s="55" t="s">
        <v>360</v>
      </c>
      <c r="I778" s="55" t="s">
        <v>360</v>
      </c>
      <c r="J778" s="55" t="s">
        <v>360</v>
      </c>
      <c r="K778" s="55" t="s">
        <v>360</v>
      </c>
      <c r="L778" s="55" t="s">
        <v>360</v>
      </c>
      <c r="M778" s="55" t="s">
        <v>144</v>
      </c>
      <c r="N778" s="55" t="s">
        <v>144</v>
      </c>
      <c r="O778" s="55" t="s">
        <v>209</v>
      </c>
      <c r="P778" s="55" t="s">
        <v>364</v>
      </c>
      <c r="Q778" s="55" t="s">
        <v>350</v>
      </c>
      <c r="R778" s="55">
        <v>1</v>
      </c>
      <c r="S778" s="74"/>
      <c r="T778" s="55" t="s">
        <v>1279</v>
      </c>
      <c r="U778" s="73" t="s">
        <v>351</v>
      </c>
      <c r="V778" s="74">
        <v>44593</v>
      </c>
      <c r="W778" s="74">
        <v>44651</v>
      </c>
      <c r="X778" s="55">
        <v>10185002</v>
      </c>
      <c r="Y778" s="74" t="s">
        <v>146</v>
      </c>
      <c r="Z778" s="74"/>
      <c r="AB778" s="55" t="s">
        <v>146</v>
      </c>
      <c r="AC778" s="55" t="s">
        <v>146</v>
      </c>
    </row>
    <row r="779" spans="1:29" ht="13" x14ac:dyDescent="0.15">
      <c r="A779" s="72" t="str">
        <f t="shared" si="12"/>
        <v>Ofsted Social Care Provider Webpage</v>
      </c>
      <c r="B779" s="55">
        <v>2528264</v>
      </c>
      <c r="D779" s="55" t="s">
        <v>373</v>
      </c>
      <c r="E779" s="74">
        <v>43686</v>
      </c>
      <c r="F779" s="55" t="s">
        <v>344</v>
      </c>
      <c r="G779" s="55" t="s">
        <v>360</v>
      </c>
      <c r="H779" s="55" t="s">
        <v>360</v>
      </c>
      <c r="I779" s="55" t="s">
        <v>360</v>
      </c>
      <c r="J779" s="55" t="s">
        <v>360</v>
      </c>
      <c r="K779" s="55" t="s">
        <v>360</v>
      </c>
      <c r="L779" s="55" t="s">
        <v>360</v>
      </c>
      <c r="M779" s="55" t="s">
        <v>129</v>
      </c>
      <c r="N779" s="55" t="s">
        <v>129</v>
      </c>
      <c r="O779" s="55" t="s">
        <v>242</v>
      </c>
      <c r="P779" s="55" t="s">
        <v>1519</v>
      </c>
      <c r="Q779" s="55" t="s">
        <v>350</v>
      </c>
      <c r="R779" s="55">
        <v>5</v>
      </c>
      <c r="S779" s="74"/>
      <c r="T779" s="55" t="s">
        <v>1520</v>
      </c>
      <c r="U779" s="73" t="s">
        <v>351</v>
      </c>
      <c r="V779" s="74">
        <v>44370</v>
      </c>
      <c r="W779" s="74">
        <v>44398</v>
      </c>
      <c r="X779" s="55">
        <v>10186216</v>
      </c>
      <c r="Y779" s="74" t="s">
        <v>132</v>
      </c>
      <c r="Z779" s="74"/>
      <c r="AB779" s="55" t="s">
        <v>132</v>
      </c>
      <c r="AC779" s="55" t="s">
        <v>132</v>
      </c>
    </row>
    <row r="780" spans="1:29" ht="13" x14ac:dyDescent="0.15">
      <c r="A780" s="72" t="str">
        <f t="shared" si="12"/>
        <v>Ofsted Social Care Provider Webpage</v>
      </c>
      <c r="B780" s="55">
        <v>2528486</v>
      </c>
      <c r="D780" s="55" t="s">
        <v>373</v>
      </c>
      <c r="E780" s="74">
        <v>43587</v>
      </c>
      <c r="F780" s="55" t="s">
        <v>344</v>
      </c>
      <c r="G780" s="55" t="s">
        <v>360</v>
      </c>
      <c r="H780" s="55" t="s">
        <v>360</v>
      </c>
      <c r="I780" s="55" t="s">
        <v>360</v>
      </c>
      <c r="J780" s="55" t="s">
        <v>360</v>
      </c>
      <c r="K780" s="55" t="s">
        <v>360</v>
      </c>
      <c r="L780" s="55" t="s">
        <v>360</v>
      </c>
      <c r="M780" s="55" t="s">
        <v>136</v>
      </c>
      <c r="N780" s="55" t="s">
        <v>136</v>
      </c>
      <c r="O780" s="55" t="s">
        <v>174</v>
      </c>
      <c r="P780" s="55" t="s">
        <v>651</v>
      </c>
      <c r="Q780" s="55" t="s">
        <v>350</v>
      </c>
      <c r="R780" s="55">
        <v>3</v>
      </c>
      <c r="S780" s="74"/>
      <c r="T780" s="55" t="s">
        <v>1521</v>
      </c>
      <c r="U780" s="73" t="s">
        <v>351</v>
      </c>
      <c r="V780" s="74">
        <v>44565</v>
      </c>
      <c r="W780" s="74">
        <v>44593</v>
      </c>
      <c r="X780" s="55">
        <v>10216207</v>
      </c>
      <c r="Y780" s="74" t="s">
        <v>130</v>
      </c>
      <c r="Z780" s="74"/>
      <c r="AB780" s="55" t="s">
        <v>130</v>
      </c>
      <c r="AC780" s="55" t="s">
        <v>130</v>
      </c>
    </row>
    <row r="781" spans="1:29" ht="13" x14ac:dyDescent="0.15">
      <c r="A781" s="72" t="str">
        <f t="shared" si="12"/>
        <v>Ofsted Social Care Provider Webpage</v>
      </c>
      <c r="B781" s="55">
        <v>2528516</v>
      </c>
      <c r="D781" s="55" t="s">
        <v>373</v>
      </c>
      <c r="E781" s="74">
        <v>43615</v>
      </c>
      <c r="F781" s="55" t="s">
        <v>344</v>
      </c>
      <c r="G781" s="55" t="s">
        <v>360</v>
      </c>
      <c r="H781" s="55" t="s">
        <v>360</v>
      </c>
      <c r="I781" s="55" t="s">
        <v>360</v>
      </c>
      <c r="J781" s="55" t="s">
        <v>360</v>
      </c>
      <c r="K781" s="55" t="s">
        <v>360</v>
      </c>
      <c r="L781" s="55" t="s">
        <v>360</v>
      </c>
      <c r="M781" s="55" t="s">
        <v>138</v>
      </c>
      <c r="N781" s="55" t="s">
        <v>138</v>
      </c>
      <c r="O781" s="55" t="s">
        <v>266</v>
      </c>
      <c r="P781" s="55" t="s">
        <v>1522</v>
      </c>
      <c r="Q781" s="55" t="s">
        <v>350</v>
      </c>
      <c r="R781" s="55">
        <v>6</v>
      </c>
      <c r="S781" s="74"/>
      <c r="T781" s="55" t="s">
        <v>574</v>
      </c>
      <c r="U781" s="73" t="s">
        <v>351</v>
      </c>
      <c r="V781" s="74">
        <v>44300</v>
      </c>
      <c r="W781" s="74">
        <v>44327</v>
      </c>
      <c r="X781" s="55">
        <v>10185073</v>
      </c>
      <c r="Y781" s="74" t="s">
        <v>132</v>
      </c>
      <c r="Z781" s="74"/>
      <c r="AB781" s="55" t="s">
        <v>132</v>
      </c>
      <c r="AC781" s="55" t="s">
        <v>132</v>
      </c>
    </row>
    <row r="782" spans="1:29" ht="13" x14ac:dyDescent="0.15">
      <c r="A782" s="72" t="str">
        <f t="shared" si="12"/>
        <v>Ofsted Social Care Provider Webpage</v>
      </c>
      <c r="B782" s="55">
        <v>2528634</v>
      </c>
      <c r="D782" s="55" t="s">
        <v>373</v>
      </c>
      <c r="E782" s="74">
        <v>43605</v>
      </c>
      <c r="F782" s="55" t="s">
        <v>344</v>
      </c>
      <c r="G782" s="55" t="s">
        <v>360</v>
      </c>
      <c r="H782" s="55" t="s">
        <v>360</v>
      </c>
      <c r="I782" s="55" t="s">
        <v>360</v>
      </c>
      <c r="J782" s="55" t="s">
        <v>360</v>
      </c>
      <c r="K782" s="55" t="s">
        <v>360</v>
      </c>
      <c r="L782" s="55" t="s">
        <v>360</v>
      </c>
      <c r="M782" s="55" t="s">
        <v>378</v>
      </c>
      <c r="N782" s="55" t="s">
        <v>134</v>
      </c>
      <c r="O782" s="55" t="s">
        <v>158</v>
      </c>
      <c r="P782" s="55" t="s">
        <v>912</v>
      </c>
      <c r="Q782" s="55" t="s">
        <v>350</v>
      </c>
      <c r="R782" s="55">
        <v>3</v>
      </c>
      <c r="S782" s="74"/>
      <c r="T782" s="55" t="s">
        <v>951</v>
      </c>
      <c r="U782" s="73" t="s">
        <v>351</v>
      </c>
      <c r="V782" s="74">
        <v>44594</v>
      </c>
      <c r="W782" s="74">
        <v>44635</v>
      </c>
      <c r="X782" s="55">
        <v>10185112</v>
      </c>
      <c r="Y782" s="74" t="s">
        <v>132</v>
      </c>
      <c r="Z782" s="74"/>
      <c r="AB782" s="55" t="s">
        <v>132</v>
      </c>
      <c r="AC782" s="55" t="s">
        <v>132</v>
      </c>
    </row>
    <row r="783" spans="1:29" ht="13" x14ac:dyDescent="0.15">
      <c r="A783" s="72" t="str">
        <f t="shared" si="12"/>
        <v>Ofsted Social Care Provider Webpage</v>
      </c>
      <c r="B783" s="55">
        <v>2529331</v>
      </c>
      <c r="D783" s="55" t="s">
        <v>373</v>
      </c>
      <c r="E783" s="74">
        <v>43952</v>
      </c>
      <c r="F783" s="55" t="s">
        <v>344</v>
      </c>
      <c r="G783" s="55" t="s">
        <v>360</v>
      </c>
      <c r="H783" s="55" t="s">
        <v>360</v>
      </c>
      <c r="I783" s="55" t="s">
        <v>360</v>
      </c>
      <c r="J783" s="55" t="s">
        <v>360</v>
      </c>
      <c r="K783" s="55" t="s">
        <v>360</v>
      </c>
      <c r="L783" s="55" t="s">
        <v>360</v>
      </c>
      <c r="M783" s="55" t="s">
        <v>150</v>
      </c>
      <c r="N783" s="55" t="s">
        <v>150</v>
      </c>
      <c r="O783" s="55" t="s">
        <v>190</v>
      </c>
      <c r="P783" s="55" t="s">
        <v>1523</v>
      </c>
      <c r="Q783" s="55" t="s">
        <v>350</v>
      </c>
      <c r="R783" s="55">
        <v>5</v>
      </c>
      <c r="S783" s="74"/>
      <c r="T783" s="55" t="s">
        <v>1524</v>
      </c>
      <c r="U783" s="73" t="s">
        <v>351</v>
      </c>
      <c r="V783" s="74">
        <v>44427</v>
      </c>
      <c r="W783" s="74">
        <v>44480</v>
      </c>
      <c r="X783" s="55">
        <v>10187414</v>
      </c>
      <c r="Y783" s="74" t="s">
        <v>130</v>
      </c>
      <c r="Z783" s="74"/>
      <c r="AB783" s="55" t="s">
        <v>130</v>
      </c>
      <c r="AC783" s="55" t="s">
        <v>146</v>
      </c>
    </row>
    <row r="784" spans="1:29" ht="13" x14ac:dyDescent="0.15">
      <c r="A784" s="72" t="str">
        <f t="shared" si="12"/>
        <v>Ofsted Social Care Provider Webpage</v>
      </c>
      <c r="B784" s="55">
        <v>2529355</v>
      </c>
      <c r="D784" s="55" t="s">
        <v>373</v>
      </c>
      <c r="E784" s="74">
        <v>43690</v>
      </c>
      <c r="F784" s="55" t="s">
        <v>344</v>
      </c>
      <c r="G784" s="55" t="s">
        <v>360</v>
      </c>
      <c r="H784" s="55" t="s">
        <v>360</v>
      </c>
      <c r="I784" s="55" t="s">
        <v>360</v>
      </c>
      <c r="J784" s="55" t="s">
        <v>360</v>
      </c>
      <c r="K784" s="55" t="s">
        <v>360</v>
      </c>
      <c r="L784" s="55" t="s">
        <v>360</v>
      </c>
      <c r="M784" s="55" t="s">
        <v>144</v>
      </c>
      <c r="N784" s="55" t="s">
        <v>144</v>
      </c>
      <c r="O784" s="55" t="s">
        <v>145</v>
      </c>
      <c r="P784" s="55" t="s">
        <v>525</v>
      </c>
      <c r="Q784" s="55" t="s">
        <v>350</v>
      </c>
      <c r="R784" s="55">
        <v>1</v>
      </c>
      <c r="S784" s="74"/>
      <c r="T784" s="55" t="s">
        <v>485</v>
      </c>
      <c r="U784" s="73" t="s">
        <v>351</v>
      </c>
      <c r="V784" s="74">
        <v>44574</v>
      </c>
      <c r="W784" s="74">
        <v>44603</v>
      </c>
      <c r="X784" s="55">
        <v>10187409</v>
      </c>
      <c r="Y784" s="74" t="s">
        <v>132</v>
      </c>
      <c r="Z784" s="74"/>
      <c r="AB784" s="55" t="s">
        <v>132</v>
      </c>
      <c r="AC784" s="55" t="s">
        <v>132</v>
      </c>
    </row>
    <row r="785" spans="1:29" ht="13" x14ac:dyDescent="0.15">
      <c r="A785" s="72" t="str">
        <f t="shared" si="12"/>
        <v>Ofsted Social Care Provider Webpage</v>
      </c>
      <c r="B785" s="55">
        <v>2529639</v>
      </c>
      <c r="D785" s="55" t="s">
        <v>373</v>
      </c>
      <c r="E785" s="74">
        <v>43683</v>
      </c>
      <c r="F785" s="55" t="s">
        <v>344</v>
      </c>
      <c r="G785" s="55" t="s">
        <v>360</v>
      </c>
      <c r="H785" s="55" t="s">
        <v>360</v>
      </c>
      <c r="I785" s="55" t="s">
        <v>360</v>
      </c>
      <c r="J785" s="55" t="s">
        <v>360</v>
      </c>
      <c r="K785" s="55" t="s">
        <v>360</v>
      </c>
      <c r="L785" s="55" t="s">
        <v>360</v>
      </c>
      <c r="M785" s="55" t="s">
        <v>142</v>
      </c>
      <c r="N785" s="55" t="s">
        <v>142</v>
      </c>
      <c r="O785" s="55" t="s">
        <v>166</v>
      </c>
      <c r="P785" s="55" t="s">
        <v>1152</v>
      </c>
      <c r="Q785" s="55" t="s">
        <v>380</v>
      </c>
      <c r="R785" s="55">
        <v>4</v>
      </c>
      <c r="S785" s="74"/>
      <c r="T785" s="55" t="s">
        <v>1302</v>
      </c>
      <c r="U785" s="73" t="s">
        <v>351</v>
      </c>
      <c r="V785" s="74">
        <v>44453</v>
      </c>
      <c r="W785" s="74">
        <v>44495</v>
      </c>
      <c r="X785" s="55">
        <v>10186124</v>
      </c>
      <c r="Y785" s="74" t="s">
        <v>132</v>
      </c>
      <c r="Z785" s="74"/>
      <c r="AB785" s="55" t="s">
        <v>132</v>
      </c>
      <c r="AC785" s="55" t="s">
        <v>130</v>
      </c>
    </row>
    <row r="786" spans="1:29" ht="13" x14ac:dyDescent="0.15">
      <c r="A786" s="72" t="str">
        <f t="shared" si="12"/>
        <v>Ofsted Social Care Provider Webpage</v>
      </c>
      <c r="B786" s="55">
        <v>2529648</v>
      </c>
      <c r="D786" s="55" t="s">
        <v>373</v>
      </c>
      <c r="E786" s="74">
        <v>43542</v>
      </c>
      <c r="F786" s="55" t="s">
        <v>344</v>
      </c>
      <c r="G786" s="55" t="s">
        <v>360</v>
      </c>
      <c r="H786" s="55" t="s">
        <v>360</v>
      </c>
      <c r="I786" s="55" t="s">
        <v>360</v>
      </c>
      <c r="J786" s="55" t="s">
        <v>360</v>
      </c>
      <c r="K786" s="55" t="s">
        <v>360</v>
      </c>
      <c r="L786" s="55" t="s">
        <v>360</v>
      </c>
      <c r="M786" s="55" t="s">
        <v>136</v>
      </c>
      <c r="N786" s="55" t="s">
        <v>136</v>
      </c>
      <c r="O786" s="55" t="s">
        <v>174</v>
      </c>
      <c r="P786" s="55" t="s">
        <v>982</v>
      </c>
      <c r="Q786" s="55" t="s">
        <v>380</v>
      </c>
      <c r="R786" s="55">
        <v>3</v>
      </c>
      <c r="S786" s="74" t="s">
        <v>332</v>
      </c>
      <c r="T786" s="55" t="s">
        <v>1525</v>
      </c>
      <c r="U786" s="73" t="s">
        <v>351</v>
      </c>
      <c r="V786" s="74">
        <v>43816</v>
      </c>
      <c r="W786" s="74">
        <v>43843</v>
      </c>
      <c r="X786" s="55">
        <v>10103588</v>
      </c>
      <c r="Y786" s="74" t="s">
        <v>132</v>
      </c>
      <c r="Z786" s="74"/>
      <c r="AB786" s="55" t="s">
        <v>132</v>
      </c>
      <c r="AC786" s="55" t="s">
        <v>130</v>
      </c>
    </row>
    <row r="787" spans="1:29" ht="13" x14ac:dyDescent="0.15">
      <c r="A787" s="72" t="str">
        <f t="shared" si="12"/>
        <v>Ofsted Social Care Provider Webpage</v>
      </c>
      <c r="B787" s="55">
        <v>2529667</v>
      </c>
      <c r="D787" s="55" t="s">
        <v>373</v>
      </c>
      <c r="E787" s="74">
        <v>43539</v>
      </c>
      <c r="F787" s="55" t="s">
        <v>344</v>
      </c>
      <c r="G787" s="55" t="s">
        <v>360</v>
      </c>
      <c r="H787" s="55" t="s">
        <v>360</v>
      </c>
      <c r="I787" s="55" t="s">
        <v>360</v>
      </c>
      <c r="J787" s="55" t="s">
        <v>360</v>
      </c>
      <c r="K787" s="55" t="s">
        <v>360</v>
      </c>
      <c r="L787" s="55" t="s">
        <v>360</v>
      </c>
      <c r="M787" s="55" t="s">
        <v>136</v>
      </c>
      <c r="N787" s="55" t="s">
        <v>136</v>
      </c>
      <c r="O787" s="55" t="s">
        <v>174</v>
      </c>
      <c r="P787" s="55" t="s">
        <v>1526</v>
      </c>
      <c r="Q787" s="55" t="s">
        <v>380</v>
      </c>
      <c r="R787" s="55">
        <v>4</v>
      </c>
      <c r="S787" s="74"/>
      <c r="T787" s="55" t="s">
        <v>1525</v>
      </c>
      <c r="U787" s="73" t="s">
        <v>351</v>
      </c>
      <c r="V787" s="74">
        <v>44391</v>
      </c>
      <c r="W787" s="74">
        <v>44453</v>
      </c>
      <c r="X787" s="55">
        <v>10186389</v>
      </c>
      <c r="Y787" s="74" t="s">
        <v>130</v>
      </c>
      <c r="Z787" s="74"/>
      <c r="AB787" s="55" t="s">
        <v>130</v>
      </c>
      <c r="AC787" s="55" t="s">
        <v>130</v>
      </c>
    </row>
    <row r="788" spans="1:29" ht="13" x14ac:dyDescent="0.15">
      <c r="A788" s="72" t="str">
        <f t="shared" si="12"/>
        <v>Ofsted Social Care Provider Webpage</v>
      </c>
      <c r="B788" s="55">
        <v>2529785</v>
      </c>
      <c r="D788" s="55" t="s">
        <v>373</v>
      </c>
      <c r="E788" s="74">
        <v>43539</v>
      </c>
      <c r="F788" s="55" t="s">
        <v>344</v>
      </c>
      <c r="G788" s="55" t="s">
        <v>360</v>
      </c>
      <c r="H788" s="55" t="s">
        <v>360</v>
      </c>
      <c r="I788" s="55" t="s">
        <v>360</v>
      </c>
      <c r="J788" s="55" t="s">
        <v>360</v>
      </c>
      <c r="K788" s="55" t="s">
        <v>360</v>
      </c>
      <c r="L788" s="55" t="s">
        <v>360</v>
      </c>
      <c r="M788" s="55" t="s">
        <v>136</v>
      </c>
      <c r="N788" s="55" t="s">
        <v>136</v>
      </c>
      <c r="O788" s="55" t="s">
        <v>174</v>
      </c>
      <c r="P788" s="55" t="s">
        <v>1010</v>
      </c>
      <c r="Q788" s="55" t="s">
        <v>380</v>
      </c>
      <c r="R788" s="55">
        <v>5</v>
      </c>
      <c r="S788" s="74" t="s">
        <v>332</v>
      </c>
      <c r="T788" s="55" t="s">
        <v>1525</v>
      </c>
      <c r="U788" s="73" t="s">
        <v>351</v>
      </c>
      <c r="V788" s="74">
        <v>44335</v>
      </c>
      <c r="W788" s="74">
        <v>44378</v>
      </c>
      <c r="X788" s="55">
        <v>10187480</v>
      </c>
      <c r="Y788" s="74" t="s">
        <v>132</v>
      </c>
      <c r="Z788" s="74"/>
      <c r="AB788" s="55" t="s">
        <v>132</v>
      </c>
      <c r="AC788" s="55" t="s">
        <v>132</v>
      </c>
    </row>
    <row r="789" spans="1:29" ht="13" x14ac:dyDescent="0.15">
      <c r="A789" s="72" t="str">
        <f t="shared" si="12"/>
        <v>Ofsted Social Care Provider Webpage</v>
      </c>
      <c r="B789" s="55">
        <v>2529815</v>
      </c>
      <c r="D789" s="55" t="s">
        <v>373</v>
      </c>
      <c r="E789" s="74">
        <v>43683</v>
      </c>
      <c r="F789" s="55" t="s">
        <v>344</v>
      </c>
      <c r="G789" s="55" t="s">
        <v>360</v>
      </c>
      <c r="H789" s="55" t="s">
        <v>360</v>
      </c>
      <c r="I789" s="55" t="s">
        <v>360</v>
      </c>
      <c r="J789" s="55" t="s">
        <v>360</v>
      </c>
      <c r="K789" s="55" t="s">
        <v>360</v>
      </c>
      <c r="L789" s="55" t="s">
        <v>360</v>
      </c>
      <c r="M789" s="55" t="s">
        <v>138</v>
      </c>
      <c r="N789" s="55" t="s">
        <v>138</v>
      </c>
      <c r="O789" s="55" t="s">
        <v>266</v>
      </c>
      <c r="P789" s="55" t="s">
        <v>1522</v>
      </c>
      <c r="Q789" s="55" t="s">
        <v>350</v>
      </c>
      <c r="R789" s="55">
        <v>4</v>
      </c>
      <c r="S789" s="74"/>
      <c r="T789" s="55" t="s">
        <v>1527</v>
      </c>
      <c r="U789" s="73" t="s">
        <v>351</v>
      </c>
      <c r="V789" s="74">
        <v>44371</v>
      </c>
      <c r="W789" s="74">
        <v>44399</v>
      </c>
      <c r="X789" s="55">
        <v>10185733</v>
      </c>
      <c r="Y789" s="74" t="s">
        <v>132</v>
      </c>
      <c r="Z789" s="74"/>
      <c r="AB789" s="55" t="s">
        <v>132</v>
      </c>
      <c r="AC789" s="55" t="s">
        <v>132</v>
      </c>
    </row>
    <row r="790" spans="1:29" ht="13" x14ac:dyDescent="0.15">
      <c r="A790" s="72" t="str">
        <f t="shared" si="12"/>
        <v>Ofsted Social Care Provider Webpage</v>
      </c>
      <c r="B790" s="55">
        <v>2530021</v>
      </c>
      <c r="D790" s="55" t="s">
        <v>479</v>
      </c>
      <c r="E790" s="74">
        <v>43539</v>
      </c>
      <c r="F790" s="55" t="s">
        <v>344</v>
      </c>
      <c r="G790" s="55" t="s">
        <v>360</v>
      </c>
      <c r="H790" s="55" t="s">
        <v>360</v>
      </c>
      <c r="I790" s="55" t="s">
        <v>360</v>
      </c>
      <c r="J790" s="55" t="s">
        <v>360</v>
      </c>
      <c r="K790" s="55" t="s">
        <v>360</v>
      </c>
      <c r="L790" s="55" t="s">
        <v>360</v>
      </c>
      <c r="M790" s="55" t="s">
        <v>136</v>
      </c>
      <c r="N790" s="55" t="s">
        <v>136</v>
      </c>
      <c r="O790" s="55" t="s">
        <v>174</v>
      </c>
      <c r="P790" s="55" t="s">
        <v>982</v>
      </c>
      <c r="Q790" s="55" t="s">
        <v>380</v>
      </c>
      <c r="R790" s="55">
        <v>3</v>
      </c>
      <c r="S790" s="74"/>
      <c r="T790" s="55" t="s">
        <v>1525</v>
      </c>
      <c r="U790" s="73" t="s">
        <v>351</v>
      </c>
      <c r="V790" s="74">
        <v>44474</v>
      </c>
      <c r="W790" s="74">
        <v>44508</v>
      </c>
      <c r="X790" s="55">
        <v>10186000</v>
      </c>
      <c r="Y790" s="74" t="s">
        <v>130</v>
      </c>
      <c r="Z790" s="74"/>
      <c r="AB790" s="55" t="s">
        <v>130</v>
      </c>
      <c r="AC790" s="55" t="s">
        <v>130</v>
      </c>
    </row>
    <row r="791" spans="1:29" ht="13" x14ac:dyDescent="0.15">
      <c r="A791" s="72" t="str">
        <f t="shared" si="12"/>
        <v>Ofsted Social Care Provider Webpage</v>
      </c>
      <c r="B791" s="55">
        <v>2530059</v>
      </c>
      <c r="D791" s="55" t="s">
        <v>373</v>
      </c>
      <c r="E791" s="74">
        <v>43676</v>
      </c>
      <c r="F791" s="55" t="s">
        <v>344</v>
      </c>
      <c r="G791" s="55" t="s">
        <v>360</v>
      </c>
      <c r="H791" s="55" t="s">
        <v>360</v>
      </c>
      <c r="I791" s="55" t="s">
        <v>360</v>
      </c>
      <c r="J791" s="55" t="s">
        <v>360</v>
      </c>
      <c r="K791" s="55" t="s">
        <v>360</v>
      </c>
      <c r="L791" s="55" t="s">
        <v>360</v>
      </c>
      <c r="M791" s="55" t="s">
        <v>378</v>
      </c>
      <c r="N791" s="55" t="s">
        <v>134</v>
      </c>
      <c r="O791" s="55" t="s">
        <v>210</v>
      </c>
      <c r="P791" s="55" t="s">
        <v>542</v>
      </c>
      <c r="Q791" s="55" t="s">
        <v>350</v>
      </c>
      <c r="R791" s="55">
        <v>2</v>
      </c>
      <c r="S791" s="74"/>
      <c r="T791" s="55" t="s">
        <v>493</v>
      </c>
      <c r="U791" s="73" t="s">
        <v>351</v>
      </c>
      <c r="V791" s="74">
        <v>44622</v>
      </c>
      <c r="W791" s="74">
        <v>44671</v>
      </c>
      <c r="X791" s="55">
        <v>10187410</v>
      </c>
      <c r="Y791" s="74" t="s">
        <v>132</v>
      </c>
      <c r="Z791" s="74"/>
      <c r="AB791" s="55" t="s">
        <v>132</v>
      </c>
      <c r="AC791" s="55" t="s">
        <v>132</v>
      </c>
    </row>
    <row r="792" spans="1:29" ht="13" x14ac:dyDescent="0.15">
      <c r="A792" s="72" t="str">
        <f t="shared" si="12"/>
        <v>Ofsted Social Care Provider Webpage</v>
      </c>
      <c r="B792" s="55">
        <v>2530086</v>
      </c>
      <c r="D792" s="55" t="s">
        <v>373</v>
      </c>
      <c r="E792" s="74">
        <v>43641</v>
      </c>
      <c r="F792" s="55" t="s">
        <v>344</v>
      </c>
      <c r="G792" s="55" t="s">
        <v>360</v>
      </c>
      <c r="H792" s="55" t="s">
        <v>360</v>
      </c>
      <c r="I792" s="55" t="s">
        <v>360</v>
      </c>
      <c r="J792" s="55" t="s">
        <v>360</v>
      </c>
      <c r="K792" s="55" t="s">
        <v>360</v>
      </c>
      <c r="L792" s="55" t="s">
        <v>360</v>
      </c>
      <c r="M792" s="55" t="s">
        <v>378</v>
      </c>
      <c r="N792" s="55" t="s">
        <v>170</v>
      </c>
      <c r="O792" s="55" t="s">
        <v>222</v>
      </c>
      <c r="P792" s="55" t="s">
        <v>521</v>
      </c>
      <c r="Q792" s="55" t="s">
        <v>380</v>
      </c>
      <c r="R792" s="55">
        <v>3</v>
      </c>
      <c r="S792" s="74"/>
      <c r="T792" s="55" t="s">
        <v>687</v>
      </c>
      <c r="U792" s="73" t="s">
        <v>351</v>
      </c>
      <c r="V792" s="74">
        <v>44306</v>
      </c>
      <c r="W792" s="74">
        <v>44335</v>
      </c>
      <c r="X792" s="55">
        <v>10185951</v>
      </c>
      <c r="Y792" s="74" t="s">
        <v>130</v>
      </c>
      <c r="Z792" s="74"/>
      <c r="AB792" s="55" t="s">
        <v>130</v>
      </c>
      <c r="AC792" s="55" t="s">
        <v>130</v>
      </c>
    </row>
    <row r="793" spans="1:29" ht="13" x14ac:dyDescent="0.15">
      <c r="A793" s="72" t="str">
        <f t="shared" si="12"/>
        <v>Ofsted Social Care Provider Webpage</v>
      </c>
      <c r="B793" s="55">
        <v>2530253</v>
      </c>
      <c r="D793" s="55" t="s">
        <v>373</v>
      </c>
      <c r="E793" s="74">
        <v>43689</v>
      </c>
      <c r="F793" s="55" t="s">
        <v>344</v>
      </c>
      <c r="G793" s="55" t="s">
        <v>360</v>
      </c>
      <c r="H793" s="55" t="s">
        <v>360</v>
      </c>
      <c r="I793" s="55" t="s">
        <v>360</v>
      </c>
      <c r="J793" s="55" t="s">
        <v>360</v>
      </c>
      <c r="K793" s="55" t="s">
        <v>360</v>
      </c>
      <c r="L793" s="55" t="s">
        <v>360</v>
      </c>
      <c r="M793" s="55" t="s">
        <v>378</v>
      </c>
      <c r="N793" s="55" t="s">
        <v>170</v>
      </c>
      <c r="O793" s="55" t="s">
        <v>233</v>
      </c>
      <c r="P793" s="55" t="s">
        <v>379</v>
      </c>
      <c r="Q793" s="55" t="s">
        <v>350</v>
      </c>
      <c r="R793" s="55">
        <v>5</v>
      </c>
      <c r="S793" s="74"/>
      <c r="T793" s="55" t="s">
        <v>1528</v>
      </c>
      <c r="U793" s="73" t="s">
        <v>351</v>
      </c>
      <c r="V793" s="74">
        <v>44363</v>
      </c>
      <c r="W793" s="74">
        <v>44398</v>
      </c>
      <c r="X793" s="55">
        <v>10186796</v>
      </c>
      <c r="Y793" s="74" t="s">
        <v>132</v>
      </c>
      <c r="Z793" s="74"/>
      <c r="AB793" s="55" t="s">
        <v>132</v>
      </c>
      <c r="AC793" s="55" t="s">
        <v>132</v>
      </c>
    </row>
    <row r="794" spans="1:29" ht="13" x14ac:dyDescent="0.15">
      <c r="A794" s="72" t="str">
        <f t="shared" si="12"/>
        <v>Ofsted Social Care Provider Webpage</v>
      </c>
      <c r="B794" s="55">
        <v>2530832</v>
      </c>
      <c r="D794" s="55" t="s">
        <v>373</v>
      </c>
      <c r="E794" s="74">
        <v>43657</v>
      </c>
      <c r="F794" s="55" t="s">
        <v>344</v>
      </c>
      <c r="G794" s="55" t="s">
        <v>360</v>
      </c>
      <c r="H794" s="55" t="s">
        <v>360</v>
      </c>
      <c r="I794" s="55" t="s">
        <v>360</v>
      </c>
      <c r="J794" s="55" t="s">
        <v>360</v>
      </c>
      <c r="K794" s="55" t="s">
        <v>360</v>
      </c>
      <c r="L794" s="55" t="s">
        <v>360</v>
      </c>
      <c r="M794" s="55" t="s">
        <v>142</v>
      </c>
      <c r="N794" s="55" t="s">
        <v>142</v>
      </c>
      <c r="O794" s="55" t="s">
        <v>166</v>
      </c>
      <c r="P794" s="55" t="s">
        <v>1476</v>
      </c>
      <c r="Q794" s="55" t="s">
        <v>350</v>
      </c>
      <c r="R794" s="55">
        <v>4</v>
      </c>
      <c r="S794" s="74"/>
      <c r="T794" s="55" t="s">
        <v>493</v>
      </c>
      <c r="U794" s="73" t="s">
        <v>351</v>
      </c>
      <c r="V794" s="74">
        <v>44628</v>
      </c>
      <c r="W794" s="74">
        <v>44672</v>
      </c>
      <c r="X794" s="55">
        <v>10187566</v>
      </c>
      <c r="Y794" s="74" t="s">
        <v>132</v>
      </c>
      <c r="Z794" s="74"/>
      <c r="AB794" s="55" t="s">
        <v>132</v>
      </c>
      <c r="AC794" s="55" t="s">
        <v>132</v>
      </c>
    </row>
    <row r="795" spans="1:29" ht="13" x14ac:dyDescent="0.15">
      <c r="A795" s="72" t="str">
        <f t="shared" si="12"/>
        <v>Ofsted Social Care Provider Webpage</v>
      </c>
      <c r="B795" s="55">
        <v>2531620</v>
      </c>
      <c r="D795" s="55" t="s">
        <v>373</v>
      </c>
      <c r="E795" s="74">
        <v>43627</v>
      </c>
      <c r="F795" s="55" t="s">
        <v>344</v>
      </c>
      <c r="G795" s="55" t="s">
        <v>360</v>
      </c>
      <c r="H795" s="55" t="s">
        <v>360</v>
      </c>
      <c r="I795" s="55" t="s">
        <v>360</v>
      </c>
      <c r="J795" s="55" t="s">
        <v>360</v>
      </c>
      <c r="K795" s="55" t="s">
        <v>360</v>
      </c>
      <c r="L795" s="55" t="s">
        <v>360</v>
      </c>
      <c r="M795" s="55" t="s">
        <v>138</v>
      </c>
      <c r="N795" s="55" t="s">
        <v>138</v>
      </c>
      <c r="O795" s="55" t="s">
        <v>159</v>
      </c>
      <c r="P795" s="55" t="s">
        <v>1080</v>
      </c>
      <c r="Q795" s="55" t="s">
        <v>350</v>
      </c>
      <c r="R795" s="55">
        <v>5</v>
      </c>
      <c r="S795" s="74"/>
      <c r="T795" s="55" t="s">
        <v>1529</v>
      </c>
      <c r="U795" s="73" t="s">
        <v>351</v>
      </c>
      <c r="V795" s="74">
        <v>44406</v>
      </c>
      <c r="W795" s="74">
        <v>44439</v>
      </c>
      <c r="X795" s="55">
        <v>10185857</v>
      </c>
      <c r="Y795" s="74" t="s">
        <v>132</v>
      </c>
      <c r="Z795" s="74"/>
      <c r="AB795" s="55" t="s">
        <v>132</v>
      </c>
      <c r="AC795" s="55" t="s">
        <v>132</v>
      </c>
    </row>
    <row r="796" spans="1:29" ht="13" x14ac:dyDescent="0.15">
      <c r="A796" s="72" t="str">
        <f t="shared" si="12"/>
        <v>Ofsted Social Care Provider Webpage</v>
      </c>
      <c r="B796" s="55">
        <v>2531755</v>
      </c>
      <c r="D796" s="55" t="s">
        <v>373</v>
      </c>
      <c r="E796" s="74">
        <v>43697</v>
      </c>
      <c r="F796" s="55" t="s">
        <v>344</v>
      </c>
      <c r="G796" s="55" t="s">
        <v>360</v>
      </c>
      <c r="H796" s="55" t="s">
        <v>360</v>
      </c>
      <c r="I796" s="55" t="s">
        <v>360</v>
      </c>
      <c r="J796" s="55" t="s">
        <v>360</v>
      </c>
      <c r="K796" s="55" t="s">
        <v>360</v>
      </c>
      <c r="L796" s="55" t="s">
        <v>360</v>
      </c>
      <c r="M796" s="55" t="s">
        <v>378</v>
      </c>
      <c r="N796" s="55" t="s">
        <v>134</v>
      </c>
      <c r="O796" s="55" t="s">
        <v>206</v>
      </c>
      <c r="P796" s="55" t="s">
        <v>760</v>
      </c>
      <c r="Q796" s="55" t="s">
        <v>350</v>
      </c>
      <c r="R796" s="55">
        <v>3</v>
      </c>
      <c r="S796" s="74"/>
      <c r="T796" s="55" t="s">
        <v>485</v>
      </c>
      <c r="U796" s="73" t="s">
        <v>351</v>
      </c>
      <c r="V796" s="74">
        <v>44629</v>
      </c>
      <c r="W796" s="74">
        <v>44680</v>
      </c>
      <c r="X796" s="55">
        <v>10187205</v>
      </c>
      <c r="Y796" s="74" t="s">
        <v>132</v>
      </c>
      <c r="Z796" s="74"/>
      <c r="AB796" s="55" t="s">
        <v>132</v>
      </c>
      <c r="AC796" s="55" t="s">
        <v>132</v>
      </c>
    </row>
    <row r="797" spans="1:29" ht="13" x14ac:dyDescent="0.15">
      <c r="A797" s="72" t="str">
        <f t="shared" si="12"/>
        <v>Ofsted Social Care Provider Webpage</v>
      </c>
      <c r="B797" s="55">
        <v>2531921</v>
      </c>
      <c r="D797" s="55" t="s">
        <v>373</v>
      </c>
      <c r="E797" s="74">
        <v>43586</v>
      </c>
      <c r="F797" s="55" t="s">
        <v>344</v>
      </c>
      <c r="G797" s="55" t="s">
        <v>360</v>
      </c>
      <c r="H797" s="55" t="s">
        <v>360</v>
      </c>
      <c r="I797" s="55" t="s">
        <v>360</v>
      </c>
      <c r="J797" s="55" t="s">
        <v>360</v>
      </c>
      <c r="K797" s="55" t="s">
        <v>360</v>
      </c>
      <c r="L797" s="55" t="s">
        <v>360</v>
      </c>
      <c r="M797" s="55" t="s">
        <v>144</v>
      </c>
      <c r="N797" s="55" t="s">
        <v>144</v>
      </c>
      <c r="O797" s="55" t="s">
        <v>209</v>
      </c>
      <c r="P797" s="55" t="s">
        <v>534</v>
      </c>
      <c r="Q797" s="55" t="s">
        <v>350</v>
      </c>
      <c r="R797" s="55">
        <v>4</v>
      </c>
      <c r="S797" s="74"/>
      <c r="T797" s="55" t="s">
        <v>489</v>
      </c>
      <c r="U797" s="73" t="s">
        <v>351</v>
      </c>
      <c r="V797" s="74">
        <v>44446</v>
      </c>
      <c r="W797" s="74">
        <v>44491</v>
      </c>
      <c r="X797" s="55">
        <v>10185087</v>
      </c>
      <c r="Y797" s="74" t="s">
        <v>132</v>
      </c>
      <c r="Z797" s="74"/>
      <c r="AB797" s="55" t="s">
        <v>132</v>
      </c>
      <c r="AC797" s="55" t="s">
        <v>132</v>
      </c>
    </row>
    <row r="798" spans="1:29" ht="13" x14ac:dyDescent="0.15">
      <c r="A798" s="72" t="str">
        <f t="shared" si="12"/>
        <v>Ofsted Social Care Provider Webpage</v>
      </c>
      <c r="B798" s="55">
        <v>2532036</v>
      </c>
      <c r="D798" s="55" t="s">
        <v>373</v>
      </c>
      <c r="E798" s="74">
        <v>43586</v>
      </c>
      <c r="F798" s="55" t="s">
        <v>344</v>
      </c>
      <c r="G798" s="55" t="s">
        <v>360</v>
      </c>
      <c r="H798" s="55" t="s">
        <v>360</v>
      </c>
      <c r="I798" s="55" t="s">
        <v>360</v>
      </c>
      <c r="J798" s="55" t="s">
        <v>360</v>
      </c>
      <c r="K798" s="55" t="s">
        <v>360</v>
      </c>
      <c r="L798" s="55" t="s">
        <v>360</v>
      </c>
      <c r="M798" s="55" t="s">
        <v>144</v>
      </c>
      <c r="N798" s="55" t="s">
        <v>144</v>
      </c>
      <c r="O798" s="55" t="s">
        <v>209</v>
      </c>
      <c r="P798" s="55" t="s">
        <v>544</v>
      </c>
      <c r="Q798" s="55" t="s">
        <v>350</v>
      </c>
      <c r="R798" s="55">
        <v>3</v>
      </c>
      <c r="S798" s="74"/>
      <c r="T798" s="55" t="s">
        <v>489</v>
      </c>
      <c r="U798" s="73" t="s">
        <v>351</v>
      </c>
      <c r="V798" s="74">
        <v>44468</v>
      </c>
      <c r="W798" s="74">
        <v>44510</v>
      </c>
      <c r="X798" s="55">
        <v>10185797</v>
      </c>
      <c r="Y798" s="74" t="s">
        <v>132</v>
      </c>
      <c r="Z798" s="74"/>
      <c r="AB798" s="55" t="s">
        <v>132</v>
      </c>
      <c r="AC798" s="55" t="s">
        <v>132</v>
      </c>
    </row>
    <row r="799" spans="1:29" ht="13" x14ac:dyDescent="0.15">
      <c r="A799" s="72" t="str">
        <f t="shared" si="12"/>
        <v>Ofsted Social Care Provider Webpage</v>
      </c>
      <c r="B799" s="55">
        <v>2532131</v>
      </c>
      <c r="D799" s="55" t="s">
        <v>373</v>
      </c>
      <c r="E799" s="74">
        <v>43658</v>
      </c>
      <c r="F799" s="55" t="s">
        <v>344</v>
      </c>
      <c r="G799" s="55" t="s">
        <v>360</v>
      </c>
      <c r="H799" s="55" t="s">
        <v>360</v>
      </c>
      <c r="I799" s="55" t="s">
        <v>360</v>
      </c>
      <c r="J799" s="55" t="s">
        <v>360</v>
      </c>
      <c r="K799" s="55" t="s">
        <v>360</v>
      </c>
      <c r="L799" s="55" t="s">
        <v>360</v>
      </c>
      <c r="M799" s="55" t="s">
        <v>138</v>
      </c>
      <c r="N799" s="55" t="s">
        <v>138</v>
      </c>
      <c r="O799" s="55" t="s">
        <v>224</v>
      </c>
      <c r="P799" s="55" t="s">
        <v>1530</v>
      </c>
      <c r="Q799" s="55" t="s">
        <v>350</v>
      </c>
      <c r="R799" s="55">
        <v>6</v>
      </c>
      <c r="S799" s="74"/>
      <c r="T799" s="55" t="s">
        <v>1531</v>
      </c>
      <c r="U799" s="73" t="s">
        <v>351</v>
      </c>
      <c r="V799" s="74">
        <v>44510</v>
      </c>
      <c r="W799" s="74">
        <v>44539</v>
      </c>
      <c r="X799" s="55">
        <v>10206035</v>
      </c>
      <c r="Y799" s="74" t="s">
        <v>132</v>
      </c>
      <c r="Z799" s="74"/>
      <c r="AB799" s="55" t="s">
        <v>132</v>
      </c>
      <c r="AC799" s="55" t="s">
        <v>132</v>
      </c>
    </row>
    <row r="800" spans="1:29" ht="13" x14ac:dyDescent="0.15">
      <c r="A800" s="72" t="str">
        <f t="shared" si="12"/>
        <v>Ofsted Social Care Provider Webpage</v>
      </c>
      <c r="B800" s="55">
        <v>2532139</v>
      </c>
      <c r="D800" s="55" t="s">
        <v>373</v>
      </c>
      <c r="E800" s="74">
        <v>43613</v>
      </c>
      <c r="F800" s="55" t="s">
        <v>344</v>
      </c>
      <c r="G800" s="55" t="s">
        <v>360</v>
      </c>
      <c r="H800" s="55" t="s">
        <v>360</v>
      </c>
      <c r="I800" s="55" t="s">
        <v>360</v>
      </c>
      <c r="J800" s="55" t="s">
        <v>360</v>
      </c>
      <c r="K800" s="55" t="s">
        <v>360</v>
      </c>
      <c r="L800" s="55" t="s">
        <v>360</v>
      </c>
      <c r="M800" s="55" t="s">
        <v>172</v>
      </c>
      <c r="N800" s="55" t="s">
        <v>172</v>
      </c>
      <c r="O800" s="55" t="s">
        <v>284</v>
      </c>
      <c r="P800" s="55" t="s">
        <v>357</v>
      </c>
      <c r="Q800" s="55" t="s">
        <v>350</v>
      </c>
      <c r="R800" s="55">
        <v>3</v>
      </c>
      <c r="S800" s="74"/>
      <c r="T800" s="55" t="s">
        <v>460</v>
      </c>
      <c r="U800" s="73" t="s">
        <v>351</v>
      </c>
      <c r="V800" s="74">
        <v>44382</v>
      </c>
      <c r="W800" s="74">
        <v>44399</v>
      </c>
      <c r="X800" s="55">
        <v>10187335</v>
      </c>
      <c r="Y800" s="74" t="s">
        <v>132</v>
      </c>
      <c r="Z800" s="74"/>
      <c r="AB800" s="55" t="s">
        <v>132</v>
      </c>
      <c r="AC800" s="55" t="s">
        <v>132</v>
      </c>
    </row>
    <row r="801" spans="1:29" ht="13" x14ac:dyDescent="0.15">
      <c r="A801" s="72" t="str">
        <f t="shared" si="12"/>
        <v>Ofsted Social Care Provider Webpage</v>
      </c>
      <c r="B801" s="55">
        <v>2532471</v>
      </c>
      <c r="D801" s="55" t="s">
        <v>373</v>
      </c>
      <c r="E801" s="74">
        <v>43745</v>
      </c>
      <c r="F801" s="55" t="s">
        <v>344</v>
      </c>
      <c r="G801" s="55" t="s">
        <v>360</v>
      </c>
      <c r="H801" s="55" t="s">
        <v>360</v>
      </c>
      <c r="I801" s="55" t="s">
        <v>360</v>
      </c>
      <c r="J801" s="55" t="s">
        <v>360</v>
      </c>
      <c r="K801" s="55" t="s">
        <v>360</v>
      </c>
      <c r="L801" s="55" t="s">
        <v>360</v>
      </c>
      <c r="M801" s="55" t="s">
        <v>129</v>
      </c>
      <c r="N801" s="55" t="s">
        <v>129</v>
      </c>
      <c r="O801" s="55" t="s">
        <v>128</v>
      </c>
      <c r="P801" s="55" t="s">
        <v>1467</v>
      </c>
      <c r="Q801" s="55" t="s">
        <v>350</v>
      </c>
      <c r="R801" s="55">
        <v>4</v>
      </c>
      <c r="S801" s="74"/>
      <c r="T801" s="55" t="s">
        <v>1532</v>
      </c>
      <c r="U801" s="73" t="s">
        <v>351</v>
      </c>
      <c r="V801" s="74">
        <v>44307</v>
      </c>
      <c r="W801" s="74">
        <v>44349</v>
      </c>
      <c r="X801" s="55">
        <v>10187350</v>
      </c>
      <c r="Y801" s="74" t="s">
        <v>132</v>
      </c>
      <c r="Z801" s="74"/>
      <c r="AB801" s="55" t="s">
        <v>132</v>
      </c>
      <c r="AC801" s="55" t="s">
        <v>132</v>
      </c>
    </row>
    <row r="802" spans="1:29" ht="13" x14ac:dyDescent="0.15">
      <c r="A802" s="72" t="str">
        <f t="shared" si="12"/>
        <v>Ofsted Social Care Provider Webpage</v>
      </c>
      <c r="B802" s="55">
        <v>2532532</v>
      </c>
      <c r="D802" s="55" t="s">
        <v>373</v>
      </c>
      <c r="E802" s="74">
        <v>43664</v>
      </c>
      <c r="F802" s="55" t="s">
        <v>344</v>
      </c>
      <c r="G802" s="55" t="s">
        <v>360</v>
      </c>
      <c r="H802" s="55" t="s">
        <v>360</v>
      </c>
      <c r="I802" s="55" t="s">
        <v>360</v>
      </c>
      <c r="J802" s="55" t="s">
        <v>360</v>
      </c>
      <c r="K802" s="55" t="s">
        <v>360</v>
      </c>
      <c r="L802" s="55" t="s">
        <v>360</v>
      </c>
      <c r="M802" s="55" t="s">
        <v>138</v>
      </c>
      <c r="N802" s="55" t="s">
        <v>138</v>
      </c>
      <c r="O802" s="55" t="s">
        <v>266</v>
      </c>
      <c r="P802" s="55" t="s">
        <v>1522</v>
      </c>
      <c r="Q802" s="55" t="s">
        <v>350</v>
      </c>
      <c r="R802" s="55">
        <v>2</v>
      </c>
      <c r="S802" s="74"/>
      <c r="T802" s="55" t="s">
        <v>1533</v>
      </c>
      <c r="U802" s="73" t="s">
        <v>351</v>
      </c>
      <c r="V802" s="74">
        <v>44474</v>
      </c>
      <c r="W802" s="74">
        <v>44508</v>
      </c>
      <c r="X802" s="55">
        <v>10185973</v>
      </c>
      <c r="Y802" s="74" t="s">
        <v>132</v>
      </c>
      <c r="Z802" s="74"/>
      <c r="AB802" s="55" t="s">
        <v>132</v>
      </c>
      <c r="AC802" s="55" t="s">
        <v>132</v>
      </c>
    </row>
    <row r="803" spans="1:29" ht="13" x14ac:dyDescent="0.15">
      <c r="A803" s="72" t="str">
        <f t="shared" si="12"/>
        <v>Ofsted Social Care Provider Webpage</v>
      </c>
      <c r="B803" s="55">
        <v>2532661</v>
      </c>
      <c r="D803" s="55" t="s">
        <v>373</v>
      </c>
      <c r="E803" s="74">
        <v>43690</v>
      </c>
      <c r="F803" s="55" t="s">
        <v>344</v>
      </c>
      <c r="G803" s="55" t="s">
        <v>360</v>
      </c>
      <c r="H803" s="55" t="s">
        <v>360</v>
      </c>
      <c r="I803" s="55" t="s">
        <v>360</v>
      </c>
      <c r="J803" s="55" t="s">
        <v>360</v>
      </c>
      <c r="K803" s="55" t="s">
        <v>360</v>
      </c>
      <c r="L803" s="55" t="s">
        <v>360</v>
      </c>
      <c r="M803" s="55" t="s">
        <v>172</v>
      </c>
      <c r="N803" s="55" t="s">
        <v>172</v>
      </c>
      <c r="O803" s="55" t="s">
        <v>234</v>
      </c>
      <c r="P803" s="55" t="s">
        <v>965</v>
      </c>
      <c r="Q803" s="55" t="s">
        <v>350</v>
      </c>
      <c r="R803" s="55">
        <v>3</v>
      </c>
      <c r="S803" s="74"/>
      <c r="T803" s="55" t="s">
        <v>668</v>
      </c>
      <c r="U803" s="73" t="s">
        <v>351</v>
      </c>
      <c r="V803" s="74">
        <v>44530</v>
      </c>
      <c r="W803" s="74">
        <v>44574</v>
      </c>
      <c r="X803" s="55">
        <v>10187573</v>
      </c>
      <c r="Y803" s="74" t="s">
        <v>140</v>
      </c>
      <c r="Z803" s="74"/>
      <c r="AB803" s="55" t="s">
        <v>140</v>
      </c>
      <c r="AC803" s="55" t="s">
        <v>140</v>
      </c>
    </row>
    <row r="804" spans="1:29" ht="13" x14ac:dyDescent="0.15">
      <c r="A804" s="72" t="str">
        <f t="shared" si="12"/>
        <v>Ofsted Social Care Provider Webpage</v>
      </c>
      <c r="B804" s="55">
        <v>2533064</v>
      </c>
      <c r="D804" s="55" t="s">
        <v>373</v>
      </c>
      <c r="E804" s="74">
        <v>43739</v>
      </c>
      <c r="F804" s="55" t="s">
        <v>344</v>
      </c>
      <c r="G804" s="55" t="s">
        <v>360</v>
      </c>
      <c r="H804" s="55" t="s">
        <v>360</v>
      </c>
      <c r="I804" s="55" t="s">
        <v>360</v>
      </c>
      <c r="J804" s="55" t="s">
        <v>360</v>
      </c>
      <c r="K804" s="55" t="s">
        <v>360</v>
      </c>
      <c r="L804" s="55" t="s">
        <v>360</v>
      </c>
      <c r="M804" s="55" t="s">
        <v>142</v>
      </c>
      <c r="N804" s="55" t="s">
        <v>142</v>
      </c>
      <c r="O804" s="55" t="s">
        <v>141</v>
      </c>
      <c r="P804" s="55" t="s">
        <v>612</v>
      </c>
      <c r="Q804" s="55" t="s">
        <v>350</v>
      </c>
      <c r="R804" s="55">
        <v>3</v>
      </c>
      <c r="S804" s="74"/>
      <c r="T804" s="55" t="s">
        <v>642</v>
      </c>
      <c r="U804" s="73" t="s">
        <v>351</v>
      </c>
      <c r="V804" s="74">
        <v>44321</v>
      </c>
      <c r="W804" s="74">
        <v>44365</v>
      </c>
      <c r="X804" s="55">
        <v>10186332</v>
      </c>
      <c r="Y804" s="74" t="s">
        <v>130</v>
      </c>
      <c r="Z804" s="74"/>
      <c r="AB804" s="55" t="s">
        <v>130</v>
      </c>
      <c r="AC804" s="55" t="s">
        <v>130</v>
      </c>
    </row>
    <row r="805" spans="1:29" ht="13" x14ac:dyDescent="0.15">
      <c r="A805" s="72" t="str">
        <f t="shared" si="12"/>
        <v>Ofsted Social Care Provider Webpage</v>
      </c>
      <c r="B805" s="55">
        <v>2533109</v>
      </c>
      <c r="D805" s="55" t="s">
        <v>389</v>
      </c>
      <c r="E805" s="74">
        <v>43709</v>
      </c>
      <c r="F805" s="55" t="s">
        <v>344</v>
      </c>
      <c r="G805" s="55" t="s">
        <v>1534</v>
      </c>
      <c r="H805" s="55" t="s">
        <v>1535</v>
      </c>
      <c r="I805" s="55" t="s">
        <v>1536</v>
      </c>
      <c r="J805" s="55" t="s">
        <v>1537</v>
      </c>
      <c r="K805" s="55" t="s">
        <v>1240</v>
      </c>
      <c r="L805" s="55" t="s">
        <v>1538</v>
      </c>
      <c r="M805" s="55" t="s">
        <v>378</v>
      </c>
      <c r="N805" s="55" t="s">
        <v>134</v>
      </c>
      <c r="O805" s="55" t="s">
        <v>158</v>
      </c>
      <c r="P805" s="55" t="s">
        <v>912</v>
      </c>
      <c r="Q805" s="55" t="s">
        <v>350</v>
      </c>
      <c r="R805" s="55"/>
      <c r="S805" s="74"/>
      <c r="T805" s="55" t="s">
        <v>726</v>
      </c>
      <c r="U805" s="73" t="s">
        <v>351</v>
      </c>
      <c r="V805" s="74">
        <v>44403</v>
      </c>
      <c r="W805" s="74">
        <v>44445</v>
      </c>
      <c r="X805" s="55">
        <v>10183195</v>
      </c>
      <c r="Y805" s="74" t="s">
        <v>132</v>
      </c>
      <c r="Z805" s="74"/>
      <c r="AB805" s="55" t="s">
        <v>132</v>
      </c>
      <c r="AC805" s="55" t="s">
        <v>132</v>
      </c>
    </row>
    <row r="806" spans="1:29" ht="13" x14ac:dyDescent="0.15">
      <c r="A806" s="72" t="str">
        <f t="shared" si="12"/>
        <v>Ofsted Social Care Provider Webpage</v>
      </c>
      <c r="B806" s="55">
        <v>2533483</v>
      </c>
      <c r="D806" s="55" t="s">
        <v>373</v>
      </c>
      <c r="E806" s="74">
        <v>43679</v>
      </c>
      <c r="F806" s="55" t="s">
        <v>344</v>
      </c>
      <c r="G806" s="55" t="s">
        <v>360</v>
      </c>
      <c r="H806" s="55" t="s">
        <v>360</v>
      </c>
      <c r="I806" s="55" t="s">
        <v>360</v>
      </c>
      <c r="J806" s="55" t="s">
        <v>360</v>
      </c>
      <c r="K806" s="55" t="s">
        <v>360</v>
      </c>
      <c r="L806" s="55" t="s">
        <v>360</v>
      </c>
      <c r="M806" s="55" t="s">
        <v>378</v>
      </c>
      <c r="N806" s="55" t="s">
        <v>170</v>
      </c>
      <c r="O806" s="55" t="s">
        <v>264</v>
      </c>
      <c r="P806" s="55" t="s">
        <v>437</v>
      </c>
      <c r="Q806" s="55" t="s">
        <v>350</v>
      </c>
      <c r="R806" s="55">
        <v>5</v>
      </c>
      <c r="S806" s="74"/>
      <c r="T806" s="55" t="s">
        <v>435</v>
      </c>
      <c r="U806" s="73" t="s">
        <v>351</v>
      </c>
      <c r="V806" s="74">
        <v>44607</v>
      </c>
      <c r="W806" s="74">
        <v>44651</v>
      </c>
      <c r="X806" s="55">
        <v>10185656</v>
      </c>
      <c r="Y806" s="74" t="s">
        <v>132</v>
      </c>
      <c r="Z806" s="74"/>
      <c r="AB806" s="55" t="s">
        <v>132</v>
      </c>
      <c r="AC806" s="55" t="s">
        <v>132</v>
      </c>
    </row>
    <row r="807" spans="1:29" ht="13" x14ac:dyDescent="0.15">
      <c r="A807" s="72" t="str">
        <f t="shared" si="12"/>
        <v>Ofsted Social Care Provider Webpage</v>
      </c>
      <c r="B807" s="55">
        <v>2533956</v>
      </c>
      <c r="D807" s="55" t="s">
        <v>373</v>
      </c>
      <c r="E807" s="74">
        <v>43614</v>
      </c>
      <c r="F807" s="55" t="s">
        <v>344</v>
      </c>
      <c r="G807" s="55" t="s">
        <v>360</v>
      </c>
      <c r="H807" s="55" t="s">
        <v>360</v>
      </c>
      <c r="I807" s="55" t="s">
        <v>360</v>
      </c>
      <c r="J807" s="55" t="s">
        <v>360</v>
      </c>
      <c r="K807" s="55" t="s">
        <v>360</v>
      </c>
      <c r="L807" s="55" t="s">
        <v>360</v>
      </c>
      <c r="M807" s="55" t="s">
        <v>144</v>
      </c>
      <c r="N807" s="55" t="s">
        <v>144</v>
      </c>
      <c r="O807" s="55" t="s">
        <v>209</v>
      </c>
      <c r="P807" s="55" t="s">
        <v>364</v>
      </c>
      <c r="Q807" s="55" t="s">
        <v>350</v>
      </c>
      <c r="R807" s="55">
        <v>4</v>
      </c>
      <c r="S807" s="74"/>
      <c r="T807" s="55" t="s">
        <v>1539</v>
      </c>
      <c r="U807" s="73" t="s">
        <v>351</v>
      </c>
      <c r="V807" s="74">
        <v>44607</v>
      </c>
      <c r="W807" s="74">
        <v>44655</v>
      </c>
      <c r="X807" s="55">
        <v>10187386</v>
      </c>
      <c r="Y807" s="74" t="s">
        <v>132</v>
      </c>
      <c r="Z807" s="74"/>
      <c r="AB807" s="55" t="s">
        <v>132</v>
      </c>
      <c r="AC807" s="55" t="s">
        <v>132</v>
      </c>
    </row>
    <row r="808" spans="1:29" ht="13" x14ac:dyDescent="0.15">
      <c r="A808" s="72" t="str">
        <f t="shared" si="12"/>
        <v>Ofsted Social Care Provider Webpage</v>
      </c>
      <c r="B808" s="55">
        <v>2534102</v>
      </c>
      <c r="D808" s="55" t="s">
        <v>373</v>
      </c>
      <c r="E808" s="74">
        <v>43678</v>
      </c>
      <c r="F808" s="55" t="s">
        <v>344</v>
      </c>
      <c r="G808" s="55" t="s">
        <v>360</v>
      </c>
      <c r="H808" s="55" t="s">
        <v>360</v>
      </c>
      <c r="I808" s="55" t="s">
        <v>360</v>
      </c>
      <c r="J808" s="55" t="s">
        <v>360</v>
      </c>
      <c r="K808" s="55" t="s">
        <v>360</v>
      </c>
      <c r="L808" s="55" t="s">
        <v>360</v>
      </c>
      <c r="M808" s="55" t="s">
        <v>378</v>
      </c>
      <c r="N808" s="55" t="s">
        <v>170</v>
      </c>
      <c r="O808" s="55" t="s">
        <v>178</v>
      </c>
      <c r="P808" s="55" t="s">
        <v>905</v>
      </c>
      <c r="Q808" s="55" t="s">
        <v>350</v>
      </c>
      <c r="R808" s="55">
        <v>4</v>
      </c>
      <c r="S808" s="74"/>
      <c r="T808" s="55" t="s">
        <v>1485</v>
      </c>
      <c r="U808" s="73" t="s">
        <v>351</v>
      </c>
      <c r="V808" s="74">
        <v>44391</v>
      </c>
      <c r="W808" s="74">
        <v>44452</v>
      </c>
      <c r="X808" s="55">
        <v>10187219</v>
      </c>
      <c r="Y808" s="74" t="s">
        <v>130</v>
      </c>
      <c r="Z808" s="74"/>
      <c r="AB808" s="55" t="s">
        <v>130</v>
      </c>
      <c r="AC808" s="55" t="s">
        <v>130</v>
      </c>
    </row>
    <row r="809" spans="1:29" ht="13" x14ac:dyDescent="0.15">
      <c r="A809" s="72" t="str">
        <f t="shared" si="12"/>
        <v>Ofsted Social Care Provider Webpage</v>
      </c>
      <c r="B809" s="55">
        <v>2534179</v>
      </c>
      <c r="D809" s="55" t="s">
        <v>373</v>
      </c>
      <c r="E809" s="74">
        <v>43636</v>
      </c>
      <c r="F809" s="55" t="s">
        <v>344</v>
      </c>
      <c r="G809" s="55" t="s">
        <v>360</v>
      </c>
      <c r="H809" s="55" t="s">
        <v>360</v>
      </c>
      <c r="I809" s="55" t="s">
        <v>360</v>
      </c>
      <c r="J809" s="55" t="s">
        <v>360</v>
      </c>
      <c r="K809" s="55" t="s">
        <v>360</v>
      </c>
      <c r="L809" s="55" t="s">
        <v>360</v>
      </c>
      <c r="M809" s="55" t="s">
        <v>144</v>
      </c>
      <c r="N809" s="55" t="s">
        <v>144</v>
      </c>
      <c r="O809" s="55" t="s">
        <v>209</v>
      </c>
      <c r="P809" s="55" t="s">
        <v>561</v>
      </c>
      <c r="Q809" s="55" t="s">
        <v>350</v>
      </c>
      <c r="R809" s="55">
        <v>2</v>
      </c>
      <c r="S809" s="74"/>
      <c r="T809" s="55" t="s">
        <v>490</v>
      </c>
      <c r="U809" s="73" t="s">
        <v>351</v>
      </c>
      <c r="V809" s="74">
        <v>44341</v>
      </c>
      <c r="W809" s="74">
        <v>44382</v>
      </c>
      <c r="X809" s="55">
        <v>10187526</v>
      </c>
      <c r="Y809" s="74" t="s">
        <v>132</v>
      </c>
      <c r="Z809" s="74"/>
      <c r="AB809" s="55" t="s">
        <v>132</v>
      </c>
      <c r="AC809" s="55" t="s">
        <v>132</v>
      </c>
    </row>
    <row r="810" spans="1:29" ht="13" x14ac:dyDescent="0.15">
      <c r="A810" s="72" t="str">
        <f t="shared" si="12"/>
        <v>Ofsted Social Care Provider Webpage</v>
      </c>
      <c r="B810" s="55">
        <v>2534185</v>
      </c>
      <c r="D810" s="55" t="s">
        <v>373</v>
      </c>
      <c r="E810" s="74">
        <v>43764</v>
      </c>
      <c r="F810" s="55" t="s">
        <v>344</v>
      </c>
      <c r="G810" s="55" t="s">
        <v>360</v>
      </c>
      <c r="H810" s="55" t="s">
        <v>360</v>
      </c>
      <c r="I810" s="55" t="s">
        <v>360</v>
      </c>
      <c r="J810" s="55" t="s">
        <v>360</v>
      </c>
      <c r="K810" s="55" t="s">
        <v>360</v>
      </c>
      <c r="L810" s="55" t="s">
        <v>360</v>
      </c>
      <c r="M810" s="55" t="s">
        <v>172</v>
      </c>
      <c r="N810" s="55" t="s">
        <v>172</v>
      </c>
      <c r="O810" s="55" t="s">
        <v>173</v>
      </c>
      <c r="P810" s="55" t="s">
        <v>1540</v>
      </c>
      <c r="Q810" s="55" t="s">
        <v>350</v>
      </c>
      <c r="R810" s="55">
        <v>4</v>
      </c>
      <c r="S810" s="74"/>
      <c r="T810" s="55" t="s">
        <v>1541</v>
      </c>
      <c r="U810" s="73" t="s">
        <v>351</v>
      </c>
      <c r="V810" s="74">
        <v>44306</v>
      </c>
      <c r="W810" s="74">
        <v>44358</v>
      </c>
      <c r="X810" s="55">
        <v>10185551</v>
      </c>
      <c r="Y810" s="74" t="s">
        <v>132</v>
      </c>
      <c r="Z810" s="74"/>
      <c r="AB810" s="55" t="s">
        <v>140</v>
      </c>
      <c r="AC810" s="55" t="s">
        <v>140</v>
      </c>
    </row>
    <row r="811" spans="1:29" ht="13" x14ac:dyDescent="0.15">
      <c r="A811" s="72" t="str">
        <f t="shared" si="12"/>
        <v>Ofsted Social Care Provider Webpage</v>
      </c>
      <c r="B811" s="55">
        <v>2534215</v>
      </c>
      <c r="D811" s="55" t="s">
        <v>373</v>
      </c>
      <c r="E811" s="74">
        <v>43746</v>
      </c>
      <c r="F811" s="55" t="s">
        <v>344</v>
      </c>
      <c r="G811" s="55" t="s">
        <v>360</v>
      </c>
      <c r="H811" s="55" t="s">
        <v>360</v>
      </c>
      <c r="I811" s="55" t="s">
        <v>360</v>
      </c>
      <c r="J811" s="55" t="s">
        <v>360</v>
      </c>
      <c r="K811" s="55" t="s">
        <v>360</v>
      </c>
      <c r="L811" s="55" t="s">
        <v>360</v>
      </c>
      <c r="M811" s="55" t="s">
        <v>142</v>
      </c>
      <c r="N811" s="55" t="s">
        <v>142</v>
      </c>
      <c r="O811" s="55" t="s">
        <v>252</v>
      </c>
      <c r="P811" s="55" t="s">
        <v>386</v>
      </c>
      <c r="Q811" s="55" t="s">
        <v>380</v>
      </c>
      <c r="R811" s="55">
        <v>1</v>
      </c>
      <c r="S811" s="74"/>
      <c r="T811" s="55" t="s">
        <v>1542</v>
      </c>
      <c r="U811" s="73"/>
      <c r="W811" s="74"/>
      <c r="Y811" s="74"/>
      <c r="Z811" s="74"/>
    </row>
    <row r="812" spans="1:29" ht="13" x14ac:dyDescent="0.15">
      <c r="A812" s="72" t="str">
        <f t="shared" si="12"/>
        <v>Ofsted Social Care Provider Webpage</v>
      </c>
      <c r="B812" s="55">
        <v>2534436</v>
      </c>
      <c r="D812" s="55" t="s">
        <v>373</v>
      </c>
      <c r="E812" s="74">
        <v>43661</v>
      </c>
      <c r="F812" s="55" t="s">
        <v>344</v>
      </c>
      <c r="G812" s="55" t="s">
        <v>360</v>
      </c>
      <c r="H812" s="55" t="s">
        <v>360</v>
      </c>
      <c r="I812" s="55" t="s">
        <v>360</v>
      </c>
      <c r="J812" s="55" t="s">
        <v>360</v>
      </c>
      <c r="K812" s="55" t="s">
        <v>360</v>
      </c>
      <c r="L812" s="55" t="s">
        <v>360</v>
      </c>
      <c r="M812" s="55" t="s">
        <v>144</v>
      </c>
      <c r="N812" s="55" t="s">
        <v>144</v>
      </c>
      <c r="O812" s="55" t="s">
        <v>209</v>
      </c>
      <c r="P812" s="55" t="s">
        <v>561</v>
      </c>
      <c r="Q812" s="55" t="s">
        <v>350</v>
      </c>
      <c r="R812" s="55">
        <v>3</v>
      </c>
      <c r="S812" s="74"/>
      <c r="T812" s="55" t="s">
        <v>1543</v>
      </c>
      <c r="U812" s="73" t="s">
        <v>351</v>
      </c>
      <c r="V812" s="74">
        <v>44383</v>
      </c>
      <c r="W812" s="74">
        <v>44411</v>
      </c>
      <c r="X812" s="55">
        <v>10185177</v>
      </c>
      <c r="Y812" s="74" t="s">
        <v>132</v>
      </c>
      <c r="Z812" s="74"/>
      <c r="AB812" s="55" t="s">
        <v>132</v>
      </c>
      <c r="AC812" s="55" t="s">
        <v>132</v>
      </c>
    </row>
    <row r="813" spans="1:29" ht="13" x14ac:dyDescent="0.15">
      <c r="A813" s="72" t="str">
        <f t="shared" si="12"/>
        <v>Ofsted Social Care Provider Webpage</v>
      </c>
      <c r="B813" s="55">
        <v>2534580</v>
      </c>
      <c r="D813" s="55" t="s">
        <v>373</v>
      </c>
      <c r="E813" s="74">
        <v>43698</v>
      </c>
      <c r="F813" s="55" t="s">
        <v>344</v>
      </c>
      <c r="G813" s="55" t="s">
        <v>360</v>
      </c>
      <c r="H813" s="55" t="s">
        <v>360</v>
      </c>
      <c r="I813" s="55" t="s">
        <v>360</v>
      </c>
      <c r="J813" s="55" t="s">
        <v>360</v>
      </c>
      <c r="K813" s="55" t="s">
        <v>360</v>
      </c>
      <c r="L813" s="55" t="s">
        <v>360</v>
      </c>
      <c r="M813" s="55" t="s">
        <v>144</v>
      </c>
      <c r="N813" s="55" t="s">
        <v>144</v>
      </c>
      <c r="O813" s="55" t="s">
        <v>209</v>
      </c>
      <c r="P813" s="55" t="s">
        <v>650</v>
      </c>
      <c r="Q813" s="55" t="s">
        <v>350</v>
      </c>
      <c r="R813" s="55">
        <v>2</v>
      </c>
      <c r="S813" s="74"/>
      <c r="T813" s="55" t="s">
        <v>485</v>
      </c>
      <c r="U813" s="73" t="s">
        <v>351</v>
      </c>
      <c r="V813" s="74">
        <v>44502</v>
      </c>
      <c r="W813" s="74">
        <v>44546</v>
      </c>
      <c r="X813" s="55">
        <v>10185566</v>
      </c>
      <c r="Y813" s="74" t="s">
        <v>140</v>
      </c>
      <c r="Z813" s="74"/>
      <c r="AB813" s="55" t="s">
        <v>132</v>
      </c>
      <c r="AC813" s="55" t="s">
        <v>140</v>
      </c>
    </row>
    <row r="814" spans="1:29" ht="13" x14ac:dyDescent="0.15">
      <c r="A814" s="72" t="str">
        <f t="shared" si="12"/>
        <v>Ofsted Social Care Provider Webpage</v>
      </c>
      <c r="B814" s="55">
        <v>2534589</v>
      </c>
      <c r="D814" s="55" t="s">
        <v>373</v>
      </c>
      <c r="E814" s="74">
        <v>43710</v>
      </c>
      <c r="F814" s="55" t="s">
        <v>344</v>
      </c>
      <c r="G814" s="55" t="s">
        <v>360</v>
      </c>
      <c r="H814" s="55" t="s">
        <v>360</v>
      </c>
      <c r="I814" s="55" t="s">
        <v>360</v>
      </c>
      <c r="J814" s="55" t="s">
        <v>360</v>
      </c>
      <c r="K814" s="55" t="s">
        <v>360</v>
      </c>
      <c r="L814" s="55" t="s">
        <v>360</v>
      </c>
      <c r="M814" s="55" t="s">
        <v>136</v>
      </c>
      <c r="N814" s="55" t="s">
        <v>136</v>
      </c>
      <c r="O814" s="55" t="s">
        <v>274</v>
      </c>
      <c r="P814" s="55" t="s">
        <v>274</v>
      </c>
      <c r="Q814" s="55" t="s">
        <v>350</v>
      </c>
      <c r="R814" s="55">
        <v>3</v>
      </c>
      <c r="S814" s="74"/>
      <c r="T814" s="55" t="s">
        <v>1544</v>
      </c>
      <c r="U814" s="73" t="s">
        <v>351</v>
      </c>
      <c r="V814" s="74">
        <v>44446</v>
      </c>
      <c r="W814" s="74">
        <v>44477</v>
      </c>
      <c r="X814" s="55">
        <v>10186231</v>
      </c>
      <c r="Y814" s="74" t="s">
        <v>132</v>
      </c>
      <c r="Z814" s="74"/>
      <c r="AB814" s="55" t="s">
        <v>132</v>
      </c>
      <c r="AC814" s="55" t="s">
        <v>132</v>
      </c>
    </row>
    <row r="815" spans="1:29" ht="13" x14ac:dyDescent="0.15">
      <c r="A815" s="72" t="str">
        <f t="shared" si="12"/>
        <v>Ofsted Social Care Provider Webpage</v>
      </c>
      <c r="B815" s="55">
        <v>2534684</v>
      </c>
      <c r="D815" s="55" t="s">
        <v>373</v>
      </c>
      <c r="E815" s="74">
        <v>43740</v>
      </c>
      <c r="F815" s="55" t="s">
        <v>344</v>
      </c>
      <c r="G815" s="55" t="s">
        <v>360</v>
      </c>
      <c r="H815" s="55" t="s">
        <v>360</v>
      </c>
      <c r="I815" s="55" t="s">
        <v>360</v>
      </c>
      <c r="J815" s="55" t="s">
        <v>360</v>
      </c>
      <c r="K815" s="55" t="s">
        <v>360</v>
      </c>
      <c r="L815" s="55" t="s">
        <v>360</v>
      </c>
      <c r="M815" s="55" t="s">
        <v>150</v>
      </c>
      <c r="N815" s="55" t="s">
        <v>150</v>
      </c>
      <c r="O815" s="55" t="s">
        <v>283</v>
      </c>
      <c r="P815" s="55" t="s">
        <v>1333</v>
      </c>
      <c r="Q815" s="55" t="s">
        <v>350</v>
      </c>
      <c r="R815" s="55">
        <v>5</v>
      </c>
      <c r="S815" s="74"/>
      <c r="T815" s="55" t="s">
        <v>890</v>
      </c>
      <c r="U815" s="73" t="s">
        <v>351</v>
      </c>
      <c r="V815" s="74">
        <v>44336</v>
      </c>
      <c r="W815" s="74">
        <v>44383</v>
      </c>
      <c r="X815" s="55">
        <v>10186792</v>
      </c>
      <c r="Y815" s="74" t="s">
        <v>132</v>
      </c>
      <c r="Z815" s="74"/>
      <c r="AB815" s="55" t="s">
        <v>132</v>
      </c>
      <c r="AC815" s="55" t="s">
        <v>132</v>
      </c>
    </row>
    <row r="816" spans="1:29" ht="13" x14ac:dyDescent="0.15">
      <c r="A816" s="72" t="str">
        <f t="shared" si="12"/>
        <v>Ofsted Social Care Provider Webpage</v>
      </c>
      <c r="B816" s="55">
        <v>2534696</v>
      </c>
      <c r="D816" s="55" t="s">
        <v>373</v>
      </c>
      <c r="E816" s="74">
        <v>43628</v>
      </c>
      <c r="F816" s="55" t="s">
        <v>344</v>
      </c>
      <c r="G816" s="55" t="s">
        <v>360</v>
      </c>
      <c r="H816" s="55" t="s">
        <v>360</v>
      </c>
      <c r="I816" s="55" t="s">
        <v>360</v>
      </c>
      <c r="J816" s="55" t="s">
        <v>360</v>
      </c>
      <c r="K816" s="55" t="s">
        <v>360</v>
      </c>
      <c r="L816" s="55" t="s">
        <v>360</v>
      </c>
      <c r="M816" s="55" t="s">
        <v>172</v>
      </c>
      <c r="N816" s="55" t="s">
        <v>172</v>
      </c>
      <c r="O816" s="55" t="s">
        <v>235</v>
      </c>
      <c r="P816" s="55" t="s">
        <v>628</v>
      </c>
      <c r="Q816" s="55" t="s">
        <v>350</v>
      </c>
      <c r="R816" s="55">
        <v>2</v>
      </c>
      <c r="S816" s="74"/>
      <c r="T816" s="55" t="s">
        <v>962</v>
      </c>
      <c r="U816" s="73" t="s">
        <v>351</v>
      </c>
      <c r="V816" s="74">
        <v>44405</v>
      </c>
      <c r="W816" s="74">
        <v>44442</v>
      </c>
      <c r="X816" s="55">
        <v>10186661</v>
      </c>
      <c r="Y816" s="74" t="s">
        <v>132</v>
      </c>
      <c r="Z816" s="74"/>
      <c r="AB816" s="55" t="s">
        <v>132</v>
      </c>
      <c r="AC816" s="55" t="s">
        <v>132</v>
      </c>
    </row>
    <row r="817" spans="1:29" ht="13" x14ac:dyDescent="0.15">
      <c r="A817" s="72" t="str">
        <f t="shared" si="12"/>
        <v>Ofsted Social Care Provider Webpage</v>
      </c>
      <c r="B817" s="55">
        <v>2534827</v>
      </c>
      <c r="D817" s="55" t="s">
        <v>373</v>
      </c>
      <c r="E817" s="74">
        <v>43636</v>
      </c>
      <c r="F817" s="55" t="s">
        <v>344</v>
      </c>
      <c r="G817" s="55" t="s">
        <v>360</v>
      </c>
      <c r="H817" s="55" t="s">
        <v>360</v>
      </c>
      <c r="I817" s="55" t="s">
        <v>360</v>
      </c>
      <c r="J817" s="55" t="s">
        <v>360</v>
      </c>
      <c r="K817" s="55" t="s">
        <v>360</v>
      </c>
      <c r="L817" s="55" t="s">
        <v>360</v>
      </c>
      <c r="M817" s="55" t="s">
        <v>138</v>
      </c>
      <c r="N817" s="55" t="s">
        <v>138</v>
      </c>
      <c r="O817" s="55" t="s">
        <v>161</v>
      </c>
      <c r="P817" s="55" t="s">
        <v>643</v>
      </c>
      <c r="Q817" s="55" t="s">
        <v>350</v>
      </c>
      <c r="R817" s="55">
        <v>4</v>
      </c>
      <c r="S817" s="74"/>
      <c r="T817" s="55" t="s">
        <v>385</v>
      </c>
      <c r="U817" s="73" t="s">
        <v>351</v>
      </c>
      <c r="V817" s="74">
        <v>44412</v>
      </c>
      <c r="W817" s="74">
        <v>44442</v>
      </c>
      <c r="X817" s="55">
        <v>10185873</v>
      </c>
      <c r="Y817" s="74" t="s">
        <v>132</v>
      </c>
      <c r="Z817" s="74"/>
      <c r="AB817" s="55" t="s">
        <v>132</v>
      </c>
      <c r="AC817" s="55" t="s">
        <v>132</v>
      </c>
    </row>
    <row r="818" spans="1:29" ht="13" x14ac:dyDescent="0.15">
      <c r="A818" s="72" t="str">
        <f t="shared" si="12"/>
        <v>Ofsted Social Care Provider Webpage</v>
      </c>
      <c r="B818" s="55">
        <v>2534829</v>
      </c>
      <c r="D818" s="55" t="s">
        <v>373</v>
      </c>
      <c r="E818" s="74">
        <v>43700</v>
      </c>
      <c r="F818" s="55" t="s">
        <v>344</v>
      </c>
      <c r="G818" s="55" t="s">
        <v>360</v>
      </c>
      <c r="H818" s="55" t="s">
        <v>360</v>
      </c>
      <c r="I818" s="55" t="s">
        <v>360</v>
      </c>
      <c r="J818" s="55" t="s">
        <v>360</v>
      </c>
      <c r="K818" s="55" t="s">
        <v>360</v>
      </c>
      <c r="L818" s="55" t="s">
        <v>360</v>
      </c>
      <c r="M818" s="55" t="s">
        <v>144</v>
      </c>
      <c r="N818" s="55" t="s">
        <v>144</v>
      </c>
      <c r="O818" s="55" t="s">
        <v>209</v>
      </c>
      <c r="P818" s="55" t="s">
        <v>544</v>
      </c>
      <c r="Q818" s="55" t="s">
        <v>350</v>
      </c>
      <c r="R818" s="55">
        <v>2</v>
      </c>
      <c r="S818" s="74"/>
      <c r="T818" s="55" t="s">
        <v>778</v>
      </c>
      <c r="U818" s="73" t="s">
        <v>351</v>
      </c>
      <c r="V818" s="74">
        <v>44481</v>
      </c>
      <c r="W818" s="74">
        <v>44523</v>
      </c>
      <c r="X818" s="55">
        <v>10185724</v>
      </c>
      <c r="Y818" s="74" t="s">
        <v>130</v>
      </c>
      <c r="Z818" s="74"/>
      <c r="AB818" s="55" t="s">
        <v>130</v>
      </c>
      <c r="AC818" s="55" t="s">
        <v>130</v>
      </c>
    </row>
    <row r="819" spans="1:29" ht="13" x14ac:dyDescent="0.15">
      <c r="A819" s="72" t="str">
        <f t="shared" si="12"/>
        <v>Ofsted Social Care Provider Webpage</v>
      </c>
      <c r="B819" s="55">
        <v>2535166</v>
      </c>
      <c r="D819" s="55" t="s">
        <v>373</v>
      </c>
      <c r="E819" s="74">
        <v>43683</v>
      </c>
      <c r="F819" s="55" t="s">
        <v>344</v>
      </c>
      <c r="G819" s="55" t="s">
        <v>360</v>
      </c>
      <c r="H819" s="55" t="s">
        <v>360</v>
      </c>
      <c r="I819" s="55" t="s">
        <v>360</v>
      </c>
      <c r="J819" s="55" t="s">
        <v>360</v>
      </c>
      <c r="K819" s="55" t="s">
        <v>360</v>
      </c>
      <c r="L819" s="55" t="s">
        <v>360</v>
      </c>
      <c r="M819" s="55" t="s">
        <v>136</v>
      </c>
      <c r="N819" s="55" t="s">
        <v>136</v>
      </c>
      <c r="O819" s="55" t="s">
        <v>288</v>
      </c>
      <c r="P819" s="55" t="s">
        <v>1388</v>
      </c>
      <c r="Q819" s="55" t="s">
        <v>350</v>
      </c>
      <c r="R819" s="55">
        <v>3</v>
      </c>
      <c r="S819" s="74"/>
      <c r="T819" s="55" t="s">
        <v>450</v>
      </c>
      <c r="U819" s="73" t="s">
        <v>351</v>
      </c>
      <c r="V819" s="74">
        <v>44313</v>
      </c>
      <c r="W819" s="74">
        <v>44336</v>
      </c>
      <c r="X819" s="55">
        <v>10187347</v>
      </c>
      <c r="Y819" s="74" t="s">
        <v>132</v>
      </c>
      <c r="Z819" s="74"/>
      <c r="AB819" s="55" t="s">
        <v>132</v>
      </c>
      <c r="AC819" s="55" t="s">
        <v>132</v>
      </c>
    </row>
    <row r="820" spans="1:29" ht="13" x14ac:dyDescent="0.15">
      <c r="A820" s="72" t="str">
        <f t="shared" si="12"/>
        <v>Ofsted Social Care Provider Webpage</v>
      </c>
      <c r="B820" s="55">
        <v>2535376</v>
      </c>
      <c r="D820" s="55" t="s">
        <v>373</v>
      </c>
      <c r="E820" s="74">
        <v>43678</v>
      </c>
      <c r="F820" s="55" t="s">
        <v>344</v>
      </c>
      <c r="G820" s="55" t="s">
        <v>360</v>
      </c>
      <c r="H820" s="55" t="s">
        <v>360</v>
      </c>
      <c r="I820" s="55" t="s">
        <v>360</v>
      </c>
      <c r="J820" s="55" t="s">
        <v>360</v>
      </c>
      <c r="K820" s="55" t="s">
        <v>360</v>
      </c>
      <c r="L820" s="55" t="s">
        <v>360</v>
      </c>
      <c r="M820" s="55" t="s">
        <v>129</v>
      </c>
      <c r="N820" s="55" t="s">
        <v>129</v>
      </c>
      <c r="O820" s="55" t="s">
        <v>160</v>
      </c>
      <c r="P820" s="55" t="s">
        <v>447</v>
      </c>
      <c r="Q820" s="55" t="s">
        <v>350</v>
      </c>
      <c r="R820" s="55">
        <v>3</v>
      </c>
      <c r="S820" s="74"/>
      <c r="T820" s="55" t="s">
        <v>939</v>
      </c>
      <c r="U820" s="73" t="s">
        <v>351</v>
      </c>
      <c r="V820" s="74">
        <v>44502</v>
      </c>
      <c r="W820" s="74">
        <v>44537</v>
      </c>
      <c r="X820" s="55">
        <v>10185136</v>
      </c>
      <c r="Y820" s="74" t="s">
        <v>132</v>
      </c>
      <c r="Z820" s="74"/>
      <c r="AB820" s="55" t="s">
        <v>132</v>
      </c>
      <c r="AC820" s="55" t="s">
        <v>132</v>
      </c>
    </row>
    <row r="821" spans="1:29" ht="13" x14ac:dyDescent="0.15">
      <c r="A821" s="72" t="str">
        <f t="shared" si="12"/>
        <v>Ofsted Social Care Provider Webpage</v>
      </c>
      <c r="B821" s="55">
        <v>2535887</v>
      </c>
      <c r="D821" s="55" t="s">
        <v>373</v>
      </c>
      <c r="E821" s="74">
        <v>43679</v>
      </c>
      <c r="F821" s="55" t="s">
        <v>344</v>
      </c>
      <c r="G821" s="55" t="s">
        <v>360</v>
      </c>
      <c r="H821" s="55" t="s">
        <v>360</v>
      </c>
      <c r="I821" s="55" t="s">
        <v>360</v>
      </c>
      <c r="J821" s="55" t="s">
        <v>360</v>
      </c>
      <c r="K821" s="55" t="s">
        <v>360</v>
      </c>
      <c r="L821" s="55" t="s">
        <v>360</v>
      </c>
      <c r="M821" s="55" t="s">
        <v>129</v>
      </c>
      <c r="N821" s="55" t="s">
        <v>129</v>
      </c>
      <c r="O821" s="55" t="s">
        <v>194</v>
      </c>
      <c r="P821" s="55" t="s">
        <v>1201</v>
      </c>
      <c r="Q821" s="55" t="s">
        <v>350</v>
      </c>
      <c r="R821" s="55">
        <v>4</v>
      </c>
      <c r="S821" s="74"/>
      <c r="T821" s="55" t="s">
        <v>1545</v>
      </c>
      <c r="U821" s="73" t="s">
        <v>351</v>
      </c>
      <c r="V821" s="74">
        <v>44510</v>
      </c>
      <c r="W821" s="74">
        <v>44544</v>
      </c>
      <c r="X821" s="55">
        <v>10185428</v>
      </c>
      <c r="Y821" s="74" t="s">
        <v>132</v>
      </c>
      <c r="Z821" s="74"/>
      <c r="AB821" s="55" t="s">
        <v>132</v>
      </c>
      <c r="AC821" s="55" t="s">
        <v>132</v>
      </c>
    </row>
    <row r="822" spans="1:29" ht="13" x14ac:dyDescent="0.15">
      <c r="A822" s="72" t="str">
        <f t="shared" si="12"/>
        <v>Ofsted Social Care Provider Webpage</v>
      </c>
      <c r="B822" s="55">
        <v>2536395</v>
      </c>
      <c r="D822" s="55" t="s">
        <v>373</v>
      </c>
      <c r="E822" s="74">
        <v>43619</v>
      </c>
      <c r="F822" s="55" t="s">
        <v>344</v>
      </c>
      <c r="G822" s="55" t="s">
        <v>360</v>
      </c>
      <c r="H822" s="55" t="s">
        <v>360</v>
      </c>
      <c r="I822" s="55" t="s">
        <v>360</v>
      </c>
      <c r="J822" s="55" t="s">
        <v>360</v>
      </c>
      <c r="K822" s="55" t="s">
        <v>360</v>
      </c>
      <c r="L822" s="55" t="s">
        <v>360</v>
      </c>
      <c r="M822" s="55" t="s">
        <v>144</v>
      </c>
      <c r="N822" s="55" t="s">
        <v>144</v>
      </c>
      <c r="O822" s="55" t="s">
        <v>261</v>
      </c>
      <c r="P822" s="55" t="s">
        <v>512</v>
      </c>
      <c r="Q822" s="55" t="s">
        <v>350</v>
      </c>
      <c r="R822" s="55">
        <v>2</v>
      </c>
      <c r="S822" s="74"/>
      <c r="T822" s="55" t="s">
        <v>513</v>
      </c>
      <c r="U822" s="73" t="s">
        <v>351</v>
      </c>
      <c r="V822" s="74">
        <v>44635</v>
      </c>
      <c r="W822" s="74">
        <v>44679</v>
      </c>
      <c r="X822" s="55">
        <v>10185879</v>
      </c>
      <c r="Y822" s="74" t="s">
        <v>132</v>
      </c>
      <c r="Z822" s="74"/>
      <c r="AB822" s="55" t="s">
        <v>132</v>
      </c>
      <c r="AC822" s="55" t="s">
        <v>132</v>
      </c>
    </row>
    <row r="823" spans="1:29" ht="13" x14ac:dyDescent="0.15">
      <c r="A823" s="72" t="str">
        <f t="shared" si="12"/>
        <v>Ofsted Social Care Provider Webpage</v>
      </c>
      <c r="B823" s="55">
        <v>2536455</v>
      </c>
      <c r="D823" s="55" t="s">
        <v>373</v>
      </c>
      <c r="E823" s="74">
        <v>43692</v>
      </c>
      <c r="F823" s="55" t="s">
        <v>344</v>
      </c>
      <c r="G823" s="55" t="s">
        <v>360</v>
      </c>
      <c r="H823" s="55" t="s">
        <v>360</v>
      </c>
      <c r="I823" s="55" t="s">
        <v>360</v>
      </c>
      <c r="J823" s="55" t="s">
        <v>360</v>
      </c>
      <c r="K823" s="55" t="s">
        <v>360</v>
      </c>
      <c r="L823" s="55" t="s">
        <v>360</v>
      </c>
      <c r="M823" s="55" t="s">
        <v>138</v>
      </c>
      <c r="N823" s="55" t="s">
        <v>138</v>
      </c>
      <c r="O823" s="55" t="s">
        <v>161</v>
      </c>
      <c r="P823" s="55" t="s">
        <v>643</v>
      </c>
      <c r="Q823" s="55" t="s">
        <v>350</v>
      </c>
      <c r="R823" s="55">
        <v>5</v>
      </c>
      <c r="S823" s="74"/>
      <c r="T823" s="55" t="s">
        <v>1546</v>
      </c>
      <c r="U823" s="73" t="s">
        <v>351</v>
      </c>
      <c r="V823" s="74">
        <v>44341</v>
      </c>
      <c r="W823" s="74">
        <v>44375</v>
      </c>
      <c r="X823" s="55">
        <v>10187633</v>
      </c>
      <c r="Y823" s="74" t="s">
        <v>132</v>
      </c>
      <c r="Z823" s="74"/>
      <c r="AB823" s="55" t="s">
        <v>132</v>
      </c>
      <c r="AC823" s="55" t="s">
        <v>132</v>
      </c>
    </row>
    <row r="824" spans="1:29" ht="13" x14ac:dyDescent="0.15">
      <c r="A824" s="72" t="str">
        <f t="shared" si="12"/>
        <v>Ofsted Social Care Provider Webpage</v>
      </c>
      <c r="B824" s="55">
        <v>2536761</v>
      </c>
      <c r="D824" s="55" t="s">
        <v>373</v>
      </c>
      <c r="E824" s="74">
        <v>43692</v>
      </c>
      <c r="F824" s="55" t="s">
        <v>344</v>
      </c>
      <c r="G824" s="55" t="s">
        <v>360</v>
      </c>
      <c r="H824" s="55" t="s">
        <v>360</v>
      </c>
      <c r="I824" s="55" t="s">
        <v>360</v>
      </c>
      <c r="J824" s="55" t="s">
        <v>360</v>
      </c>
      <c r="K824" s="55" t="s">
        <v>360</v>
      </c>
      <c r="L824" s="55" t="s">
        <v>360</v>
      </c>
      <c r="M824" s="55" t="s">
        <v>144</v>
      </c>
      <c r="N824" s="55" t="s">
        <v>144</v>
      </c>
      <c r="O824" s="55" t="s">
        <v>287</v>
      </c>
      <c r="P824" s="55" t="s">
        <v>815</v>
      </c>
      <c r="Q824" s="55" t="s">
        <v>350</v>
      </c>
      <c r="R824" s="55">
        <v>3</v>
      </c>
      <c r="S824" s="74"/>
      <c r="T824" s="55" t="s">
        <v>493</v>
      </c>
      <c r="U824" s="73" t="s">
        <v>351</v>
      </c>
      <c r="V824" s="74">
        <v>44586</v>
      </c>
      <c r="W824" s="74">
        <v>44621</v>
      </c>
      <c r="X824" s="55">
        <v>10187491</v>
      </c>
      <c r="Y824" s="74" t="s">
        <v>132</v>
      </c>
      <c r="Z824" s="74"/>
      <c r="AB824" s="55" t="s">
        <v>132</v>
      </c>
      <c r="AC824" s="55" t="s">
        <v>132</v>
      </c>
    </row>
    <row r="825" spans="1:29" ht="13" x14ac:dyDescent="0.15">
      <c r="A825" s="72" t="str">
        <f t="shared" si="12"/>
        <v>Ofsted Social Care Provider Webpage</v>
      </c>
      <c r="B825" s="55">
        <v>2536967</v>
      </c>
      <c r="D825" s="55" t="s">
        <v>373</v>
      </c>
      <c r="E825" s="74">
        <v>43823</v>
      </c>
      <c r="F825" s="55" t="s">
        <v>344</v>
      </c>
      <c r="G825" s="55" t="s">
        <v>360</v>
      </c>
      <c r="H825" s="55" t="s">
        <v>360</v>
      </c>
      <c r="I825" s="55" t="s">
        <v>360</v>
      </c>
      <c r="J825" s="55" t="s">
        <v>360</v>
      </c>
      <c r="K825" s="55" t="s">
        <v>360</v>
      </c>
      <c r="L825" s="55" t="s">
        <v>360</v>
      </c>
      <c r="M825" s="55" t="s">
        <v>150</v>
      </c>
      <c r="N825" s="55" t="s">
        <v>150</v>
      </c>
      <c r="O825" s="55" t="s">
        <v>203</v>
      </c>
      <c r="P825" s="55" t="s">
        <v>1038</v>
      </c>
      <c r="Q825" s="55" t="s">
        <v>380</v>
      </c>
      <c r="R825" s="55">
        <v>3</v>
      </c>
      <c r="S825" s="74"/>
      <c r="T825" s="55" t="s">
        <v>1547</v>
      </c>
      <c r="U825" s="73" t="s">
        <v>351</v>
      </c>
      <c r="V825" s="74">
        <v>44418</v>
      </c>
      <c r="W825" s="74">
        <v>44467</v>
      </c>
      <c r="X825" s="55">
        <v>10187291</v>
      </c>
      <c r="Y825" s="74" t="s">
        <v>130</v>
      </c>
      <c r="Z825" s="74"/>
      <c r="AB825" s="55" t="s">
        <v>130</v>
      </c>
      <c r="AC825" s="55" t="s">
        <v>146</v>
      </c>
    </row>
    <row r="826" spans="1:29" ht="13" x14ac:dyDescent="0.15">
      <c r="A826" s="72" t="str">
        <f t="shared" si="12"/>
        <v>Ofsted Social Care Provider Webpage</v>
      </c>
      <c r="B826" s="55">
        <v>2537058</v>
      </c>
      <c r="D826" s="55" t="s">
        <v>373</v>
      </c>
      <c r="E826" s="74">
        <v>43672</v>
      </c>
      <c r="F826" s="55" t="s">
        <v>344</v>
      </c>
      <c r="G826" s="55" t="s">
        <v>360</v>
      </c>
      <c r="H826" s="55" t="s">
        <v>360</v>
      </c>
      <c r="I826" s="55" t="s">
        <v>360</v>
      </c>
      <c r="J826" s="55" t="s">
        <v>360</v>
      </c>
      <c r="K826" s="55" t="s">
        <v>360</v>
      </c>
      <c r="L826" s="55" t="s">
        <v>360</v>
      </c>
      <c r="M826" s="55" t="s">
        <v>144</v>
      </c>
      <c r="N826" s="55" t="s">
        <v>144</v>
      </c>
      <c r="O826" s="55" t="s">
        <v>209</v>
      </c>
      <c r="P826" s="55" t="s">
        <v>555</v>
      </c>
      <c r="Q826" s="55" t="s">
        <v>350</v>
      </c>
      <c r="R826" s="55">
        <v>4</v>
      </c>
      <c r="S826" s="74"/>
      <c r="T826" s="55" t="s">
        <v>485</v>
      </c>
      <c r="U826" s="73" t="s">
        <v>351</v>
      </c>
      <c r="V826" s="74">
        <v>44544</v>
      </c>
      <c r="W826" s="74">
        <v>44609</v>
      </c>
      <c r="X826" s="55">
        <v>10186811</v>
      </c>
      <c r="Y826" s="74" t="s">
        <v>130</v>
      </c>
      <c r="Z826" s="74"/>
      <c r="AB826" s="55" t="s">
        <v>130</v>
      </c>
      <c r="AC826" s="55" t="s">
        <v>130</v>
      </c>
    </row>
    <row r="827" spans="1:29" ht="13" x14ac:dyDescent="0.15">
      <c r="A827" s="72" t="str">
        <f t="shared" si="12"/>
        <v>Ofsted Social Care Provider Webpage</v>
      </c>
      <c r="B827" s="55">
        <v>2537060</v>
      </c>
      <c r="D827" s="55" t="s">
        <v>373</v>
      </c>
      <c r="E827" s="74">
        <v>43699</v>
      </c>
      <c r="F827" s="55" t="s">
        <v>344</v>
      </c>
      <c r="G827" s="55" t="s">
        <v>360</v>
      </c>
      <c r="H827" s="55" t="s">
        <v>360</v>
      </c>
      <c r="I827" s="55" t="s">
        <v>360</v>
      </c>
      <c r="J827" s="55" t="s">
        <v>360</v>
      </c>
      <c r="K827" s="55" t="s">
        <v>360</v>
      </c>
      <c r="L827" s="55" t="s">
        <v>360</v>
      </c>
      <c r="M827" s="55" t="s">
        <v>144</v>
      </c>
      <c r="N827" s="55" t="s">
        <v>144</v>
      </c>
      <c r="O827" s="55" t="s">
        <v>145</v>
      </c>
      <c r="P827" s="55" t="s">
        <v>525</v>
      </c>
      <c r="Q827" s="55" t="s">
        <v>350</v>
      </c>
      <c r="R827" s="55">
        <v>2</v>
      </c>
      <c r="S827" s="74"/>
      <c r="T827" s="55" t="s">
        <v>485</v>
      </c>
      <c r="U827" s="73" t="s">
        <v>351</v>
      </c>
      <c r="V827" s="74">
        <v>44571</v>
      </c>
      <c r="W827" s="74">
        <v>44600</v>
      </c>
      <c r="X827" s="55">
        <v>10187041</v>
      </c>
      <c r="Y827" s="74" t="s">
        <v>132</v>
      </c>
      <c r="Z827" s="74"/>
      <c r="AB827" s="55" t="s">
        <v>132</v>
      </c>
      <c r="AC827" s="55" t="s">
        <v>132</v>
      </c>
    </row>
    <row r="828" spans="1:29" ht="13" x14ac:dyDescent="0.15">
      <c r="A828" s="72" t="str">
        <f t="shared" si="12"/>
        <v>Ofsted Social Care Provider Webpage</v>
      </c>
      <c r="B828" s="55">
        <v>2537149</v>
      </c>
      <c r="D828" s="55" t="s">
        <v>373</v>
      </c>
      <c r="E828" s="74">
        <v>43713</v>
      </c>
      <c r="F828" s="55" t="s">
        <v>344</v>
      </c>
      <c r="G828" s="55" t="s">
        <v>360</v>
      </c>
      <c r="H828" s="55" t="s">
        <v>360</v>
      </c>
      <c r="I828" s="55" t="s">
        <v>360</v>
      </c>
      <c r="J828" s="55" t="s">
        <v>360</v>
      </c>
      <c r="K828" s="55" t="s">
        <v>360</v>
      </c>
      <c r="L828" s="55" t="s">
        <v>360</v>
      </c>
      <c r="M828" s="55" t="s">
        <v>136</v>
      </c>
      <c r="N828" s="55" t="s">
        <v>136</v>
      </c>
      <c r="O828" s="55" t="s">
        <v>230</v>
      </c>
      <c r="P828" s="55" t="s">
        <v>230</v>
      </c>
      <c r="Q828" s="55" t="s">
        <v>362</v>
      </c>
      <c r="R828" s="55">
        <v>4</v>
      </c>
      <c r="S828" s="74"/>
      <c r="T828" s="55" t="s">
        <v>367</v>
      </c>
      <c r="U828" s="73" t="s">
        <v>351</v>
      </c>
      <c r="V828" s="74">
        <v>44348</v>
      </c>
      <c r="W828" s="74">
        <v>44397</v>
      </c>
      <c r="X828" s="55">
        <v>10186639</v>
      </c>
      <c r="Y828" s="74" t="s">
        <v>130</v>
      </c>
      <c r="Z828" s="74"/>
      <c r="AB828" s="55" t="s">
        <v>130</v>
      </c>
      <c r="AC828" s="55" t="s">
        <v>130</v>
      </c>
    </row>
    <row r="829" spans="1:29" ht="13" x14ac:dyDescent="0.15">
      <c r="A829" s="72" t="str">
        <f t="shared" si="12"/>
        <v>Ofsted Social Care Provider Webpage</v>
      </c>
      <c r="B829" s="55">
        <v>2537252</v>
      </c>
      <c r="D829" s="55" t="s">
        <v>373</v>
      </c>
      <c r="E829" s="74">
        <v>43628</v>
      </c>
      <c r="F829" s="55" t="s">
        <v>344</v>
      </c>
      <c r="G829" s="55" t="s">
        <v>360</v>
      </c>
      <c r="H829" s="55" t="s">
        <v>360</v>
      </c>
      <c r="I829" s="55" t="s">
        <v>360</v>
      </c>
      <c r="J829" s="55" t="s">
        <v>360</v>
      </c>
      <c r="K829" s="55" t="s">
        <v>360</v>
      </c>
      <c r="L829" s="55" t="s">
        <v>360</v>
      </c>
      <c r="M829" s="55" t="s">
        <v>172</v>
      </c>
      <c r="N829" s="55" t="s">
        <v>172</v>
      </c>
      <c r="O829" s="55" t="s">
        <v>235</v>
      </c>
      <c r="P829" s="55" t="s">
        <v>628</v>
      </c>
      <c r="Q829" s="55" t="s">
        <v>350</v>
      </c>
      <c r="R829" s="55">
        <v>2</v>
      </c>
      <c r="S829" s="74"/>
      <c r="T829" s="55" t="s">
        <v>962</v>
      </c>
      <c r="U829" s="73" t="s">
        <v>351</v>
      </c>
      <c r="V829" s="74">
        <v>44453</v>
      </c>
      <c r="W829" s="74">
        <v>44484</v>
      </c>
      <c r="X829" s="55">
        <v>10187131</v>
      </c>
      <c r="Y829" s="74" t="s">
        <v>132</v>
      </c>
      <c r="Z829" s="74"/>
      <c r="AB829" s="55" t="s">
        <v>132</v>
      </c>
      <c r="AC829" s="55" t="s">
        <v>132</v>
      </c>
    </row>
    <row r="830" spans="1:29" ht="13" x14ac:dyDescent="0.15">
      <c r="A830" s="72" t="str">
        <f t="shared" si="12"/>
        <v>Ofsted Social Care Provider Webpage</v>
      </c>
      <c r="B830" s="55">
        <v>2537375</v>
      </c>
      <c r="D830" s="55" t="s">
        <v>373</v>
      </c>
      <c r="E830" s="74">
        <v>43686</v>
      </c>
      <c r="F830" s="55" t="s">
        <v>344</v>
      </c>
      <c r="G830" s="55" t="s">
        <v>360</v>
      </c>
      <c r="H830" s="55" t="s">
        <v>360</v>
      </c>
      <c r="I830" s="55" t="s">
        <v>360</v>
      </c>
      <c r="J830" s="55" t="s">
        <v>360</v>
      </c>
      <c r="K830" s="55" t="s">
        <v>360</v>
      </c>
      <c r="L830" s="55" t="s">
        <v>360</v>
      </c>
      <c r="M830" s="55" t="s">
        <v>142</v>
      </c>
      <c r="N830" s="55" t="s">
        <v>142</v>
      </c>
      <c r="O830" s="55" t="s">
        <v>262</v>
      </c>
      <c r="P830" s="55" t="s">
        <v>692</v>
      </c>
      <c r="Q830" s="55" t="s">
        <v>350</v>
      </c>
      <c r="R830" s="55">
        <v>3</v>
      </c>
      <c r="S830" s="74"/>
      <c r="T830" s="55" t="s">
        <v>1307</v>
      </c>
      <c r="U830" s="73" t="s">
        <v>351</v>
      </c>
      <c r="V830" s="74">
        <v>44320</v>
      </c>
      <c r="W830" s="74">
        <v>44362</v>
      </c>
      <c r="X830" s="55">
        <v>10187676</v>
      </c>
      <c r="Y830" s="74" t="s">
        <v>132</v>
      </c>
      <c r="Z830" s="74"/>
      <c r="AB830" s="55" t="s">
        <v>132</v>
      </c>
      <c r="AC830" s="55" t="s">
        <v>132</v>
      </c>
    </row>
    <row r="831" spans="1:29" ht="13" x14ac:dyDescent="0.15">
      <c r="A831" s="72" t="str">
        <f t="shared" si="12"/>
        <v>Ofsted Social Care Provider Webpage</v>
      </c>
      <c r="B831" s="55">
        <v>2537401</v>
      </c>
      <c r="D831" s="55" t="s">
        <v>389</v>
      </c>
      <c r="E831" s="74">
        <v>43678</v>
      </c>
      <c r="F831" s="55" t="s">
        <v>344</v>
      </c>
      <c r="G831" s="55" t="s">
        <v>1548</v>
      </c>
      <c r="H831" s="55" t="s">
        <v>1548</v>
      </c>
      <c r="I831" s="55" t="s">
        <v>1549</v>
      </c>
      <c r="J831" s="55" t="s">
        <v>129</v>
      </c>
      <c r="L831" s="55" t="s">
        <v>1550</v>
      </c>
      <c r="M831" s="55" t="s">
        <v>129</v>
      </c>
      <c r="N831" s="55" t="s">
        <v>129</v>
      </c>
      <c r="O831" s="55" t="s">
        <v>242</v>
      </c>
      <c r="P831" s="55" t="s">
        <v>1519</v>
      </c>
      <c r="Q831" s="55" t="s">
        <v>350</v>
      </c>
      <c r="R831" s="55"/>
      <c r="S831" s="74"/>
      <c r="T831" s="55" t="s">
        <v>1551</v>
      </c>
      <c r="U831" s="73" t="s">
        <v>351</v>
      </c>
      <c r="V831" s="74">
        <v>44431</v>
      </c>
      <c r="W831" s="74">
        <v>44480</v>
      </c>
      <c r="X831" s="55">
        <v>10183185</v>
      </c>
      <c r="Y831" s="74" t="s">
        <v>132</v>
      </c>
      <c r="Z831" s="74"/>
      <c r="AB831" s="55" t="s">
        <v>132</v>
      </c>
      <c r="AC831" s="55" t="s">
        <v>132</v>
      </c>
    </row>
    <row r="832" spans="1:29" ht="13" x14ac:dyDescent="0.15">
      <c r="A832" s="72" t="str">
        <f t="shared" si="12"/>
        <v>Ofsted Social Care Provider Webpage</v>
      </c>
      <c r="B832" s="55">
        <v>2537782</v>
      </c>
      <c r="D832" s="55" t="s">
        <v>373</v>
      </c>
      <c r="E832" s="74">
        <v>43756</v>
      </c>
      <c r="F832" s="55" t="s">
        <v>344</v>
      </c>
      <c r="G832" s="55" t="s">
        <v>360</v>
      </c>
      <c r="H832" s="55" t="s">
        <v>360</v>
      </c>
      <c r="I832" s="55" t="s">
        <v>360</v>
      </c>
      <c r="J832" s="55" t="s">
        <v>360</v>
      </c>
      <c r="K832" s="55" t="s">
        <v>360</v>
      </c>
      <c r="L832" s="55" t="s">
        <v>360</v>
      </c>
      <c r="M832" s="55" t="s">
        <v>138</v>
      </c>
      <c r="N832" s="55" t="s">
        <v>138</v>
      </c>
      <c r="O832" s="55" t="s">
        <v>224</v>
      </c>
      <c r="P832" s="55" t="s">
        <v>1552</v>
      </c>
      <c r="Q832" s="55" t="s">
        <v>350</v>
      </c>
      <c r="R832" s="55">
        <v>6</v>
      </c>
      <c r="S832" s="74"/>
      <c r="T832" s="55" t="s">
        <v>1553</v>
      </c>
      <c r="U832" s="73" t="s">
        <v>351</v>
      </c>
      <c r="V832" s="74">
        <v>44361</v>
      </c>
      <c r="W832" s="74">
        <v>44390</v>
      </c>
      <c r="X832" s="55">
        <v>10185139</v>
      </c>
      <c r="Y832" s="74" t="s">
        <v>132</v>
      </c>
      <c r="Z832" s="74"/>
      <c r="AB832" s="55" t="s">
        <v>132</v>
      </c>
      <c r="AC832" s="55" t="s">
        <v>130</v>
      </c>
    </row>
    <row r="833" spans="1:29" ht="13" x14ac:dyDescent="0.15">
      <c r="A833" s="72" t="str">
        <f t="shared" si="12"/>
        <v>Ofsted Social Care Provider Webpage</v>
      </c>
      <c r="B833" s="55">
        <v>2537801</v>
      </c>
      <c r="D833" s="55" t="s">
        <v>373</v>
      </c>
      <c r="E833" s="74">
        <v>43721</v>
      </c>
      <c r="F833" s="55" t="s">
        <v>344</v>
      </c>
      <c r="G833" s="55" t="s">
        <v>360</v>
      </c>
      <c r="H833" s="55" t="s">
        <v>360</v>
      </c>
      <c r="I833" s="55" t="s">
        <v>360</v>
      </c>
      <c r="J833" s="55" t="s">
        <v>360</v>
      </c>
      <c r="K833" s="55" t="s">
        <v>360</v>
      </c>
      <c r="L833" s="55" t="s">
        <v>360</v>
      </c>
      <c r="M833" s="55" t="s">
        <v>144</v>
      </c>
      <c r="N833" s="55" t="s">
        <v>144</v>
      </c>
      <c r="O833" s="55" t="s">
        <v>209</v>
      </c>
      <c r="P833" s="55" t="s">
        <v>736</v>
      </c>
      <c r="Q833" s="55" t="s">
        <v>350</v>
      </c>
      <c r="R833" s="55">
        <v>3</v>
      </c>
      <c r="S833" s="74"/>
      <c r="T833" s="55" t="s">
        <v>598</v>
      </c>
      <c r="U833" s="73" t="s">
        <v>351</v>
      </c>
      <c r="V833" s="74">
        <v>44370</v>
      </c>
      <c r="W833" s="74">
        <v>44404</v>
      </c>
      <c r="X833" s="55">
        <v>10187551</v>
      </c>
      <c r="Y833" s="74" t="s">
        <v>132</v>
      </c>
      <c r="Z833" s="74"/>
      <c r="AB833" s="55" t="s">
        <v>132</v>
      </c>
      <c r="AC833" s="55" t="s">
        <v>132</v>
      </c>
    </row>
    <row r="834" spans="1:29" ht="13" x14ac:dyDescent="0.15">
      <c r="A834" s="72" t="str">
        <f t="shared" si="12"/>
        <v>Ofsted Social Care Provider Webpage</v>
      </c>
      <c r="B834" s="55">
        <v>2538055</v>
      </c>
      <c r="D834" s="55" t="s">
        <v>373</v>
      </c>
      <c r="E834" s="74">
        <v>43700</v>
      </c>
      <c r="F834" s="55" t="s">
        <v>344</v>
      </c>
      <c r="G834" s="55" t="s">
        <v>360</v>
      </c>
      <c r="H834" s="55" t="s">
        <v>360</v>
      </c>
      <c r="I834" s="55" t="s">
        <v>360</v>
      </c>
      <c r="J834" s="55" t="s">
        <v>360</v>
      </c>
      <c r="K834" s="55" t="s">
        <v>360</v>
      </c>
      <c r="L834" s="55" t="s">
        <v>360</v>
      </c>
      <c r="M834" s="55" t="s">
        <v>136</v>
      </c>
      <c r="N834" s="55" t="s">
        <v>136</v>
      </c>
      <c r="O834" s="55" t="s">
        <v>255</v>
      </c>
      <c r="P834" s="55" t="s">
        <v>583</v>
      </c>
      <c r="Q834" s="55" t="s">
        <v>350</v>
      </c>
      <c r="R834" s="55">
        <v>2</v>
      </c>
      <c r="S834" s="74"/>
      <c r="T834" s="55" t="s">
        <v>858</v>
      </c>
      <c r="U834" s="73" t="s">
        <v>351</v>
      </c>
      <c r="V834" s="74">
        <v>44481</v>
      </c>
      <c r="W834" s="74">
        <v>44518</v>
      </c>
      <c r="X834" s="55">
        <v>10187405</v>
      </c>
      <c r="Y834" s="74" t="s">
        <v>130</v>
      </c>
      <c r="Z834" s="74"/>
      <c r="AB834" s="55" t="s">
        <v>130</v>
      </c>
      <c r="AC834" s="55" t="s">
        <v>130</v>
      </c>
    </row>
    <row r="835" spans="1:29" ht="13" x14ac:dyDescent="0.15">
      <c r="A835" s="72" t="str">
        <f t="shared" si="12"/>
        <v>Ofsted Social Care Provider Webpage</v>
      </c>
      <c r="B835" s="55">
        <v>2538267</v>
      </c>
      <c r="D835" s="55" t="s">
        <v>373</v>
      </c>
      <c r="E835" s="74">
        <v>44018</v>
      </c>
      <c r="F835" s="55" t="s">
        <v>344</v>
      </c>
      <c r="G835" s="55" t="s">
        <v>360</v>
      </c>
      <c r="H835" s="55" t="s">
        <v>360</v>
      </c>
      <c r="I835" s="55" t="s">
        <v>360</v>
      </c>
      <c r="J835" s="55" t="s">
        <v>360</v>
      </c>
      <c r="K835" s="55" t="s">
        <v>360</v>
      </c>
      <c r="L835" s="55" t="s">
        <v>360</v>
      </c>
      <c r="M835" s="55" t="s">
        <v>378</v>
      </c>
      <c r="N835" s="55" t="s">
        <v>134</v>
      </c>
      <c r="O835" s="55" t="s">
        <v>180</v>
      </c>
      <c r="P835" s="55" t="s">
        <v>1249</v>
      </c>
      <c r="Q835" s="55" t="s">
        <v>350</v>
      </c>
      <c r="R835" s="55">
        <v>1</v>
      </c>
      <c r="S835" s="74"/>
      <c r="T835" s="55" t="s">
        <v>1484</v>
      </c>
      <c r="U835" s="73"/>
      <c r="W835" s="74"/>
      <c r="Y835" s="74"/>
      <c r="Z835" s="74"/>
    </row>
    <row r="836" spans="1:29" ht="13" x14ac:dyDescent="0.15">
      <c r="A836" s="72" t="str">
        <f t="shared" si="12"/>
        <v>Ofsted Social Care Provider Webpage</v>
      </c>
      <c r="B836" s="55">
        <v>2538285</v>
      </c>
      <c r="D836" s="55" t="s">
        <v>373</v>
      </c>
      <c r="E836" s="74">
        <v>43795</v>
      </c>
      <c r="F836" s="55" t="s">
        <v>344</v>
      </c>
      <c r="G836" s="55" t="s">
        <v>360</v>
      </c>
      <c r="H836" s="55" t="s">
        <v>360</v>
      </c>
      <c r="I836" s="55" t="s">
        <v>360</v>
      </c>
      <c r="J836" s="55" t="s">
        <v>360</v>
      </c>
      <c r="K836" s="55" t="s">
        <v>360</v>
      </c>
      <c r="L836" s="55" t="s">
        <v>360</v>
      </c>
      <c r="M836" s="55" t="s">
        <v>144</v>
      </c>
      <c r="N836" s="55" t="s">
        <v>144</v>
      </c>
      <c r="O836" s="55" t="s">
        <v>209</v>
      </c>
      <c r="P836" s="55" t="s">
        <v>629</v>
      </c>
      <c r="Q836" s="55" t="s">
        <v>350</v>
      </c>
      <c r="R836" s="55">
        <v>6</v>
      </c>
      <c r="S836" s="74"/>
      <c r="T836" s="55" t="s">
        <v>1554</v>
      </c>
      <c r="U836" s="73" t="s">
        <v>351</v>
      </c>
      <c r="V836" s="74">
        <v>44419</v>
      </c>
      <c r="W836" s="74">
        <v>44463</v>
      </c>
      <c r="X836" s="55">
        <v>10187439</v>
      </c>
      <c r="Y836" s="74" t="s">
        <v>130</v>
      </c>
      <c r="Z836" s="74"/>
      <c r="AB836" s="55" t="s">
        <v>130</v>
      </c>
      <c r="AC836" s="55" t="s">
        <v>130</v>
      </c>
    </row>
    <row r="837" spans="1:29" ht="13" x14ac:dyDescent="0.15">
      <c r="A837" s="72" t="str">
        <f t="shared" si="12"/>
        <v>Ofsted Social Care Provider Webpage</v>
      </c>
      <c r="B837" s="55">
        <v>2538287</v>
      </c>
      <c r="D837" s="55" t="s">
        <v>373</v>
      </c>
      <c r="E837" s="74">
        <v>43656</v>
      </c>
      <c r="F837" s="55" t="s">
        <v>344</v>
      </c>
      <c r="G837" s="55" t="s">
        <v>360</v>
      </c>
      <c r="H837" s="55" t="s">
        <v>360</v>
      </c>
      <c r="I837" s="55" t="s">
        <v>360</v>
      </c>
      <c r="J837" s="55" t="s">
        <v>360</v>
      </c>
      <c r="K837" s="55" t="s">
        <v>360</v>
      </c>
      <c r="L837" s="55" t="s">
        <v>360</v>
      </c>
      <c r="M837" s="55" t="s">
        <v>142</v>
      </c>
      <c r="N837" s="55" t="s">
        <v>142</v>
      </c>
      <c r="O837" s="55" t="s">
        <v>265</v>
      </c>
      <c r="P837" s="55" t="s">
        <v>540</v>
      </c>
      <c r="Q837" s="55" t="s">
        <v>380</v>
      </c>
      <c r="R837" s="55">
        <v>2</v>
      </c>
      <c r="S837" s="74"/>
      <c r="T837" s="55" t="s">
        <v>1067</v>
      </c>
      <c r="U837" s="73" t="s">
        <v>351</v>
      </c>
      <c r="V837" s="74">
        <v>44488</v>
      </c>
      <c r="W837" s="74">
        <v>44526</v>
      </c>
      <c r="X837" s="55">
        <v>10185279</v>
      </c>
      <c r="Y837" s="74" t="s">
        <v>132</v>
      </c>
      <c r="Z837" s="74"/>
      <c r="AB837" s="55" t="s">
        <v>130</v>
      </c>
      <c r="AC837" s="55" t="s">
        <v>132</v>
      </c>
    </row>
    <row r="838" spans="1:29" ht="13" x14ac:dyDescent="0.15">
      <c r="A838" s="72" t="str">
        <f t="shared" ref="A838:A901" si="13">HYPERLINK(_xlfn.CONCAT("http://reports.ofsted.gov.uk/inspection-reports/find-inspection-report/provider/CARE/",B838),"Ofsted Social Care Provider Webpage")</f>
        <v>Ofsted Social Care Provider Webpage</v>
      </c>
      <c r="B838" s="55">
        <v>2538785</v>
      </c>
      <c r="D838" s="55" t="s">
        <v>373</v>
      </c>
      <c r="E838" s="74">
        <v>43739</v>
      </c>
      <c r="F838" s="55" t="s">
        <v>344</v>
      </c>
      <c r="G838" s="55" t="s">
        <v>360</v>
      </c>
      <c r="H838" s="55" t="s">
        <v>360</v>
      </c>
      <c r="I838" s="55" t="s">
        <v>360</v>
      </c>
      <c r="J838" s="55" t="s">
        <v>360</v>
      </c>
      <c r="K838" s="55" t="s">
        <v>360</v>
      </c>
      <c r="L838" s="55" t="s">
        <v>360</v>
      </c>
      <c r="M838" s="55" t="s">
        <v>142</v>
      </c>
      <c r="N838" s="55" t="s">
        <v>142</v>
      </c>
      <c r="O838" s="55" t="s">
        <v>252</v>
      </c>
      <c r="P838" s="55" t="s">
        <v>388</v>
      </c>
      <c r="Q838" s="55" t="s">
        <v>362</v>
      </c>
      <c r="R838" s="55">
        <v>7</v>
      </c>
      <c r="S838" s="74" t="s">
        <v>332</v>
      </c>
      <c r="T838" s="55" t="s">
        <v>367</v>
      </c>
      <c r="U838" s="73" t="s">
        <v>351</v>
      </c>
      <c r="V838" s="74">
        <v>44397</v>
      </c>
      <c r="W838" s="74">
        <v>44452</v>
      </c>
      <c r="X838" s="55">
        <v>10185302</v>
      </c>
      <c r="Y838" s="74" t="s">
        <v>132</v>
      </c>
      <c r="Z838" s="74"/>
      <c r="AB838" s="55" t="s">
        <v>130</v>
      </c>
      <c r="AC838" s="55" t="s">
        <v>130</v>
      </c>
    </row>
    <row r="839" spans="1:29" ht="13" x14ac:dyDescent="0.15">
      <c r="A839" s="72" t="str">
        <f t="shared" si="13"/>
        <v>Ofsted Social Care Provider Webpage</v>
      </c>
      <c r="B839" s="55">
        <v>2539201</v>
      </c>
      <c r="D839" s="55" t="s">
        <v>373</v>
      </c>
      <c r="E839" s="74">
        <v>43705</v>
      </c>
      <c r="F839" s="55" t="s">
        <v>344</v>
      </c>
      <c r="G839" s="55" t="s">
        <v>360</v>
      </c>
      <c r="H839" s="55" t="s">
        <v>360</v>
      </c>
      <c r="I839" s="55" t="s">
        <v>360</v>
      </c>
      <c r="J839" s="55" t="s">
        <v>360</v>
      </c>
      <c r="K839" s="55" t="s">
        <v>360</v>
      </c>
      <c r="L839" s="55" t="s">
        <v>360</v>
      </c>
      <c r="M839" s="55" t="s">
        <v>172</v>
      </c>
      <c r="N839" s="55" t="s">
        <v>172</v>
      </c>
      <c r="O839" s="55" t="s">
        <v>235</v>
      </c>
      <c r="P839" s="55" t="s">
        <v>855</v>
      </c>
      <c r="Q839" s="55" t="s">
        <v>350</v>
      </c>
      <c r="R839" s="55">
        <v>3</v>
      </c>
      <c r="S839" s="74"/>
      <c r="T839" s="55" t="s">
        <v>517</v>
      </c>
      <c r="U839" s="73" t="s">
        <v>351</v>
      </c>
      <c r="V839" s="74">
        <v>44299</v>
      </c>
      <c r="W839" s="74">
        <v>44329</v>
      </c>
      <c r="X839" s="55">
        <v>10185434</v>
      </c>
      <c r="Y839" s="74" t="s">
        <v>130</v>
      </c>
      <c r="Z839" s="74"/>
      <c r="AB839" s="55" t="s">
        <v>130</v>
      </c>
      <c r="AC839" s="55" t="s">
        <v>132</v>
      </c>
    </row>
    <row r="840" spans="1:29" ht="13" x14ac:dyDescent="0.15">
      <c r="A840" s="72" t="str">
        <f t="shared" si="13"/>
        <v>Ofsted Social Care Provider Webpage</v>
      </c>
      <c r="B840" s="55">
        <v>2539305</v>
      </c>
      <c r="D840" s="55" t="s">
        <v>373</v>
      </c>
      <c r="E840" s="74">
        <v>43672</v>
      </c>
      <c r="F840" s="55" t="s">
        <v>344</v>
      </c>
      <c r="G840" s="55" t="s">
        <v>360</v>
      </c>
      <c r="H840" s="55" t="s">
        <v>360</v>
      </c>
      <c r="I840" s="55" t="s">
        <v>360</v>
      </c>
      <c r="J840" s="55" t="s">
        <v>360</v>
      </c>
      <c r="K840" s="55" t="s">
        <v>360</v>
      </c>
      <c r="L840" s="55" t="s">
        <v>360</v>
      </c>
      <c r="M840" s="55" t="s">
        <v>136</v>
      </c>
      <c r="N840" s="55" t="s">
        <v>136</v>
      </c>
      <c r="O840" s="55" t="s">
        <v>239</v>
      </c>
      <c r="P840" s="55" t="s">
        <v>738</v>
      </c>
      <c r="Q840" s="55" t="s">
        <v>350</v>
      </c>
      <c r="R840" s="55">
        <v>1</v>
      </c>
      <c r="S840" s="74"/>
      <c r="T840" s="55" t="s">
        <v>739</v>
      </c>
      <c r="U840" s="73" t="s">
        <v>351</v>
      </c>
      <c r="V840" s="74">
        <v>44482</v>
      </c>
      <c r="W840" s="74">
        <v>44511</v>
      </c>
      <c r="X840" s="55">
        <v>10185375</v>
      </c>
      <c r="Y840" s="74" t="s">
        <v>132</v>
      </c>
      <c r="Z840" s="74"/>
      <c r="AB840" s="55" t="s">
        <v>132</v>
      </c>
      <c r="AC840" s="55" t="s">
        <v>132</v>
      </c>
    </row>
    <row r="841" spans="1:29" ht="13" x14ac:dyDescent="0.15">
      <c r="A841" s="72" t="str">
        <f t="shared" si="13"/>
        <v>Ofsted Social Care Provider Webpage</v>
      </c>
      <c r="B841" s="55">
        <v>2539587</v>
      </c>
      <c r="D841" s="55" t="s">
        <v>373</v>
      </c>
      <c r="E841" s="74">
        <v>43712</v>
      </c>
      <c r="F841" s="55" t="s">
        <v>344</v>
      </c>
      <c r="G841" s="55" t="s">
        <v>360</v>
      </c>
      <c r="H841" s="55" t="s">
        <v>360</v>
      </c>
      <c r="I841" s="55" t="s">
        <v>360</v>
      </c>
      <c r="J841" s="55" t="s">
        <v>360</v>
      </c>
      <c r="K841" s="55" t="s">
        <v>360</v>
      </c>
      <c r="L841" s="55" t="s">
        <v>360</v>
      </c>
      <c r="M841" s="55" t="s">
        <v>378</v>
      </c>
      <c r="N841" s="55" t="s">
        <v>134</v>
      </c>
      <c r="O841" s="55" t="s">
        <v>277</v>
      </c>
      <c r="P841" s="55" t="s">
        <v>461</v>
      </c>
      <c r="Q841" s="55" t="s">
        <v>350</v>
      </c>
      <c r="R841" s="55">
        <v>8</v>
      </c>
      <c r="S841" s="74"/>
      <c r="T841" s="55" t="s">
        <v>574</v>
      </c>
      <c r="U841" s="73" t="s">
        <v>351</v>
      </c>
      <c r="V841" s="74">
        <v>44489</v>
      </c>
      <c r="W841" s="74">
        <v>44532</v>
      </c>
      <c r="X841" s="55">
        <v>10186338</v>
      </c>
      <c r="Y841" s="74" t="s">
        <v>132</v>
      </c>
      <c r="Z841" s="74"/>
      <c r="AB841" s="55" t="s">
        <v>132</v>
      </c>
      <c r="AC841" s="55" t="s">
        <v>132</v>
      </c>
    </row>
    <row r="842" spans="1:29" ht="13" x14ac:dyDescent="0.15">
      <c r="A842" s="72" t="str">
        <f t="shared" si="13"/>
        <v>Ofsted Social Care Provider Webpage</v>
      </c>
      <c r="B842" s="55">
        <v>2539688</v>
      </c>
      <c r="D842" s="55" t="s">
        <v>373</v>
      </c>
      <c r="E842" s="74">
        <v>43658</v>
      </c>
      <c r="F842" s="55" t="s">
        <v>344</v>
      </c>
      <c r="G842" s="55" t="s">
        <v>360</v>
      </c>
      <c r="H842" s="55" t="s">
        <v>360</v>
      </c>
      <c r="I842" s="55" t="s">
        <v>360</v>
      </c>
      <c r="J842" s="55" t="s">
        <v>360</v>
      </c>
      <c r="K842" s="55" t="s">
        <v>360</v>
      </c>
      <c r="L842" s="55" t="s">
        <v>360</v>
      </c>
      <c r="M842" s="55" t="s">
        <v>172</v>
      </c>
      <c r="N842" s="55" t="s">
        <v>172</v>
      </c>
      <c r="O842" s="55" t="s">
        <v>173</v>
      </c>
      <c r="P842" s="55" t="s">
        <v>860</v>
      </c>
      <c r="Q842" s="55" t="s">
        <v>350</v>
      </c>
      <c r="R842" s="55">
        <v>3</v>
      </c>
      <c r="S842" s="74"/>
      <c r="T842" s="55" t="s">
        <v>520</v>
      </c>
      <c r="U842" s="73" t="s">
        <v>351</v>
      </c>
      <c r="V842" s="74">
        <v>44621</v>
      </c>
      <c r="W842" s="74">
        <v>44663</v>
      </c>
      <c r="X842" s="55">
        <v>10187073</v>
      </c>
      <c r="Y842" s="74" t="s">
        <v>140</v>
      </c>
      <c r="Z842" s="74"/>
      <c r="AB842" s="55" t="s">
        <v>140</v>
      </c>
      <c r="AC842" s="55" t="s">
        <v>140</v>
      </c>
    </row>
    <row r="843" spans="1:29" ht="13" x14ac:dyDescent="0.15">
      <c r="A843" s="72" t="str">
        <f t="shared" si="13"/>
        <v>Ofsted Social Care Provider Webpage</v>
      </c>
      <c r="B843" s="55">
        <v>2539752</v>
      </c>
      <c r="D843" s="55" t="s">
        <v>373</v>
      </c>
      <c r="E843" s="74">
        <v>43937</v>
      </c>
      <c r="F843" s="55" t="s">
        <v>344</v>
      </c>
      <c r="G843" s="55" t="s">
        <v>360</v>
      </c>
      <c r="H843" s="55" t="s">
        <v>360</v>
      </c>
      <c r="I843" s="55" t="s">
        <v>360</v>
      </c>
      <c r="J843" s="55" t="s">
        <v>360</v>
      </c>
      <c r="K843" s="55" t="s">
        <v>360</v>
      </c>
      <c r="L843" s="55" t="s">
        <v>360</v>
      </c>
      <c r="M843" s="55" t="s">
        <v>150</v>
      </c>
      <c r="N843" s="55" t="s">
        <v>150</v>
      </c>
      <c r="O843" s="55" t="s">
        <v>237</v>
      </c>
      <c r="P843" s="55" t="s">
        <v>859</v>
      </c>
      <c r="Q843" s="55" t="s">
        <v>350</v>
      </c>
      <c r="R843" s="55">
        <v>4</v>
      </c>
      <c r="S843" s="74"/>
      <c r="T843" s="55" t="s">
        <v>843</v>
      </c>
      <c r="U843" s="73" t="s">
        <v>351</v>
      </c>
      <c r="V843" s="74">
        <v>44376</v>
      </c>
      <c r="W843" s="74">
        <v>44407</v>
      </c>
      <c r="X843" s="55">
        <v>10187588</v>
      </c>
      <c r="Y843" s="74" t="s">
        <v>140</v>
      </c>
      <c r="Z843" s="74"/>
      <c r="AB843" s="55" t="s">
        <v>132</v>
      </c>
      <c r="AC843" s="55" t="s">
        <v>132</v>
      </c>
    </row>
    <row r="844" spans="1:29" ht="13" x14ac:dyDescent="0.15">
      <c r="A844" s="72" t="str">
        <f t="shared" si="13"/>
        <v>Ofsted Social Care Provider Webpage</v>
      </c>
      <c r="B844" s="55">
        <v>2540028</v>
      </c>
      <c r="D844" s="55" t="s">
        <v>358</v>
      </c>
      <c r="E844" s="74">
        <v>43689</v>
      </c>
      <c r="F844" s="55" t="s">
        <v>344</v>
      </c>
      <c r="G844" s="55" t="s">
        <v>1555</v>
      </c>
      <c r="H844" s="55" t="s">
        <v>360</v>
      </c>
      <c r="I844" s="55" t="s">
        <v>360</v>
      </c>
      <c r="J844" s="55" t="s">
        <v>360</v>
      </c>
      <c r="K844" s="55" t="s">
        <v>360</v>
      </c>
      <c r="L844" s="55" t="s">
        <v>360</v>
      </c>
      <c r="M844" s="55" t="s">
        <v>150</v>
      </c>
      <c r="N844" s="55" t="s">
        <v>150</v>
      </c>
      <c r="O844" s="55" t="s">
        <v>268</v>
      </c>
      <c r="P844" s="55" t="s">
        <v>1556</v>
      </c>
      <c r="Q844" s="55" t="s">
        <v>350</v>
      </c>
      <c r="R844" s="55"/>
      <c r="S844" s="74"/>
      <c r="T844" s="55" t="s">
        <v>1557</v>
      </c>
      <c r="U844" s="73" t="s">
        <v>351</v>
      </c>
      <c r="V844" s="74">
        <v>43699</v>
      </c>
      <c r="W844" s="74">
        <v>43766</v>
      </c>
      <c r="X844" s="55">
        <v>10119906</v>
      </c>
      <c r="Y844" s="74" t="s">
        <v>132</v>
      </c>
      <c r="Z844" s="74"/>
      <c r="AB844" s="55" t="s">
        <v>132</v>
      </c>
      <c r="AC844" s="55" t="s">
        <v>132</v>
      </c>
    </row>
    <row r="845" spans="1:29" ht="13" x14ac:dyDescent="0.15">
      <c r="A845" s="72" t="str">
        <f t="shared" si="13"/>
        <v>Ofsted Social Care Provider Webpage</v>
      </c>
      <c r="B845" s="55">
        <v>2540073</v>
      </c>
      <c r="D845" s="55" t="s">
        <v>373</v>
      </c>
      <c r="E845" s="74">
        <v>43752</v>
      </c>
      <c r="F845" s="55" t="s">
        <v>344</v>
      </c>
      <c r="G845" s="55" t="s">
        <v>360</v>
      </c>
      <c r="H845" s="55" t="s">
        <v>360</v>
      </c>
      <c r="I845" s="55" t="s">
        <v>360</v>
      </c>
      <c r="J845" s="55" t="s">
        <v>360</v>
      </c>
      <c r="K845" s="55" t="s">
        <v>360</v>
      </c>
      <c r="L845" s="55" t="s">
        <v>360</v>
      </c>
      <c r="M845" s="55" t="s">
        <v>144</v>
      </c>
      <c r="N845" s="55" t="s">
        <v>144</v>
      </c>
      <c r="O845" s="55" t="s">
        <v>162</v>
      </c>
      <c r="P845" s="55" t="s">
        <v>1502</v>
      </c>
      <c r="Q845" s="55" t="s">
        <v>350</v>
      </c>
      <c r="R845" s="55">
        <v>5</v>
      </c>
      <c r="S845" s="74"/>
      <c r="T845" s="55" t="s">
        <v>1503</v>
      </c>
      <c r="U845" s="73" t="s">
        <v>351</v>
      </c>
      <c r="V845" s="74">
        <v>44503</v>
      </c>
      <c r="W845" s="74">
        <v>44546</v>
      </c>
      <c r="X845" s="55">
        <v>10185553</v>
      </c>
      <c r="Y845" s="74" t="s">
        <v>132</v>
      </c>
      <c r="Z845" s="74"/>
      <c r="AB845" s="55" t="s">
        <v>132</v>
      </c>
      <c r="AC845" s="55" t="s">
        <v>132</v>
      </c>
    </row>
    <row r="846" spans="1:29" ht="13" x14ac:dyDescent="0.15">
      <c r="A846" s="72" t="str">
        <f t="shared" si="13"/>
        <v>Ofsted Social Care Provider Webpage</v>
      </c>
      <c r="B846" s="55">
        <v>2540092</v>
      </c>
      <c r="D846" s="55" t="s">
        <v>373</v>
      </c>
      <c r="E846" s="74">
        <v>44428</v>
      </c>
      <c r="F846" s="55" t="s">
        <v>344</v>
      </c>
      <c r="G846" s="55" t="s">
        <v>360</v>
      </c>
      <c r="H846" s="55" t="s">
        <v>360</v>
      </c>
      <c r="I846" s="55" t="s">
        <v>360</v>
      </c>
      <c r="J846" s="55" t="s">
        <v>360</v>
      </c>
      <c r="K846" s="55" t="s">
        <v>360</v>
      </c>
      <c r="L846" s="55" t="s">
        <v>360</v>
      </c>
      <c r="M846" s="55" t="s">
        <v>142</v>
      </c>
      <c r="N846" s="55" t="s">
        <v>142</v>
      </c>
      <c r="O846" s="55" t="s">
        <v>254</v>
      </c>
      <c r="P846" s="55" t="s">
        <v>254</v>
      </c>
      <c r="Q846" s="55" t="s">
        <v>350</v>
      </c>
      <c r="R846" s="55">
        <v>3</v>
      </c>
      <c r="S846" s="74"/>
      <c r="T846" s="55" t="s">
        <v>1558</v>
      </c>
      <c r="U846" s="73" t="s">
        <v>351</v>
      </c>
      <c r="V846" s="74">
        <v>44601</v>
      </c>
      <c r="W846" s="74">
        <v>44644</v>
      </c>
      <c r="X846" s="55">
        <v>10208732</v>
      </c>
      <c r="Y846" s="74" t="s">
        <v>130</v>
      </c>
      <c r="Z846" s="74"/>
      <c r="AB846" s="55" t="s">
        <v>130</v>
      </c>
      <c r="AC846" s="55" t="s">
        <v>130</v>
      </c>
    </row>
    <row r="847" spans="1:29" ht="13" x14ac:dyDescent="0.15">
      <c r="A847" s="72" t="str">
        <f t="shared" si="13"/>
        <v>Ofsted Social Care Provider Webpage</v>
      </c>
      <c r="B847" s="55">
        <v>2540285</v>
      </c>
      <c r="D847" s="55" t="s">
        <v>373</v>
      </c>
      <c r="E847" s="74">
        <v>43679</v>
      </c>
      <c r="F847" s="55" t="s">
        <v>344</v>
      </c>
      <c r="G847" s="55" t="s">
        <v>360</v>
      </c>
      <c r="H847" s="55" t="s">
        <v>360</v>
      </c>
      <c r="I847" s="55" t="s">
        <v>360</v>
      </c>
      <c r="J847" s="55" t="s">
        <v>360</v>
      </c>
      <c r="K847" s="55" t="s">
        <v>360</v>
      </c>
      <c r="L847" s="55" t="s">
        <v>360</v>
      </c>
      <c r="M847" s="55" t="s">
        <v>129</v>
      </c>
      <c r="N847" s="55" t="s">
        <v>129</v>
      </c>
      <c r="O847" s="55" t="s">
        <v>242</v>
      </c>
      <c r="P847" s="55" t="s">
        <v>1519</v>
      </c>
      <c r="Q847" s="55" t="s">
        <v>350</v>
      </c>
      <c r="R847" s="55">
        <v>8</v>
      </c>
      <c r="S847" s="74"/>
      <c r="T847" s="55" t="s">
        <v>1559</v>
      </c>
      <c r="U847" s="73" t="s">
        <v>351</v>
      </c>
      <c r="V847" s="74">
        <v>44334</v>
      </c>
      <c r="W847" s="74">
        <v>44375</v>
      </c>
      <c r="X847" s="55">
        <v>10185772</v>
      </c>
      <c r="Y847" s="74" t="s">
        <v>132</v>
      </c>
      <c r="Z847" s="74"/>
      <c r="AB847" s="55" t="s">
        <v>130</v>
      </c>
      <c r="AC847" s="55" t="s">
        <v>132</v>
      </c>
    </row>
    <row r="848" spans="1:29" ht="13" x14ac:dyDescent="0.15">
      <c r="A848" s="72" t="str">
        <f t="shared" si="13"/>
        <v>Ofsted Social Care Provider Webpage</v>
      </c>
      <c r="B848" s="55">
        <v>2540658</v>
      </c>
      <c r="D848" s="55" t="s">
        <v>373</v>
      </c>
      <c r="E848" s="74">
        <v>43713</v>
      </c>
      <c r="F848" s="55" t="s">
        <v>344</v>
      </c>
      <c r="G848" s="55" t="s">
        <v>360</v>
      </c>
      <c r="H848" s="55" t="s">
        <v>360</v>
      </c>
      <c r="I848" s="55" t="s">
        <v>360</v>
      </c>
      <c r="J848" s="55" t="s">
        <v>360</v>
      </c>
      <c r="K848" s="55" t="s">
        <v>360</v>
      </c>
      <c r="L848" s="55" t="s">
        <v>360</v>
      </c>
      <c r="M848" s="55" t="s">
        <v>144</v>
      </c>
      <c r="N848" s="55" t="s">
        <v>144</v>
      </c>
      <c r="O848" s="55" t="s">
        <v>290</v>
      </c>
      <c r="P848" s="55" t="s">
        <v>1512</v>
      </c>
      <c r="Q848" s="55" t="s">
        <v>350</v>
      </c>
      <c r="R848" s="55">
        <v>3</v>
      </c>
      <c r="S848" s="74"/>
      <c r="T848" s="55" t="s">
        <v>1560</v>
      </c>
      <c r="U848" s="73" t="s">
        <v>351</v>
      </c>
      <c r="V848" s="74">
        <v>44495</v>
      </c>
      <c r="W848" s="74">
        <v>44536</v>
      </c>
      <c r="X848" s="55">
        <v>10187659</v>
      </c>
      <c r="Y848" s="74" t="s">
        <v>130</v>
      </c>
      <c r="Z848" s="74"/>
      <c r="AB848" s="55" t="s">
        <v>130</v>
      </c>
      <c r="AC848" s="55" t="s">
        <v>130</v>
      </c>
    </row>
    <row r="849" spans="1:29" ht="13" x14ac:dyDescent="0.15">
      <c r="A849" s="72" t="str">
        <f t="shared" si="13"/>
        <v>Ofsted Social Care Provider Webpage</v>
      </c>
      <c r="B849" s="55">
        <v>2540927</v>
      </c>
      <c r="D849" s="55" t="s">
        <v>373</v>
      </c>
      <c r="E849" s="74">
        <v>43670</v>
      </c>
      <c r="F849" s="55" t="s">
        <v>344</v>
      </c>
      <c r="G849" s="55" t="s">
        <v>360</v>
      </c>
      <c r="H849" s="55" t="s">
        <v>360</v>
      </c>
      <c r="I849" s="55" t="s">
        <v>360</v>
      </c>
      <c r="J849" s="55" t="s">
        <v>360</v>
      </c>
      <c r="K849" s="55" t="s">
        <v>360</v>
      </c>
      <c r="L849" s="55" t="s">
        <v>360</v>
      </c>
      <c r="M849" s="55" t="s">
        <v>172</v>
      </c>
      <c r="N849" s="55" t="s">
        <v>172</v>
      </c>
      <c r="O849" s="55" t="s">
        <v>214</v>
      </c>
      <c r="P849" s="55" t="s">
        <v>1561</v>
      </c>
      <c r="Q849" s="55" t="s">
        <v>350</v>
      </c>
      <c r="R849" s="55">
        <v>3</v>
      </c>
      <c r="S849" s="74"/>
      <c r="T849" s="55" t="s">
        <v>517</v>
      </c>
      <c r="U849" s="73" t="s">
        <v>351</v>
      </c>
      <c r="V849" s="74">
        <v>44621</v>
      </c>
      <c r="W849" s="74">
        <v>44658</v>
      </c>
      <c r="X849" s="55">
        <v>10185615</v>
      </c>
      <c r="Y849" s="74" t="s">
        <v>132</v>
      </c>
      <c r="Z849" s="74"/>
      <c r="AB849" s="55" t="s">
        <v>132</v>
      </c>
      <c r="AC849" s="55" t="s">
        <v>132</v>
      </c>
    </row>
    <row r="850" spans="1:29" ht="13" x14ac:dyDescent="0.15">
      <c r="A850" s="72" t="str">
        <f t="shared" si="13"/>
        <v>Ofsted Social Care Provider Webpage</v>
      </c>
      <c r="B850" s="55">
        <v>2541033</v>
      </c>
      <c r="D850" s="55" t="s">
        <v>373</v>
      </c>
      <c r="E850" s="74">
        <v>43713</v>
      </c>
      <c r="F850" s="55" t="s">
        <v>344</v>
      </c>
      <c r="G850" s="55" t="s">
        <v>360</v>
      </c>
      <c r="H850" s="55" t="s">
        <v>360</v>
      </c>
      <c r="I850" s="55" t="s">
        <v>360</v>
      </c>
      <c r="J850" s="55" t="s">
        <v>360</v>
      </c>
      <c r="K850" s="55" t="s">
        <v>360</v>
      </c>
      <c r="L850" s="55" t="s">
        <v>360</v>
      </c>
      <c r="M850" s="55" t="s">
        <v>144</v>
      </c>
      <c r="N850" s="55" t="s">
        <v>144</v>
      </c>
      <c r="O850" s="55" t="s">
        <v>276</v>
      </c>
      <c r="P850" s="55" t="s">
        <v>1562</v>
      </c>
      <c r="Q850" s="55" t="s">
        <v>350</v>
      </c>
      <c r="R850" s="55">
        <v>5</v>
      </c>
      <c r="S850" s="74"/>
      <c r="T850" s="55" t="s">
        <v>1563</v>
      </c>
      <c r="U850" s="73" t="s">
        <v>351</v>
      </c>
      <c r="V850" s="74">
        <v>44314</v>
      </c>
      <c r="W850" s="74">
        <v>44358</v>
      </c>
      <c r="X850" s="55">
        <v>10185901</v>
      </c>
      <c r="Y850" s="74" t="s">
        <v>132</v>
      </c>
      <c r="Z850" s="74"/>
      <c r="AB850" s="55" t="s">
        <v>132</v>
      </c>
      <c r="AC850" s="55" t="s">
        <v>132</v>
      </c>
    </row>
    <row r="851" spans="1:29" ht="13" x14ac:dyDescent="0.15">
      <c r="A851" s="72" t="str">
        <f t="shared" si="13"/>
        <v>Ofsted Social Care Provider Webpage</v>
      </c>
      <c r="B851" s="55">
        <v>2541440</v>
      </c>
      <c r="D851" s="55" t="s">
        <v>373</v>
      </c>
      <c r="E851" s="74">
        <v>43871</v>
      </c>
      <c r="F851" s="55" t="s">
        <v>344</v>
      </c>
      <c r="G851" s="55" t="s">
        <v>360</v>
      </c>
      <c r="H851" s="55" t="s">
        <v>360</v>
      </c>
      <c r="I851" s="55" t="s">
        <v>360</v>
      </c>
      <c r="J851" s="55" t="s">
        <v>360</v>
      </c>
      <c r="K851" s="55" t="s">
        <v>360</v>
      </c>
      <c r="L851" s="55" t="s">
        <v>360</v>
      </c>
      <c r="M851" s="55" t="s">
        <v>142</v>
      </c>
      <c r="N851" s="55" t="s">
        <v>142</v>
      </c>
      <c r="O851" s="55" t="s">
        <v>262</v>
      </c>
      <c r="P851" s="55" t="s">
        <v>949</v>
      </c>
      <c r="Q851" s="55" t="s">
        <v>350</v>
      </c>
      <c r="R851" s="55">
        <v>3</v>
      </c>
      <c r="S851" s="74"/>
      <c r="T851" s="55" t="s">
        <v>1564</v>
      </c>
      <c r="U851" s="73" t="s">
        <v>351</v>
      </c>
      <c r="V851" s="74">
        <v>44298</v>
      </c>
      <c r="W851" s="74">
        <v>44354</v>
      </c>
      <c r="X851" s="55">
        <v>10186862</v>
      </c>
      <c r="Y851" s="74" t="s">
        <v>130</v>
      </c>
      <c r="Z851" s="74"/>
      <c r="AB851" s="55" t="s">
        <v>130</v>
      </c>
      <c r="AC851" s="55" t="s">
        <v>146</v>
      </c>
    </row>
    <row r="852" spans="1:29" ht="13" x14ac:dyDescent="0.15">
      <c r="A852" s="72" t="str">
        <f t="shared" si="13"/>
        <v>Ofsted Social Care Provider Webpage</v>
      </c>
      <c r="B852" s="55">
        <v>2541449</v>
      </c>
      <c r="D852" s="55" t="s">
        <v>373</v>
      </c>
      <c r="E852" s="74">
        <v>43843</v>
      </c>
      <c r="F852" s="55" t="s">
        <v>344</v>
      </c>
      <c r="G852" s="55" t="s">
        <v>360</v>
      </c>
      <c r="H852" s="55" t="s">
        <v>360</v>
      </c>
      <c r="I852" s="55" t="s">
        <v>360</v>
      </c>
      <c r="J852" s="55" t="s">
        <v>360</v>
      </c>
      <c r="K852" s="55" t="s">
        <v>360</v>
      </c>
      <c r="L852" s="55" t="s">
        <v>360</v>
      </c>
      <c r="M852" s="55" t="s">
        <v>144</v>
      </c>
      <c r="N852" s="55" t="s">
        <v>144</v>
      </c>
      <c r="O852" s="55" t="s">
        <v>162</v>
      </c>
      <c r="P852" s="55" t="s">
        <v>1502</v>
      </c>
      <c r="Q852" s="55" t="s">
        <v>362</v>
      </c>
      <c r="R852" s="55">
        <v>3</v>
      </c>
      <c r="S852" s="74"/>
      <c r="T852" s="55" t="s">
        <v>1565</v>
      </c>
      <c r="U852" s="73" t="s">
        <v>351</v>
      </c>
      <c r="V852" s="74">
        <v>44510</v>
      </c>
      <c r="W852" s="74">
        <v>44559</v>
      </c>
      <c r="X852" s="55">
        <v>10186891</v>
      </c>
      <c r="Y852" s="74" t="s">
        <v>132</v>
      </c>
      <c r="Z852" s="74"/>
      <c r="AB852" s="55" t="s">
        <v>130</v>
      </c>
      <c r="AC852" s="55" t="s">
        <v>130</v>
      </c>
    </row>
    <row r="853" spans="1:29" ht="13" x14ac:dyDescent="0.15">
      <c r="A853" s="72" t="str">
        <f t="shared" si="13"/>
        <v>Ofsted Social Care Provider Webpage</v>
      </c>
      <c r="B853" s="55">
        <v>2541467</v>
      </c>
      <c r="D853" s="55" t="s">
        <v>373</v>
      </c>
      <c r="E853" s="74">
        <v>43815</v>
      </c>
      <c r="F853" s="55" t="s">
        <v>344</v>
      </c>
      <c r="G853" s="55" t="s">
        <v>360</v>
      </c>
      <c r="H853" s="55" t="s">
        <v>360</v>
      </c>
      <c r="I853" s="55" t="s">
        <v>360</v>
      </c>
      <c r="J853" s="55" t="s">
        <v>360</v>
      </c>
      <c r="K853" s="55" t="s">
        <v>360</v>
      </c>
      <c r="L853" s="55" t="s">
        <v>360</v>
      </c>
      <c r="M853" s="55" t="s">
        <v>144</v>
      </c>
      <c r="N853" s="55" t="s">
        <v>144</v>
      </c>
      <c r="O853" s="55" t="s">
        <v>215</v>
      </c>
      <c r="P853" s="55" t="s">
        <v>1440</v>
      </c>
      <c r="Q853" s="55" t="s">
        <v>350</v>
      </c>
      <c r="R853" s="55">
        <v>4</v>
      </c>
      <c r="S853" s="74"/>
      <c r="T853" s="55" t="s">
        <v>1566</v>
      </c>
      <c r="U853" s="73" t="s">
        <v>351</v>
      </c>
      <c r="V853" s="74">
        <v>44411</v>
      </c>
      <c r="W853" s="74">
        <v>44447</v>
      </c>
      <c r="X853" s="55">
        <v>10195291</v>
      </c>
      <c r="Y853" s="74" t="s">
        <v>130</v>
      </c>
      <c r="Z853" s="74"/>
      <c r="AB853" s="55" t="s">
        <v>130</v>
      </c>
      <c r="AC853" s="55" t="s">
        <v>130</v>
      </c>
    </row>
    <row r="854" spans="1:29" ht="13" x14ac:dyDescent="0.15">
      <c r="A854" s="72" t="str">
        <f t="shared" si="13"/>
        <v>Ofsted Social Care Provider Webpage</v>
      </c>
      <c r="B854" s="55">
        <v>2541624</v>
      </c>
      <c r="D854" s="55" t="s">
        <v>389</v>
      </c>
      <c r="E854" s="74">
        <v>43741</v>
      </c>
      <c r="F854" s="55" t="s">
        <v>344</v>
      </c>
      <c r="G854" s="55" t="s">
        <v>1390</v>
      </c>
      <c r="H854" s="55" t="s">
        <v>1567</v>
      </c>
      <c r="I854" s="55" t="s">
        <v>1568</v>
      </c>
      <c r="J854" s="55" t="s">
        <v>745</v>
      </c>
      <c r="K854" s="55" t="s">
        <v>1569</v>
      </c>
      <c r="L854" s="55" t="s">
        <v>746</v>
      </c>
      <c r="M854" s="55" t="s">
        <v>142</v>
      </c>
      <c r="N854" s="55" t="s">
        <v>142</v>
      </c>
      <c r="O854" s="55" t="s">
        <v>195</v>
      </c>
      <c r="P854" s="55" t="s">
        <v>747</v>
      </c>
      <c r="Q854" s="55" t="s">
        <v>350</v>
      </c>
      <c r="R854" s="55"/>
      <c r="S854" s="74"/>
      <c r="T854" s="55" t="s">
        <v>1395</v>
      </c>
      <c r="U854" s="73" t="s">
        <v>351</v>
      </c>
      <c r="V854" s="74">
        <v>44522</v>
      </c>
      <c r="W854" s="74">
        <v>44581</v>
      </c>
      <c r="X854" s="55">
        <v>10183206</v>
      </c>
      <c r="Y854" s="74" t="s">
        <v>132</v>
      </c>
      <c r="Z854" s="74"/>
      <c r="AB854" s="55" t="s">
        <v>132</v>
      </c>
      <c r="AC854" s="55" t="s">
        <v>132</v>
      </c>
    </row>
    <row r="855" spans="1:29" ht="13" x14ac:dyDescent="0.15">
      <c r="A855" s="72" t="str">
        <f t="shared" si="13"/>
        <v>Ofsted Social Care Provider Webpage</v>
      </c>
      <c r="B855" s="55">
        <v>2541993</v>
      </c>
      <c r="D855" s="55" t="s">
        <v>373</v>
      </c>
      <c r="E855" s="74">
        <v>43836</v>
      </c>
      <c r="F855" s="55" t="s">
        <v>344</v>
      </c>
      <c r="G855" s="55" t="s">
        <v>360</v>
      </c>
      <c r="H855" s="55" t="s">
        <v>360</v>
      </c>
      <c r="I855" s="55" t="s">
        <v>360</v>
      </c>
      <c r="J855" s="55" t="s">
        <v>360</v>
      </c>
      <c r="K855" s="55" t="s">
        <v>360</v>
      </c>
      <c r="L855" s="55" t="s">
        <v>360</v>
      </c>
      <c r="M855" s="55" t="s">
        <v>172</v>
      </c>
      <c r="N855" s="55" t="s">
        <v>172</v>
      </c>
      <c r="O855" s="55" t="s">
        <v>228</v>
      </c>
      <c r="P855" s="55" t="s">
        <v>423</v>
      </c>
      <c r="Q855" s="55" t="s">
        <v>350</v>
      </c>
      <c r="R855" s="55">
        <v>4</v>
      </c>
      <c r="S855" s="74"/>
      <c r="T855" s="55" t="s">
        <v>668</v>
      </c>
      <c r="U855" s="73" t="s">
        <v>351</v>
      </c>
      <c r="V855" s="74">
        <v>44418</v>
      </c>
      <c r="W855" s="74">
        <v>44446</v>
      </c>
      <c r="X855" s="55">
        <v>10186019</v>
      </c>
      <c r="Y855" s="74" t="s">
        <v>132</v>
      </c>
      <c r="Z855" s="74"/>
      <c r="AB855" s="55" t="s">
        <v>132</v>
      </c>
      <c r="AC855" s="55" t="s">
        <v>140</v>
      </c>
    </row>
    <row r="856" spans="1:29" ht="13" x14ac:dyDescent="0.15">
      <c r="A856" s="72" t="str">
        <f t="shared" si="13"/>
        <v>Ofsted Social Care Provider Webpage</v>
      </c>
      <c r="B856" s="55">
        <v>2542024</v>
      </c>
      <c r="D856" s="55" t="s">
        <v>373</v>
      </c>
      <c r="E856" s="74">
        <v>43707</v>
      </c>
      <c r="F856" s="55" t="s">
        <v>344</v>
      </c>
      <c r="G856" s="55" t="s">
        <v>360</v>
      </c>
      <c r="H856" s="55" t="s">
        <v>360</v>
      </c>
      <c r="I856" s="55" t="s">
        <v>360</v>
      </c>
      <c r="J856" s="55" t="s">
        <v>360</v>
      </c>
      <c r="K856" s="55" t="s">
        <v>360</v>
      </c>
      <c r="L856" s="55" t="s">
        <v>360</v>
      </c>
      <c r="M856" s="55" t="s">
        <v>144</v>
      </c>
      <c r="N856" s="55" t="s">
        <v>144</v>
      </c>
      <c r="O856" s="55" t="s">
        <v>217</v>
      </c>
      <c r="P856" s="55" t="s">
        <v>384</v>
      </c>
      <c r="Q856" s="55" t="s">
        <v>350</v>
      </c>
      <c r="R856" s="55">
        <v>2</v>
      </c>
      <c r="S856" s="74"/>
      <c r="T856" s="55" t="s">
        <v>1570</v>
      </c>
      <c r="U856" s="73" t="s">
        <v>351</v>
      </c>
      <c r="V856" s="74">
        <v>44621</v>
      </c>
      <c r="W856" s="74">
        <v>44665</v>
      </c>
      <c r="X856" s="55">
        <v>10186774</v>
      </c>
      <c r="Y856" s="74" t="s">
        <v>132</v>
      </c>
      <c r="Z856" s="74"/>
      <c r="AB856" s="55" t="s">
        <v>132</v>
      </c>
      <c r="AC856" s="55" t="s">
        <v>132</v>
      </c>
    </row>
    <row r="857" spans="1:29" ht="13" x14ac:dyDescent="0.15">
      <c r="A857" s="72" t="str">
        <f t="shared" si="13"/>
        <v>Ofsted Social Care Provider Webpage</v>
      </c>
      <c r="B857" s="55">
        <v>2542463</v>
      </c>
      <c r="D857" s="55" t="s">
        <v>389</v>
      </c>
      <c r="E857" s="74">
        <v>44012</v>
      </c>
      <c r="F857" s="55" t="s">
        <v>344</v>
      </c>
      <c r="G857" s="55" t="s">
        <v>1571</v>
      </c>
      <c r="H857" s="55" t="s">
        <v>1572</v>
      </c>
      <c r="I857" s="55" t="s">
        <v>1573</v>
      </c>
      <c r="J857" s="55" t="s">
        <v>1437</v>
      </c>
      <c r="K857" s="55" t="s">
        <v>262</v>
      </c>
      <c r="L857" s="55" t="s">
        <v>1574</v>
      </c>
      <c r="M857" s="55" t="s">
        <v>142</v>
      </c>
      <c r="N857" s="55" t="s">
        <v>142</v>
      </c>
      <c r="O857" s="55" t="s">
        <v>265</v>
      </c>
      <c r="P857" s="55" t="s">
        <v>1215</v>
      </c>
      <c r="Q857" s="55" t="s">
        <v>350</v>
      </c>
      <c r="R857" s="55"/>
      <c r="S857" s="74"/>
      <c r="T857" s="55" t="s">
        <v>1571</v>
      </c>
      <c r="U857" s="73" t="s">
        <v>351</v>
      </c>
      <c r="V857" s="74">
        <v>44522</v>
      </c>
      <c r="W857" s="74">
        <v>44566</v>
      </c>
      <c r="X857" s="55">
        <v>10183211</v>
      </c>
      <c r="Y857" s="74" t="s">
        <v>132</v>
      </c>
      <c r="Z857" s="74"/>
      <c r="AB857" s="55" t="s">
        <v>132</v>
      </c>
      <c r="AC857" s="55" t="s">
        <v>132</v>
      </c>
    </row>
    <row r="858" spans="1:29" ht="13" x14ac:dyDescent="0.15">
      <c r="A858" s="72" t="str">
        <f t="shared" si="13"/>
        <v>Ofsted Social Care Provider Webpage</v>
      </c>
      <c r="B858" s="55">
        <v>2542730</v>
      </c>
      <c r="D858" s="55" t="s">
        <v>373</v>
      </c>
      <c r="E858" s="74">
        <v>43710</v>
      </c>
      <c r="F858" s="55" t="s">
        <v>344</v>
      </c>
      <c r="G858" s="55" t="s">
        <v>360</v>
      </c>
      <c r="H858" s="55" t="s">
        <v>360</v>
      </c>
      <c r="I858" s="55" t="s">
        <v>360</v>
      </c>
      <c r="J858" s="55" t="s">
        <v>360</v>
      </c>
      <c r="K858" s="55" t="s">
        <v>360</v>
      </c>
      <c r="L858" s="55" t="s">
        <v>360</v>
      </c>
      <c r="M858" s="55" t="s">
        <v>378</v>
      </c>
      <c r="N858" s="55" t="s">
        <v>134</v>
      </c>
      <c r="O858" s="55" t="s">
        <v>277</v>
      </c>
      <c r="P858" s="55" t="s">
        <v>461</v>
      </c>
      <c r="Q858" s="55" t="s">
        <v>380</v>
      </c>
      <c r="R858" s="55">
        <v>2</v>
      </c>
      <c r="S858" s="74"/>
      <c r="T858" s="55" t="s">
        <v>1575</v>
      </c>
      <c r="U858" s="73" t="s">
        <v>351</v>
      </c>
      <c r="V858" s="74">
        <v>44600</v>
      </c>
      <c r="W858" s="74">
        <v>44641</v>
      </c>
      <c r="X858" s="55">
        <v>10185528</v>
      </c>
      <c r="Y858" s="74" t="s">
        <v>132</v>
      </c>
      <c r="Z858" s="74"/>
      <c r="AB858" s="55" t="s">
        <v>132</v>
      </c>
      <c r="AC858" s="55" t="s">
        <v>132</v>
      </c>
    </row>
    <row r="859" spans="1:29" ht="13" x14ac:dyDescent="0.15">
      <c r="A859" s="72" t="str">
        <f t="shared" si="13"/>
        <v>Ofsted Social Care Provider Webpage</v>
      </c>
      <c r="B859" s="55">
        <v>2542813</v>
      </c>
      <c r="D859" s="55" t="s">
        <v>373</v>
      </c>
      <c r="E859" s="74">
        <v>43735</v>
      </c>
      <c r="F859" s="55" t="s">
        <v>344</v>
      </c>
      <c r="G859" s="55" t="s">
        <v>360</v>
      </c>
      <c r="H859" s="55" t="s">
        <v>360</v>
      </c>
      <c r="I859" s="55" t="s">
        <v>360</v>
      </c>
      <c r="J859" s="55" t="s">
        <v>360</v>
      </c>
      <c r="K859" s="55" t="s">
        <v>360</v>
      </c>
      <c r="L859" s="55" t="s">
        <v>360</v>
      </c>
      <c r="M859" s="55" t="s">
        <v>144</v>
      </c>
      <c r="N859" s="55" t="s">
        <v>144</v>
      </c>
      <c r="O859" s="55" t="s">
        <v>188</v>
      </c>
      <c r="P859" s="55" t="s">
        <v>188</v>
      </c>
      <c r="Q859" s="55" t="s">
        <v>350</v>
      </c>
      <c r="R859" s="55">
        <v>1</v>
      </c>
      <c r="S859" s="74"/>
      <c r="T859" s="55" t="s">
        <v>385</v>
      </c>
      <c r="U859" s="73" t="s">
        <v>351</v>
      </c>
      <c r="V859" s="74">
        <v>44334</v>
      </c>
      <c r="W859" s="74">
        <v>44371</v>
      </c>
      <c r="X859" s="55">
        <v>10186987</v>
      </c>
      <c r="Y859" s="74" t="s">
        <v>146</v>
      </c>
      <c r="Z859" s="74"/>
      <c r="AB859" s="55" t="s">
        <v>146</v>
      </c>
      <c r="AC859" s="55" t="s">
        <v>146</v>
      </c>
    </row>
    <row r="860" spans="1:29" ht="13" x14ac:dyDescent="0.15">
      <c r="A860" s="72" t="str">
        <f t="shared" si="13"/>
        <v>Ofsted Social Care Provider Webpage</v>
      </c>
      <c r="B860" s="55">
        <v>2543081</v>
      </c>
      <c r="D860" s="55" t="s">
        <v>373</v>
      </c>
      <c r="E860" s="74">
        <v>43699</v>
      </c>
      <c r="F860" s="55" t="s">
        <v>344</v>
      </c>
      <c r="G860" s="55" t="s">
        <v>360</v>
      </c>
      <c r="H860" s="55" t="s">
        <v>360</v>
      </c>
      <c r="I860" s="55" t="s">
        <v>360</v>
      </c>
      <c r="J860" s="55" t="s">
        <v>360</v>
      </c>
      <c r="K860" s="55" t="s">
        <v>360</v>
      </c>
      <c r="L860" s="55" t="s">
        <v>360</v>
      </c>
      <c r="M860" s="55" t="s">
        <v>142</v>
      </c>
      <c r="N860" s="55" t="s">
        <v>142</v>
      </c>
      <c r="O860" s="55" t="s">
        <v>262</v>
      </c>
      <c r="P860" s="55" t="s">
        <v>916</v>
      </c>
      <c r="Q860" s="55" t="s">
        <v>350</v>
      </c>
      <c r="R860" s="55">
        <v>3</v>
      </c>
      <c r="S860" s="74"/>
      <c r="T860" s="55" t="s">
        <v>917</v>
      </c>
      <c r="U860" s="73" t="s">
        <v>351</v>
      </c>
      <c r="V860" s="74">
        <v>44593</v>
      </c>
      <c r="W860" s="74">
        <v>44629</v>
      </c>
      <c r="X860" s="55">
        <v>10187225</v>
      </c>
      <c r="Y860" s="74" t="s">
        <v>132</v>
      </c>
      <c r="Z860" s="74"/>
      <c r="AB860" s="55" t="s">
        <v>132</v>
      </c>
      <c r="AC860" s="55" t="s">
        <v>132</v>
      </c>
    </row>
    <row r="861" spans="1:29" ht="13" x14ac:dyDescent="0.15">
      <c r="A861" s="72" t="str">
        <f t="shared" si="13"/>
        <v>Ofsted Social Care Provider Webpage</v>
      </c>
      <c r="B861" s="55">
        <v>2543427</v>
      </c>
      <c r="D861" s="55" t="s">
        <v>373</v>
      </c>
      <c r="E861" s="74">
        <v>43936</v>
      </c>
      <c r="F861" s="55" t="s">
        <v>344</v>
      </c>
      <c r="G861" s="55" t="s">
        <v>360</v>
      </c>
      <c r="H861" s="55" t="s">
        <v>360</v>
      </c>
      <c r="I861" s="55" t="s">
        <v>360</v>
      </c>
      <c r="J861" s="55" t="s">
        <v>360</v>
      </c>
      <c r="K861" s="55" t="s">
        <v>360</v>
      </c>
      <c r="L861" s="55" t="s">
        <v>360</v>
      </c>
      <c r="M861" s="55" t="s">
        <v>150</v>
      </c>
      <c r="N861" s="55" t="s">
        <v>150</v>
      </c>
      <c r="O861" s="55" t="s">
        <v>156</v>
      </c>
      <c r="P861" s="55" t="s">
        <v>1576</v>
      </c>
      <c r="Q861" s="55" t="s">
        <v>350</v>
      </c>
      <c r="R861" s="55">
        <v>4</v>
      </c>
      <c r="S861" s="74"/>
      <c r="T861" s="55" t="s">
        <v>843</v>
      </c>
      <c r="U861" s="73" t="s">
        <v>351</v>
      </c>
      <c r="V861" s="74">
        <v>44417</v>
      </c>
      <c r="W861" s="74">
        <v>44449</v>
      </c>
      <c r="X861" s="55">
        <v>10185230</v>
      </c>
      <c r="Y861" s="74" t="s">
        <v>132</v>
      </c>
      <c r="Z861" s="74"/>
      <c r="AB861" s="55" t="s">
        <v>132</v>
      </c>
      <c r="AC861" s="55" t="s">
        <v>132</v>
      </c>
    </row>
    <row r="862" spans="1:29" ht="13" x14ac:dyDescent="0.15">
      <c r="A862" s="72" t="str">
        <f t="shared" si="13"/>
        <v>Ofsted Social Care Provider Webpage</v>
      </c>
      <c r="B862" s="55">
        <v>2543640</v>
      </c>
      <c r="D862" s="55" t="s">
        <v>373</v>
      </c>
      <c r="E862" s="74">
        <v>43766</v>
      </c>
      <c r="F862" s="55" t="s">
        <v>344</v>
      </c>
      <c r="G862" s="55" t="s">
        <v>360</v>
      </c>
      <c r="H862" s="55" t="s">
        <v>360</v>
      </c>
      <c r="I862" s="55" t="s">
        <v>360</v>
      </c>
      <c r="J862" s="55" t="s">
        <v>360</v>
      </c>
      <c r="K862" s="55" t="s">
        <v>360</v>
      </c>
      <c r="L862" s="55" t="s">
        <v>360</v>
      </c>
      <c r="M862" s="55" t="s">
        <v>144</v>
      </c>
      <c r="N862" s="55" t="s">
        <v>144</v>
      </c>
      <c r="O862" s="55" t="s">
        <v>209</v>
      </c>
      <c r="P862" s="55" t="s">
        <v>545</v>
      </c>
      <c r="Q862" s="55" t="s">
        <v>350</v>
      </c>
      <c r="R862" s="55">
        <v>3</v>
      </c>
      <c r="S862" s="74"/>
      <c r="T862" s="55" t="s">
        <v>1577</v>
      </c>
      <c r="U862" s="73" t="s">
        <v>351</v>
      </c>
      <c r="V862" s="74">
        <v>44545</v>
      </c>
      <c r="W862" s="74">
        <v>44592</v>
      </c>
      <c r="X862" s="55">
        <v>10187059</v>
      </c>
      <c r="Y862" s="74" t="s">
        <v>132</v>
      </c>
      <c r="Z862" s="74"/>
      <c r="AB862" s="55" t="s">
        <v>132</v>
      </c>
      <c r="AC862" s="55" t="s">
        <v>132</v>
      </c>
    </row>
    <row r="863" spans="1:29" ht="13" x14ac:dyDescent="0.15">
      <c r="A863" s="72" t="str">
        <f t="shared" si="13"/>
        <v>Ofsted Social Care Provider Webpage</v>
      </c>
      <c r="B863" s="55">
        <v>2543646</v>
      </c>
      <c r="C863" s="55">
        <v>131181</v>
      </c>
      <c r="D863" s="55" t="s">
        <v>398</v>
      </c>
      <c r="E863" s="74">
        <v>43627</v>
      </c>
      <c r="F863" s="55" t="s">
        <v>344</v>
      </c>
      <c r="G863" s="55" t="s">
        <v>1578</v>
      </c>
      <c r="H863" s="55" t="s">
        <v>1579</v>
      </c>
      <c r="I863" s="55" t="s">
        <v>1580</v>
      </c>
      <c r="J863" s="55" t="s">
        <v>593</v>
      </c>
      <c r="K863" s="55" t="s">
        <v>203</v>
      </c>
      <c r="L863" s="55" t="s">
        <v>1581</v>
      </c>
      <c r="M863" s="55" t="s">
        <v>150</v>
      </c>
      <c r="N863" s="55" t="s">
        <v>150</v>
      </c>
      <c r="O863" s="55" t="s">
        <v>203</v>
      </c>
      <c r="P863" s="55" t="s">
        <v>593</v>
      </c>
      <c r="Q863" s="55" t="s">
        <v>350</v>
      </c>
      <c r="R863" s="55">
        <v>26</v>
      </c>
      <c r="S863" s="74"/>
      <c r="U863" s="73" t="s">
        <v>351</v>
      </c>
      <c r="V863" s="74">
        <v>44488</v>
      </c>
      <c r="W863" s="74">
        <v>44524</v>
      </c>
      <c r="X863" s="55">
        <v>10183227</v>
      </c>
      <c r="Y863" s="74" t="s">
        <v>140</v>
      </c>
      <c r="Z863" s="74"/>
      <c r="AB863" s="55" t="s">
        <v>140</v>
      </c>
      <c r="AC863" s="55" t="s">
        <v>140</v>
      </c>
    </row>
    <row r="864" spans="1:29" ht="13" x14ac:dyDescent="0.15">
      <c r="A864" s="72" t="str">
        <f t="shared" si="13"/>
        <v>Ofsted Social Care Provider Webpage</v>
      </c>
      <c r="B864" s="55">
        <v>2544217</v>
      </c>
      <c r="D864" s="55" t="s">
        <v>373</v>
      </c>
      <c r="E864" s="74">
        <v>43664</v>
      </c>
      <c r="F864" s="55" t="s">
        <v>344</v>
      </c>
      <c r="G864" s="55" t="s">
        <v>360</v>
      </c>
      <c r="H864" s="55" t="s">
        <v>360</v>
      </c>
      <c r="I864" s="55" t="s">
        <v>360</v>
      </c>
      <c r="J864" s="55" t="s">
        <v>360</v>
      </c>
      <c r="K864" s="55" t="s">
        <v>360</v>
      </c>
      <c r="L864" s="55" t="s">
        <v>360</v>
      </c>
      <c r="M864" s="55" t="s">
        <v>172</v>
      </c>
      <c r="N864" s="55" t="s">
        <v>172</v>
      </c>
      <c r="O864" s="55" t="s">
        <v>235</v>
      </c>
      <c r="P864" s="55" t="s">
        <v>855</v>
      </c>
      <c r="Q864" s="55" t="s">
        <v>350</v>
      </c>
      <c r="R864" s="55">
        <v>5</v>
      </c>
      <c r="S864" s="74"/>
      <c r="T864" s="55" t="s">
        <v>1582</v>
      </c>
      <c r="U864" s="73" t="s">
        <v>351</v>
      </c>
      <c r="V864" s="74">
        <v>44475</v>
      </c>
      <c r="W864" s="74">
        <v>44533</v>
      </c>
      <c r="X864" s="55">
        <v>10205863</v>
      </c>
      <c r="Y864" s="74" t="s">
        <v>130</v>
      </c>
      <c r="Z864" s="74"/>
      <c r="AB864" s="55" t="s">
        <v>130</v>
      </c>
      <c r="AC864" s="55" t="s">
        <v>130</v>
      </c>
    </row>
    <row r="865" spans="1:29" ht="13" x14ac:dyDescent="0.15">
      <c r="A865" s="72" t="str">
        <f t="shared" si="13"/>
        <v>Ofsted Social Care Provider Webpage</v>
      </c>
      <c r="B865" s="55">
        <v>2544219</v>
      </c>
      <c r="D865" s="55" t="s">
        <v>373</v>
      </c>
      <c r="E865" s="74">
        <v>44018</v>
      </c>
      <c r="F865" s="55" t="s">
        <v>344</v>
      </c>
      <c r="G865" s="55" t="s">
        <v>360</v>
      </c>
      <c r="H865" s="55" t="s">
        <v>360</v>
      </c>
      <c r="I865" s="55" t="s">
        <v>360</v>
      </c>
      <c r="J865" s="55" t="s">
        <v>360</v>
      </c>
      <c r="K865" s="55" t="s">
        <v>360</v>
      </c>
      <c r="L865" s="55" t="s">
        <v>360</v>
      </c>
      <c r="M865" s="55" t="s">
        <v>378</v>
      </c>
      <c r="N865" s="55" t="s">
        <v>134</v>
      </c>
      <c r="O865" s="55" t="s">
        <v>180</v>
      </c>
      <c r="P865" s="55" t="s">
        <v>1249</v>
      </c>
      <c r="Q865" s="55" t="s">
        <v>350</v>
      </c>
      <c r="R865" s="55">
        <v>2</v>
      </c>
      <c r="S865" s="74"/>
      <c r="T865" s="55" t="s">
        <v>1484</v>
      </c>
      <c r="U865" s="73" t="s">
        <v>351</v>
      </c>
      <c r="V865" s="74">
        <v>44538</v>
      </c>
      <c r="W865" s="74">
        <v>44586</v>
      </c>
      <c r="X865" s="55">
        <v>10185019</v>
      </c>
      <c r="Y865" s="74" t="s">
        <v>132</v>
      </c>
      <c r="Z865" s="74"/>
      <c r="AB865" s="55" t="s">
        <v>132</v>
      </c>
      <c r="AC865" s="55" t="s">
        <v>130</v>
      </c>
    </row>
    <row r="866" spans="1:29" ht="13" x14ac:dyDescent="0.15">
      <c r="A866" s="72" t="str">
        <f t="shared" si="13"/>
        <v>Ofsted Social Care Provider Webpage</v>
      </c>
      <c r="B866" s="55">
        <v>2544274</v>
      </c>
      <c r="D866" s="55" t="s">
        <v>373</v>
      </c>
      <c r="E866" s="74">
        <v>43710</v>
      </c>
      <c r="F866" s="55" t="s">
        <v>344</v>
      </c>
      <c r="G866" s="55" t="s">
        <v>360</v>
      </c>
      <c r="H866" s="55" t="s">
        <v>360</v>
      </c>
      <c r="I866" s="55" t="s">
        <v>360</v>
      </c>
      <c r="J866" s="55" t="s">
        <v>360</v>
      </c>
      <c r="K866" s="55" t="s">
        <v>360</v>
      </c>
      <c r="L866" s="55" t="s">
        <v>360</v>
      </c>
      <c r="M866" s="55" t="s">
        <v>378</v>
      </c>
      <c r="N866" s="55" t="s">
        <v>134</v>
      </c>
      <c r="O866" s="55" t="s">
        <v>277</v>
      </c>
      <c r="P866" s="55" t="s">
        <v>461</v>
      </c>
      <c r="Q866" s="55" t="s">
        <v>380</v>
      </c>
      <c r="R866" s="55">
        <v>2</v>
      </c>
      <c r="S866" s="74"/>
      <c r="T866" s="55" t="s">
        <v>1575</v>
      </c>
      <c r="U866" s="73" t="s">
        <v>351</v>
      </c>
      <c r="V866" s="74">
        <v>44608</v>
      </c>
      <c r="W866" s="74">
        <v>44652</v>
      </c>
      <c r="X866" s="55">
        <v>10186808</v>
      </c>
      <c r="Y866" s="55" t="s">
        <v>132</v>
      </c>
      <c r="AB866" s="55" t="s">
        <v>132</v>
      </c>
      <c r="AC866" s="55" t="s">
        <v>132</v>
      </c>
    </row>
    <row r="867" spans="1:29" ht="13" x14ac:dyDescent="0.15">
      <c r="A867" s="72" t="str">
        <f t="shared" si="13"/>
        <v>Ofsted Social Care Provider Webpage</v>
      </c>
      <c r="B867" s="55">
        <v>2544803</v>
      </c>
      <c r="D867" s="55" t="s">
        <v>373</v>
      </c>
      <c r="E867" s="74">
        <v>43714</v>
      </c>
      <c r="F867" s="55" t="s">
        <v>344</v>
      </c>
      <c r="G867" s="55" t="s">
        <v>360</v>
      </c>
      <c r="H867" s="55" t="s">
        <v>360</v>
      </c>
      <c r="I867" s="55" t="s">
        <v>360</v>
      </c>
      <c r="J867" s="55" t="s">
        <v>360</v>
      </c>
      <c r="K867" s="55" t="s">
        <v>360</v>
      </c>
      <c r="L867" s="55" t="s">
        <v>360</v>
      </c>
      <c r="M867" s="55" t="s">
        <v>138</v>
      </c>
      <c r="N867" s="55" t="s">
        <v>138</v>
      </c>
      <c r="O867" s="55" t="s">
        <v>183</v>
      </c>
      <c r="P867" s="55" t="s">
        <v>907</v>
      </c>
      <c r="Q867" s="55" t="s">
        <v>350</v>
      </c>
      <c r="R867" s="55">
        <v>4</v>
      </c>
      <c r="S867" s="74"/>
      <c r="T867" s="55" t="s">
        <v>385</v>
      </c>
      <c r="U867" s="73" t="s">
        <v>351</v>
      </c>
      <c r="V867" s="74">
        <v>44488</v>
      </c>
      <c r="W867" s="74">
        <v>44519</v>
      </c>
      <c r="X867" s="55">
        <v>10186427</v>
      </c>
      <c r="Y867" s="74" t="s">
        <v>132</v>
      </c>
      <c r="Z867" s="74"/>
      <c r="AB867" s="55" t="s">
        <v>132</v>
      </c>
      <c r="AC867" s="55" t="s">
        <v>132</v>
      </c>
    </row>
    <row r="868" spans="1:29" ht="13" x14ac:dyDescent="0.15">
      <c r="A868" s="72" t="str">
        <f t="shared" si="13"/>
        <v>Ofsted Social Care Provider Webpage</v>
      </c>
      <c r="B868" s="55">
        <v>2544851</v>
      </c>
      <c r="D868" s="55" t="s">
        <v>373</v>
      </c>
      <c r="E868" s="74">
        <v>43803</v>
      </c>
      <c r="F868" s="55" t="s">
        <v>344</v>
      </c>
      <c r="G868" s="55" t="s">
        <v>360</v>
      </c>
      <c r="H868" s="55" t="s">
        <v>360</v>
      </c>
      <c r="I868" s="55" t="s">
        <v>360</v>
      </c>
      <c r="J868" s="55" t="s">
        <v>360</v>
      </c>
      <c r="K868" s="55" t="s">
        <v>360</v>
      </c>
      <c r="L868" s="55" t="s">
        <v>360</v>
      </c>
      <c r="M868" s="55" t="s">
        <v>378</v>
      </c>
      <c r="N868" s="55" t="s">
        <v>170</v>
      </c>
      <c r="O868" s="55" t="s">
        <v>267</v>
      </c>
      <c r="P868" s="55" t="s">
        <v>477</v>
      </c>
      <c r="Q868" s="55" t="s">
        <v>350</v>
      </c>
      <c r="R868" s="55">
        <v>3</v>
      </c>
      <c r="S868" s="74"/>
      <c r="T868" s="55" t="s">
        <v>1583</v>
      </c>
      <c r="U868" s="73" t="s">
        <v>351</v>
      </c>
      <c r="V868" s="74">
        <v>44334</v>
      </c>
      <c r="W868" s="74">
        <v>44369</v>
      </c>
      <c r="X868" s="55">
        <v>10185099</v>
      </c>
      <c r="Y868" s="74" t="s">
        <v>132</v>
      </c>
      <c r="Z868" s="74"/>
      <c r="AB868" s="55" t="s">
        <v>132</v>
      </c>
      <c r="AC868" s="55" t="s">
        <v>130</v>
      </c>
    </row>
    <row r="869" spans="1:29" ht="13" x14ac:dyDescent="0.15">
      <c r="A869" s="72" t="str">
        <f t="shared" si="13"/>
        <v>Ofsted Social Care Provider Webpage</v>
      </c>
      <c r="B869" s="55">
        <v>2544885</v>
      </c>
      <c r="D869" s="55" t="s">
        <v>373</v>
      </c>
      <c r="E869" s="74">
        <v>43678</v>
      </c>
      <c r="F869" s="55" t="s">
        <v>344</v>
      </c>
      <c r="G869" s="55" t="s">
        <v>360</v>
      </c>
      <c r="H869" s="55" t="s">
        <v>360</v>
      </c>
      <c r="I869" s="55" t="s">
        <v>360</v>
      </c>
      <c r="J869" s="55" t="s">
        <v>360</v>
      </c>
      <c r="K869" s="55" t="s">
        <v>360</v>
      </c>
      <c r="L869" s="55" t="s">
        <v>360</v>
      </c>
      <c r="M869" s="55" t="s">
        <v>129</v>
      </c>
      <c r="N869" s="55" t="s">
        <v>129</v>
      </c>
      <c r="O869" s="55" t="s">
        <v>179</v>
      </c>
      <c r="P869" s="55" t="s">
        <v>1584</v>
      </c>
      <c r="Q869" s="55" t="s">
        <v>350</v>
      </c>
      <c r="R869" s="55">
        <v>4</v>
      </c>
      <c r="S869" s="74"/>
      <c r="T869" s="55" t="s">
        <v>1585</v>
      </c>
      <c r="U869" s="73" t="s">
        <v>351</v>
      </c>
      <c r="V869" s="74">
        <v>44530</v>
      </c>
      <c r="W869" s="74">
        <v>44578</v>
      </c>
      <c r="X869" s="55">
        <v>10185105</v>
      </c>
      <c r="Y869" s="74" t="s">
        <v>132</v>
      </c>
      <c r="Z869" s="74"/>
      <c r="AB869" s="55" t="s">
        <v>132</v>
      </c>
      <c r="AC869" s="55" t="s">
        <v>132</v>
      </c>
    </row>
    <row r="870" spans="1:29" ht="13" x14ac:dyDescent="0.15">
      <c r="A870" s="72" t="str">
        <f t="shared" si="13"/>
        <v>Ofsted Social Care Provider Webpage</v>
      </c>
      <c r="B870" s="55">
        <v>2545027</v>
      </c>
      <c r="D870" s="55" t="s">
        <v>373</v>
      </c>
      <c r="E870" s="74">
        <v>43728</v>
      </c>
      <c r="F870" s="55" t="s">
        <v>344</v>
      </c>
      <c r="G870" s="55" t="s">
        <v>360</v>
      </c>
      <c r="H870" s="55" t="s">
        <v>360</v>
      </c>
      <c r="I870" s="55" t="s">
        <v>360</v>
      </c>
      <c r="J870" s="55" t="s">
        <v>360</v>
      </c>
      <c r="K870" s="55" t="s">
        <v>360</v>
      </c>
      <c r="L870" s="55" t="s">
        <v>360</v>
      </c>
      <c r="M870" s="55" t="s">
        <v>172</v>
      </c>
      <c r="N870" s="55" t="s">
        <v>172</v>
      </c>
      <c r="O870" s="55" t="s">
        <v>284</v>
      </c>
      <c r="P870" s="55" t="s">
        <v>985</v>
      </c>
      <c r="Q870" s="55" t="s">
        <v>350</v>
      </c>
      <c r="R870" s="55">
        <v>2</v>
      </c>
      <c r="S870" s="74"/>
      <c r="T870" s="55" t="s">
        <v>1586</v>
      </c>
      <c r="U870" s="73" t="s">
        <v>351</v>
      </c>
      <c r="V870" s="74">
        <v>44377</v>
      </c>
      <c r="W870" s="74">
        <v>44410</v>
      </c>
      <c r="X870" s="55">
        <v>10195647</v>
      </c>
      <c r="Y870" s="74" t="s">
        <v>130</v>
      </c>
      <c r="Z870" s="74"/>
      <c r="AB870" s="55" t="s">
        <v>130</v>
      </c>
      <c r="AC870" s="55" t="s">
        <v>130</v>
      </c>
    </row>
    <row r="871" spans="1:29" ht="13" x14ac:dyDescent="0.15">
      <c r="A871" s="72" t="str">
        <f t="shared" si="13"/>
        <v>Ofsted Social Care Provider Webpage</v>
      </c>
      <c r="B871" s="55">
        <v>2545082</v>
      </c>
      <c r="D871" s="55" t="s">
        <v>373</v>
      </c>
      <c r="E871" s="74">
        <v>43713</v>
      </c>
      <c r="F871" s="55" t="s">
        <v>344</v>
      </c>
      <c r="G871" s="55" t="s">
        <v>360</v>
      </c>
      <c r="H871" s="55" t="s">
        <v>360</v>
      </c>
      <c r="I871" s="55" t="s">
        <v>360</v>
      </c>
      <c r="J871" s="55" t="s">
        <v>360</v>
      </c>
      <c r="K871" s="55" t="s">
        <v>360</v>
      </c>
      <c r="L871" s="55" t="s">
        <v>360</v>
      </c>
      <c r="M871" s="55" t="s">
        <v>144</v>
      </c>
      <c r="N871" s="55" t="s">
        <v>144</v>
      </c>
      <c r="O871" s="55" t="s">
        <v>163</v>
      </c>
      <c r="P871" s="55" t="s">
        <v>1587</v>
      </c>
      <c r="Q871" s="55" t="s">
        <v>350</v>
      </c>
      <c r="R871" s="55">
        <v>2</v>
      </c>
      <c r="S871" s="74"/>
      <c r="T871" s="55" t="s">
        <v>1588</v>
      </c>
      <c r="U871" s="73" t="s">
        <v>351</v>
      </c>
      <c r="V871" s="74">
        <v>43860</v>
      </c>
      <c r="W871" s="74">
        <v>43879</v>
      </c>
      <c r="X871" s="55">
        <v>10133512</v>
      </c>
      <c r="Y871" s="74" t="s">
        <v>132</v>
      </c>
      <c r="Z871" s="74"/>
      <c r="AB871" s="55" t="s">
        <v>130</v>
      </c>
      <c r="AC871" s="55" t="s">
        <v>132</v>
      </c>
    </row>
    <row r="872" spans="1:29" ht="13" x14ac:dyDescent="0.15">
      <c r="A872" s="72" t="str">
        <f t="shared" si="13"/>
        <v>Ofsted Social Care Provider Webpage</v>
      </c>
      <c r="B872" s="55">
        <v>2545733</v>
      </c>
      <c r="D872" s="55" t="s">
        <v>373</v>
      </c>
      <c r="E872" s="74">
        <v>43761</v>
      </c>
      <c r="F872" s="55" t="s">
        <v>344</v>
      </c>
      <c r="G872" s="55" t="s">
        <v>360</v>
      </c>
      <c r="H872" s="55" t="s">
        <v>360</v>
      </c>
      <c r="I872" s="55" t="s">
        <v>360</v>
      </c>
      <c r="J872" s="55" t="s">
        <v>360</v>
      </c>
      <c r="K872" s="55" t="s">
        <v>360</v>
      </c>
      <c r="L872" s="55" t="s">
        <v>360</v>
      </c>
      <c r="M872" s="55" t="s">
        <v>144</v>
      </c>
      <c r="N872" s="55" t="s">
        <v>144</v>
      </c>
      <c r="O872" s="55" t="s">
        <v>209</v>
      </c>
      <c r="P872" s="55" t="s">
        <v>544</v>
      </c>
      <c r="Q872" s="55" t="s">
        <v>350</v>
      </c>
      <c r="R872" s="55">
        <v>4</v>
      </c>
      <c r="S872" s="74"/>
      <c r="T872" s="55" t="s">
        <v>1589</v>
      </c>
      <c r="U872" s="73" t="s">
        <v>351</v>
      </c>
      <c r="V872" s="74">
        <v>44446</v>
      </c>
      <c r="W872" s="74">
        <v>44480</v>
      </c>
      <c r="X872" s="55">
        <v>10186350</v>
      </c>
      <c r="Y872" s="74" t="s">
        <v>132</v>
      </c>
      <c r="Z872" s="74"/>
      <c r="AB872" s="55" t="s">
        <v>132</v>
      </c>
      <c r="AC872" s="55" t="s">
        <v>140</v>
      </c>
    </row>
    <row r="873" spans="1:29" ht="13" x14ac:dyDescent="0.15">
      <c r="A873" s="72" t="str">
        <f t="shared" si="13"/>
        <v>Ofsted Social Care Provider Webpage</v>
      </c>
      <c r="B873" s="55">
        <v>2546172</v>
      </c>
      <c r="D873" s="55" t="s">
        <v>373</v>
      </c>
      <c r="E873" s="74">
        <v>43781</v>
      </c>
      <c r="F873" s="55" t="s">
        <v>344</v>
      </c>
      <c r="G873" s="55" t="s">
        <v>360</v>
      </c>
      <c r="H873" s="55" t="s">
        <v>360</v>
      </c>
      <c r="I873" s="55" t="s">
        <v>360</v>
      </c>
      <c r="J873" s="55" t="s">
        <v>360</v>
      </c>
      <c r="K873" s="55" t="s">
        <v>360</v>
      </c>
      <c r="L873" s="55" t="s">
        <v>360</v>
      </c>
      <c r="M873" s="55" t="s">
        <v>142</v>
      </c>
      <c r="N873" s="55" t="s">
        <v>142</v>
      </c>
      <c r="O873" s="55" t="s">
        <v>141</v>
      </c>
      <c r="P873" s="55" t="s">
        <v>774</v>
      </c>
      <c r="Q873" s="55" t="s">
        <v>350</v>
      </c>
      <c r="R873" s="55">
        <v>3</v>
      </c>
      <c r="S873" s="74"/>
      <c r="T873" s="55" t="s">
        <v>642</v>
      </c>
      <c r="U873" s="73" t="s">
        <v>351</v>
      </c>
      <c r="V873" s="74">
        <v>44312</v>
      </c>
      <c r="W873" s="74">
        <v>44357</v>
      </c>
      <c r="X873" s="55">
        <v>10186230</v>
      </c>
      <c r="Y873" s="74" t="s">
        <v>132</v>
      </c>
      <c r="Z873" s="74"/>
      <c r="AB873" s="55" t="s">
        <v>132</v>
      </c>
      <c r="AC873" s="55" t="s">
        <v>130</v>
      </c>
    </row>
    <row r="874" spans="1:29" ht="13" x14ac:dyDescent="0.15">
      <c r="A874" s="72" t="str">
        <f t="shared" si="13"/>
        <v>Ofsted Social Care Provider Webpage</v>
      </c>
      <c r="B874" s="55">
        <v>2546196</v>
      </c>
      <c r="D874" s="55" t="s">
        <v>373</v>
      </c>
      <c r="E874" s="74">
        <v>43734</v>
      </c>
      <c r="F874" s="55" t="s">
        <v>344</v>
      </c>
      <c r="G874" s="55" t="s">
        <v>360</v>
      </c>
      <c r="H874" s="55" t="s">
        <v>360</v>
      </c>
      <c r="I874" s="55" t="s">
        <v>360</v>
      </c>
      <c r="J874" s="55" t="s">
        <v>360</v>
      </c>
      <c r="K874" s="55" t="s">
        <v>360</v>
      </c>
      <c r="L874" s="55" t="s">
        <v>360</v>
      </c>
      <c r="M874" s="55" t="s">
        <v>138</v>
      </c>
      <c r="N874" s="55" t="s">
        <v>138</v>
      </c>
      <c r="O874" s="55" t="s">
        <v>183</v>
      </c>
      <c r="P874" s="55" t="s">
        <v>730</v>
      </c>
      <c r="Q874" s="55" t="s">
        <v>350</v>
      </c>
      <c r="R874" s="55">
        <v>6</v>
      </c>
      <c r="S874" s="74"/>
      <c r="T874" s="55" t="s">
        <v>1590</v>
      </c>
      <c r="U874" s="73" t="s">
        <v>351</v>
      </c>
      <c r="V874" s="74">
        <v>44410</v>
      </c>
      <c r="W874" s="74">
        <v>44446</v>
      </c>
      <c r="X874" s="55">
        <v>10185626</v>
      </c>
      <c r="Y874" s="74" t="s">
        <v>130</v>
      </c>
      <c r="Z874" s="74"/>
      <c r="AB874" s="55" t="s">
        <v>130</v>
      </c>
      <c r="AC874" s="55" t="s">
        <v>146</v>
      </c>
    </row>
    <row r="875" spans="1:29" ht="13" x14ac:dyDescent="0.15">
      <c r="A875" s="72" t="str">
        <f t="shared" si="13"/>
        <v>Ofsted Social Care Provider Webpage</v>
      </c>
      <c r="B875" s="55">
        <v>2546474</v>
      </c>
      <c r="D875" s="55" t="s">
        <v>373</v>
      </c>
      <c r="E875" s="74">
        <v>43839</v>
      </c>
      <c r="F875" s="55" t="s">
        <v>344</v>
      </c>
      <c r="G875" s="55" t="s">
        <v>360</v>
      </c>
      <c r="H875" s="55" t="s">
        <v>360</v>
      </c>
      <c r="I875" s="55" t="s">
        <v>360</v>
      </c>
      <c r="J875" s="55" t="s">
        <v>360</v>
      </c>
      <c r="K875" s="55" t="s">
        <v>360</v>
      </c>
      <c r="L875" s="55" t="s">
        <v>360</v>
      </c>
      <c r="M875" s="55" t="s">
        <v>142</v>
      </c>
      <c r="N875" s="55" t="s">
        <v>142</v>
      </c>
      <c r="O875" s="55" t="s">
        <v>292</v>
      </c>
      <c r="P875" s="55" t="s">
        <v>1162</v>
      </c>
      <c r="Q875" s="55" t="s">
        <v>350</v>
      </c>
      <c r="R875" s="55">
        <v>3</v>
      </c>
      <c r="S875" s="74"/>
      <c r="T875" s="55" t="s">
        <v>1127</v>
      </c>
      <c r="U875" s="73" t="s">
        <v>351</v>
      </c>
      <c r="V875" s="74">
        <v>44334</v>
      </c>
      <c r="W875" s="74">
        <v>44363</v>
      </c>
      <c r="X875" s="55">
        <v>10185579</v>
      </c>
      <c r="Y875" s="74" t="s">
        <v>132</v>
      </c>
      <c r="Z875" s="74"/>
      <c r="AB875" s="55" t="s">
        <v>132</v>
      </c>
      <c r="AC875" s="55" t="s">
        <v>132</v>
      </c>
    </row>
    <row r="876" spans="1:29" ht="13" x14ac:dyDescent="0.15">
      <c r="A876" s="72" t="str">
        <f t="shared" si="13"/>
        <v>Ofsted Social Care Provider Webpage</v>
      </c>
      <c r="B876" s="55">
        <v>2546476</v>
      </c>
      <c r="D876" s="55" t="s">
        <v>373</v>
      </c>
      <c r="E876" s="74">
        <v>43772</v>
      </c>
      <c r="F876" s="55" t="s">
        <v>344</v>
      </c>
      <c r="G876" s="55" t="s">
        <v>360</v>
      </c>
      <c r="H876" s="55" t="s">
        <v>360</v>
      </c>
      <c r="I876" s="55" t="s">
        <v>360</v>
      </c>
      <c r="J876" s="55" t="s">
        <v>360</v>
      </c>
      <c r="K876" s="55" t="s">
        <v>360</v>
      </c>
      <c r="L876" s="55" t="s">
        <v>360</v>
      </c>
      <c r="M876" s="55" t="s">
        <v>150</v>
      </c>
      <c r="N876" s="55" t="s">
        <v>150</v>
      </c>
      <c r="O876" s="55" t="s">
        <v>283</v>
      </c>
      <c r="P876" s="55" t="s">
        <v>1333</v>
      </c>
      <c r="Q876" s="55" t="s">
        <v>350</v>
      </c>
      <c r="R876" s="55">
        <v>6</v>
      </c>
      <c r="S876" s="74"/>
      <c r="T876" s="55" t="s">
        <v>755</v>
      </c>
      <c r="U876" s="73" t="s">
        <v>351</v>
      </c>
      <c r="V876" s="74">
        <v>44531</v>
      </c>
      <c r="W876" s="74">
        <v>44593</v>
      </c>
      <c r="X876" s="55">
        <v>10185777</v>
      </c>
      <c r="Y876" s="74" t="s">
        <v>132</v>
      </c>
      <c r="Z876" s="74"/>
      <c r="AB876" s="55" t="s">
        <v>132</v>
      </c>
      <c r="AC876" s="55" t="s">
        <v>132</v>
      </c>
    </row>
    <row r="877" spans="1:29" ht="13" x14ac:dyDescent="0.15">
      <c r="A877" s="72" t="str">
        <f t="shared" si="13"/>
        <v>Ofsted Social Care Provider Webpage</v>
      </c>
      <c r="B877" s="55">
        <v>2546960</v>
      </c>
      <c r="D877" s="55" t="s">
        <v>373</v>
      </c>
      <c r="E877" s="74">
        <v>43691</v>
      </c>
      <c r="F877" s="55" t="s">
        <v>344</v>
      </c>
      <c r="G877" s="55" t="s">
        <v>360</v>
      </c>
      <c r="H877" s="55" t="s">
        <v>360</v>
      </c>
      <c r="I877" s="55" t="s">
        <v>360</v>
      </c>
      <c r="J877" s="55" t="s">
        <v>360</v>
      </c>
      <c r="K877" s="55" t="s">
        <v>360</v>
      </c>
      <c r="L877" s="55" t="s">
        <v>360</v>
      </c>
      <c r="M877" s="55" t="s">
        <v>136</v>
      </c>
      <c r="N877" s="55" t="s">
        <v>136</v>
      </c>
      <c r="O877" s="55" t="s">
        <v>174</v>
      </c>
      <c r="P877" s="55" t="s">
        <v>857</v>
      </c>
      <c r="Q877" s="55" t="s">
        <v>350</v>
      </c>
      <c r="R877" s="55">
        <v>2</v>
      </c>
      <c r="S877" s="74"/>
      <c r="T877" s="55" t="s">
        <v>1295</v>
      </c>
      <c r="U877" s="73" t="s">
        <v>351</v>
      </c>
      <c r="V877" s="74">
        <v>44600</v>
      </c>
      <c r="W877" s="74">
        <v>44648</v>
      </c>
      <c r="X877" s="55">
        <v>10185978</v>
      </c>
      <c r="Y877" s="74" t="s">
        <v>130</v>
      </c>
      <c r="Z877" s="74"/>
      <c r="AB877" s="55" t="s">
        <v>130</v>
      </c>
      <c r="AC877" s="55" t="s">
        <v>146</v>
      </c>
    </row>
    <row r="878" spans="1:29" ht="13" x14ac:dyDescent="0.15">
      <c r="A878" s="72" t="str">
        <f t="shared" si="13"/>
        <v>Ofsted Social Care Provider Webpage</v>
      </c>
      <c r="B878" s="55">
        <v>2547305</v>
      </c>
      <c r="D878" s="55" t="s">
        <v>451</v>
      </c>
      <c r="E878" s="74">
        <v>43850</v>
      </c>
      <c r="F878" s="55" t="s">
        <v>344</v>
      </c>
      <c r="G878" s="55" t="s">
        <v>1591</v>
      </c>
      <c r="H878" s="55" t="s">
        <v>1592</v>
      </c>
      <c r="I878" s="55" t="s">
        <v>1593</v>
      </c>
      <c r="J878" s="55" t="s">
        <v>137</v>
      </c>
      <c r="K878" s="55" t="s">
        <v>820</v>
      </c>
      <c r="L878" s="55" t="s">
        <v>1594</v>
      </c>
      <c r="M878" s="55" t="s">
        <v>138</v>
      </c>
      <c r="N878" s="55" t="s">
        <v>138</v>
      </c>
      <c r="O878" s="55" t="s">
        <v>137</v>
      </c>
      <c r="P878" s="55" t="s">
        <v>137</v>
      </c>
      <c r="Q878" s="55" t="s">
        <v>350</v>
      </c>
      <c r="R878" s="55">
        <v>4</v>
      </c>
      <c r="S878" s="74"/>
      <c r="T878" s="55" t="s">
        <v>1595</v>
      </c>
      <c r="U878" s="73" t="s">
        <v>351</v>
      </c>
      <c r="V878" s="74">
        <v>44356</v>
      </c>
      <c r="W878" s="74">
        <v>44389</v>
      </c>
      <c r="X878" s="55">
        <v>10183231</v>
      </c>
      <c r="Y878" s="74" t="s">
        <v>132</v>
      </c>
      <c r="Z878" s="74"/>
      <c r="AB878" s="55" t="s">
        <v>132</v>
      </c>
      <c r="AC878" s="55" t="s">
        <v>132</v>
      </c>
    </row>
    <row r="879" spans="1:29" ht="13" x14ac:dyDescent="0.15">
      <c r="A879" s="72" t="str">
        <f t="shared" si="13"/>
        <v>Ofsted Social Care Provider Webpage</v>
      </c>
      <c r="B879" s="55">
        <v>2547511</v>
      </c>
      <c r="D879" s="55" t="s">
        <v>373</v>
      </c>
      <c r="E879" s="74">
        <v>43882</v>
      </c>
      <c r="F879" s="55" t="s">
        <v>344</v>
      </c>
      <c r="G879" s="55" t="s">
        <v>360</v>
      </c>
      <c r="H879" s="55" t="s">
        <v>360</v>
      </c>
      <c r="I879" s="55" t="s">
        <v>360</v>
      </c>
      <c r="J879" s="55" t="s">
        <v>360</v>
      </c>
      <c r="K879" s="55" t="s">
        <v>360</v>
      </c>
      <c r="L879" s="55" t="s">
        <v>360</v>
      </c>
      <c r="M879" s="55" t="s">
        <v>129</v>
      </c>
      <c r="N879" s="55" t="s">
        <v>129</v>
      </c>
      <c r="O879" s="55" t="s">
        <v>167</v>
      </c>
      <c r="P879" s="55" t="s">
        <v>866</v>
      </c>
      <c r="Q879" s="55" t="s">
        <v>350</v>
      </c>
      <c r="R879" s="55">
        <v>3</v>
      </c>
      <c r="S879" s="74"/>
      <c r="T879" s="55" t="s">
        <v>1596</v>
      </c>
      <c r="U879" s="73" t="s">
        <v>351</v>
      </c>
      <c r="V879" s="74">
        <v>44475</v>
      </c>
      <c r="W879" s="74">
        <v>44497</v>
      </c>
      <c r="X879" s="55">
        <v>10204106</v>
      </c>
      <c r="Y879" s="74" t="s">
        <v>132</v>
      </c>
      <c r="Z879" s="74"/>
      <c r="AB879" s="55" t="s">
        <v>132</v>
      </c>
      <c r="AC879" s="55" t="s">
        <v>132</v>
      </c>
    </row>
    <row r="880" spans="1:29" ht="13" x14ac:dyDescent="0.15">
      <c r="A880" s="72" t="str">
        <f t="shared" si="13"/>
        <v>Ofsted Social Care Provider Webpage</v>
      </c>
      <c r="B880" s="55">
        <v>2547560</v>
      </c>
      <c r="D880" s="55" t="s">
        <v>373</v>
      </c>
      <c r="E880" s="74">
        <v>43768</v>
      </c>
      <c r="F880" s="55" t="s">
        <v>344</v>
      </c>
      <c r="G880" s="55" t="s">
        <v>360</v>
      </c>
      <c r="H880" s="55" t="s">
        <v>360</v>
      </c>
      <c r="I880" s="55" t="s">
        <v>360</v>
      </c>
      <c r="J880" s="55" t="s">
        <v>360</v>
      </c>
      <c r="K880" s="55" t="s">
        <v>360</v>
      </c>
      <c r="L880" s="55" t="s">
        <v>360</v>
      </c>
      <c r="M880" s="55" t="s">
        <v>129</v>
      </c>
      <c r="N880" s="55" t="s">
        <v>129</v>
      </c>
      <c r="O880" s="55" t="s">
        <v>213</v>
      </c>
      <c r="P880" s="55" t="s">
        <v>410</v>
      </c>
      <c r="Q880" s="55" t="s">
        <v>350</v>
      </c>
      <c r="R880" s="55">
        <v>3</v>
      </c>
      <c r="S880" s="74"/>
      <c r="T880" s="55" t="s">
        <v>1597</v>
      </c>
      <c r="U880" s="73" t="s">
        <v>351</v>
      </c>
      <c r="V880" s="74">
        <v>44307</v>
      </c>
      <c r="W880" s="74">
        <v>44348</v>
      </c>
      <c r="X880" s="55">
        <v>10185860</v>
      </c>
      <c r="Y880" s="74" t="s">
        <v>132</v>
      </c>
      <c r="Z880" s="74"/>
      <c r="AB880" s="55" t="s">
        <v>132</v>
      </c>
      <c r="AC880" s="55" t="s">
        <v>132</v>
      </c>
    </row>
    <row r="881" spans="1:29" ht="13" x14ac:dyDescent="0.15">
      <c r="A881" s="72" t="str">
        <f t="shared" si="13"/>
        <v>Ofsted Social Care Provider Webpage</v>
      </c>
      <c r="B881" s="55">
        <v>2547611</v>
      </c>
      <c r="D881" s="55" t="s">
        <v>373</v>
      </c>
      <c r="E881" s="74">
        <v>43991</v>
      </c>
      <c r="F881" s="55" t="s">
        <v>344</v>
      </c>
      <c r="G881" s="55" t="s">
        <v>360</v>
      </c>
      <c r="H881" s="55" t="s">
        <v>360</v>
      </c>
      <c r="I881" s="55" t="s">
        <v>360</v>
      </c>
      <c r="J881" s="55" t="s">
        <v>360</v>
      </c>
      <c r="K881" s="55" t="s">
        <v>360</v>
      </c>
      <c r="L881" s="55" t="s">
        <v>360</v>
      </c>
      <c r="M881" s="55" t="s">
        <v>142</v>
      </c>
      <c r="N881" s="55" t="s">
        <v>142</v>
      </c>
      <c r="O881" s="55" t="s">
        <v>262</v>
      </c>
      <c r="P881" s="55" t="s">
        <v>523</v>
      </c>
      <c r="Q881" s="55" t="s">
        <v>350</v>
      </c>
      <c r="R881" s="55">
        <v>5</v>
      </c>
      <c r="S881" s="74"/>
      <c r="T881" s="55" t="s">
        <v>1253</v>
      </c>
      <c r="U881" s="73" t="s">
        <v>351</v>
      </c>
      <c r="V881" s="74">
        <v>44335</v>
      </c>
      <c r="W881" s="74">
        <v>44371</v>
      </c>
      <c r="X881" s="55">
        <v>10186100</v>
      </c>
      <c r="Y881" s="74" t="s">
        <v>132</v>
      </c>
      <c r="Z881" s="74"/>
      <c r="AB881" s="55" t="s">
        <v>130</v>
      </c>
      <c r="AC881" s="55" t="s">
        <v>132</v>
      </c>
    </row>
    <row r="882" spans="1:29" ht="13" x14ac:dyDescent="0.15">
      <c r="A882" s="72" t="str">
        <f t="shared" si="13"/>
        <v>Ofsted Social Care Provider Webpage</v>
      </c>
      <c r="B882" s="55">
        <v>2547637</v>
      </c>
      <c r="D882" s="55" t="s">
        <v>373</v>
      </c>
      <c r="E882" s="74">
        <v>43770</v>
      </c>
      <c r="F882" s="55" t="s">
        <v>344</v>
      </c>
      <c r="G882" s="55" t="s">
        <v>360</v>
      </c>
      <c r="H882" s="55" t="s">
        <v>360</v>
      </c>
      <c r="I882" s="55" t="s">
        <v>360</v>
      </c>
      <c r="J882" s="55" t="s">
        <v>360</v>
      </c>
      <c r="K882" s="55" t="s">
        <v>360</v>
      </c>
      <c r="L882" s="55" t="s">
        <v>360</v>
      </c>
      <c r="M882" s="55" t="s">
        <v>129</v>
      </c>
      <c r="N882" s="55" t="s">
        <v>129</v>
      </c>
      <c r="O882" s="55" t="s">
        <v>213</v>
      </c>
      <c r="P882" s="55" t="s">
        <v>1020</v>
      </c>
      <c r="Q882" s="55" t="s">
        <v>350</v>
      </c>
      <c r="R882" s="55">
        <v>3</v>
      </c>
      <c r="S882" s="74"/>
      <c r="T882" s="55" t="s">
        <v>1598</v>
      </c>
      <c r="U882" s="73" t="s">
        <v>351</v>
      </c>
      <c r="V882" s="74">
        <v>44326</v>
      </c>
      <c r="W882" s="74">
        <v>44368</v>
      </c>
      <c r="X882" s="55">
        <v>10186111</v>
      </c>
      <c r="Y882" s="74" t="s">
        <v>132</v>
      </c>
      <c r="Z882" s="74"/>
      <c r="AB882" s="55" t="s">
        <v>132</v>
      </c>
      <c r="AC882" s="55" t="s">
        <v>132</v>
      </c>
    </row>
    <row r="883" spans="1:29" ht="13" x14ac:dyDescent="0.15">
      <c r="A883" s="72" t="str">
        <f t="shared" si="13"/>
        <v>Ofsted Social Care Provider Webpage</v>
      </c>
      <c r="B883" s="55">
        <v>2547761</v>
      </c>
      <c r="D883" s="55" t="s">
        <v>373</v>
      </c>
      <c r="E883" s="74">
        <v>43870</v>
      </c>
      <c r="F883" s="55" t="s">
        <v>344</v>
      </c>
      <c r="G883" s="55" t="s">
        <v>360</v>
      </c>
      <c r="H883" s="55" t="s">
        <v>360</v>
      </c>
      <c r="I883" s="55" t="s">
        <v>360</v>
      </c>
      <c r="J883" s="55" t="s">
        <v>360</v>
      </c>
      <c r="K883" s="55" t="s">
        <v>360</v>
      </c>
      <c r="L883" s="55" t="s">
        <v>360</v>
      </c>
      <c r="M883" s="55" t="s">
        <v>144</v>
      </c>
      <c r="N883" s="55" t="s">
        <v>144</v>
      </c>
      <c r="O883" s="55" t="s">
        <v>209</v>
      </c>
      <c r="P883" s="55" t="s">
        <v>736</v>
      </c>
      <c r="Q883" s="55" t="s">
        <v>350</v>
      </c>
      <c r="R883" s="55">
        <v>3</v>
      </c>
      <c r="S883" s="74"/>
      <c r="T883" s="55" t="s">
        <v>1599</v>
      </c>
      <c r="U883" s="73" t="s">
        <v>351</v>
      </c>
      <c r="V883" s="74">
        <v>44517</v>
      </c>
      <c r="W883" s="74">
        <v>44571</v>
      </c>
      <c r="X883" s="55">
        <v>10185140</v>
      </c>
      <c r="Y883" s="74" t="s">
        <v>132</v>
      </c>
      <c r="Z883" s="74"/>
      <c r="AB883" s="55" t="s">
        <v>132</v>
      </c>
      <c r="AC883" s="55" t="s">
        <v>132</v>
      </c>
    </row>
    <row r="884" spans="1:29" ht="13" x14ac:dyDescent="0.15">
      <c r="A884" s="72" t="str">
        <f t="shared" si="13"/>
        <v>Ofsted Social Care Provider Webpage</v>
      </c>
      <c r="B884" s="55">
        <v>2547837</v>
      </c>
      <c r="D884" s="55" t="s">
        <v>373</v>
      </c>
      <c r="E884" s="74">
        <v>43816</v>
      </c>
      <c r="F884" s="55" t="s">
        <v>344</v>
      </c>
      <c r="G884" s="55" t="s">
        <v>360</v>
      </c>
      <c r="H884" s="55" t="s">
        <v>360</v>
      </c>
      <c r="I884" s="55" t="s">
        <v>360</v>
      </c>
      <c r="J884" s="55" t="s">
        <v>360</v>
      </c>
      <c r="K884" s="55" t="s">
        <v>360</v>
      </c>
      <c r="L884" s="55" t="s">
        <v>360</v>
      </c>
      <c r="M884" s="55" t="s">
        <v>144</v>
      </c>
      <c r="N884" s="55" t="s">
        <v>144</v>
      </c>
      <c r="O884" s="55" t="s">
        <v>250</v>
      </c>
      <c r="P884" s="55" t="s">
        <v>759</v>
      </c>
      <c r="Q884" s="55" t="s">
        <v>350</v>
      </c>
      <c r="R884" s="55">
        <v>3</v>
      </c>
      <c r="S884" s="74"/>
      <c r="T884" s="55" t="s">
        <v>1600</v>
      </c>
      <c r="U884" s="73" t="s">
        <v>351</v>
      </c>
      <c r="V884" s="74">
        <v>44538</v>
      </c>
      <c r="W884" s="74">
        <v>44586</v>
      </c>
      <c r="X884" s="55">
        <v>10185414</v>
      </c>
      <c r="Y884" s="74" t="s">
        <v>132</v>
      </c>
      <c r="Z884" s="74"/>
      <c r="AB884" s="55" t="s">
        <v>132</v>
      </c>
      <c r="AC884" s="55" t="s">
        <v>132</v>
      </c>
    </row>
    <row r="885" spans="1:29" ht="13" x14ac:dyDescent="0.15">
      <c r="A885" s="72" t="str">
        <f t="shared" si="13"/>
        <v>Ofsted Social Care Provider Webpage</v>
      </c>
      <c r="B885" s="55">
        <v>2547847</v>
      </c>
      <c r="D885" s="55" t="s">
        <v>373</v>
      </c>
      <c r="E885" s="74">
        <v>43957</v>
      </c>
      <c r="F885" s="55" t="s">
        <v>344</v>
      </c>
      <c r="G885" s="55" t="s">
        <v>360</v>
      </c>
      <c r="H885" s="55" t="s">
        <v>360</v>
      </c>
      <c r="I885" s="55" t="s">
        <v>360</v>
      </c>
      <c r="J885" s="55" t="s">
        <v>360</v>
      </c>
      <c r="K885" s="55" t="s">
        <v>360</v>
      </c>
      <c r="L885" s="55" t="s">
        <v>360</v>
      </c>
      <c r="M885" s="55" t="s">
        <v>144</v>
      </c>
      <c r="N885" s="55" t="s">
        <v>144</v>
      </c>
      <c r="O885" s="55" t="s">
        <v>163</v>
      </c>
      <c r="P885" s="55" t="s">
        <v>614</v>
      </c>
      <c r="Q885" s="55" t="s">
        <v>380</v>
      </c>
      <c r="R885" s="55">
        <v>2</v>
      </c>
      <c r="S885" s="74"/>
      <c r="T885" s="55" t="s">
        <v>473</v>
      </c>
      <c r="U885" s="73" t="s">
        <v>351</v>
      </c>
      <c r="V885" s="74">
        <v>44403</v>
      </c>
      <c r="W885" s="74">
        <v>44433</v>
      </c>
      <c r="X885" s="55">
        <v>10185133</v>
      </c>
      <c r="Y885" s="74" t="s">
        <v>132</v>
      </c>
      <c r="Z885" s="74"/>
      <c r="AB885" s="55" t="s">
        <v>132</v>
      </c>
      <c r="AC885" s="55" t="s">
        <v>132</v>
      </c>
    </row>
    <row r="886" spans="1:29" ht="13" x14ac:dyDescent="0.15">
      <c r="A886" s="72" t="str">
        <f t="shared" si="13"/>
        <v>Ofsted Social Care Provider Webpage</v>
      </c>
      <c r="B886" s="55">
        <v>2547918</v>
      </c>
      <c r="D886" s="55" t="s">
        <v>373</v>
      </c>
      <c r="E886" s="74">
        <v>43902</v>
      </c>
      <c r="F886" s="55" t="s">
        <v>344</v>
      </c>
      <c r="G886" s="55" t="s">
        <v>360</v>
      </c>
      <c r="H886" s="55" t="s">
        <v>360</v>
      </c>
      <c r="I886" s="55" t="s">
        <v>360</v>
      </c>
      <c r="J886" s="55" t="s">
        <v>360</v>
      </c>
      <c r="K886" s="55" t="s">
        <v>360</v>
      </c>
      <c r="L886" s="55" t="s">
        <v>360</v>
      </c>
      <c r="M886" s="55" t="s">
        <v>142</v>
      </c>
      <c r="N886" s="55" t="s">
        <v>142</v>
      </c>
      <c r="O886" s="55" t="s">
        <v>141</v>
      </c>
      <c r="P886" s="55" t="s">
        <v>641</v>
      </c>
      <c r="Q886" s="55" t="s">
        <v>350</v>
      </c>
      <c r="R886" s="55">
        <v>3</v>
      </c>
      <c r="S886" s="74"/>
      <c r="T886" s="55" t="s">
        <v>1127</v>
      </c>
      <c r="U886" s="73" t="s">
        <v>351</v>
      </c>
      <c r="V886" s="74">
        <v>44314</v>
      </c>
      <c r="W886" s="74">
        <v>44348</v>
      </c>
      <c r="X886" s="55">
        <v>10187156</v>
      </c>
      <c r="Y886" s="74" t="s">
        <v>132</v>
      </c>
      <c r="Z886" s="74"/>
      <c r="AB886" s="55" t="s">
        <v>132</v>
      </c>
      <c r="AC886" s="55" t="s">
        <v>130</v>
      </c>
    </row>
    <row r="887" spans="1:29" ht="13" x14ac:dyDescent="0.15">
      <c r="A887" s="72" t="str">
        <f t="shared" si="13"/>
        <v>Ofsted Social Care Provider Webpage</v>
      </c>
      <c r="B887" s="55">
        <v>2547967</v>
      </c>
      <c r="D887" s="55" t="s">
        <v>373</v>
      </c>
      <c r="E887" s="74">
        <v>43742</v>
      </c>
      <c r="F887" s="55" t="s">
        <v>344</v>
      </c>
      <c r="G887" s="55" t="s">
        <v>360</v>
      </c>
      <c r="H887" s="55" t="s">
        <v>360</v>
      </c>
      <c r="I887" s="55" t="s">
        <v>360</v>
      </c>
      <c r="J887" s="55" t="s">
        <v>360</v>
      </c>
      <c r="K887" s="55" t="s">
        <v>360</v>
      </c>
      <c r="L887" s="55" t="s">
        <v>360</v>
      </c>
      <c r="M887" s="55" t="s">
        <v>136</v>
      </c>
      <c r="N887" s="55" t="s">
        <v>136</v>
      </c>
      <c r="O887" s="55" t="s">
        <v>255</v>
      </c>
      <c r="P887" s="55" t="s">
        <v>757</v>
      </c>
      <c r="Q887" s="55" t="s">
        <v>350</v>
      </c>
      <c r="R887" s="55">
        <v>2</v>
      </c>
      <c r="S887" s="74"/>
      <c r="T887" s="55" t="s">
        <v>1601</v>
      </c>
      <c r="U887" s="73" t="s">
        <v>351</v>
      </c>
      <c r="V887" s="74">
        <v>44572</v>
      </c>
      <c r="W887" s="74">
        <v>44606</v>
      </c>
      <c r="X887" s="55">
        <v>10185619</v>
      </c>
      <c r="Y887" s="74" t="s">
        <v>132</v>
      </c>
      <c r="Z887" s="74"/>
      <c r="AB887" s="55" t="s">
        <v>132</v>
      </c>
      <c r="AC887" s="55" t="s">
        <v>132</v>
      </c>
    </row>
    <row r="888" spans="1:29" ht="13" x14ac:dyDescent="0.15">
      <c r="A888" s="72" t="str">
        <f t="shared" si="13"/>
        <v>Ofsted Social Care Provider Webpage</v>
      </c>
      <c r="B888" s="55">
        <v>2548260</v>
      </c>
      <c r="D888" s="55" t="s">
        <v>373</v>
      </c>
      <c r="E888" s="74">
        <v>43999</v>
      </c>
      <c r="F888" s="55" t="s">
        <v>344</v>
      </c>
      <c r="G888" s="55" t="s">
        <v>360</v>
      </c>
      <c r="H888" s="55" t="s">
        <v>360</v>
      </c>
      <c r="I888" s="55" t="s">
        <v>360</v>
      </c>
      <c r="J888" s="55" t="s">
        <v>360</v>
      </c>
      <c r="K888" s="55" t="s">
        <v>360</v>
      </c>
      <c r="L888" s="55" t="s">
        <v>360</v>
      </c>
      <c r="M888" s="55" t="s">
        <v>144</v>
      </c>
      <c r="N888" s="55" t="s">
        <v>144</v>
      </c>
      <c r="O888" s="55" t="s">
        <v>162</v>
      </c>
      <c r="P888" s="55" t="s">
        <v>516</v>
      </c>
      <c r="Q888" s="55" t="s">
        <v>362</v>
      </c>
      <c r="R888" s="55">
        <v>3</v>
      </c>
      <c r="S888" s="74"/>
      <c r="T888" s="55" t="s">
        <v>1565</v>
      </c>
      <c r="U888" s="73" t="s">
        <v>351</v>
      </c>
      <c r="V888" s="74">
        <v>44467</v>
      </c>
      <c r="W888" s="74">
        <v>44538</v>
      </c>
      <c r="X888" s="55">
        <v>10187448</v>
      </c>
      <c r="Y888" s="74" t="s">
        <v>146</v>
      </c>
      <c r="Z888" s="74"/>
      <c r="AB888" s="55" t="s">
        <v>146</v>
      </c>
      <c r="AC888" s="55" t="s">
        <v>146</v>
      </c>
    </row>
    <row r="889" spans="1:29" ht="13" x14ac:dyDescent="0.15">
      <c r="A889" s="72" t="str">
        <f t="shared" si="13"/>
        <v>Ofsted Social Care Provider Webpage</v>
      </c>
      <c r="B889" s="55">
        <v>2548333</v>
      </c>
      <c r="D889" s="55" t="s">
        <v>373</v>
      </c>
      <c r="E889" s="74">
        <v>43854</v>
      </c>
      <c r="F889" s="55" t="s">
        <v>344</v>
      </c>
      <c r="G889" s="55" t="s">
        <v>360</v>
      </c>
      <c r="H889" s="55" t="s">
        <v>360</v>
      </c>
      <c r="I889" s="55" t="s">
        <v>360</v>
      </c>
      <c r="J889" s="55" t="s">
        <v>360</v>
      </c>
      <c r="K889" s="55" t="s">
        <v>360</v>
      </c>
      <c r="L889" s="55" t="s">
        <v>360</v>
      </c>
      <c r="M889" s="55" t="s">
        <v>142</v>
      </c>
      <c r="N889" s="55" t="s">
        <v>142</v>
      </c>
      <c r="O889" s="55" t="s">
        <v>141</v>
      </c>
      <c r="P889" s="55" t="s">
        <v>1226</v>
      </c>
      <c r="Q889" s="55" t="s">
        <v>350</v>
      </c>
      <c r="R889" s="55">
        <v>4</v>
      </c>
      <c r="S889" s="74"/>
      <c r="T889" s="55" t="s">
        <v>865</v>
      </c>
      <c r="U889" s="73"/>
      <c r="W889" s="74"/>
      <c r="Y889" s="74"/>
      <c r="Z889" s="74"/>
    </row>
    <row r="890" spans="1:29" ht="13" x14ac:dyDescent="0.15">
      <c r="A890" s="72" t="str">
        <f t="shared" si="13"/>
        <v>Ofsted Social Care Provider Webpage</v>
      </c>
      <c r="B890" s="55">
        <v>2548334</v>
      </c>
      <c r="D890" s="55" t="s">
        <v>373</v>
      </c>
      <c r="E890" s="74">
        <v>43691</v>
      </c>
      <c r="F890" s="55" t="s">
        <v>344</v>
      </c>
      <c r="G890" s="55" t="s">
        <v>360</v>
      </c>
      <c r="H890" s="55" t="s">
        <v>360</v>
      </c>
      <c r="I890" s="55" t="s">
        <v>360</v>
      </c>
      <c r="J890" s="55" t="s">
        <v>360</v>
      </c>
      <c r="K890" s="55" t="s">
        <v>360</v>
      </c>
      <c r="L890" s="55" t="s">
        <v>360</v>
      </c>
      <c r="M890" s="55" t="s">
        <v>129</v>
      </c>
      <c r="N890" s="55" t="s">
        <v>129</v>
      </c>
      <c r="O890" s="55" t="s">
        <v>223</v>
      </c>
      <c r="P890" s="55" t="s">
        <v>1602</v>
      </c>
      <c r="Q890" s="55" t="s">
        <v>350</v>
      </c>
      <c r="R890" s="55">
        <v>3</v>
      </c>
      <c r="S890" s="74"/>
      <c r="T890" s="55" t="s">
        <v>1603</v>
      </c>
      <c r="U890" s="73" t="s">
        <v>351</v>
      </c>
      <c r="V890" s="74">
        <v>44537</v>
      </c>
      <c r="W890" s="74">
        <v>44586</v>
      </c>
      <c r="X890" s="55">
        <v>10186226</v>
      </c>
      <c r="Y890" s="74" t="s">
        <v>132</v>
      </c>
      <c r="Z890" s="74"/>
      <c r="AB890" s="55" t="s">
        <v>132</v>
      </c>
      <c r="AC890" s="55" t="s">
        <v>130</v>
      </c>
    </row>
    <row r="891" spans="1:29" ht="13" x14ac:dyDescent="0.15">
      <c r="A891" s="72" t="str">
        <f t="shared" si="13"/>
        <v>Ofsted Social Care Provider Webpage</v>
      </c>
      <c r="B891" s="55">
        <v>2548403</v>
      </c>
      <c r="D891" s="55" t="s">
        <v>1493</v>
      </c>
      <c r="E891" s="74">
        <v>43768</v>
      </c>
      <c r="F891" s="55" t="s">
        <v>344</v>
      </c>
      <c r="G891" s="55" t="s">
        <v>360</v>
      </c>
      <c r="H891" s="55" t="s">
        <v>360</v>
      </c>
      <c r="I891" s="55" t="s">
        <v>360</v>
      </c>
      <c r="J891" s="55" t="s">
        <v>360</v>
      </c>
      <c r="K891" s="55" t="s">
        <v>360</v>
      </c>
      <c r="L891" s="55" t="s">
        <v>360</v>
      </c>
      <c r="M891" s="55" t="s">
        <v>144</v>
      </c>
      <c r="N891" s="55" t="s">
        <v>144</v>
      </c>
      <c r="O891" s="55" t="s">
        <v>162</v>
      </c>
      <c r="P891" s="55" t="s">
        <v>516</v>
      </c>
      <c r="Q891" s="55" t="s">
        <v>350</v>
      </c>
      <c r="R891" s="55">
        <v>5</v>
      </c>
      <c r="S891" s="74"/>
      <c r="T891" s="55" t="s">
        <v>1441</v>
      </c>
      <c r="U891" s="73" t="s">
        <v>351</v>
      </c>
      <c r="V891" s="74">
        <v>44341</v>
      </c>
      <c r="W891" s="74">
        <v>44377</v>
      </c>
      <c r="X891" s="55">
        <v>10186524</v>
      </c>
      <c r="Y891" s="74" t="s">
        <v>132</v>
      </c>
      <c r="Z891" s="74"/>
      <c r="AB891" s="55" t="s">
        <v>132</v>
      </c>
      <c r="AC891" s="55" t="s">
        <v>132</v>
      </c>
    </row>
    <row r="892" spans="1:29" ht="13" x14ac:dyDescent="0.15">
      <c r="A892" s="72" t="str">
        <f t="shared" si="13"/>
        <v>Ofsted Social Care Provider Webpage</v>
      </c>
      <c r="B892" s="55">
        <v>2548418</v>
      </c>
      <c r="D892" s="55" t="s">
        <v>373</v>
      </c>
      <c r="E892" s="74">
        <v>43746</v>
      </c>
      <c r="F892" s="55" t="s">
        <v>344</v>
      </c>
      <c r="G892" s="55" t="s">
        <v>360</v>
      </c>
      <c r="H892" s="55" t="s">
        <v>360</v>
      </c>
      <c r="I892" s="55" t="s">
        <v>360</v>
      </c>
      <c r="J892" s="55" t="s">
        <v>360</v>
      </c>
      <c r="K892" s="55" t="s">
        <v>360</v>
      </c>
      <c r="L892" s="55" t="s">
        <v>360</v>
      </c>
      <c r="M892" s="55" t="s">
        <v>150</v>
      </c>
      <c r="N892" s="55" t="s">
        <v>150</v>
      </c>
      <c r="O892" s="55" t="s">
        <v>156</v>
      </c>
      <c r="P892" s="55" t="s">
        <v>1217</v>
      </c>
      <c r="Q892" s="55" t="s">
        <v>350</v>
      </c>
      <c r="R892" s="55">
        <v>4</v>
      </c>
      <c r="S892" s="74"/>
      <c r="T892" s="55" t="s">
        <v>843</v>
      </c>
      <c r="U892" s="73" t="s">
        <v>351</v>
      </c>
      <c r="V892" s="74">
        <v>44460</v>
      </c>
      <c r="W892" s="74">
        <v>44503</v>
      </c>
      <c r="X892" s="55">
        <v>10186027</v>
      </c>
      <c r="Y892" s="74" t="s">
        <v>132</v>
      </c>
      <c r="Z892" s="74"/>
      <c r="AB892" s="55" t="s">
        <v>132</v>
      </c>
      <c r="AC892" s="55" t="s">
        <v>130</v>
      </c>
    </row>
    <row r="893" spans="1:29" ht="13" x14ac:dyDescent="0.15">
      <c r="A893" s="72" t="str">
        <f t="shared" si="13"/>
        <v>Ofsted Social Care Provider Webpage</v>
      </c>
      <c r="B893" s="55">
        <v>2548528</v>
      </c>
      <c r="D893" s="55" t="s">
        <v>373</v>
      </c>
      <c r="E893" s="74">
        <v>43689</v>
      </c>
      <c r="F893" s="55" t="s">
        <v>344</v>
      </c>
      <c r="G893" s="55" t="s">
        <v>360</v>
      </c>
      <c r="H893" s="55" t="s">
        <v>360</v>
      </c>
      <c r="I893" s="55" t="s">
        <v>360</v>
      </c>
      <c r="J893" s="55" t="s">
        <v>360</v>
      </c>
      <c r="K893" s="55" t="s">
        <v>360</v>
      </c>
      <c r="L893" s="55" t="s">
        <v>360</v>
      </c>
      <c r="M893" s="55" t="s">
        <v>144</v>
      </c>
      <c r="N893" s="55" t="s">
        <v>144</v>
      </c>
      <c r="O893" s="55" t="s">
        <v>245</v>
      </c>
      <c r="P893" s="55" t="s">
        <v>245</v>
      </c>
      <c r="Q893" s="55" t="s">
        <v>350</v>
      </c>
      <c r="R893" s="55">
        <v>4</v>
      </c>
      <c r="S893" s="74"/>
      <c r="T893" s="55" t="s">
        <v>1604</v>
      </c>
      <c r="U893" s="73" t="s">
        <v>351</v>
      </c>
      <c r="V893" s="74">
        <v>44467</v>
      </c>
      <c r="W893" s="74">
        <v>44490</v>
      </c>
      <c r="X893" s="55">
        <v>10187001</v>
      </c>
      <c r="Y893" s="74" t="s">
        <v>132</v>
      </c>
      <c r="Z893" s="74"/>
      <c r="AB893" s="55" t="s">
        <v>132</v>
      </c>
      <c r="AC893" s="55" t="s">
        <v>132</v>
      </c>
    </row>
    <row r="894" spans="1:29" ht="13" x14ac:dyDescent="0.15">
      <c r="A894" s="72" t="str">
        <f t="shared" si="13"/>
        <v>Ofsted Social Care Provider Webpage</v>
      </c>
      <c r="B894" s="55">
        <v>2548569</v>
      </c>
      <c r="D894" s="55" t="s">
        <v>373</v>
      </c>
      <c r="E894" s="74">
        <v>43739</v>
      </c>
      <c r="F894" s="55" t="s">
        <v>344</v>
      </c>
      <c r="G894" s="55" t="s">
        <v>360</v>
      </c>
      <c r="H894" s="55" t="s">
        <v>360</v>
      </c>
      <c r="I894" s="55" t="s">
        <v>360</v>
      </c>
      <c r="J894" s="55" t="s">
        <v>360</v>
      </c>
      <c r="K894" s="55" t="s">
        <v>360</v>
      </c>
      <c r="L894" s="55" t="s">
        <v>360</v>
      </c>
      <c r="M894" s="55" t="s">
        <v>142</v>
      </c>
      <c r="N894" s="55" t="s">
        <v>142</v>
      </c>
      <c r="O894" s="55" t="s">
        <v>293</v>
      </c>
      <c r="P894" s="55" t="s">
        <v>1136</v>
      </c>
      <c r="Q894" s="55" t="s">
        <v>362</v>
      </c>
      <c r="R894" s="55">
        <v>4</v>
      </c>
      <c r="S894" s="74"/>
      <c r="T894" s="55" t="s">
        <v>1605</v>
      </c>
      <c r="U894" s="73" t="s">
        <v>351</v>
      </c>
      <c r="V894" s="74">
        <v>44601</v>
      </c>
      <c r="W894" s="74">
        <v>44643</v>
      </c>
      <c r="X894" s="55">
        <v>10187327</v>
      </c>
      <c r="Y894" s="74" t="s">
        <v>130</v>
      </c>
      <c r="Z894" s="74"/>
      <c r="AB894" s="55" t="s">
        <v>130</v>
      </c>
      <c r="AC894" s="55" t="s">
        <v>130</v>
      </c>
    </row>
    <row r="895" spans="1:29" ht="13" x14ac:dyDescent="0.15">
      <c r="A895" s="72" t="str">
        <f t="shared" si="13"/>
        <v>Ofsted Social Care Provider Webpage</v>
      </c>
      <c r="B895" s="55">
        <v>2548571</v>
      </c>
      <c r="D895" s="55" t="s">
        <v>373</v>
      </c>
      <c r="E895" s="74">
        <v>43739</v>
      </c>
      <c r="F895" s="55" t="s">
        <v>344</v>
      </c>
      <c r="G895" s="55" t="s">
        <v>360</v>
      </c>
      <c r="H895" s="55" t="s">
        <v>360</v>
      </c>
      <c r="I895" s="55" t="s">
        <v>360</v>
      </c>
      <c r="J895" s="55" t="s">
        <v>360</v>
      </c>
      <c r="K895" s="55" t="s">
        <v>360</v>
      </c>
      <c r="L895" s="55" t="s">
        <v>360</v>
      </c>
      <c r="M895" s="55" t="s">
        <v>142</v>
      </c>
      <c r="N895" s="55" t="s">
        <v>142</v>
      </c>
      <c r="O895" s="55" t="s">
        <v>293</v>
      </c>
      <c r="P895" s="55" t="s">
        <v>1136</v>
      </c>
      <c r="Q895" s="55" t="s">
        <v>362</v>
      </c>
      <c r="R895" s="55">
        <v>4</v>
      </c>
      <c r="S895" s="74"/>
      <c r="T895" s="55" t="s">
        <v>1605</v>
      </c>
      <c r="U895" s="73" t="s">
        <v>351</v>
      </c>
      <c r="V895" s="74">
        <v>44516</v>
      </c>
      <c r="W895" s="74">
        <v>44572</v>
      </c>
      <c r="X895" s="55">
        <v>10204569</v>
      </c>
      <c r="Y895" s="74" t="s">
        <v>132</v>
      </c>
      <c r="Z895" s="74"/>
      <c r="AB895" s="55" t="s">
        <v>132</v>
      </c>
      <c r="AC895" s="55" t="s">
        <v>132</v>
      </c>
    </row>
    <row r="896" spans="1:29" ht="13" x14ac:dyDescent="0.15">
      <c r="A896" s="72" t="str">
        <f t="shared" si="13"/>
        <v>Ofsted Social Care Provider Webpage</v>
      </c>
      <c r="B896" s="55">
        <v>2548794</v>
      </c>
      <c r="D896" s="55" t="s">
        <v>373</v>
      </c>
      <c r="E896" s="74">
        <v>44014</v>
      </c>
      <c r="F896" s="55" t="s">
        <v>344</v>
      </c>
      <c r="G896" s="55" t="s">
        <v>360</v>
      </c>
      <c r="H896" s="55" t="s">
        <v>360</v>
      </c>
      <c r="I896" s="55" t="s">
        <v>360</v>
      </c>
      <c r="J896" s="55" t="s">
        <v>360</v>
      </c>
      <c r="K896" s="55" t="s">
        <v>360</v>
      </c>
      <c r="L896" s="55" t="s">
        <v>360</v>
      </c>
      <c r="M896" s="55" t="s">
        <v>129</v>
      </c>
      <c r="N896" s="55" t="s">
        <v>129</v>
      </c>
      <c r="O896" s="55" t="s">
        <v>131</v>
      </c>
      <c r="P896" s="55" t="s">
        <v>1606</v>
      </c>
      <c r="Q896" s="55" t="s">
        <v>350</v>
      </c>
      <c r="R896" s="55">
        <v>5</v>
      </c>
      <c r="S896" s="74"/>
      <c r="T896" s="55" t="s">
        <v>1607</v>
      </c>
      <c r="U896" s="73" t="s">
        <v>351</v>
      </c>
      <c r="V896" s="74">
        <v>44354</v>
      </c>
      <c r="W896" s="74">
        <v>44393</v>
      </c>
      <c r="X896" s="55">
        <v>10185884</v>
      </c>
      <c r="Y896" s="74" t="s">
        <v>130</v>
      </c>
      <c r="Z896" s="74"/>
      <c r="AB896" s="55" t="s">
        <v>130</v>
      </c>
      <c r="AC896" s="55" t="s">
        <v>130</v>
      </c>
    </row>
    <row r="897" spans="1:29" ht="13" x14ac:dyDescent="0.15">
      <c r="A897" s="72" t="str">
        <f t="shared" si="13"/>
        <v>Ofsted Social Care Provider Webpage</v>
      </c>
      <c r="B897" s="55">
        <v>2549629</v>
      </c>
      <c r="D897" s="55" t="s">
        <v>373</v>
      </c>
      <c r="E897" s="74">
        <v>43899</v>
      </c>
      <c r="F897" s="55" t="s">
        <v>344</v>
      </c>
      <c r="G897" s="55" t="s">
        <v>360</v>
      </c>
      <c r="H897" s="55" t="s">
        <v>360</v>
      </c>
      <c r="I897" s="55" t="s">
        <v>360</v>
      </c>
      <c r="J897" s="55" t="s">
        <v>360</v>
      </c>
      <c r="K897" s="55" t="s">
        <v>360</v>
      </c>
      <c r="L897" s="55" t="s">
        <v>360</v>
      </c>
      <c r="M897" s="55" t="s">
        <v>136</v>
      </c>
      <c r="N897" s="55" t="s">
        <v>136</v>
      </c>
      <c r="O897" s="55" t="s">
        <v>174</v>
      </c>
      <c r="P897" s="55" t="s">
        <v>982</v>
      </c>
      <c r="Q897" s="55" t="s">
        <v>350</v>
      </c>
      <c r="R897" s="55">
        <v>3</v>
      </c>
      <c r="S897" s="74"/>
      <c r="T897" s="55" t="s">
        <v>1151</v>
      </c>
      <c r="U897" s="73" t="s">
        <v>351</v>
      </c>
      <c r="V897" s="74">
        <v>44466</v>
      </c>
      <c r="W897" s="74">
        <v>44509</v>
      </c>
      <c r="X897" s="55">
        <v>10187114</v>
      </c>
      <c r="Y897" s="74" t="s">
        <v>132</v>
      </c>
      <c r="Z897" s="74"/>
      <c r="AB897" s="55" t="s">
        <v>132</v>
      </c>
      <c r="AC897" s="55" t="s">
        <v>130</v>
      </c>
    </row>
    <row r="898" spans="1:29" ht="13" x14ac:dyDescent="0.15">
      <c r="A898" s="72" t="str">
        <f t="shared" si="13"/>
        <v>Ofsted Social Care Provider Webpage</v>
      </c>
      <c r="B898" s="55">
        <v>2549696</v>
      </c>
      <c r="D898" s="55" t="s">
        <v>389</v>
      </c>
      <c r="E898" s="74">
        <v>43739</v>
      </c>
      <c r="F898" s="55" t="s">
        <v>344</v>
      </c>
      <c r="G898" s="55" t="s">
        <v>1608</v>
      </c>
      <c r="H898" s="55" t="s">
        <v>1609</v>
      </c>
      <c r="I898" s="55" t="s">
        <v>1610</v>
      </c>
      <c r="J898" s="55" t="s">
        <v>1060</v>
      </c>
      <c r="K898" s="55" t="s">
        <v>293</v>
      </c>
      <c r="L898" s="55" t="s">
        <v>1611</v>
      </c>
      <c r="M898" s="55" t="s">
        <v>142</v>
      </c>
      <c r="N898" s="55" t="s">
        <v>142</v>
      </c>
      <c r="O898" s="55" t="s">
        <v>293</v>
      </c>
      <c r="P898" s="55" t="s">
        <v>1060</v>
      </c>
      <c r="Q898" s="55" t="s">
        <v>362</v>
      </c>
      <c r="R898" s="55"/>
      <c r="S898" s="74"/>
      <c r="T898" s="55" t="s">
        <v>1605</v>
      </c>
      <c r="U898" s="73" t="s">
        <v>351</v>
      </c>
      <c r="V898" s="74">
        <v>44459</v>
      </c>
      <c r="W898" s="74">
        <v>44508</v>
      </c>
      <c r="X898" s="55">
        <v>10183205</v>
      </c>
      <c r="Y898" s="74" t="s">
        <v>130</v>
      </c>
      <c r="Z898" s="74"/>
      <c r="AB898" s="55" t="s">
        <v>130</v>
      </c>
      <c r="AC898" s="55" t="s">
        <v>146</v>
      </c>
    </row>
    <row r="899" spans="1:29" ht="13" x14ac:dyDescent="0.15">
      <c r="A899" s="72" t="str">
        <f t="shared" si="13"/>
        <v>Ofsted Social Care Provider Webpage</v>
      </c>
      <c r="B899" s="55">
        <v>2549726</v>
      </c>
      <c r="D899" s="55" t="s">
        <v>373</v>
      </c>
      <c r="E899" s="74">
        <v>43739</v>
      </c>
      <c r="F899" s="55" t="s">
        <v>344</v>
      </c>
      <c r="G899" s="55" t="s">
        <v>360</v>
      </c>
      <c r="H899" s="55" t="s">
        <v>360</v>
      </c>
      <c r="I899" s="55" t="s">
        <v>360</v>
      </c>
      <c r="J899" s="55" t="s">
        <v>360</v>
      </c>
      <c r="K899" s="55" t="s">
        <v>360</v>
      </c>
      <c r="L899" s="55" t="s">
        <v>360</v>
      </c>
      <c r="M899" s="55" t="s">
        <v>142</v>
      </c>
      <c r="N899" s="55" t="s">
        <v>142</v>
      </c>
      <c r="O899" s="55" t="s">
        <v>293</v>
      </c>
      <c r="P899" s="55" t="s">
        <v>1422</v>
      </c>
      <c r="Q899" s="55" t="s">
        <v>362</v>
      </c>
      <c r="R899" s="55">
        <v>4</v>
      </c>
      <c r="S899" s="74" t="s">
        <v>332</v>
      </c>
      <c r="T899" s="55" t="s">
        <v>1605</v>
      </c>
      <c r="U899" s="73" t="s">
        <v>351</v>
      </c>
      <c r="V899" s="74">
        <v>44523</v>
      </c>
      <c r="W899" s="74">
        <v>44565</v>
      </c>
      <c r="X899" s="55">
        <v>10186151</v>
      </c>
      <c r="Y899" s="74" t="s">
        <v>146</v>
      </c>
      <c r="Z899" s="74"/>
      <c r="AB899" s="55" t="s">
        <v>146</v>
      </c>
      <c r="AC899" s="55" t="s">
        <v>146</v>
      </c>
    </row>
    <row r="900" spans="1:29" ht="13" x14ac:dyDescent="0.15">
      <c r="A900" s="72" t="str">
        <f t="shared" si="13"/>
        <v>Ofsted Social Care Provider Webpage</v>
      </c>
      <c r="B900" s="55">
        <v>2549784</v>
      </c>
      <c r="D900" s="55" t="s">
        <v>451</v>
      </c>
      <c r="E900" s="74">
        <v>43790</v>
      </c>
      <c r="F900" s="55" t="s">
        <v>344</v>
      </c>
      <c r="G900" s="55" t="s">
        <v>1612</v>
      </c>
      <c r="H900" s="55" t="s">
        <v>1613</v>
      </c>
      <c r="I900" s="55" t="s">
        <v>354</v>
      </c>
      <c r="J900" s="55" t="s">
        <v>1614</v>
      </c>
      <c r="K900" s="55" t="s">
        <v>1615</v>
      </c>
      <c r="L900" s="55" t="s">
        <v>1616</v>
      </c>
      <c r="M900" s="55" t="s">
        <v>150</v>
      </c>
      <c r="N900" s="55" t="s">
        <v>150</v>
      </c>
      <c r="O900" s="55" t="s">
        <v>285</v>
      </c>
      <c r="P900" s="55" t="s">
        <v>893</v>
      </c>
      <c r="Q900" s="55" t="s">
        <v>350</v>
      </c>
      <c r="R900" s="55">
        <v>4</v>
      </c>
      <c r="S900" s="74"/>
      <c r="T900" s="55" t="s">
        <v>1617</v>
      </c>
      <c r="U900" s="73" t="s">
        <v>351</v>
      </c>
      <c r="V900" s="74">
        <v>44376</v>
      </c>
      <c r="W900" s="74">
        <v>44412</v>
      </c>
      <c r="X900" s="55">
        <v>10183239</v>
      </c>
      <c r="Y900" s="74" t="s">
        <v>132</v>
      </c>
      <c r="Z900" s="74"/>
      <c r="AB900" s="55" t="s">
        <v>132</v>
      </c>
      <c r="AC900" s="55" t="s">
        <v>130</v>
      </c>
    </row>
    <row r="901" spans="1:29" ht="13" x14ac:dyDescent="0.15">
      <c r="A901" s="72" t="str">
        <f t="shared" si="13"/>
        <v>Ofsted Social Care Provider Webpage</v>
      </c>
      <c r="B901" s="55">
        <v>2550015</v>
      </c>
      <c r="D901" s="55" t="s">
        <v>373</v>
      </c>
      <c r="E901" s="74">
        <v>43773</v>
      </c>
      <c r="F901" s="55" t="s">
        <v>344</v>
      </c>
      <c r="G901" s="55" t="s">
        <v>360</v>
      </c>
      <c r="H901" s="55" t="s">
        <v>360</v>
      </c>
      <c r="I901" s="55" t="s">
        <v>360</v>
      </c>
      <c r="J901" s="55" t="s">
        <v>360</v>
      </c>
      <c r="K901" s="55" t="s">
        <v>360</v>
      </c>
      <c r="L901" s="55" t="s">
        <v>360</v>
      </c>
      <c r="M901" s="55" t="s">
        <v>144</v>
      </c>
      <c r="N901" s="55" t="s">
        <v>144</v>
      </c>
      <c r="O901" s="55" t="s">
        <v>209</v>
      </c>
      <c r="P901" s="55" t="s">
        <v>364</v>
      </c>
      <c r="Q901" s="55" t="s">
        <v>350</v>
      </c>
      <c r="R901" s="55">
        <v>2</v>
      </c>
      <c r="S901" s="74"/>
      <c r="T901" s="55" t="s">
        <v>485</v>
      </c>
      <c r="U901" s="73"/>
      <c r="W901" s="74"/>
      <c r="Y901" s="74"/>
      <c r="Z901" s="74"/>
    </row>
    <row r="902" spans="1:29" ht="13" x14ac:dyDescent="0.15">
      <c r="A902" s="72" t="str">
        <f t="shared" ref="A902:A965" si="14">HYPERLINK(_xlfn.CONCAT("http://reports.ofsted.gov.uk/inspection-reports/find-inspection-report/provider/CARE/",B902),"Ofsted Social Care Provider Webpage")</f>
        <v>Ofsted Social Care Provider Webpage</v>
      </c>
      <c r="B902" s="55">
        <v>2550082</v>
      </c>
      <c r="D902" s="55" t="s">
        <v>373</v>
      </c>
      <c r="E902" s="74">
        <v>44123</v>
      </c>
      <c r="F902" s="55" t="s">
        <v>344</v>
      </c>
      <c r="G902" s="55" t="s">
        <v>360</v>
      </c>
      <c r="H902" s="55" t="s">
        <v>360</v>
      </c>
      <c r="I902" s="55" t="s">
        <v>360</v>
      </c>
      <c r="J902" s="55" t="s">
        <v>360</v>
      </c>
      <c r="K902" s="55" t="s">
        <v>360</v>
      </c>
      <c r="L902" s="55" t="s">
        <v>360</v>
      </c>
      <c r="M902" s="55" t="s">
        <v>144</v>
      </c>
      <c r="N902" s="55" t="s">
        <v>144</v>
      </c>
      <c r="O902" s="55" t="s">
        <v>145</v>
      </c>
      <c r="P902" s="55" t="s">
        <v>484</v>
      </c>
      <c r="Q902" s="55" t="s">
        <v>350</v>
      </c>
      <c r="R902" s="55">
        <v>2</v>
      </c>
      <c r="S902" s="74"/>
      <c r="T902" s="55" t="s">
        <v>955</v>
      </c>
      <c r="U902" s="73" t="s">
        <v>351</v>
      </c>
      <c r="V902" s="74">
        <v>44349</v>
      </c>
      <c r="W902" s="74">
        <v>44386</v>
      </c>
      <c r="X902" s="55">
        <v>10185466</v>
      </c>
      <c r="Y902" s="74" t="s">
        <v>130</v>
      </c>
      <c r="Z902" s="74"/>
      <c r="AB902" s="55" t="s">
        <v>130</v>
      </c>
      <c r="AC902" s="55" t="s">
        <v>130</v>
      </c>
    </row>
    <row r="903" spans="1:29" ht="13" x14ac:dyDescent="0.15">
      <c r="A903" s="72" t="str">
        <f t="shared" si="14"/>
        <v>Ofsted Social Care Provider Webpage</v>
      </c>
      <c r="B903" s="55">
        <v>2550526</v>
      </c>
      <c r="D903" s="55" t="s">
        <v>373</v>
      </c>
      <c r="E903" s="74">
        <v>43706</v>
      </c>
      <c r="F903" s="55" t="s">
        <v>344</v>
      </c>
      <c r="G903" s="55" t="s">
        <v>360</v>
      </c>
      <c r="H903" s="55" t="s">
        <v>360</v>
      </c>
      <c r="I903" s="55" t="s">
        <v>360</v>
      </c>
      <c r="J903" s="55" t="s">
        <v>360</v>
      </c>
      <c r="K903" s="55" t="s">
        <v>360</v>
      </c>
      <c r="L903" s="55" t="s">
        <v>360</v>
      </c>
      <c r="M903" s="55" t="s">
        <v>378</v>
      </c>
      <c r="N903" s="55" t="s">
        <v>134</v>
      </c>
      <c r="O903" s="55" t="s">
        <v>204</v>
      </c>
      <c r="P903" s="55" t="s">
        <v>929</v>
      </c>
      <c r="Q903" s="55" t="s">
        <v>380</v>
      </c>
      <c r="R903" s="55">
        <v>1</v>
      </c>
      <c r="S903" s="74"/>
      <c r="T903" s="55" t="s">
        <v>1479</v>
      </c>
      <c r="U903" s="73" t="s">
        <v>351</v>
      </c>
      <c r="V903" s="74">
        <v>44326</v>
      </c>
      <c r="W903" s="74">
        <v>44376</v>
      </c>
      <c r="X903" s="55">
        <v>10187028</v>
      </c>
      <c r="Y903" s="74" t="s">
        <v>140</v>
      </c>
      <c r="Z903" s="74"/>
      <c r="AB903" s="55" t="s">
        <v>140</v>
      </c>
      <c r="AC903" s="55" t="s">
        <v>140</v>
      </c>
    </row>
    <row r="904" spans="1:29" ht="13" x14ac:dyDescent="0.15">
      <c r="A904" s="72" t="str">
        <f t="shared" si="14"/>
        <v>Ofsted Social Care Provider Webpage</v>
      </c>
      <c r="B904" s="55">
        <v>2550622</v>
      </c>
      <c r="D904" s="55" t="s">
        <v>373</v>
      </c>
      <c r="E904" s="74">
        <v>43983</v>
      </c>
      <c r="F904" s="55" t="s">
        <v>344</v>
      </c>
      <c r="G904" s="55" t="s">
        <v>360</v>
      </c>
      <c r="H904" s="55" t="s">
        <v>360</v>
      </c>
      <c r="I904" s="55" t="s">
        <v>360</v>
      </c>
      <c r="J904" s="55" t="s">
        <v>360</v>
      </c>
      <c r="K904" s="55" t="s">
        <v>360</v>
      </c>
      <c r="L904" s="55" t="s">
        <v>360</v>
      </c>
      <c r="M904" s="55" t="s">
        <v>144</v>
      </c>
      <c r="N904" s="55" t="s">
        <v>144</v>
      </c>
      <c r="O904" s="55" t="s">
        <v>236</v>
      </c>
      <c r="P904" s="55" t="s">
        <v>996</v>
      </c>
      <c r="Q904" s="55" t="s">
        <v>350</v>
      </c>
      <c r="R904" s="55">
        <v>6</v>
      </c>
      <c r="S904" s="74"/>
      <c r="T904" s="55" t="s">
        <v>385</v>
      </c>
      <c r="U904" s="73" t="s">
        <v>351</v>
      </c>
      <c r="V904" s="74">
        <v>44460</v>
      </c>
      <c r="W904" s="74">
        <v>44510</v>
      </c>
      <c r="X904" s="55">
        <v>10187589</v>
      </c>
      <c r="Y904" s="74" t="s">
        <v>130</v>
      </c>
      <c r="Z904" s="74"/>
      <c r="AB904" s="55" t="s">
        <v>130</v>
      </c>
      <c r="AC904" s="55" t="s">
        <v>130</v>
      </c>
    </row>
    <row r="905" spans="1:29" ht="13" x14ac:dyDescent="0.15">
      <c r="A905" s="72" t="str">
        <f t="shared" si="14"/>
        <v>Ofsted Social Care Provider Webpage</v>
      </c>
      <c r="B905" s="55">
        <v>2550830</v>
      </c>
      <c r="D905" s="55" t="s">
        <v>373</v>
      </c>
      <c r="E905" s="74">
        <v>43840</v>
      </c>
      <c r="F905" s="55" t="s">
        <v>344</v>
      </c>
      <c r="G905" s="55" t="s">
        <v>360</v>
      </c>
      <c r="H905" s="55" t="s">
        <v>360</v>
      </c>
      <c r="I905" s="55" t="s">
        <v>360</v>
      </c>
      <c r="J905" s="55" t="s">
        <v>360</v>
      </c>
      <c r="K905" s="55" t="s">
        <v>360</v>
      </c>
      <c r="L905" s="55" t="s">
        <v>360</v>
      </c>
      <c r="M905" s="55" t="s">
        <v>378</v>
      </c>
      <c r="N905" s="55" t="s">
        <v>134</v>
      </c>
      <c r="O905" s="55" t="s">
        <v>246</v>
      </c>
      <c r="P905" s="55" t="s">
        <v>685</v>
      </c>
      <c r="Q905" s="55" t="s">
        <v>350</v>
      </c>
      <c r="R905" s="55">
        <v>5</v>
      </c>
      <c r="S905" s="74"/>
      <c r="T905" s="55" t="s">
        <v>1618</v>
      </c>
      <c r="U905" s="73" t="s">
        <v>351</v>
      </c>
      <c r="V905" s="74">
        <v>44383</v>
      </c>
      <c r="W905" s="74">
        <v>44426</v>
      </c>
      <c r="X905" s="55">
        <v>10186788</v>
      </c>
      <c r="Y905" s="74" t="s">
        <v>140</v>
      </c>
      <c r="Z905" s="74"/>
      <c r="AB905" s="55" t="s">
        <v>140</v>
      </c>
      <c r="AC905" s="55" t="s">
        <v>132</v>
      </c>
    </row>
    <row r="906" spans="1:29" ht="13" x14ac:dyDescent="0.15">
      <c r="A906" s="72" t="str">
        <f t="shared" si="14"/>
        <v>Ofsted Social Care Provider Webpage</v>
      </c>
      <c r="B906" s="55">
        <v>2551006</v>
      </c>
      <c r="D906" s="55" t="s">
        <v>389</v>
      </c>
      <c r="E906" s="74">
        <v>43826</v>
      </c>
      <c r="F906" s="55" t="s">
        <v>344</v>
      </c>
      <c r="G906" s="55" t="s">
        <v>1619</v>
      </c>
      <c r="H906" s="55" t="s">
        <v>1620</v>
      </c>
      <c r="I906" s="55" t="s">
        <v>810</v>
      </c>
      <c r="J906" s="55" t="s">
        <v>811</v>
      </c>
      <c r="K906" s="55" t="s">
        <v>183</v>
      </c>
      <c r="L906" s="55" t="s">
        <v>812</v>
      </c>
      <c r="M906" s="55" t="s">
        <v>138</v>
      </c>
      <c r="N906" s="55" t="s">
        <v>138</v>
      </c>
      <c r="O906" s="55" t="s">
        <v>183</v>
      </c>
      <c r="P906" s="55" t="s">
        <v>813</v>
      </c>
      <c r="Q906" s="55" t="s">
        <v>362</v>
      </c>
      <c r="R906" s="55"/>
      <c r="S906" s="74"/>
      <c r="T906" s="55" t="s">
        <v>1619</v>
      </c>
      <c r="U906" s="73" t="s">
        <v>351</v>
      </c>
      <c r="V906" s="74">
        <v>44424</v>
      </c>
      <c r="W906" s="74">
        <v>44455</v>
      </c>
      <c r="X906" s="55">
        <v>10183181</v>
      </c>
      <c r="Y906" s="74" t="s">
        <v>146</v>
      </c>
      <c r="Z906" s="74"/>
      <c r="AB906" s="55" t="s">
        <v>146</v>
      </c>
      <c r="AC906" s="55" t="s">
        <v>146</v>
      </c>
    </row>
    <row r="907" spans="1:29" ht="13" x14ac:dyDescent="0.15">
      <c r="A907" s="72" t="str">
        <f t="shared" si="14"/>
        <v>Ofsted Social Care Provider Webpage</v>
      </c>
      <c r="B907" s="55">
        <v>2551007</v>
      </c>
      <c r="D907" s="55" t="s">
        <v>373</v>
      </c>
      <c r="E907" s="74">
        <v>43845</v>
      </c>
      <c r="F907" s="55" t="s">
        <v>344</v>
      </c>
      <c r="G907" s="55" t="s">
        <v>360</v>
      </c>
      <c r="H907" s="55" t="s">
        <v>360</v>
      </c>
      <c r="I907" s="55" t="s">
        <v>360</v>
      </c>
      <c r="J907" s="55" t="s">
        <v>360</v>
      </c>
      <c r="K907" s="55" t="s">
        <v>360</v>
      </c>
      <c r="L907" s="55" t="s">
        <v>360</v>
      </c>
      <c r="M907" s="55" t="s">
        <v>150</v>
      </c>
      <c r="N907" s="55" t="s">
        <v>150</v>
      </c>
      <c r="O907" s="55" t="s">
        <v>190</v>
      </c>
      <c r="P907" s="55" t="s">
        <v>889</v>
      </c>
      <c r="Q907" s="55" t="s">
        <v>350</v>
      </c>
      <c r="R907" s="55">
        <v>6</v>
      </c>
      <c r="S907" s="74"/>
      <c r="T907" s="55" t="s">
        <v>456</v>
      </c>
      <c r="U907" s="73" t="s">
        <v>351</v>
      </c>
      <c r="V907" s="74">
        <v>44335</v>
      </c>
      <c r="W907" s="74">
        <v>44392</v>
      </c>
      <c r="X907" s="55">
        <v>10185826</v>
      </c>
      <c r="Y907" s="74" t="s">
        <v>132</v>
      </c>
      <c r="Z907" s="74"/>
      <c r="AB907" s="55" t="s">
        <v>132</v>
      </c>
      <c r="AC907" s="55" t="s">
        <v>132</v>
      </c>
    </row>
    <row r="908" spans="1:29" ht="13" x14ac:dyDescent="0.15">
      <c r="A908" s="72" t="str">
        <f t="shared" si="14"/>
        <v>Ofsted Social Care Provider Webpage</v>
      </c>
      <c r="B908" s="55">
        <v>2552036</v>
      </c>
      <c r="D908" s="55" t="s">
        <v>373</v>
      </c>
      <c r="E908" s="74">
        <v>43843</v>
      </c>
      <c r="F908" s="55" t="s">
        <v>344</v>
      </c>
      <c r="G908" s="55" t="s">
        <v>360</v>
      </c>
      <c r="H908" s="55" t="s">
        <v>360</v>
      </c>
      <c r="I908" s="55" t="s">
        <v>360</v>
      </c>
      <c r="J908" s="55" t="s">
        <v>360</v>
      </c>
      <c r="K908" s="55" t="s">
        <v>360</v>
      </c>
      <c r="L908" s="55" t="s">
        <v>360</v>
      </c>
      <c r="M908" s="55" t="s">
        <v>378</v>
      </c>
      <c r="N908" s="55" t="s">
        <v>170</v>
      </c>
      <c r="O908" s="55" t="s">
        <v>222</v>
      </c>
      <c r="P908" s="55" t="s">
        <v>521</v>
      </c>
      <c r="Q908" s="55" t="s">
        <v>350</v>
      </c>
      <c r="R908" s="55">
        <v>4</v>
      </c>
      <c r="S908" s="74"/>
      <c r="T908" s="55" t="s">
        <v>1621</v>
      </c>
      <c r="U908" s="73" t="s">
        <v>351</v>
      </c>
      <c r="V908" s="74">
        <v>44446</v>
      </c>
      <c r="W908" s="74">
        <v>44482</v>
      </c>
      <c r="X908" s="55">
        <v>10187038</v>
      </c>
      <c r="Y908" s="74" t="s">
        <v>132</v>
      </c>
      <c r="Z908" s="74"/>
      <c r="AB908" s="55" t="s">
        <v>132</v>
      </c>
      <c r="AC908" s="55" t="s">
        <v>132</v>
      </c>
    </row>
    <row r="909" spans="1:29" ht="13" x14ac:dyDescent="0.15">
      <c r="A909" s="72" t="str">
        <f t="shared" si="14"/>
        <v>Ofsted Social Care Provider Webpage</v>
      </c>
      <c r="B909" s="55">
        <v>2552579</v>
      </c>
      <c r="D909" s="55" t="s">
        <v>373</v>
      </c>
      <c r="E909" s="74">
        <v>43788</v>
      </c>
      <c r="F909" s="55" t="s">
        <v>344</v>
      </c>
      <c r="G909" s="55" t="s">
        <v>360</v>
      </c>
      <c r="H909" s="55" t="s">
        <v>360</v>
      </c>
      <c r="I909" s="55" t="s">
        <v>360</v>
      </c>
      <c r="J909" s="55" t="s">
        <v>360</v>
      </c>
      <c r="K909" s="55" t="s">
        <v>360</v>
      </c>
      <c r="L909" s="55" t="s">
        <v>360</v>
      </c>
      <c r="M909" s="55" t="s">
        <v>129</v>
      </c>
      <c r="N909" s="55" t="s">
        <v>129</v>
      </c>
      <c r="O909" s="55" t="s">
        <v>219</v>
      </c>
      <c r="P909" s="55" t="s">
        <v>740</v>
      </c>
      <c r="Q909" s="55" t="s">
        <v>350</v>
      </c>
      <c r="R909" s="55">
        <v>4</v>
      </c>
      <c r="S909" s="74"/>
      <c r="T909" s="55" t="s">
        <v>741</v>
      </c>
      <c r="U909" s="73" t="s">
        <v>351</v>
      </c>
      <c r="V909" s="74">
        <v>44384</v>
      </c>
      <c r="W909" s="74">
        <v>44424</v>
      </c>
      <c r="X909" s="55">
        <v>10186919</v>
      </c>
      <c r="Y909" s="74" t="s">
        <v>132</v>
      </c>
      <c r="Z909" s="74"/>
      <c r="AB909" s="55" t="s">
        <v>132</v>
      </c>
      <c r="AC909" s="55" t="s">
        <v>130</v>
      </c>
    </row>
    <row r="910" spans="1:29" ht="13" x14ac:dyDescent="0.15">
      <c r="A910" s="72" t="str">
        <f t="shared" si="14"/>
        <v>Ofsted Social Care Provider Webpage</v>
      </c>
      <c r="B910" s="55">
        <v>2552727</v>
      </c>
      <c r="D910" s="55" t="s">
        <v>373</v>
      </c>
      <c r="E910" s="74">
        <v>43801</v>
      </c>
      <c r="F910" s="55" t="s">
        <v>344</v>
      </c>
      <c r="G910" s="55" t="s">
        <v>360</v>
      </c>
      <c r="H910" s="55" t="s">
        <v>360</v>
      </c>
      <c r="I910" s="55" t="s">
        <v>360</v>
      </c>
      <c r="J910" s="55" t="s">
        <v>360</v>
      </c>
      <c r="K910" s="55" t="s">
        <v>360</v>
      </c>
      <c r="L910" s="55" t="s">
        <v>360</v>
      </c>
      <c r="M910" s="55" t="s">
        <v>138</v>
      </c>
      <c r="N910" s="55" t="s">
        <v>138</v>
      </c>
      <c r="O910" s="55" t="s">
        <v>266</v>
      </c>
      <c r="P910" s="55" t="s">
        <v>1622</v>
      </c>
      <c r="Q910" s="55" t="s">
        <v>350</v>
      </c>
      <c r="R910" s="55">
        <v>4</v>
      </c>
      <c r="S910" s="74"/>
      <c r="T910" s="55" t="s">
        <v>1623</v>
      </c>
      <c r="U910" s="73" t="s">
        <v>351</v>
      </c>
      <c r="V910" s="74">
        <v>44467</v>
      </c>
      <c r="W910" s="74">
        <v>44489</v>
      </c>
      <c r="X910" s="55">
        <v>10186561</v>
      </c>
      <c r="Y910" s="74" t="s">
        <v>132</v>
      </c>
      <c r="Z910" s="74"/>
      <c r="AB910" s="55" t="s">
        <v>132</v>
      </c>
      <c r="AC910" s="55" t="s">
        <v>140</v>
      </c>
    </row>
    <row r="911" spans="1:29" ht="13" x14ac:dyDescent="0.15">
      <c r="A911" s="72" t="str">
        <f t="shared" si="14"/>
        <v>Ofsted Social Care Provider Webpage</v>
      </c>
      <c r="B911" s="55">
        <v>2553111</v>
      </c>
      <c r="D911" s="55" t="s">
        <v>373</v>
      </c>
      <c r="E911" s="74">
        <v>43937</v>
      </c>
      <c r="F911" s="55" t="s">
        <v>344</v>
      </c>
      <c r="G911" s="55" t="s">
        <v>360</v>
      </c>
      <c r="H911" s="55" t="s">
        <v>360</v>
      </c>
      <c r="I911" s="55" t="s">
        <v>360</v>
      </c>
      <c r="J911" s="55" t="s">
        <v>360</v>
      </c>
      <c r="K911" s="55" t="s">
        <v>360</v>
      </c>
      <c r="L911" s="55" t="s">
        <v>360</v>
      </c>
      <c r="M911" s="55" t="s">
        <v>142</v>
      </c>
      <c r="N911" s="55" t="s">
        <v>142</v>
      </c>
      <c r="O911" s="55" t="s">
        <v>293</v>
      </c>
      <c r="P911" s="55" t="s">
        <v>984</v>
      </c>
      <c r="Q911" s="55" t="s">
        <v>350</v>
      </c>
      <c r="R911" s="55">
        <v>10</v>
      </c>
      <c r="S911" s="74"/>
      <c r="T911" s="55" t="s">
        <v>1624</v>
      </c>
      <c r="U911" s="73" t="s">
        <v>351</v>
      </c>
      <c r="V911" s="74">
        <v>44343</v>
      </c>
      <c r="W911" s="74">
        <v>44368</v>
      </c>
      <c r="X911" s="55">
        <v>10186194</v>
      </c>
      <c r="Y911" s="74" t="s">
        <v>132</v>
      </c>
      <c r="Z911" s="74"/>
      <c r="AB911" s="55" t="s">
        <v>132</v>
      </c>
      <c r="AC911" s="55" t="s">
        <v>132</v>
      </c>
    </row>
    <row r="912" spans="1:29" ht="13" x14ac:dyDescent="0.15">
      <c r="A912" s="72" t="str">
        <f t="shared" si="14"/>
        <v>Ofsted Social Care Provider Webpage</v>
      </c>
      <c r="B912" s="55">
        <v>2553271</v>
      </c>
      <c r="D912" s="55" t="s">
        <v>389</v>
      </c>
      <c r="E912" s="74">
        <v>43847</v>
      </c>
      <c r="F912" s="55" t="s">
        <v>344</v>
      </c>
      <c r="G912" s="55" t="s">
        <v>1625</v>
      </c>
      <c r="H912" s="55" t="s">
        <v>1626</v>
      </c>
      <c r="I912" s="55" t="s">
        <v>1627</v>
      </c>
      <c r="J912" s="55" t="s">
        <v>1628</v>
      </c>
      <c r="K912" s="55" t="s">
        <v>235</v>
      </c>
      <c r="L912" s="55" t="s">
        <v>1629</v>
      </c>
      <c r="M912" s="55" t="s">
        <v>172</v>
      </c>
      <c r="N912" s="55" t="s">
        <v>172</v>
      </c>
      <c r="O912" s="55" t="s">
        <v>235</v>
      </c>
      <c r="P912" s="55" t="s">
        <v>855</v>
      </c>
      <c r="Q912" s="55" t="s">
        <v>350</v>
      </c>
      <c r="R912" s="55"/>
      <c r="S912" s="74"/>
      <c r="T912" s="55" t="s">
        <v>1630</v>
      </c>
      <c r="U912" s="73" t="s">
        <v>351</v>
      </c>
      <c r="V912" s="74">
        <v>44424</v>
      </c>
      <c r="W912" s="74">
        <v>44470</v>
      </c>
      <c r="X912" s="55">
        <v>10183179</v>
      </c>
      <c r="Y912" s="74" t="s">
        <v>132</v>
      </c>
      <c r="Z912" s="74"/>
      <c r="AB912" s="55" t="s">
        <v>132</v>
      </c>
      <c r="AC912" s="55" t="s">
        <v>140</v>
      </c>
    </row>
    <row r="913" spans="1:29" ht="13" x14ac:dyDescent="0.15">
      <c r="A913" s="72" t="str">
        <f t="shared" si="14"/>
        <v>Ofsted Social Care Provider Webpage</v>
      </c>
      <c r="B913" s="55">
        <v>2553274</v>
      </c>
      <c r="D913" s="55" t="s">
        <v>373</v>
      </c>
      <c r="E913" s="74">
        <v>43880</v>
      </c>
      <c r="F913" s="55" t="s">
        <v>344</v>
      </c>
      <c r="G913" s="55" t="s">
        <v>360</v>
      </c>
      <c r="H913" s="55" t="s">
        <v>360</v>
      </c>
      <c r="I913" s="55" t="s">
        <v>360</v>
      </c>
      <c r="J913" s="55" t="s">
        <v>360</v>
      </c>
      <c r="K913" s="55" t="s">
        <v>360</v>
      </c>
      <c r="L913" s="55" t="s">
        <v>360</v>
      </c>
      <c r="M913" s="55" t="s">
        <v>144</v>
      </c>
      <c r="N913" s="55" t="s">
        <v>144</v>
      </c>
      <c r="O913" s="55" t="s">
        <v>162</v>
      </c>
      <c r="P913" s="55" t="s">
        <v>1502</v>
      </c>
      <c r="Q913" s="55" t="s">
        <v>350</v>
      </c>
      <c r="R913" s="55">
        <v>6</v>
      </c>
      <c r="S913" s="74"/>
      <c r="T913" s="55" t="s">
        <v>1503</v>
      </c>
      <c r="U913" s="73" t="s">
        <v>351</v>
      </c>
      <c r="V913" s="74">
        <v>44446</v>
      </c>
      <c r="W913" s="74">
        <v>44476</v>
      </c>
      <c r="X913" s="55">
        <v>10185781</v>
      </c>
      <c r="Y913" s="74" t="s">
        <v>132</v>
      </c>
      <c r="Z913" s="74"/>
      <c r="AB913" s="55" t="s">
        <v>130</v>
      </c>
      <c r="AC913" s="55" t="s">
        <v>130</v>
      </c>
    </row>
    <row r="914" spans="1:29" ht="13" x14ac:dyDescent="0.15">
      <c r="A914" s="72" t="str">
        <f t="shared" si="14"/>
        <v>Ofsted Social Care Provider Webpage</v>
      </c>
      <c r="B914" s="55">
        <v>2553536</v>
      </c>
      <c r="D914" s="55" t="s">
        <v>373</v>
      </c>
      <c r="E914" s="74">
        <v>43791</v>
      </c>
      <c r="F914" s="55" t="s">
        <v>344</v>
      </c>
      <c r="G914" s="55" t="s">
        <v>360</v>
      </c>
      <c r="H914" s="55" t="s">
        <v>360</v>
      </c>
      <c r="I914" s="55" t="s">
        <v>360</v>
      </c>
      <c r="J914" s="55" t="s">
        <v>360</v>
      </c>
      <c r="K914" s="55" t="s">
        <v>360</v>
      </c>
      <c r="L914" s="55" t="s">
        <v>360</v>
      </c>
      <c r="M914" s="55" t="s">
        <v>144</v>
      </c>
      <c r="N914" s="55" t="s">
        <v>144</v>
      </c>
      <c r="O914" s="55" t="s">
        <v>287</v>
      </c>
      <c r="P914" s="55" t="s">
        <v>815</v>
      </c>
      <c r="Q914" s="55" t="s">
        <v>350</v>
      </c>
      <c r="R914" s="55">
        <v>4</v>
      </c>
      <c r="S914" s="74"/>
      <c r="T914" s="55" t="s">
        <v>1100</v>
      </c>
      <c r="U914" s="73" t="s">
        <v>351</v>
      </c>
      <c r="V914" s="74">
        <v>44600</v>
      </c>
      <c r="W914" s="74">
        <v>44649</v>
      </c>
      <c r="X914" s="55">
        <v>10187098</v>
      </c>
      <c r="Y914" s="74" t="s">
        <v>146</v>
      </c>
      <c r="Z914" s="74"/>
      <c r="AB914" s="55" t="s">
        <v>146</v>
      </c>
      <c r="AC914" s="55" t="s">
        <v>146</v>
      </c>
    </row>
    <row r="915" spans="1:29" ht="13" x14ac:dyDescent="0.15">
      <c r="A915" s="72" t="str">
        <f t="shared" si="14"/>
        <v>Ofsted Social Care Provider Webpage</v>
      </c>
      <c r="B915" s="55">
        <v>2553543</v>
      </c>
      <c r="D915" s="55" t="s">
        <v>373</v>
      </c>
      <c r="E915" s="74">
        <v>43942</v>
      </c>
      <c r="F915" s="55" t="s">
        <v>344</v>
      </c>
      <c r="G915" s="55" t="s">
        <v>360</v>
      </c>
      <c r="H915" s="55" t="s">
        <v>360</v>
      </c>
      <c r="I915" s="55" t="s">
        <v>360</v>
      </c>
      <c r="J915" s="55" t="s">
        <v>360</v>
      </c>
      <c r="K915" s="55" t="s">
        <v>360</v>
      </c>
      <c r="L915" s="55" t="s">
        <v>360</v>
      </c>
      <c r="M915" s="55" t="s">
        <v>144</v>
      </c>
      <c r="N915" s="55" t="s">
        <v>144</v>
      </c>
      <c r="O915" s="55" t="s">
        <v>287</v>
      </c>
      <c r="P915" s="55" t="s">
        <v>1103</v>
      </c>
      <c r="Q915" s="55" t="s">
        <v>350</v>
      </c>
      <c r="R915" s="55">
        <v>3</v>
      </c>
      <c r="S915" s="74"/>
      <c r="T915" s="55" t="s">
        <v>1107</v>
      </c>
      <c r="U915" s="73" t="s">
        <v>351</v>
      </c>
      <c r="V915" s="74">
        <v>44600</v>
      </c>
      <c r="W915" s="74">
        <v>44649</v>
      </c>
      <c r="X915" s="55">
        <v>10185333</v>
      </c>
      <c r="Y915" s="74" t="s">
        <v>132</v>
      </c>
      <c r="Z915" s="74"/>
      <c r="AB915" s="55" t="s">
        <v>130</v>
      </c>
      <c r="AC915" s="55" t="s">
        <v>130</v>
      </c>
    </row>
    <row r="916" spans="1:29" ht="13" x14ac:dyDescent="0.15">
      <c r="A916" s="72" t="str">
        <f t="shared" si="14"/>
        <v>Ofsted Social Care Provider Webpage</v>
      </c>
      <c r="B916" s="55">
        <v>2553861</v>
      </c>
      <c r="D916" s="55" t="s">
        <v>373</v>
      </c>
      <c r="E916" s="74">
        <v>43796</v>
      </c>
      <c r="F916" s="55" t="s">
        <v>344</v>
      </c>
      <c r="G916" s="55" t="s">
        <v>360</v>
      </c>
      <c r="H916" s="55" t="s">
        <v>360</v>
      </c>
      <c r="I916" s="55" t="s">
        <v>360</v>
      </c>
      <c r="J916" s="55" t="s">
        <v>360</v>
      </c>
      <c r="K916" s="55" t="s">
        <v>360</v>
      </c>
      <c r="L916" s="55" t="s">
        <v>360</v>
      </c>
      <c r="M916" s="55" t="s">
        <v>172</v>
      </c>
      <c r="N916" s="55" t="s">
        <v>172</v>
      </c>
      <c r="O916" s="55" t="s">
        <v>228</v>
      </c>
      <c r="P916" s="55" t="s">
        <v>459</v>
      </c>
      <c r="Q916" s="55" t="s">
        <v>350</v>
      </c>
      <c r="R916" s="55">
        <v>3</v>
      </c>
      <c r="S916" s="74"/>
      <c r="T916" s="55" t="s">
        <v>517</v>
      </c>
      <c r="U916" s="73" t="s">
        <v>351</v>
      </c>
      <c r="V916" s="74">
        <v>44327</v>
      </c>
      <c r="W916" s="74">
        <v>44363</v>
      </c>
      <c r="X916" s="55">
        <v>10185676</v>
      </c>
      <c r="Y916" s="74" t="s">
        <v>132</v>
      </c>
      <c r="Z916" s="74"/>
      <c r="AB916" s="55" t="s">
        <v>132</v>
      </c>
      <c r="AC916" s="55" t="s">
        <v>140</v>
      </c>
    </row>
    <row r="917" spans="1:29" ht="13" x14ac:dyDescent="0.15">
      <c r="A917" s="72" t="str">
        <f t="shared" si="14"/>
        <v>Ofsted Social Care Provider Webpage</v>
      </c>
      <c r="B917" s="55">
        <v>2554036</v>
      </c>
      <c r="D917" s="55" t="s">
        <v>373</v>
      </c>
      <c r="E917" s="74">
        <v>43991</v>
      </c>
      <c r="F917" s="55" t="s">
        <v>344</v>
      </c>
      <c r="G917" s="55" t="s">
        <v>360</v>
      </c>
      <c r="H917" s="55" t="s">
        <v>360</v>
      </c>
      <c r="I917" s="55" t="s">
        <v>360</v>
      </c>
      <c r="J917" s="55" t="s">
        <v>360</v>
      </c>
      <c r="K917" s="55" t="s">
        <v>360</v>
      </c>
      <c r="L917" s="55" t="s">
        <v>360</v>
      </c>
      <c r="M917" s="55" t="s">
        <v>144</v>
      </c>
      <c r="N917" s="55" t="s">
        <v>144</v>
      </c>
      <c r="O917" s="55" t="s">
        <v>290</v>
      </c>
      <c r="P917" s="55" t="s">
        <v>1099</v>
      </c>
      <c r="Q917" s="55" t="s">
        <v>350</v>
      </c>
      <c r="R917" s="55">
        <v>2</v>
      </c>
      <c r="S917" s="74"/>
      <c r="T917" s="55" t="s">
        <v>1631</v>
      </c>
      <c r="U917" s="73" t="s">
        <v>351</v>
      </c>
      <c r="V917" s="74">
        <v>44539</v>
      </c>
      <c r="W917" s="74">
        <v>44587</v>
      </c>
      <c r="X917" s="55">
        <v>10185322</v>
      </c>
      <c r="Y917" s="74" t="s">
        <v>132</v>
      </c>
      <c r="Z917" s="74"/>
      <c r="AB917" s="55" t="s">
        <v>132</v>
      </c>
      <c r="AC917" s="55" t="s">
        <v>132</v>
      </c>
    </row>
    <row r="918" spans="1:29" ht="13" x14ac:dyDescent="0.15">
      <c r="A918" s="72" t="str">
        <f t="shared" si="14"/>
        <v>Ofsted Social Care Provider Webpage</v>
      </c>
      <c r="B918" s="55">
        <v>2554918</v>
      </c>
      <c r="D918" s="55" t="s">
        <v>373</v>
      </c>
      <c r="E918" s="74">
        <v>43788</v>
      </c>
      <c r="F918" s="55" t="s">
        <v>344</v>
      </c>
      <c r="G918" s="55" t="s">
        <v>360</v>
      </c>
      <c r="H918" s="55" t="s">
        <v>360</v>
      </c>
      <c r="I918" s="55" t="s">
        <v>360</v>
      </c>
      <c r="J918" s="55" t="s">
        <v>360</v>
      </c>
      <c r="K918" s="55" t="s">
        <v>360</v>
      </c>
      <c r="L918" s="55" t="s">
        <v>360</v>
      </c>
      <c r="M918" s="55" t="s">
        <v>144</v>
      </c>
      <c r="N918" s="55" t="s">
        <v>144</v>
      </c>
      <c r="O918" s="55" t="s">
        <v>162</v>
      </c>
      <c r="P918" s="55" t="s">
        <v>1502</v>
      </c>
      <c r="Q918" s="55" t="s">
        <v>350</v>
      </c>
      <c r="R918" s="55">
        <v>3</v>
      </c>
      <c r="S918" s="74"/>
      <c r="T918" s="55" t="s">
        <v>489</v>
      </c>
      <c r="U918" s="73" t="s">
        <v>351</v>
      </c>
      <c r="V918" s="74">
        <v>44572</v>
      </c>
      <c r="W918" s="74">
        <v>44610</v>
      </c>
      <c r="X918" s="55">
        <v>10186321</v>
      </c>
      <c r="Y918" s="74" t="s">
        <v>130</v>
      </c>
      <c r="Z918" s="74"/>
      <c r="AB918" s="55" t="s">
        <v>130</v>
      </c>
      <c r="AC918" s="55" t="s">
        <v>130</v>
      </c>
    </row>
    <row r="919" spans="1:29" ht="13" x14ac:dyDescent="0.15">
      <c r="A919" s="72" t="str">
        <f t="shared" si="14"/>
        <v>Ofsted Social Care Provider Webpage</v>
      </c>
      <c r="B919" s="55">
        <v>2555505</v>
      </c>
      <c r="D919" s="55" t="s">
        <v>373</v>
      </c>
      <c r="E919" s="74">
        <v>43922</v>
      </c>
      <c r="F919" s="55" t="s">
        <v>344</v>
      </c>
      <c r="G919" s="55" t="s">
        <v>360</v>
      </c>
      <c r="H919" s="55" t="s">
        <v>360</v>
      </c>
      <c r="I919" s="55" t="s">
        <v>360</v>
      </c>
      <c r="J919" s="55" t="s">
        <v>360</v>
      </c>
      <c r="K919" s="55" t="s">
        <v>360</v>
      </c>
      <c r="L919" s="55" t="s">
        <v>360</v>
      </c>
      <c r="M919" s="55" t="s">
        <v>172</v>
      </c>
      <c r="N919" s="55" t="s">
        <v>172</v>
      </c>
      <c r="O919" s="55" t="s">
        <v>214</v>
      </c>
      <c r="P919" s="55" t="s">
        <v>1632</v>
      </c>
      <c r="Q919" s="55" t="s">
        <v>350</v>
      </c>
      <c r="R919" s="55">
        <v>4</v>
      </c>
      <c r="S919" s="74"/>
      <c r="T919" s="55" t="s">
        <v>1633</v>
      </c>
      <c r="U919" s="73" t="s">
        <v>351</v>
      </c>
      <c r="V919" s="74">
        <v>44454</v>
      </c>
      <c r="W919" s="74">
        <v>44483</v>
      </c>
      <c r="X919" s="55">
        <v>10185529</v>
      </c>
      <c r="Y919" s="74" t="s">
        <v>132</v>
      </c>
      <c r="Z919" s="74"/>
      <c r="AB919" s="55" t="s">
        <v>132</v>
      </c>
      <c r="AC919" s="55" t="s">
        <v>132</v>
      </c>
    </row>
    <row r="920" spans="1:29" ht="13" x14ac:dyDescent="0.15">
      <c r="A920" s="72" t="str">
        <f t="shared" si="14"/>
        <v>Ofsted Social Care Provider Webpage</v>
      </c>
      <c r="B920" s="55">
        <v>2555815</v>
      </c>
      <c r="D920" s="55" t="s">
        <v>451</v>
      </c>
      <c r="E920" s="74">
        <v>43805</v>
      </c>
      <c r="F920" s="55" t="s">
        <v>344</v>
      </c>
      <c r="G920" s="55" t="s">
        <v>1129</v>
      </c>
      <c r="H920" s="55" t="s">
        <v>1634</v>
      </c>
      <c r="I920" s="55" t="s">
        <v>354</v>
      </c>
      <c r="J920" s="55" t="s">
        <v>129</v>
      </c>
      <c r="K920" s="55" t="s">
        <v>183</v>
      </c>
      <c r="L920" s="55" t="s">
        <v>1635</v>
      </c>
      <c r="M920" s="55" t="s">
        <v>129</v>
      </c>
      <c r="N920" s="55" t="s">
        <v>129</v>
      </c>
      <c r="O920" s="55" t="s">
        <v>279</v>
      </c>
      <c r="P920" s="55" t="s">
        <v>1128</v>
      </c>
      <c r="Q920" s="55" t="s">
        <v>350</v>
      </c>
      <c r="R920" s="55">
        <v>6</v>
      </c>
      <c r="S920" s="74"/>
      <c r="T920" s="55" t="s">
        <v>1129</v>
      </c>
      <c r="U920" s="73" t="s">
        <v>351</v>
      </c>
      <c r="V920" s="74">
        <v>44636</v>
      </c>
      <c r="W920" s="74">
        <v>44680</v>
      </c>
      <c r="X920" s="55">
        <v>10222335</v>
      </c>
      <c r="Y920" s="74" t="s">
        <v>132</v>
      </c>
      <c r="Z920" s="74"/>
      <c r="AB920" s="55" t="s">
        <v>132</v>
      </c>
      <c r="AC920" s="55" t="s">
        <v>132</v>
      </c>
    </row>
    <row r="921" spans="1:29" ht="13" x14ac:dyDescent="0.15">
      <c r="A921" s="72" t="str">
        <f t="shared" si="14"/>
        <v>Ofsted Social Care Provider Webpage</v>
      </c>
      <c r="B921" s="55">
        <v>2556128</v>
      </c>
      <c r="D921" s="55" t="s">
        <v>373</v>
      </c>
      <c r="E921" s="74">
        <v>43805</v>
      </c>
      <c r="F921" s="55" t="s">
        <v>344</v>
      </c>
      <c r="G921" s="55" t="s">
        <v>360</v>
      </c>
      <c r="H921" s="55" t="s">
        <v>360</v>
      </c>
      <c r="I921" s="55" t="s">
        <v>360</v>
      </c>
      <c r="J921" s="55" t="s">
        <v>360</v>
      </c>
      <c r="K921" s="55" t="s">
        <v>360</v>
      </c>
      <c r="L921" s="55" t="s">
        <v>360</v>
      </c>
      <c r="M921" s="55" t="s">
        <v>142</v>
      </c>
      <c r="N921" s="55" t="s">
        <v>142</v>
      </c>
      <c r="O921" s="55" t="s">
        <v>141</v>
      </c>
      <c r="P921" s="55" t="s">
        <v>612</v>
      </c>
      <c r="Q921" s="55" t="s">
        <v>350</v>
      </c>
      <c r="R921" s="55">
        <v>4</v>
      </c>
      <c r="S921" s="74"/>
      <c r="T921" s="55" t="s">
        <v>1636</v>
      </c>
      <c r="U921" s="73" t="s">
        <v>351</v>
      </c>
      <c r="V921" s="74">
        <v>44342</v>
      </c>
      <c r="W921" s="74">
        <v>44378</v>
      </c>
      <c r="X921" s="55">
        <v>10185854</v>
      </c>
      <c r="Y921" s="74" t="s">
        <v>132</v>
      </c>
      <c r="Z921" s="74"/>
      <c r="AB921" s="55" t="s">
        <v>132</v>
      </c>
      <c r="AC921" s="55" t="s">
        <v>132</v>
      </c>
    </row>
    <row r="922" spans="1:29" ht="13" x14ac:dyDescent="0.15">
      <c r="A922" s="72" t="str">
        <f t="shared" si="14"/>
        <v>Ofsted Social Care Provider Webpage</v>
      </c>
      <c r="B922" s="55">
        <v>2556338</v>
      </c>
      <c r="D922" s="55" t="s">
        <v>373</v>
      </c>
      <c r="E922" s="74">
        <v>43790</v>
      </c>
      <c r="F922" s="55" t="s">
        <v>344</v>
      </c>
      <c r="G922" s="55" t="s">
        <v>360</v>
      </c>
      <c r="H922" s="55" t="s">
        <v>360</v>
      </c>
      <c r="I922" s="55" t="s">
        <v>360</v>
      </c>
      <c r="J922" s="55" t="s">
        <v>360</v>
      </c>
      <c r="K922" s="55" t="s">
        <v>360</v>
      </c>
      <c r="L922" s="55" t="s">
        <v>360</v>
      </c>
      <c r="M922" s="55" t="s">
        <v>172</v>
      </c>
      <c r="N922" s="55" t="s">
        <v>172</v>
      </c>
      <c r="O922" s="55" t="s">
        <v>284</v>
      </c>
      <c r="P922" s="55" t="s">
        <v>986</v>
      </c>
      <c r="Q922" s="55" t="s">
        <v>350</v>
      </c>
      <c r="R922" s="55">
        <v>2</v>
      </c>
      <c r="S922" s="74"/>
      <c r="T922" s="55" t="s">
        <v>1637</v>
      </c>
      <c r="U922" s="73" t="s">
        <v>351</v>
      </c>
      <c r="V922" s="74">
        <v>44334</v>
      </c>
      <c r="W922" s="74">
        <v>44368</v>
      </c>
      <c r="X922" s="55">
        <v>10186898</v>
      </c>
      <c r="Y922" s="74" t="s">
        <v>132</v>
      </c>
      <c r="Z922" s="74"/>
      <c r="AB922" s="55" t="s">
        <v>132</v>
      </c>
      <c r="AC922" s="55" t="s">
        <v>132</v>
      </c>
    </row>
    <row r="923" spans="1:29" ht="13" x14ac:dyDescent="0.15">
      <c r="A923" s="72" t="str">
        <f t="shared" si="14"/>
        <v>Ofsted Social Care Provider Webpage</v>
      </c>
      <c r="B923" s="55">
        <v>2556340</v>
      </c>
      <c r="D923" s="55" t="s">
        <v>373</v>
      </c>
      <c r="E923" s="74">
        <v>43752</v>
      </c>
      <c r="F923" s="55" t="s">
        <v>344</v>
      </c>
      <c r="G923" s="55" t="s">
        <v>360</v>
      </c>
      <c r="H923" s="55" t="s">
        <v>360</v>
      </c>
      <c r="I923" s="55" t="s">
        <v>360</v>
      </c>
      <c r="J923" s="55" t="s">
        <v>360</v>
      </c>
      <c r="K923" s="55" t="s">
        <v>360</v>
      </c>
      <c r="L923" s="55" t="s">
        <v>360</v>
      </c>
      <c r="M923" s="55" t="s">
        <v>172</v>
      </c>
      <c r="N923" s="55" t="s">
        <v>172</v>
      </c>
      <c r="O923" s="55" t="s">
        <v>235</v>
      </c>
      <c r="P923" s="55" t="s">
        <v>855</v>
      </c>
      <c r="Q923" s="55" t="s">
        <v>350</v>
      </c>
      <c r="R923" s="55">
        <v>2</v>
      </c>
      <c r="S923" s="74"/>
      <c r="T923" s="55" t="s">
        <v>962</v>
      </c>
      <c r="U923" s="73" t="s">
        <v>351</v>
      </c>
      <c r="V923" s="74">
        <v>44334</v>
      </c>
      <c r="W923" s="74">
        <v>44363</v>
      </c>
      <c r="X923" s="55">
        <v>10186050</v>
      </c>
      <c r="Y923" s="74" t="s">
        <v>132</v>
      </c>
      <c r="Z923" s="74"/>
      <c r="AB923" s="55" t="s">
        <v>132</v>
      </c>
      <c r="AC923" s="55" t="s">
        <v>132</v>
      </c>
    </row>
    <row r="924" spans="1:29" ht="13" x14ac:dyDescent="0.15">
      <c r="A924" s="72" t="str">
        <f t="shared" si="14"/>
        <v>Ofsted Social Care Provider Webpage</v>
      </c>
      <c r="B924" s="55">
        <v>2556596</v>
      </c>
      <c r="D924" s="55" t="s">
        <v>373</v>
      </c>
      <c r="E924" s="74">
        <v>43795</v>
      </c>
      <c r="F924" s="55" t="s">
        <v>344</v>
      </c>
      <c r="G924" s="55" t="s">
        <v>360</v>
      </c>
      <c r="H924" s="55" t="s">
        <v>360</v>
      </c>
      <c r="I924" s="55" t="s">
        <v>360</v>
      </c>
      <c r="J924" s="55" t="s">
        <v>360</v>
      </c>
      <c r="K924" s="55" t="s">
        <v>360</v>
      </c>
      <c r="L924" s="55" t="s">
        <v>360</v>
      </c>
      <c r="M924" s="55" t="s">
        <v>144</v>
      </c>
      <c r="N924" s="55" t="s">
        <v>144</v>
      </c>
      <c r="O924" s="55" t="s">
        <v>281</v>
      </c>
      <c r="P924" s="55" t="s">
        <v>725</v>
      </c>
      <c r="Q924" s="55" t="s">
        <v>350</v>
      </c>
      <c r="R924" s="55">
        <v>2</v>
      </c>
      <c r="S924" s="74"/>
      <c r="T924" s="55" t="s">
        <v>385</v>
      </c>
      <c r="U924" s="73" t="s">
        <v>351</v>
      </c>
      <c r="V924" s="74">
        <v>44327</v>
      </c>
      <c r="W924" s="74">
        <v>44372</v>
      </c>
      <c r="X924" s="55">
        <v>10186428</v>
      </c>
      <c r="Y924" s="74" t="s">
        <v>146</v>
      </c>
      <c r="Z924" s="74"/>
      <c r="AB924" s="55" t="s">
        <v>146</v>
      </c>
      <c r="AC924" s="55" t="s">
        <v>146</v>
      </c>
    </row>
    <row r="925" spans="1:29" ht="13" x14ac:dyDescent="0.15">
      <c r="A925" s="72" t="str">
        <f t="shared" si="14"/>
        <v>Ofsted Social Care Provider Webpage</v>
      </c>
      <c r="B925" s="55">
        <v>2557064</v>
      </c>
      <c r="D925" s="55" t="s">
        <v>373</v>
      </c>
      <c r="E925" s="74">
        <v>44060</v>
      </c>
      <c r="F925" s="55" t="s">
        <v>344</v>
      </c>
      <c r="G925" s="55" t="s">
        <v>360</v>
      </c>
      <c r="H925" s="55" t="s">
        <v>360</v>
      </c>
      <c r="I925" s="55" t="s">
        <v>360</v>
      </c>
      <c r="J925" s="55" t="s">
        <v>360</v>
      </c>
      <c r="K925" s="55" t="s">
        <v>360</v>
      </c>
      <c r="L925" s="55" t="s">
        <v>360</v>
      </c>
      <c r="M925" s="55" t="s">
        <v>144</v>
      </c>
      <c r="N925" s="55" t="s">
        <v>144</v>
      </c>
      <c r="O925" s="55" t="s">
        <v>145</v>
      </c>
      <c r="P925" s="55" t="s">
        <v>525</v>
      </c>
      <c r="Q925" s="55" t="s">
        <v>350</v>
      </c>
      <c r="R925" s="55">
        <v>2</v>
      </c>
      <c r="S925" s="74"/>
      <c r="T925" s="55" t="s">
        <v>1638</v>
      </c>
      <c r="U925" s="73" t="s">
        <v>351</v>
      </c>
      <c r="V925" s="74">
        <v>44363</v>
      </c>
      <c r="W925" s="74">
        <v>44475</v>
      </c>
      <c r="X925" s="55">
        <v>10185804</v>
      </c>
      <c r="Y925" s="74" t="s">
        <v>130</v>
      </c>
      <c r="Z925" s="74"/>
      <c r="AB925" s="55" t="s">
        <v>130</v>
      </c>
      <c r="AC925" s="55" t="s">
        <v>130</v>
      </c>
    </row>
    <row r="926" spans="1:29" ht="13" x14ac:dyDescent="0.15">
      <c r="A926" s="72" t="str">
        <f t="shared" si="14"/>
        <v>Ofsted Social Care Provider Webpage</v>
      </c>
      <c r="B926" s="55">
        <v>2557141</v>
      </c>
      <c r="D926" s="55" t="s">
        <v>373</v>
      </c>
      <c r="E926" s="74">
        <v>44025</v>
      </c>
      <c r="F926" s="55" t="s">
        <v>344</v>
      </c>
      <c r="G926" s="55" t="s">
        <v>360</v>
      </c>
      <c r="H926" s="55" t="s">
        <v>360</v>
      </c>
      <c r="I926" s="55" t="s">
        <v>360</v>
      </c>
      <c r="J926" s="55" t="s">
        <v>360</v>
      </c>
      <c r="K926" s="55" t="s">
        <v>360</v>
      </c>
      <c r="L926" s="55" t="s">
        <v>360</v>
      </c>
      <c r="M926" s="55" t="s">
        <v>129</v>
      </c>
      <c r="N926" s="55" t="s">
        <v>129</v>
      </c>
      <c r="O926" s="55" t="s">
        <v>139</v>
      </c>
      <c r="P926" s="55" t="s">
        <v>1639</v>
      </c>
      <c r="Q926" s="55" t="s">
        <v>350</v>
      </c>
      <c r="R926" s="55">
        <v>4</v>
      </c>
      <c r="S926" s="74"/>
      <c r="T926" s="55" t="s">
        <v>1640</v>
      </c>
      <c r="U926" s="73" t="s">
        <v>351</v>
      </c>
      <c r="V926" s="74">
        <v>44326</v>
      </c>
      <c r="W926" s="74">
        <v>44355</v>
      </c>
      <c r="X926" s="55">
        <v>10186089</v>
      </c>
      <c r="Y926" s="74" t="s">
        <v>132</v>
      </c>
      <c r="Z926" s="74"/>
      <c r="AB926" s="55" t="s">
        <v>132</v>
      </c>
      <c r="AC926" s="55" t="s">
        <v>132</v>
      </c>
    </row>
    <row r="927" spans="1:29" ht="13" x14ac:dyDescent="0.15">
      <c r="A927" s="72" t="str">
        <f t="shared" si="14"/>
        <v>Ofsted Social Care Provider Webpage</v>
      </c>
      <c r="B927" s="55">
        <v>2557152</v>
      </c>
      <c r="D927" s="55" t="s">
        <v>373</v>
      </c>
      <c r="E927" s="74">
        <v>43788</v>
      </c>
      <c r="F927" s="55" t="s">
        <v>344</v>
      </c>
      <c r="G927" s="55" t="s">
        <v>360</v>
      </c>
      <c r="H927" s="55" t="s">
        <v>360</v>
      </c>
      <c r="I927" s="55" t="s">
        <v>360</v>
      </c>
      <c r="J927" s="55" t="s">
        <v>360</v>
      </c>
      <c r="K927" s="55" t="s">
        <v>360</v>
      </c>
      <c r="L927" s="55" t="s">
        <v>360</v>
      </c>
      <c r="M927" s="55" t="s">
        <v>144</v>
      </c>
      <c r="N927" s="55" t="s">
        <v>144</v>
      </c>
      <c r="O927" s="55" t="s">
        <v>271</v>
      </c>
      <c r="P927" s="55" t="s">
        <v>1122</v>
      </c>
      <c r="Q927" s="55" t="s">
        <v>350</v>
      </c>
      <c r="R927" s="55">
        <v>3</v>
      </c>
      <c r="S927" s="74"/>
      <c r="T927" s="55" t="s">
        <v>1505</v>
      </c>
      <c r="U927" s="73" t="s">
        <v>351</v>
      </c>
      <c r="V927" s="74">
        <v>44327</v>
      </c>
      <c r="W927" s="74">
        <v>44357</v>
      </c>
      <c r="X927" s="55">
        <v>10186853</v>
      </c>
      <c r="Y927" s="74" t="s">
        <v>132</v>
      </c>
      <c r="Z927" s="74"/>
      <c r="AB927" s="55" t="s">
        <v>132</v>
      </c>
      <c r="AC927" s="55" t="s">
        <v>132</v>
      </c>
    </row>
    <row r="928" spans="1:29" ht="13" x14ac:dyDescent="0.15">
      <c r="A928" s="72" t="str">
        <f t="shared" si="14"/>
        <v>Ofsted Social Care Provider Webpage</v>
      </c>
      <c r="B928" s="55">
        <v>2557361</v>
      </c>
      <c r="D928" s="55" t="s">
        <v>373</v>
      </c>
      <c r="E928" s="74">
        <v>43739</v>
      </c>
      <c r="F928" s="55" t="s">
        <v>344</v>
      </c>
      <c r="G928" s="55" t="s">
        <v>360</v>
      </c>
      <c r="H928" s="55" t="s">
        <v>360</v>
      </c>
      <c r="I928" s="55" t="s">
        <v>360</v>
      </c>
      <c r="J928" s="55" t="s">
        <v>360</v>
      </c>
      <c r="K928" s="55" t="s">
        <v>360</v>
      </c>
      <c r="L928" s="55" t="s">
        <v>360</v>
      </c>
      <c r="M928" s="55" t="s">
        <v>142</v>
      </c>
      <c r="N928" s="55" t="s">
        <v>142</v>
      </c>
      <c r="O928" s="55" t="s">
        <v>293</v>
      </c>
      <c r="P928" s="55" t="s">
        <v>1641</v>
      </c>
      <c r="Q928" s="55" t="s">
        <v>362</v>
      </c>
      <c r="R928" s="55">
        <v>4</v>
      </c>
      <c r="S928" s="74" t="s">
        <v>332</v>
      </c>
      <c r="T928" s="55" t="s">
        <v>1605</v>
      </c>
      <c r="U928" s="73" t="s">
        <v>351</v>
      </c>
      <c r="V928" s="74">
        <v>44544</v>
      </c>
      <c r="W928" s="74">
        <v>44607</v>
      </c>
      <c r="X928" s="55">
        <v>10185351</v>
      </c>
      <c r="Y928" s="74" t="s">
        <v>132</v>
      </c>
      <c r="Z928" s="74"/>
      <c r="AB928" s="55" t="s">
        <v>132</v>
      </c>
      <c r="AC928" s="55" t="s">
        <v>132</v>
      </c>
    </row>
    <row r="929" spans="1:29" ht="13" x14ac:dyDescent="0.15">
      <c r="A929" s="72" t="str">
        <f t="shared" si="14"/>
        <v>Ofsted Social Care Provider Webpage</v>
      </c>
      <c r="B929" s="55">
        <v>2557603</v>
      </c>
      <c r="D929" s="55" t="s">
        <v>373</v>
      </c>
      <c r="E929" s="74">
        <v>43765</v>
      </c>
      <c r="F929" s="55" t="s">
        <v>344</v>
      </c>
      <c r="G929" s="55" t="s">
        <v>360</v>
      </c>
      <c r="H929" s="55" t="s">
        <v>360</v>
      </c>
      <c r="I929" s="55" t="s">
        <v>360</v>
      </c>
      <c r="J929" s="55" t="s">
        <v>360</v>
      </c>
      <c r="K929" s="55" t="s">
        <v>360</v>
      </c>
      <c r="L929" s="55" t="s">
        <v>360</v>
      </c>
      <c r="M929" s="55" t="s">
        <v>172</v>
      </c>
      <c r="N929" s="55" t="s">
        <v>172</v>
      </c>
      <c r="O929" s="55" t="s">
        <v>212</v>
      </c>
      <c r="P929" s="55" t="s">
        <v>514</v>
      </c>
      <c r="Q929" s="55" t="s">
        <v>350</v>
      </c>
      <c r="R929" s="55">
        <v>4</v>
      </c>
      <c r="S929" s="74"/>
      <c r="T929" s="55" t="s">
        <v>1424</v>
      </c>
      <c r="U929" s="73" t="s">
        <v>351</v>
      </c>
      <c r="V929" s="74">
        <v>44306</v>
      </c>
      <c r="W929" s="74">
        <v>44344</v>
      </c>
      <c r="X929" s="55">
        <v>10186437</v>
      </c>
      <c r="Y929" s="74" t="s">
        <v>132</v>
      </c>
      <c r="Z929" s="74"/>
      <c r="AB929" s="55" t="s">
        <v>132</v>
      </c>
      <c r="AC929" s="55" t="s">
        <v>132</v>
      </c>
    </row>
    <row r="930" spans="1:29" ht="13" x14ac:dyDescent="0.15">
      <c r="A930" s="72" t="str">
        <f t="shared" si="14"/>
        <v>Ofsted Social Care Provider Webpage</v>
      </c>
      <c r="B930" s="55">
        <v>2557914</v>
      </c>
      <c r="D930" s="55" t="s">
        <v>373</v>
      </c>
      <c r="E930" s="74">
        <v>43875</v>
      </c>
      <c r="F930" s="55" t="s">
        <v>344</v>
      </c>
      <c r="G930" s="55" t="s">
        <v>360</v>
      </c>
      <c r="H930" s="55" t="s">
        <v>360</v>
      </c>
      <c r="I930" s="55" t="s">
        <v>360</v>
      </c>
      <c r="J930" s="55" t="s">
        <v>360</v>
      </c>
      <c r="K930" s="55" t="s">
        <v>360</v>
      </c>
      <c r="L930" s="55" t="s">
        <v>360</v>
      </c>
      <c r="M930" s="55" t="s">
        <v>142</v>
      </c>
      <c r="N930" s="55" t="s">
        <v>142</v>
      </c>
      <c r="O930" s="55" t="s">
        <v>141</v>
      </c>
      <c r="P930" s="55" t="s">
        <v>573</v>
      </c>
      <c r="Q930" s="55" t="s">
        <v>350</v>
      </c>
      <c r="R930" s="55">
        <v>3</v>
      </c>
      <c r="S930" s="74"/>
      <c r="T930" s="55" t="s">
        <v>727</v>
      </c>
      <c r="U930" s="73" t="s">
        <v>351</v>
      </c>
      <c r="V930" s="74">
        <v>44321</v>
      </c>
      <c r="W930" s="74">
        <v>44355</v>
      </c>
      <c r="X930" s="55">
        <v>10187103</v>
      </c>
      <c r="Y930" s="74" t="s">
        <v>132</v>
      </c>
      <c r="Z930" s="74"/>
      <c r="AB930" s="55" t="s">
        <v>132</v>
      </c>
      <c r="AC930" s="55" t="s">
        <v>132</v>
      </c>
    </row>
    <row r="931" spans="1:29" ht="13" x14ac:dyDescent="0.15">
      <c r="A931" s="72" t="str">
        <f t="shared" si="14"/>
        <v>Ofsted Social Care Provider Webpage</v>
      </c>
      <c r="B931" s="55">
        <v>2557920</v>
      </c>
      <c r="D931" s="55" t="s">
        <v>373</v>
      </c>
      <c r="E931" s="74">
        <v>43781</v>
      </c>
      <c r="F931" s="55" t="s">
        <v>344</v>
      </c>
      <c r="G931" s="55" t="s">
        <v>360</v>
      </c>
      <c r="H931" s="55" t="s">
        <v>360</v>
      </c>
      <c r="I931" s="55" t="s">
        <v>360</v>
      </c>
      <c r="J931" s="55" t="s">
        <v>360</v>
      </c>
      <c r="K931" s="55" t="s">
        <v>360</v>
      </c>
      <c r="L931" s="55" t="s">
        <v>360</v>
      </c>
      <c r="M931" s="55" t="s">
        <v>136</v>
      </c>
      <c r="N931" s="55" t="s">
        <v>136</v>
      </c>
      <c r="O931" s="55" t="s">
        <v>185</v>
      </c>
      <c r="P931" s="55" t="s">
        <v>1642</v>
      </c>
      <c r="Q931" s="55" t="s">
        <v>350</v>
      </c>
      <c r="R931" s="55">
        <v>4</v>
      </c>
      <c r="S931" s="74"/>
      <c r="T931" s="55" t="s">
        <v>1115</v>
      </c>
      <c r="U931" s="73" t="s">
        <v>351</v>
      </c>
      <c r="V931" s="74">
        <v>44418</v>
      </c>
      <c r="W931" s="74">
        <v>44454</v>
      </c>
      <c r="X931" s="55">
        <v>10186104</v>
      </c>
      <c r="Y931" s="74" t="s">
        <v>132</v>
      </c>
      <c r="Z931" s="74"/>
      <c r="AB931" s="55" t="s">
        <v>132</v>
      </c>
      <c r="AC931" s="55" t="s">
        <v>132</v>
      </c>
    </row>
    <row r="932" spans="1:29" ht="13" x14ac:dyDescent="0.15">
      <c r="A932" s="72" t="str">
        <f t="shared" si="14"/>
        <v>Ofsted Social Care Provider Webpage</v>
      </c>
      <c r="B932" s="55">
        <v>2558515</v>
      </c>
      <c r="D932" s="55" t="s">
        <v>373</v>
      </c>
      <c r="E932" s="74">
        <v>43818</v>
      </c>
      <c r="F932" s="55" t="s">
        <v>344</v>
      </c>
      <c r="G932" s="55" t="s">
        <v>360</v>
      </c>
      <c r="H932" s="55" t="s">
        <v>360</v>
      </c>
      <c r="I932" s="55" t="s">
        <v>360</v>
      </c>
      <c r="J932" s="55" t="s">
        <v>360</v>
      </c>
      <c r="K932" s="55" t="s">
        <v>360</v>
      </c>
      <c r="L932" s="55" t="s">
        <v>360</v>
      </c>
      <c r="M932" s="55" t="s">
        <v>172</v>
      </c>
      <c r="N932" s="55" t="s">
        <v>172</v>
      </c>
      <c r="O932" s="55" t="s">
        <v>173</v>
      </c>
      <c r="P932" s="55" t="s">
        <v>1069</v>
      </c>
      <c r="Q932" s="55" t="s">
        <v>350</v>
      </c>
      <c r="R932" s="55">
        <v>4</v>
      </c>
      <c r="S932" s="74"/>
      <c r="T932" s="55" t="s">
        <v>1070</v>
      </c>
      <c r="U932" s="73" t="s">
        <v>351</v>
      </c>
      <c r="V932" s="74">
        <v>44398</v>
      </c>
      <c r="W932" s="74">
        <v>44428</v>
      </c>
      <c r="X932" s="55">
        <v>10185369</v>
      </c>
      <c r="Y932" s="74" t="s">
        <v>130</v>
      </c>
      <c r="Z932" s="74"/>
      <c r="AB932" s="55" t="s">
        <v>130</v>
      </c>
      <c r="AC932" s="55" t="s">
        <v>146</v>
      </c>
    </row>
    <row r="933" spans="1:29" ht="13" x14ac:dyDescent="0.15">
      <c r="A933" s="72" t="str">
        <f t="shared" si="14"/>
        <v>Ofsted Social Care Provider Webpage</v>
      </c>
      <c r="B933" s="55">
        <v>2558681</v>
      </c>
      <c r="D933" s="55" t="s">
        <v>373</v>
      </c>
      <c r="E933" s="74">
        <v>43893</v>
      </c>
      <c r="F933" s="55" t="s">
        <v>344</v>
      </c>
      <c r="G933" s="55" t="s">
        <v>360</v>
      </c>
      <c r="H933" s="55" t="s">
        <v>360</v>
      </c>
      <c r="I933" s="55" t="s">
        <v>360</v>
      </c>
      <c r="J933" s="55" t="s">
        <v>360</v>
      </c>
      <c r="K933" s="55" t="s">
        <v>360</v>
      </c>
      <c r="L933" s="55" t="s">
        <v>360</v>
      </c>
      <c r="M933" s="55" t="s">
        <v>144</v>
      </c>
      <c r="N933" s="55" t="s">
        <v>144</v>
      </c>
      <c r="O933" s="55" t="s">
        <v>145</v>
      </c>
      <c r="P933" s="55" t="s">
        <v>525</v>
      </c>
      <c r="Q933" s="55" t="s">
        <v>350</v>
      </c>
      <c r="R933" s="55">
        <v>3</v>
      </c>
      <c r="S933" s="74"/>
      <c r="T933" s="55" t="s">
        <v>1643</v>
      </c>
      <c r="U933" s="73" t="s">
        <v>351</v>
      </c>
      <c r="V933" s="74">
        <v>44572</v>
      </c>
      <c r="W933" s="74">
        <v>44609</v>
      </c>
      <c r="X933" s="55">
        <v>10186590</v>
      </c>
      <c r="Y933" s="74" t="s">
        <v>132</v>
      </c>
      <c r="Z933" s="74"/>
      <c r="AB933" s="55" t="s">
        <v>132</v>
      </c>
      <c r="AC933" s="55" t="s">
        <v>132</v>
      </c>
    </row>
    <row r="934" spans="1:29" ht="13" x14ac:dyDescent="0.15">
      <c r="A934" s="72" t="str">
        <f t="shared" si="14"/>
        <v>Ofsted Social Care Provider Webpage</v>
      </c>
      <c r="B934" s="55">
        <v>2558682</v>
      </c>
      <c r="D934" s="55" t="s">
        <v>373</v>
      </c>
      <c r="E934" s="74">
        <v>43875</v>
      </c>
      <c r="F934" s="55" t="s">
        <v>344</v>
      </c>
      <c r="G934" s="55" t="s">
        <v>360</v>
      </c>
      <c r="H934" s="55" t="s">
        <v>360</v>
      </c>
      <c r="I934" s="55" t="s">
        <v>360</v>
      </c>
      <c r="J934" s="55" t="s">
        <v>360</v>
      </c>
      <c r="K934" s="55" t="s">
        <v>360</v>
      </c>
      <c r="L934" s="55" t="s">
        <v>360</v>
      </c>
      <c r="M934" s="55" t="s">
        <v>142</v>
      </c>
      <c r="N934" s="55" t="s">
        <v>142</v>
      </c>
      <c r="O934" s="55" t="s">
        <v>252</v>
      </c>
      <c r="P934" s="55" t="s">
        <v>388</v>
      </c>
      <c r="Q934" s="55" t="s">
        <v>380</v>
      </c>
      <c r="R934" s="55">
        <v>2</v>
      </c>
      <c r="S934" s="74"/>
      <c r="T934" s="55" t="s">
        <v>1542</v>
      </c>
      <c r="U934" s="73" t="s">
        <v>351</v>
      </c>
      <c r="V934" s="74">
        <v>44404</v>
      </c>
      <c r="W934" s="74">
        <v>44453</v>
      </c>
      <c r="X934" s="55">
        <v>10186956</v>
      </c>
      <c r="Y934" s="74" t="s">
        <v>132</v>
      </c>
      <c r="Z934" s="74"/>
      <c r="AB934" s="55" t="s">
        <v>130</v>
      </c>
      <c r="AC934" s="55" t="s">
        <v>132</v>
      </c>
    </row>
    <row r="935" spans="1:29" ht="13" x14ac:dyDescent="0.15">
      <c r="A935" s="72" t="str">
        <f t="shared" si="14"/>
        <v>Ofsted Social Care Provider Webpage</v>
      </c>
      <c r="B935" s="55">
        <v>2559013</v>
      </c>
      <c r="D935" s="55" t="s">
        <v>373</v>
      </c>
      <c r="E935" s="74">
        <v>44197</v>
      </c>
      <c r="F935" s="55" t="s">
        <v>344</v>
      </c>
      <c r="G935" s="55" t="s">
        <v>360</v>
      </c>
      <c r="H935" s="55" t="s">
        <v>360</v>
      </c>
      <c r="I935" s="55" t="s">
        <v>360</v>
      </c>
      <c r="J935" s="55" t="s">
        <v>360</v>
      </c>
      <c r="K935" s="55" t="s">
        <v>360</v>
      </c>
      <c r="L935" s="55" t="s">
        <v>360</v>
      </c>
      <c r="M935" s="55" t="s">
        <v>150</v>
      </c>
      <c r="N935" s="55" t="s">
        <v>150</v>
      </c>
      <c r="O935" s="55" t="s">
        <v>218</v>
      </c>
      <c r="P935" s="55" t="s">
        <v>1644</v>
      </c>
      <c r="Q935" s="55" t="s">
        <v>350</v>
      </c>
      <c r="R935" s="55">
        <v>8</v>
      </c>
      <c r="S935" s="74"/>
      <c r="T935" s="55" t="s">
        <v>1645</v>
      </c>
      <c r="U935" s="73"/>
      <c r="W935" s="74"/>
      <c r="Y935" s="74"/>
      <c r="Z935" s="74"/>
    </row>
    <row r="936" spans="1:29" ht="13" x14ac:dyDescent="0.15">
      <c r="A936" s="72" t="str">
        <f t="shared" si="14"/>
        <v>Ofsted Social Care Provider Webpage</v>
      </c>
      <c r="B936" s="55">
        <v>2559019</v>
      </c>
      <c r="D936" s="55" t="s">
        <v>373</v>
      </c>
      <c r="E936" s="74">
        <v>43770</v>
      </c>
      <c r="F936" s="55" t="s">
        <v>344</v>
      </c>
      <c r="G936" s="55" t="s">
        <v>360</v>
      </c>
      <c r="H936" s="55" t="s">
        <v>360</v>
      </c>
      <c r="I936" s="55" t="s">
        <v>360</v>
      </c>
      <c r="J936" s="55" t="s">
        <v>360</v>
      </c>
      <c r="K936" s="55" t="s">
        <v>360</v>
      </c>
      <c r="L936" s="55" t="s">
        <v>360</v>
      </c>
      <c r="M936" s="55" t="s">
        <v>129</v>
      </c>
      <c r="N936" s="55" t="s">
        <v>129</v>
      </c>
      <c r="O936" s="55" t="s">
        <v>242</v>
      </c>
      <c r="P936" s="55" t="s">
        <v>1192</v>
      </c>
      <c r="Q936" s="55" t="s">
        <v>350</v>
      </c>
      <c r="R936" s="55">
        <v>5</v>
      </c>
      <c r="S936" s="74"/>
      <c r="T936" s="55" t="s">
        <v>1646</v>
      </c>
      <c r="U936" s="73" t="s">
        <v>351</v>
      </c>
      <c r="V936" s="74">
        <v>44417</v>
      </c>
      <c r="W936" s="74">
        <v>44453</v>
      </c>
      <c r="X936" s="55">
        <v>10185911</v>
      </c>
      <c r="Y936" s="74" t="s">
        <v>132</v>
      </c>
      <c r="Z936" s="74"/>
      <c r="AB936" s="55" t="s">
        <v>132</v>
      </c>
      <c r="AC936" s="55" t="s">
        <v>132</v>
      </c>
    </row>
    <row r="937" spans="1:29" ht="13" x14ac:dyDescent="0.15">
      <c r="A937" s="72" t="str">
        <f t="shared" si="14"/>
        <v>Ofsted Social Care Provider Webpage</v>
      </c>
      <c r="B937" s="55">
        <v>2559023</v>
      </c>
      <c r="D937" s="55" t="s">
        <v>373</v>
      </c>
      <c r="E937" s="74">
        <v>43894</v>
      </c>
      <c r="F937" s="55" t="s">
        <v>344</v>
      </c>
      <c r="G937" s="55" t="s">
        <v>360</v>
      </c>
      <c r="H937" s="55" t="s">
        <v>360</v>
      </c>
      <c r="I937" s="55" t="s">
        <v>360</v>
      </c>
      <c r="J937" s="55" t="s">
        <v>360</v>
      </c>
      <c r="K937" s="55" t="s">
        <v>360</v>
      </c>
      <c r="L937" s="55" t="s">
        <v>360</v>
      </c>
      <c r="M937" s="55" t="s">
        <v>144</v>
      </c>
      <c r="N937" s="55" t="s">
        <v>144</v>
      </c>
      <c r="O937" s="55" t="s">
        <v>168</v>
      </c>
      <c r="P937" s="55" t="s">
        <v>834</v>
      </c>
      <c r="Q937" s="55" t="s">
        <v>350</v>
      </c>
      <c r="R937" s="55">
        <v>2</v>
      </c>
      <c r="S937" s="74"/>
      <c r="T937" s="55" t="s">
        <v>485</v>
      </c>
      <c r="U937" s="73" t="s">
        <v>351</v>
      </c>
      <c r="V937" s="74">
        <v>44503</v>
      </c>
      <c r="W937" s="74">
        <v>44571</v>
      </c>
      <c r="X937" s="55">
        <v>10185484</v>
      </c>
      <c r="Y937" s="74" t="s">
        <v>132</v>
      </c>
      <c r="Z937" s="74"/>
      <c r="AB937" s="55" t="s">
        <v>132</v>
      </c>
      <c r="AC937" s="55" t="s">
        <v>132</v>
      </c>
    </row>
    <row r="938" spans="1:29" ht="13" x14ac:dyDescent="0.15">
      <c r="A938" s="72" t="str">
        <f t="shared" si="14"/>
        <v>Ofsted Social Care Provider Webpage</v>
      </c>
      <c r="B938" s="55">
        <v>2559288</v>
      </c>
      <c r="D938" s="55" t="s">
        <v>389</v>
      </c>
      <c r="E938" s="74">
        <v>43944</v>
      </c>
      <c r="F938" s="55" t="s">
        <v>344</v>
      </c>
      <c r="G938" s="55" t="s">
        <v>1647</v>
      </c>
      <c r="H938" s="55" t="s">
        <v>1648</v>
      </c>
      <c r="I938" s="55" t="s">
        <v>1649</v>
      </c>
      <c r="J938" s="55" t="s">
        <v>1650</v>
      </c>
      <c r="L938" s="55" t="s">
        <v>1651</v>
      </c>
      <c r="M938" s="55" t="s">
        <v>129</v>
      </c>
      <c r="N938" s="55" t="s">
        <v>129</v>
      </c>
      <c r="O938" s="55" t="s">
        <v>242</v>
      </c>
      <c r="P938" s="55" t="s">
        <v>1519</v>
      </c>
      <c r="Q938" s="55" t="s">
        <v>350</v>
      </c>
      <c r="R938" s="55"/>
      <c r="S938" s="74"/>
      <c r="T938" s="55" t="s">
        <v>1652</v>
      </c>
      <c r="U938" s="73" t="s">
        <v>351</v>
      </c>
      <c r="V938" s="74">
        <v>44354</v>
      </c>
      <c r="W938" s="74">
        <v>44404</v>
      </c>
      <c r="X938" s="55">
        <v>10183189</v>
      </c>
      <c r="Y938" s="74" t="s">
        <v>130</v>
      </c>
      <c r="Z938" s="74"/>
      <c r="AB938" s="55" t="s">
        <v>130</v>
      </c>
      <c r="AC938" s="55" t="s">
        <v>130</v>
      </c>
    </row>
    <row r="939" spans="1:29" ht="13" x14ac:dyDescent="0.15">
      <c r="A939" s="72" t="str">
        <f t="shared" si="14"/>
        <v>Ofsted Social Care Provider Webpage</v>
      </c>
      <c r="B939" s="55">
        <v>2559317</v>
      </c>
      <c r="D939" s="55" t="s">
        <v>373</v>
      </c>
      <c r="E939" s="74">
        <v>43962</v>
      </c>
      <c r="F939" s="55" t="s">
        <v>344</v>
      </c>
      <c r="G939" s="55" t="s">
        <v>360</v>
      </c>
      <c r="H939" s="55" t="s">
        <v>360</v>
      </c>
      <c r="I939" s="55" t="s">
        <v>360</v>
      </c>
      <c r="J939" s="55" t="s">
        <v>360</v>
      </c>
      <c r="K939" s="55" t="s">
        <v>360</v>
      </c>
      <c r="L939" s="55" t="s">
        <v>360</v>
      </c>
      <c r="M939" s="55" t="s">
        <v>144</v>
      </c>
      <c r="N939" s="55" t="s">
        <v>144</v>
      </c>
      <c r="O939" s="55" t="s">
        <v>250</v>
      </c>
      <c r="P939" s="55" t="s">
        <v>759</v>
      </c>
      <c r="Q939" s="55" t="s">
        <v>350</v>
      </c>
      <c r="R939" s="55">
        <v>1</v>
      </c>
      <c r="S939" s="74"/>
      <c r="T939" s="55" t="s">
        <v>1653</v>
      </c>
      <c r="U939" s="73" t="s">
        <v>351</v>
      </c>
      <c r="V939" s="74">
        <v>44578</v>
      </c>
      <c r="W939" s="74">
        <v>44615</v>
      </c>
      <c r="X939" s="55">
        <v>10186486</v>
      </c>
      <c r="Y939" s="74" t="s">
        <v>130</v>
      </c>
      <c r="Z939" s="74"/>
      <c r="AB939" s="55" t="s">
        <v>130</v>
      </c>
      <c r="AC939" s="55" t="s">
        <v>146</v>
      </c>
    </row>
    <row r="940" spans="1:29" ht="13" x14ac:dyDescent="0.15">
      <c r="A940" s="72" t="str">
        <f t="shared" si="14"/>
        <v>Ofsted Social Care Provider Webpage</v>
      </c>
      <c r="B940" s="55">
        <v>2560305</v>
      </c>
      <c r="D940" s="55" t="s">
        <v>373</v>
      </c>
      <c r="E940" s="74">
        <v>43861</v>
      </c>
      <c r="F940" s="55" t="s">
        <v>344</v>
      </c>
      <c r="G940" s="55" t="s">
        <v>360</v>
      </c>
      <c r="H940" s="55" t="s">
        <v>360</v>
      </c>
      <c r="I940" s="55" t="s">
        <v>360</v>
      </c>
      <c r="J940" s="55" t="s">
        <v>360</v>
      </c>
      <c r="K940" s="55" t="s">
        <v>360</v>
      </c>
      <c r="L940" s="55" t="s">
        <v>360</v>
      </c>
      <c r="M940" s="55" t="s">
        <v>142</v>
      </c>
      <c r="N940" s="55" t="s">
        <v>142</v>
      </c>
      <c r="O940" s="55" t="s">
        <v>249</v>
      </c>
      <c r="P940" s="55" t="s">
        <v>1181</v>
      </c>
      <c r="Q940" s="55" t="s">
        <v>350</v>
      </c>
      <c r="R940" s="55">
        <v>3</v>
      </c>
      <c r="S940" s="74"/>
      <c r="T940" s="55" t="s">
        <v>1654</v>
      </c>
      <c r="U940" s="73" t="s">
        <v>351</v>
      </c>
      <c r="V940" s="74">
        <v>44307</v>
      </c>
      <c r="W940" s="74">
        <v>44369</v>
      </c>
      <c r="X940" s="55">
        <v>10186234</v>
      </c>
      <c r="Y940" s="74" t="s">
        <v>130</v>
      </c>
      <c r="Z940" s="74"/>
      <c r="AB940" s="55" t="s">
        <v>130</v>
      </c>
      <c r="AC940" s="55" t="s">
        <v>130</v>
      </c>
    </row>
    <row r="941" spans="1:29" ht="13" x14ac:dyDescent="0.15">
      <c r="A941" s="72" t="str">
        <f t="shared" si="14"/>
        <v>Ofsted Social Care Provider Webpage</v>
      </c>
      <c r="B941" s="55">
        <v>2560639</v>
      </c>
      <c r="D941" s="55" t="s">
        <v>373</v>
      </c>
      <c r="E941" s="74">
        <v>43797</v>
      </c>
      <c r="F941" s="55" t="s">
        <v>344</v>
      </c>
      <c r="G941" s="55" t="s">
        <v>360</v>
      </c>
      <c r="H941" s="55" t="s">
        <v>360</v>
      </c>
      <c r="I941" s="55" t="s">
        <v>360</v>
      </c>
      <c r="J941" s="55" t="s">
        <v>360</v>
      </c>
      <c r="K941" s="55" t="s">
        <v>360</v>
      </c>
      <c r="L941" s="55" t="s">
        <v>360</v>
      </c>
      <c r="M941" s="55" t="s">
        <v>378</v>
      </c>
      <c r="N941" s="55" t="s">
        <v>134</v>
      </c>
      <c r="O941" s="55" t="s">
        <v>206</v>
      </c>
      <c r="P941" s="55" t="s">
        <v>1655</v>
      </c>
      <c r="Q941" s="55" t="s">
        <v>350</v>
      </c>
      <c r="R941" s="55">
        <v>3</v>
      </c>
      <c r="S941" s="74"/>
      <c r="T941" s="55" t="s">
        <v>613</v>
      </c>
      <c r="U941" s="73" t="s">
        <v>351</v>
      </c>
      <c r="V941" s="74">
        <v>44376</v>
      </c>
      <c r="W941" s="74">
        <v>44425</v>
      </c>
      <c r="X941" s="55">
        <v>10185870</v>
      </c>
      <c r="Y941" s="74" t="s">
        <v>132</v>
      </c>
      <c r="Z941" s="74"/>
      <c r="AB941" s="55" t="s">
        <v>132</v>
      </c>
      <c r="AC941" s="55" t="s">
        <v>132</v>
      </c>
    </row>
    <row r="942" spans="1:29" ht="13" x14ac:dyDescent="0.15">
      <c r="A942" s="72" t="str">
        <f t="shared" si="14"/>
        <v>Ofsted Social Care Provider Webpage</v>
      </c>
      <c r="B942" s="55">
        <v>2560648</v>
      </c>
      <c r="D942" s="55" t="s">
        <v>373</v>
      </c>
      <c r="E942" s="74">
        <v>43816</v>
      </c>
      <c r="F942" s="55" t="s">
        <v>344</v>
      </c>
      <c r="G942" s="55" t="s">
        <v>360</v>
      </c>
      <c r="H942" s="55" t="s">
        <v>360</v>
      </c>
      <c r="I942" s="55" t="s">
        <v>360</v>
      </c>
      <c r="J942" s="55" t="s">
        <v>360</v>
      </c>
      <c r="K942" s="55" t="s">
        <v>360</v>
      </c>
      <c r="L942" s="55" t="s">
        <v>360</v>
      </c>
      <c r="M942" s="55" t="s">
        <v>142</v>
      </c>
      <c r="N942" s="55" t="s">
        <v>142</v>
      </c>
      <c r="O942" s="55" t="s">
        <v>262</v>
      </c>
      <c r="P942" s="55" t="s">
        <v>692</v>
      </c>
      <c r="Q942" s="55" t="s">
        <v>350</v>
      </c>
      <c r="R942" s="55">
        <v>3</v>
      </c>
      <c r="S942" s="74"/>
      <c r="T942" s="55" t="s">
        <v>1307</v>
      </c>
      <c r="U942" s="73" t="s">
        <v>351</v>
      </c>
      <c r="V942" s="74">
        <v>44572</v>
      </c>
      <c r="W942" s="74">
        <v>44615</v>
      </c>
      <c r="X942" s="55">
        <v>10187050</v>
      </c>
      <c r="Y942" s="74" t="s">
        <v>132</v>
      </c>
      <c r="Z942" s="74"/>
      <c r="AB942" s="55" t="s">
        <v>132</v>
      </c>
      <c r="AC942" s="55" t="s">
        <v>132</v>
      </c>
    </row>
    <row r="943" spans="1:29" ht="13" x14ac:dyDescent="0.15">
      <c r="A943" s="72" t="str">
        <f t="shared" si="14"/>
        <v>Ofsted Social Care Provider Webpage</v>
      </c>
      <c r="B943" s="55">
        <v>2561020</v>
      </c>
      <c r="D943" s="55" t="s">
        <v>373</v>
      </c>
      <c r="E943" s="74">
        <v>43783</v>
      </c>
      <c r="F943" s="55" t="s">
        <v>344</v>
      </c>
      <c r="G943" s="55" t="s">
        <v>360</v>
      </c>
      <c r="H943" s="55" t="s">
        <v>360</v>
      </c>
      <c r="I943" s="55" t="s">
        <v>360</v>
      </c>
      <c r="J943" s="55" t="s">
        <v>360</v>
      </c>
      <c r="K943" s="55" t="s">
        <v>360</v>
      </c>
      <c r="L943" s="55" t="s">
        <v>360</v>
      </c>
      <c r="M943" s="55" t="s">
        <v>172</v>
      </c>
      <c r="N943" s="55" t="s">
        <v>172</v>
      </c>
      <c r="O943" s="55" t="s">
        <v>171</v>
      </c>
      <c r="P943" s="55" t="s">
        <v>895</v>
      </c>
      <c r="Q943" s="55" t="s">
        <v>350</v>
      </c>
      <c r="R943" s="55">
        <v>5</v>
      </c>
      <c r="S943" s="74"/>
      <c r="T943" s="55" t="s">
        <v>861</v>
      </c>
      <c r="U943" s="73" t="s">
        <v>351</v>
      </c>
      <c r="V943" s="74">
        <v>44299</v>
      </c>
      <c r="W943" s="74">
        <v>44354</v>
      </c>
      <c r="X943" s="55">
        <v>10186241</v>
      </c>
      <c r="Y943" s="74" t="s">
        <v>132</v>
      </c>
      <c r="Z943" s="74"/>
      <c r="AB943" s="55" t="s">
        <v>132</v>
      </c>
      <c r="AC943" s="55" t="s">
        <v>130</v>
      </c>
    </row>
    <row r="944" spans="1:29" ht="13" x14ac:dyDescent="0.15">
      <c r="A944" s="72" t="str">
        <f t="shared" si="14"/>
        <v>Ofsted Social Care Provider Webpage</v>
      </c>
      <c r="B944" s="55">
        <v>2561329</v>
      </c>
      <c r="D944" s="55" t="s">
        <v>451</v>
      </c>
      <c r="E944" s="74">
        <v>43840</v>
      </c>
      <c r="F944" s="55" t="s">
        <v>344</v>
      </c>
      <c r="G944" s="55" t="s">
        <v>1656</v>
      </c>
      <c r="H944" s="55" t="s">
        <v>1657</v>
      </c>
      <c r="I944" s="55" t="s">
        <v>354</v>
      </c>
      <c r="J944" s="55" t="s">
        <v>239</v>
      </c>
      <c r="K944" s="55" t="s">
        <v>174</v>
      </c>
      <c r="L944" s="55" t="s">
        <v>1658</v>
      </c>
      <c r="M944" s="55" t="s">
        <v>136</v>
      </c>
      <c r="N944" s="55" t="s">
        <v>136</v>
      </c>
      <c r="O944" s="55" t="s">
        <v>239</v>
      </c>
      <c r="P944" s="55" t="s">
        <v>738</v>
      </c>
      <c r="Q944" s="55" t="s">
        <v>350</v>
      </c>
      <c r="R944" s="55">
        <v>5</v>
      </c>
      <c r="S944" s="74"/>
      <c r="T944" s="55" t="s">
        <v>1659</v>
      </c>
      <c r="U944" s="73" t="s">
        <v>351</v>
      </c>
      <c r="V944" s="74">
        <v>44538</v>
      </c>
      <c r="W944" s="74">
        <v>44582</v>
      </c>
      <c r="X944" s="55">
        <v>10183240</v>
      </c>
      <c r="Y944" s="74" t="s">
        <v>132</v>
      </c>
      <c r="Z944" s="74"/>
      <c r="AB944" s="55" t="s">
        <v>132</v>
      </c>
      <c r="AC944" s="55" t="s">
        <v>132</v>
      </c>
    </row>
    <row r="945" spans="1:29" ht="13" x14ac:dyDescent="0.15">
      <c r="A945" s="72" t="str">
        <f t="shared" si="14"/>
        <v>Ofsted Social Care Provider Webpage</v>
      </c>
      <c r="B945" s="55">
        <v>2561501</v>
      </c>
      <c r="D945" s="55" t="s">
        <v>373</v>
      </c>
      <c r="E945" s="74">
        <v>43938</v>
      </c>
      <c r="F945" s="55" t="s">
        <v>344</v>
      </c>
      <c r="G945" s="55" t="s">
        <v>360</v>
      </c>
      <c r="H945" s="55" t="s">
        <v>360</v>
      </c>
      <c r="I945" s="55" t="s">
        <v>360</v>
      </c>
      <c r="J945" s="55" t="s">
        <v>360</v>
      </c>
      <c r="K945" s="55" t="s">
        <v>360</v>
      </c>
      <c r="L945" s="55" t="s">
        <v>360</v>
      </c>
      <c r="M945" s="55" t="s">
        <v>129</v>
      </c>
      <c r="N945" s="55" t="s">
        <v>129</v>
      </c>
      <c r="O945" s="55" t="s">
        <v>182</v>
      </c>
      <c r="P945" s="55" t="s">
        <v>1660</v>
      </c>
      <c r="Q945" s="55" t="s">
        <v>350</v>
      </c>
      <c r="R945" s="55">
        <v>4</v>
      </c>
      <c r="S945" s="74"/>
      <c r="T945" s="55" t="s">
        <v>1661</v>
      </c>
      <c r="U945" s="73" t="s">
        <v>351</v>
      </c>
      <c r="V945" s="74">
        <v>44334</v>
      </c>
      <c r="W945" s="74">
        <v>44391</v>
      </c>
      <c r="X945" s="55">
        <v>10185762</v>
      </c>
      <c r="Y945" s="74" t="s">
        <v>132</v>
      </c>
      <c r="Z945" s="74"/>
      <c r="AB945" s="55" t="s">
        <v>132</v>
      </c>
      <c r="AC945" s="55" t="s">
        <v>130</v>
      </c>
    </row>
    <row r="946" spans="1:29" ht="13" x14ac:dyDescent="0.15">
      <c r="A946" s="72" t="str">
        <f t="shared" si="14"/>
        <v>Ofsted Social Care Provider Webpage</v>
      </c>
      <c r="B946" s="55">
        <v>2561726</v>
      </c>
      <c r="D946" s="55" t="s">
        <v>373</v>
      </c>
      <c r="E946" s="74">
        <v>43872</v>
      </c>
      <c r="F946" s="55" t="s">
        <v>344</v>
      </c>
      <c r="G946" s="55" t="s">
        <v>360</v>
      </c>
      <c r="H946" s="55" t="s">
        <v>360</v>
      </c>
      <c r="I946" s="55" t="s">
        <v>360</v>
      </c>
      <c r="J946" s="55" t="s">
        <v>360</v>
      </c>
      <c r="K946" s="55" t="s">
        <v>360</v>
      </c>
      <c r="L946" s="55" t="s">
        <v>360</v>
      </c>
      <c r="M946" s="55" t="s">
        <v>378</v>
      </c>
      <c r="N946" s="55" t="s">
        <v>134</v>
      </c>
      <c r="O946" s="55" t="s">
        <v>180</v>
      </c>
      <c r="P946" s="55" t="s">
        <v>1483</v>
      </c>
      <c r="Q946" s="55" t="s">
        <v>350</v>
      </c>
      <c r="R946" s="55">
        <v>2</v>
      </c>
      <c r="S946" s="74"/>
      <c r="T946" s="55" t="s">
        <v>1484</v>
      </c>
      <c r="U946" s="73" t="s">
        <v>351</v>
      </c>
      <c r="V946" s="74">
        <v>44543</v>
      </c>
      <c r="W946" s="74">
        <v>44592</v>
      </c>
      <c r="X946" s="55">
        <v>10186442</v>
      </c>
      <c r="Y946" s="74" t="s">
        <v>132</v>
      </c>
      <c r="Z946" s="74"/>
      <c r="AB946" s="55" t="s">
        <v>132</v>
      </c>
      <c r="AC946" s="55" t="s">
        <v>130</v>
      </c>
    </row>
    <row r="947" spans="1:29" ht="13" x14ac:dyDescent="0.15">
      <c r="A947" s="72" t="str">
        <f t="shared" si="14"/>
        <v>Ofsted Social Care Provider Webpage</v>
      </c>
      <c r="B947" s="55">
        <v>2561916</v>
      </c>
      <c r="D947" s="55" t="s">
        <v>358</v>
      </c>
      <c r="E947" s="74">
        <v>43847</v>
      </c>
      <c r="F947" s="55" t="s">
        <v>344</v>
      </c>
      <c r="G947" s="55" t="s">
        <v>1662</v>
      </c>
      <c r="H947" s="55" t="s">
        <v>360</v>
      </c>
      <c r="I947" s="55" t="s">
        <v>360</v>
      </c>
      <c r="J947" s="55" t="s">
        <v>360</v>
      </c>
      <c r="K947" s="55" t="s">
        <v>360</v>
      </c>
      <c r="L947" s="55" t="s">
        <v>360</v>
      </c>
      <c r="M947" s="55" t="s">
        <v>136</v>
      </c>
      <c r="N947" s="55" t="s">
        <v>136</v>
      </c>
      <c r="O947" s="55" t="s">
        <v>135</v>
      </c>
      <c r="P947" s="55" t="s">
        <v>1165</v>
      </c>
      <c r="Q947" s="55" t="s">
        <v>362</v>
      </c>
      <c r="R947" s="55"/>
      <c r="S947" s="74"/>
      <c r="T947" s="55" t="s">
        <v>1663</v>
      </c>
      <c r="U947" s="73"/>
      <c r="W947" s="74"/>
      <c r="Y947" s="74"/>
      <c r="Z947" s="74"/>
    </row>
    <row r="948" spans="1:29" ht="13" x14ac:dyDescent="0.15">
      <c r="A948" s="72" t="str">
        <f t="shared" si="14"/>
        <v>Ofsted Social Care Provider Webpage</v>
      </c>
      <c r="B948" s="55">
        <v>2561970</v>
      </c>
      <c r="D948" s="55" t="s">
        <v>373</v>
      </c>
      <c r="E948" s="74">
        <v>43843</v>
      </c>
      <c r="F948" s="55" t="s">
        <v>344</v>
      </c>
      <c r="G948" s="55" t="s">
        <v>360</v>
      </c>
      <c r="H948" s="55" t="s">
        <v>360</v>
      </c>
      <c r="I948" s="55" t="s">
        <v>360</v>
      </c>
      <c r="J948" s="55" t="s">
        <v>360</v>
      </c>
      <c r="K948" s="55" t="s">
        <v>360</v>
      </c>
      <c r="L948" s="55" t="s">
        <v>360</v>
      </c>
      <c r="M948" s="55" t="s">
        <v>144</v>
      </c>
      <c r="N948" s="55" t="s">
        <v>144</v>
      </c>
      <c r="O948" s="55" t="s">
        <v>162</v>
      </c>
      <c r="P948" s="55" t="s">
        <v>1502</v>
      </c>
      <c r="Q948" s="55" t="s">
        <v>350</v>
      </c>
      <c r="R948" s="55">
        <v>3</v>
      </c>
      <c r="S948" s="74"/>
      <c r="T948" s="55" t="s">
        <v>917</v>
      </c>
      <c r="U948" s="73" t="s">
        <v>351</v>
      </c>
      <c r="V948" s="74">
        <v>44600</v>
      </c>
      <c r="W948" s="74">
        <v>44641</v>
      </c>
      <c r="X948" s="55">
        <v>10186656</v>
      </c>
      <c r="Y948" s="74" t="s">
        <v>132</v>
      </c>
      <c r="Z948" s="74"/>
      <c r="AB948" s="55" t="s">
        <v>132</v>
      </c>
      <c r="AC948" s="55" t="s">
        <v>132</v>
      </c>
    </row>
    <row r="949" spans="1:29" ht="13" x14ac:dyDescent="0.15">
      <c r="A949" s="72" t="str">
        <f t="shared" si="14"/>
        <v>Ofsted Social Care Provider Webpage</v>
      </c>
      <c r="B949" s="55">
        <v>2562430</v>
      </c>
      <c r="D949" s="55" t="s">
        <v>373</v>
      </c>
      <c r="E949" s="74">
        <v>43879</v>
      </c>
      <c r="F949" s="55" t="s">
        <v>344</v>
      </c>
      <c r="G949" s="55" t="s">
        <v>360</v>
      </c>
      <c r="H949" s="55" t="s">
        <v>360</v>
      </c>
      <c r="I949" s="55" t="s">
        <v>360</v>
      </c>
      <c r="J949" s="55" t="s">
        <v>360</v>
      </c>
      <c r="K949" s="55" t="s">
        <v>360</v>
      </c>
      <c r="L949" s="55" t="s">
        <v>360</v>
      </c>
      <c r="M949" s="55" t="s">
        <v>129</v>
      </c>
      <c r="N949" s="55" t="s">
        <v>129</v>
      </c>
      <c r="O949" s="55" t="s">
        <v>139</v>
      </c>
      <c r="P949" s="55" t="s">
        <v>1639</v>
      </c>
      <c r="Q949" s="55" t="s">
        <v>350</v>
      </c>
      <c r="R949" s="55">
        <v>3</v>
      </c>
      <c r="S949" s="74"/>
      <c r="T949" s="55" t="s">
        <v>713</v>
      </c>
      <c r="U949" s="73" t="s">
        <v>351</v>
      </c>
      <c r="V949" s="74">
        <v>44609</v>
      </c>
      <c r="W949" s="74">
        <v>44655</v>
      </c>
      <c r="X949" s="55">
        <v>10186556</v>
      </c>
      <c r="Y949" s="74" t="s">
        <v>132</v>
      </c>
      <c r="Z949" s="74"/>
      <c r="AB949" s="55" t="s">
        <v>132</v>
      </c>
      <c r="AC949" s="55" t="s">
        <v>132</v>
      </c>
    </row>
    <row r="950" spans="1:29" ht="13" x14ac:dyDescent="0.15">
      <c r="A950" s="72" t="str">
        <f t="shared" si="14"/>
        <v>Ofsted Social Care Provider Webpage</v>
      </c>
      <c r="B950" s="55">
        <v>2562531</v>
      </c>
      <c r="D950" s="55" t="s">
        <v>373</v>
      </c>
      <c r="E950" s="74">
        <v>43801</v>
      </c>
      <c r="F950" s="55" t="s">
        <v>344</v>
      </c>
      <c r="G950" s="55" t="s">
        <v>360</v>
      </c>
      <c r="H950" s="55" t="s">
        <v>360</v>
      </c>
      <c r="I950" s="55" t="s">
        <v>360</v>
      </c>
      <c r="J950" s="55" t="s">
        <v>360</v>
      </c>
      <c r="K950" s="55" t="s">
        <v>360</v>
      </c>
      <c r="L950" s="55" t="s">
        <v>360</v>
      </c>
      <c r="M950" s="55" t="s">
        <v>142</v>
      </c>
      <c r="N950" s="55" t="s">
        <v>142</v>
      </c>
      <c r="O950" s="55" t="s">
        <v>262</v>
      </c>
      <c r="P950" s="55" t="s">
        <v>916</v>
      </c>
      <c r="Q950" s="55" t="s">
        <v>350</v>
      </c>
      <c r="R950" s="55">
        <v>4</v>
      </c>
      <c r="S950" s="74"/>
      <c r="T950" s="55" t="s">
        <v>917</v>
      </c>
      <c r="U950" s="73" t="s">
        <v>351</v>
      </c>
      <c r="V950" s="74">
        <v>44523</v>
      </c>
      <c r="W950" s="74">
        <v>44575</v>
      </c>
      <c r="X950" s="55">
        <v>10187152</v>
      </c>
      <c r="Y950" s="74" t="s">
        <v>132</v>
      </c>
      <c r="Z950" s="74"/>
      <c r="AB950" s="55" t="s">
        <v>132</v>
      </c>
      <c r="AC950" s="55" t="s">
        <v>130</v>
      </c>
    </row>
    <row r="951" spans="1:29" ht="13" x14ac:dyDescent="0.15">
      <c r="A951" s="72" t="str">
        <f t="shared" si="14"/>
        <v>Ofsted Social Care Provider Webpage</v>
      </c>
      <c r="B951" s="55">
        <v>2562675</v>
      </c>
      <c r="D951" s="55" t="s">
        <v>373</v>
      </c>
      <c r="E951" s="74">
        <v>43845</v>
      </c>
      <c r="F951" s="55" t="s">
        <v>344</v>
      </c>
      <c r="G951" s="55" t="s">
        <v>360</v>
      </c>
      <c r="H951" s="55" t="s">
        <v>360</v>
      </c>
      <c r="I951" s="55" t="s">
        <v>360</v>
      </c>
      <c r="J951" s="55" t="s">
        <v>360</v>
      </c>
      <c r="K951" s="55" t="s">
        <v>360</v>
      </c>
      <c r="L951" s="55" t="s">
        <v>360</v>
      </c>
      <c r="M951" s="55" t="s">
        <v>142</v>
      </c>
      <c r="N951" s="55" t="s">
        <v>142</v>
      </c>
      <c r="O951" s="55" t="s">
        <v>292</v>
      </c>
      <c r="P951" s="55" t="s">
        <v>1162</v>
      </c>
      <c r="Q951" s="55" t="s">
        <v>350</v>
      </c>
      <c r="R951" s="55">
        <v>2</v>
      </c>
      <c r="S951" s="74"/>
      <c r="T951" s="55" t="s">
        <v>1664</v>
      </c>
      <c r="U951" s="73" t="s">
        <v>351</v>
      </c>
      <c r="V951" s="74">
        <v>44488</v>
      </c>
      <c r="W951" s="74">
        <v>44539</v>
      </c>
      <c r="X951" s="55">
        <v>10186253</v>
      </c>
      <c r="Y951" s="74" t="s">
        <v>132</v>
      </c>
      <c r="Z951" s="74"/>
      <c r="AB951" s="55" t="s">
        <v>132</v>
      </c>
      <c r="AC951" s="55" t="s">
        <v>130</v>
      </c>
    </row>
    <row r="952" spans="1:29" ht="13" x14ac:dyDescent="0.15">
      <c r="A952" s="72" t="str">
        <f t="shared" si="14"/>
        <v>Ofsted Social Care Provider Webpage</v>
      </c>
      <c r="B952" s="55">
        <v>2562677</v>
      </c>
      <c r="D952" s="55" t="s">
        <v>373</v>
      </c>
      <c r="E952" s="74">
        <v>43857</v>
      </c>
      <c r="F952" s="55" t="s">
        <v>344</v>
      </c>
      <c r="G952" s="55" t="s">
        <v>360</v>
      </c>
      <c r="H952" s="55" t="s">
        <v>360</v>
      </c>
      <c r="I952" s="55" t="s">
        <v>360</v>
      </c>
      <c r="J952" s="55" t="s">
        <v>360</v>
      </c>
      <c r="K952" s="55" t="s">
        <v>360</v>
      </c>
      <c r="L952" s="55" t="s">
        <v>360</v>
      </c>
      <c r="M952" s="55" t="s">
        <v>138</v>
      </c>
      <c r="N952" s="55" t="s">
        <v>138</v>
      </c>
      <c r="O952" s="55" t="s">
        <v>183</v>
      </c>
      <c r="P952" s="55" t="s">
        <v>907</v>
      </c>
      <c r="Q952" s="55" t="s">
        <v>350</v>
      </c>
      <c r="R952" s="55">
        <v>3</v>
      </c>
      <c r="S952" s="74"/>
      <c r="T952" s="55" t="s">
        <v>1665</v>
      </c>
      <c r="U952" s="73" t="s">
        <v>351</v>
      </c>
      <c r="V952" s="74">
        <v>44503</v>
      </c>
      <c r="W952" s="74">
        <v>44530</v>
      </c>
      <c r="X952" s="55">
        <v>10185283</v>
      </c>
      <c r="Y952" s="74" t="s">
        <v>132</v>
      </c>
      <c r="Z952" s="74"/>
      <c r="AB952" s="55" t="s">
        <v>132</v>
      </c>
      <c r="AC952" s="55" t="s">
        <v>132</v>
      </c>
    </row>
    <row r="953" spans="1:29" ht="13" x14ac:dyDescent="0.15">
      <c r="A953" s="72" t="str">
        <f t="shared" si="14"/>
        <v>Ofsted Social Care Provider Webpage</v>
      </c>
      <c r="B953" s="55">
        <v>2562678</v>
      </c>
      <c r="D953" s="55" t="s">
        <v>373</v>
      </c>
      <c r="E953" s="74">
        <v>43843</v>
      </c>
      <c r="F953" s="55" t="s">
        <v>344</v>
      </c>
      <c r="G953" s="55" t="s">
        <v>360</v>
      </c>
      <c r="H953" s="55" t="s">
        <v>360</v>
      </c>
      <c r="I953" s="55" t="s">
        <v>360</v>
      </c>
      <c r="J953" s="55" t="s">
        <v>360</v>
      </c>
      <c r="K953" s="55" t="s">
        <v>360</v>
      </c>
      <c r="L953" s="55" t="s">
        <v>360</v>
      </c>
      <c r="M953" s="55" t="s">
        <v>378</v>
      </c>
      <c r="N953" s="55" t="s">
        <v>134</v>
      </c>
      <c r="O953" s="55" t="s">
        <v>246</v>
      </c>
      <c r="P953" s="55" t="s">
        <v>685</v>
      </c>
      <c r="Q953" s="55" t="s">
        <v>350</v>
      </c>
      <c r="R953" s="55">
        <v>4</v>
      </c>
      <c r="S953" s="74"/>
      <c r="T953" s="55" t="s">
        <v>1666</v>
      </c>
      <c r="U953" s="73"/>
      <c r="W953" s="74"/>
      <c r="Y953" s="74"/>
      <c r="Z953" s="74"/>
    </row>
    <row r="954" spans="1:29" ht="13" x14ac:dyDescent="0.15">
      <c r="A954" s="72" t="str">
        <f t="shared" si="14"/>
        <v>Ofsted Social Care Provider Webpage</v>
      </c>
      <c r="B954" s="55">
        <v>2563164</v>
      </c>
      <c r="D954" s="55" t="s">
        <v>373</v>
      </c>
      <c r="E954" s="74">
        <v>43945</v>
      </c>
      <c r="F954" s="55" t="s">
        <v>344</v>
      </c>
      <c r="G954" s="55" t="s">
        <v>360</v>
      </c>
      <c r="H954" s="55" t="s">
        <v>360</v>
      </c>
      <c r="I954" s="55" t="s">
        <v>360</v>
      </c>
      <c r="J954" s="55" t="s">
        <v>360</v>
      </c>
      <c r="K954" s="55" t="s">
        <v>360</v>
      </c>
      <c r="L954" s="55" t="s">
        <v>360</v>
      </c>
      <c r="M954" s="55" t="s">
        <v>144</v>
      </c>
      <c r="N954" s="55" t="s">
        <v>144</v>
      </c>
      <c r="O954" s="55" t="s">
        <v>188</v>
      </c>
      <c r="P954" s="55" t="s">
        <v>188</v>
      </c>
      <c r="Q954" s="55" t="s">
        <v>350</v>
      </c>
      <c r="R954" s="55">
        <v>2</v>
      </c>
      <c r="S954" s="74"/>
      <c r="T954" s="55" t="s">
        <v>816</v>
      </c>
      <c r="U954" s="73" t="s">
        <v>351</v>
      </c>
      <c r="V954" s="74">
        <v>44299</v>
      </c>
      <c r="W954" s="74">
        <v>44328</v>
      </c>
      <c r="X954" s="55">
        <v>10185197</v>
      </c>
      <c r="Y954" s="74" t="s">
        <v>132</v>
      </c>
      <c r="Z954" s="74"/>
      <c r="AB954" s="55" t="s">
        <v>132</v>
      </c>
      <c r="AC954" s="55" t="s">
        <v>132</v>
      </c>
    </row>
    <row r="955" spans="1:29" ht="13" x14ac:dyDescent="0.15">
      <c r="A955" s="72" t="str">
        <f t="shared" si="14"/>
        <v>Ofsted Social Care Provider Webpage</v>
      </c>
      <c r="B955" s="55">
        <v>2563216</v>
      </c>
      <c r="D955" s="55" t="s">
        <v>373</v>
      </c>
      <c r="E955" s="74">
        <v>43790</v>
      </c>
      <c r="F955" s="55" t="s">
        <v>344</v>
      </c>
      <c r="G955" s="55" t="s">
        <v>360</v>
      </c>
      <c r="H955" s="55" t="s">
        <v>360</v>
      </c>
      <c r="I955" s="55" t="s">
        <v>360</v>
      </c>
      <c r="J955" s="55" t="s">
        <v>360</v>
      </c>
      <c r="K955" s="55" t="s">
        <v>360</v>
      </c>
      <c r="L955" s="55" t="s">
        <v>360</v>
      </c>
      <c r="M955" s="55" t="s">
        <v>378</v>
      </c>
      <c r="N955" s="55" t="s">
        <v>134</v>
      </c>
      <c r="O955" s="55" t="s">
        <v>225</v>
      </c>
      <c r="P955" s="55" t="s">
        <v>1667</v>
      </c>
      <c r="Q955" s="55" t="s">
        <v>380</v>
      </c>
      <c r="R955" s="55">
        <v>4</v>
      </c>
      <c r="S955" s="74"/>
      <c r="T955" s="55" t="s">
        <v>1668</v>
      </c>
      <c r="U955" s="73" t="s">
        <v>351</v>
      </c>
      <c r="V955" s="74">
        <v>44518</v>
      </c>
      <c r="W955" s="74">
        <v>44575</v>
      </c>
      <c r="X955" s="55">
        <v>10206521</v>
      </c>
      <c r="Y955" s="74" t="s">
        <v>130</v>
      </c>
      <c r="Z955" s="74"/>
      <c r="AB955" s="55" t="s">
        <v>130</v>
      </c>
      <c r="AC955" s="55" t="s">
        <v>132</v>
      </c>
    </row>
    <row r="956" spans="1:29" ht="13" x14ac:dyDescent="0.15">
      <c r="A956" s="72" t="str">
        <f t="shared" si="14"/>
        <v>Ofsted Social Care Provider Webpage</v>
      </c>
      <c r="B956" s="55">
        <v>2563530</v>
      </c>
      <c r="D956" s="55" t="s">
        <v>373</v>
      </c>
      <c r="E956" s="74">
        <v>43843</v>
      </c>
      <c r="F956" s="55" t="s">
        <v>344</v>
      </c>
      <c r="G956" s="55" t="s">
        <v>360</v>
      </c>
      <c r="H956" s="55" t="s">
        <v>360</v>
      </c>
      <c r="I956" s="55" t="s">
        <v>360</v>
      </c>
      <c r="J956" s="55" t="s">
        <v>360</v>
      </c>
      <c r="K956" s="55" t="s">
        <v>360</v>
      </c>
      <c r="L956" s="55" t="s">
        <v>360</v>
      </c>
      <c r="M956" s="55" t="s">
        <v>129</v>
      </c>
      <c r="N956" s="55" t="s">
        <v>129</v>
      </c>
      <c r="O956" s="55" t="s">
        <v>279</v>
      </c>
      <c r="P956" s="55" t="s">
        <v>1078</v>
      </c>
      <c r="Q956" s="55" t="s">
        <v>380</v>
      </c>
      <c r="R956" s="55">
        <v>8</v>
      </c>
      <c r="S956" s="74"/>
      <c r="T956" s="55" t="s">
        <v>1669</v>
      </c>
      <c r="U956" s="73" t="s">
        <v>351</v>
      </c>
      <c r="V956" s="74">
        <v>44503</v>
      </c>
      <c r="W956" s="74">
        <v>44538</v>
      </c>
      <c r="X956" s="55">
        <v>10185052</v>
      </c>
      <c r="Y956" s="74" t="s">
        <v>132</v>
      </c>
      <c r="Z956" s="74"/>
      <c r="AB956" s="55" t="s">
        <v>132</v>
      </c>
      <c r="AC956" s="55" t="s">
        <v>132</v>
      </c>
    </row>
    <row r="957" spans="1:29" ht="13" x14ac:dyDescent="0.15">
      <c r="A957" s="72" t="str">
        <f t="shared" si="14"/>
        <v>Ofsted Social Care Provider Webpage</v>
      </c>
      <c r="B957" s="55">
        <v>2563544</v>
      </c>
      <c r="D957" s="55" t="s">
        <v>373</v>
      </c>
      <c r="E957" s="74">
        <v>43881</v>
      </c>
      <c r="F957" s="55" t="s">
        <v>344</v>
      </c>
      <c r="G957" s="55" t="s">
        <v>360</v>
      </c>
      <c r="H957" s="55" t="s">
        <v>360</v>
      </c>
      <c r="I957" s="55" t="s">
        <v>360</v>
      </c>
      <c r="J957" s="55" t="s">
        <v>360</v>
      </c>
      <c r="K957" s="55" t="s">
        <v>360</v>
      </c>
      <c r="L957" s="55" t="s">
        <v>360</v>
      </c>
      <c r="M957" s="55" t="s">
        <v>144</v>
      </c>
      <c r="N957" s="55" t="s">
        <v>144</v>
      </c>
      <c r="O957" s="55" t="s">
        <v>209</v>
      </c>
      <c r="P957" s="55" t="s">
        <v>650</v>
      </c>
      <c r="Q957" s="55" t="s">
        <v>350</v>
      </c>
      <c r="R957" s="55">
        <v>3</v>
      </c>
      <c r="S957" s="74"/>
      <c r="T957" s="55" t="s">
        <v>613</v>
      </c>
      <c r="U957" s="73" t="s">
        <v>351</v>
      </c>
      <c r="V957" s="74">
        <v>44334</v>
      </c>
      <c r="W957" s="74">
        <v>44369</v>
      </c>
      <c r="X957" s="55">
        <v>10186794</v>
      </c>
      <c r="Y957" s="74" t="s">
        <v>130</v>
      </c>
      <c r="Z957" s="74"/>
      <c r="AB957" s="55" t="s">
        <v>130</v>
      </c>
      <c r="AC957" s="55" t="s">
        <v>146</v>
      </c>
    </row>
    <row r="958" spans="1:29" ht="13" x14ac:dyDescent="0.15">
      <c r="A958" s="72" t="str">
        <f t="shared" si="14"/>
        <v>Ofsted Social Care Provider Webpage</v>
      </c>
      <c r="B958" s="55">
        <v>2563818</v>
      </c>
      <c r="D958" s="55" t="s">
        <v>1493</v>
      </c>
      <c r="E958" s="74">
        <v>43833</v>
      </c>
      <c r="F958" s="55" t="s">
        <v>344</v>
      </c>
      <c r="G958" s="55" t="s">
        <v>360</v>
      </c>
      <c r="H958" s="55" t="s">
        <v>360</v>
      </c>
      <c r="I958" s="55" t="s">
        <v>360</v>
      </c>
      <c r="J958" s="55" t="s">
        <v>360</v>
      </c>
      <c r="K958" s="55" t="s">
        <v>360</v>
      </c>
      <c r="L958" s="55" t="s">
        <v>360</v>
      </c>
      <c r="M958" s="55" t="s">
        <v>142</v>
      </c>
      <c r="N958" s="55" t="s">
        <v>142</v>
      </c>
      <c r="O958" s="55" t="s">
        <v>252</v>
      </c>
      <c r="P958" s="55" t="s">
        <v>386</v>
      </c>
      <c r="Q958" s="55" t="s">
        <v>350</v>
      </c>
      <c r="R958" s="55">
        <v>3</v>
      </c>
      <c r="S958" s="74"/>
      <c r="T958" s="55" t="s">
        <v>504</v>
      </c>
      <c r="U958" s="73" t="s">
        <v>351</v>
      </c>
      <c r="V958" s="74">
        <v>44306</v>
      </c>
      <c r="W958" s="74">
        <v>44336</v>
      </c>
      <c r="X958" s="55">
        <v>10186603</v>
      </c>
      <c r="Y958" s="74" t="s">
        <v>132</v>
      </c>
      <c r="Z958" s="74"/>
      <c r="AB958" s="55" t="s">
        <v>132</v>
      </c>
      <c r="AC958" s="55" t="s">
        <v>132</v>
      </c>
    </row>
    <row r="959" spans="1:29" ht="13" x14ac:dyDescent="0.15">
      <c r="A959" s="72" t="str">
        <f t="shared" si="14"/>
        <v>Ofsted Social Care Provider Webpage</v>
      </c>
      <c r="B959" s="55">
        <v>2563888</v>
      </c>
      <c r="D959" s="55" t="s">
        <v>389</v>
      </c>
      <c r="E959" s="74">
        <v>43963</v>
      </c>
      <c r="F959" s="55" t="s">
        <v>344</v>
      </c>
      <c r="G959" s="55" t="s">
        <v>1670</v>
      </c>
      <c r="H959" s="55" t="s">
        <v>1265</v>
      </c>
      <c r="I959" s="55" t="s">
        <v>354</v>
      </c>
      <c r="J959" s="55" t="s">
        <v>167</v>
      </c>
      <c r="K959" s="55" t="s">
        <v>268</v>
      </c>
      <c r="L959" s="55" t="s">
        <v>1671</v>
      </c>
      <c r="M959" s="55" t="s">
        <v>129</v>
      </c>
      <c r="N959" s="55" t="s">
        <v>129</v>
      </c>
      <c r="O959" s="55" t="s">
        <v>167</v>
      </c>
      <c r="P959" s="55" t="s">
        <v>553</v>
      </c>
      <c r="Q959" s="55" t="s">
        <v>350</v>
      </c>
      <c r="R959" s="55"/>
      <c r="S959" s="74"/>
      <c r="T959" s="55" t="s">
        <v>1670</v>
      </c>
      <c r="U959" s="73" t="s">
        <v>351</v>
      </c>
      <c r="V959" s="74">
        <v>44501</v>
      </c>
      <c r="W959" s="74">
        <v>44551</v>
      </c>
      <c r="X959" s="55">
        <v>10183190</v>
      </c>
      <c r="Y959" s="74" t="s">
        <v>132</v>
      </c>
      <c r="Z959" s="74"/>
      <c r="AB959" s="55" t="s">
        <v>132</v>
      </c>
      <c r="AC959" s="55" t="s">
        <v>132</v>
      </c>
    </row>
    <row r="960" spans="1:29" ht="13" x14ac:dyDescent="0.15">
      <c r="A960" s="72" t="str">
        <f t="shared" si="14"/>
        <v>Ofsted Social Care Provider Webpage</v>
      </c>
      <c r="B960" s="55">
        <v>2564415</v>
      </c>
      <c r="D960" s="55" t="s">
        <v>373</v>
      </c>
      <c r="E960" s="74">
        <v>43952</v>
      </c>
      <c r="F960" s="55" t="s">
        <v>344</v>
      </c>
      <c r="G960" s="55" t="s">
        <v>360</v>
      </c>
      <c r="H960" s="55" t="s">
        <v>360</v>
      </c>
      <c r="I960" s="55" t="s">
        <v>360</v>
      </c>
      <c r="J960" s="55" t="s">
        <v>360</v>
      </c>
      <c r="K960" s="55" t="s">
        <v>360</v>
      </c>
      <c r="L960" s="55" t="s">
        <v>360</v>
      </c>
      <c r="M960" s="55" t="s">
        <v>144</v>
      </c>
      <c r="N960" s="55" t="s">
        <v>144</v>
      </c>
      <c r="O960" s="55" t="s">
        <v>209</v>
      </c>
      <c r="P960" s="55" t="s">
        <v>736</v>
      </c>
      <c r="Q960" s="55" t="s">
        <v>350</v>
      </c>
      <c r="R960" s="55">
        <v>4</v>
      </c>
      <c r="S960" s="74"/>
      <c r="T960" s="55" t="s">
        <v>485</v>
      </c>
      <c r="U960" s="73" t="s">
        <v>351</v>
      </c>
      <c r="V960" s="74">
        <v>44363</v>
      </c>
      <c r="W960" s="74">
        <v>44393</v>
      </c>
      <c r="X960" s="55">
        <v>10186986</v>
      </c>
      <c r="Y960" s="74" t="s">
        <v>132</v>
      </c>
      <c r="Z960" s="74"/>
      <c r="AB960" s="55" t="s">
        <v>132</v>
      </c>
      <c r="AC960" s="55" t="s">
        <v>132</v>
      </c>
    </row>
    <row r="961" spans="1:29" ht="13" x14ac:dyDescent="0.15">
      <c r="A961" s="72" t="str">
        <f t="shared" si="14"/>
        <v>Ofsted Social Care Provider Webpage</v>
      </c>
      <c r="B961" s="55">
        <v>2564769</v>
      </c>
      <c r="D961" s="55" t="s">
        <v>479</v>
      </c>
      <c r="E961" s="74">
        <v>43894</v>
      </c>
      <c r="F961" s="55" t="s">
        <v>344</v>
      </c>
      <c r="G961" s="55" t="s">
        <v>360</v>
      </c>
      <c r="H961" s="55" t="s">
        <v>360</v>
      </c>
      <c r="I961" s="55" t="s">
        <v>360</v>
      </c>
      <c r="J961" s="55" t="s">
        <v>360</v>
      </c>
      <c r="K961" s="55" t="s">
        <v>360</v>
      </c>
      <c r="L961" s="55" t="s">
        <v>360</v>
      </c>
      <c r="M961" s="55" t="s">
        <v>378</v>
      </c>
      <c r="N961" s="55" t="s">
        <v>134</v>
      </c>
      <c r="O961" s="55" t="s">
        <v>175</v>
      </c>
      <c r="P961" s="55" t="s">
        <v>678</v>
      </c>
      <c r="Q961" s="55" t="s">
        <v>350</v>
      </c>
      <c r="R961" s="55">
        <v>4</v>
      </c>
      <c r="S961" s="74"/>
      <c r="T961" s="55" t="s">
        <v>1672</v>
      </c>
      <c r="U961" s="73" t="s">
        <v>351</v>
      </c>
      <c r="V961" s="74">
        <v>44509</v>
      </c>
      <c r="W961" s="74">
        <v>44543</v>
      </c>
      <c r="X961" s="55">
        <v>10209493</v>
      </c>
      <c r="Y961" s="74" t="s">
        <v>130</v>
      </c>
      <c r="Z961" s="74"/>
      <c r="AB961" s="55" t="s">
        <v>130</v>
      </c>
      <c r="AC961" s="55" t="s">
        <v>130</v>
      </c>
    </row>
    <row r="962" spans="1:29" ht="13" x14ac:dyDescent="0.15">
      <c r="A962" s="72" t="str">
        <f t="shared" si="14"/>
        <v>Ofsted Social Care Provider Webpage</v>
      </c>
      <c r="B962" s="55">
        <v>2565231</v>
      </c>
      <c r="D962" s="55" t="s">
        <v>373</v>
      </c>
      <c r="E962" s="74">
        <v>43916</v>
      </c>
      <c r="F962" s="55" t="s">
        <v>344</v>
      </c>
      <c r="G962" s="55" t="s">
        <v>360</v>
      </c>
      <c r="H962" s="55" t="s">
        <v>360</v>
      </c>
      <c r="I962" s="55" t="s">
        <v>360</v>
      </c>
      <c r="J962" s="55" t="s">
        <v>360</v>
      </c>
      <c r="K962" s="55" t="s">
        <v>360</v>
      </c>
      <c r="L962" s="55" t="s">
        <v>360</v>
      </c>
      <c r="M962" s="55" t="s">
        <v>142</v>
      </c>
      <c r="N962" s="55" t="s">
        <v>142</v>
      </c>
      <c r="O962" s="55" t="s">
        <v>262</v>
      </c>
      <c r="P962" s="55" t="s">
        <v>916</v>
      </c>
      <c r="Q962" s="55" t="s">
        <v>350</v>
      </c>
      <c r="R962" s="55">
        <v>3</v>
      </c>
      <c r="S962" s="74"/>
      <c r="T962" s="55" t="s">
        <v>917</v>
      </c>
      <c r="U962" s="73" t="s">
        <v>351</v>
      </c>
      <c r="V962" s="74">
        <v>44502</v>
      </c>
      <c r="W962" s="74">
        <v>44550</v>
      </c>
      <c r="X962" s="55">
        <v>10186471</v>
      </c>
      <c r="Y962" s="74" t="s">
        <v>132</v>
      </c>
      <c r="Z962" s="74"/>
      <c r="AB962" s="55" t="s">
        <v>132</v>
      </c>
      <c r="AC962" s="55" t="s">
        <v>132</v>
      </c>
    </row>
    <row r="963" spans="1:29" ht="13" x14ac:dyDescent="0.15">
      <c r="A963" s="72" t="str">
        <f t="shared" si="14"/>
        <v>Ofsted Social Care Provider Webpage</v>
      </c>
      <c r="B963" s="55">
        <v>2565421</v>
      </c>
      <c r="D963" s="55" t="s">
        <v>373</v>
      </c>
      <c r="E963" s="74">
        <v>43846</v>
      </c>
      <c r="F963" s="55" t="s">
        <v>344</v>
      </c>
      <c r="G963" s="55" t="s">
        <v>360</v>
      </c>
      <c r="H963" s="55" t="s">
        <v>360</v>
      </c>
      <c r="I963" s="55" t="s">
        <v>360</v>
      </c>
      <c r="J963" s="55" t="s">
        <v>360</v>
      </c>
      <c r="K963" s="55" t="s">
        <v>360</v>
      </c>
      <c r="L963" s="55" t="s">
        <v>360</v>
      </c>
      <c r="M963" s="55" t="s">
        <v>172</v>
      </c>
      <c r="N963" s="55" t="s">
        <v>172</v>
      </c>
      <c r="O963" s="55" t="s">
        <v>212</v>
      </c>
      <c r="P963" s="55" t="s">
        <v>798</v>
      </c>
      <c r="Q963" s="55" t="s">
        <v>350</v>
      </c>
      <c r="R963" s="55">
        <v>4</v>
      </c>
      <c r="S963" s="74"/>
      <c r="T963" s="55" t="s">
        <v>799</v>
      </c>
      <c r="U963" s="73" t="s">
        <v>351</v>
      </c>
      <c r="V963" s="74">
        <v>44621</v>
      </c>
      <c r="W963" s="74">
        <v>44663</v>
      </c>
      <c r="X963" s="55">
        <v>10185774</v>
      </c>
      <c r="Y963" s="74" t="s">
        <v>132</v>
      </c>
      <c r="Z963" s="74"/>
      <c r="AB963" s="55" t="s">
        <v>132</v>
      </c>
      <c r="AC963" s="55" t="s">
        <v>132</v>
      </c>
    </row>
    <row r="964" spans="1:29" ht="13" x14ac:dyDescent="0.15">
      <c r="A964" s="72" t="str">
        <f t="shared" si="14"/>
        <v>Ofsted Social Care Provider Webpage</v>
      </c>
      <c r="B964" s="55">
        <v>2565542</v>
      </c>
      <c r="D964" s="55" t="s">
        <v>373</v>
      </c>
      <c r="E964" s="74">
        <v>43818</v>
      </c>
      <c r="F964" s="55" t="s">
        <v>344</v>
      </c>
      <c r="G964" s="55" t="s">
        <v>360</v>
      </c>
      <c r="H964" s="55" t="s">
        <v>360</v>
      </c>
      <c r="I964" s="55" t="s">
        <v>360</v>
      </c>
      <c r="J964" s="55" t="s">
        <v>360</v>
      </c>
      <c r="K964" s="55" t="s">
        <v>360</v>
      </c>
      <c r="L964" s="55" t="s">
        <v>360</v>
      </c>
      <c r="M964" s="55" t="s">
        <v>138</v>
      </c>
      <c r="N964" s="55" t="s">
        <v>138</v>
      </c>
      <c r="O964" s="55" t="s">
        <v>273</v>
      </c>
      <c r="P964" s="55" t="s">
        <v>273</v>
      </c>
      <c r="Q964" s="55" t="s">
        <v>350</v>
      </c>
      <c r="R964" s="55">
        <v>2</v>
      </c>
      <c r="S964" s="74"/>
      <c r="T964" s="55" t="s">
        <v>1673</v>
      </c>
      <c r="U964" s="73" t="s">
        <v>351</v>
      </c>
      <c r="V964" s="74">
        <v>44419</v>
      </c>
      <c r="W964" s="74">
        <v>44445</v>
      </c>
      <c r="X964" s="55">
        <v>10186368</v>
      </c>
      <c r="Y964" s="74" t="s">
        <v>132</v>
      </c>
      <c r="Z964" s="74"/>
      <c r="AB964" s="55" t="s">
        <v>132</v>
      </c>
      <c r="AC964" s="55" t="s">
        <v>132</v>
      </c>
    </row>
    <row r="965" spans="1:29" ht="13" x14ac:dyDescent="0.15">
      <c r="A965" s="72" t="str">
        <f t="shared" si="14"/>
        <v>Ofsted Social Care Provider Webpage</v>
      </c>
      <c r="B965" s="55">
        <v>2565716</v>
      </c>
      <c r="D965" s="55" t="s">
        <v>373</v>
      </c>
      <c r="E965" s="74">
        <v>43795</v>
      </c>
      <c r="F965" s="55" t="s">
        <v>344</v>
      </c>
      <c r="G965" s="55" t="s">
        <v>360</v>
      </c>
      <c r="H965" s="55" t="s">
        <v>360</v>
      </c>
      <c r="I965" s="55" t="s">
        <v>360</v>
      </c>
      <c r="J965" s="55" t="s">
        <v>360</v>
      </c>
      <c r="K965" s="55" t="s">
        <v>360</v>
      </c>
      <c r="L965" s="55" t="s">
        <v>360</v>
      </c>
      <c r="M965" s="55" t="s">
        <v>378</v>
      </c>
      <c r="N965" s="55" t="s">
        <v>170</v>
      </c>
      <c r="O965" s="55" t="s">
        <v>220</v>
      </c>
      <c r="P965" s="55" t="s">
        <v>220</v>
      </c>
      <c r="Q965" s="55" t="s">
        <v>380</v>
      </c>
      <c r="R965" s="55">
        <v>4</v>
      </c>
      <c r="S965" s="74"/>
      <c r="T965" s="55" t="s">
        <v>1674</v>
      </c>
      <c r="U965" s="73" t="s">
        <v>351</v>
      </c>
      <c r="V965" s="74">
        <v>44488</v>
      </c>
      <c r="W965" s="74">
        <v>44524</v>
      </c>
      <c r="X965" s="55">
        <v>10185819</v>
      </c>
      <c r="Y965" s="74" t="s">
        <v>132</v>
      </c>
      <c r="Z965" s="74"/>
      <c r="AB965" s="55" t="s">
        <v>132</v>
      </c>
      <c r="AC965" s="55" t="s">
        <v>140</v>
      </c>
    </row>
    <row r="966" spans="1:29" ht="13" x14ac:dyDescent="0.15">
      <c r="A966" s="72" t="str">
        <f t="shared" ref="A966:A1029" si="15">HYPERLINK(_xlfn.CONCAT("http://reports.ofsted.gov.uk/inspection-reports/find-inspection-report/provider/CARE/",B966),"Ofsted Social Care Provider Webpage")</f>
        <v>Ofsted Social Care Provider Webpage</v>
      </c>
      <c r="B966" s="55">
        <v>2566238</v>
      </c>
      <c r="D966" s="55" t="s">
        <v>373</v>
      </c>
      <c r="E966" s="74">
        <v>43879</v>
      </c>
      <c r="F966" s="55" t="s">
        <v>344</v>
      </c>
      <c r="G966" s="55" t="s">
        <v>360</v>
      </c>
      <c r="H966" s="55" t="s">
        <v>360</v>
      </c>
      <c r="I966" s="55" t="s">
        <v>360</v>
      </c>
      <c r="J966" s="55" t="s">
        <v>360</v>
      </c>
      <c r="K966" s="55" t="s">
        <v>360</v>
      </c>
      <c r="L966" s="55" t="s">
        <v>360</v>
      </c>
      <c r="M966" s="55" t="s">
        <v>129</v>
      </c>
      <c r="N966" s="55" t="s">
        <v>129</v>
      </c>
      <c r="O966" s="55" t="s">
        <v>167</v>
      </c>
      <c r="P966" s="55" t="s">
        <v>553</v>
      </c>
      <c r="Q966" s="55" t="s">
        <v>350</v>
      </c>
      <c r="R966" s="55">
        <v>3</v>
      </c>
      <c r="S966" s="74"/>
      <c r="T966" s="55" t="s">
        <v>713</v>
      </c>
      <c r="U966" s="73" t="s">
        <v>351</v>
      </c>
      <c r="V966" s="74">
        <v>44481</v>
      </c>
      <c r="W966" s="74">
        <v>44519</v>
      </c>
      <c r="X966" s="55">
        <v>10185508</v>
      </c>
      <c r="Y966" s="74" t="s">
        <v>132</v>
      </c>
      <c r="Z966" s="74"/>
      <c r="AB966" s="55" t="s">
        <v>132</v>
      </c>
      <c r="AC966" s="55" t="s">
        <v>132</v>
      </c>
    </row>
    <row r="967" spans="1:29" ht="13" x14ac:dyDescent="0.15">
      <c r="A967" s="72" t="str">
        <f t="shared" si="15"/>
        <v>Ofsted Social Care Provider Webpage</v>
      </c>
      <c r="B967" s="55">
        <v>2566488</v>
      </c>
      <c r="D967" s="55" t="s">
        <v>373</v>
      </c>
      <c r="E967" s="74">
        <v>43908</v>
      </c>
      <c r="F967" s="55" t="s">
        <v>344</v>
      </c>
      <c r="G967" s="55" t="s">
        <v>360</v>
      </c>
      <c r="H967" s="55" t="s">
        <v>360</v>
      </c>
      <c r="I967" s="55" t="s">
        <v>360</v>
      </c>
      <c r="J967" s="55" t="s">
        <v>360</v>
      </c>
      <c r="K967" s="55" t="s">
        <v>360</v>
      </c>
      <c r="L967" s="55" t="s">
        <v>360</v>
      </c>
      <c r="M967" s="55" t="s">
        <v>138</v>
      </c>
      <c r="N967" s="55" t="s">
        <v>138</v>
      </c>
      <c r="O967" s="55" t="s">
        <v>224</v>
      </c>
      <c r="P967" s="55" t="s">
        <v>1675</v>
      </c>
      <c r="Q967" s="55" t="s">
        <v>350</v>
      </c>
      <c r="R967" s="55">
        <v>4</v>
      </c>
      <c r="S967" s="74"/>
      <c r="T967" s="55" t="s">
        <v>1676</v>
      </c>
      <c r="U967" s="73" t="s">
        <v>351</v>
      </c>
      <c r="V967" s="74">
        <v>44426</v>
      </c>
      <c r="W967" s="74">
        <v>44455</v>
      </c>
      <c r="X967" s="55">
        <v>10186479</v>
      </c>
      <c r="Y967" s="74" t="s">
        <v>130</v>
      </c>
      <c r="Z967" s="74"/>
      <c r="AB967" s="55" t="s">
        <v>130</v>
      </c>
      <c r="AC967" s="55" t="s">
        <v>130</v>
      </c>
    </row>
    <row r="968" spans="1:29" ht="13" x14ac:dyDescent="0.15">
      <c r="A968" s="72" t="str">
        <f t="shared" si="15"/>
        <v>Ofsted Social Care Provider Webpage</v>
      </c>
      <c r="B968" s="55">
        <v>2567039</v>
      </c>
      <c r="D968" s="55" t="s">
        <v>373</v>
      </c>
      <c r="E968" s="74">
        <v>43840</v>
      </c>
      <c r="F968" s="55" t="s">
        <v>344</v>
      </c>
      <c r="G968" s="55" t="s">
        <v>360</v>
      </c>
      <c r="H968" s="55" t="s">
        <v>360</v>
      </c>
      <c r="I968" s="55" t="s">
        <v>360</v>
      </c>
      <c r="J968" s="55" t="s">
        <v>360</v>
      </c>
      <c r="K968" s="55" t="s">
        <v>360</v>
      </c>
      <c r="L968" s="55" t="s">
        <v>360</v>
      </c>
      <c r="M968" s="55" t="s">
        <v>136</v>
      </c>
      <c r="N968" s="55" t="s">
        <v>136</v>
      </c>
      <c r="O968" s="55" t="s">
        <v>239</v>
      </c>
      <c r="P968" s="55" t="s">
        <v>738</v>
      </c>
      <c r="Q968" s="55" t="s">
        <v>350</v>
      </c>
      <c r="R968" s="55">
        <v>3</v>
      </c>
      <c r="S968" s="74"/>
      <c r="T968" s="55" t="s">
        <v>739</v>
      </c>
      <c r="U968" s="73" t="s">
        <v>351</v>
      </c>
      <c r="V968" s="74">
        <v>44467</v>
      </c>
      <c r="W968" s="74">
        <v>44502</v>
      </c>
      <c r="X968" s="55">
        <v>10187109</v>
      </c>
      <c r="Y968" s="74" t="s">
        <v>132</v>
      </c>
      <c r="Z968" s="74"/>
      <c r="AB968" s="55" t="s">
        <v>132</v>
      </c>
      <c r="AC968" s="55" t="s">
        <v>132</v>
      </c>
    </row>
    <row r="969" spans="1:29" ht="13" x14ac:dyDescent="0.15">
      <c r="A969" s="72" t="str">
        <f t="shared" si="15"/>
        <v>Ofsted Social Care Provider Webpage</v>
      </c>
      <c r="B969" s="55">
        <v>2567267</v>
      </c>
      <c r="D969" s="55" t="s">
        <v>373</v>
      </c>
      <c r="E969" s="74">
        <v>43908</v>
      </c>
      <c r="F969" s="55" t="s">
        <v>344</v>
      </c>
      <c r="G969" s="55" t="s">
        <v>360</v>
      </c>
      <c r="H969" s="55" t="s">
        <v>360</v>
      </c>
      <c r="I969" s="55" t="s">
        <v>360</v>
      </c>
      <c r="J969" s="55" t="s">
        <v>360</v>
      </c>
      <c r="K969" s="55" t="s">
        <v>360</v>
      </c>
      <c r="L969" s="55" t="s">
        <v>360</v>
      </c>
      <c r="M969" s="55" t="s">
        <v>129</v>
      </c>
      <c r="N969" s="55" t="s">
        <v>129</v>
      </c>
      <c r="O969" s="55" t="s">
        <v>152</v>
      </c>
      <c r="P969" s="55" t="s">
        <v>1130</v>
      </c>
      <c r="Q969" s="55" t="s">
        <v>350</v>
      </c>
      <c r="R969" s="55">
        <v>4</v>
      </c>
      <c r="S969" s="74"/>
      <c r="T969" s="55" t="s">
        <v>1677</v>
      </c>
      <c r="U969" s="73" t="s">
        <v>351</v>
      </c>
      <c r="V969" s="74">
        <v>44481</v>
      </c>
      <c r="W969" s="74">
        <v>44511</v>
      </c>
      <c r="X969" s="55">
        <v>10210099</v>
      </c>
      <c r="Y969" s="74" t="s">
        <v>132</v>
      </c>
      <c r="Z969" s="74"/>
      <c r="AB969" s="55" t="s">
        <v>132</v>
      </c>
      <c r="AC969" s="55" t="s">
        <v>132</v>
      </c>
    </row>
    <row r="970" spans="1:29" ht="13" x14ac:dyDescent="0.15">
      <c r="A970" s="72" t="str">
        <f t="shared" si="15"/>
        <v>Ofsted Social Care Provider Webpage</v>
      </c>
      <c r="B970" s="55">
        <v>2567272</v>
      </c>
      <c r="D970" s="55" t="s">
        <v>373</v>
      </c>
      <c r="E970" s="74">
        <v>44048</v>
      </c>
      <c r="F970" s="55" t="s">
        <v>344</v>
      </c>
      <c r="G970" s="55" t="s">
        <v>360</v>
      </c>
      <c r="H970" s="55" t="s">
        <v>360</v>
      </c>
      <c r="I970" s="55" t="s">
        <v>360</v>
      </c>
      <c r="J970" s="55" t="s">
        <v>360</v>
      </c>
      <c r="K970" s="55" t="s">
        <v>360</v>
      </c>
      <c r="L970" s="55" t="s">
        <v>360</v>
      </c>
      <c r="M970" s="55" t="s">
        <v>144</v>
      </c>
      <c r="N970" s="55" t="s">
        <v>144</v>
      </c>
      <c r="O970" s="55" t="s">
        <v>207</v>
      </c>
      <c r="P970" s="55" t="s">
        <v>792</v>
      </c>
      <c r="Q970" s="55" t="s">
        <v>350</v>
      </c>
      <c r="R970" s="55">
        <v>3</v>
      </c>
      <c r="S970" s="74"/>
      <c r="T970" s="55" t="s">
        <v>1653</v>
      </c>
      <c r="U970" s="73" t="s">
        <v>351</v>
      </c>
      <c r="V970" s="74">
        <v>44356</v>
      </c>
      <c r="W970" s="74">
        <v>44406</v>
      </c>
      <c r="X970" s="55">
        <v>10186400</v>
      </c>
      <c r="Y970" s="74" t="s">
        <v>130</v>
      </c>
      <c r="Z970" s="74"/>
      <c r="AB970" s="55" t="s">
        <v>130</v>
      </c>
      <c r="AC970" s="55" t="s">
        <v>146</v>
      </c>
    </row>
    <row r="971" spans="1:29" ht="13" x14ac:dyDescent="0.15">
      <c r="A971" s="72" t="str">
        <f t="shared" si="15"/>
        <v>Ofsted Social Care Provider Webpage</v>
      </c>
      <c r="B971" s="55">
        <v>2567404</v>
      </c>
      <c r="D971" s="55" t="s">
        <v>389</v>
      </c>
      <c r="E971" s="74">
        <v>43796</v>
      </c>
      <c r="F971" s="55" t="s">
        <v>344</v>
      </c>
      <c r="G971" s="55" t="s">
        <v>1678</v>
      </c>
      <c r="H971" s="55" t="s">
        <v>1679</v>
      </c>
      <c r="I971" s="55" t="s">
        <v>1680</v>
      </c>
      <c r="J971" s="55" t="s">
        <v>234</v>
      </c>
      <c r="K971" s="55" t="s">
        <v>235</v>
      </c>
      <c r="L971" s="55" t="s">
        <v>1681</v>
      </c>
      <c r="M971" s="55" t="s">
        <v>172</v>
      </c>
      <c r="N971" s="55" t="s">
        <v>172</v>
      </c>
      <c r="O971" s="55" t="s">
        <v>235</v>
      </c>
      <c r="P971" s="55" t="s">
        <v>628</v>
      </c>
      <c r="Q971" s="55" t="s">
        <v>350</v>
      </c>
      <c r="R971" s="55"/>
      <c r="S971" s="74"/>
      <c r="T971" s="55" t="s">
        <v>1678</v>
      </c>
      <c r="U971" s="73" t="s">
        <v>351</v>
      </c>
      <c r="V971" s="74">
        <v>44375</v>
      </c>
      <c r="W971" s="74">
        <v>44431</v>
      </c>
      <c r="X971" s="55">
        <v>10183178</v>
      </c>
      <c r="Y971" s="74" t="s">
        <v>132</v>
      </c>
      <c r="Z971" s="74"/>
      <c r="AB971" s="55" t="s">
        <v>132</v>
      </c>
      <c r="AC971" s="55" t="s">
        <v>132</v>
      </c>
    </row>
    <row r="972" spans="1:29" ht="13" x14ac:dyDescent="0.15">
      <c r="A972" s="72" t="str">
        <f t="shared" si="15"/>
        <v>Ofsted Social Care Provider Webpage</v>
      </c>
      <c r="B972" s="55">
        <v>2567557</v>
      </c>
      <c r="D972" s="55" t="s">
        <v>373</v>
      </c>
      <c r="E972" s="74">
        <v>43894</v>
      </c>
      <c r="F972" s="55" t="s">
        <v>344</v>
      </c>
      <c r="G972" s="55" t="s">
        <v>360</v>
      </c>
      <c r="H972" s="55" t="s">
        <v>360</v>
      </c>
      <c r="I972" s="55" t="s">
        <v>360</v>
      </c>
      <c r="J972" s="55" t="s">
        <v>360</v>
      </c>
      <c r="K972" s="55" t="s">
        <v>360</v>
      </c>
      <c r="L972" s="55" t="s">
        <v>360</v>
      </c>
      <c r="M972" s="55" t="s">
        <v>378</v>
      </c>
      <c r="N972" s="55" t="s">
        <v>170</v>
      </c>
      <c r="O972" s="55" t="s">
        <v>220</v>
      </c>
      <c r="P972" s="55" t="s">
        <v>1222</v>
      </c>
      <c r="Q972" s="55" t="s">
        <v>380</v>
      </c>
      <c r="R972" s="55">
        <v>2</v>
      </c>
      <c r="S972" s="74"/>
      <c r="T972" s="55" t="s">
        <v>1674</v>
      </c>
      <c r="U972" s="73" t="s">
        <v>351</v>
      </c>
      <c r="V972" s="74">
        <v>44579</v>
      </c>
      <c r="W972" s="74">
        <v>44622</v>
      </c>
      <c r="X972" s="55">
        <v>10187558</v>
      </c>
      <c r="Y972" s="74" t="s">
        <v>132</v>
      </c>
      <c r="Z972" s="74"/>
      <c r="AB972" s="55" t="s">
        <v>132</v>
      </c>
      <c r="AC972" s="55" t="s">
        <v>132</v>
      </c>
    </row>
    <row r="973" spans="1:29" ht="13" x14ac:dyDescent="0.15">
      <c r="A973" s="72" t="str">
        <f t="shared" si="15"/>
        <v>Ofsted Social Care Provider Webpage</v>
      </c>
      <c r="B973" s="55">
        <v>2567607</v>
      </c>
      <c r="D973" s="55" t="s">
        <v>373</v>
      </c>
      <c r="E973" s="74">
        <v>43864</v>
      </c>
      <c r="F973" s="55" t="s">
        <v>344</v>
      </c>
      <c r="G973" s="55" t="s">
        <v>360</v>
      </c>
      <c r="H973" s="55" t="s">
        <v>360</v>
      </c>
      <c r="I973" s="55" t="s">
        <v>360</v>
      </c>
      <c r="J973" s="55" t="s">
        <v>360</v>
      </c>
      <c r="K973" s="55" t="s">
        <v>360</v>
      </c>
      <c r="L973" s="55" t="s">
        <v>360</v>
      </c>
      <c r="M973" s="55" t="s">
        <v>172</v>
      </c>
      <c r="N973" s="55" t="s">
        <v>172</v>
      </c>
      <c r="O973" s="55" t="s">
        <v>212</v>
      </c>
      <c r="P973" s="55" t="s">
        <v>714</v>
      </c>
      <c r="Q973" s="55" t="s">
        <v>350</v>
      </c>
      <c r="R973" s="55">
        <v>7</v>
      </c>
      <c r="S973" s="74"/>
      <c r="T973" s="55" t="s">
        <v>1682</v>
      </c>
      <c r="U973" s="73" t="s">
        <v>351</v>
      </c>
      <c r="V973" s="74">
        <v>44376</v>
      </c>
      <c r="W973" s="74">
        <v>44406</v>
      </c>
      <c r="X973" s="55">
        <v>10185417</v>
      </c>
      <c r="Y973" s="74" t="s">
        <v>140</v>
      </c>
      <c r="Z973" s="74"/>
      <c r="AB973" s="55" t="s">
        <v>132</v>
      </c>
      <c r="AC973" s="55" t="s">
        <v>132</v>
      </c>
    </row>
    <row r="974" spans="1:29" ht="13" x14ac:dyDescent="0.15">
      <c r="A974" s="72" t="str">
        <f t="shared" si="15"/>
        <v>Ofsted Social Care Provider Webpage</v>
      </c>
      <c r="B974" s="55">
        <v>2567620</v>
      </c>
      <c r="D974" s="55" t="s">
        <v>451</v>
      </c>
      <c r="E974" s="74">
        <v>43878</v>
      </c>
      <c r="F974" s="55" t="s">
        <v>344</v>
      </c>
      <c r="G974" s="55" t="s">
        <v>1683</v>
      </c>
      <c r="H974" s="55" t="s">
        <v>1684</v>
      </c>
      <c r="I974" s="55" t="s">
        <v>354</v>
      </c>
      <c r="J974" s="55" t="s">
        <v>759</v>
      </c>
      <c r="K974" s="55" t="s">
        <v>209</v>
      </c>
      <c r="L974" s="55" t="s">
        <v>1685</v>
      </c>
      <c r="M974" s="55" t="s">
        <v>144</v>
      </c>
      <c r="N974" s="55" t="s">
        <v>144</v>
      </c>
      <c r="O974" s="55" t="s">
        <v>250</v>
      </c>
      <c r="P974" s="55" t="s">
        <v>759</v>
      </c>
      <c r="Q974" s="55" t="s">
        <v>350</v>
      </c>
      <c r="R974" s="55">
        <v>4</v>
      </c>
      <c r="S974" s="74"/>
      <c r="T974" s="55" t="s">
        <v>786</v>
      </c>
      <c r="U974" s="73" t="s">
        <v>351</v>
      </c>
      <c r="V974" s="74">
        <v>44432</v>
      </c>
      <c r="W974" s="74">
        <v>44460</v>
      </c>
      <c r="X974" s="55">
        <v>10183235</v>
      </c>
      <c r="Y974" s="74" t="s">
        <v>132</v>
      </c>
      <c r="Z974" s="74"/>
      <c r="AB974" s="55" t="s">
        <v>132</v>
      </c>
      <c r="AC974" s="55" t="s">
        <v>132</v>
      </c>
    </row>
    <row r="975" spans="1:29" ht="13" x14ac:dyDescent="0.15">
      <c r="A975" s="72" t="str">
        <f t="shared" si="15"/>
        <v>Ofsted Social Care Provider Webpage</v>
      </c>
      <c r="B975" s="55">
        <v>2567722</v>
      </c>
      <c r="D975" s="55" t="s">
        <v>373</v>
      </c>
      <c r="E975" s="74">
        <v>43837</v>
      </c>
      <c r="F975" s="55" t="s">
        <v>344</v>
      </c>
      <c r="G975" s="55" t="s">
        <v>360</v>
      </c>
      <c r="H975" s="55" t="s">
        <v>360</v>
      </c>
      <c r="I975" s="55" t="s">
        <v>360</v>
      </c>
      <c r="J975" s="55" t="s">
        <v>360</v>
      </c>
      <c r="K975" s="55" t="s">
        <v>360</v>
      </c>
      <c r="L975" s="55" t="s">
        <v>360</v>
      </c>
      <c r="M975" s="55" t="s">
        <v>136</v>
      </c>
      <c r="N975" s="55" t="s">
        <v>136</v>
      </c>
      <c r="O975" s="55" t="s">
        <v>154</v>
      </c>
      <c r="P975" s="55" t="s">
        <v>1686</v>
      </c>
      <c r="Q975" s="55" t="s">
        <v>380</v>
      </c>
      <c r="R975" s="55">
        <v>2</v>
      </c>
      <c r="S975" s="74"/>
      <c r="T975" s="55" t="s">
        <v>1687</v>
      </c>
      <c r="U975" s="73" t="s">
        <v>351</v>
      </c>
      <c r="V975" s="74">
        <v>44572</v>
      </c>
      <c r="W975" s="74">
        <v>44596</v>
      </c>
      <c r="X975" s="55">
        <v>10185809</v>
      </c>
      <c r="Y975" s="74" t="s">
        <v>132</v>
      </c>
      <c r="Z975" s="74"/>
      <c r="AB975" s="55" t="s">
        <v>132</v>
      </c>
      <c r="AC975" s="55" t="s">
        <v>132</v>
      </c>
    </row>
    <row r="976" spans="1:29" ht="13" x14ac:dyDescent="0.15">
      <c r="A976" s="72" t="str">
        <f t="shared" si="15"/>
        <v>Ofsted Social Care Provider Webpage</v>
      </c>
      <c r="B976" s="55">
        <v>2567789</v>
      </c>
      <c r="D976" s="55" t="s">
        <v>373</v>
      </c>
      <c r="E976" s="74">
        <v>43924</v>
      </c>
      <c r="F976" s="55" t="s">
        <v>344</v>
      </c>
      <c r="G976" s="55" t="s">
        <v>360</v>
      </c>
      <c r="H976" s="55" t="s">
        <v>360</v>
      </c>
      <c r="I976" s="55" t="s">
        <v>360</v>
      </c>
      <c r="J976" s="55" t="s">
        <v>360</v>
      </c>
      <c r="K976" s="55" t="s">
        <v>360</v>
      </c>
      <c r="L976" s="55" t="s">
        <v>360</v>
      </c>
      <c r="M976" s="55" t="s">
        <v>144</v>
      </c>
      <c r="N976" s="55" t="s">
        <v>144</v>
      </c>
      <c r="O976" s="55" t="s">
        <v>209</v>
      </c>
      <c r="P976" s="55" t="s">
        <v>736</v>
      </c>
      <c r="Q976" s="55" t="s">
        <v>350</v>
      </c>
      <c r="R976" s="55">
        <v>2</v>
      </c>
      <c r="S976" s="74"/>
      <c r="T976" s="55" t="s">
        <v>737</v>
      </c>
      <c r="U976" s="73" t="s">
        <v>351</v>
      </c>
      <c r="V976" s="74">
        <v>44412</v>
      </c>
      <c r="W976" s="74">
        <v>44448</v>
      </c>
      <c r="X976" s="55">
        <v>10186950</v>
      </c>
      <c r="Y976" s="74" t="s">
        <v>132</v>
      </c>
      <c r="Z976" s="74"/>
      <c r="AB976" s="55" t="s">
        <v>132</v>
      </c>
      <c r="AC976" s="55" t="s">
        <v>130</v>
      </c>
    </row>
    <row r="977" spans="1:29" ht="13" x14ac:dyDescent="0.15">
      <c r="A977" s="72" t="str">
        <f t="shared" si="15"/>
        <v>Ofsted Social Care Provider Webpage</v>
      </c>
      <c r="B977" s="55">
        <v>2567806</v>
      </c>
      <c r="D977" s="55" t="s">
        <v>373</v>
      </c>
      <c r="E977" s="74">
        <v>43957</v>
      </c>
      <c r="F977" s="55" t="s">
        <v>344</v>
      </c>
      <c r="G977" s="55" t="s">
        <v>360</v>
      </c>
      <c r="H977" s="55" t="s">
        <v>360</v>
      </c>
      <c r="I977" s="55" t="s">
        <v>360</v>
      </c>
      <c r="J977" s="55" t="s">
        <v>360</v>
      </c>
      <c r="K977" s="55" t="s">
        <v>360</v>
      </c>
      <c r="L977" s="55" t="s">
        <v>360</v>
      </c>
      <c r="M977" s="55" t="s">
        <v>378</v>
      </c>
      <c r="N977" s="55" t="s">
        <v>134</v>
      </c>
      <c r="O977" s="55" t="s">
        <v>232</v>
      </c>
      <c r="P977" s="55" t="s">
        <v>412</v>
      </c>
      <c r="Q977" s="55" t="s">
        <v>350</v>
      </c>
      <c r="R977" s="55">
        <v>2</v>
      </c>
      <c r="S977" s="74"/>
      <c r="T977" s="55" t="s">
        <v>1688</v>
      </c>
      <c r="U977" s="73" t="s">
        <v>351</v>
      </c>
      <c r="V977" s="74">
        <v>44368</v>
      </c>
      <c r="W977" s="74">
        <v>44410</v>
      </c>
      <c r="X977" s="55">
        <v>10187434</v>
      </c>
      <c r="Y977" s="74" t="s">
        <v>132</v>
      </c>
      <c r="Z977" s="74"/>
      <c r="AB977" s="55" t="s">
        <v>132</v>
      </c>
      <c r="AC977" s="55" t="s">
        <v>132</v>
      </c>
    </row>
    <row r="978" spans="1:29" ht="13" x14ac:dyDescent="0.15">
      <c r="A978" s="72" t="str">
        <f t="shared" si="15"/>
        <v>Ofsted Social Care Provider Webpage</v>
      </c>
      <c r="B978" s="55">
        <v>2568010</v>
      </c>
      <c r="D978" s="55" t="s">
        <v>373</v>
      </c>
      <c r="E978" s="74">
        <v>43903</v>
      </c>
      <c r="F978" s="55" t="s">
        <v>344</v>
      </c>
      <c r="G978" s="55" t="s">
        <v>360</v>
      </c>
      <c r="H978" s="55" t="s">
        <v>360</v>
      </c>
      <c r="I978" s="55" t="s">
        <v>360</v>
      </c>
      <c r="J978" s="55" t="s">
        <v>360</v>
      </c>
      <c r="K978" s="55" t="s">
        <v>360</v>
      </c>
      <c r="L978" s="55" t="s">
        <v>360</v>
      </c>
      <c r="M978" s="55" t="s">
        <v>136</v>
      </c>
      <c r="N978" s="55" t="s">
        <v>136</v>
      </c>
      <c r="O978" s="55" t="s">
        <v>255</v>
      </c>
      <c r="P978" s="55" t="s">
        <v>583</v>
      </c>
      <c r="Q978" s="55" t="s">
        <v>350</v>
      </c>
      <c r="R978" s="55">
        <v>4</v>
      </c>
      <c r="S978" s="74"/>
      <c r="T978" s="55" t="s">
        <v>1689</v>
      </c>
      <c r="U978" s="73" t="s">
        <v>351</v>
      </c>
      <c r="V978" s="74">
        <v>44502</v>
      </c>
      <c r="W978" s="74">
        <v>44533</v>
      </c>
      <c r="X978" s="55">
        <v>10185891</v>
      </c>
      <c r="Y978" s="74" t="s">
        <v>132</v>
      </c>
      <c r="Z978" s="74"/>
      <c r="AB978" s="55" t="s">
        <v>132</v>
      </c>
      <c r="AC978" s="55" t="s">
        <v>130</v>
      </c>
    </row>
    <row r="979" spans="1:29" ht="13" x14ac:dyDescent="0.15">
      <c r="A979" s="72" t="str">
        <f t="shared" si="15"/>
        <v>Ofsted Social Care Provider Webpage</v>
      </c>
      <c r="B979" s="55">
        <v>2568217</v>
      </c>
      <c r="D979" s="55" t="s">
        <v>389</v>
      </c>
      <c r="E979" s="74">
        <v>43927</v>
      </c>
      <c r="F979" s="55" t="s">
        <v>344</v>
      </c>
      <c r="G979" s="55" t="s">
        <v>1690</v>
      </c>
      <c r="H979" s="55" t="s">
        <v>1691</v>
      </c>
      <c r="I979" s="55" t="s">
        <v>1692</v>
      </c>
      <c r="J979" s="55" t="s">
        <v>1693</v>
      </c>
      <c r="K979" s="55" t="s">
        <v>203</v>
      </c>
      <c r="L979" s="55" t="s">
        <v>1694</v>
      </c>
      <c r="M979" s="55" t="s">
        <v>150</v>
      </c>
      <c r="N979" s="55" t="s">
        <v>150</v>
      </c>
      <c r="O979" s="55" t="s">
        <v>203</v>
      </c>
      <c r="P979" s="55" t="s">
        <v>1644</v>
      </c>
      <c r="Q979" s="55" t="s">
        <v>350</v>
      </c>
      <c r="R979" s="55"/>
      <c r="S979" s="74"/>
      <c r="T979" s="55" t="s">
        <v>1695</v>
      </c>
      <c r="U979" s="73" t="s">
        <v>351</v>
      </c>
      <c r="V979" s="74">
        <v>44368</v>
      </c>
      <c r="W979" s="74">
        <v>44411</v>
      </c>
      <c r="X979" s="55">
        <v>10183200</v>
      </c>
      <c r="Y979" s="74" t="s">
        <v>140</v>
      </c>
      <c r="Z979" s="74"/>
      <c r="AB979" s="55" t="s">
        <v>140</v>
      </c>
      <c r="AC979" s="55" t="s">
        <v>132</v>
      </c>
    </row>
    <row r="980" spans="1:29" ht="13" x14ac:dyDescent="0.15">
      <c r="A980" s="72" t="str">
        <f t="shared" si="15"/>
        <v>Ofsted Social Care Provider Webpage</v>
      </c>
      <c r="B980" s="55">
        <v>2568244</v>
      </c>
      <c r="D980" s="55" t="s">
        <v>373</v>
      </c>
      <c r="E980" s="74">
        <v>43906</v>
      </c>
      <c r="F980" s="55" t="s">
        <v>344</v>
      </c>
      <c r="G980" s="55" t="s">
        <v>360</v>
      </c>
      <c r="H980" s="55" t="s">
        <v>360</v>
      </c>
      <c r="I980" s="55" t="s">
        <v>360</v>
      </c>
      <c r="J980" s="55" t="s">
        <v>360</v>
      </c>
      <c r="K980" s="55" t="s">
        <v>360</v>
      </c>
      <c r="L980" s="55" t="s">
        <v>360</v>
      </c>
      <c r="M980" s="55" t="s">
        <v>378</v>
      </c>
      <c r="N980" s="55" t="s">
        <v>170</v>
      </c>
      <c r="O980" s="55" t="s">
        <v>264</v>
      </c>
      <c r="P980" s="55" t="s">
        <v>1334</v>
      </c>
      <c r="Q980" s="55" t="s">
        <v>380</v>
      </c>
      <c r="R980" s="55">
        <v>5</v>
      </c>
      <c r="S980" s="74"/>
      <c r="T980" s="55" t="s">
        <v>1696</v>
      </c>
      <c r="U980" s="73" t="s">
        <v>351</v>
      </c>
      <c r="V980" s="74">
        <v>44607</v>
      </c>
      <c r="W980" s="74">
        <v>44649</v>
      </c>
      <c r="X980" s="55">
        <v>10186638</v>
      </c>
      <c r="Y980" s="74" t="s">
        <v>130</v>
      </c>
      <c r="Z980" s="74"/>
      <c r="AB980" s="55" t="s">
        <v>130</v>
      </c>
      <c r="AC980" s="55" t="s">
        <v>130</v>
      </c>
    </row>
    <row r="981" spans="1:29" ht="13" x14ac:dyDescent="0.15">
      <c r="A981" s="72" t="str">
        <f t="shared" si="15"/>
        <v>Ofsted Social Care Provider Webpage</v>
      </c>
      <c r="B981" s="55">
        <v>2568363</v>
      </c>
      <c r="D981" s="55" t="s">
        <v>373</v>
      </c>
      <c r="E981" s="74">
        <v>43873</v>
      </c>
      <c r="F981" s="55" t="s">
        <v>344</v>
      </c>
      <c r="G981" s="55" t="s">
        <v>360</v>
      </c>
      <c r="H981" s="55" t="s">
        <v>360</v>
      </c>
      <c r="I981" s="55" t="s">
        <v>360</v>
      </c>
      <c r="J981" s="55" t="s">
        <v>360</v>
      </c>
      <c r="K981" s="55" t="s">
        <v>360</v>
      </c>
      <c r="L981" s="55" t="s">
        <v>360</v>
      </c>
      <c r="M981" s="55" t="s">
        <v>142</v>
      </c>
      <c r="N981" s="55" t="s">
        <v>142</v>
      </c>
      <c r="O981" s="55" t="s">
        <v>141</v>
      </c>
      <c r="P981" s="55" t="s">
        <v>660</v>
      </c>
      <c r="Q981" s="55" t="s">
        <v>350</v>
      </c>
      <c r="R981" s="55">
        <v>2</v>
      </c>
      <c r="S981" s="74"/>
      <c r="T981" s="55" t="s">
        <v>1364</v>
      </c>
      <c r="U981" s="73" t="s">
        <v>351</v>
      </c>
      <c r="V981" s="74">
        <v>44403</v>
      </c>
      <c r="W981" s="74">
        <v>44439</v>
      </c>
      <c r="X981" s="55">
        <v>10186960</v>
      </c>
      <c r="Y981" s="74" t="s">
        <v>132</v>
      </c>
      <c r="Z981" s="74"/>
      <c r="AB981" s="55" t="s">
        <v>132</v>
      </c>
      <c r="AC981" s="55" t="s">
        <v>132</v>
      </c>
    </row>
    <row r="982" spans="1:29" ht="13" x14ac:dyDescent="0.15">
      <c r="A982" s="72" t="str">
        <f t="shared" si="15"/>
        <v>Ofsted Social Care Provider Webpage</v>
      </c>
      <c r="B982" s="55">
        <v>2568557</v>
      </c>
      <c r="D982" s="55" t="s">
        <v>373</v>
      </c>
      <c r="E982" s="74">
        <v>43843</v>
      </c>
      <c r="F982" s="55" t="s">
        <v>344</v>
      </c>
      <c r="G982" s="55" t="s">
        <v>360</v>
      </c>
      <c r="H982" s="55" t="s">
        <v>360</v>
      </c>
      <c r="I982" s="55" t="s">
        <v>360</v>
      </c>
      <c r="J982" s="55" t="s">
        <v>360</v>
      </c>
      <c r="K982" s="55" t="s">
        <v>360</v>
      </c>
      <c r="L982" s="55" t="s">
        <v>360</v>
      </c>
      <c r="M982" s="55" t="s">
        <v>136</v>
      </c>
      <c r="N982" s="55" t="s">
        <v>136</v>
      </c>
      <c r="O982" s="55" t="s">
        <v>174</v>
      </c>
      <c r="P982" s="55" t="s">
        <v>1010</v>
      </c>
      <c r="Q982" s="55" t="s">
        <v>350</v>
      </c>
      <c r="R982" s="55">
        <v>3</v>
      </c>
      <c r="S982" s="74"/>
      <c r="T982" s="55" t="s">
        <v>1295</v>
      </c>
      <c r="U982" s="73" t="s">
        <v>351</v>
      </c>
      <c r="V982" s="74">
        <v>44621</v>
      </c>
      <c r="W982" s="74">
        <v>44662</v>
      </c>
      <c r="X982" s="55">
        <v>10186024</v>
      </c>
      <c r="Y982" s="74" t="s">
        <v>130</v>
      </c>
      <c r="Z982" s="74"/>
      <c r="AB982" s="55" t="s">
        <v>132</v>
      </c>
      <c r="AC982" s="55" t="s">
        <v>132</v>
      </c>
    </row>
    <row r="983" spans="1:29" ht="13" x14ac:dyDescent="0.15">
      <c r="A983" s="72" t="str">
        <f t="shared" si="15"/>
        <v>Ofsted Social Care Provider Webpage</v>
      </c>
      <c r="B983" s="55">
        <v>2569163</v>
      </c>
      <c r="D983" s="55" t="s">
        <v>373</v>
      </c>
      <c r="E983" s="74">
        <v>43903</v>
      </c>
      <c r="F983" s="55" t="s">
        <v>344</v>
      </c>
      <c r="G983" s="55" t="s">
        <v>360</v>
      </c>
      <c r="H983" s="55" t="s">
        <v>360</v>
      </c>
      <c r="I983" s="55" t="s">
        <v>360</v>
      </c>
      <c r="J983" s="55" t="s">
        <v>360</v>
      </c>
      <c r="K983" s="55" t="s">
        <v>360</v>
      </c>
      <c r="L983" s="55" t="s">
        <v>360</v>
      </c>
      <c r="M983" s="55" t="s">
        <v>378</v>
      </c>
      <c r="N983" s="55" t="s">
        <v>134</v>
      </c>
      <c r="O983" s="55" t="s">
        <v>175</v>
      </c>
      <c r="P983" s="55" t="s">
        <v>678</v>
      </c>
      <c r="Q983" s="55" t="s">
        <v>350</v>
      </c>
      <c r="R983" s="55">
        <v>3</v>
      </c>
      <c r="S983" s="74"/>
      <c r="T983" s="55" t="s">
        <v>1697</v>
      </c>
      <c r="U983" s="73" t="s">
        <v>351</v>
      </c>
      <c r="V983" s="74">
        <v>44537</v>
      </c>
      <c r="W983" s="74">
        <v>44580</v>
      </c>
      <c r="X983" s="55">
        <v>10205005</v>
      </c>
      <c r="Y983" s="74" t="s">
        <v>146</v>
      </c>
      <c r="Z983" s="74"/>
      <c r="AB983" s="55" t="s">
        <v>146</v>
      </c>
      <c r="AC983" s="55" t="s">
        <v>146</v>
      </c>
    </row>
    <row r="984" spans="1:29" ht="13" x14ac:dyDescent="0.15">
      <c r="A984" s="72" t="str">
        <f t="shared" si="15"/>
        <v>Ofsted Social Care Provider Webpage</v>
      </c>
      <c r="B984" s="55">
        <v>2569345</v>
      </c>
      <c r="D984" s="55" t="s">
        <v>373</v>
      </c>
      <c r="E984" s="74">
        <v>43859</v>
      </c>
      <c r="F984" s="55" t="s">
        <v>344</v>
      </c>
      <c r="G984" s="55" t="s">
        <v>360</v>
      </c>
      <c r="H984" s="55" t="s">
        <v>360</v>
      </c>
      <c r="I984" s="55" t="s">
        <v>360</v>
      </c>
      <c r="J984" s="55" t="s">
        <v>360</v>
      </c>
      <c r="K984" s="55" t="s">
        <v>360</v>
      </c>
      <c r="L984" s="55" t="s">
        <v>360</v>
      </c>
      <c r="M984" s="55" t="s">
        <v>129</v>
      </c>
      <c r="N984" s="55" t="s">
        <v>129</v>
      </c>
      <c r="O984" s="55" t="s">
        <v>182</v>
      </c>
      <c r="P984" s="55" t="s">
        <v>1660</v>
      </c>
      <c r="Q984" s="55" t="s">
        <v>350</v>
      </c>
      <c r="R984" s="55">
        <v>6</v>
      </c>
      <c r="S984" s="74"/>
      <c r="T984" s="55" t="s">
        <v>1698</v>
      </c>
      <c r="U984" s="73" t="s">
        <v>351</v>
      </c>
      <c r="V984" s="74">
        <v>44396</v>
      </c>
      <c r="W984" s="74">
        <v>44447</v>
      </c>
      <c r="X984" s="55">
        <v>10202498</v>
      </c>
      <c r="Y984" s="74" t="s">
        <v>132</v>
      </c>
      <c r="Z984" s="74"/>
      <c r="AB984" s="55" t="s">
        <v>132</v>
      </c>
      <c r="AC984" s="55" t="s">
        <v>132</v>
      </c>
    </row>
    <row r="985" spans="1:29" ht="13" x14ac:dyDescent="0.15">
      <c r="A985" s="72" t="str">
        <f t="shared" si="15"/>
        <v>Ofsted Social Care Provider Webpage</v>
      </c>
      <c r="B985" s="55">
        <v>2569358</v>
      </c>
      <c r="D985" s="55" t="s">
        <v>373</v>
      </c>
      <c r="E985" s="74">
        <v>43971</v>
      </c>
      <c r="F985" s="55" t="s">
        <v>344</v>
      </c>
      <c r="G985" s="55" t="s">
        <v>360</v>
      </c>
      <c r="H985" s="55" t="s">
        <v>360</v>
      </c>
      <c r="I985" s="55" t="s">
        <v>360</v>
      </c>
      <c r="J985" s="55" t="s">
        <v>360</v>
      </c>
      <c r="K985" s="55" t="s">
        <v>360</v>
      </c>
      <c r="L985" s="55" t="s">
        <v>360</v>
      </c>
      <c r="M985" s="55" t="s">
        <v>378</v>
      </c>
      <c r="N985" s="55" t="s">
        <v>170</v>
      </c>
      <c r="O985" s="55" t="s">
        <v>267</v>
      </c>
      <c r="P985" s="55" t="s">
        <v>477</v>
      </c>
      <c r="Q985" s="55" t="s">
        <v>350</v>
      </c>
      <c r="R985" s="55">
        <v>3</v>
      </c>
      <c r="S985" s="74"/>
      <c r="T985" s="55" t="s">
        <v>1699</v>
      </c>
      <c r="U985" s="73" t="s">
        <v>351</v>
      </c>
      <c r="V985" s="74">
        <v>44411</v>
      </c>
      <c r="W985" s="74">
        <v>44445</v>
      </c>
      <c r="X985" s="55">
        <v>10185779</v>
      </c>
      <c r="Y985" s="74" t="s">
        <v>132</v>
      </c>
      <c r="Z985" s="74"/>
      <c r="AB985" s="55" t="s">
        <v>132</v>
      </c>
      <c r="AC985" s="55" t="s">
        <v>132</v>
      </c>
    </row>
    <row r="986" spans="1:29" ht="13" x14ac:dyDescent="0.15">
      <c r="A986" s="72" t="str">
        <f t="shared" si="15"/>
        <v>Ofsted Social Care Provider Webpage</v>
      </c>
      <c r="B986" s="55">
        <v>2569520</v>
      </c>
      <c r="D986" s="55" t="s">
        <v>373</v>
      </c>
      <c r="E986" s="74">
        <v>43938</v>
      </c>
      <c r="F986" s="55" t="s">
        <v>344</v>
      </c>
      <c r="G986" s="55" t="s">
        <v>360</v>
      </c>
      <c r="H986" s="55" t="s">
        <v>360</v>
      </c>
      <c r="I986" s="55" t="s">
        <v>360</v>
      </c>
      <c r="J986" s="55" t="s">
        <v>360</v>
      </c>
      <c r="K986" s="55" t="s">
        <v>360</v>
      </c>
      <c r="L986" s="55" t="s">
        <v>360</v>
      </c>
      <c r="M986" s="55" t="s">
        <v>138</v>
      </c>
      <c r="N986" s="55" t="s">
        <v>138</v>
      </c>
      <c r="O986" s="55" t="s">
        <v>183</v>
      </c>
      <c r="P986" s="55" t="s">
        <v>813</v>
      </c>
      <c r="Q986" s="55" t="s">
        <v>350</v>
      </c>
      <c r="R986" s="55">
        <v>3</v>
      </c>
      <c r="S986" s="74"/>
      <c r="T986" s="55" t="s">
        <v>1700</v>
      </c>
      <c r="U986" s="73" t="s">
        <v>351</v>
      </c>
      <c r="V986" s="74">
        <v>44467</v>
      </c>
      <c r="W986" s="74">
        <v>44494</v>
      </c>
      <c r="X986" s="55">
        <v>10186262</v>
      </c>
      <c r="Y986" s="74" t="s">
        <v>130</v>
      </c>
      <c r="Z986" s="74"/>
      <c r="AB986" s="55" t="s">
        <v>130</v>
      </c>
      <c r="AC986" s="55" t="s">
        <v>130</v>
      </c>
    </row>
    <row r="987" spans="1:29" ht="13" x14ac:dyDescent="0.15">
      <c r="A987" s="72" t="str">
        <f t="shared" si="15"/>
        <v>Ofsted Social Care Provider Webpage</v>
      </c>
      <c r="B987" s="55">
        <v>2569527</v>
      </c>
      <c r="D987" s="55" t="s">
        <v>373</v>
      </c>
      <c r="E987" s="74">
        <v>43817</v>
      </c>
      <c r="F987" s="55" t="s">
        <v>344</v>
      </c>
      <c r="G987" s="55" t="s">
        <v>360</v>
      </c>
      <c r="H987" s="55" t="s">
        <v>360</v>
      </c>
      <c r="I987" s="55" t="s">
        <v>360</v>
      </c>
      <c r="J987" s="55" t="s">
        <v>360</v>
      </c>
      <c r="K987" s="55" t="s">
        <v>360</v>
      </c>
      <c r="L987" s="55" t="s">
        <v>360</v>
      </c>
      <c r="M987" s="55" t="s">
        <v>378</v>
      </c>
      <c r="N987" s="55" t="s">
        <v>134</v>
      </c>
      <c r="O987" s="55" t="s">
        <v>204</v>
      </c>
      <c r="P987" s="55" t="s">
        <v>1478</v>
      </c>
      <c r="Q987" s="55" t="s">
        <v>380</v>
      </c>
      <c r="R987" s="55">
        <v>1</v>
      </c>
      <c r="S987" s="74"/>
      <c r="T987" s="55" t="s">
        <v>1479</v>
      </c>
      <c r="U987" s="73" t="s">
        <v>351</v>
      </c>
      <c r="V987" s="74">
        <v>44502</v>
      </c>
      <c r="W987" s="74">
        <v>44550</v>
      </c>
      <c r="X987" s="55">
        <v>10185788</v>
      </c>
      <c r="Y987" s="74" t="s">
        <v>132</v>
      </c>
      <c r="Z987" s="74"/>
      <c r="AB987" s="55" t="s">
        <v>132</v>
      </c>
      <c r="AC987" s="55" t="s">
        <v>132</v>
      </c>
    </row>
    <row r="988" spans="1:29" ht="13" x14ac:dyDescent="0.15">
      <c r="A988" s="72" t="str">
        <f t="shared" si="15"/>
        <v>Ofsted Social Care Provider Webpage</v>
      </c>
      <c r="B988" s="55">
        <v>2569705</v>
      </c>
      <c r="D988" s="55" t="s">
        <v>373</v>
      </c>
      <c r="E988" s="74">
        <v>43977</v>
      </c>
      <c r="F988" s="55" t="s">
        <v>344</v>
      </c>
      <c r="G988" s="55" t="s">
        <v>360</v>
      </c>
      <c r="H988" s="55" t="s">
        <v>360</v>
      </c>
      <c r="I988" s="55" t="s">
        <v>360</v>
      </c>
      <c r="J988" s="55" t="s">
        <v>360</v>
      </c>
      <c r="K988" s="55" t="s">
        <v>360</v>
      </c>
      <c r="L988" s="55" t="s">
        <v>360</v>
      </c>
      <c r="M988" s="55" t="s">
        <v>142</v>
      </c>
      <c r="N988" s="55" t="s">
        <v>142</v>
      </c>
      <c r="O988" s="55" t="s">
        <v>292</v>
      </c>
      <c r="P988" s="55" t="s">
        <v>976</v>
      </c>
      <c r="Q988" s="55" t="s">
        <v>350</v>
      </c>
      <c r="R988" s="55">
        <v>3</v>
      </c>
      <c r="S988" s="74"/>
      <c r="T988" s="55" t="s">
        <v>1701</v>
      </c>
      <c r="U988" s="73" t="s">
        <v>351</v>
      </c>
      <c r="V988" s="74">
        <v>44361</v>
      </c>
      <c r="W988" s="74">
        <v>44390</v>
      </c>
      <c r="X988" s="55">
        <v>10186703</v>
      </c>
      <c r="Y988" s="74" t="s">
        <v>132</v>
      </c>
      <c r="Z988" s="74"/>
      <c r="AB988" s="55" t="s">
        <v>132</v>
      </c>
      <c r="AC988" s="55" t="s">
        <v>130</v>
      </c>
    </row>
    <row r="989" spans="1:29" ht="13" x14ac:dyDescent="0.15">
      <c r="A989" s="72" t="str">
        <f t="shared" si="15"/>
        <v>Ofsted Social Care Provider Webpage</v>
      </c>
      <c r="B989" s="55">
        <v>2569994</v>
      </c>
      <c r="D989" s="55" t="s">
        <v>373</v>
      </c>
      <c r="E989" s="74">
        <v>43875</v>
      </c>
      <c r="F989" s="55" t="s">
        <v>344</v>
      </c>
      <c r="G989" s="55" t="s">
        <v>360</v>
      </c>
      <c r="H989" s="55" t="s">
        <v>360</v>
      </c>
      <c r="I989" s="55" t="s">
        <v>360</v>
      </c>
      <c r="J989" s="55" t="s">
        <v>360</v>
      </c>
      <c r="K989" s="55" t="s">
        <v>360</v>
      </c>
      <c r="L989" s="55" t="s">
        <v>360</v>
      </c>
      <c r="M989" s="55" t="s">
        <v>142</v>
      </c>
      <c r="N989" s="55" t="s">
        <v>142</v>
      </c>
      <c r="O989" s="55" t="s">
        <v>272</v>
      </c>
      <c r="P989" s="55" t="s">
        <v>1291</v>
      </c>
      <c r="Q989" s="55" t="s">
        <v>350</v>
      </c>
      <c r="R989" s="55">
        <v>2</v>
      </c>
      <c r="S989" s="74"/>
      <c r="T989" s="55" t="s">
        <v>489</v>
      </c>
      <c r="U989" s="73" t="s">
        <v>351</v>
      </c>
      <c r="V989" s="74">
        <v>44440</v>
      </c>
      <c r="W989" s="74">
        <v>44476</v>
      </c>
      <c r="X989" s="55">
        <v>10186193</v>
      </c>
      <c r="Y989" s="74" t="s">
        <v>130</v>
      </c>
      <c r="Z989" s="74"/>
      <c r="AB989" s="55" t="s">
        <v>130</v>
      </c>
      <c r="AC989" s="55" t="s">
        <v>130</v>
      </c>
    </row>
    <row r="990" spans="1:29" ht="13" x14ac:dyDescent="0.15">
      <c r="A990" s="72" t="str">
        <f t="shared" si="15"/>
        <v>Ofsted Social Care Provider Webpage</v>
      </c>
      <c r="B990" s="55">
        <v>2570055</v>
      </c>
      <c r="D990" s="55" t="s">
        <v>373</v>
      </c>
      <c r="E990" s="74">
        <v>44068</v>
      </c>
      <c r="F990" s="55" t="s">
        <v>344</v>
      </c>
      <c r="G990" s="55" t="s">
        <v>360</v>
      </c>
      <c r="H990" s="55" t="s">
        <v>360</v>
      </c>
      <c r="I990" s="55" t="s">
        <v>360</v>
      </c>
      <c r="J990" s="55" t="s">
        <v>360</v>
      </c>
      <c r="K990" s="55" t="s">
        <v>360</v>
      </c>
      <c r="L990" s="55" t="s">
        <v>360</v>
      </c>
      <c r="M990" s="55" t="s">
        <v>142</v>
      </c>
      <c r="N990" s="55" t="s">
        <v>142</v>
      </c>
      <c r="O990" s="55" t="s">
        <v>262</v>
      </c>
      <c r="P990" s="55" t="s">
        <v>916</v>
      </c>
      <c r="Q990" s="55" t="s">
        <v>350</v>
      </c>
      <c r="R990" s="55">
        <v>3</v>
      </c>
      <c r="S990" s="74"/>
      <c r="T990" s="55" t="s">
        <v>517</v>
      </c>
      <c r="U990" s="73" t="s">
        <v>351</v>
      </c>
      <c r="V990" s="74">
        <v>44341</v>
      </c>
      <c r="W990" s="74">
        <v>44376</v>
      </c>
      <c r="X990" s="55">
        <v>10186039</v>
      </c>
      <c r="Y990" s="74" t="s">
        <v>132</v>
      </c>
      <c r="Z990" s="74"/>
      <c r="AB990" s="55" t="s">
        <v>132</v>
      </c>
      <c r="AC990" s="55" t="s">
        <v>130</v>
      </c>
    </row>
    <row r="991" spans="1:29" ht="13" x14ac:dyDescent="0.15">
      <c r="A991" s="72" t="str">
        <f t="shared" si="15"/>
        <v>Ofsted Social Care Provider Webpage</v>
      </c>
      <c r="B991" s="55">
        <v>2570070</v>
      </c>
      <c r="D991" s="55" t="s">
        <v>373</v>
      </c>
      <c r="E991" s="74">
        <v>43927</v>
      </c>
      <c r="F991" s="55" t="s">
        <v>344</v>
      </c>
      <c r="G991" s="55" t="s">
        <v>360</v>
      </c>
      <c r="H991" s="55" t="s">
        <v>360</v>
      </c>
      <c r="I991" s="55" t="s">
        <v>360</v>
      </c>
      <c r="J991" s="55" t="s">
        <v>360</v>
      </c>
      <c r="K991" s="55" t="s">
        <v>360</v>
      </c>
      <c r="L991" s="55" t="s">
        <v>360</v>
      </c>
      <c r="M991" s="55" t="s">
        <v>144</v>
      </c>
      <c r="N991" s="55" t="s">
        <v>144</v>
      </c>
      <c r="O991" s="55" t="s">
        <v>207</v>
      </c>
      <c r="P991" s="55" t="s">
        <v>207</v>
      </c>
      <c r="Q991" s="55" t="s">
        <v>350</v>
      </c>
      <c r="R991" s="55">
        <v>3</v>
      </c>
      <c r="S991" s="74"/>
      <c r="T991" s="55" t="s">
        <v>1702</v>
      </c>
      <c r="U991" s="73" t="s">
        <v>351</v>
      </c>
      <c r="V991" s="74">
        <v>44447</v>
      </c>
      <c r="W991" s="74">
        <v>44477</v>
      </c>
      <c r="X991" s="55">
        <v>10186324</v>
      </c>
      <c r="Y991" s="74" t="s">
        <v>132</v>
      </c>
      <c r="Z991" s="74"/>
      <c r="AB991" s="55" t="s">
        <v>132</v>
      </c>
      <c r="AC991" s="55" t="s">
        <v>132</v>
      </c>
    </row>
    <row r="992" spans="1:29" ht="13" x14ac:dyDescent="0.15">
      <c r="A992" s="72" t="str">
        <f t="shared" si="15"/>
        <v>Ofsted Social Care Provider Webpage</v>
      </c>
      <c r="B992" s="55">
        <v>2570071</v>
      </c>
      <c r="D992" s="55" t="s">
        <v>373</v>
      </c>
      <c r="E992" s="74">
        <v>43887</v>
      </c>
      <c r="F992" s="55" t="s">
        <v>344</v>
      </c>
      <c r="G992" s="55" t="s">
        <v>360</v>
      </c>
      <c r="H992" s="55" t="s">
        <v>360</v>
      </c>
      <c r="I992" s="55" t="s">
        <v>360</v>
      </c>
      <c r="J992" s="55" t="s">
        <v>360</v>
      </c>
      <c r="K992" s="55" t="s">
        <v>360</v>
      </c>
      <c r="L992" s="55" t="s">
        <v>360</v>
      </c>
      <c r="M992" s="55" t="s">
        <v>150</v>
      </c>
      <c r="N992" s="55" t="s">
        <v>150</v>
      </c>
      <c r="O992" s="55" t="s">
        <v>190</v>
      </c>
      <c r="P992" s="55" t="s">
        <v>1703</v>
      </c>
      <c r="Q992" s="55" t="s">
        <v>350</v>
      </c>
      <c r="R992" s="55">
        <v>6</v>
      </c>
      <c r="S992" s="74"/>
      <c r="T992" s="55" t="s">
        <v>574</v>
      </c>
      <c r="U992" s="73" t="s">
        <v>351</v>
      </c>
      <c r="V992" s="74">
        <v>44489</v>
      </c>
      <c r="W992" s="74">
        <v>44565</v>
      </c>
      <c r="X992" s="55">
        <v>10186163</v>
      </c>
      <c r="Y992" s="74" t="s">
        <v>132</v>
      </c>
      <c r="Z992" s="74"/>
      <c r="AB992" s="55" t="s">
        <v>132</v>
      </c>
      <c r="AC992" s="55" t="s">
        <v>132</v>
      </c>
    </row>
    <row r="993" spans="1:29" ht="13" x14ac:dyDescent="0.15">
      <c r="A993" s="72" t="str">
        <f t="shared" si="15"/>
        <v>Ofsted Social Care Provider Webpage</v>
      </c>
      <c r="B993" s="55">
        <v>2570084</v>
      </c>
      <c r="D993" s="55" t="s">
        <v>373</v>
      </c>
      <c r="E993" s="74">
        <v>44176</v>
      </c>
      <c r="F993" s="55" t="s">
        <v>344</v>
      </c>
      <c r="G993" s="55" t="s">
        <v>360</v>
      </c>
      <c r="H993" s="55" t="s">
        <v>360</v>
      </c>
      <c r="I993" s="55" t="s">
        <v>360</v>
      </c>
      <c r="J993" s="55" t="s">
        <v>360</v>
      </c>
      <c r="K993" s="55" t="s">
        <v>360</v>
      </c>
      <c r="L993" s="55" t="s">
        <v>360</v>
      </c>
      <c r="M993" s="55" t="s">
        <v>172</v>
      </c>
      <c r="N993" s="55" t="s">
        <v>172</v>
      </c>
      <c r="O993" s="55" t="s">
        <v>173</v>
      </c>
      <c r="P993" s="55" t="s">
        <v>961</v>
      </c>
      <c r="Q993" s="55" t="s">
        <v>350</v>
      </c>
      <c r="R993" s="55">
        <v>1</v>
      </c>
      <c r="S993" s="74"/>
      <c r="T993" s="55" t="s">
        <v>1704</v>
      </c>
      <c r="U993" s="73" t="s">
        <v>351</v>
      </c>
      <c r="V993" s="74">
        <v>44594</v>
      </c>
      <c r="W993" s="74">
        <v>44637</v>
      </c>
      <c r="X993" s="55">
        <v>10186112</v>
      </c>
      <c r="Y993" s="74" t="s">
        <v>130</v>
      </c>
      <c r="Z993" s="74"/>
      <c r="AB993" s="55" t="s">
        <v>130</v>
      </c>
      <c r="AC993" s="55" t="s">
        <v>130</v>
      </c>
    </row>
    <row r="994" spans="1:29" ht="13" x14ac:dyDescent="0.15">
      <c r="A994" s="72" t="str">
        <f t="shared" si="15"/>
        <v>Ofsted Social Care Provider Webpage</v>
      </c>
      <c r="B994" s="55">
        <v>2570253</v>
      </c>
      <c r="D994" s="55" t="s">
        <v>373</v>
      </c>
      <c r="E994" s="74">
        <v>43900</v>
      </c>
      <c r="F994" s="55" t="s">
        <v>344</v>
      </c>
      <c r="G994" s="55" t="s">
        <v>360</v>
      </c>
      <c r="H994" s="55" t="s">
        <v>360</v>
      </c>
      <c r="I994" s="55" t="s">
        <v>360</v>
      </c>
      <c r="J994" s="55" t="s">
        <v>360</v>
      </c>
      <c r="K994" s="55" t="s">
        <v>360</v>
      </c>
      <c r="L994" s="55" t="s">
        <v>360</v>
      </c>
      <c r="M994" s="55" t="s">
        <v>172</v>
      </c>
      <c r="N994" s="55" t="s">
        <v>172</v>
      </c>
      <c r="O994" s="55" t="s">
        <v>214</v>
      </c>
      <c r="P994" s="55" t="s">
        <v>1345</v>
      </c>
      <c r="Q994" s="55" t="s">
        <v>350</v>
      </c>
      <c r="R994" s="55">
        <v>5</v>
      </c>
      <c r="S994" s="74"/>
      <c r="T994" s="55" t="s">
        <v>1705</v>
      </c>
      <c r="U994" s="73" t="s">
        <v>351</v>
      </c>
      <c r="V994" s="74">
        <v>44459</v>
      </c>
      <c r="W994" s="74">
        <v>44488</v>
      </c>
      <c r="X994" s="55">
        <v>10201964</v>
      </c>
      <c r="Y994" s="74" t="s">
        <v>130</v>
      </c>
      <c r="Z994" s="74"/>
      <c r="AB994" s="55" t="s">
        <v>130</v>
      </c>
      <c r="AC994" s="55" t="s">
        <v>130</v>
      </c>
    </row>
    <row r="995" spans="1:29" ht="13" x14ac:dyDescent="0.15">
      <c r="A995" s="72" t="str">
        <f t="shared" si="15"/>
        <v>Ofsted Social Care Provider Webpage</v>
      </c>
      <c r="B995" s="55">
        <v>2570461</v>
      </c>
      <c r="D995" s="55" t="s">
        <v>443</v>
      </c>
      <c r="E995" s="74">
        <v>43951</v>
      </c>
      <c r="F995" s="55" t="s">
        <v>344</v>
      </c>
      <c r="G995" s="55" t="s">
        <v>1706</v>
      </c>
      <c r="H995" s="55" t="s">
        <v>1707</v>
      </c>
      <c r="I995" s="55" t="s">
        <v>354</v>
      </c>
      <c r="J995" s="55" t="s">
        <v>251</v>
      </c>
      <c r="K995" s="55" t="s">
        <v>683</v>
      </c>
      <c r="L995" s="55" t="s">
        <v>1708</v>
      </c>
      <c r="M995" s="55" t="s">
        <v>378</v>
      </c>
      <c r="N995" s="55" t="s">
        <v>134</v>
      </c>
      <c r="O995" s="55" t="s">
        <v>251</v>
      </c>
      <c r="P995" s="55" t="s">
        <v>1709</v>
      </c>
      <c r="Q995" s="55" t="s">
        <v>350</v>
      </c>
      <c r="R995" s="55"/>
      <c r="S995" s="74"/>
      <c r="T995" s="55" t="s">
        <v>1710</v>
      </c>
      <c r="U995" s="73"/>
      <c r="W995" s="74"/>
      <c r="Y995" s="74"/>
      <c r="Z995" s="74"/>
    </row>
    <row r="996" spans="1:29" ht="13" x14ac:dyDescent="0.15">
      <c r="A996" s="72" t="str">
        <f t="shared" si="15"/>
        <v>Ofsted Social Care Provider Webpage</v>
      </c>
      <c r="B996" s="55">
        <v>2570535</v>
      </c>
      <c r="D996" s="55" t="s">
        <v>373</v>
      </c>
      <c r="E996" s="74">
        <v>43955</v>
      </c>
      <c r="F996" s="55" t="s">
        <v>344</v>
      </c>
      <c r="G996" s="55" t="s">
        <v>360</v>
      </c>
      <c r="H996" s="55" t="s">
        <v>360</v>
      </c>
      <c r="I996" s="55" t="s">
        <v>360</v>
      </c>
      <c r="J996" s="55" t="s">
        <v>360</v>
      </c>
      <c r="K996" s="55" t="s">
        <v>360</v>
      </c>
      <c r="L996" s="55" t="s">
        <v>360</v>
      </c>
      <c r="M996" s="55" t="s">
        <v>142</v>
      </c>
      <c r="N996" s="55" t="s">
        <v>142</v>
      </c>
      <c r="O996" s="55" t="s">
        <v>252</v>
      </c>
      <c r="P996" s="55" t="s">
        <v>388</v>
      </c>
      <c r="Q996" s="55" t="s">
        <v>350</v>
      </c>
      <c r="R996" s="55">
        <v>4</v>
      </c>
      <c r="S996" s="74"/>
      <c r="T996" s="55" t="s">
        <v>1182</v>
      </c>
      <c r="U996" s="73" t="s">
        <v>351</v>
      </c>
      <c r="V996" s="74">
        <v>44447</v>
      </c>
      <c r="W996" s="74">
        <v>44487</v>
      </c>
      <c r="X996" s="55">
        <v>10185257</v>
      </c>
      <c r="Y996" s="74" t="s">
        <v>130</v>
      </c>
      <c r="Z996" s="74"/>
      <c r="AB996" s="55" t="s">
        <v>130</v>
      </c>
      <c r="AC996" s="55" t="s">
        <v>130</v>
      </c>
    </row>
    <row r="997" spans="1:29" ht="13" x14ac:dyDescent="0.15">
      <c r="A997" s="72" t="str">
        <f t="shared" si="15"/>
        <v>Ofsted Social Care Provider Webpage</v>
      </c>
      <c r="B997" s="55">
        <v>2570947</v>
      </c>
      <c r="D997" s="55" t="s">
        <v>373</v>
      </c>
      <c r="E997" s="74">
        <v>43858</v>
      </c>
      <c r="F997" s="55" t="s">
        <v>344</v>
      </c>
      <c r="G997" s="55" t="s">
        <v>360</v>
      </c>
      <c r="H997" s="55" t="s">
        <v>360</v>
      </c>
      <c r="I997" s="55" t="s">
        <v>360</v>
      </c>
      <c r="J997" s="55" t="s">
        <v>360</v>
      </c>
      <c r="K997" s="55" t="s">
        <v>360</v>
      </c>
      <c r="L997" s="55" t="s">
        <v>360</v>
      </c>
      <c r="M997" s="55" t="s">
        <v>378</v>
      </c>
      <c r="N997" s="55" t="s">
        <v>170</v>
      </c>
      <c r="O997" s="55" t="s">
        <v>184</v>
      </c>
      <c r="P997" s="55" t="s">
        <v>676</v>
      </c>
      <c r="Q997" s="55" t="s">
        <v>380</v>
      </c>
      <c r="R997" s="55">
        <v>6</v>
      </c>
      <c r="S997" s="74"/>
      <c r="T997" s="55" t="s">
        <v>1711</v>
      </c>
      <c r="U997" s="73" t="s">
        <v>351</v>
      </c>
      <c r="V997" s="74">
        <v>44431</v>
      </c>
      <c r="W997" s="74">
        <v>44461</v>
      </c>
      <c r="X997" s="55">
        <v>10186279</v>
      </c>
      <c r="Y997" s="74" t="s">
        <v>132</v>
      </c>
      <c r="Z997" s="74"/>
      <c r="AB997" s="55" t="s">
        <v>132</v>
      </c>
      <c r="AC997" s="55" t="s">
        <v>132</v>
      </c>
    </row>
    <row r="998" spans="1:29" ht="13" x14ac:dyDescent="0.15">
      <c r="A998" s="72" t="str">
        <f t="shared" si="15"/>
        <v>Ofsted Social Care Provider Webpage</v>
      </c>
      <c r="B998" s="55">
        <v>2571031</v>
      </c>
      <c r="D998" s="55" t="s">
        <v>373</v>
      </c>
      <c r="E998" s="74">
        <v>43978</v>
      </c>
      <c r="F998" s="55" t="s">
        <v>344</v>
      </c>
      <c r="G998" s="55" t="s">
        <v>360</v>
      </c>
      <c r="H998" s="55" t="s">
        <v>360</v>
      </c>
      <c r="I998" s="55" t="s">
        <v>360</v>
      </c>
      <c r="J998" s="55" t="s">
        <v>360</v>
      </c>
      <c r="K998" s="55" t="s">
        <v>360</v>
      </c>
      <c r="L998" s="55" t="s">
        <v>360</v>
      </c>
      <c r="M998" s="55" t="s">
        <v>144</v>
      </c>
      <c r="N998" s="55" t="s">
        <v>144</v>
      </c>
      <c r="O998" s="55" t="s">
        <v>217</v>
      </c>
      <c r="P998" s="55" t="s">
        <v>384</v>
      </c>
      <c r="Q998" s="55" t="s">
        <v>350</v>
      </c>
      <c r="R998" s="55">
        <v>2</v>
      </c>
      <c r="S998" s="74"/>
      <c r="T998" s="55" t="s">
        <v>1712</v>
      </c>
      <c r="U998" s="73" t="s">
        <v>351</v>
      </c>
      <c r="V998" s="74">
        <v>44397</v>
      </c>
      <c r="W998" s="74">
        <v>44427</v>
      </c>
      <c r="X998" s="55">
        <v>10196769</v>
      </c>
      <c r="Y998" s="74" t="s">
        <v>130</v>
      </c>
      <c r="Z998" s="74"/>
      <c r="AB998" s="55" t="s">
        <v>130</v>
      </c>
      <c r="AC998" s="55" t="s">
        <v>146</v>
      </c>
    </row>
    <row r="999" spans="1:29" ht="13" x14ac:dyDescent="0.15">
      <c r="A999" s="72" t="str">
        <f t="shared" si="15"/>
        <v>Ofsted Social Care Provider Webpage</v>
      </c>
      <c r="B999" s="55">
        <v>2571256</v>
      </c>
      <c r="D999" s="55" t="s">
        <v>373</v>
      </c>
      <c r="E999" s="74">
        <v>43900</v>
      </c>
      <c r="F999" s="55" t="s">
        <v>344</v>
      </c>
      <c r="G999" s="55" t="s">
        <v>360</v>
      </c>
      <c r="H999" s="55" t="s">
        <v>360</v>
      </c>
      <c r="I999" s="55" t="s">
        <v>360</v>
      </c>
      <c r="J999" s="55" t="s">
        <v>360</v>
      </c>
      <c r="K999" s="55" t="s">
        <v>360</v>
      </c>
      <c r="L999" s="55" t="s">
        <v>360</v>
      </c>
      <c r="M999" s="55" t="s">
        <v>172</v>
      </c>
      <c r="N999" s="55" t="s">
        <v>172</v>
      </c>
      <c r="O999" s="55" t="s">
        <v>173</v>
      </c>
      <c r="P999" s="55" t="s">
        <v>1540</v>
      </c>
      <c r="Q999" s="55" t="s">
        <v>350</v>
      </c>
      <c r="R999" s="55">
        <v>1</v>
      </c>
      <c r="S999" s="74"/>
      <c r="T999" s="55" t="s">
        <v>1713</v>
      </c>
      <c r="U999" s="73" t="s">
        <v>351</v>
      </c>
      <c r="V999" s="74">
        <v>44481</v>
      </c>
      <c r="W999" s="74">
        <v>44524</v>
      </c>
      <c r="X999" s="55">
        <v>10186565</v>
      </c>
      <c r="Y999" s="74" t="s">
        <v>132</v>
      </c>
      <c r="Z999" s="74"/>
      <c r="AB999" s="55" t="s">
        <v>132</v>
      </c>
      <c r="AC999" s="55" t="s">
        <v>132</v>
      </c>
    </row>
    <row r="1000" spans="1:29" ht="13" x14ac:dyDescent="0.15">
      <c r="A1000" s="72" t="str">
        <f t="shared" si="15"/>
        <v>Ofsted Social Care Provider Webpage</v>
      </c>
      <c r="B1000" s="55">
        <v>2571480</v>
      </c>
      <c r="D1000" s="55" t="s">
        <v>373</v>
      </c>
      <c r="E1000" s="74">
        <v>43857</v>
      </c>
      <c r="F1000" s="55" t="s">
        <v>344</v>
      </c>
      <c r="G1000" s="55" t="s">
        <v>360</v>
      </c>
      <c r="H1000" s="55" t="s">
        <v>360</v>
      </c>
      <c r="I1000" s="55" t="s">
        <v>360</v>
      </c>
      <c r="J1000" s="55" t="s">
        <v>360</v>
      </c>
      <c r="K1000" s="55" t="s">
        <v>360</v>
      </c>
      <c r="L1000" s="55" t="s">
        <v>360</v>
      </c>
      <c r="M1000" s="55" t="s">
        <v>138</v>
      </c>
      <c r="N1000" s="55" t="s">
        <v>138</v>
      </c>
      <c r="O1000" s="55" t="s">
        <v>183</v>
      </c>
      <c r="P1000" s="55" t="s">
        <v>1050</v>
      </c>
      <c r="Q1000" s="55" t="s">
        <v>350</v>
      </c>
      <c r="R1000" s="55">
        <v>5</v>
      </c>
      <c r="S1000" s="74"/>
      <c r="T1000" s="55" t="s">
        <v>617</v>
      </c>
      <c r="U1000" s="73"/>
      <c r="W1000" s="74"/>
      <c r="Y1000" s="74"/>
      <c r="Z1000" s="74"/>
    </row>
    <row r="1001" spans="1:29" ht="13" x14ac:dyDescent="0.15">
      <c r="A1001" s="72" t="str">
        <f t="shared" si="15"/>
        <v>Ofsted Social Care Provider Webpage</v>
      </c>
      <c r="B1001" s="55">
        <v>2571557</v>
      </c>
      <c r="D1001" s="55" t="s">
        <v>373</v>
      </c>
      <c r="E1001" s="74">
        <v>43937</v>
      </c>
      <c r="F1001" s="55" t="s">
        <v>344</v>
      </c>
      <c r="G1001" s="55" t="s">
        <v>360</v>
      </c>
      <c r="H1001" s="55" t="s">
        <v>360</v>
      </c>
      <c r="I1001" s="55" t="s">
        <v>360</v>
      </c>
      <c r="J1001" s="55" t="s">
        <v>360</v>
      </c>
      <c r="K1001" s="55" t="s">
        <v>360</v>
      </c>
      <c r="L1001" s="55" t="s">
        <v>360</v>
      </c>
      <c r="M1001" s="55" t="s">
        <v>150</v>
      </c>
      <c r="N1001" s="55" t="s">
        <v>150</v>
      </c>
      <c r="O1001" s="55" t="s">
        <v>218</v>
      </c>
      <c r="P1001" s="55" t="s">
        <v>1113</v>
      </c>
      <c r="Q1001" s="55" t="s">
        <v>380</v>
      </c>
      <c r="R1001" s="55">
        <v>6</v>
      </c>
      <c r="S1001" s="74" t="s">
        <v>332</v>
      </c>
      <c r="T1001" s="55" t="s">
        <v>1714</v>
      </c>
      <c r="U1001" s="73" t="s">
        <v>351</v>
      </c>
      <c r="V1001" s="74">
        <v>44509</v>
      </c>
      <c r="W1001" s="74">
        <v>44574</v>
      </c>
      <c r="X1001" s="55">
        <v>10186671</v>
      </c>
      <c r="Y1001" s="74" t="s">
        <v>130</v>
      </c>
      <c r="Z1001" s="74"/>
      <c r="AB1001" s="55" t="s">
        <v>130</v>
      </c>
      <c r="AC1001" s="55" t="s">
        <v>130</v>
      </c>
    </row>
    <row r="1002" spans="1:29" ht="13" x14ac:dyDescent="0.15">
      <c r="A1002" s="72" t="str">
        <f t="shared" si="15"/>
        <v>Ofsted Social Care Provider Webpage</v>
      </c>
      <c r="B1002" s="55">
        <v>2571603</v>
      </c>
      <c r="D1002" s="55" t="s">
        <v>443</v>
      </c>
      <c r="E1002" s="74">
        <v>43998</v>
      </c>
      <c r="F1002" s="55" t="s">
        <v>344</v>
      </c>
      <c r="G1002" s="55" t="s">
        <v>1715</v>
      </c>
      <c r="H1002" s="55" t="s">
        <v>1716</v>
      </c>
      <c r="I1002" s="55" t="s">
        <v>1717</v>
      </c>
      <c r="J1002" s="55" t="s">
        <v>1718</v>
      </c>
      <c r="K1002" s="55" t="s">
        <v>195</v>
      </c>
      <c r="L1002" s="55" t="s">
        <v>1719</v>
      </c>
      <c r="M1002" s="55" t="s">
        <v>142</v>
      </c>
      <c r="N1002" s="55" t="s">
        <v>142</v>
      </c>
      <c r="O1002" s="55" t="s">
        <v>195</v>
      </c>
      <c r="P1002" s="55" t="s">
        <v>747</v>
      </c>
      <c r="Q1002" s="55" t="s">
        <v>350</v>
      </c>
      <c r="R1002" s="55"/>
      <c r="S1002" s="74"/>
      <c r="T1002" s="55" t="s">
        <v>1720</v>
      </c>
      <c r="U1002" s="73" t="s">
        <v>351</v>
      </c>
      <c r="V1002" s="74">
        <v>44579</v>
      </c>
      <c r="W1002" s="74">
        <v>44613</v>
      </c>
      <c r="X1002" s="55">
        <v>10183226</v>
      </c>
      <c r="Y1002" s="74" t="s">
        <v>140</v>
      </c>
      <c r="Z1002" s="74"/>
      <c r="AB1002" s="55" t="s">
        <v>132</v>
      </c>
      <c r="AC1002" s="55" t="s">
        <v>140</v>
      </c>
    </row>
    <row r="1003" spans="1:29" ht="13" x14ac:dyDescent="0.15">
      <c r="A1003" s="72" t="str">
        <f t="shared" si="15"/>
        <v>Ofsted Social Care Provider Webpage</v>
      </c>
      <c r="B1003" s="55">
        <v>2571630</v>
      </c>
      <c r="D1003" s="55" t="s">
        <v>373</v>
      </c>
      <c r="E1003" s="74">
        <v>44184</v>
      </c>
      <c r="F1003" s="55" t="s">
        <v>344</v>
      </c>
      <c r="G1003" s="55" t="s">
        <v>360</v>
      </c>
      <c r="H1003" s="55" t="s">
        <v>360</v>
      </c>
      <c r="I1003" s="55" t="s">
        <v>360</v>
      </c>
      <c r="J1003" s="55" t="s">
        <v>360</v>
      </c>
      <c r="K1003" s="55" t="s">
        <v>360</v>
      </c>
      <c r="L1003" s="55" t="s">
        <v>360</v>
      </c>
      <c r="M1003" s="55" t="s">
        <v>129</v>
      </c>
      <c r="N1003" s="55" t="s">
        <v>129</v>
      </c>
      <c r="O1003" s="55" t="s">
        <v>131</v>
      </c>
      <c r="P1003" s="55" t="s">
        <v>1721</v>
      </c>
      <c r="Q1003" s="55" t="s">
        <v>350</v>
      </c>
      <c r="R1003" s="55">
        <v>3</v>
      </c>
      <c r="S1003" s="74"/>
      <c r="T1003" s="55" t="s">
        <v>1722</v>
      </c>
      <c r="U1003" s="73" t="s">
        <v>351</v>
      </c>
      <c r="V1003" s="74">
        <v>44481</v>
      </c>
      <c r="W1003" s="74">
        <v>44531</v>
      </c>
      <c r="X1003" s="55">
        <v>10185169</v>
      </c>
      <c r="Y1003" s="74" t="s">
        <v>132</v>
      </c>
      <c r="Z1003" s="74"/>
      <c r="AB1003" s="55" t="s">
        <v>132</v>
      </c>
      <c r="AC1003" s="55" t="s">
        <v>132</v>
      </c>
    </row>
    <row r="1004" spans="1:29" ht="13" x14ac:dyDescent="0.15">
      <c r="A1004" s="72" t="str">
        <f t="shared" si="15"/>
        <v>Ofsted Social Care Provider Webpage</v>
      </c>
      <c r="B1004" s="55">
        <v>2571759</v>
      </c>
      <c r="D1004" s="55" t="s">
        <v>373</v>
      </c>
      <c r="E1004" s="74">
        <v>43872</v>
      </c>
      <c r="F1004" s="55" t="s">
        <v>344</v>
      </c>
      <c r="G1004" s="55" t="s">
        <v>360</v>
      </c>
      <c r="H1004" s="55" t="s">
        <v>360</v>
      </c>
      <c r="I1004" s="55" t="s">
        <v>360</v>
      </c>
      <c r="J1004" s="55" t="s">
        <v>360</v>
      </c>
      <c r="K1004" s="55" t="s">
        <v>360</v>
      </c>
      <c r="L1004" s="55" t="s">
        <v>360</v>
      </c>
      <c r="M1004" s="55" t="s">
        <v>378</v>
      </c>
      <c r="N1004" s="55" t="s">
        <v>134</v>
      </c>
      <c r="O1004" s="55" t="s">
        <v>206</v>
      </c>
      <c r="P1004" s="55" t="s">
        <v>760</v>
      </c>
      <c r="Q1004" s="55" t="s">
        <v>350</v>
      </c>
      <c r="R1004" s="55">
        <v>4</v>
      </c>
      <c r="S1004" s="74"/>
      <c r="T1004" s="55" t="s">
        <v>1723</v>
      </c>
      <c r="U1004" s="73" t="s">
        <v>351</v>
      </c>
      <c r="V1004" s="74">
        <v>44621</v>
      </c>
      <c r="W1004" s="74">
        <v>44665</v>
      </c>
      <c r="X1004" s="55">
        <v>10187463</v>
      </c>
      <c r="Y1004" s="74" t="s">
        <v>132</v>
      </c>
      <c r="Z1004" s="74"/>
      <c r="AB1004" s="55" t="s">
        <v>132</v>
      </c>
      <c r="AC1004" s="55" t="s">
        <v>132</v>
      </c>
    </row>
    <row r="1005" spans="1:29" ht="13" x14ac:dyDescent="0.15">
      <c r="A1005" s="72" t="str">
        <f t="shared" si="15"/>
        <v>Ofsted Social Care Provider Webpage</v>
      </c>
      <c r="B1005" s="55">
        <v>2571846</v>
      </c>
      <c r="D1005" s="55" t="s">
        <v>373</v>
      </c>
      <c r="E1005" s="74">
        <v>43999</v>
      </c>
      <c r="F1005" s="55" t="s">
        <v>344</v>
      </c>
      <c r="G1005" s="55" t="s">
        <v>360</v>
      </c>
      <c r="H1005" s="55" t="s">
        <v>360</v>
      </c>
      <c r="I1005" s="55" t="s">
        <v>360</v>
      </c>
      <c r="J1005" s="55" t="s">
        <v>360</v>
      </c>
      <c r="K1005" s="55" t="s">
        <v>360</v>
      </c>
      <c r="L1005" s="55" t="s">
        <v>360</v>
      </c>
      <c r="M1005" s="55" t="s">
        <v>150</v>
      </c>
      <c r="N1005" s="55" t="s">
        <v>150</v>
      </c>
      <c r="O1005" s="55" t="s">
        <v>190</v>
      </c>
      <c r="P1005" s="55" t="s">
        <v>887</v>
      </c>
      <c r="Q1005" s="55" t="s">
        <v>350</v>
      </c>
      <c r="R1005" s="55">
        <v>5</v>
      </c>
      <c r="S1005" s="74"/>
      <c r="T1005" s="55" t="s">
        <v>888</v>
      </c>
      <c r="U1005" s="73" t="s">
        <v>351</v>
      </c>
      <c r="V1005" s="74">
        <v>44565</v>
      </c>
      <c r="W1005" s="74">
        <v>44609</v>
      </c>
      <c r="X1005" s="55">
        <v>10186217</v>
      </c>
      <c r="Y1005" s="74" t="s">
        <v>132</v>
      </c>
      <c r="Z1005" s="74"/>
      <c r="AB1005" s="55" t="s">
        <v>132</v>
      </c>
      <c r="AC1005" s="55" t="s">
        <v>132</v>
      </c>
    </row>
    <row r="1006" spans="1:29" ht="13" x14ac:dyDescent="0.15">
      <c r="A1006" s="72" t="str">
        <f t="shared" si="15"/>
        <v>Ofsted Social Care Provider Webpage</v>
      </c>
      <c r="B1006" s="55">
        <v>2571902</v>
      </c>
      <c r="D1006" s="55" t="s">
        <v>373</v>
      </c>
      <c r="E1006" s="74">
        <v>43914</v>
      </c>
      <c r="F1006" s="55" t="s">
        <v>344</v>
      </c>
      <c r="G1006" s="55" t="s">
        <v>360</v>
      </c>
      <c r="H1006" s="55" t="s">
        <v>360</v>
      </c>
      <c r="I1006" s="55" t="s">
        <v>360</v>
      </c>
      <c r="J1006" s="55" t="s">
        <v>360</v>
      </c>
      <c r="K1006" s="55" t="s">
        <v>360</v>
      </c>
      <c r="L1006" s="55" t="s">
        <v>360</v>
      </c>
      <c r="M1006" s="55" t="s">
        <v>378</v>
      </c>
      <c r="N1006" s="55" t="s">
        <v>170</v>
      </c>
      <c r="O1006" s="55" t="s">
        <v>178</v>
      </c>
      <c r="P1006" s="55" t="s">
        <v>434</v>
      </c>
      <c r="Q1006" s="55" t="s">
        <v>350</v>
      </c>
      <c r="R1006" s="55">
        <v>2</v>
      </c>
      <c r="S1006" s="74"/>
      <c r="T1006" s="55" t="s">
        <v>1481</v>
      </c>
      <c r="U1006" s="73" t="s">
        <v>351</v>
      </c>
      <c r="V1006" s="74">
        <v>44446</v>
      </c>
      <c r="W1006" s="74">
        <v>44477</v>
      </c>
      <c r="X1006" s="55">
        <v>10187236</v>
      </c>
      <c r="Y1006" s="74" t="s">
        <v>132</v>
      </c>
      <c r="Z1006" s="74"/>
      <c r="AB1006" s="55" t="s">
        <v>132</v>
      </c>
      <c r="AC1006" s="55" t="s">
        <v>140</v>
      </c>
    </row>
    <row r="1007" spans="1:29" ht="13" x14ac:dyDescent="0.15">
      <c r="A1007" s="72" t="str">
        <f t="shared" si="15"/>
        <v>Ofsted Social Care Provider Webpage</v>
      </c>
      <c r="B1007" s="55">
        <v>2572055</v>
      </c>
      <c r="D1007" s="55" t="s">
        <v>389</v>
      </c>
      <c r="E1007" s="74">
        <v>43966</v>
      </c>
      <c r="F1007" s="55" t="s">
        <v>344</v>
      </c>
      <c r="G1007" s="55" t="s">
        <v>1724</v>
      </c>
      <c r="H1007" s="55" t="s">
        <v>1725</v>
      </c>
      <c r="I1007" s="55" t="s">
        <v>1726</v>
      </c>
      <c r="J1007" s="55" t="s">
        <v>546</v>
      </c>
      <c r="K1007" s="55" t="s">
        <v>196</v>
      </c>
      <c r="L1007" s="55" t="s">
        <v>1727</v>
      </c>
      <c r="M1007" s="55" t="s">
        <v>138</v>
      </c>
      <c r="N1007" s="55" t="s">
        <v>138</v>
      </c>
      <c r="O1007" s="55" t="s">
        <v>196</v>
      </c>
      <c r="P1007" s="55" t="s">
        <v>546</v>
      </c>
      <c r="Q1007" s="55" t="s">
        <v>350</v>
      </c>
      <c r="R1007" s="55"/>
      <c r="S1007" s="74"/>
      <c r="T1007" s="55" t="s">
        <v>1724</v>
      </c>
      <c r="U1007" s="73" t="s">
        <v>351</v>
      </c>
      <c r="V1007" s="74">
        <v>44606</v>
      </c>
      <c r="W1007" s="74">
        <v>44655</v>
      </c>
      <c r="X1007" s="55">
        <v>10183182</v>
      </c>
      <c r="Y1007" s="74" t="s">
        <v>132</v>
      </c>
      <c r="Z1007" s="74"/>
      <c r="AB1007" s="55" t="s">
        <v>132</v>
      </c>
      <c r="AC1007" s="55" t="s">
        <v>132</v>
      </c>
    </row>
    <row r="1008" spans="1:29" ht="13" x14ac:dyDescent="0.15">
      <c r="A1008" s="72" t="str">
        <f t="shared" si="15"/>
        <v>Ofsted Social Care Provider Webpage</v>
      </c>
      <c r="B1008" s="55">
        <v>2572121</v>
      </c>
      <c r="D1008" s="55" t="s">
        <v>373</v>
      </c>
      <c r="E1008" s="74">
        <v>43896</v>
      </c>
      <c r="F1008" s="55" t="s">
        <v>344</v>
      </c>
      <c r="G1008" s="55" t="s">
        <v>360</v>
      </c>
      <c r="H1008" s="55" t="s">
        <v>360</v>
      </c>
      <c r="I1008" s="55" t="s">
        <v>360</v>
      </c>
      <c r="J1008" s="55" t="s">
        <v>360</v>
      </c>
      <c r="K1008" s="55" t="s">
        <v>360</v>
      </c>
      <c r="L1008" s="55" t="s">
        <v>360</v>
      </c>
      <c r="M1008" s="55" t="s">
        <v>136</v>
      </c>
      <c r="N1008" s="55" t="s">
        <v>136</v>
      </c>
      <c r="O1008" s="55" t="s">
        <v>288</v>
      </c>
      <c r="P1008" s="55" t="s">
        <v>1101</v>
      </c>
      <c r="Q1008" s="55" t="s">
        <v>380</v>
      </c>
      <c r="R1008" s="55">
        <v>3</v>
      </c>
      <c r="S1008" s="74"/>
      <c r="T1008" s="55" t="s">
        <v>1389</v>
      </c>
      <c r="U1008" s="73"/>
      <c r="W1008" s="74"/>
      <c r="Y1008" s="74"/>
      <c r="Z1008" s="74"/>
    </row>
    <row r="1009" spans="1:29" ht="13" x14ac:dyDescent="0.15">
      <c r="A1009" s="72" t="str">
        <f t="shared" si="15"/>
        <v>Ofsted Social Care Provider Webpage</v>
      </c>
      <c r="B1009" s="55">
        <v>2572133</v>
      </c>
      <c r="D1009" s="55" t="s">
        <v>373</v>
      </c>
      <c r="E1009" s="74">
        <v>43858</v>
      </c>
      <c r="F1009" s="55" t="s">
        <v>344</v>
      </c>
      <c r="G1009" s="55" t="s">
        <v>360</v>
      </c>
      <c r="H1009" s="55" t="s">
        <v>360</v>
      </c>
      <c r="I1009" s="55" t="s">
        <v>360</v>
      </c>
      <c r="J1009" s="55" t="s">
        <v>360</v>
      </c>
      <c r="K1009" s="55" t="s">
        <v>360</v>
      </c>
      <c r="L1009" s="55" t="s">
        <v>360</v>
      </c>
      <c r="M1009" s="55" t="s">
        <v>142</v>
      </c>
      <c r="N1009" s="55" t="s">
        <v>142</v>
      </c>
      <c r="O1009" s="55" t="s">
        <v>262</v>
      </c>
      <c r="P1009" s="55" t="s">
        <v>523</v>
      </c>
      <c r="Q1009" s="55" t="s">
        <v>350</v>
      </c>
      <c r="R1009" s="55">
        <v>4</v>
      </c>
      <c r="S1009" s="74"/>
      <c r="T1009" s="55" t="s">
        <v>489</v>
      </c>
      <c r="U1009" s="73" t="s">
        <v>351</v>
      </c>
      <c r="V1009" s="74">
        <v>44419</v>
      </c>
      <c r="W1009" s="74">
        <v>44454</v>
      </c>
      <c r="X1009" s="55">
        <v>10204572</v>
      </c>
      <c r="Y1009" s="74" t="s">
        <v>130</v>
      </c>
      <c r="Z1009" s="74"/>
      <c r="AB1009" s="55" t="s">
        <v>130</v>
      </c>
      <c r="AC1009" s="55" t="s">
        <v>130</v>
      </c>
    </row>
    <row r="1010" spans="1:29" ht="13" x14ac:dyDescent="0.15">
      <c r="A1010" s="72" t="str">
        <f t="shared" si="15"/>
        <v>Ofsted Social Care Provider Webpage</v>
      </c>
      <c r="B1010" s="55">
        <v>2572306</v>
      </c>
      <c r="D1010" s="55" t="s">
        <v>451</v>
      </c>
      <c r="E1010" s="74">
        <v>43956</v>
      </c>
      <c r="F1010" s="55" t="s">
        <v>344</v>
      </c>
      <c r="G1010" s="55" t="s">
        <v>1728</v>
      </c>
      <c r="H1010" s="55" t="s">
        <v>1729</v>
      </c>
      <c r="I1010" s="55" t="s">
        <v>1730</v>
      </c>
      <c r="J1010" s="55" t="s">
        <v>555</v>
      </c>
      <c r="K1010" s="55" t="s">
        <v>209</v>
      </c>
      <c r="L1010" s="55" t="s">
        <v>1731</v>
      </c>
      <c r="M1010" s="55" t="s">
        <v>144</v>
      </c>
      <c r="N1010" s="55" t="s">
        <v>144</v>
      </c>
      <c r="O1010" s="55" t="s">
        <v>209</v>
      </c>
      <c r="P1010" s="55" t="s">
        <v>555</v>
      </c>
      <c r="Q1010" s="55" t="s">
        <v>350</v>
      </c>
      <c r="R1010" s="55">
        <v>5</v>
      </c>
      <c r="S1010" s="74"/>
      <c r="T1010" s="55" t="s">
        <v>1732</v>
      </c>
      <c r="U1010" s="73" t="s">
        <v>351</v>
      </c>
      <c r="V1010" s="74">
        <v>44608</v>
      </c>
      <c r="W1010" s="74">
        <v>44656</v>
      </c>
      <c r="X1010" s="55">
        <v>10183238</v>
      </c>
      <c r="Y1010" s="74" t="s">
        <v>132</v>
      </c>
      <c r="Z1010" s="74"/>
      <c r="AB1010" s="55" t="s">
        <v>132</v>
      </c>
      <c r="AC1010" s="55" t="s">
        <v>130</v>
      </c>
    </row>
    <row r="1011" spans="1:29" ht="13" x14ac:dyDescent="0.15">
      <c r="A1011" s="72" t="str">
        <f t="shared" si="15"/>
        <v>Ofsted Social Care Provider Webpage</v>
      </c>
      <c r="B1011" s="55">
        <v>2572552</v>
      </c>
      <c r="D1011" s="55" t="s">
        <v>373</v>
      </c>
      <c r="E1011" s="74">
        <v>43916</v>
      </c>
      <c r="F1011" s="55" t="s">
        <v>344</v>
      </c>
      <c r="G1011" s="55" t="s">
        <v>360</v>
      </c>
      <c r="H1011" s="55" t="s">
        <v>360</v>
      </c>
      <c r="I1011" s="55" t="s">
        <v>360</v>
      </c>
      <c r="J1011" s="55" t="s">
        <v>360</v>
      </c>
      <c r="K1011" s="55" t="s">
        <v>360</v>
      </c>
      <c r="L1011" s="55" t="s">
        <v>360</v>
      </c>
      <c r="M1011" s="55" t="s">
        <v>136</v>
      </c>
      <c r="N1011" s="55" t="s">
        <v>136</v>
      </c>
      <c r="O1011" s="55" t="s">
        <v>174</v>
      </c>
      <c r="P1011" s="55" t="s">
        <v>570</v>
      </c>
      <c r="Q1011" s="55" t="s">
        <v>350</v>
      </c>
      <c r="R1011" s="55">
        <v>1</v>
      </c>
      <c r="S1011" s="74"/>
      <c r="T1011" s="55" t="s">
        <v>793</v>
      </c>
      <c r="U1011" s="73"/>
      <c r="W1011" s="74"/>
      <c r="Y1011" s="74"/>
      <c r="Z1011" s="74"/>
    </row>
    <row r="1012" spans="1:29" ht="13" x14ac:dyDescent="0.15">
      <c r="A1012" s="72" t="str">
        <f t="shared" si="15"/>
        <v>Ofsted Social Care Provider Webpage</v>
      </c>
      <c r="B1012" s="55">
        <v>2572812</v>
      </c>
      <c r="D1012" s="55" t="s">
        <v>373</v>
      </c>
      <c r="E1012" s="74">
        <v>44593</v>
      </c>
      <c r="F1012" s="55" t="s">
        <v>344</v>
      </c>
      <c r="G1012" s="55" t="s">
        <v>360</v>
      </c>
      <c r="H1012" s="55" t="s">
        <v>360</v>
      </c>
      <c r="I1012" s="55" t="s">
        <v>360</v>
      </c>
      <c r="J1012" s="55" t="s">
        <v>360</v>
      </c>
      <c r="K1012" s="55" t="s">
        <v>360</v>
      </c>
      <c r="L1012" s="55" t="s">
        <v>360</v>
      </c>
      <c r="M1012" s="55" t="s">
        <v>150</v>
      </c>
      <c r="N1012" s="55" t="s">
        <v>150</v>
      </c>
      <c r="O1012" s="55" t="s">
        <v>218</v>
      </c>
      <c r="P1012" s="55" t="s">
        <v>1086</v>
      </c>
      <c r="Q1012" s="55" t="s">
        <v>350</v>
      </c>
      <c r="R1012" s="55">
        <v>5</v>
      </c>
      <c r="S1012" s="74"/>
      <c r="T1012" s="55" t="s">
        <v>483</v>
      </c>
      <c r="U1012" s="73"/>
      <c r="W1012" s="74"/>
      <c r="Y1012" s="74"/>
      <c r="Z1012" s="74"/>
    </row>
    <row r="1013" spans="1:29" ht="13" x14ac:dyDescent="0.15">
      <c r="A1013" s="72" t="str">
        <f t="shared" si="15"/>
        <v>Ofsted Social Care Provider Webpage</v>
      </c>
      <c r="B1013" s="55">
        <v>2573144</v>
      </c>
      <c r="D1013" s="55" t="s">
        <v>373</v>
      </c>
      <c r="E1013" s="74">
        <v>43955</v>
      </c>
      <c r="F1013" s="55" t="s">
        <v>344</v>
      </c>
      <c r="G1013" s="55" t="s">
        <v>360</v>
      </c>
      <c r="H1013" s="55" t="s">
        <v>360</v>
      </c>
      <c r="I1013" s="55" t="s">
        <v>360</v>
      </c>
      <c r="J1013" s="55" t="s">
        <v>360</v>
      </c>
      <c r="K1013" s="55" t="s">
        <v>360</v>
      </c>
      <c r="L1013" s="55" t="s">
        <v>360</v>
      </c>
      <c r="M1013" s="55" t="s">
        <v>142</v>
      </c>
      <c r="N1013" s="55" t="s">
        <v>142</v>
      </c>
      <c r="O1013" s="55" t="s">
        <v>262</v>
      </c>
      <c r="P1013" s="55" t="s">
        <v>488</v>
      </c>
      <c r="Q1013" s="55" t="s">
        <v>350</v>
      </c>
      <c r="R1013" s="55">
        <v>2</v>
      </c>
      <c r="S1013" s="74"/>
      <c r="T1013" s="55" t="s">
        <v>489</v>
      </c>
      <c r="U1013" s="73" t="s">
        <v>351</v>
      </c>
      <c r="V1013" s="74">
        <v>44567</v>
      </c>
      <c r="W1013" s="74">
        <v>44594</v>
      </c>
      <c r="X1013" s="55">
        <v>10185705</v>
      </c>
      <c r="Y1013" s="74" t="s">
        <v>132</v>
      </c>
      <c r="Z1013" s="74"/>
      <c r="AB1013" s="55" t="s">
        <v>132</v>
      </c>
      <c r="AC1013" s="55" t="s">
        <v>132</v>
      </c>
    </row>
    <row r="1014" spans="1:29" ht="13" x14ac:dyDescent="0.15">
      <c r="A1014" s="72" t="str">
        <f t="shared" si="15"/>
        <v>Ofsted Social Care Provider Webpage</v>
      </c>
      <c r="B1014" s="55">
        <v>2573447</v>
      </c>
      <c r="D1014" s="55" t="s">
        <v>373</v>
      </c>
      <c r="E1014" s="74">
        <v>44035</v>
      </c>
      <c r="F1014" s="55" t="s">
        <v>344</v>
      </c>
      <c r="G1014" s="55" t="s">
        <v>360</v>
      </c>
      <c r="H1014" s="55" t="s">
        <v>360</v>
      </c>
      <c r="I1014" s="55" t="s">
        <v>360</v>
      </c>
      <c r="J1014" s="55" t="s">
        <v>360</v>
      </c>
      <c r="K1014" s="55" t="s">
        <v>360</v>
      </c>
      <c r="L1014" s="55" t="s">
        <v>360</v>
      </c>
      <c r="M1014" s="55" t="s">
        <v>378</v>
      </c>
      <c r="N1014" s="55" t="s">
        <v>134</v>
      </c>
      <c r="O1014" s="55" t="s">
        <v>151</v>
      </c>
      <c r="P1014" s="55" t="s">
        <v>862</v>
      </c>
      <c r="Q1014" s="55" t="s">
        <v>350</v>
      </c>
      <c r="R1014" s="55">
        <v>2</v>
      </c>
      <c r="S1014" s="74"/>
      <c r="T1014" s="55" t="s">
        <v>1733</v>
      </c>
      <c r="U1014" s="73" t="s">
        <v>351</v>
      </c>
      <c r="V1014" s="74">
        <v>44529</v>
      </c>
      <c r="W1014" s="74">
        <v>44581</v>
      </c>
      <c r="X1014" s="55">
        <v>10209492</v>
      </c>
      <c r="Y1014" s="74" t="s">
        <v>132</v>
      </c>
      <c r="Z1014" s="74"/>
      <c r="AB1014" s="55" t="s">
        <v>130</v>
      </c>
      <c r="AC1014" s="55" t="s">
        <v>132</v>
      </c>
    </row>
    <row r="1015" spans="1:29" ht="13" x14ac:dyDescent="0.15">
      <c r="A1015" s="72" t="str">
        <f t="shared" si="15"/>
        <v>Ofsted Social Care Provider Webpage</v>
      </c>
      <c r="B1015" s="55">
        <v>2573614</v>
      </c>
      <c r="D1015" s="55" t="s">
        <v>373</v>
      </c>
      <c r="E1015" s="74">
        <v>43903</v>
      </c>
      <c r="F1015" s="55" t="s">
        <v>344</v>
      </c>
      <c r="G1015" s="55" t="s">
        <v>360</v>
      </c>
      <c r="H1015" s="55" t="s">
        <v>360</v>
      </c>
      <c r="I1015" s="55" t="s">
        <v>360</v>
      </c>
      <c r="J1015" s="55" t="s">
        <v>360</v>
      </c>
      <c r="K1015" s="55" t="s">
        <v>360</v>
      </c>
      <c r="L1015" s="55" t="s">
        <v>360</v>
      </c>
      <c r="M1015" s="55" t="s">
        <v>136</v>
      </c>
      <c r="N1015" s="55" t="s">
        <v>136</v>
      </c>
      <c r="O1015" s="55" t="s">
        <v>174</v>
      </c>
      <c r="P1015" s="55" t="s">
        <v>1526</v>
      </c>
      <c r="Q1015" s="55" t="s">
        <v>350</v>
      </c>
      <c r="R1015" s="55">
        <v>2</v>
      </c>
      <c r="S1015" s="74"/>
      <c r="T1015" s="55" t="s">
        <v>858</v>
      </c>
      <c r="U1015" s="73" t="s">
        <v>351</v>
      </c>
      <c r="V1015" s="74">
        <v>44376</v>
      </c>
      <c r="W1015" s="74">
        <v>44412</v>
      </c>
      <c r="X1015" s="55">
        <v>10187137</v>
      </c>
      <c r="Y1015" s="74" t="s">
        <v>132</v>
      </c>
      <c r="Z1015" s="74"/>
      <c r="AB1015" s="55" t="s">
        <v>132</v>
      </c>
      <c r="AC1015" s="55" t="s">
        <v>140</v>
      </c>
    </row>
    <row r="1016" spans="1:29" ht="13" x14ac:dyDescent="0.15">
      <c r="A1016" s="72" t="str">
        <f t="shared" si="15"/>
        <v>Ofsted Social Care Provider Webpage</v>
      </c>
      <c r="B1016" s="55">
        <v>2573764</v>
      </c>
      <c r="D1016" s="55" t="s">
        <v>389</v>
      </c>
      <c r="E1016" s="74">
        <v>43964</v>
      </c>
      <c r="F1016" s="55" t="s">
        <v>344</v>
      </c>
      <c r="G1016" s="55" t="s">
        <v>1734</v>
      </c>
      <c r="H1016" s="55" t="s">
        <v>1735</v>
      </c>
      <c r="I1016" s="55" t="s">
        <v>1736</v>
      </c>
      <c r="J1016" s="55" t="s">
        <v>916</v>
      </c>
      <c r="K1016" s="55" t="s">
        <v>262</v>
      </c>
      <c r="L1016" s="55" t="s">
        <v>1737</v>
      </c>
      <c r="M1016" s="55" t="s">
        <v>142</v>
      </c>
      <c r="N1016" s="55" t="s">
        <v>142</v>
      </c>
      <c r="O1016" s="55" t="s">
        <v>262</v>
      </c>
      <c r="P1016" s="55" t="s">
        <v>916</v>
      </c>
      <c r="Q1016" s="55" t="s">
        <v>350</v>
      </c>
      <c r="R1016" s="55"/>
      <c r="S1016" s="74"/>
      <c r="T1016" s="55" t="s">
        <v>1734</v>
      </c>
      <c r="U1016" s="73"/>
      <c r="W1016" s="74"/>
      <c r="Y1016" s="74"/>
      <c r="Z1016" s="74"/>
    </row>
    <row r="1017" spans="1:29" ht="13" x14ac:dyDescent="0.15">
      <c r="A1017" s="72" t="str">
        <f t="shared" si="15"/>
        <v>Ofsted Social Care Provider Webpage</v>
      </c>
      <c r="B1017" s="55">
        <v>2574119</v>
      </c>
      <c r="D1017" s="55" t="s">
        <v>373</v>
      </c>
      <c r="E1017" s="74">
        <v>43880</v>
      </c>
      <c r="F1017" s="55" t="s">
        <v>344</v>
      </c>
      <c r="G1017" s="55" t="s">
        <v>360</v>
      </c>
      <c r="H1017" s="55" t="s">
        <v>360</v>
      </c>
      <c r="I1017" s="55" t="s">
        <v>360</v>
      </c>
      <c r="J1017" s="55" t="s">
        <v>360</v>
      </c>
      <c r="K1017" s="55" t="s">
        <v>360</v>
      </c>
      <c r="L1017" s="55" t="s">
        <v>360</v>
      </c>
      <c r="M1017" s="55" t="s">
        <v>144</v>
      </c>
      <c r="N1017" s="55" t="s">
        <v>144</v>
      </c>
      <c r="O1017" s="55" t="s">
        <v>168</v>
      </c>
      <c r="P1017" s="55" t="s">
        <v>834</v>
      </c>
      <c r="Q1017" s="55" t="s">
        <v>380</v>
      </c>
      <c r="R1017" s="55">
        <v>4</v>
      </c>
      <c r="S1017" s="74"/>
      <c r="T1017" s="55" t="s">
        <v>1432</v>
      </c>
      <c r="U1017" s="73" t="s">
        <v>351</v>
      </c>
      <c r="V1017" s="74">
        <v>44488</v>
      </c>
      <c r="W1017" s="74">
        <v>44544</v>
      </c>
      <c r="X1017" s="55">
        <v>10186563</v>
      </c>
      <c r="Y1017" s="74" t="s">
        <v>130</v>
      </c>
      <c r="Z1017" s="74"/>
      <c r="AB1017" s="55" t="s">
        <v>130</v>
      </c>
      <c r="AC1017" s="55" t="s">
        <v>130</v>
      </c>
    </row>
    <row r="1018" spans="1:29" ht="13" x14ac:dyDescent="0.15">
      <c r="A1018" s="72" t="str">
        <f t="shared" si="15"/>
        <v>Ofsted Social Care Provider Webpage</v>
      </c>
      <c r="B1018" s="55">
        <v>2574877</v>
      </c>
      <c r="D1018" s="55" t="s">
        <v>389</v>
      </c>
      <c r="E1018" s="74">
        <v>44064</v>
      </c>
      <c r="F1018" s="55" t="s">
        <v>344</v>
      </c>
      <c r="G1018" s="55" t="s">
        <v>1738</v>
      </c>
      <c r="H1018" s="55" t="s">
        <v>1739</v>
      </c>
      <c r="I1018" s="55" t="s">
        <v>1740</v>
      </c>
      <c r="J1018" s="55" t="s">
        <v>1038</v>
      </c>
      <c r="K1018" s="55" t="s">
        <v>203</v>
      </c>
      <c r="L1018" s="55" t="s">
        <v>1741</v>
      </c>
      <c r="M1018" s="55" t="s">
        <v>150</v>
      </c>
      <c r="N1018" s="55" t="s">
        <v>150</v>
      </c>
      <c r="O1018" s="55" t="s">
        <v>203</v>
      </c>
      <c r="P1018" s="55" t="s">
        <v>1038</v>
      </c>
      <c r="Q1018" s="55" t="s">
        <v>350</v>
      </c>
      <c r="R1018" s="55"/>
      <c r="S1018" s="74"/>
      <c r="T1018" s="55" t="s">
        <v>1742</v>
      </c>
      <c r="U1018" s="73" t="s">
        <v>351</v>
      </c>
      <c r="V1018" s="74">
        <v>44389</v>
      </c>
      <c r="W1018" s="74">
        <v>44445</v>
      </c>
      <c r="X1018" s="55">
        <v>10183202</v>
      </c>
      <c r="Y1018" s="74" t="s">
        <v>130</v>
      </c>
      <c r="Z1018" s="74"/>
      <c r="AB1018" s="55" t="s">
        <v>130</v>
      </c>
      <c r="AC1018" s="55" t="s">
        <v>130</v>
      </c>
    </row>
    <row r="1019" spans="1:29" ht="13" x14ac:dyDescent="0.15">
      <c r="A1019" s="72" t="str">
        <f t="shared" si="15"/>
        <v>Ofsted Social Care Provider Webpage</v>
      </c>
      <c r="B1019" s="55">
        <v>2575094</v>
      </c>
      <c r="D1019" s="55" t="s">
        <v>389</v>
      </c>
      <c r="E1019" s="74">
        <v>43935</v>
      </c>
      <c r="F1019" s="55" t="s">
        <v>344</v>
      </c>
      <c r="G1019" s="55" t="s">
        <v>1743</v>
      </c>
      <c r="H1019" s="55" t="s">
        <v>1744</v>
      </c>
      <c r="I1019" s="55" t="s">
        <v>354</v>
      </c>
      <c r="J1019" s="55" t="s">
        <v>1745</v>
      </c>
      <c r="K1019" s="55" t="s">
        <v>1746</v>
      </c>
      <c r="L1019" s="55" t="s">
        <v>1747</v>
      </c>
      <c r="M1019" s="55" t="s">
        <v>129</v>
      </c>
      <c r="N1019" s="55" t="s">
        <v>129</v>
      </c>
      <c r="O1019" s="55" t="s">
        <v>197</v>
      </c>
      <c r="P1019" s="55" t="s">
        <v>1748</v>
      </c>
      <c r="Q1019" s="55" t="s">
        <v>350</v>
      </c>
      <c r="R1019" s="55"/>
      <c r="S1019" s="74"/>
      <c r="T1019" s="55" t="s">
        <v>1749</v>
      </c>
      <c r="U1019" s="73"/>
      <c r="W1019" s="74"/>
      <c r="Y1019" s="74"/>
      <c r="Z1019" s="74"/>
    </row>
    <row r="1020" spans="1:29" ht="13" x14ac:dyDescent="0.15">
      <c r="A1020" s="72" t="str">
        <f t="shared" si="15"/>
        <v>Ofsted Social Care Provider Webpage</v>
      </c>
      <c r="B1020" s="55">
        <v>2575372</v>
      </c>
      <c r="D1020" s="55" t="s">
        <v>373</v>
      </c>
      <c r="E1020" s="74">
        <v>43994</v>
      </c>
      <c r="F1020" s="55" t="s">
        <v>344</v>
      </c>
      <c r="G1020" s="55" t="s">
        <v>360</v>
      </c>
      <c r="H1020" s="55" t="s">
        <v>360</v>
      </c>
      <c r="I1020" s="55" t="s">
        <v>360</v>
      </c>
      <c r="J1020" s="55" t="s">
        <v>360</v>
      </c>
      <c r="K1020" s="55" t="s">
        <v>360</v>
      </c>
      <c r="L1020" s="55" t="s">
        <v>360</v>
      </c>
      <c r="M1020" s="55" t="s">
        <v>138</v>
      </c>
      <c r="N1020" s="55" t="s">
        <v>138</v>
      </c>
      <c r="O1020" s="55" t="s">
        <v>183</v>
      </c>
      <c r="P1020" s="55" t="s">
        <v>1500</v>
      </c>
      <c r="Q1020" s="55" t="s">
        <v>350</v>
      </c>
      <c r="R1020" s="55">
        <v>3</v>
      </c>
      <c r="S1020" s="74"/>
      <c r="T1020" s="55" t="s">
        <v>1750</v>
      </c>
      <c r="U1020" s="73" t="s">
        <v>351</v>
      </c>
      <c r="V1020" s="74">
        <v>44300</v>
      </c>
      <c r="W1020" s="74">
        <v>44327</v>
      </c>
      <c r="X1020" s="55">
        <v>10186210</v>
      </c>
      <c r="Y1020" s="74" t="s">
        <v>130</v>
      </c>
      <c r="Z1020" s="74"/>
      <c r="AB1020" s="55" t="s">
        <v>130</v>
      </c>
      <c r="AC1020" s="55" t="s">
        <v>130</v>
      </c>
    </row>
    <row r="1021" spans="1:29" ht="13" x14ac:dyDescent="0.15">
      <c r="A1021" s="72" t="str">
        <f t="shared" si="15"/>
        <v>Ofsted Social Care Provider Webpage</v>
      </c>
      <c r="B1021" s="55">
        <v>2575432</v>
      </c>
      <c r="D1021" s="55" t="s">
        <v>373</v>
      </c>
      <c r="E1021" s="74">
        <v>43952</v>
      </c>
      <c r="F1021" s="55" t="s">
        <v>344</v>
      </c>
      <c r="G1021" s="55" t="s">
        <v>360</v>
      </c>
      <c r="H1021" s="55" t="s">
        <v>360</v>
      </c>
      <c r="I1021" s="55" t="s">
        <v>360</v>
      </c>
      <c r="J1021" s="55" t="s">
        <v>360</v>
      </c>
      <c r="K1021" s="55" t="s">
        <v>360</v>
      </c>
      <c r="L1021" s="55" t="s">
        <v>360</v>
      </c>
      <c r="M1021" s="55" t="s">
        <v>144</v>
      </c>
      <c r="N1021" s="55" t="s">
        <v>144</v>
      </c>
      <c r="O1021" s="55" t="s">
        <v>287</v>
      </c>
      <c r="P1021" s="55" t="s">
        <v>815</v>
      </c>
      <c r="Q1021" s="55" t="s">
        <v>350</v>
      </c>
      <c r="R1021" s="55">
        <v>2</v>
      </c>
      <c r="S1021" s="74"/>
      <c r="T1021" s="55" t="s">
        <v>1272</v>
      </c>
      <c r="U1021" s="73" t="s">
        <v>351</v>
      </c>
      <c r="V1021" s="74">
        <v>44370</v>
      </c>
      <c r="W1021" s="74">
        <v>44397</v>
      </c>
      <c r="X1021" s="55">
        <v>10186745</v>
      </c>
      <c r="Y1021" s="74" t="s">
        <v>132</v>
      </c>
      <c r="Z1021" s="74"/>
      <c r="AB1021" s="55" t="s">
        <v>132</v>
      </c>
      <c r="AC1021" s="55" t="s">
        <v>132</v>
      </c>
    </row>
    <row r="1022" spans="1:29" ht="13" x14ac:dyDescent="0.15">
      <c r="A1022" s="72" t="str">
        <f t="shared" si="15"/>
        <v>Ofsted Social Care Provider Webpage</v>
      </c>
      <c r="B1022" s="55">
        <v>2575463</v>
      </c>
      <c r="D1022" s="55" t="s">
        <v>373</v>
      </c>
      <c r="E1022" s="74">
        <v>44172</v>
      </c>
      <c r="F1022" s="55" t="s">
        <v>344</v>
      </c>
      <c r="G1022" s="55" t="s">
        <v>360</v>
      </c>
      <c r="H1022" s="55" t="s">
        <v>360</v>
      </c>
      <c r="I1022" s="55" t="s">
        <v>360</v>
      </c>
      <c r="J1022" s="55" t="s">
        <v>360</v>
      </c>
      <c r="K1022" s="55" t="s">
        <v>360</v>
      </c>
      <c r="L1022" s="55" t="s">
        <v>360</v>
      </c>
      <c r="M1022" s="55" t="s">
        <v>378</v>
      </c>
      <c r="N1022" s="55" t="s">
        <v>134</v>
      </c>
      <c r="O1022" s="55" t="s">
        <v>175</v>
      </c>
      <c r="P1022" s="55" t="s">
        <v>932</v>
      </c>
      <c r="Q1022" s="55" t="s">
        <v>350</v>
      </c>
      <c r="R1022" s="55">
        <v>2</v>
      </c>
      <c r="S1022" s="74"/>
      <c r="T1022" s="55" t="s">
        <v>933</v>
      </c>
      <c r="U1022" s="73"/>
      <c r="W1022" s="74"/>
      <c r="Y1022" s="74"/>
      <c r="Z1022" s="74"/>
    </row>
    <row r="1023" spans="1:29" ht="13" x14ac:dyDescent="0.15">
      <c r="A1023" s="72" t="str">
        <f t="shared" si="15"/>
        <v>Ofsted Social Care Provider Webpage</v>
      </c>
      <c r="B1023" s="55">
        <v>2575551</v>
      </c>
      <c r="D1023" s="55" t="s">
        <v>373</v>
      </c>
      <c r="E1023" s="74">
        <v>44258</v>
      </c>
      <c r="F1023" s="55" t="s">
        <v>344</v>
      </c>
      <c r="G1023" s="55" t="s">
        <v>360</v>
      </c>
      <c r="H1023" s="55" t="s">
        <v>360</v>
      </c>
      <c r="I1023" s="55" t="s">
        <v>360</v>
      </c>
      <c r="J1023" s="55" t="s">
        <v>360</v>
      </c>
      <c r="K1023" s="55" t="s">
        <v>360</v>
      </c>
      <c r="L1023" s="55" t="s">
        <v>360</v>
      </c>
      <c r="M1023" s="55" t="s">
        <v>378</v>
      </c>
      <c r="N1023" s="55" t="s">
        <v>134</v>
      </c>
      <c r="O1023" s="55" t="s">
        <v>246</v>
      </c>
      <c r="P1023" s="55" t="s">
        <v>685</v>
      </c>
      <c r="Q1023" s="55" t="s">
        <v>350</v>
      </c>
      <c r="R1023" s="55">
        <v>1</v>
      </c>
      <c r="S1023" s="74"/>
      <c r="T1023" s="55" t="s">
        <v>1751</v>
      </c>
      <c r="U1023" s="73" t="s">
        <v>351</v>
      </c>
      <c r="V1023" s="74">
        <v>44474</v>
      </c>
      <c r="W1023" s="74">
        <v>44512</v>
      </c>
      <c r="X1023" s="55">
        <v>10188294</v>
      </c>
      <c r="Y1023" s="74" t="s">
        <v>130</v>
      </c>
      <c r="Z1023" s="74"/>
      <c r="AB1023" s="55" t="s">
        <v>130</v>
      </c>
      <c r="AC1023" s="55" t="s">
        <v>130</v>
      </c>
    </row>
    <row r="1024" spans="1:29" ht="13" x14ac:dyDescent="0.15">
      <c r="A1024" s="72" t="str">
        <f t="shared" si="15"/>
        <v>Ofsted Social Care Provider Webpage</v>
      </c>
      <c r="B1024" s="55">
        <v>2575713</v>
      </c>
      <c r="D1024" s="55" t="s">
        <v>373</v>
      </c>
      <c r="E1024" s="74">
        <v>43930</v>
      </c>
      <c r="F1024" s="55" t="s">
        <v>344</v>
      </c>
      <c r="G1024" s="55" t="s">
        <v>360</v>
      </c>
      <c r="H1024" s="55" t="s">
        <v>360</v>
      </c>
      <c r="I1024" s="55" t="s">
        <v>360</v>
      </c>
      <c r="J1024" s="55" t="s">
        <v>360</v>
      </c>
      <c r="K1024" s="55" t="s">
        <v>360</v>
      </c>
      <c r="L1024" s="55" t="s">
        <v>360</v>
      </c>
      <c r="M1024" s="55" t="s">
        <v>138</v>
      </c>
      <c r="N1024" s="55" t="s">
        <v>138</v>
      </c>
      <c r="O1024" s="55" t="s">
        <v>196</v>
      </c>
      <c r="P1024" s="55" t="s">
        <v>546</v>
      </c>
      <c r="Q1024" s="55" t="s">
        <v>350</v>
      </c>
      <c r="R1024" s="55">
        <v>2</v>
      </c>
      <c r="S1024" s="74"/>
      <c r="T1024" s="55" t="s">
        <v>1533</v>
      </c>
      <c r="U1024" s="73" t="s">
        <v>351</v>
      </c>
      <c r="V1024" s="74">
        <v>44537</v>
      </c>
      <c r="W1024" s="74">
        <v>44582</v>
      </c>
      <c r="X1024" s="55">
        <v>10185886</v>
      </c>
      <c r="Y1024" s="74" t="s">
        <v>132</v>
      </c>
      <c r="Z1024" s="74"/>
      <c r="AB1024" s="55" t="s">
        <v>132</v>
      </c>
      <c r="AC1024" s="55" t="s">
        <v>130</v>
      </c>
    </row>
    <row r="1025" spans="1:29" ht="13" x14ac:dyDescent="0.15">
      <c r="A1025" s="72" t="str">
        <f t="shared" si="15"/>
        <v>Ofsted Social Care Provider Webpage</v>
      </c>
      <c r="B1025" s="55">
        <v>2575788</v>
      </c>
      <c r="D1025" s="55" t="s">
        <v>373</v>
      </c>
      <c r="E1025" s="74">
        <v>43901</v>
      </c>
      <c r="F1025" s="55" t="s">
        <v>344</v>
      </c>
      <c r="G1025" s="55" t="s">
        <v>360</v>
      </c>
      <c r="H1025" s="55" t="s">
        <v>360</v>
      </c>
      <c r="I1025" s="55" t="s">
        <v>360</v>
      </c>
      <c r="J1025" s="55" t="s">
        <v>360</v>
      </c>
      <c r="K1025" s="55" t="s">
        <v>360</v>
      </c>
      <c r="L1025" s="55" t="s">
        <v>360</v>
      </c>
      <c r="M1025" s="55" t="s">
        <v>136</v>
      </c>
      <c r="N1025" s="55" t="s">
        <v>136</v>
      </c>
      <c r="O1025" s="55" t="s">
        <v>270</v>
      </c>
      <c r="P1025" s="55" t="s">
        <v>1752</v>
      </c>
      <c r="Q1025" s="55" t="s">
        <v>350</v>
      </c>
      <c r="R1025" s="55">
        <v>3</v>
      </c>
      <c r="S1025" s="74"/>
      <c r="T1025" s="55" t="s">
        <v>1236</v>
      </c>
      <c r="U1025" s="73" t="s">
        <v>351</v>
      </c>
      <c r="V1025" s="74">
        <v>44539</v>
      </c>
      <c r="W1025" s="74">
        <v>44581</v>
      </c>
      <c r="X1025" s="55">
        <v>10185988</v>
      </c>
      <c r="Y1025" s="74" t="s">
        <v>146</v>
      </c>
      <c r="Z1025" s="74"/>
      <c r="AB1025" s="55" t="s">
        <v>146</v>
      </c>
      <c r="AC1025" s="55" t="s">
        <v>146</v>
      </c>
    </row>
    <row r="1026" spans="1:29" ht="13" x14ac:dyDescent="0.15">
      <c r="A1026" s="72" t="str">
        <f t="shared" si="15"/>
        <v>Ofsted Social Care Provider Webpage</v>
      </c>
      <c r="B1026" s="55">
        <v>2575842</v>
      </c>
      <c r="D1026" s="55" t="s">
        <v>373</v>
      </c>
      <c r="E1026" s="74">
        <v>44014</v>
      </c>
      <c r="F1026" s="55" t="s">
        <v>344</v>
      </c>
      <c r="G1026" s="55" t="s">
        <v>360</v>
      </c>
      <c r="H1026" s="55" t="s">
        <v>360</v>
      </c>
      <c r="I1026" s="55" t="s">
        <v>360</v>
      </c>
      <c r="J1026" s="55" t="s">
        <v>360</v>
      </c>
      <c r="K1026" s="55" t="s">
        <v>360</v>
      </c>
      <c r="L1026" s="55" t="s">
        <v>360</v>
      </c>
      <c r="M1026" s="55" t="s">
        <v>144</v>
      </c>
      <c r="N1026" s="55" t="s">
        <v>144</v>
      </c>
      <c r="O1026" s="55" t="s">
        <v>290</v>
      </c>
      <c r="P1026" s="55" t="s">
        <v>1512</v>
      </c>
      <c r="Q1026" s="55" t="s">
        <v>350</v>
      </c>
      <c r="R1026" s="55">
        <v>4</v>
      </c>
      <c r="S1026" s="74"/>
      <c r="T1026" s="55" t="s">
        <v>1753</v>
      </c>
      <c r="U1026" s="73" t="s">
        <v>351</v>
      </c>
      <c r="V1026" s="74">
        <v>44545</v>
      </c>
      <c r="W1026" s="74">
        <v>44594</v>
      </c>
      <c r="X1026" s="55">
        <v>10206955</v>
      </c>
      <c r="Y1026" s="74" t="s">
        <v>130</v>
      </c>
      <c r="Z1026" s="74"/>
      <c r="AB1026" s="55" t="s">
        <v>130</v>
      </c>
      <c r="AC1026" s="55" t="s">
        <v>130</v>
      </c>
    </row>
    <row r="1027" spans="1:29" ht="13" x14ac:dyDescent="0.15">
      <c r="A1027" s="72" t="str">
        <f t="shared" si="15"/>
        <v>Ofsted Social Care Provider Webpage</v>
      </c>
      <c r="B1027" s="55">
        <v>2576030</v>
      </c>
      <c r="D1027" s="55" t="s">
        <v>389</v>
      </c>
      <c r="E1027" s="74">
        <v>44015</v>
      </c>
      <c r="F1027" s="55" t="s">
        <v>344</v>
      </c>
      <c r="G1027" s="55" t="s">
        <v>1308</v>
      </c>
      <c r="H1027" s="55" t="s">
        <v>1754</v>
      </c>
      <c r="I1027" s="55" t="s">
        <v>1755</v>
      </c>
      <c r="J1027" s="55" t="s">
        <v>1756</v>
      </c>
      <c r="K1027" s="55" t="s">
        <v>1402</v>
      </c>
      <c r="L1027" s="55" t="s">
        <v>1757</v>
      </c>
      <c r="M1027" s="55" t="s">
        <v>150</v>
      </c>
      <c r="N1027" s="55" t="s">
        <v>150</v>
      </c>
      <c r="O1027" s="55" t="s">
        <v>289</v>
      </c>
      <c r="P1027" s="55" t="s">
        <v>1756</v>
      </c>
      <c r="Q1027" s="55" t="s">
        <v>362</v>
      </c>
      <c r="R1027" s="55"/>
      <c r="S1027" s="74"/>
      <c r="T1027" s="55" t="s">
        <v>1313</v>
      </c>
      <c r="U1027" s="73" t="s">
        <v>351</v>
      </c>
      <c r="V1027" s="74">
        <v>44410</v>
      </c>
      <c r="W1027" s="74">
        <v>44449</v>
      </c>
      <c r="X1027" s="55">
        <v>10183201</v>
      </c>
      <c r="Y1027" s="74" t="s">
        <v>132</v>
      </c>
      <c r="Z1027" s="74"/>
      <c r="AB1027" s="55" t="s">
        <v>132</v>
      </c>
      <c r="AC1027" s="55" t="s">
        <v>132</v>
      </c>
    </row>
    <row r="1028" spans="1:29" ht="13" x14ac:dyDescent="0.15">
      <c r="A1028" s="72" t="str">
        <f t="shared" si="15"/>
        <v>Ofsted Social Care Provider Webpage</v>
      </c>
      <c r="B1028" s="55">
        <v>2576346</v>
      </c>
      <c r="D1028" s="55" t="s">
        <v>373</v>
      </c>
      <c r="E1028" s="74">
        <v>44095</v>
      </c>
      <c r="F1028" s="55" t="s">
        <v>344</v>
      </c>
      <c r="G1028" s="55" t="s">
        <v>360</v>
      </c>
      <c r="H1028" s="55" t="s">
        <v>360</v>
      </c>
      <c r="I1028" s="55" t="s">
        <v>360</v>
      </c>
      <c r="J1028" s="55" t="s">
        <v>360</v>
      </c>
      <c r="K1028" s="55" t="s">
        <v>360</v>
      </c>
      <c r="L1028" s="55" t="s">
        <v>360</v>
      </c>
      <c r="M1028" s="55" t="s">
        <v>129</v>
      </c>
      <c r="N1028" s="55" t="s">
        <v>129</v>
      </c>
      <c r="O1028" s="55" t="s">
        <v>1758</v>
      </c>
      <c r="P1028" s="55" t="s">
        <v>1759</v>
      </c>
      <c r="Q1028" s="55" t="s">
        <v>362</v>
      </c>
      <c r="R1028" s="55">
        <v>5</v>
      </c>
      <c r="S1028" s="74"/>
      <c r="T1028" s="55" t="s">
        <v>1313</v>
      </c>
      <c r="U1028" s="73" t="s">
        <v>351</v>
      </c>
      <c r="V1028" s="74">
        <v>44523</v>
      </c>
      <c r="W1028" s="74">
        <v>44566</v>
      </c>
      <c r="X1028" s="55">
        <v>10205853</v>
      </c>
      <c r="Y1028" s="74" t="s">
        <v>132</v>
      </c>
      <c r="Z1028" s="74"/>
      <c r="AB1028" s="55" t="s">
        <v>132</v>
      </c>
      <c r="AC1028" s="55" t="s">
        <v>130</v>
      </c>
    </row>
    <row r="1029" spans="1:29" ht="13" x14ac:dyDescent="0.15">
      <c r="A1029" s="72" t="str">
        <f t="shared" si="15"/>
        <v>Ofsted Social Care Provider Webpage</v>
      </c>
      <c r="B1029" s="55">
        <v>2576409</v>
      </c>
      <c r="D1029" s="55" t="s">
        <v>373</v>
      </c>
      <c r="E1029" s="74">
        <v>43964</v>
      </c>
      <c r="F1029" s="55" t="s">
        <v>344</v>
      </c>
      <c r="G1029" s="55" t="s">
        <v>360</v>
      </c>
      <c r="H1029" s="55" t="s">
        <v>360</v>
      </c>
      <c r="I1029" s="55" t="s">
        <v>360</v>
      </c>
      <c r="J1029" s="55" t="s">
        <v>360</v>
      </c>
      <c r="K1029" s="55" t="s">
        <v>360</v>
      </c>
      <c r="L1029" s="55" t="s">
        <v>360</v>
      </c>
      <c r="M1029" s="55" t="s">
        <v>142</v>
      </c>
      <c r="N1029" s="55" t="s">
        <v>142</v>
      </c>
      <c r="O1029" s="55" t="s">
        <v>262</v>
      </c>
      <c r="P1029" s="55" t="s">
        <v>618</v>
      </c>
      <c r="Q1029" s="55" t="s">
        <v>350</v>
      </c>
      <c r="R1029" s="55">
        <v>5</v>
      </c>
      <c r="S1029" s="74"/>
      <c r="T1029" s="55" t="s">
        <v>574</v>
      </c>
      <c r="U1029" s="73" t="s">
        <v>351</v>
      </c>
      <c r="V1029" s="74">
        <v>44614</v>
      </c>
      <c r="W1029" s="74">
        <v>44651</v>
      </c>
      <c r="X1029" s="55">
        <v>10187487</v>
      </c>
      <c r="Y1029" s="74" t="s">
        <v>140</v>
      </c>
      <c r="Z1029" s="74"/>
      <c r="AB1029" s="55" t="s">
        <v>140</v>
      </c>
      <c r="AC1029" s="55" t="s">
        <v>140</v>
      </c>
    </row>
    <row r="1030" spans="1:29" ht="13" x14ac:dyDescent="0.15">
      <c r="A1030" s="72" t="str">
        <f t="shared" ref="A1030:A1093" si="16">HYPERLINK(_xlfn.CONCAT("http://reports.ofsted.gov.uk/inspection-reports/find-inspection-report/provider/CARE/",B1030),"Ofsted Social Care Provider Webpage")</f>
        <v>Ofsted Social Care Provider Webpage</v>
      </c>
      <c r="B1030" s="55">
        <v>2576423</v>
      </c>
      <c r="D1030" s="55" t="s">
        <v>373</v>
      </c>
      <c r="E1030" s="74">
        <v>43948</v>
      </c>
      <c r="F1030" s="55" t="s">
        <v>344</v>
      </c>
      <c r="G1030" s="55" t="s">
        <v>360</v>
      </c>
      <c r="H1030" s="55" t="s">
        <v>360</v>
      </c>
      <c r="I1030" s="55" t="s">
        <v>360</v>
      </c>
      <c r="J1030" s="55" t="s">
        <v>360</v>
      </c>
      <c r="K1030" s="55" t="s">
        <v>360</v>
      </c>
      <c r="L1030" s="55" t="s">
        <v>360</v>
      </c>
      <c r="M1030" s="55" t="s">
        <v>172</v>
      </c>
      <c r="N1030" s="55" t="s">
        <v>172</v>
      </c>
      <c r="O1030" s="55" t="s">
        <v>228</v>
      </c>
      <c r="P1030" s="55" t="s">
        <v>991</v>
      </c>
      <c r="Q1030" s="55" t="s">
        <v>350</v>
      </c>
      <c r="R1030" s="55">
        <v>5</v>
      </c>
      <c r="S1030" s="74"/>
      <c r="T1030" s="55" t="s">
        <v>515</v>
      </c>
      <c r="U1030" s="73" t="s">
        <v>351</v>
      </c>
      <c r="V1030" s="74">
        <v>44515</v>
      </c>
      <c r="W1030" s="74">
        <v>44550</v>
      </c>
      <c r="X1030" s="55">
        <v>10186723</v>
      </c>
      <c r="Y1030" s="74" t="s">
        <v>132</v>
      </c>
      <c r="Z1030" s="74"/>
      <c r="AB1030" s="55" t="s">
        <v>132</v>
      </c>
      <c r="AC1030" s="55" t="s">
        <v>132</v>
      </c>
    </row>
    <row r="1031" spans="1:29" ht="13" x14ac:dyDescent="0.15">
      <c r="A1031" s="72" t="str">
        <f t="shared" si="16"/>
        <v>Ofsted Social Care Provider Webpage</v>
      </c>
      <c r="B1031" s="55">
        <v>2576457</v>
      </c>
      <c r="D1031" s="55" t="s">
        <v>389</v>
      </c>
      <c r="E1031" s="74">
        <v>44061</v>
      </c>
      <c r="F1031" s="55" t="s">
        <v>344</v>
      </c>
      <c r="G1031" s="55" t="s">
        <v>1760</v>
      </c>
      <c r="H1031" s="55" t="s">
        <v>1761</v>
      </c>
      <c r="I1031" s="55" t="s">
        <v>1762</v>
      </c>
      <c r="J1031" s="55" t="s">
        <v>1291</v>
      </c>
      <c r="K1031" s="55" t="s">
        <v>252</v>
      </c>
      <c r="L1031" s="55" t="s">
        <v>1763</v>
      </c>
      <c r="M1031" s="55" t="s">
        <v>142</v>
      </c>
      <c r="N1031" s="55" t="s">
        <v>142</v>
      </c>
      <c r="O1031" s="55" t="s">
        <v>272</v>
      </c>
      <c r="P1031" s="55" t="s">
        <v>1291</v>
      </c>
      <c r="Q1031" s="55" t="s">
        <v>350</v>
      </c>
      <c r="R1031" s="55"/>
      <c r="S1031" s="74"/>
      <c r="T1031" s="55" t="s">
        <v>1764</v>
      </c>
      <c r="U1031" s="73" t="s">
        <v>351</v>
      </c>
      <c r="V1031" s="74">
        <v>44578</v>
      </c>
      <c r="W1031" s="74">
        <v>44610</v>
      </c>
      <c r="X1031" s="55">
        <v>10183212</v>
      </c>
      <c r="Y1031" s="74" t="s">
        <v>132</v>
      </c>
      <c r="Z1031" s="74"/>
      <c r="AB1031" s="55" t="s">
        <v>132</v>
      </c>
      <c r="AC1031" s="55" t="s">
        <v>130</v>
      </c>
    </row>
    <row r="1032" spans="1:29" ht="13" x14ac:dyDescent="0.15">
      <c r="A1032" s="72" t="str">
        <f t="shared" si="16"/>
        <v>Ofsted Social Care Provider Webpage</v>
      </c>
      <c r="B1032" s="55">
        <v>2576569</v>
      </c>
      <c r="C1032" s="55">
        <v>130764</v>
      </c>
      <c r="D1032" s="55" t="s">
        <v>693</v>
      </c>
      <c r="E1032" s="74">
        <v>43839</v>
      </c>
      <c r="F1032" s="55" t="s">
        <v>344</v>
      </c>
      <c r="G1032" s="55" t="s">
        <v>1765</v>
      </c>
      <c r="H1032" s="55" t="s">
        <v>1766</v>
      </c>
      <c r="I1032" s="55" t="s">
        <v>1767</v>
      </c>
      <c r="J1032" s="55" t="s">
        <v>1768</v>
      </c>
      <c r="K1032" s="55" t="s">
        <v>224</v>
      </c>
      <c r="L1032" s="55" t="s">
        <v>1769</v>
      </c>
      <c r="M1032" s="55" t="s">
        <v>138</v>
      </c>
      <c r="N1032" s="55" t="s">
        <v>138</v>
      </c>
      <c r="O1032" s="55" t="s">
        <v>224</v>
      </c>
      <c r="P1032" s="55" t="s">
        <v>1294</v>
      </c>
      <c r="Q1032" s="55" t="s">
        <v>362</v>
      </c>
      <c r="R1032" s="55">
        <v>122</v>
      </c>
      <c r="S1032" s="74"/>
      <c r="U1032" s="73" t="s">
        <v>351</v>
      </c>
      <c r="V1032" s="74">
        <v>44363</v>
      </c>
      <c r="W1032" s="74">
        <v>44424</v>
      </c>
      <c r="X1032" s="55">
        <v>10183229</v>
      </c>
      <c r="Y1032" s="74" t="s">
        <v>132</v>
      </c>
      <c r="Z1032" s="74"/>
      <c r="AB1032" s="55" t="s">
        <v>132</v>
      </c>
      <c r="AC1032" s="55" t="s">
        <v>132</v>
      </c>
    </row>
    <row r="1033" spans="1:29" ht="13" x14ac:dyDescent="0.15">
      <c r="A1033" s="72" t="str">
        <f t="shared" si="16"/>
        <v>Ofsted Social Care Provider Webpage</v>
      </c>
      <c r="B1033" s="55">
        <v>2577014</v>
      </c>
      <c r="D1033" s="55" t="s">
        <v>373</v>
      </c>
      <c r="E1033" s="74">
        <v>44055</v>
      </c>
      <c r="F1033" s="55" t="s">
        <v>344</v>
      </c>
      <c r="G1033" s="55" t="s">
        <v>360</v>
      </c>
      <c r="H1033" s="55" t="s">
        <v>360</v>
      </c>
      <c r="I1033" s="55" t="s">
        <v>360</v>
      </c>
      <c r="J1033" s="55" t="s">
        <v>360</v>
      </c>
      <c r="K1033" s="55" t="s">
        <v>360</v>
      </c>
      <c r="L1033" s="55" t="s">
        <v>360</v>
      </c>
      <c r="M1033" s="55" t="s">
        <v>378</v>
      </c>
      <c r="N1033" s="55" t="s">
        <v>134</v>
      </c>
      <c r="O1033" s="55" t="s">
        <v>246</v>
      </c>
      <c r="P1033" s="55" t="s">
        <v>1104</v>
      </c>
      <c r="Q1033" s="55" t="s">
        <v>350</v>
      </c>
      <c r="R1033" s="55">
        <v>1</v>
      </c>
      <c r="S1033" s="74"/>
      <c r="T1033" s="55" t="s">
        <v>1751</v>
      </c>
      <c r="U1033" s="73" t="s">
        <v>351</v>
      </c>
      <c r="V1033" s="74">
        <v>44594</v>
      </c>
      <c r="W1033" s="74">
        <v>44637</v>
      </c>
      <c r="X1033" s="55">
        <v>10185541</v>
      </c>
      <c r="Y1033" s="74" t="s">
        <v>132</v>
      </c>
      <c r="Z1033" s="74"/>
      <c r="AB1033" s="55" t="s">
        <v>132</v>
      </c>
      <c r="AC1033" s="55" t="s">
        <v>132</v>
      </c>
    </row>
    <row r="1034" spans="1:29" ht="13" x14ac:dyDescent="0.15">
      <c r="A1034" s="72" t="str">
        <f t="shared" si="16"/>
        <v>Ofsted Social Care Provider Webpage</v>
      </c>
      <c r="B1034" s="55">
        <v>2577151</v>
      </c>
      <c r="D1034" s="55" t="s">
        <v>373</v>
      </c>
      <c r="E1034" s="74">
        <v>44230</v>
      </c>
      <c r="F1034" s="55" t="s">
        <v>344</v>
      </c>
      <c r="G1034" s="55" t="s">
        <v>360</v>
      </c>
      <c r="H1034" s="55" t="s">
        <v>360</v>
      </c>
      <c r="I1034" s="55" t="s">
        <v>360</v>
      </c>
      <c r="J1034" s="55" t="s">
        <v>360</v>
      </c>
      <c r="K1034" s="55" t="s">
        <v>360</v>
      </c>
      <c r="L1034" s="55" t="s">
        <v>360</v>
      </c>
      <c r="M1034" s="55" t="s">
        <v>142</v>
      </c>
      <c r="N1034" s="55" t="s">
        <v>142</v>
      </c>
      <c r="O1034" s="55" t="s">
        <v>262</v>
      </c>
      <c r="P1034" s="55" t="s">
        <v>949</v>
      </c>
      <c r="Q1034" s="55" t="s">
        <v>350</v>
      </c>
      <c r="R1034" s="55">
        <v>4</v>
      </c>
      <c r="S1034" s="74"/>
      <c r="T1034" s="55" t="s">
        <v>1770</v>
      </c>
      <c r="U1034" s="73" t="s">
        <v>351</v>
      </c>
      <c r="V1034" s="74">
        <v>44551</v>
      </c>
      <c r="W1034" s="74">
        <v>44594</v>
      </c>
      <c r="X1034" s="55">
        <v>10188270</v>
      </c>
      <c r="Y1034" s="74" t="s">
        <v>132</v>
      </c>
      <c r="Z1034" s="74"/>
      <c r="AB1034" s="55" t="s">
        <v>132</v>
      </c>
      <c r="AC1034" s="55" t="s">
        <v>132</v>
      </c>
    </row>
    <row r="1035" spans="1:29" ht="13" x14ac:dyDescent="0.15">
      <c r="A1035" s="72" t="str">
        <f t="shared" si="16"/>
        <v>Ofsted Social Care Provider Webpage</v>
      </c>
      <c r="B1035" s="55">
        <v>2577168</v>
      </c>
      <c r="D1035" s="55" t="s">
        <v>373</v>
      </c>
      <c r="E1035" s="74">
        <v>43955</v>
      </c>
      <c r="F1035" s="55" t="s">
        <v>344</v>
      </c>
      <c r="G1035" s="55" t="s">
        <v>360</v>
      </c>
      <c r="H1035" s="55" t="s">
        <v>360</v>
      </c>
      <c r="I1035" s="55" t="s">
        <v>360</v>
      </c>
      <c r="J1035" s="55" t="s">
        <v>360</v>
      </c>
      <c r="K1035" s="55" t="s">
        <v>360</v>
      </c>
      <c r="L1035" s="55" t="s">
        <v>360</v>
      </c>
      <c r="M1035" s="55" t="s">
        <v>144</v>
      </c>
      <c r="N1035" s="55" t="s">
        <v>144</v>
      </c>
      <c r="O1035" s="55" t="s">
        <v>209</v>
      </c>
      <c r="P1035" s="55" t="s">
        <v>544</v>
      </c>
      <c r="Q1035" s="55" t="s">
        <v>350</v>
      </c>
      <c r="R1035" s="55">
        <v>4</v>
      </c>
      <c r="S1035" s="74"/>
      <c r="T1035" s="55" t="s">
        <v>1589</v>
      </c>
      <c r="U1035" s="73" t="s">
        <v>351</v>
      </c>
      <c r="V1035" s="74">
        <v>44419</v>
      </c>
      <c r="W1035" s="74">
        <v>44454</v>
      </c>
      <c r="X1035" s="55">
        <v>10185696</v>
      </c>
      <c r="Y1035" s="74" t="s">
        <v>132</v>
      </c>
      <c r="Z1035" s="74"/>
      <c r="AB1035" s="55" t="s">
        <v>132</v>
      </c>
      <c r="AC1035" s="55" t="s">
        <v>130</v>
      </c>
    </row>
    <row r="1036" spans="1:29" ht="13" x14ac:dyDescent="0.15">
      <c r="A1036" s="72" t="str">
        <f t="shared" si="16"/>
        <v>Ofsted Social Care Provider Webpage</v>
      </c>
      <c r="B1036" s="55">
        <v>2577171</v>
      </c>
      <c r="D1036" s="55" t="s">
        <v>373</v>
      </c>
      <c r="E1036" s="74">
        <v>44014</v>
      </c>
      <c r="F1036" s="55" t="s">
        <v>344</v>
      </c>
      <c r="G1036" s="55" t="s">
        <v>360</v>
      </c>
      <c r="H1036" s="55" t="s">
        <v>360</v>
      </c>
      <c r="I1036" s="55" t="s">
        <v>360</v>
      </c>
      <c r="J1036" s="55" t="s">
        <v>360</v>
      </c>
      <c r="K1036" s="55" t="s">
        <v>360</v>
      </c>
      <c r="L1036" s="55" t="s">
        <v>360</v>
      </c>
      <c r="M1036" s="55" t="s">
        <v>378</v>
      </c>
      <c r="N1036" s="55" t="s">
        <v>134</v>
      </c>
      <c r="O1036" s="55" t="s">
        <v>151</v>
      </c>
      <c r="P1036" s="55" t="s">
        <v>884</v>
      </c>
      <c r="Q1036" s="55" t="s">
        <v>350</v>
      </c>
      <c r="R1036" s="55">
        <v>4</v>
      </c>
      <c r="S1036" s="74"/>
      <c r="T1036" s="55" t="s">
        <v>865</v>
      </c>
      <c r="U1036" s="73" t="s">
        <v>351</v>
      </c>
      <c r="V1036" s="74">
        <v>44454</v>
      </c>
      <c r="W1036" s="74">
        <v>44495</v>
      </c>
      <c r="X1036" s="55">
        <v>10187105</v>
      </c>
      <c r="Y1036" s="74" t="s">
        <v>132</v>
      </c>
      <c r="Z1036" s="74"/>
      <c r="AB1036" s="55" t="s">
        <v>132</v>
      </c>
      <c r="AC1036" s="55" t="s">
        <v>132</v>
      </c>
    </row>
    <row r="1037" spans="1:29" ht="13" x14ac:dyDescent="0.15">
      <c r="A1037" s="72" t="str">
        <f t="shared" si="16"/>
        <v>Ofsted Social Care Provider Webpage</v>
      </c>
      <c r="B1037" s="55">
        <v>2578355</v>
      </c>
      <c r="D1037" s="55" t="s">
        <v>373</v>
      </c>
      <c r="E1037" s="74">
        <v>44042</v>
      </c>
      <c r="F1037" s="55" t="s">
        <v>344</v>
      </c>
      <c r="G1037" s="55" t="s">
        <v>360</v>
      </c>
      <c r="H1037" s="55" t="s">
        <v>360</v>
      </c>
      <c r="I1037" s="55" t="s">
        <v>360</v>
      </c>
      <c r="J1037" s="55" t="s">
        <v>360</v>
      </c>
      <c r="K1037" s="55" t="s">
        <v>360</v>
      </c>
      <c r="L1037" s="55" t="s">
        <v>360</v>
      </c>
      <c r="M1037" s="55" t="s">
        <v>142</v>
      </c>
      <c r="N1037" s="55" t="s">
        <v>142</v>
      </c>
      <c r="O1037" s="55" t="s">
        <v>166</v>
      </c>
      <c r="P1037" s="55" t="s">
        <v>1476</v>
      </c>
      <c r="Q1037" s="55" t="s">
        <v>350</v>
      </c>
      <c r="R1037" s="55">
        <v>4</v>
      </c>
      <c r="S1037" s="74"/>
      <c r="T1037" s="55" t="s">
        <v>489</v>
      </c>
      <c r="U1037" s="73" t="s">
        <v>351</v>
      </c>
      <c r="V1037" s="74">
        <v>44299</v>
      </c>
      <c r="W1037" s="74">
        <v>44330</v>
      </c>
      <c r="X1037" s="55">
        <v>10185720</v>
      </c>
      <c r="Y1037" s="74" t="s">
        <v>132</v>
      </c>
      <c r="Z1037" s="74"/>
      <c r="AB1037" s="55" t="s">
        <v>132</v>
      </c>
      <c r="AC1037" s="55" t="s">
        <v>130</v>
      </c>
    </row>
    <row r="1038" spans="1:29" ht="13" x14ac:dyDescent="0.15">
      <c r="A1038" s="72" t="str">
        <f t="shared" si="16"/>
        <v>Ofsted Social Care Provider Webpage</v>
      </c>
      <c r="B1038" s="55">
        <v>2578675</v>
      </c>
      <c r="D1038" s="55" t="s">
        <v>373</v>
      </c>
      <c r="E1038" s="74">
        <v>44081</v>
      </c>
      <c r="F1038" s="55" t="s">
        <v>344</v>
      </c>
      <c r="G1038" s="55" t="s">
        <v>360</v>
      </c>
      <c r="H1038" s="55" t="s">
        <v>360</v>
      </c>
      <c r="I1038" s="55" t="s">
        <v>360</v>
      </c>
      <c r="J1038" s="55" t="s">
        <v>360</v>
      </c>
      <c r="K1038" s="55" t="s">
        <v>360</v>
      </c>
      <c r="L1038" s="55" t="s">
        <v>360</v>
      </c>
      <c r="M1038" s="55" t="s">
        <v>150</v>
      </c>
      <c r="N1038" s="55" t="s">
        <v>150</v>
      </c>
      <c r="O1038" s="55" t="s">
        <v>268</v>
      </c>
      <c r="P1038" s="55" t="s">
        <v>1771</v>
      </c>
      <c r="Q1038" s="55" t="s">
        <v>350</v>
      </c>
      <c r="R1038" s="55">
        <v>4</v>
      </c>
      <c r="S1038" s="74"/>
      <c r="T1038" s="55" t="s">
        <v>574</v>
      </c>
      <c r="U1038" s="73" t="s">
        <v>351</v>
      </c>
      <c r="V1038" s="74">
        <v>44425</v>
      </c>
      <c r="W1038" s="74">
        <v>44455</v>
      </c>
      <c r="X1038" s="55">
        <v>10195657</v>
      </c>
      <c r="Y1038" s="74" t="s">
        <v>132</v>
      </c>
      <c r="Z1038" s="74"/>
      <c r="AB1038" s="55" t="s">
        <v>132</v>
      </c>
      <c r="AC1038" s="55" t="s">
        <v>132</v>
      </c>
    </row>
    <row r="1039" spans="1:29" ht="13" x14ac:dyDescent="0.15">
      <c r="A1039" s="72" t="str">
        <f t="shared" si="16"/>
        <v>Ofsted Social Care Provider Webpage</v>
      </c>
      <c r="B1039" s="55">
        <v>2578677</v>
      </c>
      <c r="D1039" s="55" t="s">
        <v>373</v>
      </c>
      <c r="E1039" s="74">
        <v>43899</v>
      </c>
      <c r="F1039" s="55" t="s">
        <v>344</v>
      </c>
      <c r="G1039" s="55" t="s">
        <v>360</v>
      </c>
      <c r="H1039" s="55" t="s">
        <v>360</v>
      </c>
      <c r="I1039" s="55" t="s">
        <v>360</v>
      </c>
      <c r="J1039" s="55" t="s">
        <v>360</v>
      </c>
      <c r="K1039" s="55" t="s">
        <v>360</v>
      </c>
      <c r="L1039" s="55" t="s">
        <v>360</v>
      </c>
      <c r="M1039" s="55" t="s">
        <v>136</v>
      </c>
      <c r="N1039" s="55" t="s">
        <v>136</v>
      </c>
      <c r="O1039" s="55" t="s">
        <v>174</v>
      </c>
      <c r="P1039" s="55" t="s">
        <v>1010</v>
      </c>
      <c r="Q1039" s="55" t="s">
        <v>350</v>
      </c>
      <c r="R1039" s="55">
        <v>3</v>
      </c>
      <c r="S1039" s="74"/>
      <c r="T1039" s="55" t="s">
        <v>1772</v>
      </c>
      <c r="U1039" s="73" t="s">
        <v>351</v>
      </c>
      <c r="V1039" s="74">
        <v>44537</v>
      </c>
      <c r="W1039" s="74">
        <v>44586</v>
      </c>
      <c r="X1039" s="55">
        <v>10185958</v>
      </c>
      <c r="Y1039" s="74" t="s">
        <v>132</v>
      </c>
      <c r="Z1039" s="74"/>
      <c r="AB1039" s="55" t="s">
        <v>132</v>
      </c>
      <c r="AC1039" s="55" t="s">
        <v>132</v>
      </c>
    </row>
    <row r="1040" spans="1:29" ht="13" x14ac:dyDescent="0.15">
      <c r="A1040" s="72" t="str">
        <f t="shared" si="16"/>
        <v>Ofsted Social Care Provider Webpage</v>
      </c>
      <c r="B1040" s="55">
        <v>2579887</v>
      </c>
      <c r="D1040" s="55" t="s">
        <v>373</v>
      </c>
      <c r="E1040" s="74">
        <v>44000</v>
      </c>
      <c r="F1040" s="55" t="s">
        <v>344</v>
      </c>
      <c r="G1040" s="55" t="s">
        <v>360</v>
      </c>
      <c r="H1040" s="55" t="s">
        <v>360</v>
      </c>
      <c r="I1040" s="55" t="s">
        <v>360</v>
      </c>
      <c r="J1040" s="55" t="s">
        <v>360</v>
      </c>
      <c r="K1040" s="55" t="s">
        <v>360</v>
      </c>
      <c r="L1040" s="55" t="s">
        <v>360</v>
      </c>
      <c r="M1040" s="55" t="s">
        <v>136</v>
      </c>
      <c r="N1040" s="55" t="s">
        <v>136</v>
      </c>
      <c r="O1040" s="55" t="s">
        <v>176</v>
      </c>
      <c r="P1040" s="55" t="s">
        <v>436</v>
      </c>
      <c r="Q1040" s="55" t="s">
        <v>350</v>
      </c>
      <c r="R1040" s="55">
        <v>2</v>
      </c>
      <c r="S1040" s="74"/>
      <c r="T1040" s="55" t="s">
        <v>1773</v>
      </c>
      <c r="U1040" s="73" t="s">
        <v>351</v>
      </c>
      <c r="V1040" s="74">
        <v>44426</v>
      </c>
      <c r="W1040" s="74">
        <v>44456</v>
      </c>
      <c r="X1040" s="55">
        <v>10185607</v>
      </c>
      <c r="Y1040" s="74" t="s">
        <v>130</v>
      </c>
      <c r="Z1040" s="74"/>
      <c r="AB1040" s="55" t="s">
        <v>130</v>
      </c>
      <c r="AC1040" s="55" t="s">
        <v>130</v>
      </c>
    </row>
    <row r="1041" spans="1:29" ht="13" x14ac:dyDescent="0.15">
      <c r="A1041" s="72" t="str">
        <f t="shared" si="16"/>
        <v>Ofsted Social Care Provider Webpage</v>
      </c>
      <c r="B1041" s="55">
        <v>2580303</v>
      </c>
      <c r="D1041" s="55" t="s">
        <v>373</v>
      </c>
      <c r="E1041" s="74">
        <v>43945</v>
      </c>
      <c r="F1041" s="55" t="s">
        <v>344</v>
      </c>
      <c r="G1041" s="55" t="s">
        <v>360</v>
      </c>
      <c r="H1041" s="55" t="s">
        <v>360</v>
      </c>
      <c r="I1041" s="55" t="s">
        <v>360</v>
      </c>
      <c r="J1041" s="55" t="s">
        <v>360</v>
      </c>
      <c r="K1041" s="55" t="s">
        <v>360</v>
      </c>
      <c r="L1041" s="55" t="s">
        <v>360</v>
      </c>
      <c r="M1041" s="55" t="s">
        <v>142</v>
      </c>
      <c r="N1041" s="55" t="s">
        <v>142</v>
      </c>
      <c r="O1041" s="55" t="s">
        <v>252</v>
      </c>
      <c r="P1041" s="55" t="s">
        <v>503</v>
      </c>
      <c r="Q1041" s="55" t="s">
        <v>350</v>
      </c>
      <c r="R1041" s="55">
        <v>2</v>
      </c>
      <c r="S1041" s="74"/>
      <c r="T1041" s="55" t="s">
        <v>504</v>
      </c>
      <c r="U1041" s="73" t="s">
        <v>351</v>
      </c>
      <c r="V1041" s="74">
        <v>44384</v>
      </c>
      <c r="W1041" s="74">
        <v>44439</v>
      </c>
      <c r="X1041" s="55">
        <v>10187535</v>
      </c>
      <c r="Y1041" s="74" t="s">
        <v>130</v>
      </c>
      <c r="Z1041" s="74"/>
      <c r="AB1041" s="55" t="s">
        <v>130</v>
      </c>
      <c r="AC1041" s="55" t="s">
        <v>130</v>
      </c>
    </row>
    <row r="1042" spans="1:29" ht="13" x14ac:dyDescent="0.15">
      <c r="A1042" s="72" t="str">
        <f t="shared" si="16"/>
        <v>Ofsted Social Care Provider Webpage</v>
      </c>
      <c r="B1042" s="55">
        <v>2580626</v>
      </c>
      <c r="D1042" s="55" t="s">
        <v>373</v>
      </c>
      <c r="E1042" s="74">
        <v>43955</v>
      </c>
      <c r="F1042" s="55" t="s">
        <v>344</v>
      </c>
      <c r="G1042" s="55" t="s">
        <v>360</v>
      </c>
      <c r="H1042" s="55" t="s">
        <v>360</v>
      </c>
      <c r="I1042" s="55" t="s">
        <v>360</v>
      </c>
      <c r="J1042" s="55" t="s">
        <v>360</v>
      </c>
      <c r="K1042" s="55" t="s">
        <v>360</v>
      </c>
      <c r="L1042" s="55" t="s">
        <v>360</v>
      </c>
      <c r="M1042" s="55" t="s">
        <v>144</v>
      </c>
      <c r="N1042" s="55" t="s">
        <v>144</v>
      </c>
      <c r="O1042" s="55" t="s">
        <v>209</v>
      </c>
      <c r="P1042" s="55" t="s">
        <v>629</v>
      </c>
      <c r="Q1042" s="55" t="s">
        <v>350</v>
      </c>
      <c r="R1042" s="55">
        <v>3</v>
      </c>
      <c r="S1042" s="74"/>
      <c r="T1042" s="55" t="s">
        <v>493</v>
      </c>
      <c r="U1042" s="73" t="s">
        <v>351</v>
      </c>
      <c r="V1042" s="74">
        <v>44572</v>
      </c>
      <c r="W1042" s="74">
        <v>44609</v>
      </c>
      <c r="X1042" s="55">
        <v>10185928</v>
      </c>
      <c r="Y1042" s="74" t="s">
        <v>132</v>
      </c>
      <c r="Z1042" s="74"/>
      <c r="AB1042" s="55" t="s">
        <v>132</v>
      </c>
      <c r="AC1042" s="55" t="s">
        <v>132</v>
      </c>
    </row>
    <row r="1043" spans="1:29" ht="13" x14ac:dyDescent="0.15">
      <c r="A1043" s="72" t="str">
        <f t="shared" si="16"/>
        <v>Ofsted Social Care Provider Webpage</v>
      </c>
      <c r="B1043" s="55">
        <v>2580756</v>
      </c>
      <c r="D1043" s="55" t="s">
        <v>451</v>
      </c>
      <c r="E1043" s="74">
        <v>44098</v>
      </c>
      <c r="F1043" s="55" t="s">
        <v>344</v>
      </c>
      <c r="G1043" s="55" t="s">
        <v>1774</v>
      </c>
      <c r="H1043" s="55" t="s">
        <v>1775</v>
      </c>
      <c r="I1043" s="55" t="s">
        <v>1776</v>
      </c>
      <c r="J1043" s="55" t="s">
        <v>151</v>
      </c>
      <c r="K1043" s="55" t="s">
        <v>1240</v>
      </c>
      <c r="L1043" s="55" t="s">
        <v>1777</v>
      </c>
      <c r="M1043" s="55" t="s">
        <v>378</v>
      </c>
      <c r="N1043" s="55" t="s">
        <v>134</v>
      </c>
      <c r="O1043" s="55" t="s">
        <v>151</v>
      </c>
      <c r="P1043" s="55" t="s">
        <v>1778</v>
      </c>
      <c r="Q1043" s="55" t="s">
        <v>350</v>
      </c>
      <c r="R1043" s="55">
        <v>4</v>
      </c>
      <c r="S1043" s="74"/>
      <c r="T1043" s="55" t="s">
        <v>1779</v>
      </c>
      <c r="U1043" s="73" t="s">
        <v>351</v>
      </c>
      <c r="V1043" s="74">
        <v>44538</v>
      </c>
      <c r="W1043" s="74">
        <v>44627</v>
      </c>
      <c r="X1043" s="55">
        <v>10183234</v>
      </c>
      <c r="Y1043" s="74" t="s">
        <v>130</v>
      </c>
      <c r="Z1043" s="74"/>
      <c r="AB1043" s="55" t="s">
        <v>130</v>
      </c>
      <c r="AC1043" s="55" t="s">
        <v>130</v>
      </c>
    </row>
    <row r="1044" spans="1:29" ht="13" x14ac:dyDescent="0.15">
      <c r="A1044" s="72" t="str">
        <f t="shared" si="16"/>
        <v>Ofsted Social Care Provider Webpage</v>
      </c>
      <c r="B1044" s="55">
        <v>2580767</v>
      </c>
      <c r="D1044" s="55" t="s">
        <v>389</v>
      </c>
      <c r="E1044" s="74">
        <v>44235</v>
      </c>
      <c r="F1044" s="55" t="s">
        <v>344</v>
      </c>
      <c r="G1044" s="55" t="s">
        <v>1780</v>
      </c>
      <c r="H1044" s="55" t="s">
        <v>1781</v>
      </c>
      <c r="I1044" s="55" t="s">
        <v>1782</v>
      </c>
      <c r="J1044" s="55" t="s">
        <v>240</v>
      </c>
      <c r="K1044" s="55" t="s">
        <v>190</v>
      </c>
      <c r="L1044" s="55" t="s">
        <v>1783</v>
      </c>
      <c r="M1044" s="55" t="s">
        <v>150</v>
      </c>
      <c r="N1044" s="55" t="s">
        <v>150</v>
      </c>
      <c r="O1044" s="55" t="s">
        <v>240</v>
      </c>
      <c r="P1044" s="55" t="s">
        <v>1784</v>
      </c>
      <c r="Q1044" s="55" t="s">
        <v>350</v>
      </c>
      <c r="R1044" s="55"/>
      <c r="S1044" s="74"/>
      <c r="T1044" s="55" t="s">
        <v>1785</v>
      </c>
      <c r="U1044" s="73"/>
      <c r="W1044" s="74"/>
      <c r="Y1044" s="74"/>
      <c r="Z1044" s="74"/>
    </row>
    <row r="1045" spans="1:29" ht="13" x14ac:dyDescent="0.15">
      <c r="A1045" s="72" t="str">
        <f t="shared" si="16"/>
        <v>Ofsted Social Care Provider Webpage</v>
      </c>
      <c r="B1045" s="55">
        <v>2580890</v>
      </c>
      <c r="D1045" s="55" t="s">
        <v>373</v>
      </c>
      <c r="E1045" s="74">
        <v>43950</v>
      </c>
      <c r="F1045" s="55" t="s">
        <v>344</v>
      </c>
      <c r="G1045" s="55" t="s">
        <v>360</v>
      </c>
      <c r="H1045" s="55" t="s">
        <v>360</v>
      </c>
      <c r="I1045" s="55" t="s">
        <v>360</v>
      </c>
      <c r="J1045" s="55" t="s">
        <v>360</v>
      </c>
      <c r="K1045" s="55" t="s">
        <v>360</v>
      </c>
      <c r="L1045" s="55" t="s">
        <v>360</v>
      </c>
      <c r="M1045" s="55" t="s">
        <v>136</v>
      </c>
      <c r="N1045" s="55" t="s">
        <v>136</v>
      </c>
      <c r="O1045" s="55" t="s">
        <v>255</v>
      </c>
      <c r="P1045" s="55" t="s">
        <v>757</v>
      </c>
      <c r="Q1045" s="55" t="s">
        <v>350</v>
      </c>
      <c r="R1045" s="55">
        <v>2</v>
      </c>
      <c r="S1045" s="74"/>
      <c r="T1045" s="55" t="s">
        <v>793</v>
      </c>
      <c r="U1045" s="73"/>
      <c r="W1045" s="74"/>
      <c r="Y1045" s="74"/>
      <c r="Z1045" s="74"/>
    </row>
    <row r="1046" spans="1:29" ht="13" x14ac:dyDescent="0.15">
      <c r="A1046" s="72" t="str">
        <f t="shared" si="16"/>
        <v>Ofsted Social Care Provider Webpage</v>
      </c>
      <c r="B1046" s="55">
        <v>2580899</v>
      </c>
      <c r="D1046" s="55" t="s">
        <v>373</v>
      </c>
      <c r="E1046" s="74">
        <v>43956</v>
      </c>
      <c r="F1046" s="55" t="s">
        <v>344</v>
      </c>
      <c r="G1046" s="55" t="s">
        <v>360</v>
      </c>
      <c r="H1046" s="55" t="s">
        <v>360</v>
      </c>
      <c r="I1046" s="55" t="s">
        <v>360</v>
      </c>
      <c r="J1046" s="55" t="s">
        <v>360</v>
      </c>
      <c r="K1046" s="55" t="s">
        <v>360</v>
      </c>
      <c r="L1046" s="55" t="s">
        <v>360</v>
      </c>
      <c r="M1046" s="55" t="s">
        <v>378</v>
      </c>
      <c r="N1046" s="55" t="s">
        <v>170</v>
      </c>
      <c r="O1046" s="55" t="s">
        <v>243</v>
      </c>
      <c r="P1046" s="55" t="s">
        <v>1786</v>
      </c>
      <c r="Q1046" s="55" t="s">
        <v>350</v>
      </c>
      <c r="R1046" s="55">
        <v>5</v>
      </c>
      <c r="S1046" s="74"/>
      <c r="T1046" s="55" t="s">
        <v>1335</v>
      </c>
      <c r="U1046" s="73" t="s">
        <v>351</v>
      </c>
      <c r="V1046" s="74">
        <v>44579</v>
      </c>
      <c r="W1046" s="74">
        <v>44616</v>
      </c>
      <c r="X1046" s="55">
        <v>10187138</v>
      </c>
      <c r="Y1046" s="74" t="s">
        <v>132</v>
      </c>
      <c r="Z1046" s="74"/>
      <c r="AB1046" s="55" t="s">
        <v>132</v>
      </c>
      <c r="AC1046" s="55" t="s">
        <v>130</v>
      </c>
    </row>
    <row r="1047" spans="1:29" ht="13" x14ac:dyDescent="0.15">
      <c r="A1047" s="72" t="str">
        <f t="shared" si="16"/>
        <v>Ofsted Social Care Provider Webpage</v>
      </c>
      <c r="B1047" s="55">
        <v>2581237</v>
      </c>
      <c r="D1047" s="55" t="s">
        <v>373</v>
      </c>
      <c r="E1047" s="74">
        <v>43950</v>
      </c>
      <c r="F1047" s="55" t="s">
        <v>344</v>
      </c>
      <c r="G1047" s="55" t="s">
        <v>360</v>
      </c>
      <c r="H1047" s="55" t="s">
        <v>360</v>
      </c>
      <c r="I1047" s="55" t="s">
        <v>360</v>
      </c>
      <c r="J1047" s="55" t="s">
        <v>360</v>
      </c>
      <c r="K1047" s="55" t="s">
        <v>360</v>
      </c>
      <c r="L1047" s="55" t="s">
        <v>360</v>
      </c>
      <c r="M1047" s="55" t="s">
        <v>144</v>
      </c>
      <c r="N1047" s="55" t="s">
        <v>144</v>
      </c>
      <c r="O1047" s="55" t="s">
        <v>209</v>
      </c>
      <c r="P1047" s="55" t="s">
        <v>474</v>
      </c>
      <c r="Q1047" s="55" t="s">
        <v>350</v>
      </c>
      <c r="R1047" s="55">
        <v>8</v>
      </c>
      <c r="S1047" s="74"/>
      <c r="T1047" s="55" t="s">
        <v>377</v>
      </c>
      <c r="U1047" s="73"/>
      <c r="W1047" s="74"/>
      <c r="Y1047" s="74"/>
      <c r="Z1047" s="74"/>
    </row>
    <row r="1048" spans="1:29" ht="13" x14ac:dyDescent="0.15">
      <c r="A1048" s="72" t="str">
        <f t="shared" si="16"/>
        <v>Ofsted Social Care Provider Webpage</v>
      </c>
      <c r="B1048" s="55">
        <v>2581296</v>
      </c>
      <c r="D1048" s="55" t="s">
        <v>373</v>
      </c>
      <c r="E1048" s="74">
        <v>43894</v>
      </c>
      <c r="F1048" s="55" t="s">
        <v>344</v>
      </c>
      <c r="G1048" s="55" t="s">
        <v>360</v>
      </c>
      <c r="H1048" s="55" t="s">
        <v>360</v>
      </c>
      <c r="I1048" s="55" t="s">
        <v>360</v>
      </c>
      <c r="J1048" s="55" t="s">
        <v>360</v>
      </c>
      <c r="K1048" s="55" t="s">
        <v>360</v>
      </c>
      <c r="L1048" s="55" t="s">
        <v>360</v>
      </c>
      <c r="M1048" s="55" t="s">
        <v>144</v>
      </c>
      <c r="N1048" s="55" t="s">
        <v>144</v>
      </c>
      <c r="O1048" s="55" t="s">
        <v>245</v>
      </c>
      <c r="P1048" s="55" t="s">
        <v>245</v>
      </c>
      <c r="Q1048" s="55" t="s">
        <v>350</v>
      </c>
      <c r="R1048" s="55">
        <v>1</v>
      </c>
      <c r="S1048" s="74"/>
      <c r="T1048" s="55" t="s">
        <v>485</v>
      </c>
      <c r="U1048" s="73" t="s">
        <v>351</v>
      </c>
      <c r="V1048" s="74">
        <v>44495</v>
      </c>
      <c r="W1048" s="74">
        <v>44536</v>
      </c>
      <c r="X1048" s="55">
        <v>10186934</v>
      </c>
      <c r="Y1048" s="74" t="s">
        <v>132</v>
      </c>
      <c r="Z1048" s="74"/>
      <c r="AB1048" s="55" t="s">
        <v>132</v>
      </c>
      <c r="AC1048" s="55" t="s">
        <v>132</v>
      </c>
    </row>
    <row r="1049" spans="1:29" ht="13" x14ac:dyDescent="0.15">
      <c r="A1049" s="72" t="str">
        <f t="shared" si="16"/>
        <v>Ofsted Social Care Provider Webpage</v>
      </c>
      <c r="B1049" s="55">
        <v>2581761</v>
      </c>
      <c r="D1049" s="55" t="s">
        <v>389</v>
      </c>
      <c r="E1049" s="74">
        <v>44139</v>
      </c>
      <c r="F1049" s="55" t="s">
        <v>344</v>
      </c>
      <c r="G1049" s="55" t="s">
        <v>1787</v>
      </c>
      <c r="H1049" s="55" t="s">
        <v>1788</v>
      </c>
      <c r="I1049" s="55" t="s">
        <v>1789</v>
      </c>
      <c r="J1049" s="55" t="s">
        <v>182</v>
      </c>
      <c r="K1049" s="55" t="s">
        <v>129</v>
      </c>
      <c r="L1049" s="55" t="s">
        <v>1790</v>
      </c>
      <c r="M1049" s="55" t="s">
        <v>129</v>
      </c>
      <c r="N1049" s="55" t="s">
        <v>129</v>
      </c>
      <c r="O1049" s="55" t="s">
        <v>182</v>
      </c>
      <c r="P1049" s="55" t="s">
        <v>1660</v>
      </c>
      <c r="Q1049" s="55" t="s">
        <v>350</v>
      </c>
      <c r="R1049" s="55"/>
      <c r="S1049" s="74"/>
      <c r="T1049" s="55" t="s">
        <v>1787</v>
      </c>
      <c r="U1049" s="73" t="s">
        <v>351</v>
      </c>
      <c r="V1049" s="74">
        <v>44396</v>
      </c>
      <c r="W1049" s="74">
        <v>44432</v>
      </c>
      <c r="X1049" s="55">
        <v>10183194</v>
      </c>
      <c r="Y1049" s="74" t="s">
        <v>132</v>
      </c>
      <c r="Z1049" s="74"/>
      <c r="AB1049" s="55" t="s">
        <v>132</v>
      </c>
      <c r="AC1049" s="55" t="s">
        <v>132</v>
      </c>
    </row>
    <row r="1050" spans="1:29" ht="13" x14ac:dyDescent="0.15">
      <c r="A1050" s="72" t="str">
        <f t="shared" si="16"/>
        <v>Ofsted Social Care Provider Webpage</v>
      </c>
      <c r="B1050" s="55">
        <v>2581909</v>
      </c>
      <c r="D1050" s="55" t="s">
        <v>479</v>
      </c>
      <c r="E1050" s="74">
        <v>43930</v>
      </c>
      <c r="F1050" s="55" t="s">
        <v>344</v>
      </c>
      <c r="G1050" s="55" t="s">
        <v>360</v>
      </c>
      <c r="H1050" s="55" t="s">
        <v>360</v>
      </c>
      <c r="I1050" s="55" t="s">
        <v>360</v>
      </c>
      <c r="J1050" s="55" t="s">
        <v>360</v>
      </c>
      <c r="K1050" s="55" t="s">
        <v>360</v>
      </c>
      <c r="L1050" s="55" t="s">
        <v>360</v>
      </c>
      <c r="M1050" s="55" t="s">
        <v>172</v>
      </c>
      <c r="N1050" s="55" t="s">
        <v>172</v>
      </c>
      <c r="O1050" s="55" t="s">
        <v>171</v>
      </c>
      <c r="P1050" s="55" t="s">
        <v>895</v>
      </c>
      <c r="Q1050" s="55" t="s">
        <v>350</v>
      </c>
      <c r="R1050" s="55">
        <v>8</v>
      </c>
      <c r="S1050" s="74"/>
      <c r="T1050" s="55" t="s">
        <v>1791</v>
      </c>
      <c r="U1050" s="73" t="s">
        <v>351</v>
      </c>
      <c r="V1050" s="74">
        <v>44341</v>
      </c>
      <c r="W1050" s="74">
        <v>44368</v>
      </c>
      <c r="X1050" s="55">
        <v>10185096</v>
      </c>
      <c r="Y1050" s="74" t="s">
        <v>132</v>
      </c>
      <c r="Z1050" s="74"/>
      <c r="AB1050" s="55" t="s">
        <v>132</v>
      </c>
      <c r="AC1050" s="55" t="s">
        <v>132</v>
      </c>
    </row>
    <row r="1051" spans="1:29" ht="13" x14ac:dyDescent="0.15">
      <c r="A1051" s="72" t="str">
        <f t="shared" si="16"/>
        <v>Ofsted Social Care Provider Webpage</v>
      </c>
      <c r="B1051" s="55">
        <v>2582228</v>
      </c>
      <c r="C1051" s="55">
        <v>115475</v>
      </c>
      <c r="D1051" s="55" t="s">
        <v>413</v>
      </c>
      <c r="E1051" s="74">
        <v>43871</v>
      </c>
      <c r="F1051" s="55" t="s">
        <v>344</v>
      </c>
      <c r="G1051" s="55" t="s">
        <v>1792</v>
      </c>
      <c r="H1051" s="55" t="s">
        <v>1793</v>
      </c>
      <c r="I1051" s="55" t="s">
        <v>354</v>
      </c>
      <c r="J1051" s="55" t="s">
        <v>508</v>
      </c>
      <c r="K1051" s="55" t="s">
        <v>183</v>
      </c>
      <c r="L1051" s="55" t="s">
        <v>1794</v>
      </c>
      <c r="M1051" s="55" t="s">
        <v>138</v>
      </c>
      <c r="N1051" s="55" t="s">
        <v>138</v>
      </c>
      <c r="O1051" s="55" t="s">
        <v>183</v>
      </c>
      <c r="P1051" s="55" t="s">
        <v>616</v>
      </c>
      <c r="Q1051" s="55" t="s">
        <v>380</v>
      </c>
      <c r="R1051" s="55">
        <v>30</v>
      </c>
      <c r="S1051" s="74"/>
      <c r="T1051" s="55" t="s">
        <v>1795</v>
      </c>
      <c r="U1051" s="73" t="s">
        <v>351</v>
      </c>
      <c r="V1051" s="74">
        <v>44321</v>
      </c>
      <c r="W1051" s="74">
        <v>44351</v>
      </c>
      <c r="X1051" s="55">
        <v>10183243</v>
      </c>
      <c r="Y1051" s="74" t="s">
        <v>132</v>
      </c>
      <c r="Z1051" s="74"/>
      <c r="AB1051" s="55" t="s">
        <v>132</v>
      </c>
      <c r="AC1051" s="55" t="s">
        <v>132</v>
      </c>
    </row>
    <row r="1052" spans="1:29" ht="13" x14ac:dyDescent="0.15">
      <c r="A1052" s="72" t="str">
        <f t="shared" si="16"/>
        <v>Ofsted Social Care Provider Webpage</v>
      </c>
      <c r="B1052" s="55">
        <v>2582246</v>
      </c>
      <c r="D1052" s="55" t="s">
        <v>373</v>
      </c>
      <c r="E1052" s="74">
        <v>43894</v>
      </c>
      <c r="F1052" s="55" t="s">
        <v>344</v>
      </c>
      <c r="G1052" s="55" t="s">
        <v>360</v>
      </c>
      <c r="H1052" s="55" t="s">
        <v>360</v>
      </c>
      <c r="I1052" s="55" t="s">
        <v>360</v>
      </c>
      <c r="J1052" s="55" t="s">
        <v>360</v>
      </c>
      <c r="K1052" s="55" t="s">
        <v>360</v>
      </c>
      <c r="L1052" s="55" t="s">
        <v>360</v>
      </c>
      <c r="M1052" s="55" t="s">
        <v>144</v>
      </c>
      <c r="N1052" s="55" t="s">
        <v>144</v>
      </c>
      <c r="O1052" s="55" t="s">
        <v>209</v>
      </c>
      <c r="P1052" s="55" t="s">
        <v>650</v>
      </c>
      <c r="Q1052" s="55" t="s">
        <v>350</v>
      </c>
      <c r="R1052" s="55">
        <v>2</v>
      </c>
      <c r="S1052" s="74"/>
      <c r="T1052" s="55" t="s">
        <v>485</v>
      </c>
      <c r="U1052" s="73" t="s">
        <v>351</v>
      </c>
      <c r="V1052" s="74">
        <v>44440</v>
      </c>
      <c r="W1052" s="74">
        <v>44477</v>
      </c>
      <c r="X1052" s="55">
        <v>10185867</v>
      </c>
      <c r="Y1052" s="74" t="s">
        <v>130</v>
      </c>
      <c r="Z1052" s="74"/>
      <c r="AB1052" s="55" t="s">
        <v>130</v>
      </c>
      <c r="AC1052" s="55" t="s">
        <v>130</v>
      </c>
    </row>
    <row r="1053" spans="1:29" ht="13" x14ac:dyDescent="0.15">
      <c r="A1053" s="72" t="str">
        <f t="shared" si="16"/>
        <v>Ofsted Social Care Provider Webpage</v>
      </c>
      <c r="B1053" s="55">
        <v>2582247</v>
      </c>
      <c r="D1053" s="55" t="s">
        <v>373</v>
      </c>
      <c r="E1053" s="74">
        <v>43894</v>
      </c>
      <c r="F1053" s="55" t="s">
        <v>344</v>
      </c>
      <c r="G1053" s="55" t="s">
        <v>360</v>
      </c>
      <c r="H1053" s="55" t="s">
        <v>360</v>
      </c>
      <c r="I1053" s="55" t="s">
        <v>360</v>
      </c>
      <c r="J1053" s="55" t="s">
        <v>360</v>
      </c>
      <c r="K1053" s="55" t="s">
        <v>360</v>
      </c>
      <c r="L1053" s="55" t="s">
        <v>360</v>
      </c>
      <c r="M1053" s="55" t="s">
        <v>144</v>
      </c>
      <c r="N1053" s="55" t="s">
        <v>144</v>
      </c>
      <c r="O1053" s="55" t="s">
        <v>209</v>
      </c>
      <c r="P1053" s="55" t="s">
        <v>629</v>
      </c>
      <c r="Q1053" s="55" t="s">
        <v>350</v>
      </c>
      <c r="R1053" s="55">
        <v>2</v>
      </c>
      <c r="S1053" s="74"/>
      <c r="T1053" s="55" t="s">
        <v>485</v>
      </c>
      <c r="U1053" s="73" t="s">
        <v>351</v>
      </c>
      <c r="V1053" s="74">
        <v>44621</v>
      </c>
      <c r="W1053" s="74">
        <v>44664</v>
      </c>
      <c r="X1053" s="55">
        <v>10185254</v>
      </c>
      <c r="Y1053" s="74" t="s">
        <v>132</v>
      </c>
      <c r="Z1053" s="74"/>
      <c r="AB1053" s="55" t="s">
        <v>132</v>
      </c>
      <c r="AC1053" s="55" t="s">
        <v>130</v>
      </c>
    </row>
    <row r="1054" spans="1:29" ht="13" x14ac:dyDescent="0.15">
      <c r="A1054" s="72" t="str">
        <f t="shared" si="16"/>
        <v>Ofsted Social Care Provider Webpage</v>
      </c>
      <c r="B1054" s="55">
        <v>2582248</v>
      </c>
      <c r="D1054" s="55" t="s">
        <v>373</v>
      </c>
      <c r="E1054" s="74">
        <v>43894</v>
      </c>
      <c r="F1054" s="55" t="s">
        <v>344</v>
      </c>
      <c r="G1054" s="55" t="s">
        <v>360</v>
      </c>
      <c r="H1054" s="55" t="s">
        <v>360</v>
      </c>
      <c r="I1054" s="55" t="s">
        <v>360</v>
      </c>
      <c r="J1054" s="55" t="s">
        <v>360</v>
      </c>
      <c r="K1054" s="55" t="s">
        <v>360</v>
      </c>
      <c r="L1054" s="55" t="s">
        <v>360</v>
      </c>
      <c r="M1054" s="55" t="s">
        <v>144</v>
      </c>
      <c r="N1054" s="55" t="s">
        <v>144</v>
      </c>
      <c r="O1054" s="55" t="s">
        <v>157</v>
      </c>
      <c r="P1054" s="55" t="s">
        <v>1092</v>
      </c>
      <c r="Q1054" s="55" t="s">
        <v>350</v>
      </c>
      <c r="R1054" s="55">
        <v>2</v>
      </c>
      <c r="S1054" s="74"/>
      <c r="T1054" s="55" t="s">
        <v>485</v>
      </c>
      <c r="U1054" s="73" t="s">
        <v>351</v>
      </c>
      <c r="V1054" s="74">
        <v>44397</v>
      </c>
      <c r="W1054" s="74">
        <v>44427</v>
      </c>
      <c r="X1054" s="55">
        <v>10185806</v>
      </c>
      <c r="Y1054" s="74" t="s">
        <v>132</v>
      </c>
      <c r="Z1054" s="74"/>
      <c r="AB1054" s="55" t="s">
        <v>132</v>
      </c>
      <c r="AC1054" s="55" t="s">
        <v>132</v>
      </c>
    </row>
    <row r="1055" spans="1:29" ht="13" x14ac:dyDescent="0.15">
      <c r="A1055" s="72" t="str">
        <f t="shared" si="16"/>
        <v>Ofsted Social Care Provider Webpage</v>
      </c>
      <c r="B1055" s="55">
        <v>2582250</v>
      </c>
      <c r="D1055" s="55" t="s">
        <v>373</v>
      </c>
      <c r="E1055" s="74">
        <v>43894</v>
      </c>
      <c r="F1055" s="55" t="s">
        <v>344</v>
      </c>
      <c r="G1055" s="55" t="s">
        <v>360</v>
      </c>
      <c r="H1055" s="55" t="s">
        <v>360</v>
      </c>
      <c r="I1055" s="55" t="s">
        <v>360</v>
      </c>
      <c r="J1055" s="55" t="s">
        <v>360</v>
      </c>
      <c r="K1055" s="55" t="s">
        <v>360</v>
      </c>
      <c r="L1055" s="55" t="s">
        <v>360</v>
      </c>
      <c r="M1055" s="55" t="s">
        <v>144</v>
      </c>
      <c r="N1055" s="55" t="s">
        <v>144</v>
      </c>
      <c r="O1055" s="55" t="s">
        <v>245</v>
      </c>
      <c r="P1055" s="55" t="s">
        <v>1796</v>
      </c>
      <c r="Q1055" s="55" t="s">
        <v>350</v>
      </c>
      <c r="R1055" s="55">
        <v>2</v>
      </c>
      <c r="S1055" s="74"/>
      <c r="T1055" s="55" t="s">
        <v>485</v>
      </c>
      <c r="U1055" s="73" t="s">
        <v>351</v>
      </c>
      <c r="V1055" s="74">
        <v>44635</v>
      </c>
      <c r="W1055" s="74">
        <v>44680</v>
      </c>
      <c r="X1055" s="55">
        <v>10185605</v>
      </c>
      <c r="Y1055" s="74" t="s">
        <v>132</v>
      </c>
      <c r="Z1055" s="74"/>
      <c r="AB1055" s="55" t="s">
        <v>132</v>
      </c>
      <c r="AC1055" s="55" t="s">
        <v>132</v>
      </c>
    </row>
    <row r="1056" spans="1:29" ht="13" x14ac:dyDescent="0.15">
      <c r="A1056" s="72" t="str">
        <f t="shared" si="16"/>
        <v>Ofsted Social Care Provider Webpage</v>
      </c>
      <c r="B1056" s="55">
        <v>2582337</v>
      </c>
      <c r="D1056" s="55" t="s">
        <v>373</v>
      </c>
      <c r="E1056" s="74">
        <v>43894</v>
      </c>
      <c r="F1056" s="55" t="s">
        <v>344</v>
      </c>
      <c r="G1056" s="55" t="s">
        <v>360</v>
      </c>
      <c r="H1056" s="55" t="s">
        <v>360</v>
      </c>
      <c r="I1056" s="55" t="s">
        <v>360</v>
      </c>
      <c r="J1056" s="55" t="s">
        <v>360</v>
      </c>
      <c r="K1056" s="55" t="s">
        <v>360</v>
      </c>
      <c r="L1056" s="55" t="s">
        <v>360</v>
      </c>
      <c r="M1056" s="55" t="s">
        <v>144</v>
      </c>
      <c r="N1056" s="55" t="s">
        <v>144</v>
      </c>
      <c r="O1056" s="55" t="s">
        <v>157</v>
      </c>
      <c r="P1056" s="55" t="s">
        <v>1092</v>
      </c>
      <c r="Q1056" s="55" t="s">
        <v>350</v>
      </c>
      <c r="R1056" s="55">
        <v>2</v>
      </c>
      <c r="S1056" s="74"/>
      <c r="T1056" s="55" t="s">
        <v>485</v>
      </c>
      <c r="U1056" s="73" t="s">
        <v>351</v>
      </c>
      <c r="V1056" s="74">
        <v>44299</v>
      </c>
      <c r="W1056" s="74">
        <v>44333</v>
      </c>
      <c r="X1056" s="55">
        <v>10187516</v>
      </c>
      <c r="Y1056" s="74" t="s">
        <v>132</v>
      </c>
      <c r="Z1056" s="74"/>
      <c r="AB1056" s="55" t="s">
        <v>132</v>
      </c>
      <c r="AC1056" s="55" t="s">
        <v>130</v>
      </c>
    </row>
    <row r="1057" spans="1:29" ht="13" x14ac:dyDescent="0.15">
      <c r="A1057" s="72" t="str">
        <f t="shared" si="16"/>
        <v>Ofsted Social Care Provider Webpage</v>
      </c>
      <c r="B1057" s="55">
        <v>2583028</v>
      </c>
      <c r="D1057" s="55" t="s">
        <v>373</v>
      </c>
      <c r="E1057" s="74">
        <v>43930</v>
      </c>
      <c r="F1057" s="55" t="s">
        <v>344</v>
      </c>
      <c r="G1057" s="55" t="s">
        <v>360</v>
      </c>
      <c r="H1057" s="55" t="s">
        <v>360</v>
      </c>
      <c r="I1057" s="55" t="s">
        <v>360</v>
      </c>
      <c r="J1057" s="55" t="s">
        <v>360</v>
      </c>
      <c r="K1057" s="55" t="s">
        <v>360</v>
      </c>
      <c r="L1057" s="55" t="s">
        <v>360</v>
      </c>
      <c r="M1057" s="55" t="s">
        <v>136</v>
      </c>
      <c r="N1057" s="55" t="s">
        <v>136</v>
      </c>
      <c r="O1057" s="55" t="s">
        <v>174</v>
      </c>
      <c r="P1057" s="55" t="s">
        <v>572</v>
      </c>
      <c r="Q1057" s="55" t="s">
        <v>362</v>
      </c>
      <c r="R1057" s="55">
        <v>4</v>
      </c>
      <c r="S1057" s="74"/>
      <c r="T1057" s="55" t="s">
        <v>1797</v>
      </c>
      <c r="U1057" s="73" t="s">
        <v>351</v>
      </c>
      <c r="V1057" s="74">
        <v>44480</v>
      </c>
      <c r="W1057" s="74">
        <v>44519</v>
      </c>
      <c r="X1057" s="55">
        <v>10186833</v>
      </c>
      <c r="Y1057" s="74" t="s">
        <v>130</v>
      </c>
      <c r="Z1057" s="74"/>
      <c r="AB1057" s="55" t="s">
        <v>130</v>
      </c>
      <c r="AC1057" s="55" t="s">
        <v>130</v>
      </c>
    </row>
    <row r="1058" spans="1:29" ht="13" x14ac:dyDescent="0.15">
      <c r="A1058" s="72" t="str">
        <f t="shared" si="16"/>
        <v>Ofsted Social Care Provider Webpage</v>
      </c>
      <c r="B1058" s="55">
        <v>2583142</v>
      </c>
      <c r="D1058" s="55" t="s">
        <v>373</v>
      </c>
      <c r="E1058" s="74">
        <v>43999</v>
      </c>
      <c r="F1058" s="55" t="s">
        <v>344</v>
      </c>
      <c r="G1058" s="55" t="s">
        <v>360</v>
      </c>
      <c r="H1058" s="55" t="s">
        <v>360</v>
      </c>
      <c r="I1058" s="55" t="s">
        <v>360</v>
      </c>
      <c r="J1058" s="55" t="s">
        <v>360</v>
      </c>
      <c r="K1058" s="55" t="s">
        <v>360</v>
      </c>
      <c r="L1058" s="55" t="s">
        <v>360</v>
      </c>
      <c r="M1058" s="55" t="s">
        <v>138</v>
      </c>
      <c r="N1058" s="55" t="s">
        <v>138</v>
      </c>
      <c r="O1058" s="55" t="s">
        <v>137</v>
      </c>
      <c r="P1058" s="55" t="s">
        <v>137</v>
      </c>
      <c r="Q1058" s="55" t="s">
        <v>350</v>
      </c>
      <c r="R1058" s="55">
        <v>3</v>
      </c>
      <c r="S1058" s="74"/>
      <c r="T1058" s="55" t="s">
        <v>1361</v>
      </c>
      <c r="U1058" s="73" t="s">
        <v>351</v>
      </c>
      <c r="V1058" s="74">
        <v>44362</v>
      </c>
      <c r="W1058" s="74">
        <v>44393</v>
      </c>
      <c r="X1058" s="55">
        <v>10185180</v>
      </c>
      <c r="Y1058" s="74" t="s">
        <v>132</v>
      </c>
      <c r="Z1058" s="74"/>
      <c r="AB1058" s="55" t="s">
        <v>132</v>
      </c>
      <c r="AC1058" s="55" t="s">
        <v>132</v>
      </c>
    </row>
    <row r="1059" spans="1:29" ht="13" x14ac:dyDescent="0.15">
      <c r="A1059" s="72" t="str">
        <f t="shared" si="16"/>
        <v>Ofsted Social Care Provider Webpage</v>
      </c>
      <c r="B1059" s="55">
        <v>2583468</v>
      </c>
      <c r="D1059" s="55" t="s">
        <v>373</v>
      </c>
      <c r="E1059" s="74">
        <v>43930</v>
      </c>
      <c r="F1059" s="55" t="s">
        <v>344</v>
      </c>
      <c r="G1059" s="55" t="s">
        <v>360</v>
      </c>
      <c r="H1059" s="55" t="s">
        <v>360</v>
      </c>
      <c r="I1059" s="55" t="s">
        <v>360</v>
      </c>
      <c r="J1059" s="55" t="s">
        <v>360</v>
      </c>
      <c r="K1059" s="55" t="s">
        <v>360</v>
      </c>
      <c r="L1059" s="55" t="s">
        <v>360</v>
      </c>
      <c r="M1059" s="55" t="s">
        <v>172</v>
      </c>
      <c r="N1059" s="55" t="s">
        <v>172</v>
      </c>
      <c r="O1059" s="55" t="s">
        <v>212</v>
      </c>
      <c r="P1059" s="55" t="s">
        <v>714</v>
      </c>
      <c r="Q1059" s="55" t="s">
        <v>350</v>
      </c>
      <c r="R1059" s="55">
        <v>4</v>
      </c>
      <c r="S1059" s="74"/>
      <c r="T1059" s="55" t="s">
        <v>896</v>
      </c>
      <c r="U1059" s="73" t="s">
        <v>351</v>
      </c>
      <c r="V1059" s="74">
        <v>44586</v>
      </c>
      <c r="W1059" s="74">
        <v>44631</v>
      </c>
      <c r="X1059" s="55">
        <v>10185726</v>
      </c>
      <c r="Y1059" s="74" t="s">
        <v>140</v>
      </c>
      <c r="Z1059" s="74"/>
      <c r="AB1059" s="55" t="s">
        <v>140</v>
      </c>
      <c r="AC1059" s="55" t="s">
        <v>140</v>
      </c>
    </row>
    <row r="1060" spans="1:29" ht="13" x14ac:dyDescent="0.15">
      <c r="A1060" s="72" t="str">
        <f t="shared" si="16"/>
        <v>Ofsted Social Care Provider Webpage</v>
      </c>
      <c r="B1060" s="55">
        <v>2583518</v>
      </c>
      <c r="D1060" s="55" t="s">
        <v>373</v>
      </c>
      <c r="E1060" s="74">
        <v>43976</v>
      </c>
      <c r="F1060" s="55" t="s">
        <v>344</v>
      </c>
      <c r="G1060" s="55" t="s">
        <v>360</v>
      </c>
      <c r="H1060" s="55" t="s">
        <v>360</v>
      </c>
      <c r="I1060" s="55" t="s">
        <v>360</v>
      </c>
      <c r="J1060" s="55" t="s">
        <v>360</v>
      </c>
      <c r="K1060" s="55" t="s">
        <v>360</v>
      </c>
      <c r="L1060" s="55" t="s">
        <v>360</v>
      </c>
      <c r="M1060" s="55" t="s">
        <v>144</v>
      </c>
      <c r="N1060" s="55" t="s">
        <v>144</v>
      </c>
      <c r="O1060" s="55" t="s">
        <v>209</v>
      </c>
      <c r="P1060" s="55" t="s">
        <v>650</v>
      </c>
      <c r="Q1060" s="55" t="s">
        <v>350</v>
      </c>
      <c r="R1060" s="55">
        <v>2</v>
      </c>
      <c r="S1060" s="74"/>
      <c r="T1060" s="55" t="s">
        <v>1798</v>
      </c>
      <c r="U1060" s="73" t="s">
        <v>351</v>
      </c>
      <c r="V1060" s="74">
        <v>44460</v>
      </c>
      <c r="W1060" s="74">
        <v>44509</v>
      </c>
      <c r="X1060" s="55">
        <v>10186374</v>
      </c>
      <c r="Y1060" s="74" t="s">
        <v>130</v>
      </c>
      <c r="Z1060" s="74"/>
      <c r="AB1060" s="55" t="s">
        <v>130</v>
      </c>
      <c r="AC1060" s="55" t="s">
        <v>130</v>
      </c>
    </row>
    <row r="1061" spans="1:29" ht="13" x14ac:dyDescent="0.15">
      <c r="A1061" s="72" t="str">
        <f t="shared" si="16"/>
        <v>Ofsted Social Care Provider Webpage</v>
      </c>
      <c r="B1061" s="55">
        <v>2584899</v>
      </c>
      <c r="D1061" s="55" t="s">
        <v>373</v>
      </c>
      <c r="E1061" s="74">
        <v>44000</v>
      </c>
      <c r="F1061" s="55" t="s">
        <v>344</v>
      </c>
      <c r="G1061" s="55" t="s">
        <v>360</v>
      </c>
      <c r="H1061" s="55" t="s">
        <v>360</v>
      </c>
      <c r="I1061" s="55" t="s">
        <v>360</v>
      </c>
      <c r="J1061" s="55" t="s">
        <v>360</v>
      </c>
      <c r="K1061" s="55" t="s">
        <v>360</v>
      </c>
      <c r="L1061" s="55" t="s">
        <v>360</v>
      </c>
      <c r="M1061" s="55" t="s">
        <v>378</v>
      </c>
      <c r="N1061" s="55" t="s">
        <v>170</v>
      </c>
      <c r="O1061" s="55" t="s">
        <v>243</v>
      </c>
      <c r="P1061" s="55" t="s">
        <v>1786</v>
      </c>
      <c r="Q1061" s="55" t="s">
        <v>350</v>
      </c>
      <c r="R1061" s="55">
        <v>4</v>
      </c>
      <c r="S1061" s="74"/>
      <c r="T1061" s="55" t="s">
        <v>1262</v>
      </c>
      <c r="U1061" s="73" t="s">
        <v>351</v>
      </c>
      <c r="V1061" s="74">
        <v>44385</v>
      </c>
      <c r="W1061" s="74">
        <v>44433</v>
      </c>
      <c r="X1061" s="55">
        <v>10186012</v>
      </c>
      <c r="Y1061" s="74" t="s">
        <v>132</v>
      </c>
      <c r="Z1061" s="74"/>
      <c r="AB1061" s="55" t="s">
        <v>132</v>
      </c>
      <c r="AC1061" s="55" t="s">
        <v>132</v>
      </c>
    </row>
    <row r="1062" spans="1:29" ht="13" x14ac:dyDescent="0.15">
      <c r="A1062" s="72" t="str">
        <f t="shared" si="16"/>
        <v>Ofsted Social Care Provider Webpage</v>
      </c>
      <c r="B1062" s="55">
        <v>2584908</v>
      </c>
      <c r="D1062" s="55" t="s">
        <v>373</v>
      </c>
      <c r="E1062" s="74">
        <v>44111</v>
      </c>
      <c r="F1062" s="55" t="s">
        <v>344</v>
      </c>
      <c r="G1062" s="55" t="s">
        <v>360</v>
      </c>
      <c r="H1062" s="55" t="s">
        <v>360</v>
      </c>
      <c r="I1062" s="55" t="s">
        <v>360</v>
      </c>
      <c r="J1062" s="55" t="s">
        <v>360</v>
      </c>
      <c r="K1062" s="55" t="s">
        <v>360</v>
      </c>
      <c r="L1062" s="55" t="s">
        <v>360</v>
      </c>
      <c r="M1062" s="55" t="s">
        <v>142</v>
      </c>
      <c r="N1062" s="55" t="s">
        <v>142</v>
      </c>
      <c r="O1062" s="55" t="s">
        <v>252</v>
      </c>
      <c r="P1062" s="55" t="s">
        <v>388</v>
      </c>
      <c r="Q1062" s="55" t="s">
        <v>380</v>
      </c>
      <c r="R1062" s="55">
        <v>2</v>
      </c>
      <c r="S1062" s="74"/>
      <c r="T1062" s="55" t="s">
        <v>1542</v>
      </c>
      <c r="U1062" s="73" t="s">
        <v>351</v>
      </c>
      <c r="V1062" s="74">
        <v>44572</v>
      </c>
      <c r="W1062" s="74">
        <v>44610</v>
      </c>
      <c r="X1062" s="55">
        <v>10185258</v>
      </c>
      <c r="Y1062" s="74" t="s">
        <v>140</v>
      </c>
      <c r="Z1062" s="74"/>
      <c r="AB1062" s="55" t="s">
        <v>140</v>
      </c>
      <c r="AC1062" s="55" t="s">
        <v>132</v>
      </c>
    </row>
    <row r="1063" spans="1:29" ht="13" x14ac:dyDescent="0.15">
      <c r="A1063" s="72" t="str">
        <f t="shared" si="16"/>
        <v>Ofsted Social Care Provider Webpage</v>
      </c>
      <c r="B1063" s="55">
        <v>2585102</v>
      </c>
      <c r="D1063" s="55" t="s">
        <v>373</v>
      </c>
      <c r="E1063" s="74">
        <v>44061</v>
      </c>
      <c r="F1063" s="55" t="s">
        <v>344</v>
      </c>
      <c r="G1063" s="55" t="s">
        <v>360</v>
      </c>
      <c r="H1063" s="55" t="s">
        <v>360</v>
      </c>
      <c r="I1063" s="55" t="s">
        <v>360</v>
      </c>
      <c r="J1063" s="55" t="s">
        <v>360</v>
      </c>
      <c r="K1063" s="55" t="s">
        <v>360</v>
      </c>
      <c r="L1063" s="55" t="s">
        <v>360</v>
      </c>
      <c r="M1063" s="55" t="s">
        <v>150</v>
      </c>
      <c r="N1063" s="55" t="s">
        <v>150</v>
      </c>
      <c r="O1063" s="55" t="s">
        <v>156</v>
      </c>
      <c r="P1063" s="55" t="s">
        <v>1217</v>
      </c>
      <c r="Q1063" s="55" t="s">
        <v>350</v>
      </c>
      <c r="R1063" s="55">
        <v>3</v>
      </c>
      <c r="S1063" s="74"/>
      <c r="T1063" s="55" t="s">
        <v>1799</v>
      </c>
      <c r="U1063" s="73" t="s">
        <v>351</v>
      </c>
      <c r="V1063" s="74">
        <v>44418</v>
      </c>
      <c r="W1063" s="74">
        <v>44455</v>
      </c>
      <c r="X1063" s="55">
        <v>10185121</v>
      </c>
      <c r="Y1063" s="74" t="s">
        <v>130</v>
      </c>
      <c r="Z1063" s="74"/>
      <c r="AB1063" s="55" t="s">
        <v>130</v>
      </c>
      <c r="AC1063" s="55" t="s">
        <v>146</v>
      </c>
    </row>
    <row r="1064" spans="1:29" ht="13" x14ac:dyDescent="0.15">
      <c r="A1064" s="72" t="str">
        <f t="shared" si="16"/>
        <v>Ofsted Social Care Provider Webpage</v>
      </c>
      <c r="B1064" s="55">
        <v>2585129</v>
      </c>
      <c r="D1064" s="55" t="s">
        <v>373</v>
      </c>
      <c r="E1064" s="74">
        <v>43957</v>
      </c>
      <c r="F1064" s="55" t="s">
        <v>344</v>
      </c>
      <c r="G1064" s="55" t="s">
        <v>360</v>
      </c>
      <c r="H1064" s="55" t="s">
        <v>360</v>
      </c>
      <c r="I1064" s="55" t="s">
        <v>360</v>
      </c>
      <c r="J1064" s="55" t="s">
        <v>360</v>
      </c>
      <c r="K1064" s="55" t="s">
        <v>360</v>
      </c>
      <c r="L1064" s="55" t="s">
        <v>360</v>
      </c>
      <c r="M1064" s="55" t="s">
        <v>150</v>
      </c>
      <c r="N1064" s="55" t="s">
        <v>150</v>
      </c>
      <c r="O1064" s="55" t="s">
        <v>190</v>
      </c>
      <c r="P1064" s="55" t="s">
        <v>749</v>
      </c>
      <c r="Q1064" s="55" t="s">
        <v>350</v>
      </c>
      <c r="R1064" s="55">
        <v>3</v>
      </c>
      <c r="S1064" s="74"/>
      <c r="T1064" s="55" t="s">
        <v>450</v>
      </c>
      <c r="U1064" s="73" t="s">
        <v>351</v>
      </c>
      <c r="V1064" s="74">
        <v>44355</v>
      </c>
      <c r="W1064" s="74">
        <v>44404</v>
      </c>
      <c r="X1064" s="55">
        <v>10186052</v>
      </c>
      <c r="Y1064" s="74" t="s">
        <v>132</v>
      </c>
      <c r="Z1064" s="74"/>
      <c r="AB1064" s="55" t="s">
        <v>132</v>
      </c>
      <c r="AC1064" s="55" t="s">
        <v>130</v>
      </c>
    </row>
    <row r="1065" spans="1:29" ht="13" x14ac:dyDescent="0.15">
      <c r="A1065" s="72" t="str">
        <f t="shared" si="16"/>
        <v>Ofsted Social Care Provider Webpage</v>
      </c>
      <c r="B1065" s="55">
        <v>2585139</v>
      </c>
      <c r="D1065" s="55" t="s">
        <v>373</v>
      </c>
      <c r="E1065" s="74">
        <v>44004</v>
      </c>
      <c r="F1065" s="55" t="s">
        <v>344</v>
      </c>
      <c r="G1065" s="55" t="s">
        <v>360</v>
      </c>
      <c r="H1065" s="55" t="s">
        <v>360</v>
      </c>
      <c r="I1065" s="55" t="s">
        <v>360</v>
      </c>
      <c r="J1065" s="55" t="s">
        <v>360</v>
      </c>
      <c r="K1065" s="55" t="s">
        <v>360</v>
      </c>
      <c r="L1065" s="55" t="s">
        <v>360</v>
      </c>
      <c r="M1065" s="55" t="s">
        <v>144</v>
      </c>
      <c r="N1065" s="55" t="s">
        <v>144</v>
      </c>
      <c r="O1065" s="55" t="s">
        <v>215</v>
      </c>
      <c r="P1065" s="55" t="s">
        <v>655</v>
      </c>
      <c r="Q1065" s="55" t="s">
        <v>350</v>
      </c>
      <c r="R1065" s="55">
        <v>2</v>
      </c>
      <c r="S1065" s="74"/>
      <c r="T1065" s="55" t="s">
        <v>1560</v>
      </c>
      <c r="U1065" s="73" t="s">
        <v>351</v>
      </c>
      <c r="V1065" s="74">
        <v>44531</v>
      </c>
      <c r="W1065" s="74">
        <v>44574</v>
      </c>
      <c r="X1065" s="55">
        <v>10186297</v>
      </c>
      <c r="Y1065" s="74" t="s">
        <v>132</v>
      </c>
      <c r="Z1065" s="74"/>
      <c r="AB1065" s="55" t="s">
        <v>132</v>
      </c>
      <c r="AC1065" s="55" t="s">
        <v>132</v>
      </c>
    </row>
    <row r="1066" spans="1:29" ht="13" x14ac:dyDescent="0.15">
      <c r="A1066" s="72" t="str">
        <f t="shared" si="16"/>
        <v>Ofsted Social Care Provider Webpage</v>
      </c>
      <c r="B1066" s="55">
        <v>2585362</v>
      </c>
      <c r="D1066" s="55" t="s">
        <v>451</v>
      </c>
      <c r="E1066" s="74">
        <v>43943</v>
      </c>
      <c r="F1066" s="55" t="s">
        <v>344</v>
      </c>
      <c r="G1066" s="55" t="s">
        <v>1800</v>
      </c>
      <c r="H1066" s="55" t="s">
        <v>1801</v>
      </c>
      <c r="I1066" s="55" t="s">
        <v>1802</v>
      </c>
      <c r="J1066" s="55" t="s">
        <v>133</v>
      </c>
      <c r="K1066" s="55" t="s">
        <v>683</v>
      </c>
      <c r="L1066" s="55" t="s">
        <v>1803</v>
      </c>
      <c r="M1066" s="55" t="s">
        <v>378</v>
      </c>
      <c r="N1066" s="55" t="s">
        <v>134</v>
      </c>
      <c r="O1066" s="55" t="s">
        <v>133</v>
      </c>
      <c r="P1066" s="55" t="s">
        <v>1804</v>
      </c>
      <c r="Q1066" s="55" t="s">
        <v>350</v>
      </c>
      <c r="R1066" s="55">
        <v>13</v>
      </c>
      <c r="S1066" s="74"/>
      <c r="T1066" s="55" t="s">
        <v>1259</v>
      </c>
      <c r="U1066" s="73" t="s">
        <v>351</v>
      </c>
      <c r="V1066" s="74">
        <v>44377</v>
      </c>
      <c r="W1066" s="74">
        <v>44421</v>
      </c>
      <c r="X1066" s="55">
        <v>10183233</v>
      </c>
      <c r="Y1066" s="74" t="s">
        <v>132</v>
      </c>
      <c r="Z1066" s="74"/>
      <c r="AB1066" s="55" t="s">
        <v>132</v>
      </c>
      <c r="AC1066" s="55" t="s">
        <v>132</v>
      </c>
    </row>
    <row r="1067" spans="1:29" ht="13" x14ac:dyDescent="0.15">
      <c r="A1067" s="72" t="str">
        <f t="shared" si="16"/>
        <v>Ofsted Social Care Provider Webpage</v>
      </c>
      <c r="B1067" s="55">
        <v>2585407</v>
      </c>
      <c r="D1067" s="55" t="s">
        <v>373</v>
      </c>
      <c r="E1067" s="74">
        <v>44021</v>
      </c>
      <c r="F1067" s="55" t="s">
        <v>344</v>
      </c>
      <c r="G1067" s="55" t="s">
        <v>360</v>
      </c>
      <c r="H1067" s="55" t="s">
        <v>360</v>
      </c>
      <c r="I1067" s="55" t="s">
        <v>360</v>
      </c>
      <c r="J1067" s="55" t="s">
        <v>360</v>
      </c>
      <c r="K1067" s="55" t="s">
        <v>360</v>
      </c>
      <c r="L1067" s="55" t="s">
        <v>360</v>
      </c>
      <c r="M1067" s="55" t="s">
        <v>142</v>
      </c>
      <c r="N1067" s="55" t="s">
        <v>142</v>
      </c>
      <c r="O1067" s="55" t="s">
        <v>252</v>
      </c>
      <c r="P1067" s="55" t="s">
        <v>386</v>
      </c>
      <c r="Q1067" s="55" t="s">
        <v>350</v>
      </c>
      <c r="R1067" s="55">
        <v>4</v>
      </c>
      <c r="S1067" s="74"/>
      <c r="T1067" s="55" t="s">
        <v>1805</v>
      </c>
      <c r="U1067" s="73" t="s">
        <v>351</v>
      </c>
      <c r="V1067" s="74">
        <v>44496</v>
      </c>
      <c r="W1067" s="74">
        <v>44537</v>
      </c>
      <c r="X1067" s="55">
        <v>10185093</v>
      </c>
      <c r="Y1067" s="74" t="s">
        <v>132</v>
      </c>
      <c r="Z1067" s="74"/>
      <c r="AB1067" s="55" t="s">
        <v>132</v>
      </c>
      <c r="AC1067" s="55" t="s">
        <v>132</v>
      </c>
    </row>
    <row r="1068" spans="1:29" ht="13" x14ac:dyDescent="0.15">
      <c r="A1068" s="72" t="str">
        <f t="shared" si="16"/>
        <v>Ofsted Social Care Provider Webpage</v>
      </c>
      <c r="B1068" s="55">
        <v>2585541</v>
      </c>
      <c r="D1068" s="55" t="s">
        <v>373</v>
      </c>
      <c r="E1068" s="74">
        <v>43999</v>
      </c>
      <c r="F1068" s="55" t="s">
        <v>728</v>
      </c>
      <c r="G1068" s="55" t="s">
        <v>360</v>
      </c>
      <c r="H1068" s="55" t="s">
        <v>360</v>
      </c>
      <c r="I1068" s="55" t="s">
        <v>360</v>
      </c>
      <c r="J1068" s="55" t="s">
        <v>360</v>
      </c>
      <c r="K1068" s="55" t="s">
        <v>360</v>
      </c>
      <c r="L1068" s="55" t="s">
        <v>360</v>
      </c>
      <c r="M1068" s="55" t="s">
        <v>144</v>
      </c>
      <c r="N1068" s="55" t="s">
        <v>144</v>
      </c>
      <c r="O1068" s="55" t="s">
        <v>207</v>
      </c>
      <c r="P1068" s="55" t="s">
        <v>207</v>
      </c>
      <c r="Q1068" s="55" t="s">
        <v>350</v>
      </c>
      <c r="R1068" s="55">
        <v>2</v>
      </c>
      <c r="S1068" s="74"/>
      <c r="T1068" s="55" t="s">
        <v>729</v>
      </c>
      <c r="U1068" s="73" t="s">
        <v>351</v>
      </c>
      <c r="V1068" s="74">
        <v>44446</v>
      </c>
      <c r="W1068" s="74">
        <v>44498</v>
      </c>
      <c r="X1068" s="55">
        <v>10186235</v>
      </c>
      <c r="Y1068" s="74" t="s">
        <v>146</v>
      </c>
      <c r="Z1068" s="74"/>
      <c r="AB1068" s="55" t="s">
        <v>146</v>
      </c>
      <c r="AC1068" s="55" t="s">
        <v>146</v>
      </c>
    </row>
    <row r="1069" spans="1:29" ht="13" x14ac:dyDescent="0.15">
      <c r="A1069" s="72" t="str">
        <f t="shared" si="16"/>
        <v>Ofsted Social Care Provider Webpage</v>
      </c>
      <c r="B1069" s="55">
        <v>2585564</v>
      </c>
      <c r="D1069" s="55" t="s">
        <v>443</v>
      </c>
      <c r="E1069" s="74">
        <v>44092</v>
      </c>
      <c r="F1069" s="55" t="s">
        <v>344</v>
      </c>
      <c r="G1069" s="55" t="s">
        <v>1806</v>
      </c>
      <c r="H1069" s="55" t="s">
        <v>1781</v>
      </c>
      <c r="I1069" s="55" t="s">
        <v>1807</v>
      </c>
      <c r="J1069" s="55" t="s">
        <v>1808</v>
      </c>
      <c r="K1069" s="55" t="s">
        <v>285</v>
      </c>
      <c r="L1069" s="55" t="s">
        <v>1809</v>
      </c>
      <c r="M1069" s="55" t="s">
        <v>150</v>
      </c>
      <c r="N1069" s="55" t="s">
        <v>150</v>
      </c>
      <c r="O1069" s="55" t="s">
        <v>285</v>
      </c>
      <c r="P1069" s="55" t="s">
        <v>1810</v>
      </c>
      <c r="Q1069" s="55" t="s">
        <v>350</v>
      </c>
      <c r="R1069" s="55"/>
      <c r="S1069" s="74"/>
      <c r="T1069" s="55" t="s">
        <v>1811</v>
      </c>
      <c r="U1069" s="73" t="s">
        <v>351</v>
      </c>
      <c r="V1069" s="74">
        <v>44530</v>
      </c>
      <c r="W1069" s="74">
        <v>44609</v>
      </c>
      <c r="X1069" s="55">
        <v>10183225</v>
      </c>
      <c r="Y1069" s="74" t="s">
        <v>132</v>
      </c>
      <c r="Z1069" s="74"/>
      <c r="AB1069" s="55" t="s">
        <v>132</v>
      </c>
      <c r="AC1069" s="55" t="s">
        <v>132</v>
      </c>
    </row>
    <row r="1070" spans="1:29" ht="13" x14ac:dyDescent="0.15">
      <c r="A1070" s="72" t="str">
        <f t="shared" si="16"/>
        <v>Ofsted Social Care Provider Webpage</v>
      </c>
      <c r="B1070" s="55">
        <v>2585926</v>
      </c>
      <c r="D1070" s="55" t="s">
        <v>373</v>
      </c>
      <c r="E1070" s="74">
        <v>43977</v>
      </c>
      <c r="F1070" s="55" t="s">
        <v>344</v>
      </c>
      <c r="G1070" s="55" t="s">
        <v>360</v>
      </c>
      <c r="H1070" s="55" t="s">
        <v>360</v>
      </c>
      <c r="I1070" s="55" t="s">
        <v>360</v>
      </c>
      <c r="J1070" s="55" t="s">
        <v>360</v>
      </c>
      <c r="K1070" s="55" t="s">
        <v>360</v>
      </c>
      <c r="L1070" s="55" t="s">
        <v>360</v>
      </c>
      <c r="M1070" s="55" t="s">
        <v>378</v>
      </c>
      <c r="N1070" s="55" t="s">
        <v>170</v>
      </c>
      <c r="O1070" s="55" t="s">
        <v>267</v>
      </c>
      <c r="P1070" s="55" t="s">
        <v>972</v>
      </c>
      <c r="Q1070" s="55" t="s">
        <v>350</v>
      </c>
      <c r="R1070" s="55">
        <v>7</v>
      </c>
      <c r="S1070" s="74"/>
      <c r="T1070" s="55" t="s">
        <v>435</v>
      </c>
      <c r="U1070" s="73" t="s">
        <v>351</v>
      </c>
      <c r="V1070" s="74">
        <v>44495</v>
      </c>
      <c r="W1070" s="74">
        <v>44538</v>
      </c>
      <c r="X1070" s="55">
        <v>10185745</v>
      </c>
      <c r="Y1070" s="74" t="s">
        <v>132</v>
      </c>
      <c r="Z1070" s="74"/>
      <c r="AB1070" s="55" t="s">
        <v>132</v>
      </c>
      <c r="AC1070" s="55" t="s">
        <v>132</v>
      </c>
    </row>
    <row r="1071" spans="1:29" ht="13" x14ac:dyDescent="0.15">
      <c r="A1071" s="72" t="str">
        <f t="shared" si="16"/>
        <v>Ofsted Social Care Provider Webpage</v>
      </c>
      <c r="B1071" s="55">
        <v>2586067</v>
      </c>
      <c r="D1071" s="55" t="s">
        <v>373</v>
      </c>
      <c r="E1071" s="74">
        <v>43941</v>
      </c>
      <c r="F1071" s="55" t="s">
        <v>344</v>
      </c>
      <c r="G1071" s="55" t="s">
        <v>360</v>
      </c>
      <c r="H1071" s="55" t="s">
        <v>360</v>
      </c>
      <c r="I1071" s="55" t="s">
        <v>360</v>
      </c>
      <c r="J1071" s="55" t="s">
        <v>360</v>
      </c>
      <c r="K1071" s="55" t="s">
        <v>360</v>
      </c>
      <c r="L1071" s="55" t="s">
        <v>360</v>
      </c>
      <c r="M1071" s="55" t="s">
        <v>142</v>
      </c>
      <c r="N1071" s="55" t="s">
        <v>142</v>
      </c>
      <c r="O1071" s="55" t="s">
        <v>282</v>
      </c>
      <c r="P1071" s="55" t="s">
        <v>1812</v>
      </c>
      <c r="Q1071" s="55" t="s">
        <v>350</v>
      </c>
      <c r="R1071" s="55">
        <v>5</v>
      </c>
      <c r="S1071" s="74"/>
      <c r="T1071" s="55" t="s">
        <v>1813</v>
      </c>
      <c r="U1071" s="73" t="s">
        <v>351</v>
      </c>
      <c r="V1071" s="74">
        <v>44356</v>
      </c>
      <c r="W1071" s="74">
        <v>44385</v>
      </c>
      <c r="X1071" s="55">
        <v>10185389</v>
      </c>
      <c r="Y1071" s="74" t="s">
        <v>130</v>
      </c>
      <c r="Z1071" s="74"/>
      <c r="AB1071" s="55" t="s">
        <v>132</v>
      </c>
      <c r="AC1071" s="55" t="s">
        <v>130</v>
      </c>
    </row>
    <row r="1072" spans="1:29" ht="13" x14ac:dyDescent="0.15">
      <c r="A1072" s="72" t="str">
        <f t="shared" si="16"/>
        <v>Ofsted Social Care Provider Webpage</v>
      </c>
      <c r="B1072" s="55">
        <v>2586729</v>
      </c>
      <c r="D1072" s="55" t="s">
        <v>389</v>
      </c>
      <c r="E1072" s="74">
        <v>43962</v>
      </c>
      <c r="F1072" s="55" t="s">
        <v>344</v>
      </c>
      <c r="G1072" s="55" t="s">
        <v>1814</v>
      </c>
      <c r="H1072" s="55" t="s">
        <v>1815</v>
      </c>
      <c r="I1072" s="55" t="s">
        <v>354</v>
      </c>
      <c r="J1072" s="55" t="s">
        <v>157</v>
      </c>
      <c r="L1072" s="55" t="s">
        <v>1816</v>
      </c>
      <c r="M1072" s="55" t="s">
        <v>144</v>
      </c>
      <c r="N1072" s="55" t="s">
        <v>144</v>
      </c>
      <c r="O1072" s="55" t="s">
        <v>157</v>
      </c>
      <c r="P1072" s="55" t="s">
        <v>1092</v>
      </c>
      <c r="Q1072" s="55" t="s">
        <v>350</v>
      </c>
      <c r="R1072" s="55"/>
      <c r="S1072" s="74"/>
      <c r="T1072" s="55" t="s">
        <v>1817</v>
      </c>
      <c r="U1072" s="73" t="s">
        <v>351</v>
      </c>
      <c r="V1072" s="74">
        <v>44340</v>
      </c>
      <c r="W1072" s="74">
        <v>44379</v>
      </c>
      <c r="X1072" s="55">
        <v>10183198</v>
      </c>
      <c r="Y1072" s="74" t="s">
        <v>132</v>
      </c>
      <c r="Z1072" s="74"/>
      <c r="AB1072" s="55" t="s">
        <v>132</v>
      </c>
      <c r="AC1072" s="55" t="s">
        <v>130</v>
      </c>
    </row>
    <row r="1073" spans="1:29" ht="13" x14ac:dyDescent="0.15">
      <c r="A1073" s="72" t="str">
        <f t="shared" si="16"/>
        <v>Ofsted Social Care Provider Webpage</v>
      </c>
      <c r="B1073" s="55">
        <v>2586752</v>
      </c>
      <c r="D1073" s="55" t="s">
        <v>373</v>
      </c>
      <c r="E1073" s="74">
        <v>44166</v>
      </c>
      <c r="F1073" s="55" t="s">
        <v>344</v>
      </c>
      <c r="G1073" s="55" t="s">
        <v>360</v>
      </c>
      <c r="H1073" s="55" t="s">
        <v>360</v>
      </c>
      <c r="I1073" s="55" t="s">
        <v>360</v>
      </c>
      <c r="J1073" s="55" t="s">
        <v>360</v>
      </c>
      <c r="K1073" s="55" t="s">
        <v>360</v>
      </c>
      <c r="L1073" s="55" t="s">
        <v>360</v>
      </c>
      <c r="M1073" s="55" t="s">
        <v>136</v>
      </c>
      <c r="N1073" s="55" t="s">
        <v>136</v>
      </c>
      <c r="O1073" s="55" t="s">
        <v>154</v>
      </c>
      <c r="P1073" s="55" t="s">
        <v>1818</v>
      </c>
      <c r="Q1073" s="55" t="s">
        <v>380</v>
      </c>
      <c r="R1073" s="55">
        <v>2</v>
      </c>
      <c r="S1073" s="74"/>
      <c r="T1073" s="55" t="s">
        <v>1687</v>
      </c>
      <c r="U1073" s="73" t="s">
        <v>351</v>
      </c>
      <c r="V1073" s="74">
        <v>44517</v>
      </c>
      <c r="W1073" s="74">
        <v>44553</v>
      </c>
      <c r="X1073" s="55">
        <v>10185274</v>
      </c>
      <c r="Y1073" s="74" t="s">
        <v>132</v>
      </c>
      <c r="Z1073" s="74"/>
      <c r="AB1073" s="55" t="s">
        <v>132</v>
      </c>
      <c r="AC1073" s="55" t="s">
        <v>130</v>
      </c>
    </row>
    <row r="1074" spans="1:29" ht="13" x14ac:dyDescent="0.15">
      <c r="A1074" s="72" t="str">
        <f t="shared" si="16"/>
        <v>Ofsted Social Care Provider Webpage</v>
      </c>
      <c r="B1074" s="55">
        <v>2586943</v>
      </c>
      <c r="D1074" s="55" t="s">
        <v>373</v>
      </c>
      <c r="E1074" s="74">
        <v>44004</v>
      </c>
      <c r="F1074" s="55" t="s">
        <v>344</v>
      </c>
      <c r="G1074" s="55" t="s">
        <v>360</v>
      </c>
      <c r="H1074" s="55" t="s">
        <v>360</v>
      </c>
      <c r="I1074" s="55" t="s">
        <v>360</v>
      </c>
      <c r="J1074" s="55" t="s">
        <v>360</v>
      </c>
      <c r="K1074" s="55" t="s">
        <v>360</v>
      </c>
      <c r="L1074" s="55" t="s">
        <v>360</v>
      </c>
      <c r="M1074" s="55" t="s">
        <v>142</v>
      </c>
      <c r="N1074" s="55" t="s">
        <v>142</v>
      </c>
      <c r="O1074" s="55" t="s">
        <v>262</v>
      </c>
      <c r="P1074" s="55" t="s">
        <v>692</v>
      </c>
      <c r="Q1074" s="55" t="s">
        <v>350</v>
      </c>
      <c r="R1074" s="55">
        <v>4</v>
      </c>
      <c r="S1074" s="74"/>
      <c r="T1074" s="55" t="s">
        <v>489</v>
      </c>
      <c r="U1074" s="73" t="s">
        <v>351</v>
      </c>
      <c r="V1074" s="74">
        <v>44363</v>
      </c>
      <c r="W1074" s="74">
        <v>44392</v>
      </c>
      <c r="X1074" s="55">
        <v>10186142</v>
      </c>
      <c r="Y1074" s="74" t="s">
        <v>132</v>
      </c>
      <c r="Z1074" s="74"/>
      <c r="AB1074" s="55" t="s">
        <v>132</v>
      </c>
      <c r="AC1074" s="55" t="s">
        <v>132</v>
      </c>
    </row>
    <row r="1075" spans="1:29" ht="13" x14ac:dyDescent="0.15">
      <c r="A1075" s="72" t="str">
        <f t="shared" si="16"/>
        <v>Ofsted Social Care Provider Webpage</v>
      </c>
      <c r="B1075" s="55">
        <v>2586947</v>
      </c>
      <c r="D1075" s="55" t="s">
        <v>373</v>
      </c>
      <c r="E1075" s="74">
        <v>44015</v>
      </c>
      <c r="F1075" s="55" t="s">
        <v>344</v>
      </c>
      <c r="G1075" s="55" t="s">
        <v>360</v>
      </c>
      <c r="H1075" s="55" t="s">
        <v>360</v>
      </c>
      <c r="I1075" s="55" t="s">
        <v>360</v>
      </c>
      <c r="J1075" s="55" t="s">
        <v>360</v>
      </c>
      <c r="K1075" s="55" t="s">
        <v>360</v>
      </c>
      <c r="L1075" s="55" t="s">
        <v>360</v>
      </c>
      <c r="M1075" s="55" t="s">
        <v>142</v>
      </c>
      <c r="N1075" s="55" t="s">
        <v>142</v>
      </c>
      <c r="O1075" s="55" t="s">
        <v>141</v>
      </c>
      <c r="P1075" s="55" t="s">
        <v>795</v>
      </c>
      <c r="Q1075" s="55" t="s">
        <v>350</v>
      </c>
      <c r="R1075" s="55">
        <v>3</v>
      </c>
      <c r="S1075" s="74"/>
      <c r="T1075" s="55" t="s">
        <v>1364</v>
      </c>
      <c r="U1075" s="73" t="s">
        <v>351</v>
      </c>
      <c r="V1075" s="74">
        <v>44431</v>
      </c>
      <c r="W1075" s="74">
        <v>44466</v>
      </c>
      <c r="X1075" s="55">
        <v>10187104</v>
      </c>
      <c r="Y1075" s="74" t="s">
        <v>132</v>
      </c>
      <c r="Z1075" s="74"/>
      <c r="AB1075" s="55" t="s">
        <v>132</v>
      </c>
      <c r="AC1075" s="55" t="s">
        <v>132</v>
      </c>
    </row>
    <row r="1076" spans="1:29" ht="13" x14ac:dyDescent="0.15">
      <c r="A1076" s="72" t="str">
        <f t="shared" si="16"/>
        <v>Ofsted Social Care Provider Webpage</v>
      </c>
      <c r="B1076" s="55">
        <v>2586949</v>
      </c>
      <c r="D1076" s="55" t="s">
        <v>373</v>
      </c>
      <c r="E1076" s="74">
        <v>43951</v>
      </c>
      <c r="F1076" s="55" t="s">
        <v>344</v>
      </c>
      <c r="G1076" s="55" t="s">
        <v>360</v>
      </c>
      <c r="H1076" s="55" t="s">
        <v>360</v>
      </c>
      <c r="I1076" s="55" t="s">
        <v>360</v>
      </c>
      <c r="J1076" s="55" t="s">
        <v>360</v>
      </c>
      <c r="K1076" s="55" t="s">
        <v>360</v>
      </c>
      <c r="L1076" s="55" t="s">
        <v>360</v>
      </c>
      <c r="M1076" s="55" t="s">
        <v>144</v>
      </c>
      <c r="N1076" s="55" t="s">
        <v>144</v>
      </c>
      <c r="O1076" s="55" t="s">
        <v>209</v>
      </c>
      <c r="P1076" s="55" t="s">
        <v>650</v>
      </c>
      <c r="Q1076" s="55" t="s">
        <v>350</v>
      </c>
      <c r="R1076" s="55">
        <v>3</v>
      </c>
      <c r="S1076" s="74"/>
      <c r="T1076" s="55" t="s">
        <v>489</v>
      </c>
      <c r="U1076" s="73" t="s">
        <v>351</v>
      </c>
      <c r="V1076" s="74">
        <v>44615</v>
      </c>
      <c r="W1076" s="74">
        <v>44658</v>
      </c>
      <c r="X1076" s="55">
        <v>10186672</v>
      </c>
      <c r="Y1076" s="74" t="s">
        <v>132</v>
      </c>
      <c r="Z1076" s="74"/>
      <c r="AB1076" s="55" t="s">
        <v>132</v>
      </c>
      <c r="AC1076" s="55" t="s">
        <v>132</v>
      </c>
    </row>
    <row r="1077" spans="1:29" ht="13" x14ac:dyDescent="0.15">
      <c r="A1077" s="72" t="str">
        <f t="shared" si="16"/>
        <v>Ofsted Social Care Provider Webpage</v>
      </c>
      <c r="B1077" s="55">
        <v>2586951</v>
      </c>
      <c r="D1077" s="55" t="s">
        <v>373</v>
      </c>
      <c r="E1077" s="74">
        <v>43952</v>
      </c>
      <c r="F1077" s="55" t="s">
        <v>344</v>
      </c>
      <c r="G1077" s="55" t="s">
        <v>360</v>
      </c>
      <c r="H1077" s="55" t="s">
        <v>360</v>
      </c>
      <c r="I1077" s="55" t="s">
        <v>360</v>
      </c>
      <c r="J1077" s="55" t="s">
        <v>360</v>
      </c>
      <c r="K1077" s="55" t="s">
        <v>360</v>
      </c>
      <c r="L1077" s="55" t="s">
        <v>360</v>
      </c>
      <c r="M1077" s="55" t="s">
        <v>144</v>
      </c>
      <c r="N1077" s="55" t="s">
        <v>144</v>
      </c>
      <c r="O1077" s="55" t="s">
        <v>248</v>
      </c>
      <c r="P1077" s="55" t="s">
        <v>439</v>
      </c>
      <c r="Q1077" s="55" t="s">
        <v>350</v>
      </c>
      <c r="R1077" s="55">
        <v>3</v>
      </c>
      <c r="S1077" s="74"/>
      <c r="T1077" s="55" t="s">
        <v>489</v>
      </c>
      <c r="U1077" s="73" t="s">
        <v>351</v>
      </c>
      <c r="V1077" s="74">
        <v>44341</v>
      </c>
      <c r="W1077" s="74">
        <v>44376</v>
      </c>
      <c r="X1077" s="55">
        <v>10186847</v>
      </c>
      <c r="Y1077" s="74" t="s">
        <v>132</v>
      </c>
      <c r="Z1077" s="74"/>
      <c r="AB1077" s="55" t="s">
        <v>132</v>
      </c>
      <c r="AC1077" s="55" t="s">
        <v>132</v>
      </c>
    </row>
    <row r="1078" spans="1:29" ht="13" x14ac:dyDescent="0.15">
      <c r="A1078" s="72" t="str">
        <f t="shared" si="16"/>
        <v>Ofsted Social Care Provider Webpage</v>
      </c>
      <c r="B1078" s="55">
        <v>2586969</v>
      </c>
      <c r="D1078" s="55" t="s">
        <v>373</v>
      </c>
      <c r="E1078" s="74">
        <v>43944</v>
      </c>
      <c r="F1078" s="55" t="s">
        <v>344</v>
      </c>
      <c r="G1078" s="55" t="s">
        <v>360</v>
      </c>
      <c r="H1078" s="55" t="s">
        <v>360</v>
      </c>
      <c r="I1078" s="55" t="s">
        <v>360</v>
      </c>
      <c r="J1078" s="55" t="s">
        <v>360</v>
      </c>
      <c r="K1078" s="55" t="s">
        <v>360</v>
      </c>
      <c r="L1078" s="55" t="s">
        <v>360</v>
      </c>
      <c r="M1078" s="55" t="s">
        <v>172</v>
      </c>
      <c r="N1078" s="55" t="s">
        <v>172</v>
      </c>
      <c r="O1078" s="55" t="s">
        <v>235</v>
      </c>
      <c r="P1078" s="55" t="s">
        <v>1036</v>
      </c>
      <c r="Q1078" s="55" t="s">
        <v>350</v>
      </c>
      <c r="R1078" s="55">
        <v>1</v>
      </c>
      <c r="S1078" s="74"/>
      <c r="T1078" s="55" t="s">
        <v>1819</v>
      </c>
      <c r="U1078" s="73" t="s">
        <v>351</v>
      </c>
      <c r="V1078" s="74">
        <v>44321</v>
      </c>
      <c r="W1078" s="74">
        <v>44351</v>
      </c>
      <c r="X1078" s="55">
        <v>10186281</v>
      </c>
      <c r="Y1078" s="74" t="s">
        <v>132</v>
      </c>
      <c r="Z1078" s="74"/>
      <c r="AB1078" s="55" t="s">
        <v>132</v>
      </c>
      <c r="AC1078" s="55" t="s">
        <v>132</v>
      </c>
    </row>
    <row r="1079" spans="1:29" ht="13" x14ac:dyDescent="0.15">
      <c r="A1079" s="72" t="str">
        <f t="shared" si="16"/>
        <v>Ofsted Social Care Provider Webpage</v>
      </c>
      <c r="B1079" s="55">
        <v>2587047</v>
      </c>
      <c r="D1079" s="55" t="s">
        <v>373</v>
      </c>
      <c r="E1079" s="74">
        <v>43977</v>
      </c>
      <c r="F1079" s="55" t="s">
        <v>344</v>
      </c>
      <c r="G1079" s="55" t="s">
        <v>360</v>
      </c>
      <c r="H1079" s="55" t="s">
        <v>360</v>
      </c>
      <c r="I1079" s="55" t="s">
        <v>360</v>
      </c>
      <c r="J1079" s="55" t="s">
        <v>360</v>
      </c>
      <c r="K1079" s="55" t="s">
        <v>360</v>
      </c>
      <c r="L1079" s="55" t="s">
        <v>360</v>
      </c>
      <c r="M1079" s="55" t="s">
        <v>144</v>
      </c>
      <c r="N1079" s="55" t="s">
        <v>144</v>
      </c>
      <c r="O1079" s="55" t="s">
        <v>162</v>
      </c>
      <c r="P1079" s="55" t="s">
        <v>516</v>
      </c>
      <c r="Q1079" s="55" t="s">
        <v>350</v>
      </c>
      <c r="R1079" s="55">
        <v>7</v>
      </c>
      <c r="S1079" s="74"/>
      <c r="T1079" s="55" t="s">
        <v>574</v>
      </c>
      <c r="U1079" s="73" t="s">
        <v>351</v>
      </c>
      <c r="V1079" s="74">
        <v>44621</v>
      </c>
      <c r="W1079" s="74">
        <v>44665</v>
      </c>
      <c r="X1079" s="55">
        <v>10186320</v>
      </c>
      <c r="Y1079" s="74" t="s">
        <v>140</v>
      </c>
      <c r="Z1079" s="74"/>
      <c r="AB1079" s="55" t="s">
        <v>140</v>
      </c>
      <c r="AC1079" s="55" t="s">
        <v>140</v>
      </c>
    </row>
    <row r="1080" spans="1:29" ht="13" x14ac:dyDescent="0.15">
      <c r="A1080" s="72" t="str">
        <f t="shared" si="16"/>
        <v>Ofsted Social Care Provider Webpage</v>
      </c>
      <c r="B1080" s="55">
        <v>2587129</v>
      </c>
      <c r="D1080" s="55" t="s">
        <v>389</v>
      </c>
      <c r="E1080" s="74">
        <v>44005</v>
      </c>
      <c r="F1080" s="55" t="s">
        <v>344</v>
      </c>
      <c r="G1080" s="55" t="s">
        <v>1820</v>
      </c>
      <c r="H1080" s="55" t="s">
        <v>1820</v>
      </c>
      <c r="I1080" s="55" t="s">
        <v>1821</v>
      </c>
      <c r="J1080" s="55" t="s">
        <v>1189</v>
      </c>
      <c r="K1080" s="55" t="s">
        <v>1746</v>
      </c>
      <c r="L1080" s="55" t="s">
        <v>1822</v>
      </c>
      <c r="M1080" s="55" t="s">
        <v>129</v>
      </c>
      <c r="N1080" s="55" t="s">
        <v>129</v>
      </c>
      <c r="O1080" s="55" t="s">
        <v>192</v>
      </c>
      <c r="P1080" s="55" t="s">
        <v>1191</v>
      </c>
      <c r="Q1080" s="55" t="s">
        <v>350</v>
      </c>
      <c r="R1080" s="55"/>
      <c r="S1080" s="74"/>
      <c r="T1080" s="55" t="s">
        <v>1823</v>
      </c>
      <c r="U1080" s="73" t="s">
        <v>351</v>
      </c>
      <c r="V1080" s="74">
        <v>44459</v>
      </c>
      <c r="W1080" s="74">
        <v>44504</v>
      </c>
      <c r="X1080" s="55">
        <v>10183191</v>
      </c>
      <c r="Y1080" s="74" t="s">
        <v>146</v>
      </c>
      <c r="Z1080" s="74"/>
      <c r="AB1080" s="55" t="s">
        <v>146</v>
      </c>
      <c r="AC1080" s="55" t="s">
        <v>146</v>
      </c>
    </row>
    <row r="1081" spans="1:29" ht="13" x14ac:dyDescent="0.15">
      <c r="A1081" s="72" t="str">
        <f t="shared" si="16"/>
        <v>Ofsted Social Care Provider Webpage</v>
      </c>
      <c r="B1081" s="55">
        <v>2587132</v>
      </c>
      <c r="D1081" s="55" t="s">
        <v>373</v>
      </c>
      <c r="E1081" s="74">
        <v>44018</v>
      </c>
      <c r="F1081" s="55" t="s">
        <v>344</v>
      </c>
      <c r="G1081" s="55" t="s">
        <v>360</v>
      </c>
      <c r="H1081" s="55" t="s">
        <v>360</v>
      </c>
      <c r="I1081" s="55" t="s">
        <v>360</v>
      </c>
      <c r="J1081" s="55" t="s">
        <v>360</v>
      </c>
      <c r="K1081" s="55" t="s">
        <v>360</v>
      </c>
      <c r="L1081" s="55" t="s">
        <v>360</v>
      </c>
      <c r="M1081" s="55" t="s">
        <v>378</v>
      </c>
      <c r="N1081" s="55" t="s">
        <v>170</v>
      </c>
      <c r="O1081" s="55" t="s">
        <v>222</v>
      </c>
      <c r="P1081" s="55" t="s">
        <v>521</v>
      </c>
      <c r="Q1081" s="55" t="s">
        <v>350</v>
      </c>
      <c r="R1081" s="55">
        <v>2</v>
      </c>
      <c r="S1081" s="74"/>
      <c r="T1081" s="55" t="s">
        <v>1824</v>
      </c>
      <c r="U1081" s="73" t="s">
        <v>351</v>
      </c>
      <c r="V1081" s="74">
        <v>44404</v>
      </c>
      <c r="W1081" s="74">
        <v>44442</v>
      </c>
      <c r="X1081" s="55">
        <v>10186965</v>
      </c>
      <c r="Y1081" s="74" t="s">
        <v>132</v>
      </c>
      <c r="Z1081" s="74"/>
      <c r="AB1081" s="55" t="s">
        <v>132</v>
      </c>
      <c r="AC1081" s="55" t="s">
        <v>130</v>
      </c>
    </row>
    <row r="1082" spans="1:29" ht="13" x14ac:dyDescent="0.15">
      <c r="A1082" s="72" t="str">
        <f t="shared" si="16"/>
        <v>Ofsted Social Care Provider Webpage</v>
      </c>
      <c r="B1082" s="55">
        <v>2587198</v>
      </c>
      <c r="D1082" s="55" t="s">
        <v>389</v>
      </c>
      <c r="E1082" s="74">
        <v>43977</v>
      </c>
      <c r="F1082" s="55" t="s">
        <v>344</v>
      </c>
      <c r="G1082" s="55" t="s">
        <v>1825</v>
      </c>
      <c r="H1082" s="55" t="s">
        <v>1826</v>
      </c>
      <c r="I1082" s="55" t="s">
        <v>1827</v>
      </c>
      <c r="J1082" s="55" t="s">
        <v>267</v>
      </c>
      <c r="K1082" s="55" t="s">
        <v>178</v>
      </c>
      <c r="L1082" s="55" t="s">
        <v>1828</v>
      </c>
      <c r="M1082" s="55" t="s">
        <v>378</v>
      </c>
      <c r="N1082" s="55" t="s">
        <v>170</v>
      </c>
      <c r="O1082" s="55" t="s">
        <v>267</v>
      </c>
      <c r="P1082" s="55" t="s">
        <v>477</v>
      </c>
      <c r="Q1082" s="55" t="s">
        <v>350</v>
      </c>
      <c r="R1082" s="55"/>
      <c r="S1082" s="74"/>
      <c r="T1082" s="55" t="s">
        <v>1829</v>
      </c>
      <c r="U1082" s="73" t="s">
        <v>351</v>
      </c>
      <c r="V1082" s="74">
        <v>44382</v>
      </c>
      <c r="W1082" s="74">
        <v>44426</v>
      </c>
      <c r="X1082" s="55">
        <v>10183196</v>
      </c>
      <c r="Y1082" s="74" t="s">
        <v>140</v>
      </c>
      <c r="Z1082" s="74"/>
      <c r="AB1082" s="55" t="s">
        <v>140</v>
      </c>
      <c r="AC1082" s="55" t="s">
        <v>140</v>
      </c>
    </row>
    <row r="1083" spans="1:29" ht="13" x14ac:dyDescent="0.15">
      <c r="A1083" s="72" t="str">
        <f t="shared" si="16"/>
        <v>Ofsted Social Care Provider Webpage</v>
      </c>
      <c r="B1083" s="55">
        <v>2587233</v>
      </c>
      <c r="D1083" s="55" t="s">
        <v>373</v>
      </c>
      <c r="E1083" s="74">
        <v>44022</v>
      </c>
      <c r="F1083" s="55" t="s">
        <v>344</v>
      </c>
      <c r="G1083" s="55" t="s">
        <v>360</v>
      </c>
      <c r="H1083" s="55" t="s">
        <v>360</v>
      </c>
      <c r="I1083" s="55" t="s">
        <v>360</v>
      </c>
      <c r="J1083" s="55" t="s">
        <v>360</v>
      </c>
      <c r="K1083" s="55" t="s">
        <v>360</v>
      </c>
      <c r="L1083" s="55" t="s">
        <v>360</v>
      </c>
      <c r="M1083" s="55" t="s">
        <v>378</v>
      </c>
      <c r="N1083" s="55" t="s">
        <v>134</v>
      </c>
      <c r="O1083" s="55" t="s">
        <v>246</v>
      </c>
      <c r="P1083" s="55" t="s">
        <v>1104</v>
      </c>
      <c r="Q1083" s="55" t="s">
        <v>350</v>
      </c>
      <c r="R1083" s="55">
        <v>1</v>
      </c>
      <c r="S1083" s="74"/>
      <c r="T1083" s="55" t="s">
        <v>1830</v>
      </c>
      <c r="U1083" s="73" t="s">
        <v>351</v>
      </c>
      <c r="V1083" s="74">
        <v>44510</v>
      </c>
      <c r="W1083" s="74">
        <v>44567</v>
      </c>
      <c r="X1083" s="55">
        <v>10186722</v>
      </c>
      <c r="Y1083" s="74" t="s">
        <v>132</v>
      </c>
      <c r="Z1083" s="74"/>
      <c r="AB1083" s="55" t="s">
        <v>132</v>
      </c>
      <c r="AC1083" s="55" t="s">
        <v>130</v>
      </c>
    </row>
    <row r="1084" spans="1:29" ht="13" x14ac:dyDescent="0.15">
      <c r="A1084" s="72" t="str">
        <f t="shared" si="16"/>
        <v>Ofsted Social Care Provider Webpage</v>
      </c>
      <c r="B1084" s="55">
        <v>2587315</v>
      </c>
      <c r="D1084" s="55" t="s">
        <v>373</v>
      </c>
      <c r="E1084" s="74">
        <v>44136</v>
      </c>
      <c r="F1084" s="55" t="s">
        <v>344</v>
      </c>
      <c r="G1084" s="55" t="s">
        <v>360</v>
      </c>
      <c r="H1084" s="55" t="s">
        <v>360</v>
      </c>
      <c r="I1084" s="55" t="s">
        <v>360</v>
      </c>
      <c r="J1084" s="55" t="s">
        <v>360</v>
      </c>
      <c r="K1084" s="55" t="s">
        <v>360</v>
      </c>
      <c r="L1084" s="55" t="s">
        <v>360</v>
      </c>
      <c r="M1084" s="55" t="s">
        <v>142</v>
      </c>
      <c r="N1084" s="55" t="s">
        <v>142</v>
      </c>
      <c r="O1084" s="55" t="s">
        <v>293</v>
      </c>
      <c r="P1084" s="55" t="s">
        <v>984</v>
      </c>
      <c r="Q1084" s="55" t="s">
        <v>851</v>
      </c>
      <c r="R1084" s="55">
        <v>4</v>
      </c>
      <c r="S1084" s="74" t="s">
        <v>332</v>
      </c>
      <c r="T1084" s="55" t="s">
        <v>1477</v>
      </c>
      <c r="U1084" s="73" t="s">
        <v>351</v>
      </c>
      <c r="V1084" s="74">
        <v>44509</v>
      </c>
      <c r="W1084" s="74">
        <v>44559</v>
      </c>
      <c r="X1084" s="55">
        <v>10186968</v>
      </c>
      <c r="Y1084" s="74" t="s">
        <v>132</v>
      </c>
      <c r="Z1084" s="74"/>
      <c r="AB1084" s="55" t="s">
        <v>130</v>
      </c>
      <c r="AC1084" s="55" t="s">
        <v>132</v>
      </c>
    </row>
    <row r="1085" spans="1:29" ht="13" x14ac:dyDescent="0.15">
      <c r="A1085" s="72" t="str">
        <f t="shared" si="16"/>
        <v>Ofsted Social Care Provider Webpage</v>
      </c>
      <c r="B1085" s="55">
        <v>2587763</v>
      </c>
      <c r="D1085" s="55" t="s">
        <v>373</v>
      </c>
      <c r="E1085" s="74">
        <v>44013</v>
      </c>
      <c r="F1085" s="55" t="s">
        <v>344</v>
      </c>
      <c r="G1085" s="55" t="s">
        <v>360</v>
      </c>
      <c r="H1085" s="55" t="s">
        <v>360</v>
      </c>
      <c r="I1085" s="55" t="s">
        <v>360</v>
      </c>
      <c r="J1085" s="55" t="s">
        <v>360</v>
      </c>
      <c r="K1085" s="55" t="s">
        <v>360</v>
      </c>
      <c r="L1085" s="55" t="s">
        <v>360</v>
      </c>
      <c r="M1085" s="55" t="s">
        <v>144</v>
      </c>
      <c r="N1085" s="55" t="s">
        <v>144</v>
      </c>
      <c r="O1085" s="55" t="s">
        <v>163</v>
      </c>
      <c r="P1085" s="55" t="s">
        <v>376</v>
      </c>
      <c r="Q1085" s="55" t="s">
        <v>350</v>
      </c>
      <c r="R1085" s="55">
        <v>4</v>
      </c>
      <c r="S1085" s="74"/>
      <c r="T1085" s="55" t="s">
        <v>1831</v>
      </c>
      <c r="U1085" s="73" t="s">
        <v>351</v>
      </c>
      <c r="V1085" s="74">
        <v>44588</v>
      </c>
      <c r="W1085" s="74">
        <v>44617</v>
      </c>
      <c r="X1085" s="55">
        <v>10186839</v>
      </c>
      <c r="Y1085" s="74" t="s">
        <v>132</v>
      </c>
      <c r="Z1085" s="74"/>
      <c r="AB1085" s="55" t="s">
        <v>132</v>
      </c>
      <c r="AC1085" s="55" t="s">
        <v>132</v>
      </c>
    </row>
    <row r="1086" spans="1:29" ht="13" x14ac:dyDescent="0.15">
      <c r="A1086" s="72" t="str">
        <f t="shared" si="16"/>
        <v>Ofsted Social Care Provider Webpage</v>
      </c>
      <c r="B1086" s="55">
        <v>2588370</v>
      </c>
      <c r="D1086" s="55" t="s">
        <v>373</v>
      </c>
      <c r="E1086" s="74">
        <v>43935</v>
      </c>
      <c r="F1086" s="55" t="s">
        <v>344</v>
      </c>
      <c r="G1086" s="55" t="s">
        <v>360</v>
      </c>
      <c r="H1086" s="55" t="s">
        <v>360</v>
      </c>
      <c r="I1086" s="55" t="s">
        <v>360</v>
      </c>
      <c r="J1086" s="55" t="s">
        <v>360</v>
      </c>
      <c r="K1086" s="55" t="s">
        <v>360</v>
      </c>
      <c r="L1086" s="55" t="s">
        <v>360</v>
      </c>
      <c r="M1086" s="55" t="s">
        <v>172</v>
      </c>
      <c r="N1086" s="55" t="s">
        <v>172</v>
      </c>
      <c r="O1086" s="55" t="s">
        <v>173</v>
      </c>
      <c r="P1086" s="55" t="s">
        <v>1258</v>
      </c>
      <c r="Q1086" s="55" t="s">
        <v>350</v>
      </c>
      <c r="R1086" s="55">
        <v>3</v>
      </c>
      <c r="S1086" s="74"/>
      <c r="T1086" s="55" t="s">
        <v>861</v>
      </c>
      <c r="U1086" s="73" t="s">
        <v>351</v>
      </c>
      <c r="V1086" s="74">
        <v>44481</v>
      </c>
      <c r="W1086" s="74">
        <v>44522</v>
      </c>
      <c r="X1086" s="55">
        <v>10186973</v>
      </c>
      <c r="Y1086" s="74" t="s">
        <v>132</v>
      </c>
      <c r="Z1086" s="74"/>
      <c r="AB1086" s="55" t="s">
        <v>130</v>
      </c>
      <c r="AC1086" s="55" t="s">
        <v>132</v>
      </c>
    </row>
    <row r="1087" spans="1:29" ht="13" x14ac:dyDescent="0.15">
      <c r="A1087" s="72" t="str">
        <f t="shared" si="16"/>
        <v>Ofsted Social Care Provider Webpage</v>
      </c>
      <c r="B1087" s="55">
        <v>2588486</v>
      </c>
      <c r="D1087" s="55" t="s">
        <v>373</v>
      </c>
      <c r="E1087" s="74">
        <v>43956</v>
      </c>
      <c r="F1087" s="55" t="s">
        <v>344</v>
      </c>
      <c r="G1087" s="55" t="s">
        <v>360</v>
      </c>
      <c r="H1087" s="55" t="s">
        <v>360</v>
      </c>
      <c r="I1087" s="55" t="s">
        <v>360</v>
      </c>
      <c r="J1087" s="55" t="s">
        <v>360</v>
      </c>
      <c r="K1087" s="55" t="s">
        <v>360</v>
      </c>
      <c r="L1087" s="55" t="s">
        <v>360</v>
      </c>
      <c r="M1087" s="55" t="s">
        <v>136</v>
      </c>
      <c r="N1087" s="55" t="s">
        <v>136</v>
      </c>
      <c r="O1087" s="55" t="s">
        <v>705</v>
      </c>
      <c r="P1087" s="55" t="s">
        <v>1832</v>
      </c>
      <c r="Q1087" s="55" t="s">
        <v>350</v>
      </c>
      <c r="R1087" s="55">
        <v>3</v>
      </c>
      <c r="S1087" s="74"/>
      <c r="T1087" s="55" t="s">
        <v>892</v>
      </c>
      <c r="U1087" s="73" t="s">
        <v>351</v>
      </c>
      <c r="V1087" s="74">
        <v>44593</v>
      </c>
      <c r="W1087" s="74">
        <v>44629</v>
      </c>
      <c r="X1087" s="55">
        <v>10187314</v>
      </c>
      <c r="Y1087" s="74" t="s">
        <v>132</v>
      </c>
      <c r="Z1087" s="74"/>
      <c r="AB1087" s="55" t="s">
        <v>132</v>
      </c>
      <c r="AC1087" s="55" t="s">
        <v>130</v>
      </c>
    </row>
    <row r="1088" spans="1:29" ht="13" x14ac:dyDescent="0.15">
      <c r="A1088" s="72" t="str">
        <f t="shared" si="16"/>
        <v>Ofsted Social Care Provider Webpage</v>
      </c>
      <c r="B1088" s="55">
        <v>2588593</v>
      </c>
      <c r="D1088" s="55" t="s">
        <v>373</v>
      </c>
      <c r="E1088" s="74">
        <v>43955</v>
      </c>
      <c r="F1088" s="55" t="s">
        <v>344</v>
      </c>
      <c r="G1088" s="55" t="s">
        <v>360</v>
      </c>
      <c r="H1088" s="55" t="s">
        <v>360</v>
      </c>
      <c r="I1088" s="55" t="s">
        <v>360</v>
      </c>
      <c r="J1088" s="55" t="s">
        <v>360</v>
      </c>
      <c r="K1088" s="55" t="s">
        <v>360</v>
      </c>
      <c r="L1088" s="55" t="s">
        <v>360</v>
      </c>
      <c r="M1088" s="55" t="s">
        <v>129</v>
      </c>
      <c r="N1088" s="55" t="s">
        <v>129</v>
      </c>
      <c r="O1088" s="55" t="s">
        <v>194</v>
      </c>
      <c r="P1088" s="55" t="s">
        <v>1833</v>
      </c>
      <c r="Q1088" s="55" t="s">
        <v>350</v>
      </c>
      <c r="R1088" s="55">
        <v>4</v>
      </c>
      <c r="S1088" s="74"/>
      <c r="T1088" s="55" t="s">
        <v>1834</v>
      </c>
      <c r="U1088" s="73" t="s">
        <v>351</v>
      </c>
      <c r="V1088" s="74">
        <v>44375</v>
      </c>
      <c r="W1088" s="74">
        <v>44412</v>
      </c>
      <c r="X1088" s="55">
        <v>10186902</v>
      </c>
      <c r="Y1088" s="74" t="s">
        <v>132</v>
      </c>
      <c r="Z1088" s="74"/>
      <c r="AB1088" s="55" t="s">
        <v>132</v>
      </c>
      <c r="AC1088" s="55" t="s">
        <v>132</v>
      </c>
    </row>
    <row r="1089" spans="1:29" ht="13" x14ac:dyDescent="0.15">
      <c r="A1089" s="72" t="str">
        <f t="shared" si="16"/>
        <v>Ofsted Social Care Provider Webpage</v>
      </c>
      <c r="B1089" s="55">
        <v>2588599</v>
      </c>
      <c r="D1089" s="55" t="s">
        <v>373</v>
      </c>
      <c r="E1089" s="74">
        <v>43945</v>
      </c>
      <c r="F1089" s="55" t="s">
        <v>344</v>
      </c>
      <c r="G1089" s="55" t="s">
        <v>360</v>
      </c>
      <c r="H1089" s="55" t="s">
        <v>360</v>
      </c>
      <c r="I1089" s="55" t="s">
        <v>360</v>
      </c>
      <c r="J1089" s="55" t="s">
        <v>360</v>
      </c>
      <c r="K1089" s="55" t="s">
        <v>360</v>
      </c>
      <c r="L1089" s="55" t="s">
        <v>360</v>
      </c>
      <c r="M1089" s="55" t="s">
        <v>172</v>
      </c>
      <c r="N1089" s="55" t="s">
        <v>172</v>
      </c>
      <c r="O1089" s="55" t="s">
        <v>234</v>
      </c>
      <c r="P1089" s="55" t="s">
        <v>965</v>
      </c>
      <c r="Q1089" s="55" t="s">
        <v>362</v>
      </c>
      <c r="R1089" s="55">
        <v>4</v>
      </c>
      <c r="S1089" s="74"/>
      <c r="T1089" s="55" t="s">
        <v>458</v>
      </c>
      <c r="U1089" s="73" t="s">
        <v>351</v>
      </c>
      <c r="V1089" s="74">
        <v>44467</v>
      </c>
      <c r="W1089" s="74">
        <v>44501</v>
      </c>
      <c r="X1089" s="55">
        <v>10185681</v>
      </c>
      <c r="Y1089" s="74" t="s">
        <v>132</v>
      </c>
      <c r="Z1089" s="74"/>
      <c r="AB1089" s="55" t="s">
        <v>132</v>
      </c>
      <c r="AC1089" s="55" t="s">
        <v>132</v>
      </c>
    </row>
    <row r="1090" spans="1:29" ht="13" x14ac:dyDescent="0.15">
      <c r="A1090" s="72" t="str">
        <f t="shared" si="16"/>
        <v>Ofsted Social Care Provider Webpage</v>
      </c>
      <c r="B1090" s="55">
        <v>2588753</v>
      </c>
      <c r="D1090" s="55" t="s">
        <v>373</v>
      </c>
      <c r="E1090" s="74">
        <v>44536</v>
      </c>
      <c r="F1090" s="55" t="s">
        <v>344</v>
      </c>
      <c r="G1090" s="55" t="s">
        <v>360</v>
      </c>
      <c r="H1090" s="55" t="s">
        <v>360</v>
      </c>
      <c r="I1090" s="55" t="s">
        <v>360</v>
      </c>
      <c r="J1090" s="55" t="s">
        <v>360</v>
      </c>
      <c r="K1090" s="55" t="s">
        <v>360</v>
      </c>
      <c r="L1090" s="55" t="s">
        <v>360</v>
      </c>
      <c r="M1090" s="55" t="s">
        <v>150</v>
      </c>
      <c r="N1090" s="55" t="s">
        <v>150</v>
      </c>
      <c r="O1090" s="55" t="s">
        <v>203</v>
      </c>
      <c r="P1090" s="55" t="s">
        <v>1835</v>
      </c>
      <c r="Q1090" s="55" t="s">
        <v>350</v>
      </c>
      <c r="R1090" s="55">
        <v>6</v>
      </c>
      <c r="S1090" s="74"/>
      <c r="T1090" s="55" t="s">
        <v>483</v>
      </c>
      <c r="U1090" s="73" t="s">
        <v>351</v>
      </c>
      <c r="V1090" s="74">
        <v>44356</v>
      </c>
      <c r="W1090" s="74">
        <v>44421</v>
      </c>
      <c r="X1090" s="55">
        <v>10187139</v>
      </c>
      <c r="Y1090" s="74" t="s">
        <v>146</v>
      </c>
      <c r="Z1090" s="74"/>
      <c r="AB1090" s="55" t="s">
        <v>146</v>
      </c>
      <c r="AC1090" s="55" t="s">
        <v>146</v>
      </c>
    </row>
    <row r="1091" spans="1:29" ht="13" x14ac:dyDescent="0.15">
      <c r="A1091" s="72" t="str">
        <f t="shared" si="16"/>
        <v>Ofsted Social Care Provider Webpage</v>
      </c>
      <c r="B1091" s="55">
        <v>2589370</v>
      </c>
      <c r="D1091" s="55" t="s">
        <v>389</v>
      </c>
      <c r="E1091" s="74">
        <v>44186</v>
      </c>
      <c r="F1091" s="55" t="s">
        <v>344</v>
      </c>
      <c r="G1091" s="55" t="s">
        <v>1836</v>
      </c>
      <c r="H1091" s="55" t="s">
        <v>1837</v>
      </c>
      <c r="I1091" s="55" t="s">
        <v>1838</v>
      </c>
      <c r="J1091" s="55" t="s">
        <v>1839</v>
      </c>
      <c r="K1091" s="55" t="s">
        <v>224</v>
      </c>
      <c r="L1091" s="55" t="s">
        <v>1840</v>
      </c>
      <c r="M1091" s="55" t="s">
        <v>138</v>
      </c>
      <c r="N1091" s="55" t="s">
        <v>138</v>
      </c>
      <c r="O1091" s="55" t="s">
        <v>224</v>
      </c>
      <c r="P1091" s="55" t="s">
        <v>374</v>
      </c>
      <c r="Q1091" s="55" t="s">
        <v>350</v>
      </c>
      <c r="R1091" s="55"/>
      <c r="S1091" s="74"/>
      <c r="T1091" s="55" t="s">
        <v>1841</v>
      </c>
      <c r="U1091" s="73"/>
      <c r="W1091" s="74"/>
      <c r="Y1091" s="74"/>
      <c r="Z1091" s="74"/>
    </row>
    <row r="1092" spans="1:29" ht="13" x14ac:dyDescent="0.15">
      <c r="A1092" s="72" t="str">
        <f t="shared" si="16"/>
        <v>Ofsted Social Care Provider Webpage</v>
      </c>
      <c r="B1092" s="55">
        <v>2589392</v>
      </c>
      <c r="D1092" s="55" t="s">
        <v>373</v>
      </c>
      <c r="E1092" s="74">
        <v>43952</v>
      </c>
      <c r="F1092" s="55" t="s">
        <v>344</v>
      </c>
      <c r="G1092" s="55" t="s">
        <v>360</v>
      </c>
      <c r="H1092" s="55" t="s">
        <v>360</v>
      </c>
      <c r="I1092" s="55" t="s">
        <v>360</v>
      </c>
      <c r="J1092" s="55" t="s">
        <v>360</v>
      </c>
      <c r="K1092" s="55" t="s">
        <v>360</v>
      </c>
      <c r="L1092" s="55" t="s">
        <v>360</v>
      </c>
      <c r="M1092" s="55" t="s">
        <v>144</v>
      </c>
      <c r="N1092" s="55" t="s">
        <v>144</v>
      </c>
      <c r="O1092" s="55" t="s">
        <v>209</v>
      </c>
      <c r="P1092" s="55" t="s">
        <v>650</v>
      </c>
      <c r="Q1092" s="55" t="s">
        <v>350</v>
      </c>
      <c r="R1092" s="55">
        <v>3</v>
      </c>
      <c r="S1092" s="74"/>
      <c r="T1092" s="55" t="s">
        <v>489</v>
      </c>
      <c r="U1092" s="73" t="s">
        <v>351</v>
      </c>
      <c r="V1092" s="74">
        <v>44349</v>
      </c>
      <c r="W1092" s="74">
        <v>44391</v>
      </c>
      <c r="X1092" s="55">
        <v>10186577</v>
      </c>
      <c r="Y1092" s="74" t="s">
        <v>132</v>
      </c>
      <c r="Z1092" s="74"/>
      <c r="AB1092" s="55" t="s">
        <v>132</v>
      </c>
      <c r="AC1092" s="55" t="s">
        <v>132</v>
      </c>
    </row>
    <row r="1093" spans="1:29" ht="13" x14ac:dyDescent="0.15">
      <c r="A1093" s="72" t="str">
        <f t="shared" si="16"/>
        <v>Ofsted Social Care Provider Webpage</v>
      </c>
      <c r="B1093" s="55">
        <v>2589440</v>
      </c>
      <c r="D1093" s="55" t="s">
        <v>373</v>
      </c>
      <c r="E1093" s="74">
        <v>44356</v>
      </c>
      <c r="F1093" s="55" t="s">
        <v>344</v>
      </c>
      <c r="G1093" s="55" t="s">
        <v>360</v>
      </c>
      <c r="H1093" s="55" t="s">
        <v>360</v>
      </c>
      <c r="I1093" s="55" t="s">
        <v>360</v>
      </c>
      <c r="J1093" s="55" t="s">
        <v>360</v>
      </c>
      <c r="K1093" s="55" t="s">
        <v>360</v>
      </c>
      <c r="L1093" s="55" t="s">
        <v>360</v>
      </c>
      <c r="M1093" s="55" t="s">
        <v>378</v>
      </c>
      <c r="N1093" s="55" t="s">
        <v>134</v>
      </c>
      <c r="O1093" s="55" t="s">
        <v>246</v>
      </c>
      <c r="P1093" s="55" t="s">
        <v>246</v>
      </c>
      <c r="Q1093" s="55" t="s">
        <v>350</v>
      </c>
      <c r="R1093" s="55">
        <v>1</v>
      </c>
      <c r="S1093" s="74"/>
      <c r="T1093" s="55" t="s">
        <v>1842</v>
      </c>
      <c r="U1093" s="73" t="s">
        <v>351</v>
      </c>
      <c r="V1093" s="74">
        <v>44475</v>
      </c>
      <c r="W1093" s="74">
        <v>44525</v>
      </c>
      <c r="X1093" s="55">
        <v>10198688</v>
      </c>
      <c r="Y1093" s="74" t="s">
        <v>130</v>
      </c>
      <c r="Z1093" s="74"/>
      <c r="AB1093" s="55" t="s">
        <v>130</v>
      </c>
      <c r="AC1093" s="55" t="s">
        <v>146</v>
      </c>
    </row>
    <row r="1094" spans="1:29" ht="13" x14ac:dyDescent="0.15">
      <c r="A1094" s="72" t="str">
        <f t="shared" ref="A1094:A1157" si="17">HYPERLINK(_xlfn.CONCAT("http://reports.ofsted.gov.uk/inspection-reports/find-inspection-report/provider/CARE/",B1094),"Ofsted Social Care Provider Webpage")</f>
        <v>Ofsted Social Care Provider Webpage</v>
      </c>
      <c r="B1094" s="55">
        <v>2589537</v>
      </c>
      <c r="D1094" s="55" t="s">
        <v>373</v>
      </c>
      <c r="E1094" s="74">
        <v>43984</v>
      </c>
      <c r="F1094" s="55" t="s">
        <v>344</v>
      </c>
      <c r="G1094" s="55" t="s">
        <v>360</v>
      </c>
      <c r="H1094" s="55" t="s">
        <v>360</v>
      </c>
      <c r="I1094" s="55" t="s">
        <v>360</v>
      </c>
      <c r="J1094" s="55" t="s">
        <v>360</v>
      </c>
      <c r="K1094" s="55" t="s">
        <v>360</v>
      </c>
      <c r="L1094" s="55" t="s">
        <v>360</v>
      </c>
      <c r="M1094" s="55" t="s">
        <v>378</v>
      </c>
      <c r="N1094" s="55" t="s">
        <v>134</v>
      </c>
      <c r="O1094" s="55" t="s">
        <v>175</v>
      </c>
      <c r="P1094" s="55" t="s">
        <v>932</v>
      </c>
      <c r="Q1094" s="55" t="s">
        <v>350</v>
      </c>
      <c r="R1094" s="55">
        <v>3</v>
      </c>
      <c r="S1094" s="74"/>
      <c r="T1094" s="55" t="s">
        <v>758</v>
      </c>
      <c r="U1094" s="73" t="s">
        <v>351</v>
      </c>
      <c r="V1094" s="74">
        <v>44579</v>
      </c>
      <c r="W1094" s="74">
        <v>44627</v>
      </c>
      <c r="X1094" s="55">
        <v>10195324</v>
      </c>
      <c r="Y1094" s="74" t="s">
        <v>132</v>
      </c>
      <c r="Z1094" s="74"/>
      <c r="AB1094" s="55" t="s">
        <v>132</v>
      </c>
      <c r="AC1094" s="55" t="s">
        <v>132</v>
      </c>
    </row>
    <row r="1095" spans="1:29" ht="13" x14ac:dyDescent="0.15">
      <c r="A1095" s="72" t="str">
        <f t="shared" si="17"/>
        <v>Ofsted Social Care Provider Webpage</v>
      </c>
      <c r="B1095" s="55">
        <v>2589579</v>
      </c>
      <c r="D1095" s="55" t="s">
        <v>373</v>
      </c>
      <c r="E1095" s="74">
        <v>43938</v>
      </c>
      <c r="F1095" s="55" t="s">
        <v>344</v>
      </c>
      <c r="G1095" s="55" t="s">
        <v>360</v>
      </c>
      <c r="H1095" s="55" t="s">
        <v>360</v>
      </c>
      <c r="I1095" s="55" t="s">
        <v>360</v>
      </c>
      <c r="J1095" s="55" t="s">
        <v>360</v>
      </c>
      <c r="K1095" s="55" t="s">
        <v>360</v>
      </c>
      <c r="L1095" s="55" t="s">
        <v>360</v>
      </c>
      <c r="M1095" s="55" t="s">
        <v>172</v>
      </c>
      <c r="N1095" s="55" t="s">
        <v>172</v>
      </c>
      <c r="O1095" s="55" t="s">
        <v>234</v>
      </c>
      <c r="P1095" s="55" t="s">
        <v>965</v>
      </c>
      <c r="Q1095" s="55" t="s">
        <v>350</v>
      </c>
      <c r="R1095" s="55">
        <v>3</v>
      </c>
      <c r="S1095" s="74"/>
      <c r="T1095" s="55" t="s">
        <v>1375</v>
      </c>
      <c r="U1095" s="73" t="s">
        <v>351</v>
      </c>
      <c r="V1095" s="74">
        <v>44572</v>
      </c>
      <c r="W1095" s="74">
        <v>44608</v>
      </c>
      <c r="X1095" s="55">
        <v>10185456</v>
      </c>
      <c r="Y1095" s="74" t="s">
        <v>140</v>
      </c>
      <c r="Z1095" s="74"/>
      <c r="AB1095" s="55" t="s">
        <v>140</v>
      </c>
      <c r="AC1095" s="55" t="s">
        <v>140</v>
      </c>
    </row>
    <row r="1096" spans="1:29" ht="13" x14ac:dyDescent="0.15">
      <c r="A1096" s="72" t="str">
        <f t="shared" si="17"/>
        <v>Ofsted Social Care Provider Webpage</v>
      </c>
      <c r="B1096" s="55">
        <v>2589621</v>
      </c>
      <c r="D1096" s="55" t="s">
        <v>373</v>
      </c>
      <c r="E1096" s="74">
        <v>43948</v>
      </c>
      <c r="F1096" s="55" t="s">
        <v>344</v>
      </c>
      <c r="G1096" s="55" t="s">
        <v>360</v>
      </c>
      <c r="H1096" s="55" t="s">
        <v>360</v>
      </c>
      <c r="I1096" s="55" t="s">
        <v>360</v>
      </c>
      <c r="J1096" s="55" t="s">
        <v>360</v>
      </c>
      <c r="K1096" s="55" t="s">
        <v>360</v>
      </c>
      <c r="L1096" s="55" t="s">
        <v>360</v>
      </c>
      <c r="M1096" s="55" t="s">
        <v>144</v>
      </c>
      <c r="N1096" s="55" t="s">
        <v>144</v>
      </c>
      <c r="O1096" s="55" t="s">
        <v>215</v>
      </c>
      <c r="P1096" s="55" t="s">
        <v>1203</v>
      </c>
      <c r="Q1096" s="55" t="s">
        <v>350</v>
      </c>
      <c r="R1096" s="55">
        <v>3</v>
      </c>
      <c r="S1096" s="74"/>
      <c r="T1096" s="55" t="s">
        <v>489</v>
      </c>
      <c r="U1096" s="73" t="s">
        <v>351</v>
      </c>
      <c r="V1096" s="74">
        <v>44495</v>
      </c>
      <c r="W1096" s="74">
        <v>44539</v>
      </c>
      <c r="X1096" s="55">
        <v>10185833</v>
      </c>
      <c r="Y1096" s="74" t="s">
        <v>132</v>
      </c>
      <c r="Z1096" s="74"/>
      <c r="AB1096" s="55" t="s">
        <v>132</v>
      </c>
      <c r="AC1096" s="55" t="s">
        <v>132</v>
      </c>
    </row>
    <row r="1097" spans="1:29" ht="13" x14ac:dyDescent="0.15">
      <c r="A1097" s="72" t="str">
        <f t="shared" si="17"/>
        <v>Ofsted Social Care Provider Webpage</v>
      </c>
      <c r="B1097" s="55">
        <v>2589771</v>
      </c>
      <c r="D1097" s="55" t="s">
        <v>373</v>
      </c>
      <c r="E1097" s="74">
        <v>43950</v>
      </c>
      <c r="F1097" s="55" t="s">
        <v>344</v>
      </c>
      <c r="G1097" s="55" t="s">
        <v>360</v>
      </c>
      <c r="H1097" s="55" t="s">
        <v>360</v>
      </c>
      <c r="I1097" s="55" t="s">
        <v>360</v>
      </c>
      <c r="J1097" s="55" t="s">
        <v>360</v>
      </c>
      <c r="K1097" s="55" t="s">
        <v>360</v>
      </c>
      <c r="L1097" s="55" t="s">
        <v>360</v>
      </c>
      <c r="M1097" s="55" t="s">
        <v>378</v>
      </c>
      <c r="N1097" s="55" t="s">
        <v>134</v>
      </c>
      <c r="O1097" s="55" t="s">
        <v>204</v>
      </c>
      <c r="P1097" s="55" t="s">
        <v>929</v>
      </c>
      <c r="Q1097" s="55" t="s">
        <v>380</v>
      </c>
      <c r="R1097" s="55">
        <v>2</v>
      </c>
      <c r="S1097" s="74"/>
      <c r="T1097" s="55" t="s">
        <v>1479</v>
      </c>
      <c r="U1097" s="73" t="s">
        <v>351</v>
      </c>
      <c r="V1097" s="74">
        <v>44509</v>
      </c>
      <c r="W1097" s="74">
        <v>44550</v>
      </c>
      <c r="X1097" s="55">
        <v>10185718</v>
      </c>
      <c r="Y1097" s="74" t="s">
        <v>140</v>
      </c>
      <c r="Z1097" s="74"/>
      <c r="AB1097" s="55" t="s">
        <v>140</v>
      </c>
      <c r="AC1097" s="55" t="s">
        <v>140</v>
      </c>
    </row>
    <row r="1098" spans="1:29" ht="13" x14ac:dyDescent="0.15">
      <c r="A1098" s="72" t="str">
        <f t="shared" si="17"/>
        <v>Ofsted Social Care Provider Webpage</v>
      </c>
      <c r="B1098" s="55">
        <v>2589848</v>
      </c>
      <c r="D1098" s="55" t="s">
        <v>389</v>
      </c>
      <c r="E1098" s="74">
        <v>44035</v>
      </c>
      <c r="F1098" s="55" t="s">
        <v>344</v>
      </c>
      <c r="G1098" s="55" t="s">
        <v>1843</v>
      </c>
      <c r="H1098" s="55" t="s">
        <v>1844</v>
      </c>
      <c r="I1098" s="55" t="s">
        <v>1845</v>
      </c>
      <c r="J1098" s="55" t="s">
        <v>1846</v>
      </c>
      <c r="L1098" s="55" t="s">
        <v>531</v>
      </c>
      <c r="M1098" s="55" t="s">
        <v>129</v>
      </c>
      <c r="N1098" s="55" t="s">
        <v>129</v>
      </c>
      <c r="O1098" s="55" t="s">
        <v>197</v>
      </c>
      <c r="P1098" s="55" t="s">
        <v>532</v>
      </c>
      <c r="Q1098" s="55" t="s">
        <v>350</v>
      </c>
      <c r="R1098" s="55"/>
      <c r="S1098" s="74"/>
      <c r="T1098" s="55" t="s">
        <v>1843</v>
      </c>
      <c r="U1098" s="73" t="s">
        <v>351</v>
      </c>
      <c r="V1098" s="74">
        <v>44382</v>
      </c>
      <c r="W1098" s="74">
        <v>44417</v>
      </c>
      <c r="X1098" s="55">
        <v>10183193</v>
      </c>
      <c r="Y1098" s="74" t="s">
        <v>132</v>
      </c>
      <c r="Z1098" s="74"/>
      <c r="AB1098" s="55" t="s">
        <v>132</v>
      </c>
      <c r="AC1098" s="55" t="s">
        <v>132</v>
      </c>
    </row>
    <row r="1099" spans="1:29" ht="13" x14ac:dyDescent="0.15">
      <c r="A1099" s="72" t="str">
        <f t="shared" si="17"/>
        <v>Ofsted Social Care Provider Webpage</v>
      </c>
      <c r="B1099" s="55">
        <v>2590109</v>
      </c>
      <c r="D1099" s="55" t="s">
        <v>373</v>
      </c>
      <c r="E1099" s="74">
        <v>43992</v>
      </c>
      <c r="F1099" s="55" t="s">
        <v>344</v>
      </c>
      <c r="G1099" s="55" t="s">
        <v>360</v>
      </c>
      <c r="H1099" s="55" t="s">
        <v>360</v>
      </c>
      <c r="I1099" s="55" t="s">
        <v>360</v>
      </c>
      <c r="J1099" s="55" t="s">
        <v>360</v>
      </c>
      <c r="K1099" s="55" t="s">
        <v>360</v>
      </c>
      <c r="L1099" s="55" t="s">
        <v>360</v>
      </c>
      <c r="M1099" s="55" t="s">
        <v>144</v>
      </c>
      <c r="N1099" s="55" t="s">
        <v>144</v>
      </c>
      <c r="O1099" s="55" t="s">
        <v>157</v>
      </c>
      <c r="P1099" s="55" t="s">
        <v>1092</v>
      </c>
      <c r="Q1099" s="55" t="s">
        <v>350</v>
      </c>
      <c r="R1099" s="55">
        <v>3</v>
      </c>
      <c r="S1099" s="74"/>
      <c r="T1099" s="55" t="s">
        <v>1161</v>
      </c>
      <c r="U1099" s="73" t="s">
        <v>351</v>
      </c>
      <c r="V1099" s="74">
        <v>44607</v>
      </c>
      <c r="W1099" s="74">
        <v>44650</v>
      </c>
      <c r="X1099" s="55">
        <v>10187574</v>
      </c>
      <c r="Y1099" s="74" t="s">
        <v>132</v>
      </c>
      <c r="Z1099" s="74"/>
      <c r="AB1099" s="55" t="s">
        <v>132</v>
      </c>
      <c r="AC1099" s="55" t="s">
        <v>132</v>
      </c>
    </row>
    <row r="1100" spans="1:29" ht="13" x14ac:dyDescent="0.15">
      <c r="A1100" s="72" t="str">
        <f t="shared" si="17"/>
        <v>Ofsted Social Care Provider Webpage</v>
      </c>
      <c r="B1100" s="55">
        <v>2590128</v>
      </c>
      <c r="D1100" s="55" t="s">
        <v>373</v>
      </c>
      <c r="E1100" s="74">
        <v>43973</v>
      </c>
      <c r="F1100" s="55" t="s">
        <v>344</v>
      </c>
      <c r="G1100" s="55" t="s">
        <v>360</v>
      </c>
      <c r="H1100" s="55" t="s">
        <v>360</v>
      </c>
      <c r="I1100" s="55" t="s">
        <v>360</v>
      </c>
      <c r="J1100" s="55" t="s">
        <v>360</v>
      </c>
      <c r="K1100" s="55" t="s">
        <v>360</v>
      </c>
      <c r="L1100" s="55" t="s">
        <v>360</v>
      </c>
      <c r="M1100" s="55" t="s">
        <v>144</v>
      </c>
      <c r="N1100" s="55" t="s">
        <v>144</v>
      </c>
      <c r="O1100" s="55" t="s">
        <v>263</v>
      </c>
      <c r="P1100" s="55" t="s">
        <v>1211</v>
      </c>
      <c r="Q1100" s="55" t="s">
        <v>362</v>
      </c>
      <c r="R1100" s="55">
        <v>4</v>
      </c>
      <c r="S1100" s="74" t="s">
        <v>332</v>
      </c>
      <c r="T1100" s="55" t="s">
        <v>1847</v>
      </c>
      <c r="U1100" s="73" t="s">
        <v>351</v>
      </c>
      <c r="V1100" s="74">
        <v>44376</v>
      </c>
      <c r="W1100" s="74">
        <v>44410</v>
      </c>
      <c r="X1100" s="55">
        <v>10186914</v>
      </c>
      <c r="Y1100" s="74" t="s">
        <v>132</v>
      </c>
      <c r="Z1100" s="74"/>
      <c r="AB1100" s="55" t="s">
        <v>132</v>
      </c>
      <c r="AC1100" s="55" t="s">
        <v>132</v>
      </c>
    </row>
    <row r="1101" spans="1:29" ht="13" x14ac:dyDescent="0.15">
      <c r="A1101" s="72" t="str">
        <f t="shared" si="17"/>
        <v>Ofsted Social Care Provider Webpage</v>
      </c>
      <c r="B1101" s="55">
        <v>2590342</v>
      </c>
      <c r="D1101" s="55" t="s">
        <v>373</v>
      </c>
      <c r="E1101" s="74">
        <v>43999</v>
      </c>
      <c r="F1101" s="55" t="s">
        <v>344</v>
      </c>
      <c r="G1101" s="55" t="s">
        <v>360</v>
      </c>
      <c r="H1101" s="55" t="s">
        <v>360</v>
      </c>
      <c r="I1101" s="55" t="s">
        <v>360</v>
      </c>
      <c r="J1101" s="55" t="s">
        <v>360</v>
      </c>
      <c r="K1101" s="55" t="s">
        <v>360</v>
      </c>
      <c r="L1101" s="55" t="s">
        <v>360</v>
      </c>
      <c r="M1101" s="55" t="s">
        <v>144</v>
      </c>
      <c r="N1101" s="55" t="s">
        <v>144</v>
      </c>
      <c r="O1101" s="55" t="s">
        <v>162</v>
      </c>
      <c r="P1101" s="55" t="s">
        <v>686</v>
      </c>
      <c r="Q1101" s="55" t="s">
        <v>350</v>
      </c>
      <c r="R1101" s="55">
        <v>3</v>
      </c>
      <c r="S1101" s="74"/>
      <c r="T1101" s="55" t="s">
        <v>917</v>
      </c>
      <c r="U1101" s="73" t="s">
        <v>351</v>
      </c>
      <c r="V1101" s="74">
        <v>44538</v>
      </c>
      <c r="W1101" s="74">
        <v>44586</v>
      </c>
      <c r="X1101" s="55">
        <v>10185266</v>
      </c>
      <c r="Y1101" s="74" t="s">
        <v>132</v>
      </c>
      <c r="Z1101" s="74"/>
      <c r="AB1101" s="55" t="s">
        <v>132</v>
      </c>
      <c r="AC1101" s="55" t="s">
        <v>132</v>
      </c>
    </row>
    <row r="1102" spans="1:29" ht="13" x14ac:dyDescent="0.15">
      <c r="A1102" s="72" t="str">
        <f t="shared" si="17"/>
        <v>Ofsted Social Care Provider Webpage</v>
      </c>
      <c r="B1102" s="55">
        <v>2590405</v>
      </c>
      <c r="D1102" s="55" t="s">
        <v>373</v>
      </c>
      <c r="E1102" s="74">
        <v>44025</v>
      </c>
      <c r="F1102" s="55" t="s">
        <v>344</v>
      </c>
      <c r="G1102" s="55" t="s">
        <v>360</v>
      </c>
      <c r="H1102" s="55" t="s">
        <v>360</v>
      </c>
      <c r="I1102" s="55" t="s">
        <v>360</v>
      </c>
      <c r="J1102" s="55" t="s">
        <v>360</v>
      </c>
      <c r="K1102" s="55" t="s">
        <v>360</v>
      </c>
      <c r="L1102" s="55" t="s">
        <v>360</v>
      </c>
      <c r="M1102" s="55" t="s">
        <v>142</v>
      </c>
      <c r="N1102" s="55" t="s">
        <v>142</v>
      </c>
      <c r="O1102" s="55" t="s">
        <v>262</v>
      </c>
      <c r="P1102" s="55" t="s">
        <v>949</v>
      </c>
      <c r="Q1102" s="55" t="s">
        <v>350</v>
      </c>
      <c r="R1102" s="55">
        <v>3</v>
      </c>
      <c r="S1102" s="74"/>
      <c r="T1102" s="55" t="s">
        <v>1473</v>
      </c>
      <c r="U1102" s="73" t="s">
        <v>351</v>
      </c>
      <c r="V1102" s="74">
        <v>44593</v>
      </c>
      <c r="W1102" s="74">
        <v>44623</v>
      </c>
      <c r="X1102" s="55">
        <v>10185250</v>
      </c>
      <c r="Y1102" s="74" t="s">
        <v>132</v>
      </c>
      <c r="Z1102" s="74"/>
      <c r="AB1102" s="55" t="s">
        <v>132</v>
      </c>
      <c r="AC1102" s="55" t="s">
        <v>132</v>
      </c>
    </row>
    <row r="1103" spans="1:29" ht="13" x14ac:dyDescent="0.15">
      <c r="A1103" s="72" t="str">
        <f t="shared" si="17"/>
        <v>Ofsted Social Care Provider Webpage</v>
      </c>
      <c r="B1103" s="55">
        <v>2590408</v>
      </c>
      <c r="D1103" s="55" t="s">
        <v>373</v>
      </c>
      <c r="E1103" s="74">
        <v>44062</v>
      </c>
      <c r="F1103" s="55" t="s">
        <v>344</v>
      </c>
      <c r="G1103" s="55" t="s">
        <v>360</v>
      </c>
      <c r="H1103" s="55" t="s">
        <v>360</v>
      </c>
      <c r="I1103" s="55" t="s">
        <v>360</v>
      </c>
      <c r="J1103" s="55" t="s">
        <v>360</v>
      </c>
      <c r="K1103" s="55" t="s">
        <v>360</v>
      </c>
      <c r="L1103" s="55" t="s">
        <v>360</v>
      </c>
      <c r="M1103" s="55" t="s">
        <v>142</v>
      </c>
      <c r="N1103" s="55" t="s">
        <v>142</v>
      </c>
      <c r="O1103" s="55" t="s">
        <v>262</v>
      </c>
      <c r="P1103" s="55" t="s">
        <v>916</v>
      </c>
      <c r="Q1103" s="55" t="s">
        <v>350</v>
      </c>
      <c r="R1103" s="55">
        <v>3</v>
      </c>
      <c r="S1103" s="74"/>
      <c r="T1103" s="55" t="s">
        <v>1848</v>
      </c>
      <c r="U1103" s="73" t="s">
        <v>351</v>
      </c>
      <c r="V1103" s="74">
        <v>44369</v>
      </c>
      <c r="W1103" s="74">
        <v>44410</v>
      </c>
      <c r="X1103" s="55">
        <v>10187331</v>
      </c>
      <c r="Y1103" s="74" t="s">
        <v>132</v>
      </c>
      <c r="Z1103" s="74"/>
      <c r="AB1103" s="55" t="s">
        <v>132</v>
      </c>
      <c r="AC1103" s="55" t="s">
        <v>132</v>
      </c>
    </row>
    <row r="1104" spans="1:29" ht="13" x14ac:dyDescent="0.15">
      <c r="A1104" s="72" t="str">
        <f t="shared" si="17"/>
        <v>Ofsted Social Care Provider Webpage</v>
      </c>
      <c r="B1104" s="55">
        <v>2590522</v>
      </c>
      <c r="D1104" s="55" t="s">
        <v>373</v>
      </c>
      <c r="E1104" s="74">
        <v>44032</v>
      </c>
      <c r="F1104" s="55" t="s">
        <v>344</v>
      </c>
      <c r="G1104" s="55" t="s">
        <v>360</v>
      </c>
      <c r="H1104" s="55" t="s">
        <v>360</v>
      </c>
      <c r="I1104" s="55" t="s">
        <v>360</v>
      </c>
      <c r="J1104" s="55" t="s">
        <v>360</v>
      </c>
      <c r="K1104" s="55" t="s">
        <v>360</v>
      </c>
      <c r="L1104" s="55" t="s">
        <v>360</v>
      </c>
      <c r="M1104" s="55" t="s">
        <v>144</v>
      </c>
      <c r="N1104" s="55" t="s">
        <v>144</v>
      </c>
      <c r="O1104" s="55" t="s">
        <v>209</v>
      </c>
      <c r="P1104" s="55" t="s">
        <v>364</v>
      </c>
      <c r="Q1104" s="55" t="s">
        <v>350</v>
      </c>
      <c r="R1104" s="55">
        <v>4</v>
      </c>
      <c r="S1104" s="74"/>
      <c r="T1104" s="55" t="s">
        <v>1539</v>
      </c>
      <c r="U1104" s="73"/>
      <c r="W1104" s="74"/>
      <c r="Y1104" s="74"/>
      <c r="Z1104" s="74"/>
    </row>
    <row r="1105" spans="1:29" ht="13" x14ac:dyDescent="0.15">
      <c r="A1105" s="72" t="str">
        <f t="shared" si="17"/>
        <v>Ofsted Social Care Provider Webpage</v>
      </c>
      <c r="B1105" s="55">
        <v>2590578</v>
      </c>
      <c r="D1105" s="55" t="s">
        <v>373</v>
      </c>
      <c r="E1105" s="74">
        <v>44169</v>
      </c>
      <c r="F1105" s="55" t="s">
        <v>344</v>
      </c>
      <c r="G1105" s="55" t="s">
        <v>360</v>
      </c>
      <c r="H1105" s="55" t="s">
        <v>360</v>
      </c>
      <c r="I1105" s="55" t="s">
        <v>360</v>
      </c>
      <c r="J1105" s="55" t="s">
        <v>360</v>
      </c>
      <c r="K1105" s="55" t="s">
        <v>360</v>
      </c>
      <c r="L1105" s="55" t="s">
        <v>360</v>
      </c>
      <c r="M1105" s="55" t="s">
        <v>138</v>
      </c>
      <c r="N1105" s="55" t="s">
        <v>138</v>
      </c>
      <c r="O1105" s="55" t="s">
        <v>196</v>
      </c>
      <c r="P1105" s="55" t="s">
        <v>848</v>
      </c>
      <c r="Q1105" s="55" t="s">
        <v>350</v>
      </c>
      <c r="R1105" s="55">
        <v>4</v>
      </c>
      <c r="S1105" s="74"/>
      <c r="T1105" s="55" t="s">
        <v>1507</v>
      </c>
      <c r="U1105" s="73" t="s">
        <v>351</v>
      </c>
      <c r="V1105" s="74">
        <v>44377</v>
      </c>
      <c r="W1105" s="74">
        <v>44407</v>
      </c>
      <c r="X1105" s="55">
        <v>10185986</v>
      </c>
      <c r="Y1105" s="74" t="s">
        <v>130</v>
      </c>
      <c r="Z1105" s="74"/>
      <c r="AB1105" s="55" t="s">
        <v>130</v>
      </c>
      <c r="AC1105" s="55" t="s">
        <v>130</v>
      </c>
    </row>
    <row r="1106" spans="1:29" ht="13" x14ac:dyDescent="0.15">
      <c r="A1106" s="72" t="str">
        <f t="shared" si="17"/>
        <v>Ofsted Social Care Provider Webpage</v>
      </c>
      <c r="B1106" s="55">
        <v>2590699</v>
      </c>
      <c r="D1106" s="55" t="s">
        <v>373</v>
      </c>
      <c r="E1106" s="74">
        <v>43992</v>
      </c>
      <c r="F1106" s="55" t="s">
        <v>344</v>
      </c>
      <c r="G1106" s="55" t="s">
        <v>360</v>
      </c>
      <c r="H1106" s="55" t="s">
        <v>360</v>
      </c>
      <c r="I1106" s="55" t="s">
        <v>360</v>
      </c>
      <c r="J1106" s="55" t="s">
        <v>360</v>
      </c>
      <c r="K1106" s="55" t="s">
        <v>360</v>
      </c>
      <c r="L1106" s="55" t="s">
        <v>360</v>
      </c>
      <c r="M1106" s="55" t="s">
        <v>144</v>
      </c>
      <c r="N1106" s="55" t="s">
        <v>144</v>
      </c>
      <c r="O1106" s="55" t="s">
        <v>248</v>
      </c>
      <c r="P1106" s="55" t="s">
        <v>492</v>
      </c>
      <c r="Q1106" s="55" t="s">
        <v>350</v>
      </c>
      <c r="R1106" s="55">
        <v>4</v>
      </c>
      <c r="S1106" s="74"/>
      <c r="T1106" s="55" t="s">
        <v>1541</v>
      </c>
      <c r="U1106" s="73" t="s">
        <v>351</v>
      </c>
      <c r="V1106" s="74">
        <v>44327</v>
      </c>
      <c r="W1106" s="74">
        <v>44356</v>
      </c>
      <c r="X1106" s="55">
        <v>10186799</v>
      </c>
      <c r="Y1106" s="74" t="s">
        <v>130</v>
      </c>
      <c r="Z1106" s="74"/>
      <c r="AB1106" s="55" t="s">
        <v>130</v>
      </c>
      <c r="AC1106" s="55" t="s">
        <v>130</v>
      </c>
    </row>
    <row r="1107" spans="1:29" ht="13" x14ac:dyDescent="0.15">
      <c r="A1107" s="72" t="str">
        <f t="shared" si="17"/>
        <v>Ofsted Social Care Provider Webpage</v>
      </c>
      <c r="B1107" s="55">
        <v>2590726</v>
      </c>
      <c r="D1107" s="55" t="s">
        <v>373</v>
      </c>
      <c r="E1107" s="74">
        <v>44026</v>
      </c>
      <c r="F1107" s="55" t="s">
        <v>344</v>
      </c>
      <c r="G1107" s="55" t="s">
        <v>360</v>
      </c>
      <c r="H1107" s="55" t="s">
        <v>360</v>
      </c>
      <c r="I1107" s="55" t="s">
        <v>360</v>
      </c>
      <c r="J1107" s="55" t="s">
        <v>360</v>
      </c>
      <c r="K1107" s="55" t="s">
        <v>360</v>
      </c>
      <c r="L1107" s="55" t="s">
        <v>360</v>
      </c>
      <c r="M1107" s="55" t="s">
        <v>144</v>
      </c>
      <c r="N1107" s="55" t="s">
        <v>144</v>
      </c>
      <c r="O1107" s="55" t="s">
        <v>209</v>
      </c>
      <c r="P1107" s="55" t="s">
        <v>544</v>
      </c>
      <c r="Q1107" s="55" t="s">
        <v>350</v>
      </c>
      <c r="R1107" s="55">
        <v>2</v>
      </c>
      <c r="S1107" s="74"/>
      <c r="T1107" s="55" t="s">
        <v>485</v>
      </c>
      <c r="U1107" s="73" t="s">
        <v>351</v>
      </c>
      <c r="V1107" s="74">
        <v>44355</v>
      </c>
      <c r="W1107" s="74">
        <v>44385</v>
      </c>
      <c r="X1107" s="55">
        <v>10186915</v>
      </c>
      <c r="Y1107" s="74" t="s">
        <v>140</v>
      </c>
      <c r="Z1107" s="74"/>
      <c r="AB1107" s="55" t="s">
        <v>140</v>
      </c>
      <c r="AC1107" s="55" t="s">
        <v>140</v>
      </c>
    </row>
    <row r="1108" spans="1:29" ht="13" x14ac:dyDescent="0.15">
      <c r="A1108" s="72" t="str">
        <f t="shared" si="17"/>
        <v>Ofsted Social Care Provider Webpage</v>
      </c>
      <c r="B1108" s="55">
        <v>2590732</v>
      </c>
      <c r="D1108" s="55" t="s">
        <v>373</v>
      </c>
      <c r="E1108" s="74">
        <v>44021</v>
      </c>
      <c r="F1108" s="55" t="s">
        <v>344</v>
      </c>
      <c r="G1108" s="55" t="s">
        <v>360</v>
      </c>
      <c r="H1108" s="55" t="s">
        <v>360</v>
      </c>
      <c r="I1108" s="55" t="s">
        <v>360</v>
      </c>
      <c r="J1108" s="55" t="s">
        <v>360</v>
      </c>
      <c r="K1108" s="55" t="s">
        <v>360</v>
      </c>
      <c r="L1108" s="55" t="s">
        <v>360</v>
      </c>
      <c r="M1108" s="55" t="s">
        <v>144</v>
      </c>
      <c r="N1108" s="55" t="s">
        <v>144</v>
      </c>
      <c r="O1108" s="55" t="s">
        <v>209</v>
      </c>
      <c r="P1108" s="55" t="s">
        <v>364</v>
      </c>
      <c r="Q1108" s="55" t="s">
        <v>350</v>
      </c>
      <c r="R1108" s="55">
        <v>2</v>
      </c>
      <c r="S1108" s="74"/>
      <c r="T1108" s="55" t="s">
        <v>485</v>
      </c>
      <c r="U1108" s="73" t="s">
        <v>351</v>
      </c>
      <c r="V1108" s="74">
        <v>44572</v>
      </c>
      <c r="W1108" s="74">
        <v>44599</v>
      </c>
      <c r="X1108" s="55">
        <v>10185151</v>
      </c>
      <c r="Y1108" s="74" t="s">
        <v>132</v>
      </c>
      <c r="Z1108" s="74"/>
      <c r="AB1108" s="55" t="s">
        <v>132</v>
      </c>
      <c r="AC1108" s="55" t="s">
        <v>132</v>
      </c>
    </row>
    <row r="1109" spans="1:29" ht="13" x14ac:dyDescent="0.15">
      <c r="A1109" s="72" t="str">
        <f t="shared" si="17"/>
        <v>Ofsted Social Care Provider Webpage</v>
      </c>
      <c r="B1109" s="55">
        <v>2590738</v>
      </c>
      <c r="D1109" s="55" t="s">
        <v>443</v>
      </c>
      <c r="E1109" s="74">
        <v>44006</v>
      </c>
      <c r="F1109" s="55" t="s">
        <v>344</v>
      </c>
      <c r="G1109" s="55" t="s">
        <v>1849</v>
      </c>
      <c r="H1109" s="55" t="s">
        <v>1850</v>
      </c>
      <c r="I1109" s="55" t="s">
        <v>1851</v>
      </c>
      <c r="J1109" s="55" t="s">
        <v>990</v>
      </c>
      <c r="K1109" s="55" t="s">
        <v>237</v>
      </c>
      <c r="L1109" s="55" t="s">
        <v>1852</v>
      </c>
      <c r="M1109" s="55" t="s">
        <v>150</v>
      </c>
      <c r="N1109" s="55" t="s">
        <v>150</v>
      </c>
      <c r="O1109" s="55" t="s">
        <v>237</v>
      </c>
      <c r="P1109" s="55" t="s">
        <v>990</v>
      </c>
      <c r="Q1109" s="55" t="s">
        <v>350</v>
      </c>
      <c r="R1109" s="55"/>
      <c r="S1109" s="74"/>
      <c r="T1109" s="55" t="s">
        <v>1853</v>
      </c>
      <c r="U1109" s="73"/>
      <c r="W1109" s="74"/>
      <c r="Y1109" s="74"/>
      <c r="Z1109" s="74"/>
    </row>
    <row r="1110" spans="1:29" ht="13" x14ac:dyDescent="0.15">
      <c r="A1110" s="72" t="str">
        <f t="shared" si="17"/>
        <v>Ofsted Social Care Provider Webpage</v>
      </c>
      <c r="B1110" s="55">
        <v>2590824</v>
      </c>
      <c r="D1110" s="55" t="s">
        <v>373</v>
      </c>
      <c r="E1110" s="74">
        <v>44071</v>
      </c>
      <c r="F1110" s="55" t="s">
        <v>344</v>
      </c>
      <c r="G1110" s="55" t="s">
        <v>360</v>
      </c>
      <c r="H1110" s="55" t="s">
        <v>360</v>
      </c>
      <c r="I1110" s="55" t="s">
        <v>360</v>
      </c>
      <c r="J1110" s="55" t="s">
        <v>360</v>
      </c>
      <c r="K1110" s="55" t="s">
        <v>360</v>
      </c>
      <c r="L1110" s="55" t="s">
        <v>360</v>
      </c>
      <c r="M1110" s="55" t="s">
        <v>129</v>
      </c>
      <c r="N1110" s="55" t="s">
        <v>129</v>
      </c>
      <c r="O1110" s="55" t="s">
        <v>179</v>
      </c>
      <c r="P1110" s="55" t="s">
        <v>1854</v>
      </c>
      <c r="Q1110" s="55" t="s">
        <v>362</v>
      </c>
      <c r="R1110" s="55">
        <v>6</v>
      </c>
      <c r="S1110" s="74"/>
      <c r="T1110" s="55" t="s">
        <v>367</v>
      </c>
      <c r="U1110" s="73" t="s">
        <v>351</v>
      </c>
      <c r="V1110" s="74">
        <v>44384</v>
      </c>
      <c r="W1110" s="74">
        <v>44417</v>
      </c>
      <c r="X1110" s="55">
        <v>10185932</v>
      </c>
      <c r="Y1110" s="74" t="s">
        <v>132</v>
      </c>
      <c r="Z1110" s="74"/>
      <c r="AB1110" s="55" t="s">
        <v>132</v>
      </c>
      <c r="AC1110" s="55" t="s">
        <v>132</v>
      </c>
    </row>
    <row r="1111" spans="1:29" ht="13" x14ac:dyDescent="0.15">
      <c r="A1111" s="72" t="str">
        <f t="shared" si="17"/>
        <v>Ofsted Social Care Provider Webpage</v>
      </c>
      <c r="B1111" s="55">
        <v>2590832</v>
      </c>
      <c r="D1111" s="55" t="s">
        <v>373</v>
      </c>
      <c r="E1111" s="74">
        <v>44089</v>
      </c>
      <c r="F1111" s="55" t="s">
        <v>344</v>
      </c>
      <c r="G1111" s="55" t="s">
        <v>360</v>
      </c>
      <c r="H1111" s="55" t="s">
        <v>360</v>
      </c>
      <c r="I1111" s="55" t="s">
        <v>360</v>
      </c>
      <c r="J1111" s="55" t="s">
        <v>360</v>
      </c>
      <c r="K1111" s="55" t="s">
        <v>360</v>
      </c>
      <c r="L1111" s="55" t="s">
        <v>360</v>
      </c>
      <c r="M1111" s="55" t="s">
        <v>142</v>
      </c>
      <c r="N1111" s="55" t="s">
        <v>142</v>
      </c>
      <c r="O1111" s="55" t="s">
        <v>177</v>
      </c>
      <c r="P1111" s="55" t="s">
        <v>835</v>
      </c>
      <c r="Q1111" s="55" t="s">
        <v>350</v>
      </c>
      <c r="R1111" s="55">
        <v>3</v>
      </c>
      <c r="S1111" s="74"/>
      <c r="T1111" s="55" t="s">
        <v>1855</v>
      </c>
      <c r="U1111" s="73" t="s">
        <v>351</v>
      </c>
      <c r="V1111" s="74">
        <v>44524</v>
      </c>
      <c r="W1111" s="74">
        <v>44575</v>
      </c>
      <c r="X1111" s="55">
        <v>10186896</v>
      </c>
      <c r="Y1111" s="74" t="s">
        <v>132</v>
      </c>
      <c r="Z1111" s="74"/>
      <c r="AB1111" s="55" t="s">
        <v>132</v>
      </c>
      <c r="AC1111" s="55" t="s">
        <v>130</v>
      </c>
    </row>
    <row r="1112" spans="1:29" ht="13" x14ac:dyDescent="0.15">
      <c r="A1112" s="72" t="str">
        <f t="shared" si="17"/>
        <v>Ofsted Social Care Provider Webpage</v>
      </c>
      <c r="B1112" s="55">
        <v>2590934</v>
      </c>
      <c r="D1112" s="55" t="s">
        <v>373</v>
      </c>
      <c r="E1112" s="74">
        <v>44007</v>
      </c>
      <c r="F1112" s="55" t="s">
        <v>344</v>
      </c>
      <c r="G1112" s="55" t="s">
        <v>360</v>
      </c>
      <c r="H1112" s="55" t="s">
        <v>360</v>
      </c>
      <c r="I1112" s="55" t="s">
        <v>360</v>
      </c>
      <c r="J1112" s="55" t="s">
        <v>360</v>
      </c>
      <c r="K1112" s="55" t="s">
        <v>360</v>
      </c>
      <c r="L1112" s="55" t="s">
        <v>360</v>
      </c>
      <c r="M1112" s="55" t="s">
        <v>129</v>
      </c>
      <c r="N1112" s="55" t="s">
        <v>129</v>
      </c>
      <c r="O1112" s="55" t="s">
        <v>213</v>
      </c>
      <c r="P1112" s="55" t="s">
        <v>1020</v>
      </c>
      <c r="Q1112" s="55" t="s">
        <v>350</v>
      </c>
      <c r="R1112" s="55">
        <v>2</v>
      </c>
      <c r="S1112" s="74"/>
      <c r="T1112" s="55" t="s">
        <v>1856</v>
      </c>
      <c r="U1112" s="73" t="s">
        <v>351</v>
      </c>
      <c r="V1112" s="74">
        <v>44355</v>
      </c>
      <c r="W1112" s="74">
        <v>44398</v>
      </c>
      <c r="X1112" s="55">
        <v>10187640</v>
      </c>
      <c r="Y1112" s="74" t="s">
        <v>132</v>
      </c>
      <c r="Z1112" s="74"/>
      <c r="AB1112" s="55" t="s">
        <v>132</v>
      </c>
      <c r="AC1112" s="55" t="s">
        <v>130</v>
      </c>
    </row>
    <row r="1113" spans="1:29" ht="13" x14ac:dyDescent="0.15">
      <c r="A1113" s="72" t="str">
        <f t="shared" si="17"/>
        <v>Ofsted Social Care Provider Webpage</v>
      </c>
      <c r="B1113" s="55">
        <v>2590942</v>
      </c>
      <c r="D1113" s="55" t="s">
        <v>373</v>
      </c>
      <c r="E1113" s="74">
        <v>43955</v>
      </c>
      <c r="F1113" s="55" t="s">
        <v>344</v>
      </c>
      <c r="G1113" s="55" t="s">
        <v>360</v>
      </c>
      <c r="H1113" s="55" t="s">
        <v>360</v>
      </c>
      <c r="I1113" s="55" t="s">
        <v>360</v>
      </c>
      <c r="J1113" s="55" t="s">
        <v>360</v>
      </c>
      <c r="K1113" s="55" t="s">
        <v>360</v>
      </c>
      <c r="L1113" s="55" t="s">
        <v>360</v>
      </c>
      <c r="M1113" s="55" t="s">
        <v>378</v>
      </c>
      <c r="N1113" s="55" t="s">
        <v>134</v>
      </c>
      <c r="O1113" s="55" t="s">
        <v>158</v>
      </c>
      <c r="P1113" s="55" t="s">
        <v>480</v>
      </c>
      <c r="Q1113" s="55" t="s">
        <v>350</v>
      </c>
      <c r="R1113" s="55">
        <v>2</v>
      </c>
      <c r="S1113" s="74"/>
      <c r="T1113" s="55" t="s">
        <v>951</v>
      </c>
      <c r="U1113" s="73" t="s">
        <v>351</v>
      </c>
      <c r="V1113" s="74">
        <v>44621</v>
      </c>
      <c r="W1113" s="74">
        <v>44659</v>
      </c>
      <c r="X1113" s="55">
        <v>10186771</v>
      </c>
      <c r="Y1113" s="74" t="s">
        <v>140</v>
      </c>
      <c r="Z1113" s="74"/>
      <c r="AB1113" s="55" t="s">
        <v>140</v>
      </c>
      <c r="AC1113" s="55" t="s">
        <v>140</v>
      </c>
    </row>
    <row r="1114" spans="1:29" ht="13" x14ac:dyDescent="0.15">
      <c r="A1114" s="72" t="str">
        <f t="shared" si="17"/>
        <v>Ofsted Social Care Provider Webpage</v>
      </c>
      <c r="B1114" s="55">
        <v>2591033</v>
      </c>
      <c r="D1114" s="55" t="s">
        <v>373</v>
      </c>
      <c r="E1114" s="74">
        <v>44005</v>
      </c>
      <c r="F1114" s="55" t="s">
        <v>344</v>
      </c>
      <c r="G1114" s="55" t="s">
        <v>360</v>
      </c>
      <c r="H1114" s="55" t="s">
        <v>360</v>
      </c>
      <c r="I1114" s="55" t="s">
        <v>360</v>
      </c>
      <c r="J1114" s="55" t="s">
        <v>360</v>
      </c>
      <c r="K1114" s="55" t="s">
        <v>360</v>
      </c>
      <c r="L1114" s="55" t="s">
        <v>360</v>
      </c>
      <c r="M1114" s="55" t="s">
        <v>172</v>
      </c>
      <c r="N1114" s="55" t="s">
        <v>172</v>
      </c>
      <c r="O1114" s="55" t="s">
        <v>234</v>
      </c>
      <c r="P1114" s="55" t="s">
        <v>965</v>
      </c>
      <c r="Q1114" s="55" t="s">
        <v>350</v>
      </c>
      <c r="R1114" s="55">
        <v>4</v>
      </c>
      <c r="S1114" s="74"/>
      <c r="T1114" s="55" t="s">
        <v>1857</v>
      </c>
      <c r="U1114" s="73" t="s">
        <v>351</v>
      </c>
      <c r="V1114" s="74">
        <v>44425</v>
      </c>
      <c r="W1114" s="74">
        <v>44454</v>
      </c>
      <c r="X1114" s="55">
        <v>10186944</v>
      </c>
      <c r="Y1114" s="74" t="s">
        <v>132</v>
      </c>
      <c r="Z1114" s="74"/>
      <c r="AB1114" s="55" t="s">
        <v>132</v>
      </c>
      <c r="AC1114" s="55" t="s">
        <v>132</v>
      </c>
    </row>
    <row r="1115" spans="1:29" ht="13" x14ac:dyDescent="0.15">
      <c r="A1115" s="72" t="str">
        <f t="shared" si="17"/>
        <v>Ofsted Social Care Provider Webpage</v>
      </c>
      <c r="B1115" s="55">
        <v>2591400</v>
      </c>
      <c r="D1115" s="55" t="s">
        <v>373</v>
      </c>
      <c r="E1115" s="74">
        <v>43957</v>
      </c>
      <c r="F1115" s="55" t="s">
        <v>344</v>
      </c>
      <c r="G1115" s="55" t="s">
        <v>360</v>
      </c>
      <c r="H1115" s="55" t="s">
        <v>360</v>
      </c>
      <c r="I1115" s="55" t="s">
        <v>360</v>
      </c>
      <c r="J1115" s="55" t="s">
        <v>360</v>
      </c>
      <c r="K1115" s="55" t="s">
        <v>360</v>
      </c>
      <c r="L1115" s="55" t="s">
        <v>360</v>
      </c>
      <c r="M1115" s="55" t="s">
        <v>144</v>
      </c>
      <c r="N1115" s="55" t="s">
        <v>144</v>
      </c>
      <c r="O1115" s="55" t="s">
        <v>236</v>
      </c>
      <c r="P1115" s="55" t="s">
        <v>996</v>
      </c>
      <c r="Q1115" s="55" t="s">
        <v>350</v>
      </c>
      <c r="R1115" s="55">
        <v>3</v>
      </c>
      <c r="S1115" s="74"/>
      <c r="T1115" s="55" t="s">
        <v>1064</v>
      </c>
      <c r="U1115" s="73" t="s">
        <v>351</v>
      </c>
      <c r="V1115" s="74">
        <v>44488</v>
      </c>
      <c r="W1115" s="74">
        <v>44525</v>
      </c>
      <c r="X1115" s="55">
        <v>10187095</v>
      </c>
      <c r="Y1115" s="74" t="s">
        <v>132</v>
      </c>
      <c r="Z1115" s="74"/>
      <c r="AB1115" s="55" t="s">
        <v>132</v>
      </c>
      <c r="AC1115" s="55" t="s">
        <v>140</v>
      </c>
    </row>
    <row r="1116" spans="1:29" ht="13" x14ac:dyDescent="0.15">
      <c r="A1116" s="72" t="str">
        <f t="shared" si="17"/>
        <v>Ofsted Social Care Provider Webpage</v>
      </c>
      <c r="B1116" s="55">
        <v>2591431</v>
      </c>
      <c r="D1116" s="55" t="s">
        <v>373</v>
      </c>
      <c r="E1116" s="74">
        <v>44032</v>
      </c>
      <c r="F1116" s="55" t="s">
        <v>344</v>
      </c>
      <c r="G1116" s="55" t="s">
        <v>360</v>
      </c>
      <c r="H1116" s="55" t="s">
        <v>360</v>
      </c>
      <c r="I1116" s="55" t="s">
        <v>360</v>
      </c>
      <c r="J1116" s="55" t="s">
        <v>360</v>
      </c>
      <c r="K1116" s="55" t="s">
        <v>360</v>
      </c>
      <c r="L1116" s="55" t="s">
        <v>360</v>
      </c>
      <c r="M1116" s="55" t="s">
        <v>138</v>
      </c>
      <c r="N1116" s="55" t="s">
        <v>138</v>
      </c>
      <c r="O1116" s="55" t="s">
        <v>183</v>
      </c>
      <c r="P1116" s="55" t="s">
        <v>730</v>
      </c>
      <c r="Q1116" s="55" t="s">
        <v>350</v>
      </c>
      <c r="R1116" s="55">
        <v>8</v>
      </c>
      <c r="S1116" s="74"/>
      <c r="T1116" s="55" t="s">
        <v>574</v>
      </c>
      <c r="U1116" s="73" t="s">
        <v>351</v>
      </c>
      <c r="V1116" s="74">
        <v>44425</v>
      </c>
      <c r="W1116" s="74">
        <v>44453</v>
      </c>
      <c r="X1116" s="55">
        <v>10187385</v>
      </c>
      <c r="Y1116" s="74" t="s">
        <v>132</v>
      </c>
      <c r="Z1116" s="74"/>
      <c r="AB1116" s="55" t="s">
        <v>132</v>
      </c>
      <c r="AC1116" s="55" t="s">
        <v>132</v>
      </c>
    </row>
    <row r="1117" spans="1:29" ht="13" x14ac:dyDescent="0.15">
      <c r="A1117" s="72" t="str">
        <f t="shared" si="17"/>
        <v>Ofsted Social Care Provider Webpage</v>
      </c>
      <c r="B1117" s="55">
        <v>2591471</v>
      </c>
      <c r="D1117" s="55" t="s">
        <v>373</v>
      </c>
      <c r="E1117" s="74">
        <v>44147</v>
      </c>
      <c r="F1117" s="55" t="s">
        <v>344</v>
      </c>
      <c r="G1117" s="55" t="s">
        <v>360</v>
      </c>
      <c r="H1117" s="55" t="s">
        <v>360</v>
      </c>
      <c r="I1117" s="55" t="s">
        <v>360</v>
      </c>
      <c r="J1117" s="55" t="s">
        <v>360</v>
      </c>
      <c r="K1117" s="55" t="s">
        <v>360</v>
      </c>
      <c r="L1117" s="55" t="s">
        <v>360</v>
      </c>
      <c r="M1117" s="55" t="s">
        <v>378</v>
      </c>
      <c r="N1117" s="55" t="s">
        <v>170</v>
      </c>
      <c r="O1117" s="55" t="s">
        <v>267</v>
      </c>
      <c r="P1117" s="55" t="s">
        <v>477</v>
      </c>
      <c r="Q1117" s="55" t="s">
        <v>350</v>
      </c>
      <c r="R1117" s="55">
        <v>2</v>
      </c>
      <c r="S1117" s="74"/>
      <c r="T1117" s="55" t="s">
        <v>1699</v>
      </c>
      <c r="U1117" s="73" t="s">
        <v>351</v>
      </c>
      <c r="V1117" s="74">
        <v>44425</v>
      </c>
      <c r="W1117" s="74">
        <v>44456</v>
      </c>
      <c r="X1117" s="55">
        <v>10185780</v>
      </c>
      <c r="Y1117" s="74" t="s">
        <v>132</v>
      </c>
      <c r="Z1117" s="74"/>
      <c r="AB1117" s="55" t="s">
        <v>132</v>
      </c>
      <c r="AC1117" s="55" t="s">
        <v>132</v>
      </c>
    </row>
    <row r="1118" spans="1:29" ht="13" x14ac:dyDescent="0.15">
      <c r="A1118" s="72" t="str">
        <f t="shared" si="17"/>
        <v>Ofsted Social Care Provider Webpage</v>
      </c>
      <c r="B1118" s="55">
        <v>2591479</v>
      </c>
      <c r="D1118" s="55" t="s">
        <v>373</v>
      </c>
      <c r="E1118" s="74">
        <v>44047</v>
      </c>
      <c r="F1118" s="55" t="s">
        <v>344</v>
      </c>
      <c r="G1118" s="55" t="s">
        <v>360</v>
      </c>
      <c r="H1118" s="55" t="s">
        <v>360</v>
      </c>
      <c r="I1118" s="55" t="s">
        <v>360</v>
      </c>
      <c r="J1118" s="55" t="s">
        <v>360</v>
      </c>
      <c r="K1118" s="55" t="s">
        <v>360</v>
      </c>
      <c r="L1118" s="55" t="s">
        <v>360</v>
      </c>
      <c r="M1118" s="55" t="s">
        <v>144</v>
      </c>
      <c r="N1118" s="55" t="s">
        <v>144</v>
      </c>
      <c r="O1118" s="55" t="s">
        <v>209</v>
      </c>
      <c r="P1118" s="55" t="s">
        <v>1858</v>
      </c>
      <c r="Q1118" s="55" t="s">
        <v>350</v>
      </c>
      <c r="R1118" s="55">
        <v>3</v>
      </c>
      <c r="S1118" s="74"/>
      <c r="T1118" s="55" t="s">
        <v>778</v>
      </c>
      <c r="U1118" s="73" t="s">
        <v>351</v>
      </c>
      <c r="V1118" s="74">
        <v>44517</v>
      </c>
      <c r="W1118" s="74">
        <v>44565</v>
      </c>
      <c r="X1118" s="55">
        <v>10186108</v>
      </c>
      <c r="Y1118" s="74" t="s">
        <v>130</v>
      </c>
      <c r="Z1118" s="74"/>
      <c r="AB1118" s="55" t="s">
        <v>130</v>
      </c>
      <c r="AC1118" s="55" t="s">
        <v>130</v>
      </c>
    </row>
    <row r="1119" spans="1:29" ht="13" x14ac:dyDescent="0.15">
      <c r="A1119" s="72" t="str">
        <f t="shared" si="17"/>
        <v>Ofsted Social Care Provider Webpage</v>
      </c>
      <c r="B1119" s="55">
        <v>2591499</v>
      </c>
      <c r="D1119" s="55" t="s">
        <v>373</v>
      </c>
      <c r="E1119" s="74">
        <v>44138</v>
      </c>
      <c r="F1119" s="55" t="s">
        <v>344</v>
      </c>
      <c r="G1119" s="55" t="s">
        <v>360</v>
      </c>
      <c r="H1119" s="55" t="s">
        <v>360</v>
      </c>
      <c r="I1119" s="55" t="s">
        <v>360</v>
      </c>
      <c r="J1119" s="55" t="s">
        <v>360</v>
      </c>
      <c r="K1119" s="55" t="s">
        <v>360</v>
      </c>
      <c r="L1119" s="55" t="s">
        <v>360</v>
      </c>
      <c r="M1119" s="55" t="s">
        <v>378</v>
      </c>
      <c r="N1119" s="55" t="s">
        <v>134</v>
      </c>
      <c r="O1119" s="55" t="s">
        <v>180</v>
      </c>
      <c r="P1119" s="55" t="s">
        <v>662</v>
      </c>
      <c r="Q1119" s="55" t="s">
        <v>350</v>
      </c>
      <c r="R1119" s="55">
        <v>3</v>
      </c>
      <c r="S1119" s="74"/>
      <c r="T1119" s="55" t="s">
        <v>1484</v>
      </c>
      <c r="U1119" s="73" t="s">
        <v>351</v>
      </c>
      <c r="V1119" s="74">
        <v>44578</v>
      </c>
      <c r="W1119" s="74">
        <v>44613</v>
      </c>
      <c r="X1119" s="55">
        <v>10185790</v>
      </c>
      <c r="Y1119" s="74" t="s">
        <v>132</v>
      </c>
      <c r="Z1119" s="74"/>
      <c r="AB1119" s="55" t="s">
        <v>132</v>
      </c>
      <c r="AC1119" s="55" t="s">
        <v>132</v>
      </c>
    </row>
    <row r="1120" spans="1:29" ht="13" x14ac:dyDescent="0.15">
      <c r="A1120" s="72" t="str">
        <f t="shared" si="17"/>
        <v>Ofsted Social Care Provider Webpage</v>
      </c>
      <c r="B1120" s="55">
        <v>2591501</v>
      </c>
      <c r="D1120" s="55" t="s">
        <v>373</v>
      </c>
      <c r="E1120" s="74">
        <v>44029</v>
      </c>
      <c r="F1120" s="55" t="s">
        <v>344</v>
      </c>
      <c r="G1120" s="55" t="s">
        <v>360</v>
      </c>
      <c r="H1120" s="55" t="s">
        <v>360</v>
      </c>
      <c r="I1120" s="55" t="s">
        <v>360</v>
      </c>
      <c r="J1120" s="55" t="s">
        <v>360</v>
      </c>
      <c r="K1120" s="55" t="s">
        <v>360</v>
      </c>
      <c r="L1120" s="55" t="s">
        <v>360</v>
      </c>
      <c r="M1120" s="55" t="s">
        <v>378</v>
      </c>
      <c r="N1120" s="55" t="s">
        <v>134</v>
      </c>
      <c r="O1120" s="55" t="s">
        <v>180</v>
      </c>
      <c r="P1120" s="55" t="s">
        <v>1483</v>
      </c>
      <c r="Q1120" s="55" t="s">
        <v>350</v>
      </c>
      <c r="R1120" s="55">
        <v>2</v>
      </c>
      <c r="S1120" s="74"/>
      <c r="T1120" s="55" t="s">
        <v>1484</v>
      </c>
      <c r="U1120" s="73" t="s">
        <v>351</v>
      </c>
      <c r="V1120" s="74">
        <v>44356</v>
      </c>
      <c r="W1120" s="74">
        <v>44400</v>
      </c>
      <c r="X1120" s="55">
        <v>10185684</v>
      </c>
      <c r="Y1120" s="74" t="s">
        <v>130</v>
      </c>
      <c r="Z1120" s="74"/>
      <c r="AB1120" s="55" t="s">
        <v>130</v>
      </c>
      <c r="AC1120" s="55" t="s">
        <v>130</v>
      </c>
    </row>
    <row r="1121" spans="1:29" ht="13" x14ac:dyDescent="0.15">
      <c r="A1121" s="72" t="str">
        <f t="shared" si="17"/>
        <v>Ofsted Social Care Provider Webpage</v>
      </c>
      <c r="B1121" s="55">
        <v>2591643</v>
      </c>
      <c r="D1121" s="55" t="s">
        <v>373</v>
      </c>
      <c r="E1121" s="74">
        <v>44201</v>
      </c>
      <c r="F1121" s="55" t="s">
        <v>344</v>
      </c>
      <c r="G1121" s="55" t="s">
        <v>360</v>
      </c>
      <c r="H1121" s="55" t="s">
        <v>360</v>
      </c>
      <c r="I1121" s="55" t="s">
        <v>360</v>
      </c>
      <c r="J1121" s="55" t="s">
        <v>360</v>
      </c>
      <c r="K1121" s="55" t="s">
        <v>360</v>
      </c>
      <c r="L1121" s="55" t="s">
        <v>360</v>
      </c>
      <c r="M1121" s="55" t="s">
        <v>142</v>
      </c>
      <c r="N1121" s="55" t="s">
        <v>142</v>
      </c>
      <c r="O1121" s="55" t="s">
        <v>262</v>
      </c>
      <c r="P1121" s="55" t="s">
        <v>1859</v>
      </c>
      <c r="Q1121" s="55" t="s">
        <v>350</v>
      </c>
      <c r="R1121" s="55">
        <v>3</v>
      </c>
      <c r="S1121" s="74"/>
      <c r="T1121" s="55" t="s">
        <v>1106</v>
      </c>
      <c r="U1121" s="73"/>
      <c r="W1121" s="74"/>
      <c r="Y1121" s="74"/>
      <c r="Z1121" s="74"/>
    </row>
    <row r="1122" spans="1:29" ht="13" x14ac:dyDescent="0.15">
      <c r="A1122" s="72" t="str">
        <f t="shared" si="17"/>
        <v>Ofsted Social Care Provider Webpage</v>
      </c>
      <c r="B1122" s="55">
        <v>2591688</v>
      </c>
      <c r="D1122" s="55" t="s">
        <v>373</v>
      </c>
      <c r="E1122" s="74">
        <v>43971</v>
      </c>
      <c r="F1122" s="55" t="s">
        <v>344</v>
      </c>
      <c r="G1122" s="55" t="s">
        <v>360</v>
      </c>
      <c r="H1122" s="55" t="s">
        <v>360</v>
      </c>
      <c r="I1122" s="55" t="s">
        <v>360</v>
      </c>
      <c r="J1122" s="55" t="s">
        <v>360</v>
      </c>
      <c r="K1122" s="55" t="s">
        <v>360</v>
      </c>
      <c r="L1122" s="55" t="s">
        <v>360</v>
      </c>
      <c r="M1122" s="55" t="s">
        <v>136</v>
      </c>
      <c r="N1122" s="55" t="s">
        <v>136</v>
      </c>
      <c r="O1122" s="55" t="s">
        <v>174</v>
      </c>
      <c r="P1122" s="55" t="s">
        <v>1526</v>
      </c>
      <c r="Q1122" s="55" t="s">
        <v>350</v>
      </c>
      <c r="R1122" s="55">
        <v>2</v>
      </c>
      <c r="S1122" s="74"/>
      <c r="T1122" s="55" t="s">
        <v>1521</v>
      </c>
      <c r="U1122" s="73" t="s">
        <v>351</v>
      </c>
      <c r="V1122" s="74">
        <v>44466</v>
      </c>
      <c r="W1122" s="74">
        <v>44508</v>
      </c>
      <c r="X1122" s="55">
        <v>10186841</v>
      </c>
      <c r="Y1122" s="74" t="s">
        <v>132</v>
      </c>
      <c r="Z1122" s="74"/>
      <c r="AB1122" s="55" t="s">
        <v>130</v>
      </c>
      <c r="AC1122" s="55" t="s">
        <v>132</v>
      </c>
    </row>
    <row r="1123" spans="1:29" ht="13" x14ac:dyDescent="0.15">
      <c r="A1123" s="72" t="str">
        <f t="shared" si="17"/>
        <v>Ofsted Social Care Provider Webpage</v>
      </c>
      <c r="B1123" s="55">
        <v>2591708</v>
      </c>
      <c r="D1123" s="55" t="s">
        <v>373</v>
      </c>
      <c r="E1123" s="74">
        <v>43987</v>
      </c>
      <c r="F1123" s="55" t="s">
        <v>344</v>
      </c>
      <c r="G1123" s="55" t="s">
        <v>360</v>
      </c>
      <c r="H1123" s="55" t="s">
        <v>360</v>
      </c>
      <c r="I1123" s="55" t="s">
        <v>360</v>
      </c>
      <c r="J1123" s="55" t="s">
        <v>360</v>
      </c>
      <c r="K1123" s="55" t="s">
        <v>360</v>
      </c>
      <c r="L1123" s="55" t="s">
        <v>360</v>
      </c>
      <c r="M1123" s="55" t="s">
        <v>142</v>
      </c>
      <c r="N1123" s="55" t="s">
        <v>142</v>
      </c>
      <c r="O1123" s="55" t="s">
        <v>262</v>
      </c>
      <c r="P1123" s="55" t="s">
        <v>523</v>
      </c>
      <c r="Q1123" s="55" t="s">
        <v>350</v>
      </c>
      <c r="R1123" s="55">
        <v>3</v>
      </c>
      <c r="S1123" s="74"/>
      <c r="T1123" s="55" t="s">
        <v>1307</v>
      </c>
      <c r="U1123" s="73" t="s">
        <v>351</v>
      </c>
      <c r="V1123" s="74">
        <v>44523</v>
      </c>
      <c r="W1123" s="74">
        <v>44572</v>
      </c>
      <c r="X1123" s="55">
        <v>10185251</v>
      </c>
      <c r="Y1123" s="74" t="s">
        <v>130</v>
      </c>
      <c r="Z1123" s="74"/>
      <c r="AB1123" s="55" t="s">
        <v>130</v>
      </c>
      <c r="AC1123" s="55" t="s">
        <v>130</v>
      </c>
    </row>
    <row r="1124" spans="1:29" ht="13" x14ac:dyDescent="0.15">
      <c r="A1124" s="72" t="str">
        <f t="shared" si="17"/>
        <v>Ofsted Social Care Provider Webpage</v>
      </c>
      <c r="B1124" s="55">
        <v>2591822</v>
      </c>
      <c r="D1124" s="55" t="s">
        <v>373</v>
      </c>
      <c r="E1124" s="74">
        <v>44034</v>
      </c>
      <c r="F1124" s="55" t="s">
        <v>344</v>
      </c>
      <c r="G1124" s="55" t="s">
        <v>360</v>
      </c>
      <c r="H1124" s="55" t="s">
        <v>360</v>
      </c>
      <c r="I1124" s="55" t="s">
        <v>360</v>
      </c>
      <c r="J1124" s="55" t="s">
        <v>360</v>
      </c>
      <c r="K1124" s="55" t="s">
        <v>360</v>
      </c>
      <c r="L1124" s="55" t="s">
        <v>360</v>
      </c>
      <c r="M1124" s="55" t="s">
        <v>138</v>
      </c>
      <c r="N1124" s="55" t="s">
        <v>138</v>
      </c>
      <c r="O1124" s="55" t="s">
        <v>161</v>
      </c>
      <c r="P1124" s="55" t="s">
        <v>643</v>
      </c>
      <c r="Q1124" s="55" t="s">
        <v>350</v>
      </c>
      <c r="R1124" s="55">
        <v>4</v>
      </c>
      <c r="S1124" s="74"/>
      <c r="T1124" s="55" t="s">
        <v>1860</v>
      </c>
      <c r="U1124" s="73" t="s">
        <v>351</v>
      </c>
      <c r="V1124" s="74">
        <v>44523</v>
      </c>
      <c r="W1124" s="74">
        <v>44565</v>
      </c>
      <c r="X1124" s="55">
        <v>10185262</v>
      </c>
      <c r="Y1124" s="74" t="s">
        <v>132</v>
      </c>
      <c r="Z1124" s="74"/>
      <c r="AB1124" s="55" t="s">
        <v>132</v>
      </c>
      <c r="AC1124" s="55" t="s">
        <v>132</v>
      </c>
    </row>
    <row r="1125" spans="1:29" ht="13" x14ac:dyDescent="0.15">
      <c r="A1125" s="72" t="str">
        <f t="shared" si="17"/>
        <v>Ofsted Social Care Provider Webpage</v>
      </c>
      <c r="B1125" s="55">
        <v>2591854</v>
      </c>
      <c r="D1125" s="55" t="s">
        <v>373</v>
      </c>
      <c r="E1125" s="74">
        <v>44064</v>
      </c>
      <c r="F1125" s="55" t="s">
        <v>344</v>
      </c>
      <c r="G1125" s="55" t="s">
        <v>360</v>
      </c>
      <c r="H1125" s="55" t="s">
        <v>360</v>
      </c>
      <c r="I1125" s="55" t="s">
        <v>360</v>
      </c>
      <c r="J1125" s="55" t="s">
        <v>360</v>
      </c>
      <c r="K1125" s="55" t="s">
        <v>360</v>
      </c>
      <c r="L1125" s="55" t="s">
        <v>360</v>
      </c>
      <c r="M1125" s="55" t="s">
        <v>150</v>
      </c>
      <c r="N1125" s="55" t="s">
        <v>150</v>
      </c>
      <c r="O1125" s="55" t="s">
        <v>181</v>
      </c>
      <c r="P1125" s="55" t="s">
        <v>1142</v>
      </c>
      <c r="Q1125" s="55" t="s">
        <v>350</v>
      </c>
      <c r="R1125" s="55">
        <v>5</v>
      </c>
      <c r="S1125" s="74"/>
      <c r="T1125" s="55" t="s">
        <v>1861</v>
      </c>
      <c r="U1125" s="73" t="s">
        <v>351</v>
      </c>
      <c r="V1125" s="74">
        <v>44497</v>
      </c>
      <c r="W1125" s="74">
        <v>44547</v>
      </c>
      <c r="X1125" s="55">
        <v>10185387</v>
      </c>
      <c r="Y1125" s="74" t="s">
        <v>130</v>
      </c>
      <c r="Z1125" s="74"/>
      <c r="AB1125" s="55" t="s">
        <v>130</v>
      </c>
      <c r="AC1125" s="55" t="s">
        <v>130</v>
      </c>
    </row>
    <row r="1126" spans="1:29" ht="13" x14ac:dyDescent="0.15">
      <c r="A1126" s="72" t="str">
        <f t="shared" si="17"/>
        <v>Ofsted Social Care Provider Webpage</v>
      </c>
      <c r="B1126" s="55">
        <v>2591888</v>
      </c>
      <c r="D1126" s="55" t="s">
        <v>373</v>
      </c>
      <c r="E1126" s="74">
        <v>43998</v>
      </c>
      <c r="F1126" s="55" t="s">
        <v>344</v>
      </c>
      <c r="G1126" s="55" t="s">
        <v>360</v>
      </c>
      <c r="H1126" s="55" t="s">
        <v>360</v>
      </c>
      <c r="I1126" s="55" t="s">
        <v>360</v>
      </c>
      <c r="J1126" s="55" t="s">
        <v>360</v>
      </c>
      <c r="K1126" s="55" t="s">
        <v>360</v>
      </c>
      <c r="L1126" s="55" t="s">
        <v>360</v>
      </c>
      <c r="M1126" s="55" t="s">
        <v>144</v>
      </c>
      <c r="N1126" s="55" t="s">
        <v>144</v>
      </c>
      <c r="O1126" s="55" t="s">
        <v>271</v>
      </c>
      <c r="P1126" s="55" t="s">
        <v>1120</v>
      </c>
      <c r="Q1126" s="55" t="s">
        <v>350</v>
      </c>
      <c r="R1126" s="55">
        <v>4</v>
      </c>
      <c r="S1126" s="74"/>
      <c r="T1126" s="55" t="s">
        <v>1093</v>
      </c>
      <c r="U1126" s="73" t="s">
        <v>351</v>
      </c>
      <c r="V1126" s="74">
        <v>44516</v>
      </c>
      <c r="W1126" s="74">
        <v>44544</v>
      </c>
      <c r="X1126" s="55">
        <v>10213256</v>
      </c>
      <c r="Y1126" s="74" t="s">
        <v>130</v>
      </c>
      <c r="Z1126" s="74"/>
      <c r="AB1126" s="55" t="s">
        <v>130</v>
      </c>
      <c r="AC1126" s="55" t="s">
        <v>130</v>
      </c>
    </row>
    <row r="1127" spans="1:29" ht="13" x14ac:dyDescent="0.15">
      <c r="A1127" s="72" t="str">
        <f t="shared" si="17"/>
        <v>Ofsted Social Care Provider Webpage</v>
      </c>
      <c r="B1127" s="55">
        <v>2591911</v>
      </c>
      <c r="D1127" s="55" t="s">
        <v>373</v>
      </c>
      <c r="E1127" s="74">
        <v>43998</v>
      </c>
      <c r="F1127" s="55" t="s">
        <v>344</v>
      </c>
      <c r="G1127" s="55" t="s">
        <v>360</v>
      </c>
      <c r="H1127" s="55" t="s">
        <v>360</v>
      </c>
      <c r="I1127" s="55" t="s">
        <v>360</v>
      </c>
      <c r="J1127" s="55" t="s">
        <v>360</v>
      </c>
      <c r="K1127" s="55" t="s">
        <v>360</v>
      </c>
      <c r="L1127" s="55" t="s">
        <v>360</v>
      </c>
      <c r="M1127" s="55" t="s">
        <v>172</v>
      </c>
      <c r="N1127" s="55" t="s">
        <v>172</v>
      </c>
      <c r="O1127" s="55" t="s">
        <v>171</v>
      </c>
      <c r="P1127" s="55" t="s">
        <v>983</v>
      </c>
      <c r="Q1127" s="55" t="s">
        <v>350</v>
      </c>
      <c r="R1127" s="55">
        <v>3</v>
      </c>
      <c r="S1127" s="74"/>
      <c r="T1127" s="55" t="s">
        <v>1862</v>
      </c>
      <c r="U1127" s="73" t="s">
        <v>351</v>
      </c>
      <c r="V1127" s="74">
        <v>44572</v>
      </c>
      <c r="W1127" s="74">
        <v>44600</v>
      </c>
      <c r="X1127" s="55">
        <v>10185483</v>
      </c>
      <c r="Y1127" s="74" t="s">
        <v>132</v>
      </c>
      <c r="Z1127" s="74"/>
      <c r="AB1127" s="55" t="s">
        <v>132</v>
      </c>
      <c r="AC1127" s="55" t="s">
        <v>132</v>
      </c>
    </row>
    <row r="1128" spans="1:29" ht="13" x14ac:dyDescent="0.15">
      <c r="A1128" s="72" t="str">
        <f t="shared" si="17"/>
        <v>Ofsted Social Care Provider Webpage</v>
      </c>
      <c r="B1128" s="55">
        <v>2591916</v>
      </c>
      <c r="D1128" s="55" t="s">
        <v>373</v>
      </c>
      <c r="E1128" s="74">
        <v>44032</v>
      </c>
      <c r="F1128" s="55" t="s">
        <v>344</v>
      </c>
      <c r="G1128" s="55" t="s">
        <v>360</v>
      </c>
      <c r="H1128" s="55" t="s">
        <v>360</v>
      </c>
      <c r="I1128" s="55" t="s">
        <v>360</v>
      </c>
      <c r="J1128" s="55" t="s">
        <v>360</v>
      </c>
      <c r="K1128" s="55" t="s">
        <v>360</v>
      </c>
      <c r="L1128" s="55" t="s">
        <v>360</v>
      </c>
      <c r="M1128" s="55" t="s">
        <v>144</v>
      </c>
      <c r="N1128" s="55" t="s">
        <v>144</v>
      </c>
      <c r="O1128" s="55" t="s">
        <v>287</v>
      </c>
      <c r="P1128" s="55" t="s">
        <v>287</v>
      </c>
      <c r="Q1128" s="55" t="s">
        <v>350</v>
      </c>
      <c r="R1128" s="55">
        <v>1</v>
      </c>
      <c r="S1128" s="74"/>
      <c r="T1128" s="55" t="s">
        <v>816</v>
      </c>
      <c r="U1128" s="73" t="s">
        <v>351</v>
      </c>
      <c r="V1128" s="74">
        <v>44467</v>
      </c>
      <c r="W1128" s="74">
        <v>44512</v>
      </c>
      <c r="X1128" s="55">
        <v>10185866</v>
      </c>
      <c r="Y1128" s="74" t="s">
        <v>132</v>
      </c>
      <c r="Z1128" s="74"/>
      <c r="AB1128" s="55" t="s">
        <v>132</v>
      </c>
      <c r="AC1128" s="55" t="s">
        <v>140</v>
      </c>
    </row>
    <row r="1129" spans="1:29" ht="13" x14ac:dyDescent="0.15">
      <c r="A1129" s="72" t="str">
        <f t="shared" si="17"/>
        <v>Ofsted Social Care Provider Webpage</v>
      </c>
      <c r="B1129" s="55">
        <v>2592030</v>
      </c>
      <c r="D1129" s="55" t="s">
        <v>373</v>
      </c>
      <c r="E1129" s="74">
        <v>44004</v>
      </c>
      <c r="F1129" s="55" t="s">
        <v>344</v>
      </c>
      <c r="G1129" s="55" t="s">
        <v>360</v>
      </c>
      <c r="H1129" s="55" t="s">
        <v>360</v>
      </c>
      <c r="I1129" s="55" t="s">
        <v>360</v>
      </c>
      <c r="J1129" s="55" t="s">
        <v>360</v>
      </c>
      <c r="K1129" s="55" t="s">
        <v>360</v>
      </c>
      <c r="L1129" s="55" t="s">
        <v>360</v>
      </c>
      <c r="M1129" s="55" t="s">
        <v>150</v>
      </c>
      <c r="N1129" s="55" t="s">
        <v>150</v>
      </c>
      <c r="O1129" s="55" t="s">
        <v>203</v>
      </c>
      <c r="P1129" s="55" t="s">
        <v>632</v>
      </c>
      <c r="Q1129" s="55" t="s">
        <v>350</v>
      </c>
      <c r="R1129" s="55">
        <v>4</v>
      </c>
      <c r="S1129" s="74"/>
      <c r="T1129" s="55" t="s">
        <v>1863</v>
      </c>
      <c r="U1129" s="73" t="s">
        <v>351</v>
      </c>
      <c r="V1129" s="74">
        <v>44342</v>
      </c>
      <c r="W1129" s="74">
        <v>44393</v>
      </c>
      <c r="X1129" s="55">
        <v>10186779</v>
      </c>
      <c r="Y1129" s="74" t="s">
        <v>132</v>
      </c>
      <c r="Z1129" s="74"/>
      <c r="AB1129" s="55" t="s">
        <v>132</v>
      </c>
      <c r="AC1129" s="55" t="s">
        <v>132</v>
      </c>
    </row>
    <row r="1130" spans="1:29" ht="13" x14ac:dyDescent="0.15">
      <c r="A1130" s="72" t="str">
        <f t="shared" si="17"/>
        <v>Ofsted Social Care Provider Webpage</v>
      </c>
      <c r="B1130" s="55">
        <v>2592035</v>
      </c>
      <c r="D1130" s="55" t="s">
        <v>373</v>
      </c>
      <c r="E1130" s="74">
        <v>43991</v>
      </c>
      <c r="F1130" s="55" t="s">
        <v>344</v>
      </c>
      <c r="G1130" s="55" t="s">
        <v>360</v>
      </c>
      <c r="H1130" s="55" t="s">
        <v>360</v>
      </c>
      <c r="I1130" s="55" t="s">
        <v>360</v>
      </c>
      <c r="J1130" s="55" t="s">
        <v>360</v>
      </c>
      <c r="K1130" s="55" t="s">
        <v>360</v>
      </c>
      <c r="L1130" s="55" t="s">
        <v>360</v>
      </c>
      <c r="M1130" s="55" t="s">
        <v>144</v>
      </c>
      <c r="N1130" s="55" t="s">
        <v>144</v>
      </c>
      <c r="O1130" s="55" t="s">
        <v>290</v>
      </c>
      <c r="P1130" s="55" t="s">
        <v>1099</v>
      </c>
      <c r="Q1130" s="55" t="s">
        <v>350</v>
      </c>
      <c r="R1130" s="55">
        <v>4</v>
      </c>
      <c r="S1130" s="74"/>
      <c r="T1130" s="55" t="s">
        <v>1100</v>
      </c>
      <c r="U1130" s="73" t="s">
        <v>351</v>
      </c>
      <c r="V1130" s="74">
        <v>44523</v>
      </c>
      <c r="W1130" s="74">
        <v>44571</v>
      </c>
      <c r="X1130" s="55">
        <v>10187248</v>
      </c>
      <c r="Y1130" s="74" t="s">
        <v>146</v>
      </c>
      <c r="Z1130" s="74"/>
      <c r="AB1130" s="55" t="s">
        <v>146</v>
      </c>
      <c r="AC1130" s="55" t="s">
        <v>146</v>
      </c>
    </row>
    <row r="1131" spans="1:29" ht="13" x14ac:dyDescent="0.15">
      <c r="A1131" s="72" t="str">
        <f t="shared" si="17"/>
        <v>Ofsted Social Care Provider Webpage</v>
      </c>
      <c r="B1131" s="55">
        <v>2592060</v>
      </c>
      <c r="D1131" s="55" t="s">
        <v>358</v>
      </c>
      <c r="E1131" s="74">
        <v>44036</v>
      </c>
      <c r="F1131" s="55" t="s">
        <v>344</v>
      </c>
      <c r="G1131" s="55" t="s">
        <v>1864</v>
      </c>
      <c r="H1131" s="55" t="s">
        <v>360</v>
      </c>
      <c r="I1131" s="55" t="s">
        <v>360</v>
      </c>
      <c r="J1131" s="55" t="s">
        <v>360</v>
      </c>
      <c r="K1131" s="55" t="s">
        <v>360</v>
      </c>
      <c r="L1131" s="55" t="s">
        <v>360</v>
      </c>
      <c r="M1131" s="55" t="s">
        <v>172</v>
      </c>
      <c r="N1131" s="55" t="s">
        <v>172</v>
      </c>
      <c r="O1131" s="55" t="s">
        <v>212</v>
      </c>
      <c r="P1131" s="55" t="s">
        <v>883</v>
      </c>
      <c r="Q1131" s="55" t="s">
        <v>350</v>
      </c>
      <c r="R1131" s="55"/>
      <c r="S1131" s="74"/>
      <c r="T1131" s="55" t="s">
        <v>1865</v>
      </c>
      <c r="U1131" s="73"/>
      <c r="W1131" s="74"/>
      <c r="Y1131" s="74"/>
      <c r="Z1131" s="74"/>
    </row>
    <row r="1132" spans="1:29" ht="13" x14ac:dyDescent="0.15">
      <c r="A1132" s="72" t="str">
        <f t="shared" si="17"/>
        <v>Ofsted Social Care Provider Webpage</v>
      </c>
      <c r="B1132" s="55">
        <v>2592228</v>
      </c>
      <c r="D1132" s="55" t="s">
        <v>373</v>
      </c>
      <c r="E1132" s="74">
        <v>44014</v>
      </c>
      <c r="F1132" s="55" t="s">
        <v>344</v>
      </c>
      <c r="G1132" s="55" t="s">
        <v>360</v>
      </c>
      <c r="H1132" s="55" t="s">
        <v>360</v>
      </c>
      <c r="I1132" s="55" t="s">
        <v>360</v>
      </c>
      <c r="J1132" s="55" t="s">
        <v>360</v>
      </c>
      <c r="K1132" s="55" t="s">
        <v>360</v>
      </c>
      <c r="L1132" s="55" t="s">
        <v>360</v>
      </c>
      <c r="M1132" s="55" t="s">
        <v>172</v>
      </c>
      <c r="N1132" s="55" t="s">
        <v>172</v>
      </c>
      <c r="O1132" s="55" t="s">
        <v>284</v>
      </c>
      <c r="P1132" s="55" t="s">
        <v>1475</v>
      </c>
      <c r="Q1132" s="55" t="s">
        <v>350</v>
      </c>
      <c r="R1132" s="55">
        <v>2</v>
      </c>
      <c r="S1132" s="74"/>
      <c r="T1132" s="55" t="s">
        <v>1637</v>
      </c>
      <c r="U1132" s="73" t="s">
        <v>351</v>
      </c>
      <c r="V1132" s="74">
        <v>44398</v>
      </c>
      <c r="W1132" s="74">
        <v>44434</v>
      </c>
      <c r="X1132" s="55">
        <v>10186752</v>
      </c>
      <c r="Y1132" s="74" t="s">
        <v>130</v>
      </c>
      <c r="Z1132" s="74"/>
      <c r="AB1132" s="55" t="s">
        <v>130</v>
      </c>
      <c r="AC1132" s="55" t="s">
        <v>130</v>
      </c>
    </row>
    <row r="1133" spans="1:29" ht="13" x14ac:dyDescent="0.15">
      <c r="A1133" s="72" t="str">
        <f t="shared" si="17"/>
        <v>Ofsted Social Care Provider Webpage</v>
      </c>
      <c r="B1133" s="55">
        <v>2592242</v>
      </c>
      <c r="D1133" s="55" t="s">
        <v>373</v>
      </c>
      <c r="E1133" s="74">
        <v>44092</v>
      </c>
      <c r="F1133" s="55" t="s">
        <v>344</v>
      </c>
      <c r="G1133" s="55" t="s">
        <v>360</v>
      </c>
      <c r="H1133" s="55" t="s">
        <v>360</v>
      </c>
      <c r="I1133" s="55" t="s">
        <v>360</v>
      </c>
      <c r="J1133" s="55" t="s">
        <v>360</v>
      </c>
      <c r="K1133" s="55" t="s">
        <v>360</v>
      </c>
      <c r="L1133" s="55" t="s">
        <v>360</v>
      </c>
      <c r="M1133" s="55" t="s">
        <v>136</v>
      </c>
      <c r="N1133" s="55" t="s">
        <v>136</v>
      </c>
      <c r="O1133" s="55" t="s">
        <v>174</v>
      </c>
      <c r="P1133" s="55" t="s">
        <v>1526</v>
      </c>
      <c r="Q1133" s="55" t="s">
        <v>350</v>
      </c>
      <c r="R1133" s="55">
        <v>3</v>
      </c>
      <c r="S1133" s="74"/>
      <c r="T1133" s="55" t="s">
        <v>450</v>
      </c>
      <c r="U1133" s="73" t="s">
        <v>351</v>
      </c>
      <c r="V1133" s="74">
        <v>44419</v>
      </c>
      <c r="W1133" s="74">
        <v>44454</v>
      </c>
      <c r="X1133" s="55">
        <v>10185707</v>
      </c>
      <c r="Y1133" s="74" t="s">
        <v>132</v>
      </c>
      <c r="Z1133" s="74"/>
      <c r="AB1133" s="55" t="s">
        <v>132</v>
      </c>
      <c r="AC1133" s="55" t="s">
        <v>132</v>
      </c>
    </row>
    <row r="1134" spans="1:29" ht="13" x14ac:dyDescent="0.15">
      <c r="A1134" s="72" t="str">
        <f t="shared" si="17"/>
        <v>Ofsted Social Care Provider Webpage</v>
      </c>
      <c r="B1134" s="55">
        <v>2592361</v>
      </c>
      <c r="D1134" s="55" t="s">
        <v>373</v>
      </c>
      <c r="E1134" s="74">
        <v>43948</v>
      </c>
      <c r="F1134" s="55" t="s">
        <v>344</v>
      </c>
      <c r="G1134" s="55" t="s">
        <v>360</v>
      </c>
      <c r="H1134" s="55" t="s">
        <v>360</v>
      </c>
      <c r="I1134" s="55" t="s">
        <v>360</v>
      </c>
      <c r="J1134" s="55" t="s">
        <v>360</v>
      </c>
      <c r="K1134" s="55" t="s">
        <v>360</v>
      </c>
      <c r="L1134" s="55" t="s">
        <v>360</v>
      </c>
      <c r="M1134" s="55" t="s">
        <v>129</v>
      </c>
      <c r="N1134" s="55" t="s">
        <v>129</v>
      </c>
      <c r="O1134" s="55" t="s">
        <v>279</v>
      </c>
      <c r="P1134" s="55" t="s">
        <v>1078</v>
      </c>
      <c r="Q1134" s="55" t="s">
        <v>350</v>
      </c>
      <c r="R1134" s="55">
        <v>3</v>
      </c>
      <c r="S1134" s="74"/>
      <c r="T1134" s="55" t="s">
        <v>1866</v>
      </c>
      <c r="U1134" s="73" t="s">
        <v>351</v>
      </c>
      <c r="V1134" s="74">
        <v>44321</v>
      </c>
      <c r="W1134" s="74">
        <v>44349</v>
      </c>
      <c r="X1134" s="55">
        <v>10186789</v>
      </c>
      <c r="Y1134" s="74" t="s">
        <v>132</v>
      </c>
      <c r="Z1134" s="74"/>
      <c r="AB1134" s="55" t="s">
        <v>132</v>
      </c>
      <c r="AC1134" s="55" t="s">
        <v>132</v>
      </c>
    </row>
    <row r="1135" spans="1:29" ht="13" x14ac:dyDescent="0.15">
      <c r="A1135" s="72" t="str">
        <f t="shared" si="17"/>
        <v>Ofsted Social Care Provider Webpage</v>
      </c>
      <c r="B1135" s="55">
        <v>2592531</v>
      </c>
      <c r="D1135" s="55" t="s">
        <v>373</v>
      </c>
      <c r="E1135" s="74">
        <v>44013</v>
      </c>
      <c r="F1135" s="55" t="s">
        <v>344</v>
      </c>
      <c r="G1135" s="55" t="s">
        <v>360</v>
      </c>
      <c r="H1135" s="55" t="s">
        <v>360</v>
      </c>
      <c r="I1135" s="55" t="s">
        <v>360</v>
      </c>
      <c r="J1135" s="55" t="s">
        <v>360</v>
      </c>
      <c r="K1135" s="55" t="s">
        <v>360</v>
      </c>
      <c r="L1135" s="55" t="s">
        <v>360</v>
      </c>
      <c r="M1135" s="55" t="s">
        <v>136</v>
      </c>
      <c r="N1135" s="55" t="s">
        <v>136</v>
      </c>
      <c r="O1135" s="55" t="s">
        <v>255</v>
      </c>
      <c r="P1135" s="55" t="s">
        <v>757</v>
      </c>
      <c r="Q1135" s="55" t="s">
        <v>350</v>
      </c>
      <c r="R1135" s="55">
        <v>3</v>
      </c>
      <c r="S1135" s="74"/>
      <c r="T1135" s="55" t="s">
        <v>1359</v>
      </c>
      <c r="U1135" s="73" t="s">
        <v>351</v>
      </c>
      <c r="V1135" s="74">
        <v>44572</v>
      </c>
      <c r="W1135" s="74">
        <v>44615</v>
      </c>
      <c r="X1135" s="55">
        <v>10187524</v>
      </c>
      <c r="Y1135" s="74" t="s">
        <v>132</v>
      </c>
      <c r="Z1135" s="74"/>
      <c r="AB1135" s="55" t="s">
        <v>132</v>
      </c>
      <c r="AC1135" s="55" t="s">
        <v>132</v>
      </c>
    </row>
    <row r="1136" spans="1:29" ht="13" x14ac:dyDescent="0.15">
      <c r="A1136" s="72" t="str">
        <f t="shared" si="17"/>
        <v>Ofsted Social Care Provider Webpage</v>
      </c>
      <c r="B1136" s="55">
        <v>2592566</v>
      </c>
      <c r="D1136" s="55" t="s">
        <v>389</v>
      </c>
      <c r="E1136" s="74">
        <v>44006</v>
      </c>
      <c r="F1136" s="55" t="s">
        <v>344</v>
      </c>
      <c r="G1136" s="55" t="s">
        <v>1867</v>
      </c>
      <c r="H1136" s="55" t="s">
        <v>1868</v>
      </c>
      <c r="I1136" s="55" t="s">
        <v>1869</v>
      </c>
      <c r="J1136" s="55" t="s">
        <v>545</v>
      </c>
      <c r="K1136" s="55" t="s">
        <v>209</v>
      </c>
      <c r="L1136" s="55" t="s">
        <v>1870</v>
      </c>
      <c r="M1136" s="55" t="s">
        <v>144</v>
      </c>
      <c r="N1136" s="55" t="s">
        <v>144</v>
      </c>
      <c r="O1136" s="55" t="s">
        <v>209</v>
      </c>
      <c r="P1136" s="55" t="s">
        <v>545</v>
      </c>
      <c r="Q1136" s="55" t="s">
        <v>350</v>
      </c>
      <c r="R1136" s="55"/>
      <c r="S1136" s="74"/>
      <c r="T1136" s="55" t="s">
        <v>1871</v>
      </c>
      <c r="U1136" s="73"/>
      <c r="W1136" s="74"/>
      <c r="Y1136" s="74"/>
      <c r="Z1136" s="74"/>
    </row>
    <row r="1137" spans="1:29" ht="13" x14ac:dyDescent="0.15">
      <c r="A1137" s="72" t="str">
        <f t="shared" si="17"/>
        <v>Ofsted Social Care Provider Webpage</v>
      </c>
      <c r="B1137" s="55">
        <v>2592700</v>
      </c>
      <c r="D1137" s="55" t="s">
        <v>373</v>
      </c>
      <c r="E1137" s="74">
        <v>44159</v>
      </c>
      <c r="F1137" s="55" t="s">
        <v>344</v>
      </c>
      <c r="G1137" s="55" t="s">
        <v>360</v>
      </c>
      <c r="H1137" s="55" t="s">
        <v>360</v>
      </c>
      <c r="I1137" s="55" t="s">
        <v>360</v>
      </c>
      <c r="J1137" s="55" t="s">
        <v>360</v>
      </c>
      <c r="K1137" s="55" t="s">
        <v>360</v>
      </c>
      <c r="L1137" s="55" t="s">
        <v>360</v>
      </c>
      <c r="M1137" s="55" t="s">
        <v>150</v>
      </c>
      <c r="N1137" s="55" t="s">
        <v>150</v>
      </c>
      <c r="O1137" s="55" t="s">
        <v>253</v>
      </c>
      <c r="P1137" s="55" t="s">
        <v>253</v>
      </c>
      <c r="Q1137" s="55" t="s">
        <v>362</v>
      </c>
      <c r="R1137" s="55">
        <v>5</v>
      </c>
      <c r="S1137" s="74"/>
      <c r="T1137" s="55" t="s">
        <v>463</v>
      </c>
      <c r="U1137" s="73" t="s">
        <v>351</v>
      </c>
      <c r="V1137" s="74">
        <v>44474</v>
      </c>
      <c r="W1137" s="74">
        <v>44519</v>
      </c>
      <c r="X1137" s="55">
        <v>10185320</v>
      </c>
      <c r="Y1137" s="74" t="s">
        <v>132</v>
      </c>
      <c r="Z1137" s="74"/>
      <c r="AB1137" s="55" t="s">
        <v>132</v>
      </c>
      <c r="AC1137" s="55" t="s">
        <v>140</v>
      </c>
    </row>
    <row r="1138" spans="1:29" ht="13" x14ac:dyDescent="0.15">
      <c r="A1138" s="72" t="str">
        <f t="shared" si="17"/>
        <v>Ofsted Social Care Provider Webpage</v>
      </c>
      <c r="B1138" s="55">
        <v>2592713</v>
      </c>
      <c r="D1138" s="55" t="s">
        <v>373</v>
      </c>
      <c r="E1138" s="74">
        <v>44069</v>
      </c>
      <c r="F1138" s="55" t="s">
        <v>344</v>
      </c>
      <c r="G1138" s="55" t="s">
        <v>360</v>
      </c>
      <c r="H1138" s="55" t="s">
        <v>360</v>
      </c>
      <c r="I1138" s="55" t="s">
        <v>360</v>
      </c>
      <c r="J1138" s="55" t="s">
        <v>360</v>
      </c>
      <c r="K1138" s="55" t="s">
        <v>360</v>
      </c>
      <c r="L1138" s="55" t="s">
        <v>360</v>
      </c>
      <c r="M1138" s="55" t="s">
        <v>144</v>
      </c>
      <c r="N1138" s="55" t="s">
        <v>144</v>
      </c>
      <c r="O1138" s="55" t="s">
        <v>162</v>
      </c>
      <c r="P1138" s="55" t="s">
        <v>1502</v>
      </c>
      <c r="Q1138" s="55" t="s">
        <v>350</v>
      </c>
      <c r="R1138" s="55">
        <v>5</v>
      </c>
      <c r="S1138" s="74"/>
      <c r="T1138" s="55" t="s">
        <v>1503</v>
      </c>
      <c r="U1138" s="73" t="s">
        <v>351</v>
      </c>
      <c r="V1138" s="74">
        <v>44593</v>
      </c>
      <c r="W1138" s="74">
        <v>44637</v>
      </c>
      <c r="X1138" s="55">
        <v>10186308</v>
      </c>
      <c r="Y1138" s="74" t="s">
        <v>130</v>
      </c>
      <c r="Z1138" s="74"/>
      <c r="AB1138" s="55" t="s">
        <v>130</v>
      </c>
      <c r="AC1138" s="55" t="s">
        <v>130</v>
      </c>
    </row>
    <row r="1139" spans="1:29" ht="13" x14ac:dyDescent="0.15">
      <c r="A1139" s="72" t="str">
        <f t="shared" si="17"/>
        <v>Ofsted Social Care Provider Webpage</v>
      </c>
      <c r="B1139" s="55">
        <v>2592750</v>
      </c>
      <c r="D1139" s="55" t="s">
        <v>373</v>
      </c>
      <c r="E1139" s="74">
        <v>43992</v>
      </c>
      <c r="F1139" s="55" t="s">
        <v>344</v>
      </c>
      <c r="G1139" s="55" t="s">
        <v>360</v>
      </c>
      <c r="H1139" s="55" t="s">
        <v>360</v>
      </c>
      <c r="I1139" s="55" t="s">
        <v>360</v>
      </c>
      <c r="J1139" s="55" t="s">
        <v>360</v>
      </c>
      <c r="K1139" s="55" t="s">
        <v>360</v>
      </c>
      <c r="L1139" s="55" t="s">
        <v>360</v>
      </c>
      <c r="M1139" s="55" t="s">
        <v>138</v>
      </c>
      <c r="N1139" s="55" t="s">
        <v>138</v>
      </c>
      <c r="O1139" s="55" t="s">
        <v>224</v>
      </c>
      <c r="P1139" s="55" t="s">
        <v>1872</v>
      </c>
      <c r="Q1139" s="55" t="s">
        <v>362</v>
      </c>
      <c r="R1139" s="55">
        <v>2</v>
      </c>
      <c r="S1139" s="74"/>
      <c r="T1139" s="55" t="s">
        <v>557</v>
      </c>
      <c r="U1139" s="73" t="s">
        <v>351</v>
      </c>
      <c r="V1139" s="74">
        <v>44397</v>
      </c>
      <c r="W1139" s="74">
        <v>44426</v>
      </c>
      <c r="X1139" s="55">
        <v>10185268</v>
      </c>
      <c r="Y1139" s="74" t="s">
        <v>132</v>
      </c>
      <c r="Z1139" s="74"/>
      <c r="AB1139" s="55" t="s">
        <v>132</v>
      </c>
      <c r="AC1139" s="55" t="s">
        <v>130</v>
      </c>
    </row>
    <row r="1140" spans="1:29" ht="13" x14ac:dyDescent="0.15">
      <c r="A1140" s="72" t="str">
        <f t="shared" si="17"/>
        <v>Ofsted Social Care Provider Webpage</v>
      </c>
      <c r="B1140" s="55">
        <v>2592781</v>
      </c>
      <c r="D1140" s="55" t="s">
        <v>373</v>
      </c>
      <c r="E1140" s="74">
        <v>44001</v>
      </c>
      <c r="F1140" s="55" t="s">
        <v>344</v>
      </c>
      <c r="G1140" s="55" t="s">
        <v>360</v>
      </c>
      <c r="H1140" s="55" t="s">
        <v>360</v>
      </c>
      <c r="I1140" s="55" t="s">
        <v>360</v>
      </c>
      <c r="J1140" s="55" t="s">
        <v>360</v>
      </c>
      <c r="K1140" s="55" t="s">
        <v>360</v>
      </c>
      <c r="L1140" s="55" t="s">
        <v>360</v>
      </c>
      <c r="M1140" s="55" t="s">
        <v>144</v>
      </c>
      <c r="N1140" s="55" t="s">
        <v>144</v>
      </c>
      <c r="O1140" s="55" t="s">
        <v>250</v>
      </c>
      <c r="P1140" s="55" t="s">
        <v>759</v>
      </c>
      <c r="Q1140" s="55" t="s">
        <v>350</v>
      </c>
      <c r="R1140" s="55">
        <v>2</v>
      </c>
      <c r="S1140" s="74"/>
      <c r="T1140" s="55" t="s">
        <v>1463</v>
      </c>
      <c r="U1140" s="73" t="s">
        <v>351</v>
      </c>
      <c r="V1140" s="74">
        <v>44460</v>
      </c>
      <c r="W1140" s="74">
        <v>44515</v>
      </c>
      <c r="X1140" s="55">
        <v>10197801</v>
      </c>
      <c r="Y1140" s="74" t="s">
        <v>132</v>
      </c>
      <c r="Z1140" s="74"/>
      <c r="AB1140" s="55" t="s">
        <v>132</v>
      </c>
      <c r="AC1140" s="55" t="s">
        <v>132</v>
      </c>
    </row>
    <row r="1141" spans="1:29" ht="13" x14ac:dyDescent="0.15">
      <c r="A1141" s="72" t="str">
        <f t="shared" si="17"/>
        <v>Ofsted Social Care Provider Webpage</v>
      </c>
      <c r="B1141" s="55">
        <v>2592846</v>
      </c>
      <c r="D1141" s="55" t="s">
        <v>373</v>
      </c>
      <c r="E1141" s="74">
        <v>44123</v>
      </c>
      <c r="F1141" s="55" t="s">
        <v>344</v>
      </c>
      <c r="G1141" s="55" t="s">
        <v>360</v>
      </c>
      <c r="H1141" s="55" t="s">
        <v>360</v>
      </c>
      <c r="I1141" s="55" t="s">
        <v>360</v>
      </c>
      <c r="J1141" s="55" t="s">
        <v>360</v>
      </c>
      <c r="K1141" s="55" t="s">
        <v>360</v>
      </c>
      <c r="L1141" s="55" t="s">
        <v>360</v>
      </c>
      <c r="M1141" s="55" t="s">
        <v>378</v>
      </c>
      <c r="N1141" s="55" t="s">
        <v>134</v>
      </c>
      <c r="O1141" s="55" t="s">
        <v>158</v>
      </c>
      <c r="P1141" s="55" t="s">
        <v>480</v>
      </c>
      <c r="Q1141" s="55" t="s">
        <v>350</v>
      </c>
      <c r="R1141" s="55">
        <v>2</v>
      </c>
      <c r="S1141" s="74"/>
      <c r="T1141" s="55" t="s">
        <v>1688</v>
      </c>
      <c r="U1141" s="73" t="s">
        <v>351</v>
      </c>
      <c r="V1141" s="74">
        <v>44328</v>
      </c>
      <c r="W1141" s="74">
        <v>44369</v>
      </c>
      <c r="X1141" s="55">
        <v>10185312</v>
      </c>
      <c r="Y1141" s="74" t="s">
        <v>132</v>
      </c>
      <c r="Z1141" s="74"/>
      <c r="AB1141" s="55" t="s">
        <v>132</v>
      </c>
      <c r="AC1141" s="55" t="s">
        <v>130</v>
      </c>
    </row>
    <row r="1142" spans="1:29" ht="13" x14ac:dyDescent="0.15">
      <c r="A1142" s="72" t="str">
        <f t="shared" si="17"/>
        <v>Ofsted Social Care Provider Webpage</v>
      </c>
      <c r="B1142" s="55">
        <v>2592891</v>
      </c>
      <c r="D1142" s="55" t="s">
        <v>373</v>
      </c>
      <c r="E1142" s="74">
        <v>44103</v>
      </c>
      <c r="F1142" s="55" t="s">
        <v>344</v>
      </c>
      <c r="G1142" s="55" t="s">
        <v>360</v>
      </c>
      <c r="H1142" s="55" t="s">
        <v>360</v>
      </c>
      <c r="I1142" s="55" t="s">
        <v>360</v>
      </c>
      <c r="J1142" s="55" t="s">
        <v>360</v>
      </c>
      <c r="K1142" s="55" t="s">
        <v>360</v>
      </c>
      <c r="L1142" s="55" t="s">
        <v>360</v>
      </c>
      <c r="M1142" s="55" t="s">
        <v>378</v>
      </c>
      <c r="N1142" s="55" t="s">
        <v>170</v>
      </c>
      <c r="O1142" s="55" t="s">
        <v>264</v>
      </c>
      <c r="P1142" s="55" t="s">
        <v>437</v>
      </c>
      <c r="Q1142" s="55" t="s">
        <v>350</v>
      </c>
      <c r="R1142" s="55">
        <v>4</v>
      </c>
      <c r="S1142" s="74"/>
      <c r="T1142" s="55" t="s">
        <v>1873</v>
      </c>
      <c r="U1142" s="73" t="s">
        <v>351</v>
      </c>
      <c r="V1142" s="74">
        <v>44341</v>
      </c>
      <c r="W1142" s="74">
        <v>44407</v>
      </c>
      <c r="X1142" s="55">
        <v>10187285</v>
      </c>
      <c r="Y1142" s="74" t="s">
        <v>132</v>
      </c>
      <c r="Z1142" s="74"/>
      <c r="AB1142" s="55" t="s">
        <v>132</v>
      </c>
      <c r="AC1142" s="55" t="s">
        <v>130</v>
      </c>
    </row>
    <row r="1143" spans="1:29" ht="13" x14ac:dyDescent="0.15">
      <c r="A1143" s="72" t="str">
        <f t="shared" si="17"/>
        <v>Ofsted Social Care Provider Webpage</v>
      </c>
      <c r="B1143" s="55">
        <v>2592943</v>
      </c>
      <c r="D1143" s="55" t="s">
        <v>373</v>
      </c>
      <c r="E1143" s="74">
        <v>44057</v>
      </c>
      <c r="F1143" s="55" t="s">
        <v>344</v>
      </c>
      <c r="G1143" s="55" t="s">
        <v>360</v>
      </c>
      <c r="H1143" s="55" t="s">
        <v>360</v>
      </c>
      <c r="I1143" s="55" t="s">
        <v>360</v>
      </c>
      <c r="J1143" s="55" t="s">
        <v>360</v>
      </c>
      <c r="K1143" s="55" t="s">
        <v>360</v>
      </c>
      <c r="L1143" s="55" t="s">
        <v>360</v>
      </c>
      <c r="M1143" s="55" t="s">
        <v>142</v>
      </c>
      <c r="N1143" s="55" t="s">
        <v>142</v>
      </c>
      <c r="O1143" s="55" t="s">
        <v>265</v>
      </c>
      <c r="P1143" s="55" t="s">
        <v>540</v>
      </c>
      <c r="Q1143" s="55" t="s">
        <v>350</v>
      </c>
      <c r="R1143" s="55">
        <v>8</v>
      </c>
      <c r="S1143" s="74"/>
      <c r="T1143" s="55" t="s">
        <v>1874</v>
      </c>
      <c r="U1143" s="73" t="s">
        <v>351</v>
      </c>
      <c r="V1143" s="74">
        <v>44390</v>
      </c>
      <c r="W1143" s="74">
        <v>44420</v>
      </c>
      <c r="X1143" s="55">
        <v>10185234</v>
      </c>
      <c r="Y1143" s="74" t="s">
        <v>132</v>
      </c>
      <c r="Z1143" s="74"/>
      <c r="AB1143" s="55" t="s">
        <v>132</v>
      </c>
      <c r="AC1143" s="55" t="s">
        <v>132</v>
      </c>
    </row>
    <row r="1144" spans="1:29" ht="13" x14ac:dyDescent="0.15">
      <c r="A1144" s="72" t="str">
        <f t="shared" si="17"/>
        <v>Ofsted Social Care Provider Webpage</v>
      </c>
      <c r="B1144" s="55">
        <v>2593032</v>
      </c>
      <c r="D1144" s="55" t="s">
        <v>373</v>
      </c>
      <c r="E1144" s="74">
        <v>44021</v>
      </c>
      <c r="F1144" s="55" t="s">
        <v>344</v>
      </c>
      <c r="G1144" s="55" t="s">
        <v>360</v>
      </c>
      <c r="H1144" s="55" t="s">
        <v>360</v>
      </c>
      <c r="I1144" s="55" t="s">
        <v>360</v>
      </c>
      <c r="J1144" s="55" t="s">
        <v>360</v>
      </c>
      <c r="K1144" s="55" t="s">
        <v>360</v>
      </c>
      <c r="L1144" s="55" t="s">
        <v>360</v>
      </c>
      <c r="M1144" s="55" t="s">
        <v>172</v>
      </c>
      <c r="N1144" s="55" t="s">
        <v>172</v>
      </c>
      <c r="O1144" s="55" t="s">
        <v>173</v>
      </c>
      <c r="P1144" s="55" t="s">
        <v>860</v>
      </c>
      <c r="Q1144" s="55" t="s">
        <v>350</v>
      </c>
      <c r="R1144" s="55">
        <v>3</v>
      </c>
      <c r="S1144" s="74"/>
      <c r="T1144" s="55" t="s">
        <v>1306</v>
      </c>
      <c r="U1144" s="73" t="s">
        <v>351</v>
      </c>
      <c r="V1144" s="74">
        <v>44300</v>
      </c>
      <c r="W1144" s="74">
        <v>44330</v>
      </c>
      <c r="X1144" s="55">
        <v>10187215</v>
      </c>
      <c r="Y1144" s="74" t="s">
        <v>140</v>
      </c>
      <c r="Z1144" s="74"/>
      <c r="AB1144" s="55" t="s">
        <v>140</v>
      </c>
      <c r="AC1144" s="55" t="s">
        <v>140</v>
      </c>
    </row>
    <row r="1145" spans="1:29" ht="13" x14ac:dyDescent="0.15">
      <c r="A1145" s="72" t="str">
        <f t="shared" si="17"/>
        <v>Ofsted Social Care Provider Webpage</v>
      </c>
      <c r="B1145" s="55">
        <v>2593046</v>
      </c>
      <c r="D1145" s="55" t="s">
        <v>373</v>
      </c>
      <c r="E1145" s="74">
        <v>44063</v>
      </c>
      <c r="F1145" s="55" t="s">
        <v>344</v>
      </c>
      <c r="G1145" s="55" t="s">
        <v>360</v>
      </c>
      <c r="H1145" s="55" t="s">
        <v>360</v>
      </c>
      <c r="I1145" s="55" t="s">
        <v>360</v>
      </c>
      <c r="J1145" s="55" t="s">
        <v>360</v>
      </c>
      <c r="K1145" s="55" t="s">
        <v>360</v>
      </c>
      <c r="L1145" s="55" t="s">
        <v>360</v>
      </c>
      <c r="M1145" s="55" t="s">
        <v>378</v>
      </c>
      <c r="N1145" s="55" t="s">
        <v>134</v>
      </c>
      <c r="O1145" s="55" t="s">
        <v>158</v>
      </c>
      <c r="P1145" s="55" t="s">
        <v>480</v>
      </c>
      <c r="Q1145" s="55" t="s">
        <v>350</v>
      </c>
      <c r="R1145" s="55">
        <v>2</v>
      </c>
      <c r="S1145" s="74"/>
      <c r="T1145" s="55" t="s">
        <v>1688</v>
      </c>
      <c r="U1145" s="73" t="s">
        <v>351</v>
      </c>
      <c r="V1145" s="74">
        <v>44453</v>
      </c>
      <c r="W1145" s="74">
        <v>44495</v>
      </c>
      <c r="X1145" s="55">
        <v>10186943</v>
      </c>
      <c r="Y1145" s="74" t="s">
        <v>146</v>
      </c>
      <c r="Z1145" s="74"/>
      <c r="AB1145" s="55" t="s">
        <v>146</v>
      </c>
      <c r="AC1145" s="55" t="s">
        <v>146</v>
      </c>
    </row>
    <row r="1146" spans="1:29" ht="13" x14ac:dyDescent="0.15">
      <c r="A1146" s="72" t="str">
        <f t="shared" si="17"/>
        <v>Ofsted Social Care Provider Webpage</v>
      </c>
      <c r="B1146" s="55">
        <v>2593054</v>
      </c>
      <c r="D1146" s="55" t="s">
        <v>373</v>
      </c>
      <c r="E1146" s="74">
        <v>44033</v>
      </c>
      <c r="F1146" s="55" t="s">
        <v>344</v>
      </c>
      <c r="G1146" s="55" t="s">
        <v>360</v>
      </c>
      <c r="H1146" s="55" t="s">
        <v>360</v>
      </c>
      <c r="I1146" s="55" t="s">
        <v>360</v>
      </c>
      <c r="J1146" s="55" t="s">
        <v>360</v>
      </c>
      <c r="K1146" s="55" t="s">
        <v>360</v>
      </c>
      <c r="L1146" s="55" t="s">
        <v>360</v>
      </c>
      <c r="M1146" s="55" t="s">
        <v>136</v>
      </c>
      <c r="N1146" s="55" t="s">
        <v>136</v>
      </c>
      <c r="O1146" s="55" t="s">
        <v>165</v>
      </c>
      <c r="P1146" s="55" t="s">
        <v>748</v>
      </c>
      <c r="Q1146" s="55" t="s">
        <v>362</v>
      </c>
      <c r="R1146" s="55">
        <v>3</v>
      </c>
      <c r="S1146" s="74"/>
      <c r="T1146" s="55" t="s">
        <v>1875</v>
      </c>
      <c r="U1146" s="73" t="s">
        <v>351</v>
      </c>
      <c r="V1146" s="74">
        <v>44495</v>
      </c>
      <c r="W1146" s="74">
        <v>44532</v>
      </c>
      <c r="X1146" s="55">
        <v>10185744</v>
      </c>
      <c r="Y1146" s="74" t="s">
        <v>140</v>
      </c>
      <c r="Z1146" s="74"/>
      <c r="AB1146" s="55" t="s">
        <v>140</v>
      </c>
      <c r="AC1146" s="55" t="s">
        <v>132</v>
      </c>
    </row>
    <row r="1147" spans="1:29" ht="13" x14ac:dyDescent="0.15">
      <c r="A1147" s="72" t="str">
        <f t="shared" si="17"/>
        <v>Ofsted Social Care Provider Webpage</v>
      </c>
      <c r="B1147" s="55">
        <v>2593058</v>
      </c>
      <c r="D1147" s="55" t="s">
        <v>389</v>
      </c>
      <c r="E1147" s="74">
        <v>44421</v>
      </c>
      <c r="F1147" s="55" t="s">
        <v>344</v>
      </c>
      <c r="G1147" s="55" t="s">
        <v>1876</v>
      </c>
      <c r="H1147" s="55" t="s">
        <v>1877</v>
      </c>
      <c r="I1147" s="55" t="s">
        <v>1878</v>
      </c>
      <c r="J1147" s="55" t="s">
        <v>1331</v>
      </c>
      <c r="K1147" s="55" t="s">
        <v>1615</v>
      </c>
      <c r="L1147" s="55" t="s">
        <v>1879</v>
      </c>
      <c r="M1147" s="55" t="s">
        <v>150</v>
      </c>
      <c r="N1147" s="55" t="s">
        <v>150</v>
      </c>
      <c r="O1147" s="55" t="s">
        <v>153</v>
      </c>
      <c r="P1147" s="55" t="s">
        <v>1331</v>
      </c>
      <c r="Q1147" s="55" t="s">
        <v>350</v>
      </c>
      <c r="R1147" s="55"/>
      <c r="S1147" s="74"/>
      <c r="T1147" s="55" t="s">
        <v>502</v>
      </c>
      <c r="U1147" s="73"/>
      <c r="W1147" s="74"/>
      <c r="Y1147" s="74"/>
      <c r="Z1147" s="74"/>
    </row>
    <row r="1148" spans="1:29" ht="13" x14ac:dyDescent="0.15">
      <c r="A1148" s="72" t="str">
        <f t="shared" si="17"/>
        <v>Ofsted Social Care Provider Webpage</v>
      </c>
      <c r="B1148" s="55">
        <v>2593071</v>
      </c>
      <c r="D1148" s="55" t="s">
        <v>373</v>
      </c>
      <c r="E1148" s="74">
        <v>44092</v>
      </c>
      <c r="F1148" s="55" t="s">
        <v>344</v>
      </c>
      <c r="G1148" s="55" t="s">
        <v>360</v>
      </c>
      <c r="H1148" s="55" t="s">
        <v>360</v>
      </c>
      <c r="I1148" s="55" t="s">
        <v>360</v>
      </c>
      <c r="J1148" s="55" t="s">
        <v>360</v>
      </c>
      <c r="K1148" s="55" t="s">
        <v>360</v>
      </c>
      <c r="L1148" s="55" t="s">
        <v>360</v>
      </c>
      <c r="M1148" s="55" t="s">
        <v>172</v>
      </c>
      <c r="N1148" s="55" t="s">
        <v>172</v>
      </c>
      <c r="O1148" s="55" t="s">
        <v>211</v>
      </c>
      <c r="P1148" s="55" t="s">
        <v>1062</v>
      </c>
      <c r="Q1148" s="55" t="s">
        <v>350</v>
      </c>
      <c r="R1148" s="55">
        <v>3</v>
      </c>
      <c r="S1148" s="74"/>
      <c r="T1148" s="55" t="s">
        <v>1357</v>
      </c>
      <c r="U1148" s="73" t="s">
        <v>351</v>
      </c>
      <c r="V1148" s="74">
        <v>44461</v>
      </c>
      <c r="W1148" s="74">
        <v>44490</v>
      </c>
      <c r="X1148" s="55">
        <v>10187258</v>
      </c>
      <c r="Y1148" s="74" t="s">
        <v>140</v>
      </c>
      <c r="Z1148" s="74"/>
      <c r="AB1148" s="55" t="s">
        <v>132</v>
      </c>
      <c r="AC1148" s="55" t="s">
        <v>140</v>
      </c>
    </row>
    <row r="1149" spans="1:29" ht="13" x14ac:dyDescent="0.15">
      <c r="A1149" s="72" t="str">
        <f t="shared" si="17"/>
        <v>Ofsted Social Care Provider Webpage</v>
      </c>
      <c r="B1149" s="55">
        <v>2593076</v>
      </c>
      <c r="D1149" s="55" t="s">
        <v>451</v>
      </c>
      <c r="E1149" s="74">
        <v>44271</v>
      </c>
      <c r="F1149" s="55" t="s">
        <v>344</v>
      </c>
      <c r="G1149" s="55" t="s">
        <v>1880</v>
      </c>
      <c r="H1149" s="55" t="s">
        <v>1881</v>
      </c>
      <c r="I1149" s="55" t="s">
        <v>1882</v>
      </c>
      <c r="J1149" s="55" t="s">
        <v>545</v>
      </c>
      <c r="K1149" s="55" t="s">
        <v>209</v>
      </c>
      <c r="L1149" s="55" t="s">
        <v>1883</v>
      </c>
      <c r="M1149" s="55" t="s">
        <v>144</v>
      </c>
      <c r="N1149" s="55" t="s">
        <v>144</v>
      </c>
      <c r="O1149" s="55" t="s">
        <v>209</v>
      </c>
      <c r="P1149" s="55" t="s">
        <v>545</v>
      </c>
      <c r="Q1149" s="55" t="s">
        <v>350</v>
      </c>
      <c r="R1149" s="55">
        <v>2</v>
      </c>
      <c r="S1149" s="74"/>
      <c r="T1149" s="55" t="s">
        <v>1577</v>
      </c>
      <c r="U1149" s="73"/>
      <c r="W1149" s="74"/>
      <c r="Y1149" s="74"/>
      <c r="Z1149" s="74"/>
    </row>
    <row r="1150" spans="1:29" ht="13" x14ac:dyDescent="0.15">
      <c r="A1150" s="72" t="str">
        <f t="shared" si="17"/>
        <v>Ofsted Social Care Provider Webpage</v>
      </c>
      <c r="B1150" s="55">
        <v>2593095</v>
      </c>
      <c r="D1150" s="55" t="s">
        <v>373</v>
      </c>
      <c r="E1150" s="74">
        <v>43958</v>
      </c>
      <c r="F1150" s="55" t="s">
        <v>344</v>
      </c>
      <c r="G1150" s="55" t="s">
        <v>360</v>
      </c>
      <c r="H1150" s="55" t="s">
        <v>360</v>
      </c>
      <c r="I1150" s="55" t="s">
        <v>360</v>
      </c>
      <c r="J1150" s="55" t="s">
        <v>360</v>
      </c>
      <c r="K1150" s="55" t="s">
        <v>360</v>
      </c>
      <c r="L1150" s="55" t="s">
        <v>360</v>
      </c>
      <c r="M1150" s="55" t="s">
        <v>129</v>
      </c>
      <c r="N1150" s="55" t="s">
        <v>129</v>
      </c>
      <c r="O1150" s="55" t="s">
        <v>242</v>
      </c>
      <c r="P1150" s="55" t="s">
        <v>1519</v>
      </c>
      <c r="Q1150" s="55" t="s">
        <v>362</v>
      </c>
      <c r="R1150" s="55">
        <v>3</v>
      </c>
      <c r="S1150" s="74"/>
      <c r="T1150" s="55" t="s">
        <v>1884</v>
      </c>
      <c r="U1150" s="73" t="s">
        <v>351</v>
      </c>
      <c r="V1150" s="74">
        <v>44601</v>
      </c>
      <c r="W1150" s="74">
        <v>44662</v>
      </c>
      <c r="X1150" s="55">
        <v>10187185</v>
      </c>
      <c r="Y1150" s="74" t="s">
        <v>132</v>
      </c>
      <c r="Z1150" s="74"/>
      <c r="AB1150" s="55" t="s">
        <v>132</v>
      </c>
      <c r="AC1150" s="55" t="s">
        <v>130</v>
      </c>
    </row>
    <row r="1151" spans="1:29" ht="13" x14ac:dyDescent="0.15">
      <c r="A1151" s="72" t="str">
        <f t="shared" si="17"/>
        <v>Ofsted Social Care Provider Webpage</v>
      </c>
      <c r="B1151" s="55">
        <v>2593261</v>
      </c>
      <c r="D1151" s="55" t="s">
        <v>373</v>
      </c>
      <c r="E1151" s="74">
        <v>44013</v>
      </c>
      <c r="F1151" s="55" t="s">
        <v>344</v>
      </c>
      <c r="G1151" s="55" t="s">
        <v>360</v>
      </c>
      <c r="H1151" s="55" t="s">
        <v>360</v>
      </c>
      <c r="I1151" s="55" t="s">
        <v>360</v>
      </c>
      <c r="J1151" s="55" t="s">
        <v>360</v>
      </c>
      <c r="K1151" s="55" t="s">
        <v>360</v>
      </c>
      <c r="L1151" s="55" t="s">
        <v>360</v>
      </c>
      <c r="M1151" s="55" t="s">
        <v>144</v>
      </c>
      <c r="N1151" s="55" t="s">
        <v>144</v>
      </c>
      <c r="O1151" s="55" t="s">
        <v>163</v>
      </c>
      <c r="P1151" s="55" t="s">
        <v>472</v>
      </c>
      <c r="Q1151" s="55" t="s">
        <v>350</v>
      </c>
      <c r="R1151" s="55">
        <v>2</v>
      </c>
      <c r="S1151" s="74"/>
      <c r="T1151" s="55" t="s">
        <v>1449</v>
      </c>
      <c r="U1151" s="73"/>
      <c r="W1151" s="74"/>
      <c r="Y1151" s="74"/>
      <c r="Z1151" s="74"/>
    </row>
    <row r="1152" spans="1:29" ht="13" x14ac:dyDescent="0.15">
      <c r="A1152" s="72" t="str">
        <f t="shared" si="17"/>
        <v>Ofsted Social Care Provider Webpage</v>
      </c>
      <c r="B1152" s="55">
        <v>2593530</v>
      </c>
      <c r="D1152" s="55" t="s">
        <v>373</v>
      </c>
      <c r="E1152" s="74">
        <v>44040</v>
      </c>
      <c r="F1152" s="55" t="s">
        <v>344</v>
      </c>
      <c r="G1152" s="55" t="s">
        <v>360</v>
      </c>
      <c r="H1152" s="55" t="s">
        <v>360</v>
      </c>
      <c r="I1152" s="55" t="s">
        <v>360</v>
      </c>
      <c r="J1152" s="55" t="s">
        <v>360</v>
      </c>
      <c r="K1152" s="55" t="s">
        <v>360</v>
      </c>
      <c r="L1152" s="55" t="s">
        <v>360</v>
      </c>
      <c r="M1152" s="55" t="s">
        <v>144</v>
      </c>
      <c r="N1152" s="55" t="s">
        <v>144</v>
      </c>
      <c r="O1152" s="55" t="s">
        <v>281</v>
      </c>
      <c r="P1152" s="55" t="s">
        <v>725</v>
      </c>
      <c r="Q1152" s="55" t="s">
        <v>350</v>
      </c>
      <c r="R1152" s="55">
        <v>5</v>
      </c>
      <c r="S1152" s="74"/>
      <c r="T1152" s="55" t="s">
        <v>1885</v>
      </c>
      <c r="U1152" s="73" t="s">
        <v>351</v>
      </c>
      <c r="V1152" s="74">
        <v>44509</v>
      </c>
      <c r="W1152" s="74">
        <v>44559</v>
      </c>
      <c r="X1152" s="55">
        <v>10185376</v>
      </c>
      <c r="Y1152" s="74" t="s">
        <v>132</v>
      </c>
      <c r="Z1152" s="74"/>
      <c r="AB1152" s="55" t="s">
        <v>132</v>
      </c>
      <c r="AC1152" s="55" t="s">
        <v>132</v>
      </c>
    </row>
    <row r="1153" spans="1:29" ht="13" x14ac:dyDescent="0.15">
      <c r="A1153" s="72" t="str">
        <f t="shared" si="17"/>
        <v>Ofsted Social Care Provider Webpage</v>
      </c>
      <c r="B1153" s="55">
        <v>2593579</v>
      </c>
      <c r="D1153" s="55" t="s">
        <v>373</v>
      </c>
      <c r="E1153" s="74">
        <v>44047</v>
      </c>
      <c r="F1153" s="55" t="s">
        <v>344</v>
      </c>
      <c r="G1153" s="55" t="s">
        <v>360</v>
      </c>
      <c r="H1153" s="55" t="s">
        <v>360</v>
      </c>
      <c r="I1153" s="55" t="s">
        <v>360</v>
      </c>
      <c r="J1153" s="55" t="s">
        <v>360</v>
      </c>
      <c r="K1153" s="55" t="s">
        <v>360</v>
      </c>
      <c r="L1153" s="55" t="s">
        <v>360</v>
      </c>
      <c r="M1153" s="55" t="s">
        <v>129</v>
      </c>
      <c r="N1153" s="55" t="s">
        <v>129</v>
      </c>
      <c r="O1153" s="55" t="s">
        <v>191</v>
      </c>
      <c r="P1153" s="55" t="s">
        <v>1224</v>
      </c>
      <c r="Q1153" s="55" t="s">
        <v>350</v>
      </c>
      <c r="R1153" s="55">
        <v>5</v>
      </c>
      <c r="S1153" s="74"/>
      <c r="T1153" s="55" t="s">
        <v>1886</v>
      </c>
      <c r="U1153" s="73" t="s">
        <v>351</v>
      </c>
      <c r="V1153" s="74">
        <v>44363</v>
      </c>
      <c r="W1153" s="74">
        <v>44393</v>
      </c>
      <c r="X1153" s="55">
        <v>10187085</v>
      </c>
      <c r="Y1153" s="74" t="s">
        <v>132</v>
      </c>
      <c r="Z1153" s="74"/>
      <c r="AB1153" s="55" t="s">
        <v>132</v>
      </c>
      <c r="AC1153" s="55" t="s">
        <v>132</v>
      </c>
    </row>
    <row r="1154" spans="1:29" ht="13" x14ac:dyDescent="0.15">
      <c r="A1154" s="72" t="str">
        <f t="shared" si="17"/>
        <v>Ofsted Social Care Provider Webpage</v>
      </c>
      <c r="B1154" s="55">
        <v>2593623</v>
      </c>
      <c r="D1154" s="55" t="s">
        <v>373</v>
      </c>
      <c r="E1154" s="74">
        <v>44029</v>
      </c>
      <c r="F1154" s="55" t="s">
        <v>344</v>
      </c>
      <c r="G1154" s="55" t="s">
        <v>360</v>
      </c>
      <c r="H1154" s="55" t="s">
        <v>360</v>
      </c>
      <c r="I1154" s="55" t="s">
        <v>360</v>
      </c>
      <c r="J1154" s="55" t="s">
        <v>360</v>
      </c>
      <c r="K1154" s="55" t="s">
        <v>360</v>
      </c>
      <c r="L1154" s="55" t="s">
        <v>360</v>
      </c>
      <c r="M1154" s="55" t="s">
        <v>144</v>
      </c>
      <c r="N1154" s="55" t="s">
        <v>144</v>
      </c>
      <c r="O1154" s="55" t="s">
        <v>281</v>
      </c>
      <c r="P1154" s="55" t="s">
        <v>725</v>
      </c>
      <c r="Q1154" s="55" t="s">
        <v>350</v>
      </c>
      <c r="R1154" s="55">
        <v>1</v>
      </c>
      <c r="S1154" s="74"/>
      <c r="T1154" s="55" t="s">
        <v>1449</v>
      </c>
      <c r="U1154" s="73" t="s">
        <v>351</v>
      </c>
      <c r="V1154" s="74">
        <v>44396</v>
      </c>
      <c r="W1154" s="74">
        <v>44428</v>
      </c>
      <c r="X1154" s="55">
        <v>10186360</v>
      </c>
      <c r="Y1154" s="74" t="s">
        <v>132</v>
      </c>
      <c r="Z1154" s="74"/>
      <c r="AB1154" s="55" t="s">
        <v>132</v>
      </c>
      <c r="AC1154" s="55" t="s">
        <v>132</v>
      </c>
    </row>
    <row r="1155" spans="1:29" ht="13" x14ac:dyDescent="0.15">
      <c r="A1155" s="72" t="str">
        <f t="shared" si="17"/>
        <v>Ofsted Social Care Provider Webpage</v>
      </c>
      <c r="B1155" s="55">
        <v>2593651</v>
      </c>
      <c r="D1155" s="55" t="s">
        <v>373</v>
      </c>
      <c r="E1155" s="74">
        <v>44039</v>
      </c>
      <c r="F1155" s="55" t="s">
        <v>344</v>
      </c>
      <c r="G1155" s="55" t="s">
        <v>360</v>
      </c>
      <c r="H1155" s="55" t="s">
        <v>360</v>
      </c>
      <c r="I1155" s="55" t="s">
        <v>360</v>
      </c>
      <c r="J1155" s="55" t="s">
        <v>360</v>
      </c>
      <c r="K1155" s="55" t="s">
        <v>360</v>
      </c>
      <c r="L1155" s="55" t="s">
        <v>360</v>
      </c>
      <c r="M1155" s="55" t="s">
        <v>378</v>
      </c>
      <c r="N1155" s="55" t="s">
        <v>134</v>
      </c>
      <c r="O1155" s="55" t="s">
        <v>246</v>
      </c>
      <c r="P1155" s="55" t="s">
        <v>685</v>
      </c>
      <c r="Q1155" s="55" t="s">
        <v>350</v>
      </c>
      <c r="R1155" s="55">
        <v>4</v>
      </c>
      <c r="S1155" s="74"/>
      <c r="T1155" s="55" t="s">
        <v>1887</v>
      </c>
      <c r="U1155" s="73" t="s">
        <v>351</v>
      </c>
      <c r="V1155" s="74">
        <v>44523</v>
      </c>
      <c r="W1155" s="74">
        <v>44566</v>
      </c>
      <c r="X1155" s="55">
        <v>10187462</v>
      </c>
      <c r="Y1155" s="74" t="s">
        <v>132</v>
      </c>
      <c r="Z1155" s="74"/>
      <c r="AB1155" s="55" t="s">
        <v>132</v>
      </c>
      <c r="AC1155" s="55" t="s">
        <v>130</v>
      </c>
    </row>
    <row r="1156" spans="1:29" ht="13" x14ac:dyDescent="0.15">
      <c r="A1156" s="72" t="str">
        <f t="shared" si="17"/>
        <v>Ofsted Social Care Provider Webpage</v>
      </c>
      <c r="B1156" s="55">
        <v>2593915</v>
      </c>
      <c r="D1156" s="55" t="s">
        <v>373</v>
      </c>
      <c r="E1156" s="74">
        <v>44088</v>
      </c>
      <c r="F1156" s="55" t="s">
        <v>344</v>
      </c>
      <c r="G1156" s="55" t="s">
        <v>360</v>
      </c>
      <c r="H1156" s="55" t="s">
        <v>360</v>
      </c>
      <c r="I1156" s="55" t="s">
        <v>360</v>
      </c>
      <c r="J1156" s="55" t="s">
        <v>360</v>
      </c>
      <c r="K1156" s="55" t="s">
        <v>360</v>
      </c>
      <c r="L1156" s="55" t="s">
        <v>360</v>
      </c>
      <c r="M1156" s="55" t="s">
        <v>144</v>
      </c>
      <c r="N1156" s="55" t="s">
        <v>144</v>
      </c>
      <c r="O1156" s="55" t="s">
        <v>248</v>
      </c>
      <c r="P1156" s="55" t="s">
        <v>439</v>
      </c>
      <c r="Q1156" s="55" t="s">
        <v>350</v>
      </c>
      <c r="R1156" s="55">
        <v>3</v>
      </c>
      <c r="S1156" s="74"/>
      <c r="T1156" s="55" t="s">
        <v>871</v>
      </c>
      <c r="U1156" s="73" t="s">
        <v>351</v>
      </c>
      <c r="V1156" s="74">
        <v>44468</v>
      </c>
      <c r="W1156" s="74">
        <v>44518</v>
      </c>
      <c r="X1156" s="55">
        <v>10186326</v>
      </c>
      <c r="Y1156" s="74" t="s">
        <v>132</v>
      </c>
      <c r="Z1156" s="74"/>
      <c r="AB1156" s="55" t="s">
        <v>132</v>
      </c>
      <c r="AC1156" s="55" t="s">
        <v>132</v>
      </c>
    </row>
    <row r="1157" spans="1:29" ht="13" x14ac:dyDescent="0.15">
      <c r="A1157" s="72" t="str">
        <f t="shared" si="17"/>
        <v>Ofsted Social Care Provider Webpage</v>
      </c>
      <c r="B1157" s="55">
        <v>2593928</v>
      </c>
      <c r="D1157" s="55" t="s">
        <v>373</v>
      </c>
      <c r="E1157" s="74">
        <v>44067</v>
      </c>
      <c r="F1157" s="55" t="s">
        <v>344</v>
      </c>
      <c r="G1157" s="55" t="s">
        <v>360</v>
      </c>
      <c r="H1157" s="55" t="s">
        <v>360</v>
      </c>
      <c r="I1157" s="55" t="s">
        <v>360</v>
      </c>
      <c r="J1157" s="55" t="s">
        <v>360</v>
      </c>
      <c r="K1157" s="55" t="s">
        <v>360</v>
      </c>
      <c r="L1157" s="55" t="s">
        <v>360</v>
      </c>
      <c r="M1157" s="55" t="s">
        <v>142</v>
      </c>
      <c r="N1157" s="55" t="s">
        <v>142</v>
      </c>
      <c r="O1157" s="55" t="s">
        <v>262</v>
      </c>
      <c r="P1157" s="55" t="s">
        <v>692</v>
      </c>
      <c r="Q1157" s="55" t="s">
        <v>350</v>
      </c>
      <c r="R1157" s="55">
        <v>3</v>
      </c>
      <c r="S1157" s="74"/>
      <c r="T1157" s="55" t="s">
        <v>1855</v>
      </c>
      <c r="U1157" s="73" t="s">
        <v>351</v>
      </c>
      <c r="V1157" s="74">
        <v>44350</v>
      </c>
      <c r="W1157" s="74">
        <v>44390</v>
      </c>
      <c r="X1157" s="55">
        <v>10186327</v>
      </c>
      <c r="Y1157" s="74" t="s">
        <v>132</v>
      </c>
      <c r="Z1157" s="74"/>
      <c r="AB1157" s="55" t="s">
        <v>132</v>
      </c>
      <c r="AC1157" s="55" t="s">
        <v>130</v>
      </c>
    </row>
    <row r="1158" spans="1:29" ht="13" x14ac:dyDescent="0.15">
      <c r="A1158" s="72" t="str">
        <f t="shared" ref="A1158:A1221" si="18">HYPERLINK(_xlfn.CONCAT("http://reports.ofsted.gov.uk/inspection-reports/find-inspection-report/provider/CARE/",B1158),"Ofsted Social Care Provider Webpage")</f>
        <v>Ofsted Social Care Provider Webpage</v>
      </c>
      <c r="B1158" s="55">
        <v>2594007</v>
      </c>
      <c r="D1158" s="55" t="s">
        <v>373</v>
      </c>
      <c r="E1158" s="74">
        <v>43991</v>
      </c>
      <c r="F1158" s="55" t="s">
        <v>344</v>
      </c>
      <c r="G1158" s="55" t="s">
        <v>360</v>
      </c>
      <c r="H1158" s="55" t="s">
        <v>360</v>
      </c>
      <c r="I1158" s="55" t="s">
        <v>360</v>
      </c>
      <c r="J1158" s="55" t="s">
        <v>360</v>
      </c>
      <c r="K1158" s="55" t="s">
        <v>360</v>
      </c>
      <c r="L1158" s="55" t="s">
        <v>360</v>
      </c>
      <c r="M1158" s="55" t="s">
        <v>144</v>
      </c>
      <c r="N1158" s="55" t="s">
        <v>144</v>
      </c>
      <c r="O1158" s="55" t="s">
        <v>248</v>
      </c>
      <c r="P1158" s="55" t="s">
        <v>439</v>
      </c>
      <c r="Q1158" s="55" t="s">
        <v>350</v>
      </c>
      <c r="R1158" s="55">
        <v>2</v>
      </c>
      <c r="S1158" s="74"/>
      <c r="T1158" s="55" t="s">
        <v>385</v>
      </c>
      <c r="U1158" s="73" t="s">
        <v>351</v>
      </c>
      <c r="V1158" s="74">
        <v>44431</v>
      </c>
      <c r="W1158" s="74">
        <v>44452</v>
      </c>
      <c r="X1158" s="55">
        <v>10187567</v>
      </c>
      <c r="Y1158" s="74" t="s">
        <v>130</v>
      </c>
      <c r="Z1158" s="74"/>
      <c r="AB1158" s="55" t="s">
        <v>130</v>
      </c>
      <c r="AC1158" s="55" t="s">
        <v>130</v>
      </c>
    </row>
    <row r="1159" spans="1:29" ht="13" x14ac:dyDescent="0.15">
      <c r="A1159" s="72" t="str">
        <f t="shared" si="18"/>
        <v>Ofsted Social Care Provider Webpage</v>
      </c>
      <c r="B1159" s="55">
        <v>2594033</v>
      </c>
      <c r="D1159" s="55" t="s">
        <v>373</v>
      </c>
      <c r="E1159" s="74">
        <v>44001</v>
      </c>
      <c r="F1159" s="55" t="s">
        <v>344</v>
      </c>
      <c r="G1159" s="55" t="s">
        <v>360</v>
      </c>
      <c r="H1159" s="55" t="s">
        <v>360</v>
      </c>
      <c r="I1159" s="55" t="s">
        <v>360</v>
      </c>
      <c r="J1159" s="55" t="s">
        <v>360</v>
      </c>
      <c r="K1159" s="55" t="s">
        <v>360</v>
      </c>
      <c r="L1159" s="55" t="s">
        <v>360</v>
      </c>
      <c r="M1159" s="55" t="s">
        <v>144</v>
      </c>
      <c r="N1159" s="55" t="s">
        <v>144</v>
      </c>
      <c r="O1159" s="55" t="s">
        <v>157</v>
      </c>
      <c r="P1159" s="55" t="s">
        <v>1092</v>
      </c>
      <c r="Q1159" s="55" t="s">
        <v>350</v>
      </c>
      <c r="R1159" s="55">
        <v>3</v>
      </c>
      <c r="S1159" s="74"/>
      <c r="T1159" s="55" t="s">
        <v>513</v>
      </c>
      <c r="U1159" s="73" t="s">
        <v>351</v>
      </c>
      <c r="V1159" s="74">
        <v>44313</v>
      </c>
      <c r="W1159" s="74">
        <v>44348</v>
      </c>
      <c r="X1159" s="55">
        <v>10185742</v>
      </c>
      <c r="Y1159" s="74" t="s">
        <v>130</v>
      </c>
      <c r="Z1159" s="74"/>
      <c r="AB1159" s="55" t="s">
        <v>130</v>
      </c>
      <c r="AC1159" s="55" t="s">
        <v>130</v>
      </c>
    </row>
    <row r="1160" spans="1:29" ht="13" x14ac:dyDescent="0.15">
      <c r="A1160" s="72" t="str">
        <f t="shared" si="18"/>
        <v>Ofsted Social Care Provider Webpage</v>
      </c>
      <c r="B1160" s="55">
        <v>2594061</v>
      </c>
      <c r="D1160" s="55" t="s">
        <v>373</v>
      </c>
      <c r="E1160" s="74">
        <v>44022</v>
      </c>
      <c r="F1160" s="55" t="s">
        <v>344</v>
      </c>
      <c r="G1160" s="55" t="s">
        <v>360</v>
      </c>
      <c r="H1160" s="55" t="s">
        <v>360</v>
      </c>
      <c r="I1160" s="55" t="s">
        <v>360</v>
      </c>
      <c r="J1160" s="55" t="s">
        <v>360</v>
      </c>
      <c r="K1160" s="55" t="s">
        <v>360</v>
      </c>
      <c r="L1160" s="55" t="s">
        <v>360</v>
      </c>
      <c r="M1160" s="55" t="s">
        <v>378</v>
      </c>
      <c r="N1160" s="55" t="s">
        <v>134</v>
      </c>
      <c r="O1160" s="55" t="s">
        <v>210</v>
      </c>
      <c r="P1160" s="55" t="s">
        <v>1888</v>
      </c>
      <c r="Q1160" s="55" t="s">
        <v>350</v>
      </c>
      <c r="R1160" s="55">
        <v>3</v>
      </c>
      <c r="S1160" s="74"/>
      <c r="T1160" s="55" t="s">
        <v>1218</v>
      </c>
      <c r="U1160" s="73" t="s">
        <v>351</v>
      </c>
      <c r="V1160" s="74">
        <v>44496</v>
      </c>
      <c r="W1160" s="74">
        <v>44530</v>
      </c>
      <c r="X1160" s="55">
        <v>10187596</v>
      </c>
      <c r="Y1160" s="74" t="s">
        <v>132</v>
      </c>
      <c r="Z1160" s="74"/>
      <c r="AB1160" s="55" t="s">
        <v>132</v>
      </c>
      <c r="AC1160" s="55" t="s">
        <v>132</v>
      </c>
    </row>
    <row r="1161" spans="1:29" ht="13" x14ac:dyDescent="0.15">
      <c r="A1161" s="72" t="str">
        <f t="shared" si="18"/>
        <v>Ofsted Social Care Provider Webpage</v>
      </c>
      <c r="B1161" s="55">
        <v>2594148</v>
      </c>
      <c r="D1161" s="55" t="s">
        <v>373</v>
      </c>
      <c r="E1161" s="74">
        <v>44146</v>
      </c>
      <c r="F1161" s="55" t="s">
        <v>344</v>
      </c>
      <c r="G1161" s="55" t="s">
        <v>360</v>
      </c>
      <c r="H1161" s="55" t="s">
        <v>360</v>
      </c>
      <c r="I1161" s="55" t="s">
        <v>360</v>
      </c>
      <c r="J1161" s="55" t="s">
        <v>360</v>
      </c>
      <c r="K1161" s="55" t="s">
        <v>360</v>
      </c>
      <c r="L1161" s="55" t="s">
        <v>360</v>
      </c>
      <c r="M1161" s="55" t="s">
        <v>142</v>
      </c>
      <c r="N1161" s="55" t="s">
        <v>142</v>
      </c>
      <c r="O1161" s="55" t="s">
        <v>141</v>
      </c>
      <c r="P1161" s="55" t="s">
        <v>1231</v>
      </c>
      <c r="Q1161" s="55" t="s">
        <v>362</v>
      </c>
      <c r="R1161" s="55">
        <v>3</v>
      </c>
      <c r="S1161" s="74"/>
      <c r="U1161" s="73" t="s">
        <v>351</v>
      </c>
      <c r="V1161" s="74">
        <v>44573</v>
      </c>
      <c r="W1161" s="74">
        <v>44629</v>
      </c>
      <c r="X1161" s="55">
        <v>10185091</v>
      </c>
      <c r="Y1161" s="74" t="s">
        <v>140</v>
      </c>
      <c r="Z1161" s="74"/>
      <c r="AB1161" s="55" t="s">
        <v>140</v>
      </c>
      <c r="AC1161" s="55" t="s">
        <v>140</v>
      </c>
    </row>
    <row r="1162" spans="1:29" ht="13" x14ac:dyDescent="0.15">
      <c r="A1162" s="72" t="str">
        <f t="shared" si="18"/>
        <v>Ofsted Social Care Provider Webpage</v>
      </c>
      <c r="B1162" s="55">
        <v>2594189</v>
      </c>
      <c r="D1162" s="55" t="s">
        <v>373</v>
      </c>
      <c r="E1162" s="74">
        <v>44007</v>
      </c>
      <c r="F1162" s="55" t="s">
        <v>344</v>
      </c>
      <c r="G1162" s="55" t="s">
        <v>360</v>
      </c>
      <c r="H1162" s="55" t="s">
        <v>360</v>
      </c>
      <c r="I1162" s="55" t="s">
        <v>360</v>
      </c>
      <c r="J1162" s="55" t="s">
        <v>360</v>
      </c>
      <c r="K1162" s="55" t="s">
        <v>360</v>
      </c>
      <c r="L1162" s="55" t="s">
        <v>360</v>
      </c>
      <c r="M1162" s="55" t="s">
        <v>378</v>
      </c>
      <c r="N1162" s="55" t="s">
        <v>134</v>
      </c>
      <c r="O1162" s="55" t="s">
        <v>225</v>
      </c>
      <c r="P1162" s="55" t="s">
        <v>1889</v>
      </c>
      <c r="Q1162" s="55" t="s">
        <v>380</v>
      </c>
      <c r="R1162" s="55">
        <v>4</v>
      </c>
      <c r="S1162" s="74"/>
      <c r="T1162" s="55" t="s">
        <v>1668</v>
      </c>
      <c r="U1162" s="73" t="s">
        <v>351</v>
      </c>
      <c r="V1162" s="74">
        <v>44461</v>
      </c>
      <c r="W1162" s="74">
        <v>44495</v>
      </c>
      <c r="X1162" s="55">
        <v>10185032</v>
      </c>
      <c r="Y1162" s="74" t="s">
        <v>132</v>
      </c>
      <c r="Z1162" s="74"/>
      <c r="AB1162" s="55" t="s">
        <v>132</v>
      </c>
      <c r="AC1162" s="55" t="s">
        <v>130</v>
      </c>
    </row>
    <row r="1163" spans="1:29" ht="13" x14ac:dyDescent="0.15">
      <c r="A1163" s="72" t="str">
        <f t="shared" si="18"/>
        <v>Ofsted Social Care Provider Webpage</v>
      </c>
      <c r="B1163" s="55">
        <v>2594218</v>
      </c>
      <c r="D1163" s="55" t="s">
        <v>373</v>
      </c>
      <c r="E1163" s="74">
        <v>44097</v>
      </c>
      <c r="F1163" s="55" t="s">
        <v>344</v>
      </c>
      <c r="G1163" s="55" t="s">
        <v>360</v>
      </c>
      <c r="H1163" s="55" t="s">
        <v>360</v>
      </c>
      <c r="I1163" s="55" t="s">
        <v>360</v>
      </c>
      <c r="J1163" s="55" t="s">
        <v>360</v>
      </c>
      <c r="K1163" s="55" t="s">
        <v>360</v>
      </c>
      <c r="L1163" s="55" t="s">
        <v>360</v>
      </c>
      <c r="M1163" s="55" t="s">
        <v>129</v>
      </c>
      <c r="N1163" s="55" t="s">
        <v>129</v>
      </c>
      <c r="O1163" s="55" t="s">
        <v>223</v>
      </c>
      <c r="P1163" s="55" t="s">
        <v>1602</v>
      </c>
      <c r="Q1163" s="55" t="s">
        <v>350</v>
      </c>
      <c r="R1163" s="55">
        <v>4</v>
      </c>
      <c r="S1163" s="74"/>
      <c r="T1163" s="55" t="s">
        <v>1890</v>
      </c>
      <c r="U1163" s="73" t="s">
        <v>351</v>
      </c>
      <c r="V1163" s="74">
        <v>44405</v>
      </c>
      <c r="W1163" s="74">
        <v>44442</v>
      </c>
      <c r="X1163" s="55">
        <v>10185897</v>
      </c>
      <c r="Y1163" s="74" t="s">
        <v>132</v>
      </c>
      <c r="Z1163" s="74"/>
      <c r="AB1163" s="55" t="s">
        <v>132</v>
      </c>
      <c r="AC1163" s="55" t="s">
        <v>132</v>
      </c>
    </row>
    <row r="1164" spans="1:29" ht="13" x14ac:dyDescent="0.15">
      <c r="A1164" s="72" t="str">
        <f t="shared" si="18"/>
        <v>Ofsted Social Care Provider Webpage</v>
      </c>
      <c r="B1164" s="55">
        <v>2594233</v>
      </c>
      <c r="D1164" s="55" t="s">
        <v>373</v>
      </c>
      <c r="E1164" s="74">
        <v>44055</v>
      </c>
      <c r="F1164" s="55" t="s">
        <v>344</v>
      </c>
      <c r="G1164" s="55" t="s">
        <v>360</v>
      </c>
      <c r="H1164" s="55" t="s">
        <v>360</v>
      </c>
      <c r="I1164" s="55" t="s">
        <v>360</v>
      </c>
      <c r="J1164" s="55" t="s">
        <v>360</v>
      </c>
      <c r="K1164" s="55" t="s">
        <v>360</v>
      </c>
      <c r="L1164" s="55" t="s">
        <v>360</v>
      </c>
      <c r="M1164" s="55" t="s">
        <v>172</v>
      </c>
      <c r="N1164" s="55" t="s">
        <v>172</v>
      </c>
      <c r="O1164" s="55" t="s">
        <v>284</v>
      </c>
      <c r="P1164" s="55" t="s">
        <v>985</v>
      </c>
      <c r="Q1164" s="55" t="s">
        <v>350</v>
      </c>
      <c r="R1164" s="55">
        <v>4</v>
      </c>
      <c r="S1164" s="74"/>
      <c r="T1164" s="55" t="s">
        <v>1891</v>
      </c>
      <c r="U1164" s="73" t="s">
        <v>351</v>
      </c>
      <c r="V1164" s="74">
        <v>44362</v>
      </c>
      <c r="W1164" s="74">
        <v>44392</v>
      </c>
      <c r="X1164" s="55">
        <v>10187556</v>
      </c>
      <c r="Y1164" s="74" t="s">
        <v>132</v>
      </c>
      <c r="Z1164" s="74"/>
      <c r="AB1164" s="55" t="s">
        <v>132</v>
      </c>
      <c r="AC1164" s="55" t="s">
        <v>132</v>
      </c>
    </row>
    <row r="1165" spans="1:29" ht="13" x14ac:dyDescent="0.15">
      <c r="A1165" s="72" t="str">
        <f t="shared" si="18"/>
        <v>Ofsted Social Care Provider Webpage</v>
      </c>
      <c r="B1165" s="55">
        <v>2594366</v>
      </c>
      <c r="D1165" s="55" t="s">
        <v>373</v>
      </c>
      <c r="E1165" s="74">
        <v>44124</v>
      </c>
      <c r="F1165" s="55" t="s">
        <v>344</v>
      </c>
      <c r="G1165" s="55" t="s">
        <v>360</v>
      </c>
      <c r="H1165" s="55" t="s">
        <v>360</v>
      </c>
      <c r="I1165" s="55" t="s">
        <v>360</v>
      </c>
      <c r="J1165" s="55" t="s">
        <v>360</v>
      </c>
      <c r="K1165" s="55" t="s">
        <v>360</v>
      </c>
      <c r="L1165" s="55" t="s">
        <v>360</v>
      </c>
      <c r="M1165" s="55" t="s">
        <v>142</v>
      </c>
      <c r="N1165" s="55" t="s">
        <v>142</v>
      </c>
      <c r="O1165" s="55" t="s">
        <v>265</v>
      </c>
      <c r="P1165" s="55" t="s">
        <v>540</v>
      </c>
      <c r="Q1165" s="55" t="s">
        <v>350</v>
      </c>
      <c r="R1165" s="55">
        <v>4</v>
      </c>
      <c r="S1165" s="74"/>
      <c r="T1165" s="55" t="s">
        <v>385</v>
      </c>
      <c r="U1165" s="73" t="s">
        <v>351</v>
      </c>
      <c r="V1165" s="74">
        <v>44335</v>
      </c>
      <c r="W1165" s="74">
        <v>44377</v>
      </c>
      <c r="X1165" s="55">
        <v>10185682</v>
      </c>
      <c r="Y1165" s="74" t="s">
        <v>146</v>
      </c>
      <c r="Z1165" s="74"/>
      <c r="AB1165" s="55" t="s">
        <v>146</v>
      </c>
      <c r="AC1165" s="55" t="s">
        <v>146</v>
      </c>
    </row>
    <row r="1166" spans="1:29" ht="13" x14ac:dyDescent="0.15">
      <c r="A1166" s="72" t="str">
        <f t="shared" si="18"/>
        <v>Ofsted Social Care Provider Webpage</v>
      </c>
      <c r="B1166" s="55">
        <v>2594539</v>
      </c>
      <c r="D1166" s="55" t="s">
        <v>373</v>
      </c>
      <c r="E1166" s="74">
        <v>44146</v>
      </c>
      <c r="F1166" s="55" t="s">
        <v>344</v>
      </c>
      <c r="G1166" s="55" t="s">
        <v>360</v>
      </c>
      <c r="H1166" s="55" t="s">
        <v>360</v>
      </c>
      <c r="I1166" s="55" t="s">
        <v>360</v>
      </c>
      <c r="J1166" s="55" t="s">
        <v>360</v>
      </c>
      <c r="K1166" s="55" t="s">
        <v>360</v>
      </c>
      <c r="L1166" s="55" t="s">
        <v>360</v>
      </c>
      <c r="M1166" s="55" t="s">
        <v>378</v>
      </c>
      <c r="N1166" s="55" t="s">
        <v>134</v>
      </c>
      <c r="O1166" s="55" t="s">
        <v>180</v>
      </c>
      <c r="P1166" s="55" t="s">
        <v>1892</v>
      </c>
      <c r="Q1166" s="55" t="s">
        <v>350</v>
      </c>
      <c r="R1166" s="55">
        <v>4</v>
      </c>
      <c r="S1166" s="74"/>
      <c r="T1166" s="55" t="s">
        <v>385</v>
      </c>
      <c r="U1166" s="73" t="s">
        <v>351</v>
      </c>
      <c r="V1166" s="74">
        <v>44383</v>
      </c>
      <c r="W1166" s="74">
        <v>44420</v>
      </c>
      <c r="X1166" s="55">
        <v>10186042</v>
      </c>
      <c r="Y1166" s="74" t="s">
        <v>132</v>
      </c>
      <c r="Z1166" s="74"/>
      <c r="AB1166" s="55" t="s">
        <v>132</v>
      </c>
      <c r="AC1166" s="55" t="s">
        <v>132</v>
      </c>
    </row>
    <row r="1167" spans="1:29" ht="13" x14ac:dyDescent="0.15">
      <c r="A1167" s="72" t="str">
        <f t="shared" si="18"/>
        <v>Ofsted Social Care Provider Webpage</v>
      </c>
      <c r="B1167" s="55">
        <v>2594543</v>
      </c>
      <c r="D1167" s="55" t="s">
        <v>373</v>
      </c>
      <c r="E1167" s="74">
        <v>44020</v>
      </c>
      <c r="F1167" s="55" t="s">
        <v>344</v>
      </c>
      <c r="G1167" s="55" t="s">
        <v>360</v>
      </c>
      <c r="H1167" s="55" t="s">
        <v>360</v>
      </c>
      <c r="I1167" s="55" t="s">
        <v>360</v>
      </c>
      <c r="J1167" s="55" t="s">
        <v>360</v>
      </c>
      <c r="K1167" s="55" t="s">
        <v>360</v>
      </c>
      <c r="L1167" s="55" t="s">
        <v>360</v>
      </c>
      <c r="M1167" s="55" t="s">
        <v>378</v>
      </c>
      <c r="N1167" s="55" t="s">
        <v>134</v>
      </c>
      <c r="O1167" s="55" t="s">
        <v>133</v>
      </c>
      <c r="P1167" s="55" t="s">
        <v>1804</v>
      </c>
      <c r="Q1167" s="55" t="s">
        <v>350</v>
      </c>
      <c r="R1167" s="55">
        <v>4</v>
      </c>
      <c r="S1167" s="74"/>
      <c r="T1167" s="55" t="s">
        <v>462</v>
      </c>
      <c r="U1167" s="73" t="s">
        <v>351</v>
      </c>
      <c r="V1167" s="74">
        <v>44580</v>
      </c>
      <c r="W1167" s="74">
        <v>44615</v>
      </c>
      <c r="X1167" s="55">
        <v>10186205</v>
      </c>
      <c r="Y1167" s="74" t="s">
        <v>132</v>
      </c>
      <c r="Z1167" s="74"/>
      <c r="AB1167" s="55" t="s">
        <v>132</v>
      </c>
      <c r="AC1167" s="55" t="s">
        <v>130</v>
      </c>
    </row>
    <row r="1168" spans="1:29" ht="13" x14ac:dyDescent="0.15">
      <c r="A1168" s="72" t="str">
        <f t="shared" si="18"/>
        <v>Ofsted Social Care Provider Webpage</v>
      </c>
      <c r="B1168" s="55">
        <v>2594629</v>
      </c>
      <c r="D1168" s="55" t="s">
        <v>373</v>
      </c>
      <c r="E1168" s="74">
        <v>44020</v>
      </c>
      <c r="F1168" s="55" t="s">
        <v>728</v>
      </c>
      <c r="G1168" s="55" t="s">
        <v>360</v>
      </c>
      <c r="H1168" s="55" t="s">
        <v>360</v>
      </c>
      <c r="I1168" s="55" t="s">
        <v>360</v>
      </c>
      <c r="J1168" s="55" t="s">
        <v>360</v>
      </c>
      <c r="K1168" s="55" t="s">
        <v>360</v>
      </c>
      <c r="L1168" s="55" t="s">
        <v>360</v>
      </c>
      <c r="M1168" s="55" t="s">
        <v>129</v>
      </c>
      <c r="N1168" s="55" t="s">
        <v>129</v>
      </c>
      <c r="O1168" s="55" t="s">
        <v>242</v>
      </c>
      <c r="P1168" s="55" t="s">
        <v>1192</v>
      </c>
      <c r="Q1168" s="55" t="s">
        <v>350</v>
      </c>
      <c r="R1168" s="55">
        <v>2</v>
      </c>
      <c r="S1168" s="74"/>
      <c r="T1168" s="55" t="s">
        <v>1893</v>
      </c>
      <c r="U1168" s="73" t="s">
        <v>351</v>
      </c>
      <c r="V1168" s="74">
        <v>44537</v>
      </c>
      <c r="W1168" s="74">
        <v>44586</v>
      </c>
      <c r="X1168" s="55">
        <v>10186077</v>
      </c>
      <c r="Y1168" s="74" t="s">
        <v>130</v>
      </c>
      <c r="Z1168" s="74"/>
      <c r="AB1168" s="55" t="s">
        <v>130</v>
      </c>
      <c r="AC1168" s="55" t="s">
        <v>146</v>
      </c>
    </row>
    <row r="1169" spans="1:29" ht="13" x14ac:dyDescent="0.15">
      <c r="A1169" s="72" t="str">
        <f t="shared" si="18"/>
        <v>Ofsted Social Care Provider Webpage</v>
      </c>
      <c r="B1169" s="55">
        <v>2594775</v>
      </c>
      <c r="D1169" s="55" t="s">
        <v>373</v>
      </c>
      <c r="E1169" s="74">
        <v>44552</v>
      </c>
      <c r="F1169" s="55" t="s">
        <v>344</v>
      </c>
      <c r="G1169" s="55" t="s">
        <v>360</v>
      </c>
      <c r="H1169" s="55" t="s">
        <v>360</v>
      </c>
      <c r="I1169" s="55" t="s">
        <v>360</v>
      </c>
      <c r="J1169" s="55" t="s">
        <v>360</v>
      </c>
      <c r="K1169" s="55" t="s">
        <v>360</v>
      </c>
      <c r="L1169" s="55" t="s">
        <v>360</v>
      </c>
      <c r="M1169" s="55" t="s">
        <v>150</v>
      </c>
      <c r="N1169" s="55" t="s">
        <v>150</v>
      </c>
      <c r="O1169" s="55" t="s">
        <v>203</v>
      </c>
      <c r="P1169" s="55" t="s">
        <v>563</v>
      </c>
      <c r="Q1169" s="55" t="s">
        <v>350</v>
      </c>
      <c r="R1169" s="55">
        <v>4</v>
      </c>
      <c r="S1169" s="74"/>
      <c r="T1169" s="55" t="s">
        <v>1039</v>
      </c>
      <c r="U1169" s="73"/>
      <c r="W1169" s="74"/>
      <c r="Y1169" s="74"/>
      <c r="Z1169" s="74"/>
    </row>
    <row r="1170" spans="1:29" ht="13" x14ac:dyDescent="0.15">
      <c r="A1170" s="72" t="str">
        <f t="shared" si="18"/>
        <v>Ofsted Social Care Provider Webpage</v>
      </c>
      <c r="B1170" s="55">
        <v>2594802</v>
      </c>
      <c r="D1170" s="55" t="s">
        <v>389</v>
      </c>
      <c r="E1170" s="74">
        <v>44042</v>
      </c>
      <c r="F1170" s="55" t="s">
        <v>344</v>
      </c>
      <c r="G1170" s="55" t="s">
        <v>1894</v>
      </c>
      <c r="H1170" s="55" t="s">
        <v>1895</v>
      </c>
      <c r="I1170" s="55" t="s">
        <v>1896</v>
      </c>
      <c r="J1170" s="55" t="s">
        <v>193</v>
      </c>
      <c r="L1170" s="55" t="s">
        <v>1897</v>
      </c>
      <c r="M1170" s="55" t="s">
        <v>378</v>
      </c>
      <c r="N1170" s="55" t="s">
        <v>170</v>
      </c>
      <c r="O1170" s="55" t="s">
        <v>193</v>
      </c>
      <c r="P1170" s="55" t="s">
        <v>193</v>
      </c>
      <c r="Q1170" s="55" t="s">
        <v>350</v>
      </c>
      <c r="R1170" s="55"/>
      <c r="S1170" s="74"/>
      <c r="T1170" s="55" t="s">
        <v>1894</v>
      </c>
      <c r="U1170" s="73"/>
      <c r="W1170" s="74"/>
      <c r="Y1170" s="74"/>
      <c r="Z1170" s="74"/>
    </row>
    <row r="1171" spans="1:29" ht="13" x14ac:dyDescent="0.15">
      <c r="A1171" s="72" t="str">
        <f t="shared" si="18"/>
        <v>Ofsted Social Care Provider Webpage</v>
      </c>
      <c r="B1171" s="55">
        <v>2594825</v>
      </c>
      <c r="D1171" s="55" t="s">
        <v>373</v>
      </c>
      <c r="E1171" s="74">
        <v>44090</v>
      </c>
      <c r="F1171" s="55" t="s">
        <v>344</v>
      </c>
      <c r="G1171" s="55" t="s">
        <v>360</v>
      </c>
      <c r="H1171" s="55" t="s">
        <v>360</v>
      </c>
      <c r="I1171" s="55" t="s">
        <v>360</v>
      </c>
      <c r="J1171" s="55" t="s">
        <v>360</v>
      </c>
      <c r="K1171" s="55" t="s">
        <v>360</v>
      </c>
      <c r="L1171" s="55" t="s">
        <v>360</v>
      </c>
      <c r="M1171" s="55" t="s">
        <v>144</v>
      </c>
      <c r="N1171" s="55" t="s">
        <v>144</v>
      </c>
      <c r="O1171" s="55" t="s">
        <v>168</v>
      </c>
      <c r="P1171" s="55" t="s">
        <v>913</v>
      </c>
      <c r="Q1171" s="55" t="s">
        <v>350</v>
      </c>
      <c r="R1171" s="55">
        <v>5</v>
      </c>
      <c r="S1171" s="74"/>
      <c r="T1171" s="55" t="s">
        <v>1098</v>
      </c>
      <c r="U1171" s="73" t="s">
        <v>351</v>
      </c>
      <c r="V1171" s="74">
        <v>44299</v>
      </c>
      <c r="W1171" s="74">
        <v>44342</v>
      </c>
      <c r="X1171" s="55">
        <v>10186476</v>
      </c>
      <c r="Y1171" s="74" t="s">
        <v>132</v>
      </c>
      <c r="Z1171" s="74"/>
      <c r="AB1171" s="55" t="s">
        <v>132</v>
      </c>
      <c r="AC1171" s="55" t="s">
        <v>132</v>
      </c>
    </row>
    <row r="1172" spans="1:29" ht="13" x14ac:dyDescent="0.15">
      <c r="A1172" s="72" t="str">
        <f t="shared" si="18"/>
        <v>Ofsted Social Care Provider Webpage</v>
      </c>
      <c r="B1172" s="55">
        <v>2594854</v>
      </c>
      <c r="D1172" s="55" t="s">
        <v>373</v>
      </c>
      <c r="E1172" s="74">
        <v>44070</v>
      </c>
      <c r="F1172" s="55" t="s">
        <v>344</v>
      </c>
      <c r="G1172" s="55" t="s">
        <v>360</v>
      </c>
      <c r="H1172" s="55" t="s">
        <v>360</v>
      </c>
      <c r="I1172" s="55" t="s">
        <v>360</v>
      </c>
      <c r="J1172" s="55" t="s">
        <v>360</v>
      </c>
      <c r="K1172" s="55" t="s">
        <v>360</v>
      </c>
      <c r="L1172" s="55" t="s">
        <v>360</v>
      </c>
      <c r="M1172" s="55" t="s">
        <v>136</v>
      </c>
      <c r="N1172" s="55" t="s">
        <v>136</v>
      </c>
      <c r="O1172" s="55" t="s">
        <v>288</v>
      </c>
      <c r="P1172" s="55" t="s">
        <v>1388</v>
      </c>
      <c r="Q1172" s="55" t="s">
        <v>350</v>
      </c>
      <c r="R1172" s="55">
        <v>5</v>
      </c>
      <c r="S1172" s="74"/>
      <c r="T1172" s="55" t="s">
        <v>435</v>
      </c>
      <c r="U1172" s="73" t="s">
        <v>351</v>
      </c>
      <c r="V1172" s="74">
        <v>44566</v>
      </c>
      <c r="W1172" s="74">
        <v>44606</v>
      </c>
      <c r="X1172" s="55">
        <v>10185639</v>
      </c>
      <c r="Y1172" s="74" t="s">
        <v>132</v>
      </c>
      <c r="Z1172" s="74"/>
      <c r="AB1172" s="55" t="s">
        <v>130</v>
      </c>
      <c r="AC1172" s="55" t="s">
        <v>132</v>
      </c>
    </row>
    <row r="1173" spans="1:29" ht="13" x14ac:dyDescent="0.15">
      <c r="A1173" s="72" t="str">
        <f t="shared" si="18"/>
        <v>Ofsted Social Care Provider Webpage</v>
      </c>
      <c r="B1173" s="55">
        <v>2594859</v>
      </c>
      <c r="D1173" s="55" t="s">
        <v>373</v>
      </c>
      <c r="E1173" s="74">
        <v>44251</v>
      </c>
      <c r="F1173" s="55" t="s">
        <v>344</v>
      </c>
      <c r="G1173" s="55" t="s">
        <v>360</v>
      </c>
      <c r="H1173" s="55" t="s">
        <v>360</v>
      </c>
      <c r="I1173" s="55" t="s">
        <v>360</v>
      </c>
      <c r="J1173" s="55" t="s">
        <v>360</v>
      </c>
      <c r="K1173" s="55" t="s">
        <v>360</v>
      </c>
      <c r="L1173" s="55" t="s">
        <v>360</v>
      </c>
      <c r="M1173" s="55" t="s">
        <v>138</v>
      </c>
      <c r="N1173" s="55" t="s">
        <v>138</v>
      </c>
      <c r="O1173" s="55" t="s">
        <v>238</v>
      </c>
      <c r="P1173" s="55" t="s">
        <v>238</v>
      </c>
      <c r="Q1173" s="55" t="s">
        <v>350</v>
      </c>
      <c r="R1173" s="55">
        <v>2</v>
      </c>
      <c r="S1173" s="74"/>
      <c r="T1173" s="55" t="s">
        <v>1898</v>
      </c>
      <c r="U1173" s="73" t="s">
        <v>351</v>
      </c>
      <c r="V1173" s="74">
        <v>44523</v>
      </c>
      <c r="W1173" s="74">
        <v>44565</v>
      </c>
      <c r="X1173" s="55">
        <v>10188281</v>
      </c>
      <c r="Y1173" s="74" t="s">
        <v>132</v>
      </c>
      <c r="Z1173" s="74"/>
      <c r="AB1173" s="55" t="s">
        <v>132</v>
      </c>
      <c r="AC1173" s="55" t="s">
        <v>132</v>
      </c>
    </row>
    <row r="1174" spans="1:29" ht="13" x14ac:dyDescent="0.15">
      <c r="A1174" s="72" t="str">
        <f t="shared" si="18"/>
        <v>Ofsted Social Care Provider Webpage</v>
      </c>
      <c r="B1174" s="55">
        <v>2594875</v>
      </c>
      <c r="D1174" s="55" t="s">
        <v>373</v>
      </c>
      <c r="E1174" s="74">
        <v>44025</v>
      </c>
      <c r="F1174" s="55" t="s">
        <v>344</v>
      </c>
      <c r="G1174" s="55" t="s">
        <v>360</v>
      </c>
      <c r="H1174" s="55" t="s">
        <v>360</v>
      </c>
      <c r="I1174" s="55" t="s">
        <v>360</v>
      </c>
      <c r="J1174" s="55" t="s">
        <v>360</v>
      </c>
      <c r="K1174" s="55" t="s">
        <v>360</v>
      </c>
      <c r="L1174" s="55" t="s">
        <v>360</v>
      </c>
      <c r="M1174" s="55" t="s">
        <v>138</v>
      </c>
      <c r="N1174" s="55" t="s">
        <v>138</v>
      </c>
      <c r="O1174" s="55" t="s">
        <v>159</v>
      </c>
      <c r="P1174" s="55" t="s">
        <v>1080</v>
      </c>
      <c r="Q1174" s="55" t="s">
        <v>350</v>
      </c>
      <c r="R1174" s="55">
        <v>4</v>
      </c>
      <c r="S1174" s="74"/>
      <c r="T1174" s="55" t="s">
        <v>1899</v>
      </c>
      <c r="U1174" s="73" t="s">
        <v>351</v>
      </c>
      <c r="V1174" s="74">
        <v>44418</v>
      </c>
      <c r="W1174" s="74">
        <v>44448</v>
      </c>
      <c r="X1174" s="55">
        <v>10187158</v>
      </c>
      <c r="Y1174" s="74" t="s">
        <v>132</v>
      </c>
      <c r="Z1174" s="74"/>
      <c r="AB1174" s="55" t="s">
        <v>132</v>
      </c>
      <c r="AC1174" s="55" t="s">
        <v>132</v>
      </c>
    </row>
    <row r="1175" spans="1:29" ht="13" x14ac:dyDescent="0.15">
      <c r="A1175" s="72" t="str">
        <f t="shared" si="18"/>
        <v>Ofsted Social Care Provider Webpage</v>
      </c>
      <c r="B1175" s="55">
        <v>2594902</v>
      </c>
      <c r="D1175" s="55" t="s">
        <v>373</v>
      </c>
      <c r="E1175" s="74">
        <v>44095</v>
      </c>
      <c r="F1175" s="55" t="s">
        <v>344</v>
      </c>
      <c r="G1175" s="55" t="s">
        <v>360</v>
      </c>
      <c r="H1175" s="55" t="s">
        <v>360</v>
      </c>
      <c r="I1175" s="55" t="s">
        <v>360</v>
      </c>
      <c r="J1175" s="55" t="s">
        <v>360</v>
      </c>
      <c r="K1175" s="55" t="s">
        <v>360</v>
      </c>
      <c r="L1175" s="55" t="s">
        <v>360</v>
      </c>
      <c r="M1175" s="55" t="s">
        <v>136</v>
      </c>
      <c r="N1175" s="55" t="s">
        <v>136</v>
      </c>
      <c r="O1175" s="55" t="s">
        <v>288</v>
      </c>
      <c r="P1175" s="55" t="s">
        <v>1388</v>
      </c>
      <c r="Q1175" s="55" t="s">
        <v>350</v>
      </c>
      <c r="R1175" s="55">
        <v>5</v>
      </c>
      <c r="S1175" s="74"/>
      <c r="T1175" s="55" t="s">
        <v>435</v>
      </c>
      <c r="U1175" s="73" t="s">
        <v>351</v>
      </c>
      <c r="V1175" s="74">
        <v>44607</v>
      </c>
      <c r="W1175" s="74">
        <v>44657</v>
      </c>
      <c r="X1175" s="55">
        <v>10185638</v>
      </c>
      <c r="Y1175" s="74" t="s">
        <v>130</v>
      </c>
      <c r="Z1175" s="74"/>
      <c r="AB1175" s="55" t="s">
        <v>130</v>
      </c>
      <c r="AC1175" s="55" t="s">
        <v>130</v>
      </c>
    </row>
    <row r="1176" spans="1:29" ht="13" x14ac:dyDescent="0.15">
      <c r="A1176" s="72" t="str">
        <f t="shared" si="18"/>
        <v>Ofsted Social Care Provider Webpage</v>
      </c>
      <c r="B1176" s="55">
        <v>2594952</v>
      </c>
      <c r="D1176" s="55" t="s">
        <v>373</v>
      </c>
      <c r="E1176" s="74">
        <v>44075</v>
      </c>
      <c r="F1176" s="55" t="s">
        <v>344</v>
      </c>
      <c r="G1176" s="55" t="s">
        <v>360</v>
      </c>
      <c r="H1176" s="55" t="s">
        <v>360</v>
      </c>
      <c r="I1176" s="55" t="s">
        <v>360</v>
      </c>
      <c r="J1176" s="55" t="s">
        <v>360</v>
      </c>
      <c r="K1176" s="55" t="s">
        <v>360</v>
      </c>
      <c r="L1176" s="55" t="s">
        <v>360</v>
      </c>
      <c r="M1176" s="55" t="s">
        <v>378</v>
      </c>
      <c r="N1176" s="55" t="s">
        <v>170</v>
      </c>
      <c r="O1176" s="55" t="s">
        <v>184</v>
      </c>
      <c r="P1176" s="55" t="s">
        <v>184</v>
      </c>
      <c r="Q1176" s="55" t="s">
        <v>350</v>
      </c>
      <c r="R1176" s="55">
        <v>3</v>
      </c>
      <c r="S1176" s="74"/>
      <c r="T1176" s="55" t="s">
        <v>677</v>
      </c>
      <c r="U1176" s="73" t="s">
        <v>351</v>
      </c>
      <c r="V1176" s="74">
        <v>44453</v>
      </c>
      <c r="W1176" s="74">
        <v>44481</v>
      </c>
      <c r="X1176" s="55">
        <v>10186893</v>
      </c>
      <c r="Y1176" s="74" t="s">
        <v>132</v>
      </c>
      <c r="Z1176" s="74"/>
      <c r="AB1176" s="55" t="s">
        <v>132</v>
      </c>
      <c r="AC1176" s="55" t="s">
        <v>132</v>
      </c>
    </row>
    <row r="1177" spans="1:29" ht="13" x14ac:dyDescent="0.15">
      <c r="A1177" s="72" t="str">
        <f t="shared" si="18"/>
        <v>Ofsted Social Care Provider Webpage</v>
      </c>
      <c r="B1177" s="55">
        <v>2594985</v>
      </c>
      <c r="D1177" s="55" t="s">
        <v>373</v>
      </c>
      <c r="E1177" s="74">
        <v>44046</v>
      </c>
      <c r="F1177" s="55" t="s">
        <v>344</v>
      </c>
      <c r="G1177" s="55" t="s">
        <v>360</v>
      </c>
      <c r="H1177" s="55" t="s">
        <v>360</v>
      </c>
      <c r="I1177" s="55" t="s">
        <v>360</v>
      </c>
      <c r="J1177" s="55" t="s">
        <v>360</v>
      </c>
      <c r="K1177" s="55" t="s">
        <v>360</v>
      </c>
      <c r="L1177" s="55" t="s">
        <v>360</v>
      </c>
      <c r="M1177" s="55" t="s">
        <v>144</v>
      </c>
      <c r="N1177" s="55" t="s">
        <v>144</v>
      </c>
      <c r="O1177" s="55" t="s">
        <v>209</v>
      </c>
      <c r="P1177" s="55" t="s">
        <v>597</v>
      </c>
      <c r="Q1177" s="55" t="s">
        <v>350</v>
      </c>
      <c r="R1177" s="55">
        <v>4</v>
      </c>
      <c r="S1177" s="74"/>
      <c r="T1177" s="55" t="s">
        <v>737</v>
      </c>
      <c r="U1177" s="73" t="s">
        <v>351</v>
      </c>
      <c r="V1177" s="74">
        <v>44594</v>
      </c>
      <c r="W1177" s="74">
        <v>44641</v>
      </c>
      <c r="X1177" s="55">
        <v>10187320</v>
      </c>
      <c r="Y1177" s="74" t="s">
        <v>132</v>
      </c>
      <c r="Z1177" s="74"/>
      <c r="AB1177" s="55" t="s">
        <v>132</v>
      </c>
      <c r="AC1177" s="55" t="s">
        <v>132</v>
      </c>
    </row>
    <row r="1178" spans="1:29" ht="13" x14ac:dyDescent="0.15">
      <c r="A1178" s="72" t="str">
        <f t="shared" si="18"/>
        <v>Ofsted Social Care Provider Webpage</v>
      </c>
      <c r="B1178" s="55">
        <v>2595001</v>
      </c>
      <c r="D1178" s="55" t="s">
        <v>443</v>
      </c>
      <c r="E1178" s="74">
        <v>44090</v>
      </c>
      <c r="F1178" s="55" t="s">
        <v>344</v>
      </c>
      <c r="G1178" s="55" t="s">
        <v>1806</v>
      </c>
      <c r="H1178" s="55" t="s">
        <v>1900</v>
      </c>
      <c r="I1178" s="55" t="s">
        <v>1901</v>
      </c>
      <c r="J1178" s="55" t="s">
        <v>1902</v>
      </c>
      <c r="K1178" s="55" t="s">
        <v>285</v>
      </c>
      <c r="L1178" s="55" t="s">
        <v>1903</v>
      </c>
      <c r="M1178" s="55" t="s">
        <v>150</v>
      </c>
      <c r="N1178" s="55" t="s">
        <v>150</v>
      </c>
      <c r="O1178" s="55" t="s">
        <v>285</v>
      </c>
      <c r="P1178" s="55" t="s">
        <v>1902</v>
      </c>
      <c r="Q1178" s="55" t="s">
        <v>350</v>
      </c>
      <c r="R1178" s="55"/>
      <c r="S1178" s="74"/>
      <c r="T1178" s="55" t="s">
        <v>1811</v>
      </c>
      <c r="U1178" s="73"/>
      <c r="W1178" s="74"/>
      <c r="Y1178" s="74"/>
      <c r="Z1178" s="74"/>
    </row>
    <row r="1179" spans="1:29" ht="13" x14ac:dyDescent="0.15">
      <c r="A1179" s="72" t="str">
        <f t="shared" si="18"/>
        <v>Ofsted Social Care Provider Webpage</v>
      </c>
      <c r="B1179" s="55">
        <v>2595021</v>
      </c>
      <c r="D1179" s="55" t="s">
        <v>373</v>
      </c>
      <c r="E1179" s="74">
        <v>44034</v>
      </c>
      <c r="F1179" s="55" t="s">
        <v>344</v>
      </c>
      <c r="G1179" s="55" t="s">
        <v>360</v>
      </c>
      <c r="H1179" s="55" t="s">
        <v>360</v>
      </c>
      <c r="I1179" s="55" t="s">
        <v>360</v>
      </c>
      <c r="J1179" s="55" t="s">
        <v>360</v>
      </c>
      <c r="K1179" s="55" t="s">
        <v>360</v>
      </c>
      <c r="L1179" s="55" t="s">
        <v>360</v>
      </c>
      <c r="M1179" s="55" t="s">
        <v>144</v>
      </c>
      <c r="N1179" s="55" t="s">
        <v>144</v>
      </c>
      <c r="O1179" s="55" t="s">
        <v>209</v>
      </c>
      <c r="P1179" s="55" t="s">
        <v>484</v>
      </c>
      <c r="Q1179" s="55" t="s">
        <v>350</v>
      </c>
      <c r="R1179" s="55">
        <v>2</v>
      </c>
      <c r="S1179" s="74"/>
      <c r="T1179" s="55" t="s">
        <v>485</v>
      </c>
      <c r="U1179" s="73" t="s">
        <v>351</v>
      </c>
      <c r="V1179" s="74">
        <v>44509</v>
      </c>
      <c r="W1179" s="74">
        <v>44560</v>
      </c>
      <c r="X1179" s="55">
        <v>10186211</v>
      </c>
      <c r="Y1179" s="74" t="s">
        <v>132</v>
      </c>
      <c r="Z1179" s="74"/>
      <c r="AB1179" s="55" t="s">
        <v>132</v>
      </c>
      <c r="AC1179" s="55" t="s">
        <v>132</v>
      </c>
    </row>
    <row r="1180" spans="1:29" ht="13" x14ac:dyDescent="0.15">
      <c r="A1180" s="72" t="str">
        <f t="shared" si="18"/>
        <v>Ofsted Social Care Provider Webpage</v>
      </c>
      <c r="B1180" s="55">
        <v>2595112</v>
      </c>
      <c r="D1180" s="55" t="s">
        <v>373</v>
      </c>
      <c r="E1180" s="74">
        <v>44049</v>
      </c>
      <c r="F1180" s="55" t="s">
        <v>344</v>
      </c>
      <c r="G1180" s="55" t="s">
        <v>360</v>
      </c>
      <c r="H1180" s="55" t="s">
        <v>360</v>
      </c>
      <c r="I1180" s="55" t="s">
        <v>360</v>
      </c>
      <c r="J1180" s="55" t="s">
        <v>360</v>
      </c>
      <c r="K1180" s="55" t="s">
        <v>360</v>
      </c>
      <c r="L1180" s="55" t="s">
        <v>360</v>
      </c>
      <c r="M1180" s="55" t="s">
        <v>144</v>
      </c>
      <c r="N1180" s="55" t="s">
        <v>144</v>
      </c>
      <c r="O1180" s="55" t="s">
        <v>209</v>
      </c>
      <c r="P1180" s="55" t="s">
        <v>544</v>
      </c>
      <c r="Q1180" s="55" t="s">
        <v>350</v>
      </c>
      <c r="R1180" s="55">
        <v>2</v>
      </c>
      <c r="S1180" s="74"/>
      <c r="T1180" s="55" t="s">
        <v>485</v>
      </c>
      <c r="U1180" s="73" t="s">
        <v>351</v>
      </c>
      <c r="V1180" s="74">
        <v>44440</v>
      </c>
      <c r="W1180" s="74">
        <v>44473</v>
      </c>
      <c r="X1180" s="55">
        <v>10186864</v>
      </c>
      <c r="Y1180" s="74" t="s">
        <v>130</v>
      </c>
      <c r="Z1180" s="74"/>
      <c r="AB1180" s="55" t="s">
        <v>130</v>
      </c>
      <c r="AC1180" s="55" t="s">
        <v>130</v>
      </c>
    </row>
    <row r="1181" spans="1:29" ht="13" x14ac:dyDescent="0.15">
      <c r="A1181" s="72" t="str">
        <f t="shared" si="18"/>
        <v>Ofsted Social Care Provider Webpage</v>
      </c>
      <c r="B1181" s="55">
        <v>2595123</v>
      </c>
      <c r="D1181" s="55" t="s">
        <v>373</v>
      </c>
      <c r="E1181" s="74">
        <v>44048</v>
      </c>
      <c r="F1181" s="55" t="s">
        <v>344</v>
      </c>
      <c r="G1181" s="55" t="s">
        <v>360</v>
      </c>
      <c r="H1181" s="55" t="s">
        <v>360</v>
      </c>
      <c r="I1181" s="55" t="s">
        <v>360</v>
      </c>
      <c r="J1181" s="55" t="s">
        <v>360</v>
      </c>
      <c r="K1181" s="55" t="s">
        <v>360</v>
      </c>
      <c r="L1181" s="55" t="s">
        <v>360</v>
      </c>
      <c r="M1181" s="55" t="s">
        <v>172</v>
      </c>
      <c r="N1181" s="55" t="s">
        <v>172</v>
      </c>
      <c r="O1181" s="55" t="s">
        <v>211</v>
      </c>
      <c r="P1181" s="55" t="s">
        <v>1343</v>
      </c>
      <c r="Q1181" s="55" t="s">
        <v>350</v>
      </c>
      <c r="R1181" s="55">
        <v>2</v>
      </c>
      <c r="S1181" s="74"/>
      <c r="T1181" s="55" t="s">
        <v>1904</v>
      </c>
      <c r="U1181" s="73" t="s">
        <v>351</v>
      </c>
      <c r="V1181" s="74">
        <v>44454</v>
      </c>
      <c r="W1181" s="74">
        <v>44496</v>
      </c>
      <c r="X1181" s="55">
        <v>10186831</v>
      </c>
      <c r="Y1181" s="74" t="s">
        <v>132</v>
      </c>
      <c r="Z1181" s="74"/>
      <c r="AB1181" s="55" t="s">
        <v>130</v>
      </c>
      <c r="AC1181" s="55" t="s">
        <v>132</v>
      </c>
    </row>
    <row r="1182" spans="1:29" ht="13" x14ac:dyDescent="0.15">
      <c r="A1182" s="72" t="str">
        <f t="shared" si="18"/>
        <v>Ofsted Social Care Provider Webpage</v>
      </c>
      <c r="B1182" s="55">
        <v>2595128</v>
      </c>
      <c r="D1182" s="55" t="s">
        <v>373</v>
      </c>
      <c r="E1182" s="74">
        <v>44103</v>
      </c>
      <c r="F1182" s="55" t="s">
        <v>344</v>
      </c>
      <c r="G1182" s="55" t="s">
        <v>360</v>
      </c>
      <c r="H1182" s="55" t="s">
        <v>360</v>
      </c>
      <c r="I1182" s="55" t="s">
        <v>360</v>
      </c>
      <c r="J1182" s="55" t="s">
        <v>360</v>
      </c>
      <c r="K1182" s="55" t="s">
        <v>360</v>
      </c>
      <c r="L1182" s="55" t="s">
        <v>360</v>
      </c>
      <c r="M1182" s="55" t="s">
        <v>142</v>
      </c>
      <c r="N1182" s="55" t="s">
        <v>142</v>
      </c>
      <c r="O1182" s="55" t="s">
        <v>252</v>
      </c>
      <c r="P1182" s="55" t="s">
        <v>388</v>
      </c>
      <c r="Q1182" s="55" t="s">
        <v>350</v>
      </c>
      <c r="R1182" s="55">
        <v>4</v>
      </c>
      <c r="S1182" s="74"/>
      <c r="T1182" s="55" t="s">
        <v>1905</v>
      </c>
      <c r="U1182" s="73" t="s">
        <v>351</v>
      </c>
      <c r="V1182" s="74">
        <v>44432</v>
      </c>
      <c r="W1182" s="74">
        <v>44476</v>
      </c>
      <c r="X1182" s="55">
        <v>10187499</v>
      </c>
      <c r="Y1182" s="74" t="s">
        <v>132</v>
      </c>
      <c r="Z1182" s="74"/>
      <c r="AB1182" s="55" t="s">
        <v>132</v>
      </c>
      <c r="AC1182" s="55" t="s">
        <v>132</v>
      </c>
    </row>
    <row r="1183" spans="1:29" ht="13" x14ac:dyDescent="0.15">
      <c r="A1183" s="72" t="str">
        <f t="shared" si="18"/>
        <v>Ofsted Social Care Provider Webpage</v>
      </c>
      <c r="B1183" s="55">
        <v>2595182</v>
      </c>
      <c r="D1183" s="55" t="s">
        <v>373</v>
      </c>
      <c r="E1183" s="74">
        <v>44123</v>
      </c>
      <c r="F1183" s="55" t="s">
        <v>344</v>
      </c>
      <c r="G1183" s="55" t="s">
        <v>360</v>
      </c>
      <c r="H1183" s="55" t="s">
        <v>360</v>
      </c>
      <c r="I1183" s="55" t="s">
        <v>360</v>
      </c>
      <c r="J1183" s="55" t="s">
        <v>360</v>
      </c>
      <c r="K1183" s="55" t="s">
        <v>360</v>
      </c>
      <c r="L1183" s="55" t="s">
        <v>360</v>
      </c>
      <c r="M1183" s="55" t="s">
        <v>129</v>
      </c>
      <c r="N1183" s="55" t="s">
        <v>129</v>
      </c>
      <c r="O1183" s="55" t="s">
        <v>242</v>
      </c>
      <c r="P1183" s="55" t="s">
        <v>1519</v>
      </c>
      <c r="Q1183" s="55" t="s">
        <v>350</v>
      </c>
      <c r="R1183" s="55">
        <v>3</v>
      </c>
      <c r="S1183" s="74"/>
      <c r="T1183" s="55" t="s">
        <v>1906</v>
      </c>
      <c r="U1183" s="73" t="s">
        <v>351</v>
      </c>
      <c r="V1183" s="74">
        <v>44314</v>
      </c>
      <c r="W1183" s="74">
        <v>44341</v>
      </c>
      <c r="X1183" s="55">
        <v>10186979</v>
      </c>
      <c r="Y1183" s="74" t="s">
        <v>132</v>
      </c>
      <c r="Z1183" s="74"/>
      <c r="AB1183" s="55" t="s">
        <v>132</v>
      </c>
      <c r="AC1183" s="55" t="s">
        <v>132</v>
      </c>
    </row>
    <row r="1184" spans="1:29" ht="13" x14ac:dyDescent="0.15">
      <c r="A1184" s="72" t="str">
        <f t="shared" si="18"/>
        <v>Ofsted Social Care Provider Webpage</v>
      </c>
      <c r="B1184" s="55">
        <v>2595199</v>
      </c>
      <c r="D1184" s="55" t="s">
        <v>389</v>
      </c>
      <c r="E1184" s="74">
        <v>44005</v>
      </c>
      <c r="F1184" s="55" t="s">
        <v>344</v>
      </c>
      <c r="G1184" s="55" t="s">
        <v>1907</v>
      </c>
      <c r="H1184" s="55" t="s">
        <v>1908</v>
      </c>
      <c r="I1184" s="55" t="s">
        <v>354</v>
      </c>
      <c r="J1184" s="55" t="s">
        <v>129</v>
      </c>
      <c r="L1184" s="55" t="s">
        <v>1909</v>
      </c>
      <c r="M1184" s="55" t="s">
        <v>129</v>
      </c>
      <c r="N1184" s="55" t="s">
        <v>129</v>
      </c>
      <c r="O1184" s="55" t="s">
        <v>201</v>
      </c>
      <c r="P1184" s="55" t="s">
        <v>1427</v>
      </c>
      <c r="Q1184" s="55" t="s">
        <v>362</v>
      </c>
      <c r="R1184" s="55"/>
      <c r="S1184" s="74"/>
      <c r="T1184" s="55" t="s">
        <v>1910</v>
      </c>
      <c r="U1184" s="73"/>
      <c r="W1184" s="74"/>
      <c r="Y1184" s="74"/>
      <c r="Z1184" s="74"/>
    </row>
    <row r="1185" spans="1:29" ht="13" x14ac:dyDescent="0.15">
      <c r="A1185" s="72" t="str">
        <f t="shared" si="18"/>
        <v>Ofsted Social Care Provider Webpage</v>
      </c>
      <c r="B1185" s="55">
        <v>2595340</v>
      </c>
      <c r="D1185" s="55" t="s">
        <v>373</v>
      </c>
      <c r="E1185" s="74">
        <v>44025</v>
      </c>
      <c r="F1185" s="55" t="s">
        <v>344</v>
      </c>
      <c r="G1185" s="55" t="s">
        <v>360</v>
      </c>
      <c r="H1185" s="55" t="s">
        <v>360</v>
      </c>
      <c r="I1185" s="55" t="s">
        <v>360</v>
      </c>
      <c r="J1185" s="55" t="s">
        <v>360</v>
      </c>
      <c r="K1185" s="55" t="s">
        <v>360</v>
      </c>
      <c r="L1185" s="55" t="s">
        <v>360</v>
      </c>
      <c r="M1185" s="55" t="s">
        <v>129</v>
      </c>
      <c r="N1185" s="55" t="s">
        <v>129</v>
      </c>
      <c r="O1185" s="55" t="s">
        <v>152</v>
      </c>
      <c r="P1185" s="55" t="s">
        <v>1130</v>
      </c>
      <c r="Q1185" s="55" t="s">
        <v>350</v>
      </c>
      <c r="R1185" s="55">
        <v>4</v>
      </c>
      <c r="S1185" s="74"/>
      <c r="T1185" s="55" t="s">
        <v>1911</v>
      </c>
      <c r="U1185" s="73" t="s">
        <v>351</v>
      </c>
      <c r="V1185" s="74">
        <v>44369</v>
      </c>
      <c r="W1185" s="74">
        <v>44398</v>
      </c>
      <c r="X1185" s="55">
        <v>10185755</v>
      </c>
      <c r="Y1185" s="74" t="s">
        <v>130</v>
      </c>
      <c r="Z1185" s="74"/>
      <c r="AB1185" s="55" t="s">
        <v>130</v>
      </c>
      <c r="AC1185" s="55" t="s">
        <v>130</v>
      </c>
    </row>
    <row r="1186" spans="1:29" ht="13" x14ac:dyDescent="0.15">
      <c r="A1186" s="72" t="str">
        <f t="shared" si="18"/>
        <v>Ofsted Social Care Provider Webpage</v>
      </c>
      <c r="B1186" s="55">
        <v>2595451</v>
      </c>
      <c r="D1186" s="55" t="s">
        <v>358</v>
      </c>
      <c r="E1186" s="74">
        <v>44029</v>
      </c>
      <c r="F1186" s="55" t="s">
        <v>344</v>
      </c>
      <c r="G1186" s="55" t="s">
        <v>1912</v>
      </c>
      <c r="H1186" s="55" t="s">
        <v>360</v>
      </c>
      <c r="I1186" s="55" t="s">
        <v>360</v>
      </c>
      <c r="J1186" s="55" t="s">
        <v>360</v>
      </c>
      <c r="K1186" s="55" t="s">
        <v>360</v>
      </c>
      <c r="L1186" s="55" t="s">
        <v>360</v>
      </c>
      <c r="M1186" s="55" t="s">
        <v>129</v>
      </c>
      <c r="N1186" s="55" t="s">
        <v>129</v>
      </c>
      <c r="O1186" s="55" t="s">
        <v>131</v>
      </c>
      <c r="P1186" s="55" t="s">
        <v>1017</v>
      </c>
      <c r="Q1186" s="55" t="s">
        <v>362</v>
      </c>
      <c r="R1186" s="55"/>
      <c r="S1186" s="74"/>
      <c r="T1186" s="55" t="s">
        <v>1912</v>
      </c>
      <c r="U1186" s="73"/>
      <c r="W1186" s="74"/>
      <c r="Y1186" s="74"/>
      <c r="Z1186" s="74"/>
    </row>
    <row r="1187" spans="1:29" ht="13" x14ac:dyDescent="0.15">
      <c r="A1187" s="72" t="str">
        <f t="shared" si="18"/>
        <v>Ofsted Social Care Provider Webpage</v>
      </c>
      <c r="B1187" s="55">
        <v>2595620</v>
      </c>
      <c r="D1187" s="55" t="s">
        <v>373</v>
      </c>
      <c r="E1187" s="74">
        <v>44104</v>
      </c>
      <c r="F1187" s="55" t="s">
        <v>344</v>
      </c>
      <c r="G1187" s="55" t="s">
        <v>360</v>
      </c>
      <c r="H1187" s="55" t="s">
        <v>360</v>
      </c>
      <c r="I1187" s="55" t="s">
        <v>360</v>
      </c>
      <c r="J1187" s="55" t="s">
        <v>360</v>
      </c>
      <c r="K1187" s="55" t="s">
        <v>360</v>
      </c>
      <c r="L1187" s="55" t="s">
        <v>360</v>
      </c>
      <c r="M1187" s="55" t="s">
        <v>378</v>
      </c>
      <c r="N1187" s="55" t="s">
        <v>134</v>
      </c>
      <c r="O1187" s="55" t="s">
        <v>206</v>
      </c>
      <c r="P1187" s="55" t="s">
        <v>760</v>
      </c>
      <c r="Q1187" s="55" t="s">
        <v>350</v>
      </c>
      <c r="R1187" s="55">
        <v>2</v>
      </c>
      <c r="S1187" s="74"/>
      <c r="T1187" s="55" t="s">
        <v>485</v>
      </c>
      <c r="U1187" s="73" t="s">
        <v>351</v>
      </c>
      <c r="V1187" s="74">
        <v>44348</v>
      </c>
      <c r="W1187" s="74">
        <v>44404</v>
      </c>
      <c r="X1187" s="55">
        <v>10187060</v>
      </c>
      <c r="Y1187" s="74" t="s">
        <v>132</v>
      </c>
      <c r="Z1187" s="74"/>
      <c r="AB1187" s="55" t="s">
        <v>132</v>
      </c>
      <c r="AC1187" s="55" t="s">
        <v>132</v>
      </c>
    </row>
    <row r="1188" spans="1:29" ht="13" x14ac:dyDescent="0.15">
      <c r="A1188" s="72" t="str">
        <f t="shared" si="18"/>
        <v>Ofsted Social Care Provider Webpage</v>
      </c>
      <c r="B1188" s="55">
        <v>2595791</v>
      </c>
      <c r="D1188" s="55" t="s">
        <v>373</v>
      </c>
      <c r="E1188" s="74">
        <v>44124</v>
      </c>
      <c r="F1188" s="55" t="s">
        <v>344</v>
      </c>
      <c r="G1188" s="55" t="s">
        <v>360</v>
      </c>
      <c r="H1188" s="55" t="s">
        <v>360</v>
      </c>
      <c r="I1188" s="55" t="s">
        <v>360</v>
      </c>
      <c r="J1188" s="55" t="s">
        <v>360</v>
      </c>
      <c r="K1188" s="55" t="s">
        <v>360</v>
      </c>
      <c r="L1188" s="55" t="s">
        <v>360</v>
      </c>
      <c r="M1188" s="55" t="s">
        <v>136</v>
      </c>
      <c r="N1188" s="55" t="s">
        <v>136</v>
      </c>
      <c r="O1188" s="55" t="s">
        <v>255</v>
      </c>
      <c r="P1188" s="55" t="s">
        <v>757</v>
      </c>
      <c r="Q1188" s="55" t="s">
        <v>350</v>
      </c>
      <c r="R1188" s="55">
        <v>3</v>
      </c>
      <c r="S1188" s="74"/>
      <c r="T1188" s="55" t="s">
        <v>1601</v>
      </c>
      <c r="U1188" s="73" t="s">
        <v>351</v>
      </c>
      <c r="V1188" s="74">
        <v>44439</v>
      </c>
      <c r="W1188" s="74">
        <v>44480</v>
      </c>
      <c r="X1188" s="55">
        <v>10186282</v>
      </c>
      <c r="Y1188" s="74" t="s">
        <v>130</v>
      </c>
      <c r="Z1188" s="74"/>
      <c r="AB1188" s="55" t="s">
        <v>130</v>
      </c>
      <c r="AC1188" s="55" t="s">
        <v>130</v>
      </c>
    </row>
    <row r="1189" spans="1:29" ht="13" x14ac:dyDescent="0.15">
      <c r="A1189" s="72" t="str">
        <f t="shared" si="18"/>
        <v>Ofsted Social Care Provider Webpage</v>
      </c>
      <c r="B1189" s="55">
        <v>2595974</v>
      </c>
      <c r="D1189" s="55" t="s">
        <v>373</v>
      </c>
      <c r="E1189" s="74">
        <v>44139</v>
      </c>
      <c r="F1189" s="55" t="s">
        <v>344</v>
      </c>
      <c r="G1189" s="55" t="s">
        <v>360</v>
      </c>
      <c r="H1189" s="55" t="s">
        <v>360</v>
      </c>
      <c r="I1189" s="55" t="s">
        <v>360</v>
      </c>
      <c r="J1189" s="55" t="s">
        <v>360</v>
      </c>
      <c r="K1189" s="55" t="s">
        <v>360</v>
      </c>
      <c r="L1189" s="55" t="s">
        <v>360</v>
      </c>
      <c r="M1189" s="55" t="s">
        <v>378</v>
      </c>
      <c r="N1189" s="55" t="s">
        <v>170</v>
      </c>
      <c r="O1189" s="55" t="s">
        <v>267</v>
      </c>
      <c r="P1189" s="55" t="s">
        <v>477</v>
      </c>
      <c r="Q1189" s="55" t="s">
        <v>350</v>
      </c>
      <c r="R1189" s="55">
        <v>2</v>
      </c>
      <c r="S1189" s="74"/>
      <c r="T1189" s="55" t="s">
        <v>1699</v>
      </c>
      <c r="U1189" s="73" t="s">
        <v>351</v>
      </c>
      <c r="V1189" s="74">
        <v>44396</v>
      </c>
      <c r="W1189" s="74">
        <v>44428</v>
      </c>
      <c r="X1189" s="55">
        <v>10186708</v>
      </c>
      <c r="Y1189" s="74" t="s">
        <v>132</v>
      </c>
      <c r="Z1189" s="74"/>
      <c r="AB1189" s="55" t="s">
        <v>132</v>
      </c>
      <c r="AC1189" s="55" t="s">
        <v>132</v>
      </c>
    </row>
    <row r="1190" spans="1:29" ht="13" x14ac:dyDescent="0.15">
      <c r="A1190" s="72" t="str">
        <f t="shared" si="18"/>
        <v>Ofsted Social Care Provider Webpage</v>
      </c>
      <c r="B1190" s="55">
        <v>2595983</v>
      </c>
      <c r="D1190" s="55" t="s">
        <v>373</v>
      </c>
      <c r="E1190" s="74">
        <v>44068</v>
      </c>
      <c r="F1190" s="55" t="s">
        <v>344</v>
      </c>
      <c r="G1190" s="55" t="s">
        <v>360</v>
      </c>
      <c r="H1190" s="55" t="s">
        <v>360</v>
      </c>
      <c r="I1190" s="55" t="s">
        <v>360</v>
      </c>
      <c r="J1190" s="55" t="s">
        <v>360</v>
      </c>
      <c r="K1190" s="55" t="s">
        <v>360</v>
      </c>
      <c r="L1190" s="55" t="s">
        <v>360</v>
      </c>
      <c r="M1190" s="55" t="s">
        <v>144</v>
      </c>
      <c r="N1190" s="55" t="s">
        <v>144</v>
      </c>
      <c r="O1190" s="55" t="s">
        <v>209</v>
      </c>
      <c r="P1190" s="55" t="s">
        <v>545</v>
      </c>
      <c r="Q1190" s="55" t="s">
        <v>350</v>
      </c>
      <c r="R1190" s="55">
        <v>6</v>
      </c>
      <c r="S1190" s="74"/>
      <c r="T1190" s="55" t="s">
        <v>1319</v>
      </c>
      <c r="U1190" s="73" t="s">
        <v>351</v>
      </c>
      <c r="V1190" s="74">
        <v>44432</v>
      </c>
      <c r="W1190" s="74">
        <v>44461</v>
      </c>
      <c r="X1190" s="55">
        <v>10186910</v>
      </c>
      <c r="Y1190" s="74" t="s">
        <v>132</v>
      </c>
      <c r="Z1190" s="74"/>
      <c r="AB1190" s="55" t="s">
        <v>132</v>
      </c>
      <c r="AC1190" s="55" t="s">
        <v>132</v>
      </c>
    </row>
    <row r="1191" spans="1:29" ht="13" x14ac:dyDescent="0.15">
      <c r="A1191" s="72" t="str">
        <f t="shared" si="18"/>
        <v>Ofsted Social Care Provider Webpage</v>
      </c>
      <c r="B1191" s="55">
        <v>2596008</v>
      </c>
      <c r="D1191" s="55" t="s">
        <v>373</v>
      </c>
      <c r="E1191" s="74">
        <v>44056</v>
      </c>
      <c r="F1191" s="55" t="s">
        <v>344</v>
      </c>
      <c r="G1191" s="55" t="s">
        <v>360</v>
      </c>
      <c r="H1191" s="55" t="s">
        <v>360</v>
      </c>
      <c r="I1191" s="55" t="s">
        <v>360</v>
      </c>
      <c r="J1191" s="55" t="s">
        <v>360</v>
      </c>
      <c r="K1191" s="55" t="s">
        <v>360</v>
      </c>
      <c r="L1191" s="55" t="s">
        <v>360</v>
      </c>
      <c r="M1191" s="55" t="s">
        <v>150</v>
      </c>
      <c r="N1191" s="55" t="s">
        <v>150</v>
      </c>
      <c r="O1191" s="55" t="s">
        <v>181</v>
      </c>
      <c r="P1191" s="55" t="s">
        <v>626</v>
      </c>
      <c r="Q1191" s="55" t="s">
        <v>350</v>
      </c>
      <c r="R1191" s="55">
        <v>2</v>
      </c>
      <c r="S1191" s="74"/>
      <c r="T1191" s="55" t="s">
        <v>627</v>
      </c>
      <c r="U1191" s="73" t="s">
        <v>351</v>
      </c>
      <c r="V1191" s="74">
        <v>44321</v>
      </c>
      <c r="W1191" s="74">
        <v>44370</v>
      </c>
      <c r="X1191" s="55">
        <v>10185869</v>
      </c>
      <c r="Y1191" s="74" t="s">
        <v>132</v>
      </c>
      <c r="Z1191" s="74"/>
      <c r="AB1191" s="55" t="s">
        <v>132</v>
      </c>
      <c r="AC1191" s="55" t="s">
        <v>132</v>
      </c>
    </row>
    <row r="1192" spans="1:29" ht="13" x14ac:dyDescent="0.15">
      <c r="A1192" s="72" t="str">
        <f t="shared" si="18"/>
        <v>Ofsted Social Care Provider Webpage</v>
      </c>
      <c r="B1192" s="55">
        <v>2596121</v>
      </c>
      <c r="D1192" s="55" t="s">
        <v>373</v>
      </c>
      <c r="E1192" s="74">
        <v>44089</v>
      </c>
      <c r="F1192" s="55" t="s">
        <v>344</v>
      </c>
      <c r="G1192" s="55" t="s">
        <v>360</v>
      </c>
      <c r="H1192" s="55" t="s">
        <v>360</v>
      </c>
      <c r="I1192" s="55" t="s">
        <v>360</v>
      </c>
      <c r="J1192" s="55" t="s">
        <v>360</v>
      </c>
      <c r="K1192" s="55" t="s">
        <v>360</v>
      </c>
      <c r="L1192" s="55" t="s">
        <v>360</v>
      </c>
      <c r="M1192" s="55" t="s">
        <v>142</v>
      </c>
      <c r="N1192" s="55" t="s">
        <v>142</v>
      </c>
      <c r="O1192" s="55" t="s">
        <v>141</v>
      </c>
      <c r="P1192" s="55" t="s">
        <v>795</v>
      </c>
      <c r="Q1192" s="55" t="s">
        <v>350</v>
      </c>
      <c r="R1192" s="55">
        <v>2</v>
      </c>
      <c r="S1192" s="74"/>
      <c r="T1192" s="55" t="s">
        <v>1913</v>
      </c>
      <c r="U1192" s="73" t="s">
        <v>351</v>
      </c>
      <c r="V1192" s="74">
        <v>44391</v>
      </c>
      <c r="W1192" s="74">
        <v>44433</v>
      </c>
      <c r="X1192" s="55">
        <v>10185045</v>
      </c>
      <c r="Y1192" s="74" t="s">
        <v>132</v>
      </c>
      <c r="Z1192" s="74"/>
      <c r="AB1192" s="55" t="s">
        <v>132</v>
      </c>
      <c r="AC1192" s="55" t="s">
        <v>132</v>
      </c>
    </row>
    <row r="1193" spans="1:29" ht="13" x14ac:dyDescent="0.15">
      <c r="A1193" s="72" t="str">
        <f t="shared" si="18"/>
        <v>Ofsted Social Care Provider Webpage</v>
      </c>
      <c r="B1193" s="55">
        <v>2596421</v>
      </c>
      <c r="D1193" s="55" t="s">
        <v>373</v>
      </c>
      <c r="E1193" s="74">
        <v>44105</v>
      </c>
      <c r="F1193" s="55" t="s">
        <v>344</v>
      </c>
      <c r="G1193" s="55" t="s">
        <v>360</v>
      </c>
      <c r="H1193" s="55" t="s">
        <v>360</v>
      </c>
      <c r="I1193" s="55" t="s">
        <v>360</v>
      </c>
      <c r="J1193" s="55" t="s">
        <v>360</v>
      </c>
      <c r="K1193" s="55" t="s">
        <v>360</v>
      </c>
      <c r="L1193" s="55" t="s">
        <v>360</v>
      </c>
      <c r="M1193" s="55" t="s">
        <v>138</v>
      </c>
      <c r="N1193" s="55" t="s">
        <v>138</v>
      </c>
      <c r="O1193" s="55" t="s">
        <v>183</v>
      </c>
      <c r="P1193" s="55" t="s">
        <v>1500</v>
      </c>
      <c r="Q1193" s="55" t="s">
        <v>350</v>
      </c>
      <c r="R1193" s="55">
        <v>2</v>
      </c>
      <c r="S1193" s="74"/>
      <c r="T1193" s="55" t="s">
        <v>385</v>
      </c>
      <c r="U1193" s="73" t="s">
        <v>351</v>
      </c>
      <c r="V1193" s="74">
        <v>44508</v>
      </c>
      <c r="W1193" s="74">
        <v>44537</v>
      </c>
      <c r="X1193" s="55">
        <v>10186055</v>
      </c>
      <c r="Y1193" s="74" t="s">
        <v>132</v>
      </c>
      <c r="Z1193" s="74"/>
      <c r="AB1193" s="55" t="s">
        <v>132</v>
      </c>
      <c r="AC1193" s="55" t="s">
        <v>132</v>
      </c>
    </row>
    <row r="1194" spans="1:29" ht="13" x14ac:dyDescent="0.15">
      <c r="A1194" s="72" t="str">
        <f t="shared" si="18"/>
        <v>Ofsted Social Care Provider Webpage</v>
      </c>
      <c r="B1194" s="55">
        <v>2596476</v>
      </c>
      <c r="D1194" s="55" t="s">
        <v>373</v>
      </c>
      <c r="E1194" s="74">
        <v>44148</v>
      </c>
      <c r="F1194" s="55" t="s">
        <v>344</v>
      </c>
      <c r="G1194" s="55" t="s">
        <v>360</v>
      </c>
      <c r="H1194" s="55" t="s">
        <v>360</v>
      </c>
      <c r="I1194" s="55" t="s">
        <v>360</v>
      </c>
      <c r="J1194" s="55" t="s">
        <v>360</v>
      </c>
      <c r="K1194" s="55" t="s">
        <v>360</v>
      </c>
      <c r="L1194" s="55" t="s">
        <v>360</v>
      </c>
      <c r="M1194" s="55" t="s">
        <v>138</v>
      </c>
      <c r="N1194" s="55" t="s">
        <v>138</v>
      </c>
      <c r="O1194" s="55" t="s">
        <v>159</v>
      </c>
      <c r="P1194" s="55" t="s">
        <v>1025</v>
      </c>
      <c r="Q1194" s="55" t="s">
        <v>350</v>
      </c>
      <c r="R1194" s="55">
        <v>4</v>
      </c>
      <c r="S1194" s="74"/>
      <c r="T1194" s="55" t="s">
        <v>1363</v>
      </c>
      <c r="U1194" s="73" t="s">
        <v>351</v>
      </c>
      <c r="V1194" s="74">
        <v>44445</v>
      </c>
      <c r="W1194" s="74">
        <v>44470</v>
      </c>
      <c r="X1194" s="55">
        <v>10187346</v>
      </c>
      <c r="Y1194" s="74" t="s">
        <v>130</v>
      </c>
      <c r="Z1194" s="74"/>
      <c r="AB1194" s="55" t="s">
        <v>130</v>
      </c>
      <c r="AC1194" s="55" t="s">
        <v>130</v>
      </c>
    </row>
    <row r="1195" spans="1:29" ht="13" x14ac:dyDescent="0.15">
      <c r="A1195" s="72" t="str">
        <f t="shared" si="18"/>
        <v>Ofsted Social Care Provider Webpage</v>
      </c>
      <c r="B1195" s="55">
        <v>2596541</v>
      </c>
      <c r="D1195" s="55" t="s">
        <v>373</v>
      </c>
      <c r="E1195" s="74">
        <v>44133</v>
      </c>
      <c r="F1195" s="55" t="s">
        <v>344</v>
      </c>
      <c r="G1195" s="55" t="s">
        <v>360</v>
      </c>
      <c r="H1195" s="55" t="s">
        <v>360</v>
      </c>
      <c r="I1195" s="55" t="s">
        <v>360</v>
      </c>
      <c r="J1195" s="55" t="s">
        <v>360</v>
      </c>
      <c r="K1195" s="55" t="s">
        <v>360</v>
      </c>
      <c r="L1195" s="55" t="s">
        <v>360</v>
      </c>
      <c r="M1195" s="55" t="s">
        <v>144</v>
      </c>
      <c r="N1195" s="55" t="s">
        <v>144</v>
      </c>
      <c r="O1195" s="55" t="s">
        <v>209</v>
      </c>
      <c r="P1195" s="55" t="s">
        <v>544</v>
      </c>
      <c r="Q1195" s="55" t="s">
        <v>350</v>
      </c>
      <c r="R1195" s="55">
        <v>2</v>
      </c>
      <c r="S1195" s="74"/>
      <c r="T1195" s="55" t="s">
        <v>485</v>
      </c>
      <c r="U1195" s="73" t="s">
        <v>351</v>
      </c>
      <c r="V1195" s="74">
        <v>44363</v>
      </c>
      <c r="W1195" s="74">
        <v>44392</v>
      </c>
      <c r="X1195" s="55">
        <v>10185731</v>
      </c>
      <c r="Y1195" s="74" t="s">
        <v>132</v>
      </c>
      <c r="Z1195" s="74"/>
      <c r="AB1195" s="55" t="s">
        <v>132</v>
      </c>
      <c r="AC1195" s="55" t="s">
        <v>132</v>
      </c>
    </row>
    <row r="1196" spans="1:29" ht="13" x14ac:dyDescent="0.15">
      <c r="A1196" s="72" t="str">
        <f t="shared" si="18"/>
        <v>Ofsted Social Care Provider Webpage</v>
      </c>
      <c r="B1196" s="55">
        <v>2596897</v>
      </c>
      <c r="D1196" s="55" t="s">
        <v>373</v>
      </c>
      <c r="E1196" s="74">
        <v>44014</v>
      </c>
      <c r="F1196" s="55" t="s">
        <v>344</v>
      </c>
      <c r="G1196" s="55" t="s">
        <v>360</v>
      </c>
      <c r="H1196" s="55" t="s">
        <v>360</v>
      </c>
      <c r="I1196" s="55" t="s">
        <v>360</v>
      </c>
      <c r="J1196" s="55" t="s">
        <v>360</v>
      </c>
      <c r="K1196" s="55" t="s">
        <v>360</v>
      </c>
      <c r="L1196" s="55" t="s">
        <v>360</v>
      </c>
      <c r="M1196" s="55" t="s">
        <v>378</v>
      </c>
      <c r="N1196" s="55" t="s">
        <v>170</v>
      </c>
      <c r="O1196" s="55" t="s">
        <v>184</v>
      </c>
      <c r="P1196" s="55" t="s">
        <v>676</v>
      </c>
      <c r="Q1196" s="55" t="s">
        <v>380</v>
      </c>
      <c r="R1196" s="55">
        <v>3</v>
      </c>
      <c r="S1196" s="74"/>
      <c r="T1196" s="55" t="s">
        <v>1711</v>
      </c>
      <c r="U1196" s="73" t="s">
        <v>351</v>
      </c>
      <c r="V1196" s="74">
        <v>44425</v>
      </c>
      <c r="W1196" s="74">
        <v>44455</v>
      </c>
      <c r="X1196" s="55">
        <v>10186181</v>
      </c>
      <c r="Y1196" s="74" t="s">
        <v>132</v>
      </c>
      <c r="Z1196" s="74"/>
      <c r="AB1196" s="55" t="s">
        <v>132</v>
      </c>
      <c r="AC1196" s="55" t="s">
        <v>132</v>
      </c>
    </row>
    <row r="1197" spans="1:29" ht="13" x14ac:dyDescent="0.15">
      <c r="A1197" s="72" t="str">
        <f t="shared" si="18"/>
        <v>Ofsted Social Care Provider Webpage</v>
      </c>
      <c r="B1197" s="55">
        <v>2596906</v>
      </c>
      <c r="D1197" s="55" t="s">
        <v>373</v>
      </c>
      <c r="E1197" s="74">
        <v>44062</v>
      </c>
      <c r="F1197" s="55" t="s">
        <v>344</v>
      </c>
      <c r="G1197" s="55" t="s">
        <v>360</v>
      </c>
      <c r="H1197" s="55" t="s">
        <v>360</v>
      </c>
      <c r="I1197" s="55" t="s">
        <v>360</v>
      </c>
      <c r="J1197" s="55" t="s">
        <v>360</v>
      </c>
      <c r="K1197" s="55" t="s">
        <v>360</v>
      </c>
      <c r="L1197" s="55" t="s">
        <v>360</v>
      </c>
      <c r="M1197" s="55" t="s">
        <v>138</v>
      </c>
      <c r="N1197" s="55" t="s">
        <v>138</v>
      </c>
      <c r="O1197" s="55" t="s">
        <v>259</v>
      </c>
      <c r="P1197" s="55" t="s">
        <v>1914</v>
      </c>
      <c r="Q1197" s="55" t="s">
        <v>350</v>
      </c>
      <c r="R1197" s="55">
        <v>4</v>
      </c>
      <c r="S1197" s="74"/>
      <c r="T1197" s="55" t="s">
        <v>1915</v>
      </c>
      <c r="U1197" s="73" t="s">
        <v>351</v>
      </c>
      <c r="V1197" s="74">
        <v>44424</v>
      </c>
      <c r="W1197" s="74">
        <v>44453</v>
      </c>
      <c r="X1197" s="55">
        <v>10186083</v>
      </c>
      <c r="Y1197" s="74" t="s">
        <v>130</v>
      </c>
      <c r="Z1197" s="74"/>
      <c r="AB1197" s="55" t="s">
        <v>130</v>
      </c>
      <c r="AC1197" s="55" t="s">
        <v>130</v>
      </c>
    </row>
    <row r="1198" spans="1:29" ht="13" x14ac:dyDescent="0.15">
      <c r="A1198" s="72" t="str">
        <f t="shared" si="18"/>
        <v>Ofsted Social Care Provider Webpage</v>
      </c>
      <c r="B1198" s="55">
        <v>2597490</v>
      </c>
      <c r="D1198" s="55" t="s">
        <v>373</v>
      </c>
      <c r="E1198" s="74">
        <v>44117</v>
      </c>
      <c r="F1198" s="55" t="s">
        <v>344</v>
      </c>
      <c r="G1198" s="55" t="s">
        <v>360</v>
      </c>
      <c r="H1198" s="55" t="s">
        <v>360</v>
      </c>
      <c r="I1198" s="55" t="s">
        <v>360</v>
      </c>
      <c r="J1198" s="55" t="s">
        <v>360</v>
      </c>
      <c r="K1198" s="55" t="s">
        <v>360</v>
      </c>
      <c r="L1198" s="55" t="s">
        <v>360</v>
      </c>
      <c r="M1198" s="55" t="s">
        <v>142</v>
      </c>
      <c r="N1198" s="55" t="s">
        <v>142</v>
      </c>
      <c r="O1198" s="55" t="s">
        <v>177</v>
      </c>
      <c r="P1198" s="55" t="s">
        <v>835</v>
      </c>
      <c r="Q1198" s="55" t="s">
        <v>350</v>
      </c>
      <c r="R1198" s="55">
        <v>4</v>
      </c>
      <c r="S1198" s="74"/>
      <c r="T1198" s="55" t="s">
        <v>1415</v>
      </c>
      <c r="U1198" s="73" t="s">
        <v>351</v>
      </c>
      <c r="V1198" s="74">
        <v>44327</v>
      </c>
      <c r="W1198" s="74">
        <v>44362</v>
      </c>
      <c r="X1198" s="55">
        <v>10186740</v>
      </c>
      <c r="Y1198" s="74" t="s">
        <v>130</v>
      </c>
      <c r="Z1198" s="74"/>
      <c r="AB1198" s="55" t="s">
        <v>130</v>
      </c>
      <c r="AC1198" s="55" t="s">
        <v>130</v>
      </c>
    </row>
    <row r="1199" spans="1:29" ht="13" x14ac:dyDescent="0.15">
      <c r="A1199" s="72" t="str">
        <f t="shared" si="18"/>
        <v>Ofsted Social Care Provider Webpage</v>
      </c>
      <c r="B1199" s="55">
        <v>2597567</v>
      </c>
      <c r="D1199" s="55" t="s">
        <v>373</v>
      </c>
      <c r="E1199" s="74">
        <v>44014</v>
      </c>
      <c r="F1199" s="55" t="s">
        <v>344</v>
      </c>
      <c r="G1199" s="55" t="s">
        <v>360</v>
      </c>
      <c r="H1199" s="55" t="s">
        <v>360</v>
      </c>
      <c r="I1199" s="55" t="s">
        <v>360</v>
      </c>
      <c r="J1199" s="55" t="s">
        <v>360</v>
      </c>
      <c r="K1199" s="55" t="s">
        <v>360</v>
      </c>
      <c r="L1199" s="55" t="s">
        <v>360</v>
      </c>
      <c r="M1199" s="55" t="s">
        <v>378</v>
      </c>
      <c r="N1199" s="55" t="s">
        <v>134</v>
      </c>
      <c r="O1199" s="55" t="s">
        <v>246</v>
      </c>
      <c r="P1199" s="55" t="s">
        <v>1104</v>
      </c>
      <c r="Q1199" s="55" t="s">
        <v>380</v>
      </c>
      <c r="R1199" s="55">
        <v>4</v>
      </c>
      <c r="S1199" s="74"/>
      <c r="T1199" s="55" t="s">
        <v>1916</v>
      </c>
      <c r="U1199" s="73" t="s">
        <v>351</v>
      </c>
      <c r="V1199" s="74">
        <v>44341</v>
      </c>
      <c r="W1199" s="74">
        <v>44391</v>
      </c>
      <c r="X1199" s="55">
        <v>10186692</v>
      </c>
      <c r="Y1199" s="74" t="s">
        <v>132</v>
      </c>
      <c r="Z1199" s="74"/>
      <c r="AB1199" s="55" t="s">
        <v>132</v>
      </c>
      <c r="AC1199" s="55" t="s">
        <v>130</v>
      </c>
    </row>
    <row r="1200" spans="1:29" ht="13" x14ac:dyDescent="0.15">
      <c r="A1200" s="72" t="str">
        <f t="shared" si="18"/>
        <v>Ofsted Social Care Provider Webpage</v>
      </c>
      <c r="B1200" s="55">
        <v>2597722</v>
      </c>
      <c r="D1200" s="55" t="s">
        <v>373</v>
      </c>
      <c r="E1200" s="74">
        <v>44050</v>
      </c>
      <c r="F1200" s="55" t="s">
        <v>344</v>
      </c>
      <c r="G1200" s="55" t="s">
        <v>360</v>
      </c>
      <c r="H1200" s="55" t="s">
        <v>360</v>
      </c>
      <c r="I1200" s="55" t="s">
        <v>360</v>
      </c>
      <c r="J1200" s="55" t="s">
        <v>360</v>
      </c>
      <c r="K1200" s="55" t="s">
        <v>360</v>
      </c>
      <c r="L1200" s="55" t="s">
        <v>360</v>
      </c>
      <c r="M1200" s="55" t="s">
        <v>136</v>
      </c>
      <c r="N1200" s="55" t="s">
        <v>136</v>
      </c>
      <c r="O1200" s="55" t="s">
        <v>174</v>
      </c>
      <c r="P1200" s="55" t="s">
        <v>982</v>
      </c>
      <c r="Q1200" s="55" t="s">
        <v>350</v>
      </c>
      <c r="R1200" s="55">
        <v>2</v>
      </c>
      <c r="S1200" s="74"/>
      <c r="T1200" s="55" t="s">
        <v>1917</v>
      </c>
      <c r="U1200" s="73" t="s">
        <v>351</v>
      </c>
      <c r="V1200" s="74">
        <v>44503</v>
      </c>
      <c r="W1200" s="74">
        <v>44538</v>
      </c>
      <c r="X1200" s="55">
        <v>10187116</v>
      </c>
      <c r="Y1200" s="74" t="s">
        <v>132</v>
      </c>
      <c r="Z1200" s="74"/>
      <c r="AB1200" s="55" t="s">
        <v>132</v>
      </c>
      <c r="AC1200" s="55" t="s">
        <v>132</v>
      </c>
    </row>
    <row r="1201" spans="1:29" ht="13" x14ac:dyDescent="0.15">
      <c r="A1201" s="72" t="str">
        <f t="shared" si="18"/>
        <v>Ofsted Social Care Provider Webpage</v>
      </c>
      <c r="B1201" s="55">
        <v>2597734</v>
      </c>
      <c r="D1201" s="55" t="s">
        <v>373</v>
      </c>
      <c r="E1201" s="74">
        <v>44103</v>
      </c>
      <c r="F1201" s="55" t="s">
        <v>344</v>
      </c>
      <c r="G1201" s="55" t="s">
        <v>360</v>
      </c>
      <c r="H1201" s="55" t="s">
        <v>360</v>
      </c>
      <c r="I1201" s="55" t="s">
        <v>360</v>
      </c>
      <c r="J1201" s="55" t="s">
        <v>360</v>
      </c>
      <c r="K1201" s="55" t="s">
        <v>360</v>
      </c>
      <c r="L1201" s="55" t="s">
        <v>360</v>
      </c>
      <c r="M1201" s="55" t="s">
        <v>142</v>
      </c>
      <c r="N1201" s="55" t="s">
        <v>142</v>
      </c>
      <c r="O1201" s="55" t="s">
        <v>292</v>
      </c>
      <c r="P1201" s="55" t="s">
        <v>976</v>
      </c>
      <c r="Q1201" s="55" t="s">
        <v>350</v>
      </c>
      <c r="R1201" s="55">
        <v>5</v>
      </c>
      <c r="S1201" s="74"/>
      <c r="T1201" s="55" t="s">
        <v>1185</v>
      </c>
      <c r="U1201" s="73" t="s">
        <v>351</v>
      </c>
      <c r="V1201" s="74">
        <v>44334</v>
      </c>
      <c r="W1201" s="74">
        <v>44372</v>
      </c>
      <c r="X1201" s="55">
        <v>10185841</v>
      </c>
      <c r="Y1201" s="74" t="s">
        <v>132</v>
      </c>
      <c r="Z1201" s="74"/>
      <c r="AB1201" s="55" t="s">
        <v>132</v>
      </c>
      <c r="AC1201" s="55" t="s">
        <v>132</v>
      </c>
    </row>
    <row r="1202" spans="1:29" ht="13" x14ac:dyDescent="0.15">
      <c r="A1202" s="72" t="str">
        <f t="shared" si="18"/>
        <v>Ofsted Social Care Provider Webpage</v>
      </c>
      <c r="B1202" s="55">
        <v>2597736</v>
      </c>
      <c r="D1202" s="55" t="s">
        <v>373</v>
      </c>
      <c r="E1202" s="74">
        <v>44036</v>
      </c>
      <c r="F1202" s="55" t="s">
        <v>344</v>
      </c>
      <c r="G1202" s="55" t="s">
        <v>360</v>
      </c>
      <c r="H1202" s="55" t="s">
        <v>360</v>
      </c>
      <c r="I1202" s="55" t="s">
        <v>360</v>
      </c>
      <c r="J1202" s="55" t="s">
        <v>360</v>
      </c>
      <c r="K1202" s="55" t="s">
        <v>360</v>
      </c>
      <c r="L1202" s="55" t="s">
        <v>360</v>
      </c>
      <c r="M1202" s="55" t="s">
        <v>378</v>
      </c>
      <c r="N1202" s="55" t="s">
        <v>170</v>
      </c>
      <c r="O1202" s="55" t="s">
        <v>264</v>
      </c>
      <c r="P1202" s="55" t="s">
        <v>1334</v>
      </c>
      <c r="Q1202" s="55" t="s">
        <v>350</v>
      </c>
      <c r="R1202" s="55">
        <v>2</v>
      </c>
      <c r="S1202" s="74"/>
      <c r="T1202" s="55" t="s">
        <v>385</v>
      </c>
      <c r="U1202" s="73" t="s">
        <v>351</v>
      </c>
      <c r="V1202" s="74">
        <v>44432</v>
      </c>
      <c r="W1202" s="74">
        <v>44462</v>
      </c>
      <c r="X1202" s="55">
        <v>10201564</v>
      </c>
      <c r="Y1202" s="74" t="s">
        <v>130</v>
      </c>
      <c r="Z1202" s="74"/>
      <c r="AB1202" s="55" t="s">
        <v>130</v>
      </c>
      <c r="AC1202" s="55" t="s">
        <v>130</v>
      </c>
    </row>
    <row r="1203" spans="1:29" ht="13" x14ac:dyDescent="0.15">
      <c r="A1203" s="72" t="str">
        <f t="shared" si="18"/>
        <v>Ofsted Social Care Provider Webpage</v>
      </c>
      <c r="B1203" s="55">
        <v>2597738</v>
      </c>
      <c r="D1203" s="55" t="s">
        <v>373</v>
      </c>
      <c r="E1203" s="74">
        <v>44012</v>
      </c>
      <c r="F1203" s="55" t="s">
        <v>344</v>
      </c>
      <c r="G1203" s="55" t="s">
        <v>360</v>
      </c>
      <c r="H1203" s="55" t="s">
        <v>360</v>
      </c>
      <c r="I1203" s="55" t="s">
        <v>360</v>
      </c>
      <c r="J1203" s="55" t="s">
        <v>360</v>
      </c>
      <c r="K1203" s="55" t="s">
        <v>360</v>
      </c>
      <c r="L1203" s="55" t="s">
        <v>360</v>
      </c>
      <c r="M1203" s="55" t="s">
        <v>144</v>
      </c>
      <c r="N1203" s="55" t="s">
        <v>144</v>
      </c>
      <c r="O1203" s="55" t="s">
        <v>287</v>
      </c>
      <c r="P1203" s="55" t="s">
        <v>1103</v>
      </c>
      <c r="Q1203" s="55" t="s">
        <v>350</v>
      </c>
      <c r="R1203" s="55">
        <v>1</v>
      </c>
      <c r="S1203" s="74"/>
      <c r="T1203" s="55" t="s">
        <v>1107</v>
      </c>
      <c r="U1203" s="73" t="s">
        <v>351</v>
      </c>
      <c r="V1203" s="74">
        <v>44609</v>
      </c>
      <c r="W1203" s="74">
        <v>44655</v>
      </c>
      <c r="X1203" s="55">
        <v>10186014</v>
      </c>
      <c r="Y1203" s="74" t="s">
        <v>130</v>
      </c>
      <c r="Z1203" s="74"/>
      <c r="AB1203" s="55" t="s">
        <v>130</v>
      </c>
      <c r="AC1203" s="55" t="s">
        <v>130</v>
      </c>
    </row>
    <row r="1204" spans="1:29" ht="13" x14ac:dyDescent="0.15">
      <c r="A1204" s="72" t="str">
        <f t="shared" si="18"/>
        <v>Ofsted Social Care Provider Webpage</v>
      </c>
      <c r="B1204" s="55">
        <v>2597747</v>
      </c>
      <c r="D1204" s="55" t="s">
        <v>373</v>
      </c>
      <c r="E1204" s="74">
        <v>44127</v>
      </c>
      <c r="F1204" s="55" t="s">
        <v>344</v>
      </c>
      <c r="G1204" s="55" t="s">
        <v>360</v>
      </c>
      <c r="H1204" s="55" t="s">
        <v>360</v>
      </c>
      <c r="I1204" s="55" t="s">
        <v>360</v>
      </c>
      <c r="J1204" s="55" t="s">
        <v>360</v>
      </c>
      <c r="K1204" s="55" t="s">
        <v>360</v>
      </c>
      <c r="L1204" s="55" t="s">
        <v>360</v>
      </c>
      <c r="M1204" s="55" t="s">
        <v>138</v>
      </c>
      <c r="N1204" s="55" t="s">
        <v>138</v>
      </c>
      <c r="O1204" s="55" t="s">
        <v>216</v>
      </c>
      <c r="P1204" s="55" t="s">
        <v>1918</v>
      </c>
      <c r="Q1204" s="55" t="s">
        <v>350</v>
      </c>
      <c r="R1204" s="55">
        <v>3</v>
      </c>
      <c r="S1204" s="74"/>
      <c r="T1204" s="55" t="s">
        <v>1473</v>
      </c>
      <c r="U1204" s="73" t="s">
        <v>351</v>
      </c>
      <c r="V1204" s="74">
        <v>44445</v>
      </c>
      <c r="W1204" s="74">
        <v>44480</v>
      </c>
      <c r="X1204" s="55">
        <v>10186820</v>
      </c>
      <c r="Y1204" s="74" t="s">
        <v>132</v>
      </c>
      <c r="Z1204" s="74"/>
      <c r="AB1204" s="55" t="s">
        <v>132</v>
      </c>
      <c r="AC1204" s="55" t="s">
        <v>130</v>
      </c>
    </row>
    <row r="1205" spans="1:29" ht="13" x14ac:dyDescent="0.15">
      <c r="A1205" s="72" t="str">
        <f t="shared" si="18"/>
        <v>Ofsted Social Care Provider Webpage</v>
      </c>
      <c r="B1205" s="55">
        <v>2598004</v>
      </c>
      <c r="D1205" s="55" t="s">
        <v>373</v>
      </c>
      <c r="E1205" s="74">
        <v>44109</v>
      </c>
      <c r="F1205" s="55" t="s">
        <v>344</v>
      </c>
      <c r="G1205" s="55" t="s">
        <v>360</v>
      </c>
      <c r="H1205" s="55" t="s">
        <v>360</v>
      </c>
      <c r="I1205" s="55" t="s">
        <v>360</v>
      </c>
      <c r="J1205" s="55" t="s">
        <v>360</v>
      </c>
      <c r="K1205" s="55" t="s">
        <v>360</v>
      </c>
      <c r="L1205" s="55" t="s">
        <v>360</v>
      </c>
      <c r="M1205" s="55" t="s">
        <v>144</v>
      </c>
      <c r="N1205" s="55" t="s">
        <v>144</v>
      </c>
      <c r="O1205" s="55" t="s">
        <v>236</v>
      </c>
      <c r="P1205" s="55" t="s">
        <v>996</v>
      </c>
      <c r="Q1205" s="55" t="s">
        <v>350</v>
      </c>
      <c r="R1205" s="55">
        <v>3</v>
      </c>
      <c r="S1205" s="74"/>
      <c r="T1205" s="55" t="s">
        <v>1919</v>
      </c>
      <c r="U1205" s="73" t="s">
        <v>351</v>
      </c>
      <c r="V1205" s="74">
        <v>44537</v>
      </c>
      <c r="W1205" s="74">
        <v>44586</v>
      </c>
      <c r="X1205" s="55">
        <v>10185561</v>
      </c>
      <c r="Y1205" s="74" t="s">
        <v>140</v>
      </c>
      <c r="Z1205" s="74"/>
      <c r="AB1205" s="55" t="s">
        <v>132</v>
      </c>
      <c r="AC1205" s="55" t="s">
        <v>140</v>
      </c>
    </row>
    <row r="1206" spans="1:29" ht="13" x14ac:dyDescent="0.15">
      <c r="A1206" s="72" t="str">
        <f t="shared" si="18"/>
        <v>Ofsted Social Care Provider Webpage</v>
      </c>
      <c r="B1206" s="55">
        <v>2598205</v>
      </c>
      <c r="D1206" s="55" t="s">
        <v>373</v>
      </c>
      <c r="E1206" s="74">
        <v>44021</v>
      </c>
      <c r="F1206" s="55" t="s">
        <v>344</v>
      </c>
      <c r="G1206" s="55" t="s">
        <v>360</v>
      </c>
      <c r="H1206" s="55" t="s">
        <v>360</v>
      </c>
      <c r="I1206" s="55" t="s">
        <v>360</v>
      </c>
      <c r="J1206" s="55" t="s">
        <v>360</v>
      </c>
      <c r="K1206" s="55" t="s">
        <v>360</v>
      </c>
      <c r="L1206" s="55" t="s">
        <v>360</v>
      </c>
      <c r="M1206" s="55" t="s">
        <v>378</v>
      </c>
      <c r="N1206" s="55" t="s">
        <v>134</v>
      </c>
      <c r="O1206" s="55" t="s">
        <v>204</v>
      </c>
      <c r="P1206" s="55" t="s">
        <v>1920</v>
      </c>
      <c r="Q1206" s="55" t="s">
        <v>380</v>
      </c>
      <c r="R1206" s="55">
        <v>1</v>
      </c>
      <c r="S1206" s="74"/>
      <c r="T1206" s="55" t="s">
        <v>1479</v>
      </c>
      <c r="U1206" s="73" t="s">
        <v>351</v>
      </c>
      <c r="V1206" s="74">
        <v>44566</v>
      </c>
      <c r="W1206" s="74">
        <v>44596</v>
      </c>
      <c r="X1206" s="55">
        <v>10187092</v>
      </c>
      <c r="Y1206" s="74" t="s">
        <v>132</v>
      </c>
      <c r="Z1206" s="74"/>
      <c r="AB1206" s="55" t="s">
        <v>132</v>
      </c>
      <c r="AC1206" s="55" t="s">
        <v>132</v>
      </c>
    </row>
    <row r="1207" spans="1:29" ht="13" x14ac:dyDescent="0.15">
      <c r="A1207" s="72" t="str">
        <f t="shared" si="18"/>
        <v>Ofsted Social Care Provider Webpage</v>
      </c>
      <c r="B1207" s="55">
        <v>2598462</v>
      </c>
      <c r="D1207" s="55" t="s">
        <v>373</v>
      </c>
      <c r="E1207" s="74">
        <v>44112</v>
      </c>
      <c r="F1207" s="55" t="s">
        <v>344</v>
      </c>
      <c r="G1207" s="55" t="s">
        <v>360</v>
      </c>
      <c r="H1207" s="55" t="s">
        <v>360</v>
      </c>
      <c r="I1207" s="55" t="s">
        <v>360</v>
      </c>
      <c r="J1207" s="55" t="s">
        <v>360</v>
      </c>
      <c r="K1207" s="55" t="s">
        <v>360</v>
      </c>
      <c r="L1207" s="55" t="s">
        <v>360</v>
      </c>
      <c r="M1207" s="55" t="s">
        <v>172</v>
      </c>
      <c r="N1207" s="55" t="s">
        <v>172</v>
      </c>
      <c r="O1207" s="55" t="s">
        <v>212</v>
      </c>
      <c r="P1207" s="55" t="s">
        <v>592</v>
      </c>
      <c r="Q1207" s="55" t="s">
        <v>350</v>
      </c>
      <c r="R1207" s="55">
        <v>2</v>
      </c>
      <c r="S1207" s="74"/>
      <c r="T1207" s="55" t="s">
        <v>865</v>
      </c>
      <c r="U1207" s="73" t="s">
        <v>351</v>
      </c>
      <c r="V1207" s="74">
        <v>44467</v>
      </c>
      <c r="W1207" s="74">
        <v>44494</v>
      </c>
      <c r="X1207" s="55">
        <v>10185919</v>
      </c>
      <c r="Y1207" s="74" t="s">
        <v>132</v>
      </c>
      <c r="Z1207" s="74"/>
      <c r="AB1207" s="55" t="s">
        <v>132</v>
      </c>
      <c r="AC1207" s="55" t="s">
        <v>132</v>
      </c>
    </row>
    <row r="1208" spans="1:29" ht="13" x14ac:dyDescent="0.15">
      <c r="A1208" s="72" t="str">
        <f t="shared" si="18"/>
        <v>Ofsted Social Care Provider Webpage</v>
      </c>
      <c r="B1208" s="55">
        <v>2598648</v>
      </c>
      <c r="D1208" s="55" t="s">
        <v>373</v>
      </c>
      <c r="E1208" s="74">
        <v>44047</v>
      </c>
      <c r="F1208" s="55" t="s">
        <v>344</v>
      </c>
      <c r="G1208" s="55" t="s">
        <v>360</v>
      </c>
      <c r="H1208" s="55" t="s">
        <v>360</v>
      </c>
      <c r="I1208" s="55" t="s">
        <v>360</v>
      </c>
      <c r="J1208" s="55" t="s">
        <v>360</v>
      </c>
      <c r="K1208" s="55" t="s">
        <v>360</v>
      </c>
      <c r="L1208" s="55" t="s">
        <v>360</v>
      </c>
      <c r="M1208" s="55" t="s">
        <v>172</v>
      </c>
      <c r="N1208" s="55" t="s">
        <v>172</v>
      </c>
      <c r="O1208" s="55" t="s">
        <v>212</v>
      </c>
      <c r="P1208" s="55" t="s">
        <v>798</v>
      </c>
      <c r="Q1208" s="55" t="s">
        <v>350</v>
      </c>
      <c r="R1208" s="55">
        <v>3</v>
      </c>
      <c r="S1208" s="74"/>
      <c r="T1208" s="55" t="s">
        <v>1819</v>
      </c>
      <c r="U1208" s="73" t="s">
        <v>351</v>
      </c>
      <c r="V1208" s="74">
        <v>44314</v>
      </c>
      <c r="W1208" s="74">
        <v>44349</v>
      </c>
      <c r="X1208" s="55">
        <v>10186733</v>
      </c>
      <c r="Y1208" s="74" t="s">
        <v>132</v>
      </c>
      <c r="Z1208" s="74"/>
      <c r="AB1208" s="55" t="s">
        <v>132</v>
      </c>
      <c r="AC1208" s="55" t="s">
        <v>140</v>
      </c>
    </row>
    <row r="1209" spans="1:29" ht="13" x14ac:dyDescent="0.15">
      <c r="A1209" s="72" t="str">
        <f t="shared" si="18"/>
        <v>Ofsted Social Care Provider Webpage</v>
      </c>
      <c r="B1209" s="55">
        <v>2598804</v>
      </c>
      <c r="D1209" s="55" t="s">
        <v>373</v>
      </c>
      <c r="E1209" s="74">
        <v>44314</v>
      </c>
      <c r="F1209" s="55" t="s">
        <v>344</v>
      </c>
      <c r="G1209" s="55" t="s">
        <v>360</v>
      </c>
      <c r="H1209" s="55" t="s">
        <v>360</v>
      </c>
      <c r="I1209" s="55" t="s">
        <v>360</v>
      </c>
      <c r="J1209" s="55" t="s">
        <v>360</v>
      </c>
      <c r="K1209" s="55" t="s">
        <v>360</v>
      </c>
      <c r="L1209" s="55" t="s">
        <v>360</v>
      </c>
      <c r="M1209" s="55" t="s">
        <v>378</v>
      </c>
      <c r="N1209" s="55" t="s">
        <v>134</v>
      </c>
      <c r="O1209" s="55" t="s">
        <v>151</v>
      </c>
      <c r="P1209" s="55" t="s">
        <v>1921</v>
      </c>
      <c r="Q1209" s="55" t="s">
        <v>350</v>
      </c>
      <c r="R1209" s="55">
        <v>1</v>
      </c>
      <c r="S1209" s="74"/>
      <c r="T1209" s="55" t="s">
        <v>1922</v>
      </c>
      <c r="U1209" s="73" t="s">
        <v>351</v>
      </c>
      <c r="V1209" s="74">
        <v>44516</v>
      </c>
      <c r="W1209" s="74">
        <v>44630</v>
      </c>
      <c r="X1209" s="55">
        <v>10198685</v>
      </c>
      <c r="Y1209" s="74" t="s">
        <v>130</v>
      </c>
      <c r="Z1209" s="74"/>
      <c r="AB1209" s="55" t="s">
        <v>130</v>
      </c>
      <c r="AC1209" s="55" t="s">
        <v>146</v>
      </c>
    </row>
    <row r="1210" spans="1:29" ht="13" x14ac:dyDescent="0.15">
      <c r="A1210" s="72" t="str">
        <f t="shared" si="18"/>
        <v>Ofsted Social Care Provider Webpage</v>
      </c>
      <c r="B1210" s="55">
        <v>2599037</v>
      </c>
      <c r="D1210" s="55" t="s">
        <v>373</v>
      </c>
      <c r="E1210" s="74">
        <v>44054</v>
      </c>
      <c r="F1210" s="55" t="s">
        <v>344</v>
      </c>
      <c r="G1210" s="55" t="s">
        <v>360</v>
      </c>
      <c r="H1210" s="55" t="s">
        <v>360</v>
      </c>
      <c r="I1210" s="55" t="s">
        <v>360</v>
      </c>
      <c r="J1210" s="55" t="s">
        <v>360</v>
      </c>
      <c r="K1210" s="55" t="s">
        <v>360</v>
      </c>
      <c r="L1210" s="55" t="s">
        <v>360</v>
      </c>
      <c r="M1210" s="55" t="s">
        <v>172</v>
      </c>
      <c r="N1210" s="55" t="s">
        <v>172</v>
      </c>
      <c r="O1210" s="55" t="s">
        <v>212</v>
      </c>
      <c r="P1210" s="55" t="s">
        <v>547</v>
      </c>
      <c r="Q1210" s="55" t="s">
        <v>350</v>
      </c>
      <c r="R1210" s="55">
        <v>3</v>
      </c>
      <c r="S1210" s="74"/>
      <c r="T1210" s="55" t="s">
        <v>1923</v>
      </c>
      <c r="U1210" s="73" t="s">
        <v>351</v>
      </c>
      <c r="V1210" s="74">
        <v>44364</v>
      </c>
      <c r="W1210" s="74">
        <v>44403</v>
      </c>
      <c r="X1210" s="55">
        <v>10185632</v>
      </c>
      <c r="Y1210" s="74" t="s">
        <v>132</v>
      </c>
      <c r="Z1210" s="74"/>
      <c r="AB1210" s="55" t="s">
        <v>132</v>
      </c>
      <c r="AC1210" s="55" t="s">
        <v>132</v>
      </c>
    </row>
    <row r="1211" spans="1:29" ht="13" x14ac:dyDescent="0.15">
      <c r="A1211" s="72" t="str">
        <f t="shared" si="18"/>
        <v>Ofsted Social Care Provider Webpage</v>
      </c>
      <c r="B1211" s="55">
        <v>2599183</v>
      </c>
      <c r="D1211" s="55" t="s">
        <v>373</v>
      </c>
      <c r="E1211" s="74">
        <v>44068</v>
      </c>
      <c r="F1211" s="55" t="s">
        <v>344</v>
      </c>
      <c r="G1211" s="55" t="s">
        <v>360</v>
      </c>
      <c r="H1211" s="55" t="s">
        <v>360</v>
      </c>
      <c r="I1211" s="55" t="s">
        <v>360</v>
      </c>
      <c r="J1211" s="55" t="s">
        <v>360</v>
      </c>
      <c r="K1211" s="55" t="s">
        <v>360</v>
      </c>
      <c r="L1211" s="55" t="s">
        <v>360</v>
      </c>
      <c r="M1211" s="55" t="s">
        <v>144</v>
      </c>
      <c r="N1211" s="55" t="s">
        <v>144</v>
      </c>
      <c r="O1211" s="55" t="s">
        <v>163</v>
      </c>
      <c r="P1211" s="55" t="s">
        <v>614</v>
      </c>
      <c r="Q1211" s="55" t="s">
        <v>350</v>
      </c>
      <c r="R1211" s="55">
        <v>3</v>
      </c>
      <c r="S1211" s="74"/>
      <c r="T1211" s="55" t="s">
        <v>1653</v>
      </c>
      <c r="U1211" s="73" t="s">
        <v>351</v>
      </c>
      <c r="V1211" s="74">
        <v>44581</v>
      </c>
      <c r="W1211" s="74">
        <v>44617</v>
      </c>
      <c r="X1211" s="55">
        <v>10186134</v>
      </c>
      <c r="Y1211" s="74" t="s">
        <v>130</v>
      </c>
      <c r="Z1211" s="74"/>
      <c r="AB1211" s="55" t="s">
        <v>130</v>
      </c>
      <c r="AC1211" s="55" t="s">
        <v>130</v>
      </c>
    </row>
    <row r="1212" spans="1:29" ht="13" x14ac:dyDescent="0.15">
      <c r="A1212" s="72" t="str">
        <f t="shared" si="18"/>
        <v>Ofsted Social Care Provider Webpage</v>
      </c>
      <c r="B1212" s="55">
        <v>2599388</v>
      </c>
      <c r="D1212" s="55" t="s">
        <v>373</v>
      </c>
      <c r="E1212" s="74">
        <v>44033</v>
      </c>
      <c r="F1212" s="55" t="s">
        <v>344</v>
      </c>
      <c r="G1212" s="55" t="s">
        <v>360</v>
      </c>
      <c r="H1212" s="55" t="s">
        <v>360</v>
      </c>
      <c r="I1212" s="55" t="s">
        <v>360</v>
      </c>
      <c r="J1212" s="55" t="s">
        <v>360</v>
      </c>
      <c r="K1212" s="55" t="s">
        <v>360</v>
      </c>
      <c r="L1212" s="55" t="s">
        <v>360</v>
      </c>
      <c r="M1212" s="55" t="s">
        <v>136</v>
      </c>
      <c r="N1212" s="55" t="s">
        <v>136</v>
      </c>
      <c r="O1212" s="55" t="s">
        <v>174</v>
      </c>
      <c r="P1212" s="55" t="s">
        <v>982</v>
      </c>
      <c r="Q1212" s="55" t="s">
        <v>350</v>
      </c>
      <c r="R1212" s="55">
        <v>3</v>
      </c>
      <c r="S1212" s="74"/>
      <c r="T1212" s="55" t="s">
        <v>1924</v>
      </c>
      <c r="U1212" s="73" t="s">
        <v>351</v>
      </c>
      <c r="V1212" s="74">
        <v>44523</v>
      </c>
      <c r="W1212" s="74">
        <v>44565</v>
      </c>
      <c r="X1212" s="55">
        <v>10186182</v>
      </c>
      <c r="Y1212" s="74" t="s">
        <v>132</v>
      </c>
      <c r="Z1212" s="74"/>
      <c r="AB1212" s="55" t="s">
        <v>132</v>
      </c>
      <c r="AC1212" s="55" t="s">
        <v>132</v>
      </c>
    </row>
    <row r="1213" spans="1:29" ht="13" x14ac:dyDescent="0.15">
      <c r="A1213" s="72" t="str">
        <f t="shared" si="18"/>
        <v>Ofsted Social Care Provider Webpage</v>
      </c>
      <c r="B1213" s="55">
        <v>2599399</v>
      </c>
      <c r="D1213" s="55" t="s">
        <v>373</v>
      </c>
      <c r="E1213" s="74">
        <v>44089</v>
      </c>
      <c r="F1213" s="55" t="s">
        <v>344</v>
      </c>
      <c r="G1213" s="55" t="s">
        <v>360</v>
      </c>
      <c r="H1213" s="55" t="s">
        <v>360</v>
      </c>
      <c r="I1213" s="55" t="s">
        <v>360</v>
      </c>
      <c r="J1213" s="55" t="s">
        <v>360</v>
      </c>
      <c r="K1213" s="55" t="s">
        <v>360</v>
      </c>
      <c r="L1213" s="55" t="s">
        <v>360</v>
      </c>
      <c r="M1213" s="55" t="s">
        <v>142</v>
      </c>
      <c r="N1213" s="55" t="s">
        <v>142</v>
      </c>
      <c r="O1213" s="55" t="s">
        <v>195</v>
      </c>
      <c r="P1213" s="55" t="s">
        <v>518</v>
      </c>
      <c r="Q1213" s="55" t="s">
        <v>350</v>
      </c>
      <c r="R1213" s="55">
        <v>2</v>
      </c>
      <c r="S1213" s="74"/>
      <c r="T1213" s="55" t="s">
        <v>385</v>
      </c>
      <c r="U1213" s="73" t="s">
        <v>351</v>
      </c>
      <c r="V1213" s="74">
        <v>44377</v>
      </c>
      <c r="W1213" s="74">
        <v>44412</v>
      </c>
      <c r="X1213" s="55">
        <v>10185837</v>
      </c>
      <c r="Y1213" s="74" t="s">
        <v>132</v>
      </c>
      <c r="Z1213" s="74"/>
      <c r="AB1213" s="55" t="s">
        <v>132</v>
      </c>
      <c r="AC1213" s="55" t="s">
        <v>132</v>
      </c>
    </row>
    <row r="1214" spans="1:29" ht="13" x14ac:dyDescent="0.15">
      <c r="A1214" s="72" t="str">
        <f t="shared" si="18"/>
        <v>Ofsted Social Care Provider Webpage</v>
      </c>
      <c r="B1214" s="55">
        <v>2599480</v>
      </c>
      <c r="D1214" s="55" t="s">
        <v>373</v>
      </c>
      <c r="E1214" s="74">
        <v>44089</v>
      </c>
      <c r="F1214" s="55" t="s">
        <v>344</v>
      </c>
      <c r="G1214" s="55" t="s">
        <v>360</v>
      </c>
      <c r="H1214" s="55" t="s">
        <v>360</v>
      </c>
      <c r="I1214" s="55" t="s">
        <v>360</v>
      </c>
      <c r="J1214" s="55" t="s">
        <v>360</v>
      </c>
      <c r="K1214" s="55" t="s">
        <v>360</v>
      </c>
      <c r="L1214" s="55" t="s">
        <v>360</v>
      </c>
      <c r="M1214" s="55" t="s">
        <v>142</v>
      </c>
      <c r="N1214" s="55" t="s">
        <v>142</v>
      </c>
      <c r="O1214" s="55" t="s">
        <v>265</v>
      </c>
      <c r="P1214" s="55" t="s">
        <v>1066</v>
      </c>
      <c r="Q1214" s="55" t="s">
        <v>350</v>
      </c>
      <c r="R1214" s="55">
        <v>4</v>
      </c>
      <c r="S1214" s="74"/>
      <c r="T1214" s="55" t="s">
        <v>385</v>
      </c>
      <c r="U1214" s="73"/>
      <c r="W1214" s="74"/>
      <c r="Y1214" s="74"/>
      <c r="Z1214" s="74"/>
    </row>
    <row r="1215" spans="1:29" ht="13" x14ac:dyDescent="0.15">
      <c r="A1215" s="72" t="str">
        <f t="shared" si="18"/>
        <v>Ofsted Social Care Provider Webpage</v>
      </c>
      <c r="B1215" s="55">
        <v>2599659</v>
      </c>
      <c r="D1215" s="55" t="s">
        <v>373</v>
      </c>
      <c r="E1215" s="74">
        <v>44164</v>
      </c>
      <c r="F1215" s="55" t="s">
        <v>344</v>
      </c>
      <c r="G1215" s="55" t="s">
        <v>360</v>
      </c>
      <c r="H1215" s="55" t="s">
        <v>360</v>
      </c>
      <c r="I1215" s="55" t="s">
        <v>360</v>
      </c>
      <c r="J1215" s="55" t="s">
        <v>360</v>
      </c>
      <c r="K1215" s="55" t="s">
        <v>360</v>
      </c>
      <c r="L1215" s="55" t="s">
        <v>360</v>
      </c>
      <c r="M1215" s="55" t="s">
        <v>138</v>
      </c>
      <c r="N1215" s="55" t="s">
        <v>138</v>
      </c>
      <c r="O1215" s="55" t="s">
        <v>238</v>
      </c>
      <c r="P1215" s="55" t="s">
        <v>238</v>
      </c>
      <c r="Q1215" s="55" t="s">
        <v>350</v>
      </c>
      <c r="R1215" s="55">
        <v>4</v>
      </c>
      <c r="S1215" s="74"/>
      <c r="T1215" s="55" t="s">
        <v>1079</v>
      </c>
      <c r="U1215" s="73" t="s">
        <v>351</v>
      </c>
      <c r="V1215" s="74">
        <v>44566</v>
      </c>
      <c r="W1215" s="74">
        <v>44592</v>
      </c>
      <c r="X1215" s="55">
        <v>10186493</v>
      </c>
      <c r="Y1215" s="74" t="s">
        <v>132</v>
      </c>
      <c r="Z1215" s="74"/>
      <c r="AB1215" s="55" t="s">
        <v>132</v>
      </c>
      <c r="AC1215" s="55" t="s">
        <v>132</v>
      </c>
    </row>
    <row r="1216" spans="1:29" ht="13" x14ac:dyDescent="0.15">
      <c r="A1216" s="72" t="str">
        <f t="shared" si="18"/>
        <v>Ofsted Social Care Provider Webpage</v>
      </c>
      <c r="B1216" s="55">
        <v>2599773</v>
      </c>
      <c r="D1216" s="55" t="s">
        <v>373</v>
      </c>
      <c r="E1216" s="74">
        <v>44103</v>
      </c>
      <c r="F1216" s="55" t="s">
        <v>344</v>
      </c>
      <c r="G1216" s="55" t="s">
        <v>360</v>
      </c>
      <c r="H1216" s="55" t="s">
        <v>360</v>
      </c>
      <c r="I1216" s="55" t="s">
        <v>360</v>
      </c>
      <c r="J1216" s="55" t="s">
        <v>360</v>
      </c>
      <c r="K1216" s="55" t="s">
        <v>360</v>
      </c>
      <c r="L1216" s="55" t="s">
        <v>360</v>
      </c>
      <c r="M1216" s="55" t="s">
        <v>172</v>
      </c>
      <c r="N1216" s="55" t="s">
        <v>172</v>
      </c>
      <c r="O1216" s="55" t="s">
        <v>284</v>
      </c>
      <c r="P1216" s="55" t="s">
        <v>1475</v>
      </c>
      <c r="Q1216" s="55" t="s">
        <v>350</v>
      </c>
      <c r="R1216" s="55">
        <v>2</v>
      </c>
      <c r="S1216" s="74"/>
      <c r="T1216" s="55" t="s">
        <v>1925</v>
      </c>
      <c r="U1216" s="73" t="s">
        <v>351</v>
      </c>
      <c r="V1216" s="74">
        <v>44424</v>
      </c>
      <c r="W1216" s="74">
        <v>44463</v>
      </c>
      <c r="X1216" s="55">
        <v>10187306</v>
      </c>
      <c r="Y1216" s="74" t="s">
        <v>130</v>
      </c>
      <c r="Z1216" s="74"/>
      <c r="AB1216" s="55" t="s">
        <v>130</v>
      </c>
      <c r="AC1216" s="55" t="s">
        <v>146</v>
      </c>
    </row>
    <row r="1217" spans="1:29" ht="13" x14ac:dyDescent="0.15">
      <c r="A1217" s="72" t="str">
        <f t="shared" si="18"/>
        <v>Ofsted Social Care Provider Webpage</v>
      </c>
      <c r="B1217" s="55">
        <v>2599805</v>
      </c>
      <c r="D1217" s="55" t="s">
        <v>373</v>
      </c>
      <c r="E1217" s="74">
        <v>44132</v>
      </c>
      <c r="F1217" s="55" t="s">
        <v>344</v>
      </c>
      <c r="G1217" s="55" t="s">
        <v>360</v>
      </c>
      <c r="H1217" s="55" t="s">
        <v>360</v>
      </c>
      <c r="I1217" s="55" t="s">
        <v>360</v>
      </c>
      <c r="J1217" s="55" t="s">
        <v>360</v>
      </c>
      <c r="K1217" s="55" t="s">
        <v>360</v>
      </c>
      <c r="L1217" s="55" t="s">
        <v>360</v>
      </c>
      <c r="M1217" s="55" t="s">
        <v>172</v>
      </c>
      <c r="N1217" s="55" t="s">
        <v>172</v>
      </c>
      <c r="O1217" s="55" t="s">
        <v>171</v>
      </c>
      <c r="P1217" s="55" t="s">
        <v>983</v>
      </c>
      <c r="Q1217" s="55" t="s">
        <v>350</v>
      </c>
      <c r="R1217" s="55">
        <v>4</v>
      </c>
      <c r="S1217" s="74"/>
      <c r="T1217" s="55" t="s">
        <v>865</v>
      </c>
      <c r="U1217" s="73" t="s">
        <v>351</v>
      </c>
      <c r="V1217" s="74">
        <v>44460</v>
      </c>
      <c r="W1217" s="74">
        <v>44494</v>
      </c>
      <c r="X1217" s="55">
        <v>10187560</v>
      </c>
      <c r="Y1217" s="74" t="s">
        <v>132</v>
      </c>
      <c r="Z1217" s="74"/>
      <c r="AB1217" s="55" t="s">
        <v>132</v>
      </c>
      <c r="AC1217" s="55" t="s">
        <v>132</v>
      </c>
    </row>
    <row r="1218" spans="1:29" ht="13" x14ac:dyDescent="0.15">
      <c r="A1218" s="72" t="str">
        <f t="shared" si="18"/>
        <v>Ofsted Social Care Provider Webpage</v>
      </c>
      <c r="B1218" s="55">
        <v>2599994</v>
      </c>
      <c r="D1218" s="55" t="s">
        <v>373</v>
      </c>
      <c r="E1218" s="74">
        <v>44043</v>
      </c>
      <c r="F1218" s="55" t="s">
        <v>344</v>
      </c>
      <c r="G1218" s="55" t="s">
        <v>360</v>
      </c>
      <c r="H1218" s="55" t="s">
        <v>360</v>
      </c>
      <c r="I1218" s="55" t="s">
        <v>360</v>
      </c>
      <c r="J1218" s="55" t="s">
        <v>360</v>
      </c>
      <c r="K1218" s="55" t="s">
        <v>360</v>
      </c>
      <c r="L1218" s="55" t="s">
        <v>360</v>
      </c>
      <c r="M1218" s="55" t="s">
        <v>378</v>
      </c>
      <c r="N1218" s="55" t="s">
        <v>134</v>
      </c>
      <c r="O1218" s="55" t="s">
        <v>204</v>
      </c>
      <c r="P1218" s="55" t="s">
        <v>1920</v>
      </c>
      <c r="Q1218" s="55" t="s">
        <v>380</v>
      </c>
      <c r="R1218" s="55">
        <v>1</v>
      </c>
      <c r="S1218" s="74"/>
      <c r="T1218" s="55" t="s">
        <v>1479</v>
      </c>
      <c r="U1218" s="73" t="s">
        <v>351</v>
      </c>
      <c r="V1218" s="74">
        <v>44440</v>
      </c>
      <c r="W1218" s="74">
        <v>44473</v>
      </c>
      <c r="X1218" s="55">
        <v>10186504</v>
      </c>
      <c r="Y1218" s="74" t="s">
        <v>130</v>
      </c>
      <c r="Z1218" s="74"/>
      <c r="AB1218" s="55" t="s">
        <v>130</v>
      </c>
      <c r="AC1218" s="55" t="s">
        <v>130</v>
      </c>
    </row>
    <row r="1219" spans="1:29" ht="13" x14ac:dyDescent="0.15">
      <c r="A1219" s="72" t="str">
        <f t="shared" si="18"/>
        <v>Ofsted Social Care Provider Webpage</v>
      </c>
      <c r="B1219" s="55">
        <v>2600119</v>
      </c>
      <c r="D1219" s="55" t="s">
        <v>373</v>
      </c>
      <c r="E1219" s="74">
        <v>44106</v>
      </c>
      <c r="F1219" s="55" t="s">
        <v>344</v>
      </c>
      <c r="G1219" s="55" t="s">
        <v>360</v>
      </c>
      <c r="H1219" s="55" t="s">
        <v>360</v>
      </c>
      <c r="I1219" s="55" t="s">
        <v>360</v>
      </c>
      <c r="J1219" s="55" t="s">
        <v>360</v>
      </c>
      <c r="K1219" s="55" t="s">
        <v>360</v>
      </c>
      <c r="L1219" s="55" t="s">
        <v>360</v>
      </c>
      <c r="M1219" s="55" t="s">
        <v>144</v>
      </c>
      <c r="N1219" s="55" t="s">
        <v>144</v>
      </c>
      <c r="O1219" s="55" t="s">
        <v>157</v>
      </c>
      <c r="P1219" s="55" t="s">
        <v>1092</v>
      </c>
      <c r="Q1219" s="55" t="s">
        <v>350</v>
      </c>
      <c r="R1219" s="55">
        <v>2</v>
      </c>
      <c r="S1219" s="74"/>
      <c r="T1219" s="55" t="s">
        <v>1926</v>
      </c>
      <c r="U1219" s="73" t="s">
        <v>351</v>
      </c>
      <c r="V1219" s="74">
        <v>44510</v>
      </c>
      <c r="W1219" s="74">
        <v>44565</v>
      </c>
      <c r="X1219" s="55">
        <v>10186676</v>
      </c>
      <c r="Y1219" s="74" t="s">
        <v>132</v>
      </c>
      <c r="Z1219" s="74"/>
      <c r="AB1219" s="55" t="s">
        <v>132</v>
      </c>
      <c r="AC1219" s="55" t="s">
        <v>132</v>
      </c>
    </row>
    <row r="1220" spans="1:29" ht="13" x14ac:dyDescent="0.15">
      <c r="A1220" s="72" t="str">
        <f t="shared" si="18"/>
        <v>Ofsted Social Care Provider Webpage</v>
      </c>
      <c r="B1220" s="55">
        <v>2600259</v>
      </c>
      <c r="D1220" s="55" t="s">
        <v>373</v>
      </c>
      <c r="E1220" s="74">
        <v>44095</v>
      </c>
      <c r="F1220" s="55" t="s">
        <v>344</v>
      </c>
      <c r="G1220" s="55" t="s">
        <v>360</v>
      </c>
      <c r="H1220" s="55" t="s">
        <v>360</v>
      </c>
      <c r="I1220" s="55" t="s">
        <v>360</v>
      </c>
      <c r="J1220" s="55" t="s">
        <v>360</v>
      </c>
      <c r="K1220" s="55" t="s">
        <v>360</v>
      </c>
      <c r="L1220" s="55" t="s">
        <v>360</v>
      </c>
      <c r="M1220" s="55" t="s">
        <v>378</v>
      </c>
      <c r="N1220" s="55" t="s">
        <v>134</v>
      </c>
      <c r="O1220" s="55" t="s">
        <v>158</v>
      </c>
      <c r="P1220" s="55" t="s">
        <v>912</v>
      </c>
      <c r="Q1220" s="55" t="s">
        <v>350</v>
      </c>
      <c r="R1220" s="55">
        <v>2</v>
      </c>
      <c r="S1220" s="74"/>
      <c r="T1220" s="55" t="s">
        <v>951</v>
      </c>
      <c r="U1220" s="73" t="s">
        <v>351</v>
      </c>
      <c r="V1220" s="74">
        <v>44515</v>
      </c>
      <c r="W1220" s="74">
        <v>44544</v>
      </c>
      <c r="X1220" s="55">
        <v>10185485</v>
      </c>
      <c r="Y1220" s="74" t="s">
        <v>140</v>
      </c>
      <c r="Z1220" s="74"/>
      <c r="AB1220" s="55" t="s">
        <v>140</v>
      </c>
      <c r="AC1220" s="55" t="s">
        <v>140</v>
      </c>
    </row>
    <row r="1221" spans="1:29" ht="13" x14ac:dyDescent="0.15">
      <c r="A1221" s="72" t="str">
        <f t="shared" si="18"/>
        <v>Ofsted Social Care Provider Webpage</v>
      </c>
      <c r="B1221" s="55">
        <v>2600541</v>
      </c>
      <c r="D1221" s="55" t="s">
        <v>373</v>
      </c>
      <c r="E1221" s="74">
        <v>44084</v>
      </c>
      <c r="F1221" s="55" t="s">
        <v>344</v>
      </c>
      <c r="G1221" s="55" t="s">
        <v>360</v>
      </c>
      <c r="H1221" s="55" t="s">
        <v>360</v>
      </c>
      <c r="I1221" s="55" t="s">
        <v>360</v>
      </c>
      <c r="J1221" s="55" t="s">
        <v>360</v>
      </c>
      <c r="K1221" s="55" t="s">
        <v>360</v>
      </c>
      <c r="L1221" s="55" t="s">
        <v>360</v>
      </c>
      <c r="M1221" s="55" t="s">
        <v>142</v>
      </c>
      <c r="N1221" s="55" t="s">
        <v>142</v>
      </c>
      <c r="O1221" s="55" t="s">
        <v>293</v>
      </c>
      <c r="P1221" s="55" t="s">
        <v>1136</v>
      </c>
      <c r="Q1221" s="55" t="s">
        <v>350</v>
      </c>
      <c r="R1221" s="55">
        <v>3</v>
      </c>
      <c r="S1221" s="74"/>
      <c r="T1221" s="55" t="s">
        <v>1417</v>
      </c>
      <c r="U1221" s="73" t="s">
        <v>351</v>
      </c>
      <c r="V1221" s="74">
        <v>44446</v>
      </c>
      <c r="W1221" s="74">
        <v>44474</v>
      </c>
      <c r="X1221" s="55">
        <v>10186025</v>
      </c>
      <c r="Y1221" s="74" t="s">
        <v>132</v>
      </c>
      <c r="Z1221" s="74"/>
      <c r="AB1221" s="55" t="s">
        <v>132</v>
      </c>
      <c r="AC1221" s="55" t="s">
        <v>132</v>
      </c>
    </row>
    <row r="1222" spans="1:29" ht="13" x14ac:dyDescent="0.15">
      <c r="A1222" s="72" t="str">
        <f t="shared" ref="A1222:A1285" si="19">HYPERLINK(_xlfn.CONCAT("http://reports.ofsted.gov.uk/inspection-reports/find-inspection-report/provider/CARE/",B1222),"Ofsted Social Care Provider Webpage")</f>
        <v>Ofsted Social Care Provider Webpage</v>
      </c>
      <c r="B1222" s="55">
        <v>2600759</v>
      </c>
      <c r="D1222" s="55" t="s">
        <v>373</v>
      </c>
      <c r="E1222" s="74">
        <v>44062</v>
      </c>
      <c r="F1222" s="55" t="s">
        <v>344</v>
      </c>
      <c r="G1222" s="55" t="s">
        <v>360</v>
      </c>
      <c r="H1222" s="55" t="s">
        <v>360</v>
      </c>
      <c r="I1222" s="55" t="s">
        <v>360</v>
      </c>
      <c r="J1222" s="55" t="s">
        <v>360</v>
      </c>
      <c r="K1222" s="55" t="s">
        <v>360</v>
      </c>
      <c r="L1222" s="55" t="s">
        <v>360</v>
      </c>
      <c r="M1222" s="55" t="s">
        <v>144</v>
      </c>
      <c r="N1222" s="55" t="s">
        <v>144</v>
      </c>
      <c r="O1222" s="55" t="s">
        <v>287</v>
      </c>
      <c r="P1222" s="55" t="s">
        <v>287</v>
      </c>
      <c r="Q1222" s="55" t="s">
        <v>350</v>
      </c>
      <c r="R1222" s="55">
        <v>3</v>
      </c>
      <c r="S1222" s="74"/>
      <c r="T1222" s="55" t="s">
        <v>490</v>
      </c>
      <c r="U1222" s="73" t="s">
        <v>351</v>
      </c>
      <c r="V1222" s="74">
        <v>44299</v>
      </c>
      <c r="W1222" s="74">
        <v>44327</v>
      </c>
      <c r="X1222" s="55">
        <v>10186668</v>
      </c>
      <c r="Y1222" s="74" t="s">
        <v>132</v>
      </c>
      <c r="Z1222" s="74"/>
      <c r="AB1222" s="55" t="s">
        <v>132</v>
      </c>
      <c r="AC1222" s="55" t="s">
        <v>132</v>
      </c>
    </row>
    <row r="1223" spans="1:29" ht="13" x14ac:dyDescent="0.15">
      <c r="A1223" s="72" t="str">
        <f t="shared" si="19"/>
        <v>Ofsted Social Care Provider Webpage</v>
      </c>
      <c r="B1223" s="55">
        <v>2600784</v>
      </c>
      <c r="D1223" s="55" t="s">
        <v>389</v>
      </c>
      <c r="E1223" s="74">
        <v>44279</v>
      </c>
      <c r="F1223" s="55" t="s">
        <v>344</v>
      </c>
      <c r="G1223" s="55" t="s">
        <v>1927</v>
      </c>
      <c r="H1223" s="55" t="s">
        <v>1928</v>
      </c>
      <c r="I1223" s="55" t="s">
        <v>1929</v>
      </c>
      <c r="J1223" s="55" t="s">
        <v>1930</v>
      </c>
      <c r="K1223" s="55" t="s">
        <v>183</v>
      </c>
      <c r="L1223" s="55" t="s">
        <v>1931</v>
      </c>
      <c r="M1223" s="55" t="s">
        <v>138</v>
      </c>
      <c r="N1223" s="55" t="s">
        <v>138</v>
      </c>
      <c r="O1223" s="55" t="s">
        <v>183</v>
      </c>
      <c r="P1223" s="55" t="s">
        <v>907</v>
      </c>
      <c r="Q1223" s="55" t="s">
        <v>350</v>
      </c>
      <c r="R1223" s="55"/>
      <c r="S1223" s="74"/>
      <c r="T1223" s="55" t="s">
        <v>1932</v>
      </c>
      <c r="U1223" s="73"/>
      <c r="W1223" s="74"/>
      <c r="Y1223" s="74"/>
      <c r="Z1223" s="74"/>
    </row>
    <row r="1224" spans="1:29" ht="13" x14ac:dyDescent="0.15">
      <c r="A1224" s="72" t="str">
        <f t="shared" si="19"/>
        <v>Ofsted Social Care Provider Webpage</v>
      </c>
      <c r="B1224" s="55">
        <v>2600900</v>
      </c>
      <c r="D1224" s="55" t="s">
        <v>389</v>
      </c>
      <c r="E1224" s="74">
        <v>44277</v>
      </c>
      <c r="F1224" s="55" t="s">
        <v>344</v>
      </c>
      <c r="G1224" s="55" t="s">
        <v>1933</v>
      </c>
      <c r="H1224" s="55" t="s">
        <v>1934</v>
      </c>
      <c r="I1224" s="55" t="s">
        <v>1935</v>
      </c>
      <c r="J1224" s="55" t="s">
        <v>1936</v>
      </c>
      <c r="K1224" s="55" t="s">
        <v>203</v>
      </c>
      <c r="L1224" s="55" t="s">
        <v>1937</v>
      </c>
      <c r="M1224" s="55" t="s">
        <v>150</v>
      </c>
      <c r="N1224" s="55" t="s">
        <v>150</v>
      </c>
      <c r="O1224" s="55" t="s">
        <v>203</v>
      </c>
      <c r="P1224" s="55" t="s">
        <v>1835</v>
      </c>
      <c r="Q1224" s="55" t="s">
        <v>350</v>
      </c>
      <c r="R1224" s="55"/>
      <c r="S1224" s="74"/>
      <c r="T1224" s="55" t="s">
        <v>1938</v>
      </c>
      <c r="U1224" s="73" t="s">
        <v>351</v>
      </c>
      <c r="V1224" s="74">
        <v>44571</v>
      </c>
      <c r="W1224" s="74">
        <v>44609</v>
      </c>
      <c r="X1224" s="55">
        <v>10188357</v>
      </c>
      <c r="Y1224" s="74" t="s">
        <v>132</v>
      </c>
      <c r="Z1224" s="74"/>
      <c r="AB1224" s="55" t="s">
        <v>132</v>
      </c>
      <c r="AC1224" s="55" t="s">
        <v>132</v>
      </c>
    </row>
    <row r="1225" spans="1:29" ht="13" x14ac:dyDescent="0.15">
      <c r="A1225" s="72" t="str">
        <f t="shared" si="19"/>
        <v>Ofsted Social Care Provider Webpage</v>
      </c>
      <c r="B1225" s="55">
        <v>2600978</v>
      </c>
      <c r="D1225" s="55" t="s">
        <v>373</v>
      </c>
      <c r="E1225" s="74">
        <v>44117</v>
      </c>
      <c r="F1225" s="55" t="s">
        <v>344</v>
      </c>
      <c r="G1225" s="55" t="s">
        <v>360</v>
      </c>
      <c r="H1225" s="55" t="s">
        <v>360</v>
      </c>
      <c r="I1225" s="55" t="s">
        <v>360</v>
      </c>
      <c r="J1225" s="55" t="s">
        <v>360</v>
      </c>
      <c r="K1225" s="55" t="s">
        <v>360</v>
      </c>
      <c r="L1225" s="55" t="s">
        <v>360</v>
      </c>
      <c r="M1225" s="55" t="s">
        <v>142</v>
      </c>
      <c r="N1225" s="55" t="s">
        <v>142</v>
      </c>
      <c r="O1225" s="55" t="s">
        <v>262</v>
      </c>
      <c r="P1225" s="55" t="s">
        <v>916</v>
      </c>
      <c r="Q1225" s="55" t="s">
        <v>350</v>
      </c>
      <c r="R1225" s="55">
        <v>4</v>
      </c>
      <c r="S1225" s="74"/>
      <c r="T1225" s="55" t="s">
        <v>861</v>
      </c>
      <c r="U1225" s="73" t="s">
        <v>351</v>
      </c>
      <c r="V1225" s="74">
        <v>44482</v>
      </c>
      <c r="W1225" s="74">
        <v>44537</v>
      </c>
      <c r="X1225" s="55">
        <v>10187294</v>
      </c>
      <c r="Y1225" s="74" t="s">
        <v>130</v>
      </c>
      <c r="Z1225" s="74"/>
      <c r="AB1225" s="55" t="s">
        <v>130</v>
      </c>
      <c r="AC1225" s="55" t="s">
        <v>130</v>
      </c>
    </row>
    <row r="1226" spans="1:29" ht="13" x14ac:dyDescent="0.15">
      <c r="A1226" s="72" t="str">
        <f t="shared" si="19"/>
        <v>Ofsted Social Care Provider Webpage</v>
      </c>
      <c r="B1226" s="55">
        <v>2601107</v>
      </c>
      <c r="C1226" s="55">
        <v>125453</v>
      </c>
      <c r="D1226" s="55" t="s">
        <v>413</v>
      </c>
      <c r="E1226" s="74">
        <v>44060</v>
      </c>
      <c r="F1226" s="55" t="s">
        <v>344</v>
      </c>
      <c r="G1226" s="55" t="s">
        <v>1939</v>
      </c>
      <c r="H1226" s="55" t="s">
        <v>1940</v>
      </c>
      <c r="I1226" s="55" t="s">
        <v>354</v>
      </c>
      <c r="J1226" s="55" t="s">
        <v>1941</v>
      </c>
      <c r="K1226" s="55" t="s">
        <v>268</v>
      </c>
      <c r="L1226" s="55" t="s">
        <v>1942</v>
      </c>
      <c r="M1226" s="55" t="s">
        <v>150</v>
      </c>
      <c r="N1226" s="55" t="s">
        <v>150</v>
      </c>
      <c r="O1226" s="55" t="s">
        <v>268</v>
      </c>
      <c r="P1226" s="55" t="s">
        <v>1943</v>
      </c>
      <c r="Q1226" s="55" t="s">
        <v>362</v>
      </c>
      <c r="R1226" s="55">
        <v>24</v>
      </c>
      <c r="S1226" s="74"/>
      <c r="T1226" s="55" t="s">
        <v>1944</v>
      </c>
      <c r="U1226" s="73" t="s">
        <v>351</v>
      </c>
      <c r="V1226" s="74">
        <v>44453</v>
      </c>
      <c r="W1226" s="74">
        <v>44488</v>
      </c>
      <c r="X1226" s="55">
        <v>10183601</v>
      </c>
      <c r="Y1226" s="74" t="s">
        <v>132</v>
      </c>
      <c r="Z1226" s="74"/>
      <c r="AB1226" s="55" t="s">
        <v>132</v>
      </c>
      <c r="AC1226" s="55" t="s">
        <v>132</v>
      </c>
    </row>
    <row r="1227" spans="1:29" ht="13" x14ac:dyDescent="0.15">
      <c r="A1227" s="72" t="str">
        <f t="shared" si="19"/>
        <v>Ofsted Social Care Provider Webpage</v>
      </c>
      <c r="B1227" s="55">
        <v>2601137</v>
      </c>
      <c r="D1227" s="55" t="s">
        <v>373</v>
      </c>
      <c r="E1227" s="74">
        <v>44187</v>
      </c>
      <c r="F1227" s="55" t="s">
        <v>344</v>
      </c>
      <c r="G1227" s="55" t="s">
        <v>360</v>
      </c>
      <c r="H1227" s="55" t="s">
        <v>360</v>
      </c>
      <c r="I1227" s="55" t="s">
        <v>360</v>
      </c>
      <c r="J1227" s="55" t="s">
        <v>360</v>
      </c>
      <c r="K1227" s="55" t="s">
        <v>360</v>
      </c>
      <c r="L1227" s="55" t="s">
        <v>360</v>
      </c>
      <c r="M1227" s="55" t="s">
        <v>172</v>
      </c>
      <c r="N1227" s="55" t="s">
        <v>172</v>
      </c>
      <c r="O1227" s="55" t="s">
        <v>173</v>
      </c>
      <c r="P1227" s="55" t="s">
        <v>961</v>
      </c>
      <c r="Q1227" s="55" t="s">
        <v>350</v>
      </c>
      <c r="R1227" s="55">
        <v>2</v>
      </c>
      <c r="S1227" s="74"/>
      <c r="T1227" s="55" t="s">
        <v>1704</v>
      </c>
      <c r="U1227" s="73" t="s">
        <v>351</v>
      </c>
      <c r="V1227" s="74">
        <v>44445</v>
      </c>
      <c r="W1227" s="74">
        <v>44481</v>
      </c>
      <c r="X1227" s="55">
        <v>10185922</v>
      </c>
      <c r="Y1227" s="74" t="s">
        <v>130</v>
      </c>
      <c r="Z1227" s="74"/>
      <c r="AB1227" s="55" t="s">
        <v>130</v>
      </c>
      <c r="AC1227" s="55" t="s">
        <v>130</v>
      </c>
    </row>
    <row r="1228" spans="1:29" ht="13" x14ac:dyDescent="0.15">
      <c r="A1228" s="72" t="str">
        <f t="shared" si="19"/>
        <v>Ofsted Social Care Provider Webpage</v>
      </c>
      <c r="B1228" s="55">
        <v>2602142</v>
      </c>
      <c r="D1228" s="55" t="s">
        <v>373</v>
      </c>
      <c r="E1228" s="74">
        <v>44069</v>
      </c>
      <c r="F1228" s="55" t="s">
        <v>344</v>
      </c>
      <c r="G1228" s="55" t="s">
        <v>360</v>
      </c>
      <c r="H1228" s="55" t="s">
        <v>360</v>
      </c>
      <c r="I1228" s="55" t="s">
        <v>360</v>
      </c>
      <c r="J1228" s="55" t="s">
        <v>360</v>
      </c>
      <c r="K1228" s="55" t="s">
        <v>360</v>
      </c>
      <c r="L1228" s="55" t="s">
        <v>360</v>
      </c>
      <c r="M1228" s="55" t="s">
        <v>378</v>
      </c>
      <c r="N1228" s="55" t="s">
        <v>170</v>
      </c>
      <c r="O1228" s="55" t="s">
        <v>231</v>
      </c>
      <c r="P1228" s="55" t="s">
        <v>231</v>
      </c>
      <c r="Q1228" s="55" t="s">
        <v>380</v>
      </c>
      <c r="R1228" s="55">
        <v>1</v>
      </c>
      <c r="S1228" s="74"/>
      <c r="T1228" s="55" t="s">
        <v>1945</v>
      </c>
      <c r="U1228" s="73" t="s">
        <v>351</v>
      </c>
      <c r="V1228" s="74">
        <v>44530</v>
      </c>
      <c r="W1228" s="74">
        <v>44575</v>
      </c>
      <c r="X1228" s="55">
        <v>10185236</v>
      </c>
      <c r="Y1228" s="74" t="s">
        <v>132</v>
      </c>
      <c r="Z1228" s="74"/>
      <c r="AB1228" s="55" t="s">
        <v>130</v>
      </c>
      <c r="AC1228" s="55" t="s">
        <v>130</v>
      </c>
    </row>
    <row r="1229" spans="1:29" ht="13" x14ac:dyDescent="0.15">
      <c r="A1229" s="72" t="str">
        <f t="shared" si="19"/>
        <v>Ofsted Social Care Provider Webpage</v>
      </c>
      <c r="B1229" s="55">
        <v>2602558</v>
      </c>
      <c r="D1229" s="55" t="s">
        <v>373</v>
      </c>
      <c r="E1229" s="74">
        <v>44152</v>
      </c>
      <c r="F1229" s="55" t="s">
        <v>344</v>
      </c>
      <c r="G1229" s="55" t="s">
        <v>360</v>
      </c>
      <c r="H1229" s="55" t="s">
        <v>360</v>
      </c>
      <c r="I1229" s="55" t="s">
        <v>360</v>
      </c>
      <c r="J1229" s="55" t="s">
        <v>360</v>
      </c>
      <c r="K1229" s="55" t="s">
        <v>360</v>
      </c>
      <c r="L1229" s="55" t="s">
        <v>360</v>
      </c>
      <c r="M1229" s="55" t="s">
        <v>378</v>
      </c>
      <c r="N1229" s="55" t="s">
        <v>170</v>
      </c>
      <c r="O1229" s="55" t="s">
        <v>184</v>
      </c>
      <c r="P1229" s="55" t="s">
        <v>184</v>
      </c>
      <c r="Q1229" s="55" t="s">
        <v>350</v>
      </c>
      <c r="R1229" s="55">
        <v>7</v>
      </c>
      <c r="S1229" s="74"/>
      <c r="T1229" s="55" t="s">
        <v>1946</v>
      </c>
      <c r="U1229" s="73" t="s">
        <v>351</v>
      </c>
      <c r="V1229" s="74">
        <v>44453</v>
      </c>
      <c r="W1229" s="74">
        <v>44481</v>
      </c>
      <c r="X1229" s="55">
        <v>10191914</v>
      </c>
      <c r="Y1229" s="74" t="s">
        <v>130</v>
      </c>
      <c r="Z1229" s="74"/>
      <c r="AB1229" s="55" t="s">
        <v>130</v>
      </c>
      <c r="AC1229" s="55" t="s">
        <v>130</v>
      </c>
    </row>
    <row r="1230" spans="1:29" ht="13" x14ac:dyDescent="0.15">
      <c r="A1230" s="72" t="str">
        <f t="shared" si="19"/>
        <v>Ofsted Social Care Provider Webpage</v>
      </c>
      <c r="B1230" s="55">
        <v>2602585</v>
      </c>
      <c r="D1230" s="55" t="s">
        <v>373</v>
      </c>
      <c r="E1230" s="74">
        <v>44092</v>
      </c>
      <c r="F1230" s="55" t="s">
        <v>344</v>
      </c>
      <c r="G1230" s="55" t="s">
        <v>360</v>
      </c>
      <c r="H1230" s="55" t="s">
        <v>360</v>
      </c>
      <c r="I1230" s="55" t="s">
        <v>360</v>
      </c>
      <c r="J1230" s="55" t="s">
        <v>360</v>
      </c>
      <c r="K1230" s="55" t="s">
        <v>360</v>
      </c>
      <c r="L1230" s="55" t="s">
        <v>360</v>
      </c>
      <c r="M1230" s="55" t="s">
        <v>144</v>
      </c>
      <c r="N1230" s="55" t="s">
        <v>144</v>
      </c>
      <c r="O1230" s="55" t="s">
        <v>209</v>
      </c>
      <c r="P1230" s="55" t="s">
        <v>561</v>
      </c>
      <c r="Q1230" s="55" t="s">
        <v>350</v>
      </c>
      <c r="R1230" s="55">
        <v>3</v>
      </c>
      <c r="S1230" s="74"/>
      <c r="T1230" s="55" t="s">
        <v>490</v>
      </c>
      <c r="U1230" s="73" t="s">
        <v>351</v>
      </c>
      <c r="V1230" s="74">
        <v>44466</v>
      </c>
      <c r="W1230" s="74">
        <v>44498</v>
      </c>
      <c r="X1230" s="55">
        <v>10187056</v>
      </c>
      <c r="Y1230" s="74" t="s">
        <v>132</v>
      </c>
      <c r="Z1230" s="74"/>
      <c r="AB1230" s="55" t="s">
        <v>132</v>
      </c>
      <c r="AC1230" s="55" t="s">
        <v>132</v>
      </c>
    </row>
    <row r="1231" spans="1:29" ht="13" x14ac:dyDescent="0.15">
      <c r="A1231" s="72" t="str">
        <f t="shared" si="19"/>
        <v>Ofsted Social Care Provider Webpage</v>
      </c>
      <c r="B1231" s="55">
        <v>2602813</v>
      </c>
      <c r="D1231" s="55" t="s">
        <v>373</v>
      </c>
      <c r="E1231" s="74">
        <v>44179</v>
      </c>
      <c r="F1231" s="55" t="s">
        <v>344</v>
      </c>
      <c r="G1231" s="55" t="s">
        <v>360</v>
      </c>
      <c r="H1231" s="55" t="s">
        <v>360</v>
      </c>
      <c r="I1231" s="55" t="s">
        <v>360</v>
      </c>
      <c r="J1231" s="55" t="s">
        <v>360</v>
      </c>
      <c r="K1231" s="55" t="s">
        <v>360</v>
      </c>
      <c r="L1231" s="55" t="s">
        <v>360</v>
      </c>
      <c r="M1231" s="55" t="s">
        <v>378</v>
      </c>
      <c r="N1231" s="55" t="s">
        <v>134</v>
      </c>
      <c r="O1231" s="55" t="s">
        <v>277</v>
      </c>
      <c r="P1231" s="55" t="s">
        <v>1362</v>
      </c>
      <c r="Q1231" s="55" t="s">
        <v>350</v>
      </c>
      <c r="R1231" s="55">
        <v>3</v>
      </c>
      <c r="S1231" s="74"/>
      <c r="T1231" s="55" t="s">
        <v>1947</v>
      </c>
      <c r="U1231" s="73" t="s">
        <v>351</v>
      </c>
      <c r="V1231" s="74">
        <v>44503</v>
      </c>
      <c r="W1231" s="74">
        <v>44539</v>
      </c>
      <c r="X1231" s="55">
        <v>10185442</v>
      </c>
      <c r="Y1231" s="74" t="s">
        <v>132</v>
      </c>
      <c r="Z1231" s="74"/>
      <c r="AB1231" s="55" t="s">
        <v>132</v>
      </c>
      <c r="AC1231" s="55" t="s">
        <v>132</v>
      </c>
    </row>
    <row r="1232" spans="1:29" ht="13" x14ac:dyDescent="0.15">
      <c r="A1232" s="72" t="str">
        <f t="shared" si="19"/>
        <v>Ofsted Social Care Provider Webpage</v>
      </c>
      <c r="B1232" s="55">
        <v>2602980</v>
      </c>
      <c r="D1232" s="55" t="s">
        <v>373</v>
      </c>
      <c r="E1232" s="74">
        <v>44077</v>
      </c>
      <c r="F1232" s="55" t="s">
        <v>344</v>
      </c>
      <c r="G1232" s="55" t="s">
        <v>360</v>
      </c>
      <c r="H1232" s="55" t="s">
        <v>360</v>
      </c>
      <c r="I1232" s="55" t="s">
        <v>360</v>
      </c>
      <c r="J1232" s="55" t="s">
        <v>360</v>
      </c>
      <c r="K1232" s="55" t="s">
        <v>360</v>
      </c>
      <c r="L1232" s="55" t="s">
        <v>360</v>
      </c>
      <c r="M1232" s="55" t="s">
        <v>138</v>
      </c>
      <c r="N1232" s="55" t="s">
        <v>138</v>
      </c>
      <c r="O1232" s="55" t="s">
        <v>159</v>
      </c>
      <c r="P1232" s="55" t="s">
        <v>1073</v>
      </c>
      <c r="Q1232" s="55" t="s">
        <v>380</v>
      </c>
      <c r="R1232" s="55">
        <v>5</v>
      </c>
      <c r="S1232" s="74"/>
      <c r="T1232" s="55" t="s">
        <v>1948</v>
      </c>
      <c r="U1232" s="73" t="s">
        <v>351</v>
      </c>
      <c r="V1232" s="74">
        <v>44431</v>
      </c>
      <c r="W1232" s="74">
        <v>44461</v>
      </c>
      <c r="X1232" s="55">
        <v>10185927</v>
      </c>
      <c r="Y1232" s="74" t="s">
        <v>130</v>
      </c>
      <c r="Z1232" s="74"/>
      <c r="AB1232" s="55" t="s">
        <v>130</v>
      </c>
      <c r="AC1232" s="55" t="s">
        <v>130</v>
      </c>
    </row>
    <row r="1233" spans="1:29" ht="13" x14ac:dyDescent="0.15">
      <c r="A1233" s="72" t="str">
        <f t="shared" si="19"/>
        <v>Ofsted Social Care Provider Webpage</v>
      </c>
      <c r="B1233" s="55">
        <v>2603286</v>
      </c>
      <c r="D1233" s="55" t="s">
        <v>373</v>
      </c>
      <c r="E1233" s="74">
        <v>44173</v>
      </c>
      <c r="F1233" s="55" t="s">
        <v>344</v>
      </c>
      <c r="G1233" s="55" t="s">
        <v>360</v>
      </c>
      <c r="H1233" s="55" t="s">
        <v>360</v>
      </c>
      <c r="I1233" s="55" t="s">
        <v>360</v>
      </c>
      <c r="J1233" s="55" t="s">
        <v>360</v>
      </c>
      <c r="K1233" s="55" t="s">
        <v>360</v>
      </c>
      <c r="L1233" s="55" t="s">
        <v>360</v>
      </c>
      <c r="M1233" s="55" t="s">
        <v>172</v>
      </c>
      <c r="N1233" s="55" t="s">
        <v>172</v>
      </c>
      <c r="O1233" s="55" t="s">
        <v>212</v>
      </c>
      <c r="P1233" s="55" t="s">
        <v>592</v>
      </c>
      <c r="Q1233" s="55" t="s">
        <v>350</v>
      </c>
      <c r="R1233" s="55">
        <v>4</v>
      </c>
      <c r="S1233" s="74"/>
      <c r="T1233" s="55" t="s">
        <v>493</v>
      </c>
      <c r="U1233" s="73" t="s">
        <v>351</v>
      </c>
      <c r="V1233" s="74">
        <v>44467</v>
      </c>
      <c r="W1233" s="74">
        <v>44515</v>
      </c>
      <c r="X1233" s="55">
        <v>10187204</v>
      </c>
      <c r="Y1233" s="74" t="s">
        <v>132</v>
      </c>
      <c r="Z1233" s="74"/>
      <c r="AB1233" s="55" t="s">
        <v>132</v>
      </c>
      <c r="AC1233" s="55" t="s">
        <v>132</v>
      </c>
    </row>
    <row r="1234" spans="1:29" ht="13" x14ac:dyDescent="0.15">
      <c r="A1234" s="72" t="str">
        <f t="shared" si="19"/>
        <v>Ofsted Social Care Provider Webpage</v>
      </c>
      <c r="B1234" s="55">
        <v>2603668</v>
      </c>
      <c r="D1234" s="55" t="s">
        <v>373</v>
      </c>
      <c r="E1234" s="74">
        <v>44077</v>
      </c>
      <c r="F1234" s="55" t="s">
        <v>344</v>
      </c>
      <c r="G1234" s="55" t="s">
        <v>360</v>
      </c>
      <c r="H1234" s="55" t="s">
        <v>360</v>
      </c>
      <c r="I1234" s="55" t="s">
        <v>360</v>
      </c>
      <c r="J1234" s="55" t="s">
        <v>360</v>
      </c>
      <c r="K1234" s="55" t="s">
        <v>360</v>
      </c>
      <c r="L1234" s="55" t="s">
        <v>360</v>
      </c>
      <c r="M1234" s="55" t="s">
        <v>138</v>
      </c>
      <c r="N1234" s="55" t="s">
        <v>138</v>
      </c>
      <c r="O1234" s="55" t="s">
        <v>159</v>
      </c>
      <c r="P1234" s="55" t="s">
        <v>633</v>
      </c>
      <c r="Q1234" s="55" t="s">
        <v>380</v>
      </c>
      <c r="R1234" s="55">
        <v>4</v>
      </c>
      <c r="S1234" s="74"/>
      <c r="T1234" s="55" t="s">
        <v>1948</v>
      </c>
      <c r="U1234" s="73" t="s">
        <v>351</v>
      </c>
      <c r="V1234" s="74">
        <v>44341</v>
      </c>
      <c r="W1234" s="74">
        <v>44365</v>
      </c>
      <c r="X1234" s="55">
        <v>10186274</v>
      </c>
      <c r="Y1234" s="74" t="s">
        <v>130</v>
      </c>
      <c r="Z1234" s="74"/>
      <c r="AB1234" s="55" t="s">
        <v>130</v>
      </c>
      <c r="AC1234" s="55" t="s">
        <v>130</v>
      </c>
    </row>
    <row r="1235" spans="1:29" ht="13" x14ac:dyDescent="0.15">
      <c r="A1235" s="72" t="str">
        <f t="shared" si="19"/>
        <v>Ofsted Social Care Provider Webpage</v>
      </c>
      <c r="B1235" s="55">
        <v>2603750</v>
      </c>
      <c r="D1235" s="55" t="s">
        <v>373</v>
      </c>
      <c r="E1235" s="74">
        <v>44407</v>
      </c>
      <c r="F1235" s="55" t="s">
        <v>344</v>
      </c>
      <c r="G1235" s="55" t="s">
        <v>360</v>
      </c>
      <c r="H1235" s="55" t="s">
        <v>360</v>
      </c>
      <c r="I1235" s="55" t="s">
        <v>360</v>
      </c>
      <c r="J1235" s="55" t="s">
        <v>360</v>
      </c>
      <c r="K1235" s="55" t="s">
        <v>360</v>
      </c>
      <c r="L1235" s="55" t="s">
        <v>360</v>
      </c>
      <c r="M1235" s="55" t="s">
        <v>142</v>
      </c>
      <c r="N1235" s="55" t="s">
        <v>142</v>
      </c>
      <c r="O1235" s="55" t="s">
        <v>292</v>
      </c>
      <c r="P1235" s="55" t="s">
        <v>1162</v>
      </c>
      <c r="Q1235" s="55" t="s">
        <v>350</v>
      </c>
      <c r="R1235" s="55">
        <v>3</v>
      </c>
      <c r="S1235" s="74"/>
      <c r="T1235" s="55" t="s">
        <v>1949</v>
      </c>
      <c r="U1235" s="73" t="s">
        <v>351</v>
      </c>
      <c r="V1235" s="74">
        <v>44615</v>
      </c>
      <c r="W1235" s="74">
        <v>44656</v>
      </c>
      <c r="X1235" s="55">
        <v>10204102</v>
      </c>
      <c r="Y1235" s="74" t="s">
        <v>130</v>
      </c>
      <c r="Z1235" s="74"/>
      <c r="AB1235" s="55" t="s">
        <v>130</v>
      </c>
      <c r="AC1235" s="55" t="s">
        <v>130</v>
      </c>
    </row>
    <row r="1236" spans="1:29" ht="13" x14ac:dyDescent="0.15">
      <c r="A1236" s="72" t="str">
        <f t="shared" si="19"/>
        <v>Ofsted Social Care Provider Webpage</v>
      </c>
      <c r="B1236" s="55">
        <v>2604035</v>
      </c>
      <c r="D1236" s="55" t="s">
        <v>373</v>
      </c>
      <c r="E1236" s="74">
        <v>44155</v>
      </c>
      <c r="F1236" s="55" t="s">
        <v>344</v>
      </c>
      <c r="G1236" s="55" t="s">
        <v>360</v>
      </c>
      <c r="H1236" s="55" t="s">
        <v>360</v>
      </c>
      <c r="I1236" s="55" t="s">
        <v>360</v>
      </c>
      <c r="J1236" s="55" t="s">
        <v>360</v>
      </c>
      <c r="K1236" s="55" t="s">
        <v>360</v>
      </c>
      <c r="L1236" s="55" t="s">
        <v>360</v>
      </c>
      <c r="M1236" s="55" t="s">
        <v>378</v>
      </c>
      <c r="N1236" s="55" t="s">
        <v>134</v>
      </c>
      <c r="O1236" s="55" t="s">
        <v>210</v>
      </c>
      <c r="P1236" s="55" t="s">
        <v>1950</v>
      </c>
      <c r="Q1236" s="55" t="s">
        <v>350</v>
      </c>
      <c r="R1236" s="55">
        <v>3</v>
      </c>
      <c r="S1236" s="74"/>
      <c r="T1236" s="55" t="s">
        <v>493</v>
      </c>
      <c r="U1236" s="73" t="s">
        <v>351</v>
      </c>
      <c r="V1236" s="74">
        <v>44460</v>
      </c>
      <c r="W1236" s="74">
        <v>44504</v>
      </c>
      <c r="X1236" s="55">
        <v>10185171</v>
      </c>
      <c r="Y1236" s="74" t="s">
        <v>132</v>
      </c>
      <c r="Z1236" s="74"/>
      <c r="AB1236" s="55" t="s">
        <v>132</v>
      </c>
      <c r="AC1236" s="55" t="s">
        <v>130</v>
      </c>
    </row>
    <row r="1237" spans="1:29" ht="13" x14ac:dyDescent="0.15">
      <c r="A1237" s="72" t="str">
        <f t="shared" si="19"/>
        <v>Ofsted Social Care Provider Webpage</v>
      </c>
      <c r="B1237" s="55">
        <v>2604092</v>
      </c>
      <c r="D1237" s="55" t="s">
        <v>373</v>
      </c>
      <c r="E1237" s="74">
        <v>44119</v>
      </c>
      <c r="F1237" s="55" t="s">
        <v>344</v>
      </c>
      <c r="G1237" s="55" t="s">
        <v>360</v>
      </c>
      <c r="H1237" s="55" t="s">
        <v>360</v>
      </c>
      <c r="I1237" s="55" t="s">
        <v>360</v>
      </c>
      <c r="J1237" s="55" t="s">
        <v>360</v>
      </c>
      <c r="K1237" s="55" t="s">
        <v>360</v>
      </c>
      <c r="L1237" s="55" t="s">
        <v>360</v>
      </c>
      <c r="M1237" s="55" t="s">
        <v>136</v>
      </c>
      <c r="N1237" s="55" t="s">
        <v>136</v>
      </c>
      <c r="O1237" s="55" t="s">
        <v>239</v>
      </c>
      <c r="P1237" s="55" t="s">
        <v>964</v>
      </c>
      <c r="Q1237" s="55" t="s">
        <v>350</v>
      </c>
      <c r="R1237" s="55">
        <v>2</v>
      </c>
      <c r="S1237" s="74"/>
      <c r="T1237" s="55" t="s">
        <v>721</v>
      </c>
      <c r="U1237" s="73" t="s">
        <v>351</v>
      </c>
      <c r="V1237" s="74">
        <v>44509</v>
      </c>
      <c r="W1237" s="74">
        <v>44545</v>
      </c>
      <c r="X1237" s="55">
        <v>10186765</v>
      </c>
      <c r="Y1237" s="74" t="s">
        <v>146</v>
      </c>
      <c r="Z1237" s="74"/>
      <c r="AB1237" s="55" t="s">
        <v>146</v>
      </c>
      <c r="AC1237" s="55" t="s">
        <v>146</v>
      </c>
    </row>
    <row r="1238" spans="1:29" ht="13" x14ac:dyDescent="0.15">
      <c r="A1238" s="72" t="str">
        <f t="shared" si="19"/>
        <v>Ofsted Social Care Provider Webpage</v>
      </c>
      <c r="B1238" s="55">
        <v>2604750</v>
      </c>
      <c r="D1238" s="55" t="s">
        <v>373</v>
      </c>
      <c r="E1238" s="74">
        <v>44113</v>
      </c>
      <c r="F1238" s="55" t="s">
        <v>344</v>
      </c>
      <c r="G1238" s="55" t="s">
        <v>360</v>
      </c>
      <c r="H1238" s="55" t="s">
        <v>360</v>
      </c>
      <c r="I1238" s="55" t="s">
        <v>360</v>
      </c>
      <c r="J1238" s="55" t="s">
        <v>360</v>
      </c>
      <c r="K1238" s="55" t="s">
        <v>360</v>
      </c>
      <c r="L1238" s="55" t="s">
        <v>360</v>
      </c>
      <c r="M1238" s="55" t="s">
        <v>129</v>
      </c>
      <c r="N1238" s="55" t="s">
        <v>129</v>
      </c>
      <c r="O1238" s="55" t="s">
        <v>269</v>
      </c>
      <c r="P1238" s="55" t="s">
        <v>1951</v>
      </c>
      <c r="Q1238" s="55" t="s">
        <v>380</v>
      </c>
      <c r="R1238" s="55">
        <v>2</v>
      </c>
      <c r="S1238" s="74"/>
      <c r="T1238" s="55" t="s">
        <v>1952</v>
      </c>
      <c r="U1238" s="73" t="s">
        <v>351</v>
      </c>
      <c r="V1238" s="74">
        <v>44600</v>
      </c>
      <c r="W1238" s="74">
        <v>44643</v>
      </c>
      <c r="X1238" s="55">
        <v>10204105</v>
      </c>
      <c r="Y1238" s="74" t="s">
        <v>132</v>
      </c>
      <c r="Z1238" s="74"/>
      <c r="AB1238" s="55" t="s">
        <v>130</v>
      </c>
      <c r="AC1238" s="55" t="s">
        <v>132</v>
      </c>
    </row>
    <row r="1239" spans="1:29" ht="13" x14ac:dyDescent="0.15">
      <c r="A1239" s="72" t="str">
        <f t="shared" si="19"/>
        <v>Ofsted Social Care Provider Webpage</v>
      </c>
      <c r="B1239" s="55">
        <v>2604877</v>
      </c>
      <c r="D1239" s="55" t="s">
        <v>373</v>
      </c>
      <c r="E1239" s="74">
        <v>44084</v>
      </c>
      <c r="F1239" s="55" t="s">
        <v>344</v>
      </c>
      <c r="G1239" s="55" t="s">
        <v>360</v>
      </c>
      <c r="H1239" s="55" t="s">
        <v>360</v>
      </c>
      <c r="I1239" s="55" t="s">
        <v>360</v>
      </c>
      <c r="J1239" s="55" t="s">
        <v>360</v>
      </c>
      <c r="K1239" s="55" t="s">
        <v>360</v>
      </c>
      <c r="L1239" s="55" t="s">
        <v>360</v>
      </c>
      <c r="M1239" s="55" t="s">
        <v>144</v>
      </c>
      <c r="N1239" s="55" t="s">
        <v>144</v>
      </c>
      <c r="O1239" s="55" t="s">
        <v>145</v>
      </c>
      <c r="P1239" s="55" t="s">
        <v>525</v>
      </c>
      <c r="Q1239" s="55" t="s">
        <v>350</v>
      </c>
      <c r="R1239" s="55">
        <v>2</v>
      </c>
      <c r="S1239" s="74"/>
      <c r="T1239" s="55" t="s">
        <v>485</v>
      </c>
      <c r="U1239" s="73"/>
      <c r="W1239" s="74"/>
      <c r="Y1239" s="74"/>
      <c r="Z1239" s="74"/>
    </row>
    <row r="1240" spans="1:29" ht="13" x14ac:dyDescent="0.15">
      <c r="A1240" s="72" t="str">
        <f t="shared" si="19"/>
        <v>Ofsted Social Care Provider Webpage</v>
      </c>
      <c r="B1240" s="55">
        <v>2605108</v>
      </c>
      <c r="D1240" s="55" t="s">
        <v>373</v>
      </c>
      <c r="E1240" s="74">
        <v>44225</v>
      </c>
      <c r="F1240" s="55" t="s">
        <v>344</v>
      </c>
      <c r="G1240" s="55" t="s">
        <v>360</v>
      </c>
      <c r="H1240" s="55" t="s">
        <v>360</v>
      </c>
      <c r="I1240" s="55" t="s">
        <v>360</v>
      </c>
      <c r="J1240" s="55" t="s">
        <v>360</v>
      </c>
      <c r="K1240" s="55" t="s">
        <v>360</v>
      </c>
      <c r="L1240" s="55" t="s">
        <v>360</v>
      </c>
      <c r="M1240" s="55" t="s">
        <v>378</v>
      </c>
      <c r="N1240" s="55" t="s">
        <v>134</v>
      </c>
      <c r="O1240" s="55" t="s">
        <v>204</v>
      </c>
      <c r="P1240" s="55" t="s">
        <v>929</v>
      </c>
      <c r="Q1240" s="55" t="s">
        <v>350</v>
      </c>
      <c r="R1240" s="55">
        <v>3</v>
      </c>
      <c r="S1240" s="74"/>
      <c r="T1240" s="55" t="s">
        <v>1953</v>
      </c>
      <c r="U1240" s="73" t="s">
        <v>351</v>
      </c>
      <c r="V1240" s="74">
        <v>44404</v>
      </c>
      <c r="W1240" s="74">
        <v>44452</v>
      </c>
      <c r="X1240" s="55">
        <v>10188266</v>
      </c>
      <c r="Y1240" s="74" t="s">
        <v>130</v>
      </c>
      <c r="Z1240" s="74"/>
      <c r="AB1240" s="55" t="s">
        <v>130</v>
      </c>
      <c r="AC1240" s="55" t="s">
        <v>130</v>
      </c>
    </row>
    <row r="1241" spans="1:29" ht="13" x14ac:dyDescent="0.15">
      <c r="A1241" s="72" t="str">
        <f t="shared" si="19"/>
        <v>Ofsted Social Care Provider Webpage</v>
      </c>
      <c r="B1241" s="55">
        <v>2605174</v>
      </c>
      <c r="D1241" s="55" t="s">
        <v>468</v>
      </c>
      <c r="E1241" s="74">
        <v>44136</v>
      </c>
      <c r="F1241" s="55" t="s">
        <v>344</v>
      </c>
      <c r="G1241" s="55" t="s">
        <v>1954</v>
      </c>
      <c r="H1241" s="55" t="s">
        <v>1955</v>
      </c>
      <c r="I1241" s="55" t="s">
        <v>1956</v>
      </c>
      <c r="J1241" s="55" t="s">
        <v>1349</v>
      </c>
      <c r="K1241" s="55" t="s">
        <v>1350</v>
      </c>
      <c r="L1241" s="55" t="s">
        <v>1957</v>
      </c>
      <c r="M1241" s="55" t="s">
        <v>172</v>
      </c>
      <c r="N1241" s="55" t="s">
        <v>172</v>
      </c>
      <c r="O1241" s="55" t="s">
        <v>284</v>
      </c>
      <c r="P1241" s="55" t="s">
        <v>1475</v>
      </c>
      <c r="Q1241" s="55" t="s">
        <v>362</v>
      </c>
      <c r="R1241" s="55"/>
      <c r="S1241" s="74"/>
      <c r="T1241" s="55" t="s">
        <v>1958</v>
      </c>
      <c r="U1241" s="73" t="s">
        <v>351</v>
      </c>
      <c r="V1241" s="74">
        <v>44592</v>
      </c>
      <c r="W1241" s="74">
        <v>44635</v>
      </c>
      <c r="X1241" s="55">
        <v>10183247</v>
      </c>
      <c r="Y1241" s="74" t="s">
        <v>132</v>
      </c>
      <c r="Z1241" s="74"/>
      <c r="AB1241" s="55" t="s">
        <v>132</v>
      </c>
      <c r="AC1241" s="55" t="s">
        <v>130</v>
      </c>
    </row>
    <row r="1242" spans="1:29" ht="13" x14ac:dyDescent="0.15">
      <c r="A1242" s="72" t="str">
        <f t="shared" si="19"/>
        <v>Ofsted Social Care Provider Webpage</v>
      </c>
      <c r="B1242" s="55">
        <v>2605180</v>
      </c>
      <c r="D1242" s="55" t="s">
        <v>373</v>
      </c>
      <c r="E1242" s="74">
        <v>44180</v>
      </c>
      <c r="F1242" s="55" t="s">
        <v>344</v>
      </c>
      <c r="G1242" s="55" t="s">
        <v>360</v>
      </c>
      <c r="H1242" s="55" t="s">
        <v>360</v>
      </c>
      <c r="I1242" s="55" t="s">
        <v>360</v>
      </c>
      <c r="J1242" s="55" t="s">
        <v>360</v>
      </c>
      <c r="K1242" s="55" t="s">
        <v>360</v>
      </c>
      <c r="L1242" s="55" t="s">
        <v>360</v>
      </c>
      <c r="M1242" s="55" t="s">
        <v>144</v>
      </c>
      <c r="N1242" s="55" t="s">
        <v>144</v>
      </c>
      <c r="O1242" s="55" t="s">
        <v>217</v>
      </c>
      <c r="P1242" s="55" t="s">
        <v>397</v>
      </c>
      <c r="Q1242" s="55" t="s">
        <v>350</v>
      </c>
      <c r="R1242" s="55">
        <v>3</v>
      </c>
      <c r="S1242" s="74"/>
      <c r="T1242" s="55" t="s">
        <v>1959</v>
      </c>
      <c r="U1242" s="73" t="s">
        <v>351</v>
      </c>
      <c r="V1242" s="74">
        <v>44522</v>
      </c>
      <c r="W1242" s="74">
        <v>44565</v>
      </c>
      <c r="X1242" s="55">
        <v>10185953</v>
      </c>
      <c r="Y1242" s="74" t="s">
        <v>130</v>
      </c>
      <c r="Z1242" s="74"/>
      <c r="AB1242" s="55" t="s">
        <v>130</v>
      </c>
      <c r="AC1242" s="55" t="s">
        <v>130</v>
      </c>
    </row>
    <row r="1243" spans="1:29" ht="13" x14ac:dyDescent="0.15">
      <c r="A1243" s="72" t="str">
        <f t="shared" si="19"/>
        <v>Ofsted Social Care Provider Webpage</v>
      </c>
      <c r="B1243" s="55">
        <v>2605336</v>
      </c>
      <c r="D1243" s="55" t="s">
        <v>373</v>
      </c>
      <c r="E1243" s="74">
        <v>44301</v>
      </c>
      <c r="F1243" s="55" t="s">
        <v>344</v>
      </c>
      <c r="G1243" s="55" t="s">
        <v>360</v>
      </c>
      <c r="H1243" s="55" t="s">
        <v>360</v>
      </c>
      <c r="I1243" s="55" t="s">
        <v>360</v>
      </c>
      <c r="J1243" s="55" t="s">
        <v>360</v>
      </c>
      <c r="K1243" s="55" t="s">
        <v>360</v>
      </c>
      <c r="L1243" s="55" t="s">
        <v>360</v>
      </c>
      <c r="M1243" s="55" t="s">
        <v>150</v>
      </c>
      <c r="N1243" s="55" t="s">
        <v>150</v>
      </c>
      <c r="O1243" s="55" t="s">
        <v>190</v>
      </c>
      <c r="P1243" s="55" t="s">
        <v>1523</v>
      </c>
      <c r="Q1243" s="55" t="s">
        <v>350</v>
      </c>
      <c r="R1243" s="55">
        <v>4</v>
      </c>
      <c r="S1243" s="74"/>
      <c r="T1243" s="55" t="s">
        <v>1960</v>
      </c>
      <c r="U1243" s="73"/>
      <c r="W1243" s="74"/>
      <c r="Y1243" s="74"/>
      <c r="Z1243" s="74"/>
    </row>
    <row r="1244" spans="1:29" ht="13" x14ac:dyDescent="0.15">
      <c r="A1244" s="72" t="str">
        <f t="shared" si="19"/>
        <v>Ofsted Social Care Provider Webpage</v>
      </c>
      <c r="B1244" s="55">
        <v>2605508</v>
      </c>
      <c r="D1244" s="55" t="s">
        <v>373</v>
      </c>
      <c r="E1244" s="74">
        <v>44077</v>
      </c>
      <c r="F1244" s="55" t="s">
        <v>344</v>
      </c>
      <c r="G1244" s="55" t="s">
        <v>360</v>
      </c>
      <c r="H1244" s="55" t="s">
        <v>360</v>
      </c>
      <c r="I1244" s="55" t="s">
        <v>360</v>
      </c>
      <c r="J1244" s="55" t="s">
        <v>360</v>
      </c>
      <c r="K1244" s="55" t="s">
        <v>360</v>
      </c>
      <c r="L1244" s="55" t="s">
        <v>360</v>
      </c>
      <c r="M1244" s="55" t="s">
        <v>138</v>
      </c>
      <c r="N1244" s="55" t="s">
        <v>138</v>
      </c>
      <c r="O1244" s="55" t="s">
        <v>159</v>
      </c>
      <c r="P1244" s="55" t="s">
        <v>1961</v>
      </c>
      <c r="Q1244" s="55" t="s">
        <v>380</v>
      </c>
      <c r="R1244" s="55">
        <v>8</v>
      </c>
      <c r="S1244" s="74"/>
      <c r="T1244" s="55" t="s">
        <v>1948</v>
      </c>
      <c r="U1244" s="73" t="s">
        <v>351</v>
      </c>
      <c r="V1244" s="74">
        <v>44335</v>
      </c>
      <c r="W1244" s="74">
        <v>44368</v>
      </c>
      <c r="X1244" s="55">
        <v>10187599</v>
      </c>
      <c r="Y1244" s="74" t="s">
        <v>132</v>
      </c>
      <c r="Z1244" s="74"/>
      <c r="AB1244" s="55" t="s">
        <v>132</v>
      </c>
      <c r="AC1244" s="55" t="s">
        <v>132</v>
      </c>
    </row>
    <row r="1245" spans="1:29" ht="13" x14ac:dyDescent="0.15">
      <c r="A1245" s="72" t="str">
        <f t="shared" si="19"/>
        <v>Ofsted Social Care Provider Webpage</v>
      </c>
      <c r="B1245" s="55">
        <v>2605512</v>
      </c>
      <c r="D1245" s="55" t="s">
        <v>373</v>
      </c>
      <c r="E1245" s="74">
        <v>44222</v>
      </c>
      <c r="F1245" s="55" t="s">
        <v>344</v>
      </c>
      <c r="G1245" s="55" t="s">
        <v>360</v>
      </c>
      <c r="H1245" s="55" t="s">
        <v>360</v>
      </c>
      <c r="I1245" s="55" t="s">
        <v>360</v>
      </c>
      <c r="J1245" s="55" t="s">
        <v>360</v>
      </c>
      <c r="K1245" s="55" t="s">
        <v>360</v>
      </c>
      <c r="L1245" s="55" t="s">
        <v>360</v>
      </c>
      <c r="M1245" s="55" t="s">
        <v>144</v>
      </c>
      <c r="N1245" s="55" t="s">
        <v>144</v>
      </c>
      <c r="O1245" s="55" t="s">
        <v>209</v>
      </c>
      <c r="P1245" s="55" t="s">
        <v>364</v>
      </c>
      <c r="Q1245" s="55" t="s">
        <v>350</v>
      </c>
      <c r="R1245" s="55">
        <v>2</v>
      </c>
      <c r="S1245" s="74"/>
      <c r="T1245" s="55" t="s">
        <v>485</v>
      </c>
      <c r="U1245" s="73" t="s">
        <v>351</v>
      </c>
      <c r="V1245" s="74">
        <v>44496</v>
      </c>
      <c r="W1245" s="74">
        <v>44537</v>
      </c>
      <c r="X1245" s="55">
        <v>10188263</v>
      </c>
      <c r="Y1245" s="74" t="s">
        <v>132</v>
      </c>
      <c r="Z1245" s="74"/>
      <c r="AB1245" s="55" t="s">
        <v>132</v>
      </c>
      <c r="AC1245" s="55" t="s">
        <v>132</v>
      </c>
    </row>
    <row r="1246" spans="1:29" ht="13" x14ac:dyDescent="0.15">
      <c r="A1246" s="72" t="str">
        <f t="shared" si="19"/>
        <v>Ofsted Social Care Provider Webpage</v>
      </c>
      <c r="B1246" s="55">
        <v>2605554</v>
      </c>
      <c r="D1246" s="55" t="s">
        <v>373</v>
      </c>
      <c r="E1246" s="74">
        <v>44181</v>
      </c>
      <c r="F1246" s="55" t="s">
        <v>344</v>
      </c>
      <c r="G1246" s="55" t="s">
        <v>360</v>
      </c>
      <c r="H1246" s="55" t="s">
        <v>360</v>
      </c>
      <c r="I1246" s="55" t="s">
        <v>360</v>
      </c>
      <c r="J1246" s="55" t="s">
        <v>360</v>
      </c>
      <c r="K1246" s="55" t="s">
        <v>360</v>
      </c>
      <c r="L1246" s="55" t="s">
        <v>360</v>
      </c>
      <c r="M1246" s="55" t="s">
        <v>150</v>
      </c>
      <c r="N1246" s="55" t="s">
        <v>150</v>
      </c>
      <c r="O1246" s="55" t="s">
        <v>285</v>
      </c>
      <c r="P1246" s="55" t="s">
        <v>575</v>
      </c>
      <c r="Q1246" s="55" t="s">
        <v>350</v>
      </c>
      <c r="R1246" s="55">
        <v>5</v>
      </c>
      <c r="S1246" s="74"/>
      <c r="T1246" s="55" t="s">
        <v>1962</v>
      </c>
      <c r="U1246" s="73" t="s">
        <v>351</v>
      </c>
      <c r="V1246" s="74">
        <v>44404</v>
      </c>
      <c r="W1246" s="74">
        <v>44449</v>
      </c>
      <c r="X1246" s="55">
        <v>10187372</v>
      </c>
      <c r="Y1246" s="74" t="s">
        <v>132</v>
      </c>
      <c r="Z1246" s="74"/>
      <c r="AB1246" s="55" t="s">
        <v>132</v>
      </c>
      <c r="AC1246" s="55" t="s">
        <v>130</v>
      </c>
    </row>
    <row r="1247" spans="1:29" ht="13" x14ac:dyDescent="0.15">
      <c r="A1247" s="72" t="str">
        <f t="shared" si="19"/>
        <v>Ofsted Social Care Provider Webpage</v>
      </c>
      <c r="B1247" s="55">
        <v>2605690</v>
      </c>
      <c r="D1247" s="55" t="s">
        <v>373</v>
      </c>
      <c r="E1247" s="74">
        <v>44104</v>
      </c>
      <c r="F1247" s="55" t="s">
        <v>344</v>
      </c>
      <c r="G1247" s="55" t="s">
        <v>360</v>
      </c>
      <c r="H1247" s="55" t="s">
        <v>360</v>
      </c>
      <c r="I1247" s="55" t="s">
        <v>360</v>
      </c>
      <c r="J1247" s="55" t="s">
        <v>360</v>
      </c>
      <c r="K1247" s="55" t="s">
        <v>360</v>
      </c>
      <c r="L1247" s="55" t="s">
        <v>360</v>
      </c>
      <c r="M1247" s="55" t="s">
        <v>172</v>
      </c>
      <c r="N1247" s="55" t="s">
        <v>172</v>
      </c>
      <c r="O1247" s="55" t="s">
        <v>235</v>
      </c>
      <c r="P1247" s="55" t="s">
        <v>1396</v>
      </c>
      <c r="Q1247" s="55" t="s">
        <v>350</v>
      </c>
      <c r="R1247" s="55">
        <v>2</v>
      </c>
      <c r="S1247" s="74"/>
      <c r="T1247" s="55" t="s">
        <v>962</v>
      </c>
      <c r="U1247" s="73" t="s">
        <v>351</v>
      </c>
      <c r="V1247" s="74">
        <v>44432</v>
      </c>
      <c r="W1247" s="74">
        <v>44467</v>
      </c>
      <c r="X1247" s="55">
        <v>10186983</v>
      </c>
      <c r="Y1247" s="74" t="s">
        <v>132</v>
      </c>
      <c r="Z1247" s="74"/>
      <c r="AB1247" s="55" t="s">
        <v>132</v>
      </c>
      <c r="AC1247" s="55" t="s">
        <v>132</v>
      </c>
    </row>
    <row r="1248" spans="1:29" ht="13" x14ac:dyDescent="0.15">
      <c r="A1248" s="72" t="str">
        <f t="shared" si="19"/>
        <v>Ofsted Social Care Provider Webpage</v>
      </c>
      <c r="B1248" s="55">
        <v>2605829</v>
      </c>
      <c r="D1248" s="55" t="s">
        <v>373</v>
      </c>
      <c r="E1248" s="74">
        <v>44243</v>
      </c>
      <c r="F1248" s="55" t="s">
        <v>344</v>
      </c>
      <c r="G1248" s="55" t="s">
        <v>360</v>
      </c>
      <c r="H1248" s="55" t="s">
        <v>360</v>
      </c>
      <c r="I1248" s="55" t="s">
        <v>360</v>
      </c>
      <c r="J1248" s="55" t="s">
        <v>360</v>
      </c>
      <c r="K1248" s="55" t="s">
        <v>360</v>
      </c>
      <c r="L1248" s="55" t="s">
        <v>360</v>
      </c>
      <c r="M1248" s="55" t="s">
        <v>142</v>
      </c>
      <c r="N1248" s="55" t="s">
        <v>142</v>
      </c>
      <c r="O1248" s="55" t="s">
        <v>262</v>
      </c>
      <c r="P1248" s="55" t="s">
        <v>692</v>
      </c>
      <c r="Q1248" s="55" t="s">
        <v>350</v>
      </c>
      <c r="R1248" s="55">
        <v>2</v>
      </c>
      <c r="S1248" s="74"/>
      <c r="T1248" s="55" t="s">
        <v>1963</v>
      </c>
      <c r="U1248" s="73" t="s">
        <v>351</v>
      </c>
      <c r="V1248" s="74">
        <v>44607</v>
      </c>
      <c r="W1248" s="74">
        <v>44650</v>
      </c>
      <c r="X1248" s="55">
        <v>10188278</v>
      </c>
      <c r="Y1248" s="74" t="s">
        <v>132</v>
      </c>
      <c r="Z1248" s="74"/>
      <c r="AB1248" s="55" t="s">
        <v>132</v>
      </c>
      <c r="AC1248" s="55" t="s">
        <v>132</v>
      </c>
    </row>
    <row r="1249" spans="1:29" ht="13" x14ac:dyDescent="0.15">
      <c r="A1249" s="72" t="str">
        <f t="shared" si="19"/>
        <v>Ofsted Social Care Provider Webpage</v>
      </c>
      <c r="B1249" s="55">
        <v>2605955</v>
      </c>
      <c r="D1249" s="55" t="s">
        <v>389</v>
      </c>
      <c r="E1249" s="74">
        <v>44168</v>
      </c>
      <c r="F1249" s="55" t="s">
        <v>344</v>
      </c>
      <c r="G1249" s="55" t="s">
        <v>1964</v>
      </c>
      <c r="H1249" s="55" t="s">
        <v>1965</v>
      </c>
      <c r="I1249" s="55" t="s">
        <v>1966</v>
      </c>
      <c r="J1249" s="55" t="s">
        <v>216</v>
      </c>
      <c r="L1249" s="55" t="s">
        <v>1967</v>
      </c>
      <c r="M1249" s="55" t="s">
        <v>138</v>
      </c>
      <c r="N1249" s="55" t="s">
        <v>138</v>
      </c>
      <c r="O1249" s="55" t="s">
        <v>216</v>
      </c>
      <c r="P1249" s="55" t="s">
        <v>1968</v>
      </c>
      <c r="Q1249" s="55" t="s">
        <v>350</v>
      </c>
      <c r="R1249" s="55"/>
      <c r="S1249" s="74"/>
      <c r="T1249" s="55" t="s">
        <v>1964</v>
      </c>
      <c r="U1249" s="73"/>
      <c r="W1249" s="74"/>
      <c r="Y1249" s="74"/>
      <c r="Z1249" s="74"/>
    </row>
    <row r="1250" spans="1:29" ht="13" x14ac:dyDescent="0.15">
      <c r="A1250" s="72" t="str">
        <f t="shared" si="19"/>
        <v>Ofsted Social Care Provider Webpage</v>
      </c>
      <c r="B1250" s="55">
        <v>2606062</v>
      </c>
      <c r="D1250" s="55" t="s">
        <v>373</v>
      </c>
      <c r="E1250" s="74">
        <v>44207</v>
      </c>
      <c r="F1250" s="55" t="s">
        <v>344</v>
      </c>
      <c r="G1250" s="55" t="s">
        <v>360</v>
      </c>
      <c r="H1250" s="55" t="s">
        <v>360</v>
      </c>
      <c r="I1250" s="55" t="s">
        <v>360</v>
      </c>
      <c r="J1250" s="55" t="s">
        <v>360</v>
      </c>
      <c r="K1250" s="55" t="s">
        <v>360</v>
      </c>
      <c r="L1250" s="55" t="s">
        <v>360</v>
      </c>
      <c r="M1250" s="55" t="s">
        <v>144</v>
      </c>
      <c r="N1250" s="55" t="s">
        <v>144</v>
      </c>
      <c r="O1250" s="55" t="s">
        <v>217</v>
      </c>
      <c r="P1250" s="55" t="s">
        <v>1969</v>
      </c>
      <c r="Q1250" s="55" t="s">
        <v>350</v>
      </c>
      <c r="R1250" s="55">
        <v>3</v>
      </c>
      <c r="S1250" s="74"/>
      <c r="T1250" s="55" t="s">
        <v>1970</v>
      </c>
      <c r="U1250" s="73" t="s">
        <v>351</v>
      </c>
      <c r="V1250" s="74">
        <v>44566</v>
      </c>
      <c r="W1250" s="74">
        <v>44607</v>
      </c>
      <c r="X1250" s="55">
        <v>10188255</v>
      </c>
      <c r="Y1250" s="74" t="s">
        <v>140</v>
      </c>
      <c r="Z1250" s="74"/>
      <c r="AB1250" s="55" t="s">
        <v>140</v>
      </c>
      <c r="AC1250" s="55" t="s">
        <v>132</v>
      </c>
    </row>
    <row r="1251" spans="1:29" ht="13" x14ac:dyDescent="0.15">
      <c r="A1251" s="72" t="str">
        <f t="shared" si="19"/>
        <v>Ofsted Social Care Provider Webpage</v>
      </c>
      <c r="B1251" s="55">
        <v>2606135</v>
      </c>
      <c r="D1251" s="55" t="s">
        <v>373</v>
      </c>
      <c r="E1251" s="74">
        <v>44206</v>
      </c>
      <c r="F1251" s="55" t="s">
        <v>344</v>
      </c>
      <c r="G1251" s="55" t="s">
        <v>360</v>
      </c>
      <c r="H1251" s="55" t="s">
        <v>360</v>
      </c>
      <c r="I1251" s="55" t="s">
        <v>360</v>
      </c>
      <c r="J1251" s="55" t="s">
        <v>360</v>
      </c>
      <c r="K1251" s="55" t="s">
        <v>360</v>
      </c>
      <c r="L1251" s="55" t="s">
        <v>360</v>
      </c>
      <c r="M1251" s="55" t="s">
        <v>144</v>
      </c>
      <c r="N1251" s="55" t="s">
        <v>144</v>
      </c>
      <c r="O1251" s="55" t="s">
        <v>209</v>
      </c>
      <c r="P1251" s="55" t="s">
        <v>484</v>
      </c>
      <c r="Q1251" s="55" t="s">
        <v>350</v>
      </c>
      <c r="R1251" s="55">
        <v>1</v>
      </c>
      <c r="S1251" s="74"/>
      <c r="T1251" s="55" t="s">
        <v>1971</v>
      </c>
      <c r="U1251" s="73" t="s">
        <v>351</v>
      </c>
      <c r="V1251" s="74">
        <v>44544</v>
      </c>
      <c r="W1251" s="74">
        <v>44600</v>
      </c>
      <c r="X1251" s="55">
        <v>10185221</v>
      </c>
      <c r="Y1251" s="74" t="s">
        <v>130</v>
      </c>
      <c r="Z1251" s="74"/>
      <c r="AB1251" s="55" t="s">
        <v>130</v>
      </c>
      <c r="AC1251" s="55" t="s">
        <v>130</v>
      </c>
    </row>
    <row r="1252" spans="1:29" ht="13" x14ac:dyDescent="0.15">
      <c r="A1252" s="72" t="str">
        <f t="shared" si="19"/>
        <v>Ofsted Social Care Provider Webpage</v>
      </c>
      <c r="B1252" s="55">
        <v>2606467</v>
      </c>
      <c r="D1252" s="55" t="s">
        <v>443</v>
      </c>
      <c r="E1252" s="74">
        <v>44398</v>
      </c>
      <c r="F1252" s="55" t="s">
        <v>344</v>
      </c>
      <c r="G1252" s="55" t="s">
        <v>1972</v>
      </c>
      <c r="H1252" s="55" t="s">
        <v>1973</v>
      </c>
      <c r="I1252" s="55" t="s">
        <v>1974</v>
      </c>
      <c r="J1252" s="55" t="s">
        <v>1975</v>
      </c>
      <c r="L1252" s="55" t="s">
        <v>1976</v>
      </c>
      <c r="M1252" s="55" t="s">
        <v>136</v>
      </c>
      <c r="N1252" s="55" t="s">
        <v>136</v>
      </c>
      <c r="O1252" s="55" t="s">
        <v>174</v>
      </c>
      <c r="P1252" s="55" t="s">
        <v>1975</v>
      </c>
      <c r="Q1252" s="55" t="s">
        <v>350</v>
      </c>
      <c r="R1252" s="55"/>
      <c r="S1252" s="74"/>
      <c r="T1252" s="55" t="s">
        <v>1977</v>
      </c>
      <c r="U1252" s="73"/>
      <c r="W1252" s="74"/>
      <c r="Y1252" s="74"/>
      <c r="Z1252" s="74"/>
    </row>
    <row r="1253" spans="1:29" ht="13" x14ac:dyDescent="0.15">
      <c r="A1253" s="72" t="str">
        <f t="shared" si="19"/>
        <v>Ofsted Social Care Provider Webpage</v>
      </c>
      <c r="B1253" s="55">
        <v>2606502</v>
      </c>
      <c r="D1253" s="55" t="s">
        <v>389</v>
      </c>
      <c r="E1253" s="74">
        <v>44432</v>
      </c>
      <c r="F1253" s="55" t="s">
        <v>344</v>
      </c>
      <c r="G1253" s="55" t="s">
        <v>1978</v>
      </c>
      <c r="H1253" s="55" t="s">
        <v>1979</v>
      </c>
      <c r="I1253" s="55" t="s">
        <v>1980</v>
      </c>
      <c r="J1253" s="55" t="s">
        <v>1981</v>
      </c>
      <c r="K1253" s="55" t="s">
        <v>203</v>
      </c>
      <c r="L1253" s="55" t="s">
        <v>1982</v>
      </c>
      <c r="M1253" s="55" t="s">
        <v>150</v>
      </c>
      <c r="N1253" s="55" t="s">
        <v>150</v>
      </c>
      <c r="O1253" s="55" t="s">
        <v>203</v>
      </c>
      <c r="P1253" s="55" t="s">
        <v>1263</v>
      </c>
      <c r="Q1253" s="55" t="s">
        <v>350</v>
      </c>
      <c r="R1253" s="55"/>
      <c r="S1253" s="74"/>
      <c r="T1253" s="55" t="s">
        <v>1978</v>
      </c>
      <c r="U1253" s="73"/>
      <c r="W1253" s="74"/>
      <c r="Y1253" s="74"/>
      <c r="Z1253" s="74"/>
    </row>
    <row r="1254" spans="1:29" ht="13" x14ac:dyDescent="0.15">
      <c r="A1254" s="72" t="str">
        <f t="shared" si="19"/>
        <v>Ofsted Social Care Provider Webpage</v>
      </c>
      <c r="B1254" s="55">
        <v>2607291</v>
      </c>
      <c r="D1254" s="55" t="s">
        <v>373</v>
      </c>
      <c r="E1254" s="74">
        <v>44252</v>
      </c>
      <c r="F1254" s="55" t="s">
        <v>344</v>
      </c>
      <c r="G1254" s="55" t="s">
        <v>360</v>
      </c>
      <c r="H1254" s="55" t="s">
        <v>360</v>
      </c>
      <c r="I1254" s="55" t="s">
        <v>360</v>
      </c>
      <c r="J1254" s="55" t="s">
        <v>360</v>
      </c>
      <c r="K1254" s="55" t="s">
        <v>360</v>
      </c>
      <c r="L1254" s="55" t="s">
        <v>360</v>
      </c>
      <c r="M1254" s="55" t="s">
        <v>136</v>
      </c>
      <c r="N1254" s="55" t="s">
        <v>136</v>
      </c>
      <c r="O1254" s="55" t="s">
        <v>705</v>
      </c>
      <c r="P1254" s="55" t="s">
        <v>891</v>
      </c>
      <c r="Q1254" s="55" t="s">
        <v>350</v>
      </c>
      <c r="R1254" s="55">
        <v>1</v>
      </c>
      <c r="S1254" s="74"/>
      <c r="T1254" s="55" t="s">
        <v>892</v>
      </c>
      <c r="U1254" s="73" t="s">
        <v>351</v>
      </c>
      <c r="V1254" s="74">
        <v>44566</v>
      </c>
      <c r="W1254" s="74">
        <v>44599</v>
      </c>
      <c r="X1254" s="55">
        <v>10188285</v>
      </c>
      <c r="Y1254" s="74" t="s">
        <v>132</v>
      </c>
      <c r="Z1254" s="74"/>
      <c r="AB1254" s="55" t="s">
        <v>132</v>
      </c>
      <c r="AC1254" s="55" t="s">
        <v>132</v>
      </c>
    </row>
    <row r="1255" spans="1:29" ht="13" x14ac:dyDescent="0.15">
      <c r="A1255" s="72" t="str">
        <f t="shared" si="19"/>
        <v>Ofsted Social Care Provider Webpage</v>
      </c>
      <c r="B1255" s="55">
        <v>2607536</v>
      </c>
      <c r="D1255" s="55" t="s">
        <v>479</v>
      </c>
      <c r="E1255" s="74">
        <v>44138</v>
      </c>
      <c r="F1255" s="55" t="s">
        <v>344</v>
      </c>
      <c r="G1255" s="55" t="s">
        <v>360</v>
      </c>
      <c r="H1255" s="55" t="s">
        <v>360</v>
      </c>
      <c r="I1255" s="55" t="s">
        <v>360</v>
      </c>
      <c r="J1255" s="55" t="s">
        <v>360</v>
      </c>
      <c r="K1255" s="55" t="s">
        <v>360</v>
      </c>
      <c r="L1255" s="55" t="s">
        <v>360</v>
      </c>
      <c r="M1255" s="55" t="s">
        <v>378</v>
      </c>
      <c r="N1255" s="55" t="s">
        <v>170</v>
      </c>
      <c r="O1255" s="55" t="s">
        <v>233</v>
      </c>
      <c r="P1255" s="55" t="s">
        <v>379</v>
      </c>
      <c r="Q1255" s="55" t="s">
        <v>350</v>
      </c>
      <c r="R1255" s="55">
        <v>8</v>
      </c>
      <c r="S1255" s="74"/>
      <c r="T1255" s="55" t="s">
        <v>481</v>
      </c>
      <c r="U1255" s="73" t="s">
        <v>351</v>
      </c>
      <c r="V1255" s="74">
        <v>44313</v>
      </c>
      <c r="W1255" s="74">
        <v>44368</v>
      </c>
      <c r="X1255" s="55">
        <v>10186070</v>
      </c>
      <c r="Y1255" s="74" t="s">
        <v>130</v>
      </c>
      <c r="Z1255" s="74"/>
      <c r="AB1255" s="55" t="s">
        <v>130</v>
      </c>
      <c r="AC1255" s="55" t="s">
        <v>130</v>
      </c>
    </row>
    <row r="1256" spans="1:29" ht="13" x14ac:dyDescent="0.15">
      <c r="A1256" s="72" t="str">
        <f t="shared" si="19"/>
        <v>Ofsted Social Care Provider Webpage</v>
      </c>
      <c r="B1256" s="55">
        <v>2607587</v>
      </c>
      <c r="D1256" s="55" t="s">
        <v>373</v>
      </c>
      <c r="E1256" s="74">
        <v>44176</v>
      </c>
      <c r="F1256" s="55" t="s">
        <v>344</v>
      </c>
      <c r="G1256" s="55" t="s">
        <v>360</v>
      </c>
      <c r="H1256" s="55" t="s">
        <v>360</v>
      </c>
      <c r="I1256" s="55" t="s">
        <v>360</v>
      </c>
      <c r="J1256" s="55" t="s">
        <v>360</v>
      </c>
      <c r="K1256" s="55" t="s">
        <v>360</v>
      </c>
      <c r="L1256" s="55" t="s">
        <v>360</v>
      </c>
      <c r="M1256" s="55" t="s">
        <v>378</v>
      </c>
      <c r="N1256" s="55" t="s">
        <v>170</v>
      </c>
      <c r="O1256" s="55" t="s">
        <v>178</v>
      </c>
      <c r="P1256" s="55" t="s">
        <v>1374</v>
      </c>
      <c r="Q1256" s="55" t="s">
        <v>350</v>
      </c>
      <c r="R1256" s="55">
        <v>4</v>
      </c>
      <c r="S1256" s="74"/>
      <c r="T1256" s="55" t="s">
        <v>385</v>
      </c>
      <c r="U1256" s="73" t="s">
        <v>351</v>
      </c>
      <c r="V1256" s="74">
        <v>44467</v>
      </c>
      <c r="W1256" s="74">
        <v>44501</v>
      </c>
      <c r="X1256" s="55">
        <v>10186838</v>
      </c>
      <c r="Y1256" s="74" t="s">
        <v>132</v>
      </c>
      <c r="Z1256" s="74"/>
      <c r="AB1256" s="55" t="s">
        <v>132</v>
      </c>
      <c r="AC1256" s="55" t="s">
        <v>132</v>
      </c>
    </row>
    <row r="1257" spans="1:29" ht="13" x14ac:dyDescent="0.15">
      <c r="A1257" s="72" t="str">
        <f t="shared" si="19"/>
        <v>Ofsted Social Care Provider Webpage</v>
      </c>
      <c r="B1257" s="55">
        <v>2608195</v>
      </c>
      <c r="D1257" s="55" t="s">
        <v>373</v>
      </c>
      <c r="E1257" s="74">
        <v>44138</v>
      </c>
      <c r="F1257" s="55" t="s">
        <v>344</v>
      </c>
      <c r="G1257" s="55" t="s">
        <v>360</v>
      </c>
      <c r="H1257" s="55" t="s">
        <v>360</v>
      </c>
      <c r="I1257" s="55" t="s">
        <v>360</v>
      </c>
      <c r="J1257" s="55" t="s">
        <v>360</v>
      </c>
      <c r="K1257" s="55" t="s">
        <v>360</v>
      </c>
      <c r="L1257" s="55" t="s">
        <v>360</v>
      </c>
      <c r="M1257" s="55" t="s">
        <v>144</v>
      </c>
      <c r="N1257" s="55" t="s">
        <v>144</v>
      </c>
      <c r="O1257" s="55" t="s">
        <v>209</v>
      </c>
      <c r="P1257" s="55" t="s">
        <v>545</v>
      </c>
      <c r="Q1257" s="55" t="s">
        <v>350</v>
      </c>
      <c r="R1257" s="55">
        <v>2</v>
      </c>
      <c r="S1257" s="74"/>
      <c r="T1257" s="55" t="s">
        <v>493</v>
      </c>
      <c r="U1257" s="73" t="s">
        <v>351</v>
      </c>
      <c r="V1257" s="74">
        <v>44629</v>
      </c>
      <c r="W1257" s="74">
        <v>44671</v>
      </c>
      <c r="X1257" s="55">
        <v>10185497</v>
      </c>
      <c r="Y1257" s="74" t="s">
        <v>132</v>
      </c>
      <c r="Z1257" s="74"/>
      <c r="AB1257" s="55" t="s">
        <v>130</v>
      </c>
      <c r="AC1257" s="55" t="s">
        <v>132</v>
      </c>
    </row>
    <row r="1258" spans="1:29" ht="13" x14ac:dyDescent="0.15">
      <c r="A1258" s="72" t="str">
        <f t="shared" si="19"/>
        <v>Ofsted Social Care Provider Webpage</v>
      </c>
      <c r="B1258" s="55">
        <v>2608484</v>
      </c>
      <c r="D1258" s="55" t="s">
        <v>373</v>
      </c>
      <c r="E1258" s="74">
        <v>44187</v>
      </c>
      <c r="F1258" s="55" t="s">
        <v>344</v>
      </c>
      <c r="G1258" s="55" t="s">
        <v>360</v>
      </c>
      <c r="H1258" s="55" t="s">
        <v>360</v>
      </c>
      <c r="I1258" s="55" t="s">
        <v>360</v>
      </c>
      <c r="J1258" s="55" t="s">
        <v>360</v>
      </c>
      <c r="K1258" s="55" t="s">
        <v>360</v>
      </c>
      <c r="L1258" s="55" t="s">
        <v>360</v>
      </c>
      <c r="M1258" s="55" t="s">
        <v>144</v>
      </c>
      <c r="N1258" s="55" t="s">
        <v>144</v>
      </c>
      <c r="O1258" s="55" t="s">
        <v>248</v>
      </c>
      <c r="P1258" s="55" t="s">
        <v>439</v>
      </c>
      <c r="Q1258" s="55" t="s">
        <v>350</v>
      </c>
      <c r="R1258" s="55">
        <v>2</v>
      </c>
      <c r="S1258" s="74"/>
      <c r="T1258" s="55" t="s">
        <v>1107</v>
      </c>
      <c r="U1258" s="73" t="s">
        <v>351</v>
      </c>
      <c r="V1258" s="74">
        <v>44523</v>
      </c>
      <c r="W1258" s="74">
        <v>44579</v>
      </c>
      <c r="X1258" s="55">
        <v>10187554</v>
      </c>
      <c r="Y1258" s="74" t="s">
        <v>132</v>
      </c>
      <c r="Z1258" s="74"/>
      <c r="AB1258" s="55" t="s">
        <v>132</v>
      </c>
      <c r="AC1258" s="55" t="s">
        <v>132</v>
      </c>
    </row>
    <row r="1259" spans="1:29" ht="13" x14ac:dyDescent="0.15">
      <c r="A1259" s="72" t="str">
        <f t="shared" si="19"/>
        <v>Ofsted Social Care Provider Webpage</v>
      </c>
      <c r="B1259" s="55">
        <v>2608630</v>
      </c>
      <c r="D1259" s="55" t="s">
        <v>373</v>
      </c>
      <c r="E1259" s="74">
        <v>44151</v>
      </c>
      <c r="F1259" s="55" t="s">
        <v>344</v>
      </c>
      <c r="G1259" s="55" t="s">
        <v>360</v>
      </c>
      <c r="H1259" s="55" t="s">
        <v>360</v>
      </c>
      <c r="I1259" s="55" t="s">
        <v>360</v>
      </c>
      <c r="J1259" s="55" t="s">
        <v>360</v>
      </c>
      <c r="K1259" s="55" t="s">
        <v>360</v>
      </c>
      <c r="L1259" s="55" t="s">
        <v>360</v>
      </c>
      <c r="M1259" s="55" t="s">
        <v>378</v>
      </c>
      <c r="N1259" s="55" t="s">
        <v>134</v>
      </c>
      <c r="O1259" s="55" t="s">
        <v>294</v>
      </c>
      <c r="P1259" s="55" t="s">
        <v>1983</v>
      </c>
      <c r="Q1259" s="55" t="s">
        <v>380</v>
      </c>
      <c r="R1259" s="55">
        <v>8</v>
      </c>
      <c r="S1259" s="74" t="s">
        <v>332</v>
      </c>
      <c r="T1259" s="55" t="s">
        <v>1984</v>
      </c>
      <c r="U1259" s="73"/>
      <c r="W1259" s="74"/>
      <c r="Y1259" s="74"/>
      <c r="Z1259" s="74"/>
    </row>
    <row r="1260" spans="1:29" ht="13" x14ac:dyDescent="0.15">
      <c r="A1260" s="72" t="str">
        <f t="shared" si="19"/>
        <v>Ofsted Social Care Provider Webpage</v>
      </c>
      <c r="B1260" s="55">
        <v>2608645</v>
      </c>
      <c r="D1260" s="55" t="s">
        <v>373</v>
      </c>
      <c r="E1260" s="74">
        <v>44167</v>
      </c>
      <c r="F1260" s="55" t="s">
        <v>344</v>
      </c>
      <c r="G1260" s="55" t="s">
        <v>360</v>
      </c>
      <c r="H1260" s="55" t="s">
        <v>360</v>
      </c>
      <c r="I1260" s="55" t="s">
        <v>360</v>
      </c>
      <c r="J1260" s="55" t="s">
        <v>360</v>
      </c>
      <c r="K1260" s="55" t="s">
        <v>360</v>
      </c>
      <c r="L1260" s="55" t="s">
        <v>360</v>
      </c>
      <c r="M1260" s="55" t="s">
        <v>138</v>
      </c>
      <c r="N1260" s="55" t="s">
        <v>138</v>
      </c>
      <c r="O1260" s="55" t="s">
        <v>159</v>
      </c>
      <c r="P1260" s="55" t="s">
        <v>1985</v>
      </c>
      <c r="Q1260" s="55" t="s">
        <v>350</v>
      </c>
      <c r="R1260" s="55">
        <v>3</v>
      </c>
      <c r="S1260" s="74"/>
      <c r="T1260" s="55" t="s">
        <v>1799</v>
      </c>
      <c r="U1260" s="73" t="s">
        <v>351</v>
      </c>
      <c r="V1260" s="74">
        <v>44447</v>
      </c>
      <c r="W1260" s="74">
        <v>44469</v>
      </c>
      <c r="X1260" s="55">
        <v>10185828</v>
      </c>
      <c r="Y1260" s="74" t="s">
        <v>132</v>
      </c>
      <c r="Z1260" s="74"/>
      <c r="AB1260" s="55" t="s">
        <v>132</v>
      </c>
      <c r="AC1260" s="55" t="s">
        <v>132</v>
      </c>
    </row>
    <row r="1261" spans="1:29" ht="13" x14ac:dyDescent="0.15">
      <c r="A1261" s="72" t="str">
        <f t="shared" si="19"/>
        <v>Ofsted Social Care Provider Webpage</v>
      </c>
      <c r="B1261" s="55">
        <v>2608666</v>
      </c>
      <c r="D1261" s="55" t="s">
        <v>373</v>
      </c>
      <c r="E1261" s="74">
        <v>44251</v>
      </c>
      <c r="F1261" s="55" t="s">
        <v>344</v>
      </c>
      <c r="G1261" s="55" t="s">
        <v>360</v>
      </c>
      <c r="H1261" s="55" t="s">
        <v>360</v>
      </c>
      <c r="I1261" s="55" t="s">
        <v>360</v>
      </c>
      <c r="J1261" s="55" t="s">
        <v>360</v>
      </c>
      <c r="K1261" s="55" t="s">
        <v>360</v>
      </c>
      <c r="L1261" s="55" t="s">
        <v>360</v>
      </c>
      <c r="M1261" s="55" t="s">
        <v>150</v>
      </c>
      <c r="N1261" s="55" t="s">
        <v>150</v>
      </c>
      <c r="O1261" s="55" t="s">
        <v>237</v>
      </c>
      <c r="P1261" s="55" t="s">
        <v>869</v>
      </c>
      <c r="Q1261" s="55" t="s">
        <v>350</v>
      </c>
      <c r="R1261" s="55">
        <v>4</v>
      </c>
      <c r="S1261" s="74"/>
      <c r="T1261" s="55" t="s">
        <v>435</v>
      </c>
      <c r="U1261" s="73" t="s">
        <v>351</v>
      </c>
      <c r="V1261" s="74">
        <v>44601</v>
      </c>
      <c r="W1261" s="74">
        <v>44645</v>
      </c>
      <c r="X1261" s="55">
        <v>10188282</v>
      </c>
      <c r="Y1261" s="74" t="s">
        <v>132</v>
      </c>
      <c r="Z1261" s="74"/>
      <c r="AB1261" s="55" t="s">
        <v>132</v>
      </c>
      <c r="AC1261" s="55" t="s">
        <v>132</v>
      </c>
    </row>
    <row r="1262" spans="1:29" ht="13" x14ac:dyDescent="0.15">
      <c r="A1262" s="72" t="str">
        <f t="shared" si="19"/>
        <v>Ofsted Social Care Provider Webpage</v>
      </c>
      <c r="B1262" s="55">
        <v>2608872</v>
      </c>
      <c r="D1262" s="55" t="s">
        <v>373</v>
      </c>
      <c r="E1262" s="74">
        <v>44136</v>
      </c>
      <c r="F1262" s="55" t="s">
        <v>344</v>
      </c>
      <c r="G1262" s="55" t="s">
        <v>360</v>
      </c>
      <c r="H1262" s="55" t="s">
        <v>360</v>
      </c>
      <c r="I1262" s="55" t="s">
        <v>360</v>
      </c>
      <c r="J1262" s="55" t="s">
        <v>360</v>
      </c>
      <c r="K1262" s="55" t="s">
        <v>360</v>
      </c>
      <c r="L1262" s="55" t="s">
        <v>360</v>
      </c>
      <c r="M1262" s="55" t="s">
        <v>172</v>
      </c>
      <c r="N1262" s="55" t="s">
        <v>172</v>
      </c>
      <c r="O1262" s="55" t="s">
        <v>228</v>
      </c>
      <c r="P1262" s="55" t="s">
        <v>991</v>
      </c>
      <c r="Q1262" s="55" t="s">
        <v>362</v>
      </c>
      <c r="R1262" s="55">
        <v>2</v>
      </c>
      <c r="S1262" s="74"/>
      <c r="T1262" s="55" t="s">
        <v>1958</v>
      </c>
      <c r="U1262" s="73" t="s">
        <v>351</v>
      </c>
      <c r="V1262" s="74">
        <v>44544</v>
      </c>
      <c r="W1262" s="74">
        <v>44603</v>
      </c>
      <c r="X1262" s="55">
        <v>10187392</v>
      </c>
      <c r="Y1262" s="74" t="s">
        <v>130</v>
      </c>
      <c r="Z1262" s="74"/>
      <c r="AB1262" s="55" t="s">
        <v>130</v>
      </c>
      <c r="AC1262" s="55" t="s">
        <v>130</v>
      </c>
    </row>
    <row r="1263" spans="1:29" ht="13" x14ac:dyDescent="0.15">
      <c r="A1263" s="72" t="str">
        <f t="shared" si="19"/>
        <v>Ofsted Social Care Provider Webpage</v>
      </c>
      <c r="B1263" s="55">
        <v>2608892</v>
      </c>
      <c r="D1263" s="55" t="s">
        <v>373</v>
      </c>
      <c r="E1263" s="74">
        <v>44136</v>
      </c>
      <c r="F1263" s="55" t="s">
        <v>344</v>
      </c>
      <c r="G1263" s="55" t="s">
        <v>360</v>
      </c>
      <c r="H1263" s="55" t="s">
        <v>360</v>
      </c>
      <c r="I1263" s="55" t="s">
        <v>360</v>
      </c>
      <c r="J1263" s="55" t="s">
        <v>360</v>
      </c>
      <c r="K1263" s="55" t="s">
        <v>360</v>
      </c>
      <c r="L1263" s="55" t="s">
        <v>360</v>
      </c>
      <c r="M1263" s="55" t="s">
        <v>172</v>
      </c>
      <c r="N1263" s="55" t="s">
        <v>172</v>
      </c>
      <c r="O1263" s="55" t="s">
        <v>228</v>
      </c>
      <c r="P1263" s="55" t="s">
        <v>459</v>
      </c>
      <c r="Q1263" s="55" t="s">
        <v>362</v>
      </c>
      <c r="R1263" s="55">
        <v>4</v>
      </c>
      <c r="S1263" s="74"/>
      <c r="T1263" s="55" t="s">
        <v>1958</v>
      </c>
      <c r="U1263" s="73" t="s">
        <v>351</v>
      </c>
      <c r="V1263" s="74">
        <v>44627</v>
      </c>
      <c r="W1263" s="74">
        <v>44665</v>
      </c>
      <c r="X1263" s="55">
        <v>10186830</v>
      </c>
      <c r="Y1263" s="74" t="s">
        <v>132</v>
      </c>
      <c r="Z1263" s="74"/>
      <c r="AB1263" s="55" t="s">
        <v>132</v>
      </c>
      <c r="AC1263" s="55" t="s">
        <v>132</v>
      </c>
    </row>
    <row r="1264" spans="1:29" ht="13" x14ac:dyDescent="0.15">
      <c r="A1264" s="72" t="str">
        <f t="shared" si="19"/>
        <v>Ofsted Social Care Provider Webpage</v>
      </c>
      <c r="B1264" s="55">
        <v>2608949</v>
      </c>
      <c r="D1264" s="55" t="s">
        <v>373</v>
      </c>
      <c r="E1264" s="74">
        <v>44186</v>
      </c>
      <c r="F1264" s="55" t="s">
        <v>344</v>
      </c>
      <c r="G1264" s="55" t="s">
        <v>360</v>
      </c>
      <c r="H1264" s="55" t="s">
        <v>360</v>
      </c>
      <c r="I1264" s="55" t="s">
        <v>360</v>
      </c>
      <c r="J1264" s="55" t="s">
        <v>360</v>
      </c>
      <c r="K1264" s="55" t="s">
        <v>360</v>
      </c>
      <c r="L1264" s="55" t="s">
        <v>360</v>
      </c>
      <c r="M1264" s="55" t="s">
        <v>378</v>
      </c>
      <c r="N1264" s="55" t="s">
        <v>134</v>
      </c>
      <c r="O1264" s="55" t="s">
        <v>206</v>
      </c>
      <c r="P1264" s="55" t="s">
        <v>1655</v>
      </c>
      <c r="Q1264" s="55" t="s">
        <v>350</v>
      </c>
      <c r="R1264" s="55">
        <v>3</v>
      </c>
      <c r="S1264" s="74"/>
      <c r="T1264" s="55" t="s">
        <v>1986</v>
      </c>
      <c r="U1264" s="73" t="s">
        <v>351</v>
      </c>
      <c r="V1264" s="74">
        <v>44480</v>
      </c>
      <c r="W1264" s="74">
        <v>44511</v>
      </c>
      <c r="X1264" s="55">
        <v>10185168</v>
      </c>
      <c r="Y1264" s="74" t="s">
        <v>140</v>
      </c>
      <c r="Z1264" s="74"/>
      <c r="AB1264" s="55" t="s">
        <v>140</v>
      </c>
      <c r="AC1264" s="55" t="s">
        <v>140</v>
      </c>
    </row>
    <row r="1265" spans="1:29" ht="13" x14ac:dyDescent="0.15">
      <c r="A1265" s="72" t="str">
        <f t="shared" si="19"/>
        <v>Ofsted Social Care Provider Webpage</v>
      </c>
      <c r="B1265" s="55">
        <v>2608968</v>
      </c>
      <c r="D1265" s="55" t="s">
        <v>373</v>
      </c>
      <c r="E1265" s="74">
        <v>44136</v>
      </c>
      <c r="F1265" s="55" t="s">
        <v>344</v>
      </c>
      <c r="G1265" s="55" t="s">
        <v>360</v>
      </c>
      <c r="H1265" s="55" t="s">
        <v>360</v>
      </c>
      <c r="I1265" s="55" t="s">
        <v>360</v>
      </c>
      <c r="J1265" s="55" t="s">
        <v>360</v>
      </c>
      <c r="K1265" s="55" t="s">
        <v>360</v>
      </c>
      <c r="L1265" s="55" t="s">
        <v>360</v>
      </c>
      <c r="M1265" s="55" t="s">
        <v>172</v>
      </c>
      <c r="N1265" s="55" t="s">
        <v>172</v>
      </c>
      <c r="O1265" s="55" t="s">
        <v>284</v>
      </c>
      <c r="P1265" s="55" t="s">
        <v>985</v>
      </c>
      <c r="Q1265" s="55" t="s">
        <v>362</v>
      </c>
      <c r="R1265" s="55">
        <v>6</v>
      </c>
      <c r="S1265" s="74"/>
      <c r="T1265" s="55" t="s">
        <v>1958</v>
      </c>
      <c r="U1265" s="73" t="s">
        <v>351</v>
      </c>
      <c r="V1265" s="74">
        <v>44489</v>
      </c>
      <c r="W1265" s="74">
        <v>44526</v>
      </c>
      <c r="X1265" s="55">
        <v>10187495</v>
      </c>
      <c r="Y1265" s="74" t="s">
        <v>132</v>
      </c>
      <c r="Z1265" s="74"/>
      <c r="AB1265" s="55" t="s">
        <v>132</v>
      </c>
      <c r="AC1265" s="55" t="s">
        <v>132</v>
      </c>
    </row>
    <row r="1266" spans="1:29" ht="13" x14ac:dyDescent="0.15">
      <c r="A1266" s="72" t="str">
        <f t="shared" si="19"/>
        <v>Ofsted Social Care Provider Webpage</v>
      </c>
      <c r="B1266" s="55">
        <v>2609490</v>
      </c>
      <c r="D1266" s="55" t="s">
        <v>373</v>
      </c>
      <c r="E1266" s="74">
        <v>44139</v>
      </c>
      <c r="F1266" s="55" t="s">
        <v>344</v>
      </c>
      <c r="G1266" s="55" t="s">
        <v>360</v>
      </c>
      <c r="H1266" s="55" t="s">
        <v>360</v>
      </c>
      <c r="I1266" s="55" t="s">
        <v>360</v>
      </c>
      <c r="J1266" s="55" t="s">
        <v>360</v>
      </c>
      <c r="K1266" s="55" t="s">
        <v>360</v>
      </c>
      <c r="L1266" s="55" t="s">
        <v>360</v>
      </c>
      <c r="M1266" s="55" t="s">
        <v>136</v>
      </c>
      <c r="N1266" s="55" t="s">
        <v>136</v>
      </c>
      <c r="O1266" s="55" t="s">
        <v>174</v>
      </c>
      <c r="P1266" s="55" t="s">
        <v>1010</v>
      </c>
      <c r="Q1266" s="55" t="s">
        <v>350</v>
      </c>
      <c r="R1266" s="55">
        <v>1</v>
      </c>
      <c r="S1266" s="74"/>
      <c r="T1266" s="55" t="s">
        <v>1295</v>
      </c>
      <c r="U1266" s="73" t="s">
        <v>351</v>
      </c>
      <c r="V1266" s="74">
        <v>44600</v>
      </c>
      <c r="W1266" s="74">
        <v>44644</v>
      </c>
      <c r="X1266" s="55">
        <v>10187123</v>
      </c>
      <c r="Y1266" s="74" t="s">
        <v>130</v>
      </c>
      <c r="Z1266" s="74"/>
      <c r="AB1266" s="55" t="s">
        <v>130</v>
      </c>
      <c r="AC1266" s="55" t="s">
        <v>130</v>
      </c>
    </row>
    <row r="1267" spans="1:29" ht="13" x14ac:dyDescent="0.15">
      <c r="A1267" s="72" t="str">
        <f t="shared" si="19"/>
        <v>Ofsted Social Care Provider Webpage</v>
      </c>
      <c r="B1267" s="55">
        <v>2610371</v>
      </c>
      <c r="D1267" s="55" t="s">
        <v>373</v>
      </c>
      <c r="E1267" s="74">
        <v>44203</v>
      </c>
      <c r="F1267" s="55" t="s">
        <v>344</v>
      </c>
      <c r="G1267" s="55" t="s">
        <v>360</v>
      </c>
      <c r="H1267" s="55" t="s">
        <v>360</v>
      </c>
      <c r="I1267" s="55" t="s">
        <v>360</v>
      </c>
      <c r="J1267" s="55" t="s">
        <v>360</v>
      </c>
      <c r="K1267" s="55" t="s">
        <v>360</v>
      </c>
      <c r="L1267" s="55" t="s">
        <v>360</v>
      </c>
      <c r="M1267" s="55" t="s">
        <v>142</v>
      </c>
      <c r="N1267" s="55" t="s">
        <v>142</v>
      </c>
      <c r="O1267" s="55" t="s">
        <v>249</v>
      </c>
      <c r="P1267" s="55" t="s">
        <v>1149</v>
      </c>
      <c r="Q1267" s="55" t="s">
        <v>350</v>
      </c>
      <c r="R1267" s="55">
        <v>2</v>
      </c>
      <c r="S1267" s="74"/>
      <c r="T1267" s="55" t="s">
        <v>1987</v>
      </c>
      <c r="U1267" s="73" t="s">
        <v>351</v>
      </c>
      <c r="V1267" s="74">
        <v>44390</v>
      </c>
      <c r="W1267" s="74">
        <v>44431</v>
      </c>
      <c r="X1267" s="55">
        <v>10187519</v>
      </c>
      <c r="Y1267" s="74" t="s">
        <v>132</v>
      </c>
      <c r="Z1267" s="74"/>
      <c r="AB1267" s="55" t="s">
        <v>130</v>
      </c>
      <c r="AC1267" s="55" t="s">
        <v>132</v>
      </c>
    </row>
    <row r="1268" spans="1:29" ht="13" x14ac:dyDescent="0.15">
      <c r="A1268" s="72" t="str">
        <f t="shared" si="19"/>
        <v>Ofsted Social Care Provider Webpage</v>
      </c>
      <c r="B1268" s="55">
        <v>2610709</v>
      </c>
      <c r="D1268" s="55" t="s">
        <v>373</v>
      </c>
      <c r="E1268" s="74">
        <v>44130</v>
      </c>
      <c r="F1268" s="55" t="s">
        <v>344</v>
      </c>
      <c r="G1268" s="55" t="s">
        <v>360</v>
      </c>
      <c r="H1268" s="55" t="s">
        <v>360</v>
      </c>
      <c r="I1268" s="55" t="s">
        <v>360</v>
      </c>
      <c r="J1268" s="55" t="s">
        <v>360</v>
      </c>
      <c r="K1268" s="55" t="s">
        <v>360</v>
      </c>
      <c r="L1268" s="55" t="s">
        <v>360</v>
      </c>
      <c r="M1268" s="55" t="s">
        <v>136</v>
      </c>
      <c r="N1268" s="55" t="s">
        <v>136</v>
      </c>
      <c r="O1268" s="55" t="s">
        <v>274</v>
      </c>
      <c r="P1268" s="55" t="s">
        <v>274</v>
      </c>
      <c r="Q1268" s="55" t="s">
        <v>350</v>
      </c>
      <c r="R1268" s="55">
        <v>2</v>
      </c>
      <c r="S1268" s="74"/>
      <c r="T1268" s="55" t="s">
        <v>721</v>
      </c>
      <c r="U1268" s="73" t="s">
        <v>351</v>
      </c>
      <c r="V1268" s="74">
        <v>44313</v>
      </c>
      <c r="W1268" s="74">
        <v>44337</v>
      </c>
      <c r="X1268" s="55">
        <v>10186842</v>
      </c>
      <c r="Y1268" s="74" t="s">
        <v>132</v>
      </c>
      <c r="Z1268" s="74"/>
      <c r="AB1268" s="55" t="s">
        <v>132</v>
      </c>
      <c r="AC1268" s="55" t="s">
        <v>132</v>
      </c>
    </row>
    <row r="1269" spans="1:29" ht="13" x14ac:dyDescent="0.15">
      <c r="A1269" s="72" t="str">
        <f t="shared" si="19"/>
        <v>Ofsted Social Care Provider Webpage</v>
      </c>
      <c r="B1269" s="55">
        <v>2610935</v>
      </c>
      <c r="D1269" s="55" t="s">
        <v>373</v>
      </c>
      <c r="E1269" s="74">
        <v>44218</v>
      </c>
      <c r="F1269" s="55" t="s">
        <v>344</v>
      </c>
      <c r="G1269" s="55" t="s">
        <v>360</v>
      </c>
      <c r="H1269" s="55" t="s">
        <v>360</v>
      </c>
      <c r="I1269" s="55" t="s">
        <v>360</v>
      </c>
      <c r="J1269" s="55" t="s">
        <v>360</v>
      </c>
      <c r="K1269" s="55" t="s">
        <v>360</v>
      </c>
      <c r="L1269" s="55" t="s">
        <v>360</v>
      </c>
      <c r="M1269" s="55" t="s">
        <v>138</v>
      </c>
      <c r="N1269" s="55" t="s">
        <v>138</v>
      </c>
      <c r="O1269" s="55" t="s">
        <v>183</v>
      </c>
      <c r="P1269" s="55" t="s">
        <v>664</v>
      </c>
      <c r="Q1269" s="55" t="s">
        <v>350</v>
      </c>
      <c r="R1269" s="55">
        <v>2</v>
      </c>
      <c r="S1269" s="74"/>
      <c r="T1269" s="55" t="s">
        <v>1988</v>
      </c>
      <c r="U1269" s="73" t="s">
        <v>351</v>
      </c>
      <c r="V1269" s="74">
        <v>44474</v>
      </c>
      <c r="W1269" s="74">
        <v>44512</v>
      </c>
      <c r="X1269" s="55">
        <v>10188261</v>
      </c>
      <c r="Y1269" s="74" t="s">
        <v>130</v>
      </c>
      <c r="Z1269" s="74"/>
      <c r="AB1269" s="55" t="s">
        <v>130</v>
      </c>
      <c r="AC1269" s="55" t="s">
        <v>130</v>
      </c>
    </row>
    <row r="1270" spans="1:29" ht="13" x14ac:dyDescent="0.15">
      <c r="A1270" s="72" t="str">
        <f t="shared" si="19"/>
        <v>Ofsted Social Care Provider Webpage</v>
      </c>
      <c r="B1270" s="55">
        <v>2611027</v>
      </c>
      <c r="D1270" s="55" t="s">
        <v>373</v>
      </c>
      <c r="E1270" s="74">
        <v>44454</v>
      </c>
      <c r="F1270" s="55" t="s">
        <v>344</v>
      </c>
      <c r="G1270" s="55" t="s">
        <v>360</v>
      </c>
      <c r="H1270" s="55" t="s">
        <v>360</v>
      </c>
      <c r="I1270" s="55" t="s">
        <v>360</v>
      </c>
      <c r="J1270" s="55" t="s">
        <v>360</v>
      </c>
      <c r="K1270" s="55" t="s">
        <v>360</v>
      </c>
      <c r="L1270" s="55" t="s">
        <v>360</v>
      </c>
      <c r="M1270" s="55" t="s">
        <v>142</v>
      </c>
      <c r="N1270" s="55" t="s">
        <v>142</v>
      </c>
      <c r="O1270" s="55" t="s">
        <v>262</v>
      </c>
      <c r="P1270" s="55" t="s">
        <v>916</v>
      </c>
      <c r="Q1270" s="55" t="s">
        <v>350</v>
      </c>
      <c r="R1270" s="55">
        <v>10</v>
      </c>
      <c r="S1270" s="74"/>
      <c r="T1270" s="55" t="s">
        <v>1874</v>
      </c>
      <c r="U1270" s="73" t="s">
        <v>351</v>
      </c>
      <c r="V1270" s="74">
        <v>44586</v>
      </c>
      <c r="W1270" s="74">
        <v>44621</v>
      </c>
      <c r="X1270" s="55">
        <v>10207447</v>
      </c>
      <c r="Y1270" s="74" t="s">
        <v>132</v>
      </c>
      <c r="Z1270" s="74"/>
      <c r="AB1270" s="55" t="s">
        <v>132</v>
      </c>
      <c r="AC1270" s="55" t="s">
        <v>132</v>
      </c>
    </row>
    <row r="1271" spans="1:29" ht="13" x14ac:dyDescent="0.15">
      <c r="A1271" s="72" t="str">
        <f t="shared" si="19"/>
        <v>Ofsted Social Care Provider Webpage</v>
      </c>
      <c r="B1271" s="55">
        <v>2611110</v>
      </c>
      <c r="D1271" s="55" t="s">
        <v>373</v>
      </c>
      <c r="E1271" s="74">
        <v>44187</v>
      </c>
      <c r="F1271" s="55" t="s">
        <v>344</v>
      </c>
      <c r="G1271" s="55" t="s">
        <v>360</v>
      </c>
      <c r="H1271" s="55" t="s">
        <v>360</v>
      </c>
      <c r="I1271" s="55" t="s">
        <v>360</v>
      </c>
      <c r="J1271" s="55" t="s">
        <v>360</v>
      </c>
      <c r="K1271" s="55" t="s">
        <v>360</v>
      </c>
      <c r="L1271" s="55" t="s">
        <v>360</v>
      </c>
      <c r="M1271" s="55" t="s">
        <v>150</v>
      </c>
      <c r="N1271" s="55" t="s">
        <v>150</v>
      </c>
      <c r="O1271" s="55" t="s">
        <v>241</v>
      </c>
      <c r="P1271" s="55" t="s">
        <v>1492</v>
      </c>
      <c r="Q1271" s="55" t="s">
        <v>350</v>
      </c>
      <c r="R1271" s="55">
        <v>7</v>
      </c>
      <c r="S1271" s="74"/>
      <c r="T1271" s="55" t="s">
        <v>487</v>
      </c>
      <c r="U1271" s="73" t="s">
        <v>351</v>
      </c>
      <c r="V1271" s="74">
        <v>44321</v>
      </c>
      <c r="W1271" s="74">
        <v>44377</v>
      </c>
      <c r="X1271" s="55">
        <v>10186197</v>
      </c>
      <c r="Y1271" s="74" t="s">
        <v>132</v>
      </c>
      <c r="Z1271" s="74"/>
      <c r="AB1271" s="55" t="s">
        <v>132</v>
      </c>
      <c r="AC1271" s="55" t="s">
        <v>132</v>
      </c>
    </row>
    <row r="1272" spans="1:29" ht="13" x14ac:dyDescent="0.15">
      <c r="A1272" s="72" t="str">
        <f t="shared" si="19"/>
        <v>Ofsted Social Care Provider Webpage</v>
      </c>
      <c r="B1272" s="55">
        <v>2611190</v>
      </c>
      <c r="D1272" s="55" t="s">
        <v>479</v>
      </c>
      <c r="E1272" s="74">
        <v>44204</v>
      </c>
      <c r="F1272" s="55" t="s">
        <v>344</v>
      </c>
      <c r="G1272" s="55" t="s">
        <v>360</v>
      </c>
      <c r="H1272" s="55" t="s">
        <v>360</v>
      </c>
      <c r="I1272" s="55" t="s">
        <v>360</v>
      </c>
      <c r="J1272" s="55" t="s">
        <v>360</v>
      </c>
      <c r="K1272" s="55" t="s">
        <v>360</v>
      </c>
      <c r="L1272" s="55" t="s">
        <v>360</v>
      </c>
      <c r="M1272" s="55" t="s">
        <v>172</v>
      </c>
      <c r="N1272" s="55" t="s">
        <v>172</v>
      </c>
      <c r="O1272" s="55" t="s">
        <v>284</v>
      </c>
      <c r="P1272" s="55" t="s">
        <v>986</v>
      </c>
      <c r="Q1272" s="55" t="s">
        <v>350</v>
      </c>
      <c r="R1272" s="55">
        <v>20</v>
      </c>
      <c r="S1272" s="74"/>
      <c r="T1272" s="55" t="s">
        <v>596</v>
      </c>
      <c r="U1272" s="73" t="s">
        <v>351</v>
      </c>
      <c r="V1272" s="74">
        <v>44593</v>
      </c>
      <c r="W1272" s="74">
        <v>44622</v>
      </c>
      <c r="X1272" s="55">
        <v>10186857</v>
      </c>
      <c r="Y1272" s="74" t="s">
        <v>132</v>
      </c>
      <c r="Z1272" s="74"/>
      <c r="AB1272" s="55" t="s">
        <v>132</v>
      </c>
      <c r="AC1272" s="55" t="s">
        <v>132</v>
      </c>
    </row>
    <row r="1273" spans="1:29" ht="13" x14ac:dyDescent="0.15">
      <c r="A1273" s="72" t="str">
        <f t="shared" si="19"/>
        <v>Ofsted Social Care Provider Webpage</v>
      </c>
      <c r="B1273" s="55">
        <v>2611210</v>
      </c>
      <c r="D1273" s="55" t="s">
        <v>373</v>
      </c>
      <c r="E1273" s="74">
        <v>44181</v>
      </c>
      <c r="F1273" s="55" t="s">
        <v>344</v>
      </c>
      <c r="G1273" s="55" t="s">
        <v>360</v>
      </c>
      <c r="H1273" s="55" t="s">
        <v>360</v>
      </c>
      <c r="I1273" s="55" t="s">
        <v>360</v>
      </c>
      <c r="J1273" s="55" t="s">
        <v>360</v>
      </c>
      <c r="K1273" s="55" t="s">
        <v>360</v>
      </c>
      <c r="L1273" s="55" t="s">
        <v>360</v>
      </c>
      <c r="M1273" s="55" t="s">
        <v>378</v>
      </c>
      <c r="N1273" s="55" t="s">
        <v>134</v>
      </c>
      <c r="O1273" s="55" t="s">
        <v>210</v>
      </c>
      <c r="P1273" s="55" t="s">
        <v>1989</v>
      </c>
      <c r="Q1273" s="55" t="s">
        <v>380</v>
      </c>
      <c r="R1273" s="55">
        <v>4</v>
      </c>
      <c r="S1273" s="74"/>
      <c r="T1273" s="55" t="s">
        <v>543</v>
      </c>
      <c r="U1273" s="73" t="s">
        <v>351</v>
      </c>
      <c r="V1273" s="74">
        <v>44341</v>
      </c>
      <c r="W1273" s="74">
        <v>44384</v>
      </c>
      <c r="X1273" s="55">
        <v>10185533</v>
      </c>
      <c r="Y1273" s="74" t="s">
        <v>132</v>
      </c>
      <c r="Z1273" s="74"/>
      <c r="AB1273" s="55" t="s">
        <v>132</v>
      </c>
      <c r="AC1273" s="55" t="s">
        <v>130</v>
      </c>
    </row>
    <row r="1274" spans="1:29" ht="13" x14ac:dyDescent="0.15">
      <c r="A1274" s="72" t="str">
        <f t="shared" si="19"/>
        <v>Ofsted Social Care Provider Webpage</v>
      </c>
      <c r="B1274" s="55">
        <v>2611288</v>
      </c>
      <c r="D1274" s="55" t="s">
        <v>373</v>
      </c>
      <c r="E1274" s="74">
        <v>44228</v>
      </c>
      <c r="F1274" s="55" t="s">
        <v>344</v>
      </c>
      <c r="G1274" s="55" t="s">
        <v>360</v>
      </c>
      <c r="H1274" s="55" t="s">
        <v>360</v>
      </c>
      <c r="I1274" s="55" t="s">
        <v>360</v>
      </c>
      <c r="J1274" s="55" t="s">
        <v>360</v>
      </c>
      <c r="K1274" s="55" t="s">
        <v>360</v>
      </c>
      <c r="L1274" s="55" t="s">
        <v>360</v>
      </c>
      <c r="M1274" s="55" t="s">
        <v>129</v>
      </c>
      <c r="N1274" s="55" t="s">
        <v>129</v>
      </c>
      <c r="O1274" s="55" t="s">
        <v>179</v>
      </c>
      <c r="P1274" s="55" t="s">
        <v>1584</v>
      </c>
      <c r="Q1274" s="55" t="s">
        <v>350</v>
      </c>
      <c r="R1274" s="55">
        <v>3</v>
      </c>
      <c r="S1274" s="74"/>
      <c r="T1274" s="55" t="s">
        <v>1990</v>
      </c>
      <c r="U1274" s="73" t="s">
        <v>351</v>
      </c>
      <c r="V1274" s="74">
        <v>44508</v>
      </c>
      <c r="W1274" s="74">
        <v>44550</v>
      </c>
      <c r="X1274" s="55">
        <v>10208943</v>
      </c>
      <c r="Y1274" s="74" t="s">
        <v>130</v>
      </c>
      <c r="Z1274" s="74"/>
      <c r="AB1274" s="55" t="s">
        <v>130</v>
      </c>
      <c r="AC1274" s="55" t="s">
        <v>132</v>
      </c>
    </row>
    <row r="1275" spans="1:29" ht="13" x14ac:dyDescent="0.15">
      <c r="A1275" s="72" t="str">
        <f t="shared" si="19"/>
        <v>Ofsted Social Care Provider Webpage</v>
      </c>
      <c r="B1275" s="55">
        <v>2611447</v>
      </c>
      <c r="D1275" s="55" t="s">
        <v>373</v>
      </c>
      <c r="E1275" s="74">
        <v>44349</v>
      </c>
      <c r="F1275" s="55" t="s">
        <v>344</v>
      </c>
      <c r="G1275" s="55" t="s">
        <v>360</v>
      </c>
      <c r="H1275" s="55" t="s">
        <v>360</v>
      </c>
      <c r="I1275" s="55" t="s">
        <v>360</v>
      </c>
      <c r="J1275" s="55" t="s">
        <v>360</v>
      </c>
      <c r="K1275" s="55" t="s">
        <v>360</v>
      </c>
      <c r="L1275" s="55" t="s">
        <v>360</v>
      </c>
      <c r="M1275" s="55" t="s">
        <v>150</v>
      </c>
      <c r="N1275" s="55" t="s">
        <v>150</v>
      </c>
      <c r="O1275" s="55" t="s">
        <v>156</v>
      </c>
      <c r="P1275" s="55" t="s">
        <v>1217</v>
      </c>
      <c r="Q1275" s="55" t="s">
        <v>380</v>
      </c>
      <c r="R1275" s="55">
        <v>5</v>
      </c>
      <c r="S1275" s="74"/>
      <c r="T1275" s="55" t="s">
        <v>1278</v>
      </c>
      <c r="U1275" s="73" t="s">
        <v>351</v>
      </c>
      <c r="V1275" s="74">
        <v>44579</v>
      </c>
      <c r="W1275" s="74">
        <v>44623</v>
      </c>
      <c r="X1275" s="55">
        <v>10203236</v>
      </c>
      <c r="Y1275" s="74" t="s">
        <v>132</v>
      </c>
      <c r="Z1275" s="74"/>
      <c r="AB1275" s="55" t="s">
        <v>132</v>
      </c>
      <c r="AC1275" s="55" t="s">
        <v>140</v>
      </c>
    </row>
    <row r="1276" spans="1:29" ht="13" x14ac:dyDescent="0.15">
      <c r="A1276" s="72" t="str">
        <f t="shared" si="19"/>
        <v>Ofsted Social Care Provider Webpage</v>
      </c>
      <c r="B1276" s="55">
        <v>2611536</v>
      </c>
      <c r="D1276" s="55" t="s">
        <v>373</v>
      </c>
      <c r="E1276" s="74">
        <v>44323</v>
      </c>
      <c r="F1276" s="55" t="s">
        <v>344</v>
      </c>
      <c r="G1276" s="55" t="s">
        <v>360</v>
      </c>
      <c r="H1276" s="55" t="s">
        <v>360</v>
      </c>
      <c r="I1276" s="55" t="s">
        <v>360</v>
      </c>
      <c r="J1276" s="55" t="s">
        <v>360</v>
      </c>
      <c r="K1276" s="55" t="s">
        <v>360</v>
      </c>
      <c r="L1276" s="55" t="s">
        <v>360</v>
      </c>
      <c r="M1276" s="55" t="s">
        <v>136</v>
      </c>
      <c r="N1276" s="55" t="s">
        <v>136</v>
      </c>
      <c r="O1276" s="55" t="s">
        <v>174</v>
      </c>
      <c r="P1276" s="55" t="s">
        <v>570</v>
      </c>
      <c r="Q1276" s="55" t="s">
        <v>350</v>
      </c>
      <c r="R1276" s="55">
        <v>5</v>
      </c>
      <c r="S1276" s="74"/>
      <c r="T1276" s="55" t="s">
        <v>1991</v>
      </c>
      <c r="U1276" s="73" t="s">
        <v>351</v>
      </c>
      <c r="V1276" s="74">
        <v>44530</v>
      </c>
      <c r="W1276" s="74">
        <v>44575</v>
      </c>
      <c r="X1276" s="55">
        <v>10209360</v>
      </c>
      <c r="Y1276" s="74" t="s">
        <v>146</v>
      </c>
      <c r="Z1276" s="74"/>
      <c r="AB1276" s="55" t="s">
        <v>146</v>
      </c>
      <c r="AC1276" s="55" t="s">
        <v>146</v>
      </c>
    </row>
    <row r="1277" spans="1:29" ht="13" x14ac:dyDescent="0.15">
      <c r="A1277" s="72" t="str">
        <f t="shared" si="19"/>
        <v>Ofsted Social Care Provider Webpage</v>
      </c>
      <c r="B1277" s="55">
        <v>2611991</v>
      </c>
      <c r="D1277" s="55" t="s">
        <v>373</v>
      </c>
      <c r="E1277" s="74">
        <v>44201</v>
      </c>
      <c r="F1277" s="55" t="s">
        <v>344</v>
      </c>
      <c r="G1277" s="55" t="s">
        <v>360</v>
      </c>
      <c r="H1277" s="55" t="s">
        <v>360</v>
      </c>
      <c r="I1277" s="55" t="s">
        <v>360</v>
      </c>
      <c r="J1277" s="55" t="s">
        <v>360</v>
      </c>
      <c r="K1277" s="55" t="s">
        <v>360</v>
      </c>
      <c r="L1277" s="55" t="s">
        <v>360</v>
      </c>
      <c r="M1277" s="55" t="s">
        <v>138</v>
      </c>
      <c r="N1277" s="55" t="s">
        <v>138</v>
      </c>
      <c r="O1277" s="55" t="s">
        <v>216</v>
      </c>
      <c r="P1277" s="55" t="s">
        <v>1918</v>
      </c>
      <c r="Q1277" s="55" t="s">
        <v>350</v>
      </c>
      <c r="R1277" s="55">
        <v>3</v>
      </c>
      <c r="S1277" s="74"/>
      <c r="T1277" s="55" t="s">
        <v>1992</v>
      </c>
      <c r="U1277" s="73" t="s">
        <v>351</v>
      </c>
      <c r="V1277" s="74">
        <v>44335</v>
      </c>
      <c r="W1277" s="74">
        <v>44368</v>
      </c>
      <c r="X1277" s="55">
        <v>10185284</v>
      </c>
      <c r="Y1277" s="74" t="s">
        <v>130</v>
      </c>
      <c r="Z1277" s="74"/>
      <c r="AB1277" s="55" t="s">
        <v>130</v>
      </c>
      <c r="AC1277" s="55" t="s">
        <v>146</v>
      </c>
    </row>
    <row r="1278" spans="1:29" ht="13" x14ac:dyDescent="0.15">
      <c r="A1278" s="72" t="str">
        <f t="shared" si="19"/>
        <v>Ofsted Social Care Provider Webpage</v>
      </c>
      <c r="B1278" s="55">
        <v>2612008</v>
      </c>
      <c r="D1278" s="55" t="s">
        <v>373</v>
      </c>
      <c r="E1278" s="74">
        <v>44209</v>
      </c>
      <c r="F1278" s="55" t="s">
        <v>344</v>
      </c>
      <c r="G1278" s="55" t="s">
        <v>360</v>
      </c>
      <c r="H1278" s="55" t="s">
        <v>360</v>
      </c>
      <c r="I1278" s="55" t="s">
        <v>360</v>
      </c>
      <c r="J1278" s="55" t="s">
        <v>360</v>
      </c>
      <c r="K1278" s="55" t="s">
        <v>360</v>
      </c>
      <c r="L1278" s="55" t="s">
        <v>360</v>
      </c>
      <c r="M1278" s="55" t="s">
        <v>378</v>
      </c>
      <c r="N1278" s="55" t="s">
        <v>134</v>
      </c>
      <c r="O1278" s="55" t="s">
        <v>206</v>
      </c>
      <c r="P1278" s="55" t="s">
        <v>1655</v>
      </c>
      <c r="Q1278" s="55" t="s">
        <v>350</v>
      </c>
      <c r="R1278" s="55">
        <v>4</v>
      </c>
      <c r="S1278" s="74"/>
      <c r="T1278" s="55" t="s">
        <v>574</v>
      </c>
      <c r="U1278" s="73" t="s">
        <v>351</v>
      </c>
      <c r="V1278" s="74">
        <v>44447</v>
      </c>
      <c r="W1278" s="74">
        <v>44491</v>
      </c>
      <c r="X1278" s="55">
        <v>10188259</v>
      </c>
      <c r="Y1278" s="74" t="s">
        <v>132</v>
      </c>
      <c r="Z1278" s="74"/>
      <c r="AB1278" s="55" t="s">
        <v>132</v>
      </c>
      <c r="AC1278" s="55" t="s">
        <v>132</v>
      </c>
    </row>
    <row r="1279" spans="1:29" ht="13" x14ac:dyDescent="0.15">
      <c r="A1279" s="72" t="str">
        <f t="shared" si="19"/>
        <v>Ofsted Social Care Provider Webpage</v>
      </c>
      <c r="B1279" s="55">
        <v>2612013</v>
      </c>
      <c r="D1279" s="55" t="s">
        <v>373</v>
      </c>
      <c r="E1279" s="74">
        <v>44508</v>
      </c>
      <c r="F1279" s="55" t="s">
        <v>344</v>
      </c>
      <c r="G1279" s="55" t="s">
        <v>360</v>
      </c>
      <c r="H1279" s="55" t="s">
        <v>360</v>
      </c>
      <c r="I1279" s="55" t="s">
        <v>360</v>
      </c>
      <c r="J1279" s="55" t="s">
        <v>360</v>
      </c>
      <c r="K1279" s="55" t="s">
        <v>360</v>
      </c>
      <c r="L1279" s="55" t="s">
        <v>360</v>
      </c>
      <c r="M1279" s="55" t="s">
        <v>129</v>
      </c>
      <c r="N1279" s="55" t="s">
        <v>129</v>
      </c>
      <c r="O1279" s="55" t="s">
        <v>139</v>
      </c>
      <c r="P1279" s="55" t="s">
        <v>1639</v>
      </c>
      <c r="Q1279" s="55" t="s">
        <v>350</v>
      </c>
      <c r="R1279" s="55">
        <v>4</v>
      </c>
      <c r="S1279" s="74"/>
      <c r="T1279" s="55" t="s">
        <v>1993</v>
      </c>
      <c r="U1279" s="73"/>
      <c r="W1279" s="74"/>
      <c r="Y1279" s="74"/>
      <c r="Z1279" s="74"/>
    </row>
    <row r="1280" spans="1:29" ht="13" x14ac:dyDescent="0.15">
      <c r="A1280" s="72" t="str">
        <f t="shared" si="19"/>
        <v>Ofsted Social Care Provider Webpage</v>
      </c>
      <c r="B1280" s="55">
        <v>2612063</v>
      </c>
      <c r="D1280" s="55" t="s">
        <v>373</v>
      </c>
      <c r="E1280" s="74">
        <v>44182</v>
      </c>
      <c r="F1280" s="55" t="s">
        <v>344</v>
      </c>
      <c r="G1280" s="55" t="s">
        <v>360</v>
      </c>
      <c r="H1280" s="55" t="s">
        <v>360</v>
      </c>
      <c r="I1280" s="55" t="s">
        <v>360</v>
      </c>
      <c r="J1280" s="55" t="s">
        <v>360</v>
      </c>
      <c r="K1280" s="55" t="s">
        <v>360</v>
      </c>
      <c r="L1280" s="55" t="s">
        <v>360</v>
      </c>
      <c r="M1280" s="55" t="s">
        <v>129</v>
      </c>
      <c r="N1280" s="55" t="s">
        <v>129</v>
      </c>
      <c r="O1280" s="55" t="s">
        <v>152</v>
      </c>
      <c r="P1280" s="55" t="s">
        <v>1994</v>
      </c>
      <c r="Q1280" s="55" t="s">
        <v>350</v>
      </c>
      <c r="R1280" s="55">
        <v>4</v>
      </c>
      <c r="S1280" s="74"/>
      <c r="T1280" s="55" t="s">
        <v>1995</v>
      </c>
      <c r="U1280" s="73" t="s">
        <v>351</v>
      </c>
      <c r="V1280" s="74">
        <v>44537</v>
      </c>
      <c r="W1280" s="74">
        <v>44586</v>
      </c>
      <c r="X1280" s="55">
        <v>10186846</v>
      </c>
      <c r="Y1280" s="74" t="s">
        <v>132</v>
      </c>
      <c r="Z1280" s="74"/>
      <c r="AB1280" s="55" t="s">
        <v>132</v>
      </c>
      <c r="AC1280" s="55" t="s">
        <v>132</v>
      </c>
    </row>
    <row r="1281" spans="1:29" ht="13" x14ac:dyDescent="0.15">
      <c r="A1281" s="72" t="str">
        <f t="shared" si="19"/>
        <v>Ofsted Social Care Provider Webpage</v>
      </c>
      <c r="B1281" s="55">
        <v>2612070</v>
      </c>
      <c r="D1281" s="55" t="s">
        <v>373</v>
      </c>
      <c r="E1281" s="74">
        <v>44185</v>
      </c>
      <c r="F1281" s="55" t="s">
        <v>344</v>
      </c>
      <c r="G1281" s="55" t="s">
        <v>360</v>
      </c>
      <c r="H1281" s="55" t="s">
        <v>360</v>
      </c>
      <c r="I1281" s="55" t="s">
        <v>360</v>
      </c>
      <c r="J1281" s="55" t="s">
        <v>360</v>
      </c>
      <c r="K1281" s="55" t="s">
        <v>360</v>
      </c>
      <c r="L1281" s="55" t="s">
        <v>360</v>
      </c>
      <c r="M1281" s="55" t="s">
        <v>378</v>
      </c>
      <c r="N1281" s="55" t="s">
        <v>134</v>
      </c>
      <c r="O1281" s="55" t="s">
        <v>158</v>
      </c>
      <c r="P1281" s="55" t="s">
        <v>912</v>
      </c>
      <c r="Q1281" s="55" t="s">
        <v>350</v>
      </c>
      <c r="R1281" s="55">
        <v>2</v>
      </c>
      <c r="S1281" s="74"/>
      <c r="T1281" s="55" t="s">
        <v>711</v>
      </c>
      <c r="U1281" s="73" t="s">
        <v>351</v>
      </c>
      <c r="V1281" s="74">
        <v>44495</v>
      </c>
      <c r="W1281" s="74">
        <v>44524</v>
      </c>
      <c r="X1281" s="55">
        <v>10187583</v>
      </c>
      <c r="Y1281" s="74" t="s">
        <v>140</v>
      </c>
      <c r="Z1281" s="74"/>
      <c r="AB1281" s="55" t="s">
        <v>140</v>
      </c>
      <c r="AC1281" s="55" t="s">
        <v>140</v>
      </c>
    </row>
    <row r="1282" spans="1:29" ht="13" x14ac:dyDescent="0.15">
      <c r="A1282" s="72" t="str">
        <f t="shared" si="19"/>
        <v>Ofsted Social Care Provider Webpage</v>
      </c>
      <c r="B1282" s="55">
        <v>2612115</v>
      </c>
      <c r="D1282" s="55" t="s">
        <v>373</v>
      </c>
      <c r="E1282" s="74">
        <v>44447</v>
      </c>
      <c r="F1282" s="55" t="s">
        <v>344</v>
      </c>
      <c r="G1282" s="55" t="s">
        <v>360</v>
      </c>
      <c r="H1282" s="55" t="s">
        <v>360</v>
      </c>
      <c r="I1282" s="55" t="s">
        <v>360</v>
      </c>
      <c r="J1282" s="55" t="s">
        <v>360</v>
      </c>
      <c r="K1282" s="55" t="s">
        <v>360</v>
      </c>
      <c r="L1282" s="55" t="s">
        <v>360</v>
      </c>
      <c r="M1282" s="55" t="s">
        <v>142</v>
      </c>
      <c r="N1282" s="55" t="s">
        <v>142</v>
      </c>
      <c r="O1282" s="55" t="s">
        <v>262</v>
      </c>
      <c r="P1282" s="55" t="s">
        <v>1859</v>
      </c>
      <c r="Q1282" s="55" t="s">
        <v>350</v>
      </c>
      <c r="R1282" s="55">
        <v>4</v>
      </c>
      <c r="S1282" s="74"/>
      <c r="T1282" s="55" t="s">
        <v>489</v>
      </c>
      <c r="U1282" s="73" t="s">
        <v>351</v>
      </c>
      <c r="V1282" s="74">
        <v>44586</v>
      </c>
      <c r="W1282" s="74">
        <v>44623</v>
      </c>
      <c r="X1282" s="55">
        <v>10207446</v>
      </c>
      <c r="Y1282" s="74" t="s">
        <v>132</v>
      </c>
      <c r="Z1282" s="74"/>
      <c r="AB1282" s="55" t="s">
        <v>132</v>
      </c>
      <c r="AC1282" s="55" t="s">
        <v>132</v>
      </c>
    </row>
    <row r="1283" spans="1:29" ht="13" x14ac:dyDescent="0.15">
      <c r="A1283" s="72" t="str">
        <f t="shared" si="19"/>
        <v>Ofsted Social Care Provider Webpage</v>
      </c>
      <c r="B1283" s="55">
        <v>2612347</v>
      </c>
      <c r="D1283" s="55" t="s">
        <v>373</v>
      </c>
      <c r="E1283" s="74">
        <v>44333</v>
      </c>
      <c r="F1283" s="55" t="s">
        <v>344</v>
      </c>
      <c r="G1283" s="55" t="s">
        <v>360</v>
      </c>
      <c r="H1283" s="55" t="s">
        <v>360</v>
      </c>
      <c r="I1283" s="55" t="s">
        <v>360</v>
      </c>
      <c r="J1283" s="55" t="s">
        <v>360</v>
      </c>
      <c r="K1283" s="55" t="s">
        <v>360</v>
      </c>
      <c r="L1283" s="55" t="s">
        <v>360</v>
      </c>
      <c r="M1283" s="55" t="s">
        <v>172</v>
      </c>
      <c r="N1283" s="55" t="s">
        <v>172</v>
      </c>
      <c r="O1283" s="55" t="s">
        <v>235</v>
      </c>
      <c r="P1283" s="55" t="s">
        <v>494</v>
      </c>
      <c r="Q1283" s="55" t="s">
        <v>350</v>
      </c>
      <c r="R1283" s="55">
        <v>2</v>
      </c>
      <c r="S1283" s="74"/>
      <c r="T1283" s="55" t="s">
        <v>1433</v>
      </c>
      <c r="U1283" s="73" t="s">
        <v>351</v>
      </c>
      <c r="V1283" s="74">
        <v>44475</v>
      </c>
      <c r="W1283" s="74">
        <v>44523</v>
      </c>
      <c r="X1283" s="55">
        <v>10199094</v>
      </c>
      <c r="Y1283" s="74" t="s">
        <v>132</v>
      </c>
      <c r="Z1283" s="74"/>
      <c r="AB1283" s="55" t="s">
        <v>132</v>
      </c>
      <c r="AC1283" s="55" t="s">
        <v>132</v>
      </c>
    </row>
    <row r="1284" spans="1:29" ht="13" x14ac:dyDescent="0.15">
      <c r="A1284" s="72" t="str">
        <f t="shared" si="19"/>
        <v>Ofsted Social Care Provider Webpage</v>
      </c>
      <c r="B1284" s="55">
        <v>2612735</v>
      </c>
      <c r="D1284" s="55" t="s">
        <v>373</v>
      </c>
      <c r="E1284" s="74">
        <v>44185</v>
      </c>
      <c r="F1284" s="55" t="s">
        <v>344</v>
      </c>
      <c r="G1284" s="55" t="s">
        <v>360</v>
      </c>
      <c r="H1284" s="55" t="s">
        <v>360</v>
      </c>
      <c r="I1284" s="55" t="s">
        <v>360</v>
      </c>
      <c r="J1284" s="55" t="s">
        <v>360</v>
      </c>
      <c r="K1284" s="55" t="s">
        <v>360</v>
      </c>
      <c r="L1284" s="55" t="s">
        <v>360</v>
      </c>
      <c r="M1284" s="55" t="s">
        <v>378</v>
      </c>
      <c r="N1284" s="55" t="s">
        <v>134</v>
      </c>
      <c r="O1284" s="55" t="s">
        <v>158</v>
      </c>
      <c r="P1284" s="55" t="s">
        <v>912</v>
      </c>
      <c r="Q1284" s="55" t="s">
        <v>350</v>
      </c>
      <c r="R1284" s="55">
        <v>2</v>
      </c>
      <c r="S1284" s="74"/>
      <c r="T1284" s="55" t="s">
        <v>711</v>
      </c>
      <c r="U1284" s="73" t="s">
        <v>351</v>
      </c>
      <c r="V1284" s="74">
        <v>44607</v>
      </c>
      <c r="W1284" s="74">
        <v>44651</v>
      </c>
      <c r="X1284" s="55">
        <v>10185315</v>
      </c>
      <c r="Y1284" s="74" t="s">
        <v>140</v>
      </c>
      <c r="Z1284" s="74"/>
      <c r="AB1284" s="55" t="s">
        <v>140</v>
      </c>
      <c r="AC1284" s="55" t="s">
        <v>140</v>
      </c>
    </row>
    <row r="1285" spans="1:29" ht="13" x14ac:dyDescent="0.15">
      <c r="A1285" s="72" t="str">
        <f t="shared" si="19"/>
        <v>Ofsted Social Care Provider Webpage</v>
      </c>
      <c r="B1285" s="55">
        <v>2612810</v>
      </c>
      <c r="D1285" s="55" t="s">
        <v>373</v>
      </c>
      <c r="E1285" s="74">
        <v>44215</v>
      </c>
      <c r="F1285" s="55" t="s">
        <v>344</v>
      </c>
      <c r="G1285" s="55" t="s">
        <v>360</v>
      </c>
      <c r="H1285" s="55" t="s">
        <v>360</v>
      </c>
      <c r="I1285" s="55" t="s">
        <v>360</v>
      </c>
      <c r="J1285" s="55" t="s">
        <v>360</v>
      </c>
      <c r="K1285" s="55" t="s">
        <v>360</v>
      </c>
      <c r="L1285" s="55" t="s">
        <v>360</v>
      </c>
      <c r="M1285" s="55" t="s">
        <v>144</v>
      </c>
      <c r="N1285" s="55" t="s">
        <v>144</v>
      </c>
      <c r="O1285" s="55" t="s">
        <v>271</v>
      </c>
      <c r="P1285" s="55" t="s">
        <v>1120</v>
      </c>
      <c r="Q1285" s="55" t="s">
        <v>350</v>
      </c>
      <c r="R1285" s="55">
        <v>3</v>
      </c>
      <c r="S1285" s="74"/>
      <c r="T1285" s="55" t="s">
        <v>1563</v>
      </c>
      <c r="U1285" s="73" t="s">
        <v>351</v>
      </c>
      <c r="V1285" s="74">
        <v>44629</v>
      </c>
      <c r="W1285" s="74">
        <v>44672</v>
      </c>
      <c r="X1285" s="55">
        <v>10188260</v>
      </c>
      <c r="Y1285" s="74" t="s">
        <v>132</v>
      </c>
      <c r="Z1285" s="74"/>
      <c r="AB1285" s="55" t="s">
        <v>132</v>
      </c>
      <c r="AC1285" s="55" t="s">
        <v>132</v>
      </c>
    </row>
    <row r="1286" spans="1:29" ht="13" x14ac:dyDescent="0.15">
      <c r="A1286" s="72" t="str">
        <f t="shared" ref="A1286:A1349" si="20">HYPERLINK(_xlfn.CONCAT("http://reports.ofsted.gov.uk/inspection-reports/find-inspection-report/provider/CARE/",B1286),"Ofsted Social Care Provider Webpage")</f>
        <v>Ofsted Social Care Provider Webpage</v>
      </c>
      <c r="B1286" s="55">
        <v>2613032</v>
      </c>
      <c r="D1286" s="55" t="s">
        <v>373</v>
      </c>
      <c r="E1286" s="74">
        <v>44174</v>
      </c>
      <c r="F1286" s="55" t="s">
        <v>344</v>
      </c>
      <c r="G1286" s="55" t="s">
        <v>360</v>
      </c>
      <c r="H1286" s="55" t="s">
        <v>360</v>
      </c>
      <c r="I1286" s="55" t="s">
        <v>360</v>
      </c>
      <c r="J1286" s="55" t="s">
        <v>360</v>
      </c>
      <c r="K1286" s="55" t="s">
        <v>360</v>
      </c>
      <c r="L1286" s="55" t="s">
        <v>360</v>
      </c>
      <c r="M1286" s="55" t="s">
        <v>378</v>
      </c>
      <c r="N1286" s="55" t="s">
        <v>170</v>
      </c>
      <c r="O1286" s="55" t="s">
        <v>193</v>
      </c>
      <c r="P1286" s="55" t="s">
        <v>193</v>
      </c>
      <c r="Q1286" s="55" t="s">
        <v>350</v>
      </c>
      <c r="R1286" s="55">
        <v>5</v>
      </c>
      <c r="S1286" s="74"/>
      <c r="T1286" s="55" t="s">
        <v>522</v>
      </c>
      <c r="U1286" s="73" t="s">
        <v>351</v>
      </c>
      <c r="V1286" s="74">
        <v>44321</v>
      </c>
      <c r="W1286" s="74">
        <v>44372</v>
      </c>
      <c r="X1286" s="55">
        <v>10185165</v>
      </c>
      <c r="Y1286" s="74" t="s">
        <v>130</v>
      </c>
      <c r="Z1286" s="74"/>
      <c r="AB1286" s="55" t="s">
        <v>130</v>
      </c>
      <c r="AC1286" s="55" t="s">
        <v>130</v>
      </c>
    </row>
    <row r="1287" spans="1:29" ht="13" x14ac:dyDescent="0.15">
      <c r="A1287" s="72" t="str">
        <f t="shared" si="20"/>
        <v>Ofsted Social Care Provider Webpage</v>
      </c>
      <c r="B1287" s="55">
        <v>2613157</v>
      </c>
      <c r="D1287" s="55" t="s">
        <v>373</v>
      </c>
      <c r="E1287" s="74">
        <v>44127</v>
      </c>
      <c r="F1287" s="55" t="s">
        <v>344</v>
      </c>
      <c r="G1287" s="55" t="s">
        <v>360</v>
      </c>
      <c r="H1287" s="55" t="s">
        <v>360</v>
      </c>
      <c r="I1287" s="55" t="s">
        <v>360</v>
      </c>
      <c r="J1287" s="55" t="s">
        <v>360</v>
      </c>
      <c r="K1287" s="55" t="s">
        <v>360</v>
      </c>
      <c r="L1287" s="55" t="s">
        <v>360</v>
      </c>
      <c r="M1287" s="55" t="s">
        <v>378</v>
      </c>
      <c r="N1287" s="55" t="s">
        <v>170</v>
      </c>
      <c r="O1287" s="55" t="s">
        <v>267</v>
      </c>
      <c r="P1287" s="55" t="s">
        <v>975</v>
      </c>
      <c r="Q1287" s="55" t="s">
        <v>362</v>
      </c>
      <c r="R1287" s="55">
        <v>3</v>
      </c>
      <c r="S1287" s="74"/>
      <c r="T1287" s="55" t="s">
        <v>973</v>
      </c>
      <c r="U1287" s="73" t="s">
        <v>351</v>
      </c>
      <c r="V1287" s="74">
        <v>44453</v>
      </c>
      <c r="W1287" s="74">
        <v>44490</v>
      </c>
      <c r="X1287" s="55">
        <v>10186523</v>
      </c>
      <c r="Y1287" s="74" t="s">
        <v>132</v>
      </c>
      <c r="Z1287" s="74"/>
      <c r="AB1287" s="55" t="s">
        <v>132</v>
      </c>
      <c r="AC1287" s="55" t="s">
        <v>130</v>
      </c>
    </row>
    <row r="1288" spans="1:29" ht="13" x14ac:dyDescent="0.15">
      <c r="A1288" s="72" t="str">
        <f t="shared" si="20"/>
        <v>Ofsted Social Care Provider Webpage</v>
      </c>
      <c r="B1288" s="55">
        <v>2613327</v>
      </c>
      <c r="D1288" s="55" t="s">
        <v>373</v>
      </c>
      <c r="E1288" s="74">
        <v>44299</v>
      </c>
      <c r="F1288" s="55" t="s">
        <v>344</v>
      </c>
      <c r="G1288" s="55" t="s">
        <v>360</v>
      </c>
      <c r="H1288" s="55" t="s">
        <v>360</v>
      </c>
      <c r="I1288" s="55" t="s">
        <v>360</v>
      </c>
      <c r="J1288" s="55" t="s">
        <v>360</v>
      </c>
      <c r="K1288" s="55" t="s">
        <v>360</v>
      </c>
      <c r="L1288" s="55" t="s">
        <v>360</v>
      </c>
      <c r="M1288" s="55" t="s">
        <v>142</v>
      </c>
      <c r="N1288" s="55" t="s">
        <v>142</v>
      </c>
      <c r="O1288" s="55" t="s">
        <v>141</v>
      </c>
      <c r="P1288" s="55" t="s">
        <v>864</v>
      </c>
      <c r="Q1288" s="55" t="s">
        <v>350</v>
      </c>
      <c r="R1288" s="55">
        <v>2</v>
      </c>
      <c r="S1288" s="74"/>
      <c r="T1288" s="55" t="s">
        <v>1996</v>
      </c>
      <c r="U1288" s="73" t="s">
        <v>351</v>
      </c>
      <c r="V1288" s="74">
        <v>44467</v>
      </c>
      <c r="W1288" s="74">
        <v>44511</v>
      </c>
      <c r="X1288" s="55">
        <v>10198619</v>
      </c>
      <c r="Y1288" s="74" t="s">
        <v>132</v>
      </c>
      <c r="Z1288" s="74"/>
      <c r="AB1288" s="55" t="s">
        <v>130</v>
      </c>
      <c r="AC1288" s="55" t="s">
        <v>132</v>
      </c>
    </row>
    <row r="1289" spans="1:29" ht="13" x14ac:dyDescent="0.15">
      <c r="A1289" s="72" t="str">
        <f t="shared" si="20"/>
        <v>Ofsted Social Care Provider Webpage</v>
      </c>
      <c r="B1289" s="55">
        <v>2613341</v>
      </c>
      <c r="D1289" s="55" t="s">
        <v>373</v>
      </c>
      <c r="E1289" s="74">
        <v>44174</v>
      </c>
      <c r="F1289" s="55" t="s">
        <v>344</v>
      </c>
      <c r="G1289" s="55" t="s">
        <v>360</v>
      </c>
      <c r="H1289" s="55" t="s">
        <v>360</v>
      </c>
      <c r="I1289" s="55" t="s">
        <v>360</v>
      </c>
      <c r="J1289" s="55" t="s">
        <v>360</v>
      </c>
      <c r="K1289" s="55" t="s">
        <v>360</v>
      </c>
      <c r="L1289" s="55" t="s">
        <v>360</v>
      </c>
      <c r="M1289" s="55" t="s">
        <v>144</v>
      </c>
      <c r="N1289" s="55" t="s">
        <v>144</v>
      </c>
      <c r="O1289" s="55" t="s">
        <v>163</v>
      </c>
      <c r="P1289" s="55" t="s">
        <v>1997</v>
      </c>
      <c r="Q1289" s="55" t="s">
        <v>350</v>
      </c>
      <c r="R1289" s="55">
        <v>9</v>
      </c>
      <c r="S1289" s="74"/>
      <c r="T1289" s="55" t="s">
        <v>1998</v>
      </c>
      <c r="U1289" s="73" t="s">
        <v>351</v>
      </c>
      <c r="V1289" s="74">
        <v>44503</v>
      </c>
      <c r="W1289" s="74">
        <v>44531</v>
      </c>
      <c r="X1289" s="55">
        <v>10203191</v>
      </c>
      <c r="Y1289" s="74" t="s">
        <v>130</v>
      </c>
      <c r="Z1289" s="74"/>
      <c r="AB1289" s="55" t="s">
        <v>130</v>
      </c>
      <c r="AC1289" s="55" t="s">
        <v>130</v>
      </c>
    </row>
    <row r="1290" spans="1:29" ht="13" x14ac:dyDescent="0.15">
      <c r="A1290" s="72" t="str">
        <f t="shared" si="20"/>
        <v>Ofsted Social Care Provider Webpage</v>
      </c>
      <c r="B1290" s="55">
        <v>2613483</v>
      </c>
      <c r="D1290" s="55" t="s">
        <v>373</v>
      </c>
      <c r="E1290" s="74">
        <v>44266</v>
      </c>
      <c r="F1290" s="55" t="s">
        <v>344</v>
      </c>
      <c r="G1290" s="55" t="s">
        <v>360</v>
      </c>
      <c r="H1290" s="55" t="s">
        <v>360</v>
      </c>
      <c r="I1290" s="55" t="s">
        <v>360</v>
      </c>
      <c r="J1290" s="55" t="s">
        <v>360</v>
      </c>
      <c r="K1290" s="55" t="s">
        <v>360</v>
      </c>
      <c r="L1290" s="55" t="s">
        <v>360</v>
      </c>
      <c r="M1290" s="55" t="s">
        <v>172</v>
      </c>
      <c r="N1290" s="55" t="s">
        <v>172</v>
      </c>
      <c r="O1290" s="55" t="s">
        <v>212</v>
      </c>
      <c r="P1290" s="55" t="s">
        <v>592</v>
      </c>
      <c r="Q1290" s="55" t="s">
        <v>350</v>
      </c>
      <c r="R1290" s="55">
        <v>6</v>
      </c>
      <c r="S1290" s="74"/>
      <c r="T1290" s="55" t="s">
        <v>574</v>
      </c>
      <c r="U1290" s="73"/>
      <c r="W1290" s="74"/>
      <c r="Y1290" s="74"/>
      <c r="Z1290" s="74"/>
    </row>
    <row r="1291" spans="1:29" ht="13" x14ac:dyDescent="0.15">
      <c r="A1291" s="72" t="str">
        <f t="shared" si="20"/>
        <v>Ofsted Social Care Provider Webpage</v>
      </c>
      <c r="B1291" s="55">
        <v>2613488</v>
      </c>
      <c r="D1291" s="55" t="s">
        <v>373</v>
      </c>
      <c r="E1291" s="74">
        <v>44151</v>
      </c>
      <c r="F1291" s="55" t="s">
        <v>344</v>
      </c>
      <c r="G1291" s="55" t="s">
        <v>360</v>
      </c>
      <c r="H1291" s="55" t="s">
        <v>360</v>
      </c>
      <c r="I1291" s="55" t="s">
        <v>360</v>
      </c>
      <c r="J1291" s="55" t="s">
        <v>360</v>
      </c>
      <c r="K1291" s="55" t="s">
        <v>360</v>
      </c>
      <c r="L1291" s="55" t="s">
        <v>360</v>
      </c>
      <c r="M1291" s="55" t="s">
        <v>138</v>
      </c>
      <c r="N1291" s="55" t="s">
        <v>138</v>
      </c>
      <c r="O1291" s="55" t="s">
        <v>183</v>
      </c>
      <c r="P1291" s="55" t="s">
        <v>730</v>
      </c>
      <c r="Q1291" s="55" t="s">
        <v>350</v>
      </c>
      <c r="R1291" s="55">
        <v>3</v>
      </c>
      <c r="S1291" s="74" t="s">
        <v>332</v>
      </c>
      <c r="T1291" s="55" t="s">
        <v>935</v>
      </c>
      <c r="U1291" s="73" t="s">
        <v>351</v>
      </c>
      <c r="V1291" s="74">
        <v>44417</v>
      </c>
      <c r="W1291" s="74">
        <v>44447</v>
      </c>
      <c r="X1291" s="55">
        <v>10185635</v>
      </c>
      <c r="Y1291" s="74" t="s">
        <v>130</v>
      </c>
      <c r="Z1291" s="74"/>
      <c r="AB1291" s="55" t="s">
        <v>130</v>
      </c>
      <c r="AC1291" s="55" t="s">
        <v>130</v>
      </c>
    </row>
    <row r="1292" spans="1:29" ht="13" x14ac:dyDescent="0.15">
      <c r="A1292" s="72" t="str">
        <f t="shared" si="20"/>
        <v>Ofsted Social Care Provider Webpage</v>
      </c>
      <c r="B1292" s="55">
        <v>2613627</v>
      </c>
      <c r="D1292" s="55" t="s">
        <v>373</v>
      </c>
      <c r="E1292" s="74">
        <v>44188</v>
      </c>
      <c r="F1292" s="55" t="s">
        <v>344</v>
      </c>
      <c r="G1292" s="55" t="s">
        <v>360</v>
      </c>
      <c r="H1292" s="55" t="s">
        <v>360</v>
      </c>
      <c r="I1292" s="55" t="s">
        <v>360</v>
      </c>
      <c r="J1292" s="55" t="s">
        <v>360</v>
      </c>
      <c r="K1292" s="55" t="s">
        <v>360</v>
      </c>
      <c r="L1292" s="55" t="s">
        <v>360</v>
      </c>
      <c r="M1292" s="55" t="s">
        <v>378</v>
      </c>
      <c r="N1292" s="55" t="s">
        <v>134</v>
      </c>
      <c r="O1292" s="55" t="s">
        <v>158</v>
      </c>
      <c r="P1292" s="55" t="s">
        <v>480</v>
      </c>
      <c r="Q1292" s="55" t="s">
        <v>350</v>
      </c>
      <c r="R1292" s="55">
        <v>1</v>
      </c>
      <c r="S1292" s="74"/>
      <c r="T1292" s="55" t="s">
        <v>493</v>
      </c>
      <c r="U1292" s="73" t="s">
        <v>351</v>
      </c>
      <c r="V1292" s="74">
        <v>44586</v>
      </c>
      <c r="W1292" s="74">
        <v>44627</v>
      </c>
      <c r="X1292" s="55">
        <v>10185307</v>
      </c>
      <c r="Y1292" s="74" t="s">
        <v>132</v>
      </c>
      <c r="Z1292" s="74"/>
      <c r="AB1292" s="55" t="s">
        <v>132</v>
      </c>
      <c r="AC1292" s="55" t="s">
        <v>132</v>
      </c>
    </row>
    <row r="1293" spans="1:29" ht="13" x14ac:dyDescent="0.15">
      <c r="A1293" s="72" t="str">
        <f t="shared" si="20"/>
        <v>Ofsted Social Care Provider Webpage</v>
      </c>
      <c r="B1293" s="55">
        <v>2613649</v>
      </c>
      <c r="D1293" s="55" t="s">
        <v>373</v>
      </c>
      <c r="E1293" s="74">
        <v>44298</v>
      </c>
      <c r="F1293" s="55" t="s">
        <v>344</v>
      </c>
      <c r="G1293" s="55" t="s">
        <v>360</v>
      </c>
      <c r="H1293" s="55" t="s">
        <v>360</v>
      </c>
      <c r="I1293" s="55" t="s">
        <v>360</v>
      </c>
      <c r="J1293" s="55" t="s">
        <v>360</v>
      </c>
      <c r="K1293" s="55" t="s">
        <v>360</v>
      </c>
      <c r="L1293" s="55" t="s">
        <v>360</v>
      </c>
      <c r="M1293" s="55" t="s">
        <v>138</v>
      </c>
      <c r="N1293" s="55" t="s">
        <v>138</v>
      </c>
      <c r="O1293" s="55" t="s">
        <v>183</v>
      </c>
      <c r="P1293" s="55" t="s">
        <v>508</v>
      </c>
      <c r="Q1293" s="55" t="s">
        <v>350</v>
      </c>
      <c r="R1293" s="55">
        <v>4</v>
      </c>
      <c r="S1293" s="74"/>
      <c r="T1293" s="55" t="s">
        <v>644</v>
      </c>
      <c r="U1293" s="73" t="s">
        <v>351</v>
      </c>
      <c r="V1293" s="74">
        <v>44574</v>
      </c>
      <c r="W1293" s="74">
        <v>44601</v>
      </c>
      <c r="X1293" s="55">
        <v>10197518</v>
      </c>
      <c r="Y1293" s="74" t="s">
        <v>132</v>
      </c>
      <c r="Z1293" s="74"/>
      <c r="AB1293" s="55" t="s">
        <v>132</v>
      </c>
      <c r="AC1293" s="55" t="s">
        <v>132</v>
      </c>
    </row>
    <row r="1294" spans="1:29" ht="13" x14ac:dyDescent="0.15">
      <c r="A1294" s="72" t="str">
        <f t="shared" si="20"/>
        <v>Ofsted Social Care Provider Webpage</v>
      </c>
      <c r="B1294" s="55">
        <v>2613661</v>
      </c>
      <c r="D1294" s="55" t="s">
        <v>373</v>
      </c>
      <c r="E1294" s="74">
        <v>44133</v>
      </c>
      <c r="F1294" s="55" t="s">
        <v>344</v>
      </c>
      <c r="G1294" s="55" t="s">
        <v>360</v>
      </c>
      <c r="H1294" s="55" t="s">
        <v>360</v>
      </c>
      <c r="I1294" s="55" t="s">
        <v>360</v>
      </c>
      <c r="J1294" s="55" t="s">
        <v>360</v>
      </c>
      <c r="K1294" s="55" t="s">
        <v>360</v>
      </c>
      <c r="L1294" s="55" t="s">
        <v>360</v>
      </c>
      <c r="M1294" s="55" t="s">
        <v>378</v>
      </c>
      <c r="N1294" s="55" t="s">
        <v>170</v>
      </c>
      <c r="O1294" s="55" t="s">
        <v>233</v>
      </c>
      <c r="P1294" s="55" t="s">
        <v>1999</v>
      </c>
      <c r="Q1294" s="55" t="s">
        <v>350</v>
      </c>
      <c r="R1294" s="55">
        <v>2</v>
      </c>
      <c r="S1294" s="74"/>
      <c r="T1294" s="55" t="s">
        <v>481</v>
      </c>
      <c r="U1294" s="73" t="s">
        <v>351</v>
      </c>
      <c r="V1294" s="74">
        <v>44487</v>
      </c>
      <c r="W1294" s="74">
        <v>44522</v>
      </c>
      <c r="X1294" s="55">
        <v>10187393</v>
      </c>
      <c r="Y1294" s="74" t="s">
        <v>132</v>
      </c>
      <c r="Z1294" s="74"/>
      <c r="AB1294" s="55" t="s">
        <v>132</v>
      </c>
      <c r="AC1294" s="55" t="s">
        <v>130</v>
      </c>
    </row>
    <row r="1295" spans="1:29" ht="13" x14ac:dyDescent="0.15">
      <c r="A1295" s="72" t="str">
        <f t="shared" si="20"/>
        <v>Ofsted Social Care Provider Webpage</v>
      </c>
      <c r="B1295" s="55">
        <v>2613677</v>
      </c>
      <c r="D1295" s="55" t="s">
        <v>373</v>
      </c>
      <c r="E1295" s="74">
        <v>44162</v>
      </c>
      <c r="F1295" s="55" t="s">
        <v>344</v>
      </c>
      <c r="G1295" s="55" t="s">
        <v>360</v>
      </c>
      <c r="H1295" s="55" t="s">
        <v>360</v>
      </c>
      <c r="I1295" s="55" t="s">
        <v>360</v>
      </c>
      <c r="J1295" s="55" t="s">
        <v>360</v>
      </c>
      <c r="K1295" s="55" t="s">
        <v>360</v>
      </c>
      <c r="L1295" s="55" t="s">
        <v>360</v>
      </c>
      <c r="M1295" s="55" t="s">
        <v>144</v>
      </c>
      <c r="N1295" s="55" t="s">
        <v>144</v>
      </c>
      <c r="O1295" s="55" t="s">
        <v>209</v>
      </c>
      <c r="P1295" s="55" t="s">
        <v>650</v>
      </c>
      <c r="Q1295" s="55" t="s">
        <v>350</v>
      </c>
      <c r="R1295" s="55">
        <v>1</v>
      </c>
      <c r="S1295" s="74"/>
      <c r="T1295" s="55" t="s">
        <v>493</v>
      </c>
      <c r="U1295" s="73" t="s">
        <v>351</v>
      </c>
      <c r="V1295" s="74">
        <v>44608</v>
      </c>
      <c r="W1295" s="74">
        <v>44662</v>
      </c>
      <c r="X1295" s="55">
        <v>10185942</v>
      </c>
      <c r="Y1295" s="74" t="s">
        <v>132</v>
      </c>
      <c r="Z1295" s="74"/>
      <c r="AB1295" s="55" t="s">
        <v>132</v>
      </c>
      <c r="AC1295" s="55" t="s">
        <v>132</v>
      </c>
    </row>
    <row r="1296" spans="1:29" ht="13" x14ac:dyDescent="0.15">
      <c r="A1296" s="72" t="str">
        <f t="shared" si="20"/>
        <v>Ofsted Social Care Provider Webpage</v>
      </c>
      <c r="B1296" s="55">
        <v>2613806</v>
      </c>
      <c r="D1296" s="55" t="s">
        <v>373</v>
      </c>
      <c r="E1296" s="74">
        <v>44180</v>
      </c>
      <c r="F1296" s="55" t="s">
        <v>344</v>
      </c>
      <c r="G1296" s="55" t="s">
        <v>360</v>
      </c>
      <c r="H1296" s="55" t="s">
        <v>360</v>
      </c>
      <c r="I1296" s="55" t="s">
        <v>360</v>
      </c>
      <c r="J1296" s="55" t="s">
        <v>360</v>
      </c>
      <c r="K1296" s="55" t="s">
        <v>360</v>
      </c>
      <c r="L1296" s="55" t="s">
        <v>360</v>
      </c>
      <c r="M1296" s="55" t="s">
        <v>129</v>
      </c>
      <c r="N1296" s="55" t="s">
        <v>129</v>
      </c>
      <c r="O1296" s="55" t="s">
        <v>242</v>
      </c>
      <c r="P1296" s="55" t="s">
        <v>1519</v>
      </c>
      <c r="Q1296" s="55" t="s">
        <v>350</v>
      </c>
      <c r="R1296" s="55">
        <v>5</v>
      </c>
      <c r="S1296" s="74"/>
      <c r="T1296" s="55" t="s">
        <v>2000</v>
      </c>
      <c r="U1296" s="73" t="s">
        <v>351</v>
      </c>
      <c r="V1296" s="74">
        <v>44572</v>
      </c>
      <c r="W1296" s="74">
        <v>44606</v>
      </c>
      <c r="X1296" s="55">
        <v>10185086</v>
      </c>
      <c r="Y1296" s="74" t="s">
        <v>132</v>
      </c>
      <c r="Z1296" s="74"/>
      <c r="AB1296" s="55" t="s">
        <v>130</v>
      </c>
      <c r="AC1296" s="55" t="s">
        <v>132</v>
      </c>
    </row>
    <row r="1297" spans="1:29" ht="13" x14ac:dyDescent="0.15">
      <c r="A1297" s="72" t="str">
        <f t="shared" si="20"/>
        <v>Ofsted Social Care Provider Webpage</v>
      </c>
      <c r="B1297" s="55">
        <v>2613829</v>
      </c>
      <c r="D1297" s="55" t="s">
        <v>373</v>
      </c>
      <c r="E1297" s="74">
        <v>44242</v>
      </c>
      <c r="F1297" s="55" t="s">
        <v>344</v>
      </c>
      <c r="G1297" s="55" t="s">
        <v>360</v>
      </c>
      <c r="H1297" s="55" t="s">
        <v>360</v>
      </c>
      <c r="I1297" s="55" t="s">
        <v>360</v>
      </c>
      <c r="J1297" s="55" t="s">
        <v>360</v>
      </c>
      <c r="K1297" s="55" t="s">
        <v>360</v>
      </c>
      <c r="L1297" s="55" t="s">
        <v>360</v>
      </c>
      <c r="M1297" s="55" t="s">
        <v>172</v>
      </c>
      <c r="N1297" s="55" t="s">
        <v>172</v>
      </c>
      <c r="O1297" s="55" t="s">
        <v>235</v>
      </c>
      <c r="P1297" s="55" t="s">
        <v>628</v>
      </c>
      <c r="Q1297" s="55" t="s">
        <v>350</v>
      </c>
      <c r="R1297" s="55">
        <v>4</v>
      </c>
      <c r="S1297" s="74"/>
      <c r="T1297" s="55" t="s">
        <v>1433</v>
      </c>
      <c r="U1297" s="73" t="s">
        <v>351</v>
      </c>
      <c r="V1297" s="74">
        <v>44425</v>
      </c>
      <c r="W1297" s="74">
        <v>44454</v>
      </c>
      <c r="X1297" s="55">
        <v>10188276</v>
      </c>
      <c r="Y1297" s="74" t="s">
        <v>132</v>
      </c>
      <c r="Z1297" s="74"/>
      <c r="AB1297" s="55" t="s">
        <v>132</v>
      </c>
      <c r="AC1297" s="55" t="s">
        <v>132</v>
      </c>
    </row>
    <row r="1298" spans="1:29" ht="13" x14ac:dyDescent="0.15">
      <c r="A1298" s="72" t="str">
        <f t="shared" si="20"/>
        <v>Ofsted Social Care Provider Webpage</v>
      </c>
      <c r="B1298" s="55">
        <v>2613849</v>
      </c>
      <c r="D1298" s="55" t="s">
        <v>373</v>
      </c>
      <c r="E1298" s="74">
        <v>44238</v>
      </c>
      <c r="F1298" s="55" t="s">
        <v>344</v>
      </c>
      <c r="G1298" s="55" t="s">
        <v>360</v>
      </c>
      <c r="H1298" s="55" t="s">
        <v>360</v>
      </c>
      <c r="I1298" s="55" t="s">
        <v>360</v>
      </c>
      <c r="J1298" s="55" t="s">
        <v>360</v>
      </c>
      <c r="K1298" s="55" t="s">
        <v>360</v>
      </c>
      <c r="L1298" s="55" t="s">
        <v>360</v>
      </c>
      <c r="M1298" s="55" t="s">
        <v>150</v>
      </c>
      <c r="N1298" s="55" t="s">
        <v>150</v>
      </c>
      <c r="O1298" s="55" t="s">
        <v>285</v>
      </c>
      <c r="P1298" s="55" t="s">
        <v>2001</v>
      </c>
      <c r="Q1298" s="55" t="s">
        <v>350</v>
      </c>
      <c r="R1298" s="55">
        <v>3</v>
      </c>
      <c r="S1298" s="74"/>
      <c r="T1298" s="55" t="s">
        <v>574</v>
      </c>
      <c r="U1298" s="73" t="s">
        <v>351</v>
      </c>
      <c r="V1298" s="74">
        <v>44341</v>
      </c>
      <c r="W1298" s="74">
        <v>44421</v>
      </c>
      <c r="X1298" s="55">
        <v>10188274</v>
      </c>
      <c r="Y1298" s="74" t="s">
        <v>132</v>
      </c>
      <c r="Z1298" s="74"/>
      <c r="AB1298" s="55" t="s">
        <v>132</v>
      </c>
      <c r="AC1298" s="55" t="s">
        <v>140</v>
      </c>
    </row>
    <row r="1299" spans="1:29" ht="13" x14ac:dyDescent="0.15">
      <c r="A1299" s="72" t="str">
        <f t="shared" si="20"/>
        <v>Ofsted Social Care Provider Webpage</v>
      </c>
      <c r="B1299" s="55">
        <v>2614070</v>
      </c>
      <c r="D1299" s="55" t="s">
        <v>389</v>
      </c>
      <c r="E1299" s="74">
        <v>44377</v>
      </c>
      <c r="F1299" s="55" t="s">
        <v>344</v>
      </c>
      <c r="G1299" s="55" t="s">
        <v>2002</v>
      </c>
      <c r="H1299" s="55" t="s">
        <v>2003</v>
      </c>
      <c r="I1299" s="55" t="s">
        <v>354</v>
      </c>
      <c r="J1299" s="55" t="s">
        <v>2004</v>
      </c>
      <c r="K1299" s="55" t="s">
        <v>183</v>
      </c>
      <c r="L1299" s="55" t="s">
        <v>2005</v>
      </c>
      <c r="M1299" s="55" t="s">
        <v>138</v>
      </c>
      <c r="N1299" s="55" t="s">
        <v>138</v>
      </c>
      <c r="O1299" s="55" t="s">
        <v>183</v>
      </c>
      <c r="P1299" s="55" t="s">
        <v>813</v>
      </c>
      <c r="Q1299" s="55" t="s">
        <v>350</v>
      </c>
      <c r="R1299" s="55"/>
      <c r="S1299" s="74"/>
      <c r="T1299" s="55" t="s">
        <v>2006</v>
      </c>
      <c r="U1299" s="73"/>
      <c r="W1299" s="74"/>
      <c r="Y1299" s="74"/>
      <c r="Z1299" s="74"/>
    </row>
    <row r="1300" spans="1:29" ht="13" x14ac:dyDescent="0.15">
      <c r="A1300" s="72" t="str">
        <f t="shared" si="20"/>
        <v>Ofsted Social Care Provider Webpage</v>
      </c>
      <c r="B1300" s="55">
        <v>2614095</v>
      </c>
      <c r="D1300" s="55" t="s">
        <v>373</v>
      </c>
      <c r="E1300" s="74">
        <v>44188</v>
      </c>
      <c r="F1300" s="55" t="s">
        <v>344</v>
      </c>
      <c r="G1300" s="55" t="s">
        <v>360</v>
      </c>
      <c r="H1300" s="55" t="s">
        <v>360</v>
      </c>
      <c r="I1300" s="55" t="s">
        <v>360</v>
      </c>
      <c r="J1300" s="55" t="s">
        <v>360</v>
      </c>
      <c r="K1300" s="55" t="s">
        <v>360</v>
      </c>
      <c r="L1300" s="55" t="s">
        <v>360</v>
      </c>
      <c r="M1300" s="55" t="s">
        <v>378</v>
      </c>
      <c r="N1300" s="55" t="s">
        <v>134</v>
      </c>
      <c r="O1300" s="55" t="s">
        <v>158</v>
      </c>
      <c r="P1300" s="55" t="s">
        <v>480</v>
      </c>
      <c r="Q1300" s="55" t="s">
        <v>350</v>
      </c>
      <c r="R1300" s="55">
        <v>1</v>
      </c>
      <c r="S1300" s="74"/>
      <c r="T1300" s="55" t="s">
        <v>493</v>
      </c>
      <c r="U1300" s="73" t="s">
        <v>351</v>
      </c>
      <c r="V1300" s="74">
        <v>44502</v>
      </c>
      <c r="W1300" s="74">
        <v>44540</v>
      </c>
      <c r="X1300" s="55">
        <v>10186073</v>
      </c>
      <c r="Y1300" s="74" t="s">
        <v>132</v>
      </c>
      <c r="Z1300" s="74"/>
      <c r="AB1300" s="55" t="s">
        <v>132</v>
      </c>
      <c r="AC1300" s="55" t="s">
        <v>132</v>
      </c>
    </row>
    <row r="1301" spans="1:29" ht="13" x14ac:dyDescent="0.15">
      <c r="A1301" s="72" t="str">
        <f t="shared" si="20"/>
        <v>Ofsted Social Care Provider Webpage</v>
      </c>
      <c r="B1301" s="55">
        <v>2614287</v>
      </c>
      <c r="D1301" s="55" t="s">
        <v>451</v>
      </c>
      <c r="E1301" s="74">
        <v>44475</v>
      </c>
      <c r="F1301" s="55" t="s">
        <v>344</v>
      </c>
      <c r="G1301" s="55" t="s">
        <v>2007</v>
      </c>
      <c r="H1301" s="55" t="s">
        <v>2008</v>
      </c>
      <c r="I1301" s="55" t="s">
        <v>354</v>
      </c>
      <c r="J1301" s="55" t="s">
        <v>278</v>
      </c>
      <c r="L1301" s="55" t="s">
        <v>2009</v>
      </c>
      <c r="M1301" s="55" t="s">
        <v>142</v>
      </c>
      <c r="N1301" s="55" t="s">
        <v>142</v>
      </c>
      <c r="O1301" s="55" t="s">
        <v>278</v>
      </c>
      <c r="P1301" s="55" t="s">
        <v>1126</v>
      </c>
      <c r="Q1301" s="55" t="s">
        <v>350</v>
      </c>
      <c r="R1301" s="55">
        <v>5</v>
      </c>
      <c r="S1301" s="74"/>
      <c r="T1301" s="55" t="s">
        <v>2010</v>
      </c>
      <c r="U1301" s="73" t="s">
        <v>351</v>
      </c>
      <c r="V1301" s="74">
        <v>44580</v>
      </c>
      <c r="W1301" s="74">
        <v>44624</v>
      </c>
      <c r="X1301" s="55">
        <v>10219546</v>
      </c>
      <c r="Y1301" s="74" t="s">
        <v>146</v>
      </c>
      <c r="Z1301" s="74"/>
      <c r="AB1301" s="55" t="s">
        <v>146</v>
      </c>
      <c r="AC1301" s="55" t="s">
        <v>146</v>
      </c>
    </row>
    <row r="1302" spans="1:29" ht="13" x14ac:dyDescent="0.15">
      <c r="A1302" s="72" t="str">
        <f t="shared" si="20"/>
        <v>Ofsted Social Care Provider Webpage</v>
      </c>
      <c r="B1302" s="55">
        <v>2614506</v>
      </c>
      <c r="D1302" s="55" t="s">
        <v>373</v>
      </c>
      <c r="E1302" s="74">
        <v>44253</v>
      </c>
      <c r="F1302" s="55" t="s">
        <v>344</v>
      </c>
      <c r="G1302" s="55" t="s">
        <v>360</v>
      </c>
      <c r="H1302" s="55" t="s">
        <v>360</v>
      </c>
      <c r="I1302" s="55" t="s">
        <v>360</v>
      </c>
      <c r="J1302" s="55" t="s">
        <v>360</v>
      </c>
      <c r="K1302" s="55" t="s">
        <v>360</v>
      </c>
      <c r="L1302" s="55" t="s">
        <v>360</v>
      </c>
      <c r="M1302" s="55" t="s">
        <v>144</v>
      </c>
      <c r="N1302" s="55" t="s">
        <v>144</v>
      </c>
      <c r="O1302" s="55" t="s">
        <v>209</v>
      </c>
      <c r="P1302" s="55" t="s">
        <v>777</v>
      </c>
      <c r="Q1302" s="55" t="s">
        <v>350</v>
      </c>
      <c r="R1302" s="55">
        <v>2</v>
      </c>
      <c r="S1302" s="74"/>
      <c r="T1302" s="55" t="s">
        <v>493</v>
      </c>
      <c r="U1302" s="73" t="s">
        <v>351</v>
      </c>
      <c r="V1302" s="74">
        <v>44579</v>
      </c>
      <c r="W1302" s="74">
        <v>44608</v>
      </c>
      <c r="X1302" s="55">
        <v>10188288</v>
      </c>
      <c r="Y1302" s="74" t="s">
        <v>132</v>
      </c>
      <c r="Z1302" s="74"/>
      <c r="AB1302" s="55" t="s">
        <v>130</v>
      </c>
      <c r="AC1302" s="55" t="s">
        <v>132</v>
      </c>
    </row>
    <row r="1303" spans="1:29" ht="13" x14ac:dyDescent="0.15">
      <c r="A1303" s="72" t="str">
        <f t="shared" si="20"/>
        <v>Ofsted Social Care Provider Webpage</v>
      </c>
      <c r="B1303" s="55">
        <v>2614508</v>
      </c>
      <c r="D1303" s="55" t="s">
        <v>373</v>
      </c>
      <c r="E1303" s="74">
        <v>44298</v>
      </c>
      <c r="F1303" s="55" t="s">
        <v>344</v>
      </c>
      <c r="G1303" s="55" t="s">
        <v>360</v>
      </c>
      <c r="H1303" s="55" t="s">
        <v>360</v>
      </c>
      <c r="I1303" s="55" t="s">
        <v>360</v>
      </c>
      <c r="J1303" s="55" t="s">
        <v>360</v>
      </c>
      <c r="K1303" s="55" t="s">
        <v>360</v>
      </c>
      <c r="L1303" s="55" t="s">
        <v>360</v>
      </c>
      <c r="M1303" s="55" t="s">
        <v>138</v>
      </c>
      <c r="N1303" s="55" t="s">
        <v>138</v>
      </c>
      <c r="O1303" s="55" t="s">
        <v>183</v>
      </c>
      <c r="P1303" s="55" t="s">
        <v>510</v>
      </c>
      <c r="Q1303" s="55" t="s">
        <v>350</v>
      </c>
      <c r="R1303" s="55">
        <v>2</v>
      </c>
      <c r="S1303" s="74"/>
      <c r="T1303" s="55" t="s">
        <v>2011</v>
      </c>
      <c r="U1303" s="73" t="s">
        <v>351</v>
      </c>
      <c r="V1303" s="74">
        <v>44474</v>
      </c>
      <c r="W1303" s="74">
        <v>44505</v>
      </c>
      <c r="X1303" s="55">
        <v>10201934</v>
      </c>
      <c r="Y1303" s="74" t="s">
        <v>132</v>
      </c>
      <c r="Z1303" s="74"/>
      <c r="AB1303" s="55" t="s">
        <v>132</v>
      </c>
      <c r="AC1303" s="55" t="s">
        <v>132</v>
      </c>
    </row>
    <row r="1304" spans="1:29" ht="13" x14ac:dyDescent="0.15">
      <c r="A1304" s="72" t="str">
        <f t="shared" si="20"/>
        <v>Ofsted Social Care Provider Webpage</v>
      </c>
      <c r="B1304" s="55">
        <v>2614511</v>
      </c>
      <c r="D1304" s="55" t="s">
        <v>373</v>
      </c>
      <c r="E1304" s="74">
        <v>44160</v>
      </c>
      <c r="F1304" s="55" t="s">
        <v>344</v>
      </c>
      <c r="G1304" s="55" t="s">
        <v>360</v>
      </c>
      <c r="H1304" s="55" t="s">
        <v>360</v>
      </c>
      <c r="I1304" s="55" t="s">
        <v>360</v>
      </c>
      <c r="J1304" s="55" t="s">
        <v>360</v>
      </c>
      <c r="K1304" s="55" t="s">
        <v>360</v>
      </c>
      <c r="L1304" s="55" t="s">
        <v>360</v>
      </c>
      <c r="M1304" s="55" t="s">
        <v>136</v>
      </c>
      <c r="N1304" s="55" t="s">
        <v>136</v>
      </c>
      <c r="O1304" s="55" t="s">
        <v>255</v>
      </c>
      <c r="P1304" s="55" t="s">
        <v>583</v>
      </c>
      <c r="Q1304" s="55" t="s">
        <v>350</v>
      </c>
      <c r="R1304" s="55">
        <v>4</v>
      </c>
      <c r="S1304" s="74"/>
      <c r="T1304" s="55" t="s">
        <v>385</v>
      </c>
      <c r="U1304" s="73" t="s">
        <v>351</v>
      </c>
      <c r="V1304" s="74">
        <v>44544</v>
      </c>
      <c r="W1304" s="74">
        <v>44601</v>
      </c>
      <c r="X1304" s="55">
        <v>10187342</v>
      </c>
      <c r="Y1304" s="74" t="s">
        <v>132</v>
      </c>
      <c r="Z1304" s="74"/>
      <c r="AB1304" s="55" t="s">
        <v>132</v>
      </c>
      <c r="AC1304" s="55" t="s">
        <v>132</v>
      </c>
    </row>
    <row r="1305" spans="1:29" ht="13" x14ac:dyDescent="0.15">
      <c r="A1305" s="72" t="str">
        <f t="shared" si="20"/>
        <v>Ofsted Social Care Provider Webpage</v>
      </c>
      <c r="B1305" s="55">
        <v>2614703</v>
      </c>
      <c r="D1305" s="55" t="s">
        <v>373</v>
      </c>
      <c r="E1305" s="74">
        <v>44207</v>
      </c>
      <c r="F1305" s="55" t="s">
        <v>344</v>
      </c>
      <c r="G1305" s="55" t="s">
        <v>360</v>
      </c>
      <c r="H1305" s="55" t="s">
        <v>360</v>
      </c>
      <c r="I1305" s="55" t="s">
        <v>360</v>
      </c>
      <c r="J1305" s="55" t="s">
        <v>360</v>
      </c>
      <c r="K1305" s="55" t="s">
        <v>360</v>
      </c>
      <c r="L1305" s="55" t="s">
        <v>360</v>
      </c>
      <c r="M1305" s="55" t="s">
        <v>144</v>
      </c>
      <c r="N1305" s="55" t="s">
        <v>144</v>
      </c>
      <c r="O1305" s="55" t="s">
        <v>209</v>
      </c>
      <c r="P1305" s="55" t="s">
        <v>597</v>
      </c>
      <c r="Q1305" s="55" t="s">
        <v>350</v>
      </c>
      <c r="R1305" s="55">
        <v>4</v>
      </c>
      <c r="S1305" s="74"/>
      <c r="T1305" s="55" t="s">
        <v>737</v>
      </c>
      <c r="U1305" s="73" t="s">
        <v>351</v>
      </c>
      <c r="V1305" s="74">
        <v>44586</v>
      </c>
      <c r="W1305" s="74">
        <v>44651</v>
      </c>
      <c r="X1305" s="55">
        <v>10188256</v>
      </c>
      <c r="Y1305" s="74" t="s">
        <v>132</v>
      </c>
      <c r="Z1305" s="74"/>
      <c r="AB1305" s="55" t="s">
        <v>130</v>
      </c>
      <c r="AC1305" s="55" t="s">
        <v>132</v>
      </c>
    </row>
    <row r="1306" spans="1:29" ht="13" x14ac:dyDescent="0.15">
      <c r="A1306" s="72" t="str">
        <f t="shared" si="20"/>
        <v>Ofsted Social Care Provider Webpage</v>
      </c>
      <c r="B1306" s="55">
        <v>2614738</v>
      </c>
      <c r="D1306" s="55" t="s">
        <v>373</v>
      </c>
      <c r="E1306" s="74">
        <v>44363</v>
      </c>
      <c r="F1306" s="55" t="s">
        <v>344</v>
      </c>
      <c r="G1306" s="55" t="s">
        <v>360</v>
      </c>
      <c r="H1306" s="55" t="s">
        <v>360</v>
      </c>
      <c r="I1306" s="55" t="s">
        <v>360</v>
      </c>
      <c r="J1306" s="55" t="s">
        <v>360</v>
      </c>
      <c r="K1306" s="55" t="s">
        <v>360</v>
      </c>
      <c r="L1306" s="55" t="s">
        <v>360</v>
      </c>
      <c r="M1306" s="55" t="s">
        <v>142</v>
      </c>
      <c r="N1306" s="55" t="s">
        <v>142</v>
      </c>
      <c r="O1306" s="55" t="s">
        <v>249</v>
      </c>
      <c r="P1306" s="55" t="s">
        <v>1318</v>
      </c>
      <c r="Q1306" s="55" t="s">
        <v>350</v>
      </c>
      <c r="R1306" s="55">
        <v>4</v>
      </c>
      <c r="S1306" s="74"/>
      <c r="T1306" s="55" t="s">
        <v>2012</v>
      </c>
      <c r="U1306" s="73" t="s">
        <v>351</v>
      </c>
      <c r="V1306" s="74">
        <v>44607</v>
      </c>
      <c r="W1306" s="74">
        <v>44659</v>
      </c>
      <c r="X1306" s="55">
        <v>10205855</v>
      </c>
      <c r="Y1306" s="74" t="s">
        <v>130</v>
      </c>
      <c r="Z1306" s="74"/>
      <c r="AB1306" s="55" t="s">
        <v>130</v>
      </c>
      <c r="AC1306" s="55" t="s">
        <v>130</v>
      </c>
    </row>
    <row r="1307" spans="1:29" ht="13" x14ac:dyDescent="0.15">
      <c r="A1307" s="72" t="str">
        <f t="shared" si="20"/>
        <v>Ofsted Social Care Provider Webpage</v>
      </c>
      <c r="B1307" s="55">
        <v>2614937</v>
      </c>
      <c r="D1307" s="55" t="s">
        <v>373</v>
      </c>
      <c r="E1307" s="74">
        <v>44251</v>
      </c>
      <c r="F1307" s="55" t="s">
        <v>344</v>
      </c>
      <c r="G1307" s="55" t="s">
        <v>360</v>
      </c>
      <c r="H1307" s="55" t="s">
        <v>360</v>
      </c>
      <c r="I1307" s="55" t="s">
        <v>360</v>
      </c>
      <c r="J1307" s="55" t="s">
        <v>360</v>
      </c>
      <c r="K1307" s="55" t="s">
        <v>360</v>
      </c>
      <c r="L1307" s="55" t="s">
        <v>360</v>
      </c>
      <c r="M1307" s="55" t="s">
        <v>150</v>
      </c>
      <c r="N1307" s="55" t="s">
        <v>150</v>
      </c>
      <c r="O1307" s="55" t="s">
        <v>237</v>
      </c>
      <c r="P1307" s="55" t="s">
        <v>869</v>
      </c>
      <c r="Q1307" s="55" t="s">
        <v>350</v>
      </c>
      <c r="R1307" s="55">
        <v>4</v>
      </c>
      <c r="S1307" s="74"/>
      <c r="T1307" s="55" t="s">
        <v>435</v>
      </c>
      <c r="U1307" s="73" t="s">
        <v>351</v>
      </c>
      <c r="V1307" s="74">
        <v>44531</v>
      </c>
      <c r="W1307" s="74">
        <v>44581</v>
      </c>
      <c r="X1307" s="55">
        <v>10188283</v>
      </c>
      <c r="Y1307" s="74" t="s">
        <v>132</v>
      </c>
      <c r="Z1307" s="74"/>
      <c r="AB1307" s="55" t="s">
        <v>132</v>
      </c>
      <c r="AC1307" s="55" t="s">
        <v>132</v>
      </c>
    </row>
    <row r="1308" spans="1:29" ht="13" x14ac:dyDescent="0.15">
      <c r="A1308" s="72" t="str">
        <f t="shared" si="20"/>
        <v>Ofsted Social Care Provider Webpage</v>
      </c>
      <c r="B1308" s="55">
        <v>2614999</v>
      </c>
      <c r="D1308" s="55" t="s">
        <v>373</v>
      </c>
      <c r="E1308" s="74">
        <v>44253</v>
      </c>
      <c r="F1308" s="55" t="s">
        <v>344</v>
      </c>
      <c r="G1308" s="55" t="s">
        <v>360</v>
      </c>
      <c r="H1308" s="84" t="s">
        <v>360</v>
      </c>
      <c r="I1308" s="55" t="s">
        <v>360</v>
      </c>
      <c r="J1308" s="55" t="s">
        <v>360</v>
      </c>
      <c r="K1308" s="55" t="s">
        <v>360</v>
      </c>
      <c r="L1308" s="55" t="s">
        <v>360</v>
      </c>
      <c r="M1308" s="55" t="s">
        <v>172</v>
      </c>
      <c r="N1308" s="55" t="s">
        <v>172</v>
      </c>
      <c r="O1308" s="55" t="s">
        <v>284</v>
      </c>
      <c r="P1308" s="55" t="s">
        <v>986</v>
      </c>
      <c r="Q1308" s="55" t="s">
        <v>350</v>
      </c>
      <c r="R1308" s="55">
        <v>3</v>
      </c>
      <c r="S1308" s="74"/>
      <c r="T1308" s="55" t="s">
        <v>2013</v>
      </c>
      <c r="U1308" s="73" t="s">
        <v>351</v>
      </c>
      <c r="V1308" s="74">
        <v>44412</v>
      </c>
      <c r="W1308" s="74">
        <v>44470</v>
      </c>
      <c r="X1308" s="55">
        <v>10188289</v>
      </c>
      <c r="Y1308" s="74" t="s">
        <v>130</v>
      </c>
      <c r="Z1308" s="74"/>
      <c r="AB1308" s="55" t="s">
        <v>130</v>
      </c>
      <c r="AC1308" s="55" t="s">
        <v>130</v>
      </c>
    </row>
    <row r="1309" spans="1:29" ht="13" x14ac:dyDescent="0.15">
      <c r="A1309" s="72" t="str">
        <f t="shared" si="20"/>
        <v>Ofsted Social Care Provider Webpage</v>
      </c>
      <c r="B1309" s="55">
        <v>2615005</v>
      </c>
      <c r="D1309" s="55" t="s">
        <v>373</v>
      </c>
      <c r="E1309" s="74">
        <v>44187</v>
      </c>
      <c r="F1309" s="55" t="s">
        <v>344</v>
      </c>
      <c r="G1309" s="55" t="s">
        <v>360</v>
      </c>
      <c r="H1309" s="55" t="s">
        <v>360</v>
      </c>
      <c r="I1309" s="55" t="s">
        <v>360</v>
      </c>
      <c r="J1309" s="55" t="s">
        <v>360</v>
      </c>
      <c r="K1309" s="55" t="s">
        <v>360</v>
      </c>
      <c r="L1309" s="55" t="s">
        <v>360</v>
      </c>
      <c r="M1309" s="55" t="s">
        <v>378</v>
      </c>
      <c r="N1309" s="55" t="s">
        <v>170</v>
      </c>
      <c r="O1309" s="55" t="s">
        <v>178</v>
      </c>
      <c r="P1309" s="55" t="s">
        <v>2014</v>
      </c>
      <c r="Q1309" s="55" t="s">
        <v>350</v>
      </c>
      <c r="R1309" s="55">
        <v>7</v>
      </c>
      <c r="S1309" s="74"/>
      <c r="T1309" s="55" t="s">
        <v>435</v>
      </c>
      <c r="U1309" s="73" t="s">
        <v>351</v>
      </c>
      <c r="V1309" s="74">
        <v>44459</v>
      </c>
      <c r="W1309" s="74">
        <v>44498</v>
      </c>
      <c r="X1309" s="55">
        <v>10185939</v>
      </c>
      <c r="Y1309" s="74" t="s">
        <v>132</v>
      </c>
      <c r="Z1309" s="74"/>
      <c r="AB1309" s="55" t="s">
        <v>132</v>
      </c>
      <c r="AC1309" s="55" t="s">
        <v>132</v>
      </c>
    </row>
    <row r="1310" spans="1:29" ht="13" x14ac:dyDescent="0.15">
      <c r="A1310" s="72" t="str">
        <f t="shared" si="20"/>
        <v>Ofsted Social Care Provider Webpage</v>
      </c>
      <c r="B1310" s="55">
        <v>2615067</v>
      </c>
      <c r="D1310" s="55" t="s">
        <v>373</v>
      </c>
      <c r="E1310" s="74">
        <v>44136</v>
      </c>
      <c r="F1310" s="55" t="s">
        <v>344</v>
      </c>
      <c r="G1310" s="55" t="s">
        <v>360</v>
      </c>
      <c r="H1310" s="55" t="s">
        <v>360</v>
      </c>
      <c r="I1310" s="55" t="s">
        <v>360</v>
      </c>
      <c r="J1310" s="55" t="s">
        <v>360</v>
      </c>
      <c r="K1310" s="55" t="s">
        <v>360</v>
      </c>
      <c r="L1310" s="55" t="s">
        <v>360</v>
      </c>
      <c r="M1310" s="55" t="s">
        <v>172</v>
      </c>
      <c r="N1310" s="55" t="s">
        <v>172</v>
      </c>
      <c r="O1310" s="55" t="s">
        <v>228</v>
      </c>
      <c r="P1310" s="55" t="s">
        <v>423</v>
      </c>
      <c r="Q1310" s="55" t="s">
        <v>362</v>
      </c>
      <c r="R1310" s="55">
        <v>5</v>
      </c>
      <c r="S1310" s="74"/>
      <c r="T1310" s="55" t="s">
        <v>1958</v>
      </c>
      <c r="U1310" s="73" t="s">
        <v>351</v>
      </c>
      <c r="V1310" s="74">
        <v>44419</v>
      </c>
      <c r="W1310" s="74">
        <v>44449</v>
      </c>
      <c r="X1310" s="55">
        <v>10186876</v>
      </c>
      <c r="Y1310" s="74" t="s">
        <v>132</v>
      </c>
      <c r="Z1310" s="74"/>
      <c r="AB1310" s="55" t="s">
        <v>132</v>
      </c>
      <c r="AC1310" s="55" t="s">
        <v>132</v>
      </c>
    </row>
    <row r="1311" spans="1:29" ht="13" x14ac:dyDescent="0.15">
      <c r="A1311" s="72" t="str">
        <f t="shared" si="20"/>
        <v>Ofsted Social Care Provider Webpage</v>
      </c>
      <c r="B1311" s="55">
        <v>2615326</v>
      </c>
      <c r="D1311" s="55" t="s">
        <v>373</v>
      </c>
      <c r="E1311" s="74">
        <v>44208</v>
      </c>
      <c r="F1311" s="55" t="s">
        <v>344</v>
      </c>
      <c r="G1311" s="55" t="s">
        <v>360</v>
      </c>
      <c r="H1311" s="55" t="s">
        <v>360</v>
      </c>
      <c r="I1311" s="55" t="s">
        <v>360</v>
      </c>
      <c r="J1311" s="55" t="s">
        <v>360</v>
      </c>
      <c r="K1311" s="55" t="s">
        <v>360</v>
      </c>
      <c r="L1311" s="55" t="s">
        <v>360</v>
      </c>
      <c r="M1311" s="55" t="s">
        <v>378</v>
      </c>
      <c r="N1311" s="55" t="s">
        <v>170</v>
      </c>
      <c r="O1311" s="55" t="s">
        <v>178</v>
      </c>
      <c r="P1311" s="55" t="s">
        <v>1374</v>
      </c>
      <c r="Q1311" s="55" t="s">
        <v>350</v>
      </c>
      <c r="R1311" s="55">
        <v>3</v>
      </c>
      <c r="S1311" s="74"/>
      <c r="T1311" s="55" t="s">
        <v>2015</v>
      </c>
      <c r="U1311" s="73" t="s">
        <v>351</v>
      </c>
      <c r="V1311" s="74">
        <v>44474</v>
      </c>
      <c r="W1311" s="74">
        <v>44503</v>
      </c>
      <c r="X1311" s="55">
        <v>10197970</v>
      </c>
      <c r="Y1311" s="74" t="s">
        <v>132</v>
      </c>
      <c r="Z1311" s="74"/>
      <c r="AB1311" s="55" t="s">
        <v>132</v>
      </c>
      <c r="AC1311" s="55" t="s">
        <v>132</v>
      </c>
    </row>
    <row r="1312" spans="1:29" ht="13" x14ac:dyDescent="0.15">
      <c r="A1312" s="72" t="str">
        <f t="shared" si="20"/>
        <v>Ofsted Social Care Provider Webpage</v>
      </c>
      <c r="B1312" s="55">
        <v>2615342</v>
      </c>
      <c r="D1312" s="55" t="s">
        <v>373</v>
      </c>
      <c r="E1312" s="74">
        <v>44181</v>
      </c>
      <c r="F1312" s="55" t="s">
        <v>344</v>
      </c>
      <c r="G1312" s="55" t="s">
        <v>360</v>
      </c>
      <c r="H1312" s="55" t="s">
        <v>360</v>
      </c>
      <c r="I1312" s="55" t="s">
        <v>360</v>
      </c>
      <c r="J1312" s="55" t="s">
        <v>360</v>
      </c>
      <c r="K1312" s="55" t="s">
        <v>360</v>
      </c>
      <c r="L1312" s="55" t="s">
        <v>360</v>
      </c>
      <c r="M1312" s="55" t="s">
        <v>142</v>
      </c>
      <c r="N1312" s="55" t="s">
        <v>142</v>
      </c>
      <c r="O1312" s="55" t="s">
        <v>282</v>
      </c>
      <c r="P1312" s="55" t="s">
        <v>355</v>
      </c>
      <c r="Q1312" s="55" t="s">
        <v>350</v>
      </c>
      <c r="R1312" s="55">
        <v>7</v>
      </c>
      <c r="S1312" s="74"/>
      <c r="T1312" s="55" t="s">
        <v>435</v>
      </c>
      <c r="U1312" s="73" t="s">
        <v>351</v>
      </c>
      <c r="V1312" s="74">
        <v>44411</v>
      </c>
      <c r="W1312" s="74">
        <v>44448</v>
      </c>
      <c r="X1312" s="55">
        <v>10185693</v>
      </c>
      <c r="Y1312" s="74" t="s">
        <v>132</v>
      </c>
      <c r="Z1312" s="74"/>
      <c r="AB1312" s="55" t="s">
        <v>132</v>
      </c>
      <c r="AC1312" s="55" t="s">
        <v>140</v>
      </c>
    </row>
    <row r="1313" spans="1:29" ht="13" x14ac:dyDescent="0.15">
      <c r="A1313" s="72" t="str">
        <f t="shared" si="20"/>
        <v>Ofsted Social Care Provider Webpage</v>
      </c>
      <c r="B1313" s="55">
        <v>2615395</v>
      </c>
      <c r="D1313" s="55" t="s">
        <v>373</v>
      </c>
      <c r="E1313" s="74">
        <v>44161</v>
      </c>
      <c r="F1313" s="55" t="s">
        <v>344</v>
      </c>
      <c r="G1313" s="55" t="s">
        <v>360</v>
      </c>
      <c r="H1313" s="55" t="s">
        <v>360</v>
      </c>
      <c r="I1313" s="55" t="s">
        <v>360</v>
      </c>
      <c r="J1313" s="55" t="s">
        <v>360</v>
      </c>
      <c r="K1313" s="55" t="s">
        <v>360</v>
      </c>
      <c r="L1313" s="55" t="s">
        <v>360</v>
      </c>
      <c r="M1313" s="55" t="s">
        <v>144</v>
      </c>
      <c r="N1313" s="55" t="s">
        <v>144</v>
      </c>
      <c r="O1313" s="55" t="s">
        <v>217</v>
      </c>
      <c r="P1313" s="55" t="s">
        <v>384</v>
      </c>
      <c r="Q1313" s="55" t="s">
        <v>350</v>
      </c>
      <c r="R1313" s="55">
        <v>2</v>
      </c>
      <c r="S1313" s="74"/>
      <c r="T1313" s="55" t="s">
        <v>2016</v>
      </c>
      <c r="U1313" s="73" t="s">
        <v>351</v>
      </c>
      <c r="V1313" s="74">
        <v>44306</v>
      </c>
      <c r="W1313" s="74">
        <v>44341</v>
      </c>
      <c r="X1313" s="55">
        <v>10185989</v>
      </c>
      <c r="Y1313" s="74" t="s">
        <v>132</v>
      </c>
      <c r="Z1313" s="74"/>
      <c r="AB1313" s="55" t="s">
        <v>132</v>
      </c>
      <c r="AC1313" s="55" t="s">
        <v>130</v>
      </c>
    </row>
    <row r="1314" spans="1:29" ht="13" x14ac:dyDescent="0.15">
      <c r="A1314" s="72" t="str">
        <f t="shared" si="20"/>
        <v>Ofsted Social Care Provider Webpage</v>
      </c>
      <c r="B1314" s="55">
        <v>2615433</v>
      </c>
      <c r="D1314" s="55" t="s">
        <v>389</v>
      </c>
      <c r="E1314" s="74">
        <v>44136</v>
      </c>
      <c r="F1314" s="55" t="s">
        <v>344</v>
      </c>
      <c r="G1314" s="55" t="s">
        <v>2017</v>
      </c>
      <c r="H1314" s="55" t="s">
        <v>1955</v>
      </c>
      <c r="I1314" s="55" t="s">
        <v>1956</v>
      </c>
      <c r="J1314" s="55" t="s">
        <v>1349</v>
      </c>
      <c r="K1314" s="55" t="s">
        <v>1350</v>
      </c>
      <c r="L1314" s="55" t="s">
        <v>1957</v>
      </c>
      <c r="M1314" s="55" t="s">
        <v>172</v>
      </c>
      <c r="N1314" s="55" t="s">
        <v>172</v>
      </c>
      <c r="O1314" s="55" t="s">
        <v>284</v>
      </c>
      <c r="P1314" s="55" t="s">
        <v>1475</v>
      </c>
      <c r="Q1314" s="55" t="s">
        <v>362</v>
      </c>
      <c r="R1314" s="55"/>
      <c r="S1314" s="74"/>
      <c r="T1314" s="55" t="s">
        <v>1958</v>
      </c>
      <c r="U1314" s="73" t="s">
        <v>351</v>
      </c>
      <c r="V1314" s="74">
        <v>44473</v>
      </c>
      <c r="W1314" s="74">
        <v>44559</v>
      </c>
      <c r="X1314" s="55">
        <v>10183180</v>
      </c>
      <c r="Y1314" s="74" t="s">
        <v>130</v>
      </c>
      <c r="Z1314" s="74"/>
      <c r="AB1314" s="55" t="s">
        <v>130</v>
      </c>
      <c r="AC1314" s="55" t="s">
        <v>130</v>
      </c>
    </row>
    <row r="1315" spans="1:29" ht="13" x14ac:dyDescent="0.15">
      <c r="A1315" s="72" t="str">
        <f t="shared" si="20"/>
        <v>Ofsted Social Care Provider Webpage</v>
      </c>
      <c r="B1315" s="55">
        <v>2615494</v>
      </c>
      <c r="D1315" s="55" t="s">
        <v>373</v>
      </c>
      <c r="E1315" s="74">
        <v>44167</v>
      </c>
      <c r="F1315" s="55" t="s">
        <v>344</v>
      </c>
      <c r="G1315" s="55" t="s">
        <v>360</v>
      </c>
      <c r="H1315" s="55" t="s">
        <v>360</v>
      </c>
      <c r="I1315" s="55" t="s">
        <v>360</v>
      </c>
      <c r="J1315" s="55" t="s">
        <v>360</v>
      </c>
      <c r="K1315" s="55" t="s">
        <v>360</v>
      </c>
      <c r="L1315" s="55" t="s">
        <v>360</v>
      </c>
      <c r="M1315" s="55" t="s">
        <v>172</v>
      </c>
      <c r="N1315" s="55" t="s">
        <v>172</v>
      </c>
      <c r="O1315" s="55" t="s">
        <v>212</v>
      </c>
      <c r="P1315" s="55" t="s">
        <v>592</v>
      </c>
      <c r="Q1315" s="55" t="s">
        <v>350</v>
      </c>
      <c r="R1315" s="55">
        <v>4</v>
      </c>
      <c r="S1315" s="74"/>
      <c r="T1315" s="55" t="s">
        <v>435</v>
      </c>
      <c r="U1315" s="73" t="s">
        <v>351</v>
      </c>
      <c r="V1315" s="74">
        <v>44594</v>
      </c>
      <c r="W1315" s="74">
        <v>44630</v>
      </c>
      <c r="X1315" s="55">
        <v>10186782</v>
      </c>
      <c r="Y1315" s="74" t="s">
        <v>132</v>
      </c>
      <c r="Z1315" s="74"/>
      <c r="AB1315" s="55" t="s">
        <v>132</v>
      </c>
      <c r="AC1315" s="55" t="s">
        <v>132</v>
      </c>
    </row>
    <row r="1316" spans="1:29" ht="13" x14ac:dyDescent="0.15">
      <c r="A1316" s="72" t="str">
        <f t="shared" si="20"/>
        <v>Ofsted Social Care Provider Webpage</v>
      </c>
      <c r="B1316" s="55">
        <v>2615940</v>
      </c>
      <c r="D1316" s="55" t="s">
        <v>389</v>
      </c>
      <c r="E1316" s="74">
        <v>44215</v>
      </c>
      <c r="F1316" s="55" t="s">
        <v>344</v>
      </c>
      <c r="G1316" s="55" t="s">
        <v>2018</v>
      </c>
      <c r="H1316" s="55" t="s">
        <v>2019</v>
      </c>
      <c r="I1316" s="55" t="s">
        <v>2020</v>
      </c>
      <c r="J1316" s="55" t="s">
        <v>1650</v>
      </c>
      <c r="L1316" s="55" t="s">
        <v>2021</v>
      </c>
      <c r="M1316" s="55" t="s">
        <v>129</v>
      </c>
      <c r="N1316" s="55" t="s">
        <v>129</v>
      </c>
      <c r="O1316" s="55" t="s">
        <v>242</v>
      </c>
      <c r="P1316" s="55" t="s">
        <v>1519</v>
      </c>
      <c r="Q1316" s="55" t="s">
        <v>350</v>
      </c>
      <c r="R1316" s="55"/>
      <c r="S1316" s="74"/>
      <c r="T1316" s="55" t="s">
        <v>2022</v>
      </c>
      <c r="U1316" s="73"/>
      <c r="W1316" s="74"/>
      <c r="Y1316" s="74"/>
      <c r="Z1316" s="74"/>
    </row>
    <row r="1317" spans="1:29" ht="13" x14ac:dyDescent="0.15">
      <c r="A1317" s="72" t="str">
        <f t="shared" si="20"/>
        <v>Ofsted Social Care Provider Webpage</v>
      </c>
      <c r="B1317" s="55">
        <v>2616251</v>
      </c>
      <c r="D1317" s="55" t="s">
        <v>389</v>
      </c>
      <c r="E1317" s="74">
        <v>44238</v>
      </c>
      <c r="F1317" s="55" t="s">
        <v>344</v>
      </c>
      <c r="G1317" s="55" t="s">
        <v>2023</v>
      </c>
      <c r="H1317" s="55" t="s">
        <v>2024</v>
      </c>
      <c r="I1317" s="55" t="s">
        <v>2025</v>
      </c>
      <c r="J1317" s="55" t="s">
        <v>581</v>
      </c>
      <c r="K1317" s="55" t="s">
        <v>255</v>
      </c>
      <c r="L1317" s="55" t="s">
        <v>2026</v>
      </c>
      <c r="M1317" s="55" t="s">
        <v>136</v>
      </c>
      <c r="N1317" s="55" t="s">
        <v>136</v>
      </c>
      <c r="O1317" s="55" t="s">
        <v>255</v>
      </c>
      <c r="P1317" s="55" t="s">
        <v>583</v>
      </c>
      <c r="Q1317" s="55" t="s">
        <v>350</v>
      </c>
      <c r="R1317" s="55"/>
      <c r="S1317" s="74"/>
      <c r="T1317" s="55" t="s">
        <v>2023</v>
      </c>
      <c r="U1317" s="73" t="s">
        <v>351</v>
      </c>
      <c r="V1317" s="74">
        <v>44599</v>
      </c>
      <c r="W1317" s="74">
        <v>44650</v>
      </c>
      <c r="X1317" s="55">
        <v>10193208</v>
      </c>
      <c r="Y1317" s="74" t="s">
        <v>132</v>
      </c>
      <c r="Z1317" s="74"/>
      <c r="AB1317" s="55" t="s">
        <v>132</v>
      </c>
      <c r="AC1317" s="55" t="s">
        <v>132</v>
      </c>
    </row>
    <row r="1318" spans="1:29" ht="13" x14ac:dyDescent="0.15">
      <c r="A1318" s="72" t="str">
        <f t="shared" si="20"/>
        <v>Ofsted Social Care Provider Webpage</v>
      </c>
      <c r="B1318" s="55">
        <v>2616383</v>
      </c>
      <c r="D1318" s="55" t="s">
        <v>373</v>
      </c>
      <c r="E1318" s="74">
        <v>44252</v>
      </c>
      <c r="F1318" s="55" t="s">
        <v>344</v>
      </c>
      <c r="G1318" s="55" t="s">
        <v>360</v>
      </c>
      <c r="H1318" s="55" t="s">
        <v>360</v>
      </c>
      <c r="I1318" s="55" t="s">
        <v>360</v>
      </c>
      <c r="J1318" s="55" t="s">
        <v>360</v>
      </c>
      <c r="K1318" s="55" t="s">
        <v>360</v>
      </c>
      <c r="L1318" s="55" t="s">
        <v>360</v>
      </c>
      <c r="M1318" s="55" t="s">
        <v>144</v>
      </c>
      <c r="N1318" s="55" t="s">
        <v>144</v>
      </c>
      <c r="O1318" s="55" t="s">
        <v>248</v>
      </c>
      <c r="P1318" s="55" t="s">
        <v>492</v>
      </c>
      <c r="Q1318" s="55" t="s">
        <v>350</v>
      </c>
      <c r="R1318" s="55">
        <v>2</v>
      </c>
      <c r="S1318" s="74"/>
      <c r="T1318" s="55" t="s">
        <v>1712</v>
      </c>
      <c r="U1318" s="73" t="s">
        <v>351</v>
      </c>
      <c r="V1318" s="74">
        <v>44531</v>
      </c>
      <c r="W1318" s="74">
        <v>44587</v>
      </c>
      <c r="X1318" s="55">
        <v>10188286</v>
      </c>
      <c r="Y1318" s="74" t="s">
        <v>132</v>
      </c>
      <c r="Z1318" s="74"/>
      <c r="AB1318" s="55" t="s">
        <v>132</v>
      </c>
      <c r="AC1318" s="55" t="s">
        <v>132</v>
      </c>
    </row>
    <row r="1319" spans="1:29" ht="13" x14ac:dyDescent="0.15">
      <c r="A1319" s="72" t="str">
        <f t="shared" si="20"/>
        <v>Ofsted Social Care Provider Webpage</v>
      </c>
      <c r="B1319" s="55">
        <v>2616605</v>
      </c>
      <c r="D1319" s="55" t="s">
        <v>373</v>
      </c>
      <c r="E1319" s="74">
        <v>44286</v>
      </c>
      <c r="F1319" s="55" t="s">
        <v>344</v>
      </c>
      <c r="G1319" s="55" t="s">
        <v>360</v>
      </c>
      <c r="H1319" s="55" t="s">
        <v>360</v>
      </c>
      <c r="I1319" s="55" t="s">
        <v>360</v>
      </c>
      <c r="J1319" s="55" t="s">
        <v>360</v>
      </c>
      <c r="K1319" s="55" t="s">
        <v>360</v>
      </c>
      <c r="L1319" s="55" t="s">
        <v>360</v>
      </c>
      <c r="M1319" s="55" t="s">
        <v>144</v>
      </c>
      <c r="N1319" s="55" t="s">
        <v>144</v>
      </c>
      <c r="O1319" s="55" t="s">
        <v>209</v>
      </c>
      <c r="P1319" s="55" t="s">
        <v>545</v>
      </c>
      <c r="Q1319" s="55" t="s">
        <v>350</v>
      </c>
      <c r="R1319" s="55">
        <v>6</v>
      </c>
      <c r="S1319" s="74"/>
      <c r="T1319" s="55" t="s">
        <v>574</v>
      </c>
      <c r="U1319" s="73" t="s">
        <v>351</v>
      </c>
      <c r="V1319" s="74">
        <v>44468</v>
      </c>
      <c r="W1319" s="74">
        <v>44585</v>
      </c>
      <c r="X1319" s="55">
        <v>10204556</v>
      </c>
      <c r="Y1319" s="74" t="s">
        <v>130</v>
      </c>
      <c r="Z1319" s="74"/>
      <c r="AB1319" s="55" t="s">
        <v>130</v>
      </c>
      <c r="AC1319" s="55" t="s">
        <v>130</v>
      </c>
    </row>
    <row r="1320" spans="1:29" ht="13" x14ac:dyDescent="0.15">
      <c r="A1320" s="72" t="str">
        <f t="shared" si="20"/>
        <v>Ofsted Social Care Provider Webpage</v>
      </c>
      <c r="B1320" s="55">
        <v>2616606</v>
      </c>
      <c r="D1320" s="55" t="s">
        <v>373</v>
      </c>
      <c r="E1320" s="74">
        <v>44224</v>
      </c>
      <c r="F1320" s="55" t="s">
        <v>344</v>
      </c>
      <c r="G1320" s="55" t="s">
        <v>360</v>
      </c>
      <c r="H1320" s="55" t="s">
        <v>360</v>
      </c>
      <c r="I1320" s="55" t="s">
        <v>360</v>
      </c>
      <c r="J1320" s="55" t="s">
        <v>360</v>
      </c>
      <c r="K1320" s="55" t="s">
        <v>360</v>
      </c>
      <c r="L1320" s="55" t="s">
        <v>360</v>
      </c>
      <c r="M1320" s="55" t="s">
        <v>144</v>
      </c>
      <c r="N1320" s="55" t="s">
        <v>144</v>
      </c>
      <c r="O1320" s="55" t="s">
        <v>209</v>
      </c>
      <c r="P1320" s="55" t="s">
        <v>474</v>
      </c>
      <c r="Q1320" s="55" t="s">
        <v>350</v>
      </c>
      <c r="R1320" s="55">
        <v>2</v>
      </c>
      <c r="S1320" s="74"/>
      <c r="T1320" s="55" t="s">
        <v>485</v>
      </c>
      <c r="U1320" s="73" t="s">
        <v>351</v>
      </c>
      <c r="V1320" s="74">
        <v>44398</v>
      </c>
      <c r="W1320" s="74">
        <v>44428</v>
      </c>
      <c r="X1320" s="55">
        <v>10188265</v>
      </c>
      <c r="Y1320" s="74" t="s">
        <v>132</v>
      </c>
      <c r="Z1320" s="74"/>
      <c r="AB1320" s="55" t="s">
        <v>132</v>
      </c>
      <c r="AC1320" s="55" t="s">
        <v>132</v>
      </c>
    </row>
    <row r="1321" spans="1:29" ht="13" x14ac:dyDescent="0.15">
      <c r="A1321" s="72" t="str">
        <f t="shared" si="20"/>
        <v>Ofsted Social Care Provider Webpage</v>
      </c>
      <c r="B1321" s="55">
        <v>2616670</v>
      </c>
      <c r="D1321" s="55" t="s">
        <v>373</v>
      </c>
      <c r="E1321" s="74">
        <v>44136</v>
      </c>
      <c r="F1321" s="55" t="s">
        <v>344</v>
      </c>
      <c r="G1321" s="55" t="s">
        <v>360</v>
      </c>
      <c r="H1321" s="55" t="s">
        <v>360</v>
      </c>
      <c r="I1321" s="55" t="s">
        <v>360</v>
      </c>
      <c r="J1321" s="55" t="s">
        <v>360</v>
      </c>
      <c r="K1321" s="55" t="s">
        <v>360</v>
      </c>
      <c r="L1321" s="55" t="s">
        <v>360</v>
      </c>
      <c r="M1321" s="55" t="s">
        <v>172</v>
      </c>
      <c r="N1321" s="55" t="s">
        <v>172</v>
      </c>
      <c r="O1321" s="55" t="s">
        <v>284</v>
      </c>
      <c r="P1321" s="55" t="s">
        <v>985</v>
      </c>
      <c r="Q1321" s="55" t="s">
        <v>362</v>
      </c>
      <c r="R1321" s="55">
        <v>5</v>
      </c>
      <c r="S1321" s="74"/>
      <c r="T1321" s="55" t="s">
        <v>1958</v>
      </c>
      <c r="U1321" s="73" t="s">
        <v>351</v>
      </c>
      <c r="V1321" s="74">
        <v>44370</v>
      </c>
      <c r="W1321" s="74">
        <v>44406</v>
      </c>
      <c r="X1321" s="55">
        <v>10185504</v>
      </c>
      <c r="Y1321" s="74" t="s">
        <v>130</v>
      </c>
      <c r="Z1321" s="74"/>
      <c r="AB1321" s="55" t="s">
        <v>130</v>
      </c>
      <c r="AC1321" s="55" t="s">
        <v>146</v>
      </c>
    </row>
    <row r="1322" spans="1:29" ht="13" x14ac:dyDescent="0.15">
      <c r="A1322" s="72" t="str">
        <f t="shared" si="20"/>
        <v>Ofsted Social Care Provider Webpage</v>
      </c>
      <c r="B1322" s="55">
        <v>2616704</v>
      </c>
      <c r="D1322" s="55" t="s">
        <v>373</v>
      </c>
      <c r="E1322" s="74">
        <v>44245</v>
      </c>
      <c r="F1322" s="55" t="s">
        <v>344</v>
      </c>
      <c r="G1322" s="55" t="s">
        <v>360</v>
      </c>
      <c r="H1322" s="55" t="s">
        <v>360</v>
      </c>
      <c r="I1322" s="55" t="s">
        <v>360</v>
      </c>
      <c r="J1322" s="55" t="s">
        <v>360</v>
      </c>
      <c r="K1322" s="55" t="s">
        <v>360</v>
      </c>
      <c r="L1322" s="55" t="s">
        <v>360</v>
      </c>
      <c r="M1322" s="55" t="s">
        <v>172</v>
      </c>
      <c r="N1322" s="55" t="s">
        <v>172</v>
      </c>
      <c r="O1322" s="55" t="s">
        <v>173</v>
      </c>
      <c r="P1322" s="55" t="s">
        <v>1258</v>
      </c>
      <c r="Q1322" s="55" t="s">
        <v>350</v>
      </c>
      <c r="R1322" s="55">
        <v>3</v>
      </c>
      <c r="S1322" s="74"/>
      <c r="T1322" s="55" t="s">
        <v>963</v>
      </c>
      <c r="U1322" s="73" t="s">
        <v>351</v>
      </c>
      <c r="V1322" s="74">
        <v>44573</v>
      </c>
      <c r="W1322" s="74">
        <v>44599</v>
      </c>
      <c r="X1322" s="55">
        <v>10188279</v>
      </c>
      <c r="Y1322" s="74" t="s">
        <v>132</v>
      </c>
      <c r="Z1322" s="74"/>
      <c r="AB1322" s="55" t="s">
        <v>132</v>
      </c>
      <c r="AC1322" s="55" t="s">
        <v>132</v>
      </c>
    </row>
    <row r="1323" spans="1:29" ht="13" x14ac:dyDescent="0.15">
      <c r="A1323" s="72" t="str">
        <f t="shared" si="20"/>
        <v>Ofsted Social Care Provider Webpage</v>
      </c>
      <c r="B1323" s="55">
        <v>2616741</v>
      </c>
      <c r="D1323" s="55" t="s">
        <v>373</v>
      </c>
      <c r="E1323" s="74">
        <v>44200</v>
      </c>
      <c r="F1323" s="55" t="s">
        <v>344</v>
      </c>
      <c r="G1323" s="55" t="s">
        <v>360</v>
      </c>
      <c r="H1323" s="55" t="s">
        <v>360</v>
      </c>
      <c r="I1323" s="55" t="s">
        <v>360</v>
      </c>
      <c r="J1323" s="55" t="s">
        <v>360</v>
      </c>
      <c r="K1323" s="55" t="s">
        <v>360</v>
      </c>
      <c r="L1323" s="55" t="s">
        <v>360</v>
      </c>
      <c r="M1323" s="55" t="s">
        <v>378</v>
      </c>
      <c r="N1323" s="55" t="s">
        <v>134</v>
      </c>
      <c r="O1323" s="55" t="s">
        <v>206</v>
      </c>
      <c r="P1323" s="55" t="s">
        <v>750</v>
      </c>
      <c r="Q1323" s="55" t="s">
        <v>350</v>
      </c>
      <c r="R1323" s="55">
        <v>1</v>
      </c>
      <c r="S1323" s="74"/>
      <c r="T1323" s="55" t="s">
        <v>385</v>
      </c>
      <c r="U1323" s="73" t="s">
        <v>351</v>
      </c>
      <c r="V1323" s="74">
        <v>44354</v>
      </c>
      <c r="W1323" s="74">
        <v>44390</v>
      </c>
      <c r="X1323" s="55">
        <v>10186004</v>
      </c>
      <c r="Y1323" s="74" t="s">
        <v>132</v>
      </c>
      <c r="Z1323" s="74"/>
      <c r="AB1323" s="55" t="s">
        <v>132</v>
      </c>
      <c r="AC1323" s="55" t="s">
        <v>132</v>
      </c>
    </row>
    <row r="1324" spans="1:29" ht="13" x14ac:dyDescent="0.15">
      <c r="A1324" s="72" t="str">
        <f t="shared" si="20"/>
        <v>Ofsted Social Care Provider Webpage</v>
      </c>
      <c r="B1324" s="55">
        <v>2616993</v>
      </c>
      <c r="D1324" s="55" t="s">
        <v>373</v>
      </c>
      <c r="E1324" s="74">
        <v>44544</v>
      </c>
      <c r="F1324" s="55" t="s">
        <v>344</v>
      </c>
      <c r="G1324" s="55" t="s">
        <v>360</v>
      </c>
      <c r="H1324" s="55" t="s">
        <v>360</v>
      </c>
      <c r="I1324" s="55" t="s">
        <v>360</v>
      </c>
      <c r="J1324" s="55" t="s">
        <v>360</v>
      </c>
      <c r="K1324" s="55" t="s">
        <v>360</v>
      </c>
      <c r="L1324" s="55" t="s">
        <v>360</v>
      </c>
      <c r="M1324" s="55" t="s">
        <v>138</v>
      </c>
      <c r="N1324" s="55" t="s">
        <v>138</v>
      </c>
      <c r="O1324" s="55" t="s">
        <v>183</v>
      </c>
      <c r="P1324" s="55" t="s">
        <v>730</v>
      </c>
      <c r="Q1324" s="55" t="s">
        <v>350</v>
      </c>
      <c r="R1324" s="55">
        <v>3</v>
      </c>
      <c r="S1324" s="74"/>
      <c r="T1324" s="55" t="s">
        <v>1533</v>
      </c>
      <c r="U1324" s="73"/>
      <c r="W1324" s="74"/>
      <c r="Y1324" s="74"/>
      <c r="Z1324" s="74"/>
    </row>
    <row r="1325" spans="1:29" ht="13" x14ac:dyDescent="0.15">
      <c r="A1325" s="72" t="str">
        <f t="shared" si="20"/>
        <v>Ofsted Social Care Provider Webpage</v>
      </c>
      <c r="B1325" s="55">
        <v>2617067</v>
      </c>
      <c r="D1325" s="55" t="s">
        <v>443</v>
      </c>
      <c r="E1325" s="74">
        <v>44217</v>
      </c>
      <c r="F1325" s="55" t="s">
        <v>344</v>
      </c>
      <c r="G1325" s="55" t="s">
        <v>2027</v>
      </c>
      <c r="H1325" s="55" t="s">
        <v>2028</v>
      </c>
      <c r="I1325" s="55" t="s">
        <v>2029</v>
      </c>
      <c r="J1325" s="55" t="s">
        <v>2030</v>
      </c>
      <c r="K1325" s="55" t="s">
        <v>174</v>
      </c>
      <c r="L1325" s="55" t="s">
        <v>2031</v>
      </c>
      <c r="M1325" s="55" t="s">
        <v>136</v>
      </c>
      <c r="N1325" s="55" t="s">
        <v>136</v>
      </c>
      <c r="O1325" s="55" t="s">
        <v>174</v>
      </c>
      <c r="P1325" s="55" t="s">
        <v>982</v>
      </c>
      <c r="Q1325" s="55" t="s">
        <v>350</v>
      </c>
      <c r="R1325" s="55"/>
      <c r="S1325" s="74"/>
      <c r="T1325" s="55" t="s">
        <v>2032</v>
      </c>
      <c r="U1325" s="73"/>
      <c r="W1325" s="74"/>
      <c r="Y1325" s="74"/>
      <c r="Z1325" s="74"/>
    </row>
    <row r="1326" spans="1:29" ht="13" x14ac:dyDescent="0.15">
      <c r="A1326" s="72" t="str">
        <f t="shared" si="20"/>
        <v>Ofsted Social Care Provider Webpage</v>
      </c>
      <c r="B1326" s="55">
        <v>2617199</v>
      </c>
      <c r="D1326" s="55" t="s">
        <v>373</v>
      </c>
      <c r="E1326" s="74">
        <v>44350</v>
      </c>
      <c r="F1326" s="55" t="s">
        <v>344</v>
      </c>
      <c r="G1326" s="55" t="s">
        <v>360</v>
      </c>
      <c r="H1326" s="55" t="s">
        <v>360</v>
      </c>
      <c r="I1326" s="55" t="s">
        <v>360</v>
      </c>
      <c r="J1326" s="55" t="s">
        <v>360</v>
      </c>
      <c r="K1326" s="55" t="s">
        <v>360</v>
      </c>
      <c r="L1326" s="55" t="s">
        <v>360</v>
      </c>
      <c r="M1326" s="55" t="s">
        <v>142</v>
      </c>
      <c r="N1326" s="55" t="s">
        <v>142</v>
      </c>
      <c r="O1326" s="55" t="s">
        <v>262</v>
      </c>
      <c r="P1326" s="55" t="s">
        <v>949</v>
      </c>
      <c r="Q1326" s="55" t="s">
        <v>350</v>
      </c>
      <c r="R1326" s="55">
        <v>3</v>
      </c>
      <c r="S1326" s="74"/>
      <c r="T1326" s="55" t="s">
        <v>1654</v>
      </c>
      <c r="U1326" s="73" t="s">
        <v>351</v>
      </c>
      <c r="V1326" s="74">
        <v>44544</v>
      </c>
      <c r="W1326" s="74">
        <v>44593</v>
      </c>
      <c r="X1326" s="55">
        <v>10209374</v>
      </c>
      <c r="Y1326" s="74" t="s">
        <v>130</v>
      </c>
      <c r="Z1326" s="74"/>
      <c r="AB1326" s="55" t="s">
        <v>130</v>
      </c>
      <c r="AC1326" s="55" t="s">
        <v>130</v>
      </c>
    </row>
    <row r="1327" spans="1:29" ht="13" x14ac:dyDescent="0.15">
      <c r="A1327" s="72" t="str">
        <f t="shared" si="20"/>
        <v>Ofsted Social Care Provider Webpage</v>
      </c>
      <c r="B1327" s="55">
        <v>2617303</v>
      </c>
      <c r="D1327" s="55" t="s">
        <v>373</v>
      </c>
      <c r="E1327" s="74">
        <v>44207</v>
      </c>
      <c r="F1327" s="55" t="s">
        <v>344</v>
      </c>
      <c r="G1327" s="55" t="s">
        <v>360</v>
      </c>
      <c r="H1327" s="55" t="s">
        <v>360</v>
      </c>
      <c r="I1327" s="55" t="s">
        <v>360</v>
      </c>
      <c r="J1327" s="55" t="s">
        <v>360</v>
      </c>
      <c r="K1327" s="55" t="s">
        <v>360</v>
      </c>
      <c r="L1327" s="55" t="s">
        <v>360</v>
      </c>
      <c r="M1327" s="55" t="s">
        <v>144</v>
      </c>
      <c r="N1327" s="55" t="s">
        <v>144</v>
      </c>
      <c r="O1327" s="55" t="s">
        <v>209</v>
      </c>
      <c r="P1327" s="55" t="s">
        <v>364</v>
      </c>
      <c r="Q1327" s="55" t="s">
        <v>350</v>
      </c>
      <c r="R1327" s="55">
        <v>2</v>
      </c>
      <c r="S1327" s="74"/>
      <c r="T1327" s="55" t="s">
        <v>1279</v>
      </c>
      <c r="U1327" s="73"/>
      <c r="W1327" s="74"/>
      <c r="Y1327" s="74"/>
      <c r="Z1327" s="74"/>
    </row>
    <row r="1328" spans="1:29" ht="13" x14ac:dyDescent="0.15">
      <c r="A1328" s="72" t="str">
        <f t="shared" si="20"/>
        <v>Ofsted Social Care Provider Webpage</v>
      </c>
      <c r="B1328" s="55">
        <v>2617499</v>
      </c>
      <c r="D1328" s="55" t="s">
        <v>373</v>
      </c>
      <c r="E1328" s="74">
        <v>44223</v>
      </c>
      <c r="F1328" s="55" t="s">
        <v>344</v>
      </c>
      <c r="G1328" s="55" t="s">
        <v>360</v>
      </c>
      <c r="H1328" s="55" t="s">
        <v>360</v>
      </c>
      <c r="I1328" s="55" t="s">
        <v>360</v>
      </c>
      <c r="J1328" s="55" t="s">
        <v>360</v>
      </c>
      <c r="K1328" s="55" t="s">
        <v>360</v>
      </c>
      <c r="L1328" s="55" t="s">
        <v>360</v>
      </c>
      <c r="M1328" s="55" t="s">
        <v>138</v>
      </c>
      <c r="N1328" s="55" t="s">
        <v>138</v>
      </c>
      <c r="O1328" s="55" t="s">
        <v>183</v>
      </c>
      <c r="P1328" s="55" t="s">
        <v>616</v>
      </c>
      <c r="Q1328" s="55" t="s">
        <v>350</v>
      </c>
      <c r="R1328" s="55">
        <v>5</v>
      </c>
      <c r="S1328" s="74"/>
      <c r="T1328" s="55" t="s">
        <v>577</v>
      </c>
      <c r="U1328" s="73" t="s">
        <v>351</v>
      </c>
      <c r="V1328" s="74">
        <v>44363</v>
      </c>
      <c r="W1328" s="74">
        <v>44393</v>
      </c>
      <c r="X1328" s="55">
        <v>10188264</v>
      </c>
      <c r="Y1328" s="74" t="s">
        <v>130</v>
      </c>
      <c r="Z1328" s="74"/>
      <c r="AB1328" s="55" t="s">
        <v>130</v>
      </c>
      <c r="AC1328" s="55" t="s">
        <v>130</v>
      </c>
    </row>
    <row r="1329" spans="1:29" ht="13" x14ac:dyDescent="0.15">
      <c r="A1329" s="72" t="str">
        <f t="shared" si="20"/>
        <v>Ofsted Social Care Provider Webpage</v>
      </c>
      <c r="B1329" s="55">
        <v>2617662</v>
      </c>
      <c r="D1329" s="55" t="s">
        <v>373</v>
      </c>
      <c r="E1329" s="74">
        <v>44280</v>
      </c>
      <c r="F1329" s="55" t="s">
        <v>344</v>
      </c>
      <c r="G1329" s="55" t="s">
        <v>360</v>
      </c>
      <c r="H1329" s="55" t="s">
        <v>360</v>
      </c>
      <c r="I1329" s="55" t="s">
        <v>360</v>
      </c>
      <c r="J1329" s="55" t="s">
        <v>360</v>
      </c>
      <c r="K1329" s="55" t="s">
        <v>360</v>
      </c>
      <c r="L1329" s="55" t="s">
        <v>360</v>
      </c>
      <c r="M1329" s="55" t="s">
        <v>144</v>
      </c>
      <c r="N1329" s="55" t="s">
        <v>144</v>
      </c>
      <c r="O1329" s="55" t="s">
        <v>168</v>
      </c>
      <c r="P1329" s="55" t="s">
        <v>913</v>
      </c>
      <c r="Q1329" s="55" t="s">
        <v>380</v>
      </c>
      <c r="R1329" s="55">
        <v>4</v>
      </c>
      <c r="S1329" s="74"/>
      <c r="T1329" s="55" t="s">
        <v>1432</v>
      </c>
      <c r="U1329" s="73" t="s">
        <v>351</v>
      </c>
      <c r="V1329" s="74">
        <v>44445</v>
      </c>
      <c r="W1329" s="74">
        <v>44475</v>
      </c>
      <c r="X1329" s="55">
        <v>10188316</v>
      </c>
      <c r="Y1329" s="74" t="s">
        <v>132</v>
      </c>
      <c r="Z1329" s="74"/>
      <c r="AB1329" s="55" t="s">
        <v>132</v>
      </c>
      <c r="AC1329" s="55" t="s">
        <v>132</v>
      </c>
    </row>
    <row r="1330" spans="1:29" ht="13" x14ac:dyDescent="0.15">
      <c r="A1330" s="72" t="str">
        <f t="shared" si="20"/>
        <v>Ofsted Social Care Provider Webpage</v>
      </c>
      <c r="B1330" s="55">
        <v>2617923</v>
      </c>
      <c r="D1330" s="55" t="s">
        <v>373</v>
      </c>
      <c r="E1330" s="74">
        <v>44286</v>
      </c>
      <c r="F1330" s="55" t="s">
        <v>344</v>
      </c>
      <c r="G1330" s="55" t="s">
        <v>360</v>
      </c>
      <c r="H1330" s="55" t="s">
        <v>360</v>
      </c>
      <c r="I1330" s="55" t="s">
        <v>360</v>
      </c>
      <c r="J1330" s="55" t="s">
        <v>360</v>
      </c>
      <c r="K1330" s="55" t="s">
        <v>360</v>
      </c>
      <c r="L1330" s="55" t="s">
        <v>360</v>
      </c>
      <c r="M1330" s="55" t="s">
        <v>136</v>
      </c>
      <c r="N1330" s="55" t="s">
        <v>136</v>
      </c>
      <c r="O1330" s="55" t="s">
        <v>165</v>
      </c>
      <c r="P1330" s="55" t="s">
        <v>748</v>
      </c>
      <c r="Q1330" s="55" t="s">
        <v>350</v>
      </c>
      <c r="R1330" s="55">
        <v>2</v>
      </c>
      <c r="S1330" s="74"/>
      <c r="T1330" s="55" t="s">
        <v>385</v>
      </c>
      <c r="U1330" s="73" t="s">
        <v>351</v>
      </c>
      <c r="V1330" s="74">
        <v>44495</v>
      </c>
      <c r="W1330" s="74">
        <v>44525</v>
      </c>
      <c r="X1330" s="55">
        <v>10192940</v>
      </c>
      <c r="Y1330" s="74" t="s">
        <v>132</v>
      </c>
      <c r="Z1330" s="74"/>
      <c r="AB1330" s="55" t="s">
        <v>132</v>
      </c>
      <c r="AC1330" s="55" t="s">
        <v>132</v>
      </c>
    </row>
    <row r="1331" spans="1:29" ht="13" x14ac:dyDescent="0.15">
      <c r="A1331" s="72" t="str">
        <f t="shared" si="20"/>
        <v>Ofsted Social Care Provider Webpage</v>
      </c>
      <c r="B1331" s="55">
        <v>2618445</v>
      </c>
      <c r="D1331" s="55" t="s">
        <v>373</v>
      </c>
      <c r="E1331" s="74">
        <v>44278</v>
      </c>
      <c r="F1331" s="55" t="s">
        <v>344</v>
      </c>
      <c r="G1331" s="55" t="s">
        <v>360</v>
      </c>
      <c r="H1331" s="55" t="s">
        <v>360</v>
      </c>
      <c r="I1331" s="55" t="s">
        <v>360</v>
      </c>
      <c r="J1331" s="55" t="s">
        <v>360</v>
      </c>
      <c r="K1331" s="55" t="s">
        <v>360</v>
      </c>
      <c r="L1331" s="55" t="s">
        <v>360</v>
      </c>
      <c r="M1331" s="55" t="s">
        <v>142</v>
      </c>
      <c r="N1331" s="55" t="s">
        <v>142</v>
      </c>
      <c r="O1331" s="55" t="s">
        <v>141</v>
      </c>
      <c r="P1331" s="55" t="s">
        <v>573</v>
      </c>
      <c r="Q1331" s="55" t="s">
        <v>350</v>
      </c>
      <c r="R1331" s="55">
        <v>3</v>
      </c>
      <c r="S1331" s="74"/>
      <c r="T1331" s="55" t="s">
        <v>2033</v>
      </c>
      <c r="U1331" s="73" t="s">
        <v>351</v>
      </c>
      <c r="V1331" s="74">
        <v>44621</v>
      </c>
      <c r="W1331" s="74">
        <v>44663</v>
      </c>
      <c r="X1331" s="55">
        <v>10188313</v>
      </c>
      <c r="Y1331" s="74" t="s">
        <v>132</v>
      </c>
      <c r="Z1331" s="74"/>
      <c r="AB1331" s="55" t="s">
        <v>140</v>
      </c>
      <c r="AC1331" s="55" t="s">
        <v>132</v>
      </c>
    </row>
    <row r="1332" spans="1:29" ht="13" x14ac:dyDescent="0.15">
      <c r="A1332" s="72" t="str">
        <f t="shared" si="20"/>
        <v>Ofsted Social Care Provider Webpage</v>
      </c>
      <c r="B1332" s="55">
        <v>2618526</v>
      </c>
      <c r="D1332" s="55" t="s">
        <v>389</v>
      </c>
      <c r="E1332" s="74">
        <v>44330</v>
      </c>
      <c r="F1332" s="55" t="s">
        <v>344</v>
      </c>
      <c r="G1332" s="55" t="s">
        <v>2034</v>
      </c>
      <c r="H1332" s="55" t="s">
        <v>2035</v>
      </c>
      <c r="I1332" s="55" t="s">
        <v>354</v>
      </c>
      <c r="J1332" s="55" t="s">
        <v>169</v>
      </c>
      <c r="L1332" s="55" t="s">
        <v>2036</v>
      </c>
      <c r="M1332" s="55" t="s">
        <v>378</v>
      </c>
      <c r="N1332" s="55" t="s">
        <v>170</v>
      </c>
      <c r="O1332" s="55" t="s">
        <v>169</v>
      </c>
      <c r="P1332" s="55" t="s">
        <v>169</v>
      </c>
      <c r="Q1332" s="55" t="s">
        <v>350</v>
      </c>
      <c r="R1332" s="55"/>
      <c r="S1332" s="74"/>
      <c r="T1332" s="55" t="s">
        <v>2034</v>
      </c>
      <c r="U1332" s="73"/>
      <c r="W1332" s="74"/>
      <c r="Y1332" s="74"/>
      <c r="Z1332" s="74"/>
    </row>
    <row r="1333" spans="1:29" ht="13" x14ac:dyDescent="0.15">
      <c r="A1333" s="72" t="str">
        <f t="shared" si="20"/>
        <v>Ofsted Social Care Provider Webpage</v>
      </c>
      <c r="B1333" s="55">
        <v>2618541</v>
      </c>
      <c r="D1333" s="55" t="s">
        <v>373</v>
      </c>
      <c r="E1333" s="74">
        <v>44242</v>
      </c>
      <c r="F1333" s="55" t="s">
        <v>344</v>
      </c>
      <c r="G1333" s="55" t="s">
        <v>360</v>
      </c>
      <c r="H1333" s="55" t="s">
        <v>360</v>
      </c>
      <c r="I1333" s="55" t="s">
        <v>360</v>
      </c>
      <c r="J1333" s="55" t="s">
        <v>360</v>
      </c>
      <c r="K1333" s="55" t="s">
        <v>360</v>
      </c>
      <c r="L1333" s="55" t="s">
        <v>360</v>
      </c>
      <c r="M1333" s="55" t="s">
        <v>144</v>
      </c>
      <c r="N1333" s="55" t="s">
        <v>144</v>
      </c>
      <c r="O1333" s="55" t="s">
        <v>209</v>
      </c>
      <c r="P1333" s="55" t="s">
        <v>534</v>
      </c>
      <c r="Q1333" s="55" t="s">
        <v>350</v>
      </c>
      <c r="R1333" s="55">
        <v>2</v>
      </c>
      <c r="S1333" s="74"/>
      <c r="T1333" s="55" t="s">
        <v>385</v>
      </c>
      <c r="U1333" s="73" t="s">
        <v>351</v>
      </c>
      <c r="V1333" s="74">
        <v>44573</v>
      </c>
      <c r="W1333" s="74">
        <v>44628</v>
      </c>
      <c r="X1333" s="55">
        <v>10188277</v>
      </c>
      <c r="Y1333" s="74" t="s">
        <v>132</v>
      </c>
      <c r="Z1333" s="74"/>
      <c r="AB1333" s="55" t="s">
        <v>132</v>
      </c>
      <c r="AC1333" s="55" t="s">
        <v>130</v>
      </c>
    </row>
    <row r="1334" spans="1:29" ht="13" x14ac:dyDescent="0.15">
      <c r="A1334" s="72" t="str">
        <f t="shared" si="20"/>
        <v>Ofsted Social Care Provider Webpage</v>
      </c>
      <c r="B1334" s="55">
        <v>2618553</v>
      </c>
      <c r="D1334" s="55" t="s">
        <v>373</v>
      </c>
      <c r="E1334" s="74">
        <v>44329</v>
      </c>
      <c r="F1334" s="55" t="s">
        <v>344</v>
      </c>
      <c r="G1334" s="55" t="s">
        <v>360</v>
      </c>
      <c r="H1334" s="55" t="s">
        <v>360</v>
      </c>
      <c r="I1334" s="55" t="s">
        <v>360</v>
      </c>
      <c r="J1334" s="55" t="s">
        <v>360</v>
      </c>
      <c r="K1334" s="55" t="s">
        <v>360</v>
      </c>
      <c r="L1334" s="55" t="s">
        <v>360</v>
      </c>
      <c r="M1334" s="55" t="s">
        <v>142</v>
      </c>
      <c r="N1334" s="55" t="s">
        <v>142</v>
      </c>
      <c r="O1334" s="55" t="s">
        <v>141</v>
      </c>
      <c r="P1334" s="55" t="s">
        <v>573</v>
      </c>
      <c r="Q1334" s="55" t="s">
        <v>350</v>
      </c>
      <c r="R1334" s="55">
        <v>1</v>
      </c>
      <c r="S1334" s="74"/>
      <c r="T1334" s="55" t="s">
        <v>2037</v>
      </c>
      <c r="U1334" s="73" t="s">
        <v>351</v>
      </c>
      <c r="V1334" s="74">
        <v>44600</v>
      </c>
      <c r="W1334" s="74">
        <v>44655</v>
      </c>
      <c r="X1334" s="55">
        <v>10202497</v>
      </c>
      <c r="Y1334" s="74" t="s">
        <v>130</v>
      </c>
      <c r="Z1334" s="74"/>
      <c r="AB1334" s="55" t="s">
        <v>130</v>
      </c>
      <c r="AC1334" s="55" t="s">
        <v>146</v>
      </c>
    </row>
    <row r="1335" spans="1:29" ht="13" x14ac:dyDescent="0.15">
      <c r="A1335" s="72" t="str">
        <f t="shared" si="20"/>
        <v>Ofsted Social Care Provider Webpage</v>
      </c>
      <c r="B1335" s="55">
        <v>2618702</v>
      </c>
      <c r="D1335" s="55" t="s">
        <v>389</v>
      </c>
      <c r="E1335" s="74">
        <v>44424</v>
      </c>
      <c r="F1335" s="55" t="s">
        <v>344</v>
      </c>
      <c r="G1335" s="55" t="s">
        <v>2038</v>
      </c>
      <c r="H1335" s="55" t="s">
        <v>2039</v>
      </c>
      <c r="I1335" s="55" t="s">
        <v>2040</v>
      </c>
      <c r="J1335" s="55" t="s">
        <v>2041</v>
      </c>
      <c r="K1335" s="55" t="s">
        <v>285</v>
      </c>
      <c r="L1335" s="55" t="s">
        <v>2042</v>
      </c>
      <c r="M1335" s="55" t="s">
        <v>150</v>
      </c>
      <c r="N1335" s="55" t="s">
        <v>150</v>
      </c>
      <c r="O1335" s="55" t="s">
        <v>285</v>
      </c>
      <c r="P1335" s="55" t="s">
        <v>575</v>
      </c>
      <c r="Q1335" s="55" t="s">
        <v>350</v>
      </c>
      <c r="R1335" s="55"/>
      <c r="S1335" s="74"/>
      <c r="T1335" s="55" t="s">
        <v>2043</v>
      </c>
      <c r="U1335" s="73"/>
      <c r="W1335" s="74"/>
      <c r="Y1335" s="74"/>
      <c r="Z1335" s="74"/>
    </row>
    <row r="1336" spans="1:29" ht="13" x14ac:dyDescent="0.15">
      <c r="A1336" s="72" t="str">
        <f t="shared" si="20"/>
        <v>Ofsted Social Care Provider Webpage</v>
      </c>
      <c r="B1336" s="55">
        <v>2618755</v>
      </c>
      <c r="D1336" s="55" t="s">
        <v>373</v>
      </c>
      <c r="E1336" s="74">
        <v>44293</v>
      </c>
      <c r="F1336" s="55" t="s">
        <v>344</v>
      </c>
      <c r="G1336" s="55" t="s">
        <v>360</v>
      </c>
      <c r="H1336" s="55" t="s">
        <v>360</v>
      </c>
      <c r="I1336" s="55" t="s">
        <v>360</v>
      </c>
      <c r="J1336" s="55" t="s">
        <v>360</v>
      </c>
      <c r="K1336" s="55" t="s">
        <v>360</v>
      </c>
      <c r="L1336" s="55" t="s">
        <v>360</v>
      </c>
      <c r="M1336" s="55" t="s">
        <v>142</v>
      </c>
      <c r="N1336" s="55" t="s">
        <v>142</v>
      </c>
      <c r="O1336" s="55" t="s">
        <v>141</v>
      </c>
      <c r="P1336" s="55" t="s">
        <v>1226</v>
      </c>
      <c r="Q1336" s="55" t="s">
        <v>350</v>
      </c>
      <c r="R1336" s="55">
        <v>3</v>
      </c>
      <c r="S1336" s="74"/>
      <c r="T1336" s="55" t="s">
        <v>2044</v>
      </c>
      <c r="U1336" s="73" t="s">
        <v>351</v>
      </c>
      <c r="V1336" s="74">
        <v>44411</v>
      </c>
      <c r="W1336" s="74">
        <v>44448</v>
      </c>
      <c r="X1336" s="55">
        <v>10198620</v>
      </c>
      <c r="Y1336" s="74" t="s">
        <v>146</v>
      </c>
      <c r="Z1336" s="74"/>
      <c r="AB1336" s="55" t="s">
        <v>146</v>
      </c>
      <c r="AC1336" s="55" t="s">
        <v>146</v>
      </c>
    </row>
    <row r="1337" spans="1:29" ht="13" x14ac:dyDescent="0.15">
      <c r="A1337" s="72" t="str">
        <f t="shared" si="20"/>
        <v>Ofsted Social Care Provider Webpage</v>
      </c>
      <c r="B1337" s="55">
        <v>2619057</v>
      </c>
      <c r="D1337" s="55" t="s">
        <v>373</v>
      </c>
      <c r="E1337" s="74">
        <v>44432</v>
      </c>
      <c r="F1337" s="55" t="s">
        <v>344</v>
      </c>
      <c r="G1337" s="55" t="s">
        <v>360</v>
      </c>
      <c r="H1337" s="55" t="s">
        <v>360</v>
      </c>
      <c r="I1337" s="55" t="s">
        <v>360</v>
      </c>
      <c r="J1337" s="55" t="s">
        <v>360</v>
      </c>
      <c r="K1337" s="55" t="s">
        <v>360</v>
      </c>
      <c r="L1337" s="55" t="s">
        <v>360</v>
      </c>
      <c r="M1337" s="55" t="s">
        <v>150</v>
      </c>
      <c r="N1337" s="55" t="s">
        <v>150</v>
      </c>
      <c r="O1337" s="55" t="s">
        <v>268</v>
      </c>
      <c r="P1337" s="55" t="s">
        <v>1943</v>
      </c>
      <c r="Q1337" s="55" t="s">
        <v>350</v>
      </c>
      <c r="R1337" s="55">
        <v>5</v>
      </c>
      <c r="S1337" s="74"/>
      <c r="T1337" s="55" t="s">
        <v>2045</v>
      </c>
      <c r="U1337" s="73"/>
      <c r="W1337" s="74"/>
      <c r="Y1337" s="74"/>
      <c r="Z1337" s="74"/>
    </row>
    <row r="1338" spans="1:29" ht="13" x14ac:dyDescent="0.15">
      <c r="A1338" s="72" t="str">
        <f t="shared" si="20"/>
        <v>Ofsted Social Care Provider Webpage</v>
      </c>
      <c r="B1338" s="55">
        <v>2619265</v>
      </c>
      <c r="D1338" s="55" t="s">
        <v>373</v>
      </c>
      <c r="E1338" s="74">
        <v>44236</v>
      </c>
      <c r="F1338" s="55" t="s">
        <v>344</v>
      </c>
      <c r="G1338" s="55" t="s">
        <v>360</v>
      </c>
      <c r="H1338" s="55" t="s">
        <v>360</v>
      </c>
      <c r="I1338" s="55" t="s">
        <v>360</v>
      </c>
      <c r="J1338" s="55" t="s">
        <v>360</v>
      </c>
      <c r="K1338" s="55" t="s">
        <v>360</v>
      </c>
      <c r="L1338" s="55" t="s">
        <v>360</v>
      </c>
      <c r="M1338" s="55" t="s">
        <v>144</v>
      </c>
      <c r="N1338" s="55" t="s">
        <v>144</v>
      </c>
      <c r="O1338" s="55" t="s">
        <v>209</v>
      </c>
      <c r="P1338" s="55" t="s">
        <v>544</v>
      </c>
      <c r="Q1338" s="55" t="s">
        <v>350</v>
      </c>
      <c r="R1338" s="55">
        <v>2</v>
      </c>
      <c r="S1338" s="74"/>
      <c r="T1338" s="55" t="s">
        <v>2046</v>
      </c>
      <c r="U1338" s="73" t="s">
        <v>351</v>
      </c>
      <c r="V1338" s="74">
        <v>44460</v>
      </c>
      <c r="W1338" s="74">
        <v>44494</v>
      </c>
      <c r="X1338" s="55">
        <v>10188273</v>
      </c>
      <c r="Y1338" s="74" t="s">
        <v>132</v>
      </c>
      <c r="Z1338" s="74"/>
      <c r="AB1338" s="55" t="s">
        <v>132</v>
      </c>
      <c r="AC1338" s="55" t="s">
        <v>132</v>
      </c>
    </row>
    <row r="1339" spans="1:29" ht="13" x14ac:dyDescent="0.15">
      <c r="A1339" s="72" t="str">
        <f t="shared" si="20"/>
        <v>Ofsted Social Care Provider Webpage</v>
      </c>
      <c r="B1339" s="55">
        <v>2619357</v>
      </c>
      <c r="D1339" s="55" t="s">
        <v>373</v>
      </c>
      <c r="E1339" s="74">
        <v>44230</v>
      </c>
      <c r="F1339" s="55" t="s">
        <v>344</v>
      </c>
      <c r="G1339" s="55" t="s">
        <v>360</v>
      </c>
      <c r="H1339" s="55" t="s">
        <v>360</v>
      </c>
      <c r="I1339" s="55" t="s">
        <v>360</v>
      </c>
      <c r="J1339" s="55" t="s">
        <v>360</v>
      </c>
      <c r="K1339" s="55" t="s">
        <v>360</v>
      </c>
      <c r="L1339" s="55" t="s">
        <v>360</v>
      </c>
      <c r="M1339" s="55" t="s">
        <v>136</v>
      </c>
      <c r="N1339" s="55" t="s">
        <v>136</v>
      </c>
      <c r="O1339" s="55" t="s">
        <v>174</v>
      </c>
      <c r="P1339" s="55" t="s">
        <v>857</v>
      </c>
      <c r="Q1339" s="55" t="s">
        <v>350</v>
      </c>
      <c r="R1339" s="55">
        <v>3</v>
      </c>
      <c r="S1339" s="74"/>
      <c r="T1339" s="55" t="s">
        <v>1295</v>
      </c>
      <c r="U1339" s="73" t="s">
        <v>351</v>
      </c>
      <c r="V1339" s="74">
        <v>44621</v>
      </c>
      <c r="W1339" s="74">
        <v>44672</v>
      </c>
      <c r="X1339" s="55">
        <v>10188271</v>
      </c>
      <c r="Y1339" s="74" t="s">
        <v>146</v>
      </c>
      <c r="Z1339" s="74"/>
      <c r="AB1339" s="55" t="s">
        <v>146</v>
      </c>
      <c r="AC1339" s="55" t="s">
        <v>146</v>
      </c>
    </row>
    <row r="1340" spans="1:29" ht="13" x14ac:dyDescent="0.15">
      <c r="A1340" s="72" t="str">
        <f t="shared" si="20"/>
        <v>Ofsted Social Care Provider Webpage</v>
      </c>
      <c r="B1340" s="55">
        <v>2620184</v>
      </c>
      <c r="D1340" s="55" t="s">
        <v>373</v>
      </c>
      <c r="E1340" s="74">
        <v>44421</v>
      </c>
      <c r="F1340" s="55" t="s">
        <v>344</v>
      </c>
      <c r="G1340" s="55" t="s">
        <v>360</v>
      </c>
      <c r="H1340" s="55" t="s">
        <v>360</v>
      </c>
      <c r="I1340" s="55" t="s">
        <v>360</v>
      </c>
      <c r="J1340" s="55" t="s">
        <v>360</v>
      </c>
      <c r="K1340" s="55" t="s">
        <v>360</v>
      </c>
      <c r="L1340" s="55" t="s">
        <v>360</v>
      </c>
      <c r="M1340" s="55" t="s">
        <v>142</v>
      </c>
      <c r="N1340" s="55" t="s">
        <v>142</v>
      </c>
      <c r="O1340" s="55" t="s">
        <v>249</v>
      </c>
      <c r="P1340" s="55" t="s">
        <v>1181</v>
      </c>
      <c r="Q1340" s="55" t="s">
        <v>350</v>
      </c>
      <c r="R1340" s="55">
        <v>3</v>
      </c>
      <c r="S1340" s="74"/>
      <c r="T1340" s="55" t="s">
        <v>1654</v>
      </c>
      <c r="U1340" s="73" t="s">
        <v>351</v>
      </c>
      <c r="V1340" s="74">
        <v>44578</v>
      </c>
      <c r="W1340" s="74">
        <v>44622</v>
      </c>
      <c r="X1340" s="55">
        <v>10209371</v>
      </c>
      <c r="Y1340" s="74" t="s">
        <v>132</v>
      </c>
      <c r="Z1340" s="74"/>
      <c r="AB1340" s="55" t="s">
        <v>130</v>
      </c>
      <c r="AC1340" s="55" t="s">
        <v>132</v>
      </c>
    </row>
    <row r="1341" spans="1:29" ht="13" x14ac:dyDescent="0.15">
      <c r="A1341" s="72" t="str">
        <f t="shared" si="20"/>
        <v>Ofsted Social Care Provider Webpage</v>
      </c>
      <c r="B1341" s="55">
        <v>2620222</v>
      </c>
      <c r="D1341" s="55" t="s">
        <v>373</v>
      </c>
      <c r="E1341" s="74">
        <v>44391</v>
      </c>
      <c r="F1341" s="55" t="s">
        <v>344</v>
      </c>
      <c r="G1341" s="55" t="s">
        <v>360</v>
      </c>
      <c r="H1341" s="55" t="s">
        <v>360</v>
      </c>
      <c r="I1341" s="55" t="s">
        <v>360</v>
      </c>
      <c r="J1341" s="55" t="s">
        <v>360</v>
      </c>
      <c r="K1341" s="55" t="s">
        <v>360</v>
      </c>
      <c r="L1341" s="55" t="s">
        <v>360</v>
      </c>
      <c r="M1341" s="55" t="s">
        <v>144</v>
      </c>
      <c r="N1341" s="55" t="s">
        <v>144</v>
      </c>
      <c r="O1341" s="55" t="s">
        <v>145</v>
      </c>
      <c r="P1341" s="55" t="s">
        <v>525</v>
      </c>
      <c r="Q1341" s="55" t="s">
        <v>350</v>
      </c>
      <c r="R1341" s="55">
        <v>2</v>
      </c>
      <c r="S1341" s="74"/>
      <c r="T1341" s="55" t="s">
        <v>485</v>
      </c>
      <c r="U1341" s="73" t="s">
        <v>351</v>
      </c>
      <c r="V1341" s="74">
        <v>44621</v>
      </c>
      <c r="W1341" s="74">
        <v>44665</v>
      </c>
      <c r="X1341" s="55">
        <v>10204571</v>
      </c>
      <c r="Y1341" s="74" t="s">
        <v>132</v>
      </c>
      <c r="Z1341" s="74"/>
      <c r="AB1341" s="55" t="s">
        <v>132</v>
      </c>
      <c r="AC1341" s="55" t="s">
        <v>132</v>
      </c>
    </row>
    <row r="1342" spans="1:29" ht="13" x14ac:dyDescent="0.15">
      <c r="A1342" s="72" t="str">
        <f t="shared" si="20"/>
        <v>Ofsted Social Care Provider Webpage</v>
      </c>
      <c r="B1342" s="55">
        <v>2620261</v>
      </c>
      <c r="D1342" s="55" t="s">
        <v>373</v>
      </c>
      <c r="E1342" s="74">
        <v>44239</v>
      </c>
      <c r="F1342" s="55" t="s">
        <v>344</v>
      </c>
      <c r="G1342" s="55" t="s">
        <v>360</v>
      </c>
      <c r="H1342" s="55" t="s">
        <v>360</v>
      </c>
      <c r="I1342" s="55" t="s">
        <v>360</v>
      </c>
      <c r="J1342" s="55" t="s">
        <v>360</v>
      </c>
      <c r="K1342" s="55" t="s">
        <v>360</v>
      </c>
      <c r="L1342" s="55" t="s">
        <v>360</v>
      </c>
      <c r="M1342" s="55" t="s">
        <v>136</v>
      </c>
      <c r="N1342" s="55" t="s">
        <v>136</v>
      </c>
      <c r="O1342" s="55" t="s">
        <v>176</v>
      </c>
      <c r="P1342" s="55" t="s">
        <v>436</v>
      </c>
      <c r="Q1342" s="55" t="s">
        <v>350</v>
      </c>
      <c r="R1342" s="55">
        <v>3</v>
      </c>
      <c r="S1342" s="74"/>
      <c r="T1342" s="55" t="s">
        <v>2047</v>
      </c>
      <c r="U1342" s="73" t="s">
        <v>351</v>
      </c>
      <c r="V1342" s="74">
        <v>44496</v>
      </c>
      <c r="W1342" s="74">
        <v>44538</v>
      </c>
      <c r="X1342" s="55">
        <v>10188275</v>
      </c>
      <c r="Y1342" s="74" t="s">
        <v>132</v>
      </c>
      <c r="Z1342" s="74"/>
      <c r="AB1342" s="55" t="s">
        <v>132</v>
      </c>
      <c r="AC1342" s="55" t="s">
        <v>132</v>
      </c>
    </row>
    <row r="1343" spans="1:29" ht="13" x14ac:dyDescent="0.15">
      <c r="A1343" s="72" t="str">
        <f t="shared" si="20"/>
        <v>Ofsted Social Care Provider Webpage</v>
      </c>
      <c r="B1343" s="55">
        <v>2620266</v>
      </c>
      <c r="D1343" s="55" t="s">
        <v>373</v>
      </c>
      <c r="E1343" s="74">
        <v>44278</v>
      </c>
      <c r="F1343" s="55" t="s">
        <v>344</v>
      </c>
      <c r="G1343" s="55" t="s">
        <v>360</v>
      </c>
      <c r="H1343" s="55" t="s">
        <v>360</v>
      </c>
      <c r="I1343" s="55" t="s">
        <v>360</v>
      </c>
      <c r="J1343" s="55" t="s">
        <v>360</v>
      </c>
      <c r="K1343" s="55" t="s">
        <v>360</v>
      </c>
      <c r="L1343" s="55" t="s">
        <v>360</v>
      </c>
      <c r="M1343" s="55" t="s">
        <v>144</v>
      </c>
      <c r="N1343" s="55" t="s">
        <v>144</v>
      </c>
      <c r="O1343" s="55" t="s">
        <v>209</v>
      </c>
      <c r="P1343" s="55" t="s">
        <v>474</v>
      </c>
      <c r="Q1343" s="55" t="s">
        <v>350</v>
      </c>
      <c r="R1343" s="55">
        <v>2</v>
      </c>
      <c r="S1343" s="74"/>
      <c r="T1343" s="55" t="s">
        <v>1643</v>
      </c>
      <c r="U1343" s="73" t="s">
        <v>351</v>
      </c>
      <c r="V1343" s="74">
        <v>44627</v>
      </c>
      <c r="W1343" s="74">
        <v>44670</v>
      </c>
      <c r="X1343" s="55">
        <v>10188314</v>
      </c>
      <c r="Y1343" s="74" t="s">
        <v>132</v>
      </c>
      <c r="Z1343" s="74"/>
      <c r="AB1343" s="55" t="s">
        <v>132</v>
      </c>
      <c r="AC1343" s="55" t="s">
        <v>132</v>
      </c>
    </row>
    <row r="1344" spans="1:29" ht="13" x14ac:dyDescent="0.15">
      <c r="A1344" s="72" t="str">
        <f t="shared" si="20"/>
        <v>Ofsted Social Care Provider Webpage</v>
      </c>
      <c r="B1344" s="55">
        <v>2620359</v>
      </c>
      <c r="D1344" s="55" t="s">
        <v>373</v>
      </c>
      <c r="E1344" s="74">
        <v>44253</v>
      </c>
      <c r="F1344" s="55" t="s">
        <v>344</v>
      </c>
      <c r="G1344" s="55" t="s">
        <v>360</v>
      </c>
      <c r="H1344" s="55" t="s">
        <v>360</v>
      </c>
      <c r="I1344" s="55" t="s">
        <v>360</v>
      </c>
      <c r="J1344" s="55" t="s">
        <v>360</v>
      </c>
      <c r="K1344" s="55" t="s">
        <v>360</v>
      </c>
      <c r="L1344" s="55" t="s">
        <v>360</v>
      </c>
      <c r="M1344" s="55" t="s">
        <v>144</v>
      </c>
      <c r="N1344" s="55" t="s">
        <v>144</v>
      </c>
      <c r="O1344" s="55" t="s">
        <v>215</v>
      </c>
      <c r="P1344" s="55" t="s">
        <v>1207</v>
      </c>
      <c r="Q1344" s="55" t="s">
        <v>350</v>
      </c>
      <c r="R1344" s="55">
        <v>1</v>
      </c>
      <c r="S1344" s="74"/>
      <c r="T1344" s="55" t="s">
        <v>1208</v>
      </c>
      <c r="U1344" s="73" t="s">
        <v>351</v>
      </c>
      <c r="V1344" s="74">
        <v>44509</v>
      </c>
      <c r="W1344" s="74">
        <v>44547</v>
      </c>
      <c r="X1344" s="55">
        <v>10188290</v>
      </c>
      <c r="Y1344" s="74" t="s">
        <v>132</v>
      </c>
      <c r="Z1344" s="74"/>
      <c r="AB1344" s="55" t="s">
        <v>132</v>
      </c>
      <c r="AC1344" s="55" t="s">
        <v>132</v>
      </c>
    </row>
    <row r="1345" spans="1:29" ht="13" x14ac:dyDescent="0.15">
      <c r="A1345" s="72" t="str">
        <f t="shared" si="20"/>
        <v>Ofsted Social Care Provider Webpage</v>
      </c>
      <c r="B1345" s="55">
        <v>2620366</v>
      </c>
      <c r="D1345" s="55" t="s">
        <v>373</v>
      </c>
      <c r="E1345" s="74">
        <v>44491</v>
      </c>
      <c r="F1345" s="55" t="s">
        <v>344</v>
      </c>
      <c r="G1345" s="55" t="s">
        <v>360</v>
      </c>
      <c r="H1345" s="55" t="s">
        <v>360</v>
      </c>
      <c r="I1345" s="55" t="s">
        <v>360</v>
      </c>
      <c r="J1345" s="55" t="s">
        <v>360</v>
      </c>
      <c r="K1345" s="55" t="s">
        <v>360</v>
      </c>
      <c r="L1345" s="55" t="s">
        <v>360</v>
      </c>
      <c r="M1345" s="55" t="s">
        <v>142</v>
      </c>
      <c r="N1345" s="55" t="s">
        <v>142</v>
      </c>
      <c r="O1345" s="55" t="s">
        <v>141</v>
      </c>
      <c r="P1345" s="55" t="s">
        <v>641</v>
      </c>
      <c r="Q1345" s="55" t="s">
        <v>350</v>
      </c>
      <c r="R1345" s="55">
        <v>1</v>
      </c>
      <c r="S1345" s="74"/>
      <c r="T1345" s="55" t="s">
        <v>385</v>
      </c>
      <c r="U1345" s="73"/>
      <c r="W1345" s="74"/>
      <c r="Y1345" s="74"/>
      <c r="Z1345" s="74"/>
    </row>
    <row r="1346" spans="1:29" ht="13" x14ac:dyDescent="0.15">
      <c r="A1346" s="72" t="str">
        <f t="shared" si="20"/>
        <v>Ofsted Social Care Provider Webpage</v>
      </c>
      <c r="B1346" s="55">
        <v>2620678</v>
      </c>
      <c r="D1346" s="55" t="s">
        <v>373</v>
      </c>
      <c r="E1346" s="74">
        <v>44299</v>
      </c>
      <c r="F1346" s="55" t="s">
        <v>344</v>
      </c>
      <c r="G1346" s="55" t="s">
        <v>360</v>
      </c>
      <c r="H1346" s="55" t="s">
        <v>360</v>
      </c>
      <c r="I1346" s="55" t="s">
        <v>360</v>
      </c>
      <c r="J1346" s="55" t="s">
        <v>360</v>
      </c>
      <c r="K1346" s="55" t="s">
        <v>360</v>
      </c>
      <c r="L1346" s="55" t="s">
        <v>360</v>
      </c>
      <c r="M1346" s="55" t="s">
        <v>142</v>
      </c>
      <c r="N1346" s="55" t="s">
        <v>142</v>
      </c>
      <c r="O1346" s="55" t="s">
        <v>252</v>
      </c>
      <c r="P1346" s="55" t="s">
        <v>503</v>
      </c>
      <c r="Q1346" s="55" t="s">
        <v>350</v>
      </c>
      <c r="R1346" s="55">
        <v>4</v>
      </c>
      <c r="S1346" s="74"/>
      <c r="T1346" s="55" t="s">
        <v>574</v>
      </c>
      <c r="U1346" s="73" t="s">
        <v>351</v>
      </c>
      <c r="V1346" s="74">
        <v>44523</v>
      </c>
      <c r="W1346" s="74">
        <v>44571</v>
      </c>
      <c r="X1346" s="55">
        <v>10202189</v>
      </c>
      <c r="Y1346" s="74" t="s">
        <v>132</v>
      </c>
      <c r="Z1346" s="74"/>
      <c r="AB1346" s="55" t="s">
        <v>132</v>
      </c>
      <c r="AC1346" s="55" t="s">
        <v>130</v>
      </c>
    </row>
    <row r="1347" spans="1:29" ht="13" x14ac:dyDescent="0.15">
      <c r="A1347" s="72" t="str">
        <f t="shared" si="20"/>
        <v>Ofsted Social Care Provider Webpage</v>
      </c>
      <c r="B1347" s="55">
        <v>2620698</v>
      </c>
      <c r="D1347" s="55" t="s">
        <v>373</v>
      </c>
      <c r="E1347" s="74">
        <v>44287</v>
      </c>
      <c r="F1347" s="55" t="s">
        <v>344</v>
      </c>
      <c r="G1347" s="55" t="s">
        <v>360</v>
      </c>
      <c r="H1347" s="55" t="s">
        <v>360</v>
      </c>
      <c r="I1347" s="55" t="s">
        <v>360</v>
      </c>
      <c r="J1347" s="55" t="s">
        <v>360</v>
      </c>
      <c r="K1347" s="55" t="s">
        <v>360</v>
      </c>
      <c r="L1347" s="55" t="s">
        <v>360</v>
      </c>
      <c r="M1347" s="55" t="s">
        <v>142</v>
      </c>
      <c r="N1347" s="55" t="s">
        <v>142</v>
      </c>
      <c r="O1347" s="55" t="s">
        <v>262</v>
      </c>
      <c r="P1347" s="55" t="s">
        <v>488</v>
      </c>
      <c r="Q1347" s="55" t="s">
        <v>350</v>
      </c>
      <c r="R1347" s="55">
        <v>4</v>
      </c>
      <c r="S1347" s="74"/>
      <c r="T1347" s="55" t="s">
        <v>642</v>
      </c>
      <c r="U1347" s="73"/>
      <c r="W1347" s="74"/>
      <c r="Y1347" s="74"/>
      <c r="Z1347" s="74"/>
    </row>
    <row r="1348" spans="1:29" ht="13" x14ac:dyDescent="0.15">
      <c r="A1348" s="72" t="str">
        <f t="shared" si="20"/>
        <v>Ofsted Social Care Provider Webpage</v>
      </c>
      <c r="B1348" s="55">
        <v>2620865</v>
      </c>
      <c r="D1348" s="55" t="s">
        <v>373</v>
      </c>
      <c r="E1348" s="74">
        <v>44180</v>
      </c>
      <c r="F1348" s="55" t="s">
        <v>344</v>
      </c>
      <c r="G1348" s="55" t="s">
        <v>360</v>
      </c>
      <c r="H1348" s="55" t="s">
        <v>360</v>
      </c>
      <c r="I1348" s="55" t="s">
        <v>360</v>
      </c>
      <c r="J1348" s="55" t="s">
        <v>360</v>
      </c>
      <c r="K1348" s="55" t="s">
        <v>360</v>
      </c>
      <c r="L1348" s="55" t="s">
        <v>360</v>
      </c>
      <c r="M1348" s="55" t="s">
        <v>144</v>
      </c>
      <c r="N1348" s="55" t="s">
        <v>144</v>
      </c>
      <c r="O1348" s="55" t="s">
        <v>281</v>
      </c>
      <c r="P1348" s="55" t="s">
        <v>725</v>
      </c>
      <c r="Q1348" s="55" t="s">
        <v>350</v>
      </c>
      <c r="R1348" s="55">
        <v>6</v>
      </c>
      <c r="S1348" s="74"/>
      <c r="T1348" s="55" t="s">
        <v>656</v>
      </c>
      <c r="U1348" s="73" t="s">
        <v>351</v>
      </c>
      <c r="V1348" s="74">
        <v>44544</v>
      </c>
      <c r="W1348" s="74">
        <v>44586</v>
      </c>
      <c r="X1348" s="55">
        <v>10185662</v>
      </c>
      <c r="Y1348" s="74" t="s">
        <v>132</v>
      </c>
      <c r="Z1348" s="74"/>
      <c r="AB1348" s="55" t="s">
        <v>130</v>
      </c>
      <c r="AC1348" s="55" t="s">
        <v>132</v>
      </c>
    </row>
    <row r="1349" spans="1:29" ht="13" x14ac:dyDescent="0.15">
      <c r="A1349" s="72" t="str">
        <f t="shared" si="20"/>
        <v>Ofsted Social Care Provider Webpage</v>
      </c>
      <c r="B1349" s="55">
        <v>2620950</v>
      </c>
      <c r="D1349" s="55" t="s">
        <v>373</v>
      </c>
      <c r="E1349" s="74">
        <v>44277</v>
      </c>
      <c r="F1349" s="55" t="s">
        <v>344</v>
      </c>
      <c r="G1349" s="55" t="s">
        <v>360</v>
      </c>
      <c r="H1349" s="55" t="s">
        <v>360</v>
      </c>
      <c r="I1349" s="55" t="s">
        <v>360</v>
      </c>
      <c r="J1349" s="55" t="s">
        <v>360</v>
      </c>
      <c r="K1349" s="55" t="s">
        <v>360</v>
      </c>
      <c r="L1349" s="55" t="s">
        <v>360</v>
      </c>
      <c r="M1349" s="55" t="s">
        <v>144</v>
      </c>
      <c r="N1349" s="55" t="s">
        <v>144</v>
      </c>
      <c r="O1349" s="55" t="s">
        <v>147</v>
      </c>
      <c r="P1349" s="55" t="s">
        <v>674</v>
      </c>
      <c r="Q1349" s="55" t="s">
        <v>350</v>
      </c>
      <c r="R1349" s="55">
        <v>2</v>
      </c>
      <c r="S1349" s="74"/>
      <c r="T1349" s="55" t="s">
        <v>385</v>
      </c>
      <c r="U1349" s="73" t="s">
        <v>351</v>
      </c>
      <c r="V1349" s="74">
        <v>44600</v>
      </c>
      <c r="W1349" s="74">
        <v>44644</v>
      </c>
      <c r="X1349" s="55">
        <v>10188312</v>
      </c>
      <c r="Y1349" s="74" t="s">
        <v>130</v>
      </c>
      <c r="Z1349" s="74"/>
      <c r="AB1349" s="55" t="s">
        <v>130</v>
      </c>
      <c r="AC1349" s="55" t="s">
        <v>130</v>
      </c>
    </row>
    <row r="1350" spans="1:29" ht="13" x14ac:dyDescent="0.15">
      <c r="A1350" s="72" t="str">
        <f t="shared" ref="A1350:A1413" si="21">HYPERLINK(_xlfn.CONCAT("http://reports.ofsted.gov.uk/inspection-reports/find-inspection-report/provider/CARE/",B1350),"Ofsted Social Care Provider Webpage")</f>
        <v>Ofsted Social Care Provider Webpage</v>
      </c>
      <c r="B1350" s="55">
        <v>2620992</v>
      </c>
      <c r="D1350" s="55" t="s">
        <v>373</v>
      </c>
      <c r="E1350" s="74">
        <v>44279</v>
      </c>
      <c r="F1350" s="55" t="s">
        <v>344</v>
      </c>
      <c r="G1350" s="55" t="s">
        <v>360</v>
      </c>
      <c r="H1350" s="55" t="s">
        <v>360</v>
      </c>
      <c r="I1350" s="55" t="s">
        <v>360</v>
      </c>
      <c r="J1350" s="55" t="s">
        <v>360</v>
      </c>
      <c r="K1350" s="55" t="s">
        <v>360</v>
      </c>
      <c r="L1350" s="55" t="s">
        <v>360</v>
      </c>
      <c r="M1350" s="55" t="s">
        <v>142</v>
      </c>
      <c r="N1350" s="55" t="s">
        <v>142</v>
      </c>
      <c r="O1350" s="55" t="s">
        <v>141</v>
      </c>
      <c r="P1350" s="55" t="s">
        <v>2048</v>
      </c>
      <c r="Q1350" s="55" t="s">
        <v>350</v>
      </c>
      <c r="R1350" s="55">
        <v>3</v>
      </c>
      <c r="S1350" s="74"/>
      <c r="T1350" s="55" t="s">
        <v>2049</v>
      </c>
      <c r="U1350" s="73" t="s">
        <v>351</v>
      </c>
      <c r="V1350" s="74">
        <v>44537</v>
      </c>
      <c r="W1350" s="74">
        <v>44587</v>
      </c>
      <c r="X1350" s="55">
        <v>10188315</v>
      </c>
      <c r="Y1350" s="74" t="s">
        <v>130</v>
      </c>
      <c r="Z1350" s="74"/>
      <c r="AB1350" s="55" t="s">
        <v>130</v>
      </c>
      <c r="AC1350" s="55" t="s">
        <v>130</v>
      </c>
    </row>
    <row r="1351" spans="1:29" ht="13" x14ac:dyDescent="0.15">
      <c r="A1351" s="72" t="str">
        <f t="shared" si="21"/>
        <v>Ofsted Social Care Provider Webpage</v>
      </c>
      <c r="B1351" s="55">
        <v>2621119</v>
      </c>
      <c r="D1351" s="55" t="s">
        <v>373</v>
      </c>
      <c r="E1351" s="74">
        <v>44309</v>
      </c>
      <c r="F1351" s="55" t="s">
        <v>344</v>
      </c>
      <c r="G1351" s="55" t="s">
        <v>360</v>
      </c>
      <c r="H1351" s="55" t="s">
        <v>360</v>
      </c>
      <c r="I1351" s="55" t="s">
        <v>360</v>
      </c>
      <c r="J1351" s="55" t="s">
        <v>360</v>
      </c>
      <c r="K1351" s="55" t="s">
        <v>360</v>
      </c>
      <c r="L1351" s="55" t="s">
        <v>360</v>
      </c>
      <c r="M1351" s="55" t="s">
        <v>144</v>
      </c>
      <c r="N1351" s="55" t="s">
        <v>144</v>
      </c>
      <c r="O1351" s="55" t="s">
        <v>287</v>
      </c>
      <c r="P1351" s="55" t="s">
        <v>815</v>
      </c>
      <c r="Q1351" s="55" t="s">
        <v>350</v>
      </c>
      <c r="R1351" s="55">
        <v>1</v>
      </c>
      <c r="S1351" s="74"/>
      <c r="T1351" s="55" t="s">
        <v>385</v>
      </c>
      <c r="U1351" s="73" t="s">
        <v>351</v>
      </c>
      <c r="V1351" s="74">
        <v>44551</v>
      </c>
      <c r="W1351" s="74">
        <v>44599</v>
      </c>
      <c r="X1351" s="55">
        <v>10195375</v>
      </c>
      <c r="Y1351" s="74" t="s">
        <v>132</v>
      </c>
      <c r="Z1351" s="74"/>
      <c r="AB1351" s="55" t="s">
        <v>132</v>
      </c>
      <c r="AC1351" s="55" t="s">
        <v>132</v>
      </c>
    </row>
    <row r="1352" spans="1:29" ht="13" x14ac:dyDescent="0.15">
      <c r="A1352" s="72" t="str">
        <f t="shared" si="21"/>
        <v>Ofsted Social Care Provider Webpage</v>
      </c>
      <c r="B1352" s="55">
        <v>2621193</v>
      </c>
      <c r="D1352" s="55" t="s">
        <v>373</v>
      </c>
      <c r="E1352" s="74">
        <v>44183</v>
      </c>
      <c r="F1352" s="55" t="s">
        <v>344</v>
      </c>
      <c r="G1352" s="55" t="s">
        <v>360</v>
      </c>
      <c r="H1352" s="55" t="s">
        <v>360</v>
      </c>
      <c r="I1352" s="55" t="s">
        <v>360</v>
      </c>
      <c r="J1352" s="55" t="s">
        <v>360</v>
      </c>
      <c r="K1352" s="55" t="s">
        <v>360</v>
      </c>
      <c r="L1352" s="55" t="s">
        <v>360</v>
      </c>
      <c r="M1352" s="55" t="s">
        <v>144</v>
      </c>
      <c r="N1352" s="55" t="s">
        <v>144</v>
      </c>
      <c r="O1352" s="55" t="s">
        <v>145</v>
      </c>
      <c r="P1352" s="55" t="s">
        <v>525</v>
      </c>
      <c r="Q1352" s="55" t="s">
        <v>350</v>
      </c>
      <c r="R1352" s="55">
        <v>2</v>
      </c>
      <c r="S1352" s="74"/>
      <c r="T1352" s="55" t="s">
        <v>2050</v>
      </c>
      <c r="U1352" s="73" t="s">
        <v>351</v>
      </c>
      <c r="V1352" s="74">
        <v>44502</v>
      </c>
      <c r="W1352" s="74">
        <v>44537</v>
      </c>
      <c r="X1352" s="55">
        <v>10185902</v>
      </c>
      <c r="Y1352" s="74" t="s">
        <v>132</v>
      </c>
      <c r="Z1352" s="74"/>
      <c r="AB1352" s="55" t="s">
        <v>132</v>
      </c>
      <c r="AC1352" s="55" t="s">
        <v>132</v>
      </c>
    </row>
    <row r="1353" spans="1:29" ht="13" x14ac:dyDescent="0.15">
      <c r="A1353" s="72" t="str">
        <f t="shared" si="21"/>
        <v>Ofsted Social Care Provider Webpage</v>
      </c>
      <c r="B1353" s="55">
        <v>2621215</v>
      </c>
      <c r="D1353" s="55" t="s">
        <v>373</v>
      </c>
      <c r="E1353" s="74">
        <v>44287</v>
      </c>
      <c r="F1353" s="55" t="s">
        <v>344</v>
      </c>
      <c r="G1353" s="55" t="s">
        <v>360</v>
      </c>
      <c r="H1353" s="55" t="s">
        <v>360</v>
      </c>
      <c r="I1353" s="55" t="s">
        <v>360</v>
      </c>
      <c r="J1353" s="55" t="s">
        <v>360</v>
      </c>
      <c r="K1353" s="55" t="s">
        <v>360</v>
      </c>
      <c r="L1353" s="55" t="s">
        <v>360</v>
      </c>
      <c r="M1353" s="55" t="s">
        <v>138</v>
      </c>
      <c r="N1353" s="55" t="s">
        <v>138</v>
      </c>
      <c r="O1353" s="55" t="s">
        <v>183</v>
      </c>
      <c r="P1353" s="55" t="s">
        <v>2051</v>
      </c>
      <c r="Q1353" s="55" t="s">
        <v>350</v>
      </c>
      <c r="R1353" s="55">
        <v>4</v>
      </c>
      <c r="S1353" s="74"/>
      <c r="T1353" s="55" t="s">
        <v>2052</v>
      </c>
      <c r="U1353" s="73" t="s">
        <v>351</v>
      </c>
      <c r="V1353" s="74">
        <v>44454</v>
      </c>
      <c r="W1353" s="74">
        <v>44475</v>
      </c>
      <c r="X1353" s="55">
        <v>10197520</v>
      </c>
      <c r="Y1353" s="74" t="s">
        <v>130</v>
      </c>
      <c r="Z1353" s="74"/>
      <c r="AB1353" s="55" t="s">
        <v>130</v>
      </c>
      <c r="AC1353" s="55" t="s">
        <v>130</v>
      </c>
    </row>
    <row r="1354" spans="1:29" ht="13" x14ac:dyDescent="0.15">
      <c r="A1354" s="72" t="str">
        <f t="shared" si="21"/>
        <v>Ofsted Social Care Provider Webpage</v>
      </c>
      <c r="B1354" s="55">
        <v>2621322</v>
      </c>
      <c r="D1354" s="55" t="s">
        <v>373</v>
      </c>
      <c r="E1354" s="74">
        <v>44377</v>
      </c>
      <c r="F1354" s="55" t="s">
        <v>344</v>
      </c>
      <c r="G1354" s="55" t="s">
        <v>360</v>
      </c>
      <c r="H1354" s="55" t="s">
        <v>360</v>
      </c>
      <c r="I1354" s="55" t="s">
        <v>360</v>
      </c>
      <c r="J1354" s="55" t="s">
        <v>360</v>
      </c>
      <c r="K1354" s="55" t="s">
        <v>360</v>
      </c>
      <c r="L1354" s="55" t="s">
        <v>360</v>
      </c>
      <c r="M1354" s="55" t="s">
        <v>172</v>
      </c>
      <c r="N1354" s="55" t="s">
        <v>172</v>
      </c>
      <c r="O1354" s="55" t="s">
        <v>235</v>
      </c>
      <c r="P1354" s="55" t="s">
        <v>855</v>
      </c>
      <c r="Q1354" s="55" t="s">
        <v>350</v>
      </c>
      <c r="R1354" s="55">
        <v>1</v>
      </c>
      <c r="S1354" s="74"/>
      <c r="T1354" s="55" t="s">
        <v>1830</v>
      </c>
      <c r="U1354" s="73" t="s">
        <v>351</v>
      </c>
      <c r="V1354" s="74">
        <v>44608</v>
      </c>
      <c r="W1354" s="74">
        <v>44651</v>
      </c>
      <c r="X1354" s="55">
        <v>10201537</v>
      </c>
      <c r="Y1354" s="74" t="s">
        <v>140</v>
      </c>
      <c r="Z1354" s="74"/>
      <c r="AB1354" s="55" t="s">
        <v>140</v>
      </c>
      <c r="AC1354" s="55" t="s">
        <v>140</v>
      </c>
    </row>
    <row r="1355" spans="1:29" ht="13" x14ac:dyDescent="0.15">
      <c r="A1355" s="72" t="str">
        <f t="shared" si="21"/>
        <v>Ofsted Social Care Provider Webpage</v>
      </c>
      <c r="B1355" s="55">
        <v>2621334</v>
      </c>
      <c r="D1355" s="55" t="s">
        <v>373</v>
      </c>
      <c r="E1355" s="74">
        <v>44302</v>
      </c>
      <c r="F1355" s="55" t="s">
        <v>344</v>
      </c>
      <c r="G1355" s="55" t="s">
        <v>360</v>
      </c>
      <c r="H1355" s="55" t="s">
        <v>360</v>
      </c>
      <c r="I1355" s="55" t="s">
        <v>360</v>
      </c>
      <c r="J1355" s="55" t="s">
        <v>360</v>
      </c>
      <c r="K1355" s="55" t="s">
        <v>360</v>
      </c>
      <c r="L1355" s="55" t="s">
        <v>360</v>
      </c>
      <c r="M1355" s="55" t="s">
        <v>144</v>
      </c>
      <c r="N1355" s="55" t="s">
        <v>144</v>
      </c>
      <c r="O1355" s="55" t="s">
        <v>281</v>
      </c>
      <c r="P1355" s="55" t="s">
        <v>725</v>
      </c>
      <c r="Q1355" s="55" t="s">
        <v>350</v>
      </c>
      <c r="R1355" s="55">
        <v>3</v>
      </c>
      <c r="S1355" s="74"/>
      <c r="T1355" s="55" t="s">
        <v>517</v>
      </c>
      <c r="U1355" s="73" t="s">
        <v>351</v>
      </c>
      <c r="V1355" s="74">
        <v>44566</v>
      </c>
      <c r="W1355" s="74">
        <v>44596</v>
      </c>
      <c r="X1355" s="55">
        <v>10198245</v>
      </c>
      <c r="Y1355" s="74" t="s">
        <v>132</v>
      </c>
      <c r="Z1355" s="74"/>
      <c r="AB1355" s="55" t="s">
        <v>132</v>
      </c>
      <c r="AC1355" s="55" t="s">
        <v>132</v>
      </c>
    </row>
    <row r="1356" spans="1:29" ht="13" x14ac:dyDescent="0.15">
      <c r="A1356" s="72" t="str">
        <f t="shared" si="21"/>
        <v>Ofsted Social Care Provider Webpage</v>
      </c>
      <c r="B1356" s="55">
        <v>2622077</v>
      </c>
      <c r="D1356" s="55" t="s">
        <v>373</v>
      </c>
      <c r="E1356" s="74">
        <v>44326</v>
      </c>
      <c r="F1356" s="55" t="s">
        <v>344</v>
      </c>
      <c r="G1356" s="55" t="s">
        <v>360</v>
      </c>
      <c r="H1356" s="55" t="s">
        <v>360</v>
      </c>
      <c r="I1356" s="55" t="s">
        <v>360</v>
      </c>
      <c r="J1356" s="55" t="s">
        <v>360</v>
      </c>
      <c r="K1356" s="55" t="s">
        <v>360</v>
      </c>
      <c r="L1356" s="55" t="s">
        <v>360</v>
      </c>
      <c r="M1356" s="55" t="s">
        <v>142</v>
      </c>
      <c r="N1356" s="55" t="s">
        <v>142</v>
      </c>
      <c r="O1356" s="55" t="s">
        <v>278</v>
      </c>
      <c r="P1356" s="55" t="s">
        <v>1126</v>
      </c>
      <c r="Q1356" s="55" t="s">
        <v>350</v>
      </c>
      <c r="R1356" s="55">
        <v>4</v>
      </c>
      <c r="S1356" s="74"/>
      <c r="T1356" s="55" t="s">
        <v>644</v>
      </c>
      <c r="U1356" s="73" t="s">
        <v>2053</v>
      </c>
      <c r="V1356" s="74">
        <v>44586</v>
      </c>
      <c r="W1356" s="74">
        <v>44620</v>
      </c>
      <c r="X1356" s="55">
        <v>10217681</v>
      </c>
      <c r="Y1356" s="74" t="s">
        <v>130</v>
      </c>
      <c r="Z1356" s="74"/>
    </row>
    <row r="1357" spans="1:29" ht="13" x14ac:dyDescent="0.15">
      <c r="A1357" s="72" t="str">
        <f t="shared" si="21"/>
        <v>Ofsted Social Care Provider Webpage</v>
      </c>
      <c r="B1357" s="55">
        <v>2622281</v>
      </c>
      <c r="D1357" s="55" t="s">
        <v>373</v>
      </c>
      <c r="E1357" s="74">
        <v>44229</v>
      </c>
      <c r="F1357" s="55" t="s">
        <v>344</v>
      </c>
      <c r="G1357" s="55" t="s">
        <v>360</v>
      </c>
      <c r="H1357" s="55" t="s">
        <v>360</v>
      </c>
      <c r="I1357" s="55" t="s">
        <v>360</v>
      </c>
      <c r="J1357" s="55" t="s">
        <v>360</v>
      </c>
      <c r="K1357" s="55" t="s">
        <v>360</v>
      </c>
      <c r="L1357" s="55" t="s">
        <v>360</v>
      </c>
      <c r="M1357" s="55" t="s">
        <v>142</v>
      </c>
      <c r="N1357" s="55" t="s">
        <v>142</v>
      </c>
      <c r="O1357" s="55" t="s">
        <v>292</v>
      </c>
      <c r="P1357" s="55" t="s">
        <v>976</v>
      </c>
      <c r="Q1357" s="55" t="s">
        <v>350</v>
      </c>
      <c r="R1357" s="55">
        <v>3</v>
      </c>
      <c r="S1357" s="74"/>
      <c r="T1357" s="55" t="s">
        <v>1407</v>
      </c>
      <c r="U1357" s="73" t="s">
        <v>351</v>
      </c>
      <c r="V1357" s="74">
        <v>44550</v>
      </c>
      <c r="W1357" s="74">
        <v>44603</v>
      </c>
      <c r="X1357" s="55">
        <v>10188268</v>
      </c>
      <c r="Y1357" s="74" t="s">
        <v>130</v>
      </c>
      <c r="Z1357" s="74"/>
      <c r="AB1357" s="55" t="s">
        <v>130</v>
      </c>
      <c r="AC1357" s="55" t="s">
        <v>130</v>
      </c>
    </row>
    <row r="1358" spans="1:29" ht="13" x14ac:dyDescent="0.15">
      <c r="A1358" s="72" t="str">
        <f t="shared" si="21"/>
        <v>Ofsted Social Care Provider Webpage</v>
      </c>
      <c r="B1358" s="55">
        <v>2622480</v>
      </c>
      <c r="D1358" s="55" t="s">
        <v>373</v>
      </c>
      <c r="E1358" s="74">
        <v>44260</v>
      </c>
      <c r="F1358" s="55" t="s">
        <v>344</v>
      </c>
      <c r="G1358" s="55" t="s">
        <v>360</v>
      </c>
      <c r="H1358" s="55" t="s">
        <v>360</v>
      </c>
      <c r="I1358" s="55" t="s">
        <v>360</v>
      </c>
      <c r="J1358" s="55" t="s">
        <v>360</v>
      </c>
      <c r="K1358" s="55" t="s">
        <v>360</v>
      </c>
      <c r="L1358" s="55" t="s">
        <v>360</v>
      </c>
      <c r="M1358" s="55" t="s">
        <v>172</v>
      </c>
      <c r="N1358" s="55" t="s">
        <v>172</v>
      </c>
      <c r="O1358" s="55" t="s">
        <v>212</v>
      </c>
      <c r="P1358" s="55" t="s">
        <v>842</v>
      </c>
      <c r="Q1358" s="55" t="s">
        <v>350</v>
      </c>
      <c r="R1358" s="55">
        <v>3</v>
      </c>
      <c r="S1358" s="74"/>
      <c r="T1358" s="55" t="s">
        <v>2054</v>
      </c>
      <c r="U1358" s="73" t="s">
        <v>351</v>
      </c>
      <c r="V1358" s="74">
        <v>44441</v>
      </c>
      <c r="W1358" s="74">
        <v>44469</v>
      </c>
      <c r="X1358" s="55">
        <v>10188301</v>
      </c>
      <c r="Y1358" s="74" t="s">
        <v>132</v>
      </c>
      <c r="Z1358" s="74"/>
      <c r="AB1358" s="55" t="s">
        <v>132</v>
      </c>
      <c r="AC1358" s="55" t="s">
        <v>132</v>
      </c>
    </row>
    <row r="1359" spans="1:29" ht="13" x14ac:dyDescent="0.15">
      <c r="A1359" s="72" t="str">
        <f t="shared" si="21"/>
        <v>Ofsted Social Care Provider Webpage</v>
      </c>
      <c r="B1359" s="55">
        <v>2622917</v>
      </c>
      <c r="D1359" s="55" t="s">
        <v>451</v>
      </c>
      <c r="E1359" s="74">
        <v>44376</v>
      </c>
      <c r="F1359" s="55" t="s">
        <v>344</v>
      </c>
      <c r="G1359" s="55" t="s">
        <v>2055</v>
      </c>
      <c r="H1359" s="55" t="s">
        <v>2056</v>
      </c>
      <c r="I1359" s="55" t="s">
        <v>354</v>
      </c>
      <c r="J1359" s="55" t="s">
        <v>198</v>
      </c>
      <c r="K1359" s="55" t="s">
        <v>2057</v>
      </c>
      <c r="L1359" s="55" t="s">
        <v>2058</v>
      </c>
      <c r="M1359" s="55" t="s">
        <v>129</v>
      </c>
      <c r="N1359" s="55" t="s">
        <v>129</v>
      </c>
      <c r="O1359" s="55" t="s">
        <v>198</v>
      </c>
      <c r="P1359" s="55" t="s">
        <v>1287</v>
      </c>
      <c r="Q1359" s="55" t="s">
        <v>350</v>
      </c>
      <c r="R1359" s="55">
        <v>5</v>
      </c>
      <c r="S1359" s="74"/>
      <c r="T1359" s="55" t="s">
        <v>2059</v>
      </c>
      <c r="U1359" s="73"/>
      <c r="W1359" s="74"/>
      <c r="Y1359" s="74"/>
      <c r="Z1359" s="74"/>
    </row>
    <row r="1360" spans="1:29" ht="13" x14ac:dyDescent="0.15">
      <c r="A1360" s="72" t="str">
        <f t="shared" si="21"/>
        <v>Ofsted Social Care Provider Webpage</v>
      </c>
      <c r="B1360" s="55">
        <v>2622998</v>
      </c>
      <c r="D1360" s="55" t="s">
        <v>373</v>
      </c>
      <c r="E1360" s="74">
        <v>44221</v>
      </c>
      <c r="F1360" s="55" t="s">
        <v>344</v>
      </c>
      <c r="G1360" s="55" t="s">
        <v>360</v>
      </c>
      <c r="H1360" s="55" t="s">
        <v>360</v>
      </c>
      <c r="I1360" s="55" t="s">
        <v>360</v>
      </c>
      <c r="J1360" s="55" t="s">
        <v>360</v>
      </c>
      <c r="K1360" s="55" t="s">
        <v>360</v>
      </c>
      <c r="L1360" s="55" t="s">
        <v>360</v>
      </c>
      <c r="M1360" s="55" t="s">
        <v>138</v>
      </c>
      <c r="N1360" s="55" t="s">
        <v>138</v>
      </c>
      <c r="O1360" s="55" t="s">
        <v>137</v>
      </c>
      <c r="P1360" s="55" t="s">
        <v>822</v>
      </c>
      <c r="Q1360" s="55" t="s">
        <v>350</v>
      </c>
      <c r="R1360" s="55">
        <v>2</v>
      </c>
      <c r="S1360" s="74"/>
      <c r="T1360" s="55" t="s">
        <v>517</v>
      </c>
      <c r="U1360" s="73" t="s">
        <v>351</v>
      </c>
      <c r="V1360" s="74">
        <v>44348</v>
      </c>
      <c r="W1360" s="74">
        <v>44375</v>
      </c>
      <c r="X1360" s="55">
        <v>10188262</v>
      </c>
      <c r="Y1360" s="74" t="s">
        <v>130</v>
      </c>
      <c r="Z1360" s="74"/>
      <c r="AB1360" s="55" t="s">
        <v>130</v>
      </c>
      <c r="AC1360" s="55" t="s">
        <v>130</v>
      </c>
    </row>
    <row r="1361" spans="1:29" ht="13" x14ac:dyDescent="0.15">
      <c r="A1361" s="72" t="str">
        <f t="shared" si="21"/>
        <v>Ofsted Social Care Provider Webpage</v>
      </c>
      <c r="B1361" s="55">
        <v>2623004</v>
      </c>
      <c r="D1361" s="55" t="s">
        <v>373</v>
      </c>
      <c r="E1361" s="74">
        <v>44256</v>
      </c>
      <c r="F1361" s="55" t="s">
        <v>344</v>
      </c>
      <c r="G1361" s="55" t="s">
        <v>360</v>
      </c>
      <c r="H1361" s="55" t="s">
        <v>360</v>
      </c>
      <c r="I1361" s="55" t="s">
        <v>360</v>
      </c>
      <c r="J1361" s="55" t="s">
        <v>360</v>
      </c>
      <c r="K1361" s="55" t="s">
        <v>360</v>
      </c>
      <c r="L1361" s="55" t="s">
        <v>360</v>
      </c>
      <c r="M1361" s="55" t="s">
        <v>144</v>
      </c>
      <c r="N1361" s="55" t="s">
        <v>144</v>
      </c>
      <c r="O1361" s="55" t="s">
        <v>147</v>
      </c>
      <c r="P1361" s="55" t="s">
        <v>807</v>
      </c>
      <c r="Q1361" s="55" t="s">
        <v>350</v>
      </c>
      <c r="R1361" s="55">
        <v>1</v>
      </c>
      <c r="S1361" s="74"/>
      <c r="T1361" s="55" t="s">
        <v>385</v>
      </c>
      <c r="U1361" s="73" t="s">
        <v>351</v>
      </c>
      <c r="V1361" s="74">
        <v>44495</v>
      </c>
      <c r="W1361" s="74">
        <v>44533</v>
      </c>
      <c r="X1361" s="55">
        <v>10188309</v>
      </c>
      <c r="Y1361" s="74" t="s">
        <v>132</v>
      </c>
      <c r="Z1361" s="74"/>
      <c r="AB1361" s="55" t="s">
        <v>132</v>
      </c>
      <c r="AC1361" s="55" t="s">
        <v>132</v>
      </c>
    </row>
    <row r="1362" spans="1:29" ht="13" x14ac:dyDescent="0.15">
      <c r="A1362" s="72" t="str">
        <f t="shared" si="21"/>
        <v>Ofsted Social Care Provider Webpage</v>
      </c>
      <c r="B1362" s="55">
        <v>2623130</v>
      </c>
      <c r="D1362" s="55" t="s">
        <v>373</v>
      </c>
      <c r="E1362" s="74">
        <v>44187</v>
      </c>
      <c r="F1362" s="55" t="s">
        <v>344</v>
      </c>
      <c r="G1362" s="55" t="s">
        <v>360</v>
      </c>
      <c r="H1362" s="55" t="s">
        <v>360</v>
      </c>
      <c r="I1362" s="55" t="s">
        <v>360</v>
      </c>
      <c r="J1362" s="55" t="s">
        <v>360</v>
      </c>
      <c r="K1362" s="55" t="s">
        <v>360</v>
      </c>
      <c r="L1362" s="55" t="s">
        <v>360</v>
      </c>
      <c r="M1362" s="55" t="s">
        <v>136</v>
      </c>
      <c r="N1362" s="55" t="s">
        <v>136</v>
      </c>
      <c r="O1362" s="55" t="s">
        <v>176</v>
      </c>
      <c r="P1362" s="55" t="s">
        <v>2060</v>
      </c>
      <c r="Q1362" s="55" t="s">
        <v>350</v>
      </c>
      <c r="R1362" s="55">
        <v>3</v>
      </c>
      <c r="S1362" s="74"/>
      <c r="T1362" s="55" t="s">
        <v>892</v>
      </c>
      <c r="U1362" s="73" t="s">
        <v>351</v>
      </c>
      <c r="V1362" s="74">
        <v>44377</v>
      </c>
      <c r="W1362" s="74">
        <v>44414</v>
      </c>
      <c r="X1362" s="55">
        <v>10186009</v>
      </c>
      <c r="Y1362" s="74" t="s">
        <v>130</v>
      </c>
      <c r="Z1362" s="74"/>
      <c r="AB1362" s="55" t="s">
        <v>130</v>
      </c>
      <c r="AC1362" s="55" t="s">
        <v>146</v>
      </c>
    </row>
    <row r="1363" spans="1:29" ht="13" x14ac:dyDescent="0.15">
      <c r="A1363" s="72" t="str">
        <f t="shared" si="21"/>
        <v>Ofsted Social Care Provider Webpage</v>
      </c>
      <c r="B1363" s="55">
        <v>2623368</v>
      </c>
      <c r="D1363" s="55" t="s">
        <v>373</v>
      </c>
      <c r="E1363" s="74">
        <v>44246</v>
      </c>
      <c r="F1363" s="55" t="s">
        <v>344</v>
      </c>
      <c r="G1363" s="55" t="s">
        <v>360</v>
      </c>
      <c r="H1363" s="55" t="s">
        <v>360</v>
      </c>
      <c r="I1363" s="55" t="s">
        <v>360</v>
      </c>
      <c r="J1363" s="55" t="s">
        <v>360</v>
      </c>
      <c r="K1363" s="55" t="s">
        <v>360</v>
      </c>
      <c r="L1363" s="55" t="s">
        <v>360</v>
      </c>
      <c r="M1363" s="55" t="s">
        <v>136</v>
      </c>
      <c r="N1363" s="55" t="s">
        <v>136</v>
      </c>
      <c r="O1363" s="55" t="s">
        <v>255</v>
      </c>
      <c r="P1363" s="55" t="s">
        <v>757</v>
      </c>
      <c r="Q1363" s="55" t="s">
        <v>350</v>
      </c>
      <c r="R1363" s="55">
        <v>2</v>
      </c>
      <c r="S1363" s="74"/>
      <c r="T1363" s="55" t="s">
        <v>1359</v>
      </c>
      <c r="U1363" s="73" t="s">
        <v>351</v>
      </c>
      <c r="V1363" s="74">
        <v>44426</v>
      </c>
      <c r="W1363" s="74">
        <v>44463</v>
      </c>
      <c r="X1363" s="55">
        <v>10188280</v>
      </c>
      <c r="Y1363" s="74" t="s">
        <v>130</v>
      </c>
      <c r="Z1363" s="74"/>
      <c r="AB1363" s="55" t="s">
        <v>130</v>
      </c>
      <c r="AC1363" s="55" t="s">
        <v>146</v>
      </c>
    </row>
    <row r="1364" spans="1:29" ht="13" x14ac:dyDescent="0.15">
      <c r="A1364" s="72" t="str">
        <f t="shared" si="21"/>
        <v>Ofsted Social Care Provider Webpage</v>
      </c>
      <c r="B1364" s="55">
        <v>2623544</v>
      </c>
      <c r="D1364" s="55" t="s">
        <v>373</v>
      </c>
      <c r="E1364" s="74">
        <v>44281</v>
      </c>
      <c r="F1364" s="55" t="s">
        <v>344</v>
      </c>
      <c r="G1364" s="55" t="s">
        <v>360</v>
      </c>
      <c r="H1364" s="55" t="s">
        <v>360</v>
      </c>
      <c r="I1364" s="55" t="s">
        <v>360</v>
      </c>
      <c r="J1364" s="55" t="s">
        <v>360</v>
      </c>
      <c r="K1364" s="55" t="s">
        <v>360</v>
      </c>
      <c r="L1364" s="55" t="s">
        <v>360</v>
      </c>
      <c r="M1364" s="55" t="s">
        <v>150</v>
      </c>
      <c r="N1364" s="55" t="s">
        <v>150</v>
      </c>
      <c r="O1364" s="55" t="s">
        <v>190</v>
      </c>
      <c r="P1364" s="55" t="s">
        <v>500</v>
      </c>
      <c r="Q1364" s="55" t="s">
        <v>350</v>
      </c>
      <c r="R1364" s="55">
        <v>4</v>
      </c>
      <c r="S1364" s="74"/>
      <c r="T1364" s="55" t="s">
        <v>2061</v>
      </c>
      <c r="U1364" s="73"/>
      <c r="W1364" s="74"/>
      <c r="Y1364" s="74"/>
      <c r="Z1364" s="74"/>
    </row>
    <row r="1365" spans="1:29" ht="13" x14ac:dyDescent="0.15">
      <c r="A1365" s="72" t="str">
        <f t="shared" si="21"/>
        <v>Ofsted Social Care Provider Webpage</v>
      </c>
      <c r="B1365" s="55">
        <v>2623568</v>
      </c>
      <c r="D1365" s="55" t="s">
        <v>373</v>
      </c>
      <c r="E1365" s="74">
        <v>44302</v>
      </c>
      <c r="F1365" s="55" t="s">
        <v>344</v>
      </c>
      <c r="G1365" s="55" t="s">
        <v>360</v>
      </c>
      <c r="H1365" s="55" t="s">
        <v>360</v>
      </c>
      <c r="I1365" s="55" t="s">
        <v>360</v>
      </c>
      <c r="J1365" s="55" t="s">
        <v>360</v>
      </c>
      <c r="K1365" s="55" t="s">
        <v>360</v>
      </c>
      <c r="L1365" s="55" t="s">
        <v>360</v>
      </c>
      <c r="M1365" s="55" t="s">
        <v>142</v>
      </c>
      <c r="N1365" s="55" t="s">
        <v>142</v>
      </c>
      <c r="O1365" s="55" t="s">
        <v>262</v>
      </c>
      <c r="P1365" s="55" t="s">
        <v>949</v>
      </c>
      <c r="Q1365" s="55" t="s">
        <v>350</v>
      </c>
      <c r="R1365" s="55">
        <v>3</v>
      </c>
      <c r="S1365" s="74"/>
      <c r="T1365" s="55" t="s">
        <v>517</v>
      </c>
      <c r="U1365" s="73" t="s">
        <v>351</v>
      </c>
      <c r="V1365" s="74">
        <v>44461</v>
      </c>
      <c r="W1365" s="74">
        <v>44505</v>
      </c>
      <c r="X1365" s="55">
        <v>10194821</v>
      </c>
      <c r="Y1365" s="74" t="s">
        <v>130</v>
      </c>
      <c r="Z1365" s="74"/>
      <c r="AB1365" s="55" t="s">
        <v>130</v>
      </c>
      <c r="AC1365" s="55" t="s">
        <v>146</v>
      </c>
    </row>
    <row r="1366" spans="1:29" ht="13" x14ac:dyDescent="0.15">
      <c r="A1366" s="72" t="str">
        <f t="shared" si="21"/>
        <v>Ofsted Social Care Provider Webpage</v>
      </c>
      <c r="B1366" s="55">
        <v>2623790</v>
      </c>
      <c r="D1366" s="55" t="s">
        <v>373</v>
      </c>
      <c r="E1366" s="74">
        <v>44308</v>
      </c>
      <c r="F1366" s="55" t="s">
        <v>344</v>
      </c>
      <c r="G1366" s="55" t="s">
        <v>360</v>
      </c>
      <c r="H1366" s="55" t="s">
        <v>360</v>
      </c>
      <c r="I1366" s="55" t="s">
        <v>360</v>
      </c>
      <c r="J1366" s="55" t="s">
        <v>360</v>
      </c>
      <c r="K1366" s="55" t="s">
        <v>360</v>
      </c>
      <c r="L1366" s="55" t="s">
        <v>360</v>
      </c>
      <c r="M1366" s="55" t="s">
        <v>136</v>
      </c>
      <c r="N1366" s="55" t="s">
        <v>136</v>
      </c>
      <c r="O1366" s="55" t="s">
        <v>255</v>
      </c>
      <c r="P1366" s="55" t="s">
        <v>583</v>
      </c>
      <c r="Q1366" s="55" t="s">
        <v>350</v>
      </c>
      <c r="R1366" s="55">
        <v>4</v>
      </c>
      <c r="S1366" s="74"/>
      <c r="T1366" s="55" t="s">
        <v>2062</v>
      </c>
      <c r="U1366" s="73" t="s">
        <v>351</v>
      </c>
      <c r="V1366" s="74">
        <v>44454</v>
      </c>
      <c r="W1366" s="74">
        <v>44490</v>
      </c>
      <c r="X1366" s="55">
        <v>10194774</v>
      </c>
      <c r="Y1366" s="74" t="s">
        <v>130</v>
      </c>
      <c r="Z1366" s="74"/>
      <c r="AB1366" s="55" t="s">
        <v>130</v>
      </c>
      <c r="AC1366" s="55" t="s">
        <v>130</v>
      </c>
    </row>
    <row r="1367" spans="1:29" ht="13" x14ac:dyDescent="0.15">
      <c r="A1367" s="72" t="str">
        <f t="shared" si="21"/>
        <v>Ofsted Social Care Provider Webpage</v>
      </c>
      <c r="B1367" s="55">
        <v>2623791</v>
      </c>
      <c r="D1367" s="55" t="s">
        <v>373</v>
      </c>
      <c r="E1367" s="74">
        <v>44306</v>
      </c>
      <c r="F1367" s="55" t="s">
        <v>344</v>
      </c>
      <c r="G1367" s="55" t="s">
        <v>360</v>
      </c>
      <c r="H1367" s="55" t="s">
        <v>360</v>
      </c>
      <c r="I1367" s="55" t="s">
        <v>360</v>
      </c>
      <c r="J1367" s="55" t="s">
        <v>360</v>
      </c>
      <c r="K1367" s="55" t="s">
        <v>360</v>
      </c>
      <c r="L1367" s="55" t="s">
        <v>360</v>
      </c>
      <c r="M1367" s="55" t="s">
        <v>144</v>
      </c>
      <c r="N1367" s="55" t="s">
        <v>144</v>
      </c>
      <c r="O1367" s="55" t="s">
        <v>145</v>
      </c>
      <c r="P1367" s="55" t="s">
        <v>525</v>
      </c>
      <c r="Q1367" s="55" t="s">
        <v>350</v>
      </c>
      <c r="R1367" s="55">
        <v>1</v>
      </c>
      <c r="S1367" s="74"/>
      <c r="T1367" s="55" t="s">
        <v>1482</v>
      </c>
      <c r="U1367" s="73" t="s">
        <v>351</v>
      </c>
      <c r="V1367" s="74">
        <v>44398</v>
      </c>
      <c r="W1367" s="74">
        <v>44426</v>
      </c>
      <c r="X1367" s="55">
        <v>10198246</v>
      </c>
      <c r="Y1367" s="74" t="s">
        <v>130</v>
      </c>
      <c r="Z1367" s="74"/>
      <c r="AB1367" s="55" t="s">
        <v>130</v>
      </c>
      <c r="AC1367" s="55" t="s">
        <v>130</v>
      </c>
    </row>
    <row r="1368" spans="1:29" ht="13" x14ac:dyDescent="0.15">
      <c r="A1368" s="72" t="str">
        <f t="shared" si="21"/>
        <v>Ofsted Social Care Provider Webpage</v>
      </c>
      <c r="B1368" s="55">
        <v>2623841</v>
      </c>
      <c r="D1368" s="55" t="s">
        <v>389</v>
      </c>
      <c r="E1368" s="74">
        <v>44544</v>
      </c>
      <c r="F1368" s="55" t="s">
        <v>344</v>
      </c>
      <c r="G1368" s="55" t="s">
        <v>2063</v>
      </c>
      <c r="H1368" s="55" t="s">
        <v>2064</v>
      </c>
      <c r="I1368" s="55" t="s">
        <v>2065</v>
      </c>
      <c r="J1368" s="55" t="s">
        <v>2066</v>
      </c>
      <c r="L1368" s="55" t="s">
        <v>2067</v>
      </c>
      <c r="M1368" s="55" t="s">
        <v>150</v>
      </c>
      <c r="N1368" s="55" t="s">
        <v>150</v>
      </c>
      <c r="O1368" s="55" t="s">
        <v>181</v>
      </c>
      <c r="P1368" s="55" t="s">
        <v>2066</v>
      </c>
      <c r="Q1368" s="55" t="s">
        <v>350</v>
      </c>
      <c r="R1368" s="55"/>
      <c r="S1368" s="74"/>
      <c r="T1368" s="55" t="s">
        <v>627</v>
      </c>
      <c r="U1368" s="73"/>
      <c r="W1368" s="74"/>
      <c r="Y1368" s="74"/>
      <c r="Z1368" s="74"/>
    </row>
    <row r="1369" spans="1:29" ht="13" x14ac:dyDescent="0.15">
      <c r="A1369" s="72" t="str">
        <f t="shared" si="21"/>
        <v>Ofsted Social Care Provider Webpage</v>
      </c>
      <c r="B1369" s="55">
        <v>2623842</v>
      </c>
      <c r="D1369" s="55" t="s">
        <v>373</v>
      </c>
      <c r="E1369" s="74">
        <v>44258</v>
      </c>
      <c r="F1369" s="55" t="s">
        <v>344</v>
      </c>
      <c r="G1369" s="55" t="s">
        <v>360</v>
      </c>
      <c r="H1369" s="55" t="s">
        <v>360</v>
      </c>
      <c r="I1369" s="55" t="s">
        <v>360</v>
      </c>
      <c r="J1369" s="55" t="s">
        <v>360</v>
      </c>
      <c r="K1369" s="55" t="s">
        <v>360</v>
      </c>
      <c r="L1369" s="55" t="s">
        <v>360</v>
      </c>
      <c r="M1369" s="55" t="s">
        <v>378</v>
      </c>
      <c r="N1369" s="55" t="s">
        <v>170</v>
      </c>
      <c r="O1369" s="55" t="s">
        <v>222</v>
      </c>
      <c r="P1369" s="55" t="s">
        <v>521</v>
      </c>
      <c r="Q1369" s="55" t="s">
        <v>380</v>
      </c>
      <c r="R1369" s="55">
        <v>3</v>
      </c>
      <c r="S1369" s="74"/>
      <c r="T1369" s="55" t="s">
        <v>687</v>
      </c>
      <c r="U1369" s="73" t="s">
        <v>351</v>
      </c>
      <c r="V1369" s="74">
        <v>44453</v>
      </c>
      <c r="W1369" s="74">
        <v>44491</v>
      </c>
      <c r="X1369" s="55">
        <v>10188295</v>
      </c>
      <c r="Y1369" s="74" t="s">
        <v>132</v>
      </c>
      <c r="Z1369" s="74"/>
      <c r="AB1369" s="55" t="s">
        <v>132</v>
      </c>
      <c r="AC1369" s="55" t="s">
        <v>132</v>
      </c>
    </row>
    <row r="1370" spans="1:29" ht="13" x14ac:dyDescent="0.15">
      <c r="A1370" s="72" t="str">
        <f t="shared" si="21"/>
        <v>Ofsted Social Care Provider Webpage</v>
      </c>
      <c r="B1370" s="55">
        <v>2623947</v>
      </c>
      <c r="D1370" s="55" t="s">
        <v>373</v>
      </c>
      <c r="E1370" s="74">
        <v>44608</v>
      </c>
      <c r="F1370" s="55" t="s">
        <v>344</v>
      </c>
      <c r="G1370" s="55" t="s">
        <v>360</v>
      </c>
      <c r="H1370" s="55" t="s">
        <v>360</v>
      </c>
      <c r="I1370" s="55" t="s">
        <v>360</v>
      </c>
      <c r="J1370" s="55" t="s">
        <v>360</v>
      </c>
      <c r="K1370" s="55" t="s">
        <v>360</v>
      </c>
      <c r="L1370" s="55" t="s">
        <v>360</v>
      </c>
      <c r="M1370" s="55" t="s">
        <v>142</v>
      </c>
      <c r="N1370" s="55" t="s">
        <v>142</v>
      </c>
      <c r="O1370" s="55" t="s">
        <v>262</v>
      </c>
      <c r="P1370" s="55" t="s">
        <v>916</v>
      </c>
      <c r="Q1370" s="55" t="s">
        <v>350</v>
      </c>
      <c r="R1370" s="55">
        <v>3</v>
      </c>
      <c r="S1370" s="74"/>
      <c r="T1370" s="55" t="s">
        <v>489</v>
      </c>
      <c r="U1370" s="73"/>
      <c r="W1370" s="74"/>
      <c r="Y1370" s="74"/>
      <c r="Z1370" s="74"/>
    </row>
    <row r="1371" spans="1:29" ht="13" x14ac:dyDescent="0.15">
      <c r="A1371" s="72" t="str">
        <f t="shared" si="21"/>
        <v>Ofsted Social Care Provider Webpage</v>
      </c>
      <c r="B1371" s="55">
        <v>2623962</v>
      </c>
      <c r="D1371" s="55" t="s">
        <v>373</v>
      </c>
      <c r="E1371" s="74">
        <v>44256</v>
      </c>
      <c r="F1371" s="55" t="s">
        <v>344</v>
      </c>
      <c r="G1371" s="55" t="s">
        <v>360</v>
      </c>
      <c r="H1371" s="55" t="s">
        <v>360</v>
      </c>
      <c r="I1371" s="55" t="s">
        <v>360</v>
      </c>
      <c r="J1371" s="55" t="s">
        <v>360</v>
      </c>
      <c r="K1371" s="55" t="s">
        <v>360</v>
      </c>
      <c r="L1371" s="55" t="s">
        <v>360</v>
      </c>
      <c r="M1371" s="55" t="s">
        <v>378</v>
      </c>
      <c r="N1371" s="55" t="s">
        <v>170</v>
      </c>
      <c r="O1371" s="55" t="s">
        <v>178</v>
      </c>
      <c r="P1371" s="55" t="s">
        <v>905</v>
      </c>
      <c r="Q1371" s="55" t="s">
        <v>380</v>
      </c>
      <c r="R1371" s="55">
        <v>3</v>
      </c>
      <c r="S1371" s="74"/>
      <c r="T1371" s="55" t="s">
        <v>2068</v>
      </c>
      <c r="U1371" s="73" t="s">
        <v>351</v>
      </c>
      <c r="V1371" s="74">
        <v>44389</v>
      </c>
      <c r="W1371" s="74">
        <v>44424</v>
      </c>
      <c r="X1371" s="55">
        <v>10188292</v>
      </c>
      <c r="Y1371" s="74" t="s">
        <v>132</v>
      </c>
      <c r="Z1371" s="74"/>
      <c r="AB1371" s="55" t="s">
        <v>132</v>
      </c>
      <c r="AC1371" s="55" t="s">
        <v>132</v>
      </c>
    </row>
    <row r="1372" spans="1:29" ht="13" x14ac:dyDescent="0.15">
      <c r="A1372" s="72" t="str">
        <f t="shared" si="21"/>
        <v>Ofsted Social Care Provider Webpage</v>
      </c>
      <c r="B1372" s="55">
        <v>2624054</v>
      </c>
      <c r="D1372" s="55" t="s">
        <v>373</v>
      </c>
      <c r="E1372" s="74">
        <v>44281</v>
      </c>
      <c r="F1372" s="55" t="s">
        <v>344</v>
      </c>
      <c r="G1372" s="55" t="s">
        <v>360</v>
      </c>
      <c r="H1372" s="55" t="s">
        <v>360</v>
      </c>
      <c r="I1372" s="55" t="s">
        <v>360</v>
      </c>
      <c r="J1372" s="55" t="s">
        <v>360</v>
      </c>
      <c r="K1372" s="55" t="s">
        <v>360</v>
      </c>
      <c r="L1372" s="55" t="s">
        <v>360</v>
      </c>
      <c r="M1372" s="55" t="s">
        <v>150</v>
      </c>
      <c r="N1372" s="55" t="s">
        <v>150</v>
      </c>
      <c r="O1372" s="55" t="s">
        <v>221</v>
      </c>
      <c r="P1372" s="55" t="s">
        <v>349</v>
      </c>
      <c r="Q1372" s="55" t="s">
        <v>350</v>
      </c>
      <c r="R1372" s="55">
        <v>3</v>
      </c>
      <c r="S1372" s="74"/>
      <c r="T1372" s="55" t="s">
        <v>517</v>
      </c>
      <c r="U1372" s="73" t="s">
        <v>351</v>
      </c>
      <c r="V1372" s="74">
        <v>44398</v>
      </c>
      <c r="W1372" s="74">
        <v>44449</v>
      </c>
      <c r="X1372" s="55">
        <v>10188319</v>
      </c>
      <c r="Y1372" s="74" t="s">
        <v>132</v>
      </c>
      <c r="Z1372" s="74"/>
      <c r="AB1372" s="55" t="s">
        <v>132</v>
      </c>
      <c r="AC1372" s="55" t="s">
        <v>132</v>
      </c>
    </row>
    <row r="1373" spans="1:29" ht="13" x14ac:dyDescent="0.15">
      <c r="A1373" s="72" t="str">
        <f t="shared" si="21"/>
        <v>Ofsted Social Care Provider Webpage</v>
      </c>
      <c r="B1373" s="55">
        <v>2624063</v>
      </c>
      <c r="D1373" s="55" t="s">
        <v>373</v>
      </c>
      <c r="E1373" s="74">
        <v>44305</v>
      </c>
      <c r="F1373" s="55" t="s">
        <v>344</v>
      </c>
      <c r="G1373" s="55" t="s">
        <v>360</v>
      </c>
      <c r="H1373" s="55" t="s">
        <v>360</v>
      </c>
      <c r="I1373" s="55" t="s">
        <v>360</v>
      </c>
      <c r="J1373" s="55" t="s">
        <v>360</v>
      </c>
      <c r="K1373" s="55" t="s">
        <v>360</v>
      </c>
      <c r="L1373" s="55" t="s">
        <v>360</v>
      </c>
      <c r="M1373" s="55" t="s">
        <v>378</v>
      </c>
      <c r="N1373" s="55" t="s">
        <v>134</v>
      </c>
      <c r="O1373" s="55" t="s">
        <v>180</v>
      </c>
      <c r="P1373" s="55" t="s">
        <v>662</v>
      </c>
      <c r="Q1373" s="55" t="s">
        <v>362</v>
      </c>
      <c r="R1373" s="55">
        <v>4</v>
      </c>
      <c r="S1373" s="74"/>
      <c r="T1373" s="55" t="s">
        <v>458</v>
      </c>
      <c r="U1373" s="73" t="s">
        <v>351</v>
      </c>
      <c r="V1373" s="74">
        <v>44573</v>
      </c>
      <c r="W1373" s="74">
        <v>44613</v>
      </c>
      <c r="X1373" s="55">
        <v>10198684</v>
      </c>
      <c r="Y1373" s="74" t="s">
        <v>132</v>
      </c>
      <c r="Z1373" s="74"/>
      <c r="AB1373" s="55" t="s">
        <v>132</v>
      </c>
      <c r="AC1373" s="55" t="s">
        <v>132</v>
      </c>
    </row>
    <row r="1374" spans="1:29" ht="13" x14ac:dyDescent="0.15">
      <c r="A1374" s="72" t="str">
        <f t="shared" si="21"/>
        <v>Ofsted Social Care Provider Webpage</v>
      </c>
      <c r="B1374" s="55">
        <v>2624155</v>
      </c>
      <c r="D1374" s="55" t="s">
        <v>373</v>
      </c>
      <c r="E1374" s="74">
        <v>44489</v>
      </c>
      <c r="F1374" s="55" t="s">
        <v>344</v>
      </c>
      <c r="G1374" s="55" t="s">
        <v>360</v>
      </c>
      <c r="H1374" s="55" t="s">
        <v>360</v>
      </c>
      <c r="I1374" s="55" t="s">
        <v>360</v>
      </c>
      <c r="J1374" s="55" t="s">
        <v>360</v>
      </c>
      <c r="K1374" s="55" t="s">
        <v>360</v>
      </c>
      <c r="L1374" s="55" t="s">
        <v>360</v>
      </c>
      <c r="M1374" s="55" t="s">
        <v>142</v>
      </c>
      <c r="N1374" s="55" t="s">
        <v>142</v>
      </c>
      <c r="O1374" s="55" t="s">
        <v>292</v>
      </c>
      <c r="P1374" s="55" t="s">
        <v>1052</v>
      </c>
      <c r="Q1374" s="55" t="s">
        <v>350</v>
      </c>
      <c r="R1374" s="55">
        <v>3</v>
      </c>
      <c r="S1374" s="74"/>
      <c r="T1374" s="55" t="s">
        <v>2069</v>
      </c>
      <c r="U1374" s="73"/>
      <c r="W1374" s="74"/>
      <c r="Y1374" s="74"/>
      <c r="Z1374" s="74"/>
    </row>
    <row r="1375" spans="1:29" ht="13" x14ac:dyDescent="0.15">
      <c r="A1375" s="72" t="str">
        <f t="shared" si="21"/>
        <v>Ofsted Social Care Provider Webpage</v>
      </c>
      <c r="B1375" s="55">
        <v>2624222</v>
      </c>
      <c r="D1375" s="55" t="s">
        <v>373</v>
      </c>
      <c r="E1375" s="74">
        <v>44400</v>
      </c>
      <c r="F1375" s="55" t="s">
        <v>344</v>
      </c>
      <c r="G1375" s="55" t="s">
        <v>360</v>
      </c>
      <c r="H1375" s="55" t="s">
        <v>360</v>
      </c>
      <c r="I1375" s="55" t="s">
        <v>360</v>
      </c>
      <c r="J1375" s="55" t="s">
        <v>360</v>
      </c>
      <c r="K1375" s="55" t="s">
        <v>360</v>
      </c>
      <c r="L1375" s="55" t="s">
        <v>360</v>
      </c>
      <c r="M1375" s="55" t="s">
        <v>150</v>
      </c>
      <c r="N1375" s="55" t="s">
        <v>150</v>
      </c>
      <c r="O1375" s="55" t="s">
        <v>203</v>
      </c>
      <c r="P1375" s="55" t="s">
        <v>593</v>
      </c>
      <c r="Q1375" s="55" t="s">
        <v>350</v>
      </c>
      <c r="R1375" s="55">
        <v>5</v>
      </c>
      <c r="S1375" s="74"/>
      <c r="T1375" s="55" t="s">
        <v>2070</v>
      </c>
      <c r="U1375" s="73"/>
      <c r="W1375" s="74"/>
      <c r="Y1375" s="74"/>
      <c r="Z1375" s="74"/>
    </row>
    <row r="1376" spans="1:29" ht="13" x14ac:dyDescent="0.15">
      <c r="A1376" s="72" t="str">
        <f t="shared" si="21"/>
        <v>Ofsted Social Care Provider Webpage</v>
      </c>
      <c r="B1376" s="55">
        <v>2624223</v>
      </c>
      <c r="D1376" s="55" t="s">
        <v>373</v>
      </c>
      <c r="E1376" s="74">
        <v>44259</v>
      </c>
      <c r="F1376" s="55" t="s">
        <v>344</v>
      </c>
      <c r="G1376" s="55" t="s">
        <v>360</v>
      </c>
      <c r="H1376" s="55" t="s">
        <v>360</v>
      </c>
      <c r="I1376" s="55" t="s">
        <v>360</v>
      </c>
      <c r="J1376" s="55" t="s">
        <v>360</v>
      </c>
      <c r="K1376" s="55" t="s">
        <v>360</v>
      </c>
      <c r="L1376" s="55" t="s">
        <v>360</v>
      </c>
      <c r="M1376" s="55" t="s">
        <v>378</v>
      </c>
      <c r="N1376" s="55" t="s">
        <v>170</v>
      </c>
      <c r="O1376" s="55" t="s">
        <v>193</v>
      </c>
      <c r="P1376" s="55" t="s">
        <v>193</v>
      </c>
      <c r="Q1376" s="55" t="s">
        <v>350</v>
      </c>
      <c r="R1376" s="55">
        <v>9</v>
      </c>
      <c r="S1376" s="74"/>
      <c r="T1376" s="55" t="s">
        <v>2071</v>
      </c>
      <c r="U1376" s="73" t="s">
        <v>351</v>
      </c>
      <c r="V1376" s="74">
        <v>44518</v>
      </c>
      <c r="W1376" s="74">
        <v>44581</v>
      </c>
      <c r="X1376" s="55">
        <v>10188298</v>
      </c>
      <c r="Y1376" s="74" t="s">
        <v>130</v>
      </c>
      <c r="Z1376" s="74"/>
      <c r="AB1376" s="55" t="s">
        <v>130</v>
      </c>
      <c r="AC1376" s="55" t="s">
        <v>130</v>
      </c>
    </row>
    <row r="1377" spans="1:29" ht="13" x14ac:dyDescent="0.15">
      <c r="A1377" s="72" t="str">
        <f t="shared" si="21"/>
        <v>Ofsted Social Care Provider Webpage</v>
      </c>
      <c r="B1377" s="55">
        <v>2624251</v>
      </c>
      <c r="D1377" s="55" t="s">
        <v>373</v>
      </c>
      <c r="E1377" s="74">
        <v>44267</v>
      </c>
      <c r="F1377" s="55" t="s">
        <v>344</v>
      </c>
      <c r="G1377" s="55" t="s">
        <v>360</v>
      </c>
      <c r="H1377" s="55" t="s">
        <v>360</v>
      </c>
      <c r="I1377" s="55" t="s">
        <v>360</v>
      </c>
      <c r="J1377" s="55" t="s">
        <v>360</v>
      </c>
      <c r="K1377" s="55" t="s">
        <v>360</v>
      </c>
      <c r="L1377" s="55" t="s">
        <v>360</v>
      </c>
      <c r="M1377" s="55" t="s">
        <v>378</v>
      </c>
      <c r="N1377" s="55" t="s">
        <v>170</v>
      </c>
      <c r="O1377" s="55" t="s">
        <v>178</v>
      </c>
      <c r="P1377" s="55" t="s">
        <v>434</v>
      </c>
      <c r="Q1377" s="55" t="s">
        <v>380</v>
      </c>
      <c r="R1377" s="55">
        <v>3</v>
      </c>
      <c r="S1377" s="74"/>
      <c r="T1377" s="55" t="s">
        <v>2068</v>
      </c>
      <c r="U1377" s="73" t="s">
        <v>351</v>
      </c>
      <c r="V1377" s="74">
        <v>44446</v>
      </c>
      <c r="W1377" s="74">
        <v>44476</v>
      </c>
      <c r="X1377" s="55">
        <v>10188308</v>
      </c>
      <c r="Y1377" s="74" t="s">
        <v>132</v>
      </c>
      <c r="Z1377" s="74"/>
      <c r="AB1377" s="55" t="s">
        <v>132</v>
      </c>
      <c r="AC1377" s="55" t="s">
        <v>132</v>
      </c>
    </row>
    <row r="1378" spans="1:29" ht="13" x14ac:dyDescent="0.15">
      <c r="A1378" s="72" t="str">
        <f t="shared" si="21"/>
        <v>Ofsted Social Care Provider Webpage</v>
      </c>
      <c r="B1378" s="55">
        <v>2624457</v>
      </c>
      <c r="D1378" s="55" t="s">
        <v>373</v>
      </c>
      <c r="E1378" s="74">
        <v>44229</v>
      </c>
      <c r="F1378" s="55" t="s">
        <v>344</v>
      </c>
      <c r="G1378" s="55" t="s">
        <v>360</v>
      </c>
      <c r="H1378" s="55" t="s">
        <v>360</v>
      </c>
      <c r="I1378" s="55" t="s">
        <v>360</v>
      </c>
      <c r="J1378" s="55" t="s">
        <v>360</v>
      </c>
      <c r="K1378" s="55" t="s">
        <v>360</v>
      </c>
      <c r="L1378" s="55" t="s">
        <v>360</v>
      </c>
      <c r="M1378" s="55" t="s">
        <v>142</v>
      </c>
      <c r="N1378" s="55" t="s">
        <v>142</v>
      </c>
      <c r="O1378" s="55" t="s">
        <v>262</v>
      </c>
      <c r="P1378" s="55" t="s">
        <v>916</v>
      </c>
      <c r="Q1378" s="55" t="s">
        <v>350</v>
      </c>
      <c r="R1378" s="55">
        <v>3</v>
      </c>
      <c r="S1378" s="74"/>
      <c r="T1378" s="55" t="s">
        <v>2072</v>
      </c>
      <c r="U1378" s="73" t="s">
        <v>351</v>
      </c>
      <c r="V1378" s="74">
        <v>44600</v>
      </c>
      <c r="W1378" s="74">
        <v>44644</v>
      </c>
      <c r="X1378" s="55">
        <v>10188269</v>
      </c>
      <c r="Y1378" s="74" t="s">
        <v>130</v>
      </c>
      <c r="Z1378" s="74"/>
      <c r="AB1378" s="55" t="s">
        <v>130</v>
      </c>
      <c r="AC1378" s="55" t="s">
        <v>130</v>
      </c>
    </row>
    <row r="1379" spans="1:29" ht="13" x14ac:dyDescent="0.15">
      <c r="A1379" s="72" t="str">
        <f t="shared" si="21"/>
        <v>Ofsted Social Care Provider Webpage</v>
      </c>
      <c r="B1379" s="55">
        <v>2624657</v>
      </c>
      <c r="D1379" s="55" t="s">
        <v>373</v>
      </c>
      <c r="E1379" s="74">
        <v>44265</v>
      </c>
      <c r="F1379" s="55" t="s">
        <v>344</v>
      </c>
      <c r="G1379" s="55" t="s">
        <v>360</v>
      </c>
      <c r="H1379" s="55" t="s">
        <v>360</v>
      </c>
      <c r="I1379" s="55" t="s">
        <v>360</v>
      </c>
      <c r="J1379" s="55" t="s">
        <v>360</v>
      </c>
      <c r="K1379" s="55" t="s">
        <v>360</v>
      </c>
      <c r="L1379" s="55" t="s">
        <v>360</v>
      </c>
      <c r="M1379" s="55" t="s">
        <v>144</v>
      </c>
      <c r="N1379" s="55" t="s">
        <v>144</v>
      </c>
      <c r="O1379" s="55" t="s">
        <v>261</v>
      </c>
      <c r="P1379" s="55" t="s">
        <v>792</v>
      </c>
      <c r="Q1379" s="55" t="s">
        <v>350</v>
      </c>
      <c r="R1379" s="55">
        <v>1</v>
      </c>
      <c r="S1379" s="74"/>
      <c r="T1379" s="55" t="s">
        <v>385</v>
      </c>
      <c r="U1379" s="73" t="s">
        <v>351</v>
      </c>
      <c r="V1379" s="74">
        <v>44573</v>
      </c>
      <c r="W1379" s="74">
        <v>44596</v>
      </c>
      <c r="X1379" s="55">
        <v>10188305</v>
      </c>
      <c r="Y1379" s="74" t="s">
        <v>132</v>
      </c>
      <c r="Z1379" s="74"/>
      <c r="AB1379" s="55" t="s">
        <v>132</v>
      </c>
      <c r="AC1379" s="55" t="s">
        <v>132</v>
      </c>
    </row>
    <row r="1380" spans="1:29" ht="13" x14ac:dyDescent="0.15">
      <c r="A1380" s="72" t="str">
        <f t="shared" si="21"/>
        <v>Ofsted Social Care Provider Webpage</v>
      </c>
      <c r="B1380" s="55">
        <v>2624711</v>
      </c>
      <c r="D1380" s="55" t="s">
        <v>373</v>
      </c>
      <c r="E1380" s="74">
        <v>44252</v>
      </c>
      <c r="F1380" s="55" t="s">
        <v>344</v>
      </c>
      <c r="G1380" s="55" t="s">
        <v>360</v>
      </c>
      <c r="H1380" s="55" t="s">
        <v>360</v>
      </c>
      <c r="I1380" s="55" t="s">
        <v>360</v>
      </c>
      <c r="J1380" s="55" t="s">
        <v>360</v>
      </c>
      <c r="K1380" s="55" t="s">
        <v>360</v>
      </c>
      <c r="L1380" s="55" t="s">
        <v>360</v>
      </c>
      <c r="M1380" s="55" t="s">
        <v>144</v>
      </c>
      <c r="N1380" s="55" t="s">
        <v>144</v>
      </c>
      <c r="O1380" s="55" t="s">
        <v>261</v>
      </c>
      <c r="P1380" s="55" t="s">
        <v>512</v>
      </c>
      <c r="Q1380" s="55" t="s">
        <v>350</v>
      </c>
      <c r="R1380" s="55">
        <v>1</v>
      </c>
      <c r="S1380" s="74"/>
      <c r="T1380" s="55" t="s">
        <v>385</v>
      </c>
      <c r="U1380" s="73" t="s">
        <v>351</v>
      </c>
      <c r="V1380" s="74">
        <v>44538</v>
      </c>
      <c r="W1380" s="74">
        <v>44586</v>
      </c>
      <c r="X1380" s="55">
        <v>10188287</v>
      </c>
      <c r="Y1380" s="74" t="s">
        <v>130</v>
      </c>
      <c r="Z1380" s="74"/>
      <c r="AB1380" s="55" t="s">
        <v>130</v>
      </c>
      <c r="AC1380" s="55" t="s">
        <v>130</v>
      </c>
    </row>
    <row r="1381" spans="1:29" ht="13" x14ac:dyDescent="0.15">
      <c r="A1381" s="72" t="str">
        <f t="shared" si="21"/>
        <v>Ofsted Social Care Provider Webpage</v>
      </c>
      <c r="B1381" s="55">
        <v>2624723</v>
      </c>
      <c r="D1381" s="55" t="s">
        <v>373</v>
      </c>
      <c r="E1381" s="74">
        <v>44263</v>
      </c>
      <c r="F1381" s="55" t="s">
        <v>344</v>
      </c>
      <c r="G1381" s="55" t="s">
        <v>360</v>
      </c>
      <c r="H1381" s="55" t="s">
        <v>360</v>
      </c>
      <c r="I1381" s="55" t="s">
        <v>360</v>
      </c>
      <c r="J1381" s="55" t="s">
        <v>360</v>
      </c>
      <c r="K1381" s="55" t="s">
        <v>360</v>
      </c>
      <c r="L1381" s="55" t="s">
        <v>360</v>
      </c>
      <c r="M1381" s="55" t="s">
        <v>136</v>
      </c>
      <c r="N1381" s="55" t="s">
        <v>136</v>
      </c>
      <c r="O1381" s="55" t="s">
        <v>176</v>
      </c>
      <c r="P1381" s="55" t="s">
        <v>2073</v>
      </c>
      <c r="Q1381" s="55" t="s">
        <v>380</v>
      </c>
      <c r="R1381" s="55">
        <v>1</v>
      </c>
      <c r="S1381" s="74"/>
      <c r="T1381" s="55" t="s">
        <v>2074</v>
      </c>
      <c r="U1381" s="73" t="s">
        <v>351</v>
      </c>
      <c r="V1381" s="74">
        <v>44334</v>
      </c>
      <c r="W1381" s="74">
        <v>44382</v>
      </c>
      <c r="X1381" s="55">
        <v>10188303</v>
      </c>
      <c r="Y1381" s="74" t="s">
        <v>130</v>
      </c>
      <c r="Z1381" s="74"/>
      <c r="AB1381" s="55" t="s">
        <v>130</v>
      </c>
      <c r="AC1381" s="55" t="s">
        <v>130</v>
      </c>
    </row>
    <row r="1382" spans="1:29" ht="13" x14ac:dyDescent="0.15">
      <c r="A1382" s="72" t="str">
        <f t="shared" si="21"/>
        <v>Ofsted Social Care Provider Webpage</v>
      </c>
      <c r="B1382" s="55">
        <v>2624784</v>
      </c>
      <c r="D1382" s="55" t="s">
        <v>373</v>
      </c>
      <c r="E1382" s="74">
        <v>44312</v>
      </c>
      <c r="F1382" s="55" t="s">
        <v>344</v>
      </c>
      <c r="G1382" s="55" t="s">
        <v>360</v>
      </c>
      <c r="H1382" s="55" t="s">
        <v>360</v>
      </c>
      <c r="I1382" s="55" t="s">
        <v>360</v>
      </c>
      <c r="J1382" s="55" t="s">
        <v>360</v>
      </c>
      <c r="K1382" s="55" t="s">
        <v>360</v>
      </c>
      <c r="L1382" s="55" t="s">
        <v>360</v>
      </c>
      <c r="M1382" s="55" t="s">
        <v>129</v>
      </c>
      <c r="N1382" s="55" t="s">
        <v>129</v>
      </c>
      <c r="O1382" s="55" t="s">
        <v>179</v>
      </c>
      <c r="P1382" s="55" t="s">
        <v>1584</v>
      </c>
      <c r="Q1382" s="55" t="s">
        <v>350</v>
      </c>
      <c r="R1382" s="55">
        <v>4</v>
      </c>
      <c r="S1382" s="74"/>
      <c r="T1382" s="55" t="s">
        <v>2075</v>
      </c>
      <c r="U1382" s="73" t="s">
        <v>351</v>
      </c>
      <c r="V1382" s="74">
        <v>44622</v>
      </c>
      <c r="W1382" s="74">
        <v>44672</v>
      </c>
      <c r="X1382" s="55">
        <v>10193443</v>
      </c>
      <c r="Y1382" s="74" t="s">
        <v>130</v>
      </c>
      <c r="Z1382" s="74"/>
      <c r="AB1382" s="55" t="s">
        <v>130</v>
      </c>
      <c r="AC1382" s="55" t="s">
        <v>130</v>
      </c>
    </row>
    <row r="1383" spans="1:29" ht="13" x14ac:dyDescent="0.15">
      <c r="A1383" s="72" t="str">
        <f t="shared" si="21"/>
        <v>Ofsted Social Care Provider Webpage</v>
      </c>
      <c r="B1383" s="55">
        <v>2624855</v>
      </c>
      <c r="D1383" s="55" t="s">
        <v>373</v>
      </c>
      <c r="E1383" s="74">
        <v>44420</v>
      </c>
      <c r="F1383" s="55" t="s">
        <v>344</v>
      </c>
      <c r="G1383" s="55" t="s">
        <v>360</v>
      </c>
      <c r="H1383" s="55" t="s">
        <v>360</v>
      </c>
      <c r="I1383" s="55" t="s">
        <v>360</v>
      </c>
      <c r="J1383" s="55" t="s">
        <v>360</v>
      </c>
      <c r="K1383" s="55" t="s">
        <v>360</v>
      </c>
      <c r="L1383" s="55" t="s">
        <v>360</v>
      </c>
      <c r="M1383" s="55" t="s">
        <v>129</v>
      </c>
      <c r="N1383" s="55" t="s">
        <v>129</v>
      </c>
      <c r="O1383" s="55" t="s">
        <v>167</v>
      </c>
      <c r="P1383" s="55" t="s">
        <v>553</v>
      </c>
      <c r="Q1383" s="55" t="s">
        <v>350</v>
      </c>
      <c r="R1383" s="55">
        <v>5</v>
      </c>
      <c r="S1383" s="74"/>
      <c r="T1383" s="55" t="s">
        <v>2076</v>
      </c>
      <c r="U1383" s="73" t="s">
        <v>351</v>
      </c>
      <c r="V1383" s="74">
        <v>44607</v>
      </c>
      <c r="W1383" s="74">
        <v>44649</v>
      </c>
      <c r="X1383" s="55">
        <v>10213483</v>
      </c>
      <c r="Y1383" s="74" t="s">
        <v>132</v>
      </c>
      <c r="Z1383" s="74"/>
      <c r="AB1383" s="55" t="s">
        <v>130</v>
      </c>
      <c r="AC1383" s="55" t="s">
        <v>132</v>
      </c>
    </row>
    <row r="1384" spans="1:29" ht="13" x14ac:dyDescent="0.15">
      <c r="A1384" s="72" t="str">
        <f t="shared" si="21"/>
        <v>Ofsted Social Care Provider Webpage</v>
      </c>
      <c r="B1384" s="55">
        <v>2624934</v>
      </c>
      <c r="D1384" s="55" t="s">
        <v>373</v>
      </c>
      <c r="E1384" s="74">
        <v>44328</v>
      </c>
      <c r="F1384" s="55" t="s">
        <v>344</v>
      </c>
      <c r="G1384" s="55" t="s">
        <v>360</v>
      </c>
      <c r="H1384" s="55" t="s">
        <v>360</v>
      </c>
      <c r="I1384" s="55" t="s">
        <v>360</v>
      </c>
      <c r="J1384" s="55" t="s">
        <v>360</v>
      </c>
      <c r="K1384" s="55" t="s">
        <v>360</v>
      </c>
      <c r="L1384" s="55" t="s">
        <v>360</v>
      </c>
      <c r="M1384" s="55" t="s">
        <v>172</v>
      </c>
      <c r="N1384" s="55" t="s">
        <v>172</v>
      </c>
      <c r="O1384" s="55" t="s">
        <v>173</v>
      </c>
      <c r="P1384" s="55" t="s">
        <v>860</v>
      </c>
      <c r="Q1384" s="55" t="s">
        <v>350</v>
      </c>
      <c r="R1384" s="55">
        <v>7</v>
      </c>
      <c r="S1384" s="74"/>
      <c r="T1384" s="55" t="s">
        <v>2077</v>
      </c>
      <c r="U1384" s="73" t="s">
        <v>351</v>
      </c>
      <c r="V1384" s="74">
        <v>44537</v>
      </c>
      <c r="W1384" s="74">
        <v>44586</v>
      </c>
      <c r="X1384" s="55">
        <v>10196677</v>
      </c>
      <c r="Y1384" s="74" t="s">
        <v>132</v>
      </c>
      <c r="Z1384" s="74"/>
      <c r="AB1384" s="55" t="s">
        <v>130</v>
      </c>
      <c r="AC1384" s="55" t="s">
        <v>132</v>
      </c>
    </row>
    <row r="1385" spans="1:29" ht="13" x14ac:dyDescent="0.15">
      <c r="A1385" s="72" t="str">
        <f t="shared" si="21"/>
        <v>Ofsted Social Care Provider Webpage</v>
      </c>
      <c r="B1385" s="55">
        <v>2625170</v>
      </c>
      <c r="D1385" s="55" t="s">
        <v>373</v>
      </c>
      <c r="E1385" s="74">
        <v>44321</v>
      </c>
      <c r="F1385" s="55" t="s">
        <v>344</v>
      </c>
      <c r="G1385" s="55" t="s">
        <v>360</v>
      </c>
      <c r="H1385" s="55" t="s">
        <v>360</v>
      </c>
      <c r="I1385" s="55" t="s">
        <v>360</v>
      </c>
      <c r="J1385" s="55" t="s">
        <v>360</v>
      </c>
      <c r="K1385" s="55" t="s">
        <v>360</v>
      </c>
      <c r="L1385" s="55" t="s">
        <v>360</v>
      </c>
      <c r="M1385" s="55" t="s">
        <v>150</v>
      </c>
      <c r="N1385" s="55" t="s">
        <v>150</v>
      </c>
      <c r="O1385" s="55" t="s">
        <v>203</v>
      </c>
      <c r="P1385" s="55" t="s">
        <v>2078</v>
      </c>
      <c r="Q1385" s="55" t="s">
        <v>350</v>
      </c>
      <c r="R1385" s="55">
        <v>4</v>
      </c>
      <c r="S1385" s="74"/>
      <c r="T1385" s="55" t="s">
        <v>2079</v>
      </c>
      <c r="U1385" s="73" t="s">
        <v>351</v>
      </c>
      <c r="V1385" s="74">
        <v>44488</v>
      </c>
      <c r="W1385" s="74">
        <v>44538</v>
      </c>
      <c r="X1385" s="55">
        <v>10206620</v>
      </c>
      <c r="Y1385" s="74" t="s">
        <v>132</v>
      </c>
      <c r="Z1385" s="74"/>
      <c r="AB1385" s="55" t="s">
        <v>132</v>
      </c>
      <c r="AC1385" s="55" t="s">
        <v>132</v>
      </c>
    </row>
    <row r="1386" spans="1:29" ht="13" x14ac:dyDescent="0.15">
      <c r="A1386" s="72" t="str">
        <f t="shared" si="21"/>
        <v>Ofsted Social Care Provider Webpage</v>
      </c>
      <c r="B1386" s="55">
        <v>2625182</v>
      </c>
      <c r="D1386" s="55" t="s">
        <v>373</v>
      </c>
      <c r="E1386" s="74">
        <v>44258</v>
      </c>
      <c r="F1386" s="55" t="s">
        <v>344</v>
      </c>
      <c r="G1386" s="55" t="s">
        <v>360</v>
      </c>
      <c r="H1386" s="55" t="s">
        <v>360</v>
      </c>
      <c r="I1386" s="55" t="s">
        <v>360</v>
      </c>
      <c r="J1386" s="55" t="s">
        <v>360</v>
      </c>
      <c r="K1386" s="55" t="s">
        <v>360</v>
      </c>
      <c r="L1386" s="55" t="s">
        <v>360</v>
      </c>
      <c r="M1386" s="55" t="s">
        <v>144</v>
      </c>
      <c r="N1386" s="55" t="s">
        <v>144</v>
      </c>
      <c r="O1386" s="55" t="s">
        <v>217</v>
      </c>
      <c r="P1386" s="55" t="s">
        <v>384</v>
      </c>
      <c r="Q1386" s="55" t="s">
        <v>350</v>
      </c>
      <c r="R1386" s="55">
        <v>2</v>
      </c>
      <c r="S1386" s="74"/>
      <c r="T1386" s="55" t="s">
        <v>2016</v>
      </c>
      <c r="U1386" s="73" t="s">
        <v>351</v>
      </c>
      <c r="V1386" s="74">
        <v>44587</v>
      </c>
      <c r="W1386" s="74">
        <v>44627</v>
      </c>
      <c r="X1386" s="55">
        <v>10188296</v>
      </c>
      <c r="Y1386" s="74" t="s">
        <v>132</v>
      </c>
      <c r="Z1386" s="74"/>
      <c r="AB1386" s="55" t="s">
        <v>132</v>
      </c>
      <c r="AC1386" s="55" t="s">
        <v>132</v>
      </c>
    </row>
    <row r="1387" spans="1:29" ht="13" x14ac:dyDescent="0.15">
      <c r="A1387" s="72" t="str">
        <f t="shared" si="21"/>
        <v>Ofsted Social Care Provider Webpage</v>
      </c>
      <c r="B1387" s="55">
        <v>2625371</v>
      </c>
      <c r="D1387" s="55" t="s">
        <v>373</v>
      </c>
      <c r="E1387" s="74">
        <v>44256</v>
      </c>
      <c r="F1387" s="55" t="s">
        <v>344</v>
      </c>
      <c r="G1387" s="55" t="s">
        <v>360</v>
      </c>
      <c r="H1387" s="55" t="s">
        <v>360</v>
      </c>
      <c r="I1387" s="55" t="s">
        <v>360</v>
      </c>
      <c r="J1387" s="55" t="s">
        <v>360</v>
      </c>
      <c r="K1387" s="55" t="s">
        <v>360</v>
      </c>
      <c r="L1387" s="55" t="s">
        <v>360</v>
      </c>
      <c r="M1387" s="55" t="s">
        <v>129</v>
      </c>
      <c r="N1387" s="55" t="s">
        <v>129</v>
      </c>
      <c r="O1387" s="55" t="s">
        <v>194</v>
      </c>
      <c r="P1387" s="55" t="s">
        <v>1012</v>
      </c>
      <c r="Q1387" s="55" t="s">
        <v>350</v>
      </c>
      <c r="R1387" s="55">
        <v>5</v>
      </c>
      <c r="S1387" s="74"/>
      <c r="T1387" s="55" t="s">
        <v>2080</v>
      </c>
      <c r="U1387" s="73" t="s">
        <v>351</v>
      </c>
      <c r="V1387" s="74">
        <v>44418</v>
      </c>
      <c r="W1387" s="74">
        <v>44452</v>
      </c>
      <c r="X1387" s="55">
        <v>10195149</v>
      </c>
      <c r="Y1387" s="74" t="s">
        <v>130</v>
      </c>
      <c r="Z1387" s="74"/>
      <c r="AB1387" s="55" t="s">
        <v>130</v>
      </c>
      <c r="AC1387" s="55" t="s">
        <v>130</v>
      </c>
    </row>
    <row r="1388" spans="1:29" ht="13" x14ac:dyDescent="0.15">
      <c r="A1388" s="72" t="str">
        <f t="shared" si="21"/>
        <v>Ofsted Social Care Provider Webpage</v>
      </c>
      <c r="B1388" s="55">
        <v>2625585</v>
      </c>
      <c r="D1388" s="55" t="s">
        <v>373</v>
      </c>
      <c r="E1388" s="74">
        <v>44253</v>
      </c>
      <c r="F1388" s="55" t="s">
        <v>344</v>
      </c>
      <c r="G1388" s="55" t="s">
        <v>360</v>
      </c>
      <c r="H1388" s="55" t="s">
        <v>360</v>
      </c>
      <c r="I1388" s="55" t="s">
        <v>360</v>
      </c>
      <c r="J1388" s="55" t="s">
        <v>360</v>
      </c>
      <c r="K1388" s="55" t="s">
        <v>360</v>
      </c>
      <c r="L1388" s="55" t="s">
        <v>360</v>
      </c>
      <c r="M1388" s="55" t="s">
        <v>172</v>
      </c>
      <c r="N1388" s="55" t="s">
        <v>172</v>
      </c>
      <c r="O1388" s="55" t="s">
        <v>284</v>
      </c>
      <c r="P1388" s="55" t="s">
        <v>985</v>
      </c>
      <c r="Q1388" s="55" t="s">
        <v>350</v>
      </c>
      <c r="R1388" s="55">
        <v>4</v>
      </c>
      <c r="S1388" s="74"/>
      <c r="T1388" s="55" t="s">
        <v>1891</v>
      </c>
      <c r="U1388" s="73" t="s">
        <v>351</v>
      </c>
      <c r="V1388" s="74">
        <v>44515</v>
      </c>
      <c r="W1388" s="74">
        <v>44547</v>
      </c>
      <c r="X1388" s="55">
        <v>10213252</v>
      </c>
      <c r="Y1388" s="74" t="s">
        <v>130</v>
      </c>
      <c r="Z1388" s="74"/>
      <c r="AB1388" s="55" t="s">
        <v>130</v>
      </c>
      <c r="AC1388" s="55" t="s">
        <v>130</v>
      </c>
    </row>
    <row r="1389" spans="1:29" ht="13" x14ac:dyDescent="0.15">
      <c r="A1389" s="72" t="str">
        <f t="shared" si="21"/>
        <v>Ofsted Social Care Provider Webpage</v>
      </c>
      <c r="B1389" s="55">
        <v>2625941</v>
      </c>
      <c r="D1389" s="55" t="s">
        <v>373</v>
      </c>
      <c r="E1389" s="74">
        <v>44259</v>
      </c>
      <c r="F1389" s="55" t="s">
        <v>344</v>
      </c>
      <c r="G1389" s="55" t="s">
        <v>360</v>
      </c>
      <c r="H1389" s="55" t="s">
        <v>360</v>
      </c>
      <c r="I1389" s="55" t="s">
        <v>360</v>
      </c>
      <c r="J1389" s="55" t="s">
        <v>360</v>
      </c>
      <c r="K1389" s="55" t="s">
        <v>360</v>
      </c>
      <c r="L1389" s="55" t="s">
        <v>360</v>
      </c>
      <c r="M1389" s="55" t="s">
        <v>378</v>
      </c>
      <c r="N1389" s="55" t="s">
        <v>170</v>
      </c>
      <c r="O1389" s="55" t="s">
        <v>264</v>
      </c>
      <c r="P1389" s="55" t="s">
        <v>437</v>
      </c>
      <c r="Q1389" s="55" t="s">
        <v>350</v>
      </c>
      <c r="R1389" s="55">
        <v>15</v>
      </c>
      <c r="S1389" s="74"/>
      <c r="T1389" s="55" t="s">
        <v>2071</v>
      </c>
      <c r="U1389" s="73" t="s">
        <v>351</v>
      </c>
      <c r="V1389" s="74">
        <v>44614</v>
      </c>
      <c r="W1389" s="74">
        <v>44659</v>
      </c>
      <c r="X1389" s="55">
        <v>10188299</v>
      </c>
      <c r="Y1389" s="74" t="s">
        <v>146</v>
      </c>
      <c r="Z1389" s="74"/>
      <c r="AB1389" s="55" t="s">
        <v>146</v>
      </c>
      <c r="AC1389" s="55" t="s">
        <v>146</v>
      </c>
    </row>
    <row r="1390" spans="1:29" ht="13" x14ac:dyDescent="0.15">
      <c r="A1390" s="72" t="str">
        <f t="shared" si="21"/>
        <v>Ofsted Social Care Provider Webpage</v>
      </c>
      <c r="B1390" s="55">
        <v>2625942</v>
      </c>
      <c r="D1390" s="55" t="s">
        <v>373</v>
      </c>
      <c r="E1390" s="74">
        <v>44327</v>
      </c>
      <c r="F1390" s="55" t="s">
        <v>344</v>
      </c>
      <c r="G1390" s="55" t="s">
        <v>360</v>
      </c>
      <c r="H1390" s="55" t="s">
        <v>360</v>
      </c>
      <c r="I1390" s="55" t="s">
        <v>360</v>
      </c>
      <c r="J1390" s="55" t="s">
        <v>360</v>
      </c>
      <c r="K1390" s="55" t="s">
        <v>360</v>
      </c>
      <c r="L1390" s="55" t="s">
        <v>360</v>
      </c>
      <c r="M1390" s="55" t="s">
        <v>150</v>
      </c>
      <c r="N1390" s="55" t="s">
        <v>150</v>
      </c>
      <c r="O1390" s="55" t="s">
        <v>285</v>
      </c>
      <c r="P1390" s="55" t="s">
        <v>893</v>
      </c>
      <c r="Q1390" s="55" t="s">
        <v>350</v>
      </c>
      <c r="R1390" s="55">
        <v>4</v>
      </c>
      <c r="S1390" s="74"/>
      <c r="T1390" s="55" t="s">
        <v>931</v>
      </c>
      <c r="U1390" s="73" t="s">
        <v>351</v>
      </c>
      <c r="V1390" s="74">
        <v>44425</v>
      </c>
      <c r="W1390" s="74">
        <v>44460</v>
      </c>
      <c r="X1390" s="55">
        <v>10205114</v>
      </c>
      <c r="Y1390" s="74" t="s">
        <v>130</v>
      </c>
      <c r="Z1390" s="74"/>
      <c r="AB1390" s="55" t="s">
        <v>130</v>
      </c>
      <c r="AC1390" s="55" t="s">
        <v>130</v>
      </c>
    </row>
    <row r="1391" spans="1:29" ht="13" x14ac:dyDescent="0.15">
      <c r="A1391" s="72" t="str">
        <f t="shared" si="21"/>
        <v>Ofsted Social Care Provider Webpage</v>
      </c>
      <c r="B1391" s="55">
        <v>2626047</v>
      </c>
      <c r="D1391" s="55" t="s">
        <v>373</v>
      </c>
      <c r="E1391" s="74">
        <v>44259</v>
      </c>
      <c r="F1391" s="55" t="s">
        <v>344</v>
      </c>
      <c r="G1391" s="55" t="s">
        <v>360</v>
      </c>
      <c r="H1391" s="55" t="s">
        <v>360</v>
      </c>
      <c r="I1391" s="55" t="s">
        <v>360</v>
      </c>
      <c r="J1391" s="55" t="s">
        <v>360</v>
      </c>
      <c r="K1391" s="55" t="s">
        <v>360</v>
      </c>
      <c r="L1391" s="55" t="s">
        <v>360</v>
      </c>
      <c r="M1391" s="55" t="s">
        <v>142</v>
      </c>
      <c r="N1391" s="55" t="s">
        <v>142</v>
      </c>
      <c r="O1391" s="55" t="s">
        <v>252</v>
      </c>
      <c r="P1391" s="55" t="s">
        <v>503</v>
      </c>
      <c r="Q1391" s="55" t="s">
        <v>350</v>
      </c>
      <c r="R1391" s="55">
        <v>5</v>
      </c>
      <c r="S1391" s="74"/>
      <c r="T1391" s="55" t="s">
        <v>385</v>
      </c>
      <c r="U1391" s="73" t="s">
        <v>351</v>
      </c>
      <c r="V1391" s="74">
        <v>44440</v>
      </c>
      <c r="W1391" s="74">
        <v>44474</v>
      </c>
      <c r="X1391" s="55">
        <v>10188300</v>
      </c>
      <c r="Y1391" s="74" t="s">
        <v>132</v>
      </c>
      <c r="Z1391" s="74"/>
      <c r="AB1391" s="55" t="s">
        <v>132</v>
      </c>
      <c r="AC1391" s="55" t="s">
        <v>132</v>
      </c>
    </row>
    <row r="1392" spans="1:29" ht="13" x14ac:dyDescent="0.15">
      <c r="A1392" s="72" t="str">
        <f t="shared" si="21"/>
        <v>Ofsted Social Care Provider Webpage</v>
      </c>
      <c r="B1392" s="55">
        <v>2626053</v>
      </c>
      <c r="D1392" s="55" t="s">
        <v>373</v>
      </c>
      <c r="E1392" s="74">
        <v>44361</v>
      </c>
      <c r="F1392" s="55" t="s">
        <v>344</v>
      </c>
      <c r="G1392" s="55" t="s">
        <v>360</v>
      </c>
      <c r="H1392" s="55" t="s">
        <v>360</v>
      </c>
      <c r="I1392" s="55" t="s">
        <v>360</v>
      </c>
      <c r="J1392" s="55" t="s">
        <v>360</v>
      </c>
      <c r="K1392" s="55" t="s">
        <v>360</v>
      </c>
      <c r="L1392" s="55" t="s">
        <v>360</v>
      </c>
      <c r="M1392" s="55" t="s">
        <v>144</v>
      </c>
      <c r="N1392" s="55" t="s">
        <v>144</v>
      </c>
      <c r="O1392" s="55" t="s">
        <v>281</v>
      </c>
      <c r="P1392" s="55" t="s">
        <v>725</v>
      </c>
      <c r="Q1392" s="55" t="s">
        <v>380</v>
      </c>
      <c r="R1392" s="55">
        <v>2</v>
      </c>
      <c r="S1392" s="74"/>
      <c r="T1392" s="55" t="s">
        <v>2081</v>
      </c>
      <c r="U1392" s="73"/>
      <c r="W1392" s="74"/>
      <c r="Y1392" s="74"/>
      <c r="Z1392" s="74"/>
    </row>
    <row r="1393" spans="1:29" ht="13" x14ac:dyDescent="0.15">
      <c r="A1393" s="72" t="str">
        <f t="shared" si="21"/>
        <v>Ofsted Social Care Provider Webpage</v>
      </c>
      <c r="B1393" s="55">
        <v>2626293</v>
      </c>
      <c r="D1393" s="55" t="s">
        <v>373</v>
      </c>
      <c r="E1393" s="74">
        <v>44417</v>
      </c>
      <c r="F1393" s="55" t="s">
        <v>344</v>
      </c>
      <c r="G1393" s="55" t="s">
        <v>360</v>
      </c>
      <c r="H1393" s="55" t="s">
        <v>360</v>
      </c>
      <c r="I1393" s="55" t="s">
        <v>360</v>
      </c>
      <c r="J1393" s="55" t="s">
        <v>360</v>
      </c>
      <c r="K1393" s="55" t="s">
        <v>360</v>
      </c>
      <c r="L1393" s="55" t="s">
        <v>360</v>
      </c>
      <c r="M1393" s="55" t="s">
        <v>142</v>
      </c>
      <c r="N1393" s="55" t="s">
        <v>142</v>
      </c>
      <c r="O1393" s="55" t="s">
        <v>293</v>
      </c>
      <c r="P1393" s="55" t="s">
        <v>1060</v>
      </c>
      <c r="Q1393" s="55" t="s">
        <v>350</v>
      </c>
      <c r="R1393" s="55">
        <v>4</v>
      </c>
      <c r="S1393" s="74"/>
      <c r="T1393" s="55" t="s">
        <v>2077</v>
      </c>
      <c r="U1393" s="73" t="s">
        <v>351</v>
      </c>
      <c r="V1393" s="74">
        <v>44586</v>
      </c>
      <c r="W1393" s="74">
        <v>44620</v>
      </c>
      <c r="X1393" s="55">
        <v>10206509</v>
      </c>
      <c r="Y1393" s="74" t="s">
        <v>132</v>
      </c>
      <c r="Z1393" s="74"/>
      <c r="AB1393" s="55" t="s">
        <v>132</v>
      </c>
      <c r="AC1393" s="55" t="s">
        <v>132</v>
      </c>
    </row>
    <row r="1394" spans="1:29" ht="13" x14ac:dyDescent="0.15">
      <c r="A1394" s="72" t="str">
        <f t="shared" si="21"/>
        <v>Ofsted Social Care Provider Webpage</v>
      </c>
      <c r="B1394" s="55">
        <v>2626458</v>
      </c>
      <c r="D1394" s="55" t="s">
        <v>373</v>
      </c>
      <c r="E1394" s="74">
        <v>44326</v>
      </c>
      <c r="F1394" s="55" t="s">
        <v>344</v>
      </c>
      <c r="G1394" s="55" t="s">
        <v>360</v>
      </c>
      <c r="H1394" s="55" t="s">
        <v>360</v>
      </c>
      <c r="I1394" s="55" t="s">
        <v>360</v>
      </c>
      <c r="J1394" s="55" t="s">
        <v>360</v>
      </c>
      <c r="K1394" s="55" t="s">
        <v>360</v>
      </c>
      <c r="L1394" s="55" t="s">
        <v>360</v>
      </c>
      <c r="M1394" s="55" t="s">
        <v>142</v>
      </c>
      <c r="N1394" s="55" t="s">
        <v>142</v>
      </c>
      <c r="O1394" s="55" t="s">
        <v>262</v>
      </c>
      <c r="P1394" s="55" t="s">
        <v>949</v>
      </c>
      <c r="Q1394" s="55" t="s">
        <v>350</v>
      </c>
      <c r="R1394" s="55">
        <v>3</v>
      </c>
      <c r="S1394" s="74"/>
      <c r="T1394" s="55" t="s">
        <v>1024</v>
      </c>
      <c r="U1394" s="73" t="s">
        <v>351</v>
      </c>
      <c r="V1394" s="74">
        <v>44608</v>
      </c>
      <c r="W1394" s="74">
        <v>44658</v>
      </c>
      <c r="X1394" s="55">
        <v>10204577</v>
      </c>
      <c r="Y1394" s="74" t="s">
        <v>132</v>
      </c>
      <c r="Z1394" s="74"/>
      <c r="AB1394" s="55" t="s">
        <v>132</v>
      </c>
      <c r="AC1394" s="55" t="s">
        <v>132</v>
      </c>
    </row>
    <row r="1395" spans="1:29" ht="13" x14ac:dyDescent="0.15">
      <c r="A1395" s="72" t="str">
        <f t="shared" si="21"/>
        <v>Ofsted Social Care Provider Webpage</v>
      </c>
      <c r="B1395" s="55">
        <v>2626773</v>
      </c>
      <c r="D1395" s="55" t="s">
        <v>373</v>
      </c>
      <c r="E1395" s="74">
        <v>44230</v>
      </c>
      <c r="F1395" s="55" t="s">
        <v>344</v>
      </c>
      <c r="G1395" s="55" t="s">
        <v>360</v>
      </c>
      <c r="H1395" s="55" t="s">
        <v>360</v>
      </c>
      <c r="I1395" s="55" t="s">
        <v>360</v>
      </c>
      <c r="J1395" s="55" t="s">
        <v>360</v>
      </c>
      <c r="K1395" s="55" t="s">
        <v>360</v>
      </c>
      <c r="L1395" s="55" t="s">
        <v>360</v>
      </c>
      <c r="M1395" s="55" t="s">
        <v>138</v>
      </c>
      <c r="N1395" s="55" t="s">
        <v>138</v>
      </c>
      <c r="O1395" s="55" t="s">
        <v>196</v>
      </c>
      <c r="P1395" s="55" t="s">
        <v>1368</v>
      </c>
      <c r="Q1395" s="55" t="s">
        <v>380</v>
      </c>
      <c r="R1395" s="55">
        <v>3</v>
      </c>
      <c r="S1395" s="74"/>
      <c r="T1395" s="55" t="s">
        <v>2082</v>
      </c>
      <c r="U1395" s="73" t="s">
        <v>351</v>
      </c>
      <c r="V1395" s="74">
        <v>44396</v>
      </c>
      <c r="W1395" s="74">
        <v>44425</v>
      </c>
      <c r="X1395" s="55">
        <v>10188272</v>
      </c>
      <c r="Y1395" s="74" t="s">
        <v>132</v>
      </c>
      <c r="Z1395" s="74"/>
      <c r="AB1395" s="55" t="s">
        <v>132</v>
      </c>
      <c r="AC1395" s="55" t="s">
        <v>132</v>
      </c>
    </row>
    <row r="1396" spans="1:29" ht="13" x14ac:dyDescent="0.15">
      <c r="A1396" s="72" t="str">
        <f t="shared" si="21"/>
        <v>Ofsted Social Care Provider Webpage</v>
      </c>
      <c r="B1396" s="55">
        <v>2627009</v>
      </c>
      <c r="D1396" s="55" t="s">
        <v>373</v>
      </c>
      <c r="E1396" s="74">
        <v>44426</v>
      </c>
      <c r="F1396" s="55" t="s">
        <v>344</v>
      </c>
      <c r="G1396" s="55" t="s">
        <v>360</v>
      </c>
      <c r="H1396" s="55" t="s">
        <v>360</v>
      </c>
      <c r="I1396" s="55" t="s">
        <v>360</v>
      </c>
      <c r="J1396" s="55" t="s">
        <v>360</v>
      </c>
      <c r="K1396" s="55" t="s">
        <v>360</v>
      </c>
      <c r="L1396" s="55" t="s">
        <v>360</v>
      </c>
      <c r="M1396" s="55" t="s">
        <v>172</v>
      </c>
      <c r="N1396" s="55" t="s">
        <v>172</v>
      </c>
      <c r="O1396" s="55" t="s">
        <v>214</v>
      </c>
      <c r="P1396" s="55" t="s">
        <v>1345</v>
      </c>
      <c r="Q1396" s="55" t="s">
        <v>350</v>
      </c>
      <c r="R1396" s="55">
        <v>4</v>
      </c>
      <c r="S1396" s="74"/>
      <c r="T1396" s="55" t="s">
        <v>2083</v>
      </c>
      <c r="U1396" s="73" t="s">
        <v>351</v>
      </c>
      <c r="V1396" s="74">
        <v>44592</v>
      </c>
      <c r="W1396" s="74">
        <v>44631</v>
      </c>
      <c r="X1396" s="55">
        <v>10206367</v>
      </c>
      <c r="Y1396" s="74" t="s">
        <v>132</v>
      </c>
      <c r="Z1396" s="74"/>
      <c r="AB1396" s="55" t="s">
        <v>132</v>
      </c>
      <c r="AC1396" s="55" t="s">
        <v>132</v>
      </c>
    </row>
    <row r="1397" spans="1:29" ht="13" x14ac:dyDescent="0.15">
      <c r="A1397" s="72" t="str">
        <f t="shared" si="21"/>
        <v>Ofsted Social Care Provider Webpage</v>
      </c>
      <c r="B1397" s="55">
        <v>2627028</v>
      </c>
      <c r="D1397" s="55" t="s">
        <v>373</v>
      </c>
      <c r="E1397" s="74">
        <v>44293</v>
      </c>
      <c r="F1397" s="55" t="s">
        <v>344</v>
      </c>
      <c r="G1397" s="55" t="s">
        <v>360</v>
      </c>
      <c r="H1397" s="55" t="s">
        <v>360</v>
      </c>
      <c r="I1397" s="55" t="s">
        <v>360</v>
      </c>
      <c r="J1397" s="55" t="s">
        <v>360</v>
      </c>
      <c r="K1397" s="55" t="s">
        <v>360</v>
      </c>
      <c r="L1397" s="55" t="s">
        <v>360</v>
      </c>
      <c r="M1397" s="55" t="s">
        <v>172</v>
      </c>
      <c r="N1397" s="55" t="s">
        <v>172</v>
      </c>
      <c r="O1397" s="55" t="s">
        <v>171</v>
      </c>
      <c r="P1397" s="55" t="s">
        <v>895</v>
      </c>
      <c r="Q1397" s="55" t="s">
        <v>350</v>
      </c>
      <c r="R1397" s="55">
        <v>3</v>
      </c>
      <c r="S1397" s="74"/>
      <c r="T1397" s="55" t="s">
        <v>668</v>
      </c>
      <c r="U1397" s="73" t="s">
        <v>351</v>
      </c>
      <c r="V1397" s="74">
        <v>44600</v>
      </c>
      <c r="W1397" s="74">
        <v>44643</v>
      </c>
      <c r="X1397" s="55">
        <v>10192937</v>
      </c>
      <c r="Y1397" s="74" t="s">
        <v>132</v>
      </c>
      <c r="Z1397" s="74"/>
      <c r="AB1397" s="55" t="s">
        <v>132</v>
      </c>
      <c r="AC1397" s="55" t="s">
        <v>132</v>
      </c>
    </row>
    <row r="1398" spans="1:29" ht="13" x14ac:dyDescent="0.15">
      <c r="A1398" s="72" t="str">
        <f t="shared" si="21"/>
        <v>Ofsted Social Care Provider Webpage</v>
      </c>
      <c r="B1398" s="55">
        <v>2627054</v>
      </c>
      <c r="D1398" s="55" t="s">
        <v>373</v>
      </c>
      <c r="E1398" s="74">
        <v>44320</v>
      </c>
      <c r="F1398" s="55" t="s">
        <v>344</v>
      </c>
      <c r="G1398" s="55" t="s">
        <v>360</v>
      </c>
      <c r="H1398" s="55" t="s">
        <v>360</v>
      </c>
      <c r="I1398" s="55" t="s">
        <v>360</v>
      </c>
      <c r="J1398" s="55" t="s">
        <v>360</v>
      </c>
      <c r="K1398" s="55" t="s">
        <v>360</v>
      </c>
      <c r="L1398" s="55" t="s">
        <v>360</v>
      </c>
      <c r="M1398" s="55" t="s">
        <v>142</v>
      </c>
      <c r="N1398" s="55" t="s">
        <v>142</v>
      </c>
      <c r="O1398" s="55" t="s">
        <v>262</v>
      </c>
      <c r="P1398" s="55" t="s">
        <v>488</v>
      </c>
      <c r="Q1398" s="55" t="s">
        <v>350</v>
      </c>
      <c r="R1398" s="55">
        <v>2</v>
      </c>
      <c r="S1398" s="74"/>
      <c r="T1398" s="55" t="s">
        <v>1307</v>
      </c>
      <c r="U1398" s="73" t="s">
        <v>351</v>
      </c>
      <c r="V1398" s="74">
        <v>44460</v>
      </c>
      <c r="W1398" s="74">
        <v>44498</v>
      </c>
      <c r="X1398" s="55">
        <v>10202655</v>
      </c>
      <c r="Y1398" s="74" t="s">
        <v>130</v>
      </c>
      <c r="Z1398" s="74"/>
      <c r="AB1398" s="55" t="s">
        <v>130</v>
      </c>
      <c r="AC1398" s="55" t="s">
        <v>130</v>
      </c>
    </row>
    <row r="1399" spans="1:29" ht="13" x14ac:dyDescent="0.15">
      <c r="A1399" s="72" t="str">
        <f t="shared" si="21"/>
        <v>Ofsted Social Care Provider Webpage</v>
      </c>
      <c r="B1399" s="55">
        <v>2627088</v>
      </c>
      <c r="D1399" s="55" t="s">
        <v>373</v>
      </c>
      <c r="E1399" s="74">
        <v>44273</v>
      </c>
      <c r="F1399" s="55" t="s">
        <v>344</v>
      </c>
      <c r="G1399" s="55" t="s">
        <v>360</v>
      </c>
      <c r="H1399" s="55" t="s">
        <v>360</v>
      </c>
      <c r="I1399" s="55" t="s">
        <v>360</v>
      </c>
      <c r="J1399" s="55" t="s">
        <v>360</v>
      </c>
      <c r="K1399" s="55" t="s">
        <v>360</v>
      </c>
      <c r="L1399" s="55" t="s">
        <v>360</v>
      </c>
      <c r="M1399" s="55" t="s">
        <v>172</v>
      </c>
      <c r="N1399" s="55" t="s">
        <v>172</v>
      </c>
      <c r="O1399" s="55" t="s">
        <v>211</v>
      </c>
      <c r="P1399" s="55" t="s">
        <v>1062</v>
      </c>
      <c r="Q1399" s="55" t="s">
        <v>350</v>
      </c>
      <c r="R1399" s="55">
        <v>4</v>
      </c>
      <c r="S1399" s="74"/>
      <c r="T1399" s="55" t="s">
        <v>2084</v>
      </c>
      <c r="U1399" s="73" t="s">
        <v>351</v>
      </c>
      <c r="V1399" s="74">
        <v>44454</v>
      </c>
      <c r="W1399" s="74">
        <v>44480</v>
      </c>
      <c r="X1399" s="55">
        <v>10188310</v>
      </c>
      <c r="Y1399" s="74" t="s">
        <v>130</v>
      </c>
      <c r="Z1399" s="74"/>
      <c r="AB1399" s="55" t="s">
        <v>130</v>
      </c>
      <c r="AC1399" s="55" t="s">
        <v>146</v>
      </c>
    </row>
    <row r="1400" spans="1:29" ht="13" x14ac:dyDescent="0.15">
      <c r="A1400" s="72" t="str">
        <f t="shared" si="21"/>
        <v>Ofsted Social Care Provider Webpage</v>
      </c>
      <c r="B1400" s="55">
        <v>2627279</v>
      </c>
      <c r="D1400" s="55" t="s">
        <v>443</v>
      </c>
      <c r="E1400" s="74">
        <v>44356</v>
      </c>
      <c r="F1400" s="55" t="s">
        <v>344</v>
      </c>
      <c r="G1400" s="55" t="s">
        <v>2085</v>
      </c>
      <c r="H1400" s="55" t="s">
        <v>2086</v>
      </c>
      <c r="I1400" s="55" t="s">
        <v>354</v>
      </c>
      <c r="J1400" s="55" t="s">
        <v>263</v>
      </c>
      <c r="L1400" s="55" t="s">
        <v>2087</v>
      </c>
      <c r="M1400" s="55" t="s">
        <v>144</v>
      </c>
      <c r="N1400" s="55" t="s">
        <v>144</v>
      </c>
      <c r="O1400" s="55" t="s">
        <v>263</v>
      </c>
      <c r="P1400" s="55" t="s">
        <v>1211</v>
      </c>
      <c r="Q1400" s="55" t="s">
        <v>350</v>
      </c>
      <c r="R1400" s="55"/>
      <c r="S1400" s="74"/>
      <c r="U1400" s="73"/>
      <c r="W1400" s="74"/>
      <c r="Y1400" s="74"/>
      <c r="Z1400" s="74"/>
    </row>
    <row r="1401" spans="1:29" ht="13" x14ac:dyDescent="0.15">
      <c r="A1401" s="72" t="str">
        <f t="shared" si="21"/>
        <v>Ofsted Social Care Provider Webpage</v>
      </c>
      <c r="B1401" s="55">
        <v>2627409</v>
      </c>
      <c r="D1401" s="55" t="s">
        <v>373</v>
      </c>
      <c r="E1401" s="74">
        <v>44369</v>
      </c>
      <c r="F1401" s="55" t="s">
        <v>344</v>
      </c>
      <c r="G1401" s="55" t="s">
        <v>360</v>
      </c>
      <c r="H1401" s="55" t="s">
        <v>360</v>
      </c>
      <c r="I1401" s="55" t="s">
        <v>360</v>
      </c>
      <c r="J1401" s="55" t="s">
        <v>360</v>
      </c>
      <c r="K1401" s="55" t="s">
        <v>360</v>
      </c>
      <c r="L1401" s="55" t="s">
        <v>360</v>
      </c>
      <c r="M1401" s="55" t="s">
        <v>142</v>
      </c>
      <c r="N1401" s="55" t="s">
        <v>142</v>
      </c>
      <c r="O1401" s="55" t="s">
        <v>195</v>
      </c>
      <c r="P1401" s="55" t="s">
        <v>518</v>
      </c>
      <c r="Q1401" s="55" t="s">
        <v>350</v>
      </c>
      <c r="R1401" s="55">
        <v>4</v>
      </c>
      <c r="S1401" s="74"/>
      <c r="T1401" s="55" t="s">
        <v>515</v>
      </c>
      <c r="U1401" s="73" t="s">
        <v>351</v>
      </c>
      <c r="V1401" s="74">
        <v>44508</v>
      </c>
      <c r="W1401" s="74">
        <v>44540</v>
      </c>
      <c r="X1401" s="55">
        <v>10206473</v>
      </c>
      <c r="Y1401" s="74" t="s">
        <v>132</v>
      </c>
      <c r="Z1401" s="74"/>
      <c r="AB1401" s="55" t="s">
        <v>130</v>
      </c>
      <c r="AC1401" s="55" t="s">
        <v>132</v>
      </c>
    </row>
    <row r="1402" spans="1:29" ht="13" x14ac:dyDescent="0.15">
      <c r="A1402" s="72" t="str">
        <f t="shared" si="21"/>
        <v>Ofsted Social Care Provider Webpage</v>
      </c>
      <c r="B1402" s="55">
        <v>2627737</v>
      </c>
      <c r="D1402" s="55" t="s">
        <v>373</v>
      </c>
      <c r="E1402" s="74">
        <v>44475</v>
      </c>
      <c r="F1402" s="55" t="s">
        <v>344</v>
      </c>
      <c r="G1402" s="55" t="s">
        <v>360</v>
      </c>
      <c r="H1402" s="55" t="s">
        <v>360</v>
      </c>
      <c r="I1402" s="55" t="s">
        <v>360</v>
      </c>
      <c r="J1402" s="55" t="s">
        <v>360</v>
      </c>
      <c r="K1402" s="55" t="s">
        <v>360</v>
      </c>
      <c r="L1402" s="55" t="s">
        <v>360</v>
      </c>
      <c r="M1402" s="55" t="s">
        <v>144</v>
      </c>
      <c r="N1402" s="55" t="s">
        <v>144</v>
      </c>
      <c r="O1402" s="55" t="s">
        <v>236</v>
      </c>
      <c r="P1402" s="55" t="s">
        <v>2088</v>
      </c>
      <c r="Q1402" s="55" t="s">
        <v>350</v>
      </c>
      <c r="R1402" s="55">
        <v>2</v>
      </c>
      <c r="S1402" s="74"/>
      <c r="T1402" s="55" t="s">
        <v>2089</v>
      </c>
      <c r="U1402" s="73"/>
      <c r="W1402" s="74"/>
      <c r="Y1402" s="74"/>
      <c r="Z1402" s="74"/>
    </row>
    <row r="1403" spans="1:29" ht="13" x14ac:dyDescent="0.15">
      <c r="A1403" s="72" t="str">
        <f t="shared" si="21"/>
        <v>Ofsted Social Care Provider Webpage</v>
      </c>
      <c r="B1403" s="55">
        <v>2627967</v>
      </c>
      <c r="D1403" s="55" t="s">
        <v>373</v>
      </c>
      <c r="E1403" s="74">
        <v>44380</v>
      </c>
      <c r="F1403" s="55" t="s">
        <v>344</v>
      </c>
      <c r="G1403" s="55" t="s">
        <v>360</v>
      </c>
      <c r="H1403" s="55" t="s">
        <v>360</v>
      </c>
      <c r="I1403" s="55" t="s">
        <v>360</v>
      </c>
      <c r="J1403" s="55" t="s">
        <v>360</v>
      </c>
      <c r="K1403" s="55" t="s">
        <v>360</v>
      </c>
      <c r="L1403" s="55" t="s">
        <v>360</v>
      </c>
      <c r="M1403" s="55" t="s">
        <v>144</v>
      </c>
      <c r="N1403" s="55" t="s">
        <v>144</v>
      </c>
      <c r="O1403" s="55" t="s">
        <v>209</v>
      </c>
      <c r="P1403" s="55" t="s">
        <v>597</v>
      </c>
      <c r="Q1403" s="55" t="s">
        <v>350</v>
      </c>
      <c r="R1403" s="55">
        <v>3</v>
      </c>
      <c r="S1403" s="74"/>
      <c r="T1403" s="55" t="s">
        <v>598</v>
      </c>
      <c r="U1403" s="73" t="s">
        <v>351</v>
      </c>
      <c r="V1403" s="74">
        <v>44621</v>
      </c>
      <c r="W1403" s="74">
        <v>44676</v>
      </c>
      <c r="X1403" s="55">
        <v>10205015</v>
      </c>
      <c r="Y1403" s="74" t="s">
        <v>132</v>
      </c>
      <c r="Z1403" s="74"/>
      <c r="AB1403" s="55" t="s">
        <v>132</v>
      </c>
      <c r="AC1403" s="55" t="s">
        <v>130</v>
      </c>
    </row>
    <row r="1404" spans="1:29" ht="13" x14ac:dyDescent="0.15">
      <c r="A1404" s="72" t="str">
        <f t="shared" si="21"/>
        <v>Ofsted Social Care Provider Webpage</v>
      </c>
      <c r="B1404" s="55">
        <v>2628010</v>
      </c>
      <c r="D1404" s="55" t="s">
        <v>373</v>
      </c>
      <c r="E1404" s="74">
        <v>44313</v>
      </c>
      <c r="F1404" s="55" t="s">
        <v>344</v>
      </c>
      <c r="G1404" s="55" t="s">
        <v>360</v>
      </c>
      <c r="H1404" s="55" t="s">
        <v>360</v>
      </c>
      <c r="I1404" s="55" t="s">
        <v>360</v>
      </c>
      <c r="J1404" s="55" t="s">
        <v>360</v>
      </c>
      <c r="K1404" s="55" t="s">
        <v>360</v>
      </c>
      <c r="L1404" s="55" t="s">
        <v>360</v>
      </c>
      <c r="M1404" s="55" t="s">
        <v>144</v>
      </c>
      <c r="N1404" s="55" t="s">
        <v>144</v>
      </c>
      <c r="O1404" s="55" t="s">
        <v>287</v>
      </c>
      <c r="P1404" s="55" t="s">
        <v>815</v>
      </c>
      <c r="Q1404" s="55" t="s">
        <v>350</v>
      </c>
      <c r="R1404" s="55">
        <v>1</v>
      </c>
      <c r="S1404" s="74"/>
      <c r="T1404" s="55" t="s">
        <v>385</v>
      </c>
      <c r="U1404" s="73"/>
      <c r="W1404" s="74"/>
      <c r="Y1404" s="74"/>
      <c r="Z1404" s="74"/>
    </row>
    <row r="1405" spans="1:29" ht="13" x14ac:dyDescent="0.15">
      <c r="A1405" s="72" t="str">
        <f t="shared" si="21"/>
        <v>Ofsted Social Care Provider Webpage</v>
      </c>
      <c r="B1405" s="55">
        <v>2628154</v>
      </c>
      <c r="C1405" s="55">
        <v>148010</v>
      </c>
      <c r="D1405" s="55" t="s">
        <v>398</v>
      </c>
      <c r="E1405" s="74">
        <v>44216</v>
      </c>
      <c r="F1405" s="55" t="s">
        <v>344</v>
      </c>
      <c r="G1405" s="55" t="s">
        <v>2090</v>
      </c>
      <c r="H1405" s="55" t="s">
        <v>2091</v>
      </c>
      <c r="I1405" s="55" t="s">
        <v>2092</v>
      </c>
      <c r="J1405" s="55" t="s">
        <v>253</v>
      </c>
      <c r="K1405" s="55" t="s">
        <v>1402</v>
      </c>
      <c r="L1405" s="55" t="s">
        <v>2093</v>
      </c>
      <c r="M1405" s="55" t="s">
        <v>150</v>
      </c>
      <c r="N1405" s="55" t="s">
        <v>150</v>
      </c>
      <c r="O1405" s="55" t="s">
        <v>156</v>
      </c>
      <c r="P1405" s="55" t="s">
        <v>2094</v>
      </c>
      <c r="Q1405" s="55" t="s">
        <v>350</v>
      </c>
      <c r="R1405" s="55">
        <v>100</v>
      </c>
      <c r="S1405" s="74"/>
      <c r="T1405" s="55" t="s">
        <v>2095</v>
      </c>
      <c r="U1405" s="73"/>
      <c r="W1405" s="74"/>
      <c r="Y1405" s="74"/>
      <c r="Z1405" s="74"/>
    </row>
    <row r="1406" spans="1:29" ht="13" x14ac:dyDescent="0.15">
      <c r="A1406" s="72" t="str">
        <f t="shared" si="21"/>
        <v>Ofsted Social Care Provider Webpage</v>
      </c>
      <c r="B1406" s="55">
        <v>2628367</v>
      </c>
      <c r="D1406" s="55" t="s">
        <v>373</v>
      </c>
      <c r="E1406" s="74">
        <v>44560</v>
      </c>
      <c r="F1406" s="55" t="s">
        <v>344</v>
      </c>
      <c r="G1406" s="55" t="s">
        <v>360</v>
      </c>
      <c r="H1406" s="55" t="s">
        <v>360</v>
      </c>
      <c r="I1406" s="55" t="s">
        <v>360</v>
      </c>
      <c r="J1406" s="55" t="s">
        <v>360</v>
      </c>
      <c r="K1406" s="55" t="s">
        <v>360</v>
      </c>
      <c r="L1406" s="55" t="s">
        <v>360</v>
      </c>
      <c r="M1406" s="55" t="s">
        <v>129</v>
      </c>
      <c r="N1406" s="55" t="s">
        <v>129</v>
      </c>
      <c r="O1406" s="55" t="s">
        <v>167</v>
      </c>
      <c r="P1406" s="55" t="s">
        <v>866</v>
      </c>
      <c r="Q1406" s="55" t="s">
        <v>350</v>
      </c>
      <c r="R1406" s="55">
        <v>5</v>
      </c>
      <c r="S1406" s="74"/>
      <c r="T1406" s="55" t="s">
        <v>2096</v>
      </c>
      <c r="U1406" s="73"/>
      <c r="W1406" s="74"/>
      <c r="Y1406" s="74"/>
      <c r="Z1406" s="74"/>
    </row>
    <row r="1407" spans="1:29" ht="13" x14ac:dyDescent="0.15">
      <c r="A1407" s="72" t="str">
        <f t="shared" si="21"/>
        <v>Ofsted Social Care Provider Webpage</v>
      </c>
      <c r="B1407" s="55">
        <v>2628430</v>
      </c>
      <c r="D1407" s="55" t="s">
        <v>373</v>
      </c>
      <c r="E1407" s="74">
        <v>44280</v>
      </c>
      <c r="F1407" s="55" t="s">
        <v>344</v>
      </c>
      <c r="G1407" s="55" t="s">
        <v>360</v>
      </c>
      <c r="H1407" s="55" t="s">
        <v>360</v>
      </c>
      <c r="I1407" s="55" t="s">
        <v>360</v>
      </c>
      <c r="J1407" s="55" t="s">
        <v>360</v>
      </c>
      <c r="K1407" s="55" t="s">
        <v>360</v>
      </c>
      <c r="L1407" s="55" t="s">
        <v>360</v>
      </c>
      <c r="M1407" s="55" t="s">
        <v>136</v>
      </c>
      <c r="N1407" s="55" t="s">
        <v>136</v>
      </c>
      <c r="O1407" s="55" t="s">
        <v>270</v>
      </c>
      <c r="P1407" s="55" t="s">
        <v>1752</v>
      </c>
      <c r="Q1407" s="55" t="s">
        <v>350</v>
      </c>
      <c r="R1407" s="55">
        <v>5</v>
      </c>
      <c r="S1407" s="74"/>
      <c r="T1407" s="55" t="s">
        <v>1236</v>
      </c>
      <c r="U1407" s="73" t="s">
        <v>351</v>
      </c>
      <c r="V1407" s="74">
        <v>44607</v>
      </c>
      <c r="W1407" s="74">
        <v>44644</v>
      </c>
      <c r="X1407" s="55">
        <v>10188317</v>
      </c>
      <c r="Y1407" s="74" t="s">
        <v>132</v>
      </c>
      <c r="Z1407" s="74"/>
      <c r="AB1407" s="55" t="s">
        <v>132</v>
      </c>
      <c r="AC1407" s="55" t="s">
        <v>132</v>
      </c>
    </row>
    <row r="1408" spans="1:29" ht="13" x14ac:dyDescent="0.15">
      <c r="A1408" s="72" t="str">
        <f t="shared" si="21"/>
        <v>Ofsted Social Care Provider Webpage</v>
      </c>
      <c r="B1408" s="55">
        <v>2628534</v>
      </c>
      <c r="D1408" s="55" t="s">
        <v>373</v>
      </c>
      <c r="E1408" s="74">
        <v>44307</v>
      </c>
      <c r="F1408" s="55" t="s">
        <v>344</v>
      </c>
      <c r="G1408" s="55" t="s">
        <v>360</v>
      </c>
      <c r="H1408" s="55" t="s">
        <v>360</v>
      </c>
      <c r="I1408" s="55" t="s">
        <v>360</v>
      </c>
      <c r="J1408" s="55" t="s">
        <v>360</v>
      </c>
      <c r="K1408" s="55" t="s">
        <v>360</v>
      </c>
      <c r="L1408" s="55" t="s">
        <v>360</v>
      </c>
      <c r="M1408" s="55" t="s">
        <v>144</v>
      </c>
      <c r="N1408" s="55" t="s">
        <v>144</v>
      </c>
      <c r="O1408" s="55" t="s">
        <v>147</v>
      </c>
      <c r="P1408" s="55" t="s">
        <v>674</v>
      </c>
      <c r="Q1408" s="55" t="s">
        <v>362</v>
      </c>
      <c r="R1408" s="55">
        <v>1</v>
      </c>
      <c r="S1408" s="74"/>
      <c r="T1408" s="55" t="s">
        <v>675</v>
      </c>
      <c r="U1408" s="73" t="s">
        <v>351</v>
      </c>
      <c r="V1408" s="74">
        <v>44335</v>
      </c>
      <c r="W1408" s="74">
        <v>44371</v>
      </c>
      <c r="X1408" s="55">
        <v>10195703</v>
      </c>
      <c r="Y1408" s="74" t="s">
        <v>132</v>
      </c>
      <c r="Z1408" s="74"/>
      <c r="AB1408" s="55" t="s">
        <v>132</v>
      </c>
      <c r="AC1408" s="55" t="s">
        <v>130</v>
      </c>
    </row>
    <row r="1409" spans="1:29" ht="13" x14ac:dyDescent="0.15">
      <c r="A1409" s="72" t="str">
        <f t="shared" si="21"/>
        <v>Ofsted Social Care Provider Webpage</v>
      </c>
      <c r="B1409" s="55">
        <v>2628612</v>
      </c>
      <c r="D1409" s="55" t="s">
        <v>373</v>
      </c>
      <c r="E1409" s="74">
        <v>44463</v>
      </c>
      <c r="F1409" s="55" t="s">
        <v>344</v>
      </c>
      <c r="G1409" s="55" t="s">
        <v>360</v>
      </c>
      <c r="H1409" s="55" t="s">
        <v>360</v>
      </c>
      <c r="I1409" s="55" t="s">
        <v>360</v>
      </c>
      <c r="J1409" s="55" t="s">
        <v>360</v>
      </c>
      <c r="K1409" s="55" t="s">
        <v>360</v>
      </c>
      <c r="L1409" s="55" t="s">
        <v>360</v>
      </c>
      <c r="M1409" s="55" t="s">
        <v>138</v>
      </c>
      <c r="N1409" s="55" t="s">
        <v>138</v>
      </c>
      <c r="O1409" s="55" t="s">
        <v>216</v>
      </c>
      <c r="P1409" s="55" t="s">
        <v>1968</v>
      </c>
      <c r="Q1409" s="55" t="s">
        <v>350</v>
      </c>
      <c r="R1409" s="55">
        <v>3</v>
      </c>
      <c r="S1409" s="74"/>
      <c r="T1409" s="55" t="s">
        <v>2097</v>
      </c>
      <c r="U1409" s="73" t="s">
        <v>351</v>
      </c>
      <c r="V1409" s="74">
        <v>44566</v>
      </c>
      <c r="W1409" s="74">
        <v>44593</v>
      </c>
      <c r="X1409" s="55">
        <v>10209736</v>
      </c>
      <c r="Y1409" s="74" t="s">
        <v>130</v>
      </c>
      <c r="Z1409" s="74"/>
      <c r="AB1409" s="55" t="s">
        <v>130</v>
      </c>
      <c r="AC1409" s="55" t="s">
        <v>130</v>
      </c>
    </row>
    <row r="1410" spans="1:29" ht="13" x14ac:dyDescent="0.15">
      <c r="A1410" s="72" t="str">
        <f t="shared" si="21"/>
        <v>Ofsted Social Care Provider Webpage</v>
      </c>
      <c r="B1410" s="55">
        <v>2629073</v>
      </c>
      <c r="D1410" s="55" t="s">
        <v>373</v>
      </c>
      <c r="E1410" s="74">
        <v>44266</v>
      </c>
      <c r="F1410" s="55" t="s">
        <v>344</v>
      </c>
      <c r="G1410" s="55" t="s">
        <v>360</v>
      </c>
      <c r="H1410" s="55" t="s">
        <v>360</v>
      </c>
      <c r="I1410" s="55" t="s">
        <v>360</v>
      </c>
      <c r="J1410" s="55" t="s">
        <v>360</v>
      </c>
      <c r="K1410" s="55" t="s">
        <v>360</v>
      </c>
      <c r="L1410" s="55" t="s">
        <v>360</v>
      </c>
      <c r="M1410" s="55" t="s">
        <v>378</v>
      </c>
      <c r="N1410" s="55" t="s">
        <v>134</v>
      </c>
      <c r="O1410" s="55" t="s">
        <v>158</v>
      </c>
      <c r="P1410" s="55" t="s">
        <v>912</v>
      </c>
      <c r="Q1410" s="55" t="s">
        <v>350</v>
      </c>
      <c r="R1410" s="55">
        <v>1</v>
      </c>
      <c r="S1410" s="74"/>
      <c r="T1410" s="55" t="s">
        <v>951</v>
      </c>
      <c r="U1410" s="73" t="s">
        <v>351</v>
      </c>
      <c r="V1410" s="74">
        <v>44509</v>
      </c>
      <c r="W1410" s="74">
        <v>44547</v>
      </c>
      <c r="X1410" s="55">
        <v>10188307</v>
      </c>
      <c r="Y1410" s="74" t="s">
        <v>132</v>
      </c>
      <c r="Z1410" s="74"/>
      <c r="AB1410" s="55" t="s">
        <v>132</v>
      </c>
      <c r="AC1410" s="55" t="s">
        <v>132</v>
      </c>
    </row>
    <row r="1411" spans="1:29" ht="13" x14ac:dyDescent="0.15">
      <c r="A1411" s="72" t="str">
        <f t="shared" si="21"/>
        <v>Ofsted Social Care Provider Webpage</v>
      </c>
      <c r="B1411" s="55">
        <v>2629097</v>
      </c>
      <c r="D1411" s="55" t="s">
        <v>373</v>
      </c>
      <c r="E1411" s="74">
        <v>44295</v>
      </c>
      <c r="F1411" s="55" t="s">
        <v>344</v>
      </c>
      <c r="G1411" s="55" t="s">
        <v>360</v>
      </c>
      <c r="H1411" s="55" t="s">
        <v>360</v>
      </c>
      <c r="I1411" s="55" t="s">
        <v>360</v>
      </c>
      <c r="J1411" s="55" t="s">
        <v>360</v>
      </c>
      <c r="K1411" s="55" t="s">
        <v>360</v>
      </c>
      <c r="L1411" s="55" t="s">
        <v>360</v>
      </c>
      <c r="M1411" s="55" t="s">
        <v>150</v>
      </c>
      <c r="N1411" s="55" t="s">
        <v>150</v>
      </c>
      <c r="O1411" s="55" t="s">
        <v>237</v>
      </c>
      <c r="P1411" s="55" t="s">
        <v>990</v>
      </c>
      <c r="Q1411" s="55" t="s">
        <v>350</v>
      </c>
      <c r="R1411" s="55">
        <v>3</v>
      </c>
      <c r="S1411" s="74"/>
      <c r="T1411" s="55" t="s">
        <v>962</v>
      </c>
      <c r="U1411" s="73" t="s">
        <v>351</v>
      </c>
      <c r="V1411" s="74">
        <v>44565</v>
      </c>
      <c r="W1411" s="74">
        <v>44616</v>
      </c>
      <c r="X1411" s="55">
        <v>10193626</v>
      </c>
      <c r="Y1411" s="74" t="s">
        <v>130</v>
      </c>
      <c r="Z1411" s="74"/>
      <c r="AB1411" s="55" t="s">
        <v>130</v>
      </c>
      <c r="AC1411" s="55" t="s">
        <v>146</v>
      </c>
    </row>
    <row r="1412" spans="1:29" ht="13" x14ac:dyDescent="0.15">
      <c r="A1412" s="72" t="str">
        <f t="shared" si="21"/>
        <v>Ofsted Social Care Provider Webpage</v>
      </c>
      <c r="B1412" s="55">
        <v>2629230</v>
      </c>
      <c r="D1412" s="55" t="s">
        <v>373</v>
      </c>
      <c r="E1412" s="74">
        <v>44355</v>
      </c>
      <c r="F1412" s="55" t="s">
        <v>344</v>
      </c>
      <c r="G1412" s="55" t="s">
        <v>360</v>
      </c>
      <c r="H1412" s="55" t="s">
        <v>360</v>
      </c>
      <c r="I1412" s="55" t="s">
        <v>360</v>
      </c>
      <c r="J1412" s="55" t="s">
        <v>360</v>
      </c>
      <c r="K1412" s="55" t="s">
        <v>360</v>
      </c>
      <c r="L1412" s="55" t="s">
        <v>360</v>
      </c>
      <c r="M1412" s="55" t="s">
        <v>142</v>
      </c>
      <c r="N1412" s="55" t="s">
        <v>142</v>
      </c>
      <c r="O1412" s="55" t="s">
        <v>292</v>
      </c>
      <c r="P1412" s="55" t="s">
        <v>1162</v>
      </c>
      <c r="Q1412" s="55" t="s">
        <v>350</v>
      </c>
      <c r="R1412" s="55">
        <v>2</v>
      </c>
      <c r="S1412" s="74"/>
      <c r="T1412" s="55" t="s">
        <v>2049</v>
      </c>
      <c r="U1412" s="73" t="s">
        <v>351</v>
      </c>
      <c r="V1412" s="74">
        <v>44572</v>
      </c>
      <c r="W1412" s="74">
        <v>44610</v>
      </c>
      <c r="X1412" s="55">
        <v>10202748</v>
      </c>
      <c r="Y1412" s="74" t="s">
        <v>130</v>
      </c>
      <c r="Z1412" s="74"/>
      <c r="AB1412" s="55" t="s">
        <v>130</v>
      </c>
      <c r="AC1412" s="55" t="s">
        <v>130</v>
      </c>
    </row>
    <row r="1413" spans="1:29" ht="13" x14ac:dyDescent="0.15">
      <c r="A1413" s="72" t="str">
        <f t="shared" si="21"/>
        <v>Ofsted Social Care Provider Webpage</v>
      </c>
      <c r="B1413" s="55">
        <v>2629335</v>
      </c>
      <c r="D1413" s="55" t="s">
        <v>373</v>
      </c>
      <c r="E1413" s="74">
        <v>44258</v>
      </c>
      <c r="F1413" s="55" t="s">
        <v>344</v>
      </c>
      <c r="G1413" s="55" t="s">
        <v>360</v>
      </c>
      <c r="H1413" s="55" t="s">
        <v>360</v>
      </c>
      <c r="I1413" s="55" t="s">
        <v>360</v>
      </c>
      <c r="J1413" s="55" t="s">
        <v>360</v>
      </c>
      <c r="K1413" s="55" t="s">
        <v>360</v>
      </c>
      <c r="L1413" s="55" t="s">
        <v>360</v>
      </c>
      <c r="M1413" s="55" t="s">
        <v>378</v>
      </c>
      <c r="N1413" s="55" t="s">
        <v>134</v>
      </c>
      <c r="O1413" s="55" t="s">
        <v>246</v>
      </c>
      <c r="P1413" s="55" t="s">
        <v>246</v>
      </c>
      <c r="Q1413" s="55" t="s">
        <v>380</v>
      </c>
      <c r="R1413" s="55">
        <v>2</v>
      </c>
      <c r="S1413" s="74"/>
      <c r="T1413" s="55" t="s">
        <v>1916</v>
      </c>
      <c r="U1413" s="73" t="s">
        <v>351</v>
      </c>
      <c r="V1413" s="74">
        <v>44397</v>
      </c>
      <c r="W1413" s="74">
        <v>44431</v>
      </c>
      <c r="X1413" s="55">
        <v>10188297</v>
      </c>
      <c r="Y1413" s="74" t="s">
        <v>132</v>
      </c>
      <c r="Z1413" s="74"/>
      <c r="AB1413" s="55" t="s">
        <v>132</v>
      </c>
      <c r="AC1413" s="55" t="s">
        <v>130</v>
      </c>
    </row>
    <row r="1414" spans="1:29" ht="13" x14ac:dyDescent="0.15">
      <c r="A1414" s="72" t="str">
        <f t="shared" ref="A1414:A1477" si="22">HYPERLINK(_xlfn.CONCAT("http://reports.ofsted.gov.uk/inspection-reports/find-inspection-report/provider/CARE/",B1414),"Ofsted Social Care Provider Webpage")</f>
        <v>Ofsted Social Care Provider Webpage</v>
      </c>
      <c r="B1414" s="55">
        <v>2629861</v>
      </c>
      <c r="D1414" s="55" t="s">
        <v>373</v>
      </c>
      <c r="E1414" s="74">
        <v>44421</v>
      </c>
      <c r="F1414" s="55" t="s">
        <v>344</v>
      </c>
      <c r="G1414" s="55" t="s">
        <v>360</v>
      </c>
      <c r="H1414" s="55" t="s">
        <v>360</v>
      </c>
      <c r="I1414" s="55" t="s">
        <v>360</v>
      </c>
      <c r="J1414" s="55" t="s">
        <v>360</v>
      </c>
      <c r="K1414" s="55" t="s">
        <v>360</v>
      </c>
      <c r="L1414" s="55" t="s">
        <v>360</v>
      </c>
      <c r="M1414" s="55" t="s">
        <v>150</v>
      </c>
      <c r="N1414" s="55" t="s">
        <v>150</v>
      </c>
      <c r="O1414" s="55" t="s">
        <v>203</v>
      </c>
      <c r="P1414" s="55" t="s">
        <v>593</v>
      </c>
      <c r="Q1414" s="55" t="s">
        <v>350</v>
      </c>
      <c r="R1414" s="55">
        <v>4</v>
      </c>
      <c r="S1414" s="74"/>
      <c r="T1414" s="55" t="s">
        <v>574</v>
      </c>
      <c r="U1414" s="73"/>
      <c r="W1414" s="74"/>
      <c r="Y1414" s="74"/>
      <c r="Z1414" s="74"/>
    </row>
    <row r="1415" spans="1:29" ht="13" x14ac:dyDescent="0.15">
      <c r="A1415" s="72" t="str">
        <f t="shared" si="22"/>
        <v>Ofsted Social Care Provider Webpage</v>
      </c>
      <c r="B1415" s="55">
        <v>2629902</v>
      </c>
      <c r="D1415" s="55" t="s">
        <v>373</v>
      </c>
      <c r="E1415" s="74">
        <v>44343</v>
      </c>
      <c r="F1415" s="55" t="s">
        <v>344</v>
      </c>
      <c r="G1415" s="55" t="s">
        <v>360</v>
      </c>
      <c r="H1415" s="55" t="s">
        <v>360</v>
      </c>
      <c r="I1415" s="55" t="s">
        <v>360</v>
      </c>
      <c r="J1415" s="55" t="s">
        <v>360</v>
      </c>
      <c r="K1415" s="55" t="s">
        <v>360</v>
      </c>
      <c r="L1415" s="55" t="s">
        <v>360</v>
      </c>
      <c r="M1415" s="55" t="s">
        <v>378</v>
      </c>
      <c r="N1415" s="55" t="s">
        <v>170</v>
      </c>
      <c r="O1415" s="55" t="s">
        <v>243</v>
      </c>
      <c r="P1415" s="55" t="s">
        <v>1786</v>
      </c>
      <c r="Q1415" s="55" t="s">
        <v>350</v>
      </c>
      <c r="R1415" s="55">
        <v>5</v>
      </c>
      <c r="S1415" s="74"/>
      <c r="T1415" s="55" t="s">
        <v>481</v>
      </c>
      <c r="U1415" s="73" t="s">
        <v>351</v>
      </c>
      <c r="V1415" s="74">
        <v>44496</v>
      </c>
      <c r="W1415" s="74">
        <v>44537</v>
      </c>
      <c r="X1415" s="55">
        <v>10198687</v>
      </c>
      <c r="Y1415" s="74" t="s">
        <v>130</v>
      </c>
      <c r="Z1415" s="74"/>
      <c r="AB1415" s="55" t="s">
        <v>130</v>
      </c>
      <c r="AC1415" s="55" t="s">
        <v>130</v>
      </c>
    </row>
    <row r="1416" spans="1:29" ht="13" x14ac:dyDescent="0.15">
      <c r="A1416" s="72" t="str">
        <f t="shared" si="22"/>
        <v>Ofsted Social Care Provider Webpage</v>
      </c>
      <c r="B1416" s="55">
        <v>2630055</v>
      </c>
      <c r="D1416" s="55" t="s">
        <v>373</v>
      </c>
      <c r="E1416" s="74">
        <v>44571</v>
      </c>
      <c r="F1416" s="55" t="s">
        <v>344</v>
      </c>
      <c r="G1416" s="55" t="s">
        <v>360</v>
      </c>
      <c r="H1416" s="55" t="s">
        <v>360</v>
      </c>
      <c r="I1416" s="55" t="s">
        <v>360</v>
      </c>
      <c r="J1416" s="55" t="s">
        <v>360</v>
      </c>
      <c r="K1416" s="55" t="s">
        <v>360</v>
      </c>
      <c r="L1416" s="55" t="s">
        <v>360</v>
      </c>
      <c r="M1416" s="55" t="s">
        <v>144</v>
      </c>
      <c r="N1416" s="55" t="s">
        <v>144</v>
      </c>
      <c r="O1416" s="55" t="s">
        <v>157</v>
      </c>
      <c r="P1416" s="55" t="s">
        <v>1462</v>
      </c>
      <c r="Q1416" s="55" t="s">
        <v>350</v>
      </c>
      <c r="R1416" s="55">
        <v>3</v>
      </c>
      <c r="S1416" s="74"/>
      <c r="T1416" s="55" t="s">
        <v>1161</v>
      </c>
      <c r="U1416" s="73"/>
      <c r="W1416" s="74"/>
      <c r="Y1416" s="74"/>
      <c r="Z1416" s="74"/>
    </row>
    <row r="1417" spans="1:29" ht="13" x14ac:dyDescent="0.15">
      <c r="A1417" s="72" t="str">
        <f t="shared" si="22"/>
        <v>Ofsted Social Care Provider Webpage</v>
      </c>
      <c r="B1417" s="55">
        <v>2630701</v>
      </c>
      <c r="D1417" s="55" t="s">
        <v>373</v>
      </c>
      <c r="E1417" s="74">
        <v>44404</v>
      </c>
      <c r="F1417" s="55" t="s">
        <v>344</v>
      </c>
      <c r="G1417" s="55" t="s">
        <v>360</v>
      </c>
      <c r="H1417" s="55" t="s">
        <v>360</v>
      </c>
      <c r="I1417" s="55" t="s">
        <v>360</v>
      </c>
      <c r="J1417" s="55" t="s">
        <v>360</v>
      </c>
      <c r="K1417" s="55" t="s">
        <v>360</v>
      </c>
      <c r="L1417" s="55" t="s">
        <v>360</v>
      </c>
      <c r="M1417" s="55" t="s">
        <v>378</v>
      </c>
      <c r="N1417" s="55" t="s">
        <v>134</v>
      </c>
      <c r="O1417" s="55" t="s">
        <v>251</v>
      </c>
      <c r="P1417" s="55" t="s">
        <v>1709</v>
      </c>
      <c r="Q1417" s="55" t="s">
        <v>350</v>
      </c>
      <c r="R1417" s="55">
        <v>2</v>
      </c>
      <c r="S1417" s="74"/>
      <c r="T1417" s="55" t="s">
        <v>2098</v>
      </c>
      <c r="U1417" s="73" t="s">
        <v>351</v>
      </c>
      <c r="V1417" s="74">
        <v>44566</v>
      </c>
      <c r="W1417" s="74">
        <v>44624</v>
      </c>
      <c r="X1417" s="55">
        <v>10206616</v>
      </c>
      <c r="Y1417" s="74" t="s">
        <v>130</v>
      </c>
      <c r="Z1417" s="74"/>
      <c r="AB1417" s="55" t="s">
        <v>130</v>
      </c>
      <c r="AC1417" s="55" t="s">
        <v>130</v>
      </c>
    </row>
    <row r="1418" spans="1:29" ht="13" x14ac:dyDescent="0.15">
      <c r="A1418" s="72" t="str">
        <f t="shared" si="22"/>
        <v>Ofsted Social Care Provider Webpage</v>
      </c>
      <c r="B1418" s="55">
        <v>2630728</v>
      </c>
      <c r="D1418" s="55" t="s">
        <v>373</v>
      </c>
      <c r="E1418" s="74">
        <v>44390</v>
      </c>
      <c r="F1418" s="55" t="s">
        <v>344</v>
      </c>
      <c r="G1418" s="55" t="s">
        <v>360</v>
      </c>
      <c r="H1418" s="55" t="s">
        <v>360</v>
      </c>
      <c r="I1418" s="55" t="s">
        <v>360</v>
      </c>
      <c r="J1418" s="55" t="s">
        <v>360</v>
      </c>
      <c r="K1418" s="55" t="s">
        <v>360</v>
      </c>
      <c r="L1418" s="55" t="s">
        <v>360</v>
      </c>
      <c r="M1418" s="55" t="s">
        <v>378</v>
      </c>
      <c r="N1418" s="55" t="s">
        <v>170</v>
      </c>
      <c r="O1418" s="55" t="s">
        <v>267</v>
      </c>
      <c r="P1418" s="55" t="s">
        <v>477</v>
      </c>
      <c r="Q1418" s="55" t="s">
        <v>362</v>
      </c>
      <c r="R1418" s="55">
        <v>3</v>
      </c>
      <c r="S1418" s="74"/>
      <c r="T1418" s="55" t="s">
        <v>2099</v>
      </c>
      <c r="U1418" s="73" t="s">
        <v>351</v>
      </c>
      <c r="V1418" s="74">
        <v>44628</v>
      </c>
      <c r="W1418" s="74">
        <v>44672</v>
      </c>
      <c r="X1418" s="55">
        <v>10204551</v>
      </c>
      <c r="Y1418" s="74" t="s">
        <v>132</v>
      </c>
      <c r="Z1418" s="74"/>
      <c r="AB1418" s="55" t="s">
        <v>132</v>
      </c>
      <c r="AC1418" s="55" t="s">
        <v>132</v>
      </c>
    </row>
    <row r="1419" spans="1:29" ht="13" x14ac:dyDescent="0.15">
      <c r="A1419" s="72" t="str">
        <f t="shared" si="22"/>
        <v>Ofsted Social Care Provider Webpage</v>
      </c>
      <c r="B1419" s="55">
        <v>2630796</v>
      </c>
      <c r="D1419" s="55" t="s">
        <v>373</v>
      </c>
      <c r="E1419" s="74">
        <v>44593</v>
      </c>
      <c r="F1419" s="55" t="s">
        <v>344</v>
      </c>
      <c r="G1419" s="55" t="s">
        <v>360</v>
      </c>
      <c r="H1419" s="55" t="s">
        <v>360</v>
      </c>
      <c r="I1419" s="55" t="s">
        <v>360</v>
      </c>
      <c r="J1419" s="55" t="s">
        <v>360</v>
      </c>
      <c r="K1419" s="55" t="s">
        <v>360</v>
      </c>
      <c r="L1419" s="55" t="s">
        <v>360</v>
      </c>
      <c r="M1419" s="55" t="s">
        <v>150</v>
      </c>
      <c r="N1419" s="55" t="s">
        <v>150</v>
      </c>
      <c r="O1419" s="55" t="s">
        <v>203</v>
      </c>
      <c r="P1419" s="55" t="s">
        <v>593</v>
      </c>
      <c r="Q1419" s="55" t="s">
        <v>350</v>
      </c>
      <c r="R1419" s="55">
        <v>4</v>
      </c>
      <c r="S1419" s="74"/>
      <c r="T1419" s="55" t="s">
        <v>574</v>
      </c>
      <c r="U1419" s="73"/>
      <c r="W1419" s="74"/>
      <c r="Y1419" s="74"/>
      <c r="Z1419" s="74"/>
    </row>
    <row r="1420" spans="1:29" ht="13" x14ac:dyDescent="0.15">
      <c r="A1420" s="72" t="str">
        <f t="shared" si="22"/>
        <v>Ofsted Social Care Provider Webpage</v>
      </c>
      <c r="B1420" s="55">
        <v>2630852</v>
      </c>
      <c r="D1420" s="55" t="s">
        <v>693</v>
      </c>
      <c r="E1420" s="74">
        <v>44236</v>
      </c>
      <c r="F1420" s="55" t="s">
        <v>344</v>
      </c>
      <c r="G1420" s="55" t="s">
        <v>2100</v>
      </c>
      <c r="H1420" s="55" t="s">
        <v>2101</v>
      </c>
      <c r="I1420" s="55" t="s">
        <v>2102</v>
      </c>
      <c r="J1420" s="55" t="s">
        <v>2103</v>
      </c>
      <c r="K1420" s="55" t="s">
        <v>212</v>
      </c>
      <c r="L1420" s="55" t="s">
        <v>2104</v>
      </c>
      <c r="M1420" s="55" t="s">
        <v>172</v>
      </c>
      <c r="N1420" s="55" t="s">
        <v>172</v>
      </c>
      <c r="O1420" s="55" t="s">
        <v>212</v>
      </c>
      <c r="P1420" s="55" t="s">
        <v>842</v>
      </c>
      <c r="Q1420" s="55" t="s">
        <v>350</v>
      </c>
      <c r="R1420" s="55">
        <v>94</v>
      </c>
      <c r="S1420" s="74"/>
      <c r="U1420" s="73"/>
      <c r="W1420" s="74"/>
      <c r="Y1420" s="74"/>
      <c r="Z1420" s="74"/>
    </row>
    <row r="1421" spans="1:29" ht="13" x14ac:dyDescent="0.15">
      <c r="A1421" s="72" t="str">
        <f t="shared" si="22"/>
        <v>Ofsted Social Care Provider Webpage</v>
      </c>
      <c r="B1421" s="55">
        <v>2630934</v>
      </c>
      <c r="D1421" s="55" t="s">
        <v>373</v>
      </c>
      <c r="E1421" s="74">
        <v>44260</v>
      </c>
      <c r="F1421" s="55" t="s">
        <v>344</v>
      </c>
      <c r="G1421" s="55" t="s">
        <v>360</v>
      </c>
      <c r="H1421" s="55" t="s">
        <v>360</v>
      </c>
      <c r="I1421" s="55" t="s">
        <v>360</v>
      </c>
      <c r="J1421" s="55" t="s">
        <v>360</v>
      </c>
      <c r="K1421" s="55" t="s">
        <v>360</v>
      </c>
      <c r="L1421" s="55" t="s">
        <v>360</v>
      </c>
      <c r="M1421" s="55" t="s">
        <v>172</v>
      </c>
      <c r="N1421" s="55" t="s">
        <v>172</v>
      </c>
      <c r="O1421" s="55" t="s">
        <v>173</v>
      </c>
      <c r="P1421" s="55" t="s">
        <v>1258</v>
      </c>
      <c r="Q1421" s="55" t="s">
        <v>350</v>
      </c>
      <c r="R1421" s="55">
        <v>5</v>
      </c>
      <c r="S1421" s="74"/>
      <c r="T1421" s="55" t="s">
        <v>450</v>
      </c>
      <c r="U1421" s="73" t="s">
        <v>351</v>
      </c>
      <c r="V1421" s="74">
        <v>44530</v>
      </c>
      <c r="W1421" s="74">
        <v>44571</v>
      </c>
      <c r="X1421" s="55">
        <v>10188302</v>
      </c>
      <c r="Y1421" s="74" t="s">
        <v>132</v>
      </c>
      <c r="Z1421" s="74"/>
      <c r="AB1421" s="55" t="s">
        <v>132</v>
      </c>
      <c r="AC1421" s="55" t="s">
        <v>130</v>
      </c>
    </row>
    <row r="1422" spans="1:29" ht="13" x14ac:dyDescent="0.15">
      <c r="A1422" s="72" t="str">
        <f t="shared" si="22"/>
        <v>Ofsted Social Care Provider Webpage</v>
      </c>
      <c r="B1422" s="55">
        <v>2631136</v>
      </c>
      <c r="D1422" s="55" t="s">
        <v>373</v>
      </c>
      <c r="E1422" s="74">
        <v>44379</v>
      </c>
      <c r="F1422" s="55" t="s">
        <v>344</v>
      </c>
      <c r="G1422" s="55" t="s">
        <v>360</v>
      </c>
      <c r="H1422" s="55" t="s">
        <v>360</v>
      </c>
      <c r="I1422" s="55" t="s">
        <v>360</v>
      </c>
      <c r="J1422" s="55" t="s">
        <v>360</v>
      </c>
      <c r="K1422" s="55" t="s">
        <v>360</v>
      </c>
      <c r="L1422" s="55" t="s">
        <v>360</v>
      </c>
      <c r="M1422" s="55" t="s">
        <v>144</v>
      </c>
      <c r="N1422" s="55" t="s">
        <v>144</v>
      </c>
      <c r="O1422" s="55" t="s">
        <v>209</v>
      </c>
      <c r="P1422" s="55" t="s">
        <v>777</v>
      </c>
      <c r="Q1422" s="55" t="s">
        <v>350</v>
      </c>
      <c r="R1422" s="55">
        <v>2</v>
      </c>
      <c r="S1422" s="74"/>
      <c r="T1422" s="55" t="s">
        <v>2105</v>
      </c>
      <c r="U1422" s="73" t="s">
        <v>351</v>
      </c>
      <c r="V1422" s="74">
        <v>44614</v>
      </c>
      <c r="W1422" s="74">
        <v>44658</v>
      </c>
      <c r="X1422" s="55">
        <v>10210503</v>
      </c>
      <c r="Y1422" s="74" t="s">
        <v>132</v>
      </c>
      <c r="Z1422" s="74"/>
      <c r="AB1422" s="55" t="s">
        <v>132</v>
      </c>
      <c r="AC1422" s="55" t="s">
        <v>132</v>
      </c>
    </row>
    <row r="1423" spans="1:29" ht="13" x14ac:dyDescent="0.15">
      <c r="A1423" s="72" t="str">
        <f t="shared" si="22"/>
        <v>Ofsted Social Care Provider Webpage</v>
      </c>
      <c r="B1423" s="55">
        <v>2631163</v>
      </c>
      <c r="D1423" s="55" t="s">
        <v>389</v>
      </c>
      <c r="E1423" s="74">
        <v>44340</v>
      </c>
      <c r="F1423" s="55" t="s">
        <v>344</v>
      </c>
      <c r="G1423" s="55" t="s">
        <v>2106</v>
      </c>
      <c r="H1423" s="55" t="s">
        <v>2107</v>
      </c>
      <c r="I1423" s="55" t="s">
        <v>2108</v>
      </c>
      <c r="J1423" s="55" t="s">
        <v>1189</v>
      </c>
      <c r="K1423" s="55" t="s">
        <v>1746</v>
      </c>
      <c r="L1423" s="55" t="s">
        <v>2109</v>
      </c>
      <c r="M1423" s="55" t="s">
        <v>129</v>
      </c>
      <c r="N1423" s="55" t="s">
        <v>129</v>
      </c>
      <c r="O1423" s="55" t="s">
        <v>192</v>
      </c>
      <c r="P1423" s="55" t="s">
        <v>1191</v>
      </c>
      <c r="Q1423" s="55" t="s">
        <v>350</v>
      </c>
      <c r="R1423" s="55"/>
      <c r="S1423" s="74"/>
      <c r="T1423" s="55" t="s">
        <v>2106</v>
      </c>
      <c r="U1423" s="73"/>
      <c r="W1423" s="74"/>
      <c r="Y1423" s="74"/>
      <c r="Z1423" s="74"/>
    </row>
    <row r="1424" spans="1:29" ht="13" x14ac:dyDescent="0.15">
      <c r="A1424" s="72" t="str">
        <f t="shared" si="22"/>
        <v>Ofsted Social Care Provider Webpage</v>
      </c>
      <c r="B1424" s="55">
        <v>2631221</v>
      </c>
      <c r="D1424" s="55" t="s">
        <v>373</v>
      </c>
      <c r="E1424" s="74">
        <v>44334</v>
      </c>
      <c r="F1424" s="55" t="s">
        <v>344</v>
      </c>
      <c r="G1424" s="55" t="s">
        <v>360</v>
      </c>
      <c r="H1424" s="55" t="s">
        <v>360</v>
      </c>
      <c r="I1424" s="55" t="s">
        <v>360</v>
      </c>
      <c r="J1424" s="55" t="s">
        <v>360</v>
      </c>
      <c r="K1424" s="55" t="s">
        <v>360</v>
      </c>
      <c r="L1424" s="55" t="s">
        <v>360</v>
      </c>
      <c r="M1424" s="55" t="s">
        <v>144</v>
      </c>
      <c r="N1424" s="55" t="s">
        <v>144</v>
      </c>
      <c r="O1424" s="55" t="s">
        <v>168</v>
      </c>
      <c r="P1424" s="55" t="s">
        <v>2110</v>
      </c>
      <c r="Q1424" s="55" t="s">
        <v>350</v>
      </c>
      <c r="R1424" s="55">
        <v>1</v>
      </c>
      <c r="S1424" s="74"/>
      <c r="T1424" s="55" t="s">
        <v>2111</v>
      </c>
      <c r="U1424" s="73" t="s">
        <v>351</v>
      </c>
      <c r="V1424" s="74">
        <v>44581</v>
      </c>
      <c r="W1424" s="74">
        <v>44621</v>
      </c>
      <c r="X1424" s="55">
        <v>10198643</v>
      </c>
      <c r="Y1424" s="74" t="s">
        <v>132</v>
      </c>
      <c r="Z1424" s="74"/>
      <c r="AB1424" s="55" t="s">
        <v>132</v>
      </c>
      <c r="AC1424" s="55" t="s">
        <v>132</v>
      </c>
    </row>
    <row r="1425" spans="1:29" ht="13" x14ac:dyDescent="0.15">
      <c r="A1425" s="72" t="str">
        <f t="shared" si="22"/>
        <v>Ofsted Social Care Provider Webpage</v>
      </c>
      <c r="B1425" s="55">
        <v>2631595</v>
      </c>
      <c r="D1425" s="55" t="s">
        <v>373</v>
      </c>
      <c r="E1425" s="74">
        <v>44333</v>
      </c>
      <c r="F1425" s="55" t="s">
        <v>344</v>
      </c>
      <c r="G1425" s="55" t="s">
        <v>360</v>
      </c>
      <c r="H1425" s="55" t="s">
        <v>360</v>
      </c>
      <c r="I1425" s="55" t="s">
        <v>360</v>
      </c>
      <c r="J1425" s="55" t="s">
        <v>360</v>
      </c>
      <c r="K1425" s="55" t="s">
        <v>360</v>
      </c>
      <c r="L1425" s="55" t="s">
        <v>360</v>
      </c>
      <c r="M1425" s="55" t="s">
        <v>138</v>
      </c>
      <c r="N1425" s="55" t="s">
        <v>138</v>
      </c>
      <c r="O1425" s="55" t="s">
        <v>159</v>
      </c>
      <c r="P1425" s="55" t="s">
        <v>633</v>
      </c>
      <c r="Q1425" s="55" t="s">
        <v>350</v>
      </c>
      <c r="R1425" s="55">
        <v>5</v>
      </c>
      <c r="S1425" s="74"/>
      <c r="T1425" s="55" t="s">
        <v>385</v>
      </c>
      <c r="U1425" s="73" t="s">
        <v>351</v>
      </c>
      <c r="V1425" s="74">
        <v>44516</v>
      </c>
      <c r="W1425" s="74">
        <v>44547</v>
      </c>
      <c r="X1425" s="55">
        <v>10197521</v>
      </c>
      <c r="Y1425" s="74" t="s">
        <v>132</v>
      </c>
      <c r="Z1425" s="74"/>
      <c r="AB1425" s="55" t="s">
        <v>132</v>
      </c>
      <c r="AC1425" s="55" t="s">
        <v>132</v>
      </c>
    </row>
    <row r="1426" spans="1:29" ht="13" x14ac:dyDescent="0.15">
      <c r="A1426" s="72" t="str">
        <f t="shared" si="22"/>
        <v>Ofsted Social Care Provider Webpage</v>
      </c>
      <c r="B1426" s="55">
        <v>2631690</v>
      </c>
      <c r="D1426" s="55" t="s">
        <v>373</v>
      </c>
      <c r="E1426" s="74">
        <v>44315</v>
      </c>
      <c r="F1426" s="55" t="s">
        <v>344</v>
      </c>
      <c r="G1426" s="55" t="s">
        <v>360</v>
      </c>
      <c r="H1426" s="55" t="s">
        <v>360</v>
      </c>
      <c r="I1426" s="55" t="s">
        <v>360</v>
      </c>
      <c r="J1426" s="55" t="s">
        <v>360</v>
      </c>
      <c r="K1426" s="55" t="s">
        <v>360</v>
      </c>
      <c r="L1426" s="55" t="s">
        <v>360</v>
      </c>
      <c r="M1426" s="55" t="s">
        <v>142</v>
      </c>
      <c r="N1426" s="55" t="s">
        <v>142</v>
      </c>
      <c r="O1426" s="55" t="s">
        <v>195</v>
      </c>
      <c r="P1426" s="55" t="s">
        <v>518</v>
      </c>
      <c r="Q1426" s="55" t="s">
        <v>350</v>
      </c>
      <c r="R1426" s="55">
        <v>3</v>
      </c>
      <c r="S1426" s="74"/>
      <c r="T1426" s="55" t="s">
        <v>1115</v>
      </c>
      <c r="U1426" s="73" t="s">
        <v>351</v>
      </c>
      <c r="V1426" s="74">
        <v>44628</v>
      </c>
      <c r="W1426" s="74">
        <v>44672</v>
      </c>
      <c r="X1426" s="55">
        <v>10196888</v>
      </c>
      <c r="Y1426" s="74" t="s">
        <v>132</v>
      </c>
      <c r="Z1426" s="74"/>
      <c r="AB1426" s="55" t="s">
        <v>132</v>
      </c>
      <c r="AC1426" s="55" t="s">
        <v>132</v>
      </c>
    </row>
    <row r="1427" spans="1:29" ht="13" x14ac:dyDescent="0.15">
      <c r="A1427" s="72" t="str">
        <f t="shared" si="22"/>
        <v>Ofsted Social Care Provider Webpage</v>
      </c>
      <c r="B1427" s="55">
        <v>2631698</v>
      </c>
      <c r="D1427" s="55" t="s">
        <v>373</v>
      </c>
      <c r="E1427" s="74">
        <v>44501</v>
      </c>
      <c r="F1427" s="55" t="s">
        <v>344</v>
      </c>
      <c r="G1427" s="55" t="s">
        <v>360</v>
      </c>
      <c r="H1427" s="55" t="s">
        <v>360</v>
      </c>
      <c r="I1427" s="55" t="s">
        <v>360</v>
      </c>
      <c r="J1427" s="55" t="s">
        <v>360</v>
      </c>
      <c r="K1427" s="55" t="s">
        <v>360</v>
      </c>
      <c r="L1427" s="55" t="s">
        <v>360</v>
      </c>
      <c r="M1427" s="55" t="s">
        <v>142</v>
      </c>
      <c r="N1427" s="55" t="s">
        <v>142</v>
      </c>
      <c r="O1427" s="55" t="s">
        <v>262</v>
      </c>
      <c r="P1427" s="55" t="s">
        <v>1215</v>
      </c>
      <c r="Q1427" s="55" t="s">
        <v>350</v>
      </c>
      <c r="R1427" s="55">
        <v>3</v>
      </c>
      <c r="S1427" s="74"/>
      <c r="T1427" s="55" t="s">
        <v>2112</v>
      </c>
      <c r="U1427" s="73"/>
      <c r="W1427" s="74"/>
      <c r="Y1427" s="74"/>
      <c r="Z1427" s="74"/>
    </row>
    <row r="1428" spans="1:29" ht="13" x14ac:dyDescent="0.15">
      <c r="A1428" s="72" t="str">
        <f t="shared" si="22"/>
        <v>Ofsted Social Care Provider Webpage</v>
      </c>
      <c r="B1428" s="55">
        <v>2632092</v>
      </c>
      <c r="D1428" s="55" t="s">
        <v>373</v>
      </c>
      <c r="E1428" s="74">
        <v>44305</v>
      </c>
      <c r="F1428" s="55" t="s">
        <v>344</v>
      </c>
      <c r="G1428" s="55" t="s">
        <v>360</v>
      </c>
      <c r="H1428" s="55" t="s">
        <v>360</v>
      </c>
      <c r="I1428" s="55" t="s">
        <v>360</v>
      </c>
      <c r="J1428" s="55" t="s">
        <v>360</v>
      </c>
      <c r="K1428" s="55" t="s">
        <v>360</v>
      </c>
      <c r="L1428" s="55" t="s">
        <v>360</v>
      </c>
      <c r="M1428" s="55" t="s">
        <v>378</v>
      </c>
      <c r="N1428" s="55" t="s">
        <v>134</v>
      </c>
      <c r="O1428" s="55" t="s">
        <v>206</v>
      </c>
      <c r="P1428" s="55" t="s">
        <v>750</v>
      </c>
      <c r="Q1428" s="55" t="s">
        <v>350</v>
      </c>
      <c r="R1428" s="55">
        <v>2</v>
      </c>
      <c r="S1428" s="74"/>
      <c r="T1428" s="55" t="s">
        <v>485</v>
      </c>
      <c r="U1428" s="73" t="s">
        <v>351</v>
      </c>
      <c r="V1428" s="74">
        <v>44586</v>
      </c>
      <c r="W1428" s="74">
        <v>44620</v>
      </c>
      <c r="X1428" s="55">
        <v>10198645</v>
      </c>
      <c r="Y1428" s="74" t="s">
        <v>132</v>
      </c>
      <c r="Z1428" s="74"/>
      <c r="AB1428" s="55" t="s">
        <v>132</v>
      </c>
      <c r="AC1428" s="55" t="s">
        <v>132</v>
      </c>
    </row>
    <row r="1429" spans="1:29" ht="13" x14ac:dyDescent="0.15">
      <c r="A1429" s="72" t="str">
        <f t="shared" si="22"/>
        <v>Ofsted Social Care Provider Webpage</v>
      </c>
      <c r="B1429" s="55">
        <v>2632330</v>
      </c>
      <c r="D1429" s="55" t="s">
        <v>373</v>
      </c>
      <c r="E1429" s="74">
        <v>44302</v>
      </c>
      <c r="F1429" s="55" t="s">
        <v>344</v>
      </c>
      <c r="G1429" s="55" t="s">
        <v>360</v>
      </c>
      <c r="H1429" s="55" t="s">
        <v>360</v>
      </c>
      <c r="I1429" s="55" t="s">
        <v>360</v>
      </c>
      <c r="J1429" s="55" t="s">
        <v>360</v>
      </c>
      <c r="K1429" s="55" t="s">
        <v>360</v>
      </c>
      <c r="L1429" s="55" t="s">
        <v>360</v>
      </c>
      <c r="M1429" s="55" t="s">
        <v>138</v>
      </c>
      <c r="N1429" s="55" t="s">
        <v>138</v>
      </c>
      <c r="O1429" s="55" t="s">
        <v>238</v>
      </c>
      <c r="P1429" s="55" t="s">
        <v>238</v>
      </c>
      <c r="Q1429" s="55" t="s">
        <v>350</v>
      </c>
      <c r="R1429" s="55">
        <v>4</v>
      </c>
      <c r="S1429" s="74"/>
      <c r="T1429" s="55" t="s">
        <v>2113</v>
      </c>
      <c r="U1429" s="73" t="s">
        <v>351</v>
      </c>
      <c r="V1429" s="74">
        <v>44544</v>
      </c>
      <c r="W1429" s="74">
        <v>44589</v>
      </c>
      <c r="X1429" s="55">
        <v>10197522</v>
      </c>
      <c r="Y1429" s="74" t="s">
        <v>132</v>
      </c>
      <c r="Z1429" s="74"/>
      <c r="AB1429" s="55" t="s">
        <v>132</v>
      </c>
      <c r="AC1429" s="55" t="s">
        <v>132</v>
      </c>
    </row>
    <row r="1430" spans="1:29" ht="13" x14ac:dyDescent="0.15">
      <c r="A1430" s="72" t="str">
        <f t="shared" si="22"/>
        <v>Ofsted Social Care Provider Webpage</v>
      </c>
      <c r="B1430" s="55">
        <v>2632726</v>
      </c>
      <c r="D1430" s="55" t="s">
        <v>373</v>
      </c>
      <c r="E1430" s="74">
        <v>44521</v>
      </c>
      <c r="F1430" s="55" t="s">
        <v>344</v>
      </c>
      <c r="G1430" s="55" t="s">
        <v>360</v>
      </c>
      <c r="H1430" s="55" t="s">
        <v>360</v>
      </c>
      <c r="I1430" s="55" t="s">
        <v>360</v>
      </c>
      <c r="J1430" s="55" t="s">
        <v>360</v>
      </c>
      <c r="K1430" s="55" t="s">
        <v>360</v>
      </c>
      <c r="L1430" s="55" t="s">
        <v>360</v>
      </c>
      <c r="M1430" s="55" t="s">
        <v>378</v>
      </c>
      <c r="N1430" s="55" t="s">
        <v>170</v>
      </c>
      <c r="O1430" s="55" t="s">
        <v>184</v>
      </c>
      <c r="P1430" s="55" t="s">
        <v>184</v>
      </c>
      <c r="Q1430" s="55" t="s">
        <v>350</v>
      </c>
      <c r="R1430" s="55">
        <v>3</v>
      </c>
      <c r="S1430" s="74"/>
      <c r="T1430" s="55" t="s">
        <v>2114</v>
      </c>
      <c r="U1430" s="73"/>
      <c r="W1430" s="74"/>
      <c r="Y1430" s="74"/>
      <c r="Z1430" s="74"/>
    </row>
    <row r="1431" spans="1:29" ht="13" x14ac:dyDescent="0.15">
      <c r="A1431" s="72" t="str">
        <f t="shared" si="22"/>
        <v>Ofsted Social Care Provider Webpage</v>
      </c>
      <c r="B1431" s="55">
        <v>2632727</v>
      </c>
      <c r="D1431" s="55" t="s">
        <v>373</v>
      </c>
      <c r="E1431" s="74">
        <v>44393</v>
      </c>
      <c r="F1431" s="55" t="s">
        <v>344</v>
      </c>
      <c r="G1431" s="55" t="s">
        <v>360</v>
      </c>
      <c r="H1431" s="55" t="s">
        <v>360</v>
      </c>
      <c r="I1431" s="55" t="s">
        <v>360</v>
      </c>
      <c r="J1431" s="55" t="s">
        <v>360</v>
      </c>
      <c r="K1431" s="55" t="s">
        <v>360</v>
      </c>
      <c r="L1431" s="55" t="s">
        <v>360</v>
      </c>
      <c r="M1431" s="55" t="s">
        <v>144</v>
      </c>
      <c r="N1431" s="55" t="s">
        <v>144</v>
      </c>
      <c r="O1431" s="55" t="s">
        <v>209</v>
      </c>
      <c r="P1431" s="55" t="s">
        <v>597</v>
      </c>
      <c r="Q1431" s="55" t="s">
        <v>362</v>
      </c>
      <c r="R1431" s="55">
        <v>2</v>
      </c>
      <c r="S1431" s="74"/>
      <c r="T1431" s="55" t="s">
        <v>2115</v>
      </c>
      <c r="U1431" s="73" t="s">
        <v>351</v>
      </c>
      <c r="V1431" s="74">
        <v>44614</v>
      </c>
      <c r="W1431" s="74">
        <v>44656</v>
      </c>
      <c r="X1431" s="55">
        <v>10210500</v>
      </c>
      <c r="Y1431" s="74" t="s">
        <v>132</v>
      </c>
      <c r="Z1431" s="74"/>
      <c r="AB1431" s="55" t="s">
        <v>132</v>
      </c>
      <c r="AC1431" s="55" t="s">
        <v>132</v>
      </c>
    </row>
    <row r="1432" spans="1:29" ht="13" x14ac:dyDescent="0.15">
      <c r="A1432" s="72" t="str">
        <f t="shared" si="22"/>
        <v>Ofsted Social Care Provider Webpage</v>
      </c>
      <c r="B1432" s="55">
        <v>2632917</v>
      </c>
      <c r="D1432" s="55" t="s">
        <v>373</v>
      </c>
      <c r="E1432" s="74">
        <v>44298</v>
      </c>
      <c r="F1432" s="55" t="s">
        <v>344</v>
      </c>
      <c r="G1432" s="55" t="s">
        <v>360</v>
      </c>
      <c r="H1432" s="55" t="s">
        <v>360</v>
      </c>
      <c r="I1432" s="55" t="s">
        <v>360</v>
      </c>
      <c r="J1432" s="55" t="s">
        <v>360</v>
      </c>
      <c r="K1432" s="55" t="s">
        <v>360</v>
      </c>
      <c r="L1432" s="55" t="s">
        <v>360</v>
      </c>
      <c r="M1432" s="55" t="s">
        <v>136</v>
      </c>
      <c r="N1432" s="55" t="s">
        <v>136</v>
      </c>
      <c r="O1432" s="55" t="s">
        <v>255</v>
      </c>
      <c r="P1432" s="55" t="s">
        <v>757</v>
      </c>
      <c r="Q1432" s="55" t="s">
        <v>350</v>
      </c>
      <c r="R1432" s="55">
        <v>2</v>
      </c>
      <c r="S1432" s="74"/>
      <c r="T1432" s="55" t="s">
        <v>721</v>
      </c>
      <c r="U1432" s="73" t="s">
        <v>351</v>
      </c>
      <c r="V1432" s="74">
        <v>44516</v>
      </c>
      <c r="W1432" s="74">
        <v>44560</v>
      </c>
      <c r="X1432" s="55">
        <v>10205927</v>
      </c>
      <c r="Y1432" s="74" t="s">
        <v>130</v>
      </c>
      <c r="Z1432" s="74"/>
      <c r="AB1432" s="55" t="s">
        <v>130</v>
      </c>
      <c r="AC1432" s="55" t="s">
        <v>130</v>
      </c>
    </row>
    <row r="1433" spans="1:29" ht="13" x14ac:dyDescent="0.15">
      <c r="A1433" s="72" t="str">
        <f t="shared" si="22"/>
        <v>Ofsted Social Care Provider Webpage</v>
      </c>
      <c r="B1433" s="55">
        <v>2633026</v>
      </c>
      <c r="D1433" s="55" t="s">
        <v>373</v>
      </c>
      <c r="E1433" s="74">
        <v>44414</v>
      </c>
      <c r="F1433" s="55" t="s">
        <v>344</v>
      </c>
      <c r="G1433" s="55" t="s">
        <v>360</v>
      </c>
      <c r="H1433" s="55" t="s">
        <v>360</v>
      </c>
      <c r="I1433" s="55" t="s">
        <v>360</v>
      </c>
      <c r="J1433" s="55" t="s">
        <v>360</v>
      </c>
      <c r="K1433" s="55" t="s">
        <v>360</v>
      </c>
      <c r="L1433" s="55" t="s">
        <v>360</v>
      </c>
      <c r="M1433" s="55" t="s">
        <v>172</v>
      </c>
      <c r="N1433" s="55" t="s">
        <v>172</v>
      </c>
      <c r="O1433" s="55" t="s">
        <v>235</v>
      </c>
      <c r="P1433" s="55" t="s">
        <v>1036</v>
      </c>
      <c r="Q1433" s="55" t="s">
        <v>350</v>
      </c>
      <c r="R1433" s="55">
        <v>1</v>
      </c>
      <c r="S1433" s="74"/>
      <c r="T1433" s="55" t="s">
        <v>2116</v>
      </c>
      <c r="U1433" s="73" t="s">
        <v>351</v>
      </c>
      <c r="V1433" s="74">
        <v>44622</v>
      </c>
      <c r="W1433" s="74">
        <v>44665</v>
      </c>
      <c r="X1433" s="55">
        <v>10204279</v>
      </c>
      <c r="Y1433" s="74" t="s">
        <v>132</v>
      </c>
      <c r="Z1433" s="74"/>
      <c r="AB1433" s="55" t="s">
        <v>130</v>
      </c>
      <c r="AC1433" s="55" t="s">
        <v>132</v>
      </c>
    </row>
    <row r="1434" spans="1:29" ht="13" x14ac:dyDescent="0.15">
      <c r="A1434" s="72" t="str">
        <f t="shared" si="22"/>
        <v>Ofsted Social Care Provider Webpage</v>
      </c>
      <c r="B1434" s="55">
        <v>2633107</v>
      </c>
      <c r="D1434" s="55" t="s">
        <v>373</v>
      </c>
      <c r="E1434" s="74">
        <v>44398</v>
      </c>
      <c r="F1434" s="55" t="s">
        <v>344</v>
      </c>
      <c r="G1434" s="55" t="s">
        <v>360</v>
      </c>
      <c r="H1434" s="55" t="s">
        <v>360</v>
      </c>
      <c r="I1434" s="55" t="s">
        <v>360</v>
      </c>
      <c r="J1434" s="55" t="s">
        <v>360</v>
      </c>
      <c r="K1434" s="55" t="s">
        <v>360</v>
      </c>
      <c r="L1434" s="55" t="s">
        <v>360</v>
      </c>
      <c r="M1434" s="55" t="s">
        <v>150</v>
      </c>
      <c r="N1434" s="55" t="s">
        <v>150</v>
      </c>
      <c r="O1434" s="55" t="s">
        <v>268</v>
      </c>
      <c r="P1434" s="55" t="s">
        <v>1771</v>
      </c>
      <c r="Q1434" s="55" t="s">
        <v>350</v>
      </c>
      <c r="R1434" s="55">
        <v>4</v>
      </c>
      <c r="S1434" s="74"/>
      <c r="T1434" s="55" t="s">
        <v>2117</v>
      </c>
      <c r="U1434" s="73"/>
      <c r="W1434" s="74"/>
      <c r="Y1434" s="74"/>
      <c r="Z1434" s="74"/>
    </row>
    <row r="1435" spans="1:29" ht="13" x14ac:dyDescent="0.15">
      <c r="A1435" s="72" t="str">
        <f t="shared" si="22"/>
        <v>Ofsted Social Care Provider Webpage</v>
      </c>
      <c r="B1435" s="55">
        <v>2633117</v>
      </c>
      <c r="D1435" s="55" t="s">
        <v>373</v>
      </c>
      <c r="E1435" s="74">
        <v>44307</v>
      </c>
      <c r="F1435" s="55" t="s">
        <v>344</v>
      </c>
      <c r="G1435" s="55" t="s">
        <v>360</v>
      </c>
      <c r="H1435" s="55" t="s">
        <v>360</v>
      </c>
      <c r="I1435" s="55" t="s">
        <v>360</v>
      </c>
      <c r="J1435" s="55" t="s">
        <v>360</v>
      </c>
      <c r="K1435" s="55" t="s">
        <v>360</v>
      </c>
      <c r="L1435" s="55" t="s">
        <v>360</v>
      </c>
      <c r="M1435" s="55" t="s">
        <v>172</v>
      </c>
      <c r="N1435" s="55" t="s">
        <v>172</v>
      </c>
      <c r="O1435" s="55" t="s">
        <v>212</v>
      </c>
      <c r="P1435" s="55" t="s">
        <v>714</v>
      </c>
      <c r="Q1435" s="55" t="s">
        <v>350</v>
      </c>
      <c r="R1435" s="55">
        <v>3</v>
      </c>
      <c r="S1435" s="74"/>
      <c r="T1435" s="55" t="s">
        <v>2118</v>
      </c>
      <c r="U1435" s="73" t="s">
        <v>351</v>
      </c>
      <c r="V1435" s="74">
        <v>44579</v>
      </c>
      <c r="W1435" s="74">
        <v>44607</v>
      </c>
      <c r="X1435" s="55">
        <v>10193023</v>
      </c>
      <c r="Y1435" s="74" t="s">
        <v>130</v>
      </c>
      <c r="Z1435" s="74"/>
      <c r="AB1435" s="55" t="s">
        <v>130</v>
      </c>
      <c r="AC1435" s="55" t="s">
        <v>130</v>
      </c>
    </row>
    <row r="1436" spans="1:29" ht="13" x14ac:dyDescent="0.15">
      <c r="A1436" s="72" t="str">
        <f t="shared" si="22"/>
        <v>Ofsted Social Care Provider Webpage</v>
      </c>
      <c r="B1436" s="55">
        <v>2633127</v>
      </c>
      <c r="D1436" s="55" t="s">
        <v>373</v>
      </c>
      <c r="E1436" s="74">
        <v>44390</v>
      </c>
      <c r="F1436" s="55" t="s">
        <v>344</v>
      </c>
      <c r="G1436" s="55" t="s">
        <v>360</v>
      </c>
      <c r="H1436" s="55" t="s">
        <v>360</v>
      </c>
      <c r="I1436" s="55" t="s">
        <v>360</v>
      </c>
      <c r="J1436" s="55" t="s">
        <v>360</v>
      </c>
      <c r="K1436" s="55" t="s">
        <v>360</v>
      </c>
      <c r="L1436" s="55" t="s">
        <v>360</v>
      </c>
      <c r="M1436" s="55" t="s">
        <v>142</v>
      </c>
      <c r="N1436" s="55" t="s">
        <v>142</v>
      </c>
      <c r="O1436" s="55" t="s">
        <v>292</v>
      </c>
      <c r="P1436" s="55" t="s">
        <v>976</v>
      </c>
      <c r="Q1436" s="55" t="s">
        <v>350</v>
      </c>
      <c r="R1436" s="55">
        <v>4</v>
      </c>
      <c r="S1436" s="74"/>
      <c r="T1436" s="55" t="s">
        <v>644</v>
      </c>
      <c r="U1436" s="73" t="s">
        <v>351</v>
      </c>
      <c r="V1436" s="74">
        <v>44573</v>
      </c>
      <c r="W1436" s="74">
        <v>44610</v>
      </c>
      <c r="X1436" s="55">
        <v>10204100</v>
      </c>
      <c r="Y1436" s="74" t="s">
        <v>130</v>
      </c>
      <c r="Z1436" s="74"/>
      <c r="AB1436" s="55" t="s">
        <v>130</v>
      </c>
      <c r="AC1436" s="55" t="s">
        <v>146</v>
      </c>
    </row>
    <row r="1437" spans="1:29" ht="13" x14ac:dyDescent="0.15">
      <c r="A1437" s="72" t="str">
        <f t="shared" si="22"/>
        <v>Ofsted Social Care Provider Webpage</v>
      </c>
      <c r="B1437" s="55">
        <v>2633398</v>
      </c>
      <c r="D1437" s="55" t="s">
        <v>373</v>
      </c>
      <c r="E1437" s="74">
        <v>44407</v>
      </c>
      <c r="F1437" s="55" t="s">
        <v>344</v>
      </c>
      <c r="G1437" s="55" t="s">
        <v>360</v>
      </c>
      <c r="H1437" s="55" t="s">
        <v>360</v>
      </c>
      <c r="I1437" s="55" t="s">
        <v>360</v>
      </c>
      <c r="J1437" s="55" t="s">
        <v>360</v>
      </c>
      <c r="K1437" s="55" t="s">
        <v>360</v>
      </c>
      <c r="L1437" s="55" t="s">
        <v>360</v>
      </c>
      <c r="M1437" s="55" t="s">
        <v>142</v>
      </c>
      <c r="N1437" s="55" t="s">
        <v>142</v>
      </c>
      <c r="O1437" s="55" t="s">
        <v>272</v>
      </c>
      <c r="P1437" s="55" t="s">
        <v>653</v>
      </c>
      <c r="Q1437" s="55" t="s">
        <v>350</v>
      </c>
      <c r="R1437" s="55">
        <v>2</v>
      </c>
      <c r="S1437" s="74"/>
      <c r="T1437" s="55" t="s">
        <v>2119</v>
      </c>
      <c r="U1437" s="73" t="s">
        <v>351</v>
      </c>
      <c r="V1437" s="74">
        <v>44592</v>
      </c>
      <c r="W1437" s="74">
        <v>44635</v>
      </c>
      <c r="X1437" s="55">
        <v>10204101</v>
      </c>
      <c r="Y1437" s="74" t="s">
        <v>130</v>
      </c>
      <c r="Z1437" s="74"/>
      <c r="AB1437" s="55" t="s">
        <v>130</v>
      </c>
      <c r="AC1437" s="55" t="s">
        <v>130</v>
      </c>
    </row>
    <row r="1438" spans="1:29" ht="13" x14ac:dyDescent="0.15">
      <c r="A1438" s="72" t="str">
        <f t="shared" si="22"/>
        <v>Ofsted Social Care Provider Webpage</v>
      </c>
      <c r="B1438" s="55">
        <v>2633410</v>
      </c>
      <c r="D1438" s="55" t="s">
        <v>373</v>
      </c>
      <c r="E1438" s="74">
        <v>44326</v>
      </c>
      <c r="F1438" s="55" t="s">
        <v>344</v>
      </c>
      <c r="G1438" s="55" t="s">
        <v>360</v>
      </c>
      <c r="H1438" s="55" t="s">
        <v>360</v>
      </c>
      <c r="I1438" s="55" t="s">
        <v>360</v>
      </c>
      <c r="J1438" s="55" t="s">
        <v>360</v>
      </c>
      <c r="K1438" s="55" t="s">
        <v>360</v>
      </c>
      <c r="L1438" s="55" t="s">
        <v>360</v>
      </c>
      <c r="M1438" s="55" t="s">
        <v>136</v>
      </c>
      <c r="N1438" s="55" t="s">
        <v>136</v>
      </c>
      <c r="O1438" s="55" t="s">
        <v>165</v>
      </c>
      <c r="P1438" s="55" t="s">
        <v>699</v>
      </c>
      <c r="Q1438" s="55" t="s">
        <v>380</v>
      </c>
      <c r="R1438" s="55">
        <v>3</v>
      </c>
      <c r="S1438" s="74"/>
      <c r="T1438" s="55" t="s">
        <v>2120</v>
      </c>
      <c r="U1438" s="73" t="s">
        <v>351</v>
      </c>
      <c r="V1438" s="74">
        <v>44593</v>
      </c>
      <c r="W1438" s="74">
        <v>44638</v>
      </c>
      <c r="X1438" s="55">
        <v>10207660</v>
      </c>
      <c r="Y1438" s="74" t="s">
        <v>132</v>
      </c>
      <c r="Z1438" s="74"/>
      <c r="AB1438" s="55" t="s">
        <v>132</v>
      </c>
      <c r="AC1438" s="55" t="s">
        <v>130</v>
      </c>
    </row>
    <row r="1439" spans="1:29" ht="13" x14ac:dyDescent="0.15">
      <c r="A1439" s="72" t="str">
        <f t="shared" si="22"/>
        <v>Ofsted Social Care Provider Webpage</v>
      </c>
      <c r="B1439" s="55">
        <v>2633498</v>
      </c>
      <c r="D1439" s="55" t="s">
        <v>373</v>
      </c>
      <c r="E1439" s="74">
        <v>44263</v>
      </c>
      <c r="F1439" s="55" t="s">
        <v>344</v>
      </c>
      <c r="G1439" s="55" t="s">
        <v>360</v>
      </c>
      <c r="H1439" s="55" t="s">
        <v>360</v>
      </c>
      <c r="I1439" s="55" t="s">
        <v>360</v>
      </c>
      <c r="J1439" s="55" t="s">
        <v>360</v>
      </c>
      <c r="K1439" s="55" t="s">
        <v>360</v>
      </c>
      <c r="L1439" s="55" t="s">
        <v>360</v>
      </c>
      <c r="M1439" s="55" t="s">
        <v>142</v>
      </c>
      <c r="N1439" s="55" t="s">
        <v>142</v>
      </c>
      <c r="O1439" s="55" t="s">
        <v>292</v>
      </c>
      <c r="P1439" s="55" t="s">
        <v>1162</v>
      </c>
      <c r="Q1439" s="55" t="s">
        <v>350</v>
      </c>
      <c r="R1439" s="55">
        <v>2</v>
      </c>
      <c r="S1439" s="74"/>
      <c r="T1439" s="55" t="s">
        <v>1127</v>
      </c>
      <c r="U1439" s="73" t="s">
        <v>351</v>
      </c>
      <c r="V1439" s="74">
        <v>44473</v>
      </c>
      <c r="W1439" s="74">
        <v>44519</v>
      </c>
      <c r="X1439" s="55">
        <v>10188304</v>
      </c>
      <c r="Y1439" s="74" t="s">
        <v>146</v>
      </c>
      <c r="Z1439" s="74"/>
      <c r="AB1439" s="55" t="s">
        <v>146</v>
      </c>
      <c r="AC1439" s="55" t="s">
        <v>146</v>
      </c>
    </row>
    <row r="1440" spans="1:29" ht="13" x14ac:dyDescent="0.15">
      <c r="A1440" s="72" t="str">
        <f t="shared" si="22"/>
        <v>Ofsted Social Care Provider Webpage</v>
      </c>
      <c r="B1440" s="55">
        <v>2633602</v>
      </c>
      <c r="D1440" s="55" t="s">
        <v>373</v>
      </c>
      <c r="E1440" s="74">
        <v>44287</v>
      </c>
      <c r="F1440" s="55" t="s">
        <v>344</v>
      </c>
      <c r="G1440" s="55" t="s">
        <v>360</v>
      </c>
      <c r="H1440" s="55" t="s">
        <v>360</v>
      </c>
      <c r="I1440" s="55" t="s">
        <v>360</v>
      </c>
      <c r="J1440" s="55" t="s">
        <v>360</v>
      </c>
      <c r="K1440" s="55" t="s">
        <v>360</v>
      </c>
      <c r="L1440" s="55" t="s">
        <v>360</v>
      </c>
      <c r="M1440" s="55" t="s">
        <v>378</v>
      </c>
      <c r="N1440" s="55" t="s">
        <v>134</v>
      </c>
      <c r="O1440" s="55" t="s">
        <v>204</v>
      </c>
      <c r="P1440" s="55" t="s">
        <v>1920</v>
      </c>
      <c r="Q1440" s="55" t="s">
        <v>380</v>
      </c>
      <c r="R1440" s="55">
        <v>4</v>
      </c>
      <c r="S1440" s="74"/>
      <c r="T1440" s="55" t="s">
        <v>1479</v>
      </c>
      <c r="U1440" s="73" t="s">
        <v>351</v>
      </c>
      <c r="V1440" s="74">
        <v>44447</v>
      </c>
      <c r="W1440" s="74">
        <v>44490</v>
      </c>
      <c r="X1440" s="55">
        <v>10198683</v>
      </c>
      <c r="Y1440" s="74" t="s">
        <v>132</v>
      </c>
      <c r="Z1440" s="74"/>
      <c r="AB1440" s="55" t="s">
        <v>132</v>
      </c>
      <c r="AC1440" s="55" t="s">
        <v>132</v>
      </c>
    </row>
    <row r="1441" spans="1:29" ht="13" x14ac:dyDescent="0.15">
      <c r="A1441" s="72" t="str">
        <f t="shared" si="22"/>
        <v>Ofsted Social Care Provider Webpage</v>
      </c>
      <c r="B1441" s="55">
        <v>2633617</v>
      </c>
      <c r="D1441" s="55" t="s">
        <v>373</v>
      </c>
      <c r="E1441" s="74">
        <v>44340</v>
      </c>
      <c r="F1441" s="55" t="s">
        <v>344</v>
      </c>
      <c r="G1441" s="55" t="s">
        <v>360</v>
      </c>
      <c r="H1441" s="55" t="s">
        <v>360</v>
      </c>
      <c r="I1441" s="55" t="s">
        <v>360</v>
      </c>
      <c r="J1441" s="55" t="s">
        <v>360</v>
      </c>
      <c r="K1441" s="55" t="s">
        <v>360</v>
      </c>
      <c r="L1441" s="55" t="s">
        <v>360</v>
      </c>
      <c r="M1441" s="55" t="s">
        <v>172</v>
      </c>
      <c r="N1441" s="55" t="s">
        <v>172</v>
      </c>
      <c r="O1441" s="55" t="s">
        <v>173</v>
      </c>
      <c r="P1441" s="55" t="s">
        <v>1069</v>
      </c>
      <c r="Q1441" s="55" t="s">
        <v>350</v>
      </c>
      <c r="R1441" s="55">
        <v>2</v>
      </c>
      <c r="S1441" s="74"/>
      <c r="T1441" s="55" t="s">
        <v>385</v>
      </c>
      <c r="U1441" s="73"/>
      <c r="W1441" s="74"/>
      <c r="Y1441" s="74"/>
      <c r="Z1441" s="74"/>
    </row>
    <row r="1442" spans="1:29" ht="13" x14ac:dyDescent="0.15">
      <c r="A1442" s="72" t="str">
        <f t="shared" si="22"/>
        <v>Ofsted Social Care Provider Webpage</v>
      </c>
      <c r="B1442" s="55">
        <v>2633744</v>
      </c>
      <c r="D1442" s="55" t="s">
        <v>373</v>
      </c>
      <c r="E1442" s="74">
        <v>44355</v>
      </c>
      <c r="F1442" s="55" t="s">
        <v>344</v>
      </c>
      <c r="G1442" s="55" t="s">
        <v>360</v>
      </c>
      <c r="H1442" s="55" t="s">
        <v>360</v>
      </c>
      <c r="I1442" s="55" t="s">
        <v>360</v>
      </c>
      <c r="J1442" s="55" t="s">
        <v>360</v>
      </c>
      <c r="K1442" s="55" t="s">
        <v>360</v>
      </c>
      <c r="L1442" s="55" t="s">
        <v>360</v>
      </c>
      <c r="M1442" s="55" t="s">
        <v>142</v>
      </c>
      <c r="N1442" s="55" t="s">
        <v>142</v>
      </c>
      <c r="O1442" s="55" t="s">
        <v>293</v>
      </c>
      <c r="P1442" s="55" t="s">
        <v>1422</v>
      </c>
      <c r="Q1442" s="55" t="s">
        <v>350</v>
      </c>
      <c r="R1442" s="55">
        <v>3</v>
      </c>
      <c r="S1442" s="74"/>
      <c r="T1442" s="55" t="s">
        <v>1813</v>
      </c>
      <c r="U1442" s="73" t="s">
        <v>351</v>
      </c>
      <c r="V1442" s="74">
        <v>44607</v>
      </c>
      <c r="W1442" s="74">
        <v>44651</v>
      </c>
      <c r="X1442" s="55">
        <v>10217195</v>
      </c>
      <c r="Y1442" s="74" t="s">
        <v>130</v>
      </c>
      <c r="Z1442" s="74"/>
      <c r="AB1442" s="55" t="s">
        <v>130</v>
      </c>
      <c r="AC1442" s="55" t="s">
        <v>130</v>
      </c>
    </row>
    <row r="1443" spans="1:29" ht="13" x14ac:dyDescent="0.15">
      <c r="A1443" s="72" t="str">
        <f t="shared" si="22"/>
        <v>Ofsted Social Care Provider Webpage</v>
      </c>
      <c r="B1443" s="55">
        <v>2633818</v>
      </c>
      <c r="D1443" s="55" t="s">
        <v>373</v>
      </c>
      <c r="E1443" s="74">
        <v>44393</v>
      </c>
      <c r="F1443" s="55" t="s">
        <v>344</v>
      </c>
      <c r="G1443" s="55" t="s">
        <v>360</v>
      </c>
      <c r="H1443" s="55" t="s">
        <v>360</v>
      </c>
      <c r="I1443" s="55" t="s">
        <v>360</v>
      </c>
      <c r="J1443" s="55" t="s">
        <v>360</v>
      </c>
      <c r="K1443" s="55" t="s">
        <v>360</v>
      </c>
      <c r="L1443" s="55" t="s">
        <v>360</v>
      </c>
      <c r="M1443" s="55" t="s">
        <v>144</v>
      </c>
      <c r="N1443" s="55" t="s">
        <v>144</v>
      </c>
      <c r="O1443" s="55" t="s">
        <v>215</v>
      </c>
      <c r="P1443" s="55" t="s">
        <v>655</v>
      </c>
      <c r="Q1443" s="55" t="s">
        <v>362</v>
      </c>
      <c r="R1443" s="55">
        <v>3</v>
      </c>
      <c r="S1443" s="74"/>
      <c r="T1443" s="55" t="s">
        <v>2121</v>
      </c>
      <c r="U1443" s="73"/>
      <c r="W1443" s="74"/>
      <c r="Y1443" s="74"/>
      <c r="Z1443" s="74"/>
    </row>
    <row r="1444" spans="1:29" ht="13" x14ac:dyDescent="0.15">
      <c r="A1444" s="72" t="str">
        <f t="shared" si="22"/>
        <v>Ofsted Social Care Provider Webpage</v>
      </c>
      <c r="B1444" s="55">
        <v>2634272</v>
      </c>
      <c r="D1444" s="55" t="s">
        <v>373</v>
      </c>
      <c r="E1444" s="74">
        <v>44390</v>
      </c>
      <c r="F1444" s="55" t="s">
        <v>344</v>
      </c>
      <c r="G1444" s="55" t="s">
        <v>360</v>
      </c>
      <c r="H1444" s="55" t="s">
        <v>360</v>
      </c>
      <c r="I1444" s="55" t="s">
        <v>360</v>
      </c>
      <c r="J1444" s="55" t="s">
        <v>360</v>
      </c>
      <c r="K1444" s="55" t="s">
        <v>360</v>
      </c>
      <c r="L1444" s="55" t="s">
        <v>360</v>
      </c>
      <c r="M1444" s="55" t="s">
        <v>144</v>
      </c>
      <c r="N1444" s="55" t="s">
        <v>144</v>
      </c>
      <c r="O1444" s="55" t="s">
        <v>215</v>
      </c>
      <c r="P1444" s="55" t="s">
        <v>655</v>
      </c>
      <c r="Q1444" s="55" t="s">
        <v>350</v>
      </c>
      <c r="R1444" s="55">
        <v>3</v>
      </c>
      <c r="S1444" s="74"/>
      <c r="T1444" s="55" t="s">
        <v>2122</v>
      </c>
      <c r="U1444" s="73" t="s">
        <v>351</v>
      </c>
      <c r="V1444" s="74">
        <v>44621</v>
      </c>
      <c r="W1444" s="74">
        <v>44658</v>
      </c>
      <c r="X1444" s="55">
        <v>10210493</v>
      </c>
      <c r="Y1444" s="74" t="s">
        <v>132</v>
      </c>
      <c r="Z1444" s="74"/>
      <c r="AB1444" s="55" t="s">
        <v>132</v>
      </c>
      <c r="AC1444" s="55" t="s">
        <v>132</v>
      </c>
    </row>
    <row r="1445" spans="1:29" ht="13" x14ac:dyDescent="0.15">
      <c r="A1445" s="72" t="str">
        <f t="shared" si="22"/>
        <v>Ofsted Social Care Provider Webpage</v>
      </c>
      <c r="B1445" s="55">
        <v>2634397</v>
      </c>
      <c r="D1445" s="55" t="s">
        <v>373</v>
      </c>
      <c r="E1445" s="74">
        <v>44282</v>
      </c>
      <c r="F1445" s="55" t="s">
        <v>344</v>
      </c>
      <c r="G1445" s="55" t="s">
        <v>360</v>
      </c>
      <c r="H1445" s="55" t="s">
        <v>360</v>
      </c>
      <c r="I1445" s="55" t="s">
        <v>360</v>
      </c>
      <c r="J1445" s="55" t="s">
        <v>360</v>
      </c>
      <c r="K1445" s="55" t="s">
        <v>360</v>
      </c>
      <c r="L1445" s="55" t="s">
        <v>360</v>
      </c>
      <c r="M1445" s="55" t="s">
        <v>144</v>
      </c>
      <c r="N1445" s="55" t="s">
        <v>144</v>
      </c>
      <c r="O1445" s="55" t="s">
        <v>209</v>
      </c>
      <c r="P1445" s="55" t="s">
        <v>650</v>
      </c>
      <c r="Q1445" s="55" t="s">
        <v>350</v>
      </c>
      <c r="R1445" s="55">
        <v>1</v>
      </c>
      <c r="S1445" s="74"/>
      <c r="T1445" s="55" t="s">
        <v>1798</v>
      </c>
      <c r="U1445" s="73" t="s">
        <v>351</v>
      </c>
      <c r="V1445" s="74">
        <v>44609</v>
      </c>
      <c r="W1445" s="74">
        <v>44658</v>
      </c>
      <c r="X1445" s="55">
        <v>10188320</v>
      </c>
      <c r="Y1445" s="74" t="s">
        <v>132</v>
      </c>
      <c r="Z1445" s="74"/>
      <c r="AB1445" s="55" t="s">
        <v>132</v>
      </c>
      <c r="AC1445" s="55" t="s">
        <v>132</v>
      </c>
    </row>
    <row r="1446" spans="1:29" ht="13" x14ac:dyDescent="0.15">
      <c r="A1446" s="72" t="str">
        <f t="shared" si="22"/>
        <v>Ofsted Social Care Provider Webpage</v>
      </c>
      <c r="B1446" s="55">
        <v>2634624</v>
      </c>
      <c r="D1446" s="55" t="s">
        <v>373</v>
      </c>
      <c r="E1446" s="74">
        <v>44336</v>
      </c>
      <c r="F1446" s="55" t="s">
        <v>344</v>
      </c>
      <c r="G1446" s="55" t="s">
        <v>360</v>
      </c>
      <c r="H1446" s="55" t="s">
        <v>360</v>
      </c>
      <c r="I1446" s="55" t="s">
        <v>360</v>
      </c>
      <c r="J1446" s="55" t="s">
        <v>360</v>
      </c>
      <c r="K1446" s="55" t="s">
        <v>360</v>
      </c>
      <c r="L1446" s="55" t="s">
        <v>360</v>
      </c>
      <c r="M1446" s="55" t="s">
        <v>172</v>
      </c>
      <c r="N1446" s="55" t="s">
        <v>172</v>
      </c>
      <c r="O1446" s="55" t="s">
        <v>212</v>
      </c>
      <c r="P1446" s="55" t="s">
        <v>842</v>
      </c>
      <c r="Q1446" s="55" t="s">
        <v>350</v>
      </c>
      <c r="R1446" s="55">
        <v>1</v>
      </c>
      <c r="S1446" s="74"/>
      <c r="T1446" s="55" t="s">
        <v>517</v>
      </c>
      <c r="U1446" s="73" t="s">
        <v>351</v>
      </c>
      <c r="V1446" s="74">
        <v>44427</v>
      </c>
      <c r="W1446" s="74">
        <v>44456</v>
      </c>
      <c r="X1446" s="55">
        <v>10196642</v>
      </c>
      <c r="Y1446" s="74" t="s">
        <v>130</v>
      </c>
      <c r="Z1446" s="74"/>
      <c r="AB1446" s="55" t="s">
        <v>130</v>
      </c>
      <c r="AC1446" s="55" t="s">
        <v>130</v>
      </c>
    </row>
    <row r="1447" spans="1:29" ht="13" x14ac:dyDescent="0.15">
      <c r="A1447" s="72" t="str">
        <f t="shared" si="22"/>
        <v>Ofsted Social Care Provider Webpage</v>
      </c>
      <c r="B1447" s="55">
        <v>2634633</v>
      </c>
      <c r="D1447" s="55" t="s">
        <v>373</v>
      </c>
      <c r="E1447" s="74">
        <v>44593</v>
      </c>
      <c r="F1447" s="55" t="s">
        <v>344</v>
      </c>
      <c r="G1447" s="55" t="s">
        <v>360</v>
      </c>
      <c r="H1447" s="55" t="s">
        <v>360</v>
      </c>
      <c r="I1447" s="55" t="s">
        <v>360</v>
      </c>
      <c r="J1447" s="55" t="s">
        <v>360</v>
      </c>
      <c r="K1447" s="55" t="s">
        <v>360</v>
      </c>
      <c r="L1447" s="55" t="s">
        <v>360</v>
      </c>
      <c r="M1447" s="55" t="s">
        <v>136</v>
      </c>
      <c r="N1447" s="55" t="s">
        <v>136</v>
      </c>
      <c r="O1447" s="55" t="s">
        <v>255</v>
      </c>
      <c r="P1447" s="55" t="s">
        <v>583</v>
      </c>
      <c r="Q1447" s="55" t="s">
        <v>350</v>
      </c>
      <c r="R1447" s="55">
        <v>2</v>
      </c>
      <c r="S1447" s="74"/>
      <c r="T1447" s="55" t="s">
        <v>2123</v>
      </c>
      <c r="U1447" s="73"/>
      <c r="W1447" s="74"/>
      <c r="Y1447" s="74"/>
      <c r="Z1447" s="74"/>
    </row>
    <row r="1448" spans="1:29" ht="13" x14ac:dyDescent="0.15">
      <c r="A1448" s="72" t="str">
        <f t="shared" si="22"/>
        <v>Ofsted Social Care Provider Webpage</v>
      </c>
      <c r="B1448" s="55">
        <v>2634698</v>
      </c>
      <c r="D1448" s="55" t="s">
        <v>373</v>
      </c>
      <c r="E1448" s="74">
        <v>44353</v>
      </c>
      <c r="F1448" s="55" t="s">
        <v>344</v>
      </c>
      <c r="G1448" s="55" t="s">
        <v>360</v>
      </c>
      <c r="H1448" s="55" t="s">
        <v>360</v>
      </c>
      <c r="I1448" s="55" t="s">
        <v>360</v>
      </c>
      <c r="J1448" s="55" t="s">
        <v>360</v>
      </c>
      <c r="K1448" s="55" t="s">
        <v>360</v>
      </c>
      <c r="L1448" s="55" t="s">
        <v>360</v>
      </c>
      <c r="M1448" s="55" t="s">
        <v>142</v>
      </c>
      <c r="N1448" s="55" t="s">
        <v>142</v>
      </c>
      <c r="O1448" s="55" t="s">
        <v>282</v>
      </c>
      <c r="P1448" s="55" t="s">
        <v>1812</v>
      </c>
      <c r="Q1448" s="55" t="s">
        <v>350</v>
      </c>
      <c r="R1448" s="55">
        <v>2</v>
      </c>
      <c r="S1448" s="74"/>
      <c r="T1448" s="55" t="s">
        <v>493</v>
      </c>
      <c r="U1448" s="73" t="s">
        <v>351</v>
      </c>
      <c r="V1448" s="74">
        <v>44536</v>
      </c>
      <c r="W1448" s="74">
        <v>44581</v>
      </c>
      <c r="X1448" s="55">
        <v>10202749</v>
      </c>
      <c r="Y1448" s="74" t="s">
        <v>132</v>
      </c>
      <c r="Z1448" s="74"/>
      <c r="AB1448" s="55" t="s">
        <v>132</v>
      </c>
      <c r="AC1448" s="55" t="s">
        <v>132</v>
      </c>
    </row>
    <row r="1449" spans="1:29" ht="13" x14ac:dyDescent="0.15">
      <c r="A1449" s="72" t="str">
        <f t="shared" si="22"/>
        <v>Ofsted Social Care Provider Webpage</v>
      </c>
      <c r="B1449" s="55">
        <v>2634720</v>
      </c>
      <c r="D1449" s="55" t="s">
        <v>373</v>
      </c>
      <c r="E1449" s="74">
        <v>44377</v>
      </c>
      <c r="F1449" s="55" t="s">
        <v>344</v>
      </c>
      <c r="G1449" s="55" t="s">
        <v>360</v>
      </c>
      <c r="H1449" s="55" t="s">
        <v>360</v>
      </c>
      <c r="I1449" s="55" t="s">
        <v>360</v>
      </c>
      <c r="J1449" s="55" t="s">
        <v>360</v>
      </c>
      <c r="K1449" s="55" t="s">
        <v>360</v>
      </c>
      <c r="L1449" s="55" t="s">
        <v>360</v>
      </c>
      <c r="M1449" s="55" t="s">
        <v>144</v>
      </c>
      <c r="N1449" s="55" t="s">
        <v>144</v>
      </c>
      <c r="O1449" s="55" t="s">
        <v>145</v>
      </c>
      <c r="P1449" s="55" t="s">
        <v>525</v>
      </c>
      <c r="Q1449" s="55" t="s">
        <v>350</v>
      </c>
      <c r="R1449" s="55">
        <v>2</v>
      </c>
      <c r="S1449" s="74"/>
      <c r="T1449" s="55" t="s">
        <v>485</v>
      </c>
      <c r="U1449" s="73" t="s">
        <v>351</v>
      </c>
      <c r="V1449" s="74">
        <v>44572</v>
      </c>
      <c r="W1449" s="74">
        <v>44610</v>
      </c>
      <c r="X1449" s="55">
        <v>10205014</v>
      </c>
      <c r="Y1449" s="74" t="s">
        <v>132</v>
      </c>
      <c r="Z1449" s="74"/>
      <c r="AB1449" s="55" t="s">
        <v>132</v>
      </c>
      <c r="AC1449" s="55" t="s">
        <v>132</v>
      </c>
    </row>
    <row r="1450" spans="1:29" ht="13" x14ac:dyDescent="0.15">
      <c r="A1450" s="72" t="str">
        <f t="shared" si="22"/>
        <v>Ofsted Social Care Provider Webpage</v>
      </c>
      <c r="B1450" s="55">
        <v>2634754</v>
      </c>
      <c r="D1450" s="55" t="s">
        <v>373</v>
      </c>
      <c r="E1450" s="74">
        <v>44284</v>
      </c>
      <c r="F1450" s="55" t="s">
        <v>344</v>
      </c>
      <c r="G1450" s="55" t="s">
        <v>360</v>
      </c>
      <c r="H1450" s="55" t="s">
        <v>360</v>
      </c>
      <c r="I1450" s="55" t="s">
        <v>360</v>
      </c>
      <c r="J1450" s="55" t="s">
        <v>360</v>
      </c>
      <c r="K1450" s="55" t="s">
        <v>360</v>
      </c>
      <c r="L1450" s="55" t="s">
        <v>360</v>
      </c>
      <c r="M1450" s="55" t="s">
        <v>378</v>
      </c>
      <c r="N1450" s="55" t="s">
        <v>134</v>
      </c>
      <c r="O1450" s="55" t="s">
        <v>210</v>
      </c>
      <c r="P1450" s="55" t="s">
        <v>1250</v>
      </c>
      <c r="Q1450" s="55" t="s">
        <v>350</v>
      </c>
      <c r="R1450" s="55">
        <v>3</v>
      </c>
      <c r="S1450" s="74"/>
      <c r="T1450" s="55" t="s">
        <v>385</v>
      </c>
      <c r="U1450" s="73"/>
      <c r="W1450" s="74"/>
      <c r="Y1450" s="74"/>
      <c r="Z1450" s="74"/>
    </row>
    <row r="1451" spans="1:29" ht="13" x14ac:dyDescent="0.15">
      <c r="A1451" s="72" t="str">
        <f t="shared" si="22"/>
        <v>Ofsted Social Care Provider Webpage</v>
      </c>
      <c r="B1451" s="55">
        <v>2634800</v>
      </c>
      <c r="D1451" s="55" t="s">
        <v>373</v>
      </c>
      <c r="E1451" s="74">
        <v>44348</v>
      </c>
      <c r="F1451" s="55" t="s">
        <v>344</v>
      </c>
      <c r="G1451" s="55" t="s">
        <v>360</v>
      </c>
      <c r="H1451" s="55" t="s">
        <v>360</v>
      </c>
      <c r="I1451" s="55" t="s">
        <v>360</v>
      </c>
      <c r="J1451" s="55" t="s">
        <v>360</v>
      </c>
      <c r="K1451" s="55" t="s">
        <v>360</v>
      </c>
      <c r="L1451" s="55" t="s">
        <v>360</v>
      </c>
      <c r="M1451" s="55" t="s">
        <v>144</v>
      </c>
      <c r="N1451" s="55" t="s">
        <v>144</v>
      </c>
      <c r="O1451" s="55" t="s">
        <v>145</v>
      </c>
      <c r="P1451" s="55" t="s">
        <v>525</v>
      </c>
      <c r="Q1451" s="55" t="s">
        <v>350</v>
      </c>
      <c r="R1451" s="55">
        <v>1</v>
      </c>
      <c r="S1451" s="74"/>
      <c r="T1451" s="55" t="s">
        <v>485</v>
      </c>
      <c r="U1451" s="73" t="s">
        <v>351</v>
      </c>
      <c r="V1451" s="74">
        <v>44621</v>
      </c>
      <c r="W1451" s="74">
        <v>44658</v>
      </c>
      <c r="X1451" s="55">
        <v>10198247</v>
      </c>
      <c r="Y1451" s="74" t="s">
        <v>132</v>
      </c>
      <c r="Z1451" s="74"/>
      <c r="AB1451" s="55" t="s">
        <v>132</v>
      </c>
      <c r="AC1451" s="55" t="s">
        <v>132</v>
      </c>
    </row>
    <row r="1452" spans="1:29" ht="13" x14ac:dyDescent="0.15">
      <c r="A1452" s="72" t="str">
        <f t="shared" si="22"/>
        <v>Ofsted Social Care Provider Webpage</v>
      </c>
      <c r="B1452" s="55">
        <v>2634911</v>
      </c>
      <c r="D1452" s="55" t="s">
        <v>373</v>
      </c>
      <c r="E1452" s="74">
        <v>44404</v>
      </c>
      <c r="F1452" s="55" t="s">
        <v>344</v>
      </c>
      <c r="G1452" s="55" t="s">
        <v>360</v>
      </c>
      <c r="H1452" s="55" t="s">
        <v>360</v>
      </c>
      <c r="I1452" s="55" t="s">
        <v>360</v>
      </c>
      <c r="J1452" s="55" t="s">
        <v>360</v>
      </c>
      <c r="K1452" s="55" t="s">
        <v>360</v>
      </c>
      <c r="L1452" s="55" t="s">
        <v>360</v>
      </c>
      <c r="M1452" s="55" t="s">
        <v>136</v>
      </c>
      <c r="N1452" s="55" t="s">
        <v>136</v>
      </c>
      <c r="O1452" s="55" t="s">
        <v>705</v>
      </c>
      <c r="P1452" s="55" t="s">
        <v>891</v>
      </c>
      <c r="Q1452" s="55" t="s">
        <v>350</v>
      </c>
      <c r="R1452" s="55">
        <v>4</v>
      </c>
      <c r="S1452" s="74"/>
      <c r="T1452" s="55" t="s">
        <v>2124</v>
      </c>
      <c r="U1452" s="73"/>
      <c r="W1452" s="74"/>
      <c r="Y1452" s="74"/>
      <c r="Z1452" s="74"/>
    </row>
    <row r="1453" spans="1:29" ht="13" x14ac:dyDescent="0.15">
      <c r="A1453" s="72" t="str">
        <f t="shared" si="22"/>
        <v>Ofsted Social Care Provider Webpage</v>
      </c>
      <c r="B1453" s="55">
        <v>2634929</v>
      </c>
      <c r="D1453" s="55" t="s">
        <v>373</v>
      </c>
      <c r="E1453" s="74">
        <v>44376</v>
      </c>
      <c r="F1453" s="55" t="s">
        <v>344</v>
      </c>
      <c r="G1453" s="55" t="s">
        <v>360</v>
      </c>
      <c r="H1453" s="55" t="s">
        <v>360</v>
      </c>
      <c r="I1453" s="55" t="s">
        <v>360</v>
      </c>
      <c r="J1453" s="55" t="s">
        <v>360</v>
      </c>
      <c r="K1453" s="55" t="s">
        <v>360</v>
      </c>
      <c r="L1453" s="55" t="s">
        <v>360</v>
      </c>
      <c r="M1453" s="55" t="s">
        <v>129</v>
      </c>
      <c r="N1453" s="55" t="s">
        <v>129</v>
      </c>
      <c r="O1453" s="55" t="s">
        <v>186</v>
      </c>
      <c r="P1453" s="55" t="s">
        <v>2125</v>
      </c>
      <c r="Q1453" s="55" t="s">
        <v>350</v>
      </c>
      <c r="R1453" s="55">
        <v>6</v>
      </c>
      <c r="S1453" s="74"/>
      <c r="T1453" s="55" t="s">
        <v>1856</v>
      </c>
      <c r="U1453" s="73" t="s">
        <v>351</v>
      </c>
      <c r="V1453" s="74">
        <v>44621</v>
      </c>
      <c r="W1453" s="74">
        <v>44655</v>
      </c>
      <c r="X1453" s="55">
        <v>10213484</v>
      </c>
      <c r="Y1453" s="74" t="s">
        <v>146</v>
      </c>
      <c r="Z1453" s="74"/>
      <c r="AB1453" s="55" t="s">
        <v>146</v>
      </c>
      <c r="AC1453" s="55" t="s">
        <v>146</v>
      </c>
    </row>
    <row r="1454" spans="1:29" ht="13" x14ac:dyDescent="0.15">
      <c r="A1454" s="72" t="str">
        <f t="shared" si="22"/>
        <v>Ofsted Social Care Provider Webpage</v>
      </c>
      <c r="B1454" s="55">
        <v>2634954</v>
      </c>
      <c r="D1454" s="55" t="s">
        <v>373</v>
      </c>
      <c r="E1454" s="74">
        <v>44504</v>
      </c>
      <c r="F1454" s="55" t="s">
        <v>344</v>
      </c>
      <c r="G1454" s="55" t="s">
        <v>360</v>
      </c>
      <c r="H1454" s="55" t="s">
        <v>360</v>
      </c>
      <c r="I1454" s="55" t="s">
        <v>360</v>
      </c>
      <c r="J1454" s="55" t="s">
        <v>360</v>
      </c>
      <c r="K1454" s="55" t="s">
        <v>360</v>
      </c>
      <c r="L1454" s="55" t="s">
        <v>360</v>
      </c>
      <c r="M1454" s="55" t="s">
        <v>138</v>
      </c>
      <c r="N1454" s="55" t="s">
        <v>138</v>
      </c>
      <c r="O1454" s="55" t="s">
        <v>183</v>
      </c>
      <c r="P1454" s="55" t="s">
        <v>2051</v>
      </c>
      <c r="Q1454" s="55" t="s">
        <v>350</v>
      </c>
      <c r="R1454" s="55">
        <v>4</v>
      </c>
      <c r="S1454" s="74"/>
      <c r="T1454" s="55" t="s">
        <v>2126</v>
      </c>
      <c r="U1454" s="73"/>
      <c r="W1454" s="74"/>
      <c r="Y1454" s="74"/>
      <c r="Z1454" s="74"/>
    </row>
    <row r="1455" spans="1:29" ht="13" x14ac:dyDescent="0.15">
      <c r="A1455" s="72" t="str">
        <f t="shared" si="22"/>
        <v>Ofsted Social Care Provider Webpage</v>
      </c>
      <c r="B1455" s="55">
        <v>2635062</v>
      </c>
      <c r="D1455" s="55" t="s">
        <v>373</v>
      </c>
      <c r="E1455" s="74">
        <v>44336</v>
      </c>
      <c r="F1455" s="55" t="s">
        <v>344</v>
      </c>
      <c r="G1455" s="55" t="s">
        <v>360</v>
      </c>
      <c r="H1455" s="55" t="s">
        <v>360</v>
      </c>
      <c r="I1455" s="55" t="s">
        <v>360</v>
      </c>
      <c r="J1455" s="55" t="s">
        <v>360</v>
      </c>
      <c r="K1455" s="55" t="s">
        <v>360</v>
      </c>
      <c r="L1455" s="55" t="s">
        <v>360</v>
      </c>
      <c r="M1455" s="55" t="s">
        <v>172</v>
      </c>
      <c r="N1455" s="55" t="s">
        <v>172</v>
      </c>
      <c r="O1455" s="55" t="s">
        <v>214</v>
      </c>
      <c r="P1455" s="55" t="s">
        <v>790</v>
      </c>
      <c r="Q1455" s="55" t="s">
        <v>350</v>
      </c>
      <c r="R1455" s="55">
        <v>3</v>
      </c>
      <c r="S1455" s="74"/>
      <c r="T1455" s="55" t="s">
        <v>517</v>
      </c>
      <c r="U1455" s="73" t="s">
        <v>351</v>
      </c>
      <c r="V1455" s="74">
        <v>44530</v>
      </c>
      <c r="W1455" s="74">
        <v>44574</v>
      </c>
      <c r="X1455" s="55">
        <v>10210566</v>
      </c>
      <c r="Y1455" s="74" t="s">
        <v>130</v>
      </c>
      <c r="Z1455" s="74"/>
      <c r="AB1455" s="55" t="s">
        <v>130</v>
      </c>
      <c r="AC1455" s="55" t="s">
        <v>130</v>
      </c>
    </row>
    <row r="1456" spans="1:29" ht="13" x14ac:dyDescent="0.15">
      <c r="A1456" s="72" t="str">
        <f t="shared" si="22"/>
        <v>Ofsted Social Care Provider Webpage</v>
      </c>
      <c r="B1456" s="55">
        <v>2635269</v>
      </c>
      <c r="D1456" s="55" t="s">
        <v>373</v>
      </c>
      <c r="E1456" s="74">
        <v>44496</v>
      </c>
      <c r="F1456" s="55" t="s">
        <v>344</v>
      </c>
      <c r="G1456" s="55" t="s">
        <v>360</v>
      </c>
      <c r="H1456" s="55" t="s">
        <v>360</v>
      </c>
      <c r="I1456" s="55" t="s">
        <v>360</v>
      </c>
      <c r="J1456" s="55" t="s">
        <v>360</v>
      </c>
      <c r="K1456" s="55" t="s">
        <v>360</v>
      </c>
      <c r="L1456" s="55" t="s">
        <v>360</v>
      </c>
      <c r="M1456" s="55" t="s">
        <v>144</v>
      </c>
      <c r="N1456" s="55" t="s">
        <v>144</v>
      </c>
      <c r="O1456" s="55" t="s">
        <v>215</v>
      </c>
      <c r="P1456" s="55" t="s">
        <v>1207</v>
      </c>
      <c r="Q1456" s="55" t="s">
        <v>350</v>
      </c>
      <c r="R1456" s="55">
        <v>5</v>
      </c>
      <c r="S1456" s="74"/>
      <c r="T1456" s="55" t="s">
        <v>2127</v>
      </c>
      <c r="U1456" s="73"/>
      <c r="W1456" s="74"/>
      <c r="Y1456" s="74"/>
      <c r="Z1456" s="74"/>
    </row>
    <row r="1457" spans="1:29" ht="13" x14ac:dyDescent="0.15">
      <c r="A1457" s="72" t="str">
        <f t="shared" si="22"/>
        <v>Ofsted Social Care Provider Webpage</v>
      </c>
      <c r="B1457" s="55">
        <v>2635351</v>
      </c>
      <c r="D1457" s="55" t="s">
        <v>479</v>
      </c>
      <c r="E1457" s="74">
        <v>44445</v>
      </c>
      <c r="F1457" s="55" t="s">
        <v>344</v>
      </c>
      <c r="G1457" s="55" t="s">
        <v>360</v>
      </c>
      <c r="H1457" s="55" t="s">
        <v>360</v>
      </c>
      <c r="I1457" s="55" t="s">
        <v>360</v>
      </c>
      <c r="J1457" s="55" t="s">
        <v>360</v>
      </c>
      <c r="K1457" s="55" t="s">
        <v>360</v>
      </c>
      <c r="L1457" s="55" t="s">
        <v>360</v>
      </c>
      <c r="M1457" s="55" t="s">
        <v>144</v>
      </c>
      <c r="N1457" s="55" t="s">
        <v>144</v>
      </c>
      <c r="O1457" s="55" t="s">
        <v>209</v>
      </c>
      <c r="P1457" s="55" t="s">
        <v>544</v>
      </c>
      <c r="Q1457" s="55" t="s">
        <v>350</v>
      </c>
      <c r="R1457" s="55">
        <v>12</v>
      </c>
      <c r="S1457" s="74"/>
      <c r="T1457" s="55" t="s">
        <v>2128</v>
      </c>
      <c r="U1457" s="73"/>
      <c r="W1457" s="74"/>
      <c r="Y1457" s="74"/>
      <c r="Z1457" s="74"/>
    </row>
    <row r="1458" spans="1:29" ht="13" x14ac:dyDescent="0.15">
      <c r="A1458" s="72" t="str">
        <f t="shared" si="22"/>
        <v>Ofsted Social Care Provider Webpage</v>
      </c>
      <c r="B1458" s="55">
        <v>2635545</v>
      </c>
      <c r="D1458" s="55" t="s">
        <v>389</v>
      </c>
      <c r="E1458" s="74">
        <v>44383</v>
      </c>
      <c r="F1458" s="55" t="s">
        <v>344</v>
      </c>
      <c r="G1458" s="55" t="s">
        <v>2129</v>
      </c>
      <c r="H1458" s="55" t="s">
        <v>2130</v>
      </c>
      <c r="I1458" s="55" t="s">
        <v>2131</v>
      </c>
      <c r="J1458" s="55" t="s">
        <v>2132</v>
      </c>
      <c r="L1458" s="55" t="s">
        <v>2133</v>
      </c>
      <c r="M1458" s="55" t="s">
        <v>138</v>
      </c>
      <c r="N1458" s="55" t="s">
        <v>138</v>
      </c>
      <c r="O1458" s="55" t="s">
        <v>183</v>
      </c>
      <c r="P1458" s="55" t="s">
        <v>813</v>
      </c>
      <c r="Q1458" s="55" t="s">
        <v>350</v>
      </c>
      <c r="R1458" s="55"/>
      <c r="S1458" s="74"/>
      <c r="T1458" s="55" t="s">
        <v>2129</v>
      </c>
      <c r="U1458" s="73"/>
      <c r="W1458" s="74"/>
      <c r="Y1458" s="74"/>
      <c r="Z1458" s="74"/>
    </row>
    <row r="1459" spans="1:29" ht="13" x14ac:dyDescent="0.15">
      <c r="A1459" s="72" t="str">
        <f t="shared" si="22"/>
        <v>Ofsted Social Care Provider Webpage</v>
      </c>
      <c r="B1459" s="55">
        <v>2635562</v>
      </c>
      <c r="D1459" s="55" t="s">
        <v>373</v>
      </c>
      <c r="E1459" s="74">
        <v>44273</v>
      </c>
      <c r="F1459" s="55" t="s">
        <v>344</v>
      </c>
      <c r="G1459" s="55" t="s">
        <v>360</v>
      </c>
      <c r="H1459" s="55" t="s">
        <v>360</v>
      </c>
      <c r="I1459" s="55" t="s">
        <v>360</v>
      </c>
      <c r="J1459" s="55" t="s">
        <v>360</v>
      </c>
      <c r="K1459" s="55" t="s">
        <v>360</v>
      </c>
      <c r="L1459" s="55" t="s">
        <v>360</v>
      </c>
      <c r="M1459" s="55" t="s">
        <v>172</v>
      </c>
      <c r="N1459" s="55" t="s">
        <v>172</v>
      </c>
      <c r="O1459" s="55" t="s">
        <v>235</v>
      </c>
      <c r="P1459" s="55" t="s">
        <v>494</v>
      </c>
      <c r="Q1459" s="55" t="s">
        <v>350</v>
      </c>
      <c r="R1459" s="55">
        <v>3</v>
      </c>
      <c r="S1459" s="74"/>
      <c r="T1459" s="55" t="s">
        <v>1375</v>
      </c>
      <c r="U1459" s="73" t="s">
        <v>351</v>
      </c>
      <c r="V1459" s="74">
        <v>44530</v>
      </c>
      <c r="W1459" s="74">
        <v>44572</v>
      </c>
      <c r="X1459" s="55">
        <v>10188311</v>
      </c>
      <c r="Y1459" s="74" t="s">
        <v>132</v>
      </c>
      <c r="Z1459" s="74"/>
      <c r="AB1459" s="55" t="s">
        <v>132</v>
      </c>
      <c r="AC1459" s="55" t="s">
        <v>132</v>
      </c>
    </row>
    <row r="1460" spans="1:29" ht="13" x14ac:dyDescent="0.15">
      <c r="A1460" s="72" t="str">
        <f t="shared" si="22"/>
        <v>Ofsted Social Care Provider Webpage</v>
      </c>
      <c r="B1460" s="55">
        <v>2635655</v>
      </c>
      <c r="D1460" s="55" t="s">
        <v>373</v>
      </c>
      <c r="E1460" s="74">
        <v>44560</v>
      </c>
      <c r="F1460" s="55" t="s">
        <v>344</v>
      </c>
      <c r="G1460" s="55" t="s">
        <v>360</v>
      </c>
      <c r="H1460" s="55" t="s">
        <v>360</v>
      </c>
      <c r="I1460" s="55" t="s">
        <v>360</v>
      </c>
      <c r="J1460" s="55" t="s">
        <v>360</v>
      </c>
      <c r="K1460" s="55" t="s">
        <v>360</v>
      </c>
      <c r="L1460" s="55" t="s">
        <v>360</v>
      </c>
      <c r="M1460" s="55" t="s">
        <v>136</v>
      </c>
      <c r="N1460" s="55" t="s">
        <v>136</v>
      </c>
      <c r="O1460" s="55" t="s">
        <v>174</v>
      </c>
      <c r="P1460" s="55" t="s">
        <v>1526</v>
      </c>
      <c r="Q1460" s="55" t="s">
        <v>350</v>
      </c>
      <c r="R1460" s="55">
        <v>4</v>
      </c>
      <c r="S1460" s="74"/>
      <c r="T1460" s="55" t="s">
        <v>385</v>
      </c>
      <c r="U1460" s="73"/>
      <c r="W1460" s="74"/>
      <c r="Y1460" s="74"/>
      <c r="Z1460" s="74"/>
    </row>
    <row r="1461" spans="1:29" ht="13" x14ac:dyDescent="0.15">
      <c r="A1461" s="72" t="str">
        <f t="shared" si="22"/>
        <v>Ofsted Social Care Provider Webpage</v>
      </c>
      <c r="B1461" s="55">
        <v>2636024</v>
      </c>
      <c r="D1461" s="55" t="s">
        <v>451</v>
      </c>
      <c r="E1461" s="74">
        <v>44412</v>
      </c>
      <c r="F1461" s="55" t="s">
        <v>344</v>
      </c>
      <c r="G1461" s="55" t="s">
        <v>2134</v>
      </c>
      <c r="H1461" s="55" t="s">
        <v>2135</v>
      </c>
      <c r="I1461" s="55" t="s">
        <v>2136</v>
      </c>
      <c r="J1461" s="55" t="s">
        <v>2137</v>
      </c>
      <c r="L1461" s="55" t="s">
        <v>2138</v>
      </c>
      <c r="M1461" s="55" t="s">
        <v>378</v>
      </c>
      <c r="N1461" s="55" t="s">
        <v>170</v>
      </c>
      <c r="O1461" s="55" t="s">
        <v>264</v>
      </c>
      <c r="P1461" s="55" t="s">
        <v>437</v>
      </c>
      <c r="Q1461" s="55" t="s">
        <v>350</v>
      </c>
      <c r="R1461" s="55">
        <v>3</v>
      </c>
      <c r="S1461" s="74"/>
      <c r="T1461" s="55" t="s">
        <v>2139</v>
      </c>
      <c r="U1461" s="73"/>
      <c r="W1461" s="74"/>
      <c r="Y1461" s="74"/>
      <c r="Z1461" s="74"/>
    </row>
    <row r="1462" spans="1:29" ht="13" x14ac:dyDescent="0.15">
      <c r="A1462" s="72" t="str">
        <f t="shared" si="22"/>
        <v>Ofsted Social Care Provider Webpage</v>
      </c>
      <c r="B1462" s="55">
        <v>2636225</v>
      </c>
      <c r="D1462" s="55" t="s">
        <v>373</v>
      </c>
      <c r="E1462" s="74">
        <v>44553</v>
      </c>
      <c r="F1462" s="55" t="s">
        <v>344</v>
      </c>
      <c r="G1462" s="55" t="s">
        <v>360</v>
      </c>
      <c r="H1462" s="55" t="s">
        <v>360</v>
      </c>
      <c r="I1462" s="55" t="s">
        <v>360</v>
      </c>
      <c r="J1462" s="55" t="s">
        <v>360</v>
      </c>
      <c r="K1462" s="55" t="s">
        <v>360</v>
      </c>
      <c r="L1462" s="55" t="s">
        <v>360</v>
      </c>
      <c r="M1462" s="55" t="s">
        <v>378</v>
      </c>
      <c r="N1462" s="55" t="s">
        <v>134</v>
      </c>
      <c r="O1462" s="55" t="s">
        <v>158</v>
      </c>
      <c r="P1462" s="55" t="s">
        <v>912</v>
      </c>
      <c r="Q1462" s="55" t="s">
        <v>350</v>
      </c>
      <c r="R1462" s="55">
        <v>2</v>
      </c>
      <c r="S1462" s="74"/>
      <c r="T1462" s="55" t="s">
        <v>1023</v>
      </c>
      <c r="U1462" s="73"/>
      <c r="W1462" s="74"/>
      <c r="Y1462" s="74"/>
      <c r="Z1462" s="74"/>
    </row>
    <row r="1463" spans="1:29" ht="13" x14ac:dyDescent="0.15">
      <c r="A1463" s="72" t="str">
        <f t="shared" si="22"/>
        <v>Ofsted Social Care Provider Webpage</v>
      </c>
      <c r="B1463" s="55">
        <v>2636494</v>
      </c>
      <c r="D1463" s="55" t="s">
        <v>373</v>
      </c>
      <c r="E1463" s="74">
        <v>44382</v>
      </c>
      <c r="F1463" s="55" t="s">
        <v>344</v>
      </c>
      <c r="G1463" s="55" t="s">
        <v>360</v>
      </c>
      <c r="H1463" s="55" t="s">
        <v>360</v>
      </c>
      <c r="I1463" s="55" t="s">
        <v>360</v>
      </c>
      <c r="J1463" s="55" t="s">
        <v>360</v>
      </c>
      <c r="K1463" s="55" t="s">
        <v>360</v>
      </c>
      <c r="L1463" s="55" t="s">
        <v>360</v>
      </c>
      <c r="M1463" s="55" t="s">
        <v>150</v>
      </c>
      <c r="N1463" s="55" t="s">
        <v>150</v>
      </c>
      <c r="O1463" s="55" t="s">
        <v>268</v>
      </c>
      <c r="P1463" s="55" t="s">
        <v>2140</v>
      </c>
      <c r="Q1463" s="55" t="s">
        <v>350</v>
      </c>
      <c r="R1463" s="55">
        <v>6</v>
      </c>
      <c r="S1463" s="74"/>
      <c r="T1463" s="55" t="s">
        <v>2141</v>
      </c>
      <c r="U1463" s="73" t="s">
        <v>351</v>
      </c>
      <c r="V1463" s="74">
        <v>44621</v>
      </c>
      <c r="W1463" s="74">
        <v>44670</v>
      </c>
      <c r="X1463" s="55">
        <v>10205007</v>
      </c>
      <c r="Y1463" s="74" t="s">
        <v>132</v>
      </c>
      <c r="Z1463" s="74"/>
      <c r="AB1463" s="55" t="s">
        <v>132</v>
      </c>
      <c r="AC1463" s="55" t="s">
        <v>130</v>
      </c>
    </row>
    <row r="1464" spans="1:29" ht="13" x14ac:dyDescent="0.15">
      <c r="A1464" s="72" t="str">
        <f t="shared" si="22"/>
        <v>Ofsted Social Care Provider Webpage</v>
      </c>
      <c r="B1464" s="55">
        <v>2636743</v>
      </c>
      <c r="D1464" s="55" t="s">
        <v>373</v>
      </c>
      <c r="E1464" s="74">
        <v>44385</v>
      </c>
      <c r="F1464" s="55" t="s">
        <v>344</v>
      </c>
      <c r="G1464" s="55" t="s">
        <v>360</v>
      </c>
      <c r="H1464" s="55" t="s">
        <v>360</v>
      </c>
      <c r="I1464" s="55" t="s">
        <v>360</v>
      </c>
      <c r="J1464" s="55" t="s">
        <v>360</v>
      </c>
      <c r="K1464" s="55" t="s">
        <v>360</v>
      </c>
      <c r="L1464" s="55" t="s">
        <v>360</v>
      </c>
      <c r="M1464" s="55" t="s">
        <v>129</v>
      </c>
      <c r="N1464" s="55" t="s">
        <v>129</v>
      </c>
      <c r="O1464" s="55" t="s">
        <v>191</v>
      </c>
      <c r="P1464" s="55" t="s">
        <v>1224</v>
      </c>
      <c r="Q1464" s="55" t="s">
        <v>350</v>
      </c>
      <c r="R1464" s="55">
        <v>3</v>
      </c>
      <c r="S1464" s="74"/>
      <c r="T1464" s="55" t="s">
        <v>2142</v>
      </c>
      <c r="U1464" s="73" t="s">
        <v>351</v>
      </c>
      <c r="V1464" s="74">
        <v>44629</v>
      </c>
      <c r="W1464" s="74">
        <v>44678</v>
      </c>
      <c r="X1464" s="55">
        <v>10213486</v>
      </c>
      <c r="Y1464" s="74" t="s">
        <v>132</v>
      </c>
      <c r="Z1464" s="74"/>
      <c r="AB1464" s="55" t="s">
        <v>130</v>
      </c>
      <c r="AC1464" s="55" t="s">
        <v>132</v>
      </c>
    </row>
    <row r="1465" spans="1:29" ht="13" x14ac:dyDescent="0.15">
      <c r="A1465" s="72" t="str">
        <f t="shared" si="22"/>
        <v>Ofsted Social Care Provider Webpage</v>
      </c>
      <c r="B1465" s="55">
        <v>2636919</v>
      </c>
      <c r="D1465" s="55" t="s">
        <v>373</v>
      </c>
      <c r="E1465" s="74">
        <v>44522</v>
      </c>
      <c r="F1465" s="55" t="s">
        <v>344</v>
      </c>
      <c r="G1465" s="55" t="s">
        <v>360</v>
      </c>
      <c r="H1465" s="55" t="s">
        <v>360</v>
      </c>
      <c r="I1465" s="55" t="s">
        <v>360</v>
      </c>
      <c r="J1465" s="55" t="s">
        <v>360</v>
      </c>
      <c r="K1465" s="55" t="s">
        <v>360</v>
      </c>
      <c r="L1465" s="55" t="s">
        <v>360</v>
      </c>
      <c r="M1465" s="55" t="s">
        <v>144</v>
      </c>
      <c r="N1465" s="55" t="s">
        <v>144</v>
      </c>
      <c r="O1465" s="55" t="s">
        <v>209</v>
      </c>
      <c r="P1465" s="55" t="s">
        <v>597</v>
      </c>
      <c r="Q1465" s="55" t="s">
        <v>350</v>
      </c>
      <c r="R1465" s="55">
        <v>3</v>
      </c>
      <c r="S1465" s="74"/>
      <c r="T1465" s="55" t="s">
        <v>886</v>
      </c>
      <c r="U1465" s="73"/>
      <c r="W1465" s="74"/>
      <c r="Y1465" s="74"/>
      <c r="Z1465" s="74"/>
    </row>
    <row r="1466" spans="1:29" ht="13" x14ac:dyDescent="0.15">
      <c r="A1466" s="72" t="str">
        <f t="shared" si="22"/>
        <v>Ofsted Social Care Provider Webpage</v>
      </c>
      <c r="B1466" s="55">
        <v>2636921</v>
      </c>
      <c r="D1466" s="55" t="s">
        <v>373</v>
      </c>
      <c r="E1466" s="74">
        <v>44357</v>
      </c>
      <c r="F1466" s="55" t="s">
        <v>344</v>
      </c>
      <c r="G1466" s="55" t="s">
        <v>360</v>
      </c>
      <c r="H1466" s="55" t="s">
        <v>360</v>
      </c>
      <c r="I1466" s="55" t="s">
        <v>360</v>
      </c>
      <c r="J1466" s="55" t="s">
        <v>360</v>
      </c>
      <c r="K1466" s="55" t="s">
        <v>360</v>
      </c>
      <c r="L1466" s="55" t="s">
        <v>360</v>
      </c>
      <c r="M1466" s="55" t="s">
        <v>172</v>
      </c>
      <c r="N1466" s="55" t="s">
        <v>172</v>
      </c>
      <c r="O1466" s="55" t="s">
        <v>173</v>
      </c>
      <c r="P1466" s="55" t="s">
        <v>1540</v>
      </c>
      <c r="Q1466" s="55" t="s">
        <v>380</v>
      </c>
      <c r="R1466" s="55">
        <v>1</v>
      </c>
      <c r="S1466" s="74"/>
      <c r="T1466" s="55" t="s">
        <v>1431</v>
      </c>
      <c r="U1466" s="73" t="s">
        <v>351</v>
      </c>
      <c r="V1466" s="74">
        <v>44544</v>
      </c>
      <c r="W1466" s="74">
        <v>44588</v>
      </c>
      <c r="X1466" s="55">
        <v>10202058</v>
      </c>
      <c r="Y1466" s="74" t="s">
        <v>132</v>
      </c>
      <c r="Z1466" s="74"/>
      <c r="AB1466" s="55" t="s">
        <v>132</v>
      </c>
      <c r="AC1466" s="55" t="s">
        <v>132</v>
      </c>
    </row>
    <row r="1467" spans="1:29" ht="13" x14ac:dyDescent="0.15">
      <c r="A1467" s="72" t="str">
        <f t="shared" si="22"/>
        <v>Ofsted Social Care Provider Webpage</v>
      </c>
      <c r="B1467" s="55">
        <v>2636991</v>
      </c>
      <c r="D1467" s="55" t="s">
        <v>373</v>
      </c>
      <c r="E1467" s="74">
        <v>44434</v>
      </c>
      <c r="F1467" s="55" t="s">
        <v>344</v>
      </c>
      <c r="G1467" s="55" t="s">
        <v>360</v>
      </c>
      <c r="H1467" s="55" t="s">
        <v>360</v>
      </c>
      <c r="I1467" s="55" t="s">
        <v>360</v>
      </c>
      <c r="J1467" s="55" t="s">
        <v>360</v>
      </c>
      <c r="K1467" s="55" t="s">
        <v>360</v>
      </c>
      <c r="L1467" s="55" t="s">
        <v>360</v>
      </c>
      <c r="M1467" s="55" t="s">
        <v>142</v>
      </c>
      <c r="N1467" s="55" t="s">
        <v>142</v>
      </c>
      <c r="O1467" s="55" t="s">
        <v>282</v>
      </c>
      <c r="P1467" s="55" t="s">
        <v>1812</v>
      </c>
      <c r="Q1467" s="55" t="s">
        <v>350</v>
      </c>
      <c r="R1467" s="55">
        <v>2</v>
      </c>
      <c r="S1467" s="74"/>
      <c r="T1467" s="55" t="s">
        <v>493</v>
      </c>
      <c r="U1467" s="73" t="s">
        <v>351</v>
      </c>
      <c r="V1467" s="74">
        <v>44586</v>
      </c>
      <c r="W1467" s="74">
        <v>44634</v>
      </c>
      <c r="X1467" s="55">
        <v>10208947</v>
      </c>
      <c r="Y1467" s="74" t="s">
        <v>132</v>
      </c>
      <c r="Z1467" s="74"/>
      <c r="AB1467" s="55" t="s">
        <v>132</v>
      </c>
      <c r="AC1467" s="55" t="s">
        <v>132</v>
      </c>
    </row>
    <row r="1468" spans="1:29" ht="13" x14ac:dyDescent="0.15">
      <c r="A1468" s="72" t="str">
        <f t="shared" si="22"/>
        <v>Ofsted Social Care Provider Webpage</v>
      </c>
      <c r="B1468" s="55">
        <v>2636996</v>
      </c>
      <c r="D1468" s="55" t="s">
        <v>373</v>
      </c>
      <c r="E1468" s="74">
        <v>44456</v>
      </c>
      <c r="F1468" s="55" t="s">
        <v>344</v>
      </c>
      <c r="G1468" s="55" t="s">
        <v>360</v>
      </c>
      <c r="H1468" s="55" t="s">
        <v>360</v>
      </c>
      <c r="I1468" s="55" t="s">
        <v>360</v>
      </c>
      <c r="J1468" s="55" t="s">
        <v>360</v>
      </c>
      <c r="K1468" s="55" t="s">
        <v>360</v>
      </c>
      <c r="L1468" s="55" t="s">
        <v>360</v>
      </c>
      <c r="M1468" s="55" t="s">
        <v>142</v>
      </c>
      <c r="N1468" s="55" t="s">
        <v>142</v>
      </c>
      <c r="O1468" s="55" t="s">
        <v>293</v>
      </c>
      <c r="P1468" s="55" t="s">
        <v>1280</v>
      </c>
      <c r="Q1468" s="55" t="s">
        <v>350</v>
      </c>
      <c r="R1468" s="55">
        <v>4</v>
      </c>
      <c r="S1468" s="74"/>
      <c r="T1468" s="55" t="s">
        <v>2143</v>
      </c>
      <c r="U1468" s="73" t="s">
        <v>351</v>
      </c>
      <c r="V1468" s="74">
        <v>44592</v>
      </c>
      <c r="W1468" s="74">
        <v>44635</v>
      </c>
      <c r="X1468" s="55">
        <v>10212711</v>
      </c>
      <c r="Y1468" s="74" t="s">
        <v>130</v>
      </c>
      <c r="Z1468" s="74"/>
      <c r="AB1468" s="55" t="s">
        <v>130</v>
      </c>
      <c r="AC1468" s="55" t="s">
        <v>130</v>
      </c>
    </row>
    <row r="1469" spans="1:29" ht="13" x14ac:dyDescent="0.15">
      <c r="A1469" s="72" t="str">
        <f t="shared" si="22"/>
        <v>Ofsted Social Care Provider Webpage</v>
      </c>
      <c r="B1469" s="55">
        <v>2637127</v>
      </c>
      <c r="D1469" s="55" t="s">
        <v>373</v>
      </c>
      <c r="E1469" s="74">
        <v>44315</v>
      </c>
      <c r="F1469" s="55" t="s">
        <v>344</v>
      </c>
      <c r="G1469" s="55" t="s">
        <v>360</v>
      </c>
      <c r="H1469" s="55" t="s">
        <v>360</v>
      </c>
      <c r="I1469" s="55" t="s">
        <v>360</v>
      </c>
      <c r="J1469" s="55" t="s">
        <v>360</v>
      </c>
      <c r="K1469" s="55" t="s">
        <v>360</v>
      </c>
      <c r="L1469" s="55" t="s">
        <v>360</v>
      </c>
      <c r="M1469" s="55" t="s">
        <v>172</v>
      </c>
      <c r="N1469" s="55" t="s">
        <v>172</v>
      </c>
      <c r="O1469" s="55" t="s">
        <v>212</v>
      </c>
      <c r="P1469" s="55" t="s">
        <v>798</v>
      </c>
      <c r="Q1469" s="55" t="s">
        <v>350</v>
      </c>
      <c r="R1469" s="55">
        <v>4</v>
      </c>
      <c r="S1469" s="74"/>
      <c r="T1469" s="55" t="s">
        <v>2144</v>
      </c>
      <c r="U1469" s="73" t="s">
        <v>351</v>
      </c>
      <c r="V1469" s="74">
        <v>44404</v>
      </c>
      <c r="W1469" s="74">
        <v>44431</v>
      </c>
      <c r="X1469" s="55">
        <v>10195158</v>
      </c>
      <c r="Y1469" s="74" t="s">
        <v>130</v>
      </c>
      <c r="Z1469" s="74"/>
      <c r="AB1469" s="55" t="s">
        <v>130</v>
      </c>
      <c r="AC1469" s="55" t="s">
        <v>130</v>
      </c>
    </row>
    <row r="1470" spans="1:29" ht="13" x14ac:dyDescent="0.15">
      <c r="A1470" s="72" t="str">
        <f t="shared" si="22"/>
        <v>Ofsted Social Care Provider Webpage</v>
      </c>
      <c r="B1470" s="55">
        <v>2637131</v>
      </c>
      <c r="D1470" s="55" t="s">
        <v>389</v>
      </c>
      <c r="E1470" s="74">
        <v>44441</v>
      </c>
      <c r="F1470" s="55" t="s">
        <v>344</v>
      </c>
      <c r="G1470" s="55" t="s">
        <v>2145</v>
      </c>
      <c r="H1470" s="55" t="s">
        <v>2146</v>
      </c>
      <c r="I1470" s="55" t="s">
        <v>2147</v>
      </c>
      <c r="J1470" s="55" t="s">
        <v>1650</v>
      </c>
      <c r="L1470" s="55" t="s">
        <v>2148</v>
      </c>
      <c r="M1470" s="55" t="s">
        <v>129</v>
      </c>
      <c r="N1470" s="55" t="s">
        <v>129</v>
      </c>
      <c r="O1470" s="55" t="s">
        <v>242</v>
      </c>
      <c r="P1470" s="55" t="s">
        <v>1519</v>
      </c>
      <c r="Q1470" s="55" t="s">
        <v>350</v>
      </c>
      <c r="R1470" s="55"/>
      <c r="S1470" s="74"/>
      <c r="T1470" s="55" t="s">
        <v>2145</v>
      </c>
      <c r="U1470" s="73"/>
      <c r="W1470" s="74"/>
      <c r="Y1470" s="74"/>
      <c r="Z1470" s="74"/>
    </row>
    <row r="1471" spans="1:29" ht="13" x14ac:dyDescent="0.15">
      <c r="A1471" s="72" t="str">
        <f t="shared" si="22"/>
        <v>Ofsted Social Care Provider Webpage</v>
      </c>
      <c r="B1471" s="55">
        <v>2637140</v>
      </c>
      <c r="D1471" s="55" t="s">
        <v>373</v>
      </c>
      <c r="E1471" s="74">
        <v>44442</v>
      </c>
      <c r="F1471" s="55" t="s">
        <v>344</v>
      </c>
      <c r="G1471" s="55" t="s">
        <v>360</v>
      </c>
      <c r="H1471" s="55" t="s">
        <v>360</v>
      </c>
      <c r="I1471" s="55" t="s">
        <v>360</v>
      </c>
      <c r="J1471" s="55" t="s">
        <v>360</v>
      </c>
      <c r="K1471" s="55" t="s">
        <v>360</v>
      </c>
      <c r="L1471" s="55" t="s">
        <v>360</v>
      </c>
      <c r="M1471" s="55" t="s">
        <v>172</v>
      </c>
      <c r="N1471" s="55" t="s">
        <v>172</v>
      </c>
      <c r="O1471" s="55" t="s">
        <v>212</v>
      </c>
      <c r="P1471" s="55" t="s">
        <v>842</v>
      </c>
      <c r="Q1471" s="55" t="s">
        <v>350</v>
      </c>
      <c r="R1471" s="55">
        <v>1</v>
      </c>
      <c r="S1471" s="74"/>
      <c r="T1471" s="55" t="s">
        <v>517</v>
      </c>
      <c r="U1471" s="73" t="s">
        <v>351</v>
      </c>
      <c r="V1471" s="74">
        <v>44586</v>
      </c>
      <c r="W1471" s="74">
        <v>44627</v>
      </c>
      <c r="X1471" s="55">
        <v>10206365</v>
      </c>
      <c r="Y1471" s="74" t="s">
        <v>130</v>
      </c>
      <c r="Z1471" s="74"/>
      <c r="AB1471" s="55" t="s">
        <v>130</v>
      </c>
      <c r="AC1471" s="55" t="s">
        <v>130</v>
      </c>
    </row>
    <row r="1472" spans="1:29" ht="13" x14ac:dyDescent="0.15">
      <c r="A1472" s="72" t="str">
        <f t="shared" si="22"/>
        <v>Ofsted Social Care Provider Webpage</v>
      </c>
      <c r="B1472" s="55">
        <v>2637241</v>
      </c>
      <c r="D1472" s="55" t="s">
        <v>443</v>
      </c>
      <c r="E1472" s="74">
        <v>44515</v>
      </c>
      <c r="F1472" s="55" t="s">
        <v>344</v>
      </c>
      <c r="G1472" s="55" t="s">
        <v>2149</v>
      </c>
      <c r="H1472" s="55" t="s">
        <v>2150</v>
      </c>
      <c r="I1472" s="55" t="s">
        <v>2151</v>
      </c>
      <c r="J1472" s="55" t="s">
        <v>616</v>
      </c>
      <c r="L1472" s="55" t="s">
        <v>2152</v>
      </c>
      <c r="M1472" s="55" t="s">
        <v>138</v>
      </c>
      <c r="N1472" s="55" t="s">
        <v>138</v>
      </c>
      <c r="O1472" s="55" t="s">
        <v>183</v>
      </c>
      <c r="P1472" s="55" t="s">
        <v>616</v>
      </c>
      <c r="Q1472" s="55" t="s">
        <v>350</v>
      </c>
      <c r="R1472" s="55"/>
      <c r="S1472" s="74"/>
      <c r="T1472" s="55" t="s">
        <v>2149</v>
      </c>
      <c r="U1472" s="73"/>
      <c r="W1472" s="74"/>
      <c r="Y1472" s="74"/>
      <c r="Z1472" s="74"/>
    </row>
    <row r="1473" spans="1:29" ht="13" x14ac:dyDescent="0.15">
      <c r="A1473" s="72" t="str">
        <f t="shared" si="22"/>
        <v>Ofsted Social Care Provider Webpage</v>
      </c>
      <c r="B1473" s="55">
        <v>2637397</v>
      </c>
      <c r="D1473" s="55" t="s">
        <v>451</v>
      </c>
      <c r="E1473" s="74">
        <v>44482</v>
      </c>
      <c r="F1473" s="55" t="s">
        <v>344</v>
      </c>
      <c r="G1473" s="55" t="s">
        <v>2153</v>
      </c>
      <c r="H1473" s="55" t="s">
        <v>2154</v>
      </c>
      <c r="I1473" s="55" t="s">
        <v>2155</v>
      </c>
      <c r="J1473" s="55" t="s">
        <v>2156</v>
      </c>
      <c r="L1473" s="55" t="s">
        <v>2157</v>
      </c>
      <c r="M1473" s="55" t="s">
        <v>138</v>
      </c>
      <c r="N1473" s="55" t="s">
        <v>138</v>
      </c>
      <c r="O1473" s="55" t="s">
        <v>196</v>
      </c>
      <c r="P1473" s="55" t="s">
        <v>1368</v>
      </c>
      <c r="Q1473" s="55" t="s">
        <v>350</v>
      </c>
      <c r="R1473" s="55">
        <v>5</v>
      </c>
      <c r="S1473" s="74"/>
      <c r="T1473" s="55" t="s">
        <v>1031</v>
      </c>
      <c r="U1473" s="73"/>
      <c r="W1473" s="74"/>
      <c r="Y1473" s="74"/>
      <c r="Z1473" s="74"/>
    </row>
    <row r="1474" spans="1:29" ht="13" x14ac:dyDescent="0.15">
      <c r="A1474" s="72" t="str">
        <f t="shared" si="22"/>
        <v>Ofsted Social Care Provider Webpage</v>
      </c>
      <c r="B1474" s="55">
        <v>2637521</v>
      </c>
      <c r="D1474" s="55" t="s">
        <v>373</v>
      </c>
      <c r="E1474" s="74">
        <v>44487</v>
      </c>
      <c r="F1474" s="55" t="s">
        <v>344</v>
      </c>
      <c r="G1474" s="55" t="s">
        <v>360</v>
      </c>
      <c r="H1474" s="55" t="s">
        <v>360</v>
      </c>
      <c r="I1474" s="55" t="s">
        <v>360</v>
      </c>
      <c r="J1474" s="55" t="s">
        <v>360</v>
      </c>
      <c r="K1474" s="55" t="s">
        <v>360</v>
      </c>
      <c r="L1474" s="55" t="s">
        <v>360</v>
      </c>
      <c r="M1474" s="55" t="s">
        <v>129</v>
      </c>
      <c r="N1474" s="55" t="s">
        <v>129</v>
      </c>
      <c r="O1474" s="55" t="s">
        <v>192</v>
      </c>
      <c r="P1474" s="55" t="s">
        <v>1191</v>
      </c>
      <c r="Q1474" s="55" t="s">
        <v>350</v>
      </c>
      <c r="R1474" s="55">
        <v>4</v>
      </c>
      <c r="S1474" s="74"/>
      <c r="T1474" s="55" t="s">
        <v>2158</v>
      </c>
      <c r="U1474" s="73"/>
      <c r="W1474" s="74"/>
      <c r="Y1474" s="74"/>
      <c r="Z1474" s="74"/>
    </row>
    <row r="1475" spans="1:29" ht="13" x14ac:dyDescent="0.15">
      <c r="A1475" s="72" t="str">
        <f t="shared" si="22"/>
        <v>Ofsted Social Care Provider Webpage</v>
      </c>
      <c r="B1475" s="55">
        <v>2637805</v>
      </c>
      <c r="D1475" s="55" t="s">
        <v>373</v>
      </c>
      <c r="E1475" s="74">
        <v>44348</v>
      </c>
      <c r="F1475" s="55" t="s">
        <v>344</v>
      </c>
      <c r="G1475" s="55" t="s">
        <v>360</v>
      </c>
      <c r="H1475" s="55" t="s">
        <v>360</v>
      </c>
      <c r="I1475" s="55" t="s">
        <v>360</v>
      </c>
      <c r="J1475" s="55" t="s">
        <v>360</v>
      </c>
      <c r="K1475" s="55" t="s">
        <v>360</v>
      </c>
      <c r="L1475" s="55" t="s">
        <v>360</v>
      </c>
      <c r="M1475" s="55" t="s">
        <v>138</v>
      </c>
      <c r="N1475" s="55" t="s">
        <v>138</v>
      </c>
      <c r="O1475" s="55" t="s">
        <v>273</v>
      </c>
      <c r="P1475" s="55" t="s">
        <v>584</v>
      </c>
      <c r="Q1475" s="55" t="s">
        <v>350</v>
      </c>
      <c r="R1475" s="55">
        <v>4</v>
      </c>
      <c r="S1475" s="74"/>
      <c r="T1475" s="55" t="s">
        <v>2159</v>
      </c>
      <c r="U1475" s="73" t="s">
        <v>351</v>
      </c>
      <c r="V1475" s="74">
        <v>44544</v>
      </c>
      <c r="W1475" s="74">
        <v>44581</v>
      </c>
      <c r="X1475" s="55">
        <v>10197524</v>
      </c>
      <c r="Y1475" s="74" t="s">
        <v>146</v>
      </c>
      <c r="Z1475" s="74"/>
      <c r="AB1475" s="55" t="s">
        <v>146</v>
      </c>
      <c r="AC1475" s="55" t="s">
        <v>146</v>
      </c>
    </row>
    <row r="1476" spans="1:29" ht="13" x14ac:dyDescent="0.15">
      <c r="A1476" s="72" t="str">
        <f t="shared" si="22"/>
        <v>Ofsted Social Care Provider Webpage</v>
      </c>
      <c r="B1476" s="55">
        <v>2638148</v>
      </c>
      <c r="D1476" s="55" t="s">
        <v>373</v>
      </c>
      <c r="E1476" s="74">
        <v>44382</v>
      </c>
      <c r="F1476" s="55" t="s">
        <v>344</v>
      </c>
      <c r="G1476" s="55" t="s">
        <v>360</v>
      </c>
      <c r="H1476" s="55" t="s">
        <v>360</v>
      </c>
      <c r="I1476" s="55" t="s">
        <v>360</v>
      </c>
      <c r="J1476" s="55" t="s">
        <v>360</v>
      </c>
      <c r="K1476" s="55" t="s">
        <v>360</v>
      </c>
      <c r="L1476" s="55" t="s">
        <v>360</v>
      </c>
      <c r="M1476" s="55" t="s">
        <v>138</v>
      </c>
      <c r="N1476" s="55" t="s">
        <v>138</v>
      </c>
      <c r="O1476" s="55" t="s">
        <v>238</v>
      </c>
      <c r="P1476" s="55" t="s">
        <v>238</v>
      </c>
      <c r="Q1476" s="55" t="s">
        <v>350</v>
      </c>
      <c r="R1476" s="55">
        <v>3</v>
      </c>
      <c r="S1476" s="74"/>
      <c r="T1476" s="55" t="s">
        <v>2160</v>
      </c>
      <c r="U1476" s="73" t="s">
        <v>351</v>
      </c>
      <c r="V1476" s="74">
        <v>44530</v>
      </c>
      <c r="W1476" s="74">
        <v>44559</v>
      </c>
      <c r="X1476" s="55">
        <v>10202067</v>
      </c>
      <c r="Y1476" s="74" t="s">
        <v>132</v>
      </c>
      <c r="Z1476" s="74"/>
      <c r="AB1476" s="55" t="s">
        <v>132</v>
      </c>
      <c r="AC1476" s="55" t="s">
        <v>132</v>
      </c>
    </row>
    <row r="1477" spans="1:29" ht="13" x14ac:dyDescent="0.15">
      <c r="A1477" s="72" t="str">
        <f t="shared" si="22"/>
        <v>Ofsted Social Care Provider Webpage</v>
      </c>
      <c r="B1477" s="55">
        <v>2638159</v>
      </c>
      <c r="D1477" s="55" t="s">
        <v>373</v>
      </c>
      <c r="E1477" s="74">
        <v>44567</v>
      </c>
      <c r="F1477" s="55" t="s">
        <v>344</v>
      </c>
      <c r="G1477" s="55" t="s">
        <v>360</v>
      </c>
      <c r="H1477" s="55" t="s">
        <v>360</v>
      </c>
      <c r="I1477" s="55" t="s">
        <v>360</v>
      </c>
      <c r="J1477" s="55" t="s">
        <v>360</v>
      </c>
      <c r="K1477" s="55" t="s">
        <v>360</v>
      </c>
      <c r="L1477" s="55" t="s">
        <v>360</v>
      </c>
      <c r="M1477" s="55" t="s">
        <v>138</v>
      </c>
      <c r="N1477" s="55" t="s">
        <v>138</v>
      </c>
      <c r="O1477" s="55" t="s">
        <v>224</v>
      </c>
      <c r="P1477" s="55" t="s">
        <v>374</v>
      </c>
      <c r="Q1477" s="55" t="s">
        <v>350</v>
      </c>
      <c r="R1477" s="55">
        <v>5</v>
      </c>
      <c r="S1477" s="74"/>
      <c r="T1477" s="55" t="s">
        <v>2161</v>
      </c>
      <c r="U1477" s="73"/>
      <c r="W1477" s="74"/>
      <c r="Y1477" s="74"/>
      <c r="Z1477" s="74"/>
    </row>
    <row r="1478" spans="1:29" ht="13" x14ac:dyDescent="0.15">
      <c r="A1478" s="72" t="str">
        <f t="shared" ref="A1478:A1541" si="23">HYPERLINK(_xlfn.CONCAT("http://reports.ofsted.gov.uk/inspection-reports/find-inspection-report/provider/CARE/",B1478),"Ofsted Social Care Provider Webpage")</f>
        <v>Ofsted Social Care Provider Webpage</v>
      </c>
      <c r="B1478" s="55">
        <v>2638202</v>
      </c>
      <c r="D1478" s="55" t="s">
        <v>373</v>
      </c>
      <c r="E1478" s="74">
        <v>44407</v>
      </c>
      <c r="F1478" s="55" t="s">
        <v>344</v>
      </c>
      <c r="G1478" s="55" t="s">
        <v>360</v>
      </c>
      <c r="H1478" s="55" t="s">
        <v>360</v>
      </c>
      <c r="I1478" s="55" t="s">
        <v>360</v>
      </c>
      <c r="J1478" s="55" t="s">
        <v>360</v>
      </c>
      <c r="K1478" s="55" t="s">
        <v>360</v>
      </c>
      <c r="L1478" s="55" t="s">
        <v>360</v>
      </c>
      <c r="M1478" s="55" t="s">
        <v>144</v>
      </c>
      <c r="N1478" s="55" t="s">
        <v>144</v>
      </c>
      <c r="O1478" s="55" t="s">
        <v>281</v>
      </c>
      <c r="P1478" s="55" t="s">
        <v>556</v>
      </c>
      <c r="Q1478" s="55" t="s">
        <v>350</v>
      </c>
      <c r="R1478" s="55">
        <v>1</v>
      </c>
      <c r="S1478" s="74"/>
      <c r="T1478" s="55" t="s">
        <v>1449</v>
      </c>
      <c r="U1478" s="73" t="s">
        <v>351</v>
      </c>
      <c r="V1478" s="74">
        <v>44635</v>
      </c>
      <c r="W1478" s="74">
        <v>44680</v>
      </c>
      <c r="X1478" s="55">
        <v>10210510</v>
      </c>
      <c r="Y1478" s="74" t="s">
        <v>130</v>
      </c>
      <c r="Z1478" s="74"/>
      <c r="AB1478" s="55" t="s">
        <v>130</v>
      </c>
      <c r="AC1478" s="55" t="s">
        <v>130</v>
      </c>
    </row>
    <row r="1479" spans="1:29" ht="13" x14ac:dyDescent="0.15">
      <c r="A1479" s="72" t="str">
        <f t="shared" si="23"/>
        <v>Ofsted Social Care Provider Webpage</v>
      </c>
      <c r="B1479" s="55">
        <v>2638239</v>
      </c>
      <c r="D1479" s="55" t="s">
        <v>373</v>
      </c>
      <c r="E1479" s="74">
        <v>44404</v>
      </c>
      <c r="F1479" s="55" t="s">
        <v>344</v>
      </c>
      <c r="G1479" s="55" t="s">
        <v>360</v>
      </c>
      <c r="H1479" s="55" t="s">
        <v>360</v>
      </c>
      <c r="I1479" s="55" t="s">
        <v>360</v>
      </c>
      <c r="J1479" s="55" t="s">
        <v>360</v>
      </c>
      <c r="K1479" s="55" t="s">
        <v>360</v>
      </c>
      <c r="L1479" s="55" t="s">
        <v>360</v>
      </c>
      <c r="M1479" s="55" t="s">
        <v>378</v>
      </c>
      <c r="N1479" s="55" t="s">
        <v>134</v>
      </c>
      <c r="O1479" s="55" t="s">
        <v>175</v>
      </c>
      <c r="P1479" s="55" t="s">
        <v>678</v>
      </c>
      <c r="Q1479" s="55" t="s">
        <v>350</v>
      </c>
      <c r="R1479" s="55">
        <v>2</v>
      </c>
      <c r="S1479" s="74"/>
      <c r="T1479" s="55" t="s">
        <v>2162</v>
      </c>
      <c r="U1479" s="73" t="s">
        <v>351</v>
      </c>
      <c r="V1479" s="74">
        <v>44579</v>
      </c>
      <c r="W1479" s="74">
        <v>44620</v>
      </c>
      <c r="X1479" s="55">
        <v>10206615</v>
      </c>
      <c r="Y1479" s="74" t="s">
        <v>132</v>
      </c>
      <c r="Z1479" s="74"/>
      <c r="AB1479" s="55" t="s">
        <v>132</v>
      </c>
      <c r="AC1479" s="55" t="s">
        <v>132</v>
      </c>
    </row>
    <row r="1480" spans="1:29" ht="13" x14ac:dyDescent="0.15">
      <c r="A1480" s="72" t="str">
        <f t="shared" si="23"/>
        <v>Ofsted Social Care Provider Webpage</v>
      </c>
      <c r="B1480" s="55">
        <v>2638322</v>
      </c>
      <c r="D1480" s="55" t="s">
        <v>373</v>
      </c>
      <c r="E1480" s="74">
        <v>44407</v>
      </c>
      <c r="F1480" s="55" t="s">
        <v>344</v>
      </c>
      <c r="G1480" s="55" t="s">
        <v>360</v>
      </c>
      <c r="H1480" s="55" t="s">
        <v>360</v>
      </c>
      <c r="I1480" s="55" t="s">
        <v>360</v>
      </c>
      <c r="J1480" s="55" t="s">
        <v>360</v>
      </c>
      <c r="K1480" s="55" t="s">
        <v>360</v>
      </c>
      <c r="L1480" s="55" t="s">
        <v>360</v>
      </c>
      <c r="M1480" s="55" t="s">
        <v>378</v>
      </c>
      <c r="N1480" s="55" t="s">
        <v>170</v>
      </c>
      <c r="O1480" s="55" t="s">
        <v>231</v>
      </c>
      <c r="P1480" s="55" t="s">
        <v>231</v>
      </c>
      <c r="Q1480" s="55" t="s">
        <v>350</v>
      </c>
      <c r="R1480" s="55">
        <v>3</v>
      </c>
      <c r="S1480" s="74"/>
      <c r="T1480" s="55" t="s">
        <v>2163</v>
      </c>
      <c r="U1480" s="73" t="s">
        <v>351</v>
      </c>
      <c r="V1480" s="74">
        <v>44593</v>
      </c>
      <c r="W1480" s="74">
        <v>44649</v>
      </c>
      <c r="X1480" s="55">
        <v>10206617</v>
      </c>
      <c r="Y1480" s="74" t="s">
        <v>130</v>
      </c>
      <c r="Z1480" s="74"/>
      <c r="AB1480" s="55" t="s">
        <v>130</v>
      </c>
      <c r="AC1480" s="55" t="s">
        <v>130</v>
      </c>
    </row>
    <row r="1481" spans="1:29" ht="13" x14ac:dyDescent="0.15">
      <c r="A1481" s="72" t="str">
        <f t="shared" si="23"/>
        <v>Ofsted Social Care Provider Webpage</v>
      </c>
      <c r="B1481" s="55">
        <v>2638338</v>
      </c>
      <c r="D1481" s="55" t="s">
        <v>451</v>
      </c>
      <c r="E1481" s="74">
        <v>44389</v>
      </c>
      <c r="F1481" s="55" t="s">
        <v>344</v>
      </c>
      <c r="G1481" s="55" t="s">
        <v>2164</v>
      </c>
      <c r="H1481" s="55" t="s">
        <v>2165</v>
      </c>
      <c r="I1481" s="55" t="s">
        <v>2166</v>
      </c>
      <c r="J1481" s="55" t="s">
        <v>2167</v>
      </c>
      <c r="L1481" s="55" t="s">
        <v>2168</v>
      </c>
      <c r="M1481" s="55" t="s">
        <v>144</v>
      </c>
      <c r="N1481" s="55" t="s">
        <v>144</v>
      </c>
      <c r="O1481" s="55" t="s">
        <v>209</v>
      </c>
      <c r="P1481" s="55" t="s">
        <v>650</v>
      </c>
      <c r="Q1481" s="55" t="s">
        <v>350</v>
      </c>
      <c r="R1481" s="55">
        <v>5</v>
      </c>
      <c r="S1481" s="74"/>
      <c r="T1481" s="55" t="s">
        <v>2164</v>
      </c>
      <c r="U1481" s="73"/>
      <c r="W1481" s="74"/>
      <c r="Y1481" s="74"/>
      <c r="Z1481" s="74"/>
    </row>
    <row r="1482" spans="1:29" ht="13" x14ac:dyDescent="0.15">
      <c r="A1482" s="72" t="str">
        <f t="shared" si="23"/>
        <v>Ofsted Social Care Provider Webpage</v>
      </c>
      <c r="B1482" s="55">
        <v>2638390</v>
      </c>
      <c r="D1482" s="55" t="s">
        <v>373</v>
      </c>
      <c r="E1482" s="74">
        <v>44372</v>
      </c>
      <c r="F1482" s="55" t="s">
        <v>344</v>
      </c>
      <c r="G1482" s="55" t="s">
        <v>360</v>
      </c>
      <c r="H1482" s="55" t="s">
        <v>360</v>
      </c>
      <c r="I1482" s="55" t="s">
        <v>360</v>
      </c>
      <c r="J1482" s="55" t="s">
        <v>360</v>
      </c>
      <c r="K1482" s="55" t="s">
        <v>360</v>
      </c>
      <c r="L1482" s="55" t="s">
        <v>360</v>
      </c>
      <c r="M1482" s="55" t="s">
        <v>144</v>
      </c>
      <c r="N1482" s="55" t="s">
        <v>144</v>
      </c>
      <c r="O1482" s="55" t="s">
        <v>145</v>
      </c>
      <c r="P1482" s="55" t="s">
        <v>525</v>
      </c>
      <c r="Q1482" s="55" t="s">
        <v>350</v>
      </c>
      <c r="R1482" s="55">
        <v>1</v>
      </c>
      <c r="S1482" s="74"/>
      <c r="T1482" s="55" t="s">
        <v>485</v>
      </c>
      <c r="U1482" s="73" t="s">
        <v>351</v>
      </c>
      <c r="V1482" s="74">
        <v>44621</v>
      </c>
      <c r="W1482" s="74">
        <v>44662</v>
      </c>
      <c r="X1482" s="55">
        <v>10210511</v>
      </c>
      <c r="Y1482" s="74" t="s">
        <v>132</v>
      </c>
      <c r="Z1482" s="74"/>
      <c r="AB1482" s="55" t="s">
        <v>132</v>
      </c>
      <c r="AC1482" s="55" t="s">
        <v>132</v>
      </c>
    </row>
    <row r="1483" spans="1:29" ht="13" x14ac:dyDescent="0.15">
      <c r="A1483" s="72" t="str">
        <f t="shared" si="23"/>
        <v>Ofsted Social Care Provider Webpage</v>
      </c>
      <c r="B1483" s="55">
        <v>2638470</v>
      </c>
      <c r="D1483" s="55" t="s">
        <v>373</v>
      </c>
      <c r="E1483" s="74">
        <v>44314</v>
      </c>
      <c r="F1483" s="55" t="s">
        <v>344</v>
      </c>
      <c r="G1483" s="55" t="s">
        <v>360</v>
      </c>
      <c r="H1483" s="55" t="s">
        <v>360</v>
      </c>
      <c r="I1483" s="55" t="s">
        <v>360</v>
      </c>
      <c r="J1483" s="55" t="s">
        <v>360</v>
      </c>
      <c r="K1483" s="55" t="s">
        <v>360</v>
      </c>
      <c r="L1483" s="55" t="s">
        <v>360</v>
      </c>
      <c r="M1483" s="55" t="s">
        <v>142</v>
      </c>
      <c r="N1483" s="55" t="s">
        <v>142</v>
      </c>
      <c r="O1483" s="55" t="s">
        <v>262</v>
      </c>
      <c r="P1483" s="55" t="s">
        <v>916</v>
      </c>
      <c r="Q1483" s="55" t="s">
        <v>350</v>
      </c>
      <c r="R1483" s="55">
        <v>3</v>
      </c>
      <c r="S1483" s="74"/>
      <c r="T1483" s="55" t="s">
        <v>2169</v>
      </c>
      <c r="U1483" s="73" t="s">
        <v>351</v>
      </c>
      <c r="V1483" s="74">
        <v>44608</v>
      </c>
      <c r="W1483" s="74">
        <v>44649</v>
      </c>
      <c r="X1483" s="55">
        <v>10202146</v>
      </c>
      <c r="Y1483" s="74" t="s">
        <v>132</v>
      </c>
      <c r="Z1483" s="74"/>
      <c r="AB1483" s="55" t="s">
        <v>132</v>
      </c>
      <c r="AC1483" s="55" t="s">
        <v>132</v>
      </c>
    </row>
    <row r="1484" spans="1:29" ht="13" x14ac:dyDescent="0.15">
      <c r="A1484" s="72" t="str">
        <f t="shared" si="23"/>
        <v>Ofsted Social Care Provider Webpage</v>
      </c>
      <c r="B1484" s="55">
        <v>2638487</v>
      </c>
      <c r="D1484" s="55" t="s">
        <v>373</v>
      </c>
      <c r="E1484" s="74">
        <v>44378</v>
      </c>
      <c r="F1484" s="55" t="s">
        <v>344</v>
      </c>
      <c r="G1484" s="55" t="s">
        <v>360</v>
      </c>
      <c r="H1484" s="55" t="s">
        <v>360</v>
      </c>
      <c r="I1484" s="55" t="s">
        <v>360</v>
      </c>
      <c r="J1484" s="55" t="s">
        <v>360</v>
      </c>
      <c r="K1484" s="55" t="s">
        <v>360</v>
      </c>
      <c r="L1484" s="55" t="s">
        <v>360</v>
      </c>
      <c r="M1484" s="55" t="s">
        <v>144</v>
      </c>
      <c r="N1484" s="55" t="s">
        <v>144</v>
      </c>
      <c r="O1484" s="55" t="s">
        <v>209</v>
      </c>
      <c r="P1484" s="55" t="s">
        <v>597</v>
      </c>
      <c r="Q1484" s="55" t="s">
        <v>350</v>
      </c>
      <c r="R1484" s="55">
        <v>4</v>
      </c>
      <c r="S1484" s="74"/>
      <c r="T1484" s="55" t="s">
        <v>737</v>
      </c>
      <c r="U1484" s="73" t="s">
        <v>351</v>
      </c>
      <c r="V1484" s="74">
        <v>44629</v>
      </c>
      <c r="W1484" s="74">
        <v>44677</v>
      </c>
      <c r="X1484" s="55">
        <v>10203103</v>
      </c>
      <c r="Y1484" s="74" t="s">
        <v>132</v>
      </c>
      <c r="Z1484" s="74"/>
      <c r="AB1484" s="55" t="s">
        <v>132</v>
      </c>
      <c r="AC1484" s="55" t="s">
        <v>140</v>
      </c>
    </row>
    <row r="1485" spans="1:29" ht="13" x14ac:dyDescent="0.15">
      <c r="A1485" s="72" t="str">
        <f t="shared" si="23"/>
        <v>Ofsted Social Care Provider Webpage</v>
      </c>
      <c r="B1485" s="55">
        <v>2638535</v>
      </c>
      <c r="D1485" s="55" t="s">
        <v>373</v>
      </c>
      <c r="E1485" s="74">
        <v>44393</v>
      </c>
      <c r="F1485" s="55" t="s">
        <v>344</v>
      </c>
      <c r="G1485" s="55" t="s">
        <v>360</v>
      </c>
      <c r="H1485" s="55" t="s">
        <v>360</v>
      </c>
      <c r="I1485" s="55" t="s">
        <v>360</v>
      </c>
      <c r="J1485" s="55" t="s">
        <v>360</v>
      </c>
      <c r="K1485" s="55" t="s">
        <v>360</v>
      </c>
      <c r="L1485" s="55" t="s">
        <v>360</v>
      </c>
      <c r="M1485" s="55" t="s">
        <v>144</v>
      </c>
      <c r="N1485" s="55" t="s">
        <v>144</v>
      </c>
      <c r="O1485" s="55" t="s">
        <v>168</v>
      </c>
      <c r="P1485" s="55" t="s">
        <v>913</v>
      </c>
      <c r="Q1485" s="55" t="s">
        <v>350</v>
      </c>
      <c r="R1485" s="55">
        <v>2</v>
      </c>
      <c r="S1485" s="74"/>
      <c r="T1485" s="55" t="s">
        <v>1279</v>
      </c>
      <c r="U1485" s="73"/>
      <c r="W1485" s="74"/>
      <c r="Y1485" s="74"/>
      <c r="Z1485" s="74"/>
    </row>
    <row r="1486" spans="1:29" ht="13" x14ac:dyDescent="0.15">
      <c r="A1486" s="72" t="str">
        <f t="shared" si="23"/>
        <v>Ofsted Social Care Provider Webpage</v>
      </c>
      <c r="B1486" s="55">
        <v>2638590</v>
      </c>
      <c r="D1486" s="55" t="s">
        <v>373</v>
      </c>
      <c r="E1486" s="74">
        <v>44418</v>
      </c>
      <c r="F1486" s="55" t="s">
        <v>344</v>
      </c>
      <c r="G1486" s="55" t="s">
        <v>360</v>
      </c>
      <c r="H1486" s="55" t="s">
        <v>360</v>
      </c>
      <c r="I1486" s="55" t="s">
        <v>360</v>
      </c>
      <c r="J1486" s="55" t="s">
        <v>360</v>
      </c>
      <c r="K1486" s="55" t="s">
        <v>360</v>
      </c>
      <c r="L1486" s="55" t="s">
        <v>360</v>
      </c>
      <c r="M1486" s="55" t="s">
        <v>129</v>
      </c>
      <c r="N1486" s="55" t="s">
        <v>129</v>
      </c>
      <c r="O1486" s="55" t="s">
        <v>194</v>
      </c>
      <c r="P1486" s="55" t="s">
        <v>1833</v>
      </c>
      <c r="Q1486" s="55" t="s">
        <v>350</v>
      </c>
      <c r="R1486" s="55">
        <v>7</v>
      </c>
      <c r="S1486" s="74"/>
      <c r="T1486" s="55" t="s">
        <v>2170</v>
      </c>
      <c r="U1486" s="73" t="s">
        <v>351</v>
      </c>
      <c r="V1486" s="74">
        <v>44635</v>
      </c>
      <c r="W1486" s="74">
        <v>44678</v>
      </c>
      <c r="X1486" s="55">
        <v>10213487</v>
      </c>
      <c r="Y1486" s="74" t="s">
        <v>132</v>
      </c>
      <c r="Z1486" s="74"/>
      <c r="AB1486" s="55" t="s">
        <v>132</v>
      </c>
      <c r="AC1486" s="55" t="s">
        <v>132</v>
      </c>
    </row>
    <row r="1487" spans="1:29" ht="13" x14ac:dyDescent="0.15">
      <c r="A1487" s="72" t="str">
        <f t="shared" si="23"/>
        <v>Ofsted Social Care Provider Webpage</v>
      </c>
      <c r="B1487" s="55">
        <v>2638617</v>
      </c>
      <c r="D1487" s="55" t="s">
        <v>373</v>
      </c>
      <c r="E1487" s="74">
        <v>44550</v>
      </c>
      <c r="F1487" s="55" t="s">
        <v>344</v>
      </c>
      <c r="G1487" s="55" t="s">
        <v>360</v>
      </c>
      <c r="H1487" s="55" t="s">
        <v>360</v>
      </c>
      <c r="I1487" s="55" t="s">
        <v>360</v>
      </c>
      <c r="J1487" s="55" t="s">
        <v>360</v>
      </c>
      <c r="K1487" s="55" t="s">
        <v>360</v>
      </c>
      <c r="L1487" s="55" t="s">
        <v>360</v>
      </c>
      <c r="M1487" s="55" t="s">
        <v>136</v>
      </c>
      <c r="N1487" s="55" t="s">
        <v>136</v>
      </c>
      <c r="O1487" s="55" t="s">
        <v>270</v>
      </c>
      <c r="P1487" s="55" t="s">
        <v>2171</v>
      </c>
      <c r="Q1487" s="55" t="s">
        <v>350</v>
      </c>
      <c r="R1487" s="55">
        <v>2</v>
      </c>
      <c r="S1487" s="74"/>
      <c r="T1487" s="55" t="s">
        <v>2172</v>
      </c>
      <c r="U1487" s="73"/>
      <c r="W1487" s="74"/>
      <c r="Y1487" s="74"/>
      <c r="Z1487" s="74"/>
    </row>
    <row r="1488" spans="1:29" ht="13" x14ac:dyDescent="0.15">
      <c r="A1488" s="72" t="str">
        <f t="shared" si="23"/>
        <v>Ofsted Social Care Provider Webpage</v>
      </c>
      <c r="B1488" s="55">
        <v>2638736</v>
      </c>
      <c r="D1488" s="55" t="s">
        <v>373</v>
      </c>
      <c r="E1488" s="74">
        <v>44370</v>
      </c>
      <c r="F1488" s="55" t="s">
        <v>344</v>
      </c>
      <c r="G1488" s="55" t="s">
        <v>360</v>
      </c>
      <c r="H1488" s="55" t="s">
        <v>360</v>
      </c>
      <c r="I1488" s="55" t="s">
        <v>360</v>
      </c>
      <c r="J1488" s="55" t="s">
        <v>360</v>
      </c>
      <c r="K1488" s="55" t="s">
        <v>360</v>
      </c>
      <c r="L1488" s="55" t="s">
        <v>360</v>
      </c>
      <c r="M1488" s="55" t="s">
        <v>144</v>
      </c>
      <c r="N1488" s="55" t="s">
        <v>144</v>
      </c>
      <c r="O1488" s="55" t="s">
        <v>162</v>
      </c>
      <c r="P1488" s="55" t="s">
        <v>1502</v>
      </c>
      <c r="Q1488" s="55" t="s">
        <v>350</v>
      </c>
      <c r="R1488" s="55">
        <v>2</v>
      </c>
      <c r="S1488" s="74"/>
      <c r="T1488" s="55" t="s">
        <v>1503</v>
      </c>
      <c r="U1488" s="73" t="s">
        <v>351</v>
      </c>
      <c r="V1488" s="74">
        <v>44580</v>
      </c>
      <c r="W1488" s="74">
        <v>44613</v>
      </c>
      <c r="X1488" s="55">
        <v>10204326</v>
      </c>
      <c r="Y1488" s="74" t="s">
        <v>132</v>
      </c>
      <c r="Z1488" s="74"/>
      <c r="AB1488" s="55" t="s">
        <v>132</v>
      </c>
      <c r="AC1488" s="55" t="s">
        <v>132</v>
      </c>
    </row>
    <row r="1489" spans="1:29" ht="13" x14ac:dyDescent="0.15">
      <c r="A1489" s="72" t="str">
        <f t="shared" si="23"/>
        <v>Ofsted Social Care Provider Webpage</v>
      </c>
      <c r="B1489" s="55">
        <v>2639083</v>
      </c>
      <c r="D1489" s="55" t="s">
        <v>373</v>
      </c>
      <c r="E1489" s="74">
        <v>44469</v>
      </c>
      <c r="F1489" s="55" t="s">
        <v>344</v>
      </c>
      <c r="G1489" s="55" t="s">
        <v>360</v>
      </c>
      <c r="H1489" s="55" t="s">
        <v>360</v>
      </c>
      <c r="I1489" s="55" t="s">
        <v>360</v>
      </c>
      <c r="J1489" s="55" t="s">
        <v>360</v>
      </c>
      <c r="K1489" s="55" t="s">
        <v>360</v>
      </c>
      <c r="L1489" s="55" t="s">
        <v>360</v>
      </c>
      <c r="M1489" s="55" t="s">
        <v>144</v>
      </c>
      <c r="N1489" s="55" t="s">
        <v>144</v>
      </c>
      <c r="O1489" s="55" t="s">
        <v>261</v>
      </c>
      <c r="P1489" s="55" t="s">
        <v>512</v>
      </c>
      <c r="Q1489" s="55" t="s">
        <v>350</v>
      </c>
      <c r="R1489" s="55">
        <v>3</v>
      </c>
      <c r="S1489" s="74"/>
      <c r="T1489" s="55" t="s">
        <v>886</v>
      </c>
      <c r="U1489" s="73"/>
      <c r="W1489" s="74"/>
      <c r="Y1489" s="74"/>
      <c r="Z1489" s="74"/>
    </row>
    <row r="1490" spans="1:29" ht="13" x14ac:dyDescent="0.15">
      <c r="A1490" s="72" t="str">
        <f t="shared" si="23"/>
        <v>Ofsted Social Care Provider Webpage</v>
      </c>
      <c r="B1490" s="55">
        <v>2639538</v>
      </c>
      <c r="D1490" s="55" t="s">
        <v>373</v>
      </c>
      <c r="E1490" s="74">
        <v>44579</v>
      </c>
      <c r="F1490" s="55" t="s">
        <v>344</v>
      </c>
      <c r="G1490" s="55" t="s">
        <v>360</v>
      </c>
      <c r="H1490" s="55" t="s">
        <v>360</v>
      </c>
      <c r="I1490" s="55" t="s">
        <v>360</v>
      </c>
      <c r="J1490" s="55" t="s">
        <v>360</v>
      </c>
      <c r="K1490" s="55" t="s">
        <v>360</v>
      </c>
      <c r="L1490" s="55" t="s">
        <v>360</v>
      </c>
      <c r="M1490" s="55" t="s">
        <v>172</v>
      </c>
      <c r="N1490" s="55" t="s">
        <v>172</v>
      </c>
      <c r="O1490" s="55" t="s">
        <v>228</v>
      </c>
      <c r="P1490" s="55" t="s">
        <v>423</v>
      </c>
      <c r="Q1490" s="55" t="s">
        <v>350</v>
      </c>
      <c r="R1490" s="55">
        <v>3</v>
      </c>
      <c r="S1490" s="74"/>
      <c r="T1490" s="55" t="s">
        <v>2173</v>
      </c>
      <c r="U1490" s="73"/>
      <c r="W1490" s="74"/>
      <c r="Y1490" s="74"/>
      <c r="Z1490" s="74"/>
    </row>
    <row r="1491" spans="1:29" ht="13" x14ac:dyDescent="0.15">
      <c r="A1491" s="72" t="str">
        <f t="shared" si="23"/>
        <v>Ofsted Social Care Provider Webpage</v>
      </c>
      <c r="B1491" s="55">
        <v>2639632</v>
      </c>
      <c r="D1491" s="55" t="s">
        <v>373</v>
      </c>
      <c r="E1491" s="74">
        <v>44431</v>
      </c>
      <c r="F1491" s="55" t="s">
        <v>344</v>
      </c>
      <c r="G1491" s="55" t="s">
        <v>360</v>
      </c>
      <c r="H1491" s="55" t="s">
        <v>360</v>
      </c>
      <c r="I1491" s="55" t="s">
        <v>360</v>
      </c>
      <c r="J1491" s="55" t="s">
        <v>360</v>
      </c>
      <c r="K1491" s="55" t="s">
        <v>360</v>
      </c>
      <c r="L1491" s="55" t="s">
        <v>360</v>
      </c>
      <c r="M1491" s="55" t="s">
        <v>138</v>
      </c>
      <c r="N1491" s="55" t="s">
        <v>138</v>
      </c>
      <c r="O1491" s="55" t="s">
        <v>216</v>
      </c>
      <c r="P1491" s="55" t="s">
        <v>1968</v>
      </c>
      <c r="Q1491" s="55" t="s">
        <v>350</v>
      </c>
      <c r="R1491" s="55">
        <v>2</v>
      </c>
      <c r="S1491" s="74"/>
      <c r="T1491" s="55" t="s">
        <v>2174</v>
      </c>
      <c r="U1491" s="73" t="s">
        <v>351</v>
      </c>
      <c r="V1491" s="74">
        <v>44537</v>
      </c>
      <c r="W1491" s="74">
        <v>44580</v>
      </c>
      <c r="X1491" s="55">
        <v>10209737</v>
      </c>
      <c r="Y1491" s="74" t="s">
        <v>132</v>
      </c>
      <c r="Z1491" s="74"/>
      <c r="AB1491" s="55" t="s">
        <v>132</v>
      </c>
      <c r="AC1491" s="55" t="s">
        <v>130</v>
      </c>
    </row>
    <row r="1492" spans="1:29" ht="13" x14ac:dyDescent="0.15">
      <c r="A1492" s="72" t="str">
        <f t="shared" si="23"/>
        <v>Ofsted Social Care Provider Webpage</v>
      </c>
      <c r="B1492" s="55">
        <v>2639649</v>
      </c>
      <c r="D1492" s="55" t="s">
        <v>373</v>
      </c>
      <c r="E1492" s="74">
        <v>44467</v>
      </c>
      <c r="F1492" s="55" t="s">
        <v>344</v>
      </c>
      <c r="G1492" s="55" t="s">
        <v>360</v>
      </c>
      <c r="H1492" s="55" t="s">
        <v>360</v>
      </c>
      <c r="I1492" s="55" t="s">
        <v>360</v>
      </c>
      <c r="J1492" s="55" t="s">
        <v>360</v>
      </c>
      <c r="K1492" s="55" t="s">
        <v>360</v>
      </c>
      <c r="L1492" s="55" t="s">
        <v>360</v>
      </c>
      <c r="M1492" s="55" t="s">
        <v>144</v>
      </c>
      <c r="N1492" s="55" t="s">
        <v>144</v>
      </c>
      <c r="O1492" s="55" t="s">
        <v>209</v>
      </c>
      <c r="P1492" s="55" t="s">
        <v>597</v>
      </c>
      <c r="Q1492" s="55" t="s">
        <v>350</v>
      </c>
      <c r="R1492" s="55">
        <v>2</v>
      </c>
      <c r="S1492" s="74"/>
      <c r="T1492" s="55" t="s">
        <v>2175</v>
      </c>
      <c r="U1492" s="73" t="s">
        <v>351</v>
      </c>
      <c r="V1492" s="74">
        <v>44586</v>
      </c>
      <c r="W1492" s="74">
        <v>44629</v>
      </c>
      <c r="X1492" s="55">
        <v>10209960</v>
      </c>
      <c r="Y1492" s="74" t="s">
        <v>146</v>
      </c>
      <c r="Z1492" s="74"/>
      <c r="AB1492" s="55" t="s">
        <v>146</v>
      </c>
      <c r="AC1492" s="55" t="s">
        <v>146</v>
      </c>
    </row>
    <row r="1493" spans="1:29" ht="13" x14ac:dyDescent="0.15">
      <c r="A1493" s="72" t="str">
        <f t="shared" si="23"/>
        <v>Ofsted Social Care Provider Webpage</v>
      </c>
      <c r="B1493" s="55">
        <v>2640082</v>
      </c>
      <c r="D1493" s="55" t="s">
        <v>373</v>
      </c>
      <c r="E1493" s="74">
        <v>44336</v>
      </c>
      <c r="F1493" s="55" t="s">
        <v>344</v>
      </c>
      <c r="G1493" s="55" t="s">
        <v>360</v>
      </c>
      <c r="H1493" s="55" t="s">
        <v>360</v>
      </c>
      <c r="I1493" s="55" t="s">
        <v>360</v>
      </c>
      <c r="J1493" s="55" t="s">
        <v>360</v>
      </c>
      <c r="K1493" s="55" t="s">
        <v>360</v>
      </c>
      <c r="L1493" s="55" t="s">
        <v>360</v>
      </c>
      <c r="M1493" s="55" t="s">
        <v>138</v>
      </c>
      <c r="N1493" s="55" t="s">
        <v>138</v>
      </c>
      <c r="O1493" s="55" t="s">
        <v>224</v>
      </c>
      <c r="P1493" s="55" t="s">
        <v>2176</v>
      </c>
      <c r="Q1493" s="55" t="s">
        <v>350</v>
      </c>
      <c r="R1493" s="55">
        <v>3</v>
      </c>
      <c r="S1493" s="74"/>
      <c r="T1493" s="55" t="s">
        <v>2177</v>
      </c>
      <c r="U1493" s="73" t="s">
        <v>351</v>
      </c>
      <c r="V1493" s="74">
        <v>44585</v>
      </c>
      <c r="W1493" s="74">
        <v>44614</v>
      </c>
      <c r="X1493" s="55">
        <v>10197526</v>
      </c>
      <c r="Y1493" s="74" t="s">
        <v>132</v>
      </c>
      <c r="Z1493" s="74"/>
      <c r="AB1493" s="55" t="s">
        <v>132</v>
      </c>
      <c r="AC1493" s="55" t="s">
        <v>132</v>
      </c>
    </row>
    <row r="1494" spans="1:29" ht="13" x14ac:dyDescent="0.15">
      <c r="A1494" s="72" t="str">
        <f t="shared" si="23"/>
        <v>Ofsted Social Care Provider Webpage</v>
      </c>
      <c r="B1494" s="55">
        <v>2640099</v>
      </c>
      <c r="D1494" s="55" t="s">
        <v>373</v>
      </c>
      <c r="E1494" s="74">
        <v>44398</v>
      </c>
      <c r="F1494" s="55" t="s">
        <v>344</v>
      </c>
      <c r="G1494" s="55" t="s">
        <v>360</v>
      </c>
      <c r="H1494" s="55" t="s">
        <v>360</v>
      </c>
      <c r="I1494" s="55" t="s">
        <v>360</v>
      </c>
      <c r="J1494" s="55" t="s">
        <v>360</v>
      </c>
      <c r="K1494" s="55" t="s">
        <v>360</v>
      </c>
      <c r="L1494" s="55" t="s">
        <v>360</v>
      </c>
      <c r="M1494" s="55" t="s">
        <v>144</v>
      </c>
      <c r="N1494" s="55" t="s">
        <v>144</v>
      </c>
      <c r="O1494" s="55" t="s">
        <v>209</v>
      </c>
      <c r="P1494" s="55" t="s">
        <v>736</v>
      </c>
      <c r="Q1494" s="55" t="s">
        <v>350</v>
      </c>
      <c r="R1494" s="55">
        <v>3</v>
      </c>
      <c r="S1494" s="74"/>
      <c r="T1494" s="55" t="s">
        <v>2178</v>
      </c>
      <c r="U1494" s="73"/>
      <c r="W1494" s="74"/>
      <c r="Y1494" s="74"/>
      <c r="Z1494" s="74"/>
    </row>
    <row r="1495" spans="1:29" ht="13" x14ac:dyDescent="0.15">
      <c r="A1495" s="72" t="str">
        <f t="shared" si="23"/>
        <v>Ofsted Social Care Provider Webpage</v>
      </c>
      <c r="B1495" s="55">
        <v>2640245</v>
      </c>
      <c r="D1495" s="55" t="s">
        <v>373</v>
      </c>
      <c r="E1495" s="74">
        <v>44396</v>
      </c>
      <c r="F1495" s="55" t="s">
        <v>344</v>
      </c>
      <c r="G1495" s="55" t="s">
        <v>360</v>
      </c>
      <c r="H1495" s="55" t="s">
        <v>360</v>
      </c>
      <c r="I1495" s="55" t="s">
        <v>360</v>
      </c>
      <c r="J1495" s="55" t="s">
        <v>360</v>
      </c>
      <c r="K1495" s="55" t="s">
        <v>360</v>
      </c>
      <c r="L1495" s="55" t="s">
        <v>360</v>
      </c>
      <c r="M1495" s="55" t="s">
        <v>144</v>
      </c>
      <c r="N1495" s="55" t="s">
        <v>144</v>
      </c>
      <c r="O1495" s="55" t="s">
        <v>281</v>
      </c>
      <c r="P1495" s="55" t="s">
        <v>725</v>
      </c>
      <c r="Q1495" s="55" t="s">
        <v>350</v>
      </c>
      <c r="R1495" s="55">
        <v>1</v>
      </c>
      <c r="S1495" s="74"/>
      <c r="T1495" s="55" t="s">
        <v>1449</v>
      </c>
      <c r="U1495" s="73"/>
      <c r="W1495" s="74"/>
      <c r="Y1495" s="74"/>
      <c r="Z1495" s="74"/>
    </row>
    <row r="1496" spans="1:29" ht="13" x14ac:dyDescent="0.15">
      <c r="A1496" s="72" t="str">
        <f t="shared" si="23"/>
        <v>Ofsted Social Care Provider Webpage</v>
      </c>
      <c r="B1496" s="55">
        <v>2640576</v>
      </c>
      <c r="D1496" s="55" t="s">
        <v>451</v>
      </c>
      <c r="E1496" s="74">
        <v>44468</v>
      </c>
      <c r="F1496" s="55" t="s">
        <v>344</v>
      </c>
      <c r="G1496" s="55" t="s">
        <v>2179</v>
      </c>
      <c r="H1496" s="55" t="s">
        <v>2180</v>
      </c>
      <c r="I1496" s="55" t="s">
        <v>2181</v>
      </c>
      <c r="J1496" s="55" t="s">
        <v>1291</v>
      </c>
      <c r="L1496" s="55" t="s">
        <v>2182</v>
      </c>
      <c r="M1496" s="55" t="s">
        <v>142</v>
      </c>
      <c r="N1496" s="55" t="s">
        <v>142</v>
      </c>
      <c r="O1496" s="55" t="s">
        <v>272</v>
      </c>
      <c r="P1496" s="55" t="s">
        <v>653</v>
      </c>
      <c r="Q1496" s="55" t="s">
        <v>350</v>
      </c>
      <c r="R1496" s="55">
        <v>5</v>
      </c>
      <c r="S1496" s="74"/>
      <c r="T1496" s="55" t="s">
        <v>1423</v>
      </c>
      <c r="U1496" s="73"/>
      <c r="W1496" s="74"/>
      <c r="Y1496" s="74"/>
      <c r="Z1496" s="74"/>
    </row>
    <row r="1497" spans="1:29" ht="13" x14ac:dyDescent="0.15">
      <c r="A1497" s="72" t="str">
        <f t="shared" si="23"/>
        <v>Ofsted Social Care Provider Webpage</v>
      </c>
      <c r="B1497" s="55">
        <v>2640599</v>
      </c>
      <c r="D1497" s="55" t="s">
        <v>413</v>
      </c>
      <c r="E1497" s="74">
        <v>44455</v>
      </c>
      <c r="F1497" s="55" t="s">
        <v>344</v>
      </c>
      <c r="G1497" s="55" t="s">
        <v>2183</v>
      </c>
      <c r="H1497" s="55" t="s">
        <v>2184</v>
      </c>
      <c r="I1497" s="55" t="s">
        <v>354</v>
      </c>
      <c r="J1497" s="55" t="s">
        <v>2185</v>
      </c>
      <c r="K1497" s="55" t="s">
        <v>266</v>
      </c>
      <c r="L1497" s="55" t="s">
        <v>2186</v>
      </c>
      <c r="M1497" s="55" t="s">
        <v>138</v>
      </c>
      <c r="N1497" s="55" t="s">
        <v>138</v>
      </c>
      <c r="O1497" s="55" t="s">
        <v>266</v>
      </c>
      <c r="P1497" s="55" t="s">
        <v>1622</v>
      </c>
      <c r="Q1497" s="55" t="s">
        <v>420</v>
      </c>
      <c r="R1497" s="55">
        <v>12</v>
      </c>
      <c r="S1497" s="74"/>
      <c r="T1497" s="55" t="s">
        <v>2187</v>
      </c>
      <c r="U1497" s="73"/>
      <c r="W1497" s="74"/>
      <c r="Y1497" s="74"/>
      <c r="Z1497" s="74"/>
    </row>
    <row r="1498" spans="1:29" ht="13" x14ac:dyDescent="0.15">
      <c r="A1498" s="72" t="str">
        <f t="shared" si="23"/>
        <v>Ofsted Social Care Provider Webpage</v>
      </c>
      <c r="B1498" s="55">
        <v>2641044</v>
      </c>
      <c r="D1498" s="55" t="s">
        <v>373</v>
      </c>
      <c r="E1498" s="74">
        <v>44522</v>
      </c>
      <c r="F1498" s="55" t="s">
        <v>344</v>
      </c>
      <c r="G1498" s="55" t="s">
        <v>360</v>
      </c>
      <c r="H1498" s="55" t="s">
        <v>360</v>
      </c>
      <c r="I1498" s="55" t="s">
        <v>360</v>
      </c>
      <c r="J1498" s="55" t="s">
        <v>360</v>
      </c>
      <c r="K1498" s="55" t="s">
        <v>360</v>
      </c>
      <c r="L1498" s="55" t="s">
        <v>360</v>
      </c>
      <c r="M1498" s="55" t="s">
        <v>378</v>
      </c>
      <c r="N1498" s="55" t="s">
        <v>170</v>
      </c>
      <c r="O1498" s="55" t="s">
        <v>222</v>
      </c>
      <c r="P1498" s="55" t="s">
        <v>2188</v>
      </c>
      <c r="Q1498" s="55" t="s">
        <v>350</v>
      </c>
      <c r="R1498" s="55">
        <v>4</v>
      </c>
      <c r="S1498" s="74"/>
      <c r="T1498" s="55" t="s">
        <v>367</v>
      </c>
      <c r="U1498" s="73"/>
      <c r="W1498" s="74"/>
      <c r="Y1498" s="74"/>
      <c r="Z1498" s="74"/>
    </row>
    <row r="1499" spans="1:29" ht="13" x14ac:dyDescent="0.15">
      <c r="A1499" s="72" t="str">
        <f t="shared" si="23"/>
        <v>Ofsted Social Care Provider Webpage</v>
      </c>
      <c r="B1499" s="55">
        <v>2641449</v>
      </c>
      <c r="D1499" s="55" t="s">
        <v>451</v>
      </c>
      <c r="E1499" s="74">
        <v>44455</v>
      </c>
      <c r="F1499" s="55" t="s">
        <v>344</v>
      </c>
      <c r="G1499" s="55" t="s">
        <v>2189</v>
      </c>
      <c r="H1499" s="55" t="s">
        <v>2190</v>
      </c>
      <c r="I1499" s="55" t="s">
        <v>2191</v>
      </c>
      <c r="J1499" s="55" t="s">
        <v>246</v>
      </c>
      <c r="K1499" s="55" t="s">
        <v>683</v>
      </c>
      <c r="L1499" s="55" t="s">
        <v>2192</v>
      </c>
      <c r="M1499" s="55" t="s">
        <v>378</v>
      </c>
      <c r="N1499" s="55" t="s">
        <v>134</v>
      </c>
      <c r="O1499" s="55" t="s">
        <v>246</v>
      </c>
      <c r="P1499" s="55" t="s">
        <v>685</v>
      </c>
      <c r="Q1499" s="55" t="s">
        <v>350</v>
      </c>
      <c r="R1499" s="55">
        <v>5</v>
      </c>
      <c r="S1499" s="74"/>
      <c r="T1499" s="55" t="s">
        <v>1259</v>
      </c>
      <c r="U1499" s="73"/>
      <c r="W1499" s="74"/>
      <c r="Y1499" s="74"/>
      <c r="Z1499" s="74"/>
    </row>
    <row r="1500" spans="1:29" ht="13" x14ac:dyDescent="0.15">
      <c r="A1500" s="72" t="str">
        <f t="shared" si="23"/>
        <v>Ofsted Social Care Provider Webpage</v>
      </c>
      <c r="B1500" s="55">
        <v>2641682</v>
      </c>
      <c r="D1500" s="55" t="s">
        <v>373</v>
      </c>
      <c r="E1500" s="74">
        <v>44431</v>
      </c>
      <c r="F1500" s="55" t="s">
        <v>344</v>
      </c>
      <c r="G1500" s="55" t="s">
        <v>360</v>
      </c>
      <c r="H1500" s="55" t="s">
        <v>360</v>
      </c>
      <c r="I1500" s="55" t="s">
        <v>360</v>
      </c>
      <c r="J1500" s="55" t="s">
        <v>360</v>
      </c>
      <c r="K1500" s="55" t="s">
        <v>360</v>
      </c>
      <c r="L1500" s="55" t="s">
        <v>360</v>
      </c>
      <c r="M1500" s="55" t="s">
        <v>150</v>
      </c>
      <c r="N1500" s="55" t="s">
        <v>150</v>
      </c>
      <c r="O1500" s="55" t="s">
        <v>203</v>
      </c>
      <c r="P1500" s="55" t="s">
        <v>1038</v>
      </c>
      <c r="Q1500" s="55" t="s">
        <v>362</v>
      </c>
      <c r="R1500" s="55">
        <v>4</v>
      </c>
      <c r="S1500" s="74"/>
      <c r="T1500" s="55" t="s">
        <v>1119</v>
      </c>
      <c r="U1500" s="73"/>
      <c r="W1500" s="74"/>
      <c r="Y1500" s="74"/>
      <c r="Z1500" s="74"/>
    </row>
    <row r="1501" spans="1:29" ht="13" x14ac:dyDescent="0.15">
      <c r="A1501" s="72" t="str">
        <f t="shared" si="23"/>
        <v>Ofsted Social Care Provider Webpage</v>
      </c>
      <c r="B1501" s="55">
        <v>2641767</v>
      </c>
      <c r="D1501" s="55" t="s">
        <v>373</v>
      </c>
      <c r="E1501" s="74">
        <v>44398</v>
      </c>
      <c r="F1501" s="55" t="s">
        <v>728</v>
      </c>
      <c r="G1501" s="55" t="s">
        <v>360</v>
      </c>
      <c r="H1501" s="55" t="s">
        <v>360</v>
      </c>
      <c r="I1501" s="55" t="s">
        <v>360</v>
      </c>
      <c r="J1501" s="55" t="s">
        <v>360</v>
      </c>
      <c r="K1501" s="55" t="s">
        <v>360</v>
      </c>
      <c r="L1501" s="55" t="s">
        <v>360</v>
      </c>
      <c r="M1501" s="55" t="s">
        <v>144</v>
      </c>
      <c r="N1501" s="55" t="s">
        <v>144</v>
      </c>
      <c r="O1501" s="55" t="s">
        <v>209</v>
      </c>
      <c r="P1501" s="55" t="s">
        <v>555</v>
      </c>
      <c r="Q1501" s="55" t="s">
        <v>350</v>
      </c>
      <c r="R1501" s="55">
        <v>5</v>
      </c>
      <c r="S1501" s="74"/>
      <c r="T1501" s="55" t="s">
        <v>2193</v>
      </c>
      <c r="U1501" s="73" t="s">
        <v>351</v>
      </c>
      <c r="V1501" s="74">
        <v>44593</v>
      </c>
      <c r="W1501" s="74">
        <v>44650</v>
      </c>
      <c r="X1501" s="55">
        <v>10205195</v>
      </c>
      <c r="Y1501" s="74" t="s">
        <v>146</v>
      </c>
      <c r="Z1501" s="74"/>
      <c r="AB1501" s="55" t="s">
        <v>146</v>
      </c>
      <c r="AC1501" s="55" t="s">
        <v>146</v>
      </c>
    </row>
    <row r="1502" spans="1:29" ht="13" x14ac:dyDescent="0.15">
      <c r="A1502" s="72" t="str">
        <f t="shared" si="23"/>
        <v>Ofsted Social Care Provider Webpage</v>
      </c>
      <c r="B1502" s="55">
        <v>2641768</v>
      </c>
      <c r="D1502" s="55" t="s">
        <v>373</v>
      </c>
      <c r="E1502" s="74">
        <v>44470</v>
      </c>
      <c r="F1502" s="55" t="s">
        <v>344</v>
      </c>
      <c r="G1502" s="55" t="s">
        <v>360</v>
      </c>
      <c r="H1502" s="55" t="s">
        <v>360</v>
      </c>
      <c r="I1502" s="55" t="s">
        <v>360</v>
      </c>
      <c r="J1502" s="55" t="s">
        <v>360</v>
      </c>
      <c r="K1502" s="55" t="s">
        <v>360</v>
      </c>
      <c r="L1502" s="55" t="s">
        <v>360</v>
      </c>
      <c r="M1502" s="55" t="s">
        <v>144</v>
      </c>
      <c r="N1502" s="55" t="s">
        <v>144</v>
      </c>
      <c r="O1502" s="55" t="s">
        <v>271</v>
      </c>
      <c r="P1502" s="55" t="s">
        <v>1122</v>
      </c>
      <c r="Q1502" s="55" t="s">
        <v>350</v>
      </c>
      <c r="R1502" s="55">
        <v>4</v>
      </c>
      <c r="S1502" s="74"/>
      <c r="T1502" s="55" t="s">
        <v>1541</v>
      </c>
      <c r="U1502" s="73"/>
      <c r="W1502" s="74"/>
      <c r="Y1502" s="74"/>
      <c r="Z1502" s="74"/>
    </row>
    <row r="1503" spans="1:29" ht="13" x14ac:dyDescent="0.15">
      <c r="A1503" s="72" t="str">
        <f t="shared" si="23"/>
        <v>Ofsted Social Care Provider Webpage</v>
      </c>
      <c r="B1503" s="55">
        <v>2641790</v>
      </c>
      <c r="D1503" s="55" t="s">
        <v>373</v>
      </c>
      <c r="E1503" s="74">
        <v>44340</v>
      </c>
      <c r="F1503" s="55" t="s">
        <v>344</v>
      </c>
      <c r="G1503" s="55" t="s">
        <v>360</v>
      </c>
      <c r="H1503" s="55" t="s">
        <v>360</v>
      </c>
      <c r="I1503" s="55" t="s">
        <v>360</v>
      </c>
      <c r="J1503" s="55" t="s">
        <v>360</v>
      </c>
      <c r="K1503" s="55" t="s">
        <v>360</v>
      </c>
      <c r="L1503" s="55" t="s">
        <v>360</v>
      </c>
      <c r="M1503" s="55" t="s">
        <v>144</v>
      </c>
      <c r="N1503" s="55" t="s">
        <v>144</v>
      </c>
      <c r="O1503" s="55" t="s">
        <v>209</v>
      </c>
      <c r="P1503" s="55" t="s">
        <v>474</v>
      </c>
      <c r="Q1503" s="55" t="s">
        <v>350</v>
      </c>
      <c r="R1503" s="55">
        <v>2</v>
      </c>
      <c r="S1503" s="74"/>
      <c r="T1503" s="55" t="s">
        <v>1638</v>
      </c>
      <c r="U1503" s="73" t="s">
        <v>351</v>
      </c>
      <c r="V1503" s="74">
        <v>44580</v>
      </c>
      <c r="W1503" s="74">
        <v>44650</v>
      </c>
      <c r="X1503" s="55">
        <v>10204554</v>
      </c>
      <c r="Y1503" s="74" t="s">
        <v>130</v>
      </c>
      <c r="Z1503" s="74"/>
      <c r="AB1503" s="55" t="s">
        <v>130</v>
      </c>
      <c r="AC1503" s="55" t="s">
        <v>130</v>
      </c>
    </row>
    <row r="1504" spans="1:29" ht="13" x14ac:dyDescent="0.15">
      <c r="A1504" s="72" t="str">
        <f t="shared" si="23"/>
        <v>Ofsted Social Care Provider Webpage</v>
      </c>
      <c r="B1504" s="55">
        <v>2641888</v>
      </c>
      <c r="D1504" s="55" t="s">
        <v>373</v>
      </c>
      <c r="E1504" s="74">
        <v>44567</v>
      </c>
      <c r="F1504" s="55" t="s">
        <v>344</v>
      </c>
      <c r="G1504" s="55" t="s">
        <v>360</v>
      </c>
      <c r="H1504" s="55" t="s">
        <v>360</v>
      </c>
      <c r="I1504" s="55" t="s">
        <v>360</v>
      </c>
      <c r="J1504" s="55" t="s">
        <v>360</v>
      </c>
      <c r="K1504" s="55" t="s">
        <v>360</v>
      </c>
      <c r="L1504" s="55" t="s">
        <v>360</v>
      </c>
      <c r="M1504" s="55" t="s">
        <v>138</v>
      </c>
      <c r="N1504" s="55" t="s">
        <v>138</v>
      </c>
      <c r="O1504" s="55" t="s">
        <v>224</v>
      </c>
      <c r="P1504" s="55" t="s">
        <v>374</v>
      </c>
      <c r="Q1504" s="55" t="s">
        <v>350</v>
      </c>
      <c r="R1504" s="55">
        <v>5</v>
      </c>
      <c r="S1504" s="74"/>
      <c r="T1504" s="55" t="s">
        <v>2161</v>
      </c>
      <c r="U1504" s="73"/>
      <c r="W1504" s="74"/>
      <c r="Y1504" s="74"/>
      <c r="Z1504" s="74"/>
    </row>
    <row r="1505" spans="1:29" ht="13" x14ac:dyDescent="0.15">
      <c r="A1505" s="72" t="str">
        <f t="shared" si="23"/>
        <v>Ofsted Social Care Provider Webpage</v>
      </c>
      <c r="B1505" s="55">
        <v>2642297</v>
      </c>
      <c r="D1505" s="55" t="s">
        <v>373</v>
      </c>
      <c r="E1505" s="74">
        <v>44413</v>
      </c>
      <c r="F1505" s="55" t="s">
        <v>344</v>
      </c>
      <c r="G1505" s="55" t="s">
        <v>360</v>
      </c>
      <c r="H1505" s="55" t="s">
        <v>360</v>
      </c>
      <c r="I1505" s="55" t="s">
        <v>360</v>
      </c>
      <c r="J1505" s="55" t="s">
        <v>360</v>
      </c>
      <c r="K1505" s="55" t="s">
        <v>360</v>
      </c>
      <c r="L1505" s="55" t="s">
        <v>360</v>
      </c>
      <c r="M1505" s="55" t="s">
        <v>142</v>
      </c>
      <c r="N1505" s="55" t="s">
        <v>142</v>
      </c>
      <c r="O1505" s="55" t="s">
        <v>292</v>
      </c>
      <c r="P1505" s="55" t="s">
        <v>976</v>
      </c>
      <c r="Q1505" s="55" t="s">
        <v>350</v>
      </c>
      <c r="R1505" s="55">
        <v>3</v>
      </c>
      <c r="S1505" s="74"/>
      <c r="T1505" s="55" t="s">
        <v>2194</v>
      </c>
      <c r="U1505" s="73" t="s">
        <v>351</v>
      </c>
      <c r="V1505" s="74">
        <v>44579</v>
      </c>
      <c r="W1505" s="74">
        <v>44656</v>
      </c>
      <c r="X1505" s="55">
        <v>10205493</v>
      </c>
      <c r="Y1505" s="74" t="s">
        <v>130</v>
      </c>
      <c r="Z1505" s="74"/>
      <c r="AB1505" s="55" t="s">
        <v>130</v>
      </c>
      <c r="AC1505" s="55" t="s">
        <v>130</v>
      </c>
    </row>
    <row r="1506" spans="1:29" ht="13" x14ac:dyDescent="0.15">
      <c r="A1506" s="72" t="str">
        <f t="shared" si="23"/>
        <v>Ofsted Social Care Provider Webpage</v>
      </c>
      <c r="B1506" s="55">
        <v>2642399</v>
      </c>
      <c r="D1506" s="55" t="s">
        <v>373</v>
      </c>
      <c r="E1506" s="74">
        <v>44459</v>
      </c>
      <c r="F1506" s="55" t="s">
        <v>344</v>
      </c>
      <c r="G1506" s="55" t="s">
        <v>360</v>
      </c>
      <c r="H1506" s="55" t="s">
        <v>360</v>
      </c>
      <c r="I1506" s="55" t="s">
        <v>360</v>
      </c>
      <c r="J1506" s="55" t="s">
        <v>360</v>
      </c>
      <c r="K1506" s="55" t="s">
        <v>360</v>
      </c>
      <c r="L1506" s="55" t="s">
        <v>360</v>
      </c>
      <c r="M1506" s="55" t="s">
        <v>142</v>
      </c>
      <c r="N1506" s="55" t="s">
        <v>142</v>
      </c>
      <c r="O1506" s="55" t="s">
        <v>262</v>
      </c>
      <c r="P1506" s="55" t="s">
        <v>618</v>
      </c>
      <c r="Q1506" s="55" t="s">
        <v>350</v>
      </c>
      <c r="R1506" s="55">
        <v>2</v>
      </c>
      <c r="S1506" s="74"/>
      <c r="T1506" s="55" t="s">
        <v>517</v>
      </c>
      <c r="U1506" s="73" t="s">
        <v>351</v>
      </c>
      <c r="V1506" s="74">
        <v>44628</v>
      </c>
      <c r="W1506" s="74">
        <v>44677</v>
      </c>
      <c r="X1506" s="55">
        <v>10219484</v>
      </c>
      <c r="Y1506" s="74" t="s">
        <v>130</v>
      </c>
      <c r="Z1506" s="74"/>
      <c r="AB1506" s="55" t="s">
        <v>130</v>
      </c>
      <c r="AC1506" s="55" t="s">
        <v>130</v>
      </c>
    </row>
    <row r="1507" spans="1:29" ht="13" x14ac:dyDescent="0.15">
      <c r="A1507" s="72" t="str">
        <f t="shared" si="23"/>
        <v>Ofsted Social Care Provider Webpage</v>
      </c>
      <c r="B1507" s="55">
        <v>2642400</v>
      </c>
      <c r="D1507" s="55" t="s">
        <v>373</v>
      </c>
      <c r="E1507" s="74">
        <v>44404</v>
      </c>
      <c r="F1507" s="55" t="s">
        <v>344</v>
      </c>
      <c r="G1507" s="55" t="s">
        <v>360</v>
      </c>
      <c r="H1507" s="55" t="s">
        <v>360</v>
      </c>
      <c r="I1507" s="55" t="s">
        <v>360</v>
      </c>
      <c r="J1507" s="55" t="s">
        <v>360</v>
      </c>
      <c r="K1507" s="55" t="s">
        <v>360</v>
      </c>
      <c r="L1507" s="55" t="s">
        <v>360</v>
      </c>
      <c r="M1507" s="55" t="s">
        <v>144</v>
      </c>
      <c r="N1507" s="55" t="s">
        <v>144</v>
      </c>
      <c r="O1507" s="55" t="s">
        <v>209</v>
      </c>
      <c r="P1507" s="55" t="s">
        <v>777</v>
      </c>
      <c r="Q1507" s="55" t="s">
        <v>350</v>
      </c>
      <c r="R1507" s="55">
        <v>1</v>
      </c>
      <c r="S1507" s="74"/>
      <c r="T1507" s="55" t="s">
        <v>1971</v>
      </c>
      <c r="U1507" s="73" t="s">
        <v>351</v>
      </c>
      <c r="V1507" s="74">
        <v>44607</v>
      </c>
      <c r="W1507" s="74">
        <v>44651</v>
      </c>
      <c r="X1507" s="55">
        <v>10210501</v>
      </c>
      <c r="Y1507" s="74" t="s">
        <v>132</v>
      </c>
      <c r="Z1507" s="74"/>
      <c r="AB1507" s="55" t="s">
        <v>132</v>
      </c>
      <c r="AC1507" s="55" t="s">
        <v>132</v>
      </c>
    </row>
    <row r="1508" spans="1:29" ht="13" x14ac:dyDescent="0.15">
      <c r="A1508" s="72" t="str">
        <f t="shared" si="23"/>
        <v>Ofsted Social Care Provider Webpage</v>
      </c>
      <c r="B1508" s="55">
        <v>2642401</v>
      </c>
      <c r="D1508" s="55" t="s">
        <v>373</v>
      </c>
      <c r="E1508" s="74">
        <v>44505</v>
      </c>
      <c r="F1508" s="55" t="s">
        <v>344</v>
      </c>
      <c r="G1508" s="55" t="s">
        <v>360</v>
      </c>
      <c r="H1508" s="55" t="s">
        <v>360</v>
      </c>
      <c r="I1508" s="55" t="s">
        <v>360</v>
      </c>
      <c r="J1508" s="55" t="s">
        <v>360</v>
      </c>
      <c r="K1508" s="55" t="s">
        <v>360</v>
      </c>
      <c r="L1508" s="55" t="s">
        <v>360</v>
      </c>
      <c r="M1508" s="55" t="s">
        <v>144</v>
      </c>
      <c r="N1508" s="55" t="s">
        <v>144</v>
      </c>
      <c r="O1508" s="55" t="s">
        <v>271</v>
      </c>
      <c r="P1508" s="55" t="s">
        <v>870</v>
      </c>
      <c r="Q1508" s="55" t="s">
        <v>350</v>
      </c>
      <c r="R1508" s="55">
        <v>4</v>
      </c>
      <c r="S1508" s="74"/>
      <c r="T1508" s="55" t="s">
        <v>2195</v>
      </c>
      <c r="U1508" s="73"/>
      <c r="W1508" s="74"/>
      <c r="Y1508" s="74"/>
      <c r="Z1508" s="74"/>
    </row>
    <row r="1509" spans="1:29" ht="13" x14ac:dyDescent="0.15">
      <c r="A1509" s="72" t="str">
        <f t="shared" si="23"/>
        <v>Ofsted Social Care Provider Webpage</v>
      </c>
      <c r="B1509" s="55">
        <v>2642423</v>
      </c>
      <c r="D1509" s="55" t="s">
        <v>373</v>
      </c>
      <c r="E1509" s="74">
        <v>44366</v>
      </c>
      <c r="F1509" s="55" t="s">
        <v>344</v>
      </c>
      <c r="G1509" s="55" t="s">
        <v>360</v>
      </c>
      <c r="H1509" s="55" t="s">
        <v>360</v>
      </c>
      <c r="I1509" s="55" t="s">
        <v>360</v>
      </c>
      <c r="J1509" s="55" t="s">
        <v>360</v>
      </c>
      <c r="K1509" s="55" t="s">
        <v>360</v>
      </c>
      <c r="L1509" s="55" t="s">
        <v>360</v>
      </c>
      <c r="M1509" s="55" t="s">
        <v>144</v>
      </c>
      <c r="N1509" s="55" t="s">
        <v>144</v>
      </c>
      <c r="O1509" s="55" t="s">
        <v>168</v>
      </c>
      <c r="P1509" s="55" t="s">
        <v>913</v>
      </c>
      <c r="Q1509" s="55" t="s">
        <v>350</v>
      </c>
      <c r="R1509" s="55">
        <v>3</v>
      </c>
      <c r="S1509" s="74"/>
      <c r="T1509" s="55" t="s">
        <v>915</v>
      </c>
      <c r="U1509" s="73" t="s">
        <v>351</v>
      </c>
      <c r="V1509" s="74">
        <v>44544</v>
      </c>
      <c r="W1509" s="74">
        <v>44589</v>
      </c>
      <c r="X1509" s="55">
        <v>10202035</v>
      </c>
      <c r="Y1509" s="74" t="s">
        <v>132</v>
      </c>
      <c r="Z1509" s="74"/>
      <c r="AB1509" s="55" t="s">
        <v>132</v>
      </c>
      <c r="AC1509" s="55" t="s">
        <v>132</v>
      </c>
    </row>
    <row r="1510" spans="1:29" ht="13" x14ac:dyDescent="0.15">
      <c r="A1510" s="72" t="str">
        <f t="shared" si="23"/>
        <v>Ofsted Social Care Provider Webpage</v>
      </c>
      <c r="B1510" s="55">
        <v>2642537</v>
      </c>
      <c r="D1510" s="55" t="s">
        <v>373</v>
      </c>
      <c r="E1510" s="74">
        <v>44491</v>
      </c>
      <c r="F1510" s="55" t="s">
        <v>344</v>
      </c>
      <c r="G1510" s="55" t="s">
        <v>360</v>
      </c>
      <c r="H1510" s="55" t="s">
        <v>360</v>
      </c>
      <c r="I1510" s="55" t="s">
        <v>360</v>
      </c>
      <c r="J1510" s="55" t="s">
        <v>360</v>
      </c>
      <c r="K1510" s="55" t="s">
        <v>360</v>
      </c>
      <c r="L1510" s="55" t="s">
        <v>360</v>
      </c>
      <c r="M1510" s="55" t="s">
        <v>129</v>
      </c>
      <c r="N1510" s="55" t="s">
        <v>129</v>
      </c>
      <c r="O1510" s="55" t="s">
        <v>213</v>
      </c>
      <c r="P1510" s="55" t="s">
        <v>1020</v>
      </c>
      <c r="Q1510" s="55" t="s">
        <v>350</v>
      </c>
      <c r="R1510" s="55">
        <v>6</v>
      </c>
      <c r="S1510" s="74"/>
      <c r="T1510" s="55" t="s">
        <v>2196</v>
      </c>
      <c r="U1510" s="73"/>
      <c r="W1510" s="74"/>
      <c r="Y1510" s="74"/>
      <c r="Z1510" s="74"/>
    </row>
    <row r="1511" spans="1:29" ht="13" x14ac:dyDescent="0.15">
      <c r="A1511" s="72" t="str">
        <f t="shared" si="23"/>
        <v>Ofsted Social Care Provider Webpage</v>
      </c>
      <c r="B1511" s="55">
        <v>2642570</v>
      </c>
      <c r="D1511" s="55" t="s">
        <v>373</v>
      </c>
      <c r="E1511" s="74">
        <v>44460</v>
      </c>
      <c r="F1511" s="55" t="s">
        <v>344</v>
      </c>
      <c r="G1511" s="55" t="s">
        <v>360</v>
      </c>
      <c r="H1511" s="55" t="s">
        <v>360</v>
      </c>
      <c r="I1511" s="55" t="s">
        <v>360</v>
      </c>
      <c r="J1511" s="55" t="s">
        <v>360</v>
      </c>
      <c r="K1511" s="55" t="s">
        <v>360</v>
      </c>
      <c r="L1511" s="55" t="s">
        <v>360</v>
      </c>
      <c r="M1511" s="55" t="s">
        <v>172</v>
      </c>
      <c r="N1511" s="55" t="s">
        <v>172</v>
      </c>
      <c r="O1511" s="55" t="s">
        <v>212</v>
      </c>
      <c r="P1511" s="55" t="s">
        <v>842</v>
      </c>
      <c r="Q1511" s="55" t="s">
        <v>350</v>
      </c>
      <c r="R1511" s="55">
        <v>3</v>
      </c>
      <c r="S1511" s="74"/>
      <c r="T1511" s="55" t="s">
        <v>950</v>
      </c>
      <c r="U1511" s="73" t="s">
        <v>351</v>
      </c>
      <c r="V1511" s="74">
        <v>44607</v>
      </c>
      <c r="W1511" s="74">
        <v>44651</v>
      </c>
      <c r="X1511" s="55">
        <v>10207559</v>
      </c>
      <c r="Y1511" s="74" t="s">
        <v>132</v>
      </c>
      <c r="Z1511" s="74"/>
      <c r="AB1511" s="55" t="s">
        <v>130</v>
      </c>
      <c r="AC1511" s="55" t="s">
        <v>130</v>
      </c>
    </row>
    <row r="1512" spans="1:29" ht="13" x14ac:dyDescent="0.15">
      <c r="A1512" s="72" t="str">
        <f t="shared" si="23"/>
        <v>Ofsted Social Care Provider Webpage</v>
      </c>
      <c r="B1512" s="55">
        <v>2642643</v>
      </c>
      <c r="D1512" s="55" t="s">
        <v>373</v>
      </c>
      <c r="E1512" s="74">
        <v>44330</v>
      </c>
      <c r="F1512" s="55" t="s">
        <v>344</v>
      </c>
      <c r="G1512" s="55" t="s">
        <v>360</v>
      </c>
      <c r="H1512" s="55" t="s">
        <v>360</v>
      </c>
      <c r="I1512" s="55" t="s">
        <v>360</v>
      </c>
      <c r="J1512" s="55" t="s">
        <v>360</v>
      </c>
      <c r="K1512" s="55" t="s">
        <v>360</v>
      </c>
      <c r="L1512" s="55" t="s">
        <v>360</v>
      </c>
      <c r="M1512" s="55" t="s">
        <v>172</v>
      </c>
      <c r="N1512" s="55" t="s">
        <v>172</v>
      </c>
      <c r="O1512" s="55" t="s">
        <v>173</v>
      </c>
      <c r="P1512" s="55" t="s">
        <v>1069</v>
      </c>
      <c r="Q1512" s="55" t="s">
        <v>380</v>
      </c>
      <c r="R1512" s="55">
        <v>4</v>
      </c>
      <c r="S1512" s="74"/>
      <c r="T1512" s="55" t="s">
        <v>1431</v>
      </c>
      <c r="U1512" s="73" t="s">
        <v>351</v>
      </c>
      <c r="V1512" s="74">
        <v>44628</v>
      </c>
      <c r="W1512" s="74">
        <v>44665</v>
      </c>
      <c r="X1512" s="55">
        <v>10209375</v>
      </c>
      <c r="Y1512" s="74" t="s">
        <v>132</v>
      </c>
      <c r="Z1512" s="74"/>
      <c r="AB1512" s="55" t="s">
        <v>132</v>
      </c>
      <c r="AC1512" s="55" t="s">
        <v>132</v>
      </c>
    </row>
    <row r="1513" spans="1:29" ht="13" x14ac:dyDescent="0.15">
      <c r="A1513" s="72" t="str">
        <f t="shared" si="23"/>
        <v>Ofsted Social Care Provider Webpage</v>
      </c>
      <c r="B1513" s="55">
        <v>2642842</v>
      </c>
      <c r="D1513" s="55" t="s">
        <v>373</v>
      </c>
      <c r="E1513" s="74">
        <v>44371</v>
      </c>
      <c r="F1513" s="55" t="s">
        <v>344</v>
      </c>
      <c r="G1513" s="55" t="s">
        <v>360</v>
      </c>
      <c r="H1513" s="55" t="s">
        <v>360</v>
      </c>
      <c r="I1513" s="55" t="s">
        <v>360</v>
      </c>
      <c r="J1513" s="55" t="s">
        <v>360</v>
      </c>
      <c r="K1513" s="55" t="s">
        <v>360</v>
      </c>
      <c r="L1513" s="55" t="s">
        <v>360</v>
      </c>
      <c r="M1513" s="55" t="s">
        <v>136</v>
      </c>
      <c r="N1513" s="55" t="s">
        <v>136</v>
      </c>
      <c r="O1513" s="55" t="s">
        <v>255</v>
      </c>
      <c r="P1513" s="55" t="s">
        <v>583</v>
      </c>
      <c r="Q1513" s="55" t="s">
        <v>350</v>
      </c>
      <c r="R1513" s="55">
        <v>3</v>
      </c>
      <c r="S1513" s="74"/>
      <c r="T1513" s="55" t="s">
        <v>2197</v>
      </c>
      <c r="U1513" s="73" t="s">
        <v>351</v>
      </c>
      <c r="V1513" s="74">
        <v>44585</v>
      </c>
      <c r="W1513" s="74">
        <v>44630</v>
      </c>
      <c r="X1513" s="55">
        <v>10209505</v>
      </c>
      <c r="Y1513" s="74" t="s">
        <v>132</v>
      </c>
      <c r="Z1513" s="74"/>
      <c r="AB1513" s="55" t="s">
        <v>132</v>
      </c>
      <c r="AC1513" s="55" t="s">
        <v>132</v>
      </c>
    </row>
    <row r="1514" spans="1:29" ht="13" x14ac:dyDescent="0.15">
      <c r="A1514" s="72" t="str">
        <f t="shared" si="23"/>
        <v>Ofsted Social Care Provider Webpage</v>
      </c>
      <c r="B1514" s="55">
        <v>2643337</v>
      </c>
      <c r="D1514" s="55" t="s">
        <v>443</v>
      </c>
      <c r="E1514" s="74">
        <v>44576</v>
      </c>
      <c r="F1514" s="55" t="s">
        <v>344</v>
      </c>
      <c r="G1514" s="55" t="s">
        <v>2198</v>
      </c>
      <c r="H1514" s="55" t="s">
        <v>2199</v>
      </c>
      <c r="I1514" s="55" t="s">
        <v>2200</v>
      </c>
      <c r="J1514" s="55" t="s">
        <v>2201</v>
      </c>
      <c r="L1514" s="55" t="s">
        <v>2202</v>
      </c>
      <c r="M1514" s="55" t="s">
        <v>138</v>
      </c>
      <c r="N1514" s="55" t="s">
        <v>138</v>
      </c>
      <c r="O1514" s="55" t="s">
        <v>273</v>
      </c>
      <c r="P1514" s="55" t="s">
        <v>273</v>
      </c>
      <c r="Q1514" s="55" t="s">
        <v>350</v>
      </c>
      <c r="R1514" s="55"/>
      <c r="S1514" s="74"/>
      <c r="T1514" s="55" t="s">
        <v>2203</v>
      </c>
      <c r="U1514" s="73"/>
      <c r="W1514" s="74"/>
      <c r="Y1514" s="74"/>
      <c r="Z1514" s="74"/>
    </row>
    <row r="1515" spans="1:29" ht="13" x14ac:dyDescent="0.15">
      <c r="A1515" s="72" t="str">
        <f t="shared" si="23"/>
        <v>Ofsted Social Care Provider Webpage</v>
      </c>
      <c r="B1515" s="55">
        <v>2643338</v>
      </c>
      <c r="D1515" s="55" t="s">
        <v>373</v>
      </c>
      <c r="E1515" s="74">
        <v>44481</v>
      </c>
      <c r="F1515" s="55" t="s">
        <v>344</v>
      </c>
      <c r="G1515" s="55" t="s">
        <v>360</v>
      </c>
      <c r="H1515" s="55" t="s">
        <v>360</v>
      </c>
      <c r="I1515" s="55" t="s">
        <v>360</v>
      </c>
      <c r="J1515" s="55" t="s">
        <v>360</v>
      </c>
      <c r="K1515" s="55" t="s">
        <v>360</v>
      </c>
      <c r="L1515" s="55" t="s">
        <v>360</v>
      </c>
      <c r="M1515" s="55" t="s">
        <v>144</v>
      </c>
      <c r="N1515" s="55" t="s">
        <v>144</v>
      </c>
      <c r="O1515" s="55" t="s">
        <v>236</v>
      </c>
      <c r="P1515" s="55" t="s">
        <v>2088</v>
      </c>
      <c r="Q1515" s="55" t="s">
        <v>350</v>
      </c>
      <c r="R1515" s="55">
        <v>3</v>
      </c>
      <c r="S1515" s="74"/>
      <c r="T1515" s="55" t="s">
        <v>2204</v>
      </c>
      <c r="U1515" s="73"/>
      <c r="W1515" s="74"/>
      <c r="Y1515" s="74"/>
      <c r="Z1515" s="74"/>
    </row>
    <row r="1516" spans="1:29" ht="13" x14ac:dyDescent="0.15">
      <c r="A1516" s="72" t="str">
        <f t="shared" si="23"/>
        <v>Ofsted Social Care Provider Webpage</v>
      </c>
      <c r="B1516" s="55">
        <v>2643361</v>
      </c>
      <c r="D1516" s="55" t="s">
        <v>373</v>
      </c>
      <c r="E1516" s="74">
        <v>44550</v>
      </c>
      <c r="F1516" s="55" t="s">
        <v>344</v>
      </c>
      <c r="G1516" s="55" t="s">
        <v>360</v>
      </c>
      <c r="H1516" s="55" t="s">
        <v>360</v>
      </c>
      <c r="I1516" s="55" t="s">
        <v>360</v>
      </c>
      <c r="J1516" s="55" t="s">
        <v>360</v>
      </c>
      <c r="K1516" s="55" t="s">
        <v>360</v>
      </c>
      <c r="L1516" s="55" t="s">
        <v>360</v>
      </c>
      <c r="M1516" s="55" t="s">
        <v>129</v>
      </c>
      <c r="N1516" s="55" t="s">
        <v>129</v>
      </c>
      <c r="O1516" s="55" t="s">
        <v>182</v>
      </c>
      <c r="P1516" s="55" t="s">
        <v>1660</v>
      </c>
      <c r="Q1516" s="55" t="s">
        <v>350</v>
      </c>
      <c r="R1516" s="55">
        <v>3</v>
      </c>
      <c r="S1516" s="74"/>
      <c r="T1516" s="55" t="s">
        <v>2205</v>
      </c>
      <c r="U1516" s="73"/>
      <c r="W1516" s="74"/>
      <c r="Y1516" s="74"/>
      <c r="Z1516" s="74"/>
    </row>
    <row r="1517" spans="1:29" ht="13" x14ac:dyDescent="0.15">
      <c r="A1517" s="72" t="str">
        <f t="shared" si="23"/>
        <v>Ofsted Social Care Provider Webpage</v>
      </c>
      <c r="B1517" s="55">
        <v>2643362</v>
      </c>
      <c r="D1517" s="55" t="s">
        <v>373</v>
      </c>
      <c r="E1517" s="74">
        <v>44488</v>
      </c>
      <c r="F1517" s="55" t="s">
        <v>344</v>
      </c>
      <c r="G1517" s="55" t="s">
        <v>360</v>
      </c>
      <c r="H1517" s="55" t="s">
        <v>360</v>
      </c>
      <c r="I1517" s="55" t="s">
        <v>360</v>
      </c>
      <c r="J1517" s="55" t="s">
        <v>360</v>
      </c>
      <c r="K1517" s="55" t="s">
        <v>360</v>
      </c>
      <c r="L1517" s="55" t="s">
        <v>360</v>
      </c>
      <c r="M1517" s="55" t="s">
        <v>136</v>
      </c>
      <c r="N1517" s="55" t="s">
        <v>136</v>
      </c>
      <c r="O1517" s="55" t="s">
        <v>255</v>
      </c>
      <c r="P1517" s="55" t="s">
        <v>757</v>
      </c>
      <c r="Q1517" s="55" t="s">
        <v>350</v>
      </c>
      <c r="R1517" s="55">
        <v>1</v>
      </c>
      <c r="S1517" s="74"/>
      <c r="T1517" s="55" t="s">
        <v>385</v>
      </c>
      <c r="U1517" s="73"/>
      <c r="W1517" s="74"/>
      <c r="Y1517" s="74"/>
      <c r="Z1517" s="74"/>
    </row>
    <row r="1518" spans="1:29" ht="13" x14ac:dyDescent="0.15">
      <c r="A1518" s="72" t="str">
        <f t="shared" si="23"/>
        <v>Ofsted Social Care Provider Webpage</v>
      </c>
      <c r="B1518" s="55">
        <v>2643390</v>
      </c>
      <c r="D1518" s="55" t="s">
        <v>373</v>
      </c>
      <c r="E1518" s="74">
        <v>44446</v>
      </c>
      <c r="F1518" s="55" t="s">
        <v>344</v>
      </c>
      <c r="G1518" s="55" t="s">
        <v>360</v>
      </c>
      <c r="H1518" s="55" t="s">
        <v>360</v>
      </c>
      <c r="I1518" s="55" t="s">
        <v>360</v>
      </c>
      <c r="J1518" s="55" t="s">
        <v>360</v>
      </c>
      <c r="K1518" s="55" t="s">
        <v>360</v>
      </c>
      <c r="L1518" s="55" t="s">
        <v>360</v>
      </c>
      <c r="M1518" s="55" t="s">
        <v>136</v>
      </c>
      <c r="N1518" s="55" t="s">
        <v>136</v>
      </c>
      <c r="O1518" s="55" t="s">
        <v>705</v>
      </c>
      <c r="P1518" s="55" t="s">
        <v>706</v>
      </c>
      <c r="Q1518" s="55" t="s">
        <v>350</v>
      </c>
      <c r="R1518" s="55">
        <v>2</v>
      </c>
      <c r="S1518" s="74"/>
      <c r="T1518" s="55" t="s">
        <v>2047</v>
      </c>
      <c r="U1518" s="73" t="s">
        <v>351</v>
      </c>
      <c r="V1518" s="74">
        <v>44629</v>
      </c>
      <c r="W1518" s="74">
        <v>44672</v>
      </c>
      <c r="X1518" s="55">
        <v>10209362</v>
      </c>
      <c r="Y1518" s="74" t="s">
        <v>130</v>
      </c>
      <c r="Z1518" s="74"/>
      <c r="AB1518" s="55" t="s">
        <v>130</v>
      </c>
      <c r="AC1518" s="55" t="s">
        <v>130</v>
      </c>
    </row>
    <row r="1519" spans="1:29" ht="13" x14ac:dyDescent="0.15">
      <c r="A1519" s="72" t="str">
        <f t="shared" si="23"/>
        <v>Ofsted Social Care Provider Webpage</v>
      </c>
      <c r="B1519" s="55">
        <v>2643709</v>
      </c>
      <c r="D1519" s="55" t="s">
        <v>373</v>
      </c>
      <c r="E1519" s="74">
        <v>44544</v>
      </c>
      <c r="F1519" s="55" t="s">
        <v>344</v>
      </c>
      <c r="G1519" s="55" t="s">
        <v>360</v>
      </c>
      <c r="H1519" s="55" t="s">
        <v>360</v>
      </c>
      <c r="I1519" s="55" t="s">
        <v>360</v>
      </c>
      <c r="J1519" s="55" t="s">
        <v>360</v>
      </c>
      <c r="K1519" s="55" t="s">
        <v>360</v>
      </c>
      <c r="L1519" s="55" t="s">
        <v>360</v>
      </c>
      <c r="M1519" s="55" t="s">
        <v>138</v>
      </c>
      <c r="N1519" s="55" t="s">
        <v>138</v>
      </c>
      <c r="O1519" s="55" t="s">
        <v>137</v>
      </c>
      <c r="P1519" s="55" t="s">
        <v>137</v>
      </c>
      <c r="Q1519" s="55" t="s">
        <v>350</v>
      </c>
      <c r="R1519" s="55">
        <v>3</v>
      </c>
      <c r="S1519" s="74"/>
      <c r="T1519" s="55" t="s">
        <v>2206</v>
      </c>
      <c r="U1519" s="73"/>
      <c r="W1519" s="74"/>
      <c r="Y1519" s="74"/>
      <c r="Z1519" s="74"/>
    </row>
    <row r="1520" spans="1:29" ht="13" x14ac:dyDescent="0.15">
      <c r="A1520" s="72" t="str">
        <f t="shared" si="23"/>
        <v>Ofsted Social Care Provider Webpage</v>
      </c>
      <c r="B1520" s="55">
        <v>2644080</v>
      </c>
      <c r="C1520" s="55">
        <v>115469</v>
      </c>
      <c r="D1520" s="55" t="s">
        <v>413</v>
      </c>
      <c r="E1520" s="74">
        <v>44336</v>
      </c>
      <c r="F1520" s="55" t="s">
        <v>344</v>
      </c>
      <c r="G1520" s="55" t="s">
        <v>2207</v>
      </c>
      <c r="H1520" s="55" t="s">
        <v>2208</v>
      </c>
      <c r="I1520" s="55" t="s">
        <v>2209</v>
      </c>
      <c r="J1520" s="55" t="s">
        <v>2210</v>
      </c>
      <c r="K1520" s="55" t="s">
        <v>183</v>
      </c>
      <c r="L1520" s="55" t="s">
        <v>2211</v>
      </c>
      <c r="M1520" s="55" t="s">
        <v>138</v>
      </c>
      <c r="N1520" s="55" t="s">
        <v>138</v>
      </c>
      <c r="O1520" s="55" t="s">
        <v>183</v>
      </c>
      <c r="P1520" s="55" t="s">
        <v>2051</v>
      </c>
      <c r="Q1520" s="55" t="s">
        <v>350</v>
      </c>
      <c r="R1520" s="55">
        <v>20</v>
      </c>
      <c r="S1520" s="74"/>
      <c r="U1520" s="73"/>
      <c r="W1520" s="74"/>
      <c r="Y1520" s="74"/>
      <c r="Z1520" s="74"/>
    </row>
    <row r="1521" spans="1:29" ht="13" x14ac:dyDescent="0.15">
      <c r="A1521" s="72" t="str">
        <f t="shared" si="23"/>
        <v>Ofsted Social Care Provider Webpage</v>
      </c>
      <c r="B1521" s="55">
        <v>2644282</v>
      </c>
      <c r="D1521" s="55" t="s">
        <v>373</v>
      </c>
      <c r="E1521" s="74">
        <v>44357</v>
      </c>
      <c r="F1521" s="55" t="s">
        <v>344</v>
      </c>
      <c r="G1521" s="55" t="s">
        <v>360</v>
      </c>
      <c r="H1521" s="55" t="s">
        <v>360</v>
      </c>
      <c r="I1521" s="55" t="s">
        <v>360</v>
      </c>
      <c r="J1521" s="55" t="s">
        <v>360</v>
      </c>
      <c r="K1521" s="55" t="s">
        <v>360</v>
      </c>
      <c r="L1521" s="55" t="s">
        <v>360</v>
      </c>
      <c r="M1521" s="55" t="s">
        <v>129</v>
      </c>
      <c r="N1521" s="55" t="s">
        <v>129</v>
      </c>
      <c r="O1521" s="55" t="s">
        <v>275</v>
      </c>
      <c r="P1521" s="55" t="s">
        <v>2212</v>
      </c>
      <c r="Q1521" s="55" t="s">
        <v>362</v>
      </c>
      <c r="R1521" s="55">
        <v>5</v>
      </c>
      <c r="S1521" s="74"/>
      <c r="T1521" s="55" t="s">
        <v>2213</v>
      </c>
      <c r="U1521" s="73"/>
      <c r="W1521" s="74"/>
      <c r="Y1521" s="74"/>
      <c r="Z1521" s="74"/>
    </row>
    <row r="1522" spans="1:29" ht="13" x14ac:dyDescent="0.15">
      <c r="A1522" s="72" t="str">
        <f t="shared" si="23"/>
        <v>Ofsted Social Care Provider Webpage</v>
      </c>
      <c r="B1522" s="55">
        <v>2644456</v>
      </c>
      <c r="D1522" s="55" t="s">
        <v>373</v>
      </c>
      <c r="E1522" s="74">
        <v>44456</v>
      </c>
      <c r="F1522" s="55" t="s">
        <v>344</v>
      </c>
      <c r="G1522" s="55" t="s">
        <v>360</v>
      </c>
      <c r="H1522" s="55" t="s">
        <v>360</v>
      </c>
      <c r="I1522" s="55" t="s">
        <v>360</v>
      </c>
      <c r="J1522" s="55" t="s">
        <v>360</v>
      </c>
      <c r="K1522" s="55" t="s">
        <v>360</v>
      </c>
      <c r="L1522" s="55" t="s">
        <v>360</v>
      </c>
      <c r="M1522" s="55" t="s">
        <v>138</v>
      </c>
      <c r="N1522" s="55" t="s">
        <v>138</v>
      </c>
      <c r="O1522" s="55" t="s">
        <v>159</v>
      </c>
      <c r="P1522" s="55" t="s">
        <v>1025</v>
      </c>
      <c r="Q1522" s="55" t="s">
        <v>350</v>
      </c>
      <c r="R1522" s="55">
        <v>4</v>
      </c>
      <c r="S1522" s="74"/>
      <c r="T1522" s="55" t="s">
        <v>1676</v>
      </c>
      <c r="U1522" s="73" t="s">
        <v>351</v>
      </c>
      <c r="V1522" s="74">
        <v>44566</v>
      </c>
      <c r="W1522" s="74">
        <v>44588</v>
      </c>
      <c r="X1522" s="55">
        <v>10209738</v>
      </c>
      <c r="Y1522" s="74" t="s">
        <v>132</v>
      </c>
      <c r="Z1522" s="74"/>
      <c r="AB1522" s="55" t="s">
        <v>132</v>
      </c>
      <c r="AC1522" s="55" t="s">
        <v>132</v>
      </c>
    </row>
    <row r="1523" spans="1:29" ht="13" x14ac:dyDescent="0.15">
      <c r="A1523" s="72" t="str">
        <f t="shared" si="23"/>
        <v>Ofsted Social Care Provider Webpage</v>
      </c>
      <c r="B1523" s="55">
        <v>2644474</v>
      </c>
      <c r="D1523" s="55" t="s">
        <v>373</v>
      </c>
      <c r="E1523" s="74">
        <v>44637</v>
      </c>
      <c r="F1523" s="55" t="s">
        <v>344</v>
      </c>
      <c r="G1523" s="55" t="s">
        <v>360</v>
      </c>
      <c r="H1523" s="55" t="s">
        <v>360</v>
      </c>
      <c r="I1523" s="55" t="s">
        <v>360</v>
      </c>
      <c r="J1523" s="55" t="s">
        <v>360</v>
      </c>
      <c r="K1523" s="55" t="s">
        <v>360</v>
      </c>
      <c r="L1523" s="55" t="s">
        <v>360</v>
      </c>
      <c r="M1523" s="55" t="s">
        <v>142</v>
      </c>
      <c r="N1523" s="55" t="s">
        <v>142</v>
      </c>
      <c r="O1523" s="55" t="s">
        <v>141</v>
      </c>
      <c r="P1523" s="55" t="s">
        <v>1226</v>
      </c>
      <c r="Q1523" s="55" t="s">
        <v>350</v>
      </c>
      <c r="R1523" s="55">
        <v>3</v>
      </c>
      <c r="S1523" s="74"/>
      <c r="T1523" s="55" t="s">
        <v>1636</v>
      </c>
      <c r="U1523" s="73"/>
      <c r="W1523" s="74"/>
      <c r="Y1523" s="74"/>
      <c r="Z1523" s="74"/>
    </row>
    <row r="1524" spans="1:29" ht="13" x14ac:dyDescent="0.15">
      <c r="A1524" s="72" t="str">
        <f t="shared" si="23"/>
        <v>Ofsted Social Care Provider Webpage</v>
      </c>
      <c r="B1524" s="55">
        <v>2644536</v>
      </c>
      <c r="C1524" s="55">
        <v>148572</v>
      </c>
      <c r="D1524" s="55" t="s">
        <v>413</v>
      </c>
      <c r="E1524" s="74">
        <v>44453</v>
      </c>
      <c r="F1524" s="55" t="s">
        <v>344</v>
      </c>
      <c r="G1524" s="55" t="s">
        <v>2214</v>
      </c>
      <c r="H1524" s="55" t="s">
        <v>2215</v>
      </c>
      <c r="I1524" s="55" t="s">
        <v>354</v>
      </c>
      <c r="J1524" s="55" t="s">
        <v>2176</v>
      </c>
      <c r="K1524" s="55" t="s">
        <v>224</v>
      </c>
      <c r="L1524" s="55" t="s">
        <v>2216</v>
      </c>
      <c r="M1524" s="55" t="s">
        <v>138</v>
      </c>
      <c r="N1524" s="55" t="s">
        <v>138</v>
      </c>
      <c r="O1524" s="55" t="s">
        <v>224</v>
      </c>
      <c r="P1524" s="55" t="s">
        <v>2176</v>
      </c>
      <c r="Q1524" s="55" t="s">
        <v>350</v>
      </c>
      <c r="R1524" s="55">
        <v>32</v>
      </c>
      <c r="S1524" s="74"/>
      <c r="T1524" s="55" t="s">
        <v>2217</v>
      </c>
      <c r="U1524" s="73"/>
      <c r="W1524" s="74"/>
      <c r="Y1524" s="74"/>
      <c r="Z1524" s="74"/>
    </row>
    <row r="1525" spans="1:29" ht="13" x14ac:dyDescent="0.15">
      <c r="A1525" s="72" t="str">
        <f t="shared" si="23"/>
        <v>Ofsted Social Care Provider Webpage</v>
      </c>
      <c r="B1525" s="55">
        <v>2644925</v>
      </c>
      <c r="D1525" s="55" t="s">
        <v>373</v>
      </c>
      <c r="E1525" s="74">
        <v>44509</v>
      </c>
      <c r="F1525" s="55" t="s">
        <v>344</v>
      </c>
      <c r="G1525" s="55" t="s">
        <v>360</v>
      </c>
      <c r="H1525" s="55" t="s">
        <v>360</v>
      </c>
      <c r="I1525" s="55" t="s">
        <v>360</v>
      </c>
      <c r="J1525" s="55" t="s">
        <v>360</v>
      </c>
      <c r="K1525" s="55" t="s">
        <v>360</v>
      </c>
      <c r="L1525" s="55" t="s">
        <v>360</v>
      </c>
      <c r="M1525" s="55" t="s">
        <v>144</v>
      </c>
      <c r="N1525" s="55" t="s">
        <v>144</v>
      </c>
      <c r="O1525" s="55" t="s">
        <v>209</v>
      </c>
      <c r="P1525" s="55" t="s">
        <v>736</v>
      </c>
      <c r="Q1525" s="55" t="s">
        <v>350</v>
      </c>
      <c r="R1525" s="55">
        <v>4</v>
      </c>
      <c r="S1525" s="74"/>
      <c r="T1525" s="55" t="s">
        <v>598</v>
      </c>
      <c r="U1525" s="73"/>
      <c r="W1525" s="74"/>
      <c r="Y1525" s="74"/>
      <c r="Z1525" s="74"/>
    </row>
    <row r="1526" spans="1:29" ht="13" x14ac:dyDescent="0.15">
      <c r="A1526" s="72" t="str">
        <f t="shared" si="23"/>
        <v>Ofsted Social Care Provider Webpage</v>
      </c>
      <c r="B1526" s="55">
        <v>2645038</v>
      </c>
      <c r="D1526" s="55" t="s">
        <v>373</v>
      </c>
      <c r="E1526" s="74">
        <v>44481</v>
      </c>
      <c r="F1526" s="55" t="s">
        <v>344</v>
      </c>
      <c r="G1526" s="55" t="s">
        <v>360</v>
      </c>
      <c r="H1526" s="55" t="s">
        <v>360</v>
      </c>
      <c r="I1526" s="55" t="s">
        <v>360</v>
      </c>
      <c r="J1526" s="55" t="s">
        <v>360</v>
      </c>
      <c r="K1526" s="55" t="s">
        <v>360</v>
      </c>
      <c r="L1526" s="55" t="s">
        <v>360</v>
      </c>
      <c r="M1526" s="55" t="s">
        <v>129</v>
      </c>
      <c r="N1526" s="55" t="s">
        <v>129</v>
      </c>
      <c r="O1526" s="55" t="s">
        <v>242</v>
      </c>
      <c r="P1526" s="55" t="s">
        <v>1192</v>
      </c>
      <c r="Q1526" s="55" t="s">
        <v>350</v>
      </c>
      <c r="R1526" s="55">
        <v>5</v>
      </c>
      <c r="S1526" s="74"/>
      <c r="T1526" s="55" t="s">
        <v>2218</v>
      </c>
      <c r="U1526" s="73"/>
      <c r="W1526" s="74"/>
      <c r="Y1526" s="74"/>
      <c r="Z1526" s="74"/>
    </row>
    <row r="1527" spans="1:29" ht="13" x14ac:dyDescent="0.15">
      <c r="A1527" s="72" t="str">
        <f t="shared" si="23"/>
        <v>Ofsted Social Care Provider Webpage</v>
      </c>
      <c r="B1527" s="55">
        <v>2645098</v>
      </c>
      <c r="D1527" s="55" t="s">
        <v>373</v>
      </c>
      <c r="E1527" s="74">
        <v>44505</v>
      </c>
      <c r="F1527" s="55" t="s">
        <v>344</v>
      </c>
      <c r="G1527" s="55" t="s">
        <v>360</v>
      </c>
      <c r="H1527" s="55" t="s">
        <v>360</v>
      </c>
      <c r="I1527" s="55" t="s">
        <v>360</v>
      </c>
      <c r="J1527" s="55" t="s">
        <v>360</v>
      </c>
      <c r="K1527" s="55" t="s">
        <v>360</v>
      </c>
      <c r="L1527" s="55" t="s">
        <v>360</v>
      </c>
      <c r="M1527" s="55" t="s">
        <v>172</v>
      </c>
      <c r="N1527" s="55" t="s">
        <v>172</v>
      </c>
      <c r="O1527" s="55" t="s">
        <v>228</v>
      </c>
      <c r="P1527" s="55" t="s">
        <v>423</v>
      </c>
      <c r="Q1527" s="55" t="s">
        <v>350</v>
      </c>
      <c r="R1527" s="55">
        <v>1</v>
      </c>
      <c r="S1527" s="74"/>
      <c r="T1527" s="55" t="s">
        <v>1366</v>
      </c>
      <c r="U1527" s="73"/>
      <c r="W1527" s="74"/>
      <c r="Y1527" s="74"/>
      <c r="Z1527" s="74"/>
    </row>
    <row r="1528" spans="1:29" ht="13" x14ac:dyDescent="0.15">
      <c r="A1528" s="72" t="str">
        <f t="shared" si="23"/>
        <v>Ofsted Social Care Provider Webpage</v>
      </c>
      <c r="B1528" s="55">
        <v>2645163</v>
      </c>
      <c r="D1528" s="55" t="s">
        <v>373</v>
      </c>
      <c r="E1528" s="74">
        <v>44426</v>
      </c>
      <c r="F1528" s="55" t="s">
        <v>344</v>
      </c>
      <c r="G1528" s="55" t="s">
        <v>360</v>
      </c>
      <c r="H1528" s="55" t="s">
        <v>360</v>
      </c>
      <c r="I1528" s="55" t="s">
        <v>360</v>
      </c>
      <c r="J1528" s="55" t="s">
        <v>360</v>
      </c>
      <c r="K1528" s="55" t="s">
        <v>360</v>
      </c>
      <c r="L1528" s="55" t="s">
        <v>360</v>
      </c>
      <c r="M1528" s="55" t="s">
        <v>129</v>
      </c>
      <c r="N1528" s="55" t="s">
        <v>129</v>
      </c>
      <c r="O1528" s="55" t="s">
        <v>205</v>
      </c>
      <c r="P1528" s="55" t="s">
        <v>1312</v>
      </c>
      <c r="Q1528" s="55" t="s">
        <v>350</v>
      </c>
      <c r="R1528" s="55">
        <v>7</v>
      </c>
      <c r="S1528" s="74" t="s">
        <v>332</v>
      </c>
      <c r="T1528" s="55" t="s">
        <v>2219</v>
      </c>
      <c r="U1528" s="73" t="s">
        <v>351</v>
      </c>
      <c r="V1528" s="74">
        <v>44600</v>
      </c>
      <c r="W1528" s="74">
        <v>44643</v>
      </c>
      <c r="X1528" s="55">
        <v>10209677</v>
      </c>
      <c r="Y1528" s="74" t="s">
        <v>132</v>
      </c>
      <c r="Z1528" s="74"/>
      <c r="AB1528" s="55" t="s">
        <v>132</v>
      </c>
      <c r="AC1528" s="55" t="s">
        <v>132</v>
      </c>
    </row>
    <row r="1529" spans="1:29" ht="13" x14ac:dyDescent="0.15">
      <c r="A1529" s="72" t="str">
        <f t="shared" si="23"/>
        <v>Ofsted Social Care Provider Webpage</v>
      </c>
      <c r="B1529" s="55">
        <v>2645184</v>
      </c>
      <c r="D1529" s="55" t="s">
        <v>373</v>
      </c>
      <c r="E1529" s="74">
        <v>44425</v>
      </c>
      <c r="F1529" s="55" t="s">
        <v>344</v>
      </c>
      <c r="G1529" s="55" t="s">
        <v>360</v>
      </c>
      <c r="H1529" s="55" t="s">
        <v>360</v>
      </c>
      <c r="I1529" s="55" t="s">
        <v>360</v>
      </c>
      <c r="J1529" s="55" t="s">
        <v>360</v>
      </c>
      <c r="K1529" s="55" t="s">
        <v>360</v>
      </c>
      <c r="L1529" s="55" t="s">
        <v>360</v>
      </c>
      <c r="M1529" s="55" t="s">
        <v>144</v>
      </c>
      <c r="N1529" s="55" t="s">
        <v>144</v>
      </c>
      <c r="O1529" s="55" t="s">
        <v>209</v>
      </c>
      <c r="P1529" s="55" t="s">
        <v>545</v>
      </c>
      <c r="Q1529" s="55" t="s">
        <v>350</v>
      </c>
      <c r="R1529" s="55">
        <v>4</v>
      </c>
      <c r="S1529" s="74"/>
      <c r="T1529" s="55" t="s">
        <v>489</v>
      </c>
      <c r="U1529" s="73" t="s">
        <v>351</v>
      </c>
      <c r="V1529" s="74">
        <v>44580</v>
      </c>
      <c r="W1529" s="74">
        <v>44616</v>
      </c>
      <c r="X1529" s="55">
        <v>10210504</v>
      </c>
      <c r="Y1529" s="74" t="s">
        <v>132</v>
      </c>
      <c r="Z1529" s="74"/>
      <c r="AB1529" s="55" t="s">
        <v>132</v>
      </c>
      <c r="AC1529" s="55" t="s">
        <v>132</v>
      </c>
    </row>
    <row r="1530" spans="1:29" ht="13" x14ac:dyDescent="0.15">
      <c r="A1530" s="72" t="str">
        <f t="shared" si="23"/>
        <v>Ofsted Social Care Provider Webpage</v>
      </c>
      <c r="B1530" s="55">
        <v>2645199</v>
      </c>
      <c r="D1530" s="55" t="s">
        <v>373</v>
      </c>
      <c r="E1530" s="74">
        <v>44449</v>
      </c>
      <c r="F1530" s="55" t="s">
        <v>344</v>
      </c>
      <c r="G1530" s="55" t="s">
        <v>360</v>
      </c>
      <c r="H1530" s="55" t="s">
        <v>360</v>
      </c>
      <c r="I1530" s="55" t="s">
        <v>360</v>
      </c>
      <c r="J1530" s="55" t="s">
        <v>360</v>
      </c>
      <c r="K1530" s="55" t="s">
        <v>360</v>
      </c>
      <c r="L1530" s="55" t="s">
        <v>360</v>
      </c>
      <c r="M1530" s="55" t="s">
        <v>150</v>
      </c>
      <c r="N1530" s="55" t="s">
        <v>150</v>
      </c>
      <c r="O1530" s="55" t="s">
        <v>258</v>
      </c>
      <c r="P1530" s="55" t="s">
        <v>2220</v>
      </c>
      <c r="Q1530" s="55" t="s">
        <v>350</v>
      </c>
      <c r="R1530" s="55">
        <v>2</v>
      </c>
      <c r="S1530" s="74"/>
      <c r="T1530" s="55" t="s">
        <v>2047</v>
      </c>
      <c r="U1530" s="73"/>
      <c r="W1530" s="74"/>
      <c r="Y1530" s="74"/>
      <c r="Z1530" s="74"/>
    </row>
    <row r="1531" spans="1:29" ht="13" x14ac:dyDescent="0.15">
      <c r="A1531" s="72" t="str">
        <f t="shared" si="23"/>
        <v>Ofsted Social Care Provider Webpage</v>
      </c>
      <c r="B1531" s="55">
        <v>2645281</v>
      </c>
      <c r="D1531" s="55" t="s">
        <v>373</v>
      </c>
      <c r="E1531" s="74">
        <v>44553</v>
      </c>
      <c r="F1531" s="55" t="s">
        <v>344</v>
      </c>
      <c r="G1531" s="55" t="s">
        <v>360</v>
      </c>
      <c r="H1531" s="55" t="s">
        <v>360</v>
      </c>
      <c r="I1531" s="55" t="s">
        <v>360</v>
      </c>
      <c r="J1531" s="55" t="s">
        <v>360</v>
      </c>
      <c r="K1531" s="55" t="s">
        <v>360</v>
      </c>
      <c r="L1531" s="55" t="s">
        <v>360</v>
      </c>
      <c r="M1531" s="55" t="s">
        <v>142</v>
      </c>
      <c r="N1531" s="55" t="s">
        <v>142</v>
      </c>
      <c r="O1531" s="55" t="s">
        <v>292</v>
      </c>
      <c r="P1531" s="55" t="s">
        <v>1052</v>
      </c>
      <c r="Q1531" s="55" t="s">
        <v>350</v>
      </c>
      <c r="R1531" s="55">
        <v>2</v>
      </c>
      <c r="S1531" s="74"/>
      <c r="T1531" s="55" t="s">
        <v>654</v>
      </c>
      <c r="U1531" s="73"/>
      <c r="W1531" s="74"/>
      <c r="Y1531" s="74"/>
      <c r="Z1531" s="74"/>
    </row>
    <row r="1532" spans="1:29" ht="13" x14ac:dyDescent="0.15">
      <c r="A1532" s="72" t="str">
        <f t="shared" si="23"/>
        <v>Ofsted Social Care Provider Webpage</v>
      </c>
      <c r="B1532" s="55">
        <v>2645675</v>
      </c>
      <c r="D1532" s="55" t="s">
        <v>373</v>
      </c>
      <c r="E1532" s="74">
        <v>44428</v>
      </c>
      <c r="F1532" s="55" t="s">
        <v>344</v>
      </c>
      <c r="G1532" s="55" t="s">
        <v>360</v>
      </c>
      <c r="H1532" s="55" t="s">
        <v>360</v>
      </c>
      <c r="I1532" s="55" t="s">
        <v>360</v>
      </c>
      <c r="J1532" s="55" t="s">
        <v>360</v>
      </c>
      <c r="K1532" s="55" t="s">
        <v>360</v>
      </c>
      <c r="L1532" s="55" t="s">
        <v>360</v>
      </c>
      <c r="M1532" s="55" t="s">
        <v>172</v>
      </c>
      <c r="N1532" s="55" t="s">
        <v>172</v>
      </c>
      <c r="O1532" s="55" t="s">
        <v>212</v>
      </c>
      <c r="P1532" s="55" t="s">
        <v>514</v>
      </c>
      <c r="Q1532" s="55" t="s">
        <v>350</v>
      </c>
      <c r="R1532" s="55">
        <v>2</v>
      </c>
      <c r="S1532" s="74"/>
      <c r="T1532" s="55" t="s">
        <v>2221</v>
      </c>
      <c r="U1532" s="73" t="s">
        <v>351</v>
      </c>
      <c r="V1532" s="74">
        <v>44601</v>
      </c>
      <c r="W1532" s="74">
        <v>44642</v>
      </c>
      <c r="X1532" s="55">
        <v>10206368</v>
      </c>
      <c r="Y1532" s="74" t="s">
        <v>132</v>
      </c>
      <c r="Z1532" s="74"/>
      <c r="AB1532" s="55" t="s">
        <v>132</v>
      </c>
      <c r="AC1532" s="55" t="s">
        <v>132</v>
      </c>
    </row>
    <row r="1533" spans="1:29" ht="13" x14ac:dyDescent="0.15">
      <c r="A1533" s="72" t="str">
        <f t="shared" si="23"/>
        <v>Ofsted Social Care Provider Webpage</v>
      </c>
      <c r="B1533" s="55">
        <v>2645688</v>
      </c>
      <c r="D1533" s="55" t="s">
        <v>373</v>
      </c>
      <c r="E1533" s="74">
        <v>44420</v>
      </c>
      <c r="F1533" s="55" t="s">
        <v>344</v>
      </c>
      <c r="G1533" s="55" t="s">
        <v>360</v>
      </c>
      <c r="H1533" s="55" t="s">
        <v>360</v>
      </c>
      <c r="I1533" s="55" t="s">
        <v>360</v>
      </c>
      <c r="J1533" s="55" t="s">
        <v>360</v>
      </c>
      <c r="K1533" s="55" t="s">
        <v>360</v>
      </c>
      <c r="L1533" s="55" t="s">
        <v>360</v>
      </c>
      <c r="M1533" s="55" t="s">
        <v>172</v>
      </c>
      <c r="N1533" s="55" t="s">
        <v>172</v>
      </c>
      <c r="O1533" s="55" t="s">
        <v>173</v>
      </c>
      <c r="P1533" s="55" t="s">
        <v>1540</v>
      </c>
      <c r="Q1533" s="55" t="s">
        <v>350</v>
      </c>
      <c r="R1533" s="55">
        <v>5</v>
      </c>
      <c r="S1533" s="74"/>
      <c r="T1533" s="55" t="s">
        <v>2222</v>
      </c>
      <c r="U1533" s="73" t="s">
        <v>351</v>
      </c>
      <c r="V1533" s="74">
        <v>44585</v>
      </c>
      <c r="W1533" s="74">
        <v>44620</v>
      </c>
      <c r="X1533" s="55">
        <v>10206355</v>
      </c>
      <c r="Y1533" s="74" t="s">
        <v>132</v>
      </c>
      <c r="Z1533" s="74"/>
      <c r="AB1533" s="55" t="s">
        <v>132</v>
      </c>
      <c r="AC1533" s="55" t="s">
        <v>132</v>
      </c>
    </row>
    <row r="1534" spans="1:29" ht="13" x14ac:dyDescent="0.15">
      <c r="A1534" s="72" t="str">
        <f t="shared" si="23"/>
        <v>Ofsted Social Care Provider Webpage</v>
      </c>
      <c r="B1534" s="55">
        <v>2645777</v>
      </c>
      <c r="D1534" s="55" t="s">
        <v>468</v>
      </c>
      <c r="E1534" s="74">
        <v>44517</v>
      </c>
      <c r="F1534" s="55" t="s">
        <v>344</v>
      </c>
      <c r="G1534" s="55" t="s">
        <v>2223</v>
      </c>
      <c r="H1534" s="55" t="s">
        <v>2224</v>
      </c>
      <c r="I1534" s="55" t="s">
        <v>2225</v>
      </c>
      <c r="J1534" s="55" t="s">
        <v>2226</v>
      </c>
      <c r="L1534" s="55" t="s">
        <v>1611</v>
      </c>
      <c r="M1534" s="55" t="s">
        <v>142</v>
      </c>
      <c r="N1534" s="55" t="s">
        <v>142</v>
      </c>
      <c r="O1534" s="55" t="s">
        <v>293</v>
      </c>
      <c r="P1534" s="55" t="s">
        <v>1060</v>
      </c>
      <c r="Q1534" s="55" t="s">
        <v>362</v>
      </c>
      <c r="R1534" s="55"/>
      <c r="S1534" s="74"/>
      <c r="T1534" s="55" t="s">
        <v>1605</v>
      </c>
      <c r="U1534" s="73"/>
      <c r="W1534" s="74"/>
      <c r="Y1534" s="74"/>
      <c r="Z1534" s="74"/>
    </row>
    <row r="1535" spans="1:29" ht="13" x14ac:dyDescent="0.15">
      <c r="A1535" s="72" t="str">
        <f t="shared" si="23"/>
        <v>Ofsted Social Care Provider Webpage</v>
      </c>
      <c r="B1535" s="55">
        <v>2645858</v>
      </c>
      <c r="D1535" s="55" t="s">
        <v>373</v>
      </c>
      <c r="E1535" s="74">
        <v>44446</v>
      </c>
      <c r="F1535" s="55" t="s">
        <v>344</v>
      </c>
      <c r="G1535" s="55" t="s">
        <v>360</v>
      </c>
      <c r="H1535" s="55" t="s">
        <v>360</v>
      </c>
      <c r="I1535" s="55" t="s">
        <v>360</v>
      </c>
      <c r="J1535" s="55" t="s">
        <v>360</v>
      </c>
      <c r="K1535" s="55" t="s">
        <v>360</v>
      </c>
      <c r="L1535" s="55" t="s">
        <v>360</v>
      </c>
      <c r="M1535" s="55" t="s">
        <v>144</v>
      </c>
      <c r="N1535" s="55" t="s">
        <v>144</v>
      </c>
      <c r="O1535" s="55" t="s">
        <v>209</v>
      </c>
      <c r="P1535" s="55" t="s">
        <v>597</v>
      </c>
      <c r="Q1535" s="55" t="s">
        <v>350</v>
      </c>
      <c r="R1535" s="55">
        <v>3</v>
      </c>
      <c r="S1535" s="74"/>
      <c r="T1535" s="55" t="s">
        <v>2227</v>
      </c>
      <c r="U1535" s="73"/>
      <c r="W1535" s="74"/>
      <c r="Y1535" s="74"/>
      <c r="Z1535" s="74"/>
    </row>
    <row r="1536" spans="1:29" ht="13" x14ac:dyDescent="0.15">
      <c r="A1536" s="72" t="str">
        <f t="shared" si="23"/>
        <v>Ofsted Social Care Provider Webpage</v>
      </c>
      <c r="B1536" s="55">
        <v>2645878</v>
      </c>
      <c r="D1536" s="55" t="s">
        <v>373</v>
      </c>
      <c r="E1536" s="74">
        <v>44399</v>
      </c>
      <c r="F1536" s="55" t="s">
        <v>344</v>
      </c>
      <c r="G1536" s="55" t="s">
        <v>360</v>
      </c>
      <c r="H1536" s="55" t="s">
        <v>360</v>
      </c>
      <c r="I1536" s="55" t="s">
        <v>360</v>
      </c>
      <c r="J1536" s="55" t="s">
        <v>360</v>
      </c>
      <c r="K1536" s="55" t="s">
        <v>360</v>
      </c>
      <c r="L1536" s="55" t="s">
        <v>360</v>
      </c>
      <c r="M1536" s="55" t="s">
        <v>144</v>
      </c>
      <c r="N1536" s="55" t="s">
        <v>144</v>
      </c>
      <c r="O1536" s="55" t="s">
        <v>209</v>
      </c>
      <c r="P1536" s="55" t="s">
        <v>597</v>
      </c>
      <c r="Q1536" s="55" t="s">
        <v>350</v>
      </c>
      <c r="R1536" s="55">
        <v>2</v>
      </c>
      <c r="S1536" s="74"/>
      <c r="T1536" s="55" t="s">
        <v>778</v>
      </c>
      <c r="U1536" s="73" t="s">
        <v>351</v>
      </c>
      <c r="V1536" s="74">
        <v>44621</v>
      </c>
      <c r="W1536" s="74">
        <v>44670</v>
      </c>
      <c r="X1536" s="55">
        <v>10210506</v>
      </c>
      <c r="Y1536" s="74" t="s">
        <v>132</v>
      </c>
      <c r="Z1536" s="74"/>
      <c r="AB1536" s="55" t="s">
        <v>132</v>
      </c>
      <c r="AC1536" s="55" t="s">
        <v>132</v>
      </c>
    </row>
    <row r="1537" spans="1:29" ht="13" x14ac:dyDescent="0.15">
      <c r="A1537" s="72" t="str">
        <f t="shared" si="23"/>
        <v>Ofsted Social Care Provider Webpage</v>
      </c>
      <c r="B1537" s="55">
        <v>2645897</v>
      </c>
      <c r="D1537" s="55" t="s">
        <v>373</v>
      </c>
      <c r="E1537" s="74">
        <v>44439</v>
      </c>
      <c r="F1537" s="55" t="s">
        <v>344</v>
      </c>
      <c r="G1537" s="55" t="s">
        <v>360</v>
      </c>
      <c r="H1537" s="55" t="s">
        <v>360</v>
      </c>
      <c r="I1537" s="55" t="s">
        <v>360</v>
      </c>
      <c r="J1537" s="55" t="s">
        <v>360</v>
      </c>
      <c r="K1537" s="55" t="s">
        <v>360</v>
      </c>
      <c r="L1537" s="55" t="s">
        <v>360</v>
      </c>
      <c r="M1537" s="55" t="s">
        <v>172</v>
      </c>
      <c r="N1537" s="55" t="s">
        <v>172</v>
      </c>
      <c r="O1537" s="55" t="s">
        <v>235</v>
      </c>
      <c r="P1537" s="55" t="s">
        <v>855</v>
      </c>
      <c r="Q1537" s="55" t="s">
        <v>350</v>
      </c>
      <c r="R1537" s="55">
        <v>1</v>
      </c>
      <c r="S1537" s="74"/>
      <c r="T1537" s="55" t="s">
        <v>1830</v>
      </c>
      <c r="U1537" s="73"/>
      <c r="W1537" s="74"/>
      <c r="Y1537" s="74"/>
      <c r="Z1537" s="74"/>
    </row>
    <row r="1538" spans="1:29" ht="13" x14ac:dyDescent="0.15">
      <c r="A1538" s="72" t="str">
        <f t="shared" si="23"/>
        <v>Ofsted Social Care Provider Webpage</v>
      </c>
      <c r="B1538" s="55">
        <v>2645901</v>
      </c>
      <c r="D1538" s="55" t="s">
        <v>373</v>
      </c>
      <c r="E1538" s="74">
        <v>44452</v>
      </c>
      <c r="F1538" s="55" t="s">
        <v>344</v>
      </c>
      <c r="G1538" s="55" t="s">
        <v>360</v>
      </c>
      <c r="H1538" s="55" t="s">
        <v>360</v>
      </c>
      <c r="I1538" s="55" t="s">
        <v>360</v>
      </c>
      <c r="J1538" s="55" t="s">
        <v>360</v>
      </c>
      <c r="K1538" s="55" t="s">
        <v>360</v>
      </c>
      <c r="L1538" s="55" t="s">
        <v>360</v>
      </c>
      <c r="M1538" s="55" t="s">
        <v>144</v>
      </c>
      <c r="N1538" s="55" t="s">
        <v>144</v>
      </c>
      <c r="O1538" s="55" t="s">
        <v>147</v>
      </c>
      <c r="P1538" s="55" t="s">
        <v>807</v>
      </c>
      <c r="Q1538" s="55" t="s">
        <v>350</v>
      </c>
      <c r="R1538" s="55">
        <v>3</v>
      </c>
      <c r="S1538" s="74"/>
      <c r="T1538" s="55" t="s">
        <v>1064</v>
      </c>
      <c r="U1538" s="73"/>
      <c r="W1538" s="74"/>
      <c r="Y1538" s="74"/>
      <c r="Z1538" s="74"/>
    </row>
    <row r="1539" spans="1:29" ht="13" x14ac:dyDescent="0.15">
      <c r="A1539" s="72" t="str">
        <f t="shared" si="23"/>
        <v>Ofsted Social Care Provider Webpage</v>
      </c>
      <c r="B1539" s="55">
        <v>2645906</v>
      </c>
      <c r="D1539" s="55" t="s">
        <v>373</v>
      </c>
      <c r="E1539" s="74">
        <v>44470</v>
      </c>
      <c r="F1539" s="55" t="s">
        <v>344</v>
      </c>
      <c r="G1539" s="55" t="s">
        <v>360</v>
      </c>
      <c r="H1539" s="55" t="s">
        <v>360</v>
      </c>
      <c r="I1539" s="55" t="s">
        <v>360</v>
      </c>
      <c r="J1539" s="55" t="s">
        <v>360</v>
      </c>
      <c r="K1539" s="55" t="s">
        <v>360</v>
      </c>
      <c r="L1539" s="55" t="s">
        <v>360</v>
      </c>
      <c r="M1539" s="55" t="s">
        <v>172</v>
      </c>
      <c r="N1539" s="55" t="s">
        <v>172</v>
      </c>
      <c r="O1539" s="55" t="s">
        <v>211</v>
      </c>
      <c r="P1539" s="55" t="s">
        <v>2228</v>
      </c>
      <c r="Q1539" s="55" t="s">
        <v>350</v>
      </c>
      <c r="R1539" s="55">
        <v>4</v>
      </c>
      <c r="S1539" s="74"/>
      <c r="T1539" s="55" t="s">
        <v>1357</v>
      </c>
      <c r="U1539" s="73"/>
      <c r="W1539" s="74"/>
      <c r="Y1539" s="74"/>
      <c r="Z1539" s="74"/>
    </row>
    <row r="1540" spans="1:29" ht="13" x14ac:dyDescent="0.15">
      <c r="A1540" s="72" t="str">
        <f t="shared" si="23"/>
        <v>Ofsted Social Care Provider Webpage</v>
      </c>
      <c r="B1540" s="55">
        <v>2646176</v>
      </c>
      <c r="D1540" s="55" t="s">
        <v>373</v>
      </c>
      <c r="E1540" s="74">
        <v>44454</v>
      </c>
      <c r="F1540" s="55" t="s">
        <v>344</v>
      </c>
      <c r="G1540" s="55" t="s">
        <v>360</v>
      </c>
      <c r="H1540" s="55" t="s">
        <v>360</v>
      </c>
      <c r="I1540" s="55" t="s">
        <v>360</v>
      </c>
      <c r="J1540" s="55" t="s">
        <v>360</v>
      </c>
      <c r="K1540" s="55" t="s">
        <v>360</v>
      </c>
      <c r="L1540" s="55" t="s">
        <v>360</v>
      </c>
      <c r="M1540" s="55" t="s">
        <v>172</v>
      </c>
      <c r="N1540" s="55" t="s">
        <v>172</v>
      </c>
      <c r="O1540" s="55" t="s">
        <v>173</v>
      </c>
      <c r="P1540" s="55" t="s">
        <v>1305</v>
      </c>
      <c r="Q1540" s="55" t="s">
        <v>350</v>
      </c>
      <c r="R1540" s="55">
        <v>3</v>
      </c>
      <c r="S1540" s="74"/>
      <c r="T1540" s="55" t="s">
        <v>2229</v>
      </c>
      <c r="U1540" s="73" t="s">
        <v>351</v>
      </c>
      <c r="V1540" s="74">
        <v>44606</v>
      </c>
      <c r="W1540" s="74">
        <v>44637</v>
      </c>
      <c r="X1540" s="55">
        <v>10207541</v>
      </c>
      <c r="Y1540" s="74" t="s">
        <v>132</v>
      </c>
      <c r="Z1540" s="74"/>
      <c r="AB1540" s="55" t="s">
        <v>132</v>
      </c>
      <c r="AC1540" s="55" t="s">
        <v>132</v>
      </c>
    </row>
    <row r="1541" spans="1:29" ht="13" x14ac:dyDescent="0.15">
      <c r="A1541" s="72" t="str">
        <f t="shared" si="23"/>
        <v>Ofsted Social Care Provider Webpage</v>
      </c>
      <c r="B1541" s="55">
        <v>2646248</v>
      </c>
      <c r="D1541" s="55" t="s">
        <v>373</v>
      </c>
      <c r="E1541" s="74">
        <v>44494</v>
      </c>
      <c r="F1541" s="55" t="s">
        <v>344</v>
      </c>
      <c r="G1541" s="55" t="s">
        <v>360</v>
      </c>
      <c r="H1541" s="55" t="s">
        <v>360</v>
      </c>
      <c r="I1541" s="55" t="s">
        <v>360</v>
      </c>
      <c r="J1541" s="55" t="s">
        <v>360</v>
      </c>
      <c r="K1541" s="55" t="s">
        <v>360</v>
      </c>
      <c r="L1541" s="55" t="s">
        <v>360</v>
      </c>
      <c r="M1541" s="55" t="s">
        <v>144</v>
      </c>
      <c r="N1541" s="55" t="s">
        <v>144</v>
      </c>
      <c r="O1541" s="55" t="s">
        <v>217</v>
      </c>
      <c r="P1541" s="55" t="s">
        <v>384</v>
      </c>
      <c r="Q1541" s="55" t="s">
        <v>350</v>
      </c>
      <c r="R1541" s="55">
        <v>3</v>
      </c>
      <c r="S1541" s="74"/>
      <c r="T1541" s="55" t="s">
        <v>1970</v>
      </c>
      <c r="U1541" s="73"/>
      <c r="W1541" s="74"/>
      <c r="Y1541" s="74"/>
      <c r="Z1541" s="74"/>
    </row>
    <row r="1542" spans="1:29" ht="13" x14ac:dyDescent="0.15">
      <c r="A1542" s="72" t="str">
        <f t="shared" ref="A1542:A1605" si="24">HYPERLINK(_xlfn.CONCAT("http://reports.ofsted.gov.uk/inspection-reports/find-inspection-report/provider/CARE/",B1542),"Ofsted Social Care Provider Webpage")</f>
        <v>Ofsted Social Care Provider Webpage</v>
      </c>
      <c r="B1542" s="55">
        <v>2646994</v>
      </c>
      <c r="D1542" s="55" t="s">
        <v>389</v>
      </c>
      <c r="E1542" s="74">
        <v>44544</v>
      </c>
      <c r="F1542" s="55" t="s">
        <v>344</v>
      </c>
      <c r="G1542" s="55" t="s">
        <v>2230</v>
      </c>
      <c r="H1542" s="55" t="s">
        <v>2231</v>
      </c>
      <c r="I1542" s="55" t="s">
        <v>2232</v>
      </c>
      <c r="J1542" s="55" t="s">
        <v>2233</v>
      </c>
      <c r="K1542" s="55" t="s">
        <v>203</v>
      </c>
      <c r="L1542" s="55" t="s">
        <v>2234</v>
      </c>
      <c r="M1542" s="55" t="s">
        <v>150</v>
      </c>
      <c r="N1542" s="55" t="s">
        <v>150</v>
      </c>
      <c r="O1542" s="55" t="s">
        <v>203</v>
      </c>
      <c r="P1542" s="55" t="s">
        <v>1038</v>
      </c>
      <c r="Q1542" s="55" t="s">
        <v>350</v>
      </c>
      <c r="R1542" s="55"/>
      <c r="S1542" s="74"/>
      <c r="T1542" s="55" t="s">
        <v>2235</v>
      </c>
      <c r="U1542" s="73"/>
      <c r="W1542" s="74"/>
      <c r="Y1542" s="74"/>
      <c r="Z1542" s="74"/>
    </row>
    <row r="1543" spans="1:29" ht="13" x14ac:dyDescent="0.15">
      <c r="A1543" s="72" t="str">
        <f t="shared" si="24"/>
        <v>Ofsted Social Care Provider Webpage</v>
      </c>
      <c r="B1543" s="55">
        <v>2647022</v>
      </c>
      <c r="D1543" s="55" t="s">
        <v>373</v>
      </c>
      <c r="E1543" s="74">
        <v>44399</v>
      </c>
      <c r="F1543" s="55" t="s">
        <v>344</v>
      </c>
      <c r="G1543" s="55" t="s">
        <v>360</v>
      </c>
      <c r="H1543" s="55" t="s">
        <v>360</v>
      </c>
      <c r="I1543" s="55" t="s">
        <v>360</v>
      </c>
      <c r="J1543" s="55" t="s">
        <v>360</v>
      </c>
      <c r="K1543" s="55" t="s">
        <v>360</v>
      </c>
      <c r="L1543" s="55" t="s">
        <v>360</v>
      </c>
      <c r="M1543" s="55" t="s">
        <v>144</v>
      </c>
      <c r="N1543" s="55" t="s">
        <v>144</v>
      </c>
      <c r="O1543" s="55" t="s">
        <v>209</v>
      </c>
      <c r="P1543" s="55" t="s">
        <v>1858</v>
      </c>
      <c r="Q1543" s="55" t="s">
        <v>350</v>
      </c>
      <c r="R1543" s="55">
        <v>4</v>
      </c>
      <c r="S1543" s="74"/>
      <c r="T1543" s="55" t="s">
        <v>2236</v>
      </c>
      <c r="U1543" s="73"/>
      <c r="W1543" s="74"/>
      <c r="Y1543" s="74"/>
      <c r="Z1543" s="74"/>
    </row>
    <row r="1544" spans="1:29" ht="13" x14ac:dyDescent="0.15">
      <c r="A1544" s="72" t="str">
        <f t="shared" si="24"/>
        <v>Ofsted Social Care Provider Webpage</v>
      </c>
      <c r="B1544" s="55">
        <v>2647110</v>
      </c>
      <c r="D1544" s="55" t="s">
        <v>373</v>
      </c>
      <c r="E1544" s="74">
        <v>44544</v>
      </c>
      <c r="F1544" s="55" t="s">
        <v>344</v>
      </c>
      <c r="G1544" s="55" t="s">
        <v>360</v>
      </c>
      <c r="H1544" s="55" t="s">
        <v>360</v>
      </c>
      <c r="I1544" s="55" t="s">
        <v>360</v>
      </c>
      <c r="J1544" s="55" t="s">
        <v>360</v>
      </c>
      <c r="K1544" s="55" t="s">
        <v>360</v>
      </c>
      <c r="L1544" s="55" t="s">
        <v>360</v>
      </c>
      <c r="M1544" s="55" t="s">
        <v>142</v>
      </c>
      <c r="N1544" s="55" t="s">
        <v>142</v>
      </c>
      <c r="O1544" s="55" t="s">
        <v>166</v>
      </c>
      <c r="P1544" s="55" t="s">
        <v>1301</v>
      </c>
      <c r="Q1544" s="55" t="s">
        <v>350</v>
      </c>
      <c r="R1544" s="55">
        <v>3</v>
      </c>
      <c r="S1544" s="74"/>
      <c r="T1544" s="55" t="s">
        <v>2237</v>
      </c>
      <c r="U1544" s="73"/>
      <c r="W1544" s="74"/>
      <c r="Y1544" s="74"/>
      <c r="Z1544" s="74"/>
    </row>
    <row r="1545" spans="1:29" ht="13" x14ac:dyDescent="0.15">
      <c r="A1545" s="72" t="str">
        <f t="shared" si="24"/>
        <v>Ofsted Social Care Provider Webpage</v>
      </c>
      <c r="B1545" s="55">
        <v>2647153</v>
      </c>
      <c r="D1545" s="55" t="s">
        <v>373</v>
      </c>
      <c r="E1545" s="74">
        <v>44441</v>
      </c>
      <c r="F1545" s="55" t="s">
        <v>344</v>
      </c>
      <c r="G1545" s="55" t="s">
        <v>360</v>
      </c>
      <c r="H1545" s="55" t="s">
        <v>360</v>
      </c>
      <c r="I1545" s="55" t="s">
        <v>360</v>
      </c>
      <c r="J1545" s="55" t="s">
        <v>360</v>
      </c>
      <c r="K1545" s="55" t="s">
        <v>360</v>
      </c>
      <c r="L1545" s="55" t="s">
        <v>360</v>
      </c>
      <c r="M1545" s="55" t="s">
        <v>150</v>
      </c>
      <c r="N1545" s="55" t="s">
        <v>150</v>
      </c>
      <c r="O1545" s="55" t="s">
        <v>285</v>
      </c>
      <c r="P1545" s="55" t="s">
        <v>575</v>
      </c>
      <c r="Q1545" s="55" t="s">
        <v>380</v>
      </c>
      <c r="R1545" s="55">
        <v>6</v>
      </c>
      <c r="S1545" s="74"/>
      <c r="T1545" s="55" t="s">
        <v>2238</v>
      </c>
      <c r="U1545" s="73"/>
      <c r="W1545" s="74"/>
      <c r="Y1545" s="74"/>
      <c r="Z1545" s="74"/>
    </row>
    <row r="1546" spans="1:29" ht="13" x14ac:dyDescent="0.15">
      <c r="A1546" s="72" t="str">
        <f t="shared" si="24"/>
        <v>Ofsted Social Care Provider Webpage</v>
      </c>
      <c r="B1546" s="55">
        <v>2647163</v>
      </c>
      <c r="D1546" s="55" t="s">
        <v>373</v>
      </c>
      <c r="E1546" s="74">
        <v>44551</v>
      </c>
      <c r="F1546" s="55" t="s">
        <v>344</v>
      </c>
      <c r="G1546" s="55" t="s">
        <v>360</v>
      </c>
      <c r="H1546" s="55" t="s">
        <v>360</v>
      </c>
      <c r="I1546" s="55" t="s">
        <v>360</v>
      </c>
      <c r="J1546" s="55" t="s">
        <v>360</v>
      </c>
      <c r="K1546" s="55" t="s">
        <v>360</v>
      </c>
      <c r="L1546" s="55" t="s">
        <v>360</v>
      </c>
      <c r="M1546" s="55" t="s">
        <v>129</v>
      </c>
      <c r="N1546" s="55" t="s">
        <v>129</v>
      </c>
      <c r="O1546" s="55" t="s">
        <v>167</v>
      </c>
      <c r="P1546" s="55" t="s">
        <v>2239</v>
      </c>
      <c r="Q1546" s="55" t="s">
        <v>350</v>
      </c>
      <c r="R1546" s="55">
        <v>5</v>
      </c>
      <c r="S1546" s="74"/>
      <c r="T1546" s="55" t="s">
        <v>2240</v>
      </c>
      <c r="U1546" s="73"/>
      <c r="W1546" s="74"/>
      <c r="Y1546" s="74"/>
      <c r="Z1546" s="74"/>
    </row>
    <row r="1547" spans="1:29" ht="13" x14ac:dyDescent="0.15">
      <c r="A1547" s="72" t="str">
        <f t="shared" si="24"/>
        <v>Ofsted Social Care Provider Webpage</v>
      </c>
      <c r="B1547" s="55">
        <v>2647514</v>
      </c>
      <c r="D1547" s="55" t="s">
        <v>373</v>
      </c>
      <c r="E1547" s="74">
        <v>44470</v>
      </c>
      <c r="F1547" s="55" t="s">
        <v>344</v>
      </c>
      <c r="G1547" s="55" t="s">
        <v>360</v>
      </c>
      <c r="H1547" s="55" t="s">
        <v>360</v>
      </c>
      <c r="I1547" s="55" t="s">
        <v>360</v>
      </c>
      <c r="J1547" s="55" t="s">
        <v>360</v>
      </c>
      <c r="K1547" s="55" t="s">
        <v>360</v>
      </c>
      <c r="L1547" s="55" t="s">
        <v>360</v>
      </c>
      <c r="M1547" s="55" t="s">
        <v>144</v>
      </c>
      <c r="N1547" s="55" t="s">
        <v>144</v>
      </c>
      <c r="O1547" s="55" t="s">
        <v>209</v>
      </c>
      <c r="P1547" s="55" t="s">
        <v>544</v>
      </c>
      <c r="Q1547" s="55" t="s">
        <v>350</v>
      </c>
      <c r="R1547" s="55">
        <v>2</v>
      </c>
      <c r="S1547" s="74"/>
      <c r="T1547" s="55" t="s">
        <v>493</v>
      </c>
      <c r="U1547" s="73"/>
      <c r="W1547" s="74"/>
      <c r="Y1547" s="74"/>
      <c r="Z1547" s="74"/>
    </row>
    <row r="1548" spans="1:29" ht="13" x14ac:dyDescent="0.15">
      <c r="A1548" s="72" t="str">
        <f t="shared" si="24"/>
        <v>Ofsted Social Care Provider Webpage</v>
      </c>
      <c r="B1548" s="55">
        <v>2647767</v>
      </c>
      <c r="D1548" s="55" t="s">
        <v>373</v>
      </c>
      <c r="E1548" s="74">
        <v>44498</v>
      </c>
      <c r="F1548" s="55" t="s">
        <v>344</v>
      </c>
      <c r="G1548" s="55" t="s">
        <v>360</v>
      </c>
      <c r="H1548" s="55" t="s">
        <v>360</v>
      </c>
      <c r="I1548" s="55" t="s">
        <v>360</v>
      </c>
      <c r="J1548" s="55" t="s">
        <v>360</v>
      </c>
      <c r="K1548" s="55" t="s">
        <v>360</v>
      </c>
      <c r="L1548" s="55" t="s">
        <v>360</v>
      </c>
      <c r="M1548" s="55" t="s">
        <v>129</v>
      </c>
      <c r="N1548" s="55" t="s">
        <v>129</v>
      </c>
      <c r="O1548" s="55" t="s">
        <v>194</v>
      </c>
      <c r="P1548" s="55" t="s">
        <v>1833</v>
      </c>
      <c r="Q1548" s="55" t="s">
        <v>350</v>
      </c>
      <c r="R1548" s="55">
        <v>4</v>
      </c>
      <c r="S1548" s="74"/>
      <c r="T1548" s="55" t="s">
        <v>1646</v>
      </c>
      <c r="U1548" s="73"/>
      <c r="W1548" s="74"/>
      <c r="Y1548" s="74"/>
      <c r="Z1548" s="74"/>
    </row>
    <row r="1549" spans="1:29" ht="13" x14ac:dyDescent="0.15">
      <c r="A1549" s="72" t="str">
        <f t="shared" si="24"/>
        <v>Ofsted Social Care Provider Webpage</v>
      </c>
      <c r="B1549" s="55">
        <v>2647770</v>
      </c>
      <c r="D1549" s="55" t="s">
        <v>373</v>
      </c>
      <c r="E1549" s="74">
        <v>44441</v>
      </c>
      <c r="F1549" s="55" t="s">
        <v>344</v>
      </c>
      <c r="G1549" s="55" t="s">
        <v>360</v>
      </c>
      <c r="H1549" s="55" t="s">
        <v>360</v>
      </c>
      <c r="I1549" s="55" t="s">
        <v>360</v>
      </c>
      <c r="J1549" s="55" t="s">
        <v>360</v>
      </c>
      <c r="K1549" s="55" t="s">
        <v>360</v>
      </c>
      <c r="L1549" s="55" t="s">
        <v>360</v>
      </c>
      <c r="M1549" s="55" t="s">
        <v>144</v>
      </c>
      <c r="N1549" s="55" t="s">
        <v>144</v>
      </c>
      <c r="O1549" s="55" t="s">
        <v>162</v>
      </c>
      <c r="P1549" s="55" t="s">
        <v>1502</v>
      </c>
      <c r="Q1549" s="55" t="s">
        <v>350</v>
      </c>
      <c r="R1549" s="55">
        <v>8</v>
      </c>
      <c r="S1549" s="74"/>
      <c r="T1549" s="55" t="s">
        <v>1503</v>
      </c>
      <c r="U1549" s="73" t="s">
        <v>351</v>
      </c>
      <c r="V1549" s="74">
        <v>44544</v>
      </c>
      <c r="W1549" s="74">
        <v>44616</v>
      </c>
      <c r="X1549" s="55">
        <v>10210508</v>
      </c>
      <c r="Y1549" s="74" t="s">
        <v>130</v>
      </c>
      <c r="Z1549" s="74"/>
      <c r="AB1549" s="55" t="s">
        <v>130</v>
      </c>
      <c r="AC1549" s="55" t="s">
        <v>130</v>
      </c>
    </row>
    <row r="1550" spans="1:29" ht="13" x14ac:dyDescent="0.15">
      <c r="A1550" s="72" t="str">
        <f t="shared" si="24"/>
        <v>Ofsted Social Care Provider Webpage</v>
      </c>
      <c r="B1550" s="55">
        <v>2647771</v>
      </c>
      <c r="D1550" s="55" t="s">
        <v>451</v>
      </c>
      <c r="E1550" s="74">
        <v>44537</v>
      </c>
      <c r="F1550" s="55" t="s">
        <v>344</v>
      </c>
      <c r="G1550" s="55" t="s">
        <v>2241</v>
      </c>
      <c r="H1550" s="55" t="s">
        <v>2242</v>
      </c>
      <c r="I1550" s="55" t="s">
        <v>354</v>
      </c>
      <c r="J1550" s="55" t="s">
        <v>2201</v>
      </c>
      <c r="L1550" s="55" t="s">
        <v>2243</v>
      </c>
      <c r="M1550" s="55" t="s">
        <v>138</v>
      </c>
      <c r="N1550" s="55" t="s">
        <v>138</v>
      </c>
      <c r="O1550" s="55" t="s">
        <v>273</v>
      </c>
      <c r="P1550" s="55" t="s">
        <v>273</v>
      </c>
      <c r="Q1550" s="55" t="s">
        <v>350</v>
      </c>
      <c r="R1550" s="55">
        <v>5</v>
      </c>
      <c r="S1550" s="74"/>
      <c r="T1550" s="55" t="s">
        <v>2244</v>
      </c>
      <c r="U1550" s="73"/>
      <c r="W1550" s="74"/>
      <c r="Y1550" s="74"/>
      <c r="Z1550" s="74"/>
    </row>
    <row r="1551" spans="1:29" ht="13" x14ac:dyDescent="0.15">
      <c r="A1551" s="72" t="str">
        <f t="shared" si="24"/>
        <v>Ofsted Social Care Provider Webpage</v>
      </c>
      <c r="B1551" s="55">
        <v>2647775</v>
      </c>
      <c r="D1551" s="55" t="s">
        <v>373</v>
      </c>
      <c r="E1551" s="74">
        <v>44515</v>
      </c>
      <c r="F1551" s="55" t="s">
        <v>344</v>
      </c>
      <c r="G1551" s="55" t="s">
        <v>360</v>
      </c>
      <c r="H1551" s="55" t="s">
        <v>360</v>
      </c>
      <c r="I1551" s="55" t="s">
        <v>360</v>
      </c>
      <c r="J1551" s="55" t="s">
        <v>360</v>
      </c>
      <c r="K1551" s="55" t="s">
        <v>360</v>
      </c>
      <c r="L1551" s="55" t="s">
        <v>360</v>
      </c>
      <c r="M1551" s="55" t="s">
        <v>129</v>
      </c>
      <c r="N1551" s="55" t="s">
        <v>129</v>
      </c>
      <c r="O1551" s="55" t="s">
        <v>179</v>
      </c>
      <c r="P1551" s="55" t="s">
        <v>1854</v>
      </c>
      <c r="Q1551" s="55" t="s">
        <v>350</v>
      </c>
      <c r="R1551" s="55">
        <v>4</v>
      </c>
      <c r="S1551" s="74"/>
      <c r="T1551" s="55" t="s">
        <v>1899</v>
      </c>
      <c r="U1551" s="73"/>
      <c r="W1551" s="74"/>
      <c r="Y1551" s="74"/>
      <c r="Z1551" s="74"/>
    </row>
    <row r="1552" spans="1:29" ht="13" x14ac:dyDescent="0.15">
      <c r="A1552" s="72" t="str">
        <f t="shared" si="24"/>
        <v>Ofsted Social Care Provider Webpage</v>
      </c>
      <c r="B1552" s="55">
        <v>2648027</v>
      </c>
      <c r="D1552" s="55" t="s">
        <v>373</v>
      </c>
      <c r="E1552" s="74">
        <v>44476</v>
      </c>
      <c r="F1552" s="55" t="s">
        <v>344</v>
      </c>
      <c r="G1552" s="55" t="s">
        <v>360</v>
      </c>
      <c r="H1552" s="55" t="s">
        <v>360</v>
      </c>
      <c r="I1552" s="55" t="s">
        <v>360</v>
      </c>
      <c r="J1552" s="55" t="s">
        <v>360</v>
      </c>
      <c r="K1552" s="55" t="s">
        <v>360</v>
      </c>
      <c r="L1552" s="55" t="s">
        <v>360</v>
      </c>
      <c r="M1552" s="55" t="s">
        <v>144</v>
      </c>
      <c r="N1552" s="55" t="s">
        <v>144</v>
      </c>
      <c r="O1552" s="55" t="s">
        <v>209</v>
      </c>
      <c r="P1552" s="55" t="s">
        <v>1858</v>
      </c>
      <c r="Q1552" s="55" t="s">
        <v>350</v>
      </c>
      <c r="R1552" s="55">
        <v>1</v>
      </c>
      <c r="S1552" s="74"/>
      <c r="T1552" s="55" t="s">
        <v>517</v>
      </c>
      <c r="U1552" s="73"/>
      <c r="W1552" s="74"/>
      <c r="Y1552" s="74"/>
      <c r="Z1552" s="74"/>
    </row>
    <row r="1553" spans="1:29" ht="13" x14ac:dyDescent="0.15">
      <c r="A1553" s="72" t="str">
        <f t="shared" si="24"/>
        <v>Ofsted Social Care Provider Webpage</v>
      </c>
      <c r="B1553" s="55">
        <v>2648208</v>
      </c>
      <c r="D1553" s="55" t="s">
        <v>373</v>
      </c>
      <c r="E1553" s="74">
        <v>44477</v>
      </c>
      <c r="F1553" s="55" t="s">
        <v>344</v>
      </c>
      <c r="G1553" s="55" t="s">
        <v>360</v>
      </c>
      <c r="H1553" s="55" t="s">
        <v>360</v>
      </c>
      <c r="I1553" s="55" t="s">
        <v>360</v>
      </c>
      <c r="J1553" s="55" t="s">
        <v>360</v>
      </c>
      <c r="K1553" s="55" t="s">
        <v>360</v>
      </c>
      <c r="L1553" s="55" t="s">
        <v>360</v>
      </c>
      <c r="M1553" s="55" t="s">
        <v>144</v>
      </c>
      <c r="N1553" s="55" t="s">
        <v>144</v>
      </c>
      <c r="O1553" s="55" t="s">
        <v>209</v>
      </c>
      <c r="P1553" s="55" t="s">
        <v>1858</v>
      </c>
      <c r="Q1553" s="55" t="s">
        <v>350</v>
      </c>
      <c r="R1553" s="55">
        <v>1</v>
      </c>
      <c r="S1553" s="74"/>
      <c r="T1553" s="55" t="s">
        <v>517</v>
      </c>
      <c r="U1553" s="73"/>
      <c r="W1553" s="74"/>
      <c r="Y1553" s="74"/>
      <c r="Z1553" s="74"/>
    </row>
    <row r="1554" spans="1:29" ht="13" x14ac:dyDescent="0.15">
      <c r="A1554" s="72" t="str">
        <f t="shared" si="24"/>
        <v>Ofsted Social Care Provider Webpage</v>
      </c>
      <c r="B1554" s="55">
        <v>2648446</v>
      </c>
      <c r="D1554" s="55" t="s">
        <v>373</v>
      </c>
      <c r="E1554" s="74">
        <v>44455</v>
      </c>
      <c r="F1554" s="55" t="s">
        <v>344</v>
      </c>
      <c r="G1554" s="55" t="s">
        <v>360</v>
      </c>
      <c r="H1554" s="55" t="s">
        <v>360</v>
      </c>
      <c r="I1554" s="55" t="s">
        <v>360</v>
      </c>
      <c r="J1554" s="55" t="s">
        <v>360</v>
      </c>
      <c r="K1554" s="55" t="s">
        <v>360</v>
      </c>
      <c r="L1554" s="55" t="s">
        <v>360</v>
      </c>
      <c r="M1554" s="55" t="s">
        <v>142</v>
      </c>
      <c r="N1554" s="55" t="s">
        <v>142</v>
      </c>
      <c r="O1554" s="55" t="s">
        <v>166</v>
      </c>
      <c r="P1554" s="55" t="s">
        <v>1152</v>
      </c>
      <c r="Q1554" s="55" t="s">
        <v>350</v>
      </c>
      <c r="R1554" s="55">
        <v>4</v>
      </c>
      <c r="S1554" s="74"/>
      <c r="T1554" s="55" t="s">
        <v>2245</v>
      </c>
      <c r="U1554" s="73" t="s">
        <v>351</v>
      </c>
      <c r="V1554" s="74">
        <v>44609</v>
      </c>
      <c r="W1554" s="74">
        <v>44656</v>
      </c>
      <c r="X1554" s="55">
        <v>10207448</v>
      </c>
      <c r="Y1554" s="74" t="s">
        <v>132</v>
      </c>
      <c r="Z1554" s="74"/>
      <c r="AB1554" s="55" t="s">
        <v>132</v>
      </c>
      <c r="AC1554" s="55" t="s">
        <v>132</v>
      </c>
    </row>
    <row r="1555" spans="1:29" ht="13" x14ac:dyDescent="0.15">
      <c r="A1555" s="72" t="str">
        <f t="shared" si="24"/>
        <v>Ofsted Social Care Provider Webpage</v>
      </c>
      <c r="B1555" s="55">
        <v>2648508</v>
      </c>
      <c r="D1555" s="55" t="s">
        <v>373</v>
      </c>
      <c r="E1555" s="74">
        <v>44579</v>
      </c>
      <c r="F1555" s="55" t="s">
        <v>344</v>
      </c>
      <c r="G1555" s="55" t="s">
        <v>360</v>
      </c>
      <c r="H1555" s="55" t="s">
        <v>360</v>
      </c>
      <c r="I1555" s="55" t="s">
        <v>360</v>
      </c>
      <c r="J1555" s="55" t="s">
        <v>360</v>
      </c>
      <c r="K1555" s="55" t="s">
        <v>360</v>
      </c>
      <c r="L1555" s="55" t="s">
        <v>360</v>
      </c>
      <c r="M1555" s="55" t="s">
        <v>144</v>
      </c>
      <c r="N1555" s="55" t="s">
        <v>144</v>
      </c>
      <c r="O1555" s="55" t="s">
        <v>261</v>
      </c>
      <c r="P1555" s="55" t="s">
        <v>512</v>
      </c>
      <c r="Q1555" s="55" t="s">
        <v>350</v>
      </c>
      <c r="R1555" s="55">
        <v>3</v>
      </c>
      <c r="S1555" s="74"/>
      <c r="T1555" s="55" t="s">
        <v>886</v>
      </c>
      <c r="U1555" s="73"/>
      <c r="W1555" s="74"/>
      <c r="Y1555" s="74"/>
      <c r="Z1555" s="74"/>
    </row>
    <row r="1556" spans="1:29" ht="13" x14ac:dyDescent="0.15">
      <c r="A1556" s="72" t="str">
        <f t="shared" si="24"/>
        <v>Ofsted Social Care Provider Webpage</v>
      </c>
      <c r="B1556" s="55">
        <v>2648817</v>
      </c>
      <c r="D1556" s="55" t="s">
        <v>451</v>
      </c>
      <c r="E1556" s="74">
        <v>44494</v>
      </c>
      <c r="F1556" s="55" t="s">
        <v>344</v>
      </c>
      <c r="G1556" s="55" t="s">
        <v>2246</v>
      </c>
      <c r="H1556" s="55" t="s">
        <v>2247</v>
      </c>
      <c r="I1556" s="55" t="s">
        <v>2248</v>
      </c>
      <c r="J1556" s="55" t="s">
        <v>2249</v>
      </c>
      <c r="L1556" s="55" t="s">
        <v>2250</v>
      </c>
      <c r="M1556" s="55" t="s">
        <v>144</v>
      </c>
      <c r="N1556" s="55" t="s">
        <v>144</v>
      </c>
      <c r="O1556" s="55" t="s">
        <v>209</v>
      </c>
      <c r="P1556" s="55" t="s">
        <v>629</v>
      </c>
      <c r="Q1556" s="55" t="s">
        <v>350</v>
      </c>
      <c r="R1556" s="55">
        <v>5</v>
      </c>
      <c r="S1556" s="74"/>
      <c r="T1556" s="55" t="s">
        <v>2251</v>
      </c>
      <c r="U1556" s="73"/>
      <c r="W1556" s="74"/>
      <c r="Y1556" s="74"/>
      <c r="Z1556" s="74"/>
    </row>
    <row r="1557" spans="1:29" ht="13" x14ac:dyDescent="0.15">
      <c r="A1557" s="72" t="str">
        <f t="shared" si="24"/>
        <v>Ofsted Social Care Provider Webpage</v>
      </c>
      <c r="B1557" s="55">
        <v>2648868</v>
      </c>
      <c r="D1557" s="55" t="s">
        <v>373</v>
      </c>
      <c r="E1557" s="74">
        <v>44489</v>
      </c>
      <c r="F1557" s="55" t="s">
        <v>344</v>
      </c>
      <c r="G1557" s="55" t="s">
        <v>360</v>
      </c>
      <c r="H1557" s="55" t="s">
        <v>360</v>
      </c>
      <c r="I1557" s="55" t="s">
        <v>360</v>
      </c>
      <c r="J1557" s="55" t="s">
        <v>360</v>
      </c>
      <c r="K1557" s="55" t="s">
        <v>360</v>
      </c>
      <c r="L1557" s="55" t="s">
        <v>360</v>
      </c>
      <c r="M1557" s="55" t="s">
        <v>144</v>
      </c>
      <c r="N1557" s="55" t="s">
        <v>144</v>
      </c>
      <c r="O1557" s="55" t="s">
        <v>162</v>
      </c>
      <c r="P1557" s="55" t="s">
        <v>516</v>
      </c>
      <c r="Q1557" s="55" t="s">
        <v>350</v>
      </c>
      <c r="R1557" s="55">
        <v>5</v>
      </c>
      <c r="S1557" s="74"/>
      <c r="T1557" s="55" t="s">
        <v>2222</v>
      </c>
      <c r="U1557" s="73"/>
      <c r="W1557" s="74"/>
      <c r="Y1557" s="74"/>
      <c r="Z1557" s="74"/>
    </row>
    <row r="1558" spans="1:29" ht="13" x14ac:dyDescent="0.15">
      <c r="A1558" s="72" t="str">
        <f t="shared" si="24"/>
        <v>Ofsted Social Care Provider Webpage</v>
      </c>
      <c r="B1558" s="55">
        <v>2649739</v>
      </c>
      <c r="D1558" s="55" t="s">
        <v>373</v>
      </c>
      <c r="E1558" s="74">
        <v>44637</v>
      </c>
      <c r="F1558" s="55" t="s">
        <v>344</v>
      </c>
      <c r="G1558" s="55" t="s">
        <v>360</v>
      </c>
      <c r="H1558" s="55" t="s">
        <v>360</v>
      </c>
      <c r="I1558" s="55" t="s">
        <v>360</v>
      </c>
      <c r="J1558" s="55" t="s">
        <v>360</v>
      </c>
      <c r="K1558" s="55" t="s">
        <v>360</v>
      </c>
      <c r="L1558" s="55" t="s">
        <v>360</v>
      </c>
      <c r="M1558" s="55" t="s">
        <v>144</v>
      </c>
      <c r="N1558" s="55" t="s">
        <v>144</v>
      </c>
      <c r="O1558" s="55" t="s">
        <v>281</v>
      </c>
      <c r="P1558" s="55" t="s">
        <v>725</v>
      </c>
      <c r="Q1558" s="55" t="s">
        <v>350</v>
      </c>
      <c r="R1558" s="55">
        <v>1</v>
      </c>
      <c r="S1558" s="74"/>
      <c r="T1558" s="55" t="s">
        <v>517</v>
      </c>
      <c r="U1558" s="73"/>
      <c r="W1558" s="74"/>
      <c r="Y1558" s="74"/>
      <c r="Z1558" s="74"/>
    </row>
    <row r="1559" spans="1:29" ht="13" x14ac:dyDescent="0.15">
      <c r="A1559" s="72" t="str">
        <f t="shared" si="24"/>
        <v>Ofsted Social Care Provider Webpage</v>
      </c>
      <c r="B1559" s="55">
        <v>2649743</v>
      </c>
      <c r="D1559" s="55" t="s">
        <v>373</v>
      </c>
      <c r="E1559" s="74">
        <v>44637</v>
      </c>
      <c r="F1559" s="55" t="s">
        <v>344</v>
      </c>
      <c r="G1559" s="55" t="s">
        <v>360</v>
      </c>
      <c r="H1559" s="55" t="s">
        <v>360</v>
      </c>
      <c r="I1559" s="55" t="s">
        <v>360</v>
      </c>
      <c r="J1559" s="55" t="s">
        <v>360</v>
      </c>
      <c r="K1559" s="55" t="s">
        <v>360</v>
      </c>
      <c r="L1559" s="55" t="s">
        <v>360</v>
      </c>
      <c r="M1559" s="55" t="s">
        <v>144</v>
      </c>
      <c r="N1559" s="55" t="s">
        <v>144</v>
      </c>
      <c r="O1559" s="55" t="s">
        <v>281</v>
      </c>
      <c r="P1559" s="55" t="s">
        <v>725</v>
      </c>
      <c r="Q1559" s="55" t="s">
        <v>350</v>
      </c>
      <c r="R1559" s="55">
        <v>1</v>
      </c>
      <c r="S1559" s="74"/>
      <c r="T1559" s="55" t="s">
        <v>517</v>
      </c>
      <c r="U1559" s="73"/>
      <c r="W1559" s="74"/>
      <c r="Y1559" s="74"/>
      <c r="Z1559" s="74"/>
    </row>
    <row r="1560" spans="1:29" ht="13" x14ac:dyDescent="0.15">
      <c r="A1560" s="72" t="str">
        <f t="shared" si="24"/>
        <v>Ofsted Social Care Provider Webpage</v>
      </c>
      <c r="B1560" s="55">
        <v>2649745</v>
      </c>
      <c r="D1560" s="55" t="s">
        <v>373</v>
      </c>
      <c r="E1560" s="74">
        <v>44497</v>
      </c>
      <c r="F1560" s="55" t="s">
        <v>344</v>
      </c>
      <c r="G1560" s="55" t="s">
        <v>360</v>
      </c>
      <c r="H1560" s="55" t="s">
        <v>360</v>
      </c>
      <c r="I1560" s="55" t="s">
        <v>360</v>
      </c>
      <c r="J1560" s="55" t="s">
        <v>360</v>
      </c>
      <c r="K1560" s="55" t="s">
        <v>360</v>
      </c>
      <c r="L1560" s="55" t="s">
        <v>360</v>
      </c>
      <c r="M1560" s="55" t="s">
        <v>136</v>
      </c>
      <c r="N1560" s="55" t="s">
        <v>136</v>
      </c>
      <c r="O1560" s="55" t="s">
        <v>165</v>
      </c>
      <c r="P1560" s="55" t="s">
        <v>748</v>
      </c>
      <c r="Q1560" s="55" t="s">
        <v>350</v>
      </c>
      <c r="R1560" s="55">
        <v>1</v>
      </c>
      <c r="S1560" s="74"/>
      <c r="T1560" s="55" t="s">
        <v>385</v>
      </c>
      <c r="U1560" s="73"/>
      <c r="W1560" s="74"/>
      <c r="Y1560" s="74"/>
      <c r="Z1560" s="74"/>
    </row>
    <row r="1561" spans="1:29" ht="13" x14ac:dyDescent="0.15">
      <c r="A1561" s="72" t="str">
        <f t="shared" si="24"/>
        <v>Ofsted Social Care Provider Webpage</v>
      </c>
      <c r="B1561" s="55">
        <v>2649767</v>
      </c>
      <c r="D1561" s="55" t="s">
        <v>373</v>
      </c>
      <c r="E1561" s="74">
        <v>44582</v>
      </c>
      <c r="F1561" s="55" t="s">
        <v>344</v>
      </c>
      <c r="G1561" s="55" t="s">
        <v>360</v>
      </c>
      <c r="H1561" s="55" t="s">
        <v>360</v>
      </c>
      <c r="I1561" s="55" t="s">
        <v>360</v>
      </c>
      <c r="J1561" s="55" t="s">
        <v>360</v>
      </c>
      <c r="K1561" s="55" t="s">
        <v>360</v>
      </c>
      <c r="L1561" s="55" t="s">
        <v>360</v>
      </c>
      <c r="M1561" s="55" t="s">
        <v>129</v>
      </c>
      <c r="N1561" s="55" t="s">
        <v>129</v>
      </c>
      <c r="O1561" s="55" t="s">
        <v>194</v>
      </c>
      <c r="P1561" s="55" t="s">
        <v>1012</v>
      </c>
      <c r="Q1561" s="55" t="s">
        <v>350</v>
      </c>
      <c r="R1561" s="55">
        <v>3</v>
      </c>
      <c r="S1561" s="74"/>
      <c r="T1561" s="55" t="s">
        <v>2252</v>
      </c>
      <c r="U1561" s="73"/>
      <c r="W1561" s="74"/>
      <c r="Y1561" s="74"/>
      <c r="Z1561" s="74"/>
    </row>
    <row r="1562" spans="1:29" ht="13" x14ac:dyDescent="0.15">
      <c r="A1562" s="72" t="str">
        <f t="shared" si="24"/>
        <v>Ofsted Social Care Provider Webpage</v>
      </c>
      <c r="B1562" s="55">
        <v>2649772</v>
      </c>
      <c r="D1562" s="55" t="s">
        <v>373</v>
      </c>
      <c r="E1562" s="74">
        <v>44498</v>
      </c>
      <c r="F1562" s="55" t="s">
        <v>344</v>
      </c>
      <c r="G1562" s="55" t="s">
        <v>360</v>
      </c>
      <c r="H1562" s="55" t="s">
        <v>360</v>
      </c>
      <c r="I1562" s="55" t="s">
        <v>360</v>
      </c>
      <c r="J1562" s="55" t="s">
        <v>360</v>
      </c>
      <c r="K1562" s="55" t="s">
        <v>360</v>
      </c>
      <c r="L1562" s="55" t="s">
        <v>360</v>
      </c>
      <c r="M1562" s="55" t="s">
        <v>138</v>
      </c>
      <c r="N1562" s="55" t="s">
        <v>138</v>
      </c>
      <c r="O1562" s="55" t="s">
        <v>183</v>
      </c>
      <c r="P1562" s="55" t="s">
        <v>1500</v>
      </c>
      <c r="Q1562" s="55" t="s">
        <v>350</v>
      </c>
      <c r="R1562" s="55">
        <v>3</v>
      </c>
      <c r="S1562" s="74"/>
      <c r="T1562" s="55" t="s">
        <v>385</v>
      </c>
      <c r="U1562" s="73"/>
      <c r="W1562" s="74"/>
      <c r="Y1562" s="74"/>
      <c r="Z1562" s="74"/>
    </row>
    <row r="1563" spans="1:29" ht="13" x14ac:dyDescent="0.15">
      <c r="A1563" s="72" t="str">
        <f t="shared" si="24"/>
        <v>Ofsted Social Care Provider Webpage</v>
      </c>
      <c r="B1563" s="55">
        <v>2649904</v>
      </c>
      <c r="D1563" s="55" t="s">
        <v>373</v>
      </c>
      <c r="E1563" s="74">
        <v>44545</v>
      </c>
      <c r="F1563" s="55" t="s">
        <v>344</v>
      </c>
      <c r="G1563" s="55" t="s">
        <v>360</v>
      </c>
      <c r="H1563" s="55" t="s">
        <v>360</v>
      </c>
      <c r="I1563" s="55" t="s">
        <v>360</v>
      </c>
      <c r="J1563" s="55" t="s">
        <v>360</v>
      </c>
      <c r="K1563" s="55" t="s">
        <v>360</v>
      </c>
      <c r="L1563" s="55" t="s">
        <v>360</v>
      </c>
      <c r="M1563" s="55" t="s">
        <v>150</v>
      </c>
      <c r="N1563" s="55" t="s">
        <v>150</v>
      </c>
      <c r="O1563" s="55" t="s">
        <v>190</v>
      </c>
      <c r="P1563" s="55" t="s">
        <v>889</v>
      </c>
      <c r="Q1563" s="55" t="s">
        <v>350</v>
      </c>
      <c r="R1563" s="55">
        <v>2</v>
      </c>
      <c r="S1563" s="74"/>
      <c r="T1563" s="55" t="s">
        <v>1051</v>
      </c>
      <c r="U1563" s="73"/>
      <c r="W1563" s="74"/>
      <c r="Y1563" s="74"/>
      <c r="Z1563" s="74"/>
    </row>
    <row r="1564" spans="1:29" ht="13" x14ac:dyDescent="0.15">
      <c r="A1564" s="72" t="str">
        <f t="shared" si="24"/>
        <v>Ofsted Social Care Provider Webpage</v>
      </c>
      <c r="B1564" s="55">
        <v>2649926</v>
      </c>
      <c r="D1564" s="55" t="s">
        <v>373</v>
      </c>
      <c r="E1564" s="74">
        <v>44475</v>
      </c>
      <c r="F1564" s="55" t="s">
        <v>344</v>
      </c>
      <c r="G1564" s="55" t="s">
        <v>360</v>
      </c>
      <c r="H1564" s="55" t="s">
        <v>360</v>
      </c>
      <c r="I1564" s="55" t="s">
        <v>360</v>
      </c>
      <c r="J1564" s="55" t="s">
        <v>360</v>
      </c>
      <c r="K1564" s="55" t="s">
        <v>360</v>
      </c>
      <c r="L1564" s="55" t="s">
        <v>360</v>
      </c>
      <c r="M1564" s="55" t="s">
        <v>136</v>
      </c>
      <c r="N1564" s="55" t="s">
        <v>136</v>
      </c>
      <c r="O1564" s="55" t="s">
        <v>176</v>
      </c>
      <c r="P1564" s="55" t="s">
        <v>1832</v>
      </c>
      <c r="Q1564" s="55" t="s">
        <v>350</v>
      </c>
      <c r="R1564" s="55">
        <v>1</v>
      </c>
      <c r="S1564" s="74"/>
      <c r="T1564" s="55" t="s">
        <v>892</v>
      </c>
      <c r="U1564" s="73"/>
      <c r="W1564" s="74"/>
      <c r="Y1564" s="74"/>
      <c r="Z1564" s="74"/>
    </row>
    <row r="1565" spans="1:29" ht="13" x14ac:dyDescent="0.15">
      <c r="A1565" s="72" t="str">
        <f t="shared" si="24"/>
        <v>Ofsted Social Care Provider Webpage</v>
      </c>
      <c r="B1565" s="55">
        <v>2650054</v>
      </c>
      <c r="D1565" s="55" t="s">
        <v>373</v>
      </c>
      <c r="E1565" s="74">
        <v>44480</v>
      </c>
      <c r="F1565" s="55" t="s">
        <v>344</v>
      </c>
      <c r="G1565" s="55" t="s">
        <v>360</v>
      </c>
      <c r="H1565" s="55" t="s">
        <v>360</v>
      </c>
      <c r="I1565" s="55" t="s">
        <v>360</v>
      </c>
      <c r="J1565" s="55" t="s">
        <v>360</v>
      </c>
      <c r="K1565" s="55" t="s">
        <v>360</v>
      </c>
      <c r="L1565" s="55" t="s">
        <v>360</v>
      </c>
      <c r="M1565" s="55" t="s">
        <v>172</v>
      </c>
      <c r="N1565" s="55" t="s">
        <v>172</v>
      </c>
      <c r="O1565" s="55" t="s">
        <v>228</v>
      </c>
      <c r="P1565" s="55" t="s">
        <v>991</v>
      </c>
      <c r="Q1565" s="55" t="s">
        <v>350</v>
      </c>
      <c r="R1565" s="55">
        <v>6</v>
      </c>
      <c r="S1565" s="74"/>
      <c r="T1565" s="55" t="s">
        <v>656</v>
      </c>
      <c r="U1565" s="73" t="s">
        <v>351</v>
      </c>
      <c r="V1565" s="74">
        <v>44516</v>
      </c>
      <c r="W1565" s="74">
        <v>44551</v>
      </c>
      <c r="X1565" s="55">
        <v>10213247</v>
      </c>
      <c r="Y1565" s="74" t="s">
        <v>132</v>
      </c>
      <c r="Z1565" s="74"/>
      <c r="AB1565" s="55" t="s">
        <v>130</v>
      </c>
      <c r="AC1565" s="55" t="s">
        <v>130</v>
      </c>
    </row>
    <row r="1566" spans="1:29" ht="13" x14ac:dyDescent="0.15">
      <c r="A1566" s="72" t="str">
        <f t="shared" si="24"/>
        <v>Ofsted Social Care Provider Webpage</v>
      </c>
      <c r="B1566" s="55">
        <v>2650092</v>
      </c>
      <c r="D1566" s="55" t="s">
        <v>373</v>
      </c>
      <c r="E1566" s="74">
        <v>44530</v>
      </c>
      <c r="F1566" s="55" t="s">
        <v>344</v>
      </c>
      <c r="G1566" s="55" t="s">
        <v>360</v>
      </c>
      <c r="H1566" s="55" t="s">
        <v>360</v>
      </c>
      <c r="I1566" s="55" t="s">
        <v>360</v>
      </c>
      <c r="J1566" s="55" t="s">
        <v>360</v>
      </c>
      <c r="K1566" s="55" t="s">
        <v>360</v>
      </c>
      <c r="L1566" s="55" t="s">
        <v>360</v>
      </c>
      <c r="M1566" s="55" t="s">
        <v>378</v>
      </c>
      <c r="N1566" s="55" t="s">
        <v>170</v>
      </c>
      <c r="O1566" s="55" t="s">
        <v>178</v>
      </c>
      <c r="P1566" s="55" t="s">
        <v>905</v>
      </c>
      <c r="Q1566" s="55" t="s">
        <v>350</v>
      </c>
      <c r="R1566" s="55">
        <v>1</v>
      </c>
      <c r="S1566" s="74"/>
      <c r="T1566" s="55" t="s">
        <v>2253</v>
      </c>
      <c r="U1566" s="73"/>
      <c r="W1566" s="74"/>
      <c r="Y1566" s="74"/>
      <c r="Z1566" s="74"/>
    </row>
    <row r="1567" spans="1:29" ht="13" x14ac:dyDescent="0.15">
      <c r="A1567" s="72" t="str">
        <f t="shared" si="24"/>
        <v>Ofsted Social Care Provider Webpage</v>
      </c>
      <c r="B1567" s="55">
        <v>2650947</v>
      </c>
      <c r="D1567" s="55" t="s">
        <v>373</v>
      </c>
      <c r="E1567" s="74">
        <v>44518</v>
      </c>
      <c r="F1567" s="55" t="s">
        <v>344</v>
      </c>
      <c r="G1567" s="55" t="s">
        <v>360</v>
      </c>
      <c r="H1567" s="55" t="s">
        <v>360</v>
      </c>
      <c r="I1567" s="55" t="s">
        <v>360</v>
      </c>
      <c r="J1567" s="55" t="s">
        <v>360</v>
      </c>
      <c r="K1567" s="55" t="s">
        <v>360</v>
      </c>
      <c r="L1567" s="55" t="s">
        <v>360</v>
      </c>
      <c r="M1567" s="55" t="s">
        <v>136</v>
      </c>
      <c r="N1567" s="55" t="s">
        <v>136</v>
      </c>
      <c r="O1567" s="55" t="s">
        <v>176</v>
      </c>
      <c r="P1567" s="55" t="s">
        <v>526</v>
      </c>
      <c r="Q1567" s="55" t="s">
        <v>350</v>
      </c>
      <c r="R1567" s="55">
        <v>2</v>
      </c>
      <c r="S1567" s="74"/>
      <c r="T1567" s="55" t="s">
        <v>2254</v>
      </c>
      <c r="U1567" s="73"/>
      <c r="W1567" s="74"/>
      <c r="Y1567" s="74"/>
      <c r="Z1567" s="74"/>
    </row>
    <row r="1568" spans="1:29" ht="13" x14ac:dyDescent="0.15">
      <c r="A1568" s="72" t="str">
        <f t="shared" si="24"/>
        <v>Ofsted Social Care Provider Webpage</v>
      </c>
      <c r="B1568" s="55">
        <v>2650948</v>
      </c>
      <c r="D1568" s="55" t="s">
        <v>373</v>
      </c>
      <c r="E1568" s="74">
        <v>44525</v>
      </c>
      <c r="F1568" s="55" t="s">
        <v>344</v>
      </c>
      <c r="G1568" s="55" t="s">
        <v>360</v>
      </c>
      <c r="H1568" s="55" t="s">
        <v>360</v>
      </c>
      <c r="I1568" s="55" t="s">
        <v>360</v>
      </c>
      <c r="J1568" s="55" t="s">
        <v>360</v>
      </c>
      <c r="K1568" s="55" t="s">
        <v>360</v>
      </c>
      <c r="L1568" s="55" t="s">
        <v>360</v>
      </c>
      <c r="M1568" s="55" t="s">
        <v>142</v>
      </c>
      <c r="N1568" s="55" t="s">
        <v>142</v>
      </c>
      <c r="O1568" s="55" t="s">
        <v>272</v>
      </c>
      <c r="P1568" s="55" t="s">
        <v>653</v>
      </c>
      <c r="Q1568" s="55" t="s">
        <v>350</v>
      </c>
      <c r="R1568" s="55">
        <v>2</v>
      </c>
      <c r="S1568" s="74"/>
      <c r="T1568" s="55" t="s">
        <v>2255</v>
      </c>
      <c r="U1568" s="73"/>
      <c r="W1568" s="74"/>
      <c r="Y1568" s="74"/>
      <c r="Z1568" s="74"/>
    </row>
    <row r="1569" spans="1:29" ht="13" x14ac:dyDescent="0.15">
      <c r="A1569" s="72" t="str">
        <f t="shared" si="24"/>
        <v>Ofsted Social Care Provider Webpage</v>
      </c>
      <c r="B1569" s="55">
        <v>2650950</v>
      </c>
      <c r="D1569" s="55" t="s">
        <v>373</v>
      </c>
      <c r="E1569" s="74">
        <v>44487</v>
      </c>
      <c r="F1569" s="55" t="s">
        <v>344</v>
      </c>
      <c r="G1569" s="55" t="s">
        <v>360</v>
      </c>
      <c r="H1569" s="55" t="s">
        <v>360</v>
      </c>
      <c r="I1569" s="55" t="s">
        <v>360</v>
      </c>
      <c r="J1569" s="55" t="s">
        <v>360</v>
      </c>
      <c r="K1569" s="55" t="s">
        <v>360</v>
      </c>
      <c r="L1569" s="55" t="s">
        <v>360</v>
      </c>
      <c r="M1569" s="55" t="s">
        <v>144</v>
      </c>
      <c r="N1569" s="55" t="s">
        <v>144</v>
      </c>
      <c r="O1569" s="55" t="s">
        <v>290</v>
      </c>
      <c r="P1569" s="55" t="s">
        <v>1099</v>
      </c>
      <c r="Q1569" s="55" t="s">
        <v>350</v>
      </c>
      <c r="R1569" s="55">
        <v>3</v>
      </c>
      <c r="S1569" s="74"/>
      <c r="T1569" s="55" t="s">
        <v>2256</v>
      </c>
      <c r="U1569" s="73"/>
      <c r="W1569" s="74"/>
      <c r="Y1569" s="74"/>
      <c r="Z1569" s="74"/>
    </row>
    <row r="1570" spans="1:29" ht="13" x14ac:dyDescent="0.15">
      <c r="A1570" s="72" t="str">
        <f t="shared" si="24"/>
        <v>Ofsted Social Care Provider Webpage</v>
      </c>
      <c r="B1570" s="55">
        <v>2650952</v>
      </c>
      <c r="D1570" s="55" t="s">
        <v>373</v>
      </c>
      <c r="E1570" s="74">
        <v>44470</v>
      </c>
      <c r="F1570" s="55" t="s">
        <v>344</v>
      </c>
      <c r="G1570" s="55" t="s">
        <v>360</v>
      </c>
      <c r="H1570" s="55" t="s">
        <v>360</v>
      </c>
      <c r="I1570" s="55" t="s">
        <v>360</v>
      </c>
      <c r="J1570" s="55" t="s">
        <v>360</v>
      </c>
      <c r="K1570" s="55" t="s">
        <v>360</v>
      </c>
      <c r="L1570" s="55" t="s">
        <v>360</v>
      </c>
      <c r="M1570" s="55" t="s">
        <v>172</v>
      </c>
      <c r="N1570" s="55" t="s">
        <v>172</v>
      </c>
      <c r="O1570" s="55" t="s">
        <v>234</v>
      </c>
      <c r="P1570" s="55" t="s">
        <v>369</v>
      </c>
      <c r="Q1570" s="55" t="s">
        <v>350</v>
      </c>
      <c r="R1570" s="55">
        <v>4</v>
      </c>
      <c r="S1570" s="74"/>
      <c r="T1570" s="55" t="s">
        <v>2257</v>
      </c>
      <c r="U1570" s="73"/>
      <c r="W1570" s="74"/>
      <c r="Y1570" s="74"/>
      <c r="Z1570" s="74"/>
    </row>
    <row r="1571" spans="1:29" ht="13" x14ac:dyDescent="0.15">
      <c r="A1571" s="72" t="str">
        <f t="shared" si="24"/>
        <v>Ofsted Social Care Provider Webpage</v>
      </c>
      <c r="B1571" s="55">
        <v>2651004</v>
      </c>
      <c r="D1571" s="55" t="s">
        <v>389</v>
      </c>
      <c r="E1571" s="74">
        <v>44523</v>
      </c>
      <c r="F1571" s="55" t="s">
        <v>344</v>
      </c>
      <c r="G1571" s="55" t="s">
        <v>2258</v>
      </c>
      <c r="H1571" s="55" t="s">
        <v>2259</v>
      </c>
      <c r="I1571" s="55" t="s">
        <v>2260</v>
      </c>
      <c r="J1571" s="55" t="s">
        <v>210</v>
      </c>
      <c r="L1571" s="55" t="s">
        <v>2261</v>
      </c>
      <c r="M1571" s="55" t="s">
        <v>378</v>
      </c>
      <c r="N1571" s="55" t="s">
        <v>134</v>
      </c>
      <c r="O1571" s="55" t="s">
        <v>210</v>
      </c>
      <c r="P1571" s="55" t="s">
        <v>542</v>
      </c>
      <c r="Q1571" s="55" t="s">
        <v>350</v>
      </c>
      <c r="R1571" s="55"/>
      <c r="S1571" s="74"/>
      <c r="T1571" s="55" t="s">
        <v>2258</v>
      </c>
      <c r="U1571" s="73"/>
      <c r="W1571" s="74"/>
      <c r="Y1571" s="74"/>
      <c r="Z1571" s="74"/>
    </row>
    <row r="1572" spans="1:29" ht="13" x14ac:dyDescent="0.15">
      <c r="A1572" s="72" t="str">
        <f t="shared" si="24"/>
        <v>Ofsted Social Care Provider Webpage</v>
      </c>
      <c r="B1572" s="55">
        <v>2651014</v>
      </c>
      <c r="D1572" s="55" t="s">
        <v>451</v>
      </c>
      <c r="E1572" s="74">
        <v>44577</v>
      </c>
      <c r="F1572" s="55" t="s">
        <v>344</v>
      </c>
      <c r="G1572" s="55" t="s">
        <v>2262</v>
      </c>
      <c r="H1572" s="55" t="s">
        <v>2263</v>
      </c>
      <c r="I1572" s="55" t="s">
        <v>354</v>
      </c>
      <c r="J1572" s="55" t="s">
        <v>2264</v>
      </c>
      <c r="K1572" s="55" t="s">
        <v>209</v>
      </c>
      <c r="L1572" s="55" t="s">
        <v>2265</v>
      </c>
      <c r="M1572" s="55" t="s">
        <v>144</v>
      </c>
      <c r="N1572" s="55" t="s">
        <v>144</v>
      </c>
      <c r="O1572" s="55" t="s">
        <v>209</v>
      </c>
      <c r="P1572" s="55" t="s">
        <v>561</v>
      </c>
      <c r="Q1572" s="55" t="s">
        <v>350</v>
      </c>
      <c r="R1572" s="55">
        <v>5</v>
      </c>
      <c r="S1572" s="74"/>
      <c r="T1572" s="55" t="s">
        <v>2266</v>
      </c>
      <c r="U1572" s="73"/>
      <c r="W1572" s="74"/>
      <c r="Y1572" s="74"/>
      <c r="Z1572" s="74"/>
    </row>
    <row r="1573" spans="1:29" ht="13" x14ac:dyDescent="0.15">
      <c r="A1573" s="72" t="str">
        <f t="shared" si="24"/>
        <v>Ofsted Social Care Provider Webpage</v>
      </c>
      <c r="B1573" s="55">
        <v>2651405</v>
      </c>
      <c r="D1573" s="55" t="s">
        <v>373</v>
      </c>
      <c r="E1573" s="74">
        <v>44540</v>
      </c>
      <c r="F1573" s="55" t="s">
        <v>344</v>
      </c>
      <c r="G1573" s="55" t="s">
        <v>360</v>
      </c>
      <c r="H1573" s="55" t="s">
        <v>360</v>
      </c>
      <c r="I1573" s="55" t="s">
        <v>360</v>
      </c>
      <c r="J1573" s="55" t="s">
        <v>360</v>
      </c>
      <c r="K1573" s="55" t="s">
        <v>360</v>
      </c>
      <c r="L1573" s="55" t="s">
        <v>360</v>
      </c>
      <c r="M1573" s="55" t="s">
        <v>378</v>
      </c>
      <c r="N1573" s="55" t="s">
        <v>134</v>
      </c>
      <c r="O1573" s="55" t="s">
        <v>246</v>
      </c>
      <c r="P1573" s="55" t="s">
        <v>1104</v>
      </c>
      <c r="Q1573" s="55" t="s">
        <v>350</v>
      </c>
      <c r="R1573" s="55">
        <v>1</v>
      </c>
      <c r="S1573" s="74"/>
      <c r="T1573" s="55" t="s">
        <v>1751</v>
      </c>
      <c r="U1573" s="73"/>
      <c r="W1573" s="74"/>
      <c r="Y1573" s="74"/>
      <c r="Z1573" s="74"/>
    </row>
    <row r="1574" spans="1:29" ht="13" x14ac:dyDescent="0.15">
      <c r="A1574" s="72" t="str">
        <f t="shared" si="24"/>
        <v>Ofsted Social Care Provider Webpage</v>
      </c>
      <c r="B1574" s="55">
        <v>2651501</v>
      </c>
      <c r="D1574" s="55" t="s">
        <v>373</v>
      </c>
      <c r="E1574" s="74">
        <v>44475</v>
      </c>
      <c r="F1574" s="55" t="s">
        <v>344</v>
      </c>
      <c r="G1574" s="55" t="s">
        <v>360</v>
      </c>
      <c r="H1574" s="55" t="s">
        <v>360</v>
      </c>
      <c r="I1574" s="55" t="s">
        <v>360</v>
      </c>
      <c r="J1574" s="55" t="s">
        <v>360</v>
      </c>
      <c r="K1574" s="55" t="s">
        <v>360</v>
      </c>
      <c r="L1574" s="55" t="s">
        <v>360</v>
      </c>
      <c r="M1574" s="55" t="s">
        <v>136</v>
      </c>
      <c r="N1574" s="55" t="s">
        <v>136</v>
      </c>
      <c r="O1574" s="55" t="s">
        <v>185</v>
      </c>
      <c r="P1574" s="55" t="s">
        <v>898</v>
      </c>
      <c r="Q1574" s="55" t="s">
        <v>350</v>
      </c>
      <c r="R1574" s="55">
        <v>3</v>
      </c>
      <c r="S1574" s="74"/>
      <c r="T1574" s="55" t="s">
        <v>1115</v>
      </c>
      <c r="U1574" s="73"/>
      <c r="W1574" s="74"/>
      <c r="Y1574" s="74"/>
      <c r="Z1574" s="74"/>
    </row>
    <row r="1575" spans="1:29" ht="13" x14ac:dyDescent="0.15">
      <c r="A1575" s="72" t="str">
        <f t="shared" si="24"/>
        <v>Ofsted Social Care Provider Webpage</v>
      </c>
      <c r="B1575" s="55">
        <v>2651665</v>
      </c>
      <c r="D1575" s="55" t="s">
        <v>373</v>
      </c>
      <c r="E1575" s="74">
        <v>44453</v>
      </c>
      <c r="F1575" s="55" t="s">
        <v>344</v>
      </c>
      <c r="G1575" s="55" t="s">
        <v>360</v>
      </c>
      <c r="H1575" s="55" t="s">
        <v>360</v>
      </c>
      <c r="I1575" s="55" t="s">
        <v>360</v>
      </c>
      <c r="J1575" s="55" t="s">
        <v>360</v>
      </c>
      <c r="K1575" s="55" t="s">
        <v>360</v>
      </c>
      <c r="L1575" s="55" t="s">
        <v>360</v>
      </c>
      <c r="M1575" s="55" t="s">
        <v>138</v>
      </c>
      <c r="N1575" s="55" t="s">
        <v>138</v>
      </c>
      <c r="O1575" s="55" t="s">
        <v>266</v>
      </c>
      <c r="P1575" s="55" t="s">
        <v>1622</v>
      </c>
      <c r="Q1575" s="55" t="s">
        <v>350</v>
      </c>
      <c r="R1575" s="55">
        <v>4</v>
      </c>
      <c r="S1575" s="74"/>
      <c r="T1575" s="55" t="s">
        <v>1553</v>
      </c>
      <c r="U1575" s="73" t="s">
        <v>351</v>
      </c>
      <c r="V1575" s="74">
        <v>44593</v>
      </c>
      <c r="W1575" s="74">
        <v>44623</v>
      </c>
      <c r="X1575" s="55">
        <v>10209510</v>
      </c>
      <c r="Y1575" s="74" t="s">
        <v>132</v>
      </c>
      <c r="Z1575" s="74"/>
      <c r="AB1575" s="55" t="s">
        <v>130</v>
      </c>
      <c r="AC1575" s="55" t="s">
        <v>132</v>
      </c>
    </row>
    <row r="1576" spans="1:29" ht="13" x14ac:dyDescent="0.15">
      <c r="A1576" s="72" t="str">
        <f t="shared" si="24"/>
        <v>Ofsted Social Care Provider Webpage</v>
      </c>
      <c r="B1576" s="55">
        <v>2651753</v>
      </c>
      <c r="D1576" s="55" t="s">
        <v>373</v>
      </c>
      <c r="E1576" s="74">
        <v>44470</v>
      </c>
      <c r="F1576" s="55" t="s">
        <v>344</v>
      </c>
      <c r="G1576" s="55" t="s">
        <v>360</v>
      </c>
      <c r="H1576" s="55" t="s">
        <v>360</v>
      </c>
      <c r="I1576" s="55" t="s">
        <v>360</v>
      </c>
      <c r="J1576" s="55" t="s">
        <v>360</v>
      </c>
      <c r="K1576" s="55" t="s">
        <v>360</v>
      </c>
      <c r="L1576" s="55" t="s">
        <v>360</v>
      </c>
      <c r="M1576" s="55" t="s">
        <v>172</v>
      </c>
      <c r="N1576" s="55" t="s">
        <v>172</v>
      </c>
      <c r="O1576" s="55" t="s">
        <v>173</v>
      </c>
      <c r="P1576" s="55" t="s">
        <v>1540</v>
      </c>
      <c r="Q1576" s="55" t="s">
        <v>350</v>
      </c>
      <c r="R1576" s="55">
        <v>5</v>
      </c>
      <c r="S1576" s="74"/>
      <c r="T1576" s="55" t="s">
        <v>2267</v>
      </c>
      <c r="U1576" s="73"/>
      <c r="W1576" s="74"/>
      <c r="Y1576" s="74"/>
      <c r="Z1576" s="74"/>
    </row>
    <row r="1577" spans="1:29" ht="13" x14ac:dyDescent="0.15">
      <c r="A1577" s="72" t="str">
        <f t="shared" si="24"/>
        <v>Ofsted Social Care Provider Webpage</v>
      </c>
      <c r="B1577" s="55">
        <v>2651800</v>
      </c>
      <c r="D1577" s="55" t="s">
        <v>373</v>
      </c>
      <c r="E1577" s="74">
        <v>44494</v>
      </c>
      <c r="F1577" s="55" t="s">
        <v>344</v>
      </c>
      <c r="G1577" s="55" t="s">
        <v>360</v>
      </c>
      <c r="H1577" s="55" t="s">
        <v>360</v>
      </c>
      <c r="I1577" s="55" t="s">
        <v>360</v>
      </c>
      <c r="J1577" s="55" t="s">
        <v>360</v>
      </c>
      <c r="K1577" s="55" t="s">
        <v>360</v>
      </c>
      <c r="L1577" s="55" t="s">
        <v>360</v>
      </c>
      <c r="M1577" s="55" t="s">
        <v>144</v>
      </c>
      <c r="N1577" s="55" t="s">
        <v>144</v>
      </c>
      <c r="O1577" s="55" t="s">
        <v>217</v>
      </c>
      <c r="P1577" s="55" t="s">
        <v>384</v>
      </c>
      <c r="Q1577" s="55" t="s">
        <v>350</v>
      </c>
      <c r="R1577" s="55">
        <v>3</v>
      </c>
      <c r="S1577" s="74"/>
      <c r="T1577" s="55" t="s">
        <v>2268</v>
      </c>
      <c r="U1577" s="73"/>
      <c r="W1577" s="74"/>
      <c r="Y1577" s="74"/>
      <c r="Z1577" s="74"/>
    </row>
    <row r="1578" spans="1:29" ht="13" x14ac:dyDescent="0.15">
      <c r="A1578" s="72" t="str">
        <f t="shared" si="24"/>
        <v>Ofsted Social Care Provider Webpage</v>
      </c>
      <c r="B1578" s="55">
        <v>2651802</v>
      </c>
      <c r="D1578" s="55" t="s">
        <v>373</v>
      </c>
      <c r="E1578" s="74">
        <v>44547</v>
      </c>
      <c r="F1578" s="55" t="s">
        <v>344</v>
      </c>
      <c r="G1578" s="55" t="s">
        <v>360</v>
      </c>
      <c r="H1578" s="55" t="s">
        <v>360</v>
      </c>
      <c r="I1578" s="55" t="s">
        <v>360</v>
      </c>
      <c r="J1578" s="55" t="s">
        <v>360</v>
      </c>
      <c r="K1578" s="55" t="s">
        <v>360</v>
      </c>
      <c r="L1578" s="55" t="s">
        <v>360</v>
      </c>
      <c r="M1578" s="55" t="s">
        <v>129</v>
      </c>
      <c r="N1578" s="55" t="s">
        <v>129</v>
      </c>
      <c r="O1578" s="55" t="s">
        <v>242</v>
      </c>
      <c r="P1578" s="55" t="s">
        <v>1519</v>
      </c>
      <c r="Q1578" s="55" t="s">
        <v>350</v>
      </c>
      <c r="R1578" s="55">
        <v>7</v>
      </c>
      <c r="S1578" s="74"/>
      <c r="T1578" s="55" t="s">
        <v>2269</v>
      </c>
      <c r="U1578" s="73"/>
      <c r="W1578" s="74"/>
      <c r="Y1578" s="74"/>
      <c r="Z1578" s="74"/>
    </row>
    <row r="1579" spans="1:29" ht="13" x14ac:dyDescent="0.15">
      <c r="A1579" s="72" t="str">
        <f t="shared" si="24"/>
        <v>Ofsted Social Care Provider Webpage</v>
      </c>
      <c r="B1579" s="55">
        <v>2651806</v>
      </c>
      <c r="D1579" s="55" t="s">
        <v>373</v>
      </c>
      <c r="E1579" s="74">
        <v>44525</v>
      </c>
      <c r="F1579" s="55" t="s">
        <v>344</v>
      </c>
      <c r="G1579" s="55" t="s">
        <v>360</v>
      </c>
      <c r="H1579" s="55" t="s">
        <v>360</v>
      </c>
      <c r="I1579" s="55" t="s">
        <v>360</v>
      </c>
      <c r="J1579" s="55" t="s">
        <v>360</v>
      </c>
      <c r="K1579" s="55" t="s">
        <v>360</v>
      </c>
      <c r="L1579" s="55" t="s">
        <v>360</v>
      </c>
      <c r="M1579" s="55" t="s">
        <v>150</v>
      </c>
      <c r="N1579" s="55" t="s">
        <v>150</v>
      </c>
      <c r="O1579" s="55" t="s">
        <v>203</v>
      </c>
      <c r="P1579" s="55" t="s">
        <v>593</v>
      </c>
      <c r="Q1579" s="55" t="s">
        <v>350</v>
      </c>
      <c r="R1579" s="55">
        <v>4</v>
      </c>
      <c r="S1579" s="74"/>
      <c r="T1579" s="55" t="s">
        <v>2270</v>
      </c>
      <c r="U1579" s="73"/>
      <c r="W1579" s="74"/>
      <c r="Y1579" s="74"/>
      <c r="Z1579" s="74"/>
    </row>
    <row r="1580" spans="1:29" ht="13" x14ac:dyDescent="0.15">
      <c r="A1580" s="72" t="str">
        <f t="shared" si="24"/>
        <v>Ofsted Social Care Provider Webpage</v>
      </c>
      <c r="B1580" s="55">
        <v>2651807</v>
      </c>
      <c r="D1580" s="55" t="s">
        <v>373</v>
      </c>
      <c r="E1580" s="74">
        <v>44467</v>
      </c>
      <c r="F1580" s="55" t="s">
        <v>344</v>
      </c>
      <c r="G1580" s="55" t="s">
        <v>360</v>
      </c>
      <c r="H1580" s="55" t="s">
        <v>360</v>
      </c>
      <c r="I1580" s="55" t="s">
        <v>360</v>
      </c>
      <c r="J1580" s="55" t="s">
        <v>360</v>
      </c>
      <c r="K1580" s="55" t="s">
        <v>360</v>
      </c>
      <c r="L1580" s="55" t="s">
        <v>360</v>
      </c>
      <c r="M1580" s="55" t="s">
        <v>144</v>
      </c>
      <c r="N1580" s="55" t="s">
        <v>144</v>
      </c>
      <c r="O1580" s="55" t="s">
        <v>163</v>
      </c>
      <c r="P1580" s="55" t="s">
        <v>472</v>
      </c>
      <c r="Q1580" s="55" t="s">
        <v>350</v>
      </c>
      <c r="R1580" s="55">
        <v>4</v>
      </c>
      <c r="S1580" s="74"/>
      <c r="T1580" s="55" t="s">
        <v>615</v>
      </c>
      <c r="U1580" s="73"/>
      <c r="W1580" s="74"/>
      <c r="Y1580" s="74"/>
      <c r="Z1580" s="74"/>
    </row>
    <row r="1581" spans="1:29" ht="13" x14ac:dyDescent="0.15">
      <c r="A1581" s="72" t="str">
        <f t="shared" si="24"/>
        <v>Ofsted Social Care Provider Webpage</v>
      </c>
      <c r="B1581" s="55">
        <v>2651823</v>
      </c>
      <c r="D1581" s="55" t="s">
        <v>373</v>
      </c>
      <c r="E1581" s="74">
        <v>44475</v>
      </c>
      <c r="F1581" s="55" t="s">
        <v>344</v>
      </c>
      <c r="G1581" s="55" t="s">
        <v>360</v>
      </c>
      <c r="H1581" s="55" t="s">
        <v>360</v>
      </c>
      <c r="I1581" s="55" t="s">
        <v>360</v>
      </c>
      <c r="J1581" s="55" t="s">
        <v>360</v>
      </c>
      <c r="K1581" s="55" t="s">
        <v>360</v>
      </c>
      <c r="L1581" s="55" t="s">
        <v>360</v>
      </c>
      <c r="M1581" s="55" t="s">
        <v>142</v>
      </c>
      <c r="N1581" s="55" t="s">
        <v>142</v>
      </c>
      <c r="O1581" s="55" t="s">
        <v>293</v>
      </c>
      <c r="P1581" s="55" t="s">
        <v>1136</v>
      </c>
      <c r="Q1581" s="55" t="s">
        <v>350</v>
      </c>
      <c r="R1581" s="55">
        <v>3</v>
      </c>
      <c r="S1581" s="74"/>
      <c r="T1581" s="55" t="s">
        <v>1417</v>
      </c>
      <c r="U1581" s="73"/>
      <c r="W1581" s="74"/>
      <c r="Y1581" s="74"/>
      <c r="Z1581" s="74"/>
    </row>
    <row r="1582" spans="1:29" ht="13" x14ac:dyDescent="0.15">
      <c r="A1582" s="72" t="str">
        <f t="shared" si="24"/>
        <v>Ofsted Social Care Provider Webpage</v>
      </c>
      <c r="B1582" s="55">
        <v>2652096</v>
      </c>
      <c r="D1582" s="55" t="s">
        <v>373</v>
      </c>
      <c r="E1582" s="74">
        <v>44498</v>
      </c>
      <c r="F1582" s="55" t="s">
        <v>344</v>
      </c>
      <c r="G1582" s="55" t="s">
        <v>360</v>
      </c>
      <c r="H1582" s="55" t="s">
        <v>360</v>
      </c>
      <c r="I1582" s="55" t="s">
        <v>360</v>
      </c>
      <c r="J1582" s="55" t="s">
        <v>360</v>
      </c>
      <c r="K1582" s="55" t="s">
        <v>360</v>
      </c>
      <c r="L1582" s="55" t="s">
        <v>360</v>
      </c>
      <c r="M1582" s="55" t="s">
        <v>136</v>
      </c>
      <c r="N1582" s="55" t="s">
        <v>136</v>
      </c>
      <c r="O1582" s="55" t="s">
        <v>165</v>
      </c>
      <c r="P1582" s="55" t="s">
        <v>720</v>
      </c>
      <c r="Q1582" s="55" t="s">
        <v>350</v>
      </c>
      <c r="R1582" s="55">
        <v>4</v>
      </c>
      <c r="S1582" s="74"/>
      <c r="T1582" s="55" t="s">
        <v>1991</v>
      </c>
      <c r="U1582" s="73"/>
      <c r="W1582" s="74"/>
      <c r="Y1582" s="74"/>
      <c r="Z1582" s="74"/>
    </row>
    <row r="1583" spans="1:29" ht="13" x14ac:dyDescent="0.15">
      <c r="A1583" s="72" t="str">
        <f t="shared" si="24"/>
        <v>Ofsted Social Care Provider Webpage</v>
      </c>
      <c r="B1583" s="55">
        <v>2652383</v>
      </c>
      <c r="D1583" s="55" t="s">
        <v>373</v>
      </c>
      <c r="E1583" s="74">
        <v>44440</v>
      </c>
      <c r="F1583" s="55" t="s">
        <v>344</v>
      </c>
      <c r="G1583" s="55" t="s">
        <v>360</v>
      </c>
      <c r="H1583" s="55" t="s">
        <v>360</v>
      </c>
      <c r="I1583" s="55" t="s">
        <v>360</v>
      </c>
      <c r="J1583" s="55" t="s">
        <v>360</v>
      </c>
      <c r="K1583" s="55" t="s">
        <v>360</v>
      </c>
      <c r="L1583" s="55" t="s">
        <v>360</v>
      </c>
      <c r="M1583" s="55" t="s">
        <v>138</v>
      </c>
      <c r="N1583" s="55" t="s">
        <v>138</v>
      </c>
      <c r="O1583" s="55" t="s">
        <v>224</v>
      </c>
      <c r="P1583" s="55" t="s">
        <v>2271</v>
      </c>
      <c r="Q1583" s="55" t="s">
        <v>380</v>
      </c>
      <c r="R1583" s="55">
        <v>2</v>
      </c>
      <c r="S1583" s="74"/>
      <c r="T1583" s="55" t="s">
        <v>2272</v>
      </c>
      <c r="U1583" s="73" t="s">
        <v>351</v>
      </c>
      <c r="V1583" s="74">
        <v>44580</v>
      </c>
      <c r="W1583" s="74">
        <v>44607</v>
      </c>
      <c r="X1583" s="55">
        <v>10209739</v>
      </c>
      <c r="Y1583" s="74" t="s">
        <v>132</v>
      </c>
      <c r="Z1583" s="74"/>
      <c r="AB1583" s="55" t="s">
        <v>132</v>
      </c>
      <c r="AC1583" s="55" t="s">
        <v>132</v>
      </c>
    </row>
    <row r="1584" spans="1:29" ht="13" x14ac:dyDescent="0.15">
      <c r="A1584" s="72" t="str">
        <f t="shared" si="24"/>
        <v>Ofsted Social Care Provider Webpage</v>
      </c>
      <c r="B1584" s="55">
        <v>2652468</v>
      </c>
      <c r="D1584" s="55" t="s">
        <v>373</v>
      </c>
      <c r="E1584" s="74">
        <v>44442</v>
      </c>
      <c r="F1584" s="55" t="s">
        <v>344</v>
      </c>
      <c r="G1584" s="55" t="s">
        <v>360</v>
      </c>
      <c r="H1584" s="55" t="s">
        <v>360</v>
      </c>
      <c r="I1584" s="55" t="s">
        <v>360</v>
      </c>
      <c r="J1584" s="55" t="s">
        <v>360</v>
      </c>
      <c r="K1584" s="55" t="s">
        <v>360</v>
      </c>
      <c r="L1584" s="55" t="s">
        <v>360</v>
      </c>
      <c r="M1584" s="55" t="s">
        <v>136</v>
      </c>
      <c r="N1584" s="55" t="s">
        <v>136</v>
      </c>
      <c r="O1584" s="55" t="s">
        <v>705</v>
      </c>
      <c r="P1584" s="55" t="s">
        <v>2273</v>
      </c>
      <c r="Q1584" s="55" t="s">
        <v>350</v>
      </c>
      <c r="R1584" s="55">
        <v>1</v>
      </c>
      <c r="S1584" s="74"/>
      <c r="T1584" s="55" t="s">
        <v>2047</v>
      </c>
      <c r="U1584" s="73" t="s">
        <v>351</v>
      </c>
      <c r="V1584" s="74">
        <v>44586</v>
      </c>
      <c r="W1584" s="74">
        <v>44649</v>
      </c>
      <c r="X1584" s="55">
        <v>10209363</v>
      </c>
      <c r="Y1584" s="74" t="s">
        <v>132</v>
      </c>
      <c r="Z1584" s="74"/>
      <c r="AB1584" s="55" t="s">
        <v>130</v>
      </c>
      <c r="AC1584" s="55" t="s">
        <v>132</v>
      </c>
    </row>
    <row r="1585" spans="1:29" ht="13" x14ac:dyDescent="0.15">
      <c r="A1585" s="72" t="str">
        <f t="shared" si="24"/>
        <v>Ofsted Social Care Provider Webpage</v>
      </c>
      <c r="B1585" s="55">
        <v>2652546</v>
      </c>
      <c r="D1585" s="55" t="s">
        <v>373</v>
      </c>
      <c r="E1585" s="74">
        <v>44599</v>
      </c>
      <c r="F1585" s="55" t="s">
        <v>344</v>
      </c>
      <c r="G1585" s="55" t="s">
        <v>360</v>
      </c>
      <c r="H1585" s="55" t="s">
        <v>360</v>
      </c>
      <c r="I1585" s="55" t="s">
        <v>360</v>
      </c>
      <c r="J1585" s="55" t="s">
        <v>360</v>
      </c>
      <c r="K1585" s="55" t="s">
        <v>360</v>
      </c>
      <c r="L1585" s="55" t="s">
        <v>360</v>
      </c>
      <c r="M1585" s="55" t="s">
        <v>142</v>
      </c>
      <c r="N1585" s="55" t="s">
        <v>142</v>
      </c>
      <c r="O1585" s="55" t="s">
        <v>249</v>
      </c>
      <c r="P1585" s="55" t="s">
        <v>1406</v>
      </c>
      <c r="Q1585" s="55" t="s">
        <v>350</v>
      </c>
      <c r="R1585" s="55">
        <v>4</v>
      </c>
      <c r="S1585" s="74"/>
      <c r="T1585" s="55" t="s">
        <v>2049</v>
      </c>
      <c r="U1585" s="73"/>
      <c r="W1585" s="74"/>
      <c r="Y1585" s="74"/>
      <c r="Z1585" s="74"/>
    </row>
    <row r="1586" spans="1:29" ht="13" x14ac:dyDescent="0.15">
      <c r="A1586" s="72" t="str">
        <f t="shared" si="24"/>
        <v>Ofsted Social Care Provider Webpage</v>
      </c>
      <c r="B1586" s="55">
        <v>2652672</v>
      </c>
      <c r="D1586" s="55" t="s">
        <v>373</v>
      </c>
      <c r="E1586" s="74">
        <v>44544</v>
      </c>
      <c r="F1586" s="55" t="s">
        <v>344</v>
      </c>
      <c r="G1586" s="55" t="s">
        <v>360</v>
      </c>
      <c r="H1586" s="55" t="s">
        <v>360</v>
      </c>
      <c r="I1586" s="55" t="s">
        <v>360</v>
      </c>
      <c r="J1586" s="55" t="s">
        <v>360</v>
      </c>
      <c r="K1586" s="55" t="s">
        <v>360</v>
      </c>
      <c r="L1586" s="55" t="s">
        <v>360</v>
      </c>
      <c r="M1586" s="55" t="s">
        <v>172</v>
      </c>
      <c r="N1586" s="55" t="s">
        <v>172</v>
      </c>
      <c r="O1586" s="55" t="s">
        <v>212</v>
      </c>
      <c r="P1586" s="55" t="s">
        <v>883</v>
      </c>
      <c r="Q1586" s="55" t="s">
        <v>350</v>
      </c>
      <c r="R1586" s="55">
        <v>2</v>
      </c>
      <c r="S1586" s="74"/>
      <c r="T1586" s="55" t="s">
        <v>2274</v>
      </c>
      <c r="U1586" s="73"/>
      <c r="W1586" s="74"/>
      <c r="Y1586" s="74"/>
      <c r="Z1586" s="74"/>
    </row>
    <row r="1587" spans="1:29" ht="13" x14ac:dyDescent="0.15">
      <c r="A1587" s="72" t="str">
        <f t="shared" si="24"/>
        <v>Ofsted Social Care Provider Webpage</v>
      </c>
      <c r="B1587" s="55">
        <v>2652939</v>
      </c>
      <c r="D1587" s="55" t="s">
        <v>373</v>
      </c>
      <c r="E1587" s="74">
        <v>44496</v>
      </c>
      <c r="F1587" s="55" t="s">
        <v>344</v>
      </c>
      <c r="G1587" s="55" t="s">
        <v>360</v>
      </c>
      <c r="H1587" s="55" t="s">
        <v>360</v>
      </c>
      <c r="I1587" s="55" t="s">
        <v>360</v>
      </c>
      <c r="J1587" s="55" t="s">
        <v>360</v>
      </c>
      <c r="K1587" s="55" t="s">
        <v>360</v>
      </c>
      <c r="L1587" s="55" t="s">
        <v>360</v>
      </c>
      <c r="M1587" s="55" t="s">
        <v>138</v>
      </c>
      <c r="N1587" s="55" t="s">
        <v>138</v>
      </c>
      <c r="O1587" s="55" t="s">
        <v>266</v>
      </c>
      <c r="P1587" s="55" t="s">
        <v>1522</v>
      </c>
      <c r="Q1587" s="55" t="s">
        <v>350</v>
      </c>
      <c r="R1587" s="55">
        <v>5</v>
      </c>
      <c r="S1587" s="74"/>
      <c r="T1587" s="55" t="s">
        <v>2275</v>
      </c>
      <c r="U1587" s="73"/>
      <c r="W1587" s="74"/>
      <c r="Y1587" s="74"/>
      <c r="Z1587" s="74"/>
    </row>
    <row r="1588" spans="1:29" ht="13" x14ac:dyDescent="0.15">
      <c r="A1588" s="72" t="str">
        <f t="shared" si="24"/>
        <v>Ofsted Social Care Provider Webpage</v>
      </c>
      <c r="B1588" s="55">
        <v>2652976</v>
      </c>
      <c r="D1588" s="55" t="s">
        <v>373</v>
      </c>
      <c r="E1588" s="74">
        <v>44497</v>
      </c>
      <c r="F1588" s="55" t="s">
        <v>344</v>
      </c>
      <c r="G1588" s="55" t="s">
        <v>360</v>
      </c>
      <c r="H1588" s="55" t="s">
        <v>360</v>
      </c>
      <c r="I1588" s="55" t="s">
        <v>360</v>
      </c>
      <c r="J1588" s="55" t="s">
        <v>360</v>
      </c>
      <c r="K1588" s="55" t="s">
        <v>360</v>
      </c>
      <c r="L1588" s="55" t="s">
        <v>360</v>
      </c>
      <c r="M1588" s="55" t="s">
        <v>144</v>
      </c>
      <c r="N1588" s="55" t="s">
        <v>144</v>
      </c>
      <c r="O1588" s="55" t="s">
        <v>188</v>
      </c>
      <c r="P1588" s="55" t="s">
        <v>188</v>
      </c>
      <c r="Q1588" s="55" t="s">
        <v>350</v>
      </c>
      <c r="R1588" s="55">
        <v>5</v>
      </c>
      <c r="S1588" s="74"/>
      <c r="T1588" s="55" t="s">
        <v>1885</v>
      </c>
      <c r="U1588" s="73"/>
      <c r="W1588" s="74"/>
      <c r="Y1588" s="74"/>
      <c r="Z1588" s="74"/>
    </row>
    <row r="1589" spans="1:29" ht="13" x14ac:dyDescent="0.15">
      <c r="A1589" s="72" t="str">
        <f t="shared" si="24"/>
        <v>Ofsted Social Care Provider Webpage</v>
      </c>
      <c r="B1589" s="55">
        <v>2653112</v>
      </c>
      <c r="D1589" s="55" t="s">
        <v>373</v>
      </c>
      <c r="E1589" s="74">
        <v>44601</v>
      </c>
      <c r="F1589" s="55" t="s">
        <v>344</v>
      </c>
      <c r="G1589" s="55" t="s">
        <v>360</v>
      </c>
      <c r="H1589" s="55" t="s">
        <v>360</v>
      </c>
      <c r="I1589" s="55" t="s">
        <v>360</v>
      </c>
      <c r="J1589" s="55" t="s">
        <v>360</v>
      </c>
      <c r="K1589" s="55" t="s">
        <v>360</v>
      </c>
      <c r="L1589" s="55" t="s">
        <v>360</v>
      </c>
      <c r="M1589" s="55" t="s">
        <v>144</v>
      </c>
      <c r="N1589" s="55" t="s">
        <v>144</v>
      </c>
      <c r="O1589" s="55" t="s">
        <v>209</v>
      </c>
      <c r="P1589" s="55" t="s">
        <v>629</v>
      </c>
      <c r="Q1589" s="55" t="s">
        <v>350</v>
      </c>
      <c r="R1589" s="55">
        <v>3</v>
      </c>
      <c r="S1589" s="74"/>
      <c r="T1589" s="55" t="s">
        <v>2276</v>
      </c>
      <c r="U1589" s="73"/>
      <c r="W1589" s="74"/>
      <c r="Y1589" s="74"/>
      <c r="Z1589" s="74"/>
    </row>
    <row r="1590" spans="1:29" ht="13" x14ac:dyDescent="0.15">
      <c r="A1590" s="72" t="str">
        <f t="shared" si="24"/>
        <v>Ofsted Social Care Provider Webpage</v>
      </c>
      <c r="B1590" s="55">
        <v>2653207</v>
      </c>
      <c r="D1590" s="55" t="s">
        <v>373</v>
      </c>
      <c r="E1590" s="74">
        <v>44496</v>
      </c>
      <c r="F1590" s="55" t="s">
        <v>344</v>
      </c>
      <c r="G1590" s="55" t="s">
        <v>360</v>
      </c>
      <c r="H1590" s="55" t="s">
        <v>360</v>
      </c>
      <c r="I1590" s="55" t="s">
        <v>360</v>
      </c>
      <c r="J1590" s="55" t="s">
        <v>360</v>
      </c>
      <c r="K1590" s="55" t="s">
        <v>360</v>
      </c>
      <c r="L1590" s="55" t="s">
        <v>360</v>
      </c>
      <c r="M1590" s="55" t="s">
        <v>144</v>
      </c>
      <c r="N1590" s="55" t="s">
        <v>144</v>
      </c>
      <c r="O1590" s="55" t="s">
        <v>287</v>
      </c>
      <c r="P1590" s="55" t="s">
        <v>815</v>
      </c>
      <c r="Q1590" s="55" t="s">
        <v>350</v>
      </c>
      <c r="R1590" s="55">
        <v>1</v>
      </c>
      <c r="S1590" s="74"/>
      <c r="T1590" s="55" t="s">
        <v>1272</v>
      </c>
      <c r="U1590" s="73"/>
      <c r="W1590" s="74"/>
      <c r="Y1590" s="74"/>
      <c r="Z1590" s="74"/>
    </row>
    <row r="1591" spans="1:29" ht="13" x14ac:dyDescent="0.15">
      <c r="A1591" s="72" t="str">
        <f t="shared" si="24"/>
        <v>Ofsted Social Care Provider Webpage</v>
      </c>
      <c r="B1591" s="55">
        <v>2653835</v>
      </c>
      <c r="D1591" s="55" t="s">
        <v>373</v>
      </c>
      <c r="E1591" s="74">
        <v>44522</v>
      </c>
      <c r="F1591" s="55" t="s">
        <v>344</v>
      </c>
      <c r="G1591" s="55" t="s">
        <v>360</v>
      </c>
      <c r="H1591" s="55" t="s">
        <v>360</v>
      </c>
      <c r="I1591" s="55" t="s">
        <v>360</v>
      </c>
      <c r="J1591" s="55" t="s">
        <v>360</v>
      </c>
      <c r="K1591" s="55" t="s">
        <v>360</v>
      </c>
      <c r="L1591" s="55" t="s">
        <v>360</v>
      </c>
      <c r="M1591" s="55" t="s">
        <v>378</v>
      </c>
      <c r="N1591" s="55" t="s">
        <v>134</v>
      </c>
      <c r="O1591" s="55" t="s">
        <v>151</v>
      </c>
      <c r="P1591" s="55" t="s">
        <v>862</v>
      </c>
      <c r="Q1591" s="55" t="s">
        <v>350</v>
      </c>
      <c r="R1591" s="55">
        <v>1</v>
      </c>
      <c r="S1591" s="74"/>
      <c r="T1591" s="55" t="s">
        <v>493</v>
      </c>
      <c r="U1591" s="73"/>
      <c r="W1591" s="74"/>
      <c r="Y1591" s="74"/>
      <c r="Z1591" s="74"/>
    </row>
    <row r="1592" spans="1:29" ht="13" x14ac:dyDescent="0.15">
      <c r="A1592" s="72" t="str">
        <f t="shared" si="24"/>
        <v>Ofsted Social Care Provider Webpage</v>
      </c>
      <c r="B1592" s="55">
        <v>2653894</v>
      </c>
      <c r="D1592" s="55" t="s">
        <v>373</v>
      </c>
      <c r="E1592" s="74">
        <v>44566</v>
      </c>
      <c r="F1592" s="55" t="s">
        <v>344</v>
      </c>
      <c r="G1592" s="55" t="s">
        <v>360</v>
      </c>
      <c r="H1592" s="55" t="s">
        <v>360</v>
      </c>
      <c r="I1592" s="55" t="s">
        <v>360</v>
      </c>
      <c r="J1592" s="55" t="s">
        <v>360</v>
      </c>
      <c r="K1592" s="55" t="s">
        <v>360</v>
      </c>
      <c r="L1592" s="55" t="s">
        <v>360</v>
      </c>
      <c r="M1592" s="55" t="s">
        <v>129</v>
      </c>
      <c r="N1592" s="55" t="s">
        <v>129</v>
      </c>
      <c r="O1592" s="55" t="s">
        <v>152</v>
      </c>
      <c r="P1592" s="55" t="s">
        <v>1994</v>
      </c>
      <c r="Q1592" s="55" t="s">
        <v>350</v>
      </c>
      <c r="R1592" s="55">
        <v>4</v>
      </c>
      <c r="S1592" s="74"/>
      <c r="T1592" s="55" t="s">
        <v>2277</v>
      </c>
      <c r="U1592" s="73"/>
      <c r="W1592" s="74"/>
      <c r="Y1592" s="74"/>
      <c r="Z1592" s="74"/>
    </row>
    <row r="1593" spans="1:29" ht="13" x14ac:dyDescent="0.15">
      <c r="A1593" s="72" t="str">
        <f t="shared" si="24"/>
        <v>Ofsted Social Care Provider Webpage</v>
      </c>
      <c r="B1593" s="55">
        <v>2654084</v>
      </c>
      <c r="D1593" s="55" t="s">
        <v>373</v>
      </c>
      <c r="E1593" s="74">
        <v>44522</v>
      </c>
      <c r="F1593" s="55" t="s">
        <v>344</v>
      </c>
      <c r="G1593" s="55" t="s">
        <v>360</v>
      </c>
      <c r="H1593" s="55" t="s">
        <v>360</v>
      </c>
      <c r="I1593" s="55" t="s">
        <v>360</v>
      </c>
      <c r="J1593" s="55" t="s">
        <v>360</v>
      </c>
      <c r="K1593" s="55" t="s">
        <v>360</v>
      </c>
      <c r="L1593" s="55" t="s">
        <v>360</v>
      </c>
      <c r="M1593" s="55" t="s">
        <v>378</v>
      </c>
      <c r="N1593" s="55" t="s">
        <v>134</v>
      </c>
      <c r="O1593" s="55" t="s">
        <v>151</v>
      </c>
      <c r="P1593" s="55" t="s">
        <v>862</v>
      </c>
      <c r="Q1593" s="55" t="s">
        <v>350</v>
      </c>
      <c r="R1593" s="55">
        <v>1</v>
      </c>
      <c r="S1593" s="74"/>
      <c r="T1593" s="55" t="s">
        <v>493</v>
      </c>
      <c r="U1593" s="73"/>
      <c r="W1593" s="74"/>
      <c r="Y1593" s="74"/>
      <c r="Z1593" s="74"/>
    </row>
    <row r="1594" spans="1:29" ht="13" x14ac:dyDescent="0.15">
      <c r="A1594" s="72" t="str">
        <f t="shared" si="24"/>
        <v>Ofsted Social Care Provider Webpage</v>
      </c>
      <c r="B1594" s="55">
        <v>2654423</v>
      </c>
      <c r="D1594" s="55" t="s">
        <v>373</v>
      </c>
      <c r="E1594" s="74">
        <v>44461</v>
      </c>
      <c r="F1594" s="55" t="s">
        <v>344</v>
      </c>
      <c r="G1594" s="55" t="s">
        <v>360</v>
      </c>
      <c r="H1594" s="55" t="s">
        <v>360</v>
      </c>
      <c r="I1594" s="55" t="s">
        <v>360</v>
      </c>
      <c r="J1594" s="55" t="s">
        <v>360</v>
      </c>
      <c r="K1594" s="55" t="s">
        <v>360</v>
      </c>
      <c r="L1594" s="55" t="s">
        <v>360</v>
      </c>
      <c r="M1594" s="55" t="s">
        <v>142</v>
      </c>
      <c r="N1594" s="55" t="s">
        <v>142</v>
      </c>
      <c r="O1594" s="55" t="s">
        <v>278</v>
      </c>
      <c r="P1594" s="55" t="s">
        <v>1042</v>
      </c>
      <c r="Q1594" s="55" t="s">
        <v>350</v>
      </c>
      <c r="R1594" s="55">
        <v>3</v>
      </c>
      <c r="S1594" s="74"/>
      <c r="T1594" s="55" t="s">
        <v>1664</v>
      </c>
      <c r="U1594" s="73"/>
      <c r="W1594" s="74"/>
      <c r="Y1594" s="74"/>
      <c r="Z1594" s="74"/>
    </row>
    <row r="1595" spans="1:29" ht="13" x14ac:dyDescent="0.15">
      <c r="A1595" s="72" t="str">
        <f t="shared" si="24"/>
        <v>Ofsted Social Care Provider Webpage</v>
      </c>
      <c r="B1595" s="55">
        <v>2654620</v>
      </c>
      <c r="D1595" s="55" t="s">
        <v>373</v>
      </c>
      <c r="E1595" s="74">
        <v>44456</v>
      </c>
      <c r="F1595" s="55" t="s">
        <v>344</v>
      </c>
      <c r="G1595" s="55" t="s">
        <v>360</v>
      </c>
      <c r="H1595" s="55" t="s">
        <v>360</v>
      </c>
      <c r="I1595" s="55" t="s">
        <v>360</v>
      </c>
      <c r="J1595" s="55" t="s">
        <v>360</v>
      </c>
      <c r="K1595" s="55" t="s">
        <v>360</v>
      </c>
      <c r="L1595" s="55" t="s">
        <v>360</v>
      </c>
      <c r="M1595" s="55" t="s">
        <v>129</v>
      </c>
      <c r="N1595" s="55" t="s">
        <v>129</v>
      </c>
      <c r="O1595" s="55" t="s">
        <v>187</v>
      </c>
      <c r="P1595" s="55" t="s">
        <v>2278</v>
      </c>
      <c r="Q1595" s="55" t="s">
        <v>350</v>
      </c>
      <c r="R1595" s="55">
        <v>2</v>
      </c>
      <c r="S1595" s="74"/>
      <c r="T1595" s="55" t="s">
        <v>2279</v>
      </c>
      <c r="U1595" s="73" t="s">
        <v>351</v>
      </c>
      <c r="V1595" s="74">
        <v>44545</v>
      </c>
      <c r="W1595" s="74">
        <v>44601</v>
      </c>
      <c r="X1595" s="55">
        <v>10209678</v>
      </c>
      <c r="Y1595" s="74" t="s">
        <v>130</v>
      </c>
      <c r="Z1595" s="74"/>
      <c r="AB1595" s="55" t="s">
        <v>130</v>
      </c>
      <c r="AC1595" s="55" t="s">
        <v>146</v>
      </c>
    </row>
    <row r="1596" spans="1:29" ht="13" x14ac:dyDescent="0.15">
      <c r="A1596" s="72" t="str">
        <f t="shared" si="24"/>
        <v>Ofsted Social Care Provider Webpage</v>
      </c>
      <c r="B1596" s="55">
        <v>2654713</v>
      </c>
      <c r="D1596" s="55" t="s">
        <v>389</v>
      </c>
      <c r="E1596" s="74">
        <v>44596</v>
      </c>
      <c r="F1596" s="55" t="s">
        <v>344</v>
      </c>
      <c r="G1596" s="55" t="s">
        <v>2280</v>
      </c>
      <c r="H1596" s="55" t="s">
        <v>2281</v>
      </c>
      <c r="I1596" s="55" t="s">
        <v>2282</v>
      </c>
      <c r="J1596" s="55" t="s">
        <v>2283</v>
      </c>
      <c r="L1596" s="55" t="s">
        <v>2284</v>
      </c>
      <c r="M1596" s="55" t="s">
        <v>138</v>
      </c>
      <c r="N1596" s="55" t="s">
        <v>138</v>
      </c>
      <c r="O1596" s="55" t="s">
        <v>183</v>
      </c>
      <c r="P1596" s="55" t="s">
        <v>664</v>
      </c>
      <c r="Q1596" s="55" t="s">
        <v>350</v>
      </c>
      <c r="R1596" s="55"/>
      <c r="S1596" s="74"/>
      <c r="T1596" s="55" t="s">
        <v>2280</v>
      </c>
      <c r="U1596" s="73"/>
      <c r="W1596" s="74"/>
      <c r="Y1596" s="74"/>
      <c r="Z1596" s="74"/>
    </row>
    <row r="1597" spans="1:29" ht="13" x14ac:dyDescent="0.15">
      <c r="A1597" s="72" t="str">
        <f t="shared" si="24"/>
        <v>Ofsted Social Care Provider Webpage</v>
      </c>
      <c r="B1597" s="55">
        <v>2654782</v>
      </c>
      <c r="D1597" s="55" t="s">
        <v>373</v>
      </c>
      <c r="E1597" s="74">
        <v>44501</v>
      </c>
      <c r="F1597" s="55" t="s">
        <v>344</v>
      </c>
      <c r="G1597" s="55" t="s">
        <v>360</v>
      </c>
      <c r="H1597" s="55" t="s">
        <v>360</v>
      </c>
      <c r="I1597" s="55" t="s">
        <v>360</v>
      </c>
      <c r="J1597" s="55" t="s">
        <v>360</v>
      </c>
      <c r="K1597" s="55" t="s">
        <v>360</v>
      </c>
      <c r="L1597" s="55" t="s">
        <v>360</v>
      </c>
      <c r="M1597" s="55" t="s">
        <v>144</v>
      </c>
      <c r="N1597" s="55" t="s">
        <v>144</v>
      </c>
      <c r="O1597" s="55" t="s">
        <v>209</v>
      </c>
      <c r="P1597" s="55" t="s">
        <v>545</v>
      </c>
      <c r="Q1597" s="55" t="s">
        <v>350</v>
      </c>
      <c r="R1597" s="55">
        <v>4</v>
      </c>
      <c r="S1597" s="74"/>
      <c r="T1597" s="55" t="s">
        <v>2285</v>
      </c>
      <c r="U1597" s="73"/>
      <c r="W1597" s="74"/>
      <c r="Y1597" s="74"/>
      <c r="Z1597" s="74"/>
    </row>
    <row r="1598" spans="1:29" ht="13" x14ac:dyDescent="0.15">
      <c r="A1598" s="72" t="str">
        <f t="shared" si="24"/>
        <v>Ofsted Social Care Provider Webpage</v>
      </c>
      <c r="B1598" s="55">
        <v>2654867</v>
      </c>
      <c r="D1598" s="55" t="s">
        <v>373</v>
      </c>
      <c r="E1598" s="74">
        <v>44511</v>
      </c>
      <c r="F1598" s="55" t="s">
        <v>344</v>
      </c>
      <c r="G1598" s="55" t="s">
        <v>360</v>
      </c>
      <c r="H1598" s="55" t="s">
        <v>360</v>
      </c>
      <c r="I1598" s="55" t="s">
        <v>360</v>
      </c>
      <c r="J1598" s="55" t="s">
        <v>360</v>
      </c>
      <c r="K1598" s="55" t="s">
        <v>360</v>
      </c>
      <c r="L1598" s="55" t="s">
        <v>360</v>
      </c>
      <c r="M1598" s="55" t="s">
        <v>129</v>
      </c>
      <c r="N1598" s="55" t="s">
        <v>129</v>
      </c>
      <c r="O1598" s="55" t="s">
        <v>223</v>
      </c>
      <c r="P1598" s="55" t="s">
        <v>712</v>
      </c>
      <c r="Q1598" s="55" t="s">
        <v>350</v>
      </c>
      <c r="R1598" s="55">
        <v>4</v>
      </c>
      <c r="S1598" s="74"/>
      <c r="T1598" s="55" t="s">
        <v>1480</v>
      </c>
      <c r="U1598" s="73"/>
      <c r="W1598" s="74"/>
      <c r="Y1598" s="74"/>
      <c r="Z1598" s="74"/>
    </row>
    <row r="1599" spans="1:29" ht="13" x14ac:dyDescent="0.15">
      <c r="A1599" s="72" t="str">
        <f t="shared" si="24"/>
        <v>Ofsted Social Care Provider Webpage</v>
      </c>
      <c r="B1599" s="55">
        <v>2654906</v>
      </c>
      <c r="D1599" s="55" t="s">
        <v>373</v>
      </c>
      <c r="E1599" s="74">
        <v>44434</v>
      </c>
      <c r="F1599" s="55" t="s">
        <v>344</v>
      </c>
      <c r="G1599" s="55" t="s">
        <v>360</v>
      </c>
      <c r="H1599" s="55" t="s">
        <v>360</v>
      </c>
      <c r="I1599" s="55" t="s">
        <v>360</v>
      </c>
      <c r="J1599" s="55" t="s">
        <v>360</v>
      </c>
      <c r="K1599" s="55" t="s">
        <v>360</v>
      </c>
      <c r="L1599" s="55" t="s">
        <v>360</v>
      </c>
      <c r="M1599" s="55" t="s">
        <v>150</v>
      </c>
      <c r="N1599" s="55" t="s">
        <v>150</v>
      </c>
      <c r="O1599" s="55" t="s">
        <v>203</v>
      </c>
      <c r="P1599" s="55" t="s">
        <v>593</v>
      </c>
      <c r="Q1599" s="55" t="s">
        <v>350</v>
      </c>
      <c r="R1599" s="55">
        <v>2</v>
      </c>
      <c r="S1599" s="74"/>
      <c r="T1599" s="55" t="s">
        <v>801</v>
      </c>
      <c r="U1599" s="73" t="s">
        <v>351</v>
      </c>
      <c r="V1599" s="74">
        <v>44578</v>
      </c>
      <c r="W1599" s="74">
        <v>44624</v>
      </c>
      <c r="X1599" s="55">
        <v>10205852</v>
      </c>
      <c r="Y1599" s="74" t="s">
        <v>132</v>
      </c>
      <c r="Z1599" s="74"/>
      <c r="AB1599" s="55" t="s">
        <v>132</v>
      </c>
      <c r="AC1599" s="55" t="s">
        <v>132</v>
      </c>
    </row>
    <row r="1600" spans="1:29" ht="13" x14ac:dyDescent="0.15">
      <c r="A1600" s="72" t="str">
        <f t="shared" si="24"/>
        <v>Ofsted Social Care Provider Webpage</v>
      </c>
      <c r="B1600" s="55">
        <v>2655041</v>
      </c>
      <c r="D1600" s="55" t="s">
        <v>373</v>
      </c>
      <c r="E1600" s="74">
        <v>44530</v>
      </c>
      <c r="F1600" s="55" t="s">
        <v>344</v>
      </c>
      <c r="G1600" s="55" t="s">
        <v>360</v>
      </c>
      <c r="H1600" s="55" t="s">
        <v>360</v>
      </c>
      <c r="I1600" s="55" t="s">
        <v>360</v>
      </c>
      <c r="J1600" s="55" t="s">
        <v>360</v>
      </c>
      <c r="K1600" s="55" t="s">
        <v>360</v>
      </c>
      <c r="L1600" s="55" t="s">
        <v>360</v>
      </c>
      <c r="M1600" s="55" t="s">
        <v>136</v>
      </c>
      <c r="N1600" s="55" t="s">
        <v>136</v>
      </c>
      <c r="O1600" s="55" t="s">
        <v>288</v>
      </c>
      <c r="P1600" s="55" t="s">
        <v>1037</v>
      </c>
      <c r="Q1600" s="55" t="s">
        <v>350</v>
      </c>
      <c r="R1600" s="55">
        <v>3</v>
      </c>
      <c r="S1600" s="74"/>
      <c r="T1600" s="55" t="s">
        <v>2286</v>
      </c>
      <c r="U1600" s="73"/>
      <c r="W1600" s="74"/>
      <c r="Y1600" s="74"/>
      <c r="Z1600" s="74"/>
    </row>
    <row r="1601" spans="1:29" ht="13" x14ac:dyDescent="0.15">
      <c r="A1601" s="72" t="str">
        <f t="shared" si="24"/>
        <v>Ofsted Social Care Provider Webpage</v>
      </c>
      <c r="B1601" s="55">
        <v>2655174</v>
      </c>
      <c r="D1601" s="55" t="s">
        <v>373</v>
      </c>
      <c r="E1601" s="74">
        <v>44504</v>
      </c>
      <c r="F1601" s="55" t="s">
        <v>344</v>
      </c>
      <c r="G1601" s="55" t="s">
        <v>360</v>
      </c>
      <c r="H1601" s="55" t="s">
        <v>360</v>
      </c>
      <c r="I1601" s="55" t="s">
        <v>360</v>
      </c>
      <c r="J1601" s="55" t="s">
        <v>360</v>
      </c>
      <c r="K1601" s="55" t="s">
        <v>360</v>
      </c>
      <c r="L1601" s="55" t="s">
        <v>360</v>
      </c>
      <c r="M1601" s="55" t="s">
        <v>138</v>
      </c>
      <c r="N1601" s="55" t="s">
        <v>138</v>
      </c>
      <c r="O1601" s="55" t="s">
        <v>238</v>
      </c>
      <c r="P1601" s="55" t="s">
        <v>238</v>
      </c>
      <c r="Q1601" s="55" t="s">
        <v>350</v>
      </c>
      <c r="R1601" s="55">
        <v>6</v>
      </c>
      <c r="S1601" s="74"/>
      <c r="T1601" s="55" t="s">
        <v>1491</v>
      </c>
      <c r="U1601" s="73"/>
      <c r="W1601" s="74"/>
      <c r="Y1601" s="74"/>
      <c r="Z1601" s="74"/>
    </row>
    <row r="1602" spans="1:29" ht="13" x14ac:dyDescent="0.15">
      <c r="A1602" s="72" t="str">
        <f t="shared" si="24"/>
        <v>Ofsted Social Care Provider Webpage</v>
      </c>
      <c r="B1602" s="55">
        <v>2655345</v>
      </c>
      <c r="D1602" s="55" t="s">
        <v>373</v>
      </c>
      <c r="E1602" s="74">
        <v>44571</v>
      </c>
      <c r="F1602" s="55" t="s">
        <v>344</v>
      </c>
      <c r="G1602" s="55" t="s">
        <v>360</v>
      </c>
      <c r="H1602" s="55" t="s">
        <v>360</v>
      </c>
      <c r="I1602" s="55" t="s">
        <v>360</v>
      </c>
      <c r="J1602" s="55" t="s">
        <v>360</v>
      </c>
      <c r="K1602" s="55" t="s">
        <v>360</v>
      </c>
      <c r="L1602" s="55" t="s">
        <v>360</v>
      </c>
      <c r="M1602" s="55" t="s">
        <v>172</v>
      </c>
      <c r="N1602" s="55" t="s">
        <v>172</v>
      </c>
      <c r="O1602" s="55" t="s">
        <v>171</v>
      </c>
      <c r="P1602" s="55" t="s">
        <v>1125</v>
      </c>
      <c r="Q1602" s="55" t="s">
        <v>350</v>
      </c>
      <c r="R1602" s="55">
        <v>3</v>
      </c>
      <c r="S1602" s="74"/>
      <c r="T1602" s="55" t="s">
        <v>489</v>
      </c>
      <c r="U1602" s="73"/>
      <c r="W1602" s="74"/>
      <c r="Y1602" s="74"/>
      <c r="Z1602" s="74"/>
    </row>
    <row r="1603" spans="1:29" ht="13" x14ac:dyDescent="0.15">
      <c r="A1603" s="72" t="str">
        <f t="shared" si="24"/>
        <v>Ofsted Social Care Provider Webpage</v>
      </c>
      <c r="B1603" s="55">
        <v>2655354</v>
      </c>
      <c r="D1603" s="55" t="s">
        <v>373</v>
      </c>
      <c r="E1603" s="74">
        <v>44547</v>
      </c>
      <c r="F1603" s="55" t="s">
        <v>344</v>
      </c>
      <c r="G1603" s="55" t="s">
        <v>360</v>
      </c>
      <c r="H1603" s="55" t="s">
        <v>360</v>
      </c>
      <c r="I1603" s="55" t="s">
        <v>360</v>
      </c>
      <c r="J1603" s="55" t="s">
        <v>360</v>
      </c>
      <c r="K1603" s="55" t="s">
        <v>360</v>
      </c>
      <c r="L1603" s="55" t="s">
        <v>360</v>
      </c>
      <c r="M1603" s="55" t="s">
        <v>142</v>
      </c>
      <c r="N1603" s="55" t="s">
        <v>142</v>
      </c>
      <c r="O1603" s="55" t="s">
        <v>262</v>
      </c>
      <c r="P1603" s="55" t="s">
        <v>523</v>
      </c>
      <c r="Q1603" s="55" t="s">
        <v>350</v>
      </c>
      <c r="R1603" s="55">
        <v>6</v>
      </c>
      <c r="S1603" s="74"/>
      <c r="T1603" s="55" t="s">
        <v>504</v>
      </c>
      <c r="U1603" s="73"/>
      <c r="W1603" s="74"/>
      <c r="Y1603" s="74"/>
      <c r="Z1603" s="74"/>
    </row>
    <row r="1604" spans="1:29" ht="13" x14ac:dyDescent="0.15">
      <c r="A1604" s="72" t="str">
        <f t="shared" si="24"/>
        <v>Ofsted Social Care Provider Webpage</v>
      </c>
      <c r="B1604" s="55">
        <v>2656172</v>
      </c>
      <c r="D1604" s="55" t="s">
        <v>373</v>
      </c>
      <c r="E1604" s="74">
        <v>44566</v>
      </c>
      <c r="F1604" s="55" t="s">
        <v>344</v>
      </c>
      <c r="G1604" s="55" t="s">
        <v>360</v>
      </c>
      <c r="H1604" s="55" t="s">
        <v>360</v>
      </c>
      <c r="I1604" s="55" t="s">
        <v>360</v>
      </c>
      <c r="J1604" s="55" t="s">
        <v>360</v>
      </c>
      <c r="K1604" s="55" t="s">
        <v>360</v>
      </c>
      <c r="L1604" s="55" t="s">
        <v>360</v>
      </c>
      <c r="M1604" s="55" t="s">
        <v>142</v>
      </c>
      <c r="N1604" s="55" t="s">
        <v>142</v>
      </c>
      <c r="O1604" s="55" t="s">
        <v>141</v>
      </c>
      <c r="P1604" s="55" t="s">
        <v>660</v>
      </c>
      <c r="Q1604" s="55" t="s">
        <v>350</v>
      </c>
      <c r="R1604" s="55">
        <v>3</v>
      </c>
      <c r="S1604" s="74"/>
      <c r="T1604" s="55" t="s">
        <v>2287</v>
      </c>
      <c r="U1604" s="73"/>
      <c r="W1604" s="74"/>
      <c r="Y1604" s="74"/>
      <c r="Z1604" s="74"/>
    </row>
    <row r="1605" spans="1:29" ht="13" x14ac:dyDescent="0.15">
      <c r="A1605" s="72" t="str">
        <f t="shared" si="24"/>
        <v>Ofsted Social Care Provider Webpage</v>
      </c>
      <c r="B1605" s="55">
        <v>2656194</v>
      </c>
      <c r="D1605" s="55" t="s">
        <v>373</v>
      </c>
      <c r="E1605" s="74">
        <v>44603</v>
      </c>
      <c r="F1605" s="55" t="s">
        <v>344</v>
      </c>
      <c r="G1605" s="55" t="s">
        <v>360</v>
      </c>
      <c r="H1605" s="55" t="s">
        <v>360</v>
      </c>
      <c r="I1605" s="55" t="s">
        <v>360</v>
      </c>
      <c r="J1605" s="55" t="s">
        <v>360</v>
      </c>
      <c r="K1605" s="55" t="s">
        <v>360</v>
      </c>
      <c r="L1605" s="55" t="s">
        <v>360</v>
      </c>
      <c r="M1605" s="55" t="s">
        <v>142</v>
      </c>
      <c r="N1605" s="55" t="s">
        <v>142</v>
      </c>
      <c r="O1605" s="55" t="s">
        <v>292</v>
      </c>
      <c r="P1605" s="55" t="s">
        <v>1052</v>
      </c>
      <c r="Q1605" s="55" t="s">
        <v>350</v>
      </c>
      <c r="R1605" s="55">
        <v>5</v>
      </c>
      <c r="S1605" s="74"/>
      <c r="T1605" s="55" t="s">
        <v>1127</v>
      </c>
      <c r="U1605" s="73"/>
      <c r="W1605" s="74"/>
      <c r="Y1605" s="74"/>
      <c r="Z1605" s="74"/>
    </row>
    <row r="1606" spans="1:29" ht="13" x14ac:dyDescent="0.15">
      <c r="A1606" s="72" t="str">
        <f t="shared" ref="A1606:A1669" si="25">HYPERLINK(_xlfn.CONCAT("http://reports.ofsted.gov.uk/inspection-reports/find-inspection-report/provider/CARE/",B1606),"Ofsted Social Care Provider Webpage")</f>
        <v>Ofsted Social Care Provider Webpage</v>
      </c>
      <c r="B1606" s="55">
        <v>2656590</v>
      </c>
      <c r="D1606" s="55" t="s">
        <v>373</v>
      </c>
      <c r="E1606" s="74">
        <v>44490</v>
      </c>
      <c r="F1606" s="55" t="s">
        <v>344</v>
      </c>
      <c r="G1606" s="55" t="s">
        <v>360</v>
      </c>
      <c r="H1606" s="55" t="s">
        <v>360</v>
      </c>
      <c r="I1606" s="55" t="s">
        <v>360</v>
      </c>
      <c r="J1606" s="55" t="s">
        <v>360</v>
      </c>
      <c r="K1606" s="55" t="s">
        <v>360</v>
      </c>
      <c r="L1606" s="55" t="s">
        <v>360</v>
      </c>
      <c r="M1606" s="55" t="s">
        <v>378</v>
      </c>
      <c r="N1606" s="55" t="s">
        <v>170</v>
      </c>
      <c r="O1606" s="55" t="s">
        <v>184</v>
      </c>
      <c r="P1606" s="55" t="s">
        <v>676</v>
      </c>
      <c r="Q1606" s="55" t="s">
        <v>350</v>
      </c>
      <c r="R1606" s="55">
        <v>3</v>
      </c>
      <c r="S1606" s="74"/>
      <c r="T1606" s="55" t="s">
        <v>2288</v>
      </c>
      <c r="U1606" s="73"/>
      <c r="W1606" s="74"/>
      <c r="Y1606" s="74"/>
      <c r="Z1606" s="74"/>
    </row>
    <row r="1607" spans="1:29" ht="13" x14ac:dyDescent="0.15">
      <c r="A1607" s="72" t="str">
        <f t="shared" si="25"/>
        <v>Ofsted Social Care Provider Webpage</v>
      </c>
      <c r="B1607" s="55">
        <v>2656689</v>
      </c>
      <c r="D1607" s="55" t="s">
        <v>373</v>
      </c>
      <c r="E1607" s="74">
        <v>44522</v>
      </c>
      <c r="F1607" s="55" t="s">
        <v>344</v>
      </c>
      <c r="G1607" s="55" t="s">
        <v>360</v>
      </c>
      <c r="H1607" s="55" t="s">
        <v>360</v>
      </c>
      <c r="I1607" s="55" t="s">
        <v>360</v>
      </c>
      <c r="J1607" s="55" t="s">
        <v>360</v>
      </c>
      <c r="K1607" s="55" t="s">
        <v>360</v>
      </c>
      <c r="L1607" s="55" t="s">
        <v>360</v>
      </c>
      <c r="M1607" s="55" t="s">
        <v>142</v>
      </c>
      <c r="N1607" s="55" t="s">
        <v>142</v>
      </c>
      <c r="O1607" s="55" t="s">
        <v>262</v>
      </c>
      <c r="P1607" s="55" t="s">
        <v>692</v>
      </c>
      <c r="Q1607" s="55" t="s">
        <v>350</v>
      </c>
      <c r="R1607" s="55">
        <v>3</v>
      </c>
      <c r="S1607" s="74"/>
      <c r="T1607" s="55" t="s">
        <v>2289</v>
      </c>
      <c r="U1607" s="73"/>
      <c r="W1607" s="74"/>
      <c r="Y1607" s="74"/>
      <c r="Z1607" s="74"/>
    </row>
    <row r="1608" spans="1:29" ht="13" x14ac:dyDescent="0.15">
      <c r="A1608" s="72" t="str">
        <f t="shared" si="25"/>
        <v>Ofsted Social Care Provider Webpage</v>
      </c>
      <c r="B1608" s="55">
        <v>2656731</v>
      </c>
      <c r="D1608" s="55" t="s">
        <v>373</v>
      </c>
      <c r="E1608" s="74">
        <v>44515</v>
      </c>
      <c r="F1608" s="55" t="s">
        <v>344</v>
      </c>
      <c r="G1608" s="55" t="s">
        <v>360</v>
      </c>
      <c r="H1608" s="55" t="s">
        <v>360</v>
      </c>
      <c r="I1608" s="55" t="s">
        <v>360</v>
      </c>
      <c r="J1608" s="55" t="s">
        <v>360</v>
      </c>
      <c r="K1608" s="55" t="s">
        <v>360</v>
      </c>
      <c r="L1608" s="55" t="s">
        <v>360</v>
      </c>
      <c r="M1608" s="55" t="s">
        <v>136</v>
      </c>
      <c r="N1608" s="55" t="s">
        <v>136</v>
      </c>
      <c r="O1608" s="55" t="s">
        <v>154</v>
      </c>
      <c r="P1608" s="55" t="s">
        <v>2290</v>
      </c>
      <c r="Q1608" s="55" t="s">
        <v>380</v>
      </c>
      <c r="R1608" s="55">
        <v>3</v>
      </c>
      <c r="S1608" s="74"/>
      <c r="T1608" s="55" t="s">
        <v>1687</v>
      </c>
      <c r="U1608" s="73"/>
      <c r="W1608" s="74"/>
      <c r="Y1608" s="74"/>
      <c r="Z1608" s="74"/>
    </row>
    <row r="1609" spans="1:29" ht="13" x14ac:dyDescent="0.15">
      <c r="A1609" s="72" t="str">
        <f t="shared" si="25"/>
        <v>Ofsted Social Care Provider Webpage</v>
      </c>
      <c r="B1609" s="55">
        <v>2656736</v>
      </c>
      <c r="D1609" s="55" t="s">
        <v>373</v>
      </c>
      <c r="E1609" s="74">
        <v>44546</v>
      </c>
      <c r="F1609" s="55" t="s">
        <v>344</v>
      </c>
      <c r="G1609" s="55" t="s">
        <v>360</v>
      </c>
      <c r="H1609" s="55" t="s">
        <v>360</v>
      </c>
      <c r="I1609" s="55" t="s">
        <v>360</v>
      </c>
      <c r="J1609" s="55" t="s">
        <v>360</v>
      </c>
      <c r="K1609" s="55" t="s">
        <v>360</v>
      </c>
      <c r="L1609" s="55" t="s">
        <v>360</v>
      </c>
      <c r="M1609" s="55" t="s">
        <v>172</v>
      </c>
      <c r="N1609" s="55" t="s">
        <v>172</v>
      </c>
      <c r="O1609" s="55" t="s">
        <v>228</v>
      </c>
      <c r="P1609" s="55" t="s">
        <v>423</v>
      </c>
      <c r="Q1609" s="55" t="s">
        <v>350</v>
      </c>
      <c r="R1609" s="55">
        <v>1</v>
      </c>
      <c r="S1609" s="74"/>
      <c r="T1609" s="55" t="s">
        <v>517</v>
      </c>
      <c r="U1609" s="73"/>
      <c r="W1609" s="74"/>
      <c r="Y1609" s="74"/>
      <c r="Z1609" s="74"/>
    </row>
    <row r="1610" spans="1:29" ht="13" x14ac:dyDescent="0.15">
      <c r="A1610" s="72" t="str">
        <f t="shared" si="25"/>
        <v>Ofsted Social Care Provider Webpage</v>
      </c>
      <c r="B1610" s="55">
        <v>2656902</v>
      </c>
      <c r="D1610" s="55" t="s">
        <v>373</v>
      </c>
      <c r="E1610" s="74">
        <v>44466</v>
      </c>
      <c r="F1610" s="55" t="s">
        <v>344</v>
      </c>
      <c r="G1610" s="55" t="s">
        <v>360</v>
      </c>
      <c r="H1610" s="55" t="s">
        <v>360</v>
      </c>
      <c r="I1610" s="55" t="s">
        <v>360</v>
      </c>
      <c r="J1610" s="55" t="s">
        <v>360</v>
      </c>
      <c r="K1610" s="55" t="s">
        <v>360</v>
      </c>
      <c r="L1610" s="55" t="s">
        <v>360</v>
      </c>
      <c r="M1610" s="55" t="s">
        <v>172</v>
      </c>
      <c r="N1610" s="55" t="s">
        <v>172</v>
      </c>
      <c r="O1610" s="55" t="s">
        <v>212</v>
      </c>
      <c r="P1610" s="55" t="s">
        <v>798</v>
      </c>
      <c r="Q1610" s="55" t="s">
        <v>350</v>
      </c>
      <c r="R1610" s="55">
        <v>3</v>
      </c>
      <c r="S1610" s="74"/>
      <c r="T1610" s="55" t="s">
        <v>1819</v>
      </c>
      <c r="U1610" s="73" t="s">
        <v>351</v>
      </c>
      <c r="V1610" s="74">
        <v>44607</v>
      </c>
      <c r="W1610" s="74">
        <v>44650</v>
      </c>
      <c r="X1610" s="55">
        <v>10219554</v>
      </c>
      <c r="Y1610" s="74" t="s">
        <v>132</v>
      </c>
      <c r="Z1610" s="74"/>
      <c r="AB1610" s="55" t="s">
        <v>132</v>
      </c>
      <c r="AC1610" s="55" t="s">
        <v>140</v>
      </c>
    </row>
    <row r="1611" spans="1:29" ht="13" x14ac:dyDescent="0.15">
      <c r="A1611" s="72" t="str">
        <f t="shared" si="25"/>
        <v>Ofsted Social Care Provider Webpage</v>
      </c>
      <c r="B1611" s="55">
        <v>2657298</v>
      </c>
      <c r="D1611" s="55" t="s">
        <v>373</v>
      </c>
      <c r="E1611" s="74">
        <v>44515</v>
      </c>
      <c r="F1611" s="55" t="s">
        <v>344</v>
      </c>
      <c r="G1611" s="55" t="s">
        <v>360</v>
      </c>
      <c r="H1611" s="55" t="s">
        <v>360</v>
      </c>
      <c r="I1611" s="55" t="s">
        <v>360</v>
      </c>
      <c r="J1611" s="55" t="s">
        <v>360</v>
      </c>
      <c r="K1611" s="55" t="s">
        <v>360</v>
      </c>
      <c r="L1611" s="55" t="s">
        <v>360</v>
      </c>
      <c r="M1611" s="55" t="s">
        <v>144</v>
      </c>
      <c r="N1611" s="55" t="s">
        <v>144</v>
      </c>
      <c r="O1611" s="55" t="s">
        <v>217</v>
      </c>
      <c r="P1611" s="55" t="s">
        <v>384</v>
      </c>
      <c r="Q1611" s="55" t="s">
        <v>350</v>
      </c>
      <c r="R1611" s="55">
        <v>3</v>
      </c>
      <c r="S1611" s="74"/>
      <c r="T1611" s="55" t="s">
        <v>2291</v>
      </c>
      <c r="U1611" s="73"/>
      <c r="W1611" s="74"/>
      <c r="Y1611" s="74"/>
      <c r="Z1611" s="74"/>
    </row>
    <row r="1612" spans="1:29" ht="13" x14ac:dyDescent="0.15">
      <c r="A1612" s="72" t="str">
        <f t="shared" si="25"/>
        <v>Ofsted Social Care Provider Webpage</v>
      </c>
      <c r="B1612" s="55">
        <v>2657553</v>
      </c>
      <c r="D1612" s="55" t="s">
        <v>373</v>
      </c>
      <c r="E1612" s="74">
        <v>44600</v>
      </c>
      <c r="F1612" s="55" t="s">
        <v>344</v>
      </c>
      <c r="G1612" s="55" t="s">
        <v>360</v>
      </c>
      <c r="H1612" s="55" t="s">
        <v>360</v>
      </c>
      <c r="I1612" s="55" t="s">
        <v>360</v>
      </c>
      <c r="J1612" s="55" t="s">
        <v>360</v>
      </c>
      <c r="K1612" s="55" t="s">
        <v>360</v>
      </c>
      <c r="L1612" s="55" t="s">
        <v>360</v>
      </c>
      <c r="M1612" s="55" t="s">
        <v>129</v>
      </c>
      <c r="N1612" s="55" t="s">
        <v>129</v>
      </c>
      <c r="O1612" s="55" t="s">
        <v>139</v>
      </c>
      <c r="P1612" s="55" t="s">
        <v>1639</v>
      </c>
      <c r="Q1612" s="55" t="s">
        <v>350</v>
      </c>
      <c r="R1612" s="55">
        <v>3</v>
      </c>
      <c r="S1612" s="74"/>
      <c r="T1612" s="55" t="s">
        <v>2292</v>
      </c>
      <c r="U1612" s="73"/>
      <c r="W1612" s="74"/>
      <c r="Y1612" s="74"/>
      <c r="Z1612" s="74"/>
    </row>
    <row r="1613" spans="1:29" ht="13" x14ac:dyDescent="0.15">
      <c r="A1613" s="72" t="str">
        <f t="shared" si="25"/>
        <v>Ofsted Social Care Provider Webpage</v>
      </c>
      <c r="B1613" s="55">
        <v>2657770</v>
      </c>
      <c r="D1613" s="55" t="s">
        <v>451</v>
      </c>
      <c r="E1613" s="74">
        <v>44545</v>
      </c>
      <c r="F1613" s="55" t="s">
        <v>344</v>
      </c>
      <c r="G1613" s="55" t="s">
        <v>2293</v>
      </c>
      <c r="H1613" s="55" t="s">
        <v>2294</v>
      </c>
      <c r="I1613" s="55" t="s">
        <v>354</v>
      </c>
      <c r="J1613" s="55" t="s">
        <v>2295</v>
      </c>
      <c r="K1613" s="55" t="s">
        <v>1350</v>
      </c>
      <c r="L1613" s="55" t="s">
        <v>2296</v>
      </c>
      <c r="M1613" s="55" t="s">
        <v>172</v>
      </c>
      <c r="N1613" s="55" t="s">
        <v>172</v>
      </c>
      <c r="O1613" s="55" t="s">
        <v>284</v>
      </c>
      <c r="P1613" s="55" t="s">
        <v>986</v>
      </c>
      <c r="Q1613" s="55" t="s">
        <v>350</v>
      </c>
      <c r="R1613" s="55">
        <v>5</v>
      </c>
      <c r="S1613" s="74"/>
      <c r="T1613" s="55" t="s">
        <v>2297</v>
      </c>
      <c r="U1613" s="73"/>
      <c r="W1613" s="74"/>
      <c r="Y1613" s="74"/>
      <c r="Z1613" s="74"/>
    </row>
    <row r="1614" spans="1:29" ht="13" x14ac:dyDescent="0.15">
      <c r="A1614" s="72" t="str">
        <f t="shared" si="25"/>
        <v>Ofsted Social Care Provider Webpage</v>
      </c>
      <c r="B1614" s="55">
        <v>2658895</v>
      </c>
      <c r="D1614" s="55" t="s">
        <v>373</v>
      </c>
      <c r="E1614" s="74">
        <v>44564</v>
      </c>
      <c r="F1614" s="55" t="s">
        <v>344</v>
      </c>
      <c r="G1614" s="55" t="s">
        <v>360</v>
      </c>
      <c r="H1614" s="55" t="s">
        <v>360</v>
      </c>
      <c r="I1614" s="55" t="s">
        <v>360</v>
      </c>
      <c r="J1614" s="55" t="s">
        <v>360</v>
      </c>
      <c r="K1614" s="55" t="s">
        <v>360</v>
      </c>
      <c r="L1614" s="55" t="s">
        <v>360</v>
      </c>
      <c r="M1614" s="55" t="s">
        <v>144</v>
      </c>
      <c r="N1614" s="55" t="s">
        <v>144</v>
      </c>
      <c r="O1614" s="55" t="s">
        <v>215</v>
      </c>
      <c r="P1614" s="55" t="s">
        <v>655</v>
      </c>
      <c r="Q1614" s="55" t="s">
        <v>350</v>
      </c>
      <c r="R1614" s="55">
        <v>2</v>
      </c>
      <c r="S1614" s="74"/>
      <c r="T1614" s="55" t="s">
        <v>1441</v>
      </c>
      <c r="U1614" s="73"/>
      <c r="W1614" s="74"/>
      <c r="Y1614" s="74"/>
      <c r="Z1614" s="74"/>
    </row>
    <row r="1615" spans="1:29" ht="13" x14ac:dyDescent="0.15">
      <c r="A1615" s="72" t="str">
        <f t="shared" si="25"/>
        <v>Ofsted Social Care Provider Webpage</v>
      </c>
      <c r="B1615" s="55">
        <v>2659548</v>
      </c>
      <c r="D1615" s="55" t="s">
        <v>373</v>
      </c>
      <c r="E1615" s="74">
        <v>44512</v>
      </c>
      <c r="F1615" s="55" t="s">
        <v>344</v>
      </c>
      <c r="G1615" s="55" t="s">
        <v>360</v>
      </c>
      <c r="H1615" s="55" t="s">
        <v>360</v>
      </c>
      <c r="I1615" s="55" t="s">
        <v>360</v>
      </c>
      <c r="J1615" s="55" t="s">
        <v>360</v>
      </c>
      <c r="K1615" s="55" t="s">
        <v>360</v>
      </c>
      <c r="L1615" s="55" t="s">
        <v>360</v>
      </c>
      <c r="M1615" s="55" t="s">
        <v>144</v>
      </c>
      <c r="N1615" s="55" t="s">
        <v>144</v>
      </c>
      <c r="O1615" s="55" t="s">
        <v>168</v>
      </c>
      <c r="P1615" s="55" t="s">
        <v>901</v>
      </c>
      <c r="Q1615" s="55" t="s">
        <v>350</v>
      </c>
      <c r="R1615" s="55">
        <v>6</v>
      </c>
      <c r="S1615" s="74"/>
      <c r="T1615" s="55" t="s">
        <v>1098</v>
      </c>
      <c r="U1615" s="73"/>
      <c r="W1615" s="74"/>
      <c r="Y1615" s="74"/>
      <c r="Z1615" s="74"/>
    </row>
    <row r="1616" spans="1:29" ht="13" x14ac:dyDescent="0.15">
      <c r="A1616" s="72" t="str">
        <f t="shared" si="25"/>
        <v>Ofsted Social Care Provider Webpage</v>
      </c>
      <c r="B1616" s="55">
        <v>2660019</v>
      </c>
      <c r="D1616" s="55" t="s">
        <v>451</v>
      </c>
      <c r="E1616" s="74">
        <v>44637</v>
      </c>
      <c r="F1616" s="55" t="s">
        <v>344</v>
      </c>
      <c r="G1616" s="55" t="s">
        <v>2298</v>
      </c>
      <c r="H1616" s="55" t="s">
        <v>2299</v>
      </c>
      <c r="I1616" s="55" t="s">
        <v>2300</v>
      </c>
      <c r="J1616" s="55" t="s">
        <v>2301</v>
      </c>
      <c r="L1616" s="55" t="s">
        <v>2302</v>
      </c>
      <c r="M1616" s="55" t="s">
        <v>150</v>
      </c>
      <c r="N1616" s="55" t="s">
        <v>150</v>
      </c>
      <c r="O1616" s="55" t="s">
        <v>268</v>
      </c>
      <c r="P1616" s="55" t="s">
        <v>1771</v>
      </c>
      <c r="Q1616" s="55" t="s">
        <v>350</v>
      </c>
      <c r="R1616" s="55">
        <v>5</v>
      </c>
      <c r="S1616" s="74"/>
      <c r="T1616" s="55" t="s">
        <v>2303</v>
      </c>
      <c r="U1616" s="73"/>
      <c r="W1616" s="74"/>
      <c r="Y1616" s="74"/>
      <c r="Z1616" s="74"/>
    </row>
    <row r="1617" spans="1:26" ht="13" x14ac:dyDescent="0.15">
      <c r="A1617" s="72" t="str">
        <f t="shared" si="25"/>
        <v>Ofsted Social Care Provider Webpage</v>
      </c>
      <c r="B1617" s="55">
        <v>2660064</v>
      </c>
      <c r="D1617" s="55" t="s">
        <v>373</v>
      </c>
      <c r="E1617" s="74">
        <v>44554</v>
      </c>
      <c r="F1617" s="55" t="s">
        <v>344</v>
      </c>
      <c r="G1617" s="55" t="s">
        <v>360</v>
      </c>
      <c r="H1617" s="55" t="s">
        <v>360</v>
      </c>
      <c r="I1617" s="55" t="s">
        <v>360</v>
      </c>
      <c r="J1617" s="55" t="s">
        <v>360</v>
      </c>
      <c r="K1617" s="55" t="s">
        <v>360</v>
      </c>
      <c r="L1617" s="55" t="s">
        <v>360</v>
      </c>
      <c r="M1617" s="55" t="s">
        <v>138</v>
      </c>
      <c r="N1617" s="55" t="s">
        <v>138</v>
      </c>
      <c r="O1617" s="55" t="s">
        <v>224</v>
      </c>
      <c r="P1617" s="55" t="s">
        <v>374</v>
      </c>
      <c r="Q1617" s="55" t="s">
        <v>350</v>
      </c>
      <c r="R1617" s="55">
        <v>4</v>
      </c>
      <c r="S1617" s="74"/>
      <c r="T1617" s="55" t="s">
        <v>574</v>
      </c>
      <c r="U1617" s="73"/>
      <c r="W1617" s="74"/>
      <c r="Y1617" s="74"/>
      <c r="Z1617" s="74"/>
    </row>
    <row r="1618" spans="1:26" ht="13" x14ac:dyDescent="0.15">
      <c r="A1618" s="72" t="str">
        <f t="shared" si="25"/>
        <v>Ofsted Social Care Provider Webpage</v>
      </c>
      <c r="B1618" s="55">
        <v>2660251</v>
      </c>
      <c r="D1618" s="55" t="s">
        <v>373</v>
      </c>
      <c r="E1618" s="74">
        <v>44594</v>
      </c>
      <c r="F1618" s="55" t="s">
        <v>344</v>
      </c>
      <c r="G1618" s="55" t="s">
        <v>360</v>
      </c>
      <c r="H1618" s="55" t="s">
        <v>360</v>
      </c>
      <c r="I1618" s="55" t="s">
        <v>360</v>
      </c>
      <c r="J1618" s="55" t="s">
        <v>360</v>
      </c>
      <c r="K1618" s="55" t="s">
        <v>360</v>
      </c>
      <c r="L1618" s="55" t="s">
        <v>360</v>
      </c>
      <c r="M1618" s="55" t="s">
        <v>129</v>
      </c>
      <c r="N1618" s="55" t="s">
        <v>129</v>
      </c>
      <c r="O1618" s="55" t="s">
        <v>269</v>
      </c>
      <c r="P1618" s="55" t="s">
        <v>2304</v>
      </c>
      <c r="Q1618" s="55" t="s">
        <v>350</v>
      </c>
      <c r="R1618" s="55">
        <v>8</v>
      </c>
      <c r="S1618" s="74"/>
      <c r="T1618" s="55" t="s">
        <v>2305</v>
      </c>
      <c r="U1618" s="73"/>
      <c r="W1618" s="74"/>
      <c r="Y1618" s="74"/>
      <c r="Z1618" s="74"/>
    </row>
    <row r="1619" spans="1:26" ht="13" x14ac:dyDescent="0.15">
      <c r="A1619" s="72" t="str">
        <f t="shared" si="25"/>
        <v>Ofsted Social Care Provider Webpage</v>
      </c>
      <c r="B1619" s="55">
        <v>2660433</v>
      </c>
      <c r="D1619" s="55" t="s">
        <v>373</v>
      </c>
      <c r="E1619" s="74">
        <v>44545</v>
      </c>
      <c r="F1619" s="55" t="s">
        <v>344</v>
      </c>
      <c r="G1619" s="55" t="s">
        <v>360</v>
      </c>
      <c r="H1619" s="55" t="s">
        <v>360</v>
      </c>
      <c r="I1619" s="55" t="s">
        <v>360</v>
      </c>
      <c r="J1619" s="55" t="s">
        <v>360</v>
      </c>
      <c r="K1619" s="55" t="s">
        <v>360</v>
      </c>
      <c r="L1619" s="55" t="s">
        <v>360</v>
      </c>
      <c r="M1619" s="55" t="s">
        <v>150</v>
      </c>
      <c r="N1619" s="55" t="s">
        <v>150</v>
      </c>
      <c r="O1619" s="55" t="s">
        <v>218</v>
      </c>
      <c r="P1619" s="55" t="s">
        <v>1644</v>
      </c>
      <c r="Q1619" s="55" t="s">
        <v>350</v>
      </c>
      <c r="R1619" s="55">
        <v>5</v>
      </c>
      <c r="S1619" s="74"/>
      <c r="T1619" s="55" t="s">
        <v>2306</v>
      </c>
      <c r="U1619" s="73"/>
      <c r="W1619" s="74"/>
      <c r="Y1619" s="74"/>
      <c r="Z1619" s="74"/>
    </row>
    <row r="1620" spans="1:26" ht="13" x14ac:dyDescent="0.15">
      <c r="A1620" s="72" t="str">
        <f t="shared" si="25"/>
        <v>Ofsted Social Care Provider Webpage</v>
      </c>
      <c r="B1620" s="55">
        <v>2660470</v>
      </c>
      <c r="D1620" s="55" t="s">
        <v>373</v>
      </c>
      <c r="E1620" s="74">
        <v>44533</v>
      </c>
      <c r="F1620" s="55" t="s">
        <v>344</v>
      </c>
      <c r="G1620" s="55" t="s">
        <v>360</v>
      </c>
      <c r="H1620" s="55" t="s">
        <v>360</v>
      </c>
      <c r="I1620" s="55" t="s">
        <v>360</v>
      </c>
      <c r="J1620" s="55" t="s">
        <v>360</v>
      </c>
      <c r="K1620" s="55" t="s">
        <v>360</v>
      </c>
      <c r="L1620" s="55" t="s">
        <v>360</v>
      </c>
      <c r="M1620" s="55" t="s">
        <v>172</v>
      </c>
      <c r="N1620" s="55" t="s">
        <v>172</v>
      </c>
      <c r="O1620" s="55" t="s">
        <v>173</v>
      </c>
      <c r="P1620" s="55" t="s">
        <v>2307</v>
      </c>
      <c r="Q1620" s="55" t="s">
        <v>350</v>
      </c>
      <c r="R1620" s="55">
        <v>1</v>
      </c>
      <c r="S1620" s="74"/>
      <c r="T1620" s="55" t="s">
        <v>2308</v>
      </c>
      <c r="U1620" s="73"/>
      <c r="W1620" s="74"/>
      <c r="Y1620" s="74"/>
      <c r="Z1620" s="74"/>
    </row>
    <row r="1621" spans="1:26" ht="13" x14ac:dyDescent="0.15">
      <c r="A1621" s="72" t="str">
        <f t="shared" si="25"/>
        <v>Ofsted Social Care Provider Webpage</v>
      </c>
      <c r="B1621" s="55">
        <v>2660603</v>
      </c>
      <c r="D1621" s="55" t="s">
        <v>373</v>
      </c>
      <c r="E1621" s="74">
        <v>44504</v>
      </c>
      <c r="F1621" s="55" t="s">
        <v>344</v>
      </c>
      <c r="G1621" s="55" t="s">
        <v>360</v>
      </c>
      <c r="H1621" s="55" t="s">
        <v>360</v>
      </c>
      <c r="I1621" s="55" t="s">
        <v>360</v>
      </c>
      <c r="J1621" s="55" t="s">
        <v>360</v>
      </c>
      <c r="K1621" s="55" t="s">
        <v>360</v>
      </c>
      <c r="L1621" s="55" t="s">
        <v>360</v>
      </c>
      <c r="M1621" s="55" t="s">
        <v>172</v>
      </c>
      <c r="N1621" s="55" t="s">
        <v>172</v>
      </c>
      <c r="O1621" s="55" t="s">
        <v>173</v>
      </c>
      <c r="P1621" s="55" t="s">
        <v>860</v>
      </c>
      <c r="Q1621" s="55" t="s">
        <v>350</v>
      </c>
      <c r="R1621" s="55">
        <v>3</v>
      </c>
      <c r="S1621" s="74"/>
      <c r="T1621" s="55" t="s">
        <v>520</v>
      </c>
      <c r="U1621" s="73"/>
      <c r="W1621" s="74"/>
      <c r="Y1621" s="74"/>
      <c r="Z1621" s="74"/>
    </row>
    <row r="1622" spans="1:26" ht="13" x14ac:dyDescent="0.15">
      <c r="A1622" s="72" t="str">
        <f t="shared" si="25"/>
        <v>Ofsted Social Care Provider Webpage</v>
      </c>
      <c r="B1622" s="55">
        <v>2660783</v>
      </c>
      <c r="D1622" s="55" t="s">
        <v>373</v>
      </c>
      <c r="E1622" s="74">
        <v>44579</v>
      </c>
      <c r="F1622" s="55" t="s">
        <v>344</v>
      </c>
      <c r="G1622" s="55" t="s">
        <v>360</v>
      </c>
      <c r="H1622" s="55" t="s">
        <v>360</v>
      </c>
      <c r="I1622" s="55" t="s">
        <v>360</v>
      </c>
      <c r="J1622" s="55" t="s">
        <v>360</v>
      </c>
      <c r="K1622" s="55" t="s">
        <v>360</v>
      </c>
      <c r="L1622" s="55" t="s">
        <v>360</v>
      </c>
      <c r="M1622" s="55" t="s">
        <v>172</v>
      </c>
      <c r="N1622" s="55" t="s">
        <v>172</v>
      </c>
      <c r="O1622" s="55" t="s">
        <v>171</v>
      </c>
      <c r="P1622" s="55" t="s">
        <v>895</v>
      </c>
      <c r="Q1622" s="55" t="s">
        <v>350</v>
      </c>
      <c r="R1622" s="55">
        <v>3</v>
      </c>
      <c r="S1622" s="74"/>
      <c r="T1622" s="55" t="s">
        <v>2309</v>
      </c>
      <c r="U1622" s="73"/>
      <c r="W1622" s="74"/>
      <c r="Y1622" s="74"/>
      <c r="Z1622" s="74"/>
    </row>
    <row r="1623" spans="1:26" ht="13" x14ac:dyDescent="0.15">
      <c r="A1623" s="72" t="str">
        <f t="shared" si="25"/>
        <v>Ofsted Social Care Provider Webpage</v>
      </c>
      <c r="B1623" s="55">
        <v>2661346</v>
      </c>
      <c r="D1623" s="55" t="s">
        <v>373</v>
      </c>
      <c r="E1623" s="74">
        <v>44606</v>
      </c>
      <c r="F1623" s="55" t="s">
        <v>344</v>
      </c>
      <c r="G1623" s="55" t="s">
        <v>360</v>
      </c>
      <c r="H1623" s="55" t="s">
        <v>360</v>
      </c>
      <c r="I1623" s="55" t="s">
        <v>360</v>
      </c>
      <c r="J1623" s="55" t="s">
        <v>360</v>
      </c>
      <c r="K1623" s="55" t="s">
        <v>360</v>
      </c>
      <c r="L1623" s="55" t="s">
        <v>360</v>
      </c>
      <c r="M1623" s="55" t="s">
        <v>129</v>
      </c>
      <c r="N1623" s="55" t="s">
        <v>129</v>
      </c>
      <c r="O1623" s="55" t="s">
        <v>275</v>
      </c>
      <c r="P1623" s="55" t="s">
        <v>2310</v>
      </c>
      <c r="Q1623" s="55" t="s">
        <v>350</v>
      </c>
      <c r="R1623" s="55">
        <v>4</v>
      </c>
      <c r="S1623" s="74"/>
      <c r="T1623" s="55" t="s">
        <v>1646</v>
      </c>
      <c r="U1623" s="73"/>
      <c r="W1623" s="74"/>
      <c r="Y1623" s="74"/>
      <c r="Z1623" s="74"/>
    </row>
    <row r="1624" spans="1:26" ht="13" x14ac:dyDescent="0.15">
      <c r="A1624" s="72" t="str">
        <f t="shared" si="25"/>
        <v>Ofsted Social Care Provider Webpage</v>
      </c>
      <c r="B1624" s="55">
        <v>2661371</v>
      </c>
      <c r="D1624" s="55" t="s">
        <v>373</v>
      </c>
      <c r="E1624" s="74">
        <v>44585</v>
      </c>
      <c r="F1624" s="55" t="s">
        <v>344</v>
      </c>
      <c r="G1624" s="55" t="s">
        <v>360</v>
      </c>
      <c r="H1624" s="55" t="s">
        <v>360</v>
      </c>
      <c r="I1624" s="55" t="s">
        <v>360</v>
      </c>
      <c r="J1624" s="55" t="s">
        <v>360</v>
      </c>
      <c r="K1624" s="55" t="s">
        <v>360</v>
      </c>
      <c r="L1624" s="55" t="s">
        <v>360</v>
      </c>
      <c r="M1624" s="55" t="s">
        <v>150</v>
      </c>
      <c r="N1624" s="55" t="s">
        <v>150</v>
      </c>
      <c r="O1624" s="55" t="s">
        <v>153</v>
      </c>
      <c r="P1624" s="55" t="s">
        <v>1331</v>
      </c>
      <c r="Q1624" s="55" t="s">
        <v>350</v>
      </c>
      <c r="R1624" s="55">
        <v>4</v>
      </c>
      <c r="S1624" s="74"/>
      <c r="T1624" s="55" t="s">
        <v>2311</v>
      </c>
      <c r="U1624" s="73"/>
      <c r="W1624" s="74"/>
      <c r="Y1624" s="74"/>
      <c r="Z1624" s="74"/>
    </row>
    <row r="1625" spans="1:26" ht="13" x14ac:dyDescent="0.15">
      <c r="A1625" s="72" t="str">
        <f t="shared" si="25"/>
        <v>Ofsted Social Care Provider Webpage</v>
      </c>
      <c r="B1625" s="55">
        <v>2661512</v>
      </c>
      <c r="D1625" s="55" t="s">
        <v>373</v>
      </c>
      <c r="E1625" s="74">
        <v>44545</v>
      </c>
      <c r="F1625" s="55" t="s">
        <v>344</v>
      </c>
      <c r="G1625" s="55" t="s">
        <v>360</v>
      </c>
      <c r="H1625" s="55" t="s">
        <v>360</v>
      </c>
      <c r="I1625" s="55" t="s">
        <v>360</v>
      </c>
      <c r="J1625" s="55" t="s">
        <v>360</v>
      </c>
      <c r="K1625" s="55" t="s">
        <v>360</v>
      </c>
      <c r="L1625" s="55" t="s">
        <v>360</v>
      </c>
      <c r="M1625" s="55" t="s">
        <v>144</v>
      </c>
      <c r="N1625" s="55" t="s">
        <v>144</v>
      </c>
      <c r="O1625" s="55" t="s">
        <v>261</v>
      </c>
      <c r="P1625" s="55" t="s">
        <v>792</v>
      </c>
      <c r="Q1625" s="55" t="s">
        <v>350</v>
      </c>
      <c r="R1625" s="55">
        <v>1</v>
      </c>
      <c r="S1625" s="74"/>
      <c r="T1625" s="55" t="s">
        <v>385</v>
      </c>
      <c r="U1625" s="73"/>
      <c r="W1625" s="74"/>
      <c r="Y1625" s="74"/>
      <c r="Z1625" s="74"/>
    </row>
    <row r="1626" spans="1:26" ht="13" x14ac:dyDescent="0.15">
      <c r="A1626" s="72" t="str">
        <f t="shared" si="25"/>
        <v>Ofsted Social Care Provider Webpage</v>
      </c>
      <c r="B1626" s="55">
        <v>2661513</v>
      </c>
      <c r="D1626" s="55" t="s">
        <v>373</v>
      </c>
      <c r="E1626" s="74">
        <v>44614</v>
      </c>
      <c r="F1626" s="55" t="s">
        <v>344</v>
      </c>
      <c r="G1626" s="55" t="s">
        <v>360</v>
      </c>
      <c r="H1626" s="55" t="s">
        <v>360</v>
      </c>
      <c r="I1626" s="55" t="s">
        <v>360</v>
      </c>
      <c r="J1626" s="55" t="s">
        <v>360</v>
      </c>
      <c r="K1626" s="55" t="s">
        <v>360</v>
      </c>
      <c r="L1626" s="55" t="s">
        <v>360</v>
      </c>
      <c r="M1626" s="55" t="s">
        <v>172</v>
      </c>
      <c r="N1626" s="55" t="s">
        <v>172</v>
      </c>
      <c r="O1626" s="55" t="s">
        <v>212</v>
      </c>
      <c r="P1626" s="55" t="s">
        <v>714</v>
      </c>
      <c r="Q1626" s="55" t="s">
        <v>350</v>
      </c>
      <c r="R1626" s="55">
        <v>1</v>
      </c>
      <c r="S1626" s="74"/>
      <c r="T1626" s="55" t="s">
        <v>1682</v>
      </c>
      <c r="U1626" s="73"/>
      <c r="W1626" s="74"/>
      <c r="Y1626" s="74"/>
      <c r="Z1626" s="74"/>
    </row>
    <row r="1627" spans="1:26" ht="13" x14ac:dyDescent="0.15">
      <c r="A1627" s="72" t="str">
        <f t="shared" si="25"/>
        <v>Ofsted Social Care Provider Webpage</v>
      </c>
      <c r="B1627" s="55">
        <v>2661568</v>
      </c>
      <c r="D1627" s="55" t="s">
        <v>373</v>
      </c>
      <c r="E1627" s="74">
        <v>44525</v>
      </c>
      <c r="F1627" s="55" t="s">
        <v>344</v>
      </c>
      <c r="G1627" s="55" t="s">
        <v>360</v>
      </c>
      <c r="H1627" s="55" t="s">
        <v>360</v>
      </c>
      <c r="I1627" s="55" t="s">
        <v>360</v>
      </c>
      <c r="J1627" s="55" t="s">
        <v>360</v>
      </c>
      <c r="K1627" s="55" t="s">
        <v>360</v>
      </c>
      <c r="L1627" s="55" t="s">
        <v>360</v>
      </c>
      <c r="M1627" s="55" t="s">
        <v>138</v>
      </c>
      <c r="N1627" s="55" t="s">
        <v>138</v>
      </c>
      <c r="O1627" s="55" t="s">
        <v>196</v>
      </c>
      <c r="P1627" s="55" t="s">
        <v>1368</v>
      </c>
      <c r="Q1627" s="55" t="s">
        <v>350</v>
      </c>
      <c r="R1627" s="55">
        <v>5</v>
      </c>
      <c r="S1627" s="74"/>
      <c r="T1627" s="55" t="s">
        <v>997</v>
      </c>
      <c r="U1627" s="73"/>
      <c r="W1627" s="74"/>
      <c r="Y1627" s="74"/>
      <c r="Z1627" s="74"/>
    </row>
    <row r="1628" spans="1:26" ht="13" x14ac:dyDescent="0.15">
      <c r="A1628" s="72" t="str">
        <f t="shared" si="25"/>
        <v>Ofsted Social Care Provider Webpage</v>
      </c>
      <c r="B1628" s="55">
        <v>2661812</v>
      </c>
      <c r="D1628" s="55" t="s">
        <v>373</v>
      </c>
      <c r="E1628" s="74">
        <v>44502</v>
      </c>
      <c r="F1628" s="55" t="s">
        <v>344</v>
      </c>
      <c r="G1628" s="55" t="s">
        <v>360</v>
      </c>
      <c r="H1628" s="55" t="s">
        <v>360</v>
      </c>
      <c r="I1628" s="55" t="s">
        <v>360</v>
      </c>
      <c r="J1628" s="55" t="s">
        <v>360</v>
      </c>
      <c r="K1628" s="55" t="s">
        <v>360</v>
      </c>
      <c r="L1628" s="55" t="s">
        <v>360</v>
      </c>
      <c r="M1628" s="55" t="s">
        <v>138</v>
      </c>
      <c r="N1628" s="55" t="s">
        <v>138</v>
      </c>
      <c r="O1628" s="55" t="s">
        <v>183</v>
      </c>
      <c r="P1628" s="55" t="s">
        <v>576</v>
      </c>
      <c r="Q1628" s="55" t="s">
        <v>350</v>
      </c>
      <c r="R1628" s="55">
        <v>5</v>
      </c>
      <c r="S1628" s="74"/>
      <c r="T1628" s="55" t="s">
        <v>997</v>
      </c>
      <c r="U1628" s="73"/>
      <c r="W1628" s="74"/>
      <c r="Y1628" s="74"/>
      <c r="Z1628" s="74"/>
    </row>
    <row r="1629" spans="1:26" ht="13" x14ac:dyDescent="0.15">
      <c r="A1629" s="72" t="str">
        <f t="shared" si="25"/>
        <v>Ofsted Social Care Provider Webpage</v>
      </c>
      <c r="B1629" s="55">
        <v>2661954</v>
      </c>
      <c r="D1629" s="55" t="s">
        <v>389</v>
      </c>
      <c r="E1629" s="74">
        <v>44614</v>
      </c>
      <c r="F1629" s="55" t="s">
        <v>344</v>
      </c>
      <c r="G1629" s="55" t="s">
        <v>2312</v>
      </c>
      <c r="H1629" s="55" t="s">
        <v>2313</v>
      </c>
      <c r="I1629" s="55" t="s">
        <v>2314</v>
      </c>
      <c r="J1629" s="55" t="s">
        <v>1628</v>
      </c>
      <c r="L1629" s="55" t="s">
        <v>2315</v>
      </c>
      <c r="M1629" s="55" t="s">
        <v>172</v>
      </c>
      <c r="N1629" s="55" t="s">
        <v>172</v>
      </c>
      <c r="O1629" s="55" t="s">
        <v>235</v>
      </c>
      <c r="P1629" s="55" t="s">
        <v>855</v>
      </c>
      <c r="Q1629" s="55" t="s">
        <v>350</v>
      </c>
      <c r="R1629" s="55"/>
      <c r="S1629" s="74"/>
      <c r="T1629" s="55" t="s">
        <v>2316</v>
      </c>
      <c r="U1629" s="73"/>
      <c r="W1629" s="74"/>
      <c r="Y1629" s="74"/>
      <c r="Z1629" s="74"/>
    </row>
    <row r="1630" spans="1:26" ht="13" x14ac:dyDescent="0.15">
      <c r="A1630" s="72" t="str">
        <f t="shared" si="25"/>
        <v>Ofsted Social Care Provider Webpage</v>
      </c>
      <c r="B1630" s="55">
        <v>2661987</v>
      </c>
      <c r="D1630" s="55" t="s">
        <v>373</v>
      </c>
      <c r="E1630" s="74">
        <v>44603</v>
      </c>
      <c r="F1630" s="55" t="s">
        <v>344</v>
      </c>
      <c r="G1630" s="55" t="s">
        <v>360</v>
      </c>
      <c r="H1630" s="55" t="s">
        <v>360</v>
      </c>
      <c r="I1630" s="55" t="s">
        <v>360</v>
      </c>
      <c r="J1630" s="55" t="s">
        <v>360</v>
      </c>
      <c r="K1630" s="55" t="s">
        <v>360</v>
      </c>
      <c r="L1630" s="55" t="s">
        <v>360</v>
      </c>
      <c r="M1630" s="55" t="s">
        <v>138</v>
      </c>
      <c r="N1630" s="55" t="s">
        <v>138</v>
      </c>
      <c r="O1630" s="55" t="s">
        <v>183</v>
      </c>
      <c r="P1630" s="55" t="s">
        <v>2051</v>
      </c>
      <c r="Q1630" s="55" t="s">
        <v>350</v>
      </c>
      <c r="R1630" s="55">
        <v>12</v>
      </c>
      <c r="S1630" s="74"/>
      <c r="T1630" s="55" t="s">
        <v>1603</v>
      </c>
      <c r="U1630" s="73"/>
      <c r="W1630" s="74"/>
      <c r="Y1630" s="74"/>
      <c r="Z1630" s="74"/>
    </row>
    <row r="1631" spans="1:26" ht="13" x14ac:dyDescent="0.15">
      <c r="A1631" s="72" t="str">
        <f t="shared" si="25"/>
        <v>Ofsted Social Care Provider Webpage</v>
      </c>
      <c r="B1631" s="55">
        <v>2662095</v>
      </c>
      <c r="D1631" s="55" t="s">
        <v>373</v>
      </c>
      <c r="E1631" s="74">
        <v>44516</v>
      </c>
      <c r="F1631" s="55" t="s">
        <v>344</v>
      </c>
      <c r="G1631" s="55" t="s">
        <v>360</v>
      </c>
      <c r="H1631" s="55" t="s">
        <v>360</v>
      </c>
      <c r="I1631" s="55" t="s">
        <v>360</v>
      </c>
      <c r="J1631" s="55" t="s">
        <v>360</v>
      </c>
      <c r="K1631" s="55" t="s">
        <v>360</v>
      </c>
      <c r="L1631" s="55" t="s">
        <v>360</v>
      </c>
      <c r="M1631" s="55" t="s">
        <v>150</v>
      </c>
      <c r="N1631" s="55" t="s">
        <v>150</v>
      </c>
      <c r="O1631" s="55" t="s">
        <v>190</v>
      </c>
      <c r="P1631" s="55" t="s">
        <v>1703</v>
      </c>
      <c r="Q1631" s="55" t="s">
        <v>350</v>
      </c>
      <c r="R1631" s="55">
        <v>2</v>
      </c>
      <c r="S1631" s="74"/>
      <c r="T1631" s="55" t="s">
        <v>1011</v>
      </c>
      <c r="U1631" s="73"/>
      <c r="W1631" s="74"/>
      <c r="Y1631" s="74"/>
      <c r="Z1631" s="74"/>
    </row>
    <row r="1632" spans="1:26" ht="13" x14ac:dyDescent="0.15">
      <c r="A1632" s="72" t="str">
        <f t="shared" si="25"/>
        <v>Ofsted Social Care Provider Webpage</v>
      </c>
      <c r="B1632" s="55">
        <v>2662265</v>
      </c>
      <c r="D1632" s="55" t="s">
        <v>373</v>
      </c>
      <c r="E1632" s="74">
        <v>44525</v>
      </c>
      <c r="F1632" s="55" t="s">
        <v>344</v>
      </c>
      <c r="G1632" s="55" t="s">
        <v>360</v>
      </c>
      <c r="H1632" s="55" t="s">
        <v>360</v>
      </c>
      <c r="I1632" s="55" t="s">
        <v>360</v>
      </c>
      <c r="J1632" s="55" t="s">
        <v>360</v>
      </c>
      <c r="K1632" s="55" t="s">
        <v>360</v>
      </c>
      <c r="L1632" s="55" t="s">
        <v>360</v>
      </c>
      <c r="M1632" s="55" t="s">
        <v>378</v>
      </c>
      <c r="N1632" s="55" t="s">
        <v>134</v>
      </c>
      <c r="O1632" s="55" t="s">
        <v>246</v>
      </c>
      <c r="P1632" s="55" t="s">
        <v>685</v>
      </c>
      <c r="Q1632" s="55" t="s">
        <v>380</v>
      </c>
      <c r="R1632" s="55">
        <v>2</v>
      </c>
      <c r="S1632" s="74"/>
      <c r="T1632" s="55" t="s">
        <v>1916</v>
      </c>
      <c r="U1632" s="73"/>
      <c r="W1632" s="74"/>
      <c r="Y1632" s="74"/>
      <c r="Z1632" s="74"/>
    </row>
    <row r="1633" spans="1:26" ht="13" x14ac:dyDescent="0.15">
      <c r="A1633" s="72" t="str">
        <f t="shared" si="25"/>
        <v>Ofsted Social Care Provider Webpage</v>
      </c>
      <c r="B1633" s="55">
        <v>2662427</v>
      </c>
      <c r="D1633" s="55" t="s">
        <v>373</v>
      </c>
      <c r="E1633" s="74">
        <v>44579</v>
      </c>
      <c r="F1633" s="55" t="s">
        <v>344</v>
      </c>
      <c r="G1633" s="55" t="s">
        <v>360</v>
      </c>
      <c r="H1633" s="55" t="s">
        <v>360</v>
      </c>
      <c r="I1633" s="55" t="s">
        <v>360</v>
      </c>
      <c r="J1633" s="55" t="s">
        <v>360</v>
      </c>
      <c r="K1633" s="55" t="s">
        <v>360</v>
      </c>
      <c r="L1633" s="55" t="s">
        <v>360</v>
      </c>
      <c r="M1633" s="55" t="s">
        <v>172</v>
      </c>
      <c r="N1633" s="55" t="s">
        <v>172</v>
      </c>
      <c r="O1633" s="55" t="s">
        <v>212</v>
      </c>
      <c r="P1633" s="55" t="s">
        <v>883</v>
      </c>
      <c r="Q1633" s="55" t="s">
        <v>350</v>
      </c>
      <c r="R1633" s="55">
        <v>3</v>
      </c>
      <c r="S1633" s="74"/>
      <c r="T1633" s="55" t="s">
        <v>1357</v>
      </c>
      <c r="U1633" s="73"/>
      <c r="W1633" s="74"/>
      <c r="Y1633" s="74"/>
      <c r="Z1633" s="74"/>
    </row>
    <row r="1634" spans="1:26" ht="13" x14ac:dyDescent="0.15">
      <c r="A1634" s="72" t="str">
        <f t="shared" si="25"/>
        <v>Ofsted Social Care Provider Webpage</v>
      </c>
      <c r="B1634" s="55">
        <v>2662453</v>
      </c>
      <c r="D1634" s="55" t="s">
        <v>373</v>
      </c>
      <c r="E1634" s="74">
        <v>44580</v>
      </c>
      <c r="F1634" s="55" t="s">
        <v>344</v>
      </c>
      <c r="G1634" s="55" t="s">
        <v>360</v>
      </c>
      <c r="H1634" s="55" t="s">
        <v>360</v>
      </c>
      <c r="I1634" s="55" t="s">
        <v>360</v>
      </c>
      <c r="J1634" s="55" t="s">
        <v>360</v>
      </c>
      <c r="K1634" s="55" t="s">
        <v>360</v>
      </c>
      <c r="L1634" s="55" t="s">
        <v>360</v>
      </c>
      <c r="M1634" s="55" t="s">
        <v>129</v>
      </c>
      <c r="N1634" s="55" t="s">
        <v>129</v>
      </c>
      <c r="O1634" s="55" t="s">
        <v>128</v>
      </c>
      <c r="P1634" s="55" t="s">
        <v>1467</v>
      </c>
      <c r="Q1634" s="55" t="s">
        <v>350</v>
      </c>
      <c r="R1634" s="55">
        <v>5</v>
      </c>
      <c r="S1634" s="74"/>
      <c r="T1634" s="55" t="s">
        <v>2317</v>
      </c>
      <c r="U1634" s="73"/>
      <c r="W1634" s="74"/>
      <c r="Y1634" s="74"/>
      <c r="Z1634" s="74"/>
    </row>
    <row r="1635" spans="1:26" ht="13" x14ac:dyDescent="0.15">
      <c r="A1635" s="72" t="str">
        <f t="shared" si="25"/>
        <v>Ofsted Social Care Provider Webpage</v>
      </c>
      <c r="B1635" s="55">
        <v>2662751</v>
      </c>
      <c r="D1635" s="55" t="s">
        <v>373</v>
      </c>
      <c r="E1635" s="74">
        <v>44592</v>
      </c>
      <c r="F1635" s="55" t="s">
        <v>344</v>
      </c>
      <c r="G1635" s="55" t="s">
        <v>360</v>
      </c>
      <c r="H1635" s="55" t="s">
        <v>360</v>
      </c>
      <c r="I1635" s="55" t="s">
        <v>360</v>
      </c>
      <c r="J1635" s="55" t="s">
        <v>360</v>
      </c>
      <c r="K1635" s="55" t="s">
        <v>360</v>
      </c>
      <c r="L1635" s="55" t="s">
        <v>360</v>
      </c>
      <c r="M1635" s="55" t="s">
        <v>144</v>
      </c>
      <c r="N1635" s="55" t="s">
        <v>144</v>
      </c>
      <c r="O1635" s="55" t="s">
        <v>209</v>
      </c>
      <c r="P1635" s="55" t="s">
        <v>555</v>
      </c>
      <c r="Q1635" s="55" t="s">
        <v>350</v>
      </c>
      <c r="R1635" s="55">
        <v>1</v>
      </c>
      <c r="S1635" s="74"/>
      <c r="T1635" s="55" t="s">
        <v>1486</v>
      </c>
      <c r="U1635" s="73"/>
      <c r="W1635" s="74"/>
      <c r="Y1635" s="74"/>
      <c r="Z1635" s="74"/>
    </row>
    <row r="1636" spans="1:26" ht="13" x14ac:dyDescent="0.15">
      <c r="A1636" s="72" t="str">
        <f t="shared" si="25"/>
        <v>Ofsted Social Care Provider Webpage</v>
      </c>
      <c r="B1636" s="55">
        <v>2662813</v>
      </c>
      <c r="D1636" s="55" t="s">
        <v>373</v>
      </c>
      <c r="E1636" s="74">
        <v>44568</v>
      </c>
      <c r="F1636" s="55" t="s">
        <v>344</v>
      </c>
      <c r="G1636" s="55" t="s">
        <v>360</v>
      </c>
      <c r="H1636" s="55" t="s">
        <v>360</v>
      </c>
      <c r="I1636" s="55" t="s">
        <v>360</v>
      </c>
      <c r="J1636" s="55" t="s">
        <v>360</v>
      </c>
      <c r="K1636" s="55" t="s">
        <v>360</v>
      </c>
      <c r="L1636" s="55" t="s">
        <v>360</v>
      </c>
      <c r="M1636" s="55" t="s">
        <v>144</v>
      </c>
      <c r="N1636" s="55" t="s">
        <v>144</v>
      </c>
      <c r="O1636" s="55" t="s">
        <v>261</v>
      </c>
      <c r="P1636" s="55" t="s">
        <v>792</v>
      </c>
      <c r="Q1636" s="55" t="s">
        <v>350</v>
      </c>
      <c r="R1636" s="55">
        <v>1</v>
      </c>
      <c r="S1636" s="74"/>
      <c r="T1636" s="55" t="s">
        <v>385</v>
      </c>
      <c r="U1636" s="73"/>
      <c r="W1636" s="74"/>
      <c r="Y1636" s="74"/>
      <c r="Z1636" s="74"/>
    </row>
    <row r="1637" spans="1:26" ht="13" x14ac:dyDescent="0.15">
      <c r="A1637" s="72" t="str">
        <f t="shared" si="25"/>
        <v>Ofsted Social Care Provider Webpage</v>
      </c>
      <c r="B1637" s="55">
        <v>2662847</v>
      </c>
      <c r="D1637" s="55" t="s">
        <v>373</v>
      </c>
      <c r="E1637" s="74">
        <v>44554</v>
      </c>
      <c r="F1637" s="55" t="s">
        <v>344</v>
      </c>
      <c r="G1637" s="55" t="s">
        <v>360</v>
      </c>
      <c r="H1637" s="55" t="s">
        <v>360</v>
      </c>
      <c r="I1637" s="55" t="s">
        <v>360</v>
      </c>
      <c r="J1637" s="55" t="s">
        <v>360</v>
      </c>
      <c r="K1637" s="55" t="s">
        <v>360</v>
      </c>
      <c r="L1637" s="55" t="s">
        <v>360</v>
      </c>
      <c r="M1637" s="55" t="s">
        <v>144</v>
      </c>
      <c r="N1637" s="55" t="s">
        <v>144</v>
      </c>
      <c r="O1637" s="55" t="s">
        <v>261</v>
      </c>
      <c r="P1637" s="55" t="s">
        <v>512</v>
      </c>
      <c r="Q1637" s="55" t="s">
        <v>350</v>
      </c>
      <c r="R1637" s="55">
        <v>1</v>
      </c>
      <c r="S1637" s="74"/>
      <c r="T1637" s="55" t="s">
        <v>385</v>
      </c>
      <c r="U1637" s="73"/>
      <c r="W1637" s="74"/>
      <c r="Y1637" s="74"/>
      <c r="Z1637" s="74"/>
    </row>
    <row r="1638" spans="1:26" ht="13" x14ac:dyDescent="0.15">
      <c r="A1638" s="72" t="str">
        <f t="shared" si="25"/>
        <v>Ofsted Social Care Provider Webpage</v>
      </c>
      <c r="B1638" s="55">
        <v>2662998</v>
      </c>
      <c r="D1638" s="55" t="s">
        <v>373</v>
      </c>
      <c r="E1638" s="74">
        <v>44644</v>
      </c>
      <c r="F1638" s="55" t="s">
        <v>344</v>
      </c>
      <c r="G1638" s="55" t="s">
        <v>360</v>
      </c>
      <c r="H1638" s="55" t="s">
        <v>360</v>
      </c>
      <c r="I1638" s="55" t="s">
        <v>360</v>
      </c>
      <c r="J1638" s="55" t="s">
        <v>360</v>
      </c>
      <c r="K1638" s="55" t="s">
        <v>360</v>
      </c>
      <c r="L1638" s="55" t="s">
        <v>360</v>
      </c>
      <c r="M1638" s="55" t="s">
        <v>136</v>
      </c>
      <c r="N1638" s="55" t="s">
        <v>136</v>
      </c>
      <c r="O1638" s="55" t="s">
        <v>165</v>
      </c>
      <c r="P1638" s="55" t="s">
        <v>2318</v>
      </c>
      <c r="Q1638" s="55" t="s">
        <v>350</v>
      </c>
      <c r="R1638" s="55">
        <v>3</v>
      </c>
      <c r="S1638" s="74"/>
      <c r="T1638" s="55" t="s">
        <v>2319</v>
      </c>
      <c r="U1638" s="73"/>
      <c r="W1638" s="74"/>
      <c r="Y1638" s="74"/>
      <c r="Z1638" s="74"/>
    </row>
    <row r="1639" spans="1:26" ht="13" x14ac:dyDescent="0.15">
      <c r="A1639" s="72" t="str">
        <f t="shared" si="25"/>
        <v>Ofsted Social Care Provider Webpage</v>
      </c>
      <c r="B1639" s="55">
        <v>2663174</v>
      </c>
      <c r="D1639" s="55" t="s">
        <v>373</v>
      </c>
      <c r="E1639" s="74">
        <v>44629</v>
      </c>
      <c r="F1639" s="55" t="s">
        <v>344</v>
      </c>
      <c r="G1639" s="55" t="s">
        <v>360</v>
      </c>
      <c r="H1639" s="55" t="s">
        <v>360</v>
      </c>
      <c r="I1639" s="55" t="s">
        <v>360</v>
      </c>
      <c r="J1639" s="55" t="s">
        <v>360</v>
      </c>
      <c r="K1639" s="55" t="s">
        <v>360</v>
      </c>
      <c r="L1639" s="55" t="s">
        <v>360</v>
      </c>
      <c r="M1639" s="55" t="s">
        <v>378</v>
      </c>
      <c r="N1639" s="55" t="s">
        <v>134</v>
      </c>
      <c r="O1639" s="55" t="s">
        <v>294</v>
      </c>
      <c r="P1639" s="55" t="s">
        <v>2320</v>
      </c>
      <c r="Q1639" s="55" t="s">
        <v>350</v>
      </c>
      <c r="R1639" s="55">
        <v>3</v>
      </c>
      <c r="S1639" s="74"/>
      <c r="T1639" s="55" t="s">
        <v>493</v>
      </c>
      <c r="U1639" s="73"/>
      <c r="W1639" s="74"/>
      <c r="Y1639" s="74"/>
      <c r="Z1639" s="74"/>
    </row>
    <row r="1640" spans="1:26" ht="13" x14ac:dyDescent="0.15">
      <c r="A1640" s="72" t="str">
        <f t="shared" si="25"/>
        <v>Ofsted Social Care Provider Webpage</v>
      </c>
      <c r="B1640" s="55">
        <v>2663221</v>
      </c>
      <c r="D1640" s="55" t="s">
        <v>373</v>
      </c>
      <c r="E1640" s="74">
        <v>44592</v>
      </c>
      <c r="F1640" s="55" t="s">
        <v>344</v>
      </c>
      <c r="G1640" s="55" t="s">
        <v>360</v>
      </c>
      <c r="H1640" s="55" t="s">
        <v>360</v>
      </c>
      <c r="I1640" s="55" t="s">
        <v>360</v>
      </c>
      <c r="J1640" s="55" t="s">
        <v>360</v>
      </c>
      <c r="K1640" s="55" t="s">
        <v>360</v>
      </c>
      <c r="L1640" s="55" t="s">
        <v>360</v>
      </c>
      <c r="M1640" s="55" t="s">
        <v>144</v>
      </c>
      <c r="N1640" s="55" t="s">
        <v>144</v>
      </c>
      <c r="O1640" s="55" t="s">
        <v>209</v>
      </c>
      <c r="P1640" s="55" t="s">
        <v>555</v>
      </c>
      <c r="Q1640" s="55" t="s">
        <v>350</v>
      </c>
      <c r="R1640" s="55">
        <v>2</v>
      </c>
      <c r="S1640" s="74"/>
      <c r="T1640" s="55" t="s">
        <v>1486</v>
      </c>
      <c r="U1640" s="73"/>
      <c r="W1640" s="74"/>
      <c r="Y1640" s="74"/>
      <c r="Z1640" s="74"/>
    </row>
    <row r="1641" spans="1:26" ht="13" x14ac:dyDescent="0.15">
      <c r="A1641" s="72" t="str">
        <f t="shared" si="25"/>
        <v>Ofsted Social Care Provider Webpage</v>
      </c>
      <c r="B1641" s="55">
        <v>2663770</v>
      </c>
      <c r="D1641" s="55" t="s">
        <v>373</v>
      </c>
      <c r="E1641" s="74">
        <v>44586</v>
      </c>
      <c r="F1641" s="55" t="s">
        <v>344</v>
      </c>
      <c r="G1641" s="55" t="s">
        <v>360</v>
      </c>
      <c r="H1641" s="55" t="s">
        <v>360</v>
      </c>
      <c r="I1641" s="55" t="s">
        <v>360</v>
      </c>
      <c r="J1641" s="55" t="s">
        <v>360</v>
      </c>
      <c r="K1641" s="55" t="s">
        <v>360</v>
      </c>
      <c r="L1641" s="55" t="s">
        <v>360</v>
      </c>
      <c r="M1641" s="55" t="s">
        <v>144</v>
      </c>
      <c r="N1641" s="55" t="s">
        <v>144</v>
      </c>
      <c r="O1641" s="55" t="s">
        <v>157</v>
      </c>
      <c r="P1641" s="55" t="s">
        <v>1092</v>
      </c>
      <c r="Q1641" s="55" t="s">
        <v>350</v>
      </c>
      <c r="R1641" s="55">
        <v>3</v>
      </c>
      <c r="S1641" s="74"/>
      <c r="T1641" s="55" t="s">
        <v>1926</v>
      </c>
      <c r="U1641" s="73"/>
      <c r="W1641" s="74"/>
      <c r="Y1641" s="74"/>
      <c r="Z1641" s="74"/>
    </row>
    <row r="1642" spans="1:26" ht="13" x14ac:dyDescent="0.15">
      <c r="A1642" s="72" t="str">
        <f t="shared" si="25"/>
        <v>Ofsted Social Care Provider Webpage</v>
      </c>
      <c r="B1642" s="55">
        <v>2663781</v>
      </c>
      <c r="D1642" s="55" t="s">
        <v>373</v>
      </c>
      <c r="E1642" s="74">
        <v>44559</v>
      </c>
      <c r="F1642" s="55" t="s">
        <v>344</v>
      </c>
      <c r="G1642" s="55" t="s">
        <v>360</v>
      </c>
      <c r="H1642" s="55" t="s">
        <v>360</v>
      </c>
      <c r="I1642" s="55" t="s">
        <v>360</v>
      </c>
      <c r="J1642" s="55" t="s">
        <v>360</v>
      </c>
      <c r="K1642" s="55" t="s">
        <v>360</v>
      </c>
      <c r="L1642" s="55" t="s">
        <v>360</v>
      </c>
      <c r="M1642" s="55" t="s">
        <v>150</v>
      </c>
      <c r="N1642" s="55" t="s">
        <v>150</v>
      </c>
      <c r="O1642" s="55" t="s">
        <v>237</v>
      </c>
      <c r="P1642" s="55" t="s">
        <v>404</v>
      </c>
      <c r="Q1642" s="55" t="s">
        <v>350</v>
      </c>
      <c r="R1642" s="55">
        <v>3</v>
      </c>
      <c r="S1642" s="74"/>
      <c r="T1642" s="55" t="s">
        <v>2321</v>
      </c>
      <c r="U1642" s="73"/>
      <c r="W1642" s="74"/>
      <c r="Y1642" s="74"/>
      <c r="Z1642" s="74"/>
    </row>
    <row r="1643" spans="1:26" ht="13" x14ac:dyDescent="0.15">
      <c r="A1643" s="72" t="str">
        <f t="shared" si="25"/>
        <v>Ofsted Social Care Provider Webpage</v>
      </c>
      <c r="B1643" s="55">
        <v>2664175</v>
      </c>
      <c r="D1643" s="55" t="s">
        <v>373</v>
      </c>
      <c r="E1643" s="74">
        <v>44547</v>
      </c>
      <c r="F1643" s="55" t="s">
        <v>344</v>
      </c>
      <c r="G1643" s="55" t="s">
        <v>360</v>
      </c>
      <c r="H1643" s="55" t="s">
        <v>360</v>
      </c>
      <c r="I1643" s="55" t="s">
        <v>360</v>
      </c>
      <c r="J1643" s="55" t="s">
        <v>360</v>
      </c>
      <c r="K1643" s="55" t="s">
        <v>360</v>
      </c>
      <c r="L1643" s="55" t="s">
        <v>360</v>
      </c>
      <c r="M1643" s="55" t="s">
        <v>129</v>
      </c>
      <c r="N1643" s="55" t="s">
        <v>129</v>
      </c>
      <c r="O1643" s="55" t="s">
        <v>128</v>
      </c>
      <c r="P1643" s="55" t="s">
        <v>1201</v>
      </c>
      <c r="Q1643" s="55" t="s">
        <v>350</v>
      </c>
      <c r="R1643" s="55">
        <v>3</v>
      </c>
      <c r="S1643" s="74"/>
      <c r="T1643" s="55" t="s">
        <v>2322</v>
      </c>
      <c r="U1643" s="73"/>
      <c r="W1643" s="74"/>
      <c r="Y1643" s="74"/>
      <c r="Z1643" s="74"/>
    </row>
    <row r="1644" spans="1:26" ht="13" x14ac:dyDescent="0.15">
      <c r="A1644" s="72" t="str">
        <f t="shared" si="25"/>
        <v>Ofsted Social Care Provider Webpage</v>
      </c>
      <c r="B1644" s="55">
        <v>2664249</v>
      </c>
      <c r="D1644" s="55" t="s">
        <v>373</v>
      </c>
      <c r="E1644" s="74">
        <v>44551</v>
      </c>
      <c r="F1644" s="55" t="s">
        <v>344</v>
      </c>
      <c r="G1644" s="55" t="s">
        <v>360</v>
      </c>
      <c r="H1644" s="55" t="s">
        <v>360</v>
      </c>
      <c r="I1644" s="55" t="s">
        <v>360</v>
      </c>
      <c r="J1644" s="55" t="s">
        <v>360</v>
      </c>
      <c r="K1644" s="55" t="s">
        <v>360</v>
      </c>
      <c r="L1644" s="55" t="s">
        <v>360</v>
      </c>
      <c r="M1644" s="55" t="s">
        <v>150</v>
      </c>
      <c r="N1644" s="55" t="s">
        <v>150</v>
      </c>
      <c r="O1644" s="55" t="s">
        <v>181</v>
      </c>
      <c r="P1644" s="55" t="s">
        <v>2323</v>
      </c>
      <c r="Q1644" s="55" t="s">
        <v>350</v>
      </c>
      <c r="R1644" s="55">
        <v>2</v>
      </c>
      <c r="S1644" s="74"/>
      <c r="T1644" s="55" t="s">
        <v>2324</v>
      </c>
      <c r="U1644" s="73"/>
      <c r="W1644" s="74"/>
      <c r="Y1644" s="74"/>
      <c r="Z1644" s="74"/>
    </row>
    <row r="1645" spans="1:26" ht="13" x14ac:dyDescent="0.15">
      <c r="A1645" s="72" t="str">
        <f t="shared" si="25"/>
        <v>Ofsted Social Care Provider Webpage</v>
      </c>
      <c r="B1645" s="55">
        <v>2664326</v>
      </c>
      <c r="D1645" s="55" t="s">
        <v>373</v>
      </c>
      <c r="E1645" s="74">
        <v>44547</v>
      </c>
      <c r="F1645" s="55" t="s">
        <v>344</v>
      </c>
      <c r="G1645" s="55" t="s">
        <v>360</v>
      </c>
      <c r="H1645" s="55" t="s">
        <v>360</v>
      </c>
      <c r="I1645" s="55" t="s">
        <v>360</v>
      </c>
      <c r="J1645" s="55" t="s">
        <v>360</v>
      </c>
      <c r="K1645" s="55" t="s">
        <v>360</v>
      </c>
      <c r="L1645" s="55" t="s">
        <v>360</v>
      </c>
      <c r="M1645" s="55" t="s">
        <v>378</v>
      </c>
      <c r="N1645" s="55" t="s">
        <v>134</v>
      </c>
      <c r="O1645" s="55" t="s">
        <v>206</v>
      </c>
      <c r="P1645" s="55" t="s">
        <v>1655</v>
      </c>
      <c r="Q1645" s="55" t="s">
        <v>350</v>
      </c>
      <c r="R1645" s="55">
        <v>3</v>
      </c>
      <c r="S1645" s="74"/>
      <c r="T1645" s="55" t="s">
        <v>1723</v>
      </c>
      <c r="U1645" s="73"/>
      <c r="W1645" s="74"/>
      <c r="Y1645" s="74"/>
      <c r="Z1645" s="74"/>
    </row>
    <row r="1646" spans="1:26" ht="13" x14ac:dyDescent="0.15">
      <c r="A1646" s="72" t="str">
        <f t="shared" si="25"/>
        <v>Ofsted Social Care Provider Webpage</v>
      </c>
      <c r="B1646" s="55">
        <v>2664647</v>
      </c>
      <c r="D1646" s="55" t="s">
        <v>443</v>
      </c>
      <c r="E1646" s="74">
        <v>44645</v>
      </c>
      <c r="F1646" s="55" t="s">
        <v>344</v>
      </c>
      <c r="G1646" s="55" t="s">
        <v>2325</v>
      </c>
      <c r="H1646" s="55" t="s">
        <v>2326</v>
      </c>
      <c r="I1646" s="55" t="s">
        <v>2327</v>
      </c>
      <c r="J1646" s="55" t="s">
        <v>2328</v>
      </c>
      <c r="L1646" s="55" t="s">
        <v>2329</v>
      </c>
      <c r="M1646" s="55" t="s">
        <v>138</v>
      </c>
      <c r="N1646" s="55" t="s">
        <v>138</v>
      </c>
      <c r="O1646" s="55" t="s">
        <v>183</v>
      </c>
      <c r="P1646" s="55" t="s">
        <v>510</v>
      </c>
      <c r="Q1646" s="55" t="s">
        <v>350</v>
      </c>
      <c r="R1646" s="55"/>
      <c r="S1646" s="74"/>
      <c r="T1646" s="55" t="s">
        <v>2325</v>
      </c>
      <c r="U1646" s="73"/>
      <c r="W1646" s="74"/>
      <c r="Y1646" s="74"/>
      <c r="Z1646" s="74"/>
    </row>
    <row r="1647" spans="1:26" ht="13" x14ac:dyDescent="0.15">
      <c r="A1647" s="72" t="str">
        <f t="shared" si="25"/>
        <v>Ofsted Social Care Provider Webpage</v>
      </c>
      <c r="B1647" s="55">
        <v>2664826</v>
      </c>
      <c r="D1647" s="55" t="s">
        <v>373</v>
      </c>
      <c r="E1647" s="74">
        <v>44622</v>
      </c>
      <c r="F1647" s="55" t="s">
        <v>344</v>
      </c>
      <c r="G1647" s="55" t="s">
        <v>360</v>
      </c>
      <c r="H1647" s="55" t="s">
        <v>360</v>
      </c>
      <c r="I1647" s="55" t="s">
        <v>360</v>
      </c>
      <c r="J1647" s="55" t="s">
        <v>360</v>
      </c>
      <c r="K1647" s="55" t="s">
        <v>360</v>
      </c>
      <c r="L1647" s="55" t="s">
        <v>360</v>
      </c>
      <c r="M1647" s="55" t="s">
        <v>144</v>
      </c>
      <c r="N1647" s="55" t="s">
        <v>144</v>
      </c>
      <c r="O1647" s="55" t="s">
        <v>217</v>
      </c>
      <c r="P1647" s="55" t="s">
        <v>2330</v>
      </c>
      <c r="Q1647" s="55" t="s">
        <v>350</v>
      </c>
      <c r="R1647" s="55">
        <v>4</v>
      </c>
      <c r="S1647" s="74"/>
      <c r="T1647" s="55" t="s">
        <v>1373</v>
      </c>
      <c r="U1647" s="73"/>
      <c r="W1647" s="74"/>
      <c r="Y1647" s="74"/>
      <c r="Z1647" s="74"/>
    </row>
    <row r="1648" spans="1:26" ht="13" x14ac:dyDescent="0.15">
      <c r="A1648" s="72" t="str">
        <f t="shared" si="25"/>
        <v>Ofsted Social Care Provider Webpage</v>
      </c>
      <c r="B1648" s="55">
        <v>2664861</v>
      </c>
      <c r="D1648" s="55" t="s">
        <v>373</v>
      </c>
      <c r="E1648" s="74">
        <v>44634</v>
      </c>
      <c r="F1648" s="55" t="s">
        <v>344</v>
      </c>
      <c r="G1648" s="55" t="s">
        <v>360</v>
      </c>
      <c r="H1648" s="55" t="s">
        <v>360</v>
      </c>
      <c r="I1648" s="55" t="s">
        <v>360</v>
      </c>
      <c r="J1648" s="55" t="s">
        <v>360</v>
      </c>
      <c r="K1648" s="55" t="s">
        <v>360</v>
      </c>
      <c r="L1648" s="55" t="s">
        <v>360</v>
      </c>
      <c r="M1648" s="55" t="s">
        <v>129</v>
      </c>
      <c r="N1648" s="55" t="s">
        <v>129</v>
      </c>
      <c r="O1648" s="55" t="s">
        <v>242</v>
      </c>
      <c r="P1648" s="55" t="s">
        <v>1519</v>
      </c>
      <c r="Q1648" s="55" t="s">
        <v>350</v>
      </c>
      <c r="R1648" s="55">
        <v>5</v>
      </c>
      <c r="S1648" s="74"/>
      <c r="T1648" s="55" t="s">
        <v>2331</v>
      </c>
      <c r="U1648" s="73"/>
      <c r="W1648" s="74"/>
      <c r="Y1648" s="74"/>
      <c r="Z1648" s="74"/>
    </row>
    <row r="1649" spans="1:26" ht="13" x14ac:dyDescent="0.15">
      <c r="A1649" s="72" t="str">
        <f t="shared" si="25"/>
        <v>Ofsted Social Care Provider Webpage</v>
      </c>
      <c r="B1649" s="55">
        <v>2664883</v>
      </c>
      <c r="D1649" s="55" t="s">
        <v>373</v>
      </c>
      <c r="E1649" s="74">
        <v>44582</v>
      </c>
      <c r="F1649" s="55" t="s">
        <v>344</v>
      </c>
      <c r="G1649" s="55" t="s">
        <v>360</v>
      </c>
      <c r="H1649" s="55" t="s">
        <v>360</v>
      </c>
      <c r="I1649" s="55" t="s">
        <v>360</v>
      </c>
      <c r="J1649" s="55" t="s">
        <v>360</v>
      </c>
      <c r="K1649" s="55" t="s">
        <v>360</v>
      </c>
      <c r="L1649" s="55" t="s">
        <v>360</v>
      </c>
      <c r="M1649" s="55" t="s">
        <v>378</v>
      </c>
      <c r="N1649" s="55" t="s">
        <v>134</v>
      </c>
      <c r="O1649" s="55" t="s">
        <v>204</v>
      </c>
      <c r="P1649" s="55" t="s">
        <v>1478</v>
      </c>
      <c r="Q1649" s="55" t="s">
        <v>380</v>
      </c>
      <c r="R1649" s="55">
        <v>1</v>
      </c>
      <c r="S1649" s="74"/>
      <c r="T1649" s="55" t="s">
        <v>1479</v>
      </c>
      <c r="U1649" s="73"/>
      <c r="W1649" s="74"/>
      <c r="Y1649" s="74"/>
      <c r="Z1649" s="74"/>
    </row>
    <row r="1650" spans="1:26" ht="13" x14ac:dyDescent="0.15">
      <c r="A1650" s="72" t="str">
        <f t="shared" si="25"/>
        <v>Ofsted Social Care Provider Webpage</v>
      </c>
      <c r="B1650" s="55">
        <v>2665004</v>
      </c>
      <c r="D1650" s="55" t="s">
        <v>389</v>
      </c>
      <c r="E1650" s="74">
        <v>44582</v>
      </c>
      <c r="F1650" s="55" t="s">
        <v>344</v>
      </c>
      <c r="G1650" s="55" t="s">
        <v>2332</v>
      </c>
      <c r="H1650" s="55" t="s">
        <v>2333</v>
      </c>
      <c r="I1650" s="55" t="s">
        <v>2334</v>
      </c>
      <c r="J1650" s="55" t="s">
        <v>2335</v>
      </c>
      <c r="L1650" s="55" t="s">
        <v>2336</v>
      </c>
      <c r="M1650" s="55" t="s">
        <v>138</v>
      </c>
      <c r="N1650" s="55" t="s">
        <v>138</v>
      </c>
      <c r="O1650" s="55" t="s">
        <v>224</v>
      </c>
      <c r="P1650" s="55" t="s">
        <v>374</v>
      </c>
      <c r="Q1650" s="55" t="s">
        <v>350</v>
      </c>
      <c r="R1650" s="55"/>
      <c r="S1650" s="74"/>
      <c r="T1650" s="55" t="s">
        <v>2337</v>
      </c>
      <c r="U1650" s="73"/>
      <c r="W1650" s="74"/>
      <c r="Y1650" s="74"/>
      <c r="Z1650" s="74"/>
    </row>
    <row r="1651" spans="1:26" ht="13" x14ac:dyDescent="0.15">
      <c r="A1651" s="72" t="str">
        <f t="shared" si="25"/>
        <v>Ofsted Social Care Provider Webpage</v>
      </c>
      <c r="B1651" s="55">
        <v>2665204</v>
      </c>
      <c r="D1651" s="55" t="s">
        <v>373</v>
      </c>
      <c r="E1651" s="74">
        <v>44574</v>
      </c>
      <c r="F1651" s="55" t="s">
        <v>344</v>
      </c>
      <c r="G1651" s="55" t="s">
        <v>360</v>
      </c>
      <c r="H1651" s="55" t="s">
        <v>360</v>
      </c>
      <c r="I1651" s="55" t="s">
        <v>360</v>
      </c>
      <c r="J1651" s="55" t="s">
        <v>360</v>
      </c>
      <c r="K1651" s="55" t="s">
        <v>360</v>
      </c>
      <c r="L1651" s="55" t="s">
        <v>360</v>
      </c>
      <c r="M1651" s="55" t="s">
        <v>172</v>
      </c>
      <c r="N1651" s="55" t="s">
        <v>172</v>
      </c>
      <c r="O1651" s="55" t="s">
        <v>235</v>
      </c>
      <c r="P1651" s="55" t="s">
        <v>2338</v>
      </c>
      <c r="Q1651" s="55" t="s">
        <v>350</v>
      </c>
      <c r="R1651" s="55">
        <v>4</v>
      </c>
      <c r="S1651" s="74"/>
      <c r="T1651" s="55" t="s">
        <v>2339</v>
      </c>
      <c r="U1651" s="73"/>
      <c r="W1651" s="74"/>
      <c r="Y1651" s="74"/>
      <c r="Z1651" s="74"/>
    </row>
    <row r="1652" spans="1:26" ht="13" x14ac:dyDescent="0.15">
      <c r="A1652" s="72" t="str">
        <f t="shared" si="25"/>
        <v>Ofsted Social Care Provider Webpage</v>
      </c>
      <c r="B1652" s="55">
        <v>2665747</v>
      </c>
      <c r="D1652" s="55" t="s">
        <v>373</v>
      </c>
      <c r="E1652" s="74">
        <v>44593</v>
      </c>
      <c r="F1652" s="55" t="s">
        <v>344</v>
      </c>
      <c r="G1652" s="55" t="s">
        <v>360</v>
      </c>
      <c r="H1652" s="55" t="s">
        <v>360</v>
      </c>
      <c r="I1652" s="55" t="s">
        <v>360</v>
      </c>
      <c r="J1652" s="55" t="s">
        <v>360</v>
      </c>
      <c r="K1652" s="55" t="s">
        <v>360</v>
      </c>
      <c r="L1652" s="55" t="s">
        <v>360</v>
      </c>
      <c r="M1652" s="55" t="s">
        <v>144</v>
      </c>
      <c r="N1652" s="55" t="s">
        <v>144</v>
      </c>
      <c r="O1652" s="55" t="s">
        <v>209</v>
      </c>
      <c r="P1652" s="55" t="s">
        <v>544</v>
      </c>
      <c r="Q1652" s="55" t="s">
        <v>350</v>
      </c>
      <c r="R1652" s="55">
        <v>2</v>
      </c>
      <c r="S1652" s="74"/>
      <c r="T1652" s="55" t="s">
        <v>1482</v>
      </c>
      <c r="U1652" s="73"/>
      <c r="W1652" s="74"/>
      <c r="Y1652" s="74"/>
      <c r="Z1652" s="74"/>
    </row>
    <row r="1653" spans="1:26" ht="13" x14ac:dyDescent="0.15">
      <c r="A1653" s="72" t="str">
        <f t="shared" si="25"/>
        <v>Ofsted Social Care Provider Webpage</v>
      </c>
      <c r="B1653" s="55">
        <v>2665860</v>
      </c>
      <c r="D1653" s="55" t="s">
        <v>373</v>
      </c>
      <c r="E1653" s="74">
        <v>44543</v>
      </c>
      <c r="F1653" s="55" t="s">
        <v>344</v>
      </c>
      <c r="G1653" s="55" t="s">
        <v>360</v>
      </c>
      <c r="H1653" s="55" t="s">
        <v>360</v>
      </c>
      <c r="I1653" s="55" t="s">
        <v>360</v>
      </c>
      <c r="J1653" s="55" t="s">
        <v>360</v>
      </c>
      <c r="K1653" s="55" t="s">
        <v>360</v>
      </c>
      <c r="L1653" s="55" t="s">
        <v>360</v>
      </c>
      <c r="M1653" s="55" t="s">
        <v>138</v>
      </c>
      <c r="N1653" s="55" t="s">
        <v>138</v>
      </c>
      <c r="O1653" s="55" t="s">
        <v>266</v>
      </c>
      <c r="P1653" s="55" t="s">
        <v>449</v>
      </c>
      <c r="Q1653" s="55" t="s">
        <v>350</v>
      </c>
      <c r="R1653" s="55">
        <v>3</v>
      </c>
      <c r="S1653" s="74"/>
      <c r="T1653" s="55" t="s">
        <v>2340</v>
      </c>
      <c r="U1653" s="73"/>
      <c r="W1653" s="74"/>
      <c r="Y1653" s="74"/>
      <c r="Z1653" s="74"/>
    </row>
    <row r="1654" spans="1:26" ht="13" x14ac:dyDescent="0.15">
      <c r="A1654" s="72" t="str">
        <f t="shared" si="25"/>
        <v>Ofsted Social Care Provider Webpage</v>
      </c>
      <c r="B1654" s="55">
        <v>2666309</v>
      </c>
      <c r="D1654" s="55" t="s">
        <v>373</v>
      </c>
      <c r="E1654" s="74">
        <v>44537</v>
      </c>
      <c r="F1654" s="55" t="s">
        <v>344</v>
      </c>
      <c r="G1654" s="55" t="s">
        <v>360</v>
      </c>
      <c r="H1654" s="55" t="s">
        <v>360</v>
      </c>
      <c r="I1654" s="55" t="s">
        <v>360</v>
      </c>
      <c r="J1654" s="55" t="s">
        <v>360</v>
      </c>
      <c r="K1654" s="55" t="s">
        <v>360</v>
      </c>
      <c r="L1654" s="55" t="s">
        <v>360</v>
      </c>
      <c r="M1654" s="55" t="s">
        <v>150</v>
      </c>
      <c r="N1654" s="55" t="s">
        <v>150</v>
      </c>
      <c r="O1654" s="55" t="s">
        <v>181</v>
      </c>
      <c r="P1654" s="55" t="s">
        <v>937</v>
      </c>
      <c r="Q1654" s="55" t="s">
        <v>350</v>
      </c>
      <c r="R1654" s="55">
        <v>4</v>
      </c>
      <c r="S1654" s="74"/>
      <c r="T1654" s="55" t="s">
        <v>2341</v>
      </c>
      <c r="U1654" s="73"/>
      <c r="W1654" s="74"/>
      <c r="Y1654" s="74"/>
      <c r="Z1654" s="74"/>
    </row>
    <row r="1655" spans="1:26" ht="13" x14ac:dyDescent="0.15">
      <c r="A1655" s="72" t="str">
        <f t="shared" si="25"/>
        <v>Ofsted Social Care Provider Webpage</v>
      </c>
      <c r="B1655" s="55">
        <v>2666995</v>
      </c>
      <c r="D1655" s="55" t="s">
        <v>373</v>
      </c>
      <c r="E1655" s="74">
        <v>44518</v>
      </c>
      <c r="F1655" s="55" t="s">
        <v>344</v>
      </c>
      <c r="G1655" s="55" t="s">
        <v>360</v>
      </c>
      <c r="H1655" s="55" t="s">
        <v>360</v>
      </c>
      <c r="I1655" s="55" t="s">
        <v>360</v>
      </c>
      <c r="J1655" s="55" t="s">
        <v>360</v>
      </c>
      <c r="K1655" s="55" t="s">
        <v>360</v>
      </c>
      <c r="L1655" s="55" t="s">
        <v>360</v>
      </c>
      <c r="M1655" s="55" t="s">
        <v>150</v>
      </c>
      <c r="N1655" s="55" t="s">
        <v>150</v>
      </c>
      <c r="O1655" s="55" t="s">
        <v>190</v>
      </c>
      <c r="P1655" s="55" t="s">
        <v>749</v>
      </c>
      <c r="Q1655" s="55" t="s">
        <v>350</v>
      </c>
      <c r="R1655" s="55">
        <v>5</v>
      </c>
      <c r="S1655" s="74"/>
      <c r="T1655" s="55" t="s">
        <v>1524</v>
      </c>
      <c r="U1655" s="73"/>
      <c r="W1655" s="74"/>
      <c r="Y1655" s="74"/>
      <c r="Z1655" s="74"/>
    </row>
    <row r="1656" spans="1:26" ht="13" x14ac:dyDescent="0.15">
      <c r="A1656" s="72" t="str">
        <f t="shared" si="25"/>
        <v>Ofsted Social Care Provider Webpage</v>
      </c>
      <c r="B1656" s="55">
        <v>2667363</v>
      </c>
      <c r="D1656" s="55" t="s">
        <v>373</v>
      </c>
      <c r="E1656" s="74">
        <v>44539</v>
      </c>
      <c r="F1656" s="55" t="s">
        <v>344</v>
      </c>
      <c r="G1656" s="55" t="s">
        <v>360</v>
      </c>
      <c r="H1656" s="55" t="s">
        <v>360</v>
      </c>
      <c r="I1656" s="55" t="s">
        <v>360</v>
      </c>
      <c r="J1656" s="55" t="s">
        <v>360</v>
      </c>
      <c r="K1656" s="55" t="s">
        <v>360</v>
      </c>
      <c r="L1656" s="55" t="s">
        <v>360</v>
      </c>
      <c r="M1656" s="55" t="s">
        <v>378</v>
      </c>
      <c r="N1656" s="55" t="s">
        <v>134</v>
      </c>
      <c r="O1656" s="55" t="s">
        <v>294</v>
      </c>
      <c r="P1656" s="55" t="s">
        <v>1983</v>
      </c>
      <c r="Q1656" s="55" t="s">
        <v>380</v>
      </c>
      <c r="R1656" s="55">
        <v>1</v>
      </c>
      <c r="S1656" s="74"/>
      <c r="T1656" s="55" t="s">
        <v>1984</v>
      </c>
      <c r="U1656" s="73"/>
      <c r="W1656" s="74"/>
      <c r="Y1656" s="74"/>
      <c r="Z1656" s="74"/>
    </row>
    <row r="1657" spans="1:26" ht="13" x14ac:dyDescent="0.15">
      <c r="A1657" s="72" t="str">
        <f t="shared" si="25"/>
        <v>Ofsted Social Care Provider Webpage</v>
      </c>
      <c r="B1657" s="55">
        <v>2667401</v>
      </c>
      <c r="D1657" s="55" t="s">
        <v>373</v>
      </c>
      <c r="E1657" s="74">
        <v>44613</v>
      </c>
      <c r="F1657" s="55" t="s">
        <v>344</v>
      </c>
      <c r="G1657" s="55" t="s">
        <v>360</v>
      </c>
      <c r="H1657" s="55" t="s">
        <v>360</v>
      </c>
      <c r="I1657" s="55" t="s">
        <v>360</v>
      </c>
      <c r="J1657" s="55" t="s">
        <v>360</v>
      </c>
      <c r="K1657" s="55" t="s">
        <v>360</v>
      </c>
      <c r="L1657" s="55" t="s">
        <v>360</v>
      </c>
      <c r="M1657" s="55" t="s">
        <v>142</v>
      </c>
      <c r="N1657" s="55" t="s">
        <v>142</v>
      </c>
      <c r="O1657" s="55" t="s">
        <v>252</v>
      </c>
      <c r="P1657" s="55" t="s">
        <v>386</v>
      </c>
      <c r="Q1657" s="55" t="s">
        <v>350</v>
      </c>
      <c r="R1657" s="55">
        <v>4</v>
      </c>
      <c r="S1657" s="74"/>
      <c r="T1657" s="55" t="s">
        <v>2342</v>
      </c>
      <c r="U1657" s="73"/>
      <c r="W1657" s="74"/>
      <c r="Y1657" s="74"/>
      <c r="Z1657" s="74"/>
    </row>
    <row r="1658" spans="1:26" ht="13" x14ac:dyDescent="0.15">
      <c r="A1658" s="72" t="str">
        <f t="shared" si="25"/>
        <v>Ofsted Social Care Provider Webpage</v>
      </c>
      <c r="B1658" s="55">
        <v>2667592</v>
      </c>
      <c r="D1658" s="55" t="s">
        <v>373</v>
      </c>
      <c r="E1658" s="74">
        <v>44574</v>
      </c>
      <c r="F1658" s="55" t="s">
        <v>344</v>
      </c>
      <c r="G1658" s="55" t="s">
        <v>360</v>
      </c>
      <c r="H1658" s="55" t="s">
        <v>360</v>
      </c>
      <c r="I1658" s="55" t="s">
        <v>360</v>
      </c>
      <c r="J1658" s="55" t="s">
        <v>360</v>
      </c>
      <c r="K1658" s="55" t="s">
        <v>360</v>
      </c>
      <c r="L1658" s="55" t="s">
        <v>360</v>
      </c>
      <c r="M1658" s="55" t="s">
        <v>172</v>
      </c>
      <c r="N1658" s="55" t="s">
        <v>172</v>
      </c>
      <c r="O1658" s="55" t="s">
        <v>235</v>
      </c>
      <c r="P1658" s="55" t="s">
        <v>1396</v>
      </c>
      <c r="Q1658" s="55" t="s">
        <v>350</v>
      </c>
      <c r="R1658" s="55">
        <v>2</v>
      </c>
      <c r="S1658" s="74"/>
      <c r="T1658" s="55" t="s">
        <v>962</v>
      </c>
      <c r="U1658" s="73"/>
      <c r="W1658" s="74"/>
      <c r="Y1658" s="74"/>
      <c r="Z1658" s="74"/>
    </row>
    <row r="1659" spans="1:26" ht="13" x14ac:dyDescent="0.15">
      <c r="A1659" s="72" t="str">
        <f t="shared" si="25"/>
        <v>Ofsted Social Care Provider Webpage</v>
      </c>
      <c r="B1659" s="55">
        <v>2667771</v>
      </c>
      <c r="D1659" s="55" t="s">
        <v>373</v>
      </c>
      <c r="E1659" s="74">
        <v>44651</v>
      </c>
      <c r="F1659" s="55" t="s">
        <v>344</v>
      </c>
      <c r="G1659" s="55" t="s">
        <v>360</v>
      </c>
      <c r="H1659" s="55" t="s">
        <v>360</v>
      </c>
      <c r="I1659" s="55" t="s">
        <v>360</v>
      </c>
      <c r="J1659" s="55" t="s">
        <v>360</v>
      </c>
      <c r="K1659" s="55" t="s">
        <v>360</v>
      </c>
      <c r="L1659" s="55" t="s">
        <v>360</v>
      </c>
      <c r="M1659" s="55" t="s">
        <v>150</v>
      </c>
      <c r="N1659" s="55" t="s">
        <v>150</v>
      </c>
      <c r="O1659" s="55" t="s">
        <v>190</v>
      </c>
      <c r="P1659" s="55" t="s">
        <v>500</v>
      </c>
      <c r="Q1659" s="55" t="s">
        <v>350</v>
      </c>
      <c r="R1659" s="55">
        <v>4</v>
      </c>
      <c r="S1659" s="74"/>
      <c r="T1659" s="55" t="s">
        <v>2343</v>
      </c>
      <c r="U1659" s="73"/>
      <c r="W1659" s="74"/>
      <c r="Y1659" s="74"/>
      <c r="Z1659" s="74"/>
    </row>
    <row r="1660" spans="1:26" ht="13" x14ac:dyDescent="0.15">
      <c r="A1660" s="72" t="str">
        <f t="shared" si="25"/>
        <v>Ofsted Social Care Provider Webpage</v>
      </c>
      <c r="B1660" s="55">
        <v>2668575</v>
      </c>
      <c r="D1660" s="55" t="s">
        <v>373</v>
      </c>
      <c r="E1660" s="74">
        <v>44540</v>
      </c>
      <c r="F1660" s="55" t="s">
        <v>344</v>
      </c>
      <c r="G1660" s="55" t="s">
        <v>360</v>
      </c>
      <c r="H1660" s="55" t="s">
        <v>360</v>
      </c>
      <c r="I1660" s="55" t="s">
        <v>360</v>
      </c>
      <c r="J1660" s="55" t="s">
        <v>360</v>
      </c>
      <c r="K1660" s="55" t="s">
        <v>360</v>
      </c>
      <c r="L1660" s="55" t="s">
        <v>360</v>
      </c>
      <c r="M1660" s="55" t="s">
        <v>138</v>
      </c>
      <c r="N1660" s="55" t="s">
        <v>138</v>
      </c>
      <c r="O1660" s="55" t="s">
        <v>159</v>
      </c>
      <c r="P1660" s="55" t="s">
        <v>1025</v>
      </c>
      <c r="Q1660" s="55" t="s">
        <v>350</v>
      </c>
      <c r="R1660" s="55">
        <v>4</v>
      </c>
      <c r="S1660" s="74"/>
      <c r="T1660" s="55" t="s">
        <v>1676</v>
      </c>
      <c r="U1660" s="73"/>
      <c r="W1660" s="74"/>
      <c r="Y1660" s="74"/>
      <c r="Z1660" s="74"/>
    </row>
    <row r="1661" spans="1:26" ht="13" x14ac:dyDescent="0.15">
      <c r="A1661" s="72" t="str">
        <f t="shared" si="25"/>
        <v>Ofsted Social Care Provider Webpage</v>
      </c>
      <c r="B1661" s="55">
        <v>2668686</v>
      </c>
      <c r="D1661" s="55" t="s">
        <v>373</v>
      </c>
      <c r="E1661" s="74">
        <v>44628</v>
      </c>
      <c r="F1661" s="55" t="s">
        <v>344</v>
      </c>
      <c r="G1661" s="55" t="s">
        <v>360</v>
      </c>
      <c r="H1661" s="55" t="s">
        <v>360</v>
      </c>
      <c r="I1661" s="55" t="s">
        <v>360</v>
      </c>
      <c r="J1661" s="55" t="s">
        <v>360</v>
      </c>
      <c r="K1661" s="55" t="s">
        <v>360</v>
      </c>
      <c r="L1661" s="55" t="s">
        <v>360</v>
      </c>
      <c r="M1661" s="55" t="s">
        <v>142</v>
      </c>
      <c r="N1661" s="55" t="s">
        <v>142</v>
      </c>
      <c r="O1661" s="55" t="s">
        <v>254</v>
      </c>
      <c r="P1661" s="55" t="s">
        <v>1048</v>
      </c>
      <c r="Q1661" s="55" t="s">
        <v>350</v>
      </c>
      <c r="R1661" s="55">
        <v>3</v>
      </c>
      <c r="S1661" s="74"/>
      <c r="T1661" s="55" t="s">
        <v>2344</v>
      </c>
      <c r="U1661" s="73"/>
      <c r="W1661" s="74"/>
      <c r="Y1661" s="74"/>
      <c r="Z1661" s="74"/>
    </row>
    <row r="1662" spans="1:26" ht="13" x14ac:dyDescent="0.15">
      <c r="A1662" s="72" t="str">
        <f t="shared" si="25"/>
        <v>Ofsted Social Care Provider Webpage</v>
      </c>
      <c r="B1662" s="55">
        <v>2668710</v>
      </c>
      <c r="D1662" s="55" t="s">
        <v>373</v>
      </c>
      <c r="E1662" s="74">
        <v>44640</v>
      </c>
      <c r="F1662" s="55" t="s">
        <v>344</v>
      </c>
      <c r="G1662" s="55" t="s">
        <v>360</v>
      </c>
      <c r="H1662" s="55" t="s">
        <v>360</v>
      </c>
      <c r="I1662" s="55" t="s">
        <v>360</v>
      </c>
      <c r="J1662" s="55" t="s">
        <v>360</v>
      </c>
      <c r="K1662" s="55" t="s">
        <v>360</v>
      </c>
      <c r="L1662" s="55" t="s">
        <v>360</v>
      </c>
      <c r="M1662" s="55" t="s">
        <v>378</v>
      </c>
      <c r="N1662" s="55" t="s">
        <v>170</v>
      </c>
      <c r="O1662" s="55" t="s">
        <v>231</v>
      </c>
      <c r="P1662" s="55" t="s">
        <v>231</v>
      </c>
      <c r="Q1662" s="55" t="s">
        <v>380</v>
      </c>
      <c r="R1662" s="55">
        <v>5</v>
      </c>
      <c r="S1662" s="74"/>
      <c r="T1662" s="55" t="s">
        <v>1945</v>
      </c>
      <c r="U1662" s="73"/>
      <c r="W1662" s="74"/>
      <c r="Y1662" s="74"/>
      <c r="Z1662" s="74"/>
    </row>
    <row r="1663" spans="1:26" ht="13" x14ac:dyDescent="0.15">
      <c r="A1663" s="72" t="str">
        <f t="shared" si="25"/>
        <v>Ofsted Social Care Provider Webpage</v>
      </c>
      <c r="B1663" s="55">
        <v>2668747</v>
      </c>
      <c r="D1663" s="55" t="s">
        <v>373</v>
      </c>
      <c r="E1663" s="74">
        <v>44574</v>
      </c>
      <c r="F1663" s="55" t="s">
        <v>344</v>
      </c>
      <c r="G1663" s="55" t="s">
        <v>360</v>
      </c>
      <c r="H1663" s="55" t="s">
        <v>360</v>
      </c>
      <c r="I1663" s="55" t="s">
        <v>360</v>
      </c>
      <c r="J1663" s="55" t="s">
        <v>360</v>
      </c>
      <c r="K1663" s="55" t="s">
        <v>360</v>
      </c>
      <c r="L1663" s="55" t="s">
        <v>360</v>
      </c>
      <c r="M1663" s="55" t="s">
        <v>136</v>
      </c>
      <c r="N1663" s="55" t="s">
        <v>136</v>
      </c>
      <c r="O1663" s="55" t="s">
        <v>185</v>
      </c>
      <c r="P1663" s="55" t="s">
        <v>382</v>
      </c>
      <c r="Q1663" s="55" t="s">
        <v>350</v>
      </c>
      <c r="R1663" s="55">
        <v>3</v>
      </c>
      <c r="S1663" s="74"/>
      <c r="T1663" s="55" t="s">
        <v>2345</v>
      </c>
      <c r="U1663" s="73"/>
      <c r="W1663" s="74"/>
      <c r="Y1663" s="74"/>
      <c r="Z1663" s="74"/>
    </row>
    <row r="1664" spans="1:26" ht="13" x14ac:dyDescent="0.15">
      <c r="A1664" s="72" t="str">
        <f t="shared" si="25"/>
        <v>Ofsted Social Care Provider Webpage</v>
      </c>
      <c r="B1664" s="55">
        <v>2669259</v>
      </c>
      <c r="D1664" s="55" t="s">
        <v>373</v>
      </c>
      <c r="E1664" s="74">
        <v>44608</v>
      </c>
      <c r="F1664" s="55" t="s">
        <v>344</v>
      </c>
      <c r="G1664" s="55" t="s">
        <v>360</v>
      </c>
      <c r="H1664" s="55" t="s">
        <v>360</v>
      </c>
      <c r="I1664" s="55" t="s">
        <v>360</v>
      </c>
      <c r="J1664" s="55" t="s">
        <v>360</v>
      </c>
      <c r="K1664" s="55" t="s">
        <v>360</v>
      </c>
      <c r="L1664" s="55" t="s">
        <v>360</v>
      </c>
      <c r="M1664" s="55" t="s">
        <v>172</v>
      </c>
      <c r="N1664" s="55" t="s">
        <v>172</v>
      </c>
      <c r="O1664" s="55" t="s">
        <v>214</v>
      </c>
      <c r="P1664" s="55" t="s">
        <v>1426</v>
      </c>
      <c r="Q1664" s="55" t="s">
        <v>350</v>
      </c>
      <c r="R1664" s="55">
        <v>4</v>
      </c>
      <c r="S1664" s="74"/>
      <c r="T1664" s="55" t="s">
        <v>668</v>
      </c>
      <c r="U1664" s="73"/>
      <c r="W1664" s="74"/>
      <c r="Y1664" s="74"/>
      <c r="Z1664" s="74"/>
    </row>
    <row r="1665" spans="1:26" ht="13" x14ac:dyDescent="0.15">
      <c r="A1665" s="72" t="str">
        <f t="shared" si="25"/>
        <v>Ofsted Social Care Provider Webpage</v>
      </c>
      <c r="B1665" s="55">
        <v>2669323</v>
      </c>
      <c r="D1665" s="55" t="s">
        <v>373</v>
      </c>
      <c r="E1665" s="74">
        <v>44595</v>
      </c>
      <c r="F1665" s="55" t="s">
        <v>344</v>
      </c>
      <c r="G1665" s="55" t="s">
        <v>360</v>
      </c>
      <c r="H1665" s="55" t="s">
        <v>360</v>
      </c>
      <c r="I1665" s="55" t="s">
        <v>360</v>
      </c>
      <c r="J1665" s="55" t="s">
        <v>360</v>
      </c>
      <c r="K1665" s="55" t="s">
        <v>360</v>
      </c>
      <c r="L1665" s="55" t="s">
        <v>360</v>
      </c>
      <c r="M1665" s="55" t="s">
        <v>144</v>
      </c>
      <c r="N1665" s="55" t="s">
        <v>144</v>
      </c>
      <c r="O1665" s="55" t="s">
        <v>215</v>
      </c>
      <c r="P1665" s="55" t="s">
        <v>655</v>
      </c>
      <c r="Q1665" s="55" t="s">
        <v>350</v>
      </c>
      <c r="R1665" s="55">
        <v>3</v>
      </c>
      <c r="S1665" s="74"/>
      <c r="T1665" s="55" t="s">
        <v>2346</v>
      </c>
      <c r="U1665" s="73"/>
      <c r="W1665" s="74"/>
      <c r="Y1665" s="74"/>
      <c r="Z1665" s="74"/>
    </row>
    <row r="1666" spans="1:26" ht="13" x14ac:dyDescent="0.15">
      <c r="A1666" s="72" t="str">
        <f t="shared" si="25"/>
        <v>Ofsted Social Care Provider Webpage</v>
      </c>
      <c r="B1666" s="55">
        <v>2669971</v>
      </c>
      <c r="D1666" s="55" t="s">
        <v>373</v>
      </c>
      <c r="E1666" s="74">
        <v>44613</v>
      </c>
      <c r="F1666" s="55" t="s">
        <v>344</v>
      </c>
      <c r="G1666" s="55" t="s">
        <v>360</v>
      </c>
      <c r="H1666" s="55" t="s">
        <v>360</v>
      </c>
      <c r="I1666" s="55" t="s">
        <v>360</v>
      </c>
      <c r="J1666" s="55" t="s">
        <v>360</v>
      </c>
      <c r="K1666" s="55" t="s">
        <v>360</v>
      </c>
      <c r="L1666" s="55" t="s">
        <v>360</v>
      </c>
      <c r="M1666" s="55" t="s">
        <v>138</v>
      </c>
      <c r="N1666" s="55" t="s">
        <v>138</v>
      </c>
      <c r="O1666" s="55" t="s">
        <v>196</v>
      </c>
      <c r="P1666" s="55" t="s">
        <v>2347</v>
      </c>
      <c r="Q1666" s="55" t="s">
        <v>350</v>
      </c>
      <c r="R1666" s="55">
        <v>4</v>
      </c>
      <c r="S1666" s="74"/>
      <c r="T1666" s="55" t="s">
        <v>1363</v>
      </c>
      <c r="U1666" s="73"/>
      <c r="W1666" s="74"/>
      <c r="Y1666" s="74"/>
      <c r="Z1666" s="74"/>
    </row>
    <row r="1667" spans="1:26" ht="13" x14ac:dyDescent="0.15">
      <c r="A1667" s="72" t="str">
        <f t="shared" si="25"/>
        <v>Ofsted Social Care Provider Webpage</v>
      </c>
      <c r="B1667" s="55">
        <v>2670263</v>
      </c>
      <c r="D1667" s="55" t="s">
        <v>373</v>
      </c>
      <c r="E1667" s="74">
        <v>44638</v>
      </c>
      <c r="F1667" s="55" t="s">
        <v>344</v>
      </c>
      <c r="G1667" s="55" t="s">
        <v>360</v>
      </c>
      <c r="H1667" s="55" t="s">
        <v>360</v>
      </c>
      <c r="I1667" s="55" t="s">
        <v>360</v>
      </c>
      <c r="J1667" s="55" t="s">
        <v>360</v>
      </c>
      <c r="K1667" s="55" t="s">
        <v>360</v>
      </c>
      <c r="L1667" s="55" t="s">
        <v>360</v>
      </c>
      <c r="M1667" s="55" t="s">
        <v>172</v>
      </c>
      <c r="N1667" s="55" t="s">
        <v>172</v>
      </c>
      <c r="O1667" s="55" t="s">
        <v>235</v>
      </c>
      <c r="P1667" s="55" t="s">
        <v>628</v>
      </c>
      <c r="Q1667" s="55" t="s">
        <v>350</v>
      </c>
      <c r="R1667" s="55">
        <v>4</v>
      </c>
      <c r="S1667" s="74"/>
      <c r="T1667" s="55" t="s">
        <v>458</v>
      </c>
      <c r="U1667" s="73"/>
      <c r="W1667" s="74"/>
      <c r="Y1667" s="74"/>
      <c r="Z1667" s="74"/>
    </row>
    <row r="1668" spans="1:26" ht="13" x14ac:dyDescent="0.15">
      <c r="A1668" s="72" t="str">
        <f t="shared" si="25"/>
        <v>Ofsted Social Care Provider Webpage</v>
      </c>
      <c r="B1668" s="55">
        <v>2671361</v>
      </c>
      <c r="D1668" s="55" t="s">
        <v>373</v>
      </c>
      <c r="E1668" s="74">
        <v>44627</v>
      </c>
      <c r="F1668" s="55" t="s">
        <v>344</v>
      </c>
      <c r="G1668" s="55" t="s">
        <v>360</v>
      </c>
      <c r="H1668" s="55" t="s">
        <v>360</v>
      </c>
      <c r="I1668" s="55" t="s">
        <v>360</v>
      </c>
      <c r="J1668" s="55" t="s">
        <v>360</v>
      </c>
      <c r="K1668" s="55" t="s">
        <v>360</v>
      </c>
      <c r="L1668" s="55" t="s">
        <v>360</v>
      </c>
      <c r="M1668" s="55" t="s">
        <v>136</v>
      </c>
      <c r="N1668" s="55" t="s">
        <v>136</v>
      </c>
      <c r="O1668" s="55" t="s">
        <v>288</v>
      </c>
      <c r="P1668" s="55" t="s">
        <v>1388</v>
      </c>
      <c r="Q1668" s="55" t="s">
        <v>350</v>
      </c>
      <c r="R1668" s="55">
        <v>2</v>
      </c>
      <c r="S1668" s="74"/>
      <c r="T1668" s="55" t="s">
        <v>610</v>
      </c>
      <c r="U1668" s="73"/>
      <c r="W1668" s="74"/>
      <c r="Y1668" s="74"/>
      <c r="Z1668" s="74"/>
    </row>
    <row r="1669" spans="1:26" ht="13" x14ac:dyDescent="0.15">
      <c r="A1669" s="72" t="str">
        <f t="shared" si="25"/>
        <v>Ofsted Social Care Provider Webpage</v>
      </c>
      <c r="B1669" s="55">
        <v>2671426</v>
      </c>
      <c r="D1669" s="55" t="s">
        <v>373</v>
      </c>
      <c r="E1669" s="74">
        <v>44586</v>
      </c>
      <c r="F1669" s="55" t="s">
        <v>344</v>
      </c>
      <c r="G1669" s="55" t="s">
        <v>360</v>
      </c>
      <c r="H1669" s="55" t="s">
        <v>360</v>
      </c>
      <c r="I1669" s="55" t="s">
        <v>360</v>
      </c>
      <c r="J1669" s="55" t="s">
        <v>360</v>
      </c>
      <c r="K1669" s="55" t="s">
        <v>360</v>
      </c>
      <c r="L1669" s="55" t="s">
        <v>360</v>
      </c>
      <c r="M1669" s="55" t="s">
        <v>150</v>
      </c>
      <c r="N1669" s="55" t="s">
        <v>150</v>
      </c>
      <c r="O1669" s="55" t="s">
        <v>218</v>
      </c>
      <c r="P1669" s="55" t="s">
        <v>1086</v>
      </c>
      <c r="Q1669" s="55" t="s">
        <v>350</v>
      </c>
      <c r="R1669" s="55">
        <v>4</v>
      </c>
      <c r="S1669" s="74"/>
      <c r="T1669" s="55" t="s">
        <v>2197</v>
      </c>
      <c r="U1669" s="73"/>
      <c r="W1669" s="74"/>
      <c r="Y1669" s="74"/>
      <c r="Z1669" s="74"/>
    </row>
    <row r="1670" spans="1:26" ht="13" x14ac:dyDescent="0.15">
      <c r="A1670" s="72" t="str">
        <f t="shared" ref="A1670:A1733" si="26">HYPERLINK(_xlfn.CONCAT("http://reports.ofsted.gov.uk/inspection-reports/find-inspection-report/provider/CARE/",B1670),"Ofsted Social Care Provider Webpage")</f>
        <v>Ofsted Social Care Provider Webpage</v>
      </c>
      <c r="B1670" s="55">
        <v>2671472</v>
      </c>
      <c r="D1670" s="55" t="s">
        <v>451</v>
      </c>
      <c r="E1670" s="74">
        <v>44649</v>
      </c>
      <c r="F1670" s="55" t="s">
        <v>344</v>
      </c>
      <c r="G1670" s="55" t="s">
        <v>2348</v>
      </c>
      <c r="H1670" s="55" t="s">
        <v>2348</v>
      </c>
      <c r="I1670" s="55" t="s">
        <v>2349</v>
      </c>
      <c r="J1670" s="55" t="s">
        <v>261</v>
      </c>
      <c r="L1670" s="55" t="s">
        <v>2350</v>
      </c>
      <c r="M1670" s="55" t="s">
        <v>144</v>
      </c>
      <c r="N1670" s="55" t="s">
        <v>144</v>
      </c>
      <c r="O1670" s="55" t="s">
        <v>261</v>
      </c>
      <c r="P1670" s="55" t="s">
        <v>792</v>
      </c>
      <c r="Q1670" s="55" t="s">
        <v>350</v>
      </c>
      <c r="R1670" s="55">
        <v>5</v>
      </c>
      <c r="S1670" s="74"/>
      <c r="T1670" s="55" t="s">
        <v>2351</v>
      </c>
      <c r="U1670" s="73"/>
      <c r="W1670" s="74"/>
      <c r="Y1670" s="74"/>
      <c r="Z1670" s="74"/>
    </row>
    <row r="1671" spans="1:26" ht="13" x14ac:dyDescent="0.15">
      <c r="A1671" s="72" t="str">
        <f t="shared" si="26"/>
        <v>Ofsted Social Care Provider Webpage</v>
      </c>
      <c r="B1671" s="55">
        <v>2671651</v>
      </c>
      <c r="D1671" s="55" t="s">
        <v>373</v>
      </c>
      <c r="E1671" s="74">
        <v>44613</v>
      </c>
      <c r="F1671" s="55" t="s">
        <v>344</v>
      </c>
      <c r="G1671" s="55" t="s">
        <v>360</v>
      </c>
      <c r="H1671" s="55" t="s">
        <v>360</v>
      </c>
      <c r="I1671" s="55" t="s">
        <v>360</v>
      </c>
      <c r="J1671" s="55" t="s">
        <v>360</v>
      </c>
      <c r="K1671" s="55" t="s">
        <v>360</v>
      </c>
      <c r="L1671" s="55" t="s">
        <v>360</v>
      </c>
      <c r="M1671" s="55" t="s">
        <v>172</v>
      </c>
      <c r="N1671" s="55" t="s">
        <v>172</v>
      </c>
      <c r="O1671" s="55" t="s">
        <v>235</v>
      </c>
      <c r="P1671" s="55" t="s">
        <v>1355</v>
      </c>
      <c r="Q1671" s="55" t="s">
        <v>350</v>
      </c>
      <c r="R1671" s="55">
        <v>2</v>
      </c>
      <c r="S1671" s="74"/>
      <c r="T1671" s="55" t="s">
        <v>962</v>
      </c>
      <c r="U1671" s="73"/>
      <c r="W1671" s="74"/>
      <c r="Y1671" s="74"/>
      <c r="Z1671" s="74"/>
    </row>
    <row r="1672" spans="1:26" ht="13" x14ac:dyDescent="0.15">
      <c r="A1672" s="72" t="str">
        <f t="shared" si="26"/>
        <v>Ofsted Social Care Provider Webpage</v>
      </c>
      <c r="B1672" s="55">
        <v>2671699</v>
      </c>
      <c r="C1672" s="55">
        <v>113952</v>
      </c>
      <c r="D1672" s="55" t="s">
        <v>413</v>
      </c>
      <c r="E1672" s="74">
        <v>44560</v>
      </c>
      <c r="F1672" s="55" t="s">
        <v>344</v>
      </c>
      <c r="G1672" s="55" t="s">
        <v>2352</v>
      </c>
      <c r="H1672" s="55" t="s">
        <v>2353</v>
      </c>
      <c r="I1672" s="55" t="s">
        <v>2354</v>
      </c>
      <c r="J1672" s="55" t="s">
        <v>2355</v>
      </c>
      <c r="K1672" s="55" t="s">
        <v>176</v>
      </c>
      <c r="L1672" s="55" t="s">
        <v>2356</v>
      </c>
      <c r="M1672" s="55" t="s">
        <v>136</v>
      </c>
      <c r="N1672" s="55" t="s">
        <v>136</v>
      </c>
      <c r="O1672" s="55" t="s">
        <v>176</v>
      </c>
      <c r="P1672" s="55" t="s">
        <v>1832</v>
      </c>
      <c r="Q1672" s="55" t="s">
        <v>350</v>
      </c>
      <c r="R1672" s="55">
        <v>22</v>
      </c>
      <c r="S1672" s="74"/>
      <c r="T1672" s="55" t="s">
        <v>2357</v>
      </c>
      <c r="U1672" s="73"/>
      <c r="W1672" s="74"/>
      <c r="Y1672" s="74"/>
      <c r="Z1672" s="74"/>
    </row>
    <row r="1673" spans="1:26" ht="13" x14ac:dyDescent="0.15">
      <c r="A1673" s="72" t="str">
        <f t="shared" si="26"/>
        <v>Ofsted Social Care Provider Webpage</v>
      </c>
      <c r="B1673" s="55">
        <v>2672801</v>
      </c>
      <c r="D1673" s="55" t="s">
        <v>373</v>
      </c>
      <c r="E1673" s="74">
        <v>44609</v>
      </c>
      <c r="F1673" s="55" t="s">
        <v>344</v>
      </c>
      <c r="G1673" s="55" t="s">
        <v>360</v>
      </c>
      <c r="H1673" s="55" t="s">
        <v>360</v>
      </c>
      <c r="I1673" s="55" t="s">
        <v>360</v>
      </c>
      <c r="J1673" s="55" t="s">
        <v>360</v>
      </c>
      <c r="K1673" s="55" t="s">
        <v>360</v>
      </c>
      <c r="L1673" s="55" t="s">
        <v>360</v>
      </c>
      <c r="M1673" s="55" t="s">
        <v>378</v>
      </c>
      <c r="N1673" s="55" t="s">
        <v>134</v>
      </c>
      <c r="O1673" s="55" t="s">
        <v>206</v>
      </c>
      <c r="P1673" s="55" t="s">
        <v>1655</v>
      </c>
      <c r="Q1673" s="55" t="s">
        <v>350</v>
      </c>
      <c r="R1673" s="55">
        <v>6</v>
      </c>
      <c r="S1673" s="74"/>
      <c r="T1673" s="55" t="s">
        <v>1986</v>
      </c>
      <c r="U1673" s="73"/>
      <c r="W1673" s="74"/>
      <c r="Y1673" s="74"/>
      <c r="Z1673" s="74"/>
    </row>
    <row r="1674" spans="1:26" ht="13" x14ac:dyDescent="0.15">
      <c r="A1674" s="72" t="str">
        <f t="shared" si="26"/>
        <v>Ofsted Social Care Provider Webpage</v>
      </c>
      <c r="B1674" s="55">
        <v>2672845</v>
      </c>
      <c r="D1674" s="55" t="s">
        <v>373</v>
      </c>
      <c r="E1674" s="74">
        <v>44582</v>
      </c>
      <c r="F1674" s="55" t="s">
        <v>344</v>
      </c>
      <c r="G1674" s="55" t="s">
        <v>360</v>
      </c>
      <c r="H1674" s="55" t="s">
        <v>360</v>
      </c>
      <c r="I1674" s="55" t="s">
        <v>360</v>
      </c>
      <c r="J1674" s="55" t="s">
        <v>360</v>
      </c>
      <c r="K1674" s="55" t="s">
        <v>360</v>
      </c>
      <c r="L1674" s="55" t="s">
        <v>360</v>
      </c>
      <c r="M1674" s="55" t="s">
        <v>144</v>
      </c>
      <c r="N1674" s="55" t="s">
        <v>144</v>
      </c>
      <c r="O1674" s="55" t="s">
        <v>168</v>
      </c>
      <c r="P1674" s="55" t="s">
        <v>913</v>
      </c>
      <c r="Q1674" s="55" t="s">
        <v>350</v>
      </c>
      <c r="R1674" s="55">
        <v>4</v>
      </c>
      <c r="S1674" s="74"/>
      <c r="T1674" s="55" t="s">
        <v>1098</v>
      </c>
      <c r="U1674" s="73"/>
      <c r="W1674" s="74"/>
      <c r="Y1674" s="74"/>
      <c r="Z1674" s="74"/>
    </row>
    <row r="1675" spans="1:26" ht="13" x14ac:dyDescent="0.15">
      <c r="A1675" s="72" t="str">
        <f t="shared" si="26"/>
        <v>Ofsted Social Care Provider Webpage</v>
      </c>
      <c r="B1675" s="55">
        <v>2672877</v>
      </c>
      <c r="D1675" s="55" t="s">
        <v>373</v>
      </c>
      <c r="E1675" s="74">
        <v>44622</v>
      </c>
      <c r="F1675" s="55" t="s">
        <v>344</v>
      </c>
      <c r="G1675" s="55" t="s">
        <v>360</v>
      </c>
      <c r="H1675" s="55" t="s">
        <v>360</v>
      </c>
      <c r="I1675" s="55" t="s">
        <v>360</v>
      </c>
      <c r="J1675" s="55" t="s">
        <v>360</v>
      </c>
      <c r="K1675" s="55" t="s">
        <v>360</v>
      </c>
      <c r="L1675" s="55" t="s">
        <v>360</v>
      </c>
      <c r="M1675" s="55" t="s">
        <v>144</v>
      </c>
      <c r="N1675" s="55" t="s">
        <v>144</v>
      </c>
      <c r="O1675" s="55" t="s">
        <v>168</v>
      </c>
      <c r="P1675" s="55" t="s">
        <v>708</v>
      </c>
      <c r="Q1675" s="55" t="s">
        <v>350</v>
      </c>
      <c r="R1675" s="55">
        <v>4</v>
      </c>
      <c r="S1675" s="74"/>
      <c r="T1675" s="55" t="s">
        <v>2358</v>
      </c>
      <c r="U1675" s="73"/>
      <c r="W1675" s="74"/>
      <c r="Y1675" s="74"/>
      <c r="Z1675" s="74"/>
    </row>
    <row r="1676" spans="1:26" ht="13" x14ac:dyDescent="0.15">
      <c r="A1676" s="72" t="str">
        <f t="shared" si="26"/>
        <v>Ofsted Social Care Provider Webpage</v>
      </c>
      <c r="B1676" s="55">
        <v>2673201</v>
      </c>
      <c r="D1676" s="55" t="s">
        <v>373</v>
      </c>
      <c r="E1676" s="74">
        <v>44637</v>
      </c>
      <c r="F1676" s="55" t="s">
        <v>344</v>
      </c>
      <c r="G1676" s="55" t="s">
        <v>360</v>
      </c>
      <c r="H1676" s="55" t="s">
        <v>360</v>
      </c>
      <c r="I1676" s="55" t="s">
        <v>360</v>
      </c>
      <c r="J1676" s="55" t="s">
        <v>360</v>
      </c>
      <c r="K1676" s="55" t="s">
        <v>360</v>
      </c>
      <c r="L1676" s="55" t="s">
        <v>360</v>
      </c>
      <c r="M1676" s="55" t="s">
        <v>136</v>
      </c>
      <c r="N1676" s="55" t="s">
        <v>136</v>
      </c>
      <c r="O1676" s="55" t="s">
        <v>176</v>
      </c>
      <c r="P1676" s="55" t="s">
        <v>526</v>
      </c>
      <c r="Q1676" s="55" t="s">
        <v>380</v>
      </c>
      <c r="R1676" s="55">
        <v>1</v>
      </c>
      <c r="S1676" s="74"/>
      <c r="T1676" s="55" t="s">
        <v>2074</v>
      </c>
      <c r="U1676" s="73"/>
      <c r="W1676" s="74"/>
      <c r="Y1676" s="74"/>
      <c r="Z1676" s="74"/>
    </row>
    <row r="1677" spans="1:26" ht="13" x14ac:dyDescent="0.15">
      <c r="A1677" s="72" t="str">
        <f t="shared" si="26"/>
        <v>Ofsted Social Care Provider Webpage</v>
      </c>
      <c r="B1677" s="55">
        <v>2673264</v>
      </c>
      <c r="D1677" s="55" t="s">
        <v>373</v>
      </c>
      <c r="E1677" s="74">
        <v>44603</v>
      </c>
      <c r="F1677" s="55" t="s">
        <v>344</v>
      </c>
      <c r="G1677" s="55" t="s">
        <v>360</v>
      </c>
      <c r="H1677" s="55" t="s">
        <v>360</v>
      </c>
      <c r="I1677" s="55" t="s">
        <v>360</v>
      </c>
      <c r="J1677" s="55" t="s">
        <v>360</v>
      </c>
      <c r="K1677" s="55" t="s">
        <v>360</v>
      </c>
      <c r="L1677" s="55" t="s">
        <v>360</v>
      </c>
      <c r="M1677" s="55" t="s">
        <v>138</v>
      </c>
      <c r="N1677" s="55" t="s">
        <v>138</v>
      </c>
      <c r="O1677" s="55" t="s">
        <v>224</v>
      </c>
      <c r="P1677" s="55" t="s">
        <v>374</v>
      </c>
      <c r="Q1677" s="55" t="s">
        <v>350</v>
      </c>
      <c r="R1677" s="55">
        <v>2</v>
      </c>
      <c r="S1677" s="74"/>
      <c r="T1677" s="55" t="s">
        <v>2161</v>
      </c>
      <c r="U1677" s="73"/>
      <c r="W1677" s="74"/>
      <c r="Y1677" s="74"/>
      <c r="Z1677" s="74"/>
    </row>
    <row r="1678" spans="1:26" ht="13" x14ac:dyDescent="0.15">
      <c r="A1678" s="72" t="str">
        <f t="shared" si="26"/>
        <v>Ofsted Social Care Provider Webpage</v>
      </c>
      <c r="B1678" s="55">
        <v>2673265</v>
      </c>
      <c r="D1678" s="55" t="s">
        <v>373</v>
      </c>
      <c r="E1678" s="74">
        <v>44603</v>
      </c>
      <c r="F1678" s="55" t="s">
        <v>344</v>
      </c>
      <c r="G1678" s="55" t="s">
        <v>360</v>
      </c>
      <c r="H1678" s="55" t="s">
        <v>360</v>
      </c>
      <c r="I1678" s="55" t="s">
        <v>360</v>
      </c>
      <c r="J1678" s="55" t="s">
        <v>360</v>
      </c>
      <c r="K1678" s="55" t="s">
        <v>360</v>
      </c>
      <c r="L1678" s="55" t="s">
        <v>360</v>
      </c>
      <c r="M1678" s="55" t="s">
        <v>138</v>
      </c>
      <c r="N1678" s="55" t="s">
        <v>138</v>
      </c>
      <c r="O1678" s="55" t="s">
        <v>224</v>
      </c>
      <c r="P1678" s="55" t="s">
        <v>374</v>
      </c>
      <c r="Q1678" s="55" t="s">
        <v>350</v>
      </c>
      <c r="R1678" s="55">
        <v>2</v>
      </c>
      <c r="S1678" s="74"/>
      <c r="T1678" s="55" t="s">
        <v>2161</v>
      </c>
      <c r="U1678" s="73"/>
      <c r="W1678" s="74"/>
      <c r="Y1678" s="74"/>
      <c r="Z1678" s="74"/>
    </row>
    <row r="1679" spans="1:26" ht="13" x14ac:dyDescent="0.15">
      <c r="A1679" s="72" t="str">
        <f t="shared" si="26"/>
        <v>Ofsted Social Care Provider Webpage</v>
      </c>
      <c r="B1679" s="55">
        <v>2674176</v>
      </c>
      <c r="D1679" s="55" t="s">
        <v>373</v>
      </c>
      <c r="E1679" s="74">
        <v>44603</v>
      </c>
      <c r="F1679" s="55" t="s">
        <v>344</v>
      </c>
      <c r="G1679" s="55" t="s">
        <v>360</v>
      </c>
      <c r="H1679" s="55" t="s">
        <v>360</v>
      </c>
      <c r="I1679" s="55" t="s">
        <v>360</v>
      </c>
      <c r="J1679" s="55" t="s">
        <v>360</v>
      </c>
      <c r="K1679" s="55" t="s">
        <v>360</v>
      </c>
      <c r="L1679" s="55" t="s">
        <v>360</v>
      </c>
      <c r="M1679" s="55" t="s">
        <v>138</v>
      </c>
      <c r="N1679" s="55" t="s">
        <v>138</v>
      </c>
      <c r="O1679" s="55" t="s">
        <v>137</v>
      </c>
      <c r="P1679" s="55" t="s">
        <v>137</v>
      </c>
      <c r="Q1679" s="55" t="s">
        <v>350</v>
      </c>
      <c r="R1679" s="55">
        <v>1</v>
      </c>
      <c r="S1679" s="74"/>
      <c r="T1679" s="55" t="s">
        <v>1361</v>
      </c>
      <c r="U1679" s="73"/>
      <c r="W1679" s="74"/>
      <c r="Y1679" s="74"/>
      <c r="Z1679" s="74"/>
    </row>
    <row r="1680" spans="1:26" ht="13" x14ac:dyDescent="0.15">
      <c r="A1680" s="72" t="str">
        <f t="shared" si="26"/>
        <v>Ofsted Social Care Provider Webpage</v>
      </c>
      <c r="B1680" s="55">
        <v>2674455</v>
      </c>
      <c r="D1680" s="55" t="s">
        <v>373</v>
      </c>
      <c r="E1680" s="74">
        <v>44588</v>
      </c>
      <c r="F1680" s="55" t="s">
        <v>344</v>
      </c>
      <c r="G1680" s="55" t="s">
        <v>360</v>
      </c>
      <c r="H1680" s="55" t="s">
        <v>360</v>
      </c>
      <c r="I1680" s="55" t="s">
        <v>360</v>
      </c>
      <c r="J1680" s="55" t="s">
        <v>360</v>
      </c>
      <c r="K1680" s="55" t="s">
        <v>360</v>
      </c>
      <c r="L1680" s="55" t="s">
        <v>360</v>
      </c>
      <c r="M1680" s="55" t="s">
        <v>144</v>
      </c>
      <c r="N1680" s="55" t="s">
        <v>144</v>
      </c>
      <c r="O1680" s="55" t="s">
        <v>263</v>
      </c>
      <c r="P1680" s="55" t="s">
        <v>263</v>
      </c>
      <c r="Q1680" s="55" t="s">
        <v>350</v>
      </c>
      <c r="R1680" s="55">
        <v>1</v>
      </c>
      <c r="S1680" s="74"/>
      <c r="T1680" s="55" t="s">
        <v>2359</v>
      </c>
      <c r="U1680" s="73"/>
      <c r="W1680" s="74"/>
      <c r="Y1680" s="74"/>
      <c r="Z1680" s="74"/>
    </row>
    <row r="1681" spans="1:29" ht="13" x14ac:dyDescent="0.15">
      <c r="A1681" s="72" t="str">
        <f t="shared" si="26"/>
        <v>Ofsted Social Care Provider Webpage</v>
      </c>
      <c r="B1681" s="55">
        <v>2675485</v>
      </c>
      <c r="D1681" s="55" t="s">
        <v>373</v>
      </c>
      <c r="E1681" s="74">
        <v>44606</v>
      </c>
      <c r="F1681" s="55" t="s">
        <v>344</v>
      </c>
      <c r="G1681" s="55" t="s">
        <v>360</v>
      </c>
      <c r="H1681" s="55" t="s">
        <v>360</v>
      </c>
      <c r="I1681" s="55" t="s">
        <v>360</v>
      </c>
      <c r="J1681" s="55" t="s">
        <v>360</v>
      </c>
      <c r="K1681" s="55" t="s">
        <v>360</v>
      </c>
      <c r="L1681" s="55" t="s">
        <v>360</v>
      </c>
      <c r="M1681" s="55" t="s">
        <v>144</v>
      </c>
      <c r="N1681" s="55" t="s">
        <v>144</v>
      </c>
      <c r="O1681" s="55" t="s">
        <v>250</v>
      </c>
      <c r="P1681" s="55" t="s">
        <v>1372</v>
      </c>
      <c r="Q1681" s="55" t="s">
        <v>362</v>
      </c>
      <c r="R1681" s="55">
        <v>3</v>
      </c>
      <c r="S1681" s="74"/>
      <c r="T1681" s="55" t="s">
        <v>2360</v>
      </c>
      <c r="U1681" s="73"/>
      <c r="W1681" s="74"/>
      <c r="Y1681" s="74"/>
      <c r="Z1681" s="74"/>
    </row>
    <row r="1682" spans="1:29" ht="13" x14ac:dyDescent="0.15">
      <c r="A1682" s="72" t="str">
        <f t="shared" si="26"/>
        <v>Ofsted Social Care Provider Webpage</v>
      </c>
      <c r="B1682" s="55">
        <v>2676828</v>
      </c>
      <c r="D1682" s="55" t="s">
        <v>373</v>
      </c>
      <c r="E1682" s="74">
        <v>44644</v>
      </c>
      <c r="F1682" s="55" t="s">
        <v>344</v>
      </c>
      <c r="G1682" s="55" t="s">
        <v>360</v>
      </c>
      <c r="H1682" s="55" t="s">
        <v>360</v>
      </c>
      <c r="I1682" s="55" t="s">
        <v>360</v>
      </c>
      <c r="J1682" s="55" t="s">
        <v>360</v>
      </c>
      <c r="K1682" s="55" t="s">
        <v>360</v>
      </c>
      <c r="L1682" s="55" t="s">
        <v>360</v>
      </c>
      <c r="M1682" s="55" t="s">
        <v>378</v>
      </c>
      <c r="N1682" s="55" t="s">
        <v>134</v>
      </c>
      <c r="O1682" s="55" t="s">
        <v>180</v>
      </c>
      <c r="P1682" s="55" t="s">
        <v>1249</v>
      </c>
      <c r="Q1682" s="55" t="s">
        <v>380</v>
      </c>
      <c r="R1682" s="55">
        <v>1</v>
      </c>
      <c r="S1682" s="74"/>
      <c r="T1682" s="55" t="s">
        <v>2361</v>
      </c>
      <c r="U1682" s="73"/>
      <c r="W1682" s="74"/>
      <c r="Y1682" s="74"/>
      <c r="Z1682" s="74"/>
    </row>
    <row r="1683" spans="1:29" ht="13" x14ac:dyDescent="0.15">
      <c r="A1683" s="72" t="str">
        <f t="shared" si="26"/>
        <v>Ofsted Social Care Provider Webpage</v>
      </c>
      <c r="B1683" s="55">
        <v>2678551</v>
      </c>
      <c r="D1683" s="55" t="s">
        <v>373</v>
      </c>
      <c r="E1683" s="74">
        <v>44649</v>
      </c>
      <c r="F1683" s="55" t="s">
        <v>344</v>
      </c>
      <c r="G1683" s="55" t="s">
        <v>360</v>
      </c>
      <c r="H1683" s="55" t="s">
        <v>360</v>
      </c>
      <c r="I1683" s="55" t="s">
        <v>360</v>
      </c>
      <c r="J1683" s="55" t="s">
        <v>360</v>
      </c>
      <c r="K1683" s="55" t="s">
        <v>360</v>
      </c>
      <c r="L1683" s="55" t="s">
        <v>360</v>
      </c>
      <c r="M1683" s="55" t="s">
        <v>138</v>
      </c>
      <c r="N1683" s="55" t="s">
        <v>138</v>
      </c>
      <c r="O1683" s="55" t="s">
        <v>161</v>
      </c>
      <c r="P1683" s="55" t="s">
        <v>822</v>
      </c>
      <c r="Q1683" s="55" t="s">
        <v>350</v>
      </c>
      <c r="R1683" s="55">
        <v>2</v>
      </c>
      <c r="S1683" s="74"/>
      <c r="T1683" s="55" t="s">
        <v>962</v>
      </c>
      <c r="U1683" s="73"/>
      <c r="W1683" s="74"/>
      <c r="Y1683" s="74"/>
      <c r="Z1683" s="74"/>
    </row>
    <row r="1684" spans="1:29" ht="13" x14ac:dyDescent="0.15">
      <c r="A1684" s="72" t="str">
        <f t="shared" si="26"/>
        <v>Ofsted Social Care Provider Webpage</v>
      </c>
      <c r="B1684" s="55">
        <v>2679067</v>
      </c>
      <c r="D1684" s="55" t="s">
        <v>373</v>
      </c>
      <c r="E1684" s="74">
        <v>44644</v>
      </c>
      <c r="F1684" s="55" t="s">
        <v>344</v>
      </c>
      <c r="G1684" s="55" t="s">
        <v>360</v>
      </c>
      <c r="H1684" s="55" t="s">
        <v>360</v>
      </c>
      <c r="I1684" s="55" t="s">
        <v>360</v>
      </c>
      <c r="J1684" s="55" t="s">
        <v>360</v>
      </c>
      <c r="K1684" s="55" t="s">
        <v>360</v>
      </c>
      <c r="L1684" s="55" t="s">
        <v>360</v>
      </c>
      <c r="M1684" s="55" t="s">
        <v>172</v>
      </c>
      <c r="N1684" s="55" t="s">
        <v>172</v>
      </c>
      <c r="O1684" s="55" t="s">
        <v>228</v>
      </c>
      <c r="P1684" s="55" t="s">
        <v>459</v>
      </c>
      <c r="Q1684" s="55" t="s">
        <v>350</v>
      </c>
      <c r="R1684" s="55">
        <v>4</v>
      </c>
      <c r="S1684" s="74"/>
      <c r="T1684" s="55" t="s">
        <v>904</v>
      </c>
      <c r="U1684" s="73"/>
      <c r="W1684" s="74"/>
      <c r="Y1684" s="74"/>
      <c r="Z1684" s="74"/>
    </row>
    <row r="1685" spans="1:29" ht="13" x14ac:dyDescent="0.15">
      <c r="A1685" s="72" t="str">
        <f t="shared" si="26"/>
        <v>Ofsted Social Care Provider Webpage</v>
      </c>
      <c r="B1685" s="55" t="s">
        <v>2362</v>
      </c>
      <c r="D1685" s="55" t="s">
        <v>373</v>
      </c>
      <c r="E1685" s="74">
        <v>34486</v>
      </c>
      <c r="F1685" s="55" t="s">
        <v>344</v>
      </c>
      <c r="G1685" s="55" t="s">
        <v>360</v>
      </c>
      <c r="H1685" s="55" t="s">
        <v>360</v>
      </c>
      <c r="I1685" s="55" t="s">
        <v>360</v>
      </c>
      <c r="J1685" s="55" t="s">
        <v>360</v>
      </c>
      <c r="K1685" s="55" t="s">
        <v>360</v>
      </c>
      <c r="L1685" s="55" t="s">
        <v>360</v>
      </c>
      <c r="M1685" s="55" t="s">
        <v>378</v>
      </c>
      <c r="N1685" s="55" t="s">
        <v>170</v>
      </c>
      <c r="O1685" s="55" t="s">
        <v>233</v>
      </c>
      <c r="P1685" s="55" t="s">
        <v>2363</v>
      </c>
      <c r="Q1685" s="55" t="s">
        <v>362</v>
      </c>
      <c r="R1685" s="55">
        <v>10</v>
      </c>
      <c r="S1685" s="74" t="s">
        <v>332</v>
      </c>
      <c r="T1685" s="55" t="s">
        <v>367</v>
      </c>
      <c r="U1685" s="73" t="s">
        <v>351</v>
      </c>
      <c r="V1685" s="74">
        <v>44459</v>
      </c>
      <c r="W1685" s="74">
        <v>44518</v>
      </c>
      <c r="X1685" s="55">
        <v>10186438</v>
      </c>
      <c r="Y1685" s="74" t="s">
        <v>130</v>
      </c>
      <c r="Z1685" s="74"/>
      <c r="AB1685" s="55" t="s">
        <v>130</v>
      </c>
      <c r="AC1685" s="55" t="s">
        <v>130</v>
      </c>
    </row>
    <row r="1686" spans="1:29" ht="13" x14ac:dyDescent="0.15">
      <c r="A1686" s="72" t="str">
        <f t="shared" si="26"/>
        <v>Ofsted Social Care Provider Webpage</v>
      </c>
      <c r="B1686" s="55" t="s">
        <v>2364</v>
      </c>
      <c r="D1686" s="55" t="s">
        <v>373</v>
      </c>
      <c r="E1686" s="74">
        <v>37013</v>
      </c>
      <c r="F1686" s="55" t="s">
        <v>344</v>
      </c>
      <c r="G1686" s="55" t="s">
        <v>360</v>
      </c>
      <c r="H1686" s="55" t="s">
        <v>360</v>
      </c>
      <c r="I1686" s="55" t="s">
        <v>360</v>
      </c>
      <c r="J1686" s="55" t="s">
        <v>360</v>
      </c>
      <c r="K1686" s="55" t="s">
        <v>360</v>
      </c>
      <c r="L1686" s="55" t="s">
        <v>360</v>
      </c>
      <c r="M1686" s="55" t="s">
        <v>378</v>
      </c>
      <c r="N1686" s="55" t="s">
        <v>170</v>
      </c>
      <c r="O1686" s="55" t="s">
        <v>169</v>
      </c>
      <c r="P1686" s="55" t="s">
        <v>434</v>
      </c>
      <c r="Q1686" s="55" t="s">
        <v>350</v>
      </c>
      <c r="R1686" s="55">
        <v>4</v>
      </c>
      <c r="S1686" s="74"/>
      <c r="T1686" s="55" t="s">
        <v>2365</v>
      </c>
      <c r="U1686" s="73" t="s">
        <v>351</v>
      </c>
      <c r="V1686" s="74">
        <v>44315</v>
      </c>
      <c r="W1686" s="74">
        <v>44357</v>
      </c>
      <c r="X1686" s="55">
        <v>10185144</v>
      </c>
      <c r="Y1686" s="74" t="s">
        <v>140</v>
      </c>
      <c r="Z1686" s="74"/>
      <c r="AB1686" s="55" t="s">
        <v>132</v>
      </c>
      <c r="AC1686" s="55" t="s">
        <v>140</v>
      </c>
    </row>
    <row r="1687" spans="1:29" ht="13" x14ac:dyDescent="0.15">
      <c r="A1687" s="72" t="str">
        <f t="shared" si="26"/>
        <v>Ofsted Social Care Provider Webpage</v>
      </c>
      <c r="B1687" s="55" t="s">
        <v>2366</v>
      </c>
      <c r="D1687" s="55" t="s">
        <v>373</v>
      </c>
      <c r="E1687" s="74">
        <v>37070</v>
      </c>
      <c r="F1687" s="55" t="s">
        <v>344</v>
      </c>
      <c r="G1687" s="55" t="s">
        <v>360</v>
      </c>
      <c r="H1687" s="55" t="s">
        <v>360</v>
      </c>
      <c r="I1687" s="55" t="s">
        <v>360</v>
      </c>
      <c r="J1687" s="55" t="s">
        <v>360</v>
      </c>
      <c r="K1687" s="55" t="s">
        <v>360</v>
      </c>
      <c r="L1687" s="55" t="s">
        <v>360</v>
      </c>
      <c r="M1687" s="55" t="s">
        <v>378</v>
      </c>
      <c r="N1687" s="55" t="s">
        <v>170</v>
      </c>
      <c r="O1687" s="55" t="s">
        <v>169</v>
      </c>
      <c r="P1687" s="55" t="s">
        <v>169</v>
      </c>
      <c r="Q1687" s="55" t="s">
        <v>350</v>
      </c>
      <c r="R1687" s="55">
        <v>3</v>
      </c>
      <c r="S1687" s="74"/>
      <c r="T1687" s="55" t="s">
        <v>2367</v>
      </c>
      <c r="U1687" s="73" t="s">
        <v>351</v>
      </c>
      <c r="V1687" s="74">
        <v>44468</v>
      </c>
      <c r="W1687" s="74">
        <v>44533</v>
      </c>
      <c r="X1687" s="55">
        <v>10187107</v>
      </c>
      <c r="Y1687" s="74" t="s">
        <v>130</v>
      </c>
      <c r="Z1687" s="74"/>
      <c r="AB1687" s="55" t="s">
        <v>130</v>
      </c>
      <c r="AC1687" s="55" t="s">
        <v>130</v>
      </c>
    </row>
    <row r="1688" spans="1:29" ht="13" x14ac:dyDescent="0.15">
      <c r="A1688" s="72" t="str">
        <f t="shared" si="26"/>
        <v>Ofsted Social Care Provider Webpage</v>
      </c>
      <c r="B1688" s="55" t="s">
        <v>2368</v>
      </c>
      <c r="D1688" s="55" t="s">
        <v>373</v>
      </c>
      <c r="E1688" s="74">
        <v>37070</v>
      </c>
      <c r="F1688" s="55" t="s">
        <v>344</v>
      </c>
      <c r="G1688" s="55" t="s">
        <v>360</v>
      </c>
      <c r="H1688" s="55" t="s">
        <v>360</v>
      </c>
      <c r="I1688" s="55" t="s">
        <v>360</v>
      </c>
      <c r="J1688" s="55" t="s">
        <v>360</v>
      </c>
      <c r="K1688" s="55" t="s">
        <v>360</v>
      </c>
      <c r="L1688" s="55" t="s">
        <v>360</v>
      </c>
      <c r="M1688" s="55" t="s">
        <v>378</v>
      </c>
      <c r="N1688" s="55" t="s">
        <v>170</v>
      </c>
      <c r="O1688" s="55" t="s">
        <v>169</v>
      </c>
      <c r="P1688" s="55" t="s">
        <v>169</v>
      </c>
      <c r="Q1688" s="55" t="s">
        <v>350</v>
      </c>
      <c r="R1688" s="55">
        <v>5</v>
      </c>
      <c r="S1688" s="74"/>
      <c r="T1688" s="55" t="s">
        <v>2367</v>
      </c>
      <c r="U1688" s="73" t="s">
        <v>351</v>
      </c>
      <c r="V1688" s="74">
        <v>44454</v>
      </c>
      <c r="W1688" s="74">
        <v>44491</v>
      </c>
      <c r="X1688" s="55">
        <v>10185944</v>
      </c>
      <c r="Y1688" s="74" t="s">
        <v>132</v>
      </c>
      <c r="Z1688" s="74"/>
      <c r="AB1688" s="55" t="s">
        <v>132</v>
      </c>
      <c r="AC1688" s="55" t="s">
        <v>132</v>
      </c>
    </row>
    <row r="1689" spans="1:29" ht="13" x14ac:dyDescent="0.15">
      <c r="A1689" s="72" t="str">
        <f t="shared" si="26"/>
        <v>Ofsted Social Care Provider Webpage</v>
      </c>
      <c r="B1689" s="55" t="s">
        <v>2369</v>
      </c>
      <c r="D1689" s="55" t="s">
        <v>373</v>
      </c>
      <c r="E1689" s="74">
        <v>36943</v>
      </c>
      <c r="F1689" s="55" t="s">
        <v>344</v>
      </c>
      <c r="G1689" s="55" t="s">
        <v>360</v>
      </c>
      <c r="H1689" s="55" t="s">
        <v>360</v>
      </c>
      <c r="I1689" s="55" t="s">
        <v>360</v>
      </c>
      <c r="J1689" s="55" t="s">
        <v>360</v>
      </c>
      <c r="K1689" s="55" t="s">
        <v>360</v>
      </c>
      <c r="L1689" s="55" t="s">
        <v>360</v>
      </c>
      <c r="M1689" s="55" t="s">
        <v>378</v>
      </c>
      <c r="N1689" s="55" t="s">
        <v>134</v>
      </c>
      <c r="O1689" s="55" t="s">
        <v>158</v>
      </c>
      <c r="P1689" s="55" t="s">
        <v>480</v>
      </c>
      <c r="Q1689" s="55" t="s">
        <v>350</v>
      </c>
      <c r="R1689" s="55">
        <v>4</v>
      </c>
      <c r="S1689" s="74"/>
      <c r="T1689" s="55" t="s">
        <v>442</v>
      </c>
      <c r="U1689" s="73" t="s">
        <v>351</v>
      </c>
      <c r="V1689" s="74">
        <v>44446</v>
      </c>
      <c r="W1689" s="74">
        <v>44480</v>
      </c>
      <c r="X1689" s="55">
        <v>10186451</v>
      </c>
      <c r="Y1689" s="74" t="s">
        <v>140</v>
      </c>
      <c r="Z1689" s="74"/>
      <c r="AB1689" s="55" t="s">
        <v>140</v>
      </c>
      <c r="AC1689" s="55" t="s">
        <v>140</v>
      </c>
    </row>
    <row r="1690" spans="1:29" ht="13" x14ac:dyDescent="0.15">
      <c r="A1690" s="72" t="str">
        <f t="shared" si="26"/>
        <v>Ofsted Social Care Provider Webpage</v>
      </c>
      <c r="B1690" s="55" t="s">
        <v>2370</v>
      </c>
      <c r="C1690" s="55">
        <v>107589</v>
      </c>
      <c r="D1690" s="55" t="s">
        <v>413</v>
      </c>
      <c r="E1690" s="74">
        <v>37299</v>
      </c>
      <c r="F1690" s="55" t="s">
        <v>344</v>
      </c>
      <c r="G1690" s="55" t="s">
        <v>2371</v>
      </c>
      <c r="H1690" s="55" t="s">
        <v>2371</v>
      </c>
      <c r="I1690" s="55" t="s">
        <v>2372</v>
      </c>
      <c r="J1690" s="55" t="s">
        <v>2373</v>
      </c>
      <c r="K1690" s="55" t="s">
        <v>2374</v>
      </c>
      <c r="L1690" s="55" t="s">
        <v>2375</v>
      </c>
      <c r="M1690" s="55" t="s">
        <v>378</v>
      </c>
      <c r="N1690" s="55" t="s">
        <v>134</v>
      </c>
      <c r="O1690" s="55" t="s">
        <v>158</v>
      </c>
      <c r="P1690" s="55" t="s">
        <v>912</v>
      </c>
      <c r="Q1690" s="55" t="s">
        <v>362</v>
      </c>
      <c r="R1690" s="55">
        <v>80</v>
      </c>
      <c r="S1690" s="74"/>
      <c r="T1690" s="55" t="s">
        <v>2376</v>
      </c>
      <c r="U1690" s="73" t="s">
        <v>351</v>
      </c>
      <c r="V1690" s="74">
        <v>44593</v>
      </c>
      <c r="W1690" s="74">
        <v>44644</v>
      </c>
      <c r="X1690" s="55">
        <v>10183467</v>
      </c>
      <c r="Y1690" s="74" t="s">
        <v>140</v>
      </c>
      <c r="Z1690" s="74"/>
      <c r="AB1690" s="55" t="s">
        <v>140</v>
      </c>
      <c r="AC1690" s="55" t="s">
        <v>140</v>
      </c>
    </row>
    <row r="1691" spans="1:29" ht="13" x14ac:dyDescent="0.15">
      <c r="A1691" s="72" t="str">
        <f t="shared" si="26"/>
        <v>Ofsted Social Care Provider Webpage</v>
      </c>
      <c r="B1691" s="55" t="s">
        <v>2377</v>
      </c>
      <c r="D1691" s="55" t="s">
        <v>373</v>
      </c>
      <c r="E1691" s="74">
        <v>37347</v>
      </c>
      <c r="F1691" s="55" t="s">
        <v>344</v>
      </c>
      <c r="G1691" s="55" t="s">
        <v>360</v>
      </c>
      <c r="H1691" s="55" t="s">
        <v>360</v>
      </c>
      <c r="I1691" s="55" t="s">
        <v>360</v>
      </c>
      <c r="J1691" s="55" t="s">
        <v>360</v>
      </c>
      <c r="K1691" s="55" t="s">
        <v>360</v>
      </c>
      <c r="L1691" s="55" t="s">
        <v>360</v>
      </c>
      <c r="M1691" s="55" t="s">
        <v>378</v>
      </c>
      <c r="N1691" s="55" t="s">
        <v>134</v>
      </c>
      <c r="O1691" s="55" t="s">
        <v>210</v>
      </c>
      <c r="P1691" s="55" t="s">
        <v>542</v>
      </c>
      <c r="Q1691" s="55" t="s">
        <v>350</v>
      </c>
      <c r="R1691" s="55">
        <v>6</v>
      </c>
      <c r="S1691" s="74"/>
      <c r="T1691" s="55" t="s">
        <v>2197</v>
      </c>
      <c r="U1691" s="73" t="s">
        <v>351</v>
      </c>
      <c r="V1691" s="74">
        <v>43864</v>
      </c>
      <c r="W1691" s="74">
        <v>43902</v>
      </c>
      <c r="X1691" s="55">
        <v>10095375</v>
      </c>
      <c r="Y1691" s="74" t="s">
        <v>140</v>
      </c>
      <c r="Z1691" s="74"/>
      <c r="AB1691" s="55" t="s">
        <v>140</v>
      </c>
      <c r="AC1691" s="55" t="s">
        <v>140</v>
      </c>
    </row>
    <row r="1692" spans="1:29" ht="13" x14ac:dyDescent="0.15">
      <c r="A1692" s="72" t="str">
        <f t="shared" si="26"/>
        <v>Ofsted Social Care Provider Webpage</v>
      </c>
      <c r="B1692" s="55" t="s">
        <v>2378</v>
      </c>
      <c r="D1692" s="55" t="s">
        <v>373</v>
      </c>
      <c r="E1692" s="74">
        <v>37347</v>
      </c>
      <c r="F1692" s="55" t="s">
        <v>344</v>
      </c>
      <c r="G1692" s="55" t="s">
        <v>360</v>
      </c>
      <c r="H1692" s="55" t="s">
        <v>360</v>
      </c>
      <c r="I1692" s="55" t="s">
        <v>360</v>
      </c>
      <c r="J1692" s="55" t="s">
        <v>360</v>
      </c>
      <c r="K1692" s="55" t="s">
        <v>360</v>
      </c>
      <c r="L1692" s="55" t="s">
        <v>360</v>
      </c>
      <c r="M1692" s="55" t="s">
        <v>378</v>
      </c>
      <c r="N1692" s="55" t="s">
        <v>134</v>
      </c>
      <c r="O1692" s="55" t="s">
        <v>210</v>
      </c>
      <c r="P1692" s="55" t="s">
        <v>624</v>
      </c>
      <c r="Q1692" s="55" t="s">
        <v>362</v>
      </c>
      <c r="R1692" s="55">
        <v>7</v>
      </c>
      <c r="S1692" s="74"/>
      <c r="T1692" s="55" t="s">
        <v>2379</v>
      </c>
      <c r="U1692" s="73" t="s">
        <v>351</v>
      </c>
      <c r="V1692" s="74">
        <v>44494</v>
      </c>
      <c r="W1692" s="74">
        <v>44532</v>
      </c>
      <c r="X1692" s="55">
        <v>10185915</v>
      </c>
      <c r="Y1692" s="74" t="s">
        <v>140</v>
      </c>
      <c r="Z1692" s="74"/>
      <c r="AB1692" s="55" t="s">
        <v>132</v>
      </c>
      <c r="AC1692" s="55" t="s">
        <v>132</v>
      </c>
    </row>
    <row r="1693" spans="1:29" ht="13" x14ac:dyDescent="0.15">
      <c r="A1693" s="72" t="str">
        <f t="shared" si="26"/>
        <v>Ofsted Social Care Provider Webpage</v>
      </c>
      <c r="B1693" s="55" t="s">
        <v>2380</v>
      </c>
      <c r="C1693" s="55">
        <v>108120</v>
      </c>
      <c r="D1693" s="55" t="s">
        <v>413</v>
      </c>
      <c r="E1693" s="74">
        <v>36982</v>
      </c>
      <c r="F1693" s="55" t="s">
        <v>344</v>
      </c>
      <c r="G1693" s="55" t="s">
        <v>2381</v>
      </c>
      <c r="H1693" s="55" t="s">
        <v>2382</v>
      </c>
      <c r="I1693" s="55" t="s">
        <v>2383</v>
      </c>
      <c r="J1693" s="55" t="s">
        <v>2384</v>
      </c>
      <c r="K1693" s="55" t="s">
        <v>2374</v>
      </c>
      <c r="L1693" s="55" t="s">
        <v>2385</v>
      </c>
      <c r="M1693" s="55" t="s">
        <v>378</v>
      </c>
      <c r="N1693" s="55" t="s">
        <v>134</v>
      </c>
      <c r="O1693" s="55" t="s">
        <v>210</v>
      </c>
      <c r="P1693" s="55" t="s">
        <v>1950</v>
      </c>
      <c r="Q1693" s="55" t="s">
        <v>362</v>
      </c>
      <c r="R1693" s="55">
        <v>17</v>
      </c>
      <c r="S1693" s="74"/>
      <c r="T1693" s="55" t="s">
        <v>2386</v>
      </c>
      <c r="U1693" s="73" t="s">
        <v>351</v>
      </c>
      <c r="V1693" s="74">
        <v>43640</v>
      </c>
      <c r="W1693" s="74">
        <v>43672</v>
      </c>
      <c r="X1693" s="55">
        <v>10093059</v>
      </c>
      <c r="Y1693" s="74" t="s">
        <v>140</v>
      </c>
      <c r="Z1693" s="74"/>
      <c r="AB1693" s="55" t="s">
        <v>140</v>
      </c>
      <c r="AC1693" s="55" t="s">
        <v>140</v>
      </c>
    </row>
    <row r="1694" spans="1:29" ht="13" x14ac:dyDescent="0.15">
      <c r="A1694" s="72" t="str">
        <f t="shared" si="26"/>
        <v>Ofsted Social Care Provider Webpage</v>
      </c>
      <c r="B1694" s="55" t="s">
        <v>2387</v>
      </c>
      <c r="C1694" s="55">
        <v>120330</v>
      </c>
      <c r="D1694" s="55" t="s">
        <v>413</v>
      </c>
      <c r="E1694" s="74">
        <v>37299</v>
      </c>
      <c r="F1694" s="55" t="s">
        <v>344</v>
      </c>
      <c r="G1694" s="55" t="s">
        <v>2388</v>
      </c>
      <c r="H1694" s="55" t="s">
        <v>2389</v>
      </c>
      <c r="I1694" s="55" t="s">
        <v>2390</v>
      </c>
      <c r="J1694" s="55" t="s">
        <v>2391</v>
      </c>
      <c r="K1694" s="55" t="s">
        <v>212</v>
      </c>
      <c r="L1694" s="55" t="s">
        <v>2392</v>
      </c>
      <c r="M1694" s="55" t="s">
        <v>172</v>
      </c>
      <c r="N1694" s="55" t="s">
        <v>172</v>
      </c>
      <c r="O1694" s="55" t="s">
        <v>212</v>
      </c>
      <c r="P1694" s="55" t="s">
        <v>798</v>
      </c>
      <c r="Q1694" s="55" t="s">
        <v>350</v>
      </c>
      <c r="R1694" s="55">
        <v>14</v>
      </c>
      <c r="S1694" s="74"/>
      <c r="T1694" s="55" t="s">
        <v>881</v>
      </c>
      <c r="U1694" s="73" t="s">
        <v>351</v>
      </c>
      <c r="V1694" s="74">
        <v>44383</v>
      </c>
      <c r="W1694" s="74">
        <v>44449</v>
      </c>
      <c r="X1694" s="55">
        <v>10183488</v>
      </c>
      <c r="Y1694" s="74" t="s">
        <v>140</v>
      </c>
      <c r="Z1694" s="74"/>
      <c r="AB1694" s="55" t="s">
        <v>140</v>
      </c>
      <c r="AC1694" s="55" t="s">
        <v>140</v>
      </c>
    </row>
    <row r="1695" spans="1:29" ht="13" x14ac:dyDescent="0.15">
      <c r="A1695" s="72" t="str">
        <f t="shared" si="26"/>
        <v>Ofsted Social Care Provider Webpage</v>
      </c>
      <c r="B1695" s="55" t="s">
        <v>2393</v>
      </c>
      <c r="C1695" s="55">
        <v>113044</v>
      </c>
      <c r="D1695" s="55" t="s">
        <v>413</v>
      </c>
      <c r="E1695" s="74">
        <v>37299</v>
      </c>
      <c r="F1695" s="55" t="s">
        <v>344</v>
      </c>
      <c r="G1695" s="55" t="s">
        <v>2394</v>
      </c>
      <c r="H1695" s="55" t="s">
        <v>2395</v>
      </c>
      <c r="I1695" s="55" t="s">
        <v>2396</v>
      </c>
      <c r="J1695" s="55" t="s">
        <v>2397</v>
      </c>
      <c r="L1695" s="55" t="s">
        <v>2398</v>
      </c>
      <c r="M1695" s="55" t="s">
        <v>172</v>
      </c>
      <c r="N1695" s="55" t="s">
        <v>172</v>
      </c>
      <c r="O1695" s="55" t="s">
        <v>171</v>
      </c>
      <c r="P1695" s="55" t="s">
        <v>895</v>
      </c>
      <c r="Q1695" s="55" t="s">
        <v>362</v>
      </c>
      <c r="R1695" s="55">
        <v>63</v>
      </c>
      <c r="S1695" s="74"/>
      <c r="T1695" s="55" t="s">
        <v>2399</v>
      </c>
      <c r="U1695" s="73" t="s">
        <v>351</v>
      </c>
      <c r="V1695" s="74">
        <v>44376</v>
      </c>
      <c r="W1695" s="74">
        <v>44403</v>
      </c>
      <c r="X1695" s="55">
        <v>10183465</v>
      </c>
      <c r="Y1695" s="74" t="s">
        <v>140</v>
      </c>
      <c r="Z1695" s="74"/>
      <c r="AB1695" s="55" t="s">
        <v>140</v>
      </c>
      <c r="AC1695" s="55" t="s">
        <v>140</v>
      </c>
    </row>
    <row r="1696" spans="1:29" ht="13" x14ac:dyDescent="0.15">
      <c r="A1696" s="72" t="str">
        <f t="shared" si="26"/>
        <v>Ofsted Social Care Provider Webpage</v>
      </c>
      <c r="B1696" s="55" t="s">
        <v>2400</v>
      </c>
      <c r="C1696" s="55">
        <v>131119</v>
      </c>
      <c r="D1696" s="55" t="s">
        <v>398</v>
      </c>
      <c r="E1696" s="74">
        <v>37299</v>
      </c>
      <c r="F1696" s="55" t="s">
        <v>344</v>
      </c>
      <c r="G1696" s="55" t="s">
        <v>2401</v>
      </c>
      <c r="H1696" s="55" t="s">
        <v>2402</v>
      </c>
      <c r="I1696" s="55" t="s">
        <v>2403</v>
      </c>
      <c r="J1696" s="55" t="s">
        <v>2404</v>
      </c>
      <c r="L1696" s="55" t="s">
        <v>2405</v>
      </c>
      <c r="M1696" s="55" t="s">
        <v>172</v>
      </c>
      <c r="N1696" s="55" t="s">
        <v>172</v>
      </c>
      <c r="O1696" s="55" t="s">
        <v>234</v>
      </c>
      <c r="P1696" s="55" t="s">
        <v>965</v>
      </c>
      <c r="Q1696" s="55" t="s">
        <v>362</v>
      </c>
      <c r="R1696" s="55">
        <v>175</v>
      </c>
      <c r="S1696" s="74"/>
      <c r="T1696" s="55" t="s">
        <v>2406</v>
      </c>
      <c r="U1696" s="73" t="s">
        <v>351</v>
      </c>
      <c r="V1696" s="74">
        <v>44341</v>
      </c>
      <c r="W1696" s="74">
        <v>44382</v>
      </c>
      <c r="X1696" s="55">
        <v>10183251</v>
      </c>
      <c r="Y1696" s="74" t="s">
        <v>132</v>
      </c>
      <c r="Z1696" s="74"/>
      <c r="AB1696" s="55" t="s">
        <v>132</v>
      </c>
      <c r="AC1696" s="55" t="s">
        <v>132</v>
      </c>
    </row>
    <row r="1697" spans="1:29" ht="13" x14ac:dyDescent="0.15">
      <c r="A1697" s="72" t="str">
        <f t="shared" si="26"/>
        <v>Ofsted Social Care Provider Webpage</v>
      </c>
      <c r="B1697" s="55" t="s">
        <v>2407</v>
      </c>
      <c r="D1697" s="55" t="s">
        <v>373</v>
      </c>
      <c r="E1697" s="74">
        <v>37204</v>
      </c>
      <c r="F1697" s="55" t="s">
        <v>344</v>
      </c>
      <c r="G1697" s="55" t="s">
        <v>360</v>
      </c>
      <c r="H1697" s="55" t="s">
        <v>360</v>
      </c>
      <c r="I1697" s="55" t="s">
        <v>360</v>
      </c>
      <c r="J1697" s="55" t="s">
        <v>360</v>
      </c>
      <c r="K1697" s="55" t="s">
        <v>360</v>
      </c>
      <c r="L1697" s="55" t="s">
        <v>360</v>
      </c>
      <c r="M1697" s="55" t="s">
        <v>378</v>
      </c>
      <c r="N1697" s="55" t="s">
        <v>134</v>
      </c>
      <c r="O1697" s="55" t="s">
        <v>251</v>
      </c>
      <c r="P1697" s="55" t="s">
        <v>2408</v>
      </c>
      <c r="Q1697" s="55" t="s">
        <v>350</v>
      </c>
      <c r="R1697" s="55">
        <v>8</v>
      </c>
      <c r="S1697" s="74"/>
      <c r="T1697" s="55" t="s">
        <v>1259</v>
      </c>
      <c r="U1697" s="73" t="s">
        <v>351</v>
      </c>
      <c r="V1697" s="74">
        <v>44441</v>
      </c>
      <c r="W1697" s="74">
        <v>44473</v>
      </c>
      <c r="X1697" s="55">
        <v>10186683</v>
      </c>
      <c r="Y1697" s="74" t="s">
        <v>132</v>
      </c>
      <c r="Z1697" s="74"/>
      <c r="AB1697" s="55" t="s">
        <v>132</v>
      </c>
      <c r="AC1697" s="55" t="s">
        <v>132</v>
      </c>
    </row>
    <row r="1698" spans="1:29" ht="13" x14ac:dyDescent="0.15">
      <c r="A1698" s="72" t="str">
        <f t="shared" si="26"/>
        <v>Ofsted Social Care Provider Webpage</v>
      </c>
      <c r="B1698" s="55" t="s">
        <v>2409</v>
      </c>
      <c r="D1698" s="55" t="s">
        <v>373</v>
      </c>
      <c r="E1698" s="74">
        <v>36391</v>
      </c>
      <c r="F1698" s="55" t="s">
        <v>344</v>
      </c>
      <c r="G1698" s="55" t="s">
        <v>360</v>
      </c>
      <c r="H1698" s="55" t="s">
        <v>360</v>
      </c>
      <c r="I1698" s="55" t="s">
        <v>360</v>
      </c>
      <c r="J1698" s="55" t="s">
        <v>360</v>
      </c>
      <c r="K1698" s="55" t="s">
        <v>360</v>
      </c>
      <c r="L1698" s="55" t="s">
        <v>360</v>
      </c>
      <c r="M1698" s="55" t="s">
        <v>136</v>
      </c>
      <c r="N1698" s="55" t="s">
        <v>136</v>
      </c>
      <c r="O1698" s="55" t="s">
        <v>174</v>
      </c>
      <c r="P1698" s="55" t="s">
        <v>1975</v>
      </c>
      <c r="Q1698" s="55" t="s">
        <v>362</v>
      </c>
      <c r="R1698" s="55">
        <v>10</v>
      </c>
      <c r="S1698" s="74"/>
      <c r="T1698" s="55" t="s">
        <v>2410</v>
      </c>
      <c r="U1698" s="73" t="s">
        <v>351</v>
      </c>
      <c r="V1698" s="74">
        <v>44363</v>
      </c>
      <c r="W1698" s="74">
        <v>44403</v>
      </c>
      <c r="X1698" s="55">
        <v>10186828</v>
      </c>
      <c r="Y1698" s="74" t="s">
        <v>132</v>
      </c>
      <c r="Z1698" s="74"/>
      <c r="AB1698" s="55" t="s">
        <v>130</v>
      </c>
      <c r="AC1698" s="55" t="s">
        <v>132</v>
      </c>
    </row>
    <row r="1699" spans="1:29" ht="13" x14ac:dyDescent="0.15">
      <c r="A1699" s="72" t="str">
        <f t="shared" si="26"/>
        <v>Ofsted Social Care Provider Webpage</v>
      </c>
      <c r="B1699" s="55" t="s">
        <v>2411</v>
      </c>
      <c r="D1699" s="55" t="s">
        <v>373</v>
      </c>
      <c r="E1699" s="74">
        <v>37183</v>
      </c>
      <c r="F1699" s="55" t="s">
        <v>344</v>
      </c>
      <c r="G1699" s="55" t="s">
        <v>360</v>
      </c>
      <c r="H1699" s="55" t="s">
        <v>360</v>
      </c>
      <c r="I1699" s="55" t="s">
        <v>360</v>
      </c>
      <c r="J1699" s="55" t="s">
        <v>360</v>
      </c>
      <c r="K1699" s="55" t="s">
        <v>360</v>
      </c>
      <c r="L1699" s="55" t="s">
        <v>360</v>
      </c>
      <c r="M1699" s="55" t="s">
        <v>136</v>
      </c>
      <c r="N1699" s="55" t="s">
        <v>136</v>
      </c>
      <c r="O1699" s="55" t="s">
        <v>174</v>
      </c>
      <c r="P1699" s="55" t="s">
        <v>651</v>
      </c>
      <c r="Q1699" s="55" t="s">
        <v>350</v>
      </c>
      <c r="R1699" s="55">
        <v>1</v>
      </c>
      <c r="S1699" s="74"/>
      <c r="T1699" s="55" t="s">
        <v>652</v>
      </c>
      <c r="U1699" s="73" t="s">
        <v>351</v>
      </c>
      <c r="V1699" s="74">
        <v>44426</v>
      </c>
      <c r="W1699" s="74">
        <v>44456</v>
      </c>
      <c r="X1699" s="55">
        <v>10186608</v>
      </c>
      <c r="Y1699" s="74" t="s">
        <v>132</v>
      </c>
      <c r="Z1699" s="74"/>
      <c r="AB1699" s="55" t="s">
        <v>132</v>
      </c>
      <c r="AC1699" s="55" t="s">
        <v>132</v>
      </c>
    </row>
    <row r="1700" spans="1:29" ht="13" x14ac:dyDescent="0.15">
      <c r="A1700" s="72" t="str">
        <f t="shared" si="26"/>
        <v>Ofsted Social Care Provider Webpage</v>
      </c>
      <c r="B1700" s="55" t="s">
        <v>2412</v>
      </c>
      <c r="D1700" s="55" t="s">
        <v>413</v>
      </c>
      <c r="E1700" s="74">
        <v>37300</v>
      </c>
      <c r="F1700" s="55" t="s">
        <v>344</v>
      </c>
      <c r="G1700" s="55" t="s">
        <v>2413</v>
      </c>
      <c r="H1700" s="55" t="s">
        <v>2413</v>
      </c>
      <c r="I1700" s="55" t="s">
        <v>2414</v>
      </c>
      <c r="J1700" s="55" t="s">
        <v>2415</v>
      </c>
      <c r="K1700" s="55" t="s">
        <v>174</v>
      </c>
      <c r="L1700" s="55" t="s">
        <v>2416</v>
      </c>
      <c r="M1700" s="55" t="s">
        <v>136</v>
      </c>
      <c r="N1700" s="55" t="s">
        <v>136</v>
      </c>
      <c r="O1700" s="55" t="s">
        <v>174</v>
      </c>
      <c r="P1700" s="55" t="s">
        <v>651</v>
      </c>
      <c r="Q1700" s="55" t="s">
        <v>380</v>
      </c>
      <c r="R1700" s="55">
        <v>35</v>
      </c>
      <c r="S1700" s="74"/>
      <c r="T1700" s="55" t="s">
        <v>1525</v>
      </c>
      <c r="U1700" s="73" t="s">
        <v>351</v>
      </c>
      <c r="V1700" s="74">
        <v>44516</v>
      </c>
      <c r="W1700" s="74">
        <v>44575</v>
      </c>
      <c r="X1700" s="55">
        <v>10183575</v>
      </c>
      <c r="Y1700" s="74" t="s">
        <v>132</v>
      </c>
      <c r="Z1700" s="74"/>
      <c r="AB1700" s="55" t="s">
        <v>132</v>
      </c>
      <c r="AC1700" s="55" t="s">
        <v>132</v>
      </c>
    </row>
    <row r="1701" spans="1:29" ht="13" x14ac:dyDescent="0.15">
      <c r="A1701" s="72" t="str">
        <f t="shared" si="26"/>
        <v>Ofsted Social Care Provider Webpage</v>
      </c>
      <c r="B1701" s="55" t="s">
        <v>2417</v>
      </c>
      <c r="D1701" s="55" t="s">
        <v>373</v>
      </c>
      <c r="E1701" s="74">
        <v>34946</v>
      </c>
      <c r="F1701" s="55" t="s">
        <v>344</v>
      </c>
      <c r="G1701" s="55" t="s">
        <v>360</v>
      </c>
      <c r="H1701" s="55" t="s">
        <v>360</v>
      </c>
      <c r="I1701" s="55" t="s">
        <v>360</v>
      </c>
      <c r="J1701" s="55" t="s">
        <v>360</v>
      </c>
      <c r="K1701" s="55" t="s">
        <v>360</v>
      </c>
      <c r="L1701" s="55" t="s">
        <v>360</v>
      </c>
      <c r="M1701" s="55" t="s">
        <v>136</v>
      </c>
      <c r="N1701" s="55" t="s">
        <v>136</v>
      </c>
      <c r="O1701" s="55" t="s">
        <v>705</v>
      </c>
      <c r="P1701" s="55" t="s">
        <v>706</v>
      </c>
      <c r="Q1701" s="55" t="s">
        <v>362</v>
      </c>
      <c r="R1701" s="55">
        <v>4</v>
      </c>
      <c r="S1701" s="74" t="s">
        <v>332</v>
      </c>
      <c r="T1701" s="55" t="s">
        <v>2418</v>
      </c>
      <c r="U1701" s="73" t="s">
        <v>351</v>
      </c>
      <c r="V1701" s="74">
        <v>44550</v>
      </c>
      <c r="W1701" s="74">
        <v>44593</v>
      </c>
      <c r="X1701" s="55">
        <v>10186238</v>
      </c>
      <c r="Y1701" s="74" t="s">
        <v>132</v>
      </c>
      <c r="Z1701" s="74"/>
      <c r="AB1701" s="55" t="s">
        <v>130</v>
      </c>
      <c r="AC1701" s="55" t="s">
        <v>132</v>
      </c>
    </row>
    <row r="1702" spans="1:29" ht="13" x14ac:dyDescent="0.15">
      <c r="A1702" s="72" t="str">
        <f t="shared" si="26"/>
        <v>Ofsted Social Care Provider Webpage</v>
      </c>
      <c r="B1702" s="55" t="s">
        <v>2419</v>
      </c>
      <c r="D1702" s="55" t="s">
        <v>373</v>
      </c>
      <c r="E1702" s="74">
        <v>34365</v>
      </c>
      <c r="F1702" s="55" t="s">
        <v>344</v>
      </c>
      <c r="G1702" s="55" t="s">
        <v>360</v>
      </c>
      <c r="H1702" s="55" t="s">
        <v>360</v>
      </c>
      <c r="I1702" s="55" t="s">
        <v>360</v>
      </c>
      <c r="J1702" s="55" t="s">
        <v>360</v>
      </c>
      <c r="K1702" s="55" t="s">
        <v>360</v>
      </c>
      <c r="L1702" s="55" t="s">
        <v>360</v>
      </c>
      <c r="M1702" s="55" t="s">
        <v>142</v>
      </c>
      <c r="N1702" s="55" t="s">
        <v>142</v>
      </c>
      <c r="O1702" s="55" t="s">
        <v>282</v>
      </c>
      <c r="P1702" s="55" t="s">
        <v>922</v>
      </c>
      <c r="Q1702" s="55" t="s">
        <v>362</v>
      </c>
      <c r="R1702" s="55">
        <v>5</v>
      </c>
      <c r="S1702" s="74" t="s">
        <v>332</v>
      </c>
      <c r="T1702" s="55" t="s">
        <v>367</v>
      </c>
      <c r="U1702" s="73" t="s">
        <v>351</v>
      </c>
      <c r="V1702" s="74">
        <v>44481</v>
      </c>
      <c r="W1702" s="74">
        <v>44509</v>
      </c>
      <c r="X1702" s="55">
        <v>10187468</v>
      </c>
      <c r="Y1702" s="74" t="s">
        <v>132</v>
      </c>
      <c r="Z1702" s="74"/>
      <c r="AB1702" s="55" t="s">
        <v>132</v>
      </c>
      <c r="AC1702" s="55" t="s">
        <v>132</v>
      </c>
    </row>
    <row r="1703" spans="1:29" ht="13" x14ac:dyDescent="0.15">
      <c r="A1703" s="72" t="str">
        <f t="shared" si="26"/>
        <v>Ofsted Social Care Provider Webpage</v>
      </c>
      <c r="B1703" s="55" t="s">
        <v>2420</v>
      </c>
      <c r="D1703" s="55" t="s">
        <v>373</v>
      </c>
      <c r="E1703" s="74">
        <v>36552</v>
      </c>
      <c r="F1703" s="55" t="s">
        <v>344</v>
      </c>
      <c r="G1703" s="55" t="s">
        <v>360</v>
      </c>
      <c r="H1703" s="55" t="s">
        <v>360</v>
      </c>
      <c r="I1703" s="55" t="s">
        <v>360</v>
      </c>
      <c r="J1703" s="55" t="s">
        <v>360</v>
      </c>
      <c r="K1703" s="55" t="s">
        <v>360</v>
      </c>
      <c r="L1703" s="55" t="s">
        <v>360</v>
      </c>
      <c r="M1703" s="55" t="s">
        <v>142</v>
      </c>
      <c r="N1703" s="55" t="s">
        <v>142</v>
      </c>
      <c r="O1703" s="55" t="s">
        <v>262</v>
      </c>
      <c r="P1703" s="55" t="s">
        <v>618</v>
      </c>
      <c r="Q1703" s="55" t="s">
        <v>350</v>
      </c>
      <c r="R1703" s="55">
        <v>4</v>
      </c>
      <c r="S1703" s="74"/>
      <c r="T1703" s="55" t="s">
        <v>1505</v>
      </c>
      <c r="U1703" s="73" t="s">
        <v>351</v>
      </c>
      <c r="V1703" s="74">
        <v>44447</v>
      </c>
      <c r="W1703" s="74">
        <v>44491</v>
      </c>
      <c r="X1703" s="55">
        <v>10187239</v>
      </c>
      <c r="Y1703" s="74" t="s">
        <v>132</v>
      </c>
      <c r="Z1703" s="74"/>
      <c r="AB1703" s="55" t="s">
        <v>132</v>
      </c>
      <c r="AC1703" s="55" t="s">
        <v>132</v>
      </c>
    </row>
    <row r="1704" spans="1:29" ht="13" x14ac:dyDescent="0.15">
      <c r="A1704" s="72" t="str">
        <f t="shared" si="26"/>
        <v>Ofsted Social Care Provider Webpage</v>
      </c>
      <c r="B1704" s="55" t="s">
        <v>2421</v>
      </c>
      <c r="D1704" s="55" t="s">
        <v>373</v>
      </c>
      <c r="E1704" s="74">
        <v>35478</v>
      </c>
      <c r="F1704" s="55" t="s">
        <v>344</v>
      </c>
      <c r="G1704" s="55" t="s">
        <v>360</v>
      </c>
      <c r="H1704" s="55" t="s">
        <v>360</v>
      </c>
      <c r="I1704" s="55" t="s">
        <v>360</v>
      </c>
      <c r="J1704" s="55" t="s">
        <v>360</v>
      </c>
      <c r="K1704" s="55" t="s">
        <v>360</v>
      </c>
      <c r="L1704" s="55" t="s">
        <v>360</v>
      </c>
      <c r="M1704" s="55" t="s">
        <v>142</v>
      </c>
      <c r="N1704" s="55" t="s">
        <v>142</v>
      </c>
      <c r="O1704" s="55" t="s">
        <v>262</v>
      </c>
      <c r="P1704" s="55" t="s">
        <v>488</v>
      </c>
      <c r="Q1704" s="55" t="s">
        <v>350</v>
      </c>
      <c r="R1704" s="55">
        <v>10</v>
      </c>
      <c r="S1704" s="74"/>
      <c r="T1704" s="55" t="s">
        <v>2422</v>
      </c>
      <c r="U1704" s="73" t="s">
        <v>351</v>
      </c>
      <c r="V1704" s="74">
        <v>44543</v>
      </c>
      <c r="W1704" s="74">
        <v>44602</v>
      </c>
      <c r="X1704" s="55">
        <v>10185564</v>
      </c>
      <c r="Y1704" s="74" t="s">
        <v>132</v>
      </c>
      <c r="Z1704" s="74"/>
      <c r="AB1704" s="55" t="s">
        <v>132</v>
      </c>
      <c r="AC1704" s="55" t="s">
        <v>132</v>
      </c>
    </row>
    <row r="1705" spans="1:29" ht="13" x14ac:dyDescent="0.15">
      <c r="A1705" s="72" t="str">
        <f t="shared" si="26"/>
        <v>Ofsted Social Care Provider Webpage</v>
      </c>
      <c r="B1705" s="55" t="s">
        <v>2423</v>
      </c>
      <c r="D1705" s="55" t="s">
        <v>479</v>
      </c>
      <c r="E1705" s="74">
        <v>35863</v>
      </c>
      <c r="F1705" s="55" t="s">
        <v>344</v>
      </c>
      <c r="G1705" s="55" t="s">
        <v>360</v>
      </c>
      <c r="H1705" s="55" t="s">
        <v>360</v>
      </c>
      <c r="I1705" s="55" t="s">
        <v>360</v>
      </c>
      <c r="J1705" s="55" t="s">
        <v>360</v>
      </c>
      <c r="K1705" s="55" t="s">
        <v>360</v>
      </c>
      <c r="L1705" s="55" t="s">
        <v>360</v>
      </c>
      <c r="M1705" s="55" t="s">
        <v>142</v>
      </c>
      <c r="N1705" s="55" t="s">
        <v>142</v>
      </c>
      <c r="O1705" s="55" t="s">
        <v>262</v>
      </c>
      <c r="P1705" s="55" t="s">
        <v>618</v>
      </c>
      <c r="Q1705" s="55" t="s">
        <v>350</v>
      </c>
      <c r="R1705" s="55">
        <v>12</v>
      </c>
      <c r="S1705" s="74"/>
      <c r="T1705" s="55" t="s">
        <v>1505</v>
      </c>
      <c r="U1705" s="73" t="s">
        <v>351</v>
      </c>
      <c r="V1705" s="74">
        <v>44600</v>
      </c>
      <c r="W1705" s="74">
        <v>44651</v>
      </c>
      <c r="X1705" s="55">
        <v>10186906</v>
      </c>
      <c r="Y1705" s="74" t="s">
        <v>132</v>
      </c>
      <c r="Z1705" s="74"/>
      <c r="AB1705" s="55" t="s">
        <v>132</v>
      </c>
      <c r="AC1705" s="55" t="s">
        <v>132</v>
      </c>
    </row>
    <row r="1706" spans="1:29" ht="13" x14ac:dyDescent="0.15">
      <c r="A1706" s="72" t="str">
        <f t="shared" si="26"/>
        <v>Ofsted Social Care Provider Webpage</v>
      </c>
      <c r="B1706" s="55" t="s">
        <v>2424</v>
      </c>
      <c r="D1706" s="55" t="s">
        <v>373</v>
      </c>
      <c r="E1706" s="74">
        <v>36552</v>
      </c>
      <c r="F1706" s="55" t="s">
        <v>344</v>
      </c>
      <c r="G1706" s="55" t="s">
        <v>360</v>
      </c>
      <c r="H1706" s="55" t="s">
        <v>360</v>
      </c>
      <c r="I1706" s="55" t="s">
        <v>360</v>
      </c>
      <c r="J1706" s="55" t="s">
        <v>360</v>
      </c>
      <c r="K1706" s="55" t="s">
        <v>360</v>
      </c>
      <c r="L1706" s="55" t="s">
        <v>360</v>
      </c>
      <c r="M1706" s="55" t="s">
        <v>142</v>
      </c>
      <c r="N1706" s="55" t="s">
        <v>142</v>
      </c>
      <c r="O1706" s="55" t="s">
        <v>262</v>
      </c>
      <c r="P1706" s="55" t="s">
        <v>618</v>
      </c>
      <c r="Q1706" s="55" t="s">
        <v>350</v>
      </c>
      <c r="R1706" s="55">
        <v>3</v>
      </c>
      <c r="S1706" s="74"/>
      <c r="T1706" s="55" t="s">
        <v>1505</v>
      </c>
      <c r="U1706" s="73" t="s">
        <v>351</v>
      </c>
      <c r="V1706" s="74">
        <v>44515</v>
      </c>
      <c r="W1706" s="74">
        <v>44560</v>
      </c>
      <c r="X1706" s="55">
        <v>10187171</v>
      </c>
      <c r="Y1706" s="74" t="s">
        <v>130</v>
      </c>
      <c r="Z1706" s="74"/>
      <c r="AB1706" s="55" t="s">
        <v>130</v>
      </c>
      <c r="AC1706" s="55" t="s">
        <v>130</v>
      </c>
    </row>
    <row r="1707" spans="1:29" ht="13" x14ac:dyDescent="0.15">
      <c r="A1707" s="72" t="str">
        <f t="shared" si="26"/>
        <v>Ofsted Social Care Provider Webpage</v>
      </c>
      <c r="B1707" s="55" t="s">
        <v>2425</v>
      </c>
      <c r="D1707" s="55" t="s">
        <v>479</v>
      </c>
      <c r="E1707" s="74">
        <v>35200</v>
      </c>
      <c r="F1707" s="55" t="s">
        <v>344</v>
      </c>
      <c r="G1707" s="55" t="s">
        <v>360</v>
      </c>
      <c r="H1707" s="55" t="s">
        <v>360</v>
      </c>
      <c r="I1707" s="55" t="s">
        <v>360</v>
      </c>
      <c r="J1707" s="55" t="s">
        <v>360</v>
      </c>
      <c r="K1707" s="55" t="s">
        <v>360</v>
      </c>
      <c r="L1707" s="55" t="s">
        <v>360</v>
      </c>
      <c r="M1707" s="55" t="s">
        <v>142</v>
      </c>
      <c r="N1707" s="55" t="s">
        <v>142</v>
      </c>
      <c r="O1707" s="55" t="s">
        <v>262</v>
      </c>
      <c r="P1707" s="55" t="s">
        <v>618</v>
      </c>
      <c r="Q1707" s="55" t="s">
        <v>350</v>
      </c>
      <c r="R1707" s="55">
        <v>8</v>
      </c>
      <c r="S1707" s="74"/>
      <c r="T1707" s="55" t="s">
        <v>1505</v>
      </c>
      <c r="U1707" s="73" t="s">
        <v>351</v>
      </c>
      <c r="V1707" s="74">
        <v>44446</v>
      </c>
      <c r="W1707" s="74">
        <v>44475</v>
      </c>
      <c r="X1707" s="55">
        <v>10186290</v>
      </c>
      <c r="Y1707" s="74" t="s">
        <v>132</v>
      </c>
      <c r="Z1707" s="74"/>
      <c r="AB1707" s="55" t="s">
        <v>132</v>
      </c>
      <c r="AC1707" s="55" t="s">
        <v>132</v>
      </c>
    </row>
    <row r="1708" spans="1:29" ht="13" x14ac:dyDescent="0.15">
      <c r="A1708" s="72" t="str">
        <f t="shared" si="26"/>
        <v>Ofsted Social Care Provider Webpage</v>
      </c>
      <c r="B1708" s="55" t="s">
        <v>2426</v>
      </c>
      <c r="D1708" s="55" t="s">
        <v>373</v>
      </c>
      <c r="E1708" s="74">
        <v>35200</v>
      </c>
      <c r="F1708" s="55" t="s">
        <v>344</v>
      </c>
      <c r="G1708" s="55" t="s">
        <v>360</v>
      </c>
      <c r="H1708" s="55" t="s">
        <v>360</v>
      </c>
      <c r="I1708" s="55" t="s">
        <v>360</v>
      </c>
      <c r="J1708" s="55" t="s">
        <v>360</v>
      </c>
      <c r="K1708" s="55" t="s">
        <v>360</v>
      </c>
      <c r="L1708" s="55" t="s">
        <v>360</v>
      </c>
      <c r="M1708" s="55" t="s">
        <v>142</v>
      </c>
      <c r="N1708" s="55" t="s">
        <v>142</v>
      </c>
      <c r="O1708" s="55" t="s">
        <v>262</v>
      </c>
      <c r="P1708" s="55" t="s">
        <v>618</v>
      </c>
      <c r="Q1708" s="55" t="s">
        <v>350</v>
      </c>
      <c r="R1708" s="55">
        <v>5</v>
      </c>
      <c r="S1708" s="74"/>
      <c r="T1708" s="55" t="s">
        <v>1505</v>
      </c>
      <c r="U1708" s="73" t="s">
        <v>351</v>
      </c>
      <c r="V1708" s="74">
        <v>44404</v>
      </c>
      <c r="W1708" s="74">
        <v>44435</v>
      </c>
      <c r="X1708" s="55">
        <v>10186606</v>
      </c>
      <c r="Y1708" s="74" t="s">
        <v>132</v>
      </c>
      <c r="Z1708" s="74"/>
      <c r="AB1708" s="55" t="s">
        <v>132</v>
      </c>
      <c r="AC1708" s="55" t="s">
        <v>132</v>
      </c>
    </row>
    <row r="1709" spans="1:29" ht="13" x14ac:dyDescent="0.15">
      <c r="A1709" s="72" t="str">
        <f t="shared" si="26"/>
        <v>Ofsted Social Care Provider Webpage</v>
      </c>
      <c r="B1709" s="55" t="s">
        <v>2427</v>
      </c>
      <c r="D1709" s="55" t="s">
        <v>373</v>
      </c>
      <c r="E1709" s="74">
        <v>37283</v>
      </c>
      <c r="F1709" s="55" t="s">
        <v>344</v>
      </c>
      <c r="G1709" s="55" t="s">
        <v>360</v>
      </c>
      <c r="H1709" s="55" t="s">
        <v>360</v>
      </c>
      <c r="I1709" s="55" t="s">
        <v>360</v>
      </c>
      <c r="J1709" s="55" t="s">
        <v>360</v>
      </c>
      <c r="K1709" s="55" t="s">
        <v>360</v>
      </c>
      <c r="L1709" s="55" t="s">
        <v>360</v>
      </c>
      <c r="M1709" s="55" t="s">
        <v>142</v>
      </c>
      <c r="N1709" s="55" t="s">
        <v>142</v>
      </c>
      <c r="O1709" s="55" t="s">
        <v>262</v>
      </c>
      <c r="P1709" s="55" t="s">
        <v>618</v>
      </c>
      <c r="Q1709" s="55" t="s">
        <v>350</v>
      </c>
      <c r="R1709" s="55">
        <v>2</v>
      </c>
      <c r="S1709" s="74"/>
      <c r="T1709" s="55" t="s">
        <v>1505</v>
      </c>
      <c r="U1709" s="73" t="s">
        <v>351</v>
      </c>
      <c r="V1709" s="74">
        <v>43866</v>
      </c>
      <c r="W1709" s="74">
        <v>43899</v>
      </c>
      <c r="X1709" s="55">
        <v>10095366</v>
      </c>
      <c r="Y1709" s="74" t="s">
        <v>132</v>
      </c>
      <c r="Z1709" s="74"/>
      <c r="AB1709" s="55" t="s">
        <v>132</v>
      </c>
      <c r="AC1709" s="55" t="s">
        <v>132</v>
      </c>
    </row>
    <row r="1710" spans="1:29" ht="13" x14ac:dyDescent="0.15">
      <c r="A1710" s="72" t="str">
        <f t="shared" si="26"/>
        <v>Ofsted Social Care Provider Webpage</v>
      </c>
      <c r="B1710" s="55" t="s">
        <v>2428</v>
      </c>
      <c r="D1710" s="55" t="s">
        <v>373</v>
      </c>
      <c r="E1710" s="74">
        <v>36749</v>
      </c>
      <c r="F1710" s="55" t="s">
        <v>344</v>
      </c>
      <c r="G1710" s="55" t="s">
        <v>360</v>
      </c>
      <c r="H1710" s="55" t="s">
        <v>360</v>
      </c>
      <c r="I1710" s="55" t="s">
        <v>360</v>
      </c>
      <c r="J1710" s="55" t="s">
        <v>360</v>
      </c>
      <c r="K1710" s="55" t="s">
        <v>360</v>
      </c>
      <c r="L1710" s="55" t="s">
        <v>360</v>
      </c>
      <c r="M1710" s="55" t="s">
        <v>144</v>
      </c>
      <c r="N1710" s="55" t="s">
        <v>144</v>
      </c>
      <c r="O1710" s="55" t="s">
        <v>188</v>
      </c>
      <c r="P1710" s="55" t="s">
        <v>188</v>
      </c>
      <c r="Q1710" s="55" t="s">
        <v>350</v>
      </c>
      <c r="R1710" s="55">
        <v>6</v>
      </c>
      <c r="S1710" s="74"/>
      <c r="T1710" s="55" t="s">
        <v>1363</v>
      </c>
      <c r="U1710" s="73" t="s">
        <v>351</v>
      </c>
      <c r="V1710" s="74">
        <v>44586</v>
      </c>
      <c r="W1710" s="74">
        <v>44621</v>
      </c>
      <c r="X1710" s="55">
        <v>10185418</v>
      </c>
      <c r="Y1710" s="74" t="s">
        <v>132</v>
      </c>
      <c r="Z1710" s="74"/>
      <c r="AB1710" s="55" t="s">
        <v>140</v>
      </c>
      <c r="AC1710" s="55" t="s">
        <v>132</v>
      </c>
    </row>
    <row r="1711" spans="1:29" ht="13" x14ac:dyDescent="0.15">
      <c r="A1711" s="72" t="str">
        <f t="shared" si="26"/>
        <v>Ofsted Social Care Provider Webpage</v>
      </c>
      <c r="B1711" s="55" t="s">
        <v>2429</v>
      </c>
      <c r="D1711" s="55" t="s">
        <v>373</v>
      </c>
      <c r="E1711" s="74">
        <v>36312</v>
      </c>
      <c r="F1711" s="55" t="s">
        <v>344</v>
      </c>
      <c r="G1711" s="55" t="s">
        <v>360</v>
      </c>
      <c r="H1711" s="55" t="s">
        <v>360</v>
      </c>
      <c r="I1711" s="55" t="s">
        <v>360</v>
      </c>
      <c r="J1711" s="55" t="s">
        <v>360</v>
      </c>
      <c r="K1711" s="55" t="s">
        <v>360</v>
      </c>
      <c r="L1711" s="55" t="s">
        <v>360</v>
      </c>
      <c r="M1711" s="55" t="s">
        <v>144</v>
      </c>
      <c r="N1711" s="55" t="s">
        <v>144</v>
      </c>
      <c r="O1711" s="55" t="s">
        <v>236</v>
      </c>
      <c r="P1711" s="55" t="s">
        <v>996</v>
      </c>
      <c r="Q1711" s="55" t="s">
        <v>350</v>
      </c>
      <c r="R1711" s="55">
        <v>5</v>
      </c>
      <c r="S1711" s="74"/>
      <c r="T1711" s="55" t="s">
        <v>2430</v>
      </c>
      <c r="U1711" s="73" t="s">
        <v>351</v>
      </c>
      <c r="V1711" s="74">
        <v>44600</v>
      </c>
      <c r="W1711" s="74">
        <v>44673</v>
      </c>
      <c r="X1711" s="55">
        <v>10187037</v>
      </c>
      <c r="Y1711" s="74" t="s">
        <v>132</v>
      </c>
      <c r="Z1711" s="74"/>
      <c r="AB1711" s="55" t="s">
        <v>132</v>
      </c>
      <c r="AC1711" s="55" t="s">
        <v>132</v>
      </c>
    </row>
    <row r="1712" spans="1:29" ht="13" x14ac:dyDescent="0.15">
      <c r="A1712" s="72" t="str">
        <f t="shared" si="26"/>
        <v>Ofsted Social Care Provider Webpage</v>
      </c>
      <c r="B1712" s="55" t="s">
        <v>2431</v>
      </c>
      <c r="D1712" s="55" t="s">
        <v>373</v>
      </c>
      <c r="E1712" s="74">
        <v>37071</v>
      </c>
      <c r="F1712" s="55" t="s">
        <v>344</v>
      </c>
      <c r="G1712" s="55" t="s">
        <v>360</v>
      </c>
      <c r="H1712" s="55" t="s">
        <v>360</v>
      </c>
      <c r="I1712" s="55" t="s">
        <v>360</v>
      </c>
      <c r="J1712" s="55" t="s">
        <v>360</v>
      </c>
      <c r="K1712" s="55" t="s">
        <v>360</v>
      </c>
      <c r="L1712" s="55" t="s">
        <v>360</v>
      </c>
      <c r="M1712" s="55" t="s">
        <v>144</v>
      </c>
      <c r="N1712" s="55" t="s">
        <v>144</v>
      </c>
      <c r="O1712" s="55" t="s">
        <v>271</v>
      </c>
      <c r="P1712" s="55" t="s">
        <v>870</v>
      </c>
      <c r="Q1712" s="55" t="s">
        <v>350</v>
      </c>
      <c r="R1712" s="55">
        <v>4</v>
      </c>
      <c r="S1712" s="74"/>
      <c r="T1712" s="55" t="s">
        <v>2432</v>
      </c>
      <c r="U1712" s="73" t="s">
        <v>351</v>
      </c>
      <c r="V1712" s="74">
        <v>44580</v>
      </c>
      <c r="W1712" s="74">
        <v>44615</v>
      </c>
      <c r="X1712" s="55">
        <v>10185734</v>
      </c>
      <c r="Y1712" s="74" t="s">
        <v>140</v>
      </c>
      <c r="Z1712" s="74"/>
      <c r="AB1712" s="55" t="s">
        <v>140</v>
      </c>
      <c r="AC1712" s="55" t="s">
        <v>140</v>
      </c>
    </row>
    <row r="1713" spans="1:29" ht="13" x14ac:dyDescent="0.15">
      <c r="A1713" s="72" t="str">
        <f t="shared" si="26"/>
        <v>Ofsted Social Care Provider Webpage</v>
      </c>
      <c r="B1713" s="55" t="s">
        <v>2433</v>
      </c>
      <c r="D1713" s="55" t="s">
        <v>373</v>
      </c>
      <c r="E1713" s="74">
        <v>37082</v>
      </c>
      <c r="F1713" s="55" t="s">
        <v>344</v>
      </c>
      <c r="G1713" s="55" t="s">
        <v>360</v>
      </c>
      <c r="H1713" s="55" t="s">
        <v>360</v>
      </c>
      <c r="I1713" s="55" t="s">
        <v>360</v>
      </c>
      <c r="J1713" s="55" t="s">
        <v>360</v>
      </c>
      <c r="K1713" s="55" t="s">
        <v>360</v>
      </c>
      <c r="L1713" s="55" t="s">
        <v>360</v>
      </c>
      <c r="M1713" s="55" t="s">
        <v>144</v>
      </c>
      <c r="N1713" s="55" t="s">
        <v>144</v>
      </c>
      <c r="O1713" s="55" t="s">
        <v>271</v>
      </c>
      <c r="P1713" s="55" t="s">
        <v>1122</v>
      </c>
      <c r="Q1713" s="55" t="s">
        <v>350</v>
      </c>
      <c r="R1713" s="55">
        <v>2</v>
      </c>
      <c r="S1713" s="74"/>
      <c r="T1713" s="55" t="s">
        <v>1505</v>
      </c>
      <c r="U1713" s="73" t="s">
        <v>351</v>
      </c>
      <c r="V1713" s="74">
        <v>44314</v>
      </c>
      <c r="W1713" s="74">
        <v>44342</v>
      </c>
      <c r="X1713" s="55">
        <v>10185892</v>
      </c>
      <c r="Y1713" s="74" t="s">
        <v>132</v>
      </c>
      <c r="Z1713" s="74"/>
      <c r="AB1713" s="55" t="s">
        <v>132</v>
      </c>
      <c r="AC1713" s="55" t="s">
        <v>132</v>
      </c>
    </row>
    <row r="1714" spans="1:29" ht="13" x14ac:dyDescent="0.15">
      <c r="A1714" s="72" t="str">
        <f t="shared" si="26"/>
        <v>Ofsted Social Care Provider Webpage</v>
      </c>
      <c r="B1714" s="55" t="s">
        <v>2434</v>
      </c>
      <c r="D1714" s="55" t="s">
        <v>373</v>
      </c>
      <c r="E1714" s="74">
        <v>37104</v>
      </c>
      <c r="F1714" s="55" t="s">
        <v>344</v>
      </c>
      <c r="G1714" s="55" t="s">
        <v>360</v>
      </c>
      <c r="H1714" s="55" t="s">
        <v>360</v>
      </c>
      <c r="I1714" s="55" t="s">
        <v>360</v>
      </c>
      <c r="J1714" s="55" t="s">
        <v>360</v>
      </c>
      <c r="K1714" s="55" t="s">
        <v>360</v>
      </c>
      <c r="L1714" s="55" t="s">
        <v>360</v>
      </c>
      <c r="M1714" s="55" t="s">
        <v>144</v>
      </c>
      <c r="N1714" s="55" t="s">
        <v>144</v>
      </c>
      <c r="O1714" s="55" t="s">
        <v>287</v>
      </c>
      <c r="P1714" s="55" t="s">
        <v>815</v>
      </c>
      <c r="Q1714" s="55" t="s">
        <v>350</v>
      </c>
      <c r="R1714" s="55">
        <v>1</v>
      </c>
      <c r="S1714" s="74"/>
      <c r="T1714" s="55" t="s">
        <v>2435</v>
      </c>
      <c r="U1714" s="73" t="s">
        <v>351</v>
      </c>
      <c r="V1714" s="74">
        <v>44615</v>
      </c>
      <c r="W1714" s="74">
        <v>44659</v>
      </c>
      <c r="X1714" s="55">
        <v>10185453</v>
      </c>
      <c r="Y1714" s="74" t="s">
        <v>130</v>
      </c>
      <c r="Z1714" s="74"/>
      <c r="AB1714" s="55" t="s">
        <v>130</v>
      </c>
      <c r="AC1714" s="55" t="s">
        <v>130</v>
      </c>
    </row>
    <row r="1715" spans="1:29" ht="13" x14ac:dyDescent="0.15">
      <c r="A1715" s="72" t="str">
        <f t="shared" si="26"/>
        <v>Ofsted Social Care Provider Webpage</v>
      </c>
      <c r="B1715" s="55" t="s">
        <v>2436</v>
      </c>
      <c r="C1715" s="55">
        <v>131389</v>
      </c>
      <c r="D1715" s="55" t="s">
        <v>398</v>
      </c>
      <c r="E1715" s="74">
        <v>37300</v>
      </c>
      <c r="F1715" s="55" t="s">
        <v>344</v>
      </c>
      <c r="G1715" s="55" t="s">
        <v>2437</v>
      </c>
      <c r="H1715" s="55" t="s">
        <v>2438</v>
      </c>
      <c r="I1715" s="55" t="s">
        <v>354</v>
      </c>
      <c r="J1715" s="55" t="s">
        <v>2439</v>
      </c>
      <c r="K1715" s="55" t="s">
        <v>209</v>
      </c>
      <c r="L1715" s="55" t="s">
        <v>2440</v>
      </c>
      <c r="M1715" s="55" t="s">
        <v>144</v>
      </c>
      <c r="N1715" s="55" t="s">
        <v>144</v>
      </c>
      <c r="O1715" s="55" t="s">
        <v>143</v>
      </c>
      <c r="P1715" s="55" t="s">
        <v>2439</v>
      </c>
      <c r="Q1715" s="55" t="s">
        <v>350</v>
      </c>
      <c r="R1715" s="55">
        <v>250</v>
      </c>
      <c r="S1715" s="74"/>
      <c r="T1715" s="55" t="s">
        <v>2441</v>
      </c>
      <c r="U1715" s="73" t="s">
        <v>351</v>
      </c>
      <c r="V1715" s="74">
        <v>43291</v>
      </c>
      <c r="W1715" s="74">
        <v>43327</v>
      </c>
      <c r="X1715" s="55">
        <v>10046818</v>
      </c>
      <c r="Y1715" s="74" t="s">
        <v>140</v>
      </c>
      <c r="Z1715" s="74"/>
      <c r="AB1715" s="55" t="s">
        <v>140</v>
      </c>
      <c r="AC1715" s="55" t="s">
        <v>140</v>
      </c>
    </row>
    <row r="1716" spans="1:29" ht="13" x14ac:dyDescent="0.15">
      <c r="A1716" s="72" t="str">
        <f t="shared" si="26"/>
        <v>Ofsted Social Care Provider Webpage</v>
      </c>
      <c r="B1716" s="55" t="s">
        <v>2442</v>
      </c>
      <c r="D1716" s="55" t="s">
        <v>373</v>
      </c>
      <c r="E1716" s="74">
        <v>37062</v>
      </c>
      <c r="F1716" s="55" t="s">
        <v>344</v>
      </c>
      <c r="G1716" s="55" t="s">
        <v>360</v>
      </c>
      <c r="H1716" s="55" t="s">
        <v>360</v>
      </c>
      <c r="I1716" s="55" t="s">
        <v>360</v>
      </c>
      <c r="J1716" s="55" t="s">
        <v>360</v>
      </c>
      <c r="K1716" s="55" t="s">
        <v>360</v>
      </c>
      <c r="L1716" s="55" t="s">
        <v>360</v>
      </c>
      <c r="M1716" s="55" t="s">
        <v>144</v>
      </c>
      <c r="N1716" s="55" t="s">
        <v>144</v>
      </c>
      <c r="O1716" s="55" t="s">
        <v>209</v>
      </c>
      <c r="P1716" s="55" t="s">
        <v>597</v>
      </c>
      <c r="Q1716" s="55" t="s">
        <v>350</v>
      </c>
      <c r="R1716" s="55">
        <v>1</v>
      </c>
      <c r="S1716" s="74"/>
      <c r="T1716" s="55" t="s">
        <v>2435</v>
      </c>
      <c r="U1716" s="73" t="s">
        <v>351</v>
      </c>
      <c r="V1716" s="74">
        <v>44322</v>
      </c>
      <c r="W1716" s="74">
        <v>44369</v>
      </c>
      <c r="X1716" s="55">
        <v>10186109</v>
      </c>
      <c r="Y1716" s="74" t="s">
        <v>132</v>
      </c>
      <c r="Z1716" s="74"/>
      <c r="AB1716" s="55" t="s">
        <v>132</v>
      </c>
      <c r="AC1716" s="55" t="s">
        <v>140</v>
      </c>
    </row>
    <row r="1717" spans="1:29" ht="13" x14ac:dyDescent="0.15">
      <c r="A1717" s="72" t="str">
        <f t="shared" si="26"/>
        <v>Ofsted Social Care Provider Webpage</v>
      </c>
      <c r="B1717" s="55" t="s">
        <v>2443</v>
      </c>
      <c r="D1717" s="55" t="s">
        <v>373</v>
      </c>
      <c r="E1717" s="74">
        <v>37062</v>
      </c>
      <c r="F1717" s="55" t="s">
        <v>344</v>
      </c>
      <c r="G1717" s="55" t="s">
        <v>360</v>
      </c>
      <c r="H1717" s="55" t="s">
        <v>360</v>
      </c>
      <c r="I1717" s="55" t="s">
        <v>360</v>
      </c>
      <c r="J1717" s="55" t="s">
        <v>360</v>
      </c>
      <c r="K1717" s="55" t="s">
        <v>360</v>
      </c>
      <c r="L1717" s="55" t="s">
        <v>360</v>
      </c>
      <c r="M1717" s="55" t="s">
        <v>144</v>
      </c>
      <c r="N1717" s="55" t="s">
        <v>144</v>
      </c>
      <c r="O1717" s="55" t="s">
        <v>209</v>
      </c>
      <c r="P1717" s="55" t="s">
        <v>597</v>
      </c>
      <c r="Q1717" s="55" t="s">
        <v>350</v>
      </c>
      <c r="R1717" s="55">
        <v>2</v>
      </c>
      <c r="S1717" s="74"/>
      <c r="T1717" s="55" t="s">
        <v>2435</v>
      </c>
      <c r="U1717" s="73" t="s">
        <v>351</v>
      </c>
      <c r="V1717" s="74">
        <v>44363</v>
      </c>
      <c r="W1717" s="74">
        <v>44393</v>
      </c>
      <c r="X1717" s="55">
        <v>10186761</v>
      </c>
      <c r="Y1717" s="74" t="s">
        <v>132</v>
      </c>
      <c r="Z1717" s="74"/>
      <c r="AB1717" s="55" t="s">
        <v>132</v>
      </c>
      <c r="AC1717" s="55" t="s">
        <v>132</v>
      </c>
    </row>
    <row r="1718" spans="1:29" ht="13" x14ac:dyDescent="0.15">
      <c r="A1718" s="72" t="str">
        <f t="shared" si="26"/>
        <v>Ofsted Social Care Provider Webpage</v>
      </c>
      <c r="B1718" s="55" t="s">
        <v>2444</v>
      </c>
      <c r="D1718" s="55" t="s">
        <v>373</v>
      </c>
      <c r="E1718" s="74">
        <v>37062</v>
      </c>
      <c r="F1718" s="55" t="s">
        <v>344</v>
      </c>
      <c r="G1718" s="55" t="s">
        <v>360</v>
      </c>
      <c r="H1718" s="55" t="s">
        <v>360</v>
      </c>
      <c r="I1718" s="55" t="s">
        <v>360</v>
      </c>
      <c r="J1718" s="55" t="s">
        <v>360</v>
      </c>
      <c r="K1718" s="55" t="s">
        <v>360</v>
      </c>
      <c r="L1718" s="55" t="s">
        <v>360</v>
      </c>
      <c r="M1718" s="55" t="s">
        <v>144</v>
      </c>
      <c r="N1718" s="55" t="s">
        <v>144</v>
      </c>
      <c r="O1718" s="55" t="s">
        <v>209</v>
      </c>
      <c r="P1718" s="55" t="s">
        <v>597</v>
      </c>
      <c r="Q1718" s="55" t="s">
        <v>350</v>
      </c>
      <c r="R1718" s="55">
        <v>1</v>
      </c>
      <c r="S1718" s="74"/>
      <c r="T1718" s="55" t="s">
        <v>2435</v>
      </c>
      <c r="U1718" s="73" t="s">
        <v>351</v>
      </c>
      <c r="V1718" s="74">
        <v>43032</v>
      </c>
      <c r="W1718" s="74">
        <v>43089</v>
      </c>
      <c r="X1718" s="55">
        <v>10027044</v>
      </c>
      <c r="Y1718" s="74" t="s">
        <v>130</v>
      </c>
      <c r="Z1718" s="74"/>
      <c r="AB1718" s="55" t="s">
        <v>130</v>
      </c>
      <c r="AC1718" s="55" t="s">
        <v>130</v>
      </c>
    </row>
    <row r="1719" spans="1:29" ht="13" x14ac:dyDescent="0.15">
      <c r="A1719" s="72" t="str">
        <f t="shared" si="26"/>
        <v>Ofsted Social Care Provider Webpage</v>
      </c>
      <c r="B1719" s="55" t="s">
        <v>2445</v>
      </c>
      <c r="D1719" s="55" t="s">
        <v>373</v>
      </c>
      <c r="E1719" s="74">
        <v>37062</v>
      </c>
      <c r="F1719" s="55" t="s">
        <v>344</v>
      </c>
      <c r="G1719" s="55" t="s">
        <v>360</v>
      </c>
      <c r="H1719" s="55" t="s">
        <v>360</v>
      </c>
      <c r="I1719" s="55" t="s">
        <v>360</v>
      </c>
      <c r="J1719" s="55" t="s">
        <v>360</v>
      </c>
      <c r="K1719" s="55" t="s">
        <v>360</v>
      </c>
      <c r="L1719" s="55" t="s">
        <v>360</v>
      </c>
      <c r="M1719" s="55" t="s">
        <v>144</v>
      </c>
      <c r="N1719" s="55" t="s">
        <v>144</v>
      </c>
      <c r="O1719" s="55" t="s">
        <v>209</v>
      </c>
      <c r="P1719" s="55" t="s">
        <v>597</v>
      </c>
      <c r="Q1719" s="55" t="s">
        <v>350</v>
      </c>
      <c r="R1719" s="55">
        <v>3</v>
      </c>
      <c r="S1719" s="74"/>
      <c r="T1719" s="55" t="s">
        <v>2435</v>
      </c>
      <c r="U1719" s="73" t="s">
        <v>351</v>
      </c>
      <c r="V1719" s="74">
        <v>44432</v>
      </c>
      <c r="W1719" s="74">
        <v>44470</v>
      </c>
      <c r="X1719" s="55">
        <v>10185260</v>
      </c>
      <c r="Y1719" s="74" t="s">
        <v>132</v>
      </c>
      <c r="Z1719" s="74"/>
      <c r="AB1719" s="55" t="s">
        <v>132</v>
      </c>
      <c r="AC1719" s="55" t="s">
        <v>132</v>
      </c>
    </row>
    <row r="1720" spans="1:29" ht="13" x14ac:dyDescent="0.15">
      <c r="A1720" s="72" t="str">
        <f t="shared" si="26"/>
        <v>Ofsted Social Care Provider Webpage</v>
      </c>
      <c r="B1720" s="55" t="s">
        <v>2446</v>
      </c>
      <c r="D1720" s="55" t="s">
        <v>373</v>
      </c>
      <c r="E1720" s="74">
        <v>37062</v>
      </c>
      <c r="F1720" s="55" t="s">
        <v>344</v>
      </c>
      <c r="G1720" s="55" t="s">
        <v>360</v>
      </c>
      <c r="H1720" s="55" t="s">
        <v>360</v>
      </c>
      <c r="I1720" s="55" t="s">
        <v>360</v>
      </c>
      <c r="J1720" s="55" t="s">
        <v>360</v>
      </c>
      <c r="K1720" s="55" t="s">
        <v>360</v>
      </c>
      <c r="L1720" s="55" t="s">
        <v>360</v>
      </c>
      <c r="M1720" s="55" t="s">
        <v>144</v>
      </c>
      <c r="N1720" s="55" t="s">
        <v>144</v>
      </c>
      <c r="O1720" s="55" t="s">
        <v>209</v>
      </c>
      <c r="P1720" s="55" t="s">
        <v>597</v>
      </c>
      <c r="Q1720" s="55" t="s">
        <v>350</v>
      </c>
      <c r="R1720" s="55">
        <v>1</v>
      </c>
      <c r="S1720" s="74"/>
      <c r="T1720" s="55" t="s">
        <v>2435</v>
      </c>
      <c r="U1720" s="73" t="s">
        <v>351</v>
      </c>
      <c r="V1720" s="74">
        <v>44481</v>
      </c>
      <c r="W1720" s="74">
        <v>44524</v>
      </c>
      <c r="X1720" s="55">
        <v>10186701</v>
      </c>
      <c r="Y1720" s="74" t="s">
        <v>132</v>
      </c>
      <c r="Z1720" s="74"/>
      <c r="AB1720" s="55" t="s">
        <v>132</v>
      </c>
      <c r="AC1720" s="55" t="s">
        <v>132</v>
      </c>
    </row>
    <row r="1721" spans="1:29" ht="13" x14ac:dyDescent="0.15">
      <c r="A1721" s="72" t="str">
        <f t="shared" si="26"/>
        <v>Ofsted Social Care Provider Webpage</v>
      </c>
      <c r="B1721" s="55" t="s">
        <v>2447</v>
      </c>
      <c r="D1721" s="55" t="s">
        <v>373</v>
      </c>
      <c r="E1721" s="74">
        <v>35929</v>
      </c>
      <c r="F1721" s="55" t="s">
        <v>344</v>
      </c>
      <c r="G1721" s="55" t="s">
        <v>360</v>
      </c>
      <c r="H1721" s="55" t="s">
        <v>360</v>
      </c>
      <c r="I1721" s="55" t="s">
        <v>360</v>
      </c>
      <c r="J1721" s="55" t="s">
        <v>360</v>
      </c>
      <c r="K1721" s="55" t="s">
        <v>360</v>
      </c>
      <c r="L1721" s="55" t="s">
        <v>360</v>
      </c>
      <c r="M1721" s="55" t="s">
        <v>378</v>
      </c>
      <c r="N1721" s="55" t="s">
        <v>134</v>
      </c>
      <c r="O1721" s="55" t="s">
        <v>277</v>
      </c>
      <c r="P1721" s="55" t="s">
        <v>1362</v>
      </c>
      <c r="Q1721" s="55" t="s">
        <v>350</v>
      </c>
      <c r="R1721" s="55">
        <v>4</v>
      </c>
      <c r="S1721" s="74"/>
      <c r="T1721" s="55" t="s">
        <v>2448</v>
      </c>
      <c r="U1721" s="73" t="s">
        <v>351</v>
      </c>
      <c r="V1721" s="74">
        <v>44613</v>
      </c>
      <c r="W1721" s="74">
        <v>44655</v>
      </c>
      <c r="X1721" s="55">
        <v>10186990</v>
      </c>
      <c r="Y1721" s="74" t="s">
        <v>132</v>
      </c>
      <c r="Z1721" s="74"/>
      <c r="AB1721" s="55" t="s">
        <v>132</v>
      </c>
      <c r="AC1721" s="55" t="s">
        <v>132</v>
      </c>
    </row>
    <row r="1722" spans="1:29" ht="13" x14ac:dyDescent="0.15">
      <c r="A1722" s="72" t="str">
        <f t="shared" si="26"/>
        <v>Ofsted Social Care Provider Webpage</v>
      </c>
      <c r="B1722" s="55" t="s">
        <v>2449</v>
      </c>
      <c r="C1722" s="55">
        <v>120345</v>
      </c>
      <c r="D1722" s="55" t="s">
        <v>398</v>
      </c>
      <c r="E1722" s="74">
        <v>37300</v>
      </c>
      <c r="F1722" s="55" t="s">
        <v>344</v>
      </c>
      <c r="G1722" s="55" t="s">
        <v>2450</v>
      </c>
      <c r="H1722" s="55" t="s">
        <v>2450</v>
      </c>
      <c r="I1722" s="55" t="s">
        <v>2451</v>
      </c>
      <c r="J1722" s="55" t="s">
        <v>211</v>
      </c>
      <c r="L1722" s="55" t="s">
        <v>2452</v>
      </c>
      <c r="M1722" s="55" t="s">
        <v>172</v>
      </c>
      <c r="N1722" s="55" t="s">
        <v>172</v>
      </c>
      <c r="O1722" s="55" t="s">
        <v>211</v>
      </c>
      <c r="P1722" s="55" t="s">
        <v>1062</v>
      </c>
      <c r="Q1722" s="55" t="s">
        <v>362</v>
      </c>
      <c r="R1722" s="55">
        <v>70</v>
      </c>
      <c r="S1722" s="74"/>
      <c r="U1722" s="73" t="s">
        <v>351</v>
      </c>
      <c r="V1722" s="74">
        <v>44481</v>
      </c>
      <c r="W1722" s="74">
        <v>44519</v>
      </c>
      <c r="X1722" s="55">
        <v>10183336</v>
      </c>
      <c r="Y1722" s="74" t="s">
        <v>132</v>
      </c>
      <c r="Z1722" s="74"/>
      <c r="AB1722" s="55" t="s">
        <v>132</v>
      </c>
      <c r="AC1722" s="55" t="s">
        <v>132</v>
      </c>
    </row>
    <row r="1723" spans="1:29" ht="13" x14ac:dyDescent="0.15">
      <c r="A1723" s="72" t="str">
        <f t="shared" si="26"/>
        <v>Ofsted Social Care Provider Webpage</v>
      </c>
      <c r="B1723" s="55" t="s">
        <v>2453</v>
      </c>
      <c r="C1723" s="55">
        <v>138094</v>
      </c>
      <c r="D1723" s="55" t="s">
        <v>413</v>
      </c>
      <c r="E1723" s="74">
        <v>37300</v>
      </c>
      <c r="F1723" s="55" t="s">
        <v>344</v>
      </c>
      <c r="G1723" s="55" t="s">
        <v>2454</v>
      </c>
      <c r="H1723" s="55" t="s">
        <v>2455</v>
      </c>
      <c r="I1723" s="55" t="s">
        <v>2456</v>
      </c>
      <c r="J1723" s="55" t="s">
        <v>2457</v>
      </c>
      <c r="L1723" s="55" t="s">
        <v>2458</v>
      </c>
      <c r="M1723" s="55" t="s">
        <v>172</v>
      </c>
      <c r="N1723" s="55" t="s">
        <v>172</v>
      </c>
      <c r="O1723" s="55" t="s">
        <v>211</v>
      </c>
      <c r="P1723" s="55" t="s">
        <v>1062</v>
      </c>
      <c r="Q1723" s="55" t="s">
        <v>420</v>
      </c>
      <c r="R1723" s="55">
        <v>18</v>
      </c>
      <c r="S1723" s="74"/>
      <c r="T1723" s="55" t="s">
        <v>2459</v>
      </c>
      <c r="U1723" s="73" t="s">
        <v>351</v>
      </c>
      <c r="V1723" s="74">
        <v>44586</v>
      </c>
      <c r="W1723" s="74">
        <v>44638</v>
      </c>
      <c r="X1723" s="55">
        <v>10183480</v>
      </c>
      <c r="Y1723" s="74" t="s">
        <v>140</v>
      </c>
      <c r="Z1723" s="74"/>
      <c r="AB1723" s="55" t="s">
        <v>140</v>
      </c>
      <c r="AC1723" s="55" t="s">
        <v>140</v>
      </c>
    </row>
    <row r="1724" spans="1:29" ht="13" x14ac:dyDescent="0.15">
      <c r="A1724" s="72" t="str">
        <f t="shared" si="26"/>
        <v>Ofsted Social Care Provider Webpage</v>
      </c>
      <c r="B1724" s="55" t="s">
        <v>2460</v>
      </c>
      <c r="D1724" s="55" t="s">
        <v>413</v>
      </c>
      <c r="E1724" s="74">
        <v>37300</v>
      </c>
      <c r="F1724" s="55" t="s">
        <v>344</v>
      </c>
      <c r="G1724" s="55" t="s">
        <v>2461</v>
      </c>
      <c r="H1724" s="55" t="s">
        <v>2461</v>
      </c>
      <c r="I1724" s="55" t="s">
        <v>2462</v>
      </c>
      <c r="J1724" s="55" t="s">
        <v>211</v>
      </c>
      <c r="L1724" s="55" t="s">
        <v>2463</v>
      </c>
      <c r="M1724" s="55" t="s">
        <v>172</v>
      </c>
      <c r="N1724" s="55" t="s">
        <v>172</v>
      </c>
      <c r="O1724" s="55" t="s">
        <v>211</v>
      </c>
      <c r="P1724" s="55" t="s">
        <v>2228</v>
      </c>
      <c r="Q1724" s="55" t="s">
        <v>380</v>
      </c>
      <c r="R1724" s="55">
        <v>8</v>
      </c>
      <c r="S1724" s="74"/>
      <c r="T1724" s="55" t="s">
        <v>2464</v>
      </c>
      <c r="U1724" s="73" t="s">
        <v>351</v>
      </c>
      <c r="V1724" s="74">
        <v>44516</v>
      </c>
      <c r="W1724" s="74">
        <v>44575</v>
      </c>
      <c r="X1724" s="55">
        <v>10183484</v>
      </c>
      <c r="Y1724" s="74" t="s">
        <v>140</v>
      </c>
      <c r="Z1724" s="74"/>
      <c r="AB1724" s="55" t="s">
        <v>140</v>
      </c>
      <c r="AC1724" s="55" t="s">
        <v>140</v>
      </c>
    </row>
    <row r="1725" spans="1:29" ht="13" x14ac:dyDescent="0.15">
      <c r="A1725" s="72" t="str">
        <f t="shared" si="26"/>
        <v>Ofsted Social Care Provider Webpage</v>
      </c>
      <c r="B1725" s="55" t="s">
        <v>2465</v>
      </c>
      <c r="C1725" s="55">
        <v>111505</v>
      </c>
      <c r="D1725" s="55" t="s">
        <v>413</v>
      </c>
      <c r="E1725" s="74">
        <v>37300</v>
      </c>
      <c r="F1725" s="55" t="s">
        <v>344</v>
      </c>
      <c r="G1725" s="55" t="s">
        <v>2466</v>
      </c>
      <c r="H1725" s="55" t="s">
        <v>2467</v>
      </c>
      <c r="I1725" s="55" t="s">
        <v>354</v>
      </c>
      <c r="J1725" s="55" t="s">
        <v>2468</v>
      </c>
      <c r="K1725" s="55" t="s">
        <v>2469</v>
      </c>
      <c r="L1725" s="55" t="s">
        <v>2470</v>
      </c>
      <c r="M1725" s="55" t="s">
        <v>144</v>
      </c>
      <c r="N1725" s="55" t="s">
        <v>144</v>
      </c>
      <c r="O1725" s="55" t="s">
        <v>163</v>
      </c>
      <c r="P1725" s="55" t="s">
        <v>376</v>
      </c>
      <c r="Q1725" s="55" t="s">
        <v>380</v>
      </c>
      <c r="R1725" s="55">
        <v>14</v>
      </c>
      <c r="S1725" s="74"/>
      <c r="T1725" s="55" t="s">
        <v>473</v>
      </c>
      <c r="U1725" s="73" t="s">
        <v>351</v>
      </c>
      <c r="V1725" s="74">
        <v>44531</v>
      </c>
      <c r="W1725" s="74">
        <v>44586</v>
      </c>
      <c r="X1725" s="55">
        <v>10183529</v>
      </c>
      <c r="Y1725" s="74" t="s">
        <v>140</v>
      </c>
      <c r="Z1725" s="74"/>
      <c r="AB1725" s="55" t="s">
        <v>140</v>
      </c>
      <c r="AC1725" s="55" t="s">
        <v>140</v>
      </c>
    </row>
    <row r="1726" spans="1:29" ht="13" x14ac:dyDescent="0.15">
      <c r="A1726" s="72" t="str">
        <f t="shared" si="26"/>
        <v>Ofsted Social Care Provider Webpage</v>
      </c>
      <c r="B1726" s="55" t="s">
        <v>2471</v>
      </c>
      <c r="C1726" s="55">
        <v>111517</v>
      </c>
      <c r="D1726" s="55" t="s">
        <v>413</v>
      </c>
      <c r="E1726" s="74">
        <v>37300</v>
      </c>
      <c r="F1726" s="55" t="s">
        <v>344</v>
      </c>
      <c r="G1726" s="55" t="s">
        <v>2472</v>
      </c>
      <c r="H1726" s="55" t="s">
        <v>2473</v>
      </c>
      <c r="I1726" s="55" t="s">
        <v>2474</v>
      </c>
      <c r="J1726" s="55" t="s">
        <v>2475</v>
      </c>
      <c r="K1726" s="55" t="s">
        <v>2469</v>
      </c>
      <c r="L1726" s="55" t="s">
        <v>2476</v>
      </c>
      <c r="M1726" s="55" t="s">
        <v>144</v>
      </c>
      <c r="N1726" s="55" t="s">
        <v>144</v>
      </c>
      <c r="O1726" s="55" t="s">
        <v>163</v>
      </c>
      <c r="P1726" s="55" t="s">
        <v>614</v>
      </c>
      <c r="Q1726" s="55" t="s">
        <v>380</v>
      </c>
      <c r="R1726" s="55">
        <v>18</v>
      </c>
      <c r="S1726" s="74"/>
      <c r="T1726" s="55" t="s">
        <v>473</v>
      </c>
      <c r="U1726" s="73" t="s">
        <v>351</v>
      </c>
      <c r="V1726" s="74">
        <v>44509</v>
      </c>
      <c r="W1726" s="74">
        <v>44581</v>
      </c>
      <c r="X1726" s="55">
        <v>10183525</v>
      </c>
      <c r="Y1726" s="74" t="s">
        <v>132</v>
      </c>
      <c r="Z1726" s="74"/>
      <c r="AB1726" s="55" t="s">
        <v>132</v>
      </c>
      <c r="AC1726" s="55" t="s">
        <v>132</v>
      </c>
    </row>
    <row r="1727" spans="1:29" ht="13" x14ac:dyDescent="0.15">
      <c r="A1727" s="72" t="str">
        <f t="shared" si="26"/>
        <v>Ofsted Social Care Provider Webpage</v>
      </c>
      <c r="B1727" s="55" t="s">
        <v>2477</v>
      </c>
      <c r="C1727" s="55">
        <v>111503</v>
      </c>
      <c r="D1727" s="55" t="s">
        <v>413</v>
      </c>
      <c r="E1727" s="74">
        <v>37300</v>
      </c>
      <c r="F1727" s="55" t="s">
        <v>344</v>
      </c>
      <c r="G1727" s="55" t="s">
        <v>2478</v>
      </c>
      <c r="H1727" s="55" t="s">
        <v>2479</v>
      </c>
      <c r="I1727" s="55" t="s">
        <v>2480</v>
      </c>
      <c r="J1727" s="55" t="s">
        <v>2481</v>
      </c>
      <c r="K1727" s="55" t="s">
        <v>2469</v>
      </c>
      <c r="L1727" s="55" t="s">
        <v>2482</v>
      </c>
      <c r="M1727" s="55" t="s">
        <v>144</v>
      </c>
      <c r="N1727" s="55" t="s">
        <v>144</v>
      </c>
      <c r="O1727" s="55" t="s">
        <v>163</v>
      </c>
      <c r="P1727" s="55" t="s">
        <v>1997</v>
      </c>
      <c r="Q1727" s="55" t="s">
        <v>380</v>
      </c>
      <c r="R1727" s="55">
        <v>46</v>
      </c>
      <c r="S1727" s="74"/>
      <c r="T1727" s="55" t="s">
        <v>473</v>
      </c>
      <c r="U1727" s="73" t="s">
        <v>351</v>
      </c>
      <c r="V1727" s="74">
        <v>43865</v>
      </c>
      <c r="W1727" s="74">
        <v>43894</v>
      </c>
      <c r="X1727" s="55">
        <v>10093069</v>
      </c>
      <c r="Y1727" s="74" t="s">
        <v>132</v>
      </c>
      <c r="Z1727" s="74"/>
      <c r="AB1727" s="55" t="s">
        <v>130</v>
      </c>
      <c r="AC1727" s="55" t="s">
        <v>132</v>
      </c>
    </row>
    <row r="1728" spans="1:29" ht="13" x14ac:dyDescent="0.15">
      <c r="A1728" s="72" t="str">
        <f t="shared" si="26"/>
        <v>Ofsted Social Care Provider Webpage</v>
      </c>
      <c r="B1728" s="55" t="s">
        <v>2483</v>
      </c>
      <c r="C1728" s="55">
        <v>140093</v>
      </c>
      <c r="D1728" s="55" t="s">
        <v>413</v>
      </c>
      <c r="E1728" s="74">
        <v>37300</v>
      </c>
      <c r="F1728" s="55" t="s">
        <v>344</v>
      </c>
      <c r="G1728" s="55" t="s">
        <v>2484</v>
      </c>
      <c r="H1728" s="55" t="s">
        <v>2484</v>
      </c>
      <c r="I1728" s="55" t="s">
        <v>2485</v>
      </c>
      <c r="J1728" s="55" t="s">
        <v>2486</v>
      </c>
      <c r="K1728" s="55" t="s">
        <v>2469</v>
      </c>
      <c r="L1728" s="55" t="s">
        <v>2487</v>
      </c>
      <c r="M1728" s="55" t="s">
        <v>144</v>
      </c>
      <c r="N1728" s="55" t="s">
        <v>144</v>
      </c>
      <c r="O1728" s="55" t="s">
        <v>163</v>
      </c>
      <c r="P1728" s="55" t="s">
        <v>1997</v>
      </c>
      <c r="Q1728" s="55" t="s">
        <v>420</v>
      </c>
      <c r="R1728" s="55">
        <v>16</v>
      </c>
      <c r="S1728" s="74"/>
      <c r="T1728" s="55" t="s">
        <v>2488</v>
      </c>
      <c r="U1728" s="73" t="s">
        <v>351</v>
      </c>
      <c r="V1728" s="74">
        <v>43851</v>
      </c>
      <c r="W1728" s="74">
        <v>43893</v>
      </c>
      <c r="X1728" s="55">
        <v>10093071</v>
      </c>
      <c r="Y1728" s="74" t="s">
        <v>140</v>
      </c>
      <c r="Z1728" s="74"/>
      <c r="AB1728" s="55" t="s">
        <v>140</v>
      </c>
      <c r="AC1728" s="55" t="s">
        <v>132</v>
      </c>
    </row>
    <row r="1729" spans="1:29" ht="13" x14ac:dyDescent="0.15">
      <c r="A1729" s="72" t="str">
        <f t="shared" si="26"/>
        <v>Ofsted Social Care Provider Webpage</v>
      </c>
      <c r="B1729" s="55" t="s">
        <v>2489</v>
      </c>
      <c r="D1729" s="55" t="s">
        <v>373</v>
      </c>
      <c r="E1729" s="74">
        <v>35703</v>
      </c>
      <c r="F1729" s="55" t="s">
        <v>344</v>
      </c>
      <c r="G1729" s="55" t="s">
        <v>360</v>
      </c>
      <c r="H1729" s="55" t="s">
        <v>360</v>
      </c>
      <c r="I1729" s="55" t="s">
        <v>360</v>
      </c>
      <c r="J1729" s="55" t="s">
        <v>360</v>
      </c>
      <c r="K1729" s="55" t="s">
        <v>360</v>
      </c>
      <c r="L1729" s="55" t="s">
        <v>360</v>
      </c>
      <c r="M1729" s="55" t="s">
        <v>129</v>
      </c>
      <c r="N1729" s="55" t="s">
        <v>129</v>
      </c>
      <c r="O1729" s="55" t="s">
        <v>155</v>
      </c>
      <c r="P1729" s="55" t="s">
        <v>2490</v>
      </c>
      <c r="Q1729" s="55" t="s">
        <v>350</v>
      </c>
      <c r="R1729" s="55">
        <v>5</v>
      </c>
      <c r="S1729" s="74"/>
      <c r="T1729" s="55" t="s">
        <v>2197</v>
      </c>
      <c r="U1729" s="73" t="s">
        <v>351</v>
      </c>
      <c r="V1729" s="74">
        <v>44306</v>
      </c>
      <c r="W1729" s="74">
        <v>44337</v>
      </c>
      <c r="X1729" s="55">
        <v>10185488</v>
      </c>
      <c r="Y1729" s="74" t="s">
        <v>132</v>
      </c>
      <c r="Z1729" s="74"/>
      <c r="AB1729" s="55" t="s">
        <v>132</v>
      </c>
      <c r="AC1729" s="55" t="s">
        <v>132</v>
      </c>
    </row>
    <row r="1730" spans="1:29" ht="13" x14ac:dyDescent="0.15">
      <c r="A1730" s="72" t="str">
        <f t="shared" si="26"/>
        <v>Ofsted Social Care Provider Webpage</v>
      </c>
      <c r="B1730" s="55" t="s">
        <v>2491</v>
      </c>
      <c r="C1730" s="55">
        <v>101695</v>
      </c>
      <c r="D1730" s="55" t="s">
        <v>398</v>
      </c>
      <c r="E1730" s="74">
        <v>37300</v>
      </c>
      <c r="F1730" s="55" t="s">
        <v>344</v>
      </c>
      <c r="G1730" s="55" t="s">
        <v>2492</v>
      </c>
      <c r="H1730" s="55" t="s">
        <v>2493</v>
      </c>
      <c r="I1730" s="55" t="s">
        <v>2494</v>
      </c>
      <c r="J1730" s="55" t="s">
        <v>2495</v>
      </c>
      <c r="K1730" s="55" t="s">
        <v>203</v>
      </c>
      <c r="L1730" s="55" t="s">
        <v>2496</v>
      </c>
      <c r="M1730" s="55" t="s">
        <v>129</v>
      </c>
      <c r="N1730" s="55" t="s">
        <v>129</v>
      </c>
      <c r="O1730" s="55" t="s">
        <v>155</v>
      </c>
      <c r="P1730" s="55" t="s">
        <v>482</v>
      </c>
      <c r="Q1730" s="55" t="s">
        <v>350</v>
      </c>
      <c r="R1730" s="55">
        <v>155</v>
      </c>
      <c r="S1730" s="74"/>
      <c r="T1730" s="55" t="s">
        <v>2497</v>
      </c>
      <c r="U1730" s="73" t="s">
        <v>351</v>
      </c>
      <c r="V1730" s="74">
        <v>43634</v>
      </c>
      <c r="W1730" s="74">
        <v>43682</v>
      </c>
      <c r="X1730" s="55">
        <v>10104002</v>
      </c>
      <c r="Y1730" s="74" t="s">
        <v>130</v>
      </c>
      <c r="Z1730" s="74"/>
      <c r="AB1730" s="55" t="s">
        <v>130</v>
      </c>
      <c r="AC1730" s="55" t="s">
        <v>130</v>
      </c>
    </row>
    <row r="1731" spans="1:29" ht="13" x14ac:dyDescent="0.15">
      <c r="A1731" s="72" t="str">
        <f t="shared" si="26"/>
        <v>Ofsted Social Care Provider Webpage</v>
      </c>
      <c r="B1731" s="55" t="s">
        <v>2498</v>
      </c>
      <c r="D1731" s="55" t="s">
        <v>373</v>
      </c>
      <c r="E1731" s="74">
        <v>36634</v>
      </c>
      <c r="F1731" s="55" t="s">
        <v>344</v>
      </c>
      <c r="G1731" s="55" t="s">
        <v>360</v>
      </c>
      <c r="H1731" s="55" t="s">
        <v>360</v>
      </c>
      <c r="I1731" s="55" t="s">
        <v>360</v>
      </c>
      <c r="J1731" s="55" t="s">
        <v>360</v>
      </c>
      <c r="K1731" s="55" t="s">
        <v>360</v>
      </c>
      <c r="L1731" s="55" t="s">
        <v>360</v>
      </c>
      <c r="M1731" s="55" t="s">
        <v>129</v>
      </c>
      <c r="N1731" s="55" t="s">
        <v>129</v>
      </c>
      <c r="O1731" s="55" t="s">
        <v>279</v>
      </c>
      <c r="P1731" s="55" t="s">
        <v>2499</v>
      </c>
      <c r="Q1731" s="55" t="s">
        <v>350</v>
      </c>
      <c r="R1731" s="55">
        <v>6</v>
      </c>
      <c r="S1731" s="74"/>
      <c r="T1731" s="55" t="s">
        <v>2500</v>
      </c>
      <c r="U1731" s="73" t="s">
        <v>351</v>
      </c>
      <c r="V1731" s="74">
        <v>43745</v>
      </c>
      <c r="W1731" s="74">
        <v>43774</v>
      </c>
      <c r="X1731" s="55">
        <v>10095283</v>
      </c>
      <c r="Y1731" s="74" t="s">
        <v>140</v>
      </c>
      <c r="Z1731" s="74"/>
      <c r="AB1731" s="55" t="s">
        <v>140</v>
      </c>
      <c r="AC1731" s="55" t="s">
        <v>140</v>
      </c>
    </row>
    <row r="1732" spans="1:29" ht="13" x14ac:dyDescent="0.15">
      <c r="A1732" s="72" t="str">
        <f t="shared" si="26"/>
        <v>Ofsted Social Care Provider Webpage</v>
      </c>
      <c r="B1732" s="55" t="s">
        <v>2501</v>
      </c>
      <c r="D1732" s="55" t="s">
        <v>373</v>
      </c>
      <c r="E1732" s="74">
        <v>36095</v>
      </c>
      <c r="F1732" s="55" t="s">
        <v>344</v>
      </c>
      <c r="G1732" s="55" t="s">
        <v>360</v>
      </c>
      <c r="H1732" s="55" t="s">
        <v>360</v>
      </c>
      <c r="I1732" s="55" t="s">
        <v>360</v>
      </c>
      <c r="J1732" s="55" t="s">
        <v>360</v>
      </c>
      <c r="K1732" s="55" t="s">
        <v>360</v>
      </c>
      <c r="L1732" s="55" t="s">
        <v>360</v>
      </c>
      <c r="M1732" s="55" t="s">
        <v>129</v>
      </c>
      <c r="N1732" s="55" t="s">
        <v>129</v>
      </c>
      <c r="O1732" s="55" t="s">
        <v>279</v>
      </c>
      <c r="P1732" s="55" t="s">
        <v>1078</v>
      </c>
      <c r="Q1732" s="55" t="s">
        <v>350</v>
      </c>
      <c r="R1732" s="55">
        <v>4</v>
      </c>
      <c r="S1732" s="74"/>
      <c r="U1732" s="73" t="s">
        <v>351</v>
      </c>
      <c r="V1732" s="74">
        <v>44467</v>
      </c>
      <c r="W1732" s="74">
        <v>44503</v>
      </c>
      <c r="X1732" s="55">
        <v>10185079</v>
      </c>
      <c r="Y1732" s="74" t="s">
        <v>130</v>
      </c>
      <c r="Z1732" s="74"/>
      <c r="AB1732" s="55" t="s">
        <v>130</v>
      </c>
      <c r="AC1732" s="55" t="s">
        <v>130</v>
      </c>
    </row>
    <row r="1733" spans="1:29" ht="13" x14ac:dyDescent="0.15">
      <c r="A1733" s="72" t="str">
        <f t="shared" si="26"/>
        <v>Ofsted Social Care Provider Webpage</v>
      </c>
      <c r="B1733" s="55" t="s">
        <v>2502</v>
      </c>
      <c r="D1733" s="55" t="s">
        <v>373</v>
      </c>
      <c r="E1733" s="74">
        <v>37072</v>
      </c>
      <c r="F1733" s="55" t="s">
        <v>344</v>
      </c>
      <c r="G1733" s="55" t="s">
        <v>360</v>
      </c>
      <c r="H1733" s="55" t="s">
        <v>360</v>
      </c>
      <c r="I1733" s="55" t="s">
        <v>360</v>
      </c>
      <c r="J1733" s="55" t="s">
        <v>360</v>
      </c>
      <c r="K1733" s="55" t="s">
        <v>360</v>
      </c>
      <c r="L1733" s="55" t="s">
        <v>360</v>
      </c>
      <c r="M1733" s="55" t="s">
        <v>378</v>
      </c>
      <c r="N1733" s="55" t="s">
        <v>170</v>
      </c>
      <c r="O1733" s="55" t="s">
        <v>178</v>
      </c>
      <c r="P1733" s="55" t="s">
        <v>1450</v>
      </c>
      <c r="Q1733" s="55" t="s">
        <v>350</v>
      </c>
      <c r="R1733" s="55">
        <v>3</v>
      </c>
      <c r="S1733" s="74"/>
      <c r="T1733" s="55" t="s">
        <v>2367</v>
      </c>
      <c r="U1733" s="73" t="s">
        <v>351</v>
      </c>
      <c r="V1733" s="74">
        <v>44621</v>
      </c>
      <c r="W1733" s="74">
        <v>44678</v>
      </c>
      <c r="X1733" s="55">
        <v>10186698</v>
      </c>
      <c r="Y1733" s="74" t="s">
        <v>132</v>
      </c>
      <c r="Z1733" s="74"/>
      <c r="AB1733" s="55" t="s">
        <v>132</v>
      </c>
      <c r="AC1733" s="55" t="s">
        <v>130</v>
      </c>
    </row>
    <row r="1734" spans="1:29" ht="13" x14ac:dyDescent="0.15">
      <c r="A1734" s="72" t="str">
        <f t="shared" ref="A1734:A1797" si="27">HYPERLINK(_xlfn.CONCAT("http://reports.ofsted.gov.uk/inspection-reports/find-inspection-report/provider/CARE/",B1734),"Ofsted Social Care Provider Webpage")</f>
        <v>Ofsted Social Care Provider Webpage</v>
      </c>
      <c r="B1734" s="55" t="s">
        <v>2503</v>
      </c>
      <c r="C1734" s="55">
        <v>121735</v>
      </c>
      <c r="D1734" s="55" t="s">
        <v>398</v>
      </c>
      <c r="E1734" s="74">
        <v>37300</v>
      </c>
      <c r="F1734" s="55" t="s">
        <v>344</v>
      </c>
      <c r="G1734" s="55" t="s">
        <v>2504</v>
      </c>
      <c r="H1734" s="55" t="s">
        <v>2504</v>
      </c>
      <c r="I1734" s="55" t="s">
        <v>354</v>
      </c>
      <c r="J1734" s="55" t="s">
        <v>294</v>
      </c>
      <c r="L1734" s="55" t="s">
        <v>2505</v>
      </c>
      <c r="M1734" s="55" t="s">
        <v>378</v>
      </c>
      <c r="N1734" s="55" t="s">
        <v>134</v>
      </c>
      <c r="O1734" s="55" t="s">
        <v>232</v>
      </c>
      <c r="P1734" s="55" t="s">
        <v>2506</v>
      </c>
      <c r="Q1734" s="55" t="s">
        <v>350</v>
      </c>
      <c r="R1734" s="55">
        <v>518</v>
      </c>
      <c r="S1734" s="74"/>
      <c r="T1734" s="55" t="s">
        <v>2507</v>
      </c>
      <c r="U1734" s="73" t="s">
        <v>351</v>
      </c>
      <c r="V1734" s="74">
        <v>44530</v>
      </c>
      <c r="W1734" s="74">
        <v>44648</v>
      </c>
      <c r="X1734" s="55">
        <v>10213351</v>
      </c>
      <c r="Y1734" s="74" t="s">
        <v>146</v>
      </c>
      <c r="Z1734" s="74"/>
      <c r="AB1734" s="55" t="s">
        <v>146</v>
      </c>
      <c r="AC1734" s="55" t="s">
        <v>146</v>
      </c>
    </row>
    <row r="1735" spans="1:29" ht="13" x14ac:dyDescent="0.15">
      <c r="A1735" s="72" t="str">
        <f t="shared" si="27"/>
        <v>Ofsted Social Care Provider Webpage</v>
      </c>
      <c r="B1735" s="55" t="s">
        <v>2508</v>
      </c>
      <c r="C1735" s="55">
        <v>121765</v>
      </c>
      <c r="D1735" s="55" t="s">
        <v>413</v>
      </c>
      <c r="E1735" s="74">
        <v>37300</v>
      </c>
      <c r="F1735" s="55" t="s">
        <v>344</v>
      </c>
      <c r="G1735" s="55" t="s">
        <v>2509</v>
      </c>
      <c r="H1735" s="55" t="s">
        <v>2510</v>
      </c>
      <c r="I1735" s="55" t="s">
        <v>354</v>
      </c>
      <c r="J1735" s="55" t="s">
        <v>2511</v>
      </c>
      <c r="K1735" s="55" t="s">
        <v>232</v>
      </c>
      <c r="L1735" s="55" t="s">
        <v>2512</v>
      </c>
      <c r="M1735" s="55" t="s">
        <v>378</v>
      </c>
      <c r="N1735" s="55" t="s">
        <v>134</v>
      </c>
      <c r="O1735" s="55" t="s">
        <v>232</v>
      </c>
      <c r="P1735" s="55" t="s">
        <v>2506</v>
      </c>
      <c r="Q1735" s="55" t="s">
        <v>362</v>
      </c>
      <c r="R1735" s="55">
        <v>22</v>
      </c>
      <c r="S1735" s="74"/>
      <c r="T1735" s="55" t="s">
        <v>2509</v>
      </c>
      <c r="U1735" s="73" t="s">
        <v>351</v>
      </c>
      <c r="V1735" s="74">
        <v>44585</v>
      </c>
      <c r="W1735" s="74">
        <v>44636</v>
      </c>
      <c r="X1735" s="55">
        <v>10183512</v>
      </c>
      <c r="Y1735" s="74" t="s">
        <v>132</v>
      </c>
      <c r="Z1735" s="74"/>
      <c r="AB1735" s="55" t="s">
        <v>132</v>
      </c>
      <c r="AC1735" s="55" t="s">
        <v>130</v>
      </c>
    </row>
    <row r="1736" spans="1:29" ht="13" x14ac:dyDescent="0.15">
      <c r="A1736" s="72" t="str">
        <f t="shared" si="27"/>
        <v>Ofsted Social Care Provider Webpage</v>
      </c>
      <c r="B1736" s="55" t="s">
        <v>2513</v>
      </c>
      <c r="C1736" s="55">
        <v>121764</v>
      </c>
      <c r="D1736" s="55" t="s">
        <v>413</v>
      </c>
      <c r="E1736" s="74">
        <v>37300</v>
      </c>
      <c r="F1736" s="55" t="s">
        <v>344</v>
      </c>
      <c r="G1736" s="55" t="s">
        <v>2514</v>
      </c>
      <c r="H1736" s="55" t="s">
        <v>2514</v>
      </c>
      <c r="I1736" s="55" t="s">
        <v>2515</v>
      </c>
      <c r="J1736" s="55" t="s">
        <v>2516</v>
      </c>
      <c r="K1736" s="55" t="s">
        <v>232</v>
      </c>
      <c r="L1736" s="55" t="s">
        <v>2517</v>
      </c>
      <c r="M1736" s="55" t="s">
        <v>378</v>
      </c>
      <c r="N1736" s="55" t="s">
        <v>134</v>
      </c>
      <c r="O1736" s="55" t="s">
        <v>232</v>
      </c>
      <c r="P1736" s="55" t="s">
        <v>595</v>
      </c>
      <c r="Q1736" s="55" t="s">
        <v>380</v>
      </c>
      <c r="R1736" s="55">
        <v>20</v>
      </c>
      <c r="S1736" s="74"/>
      <c r="T1736" s="55" t="s">
        <v>998</v>
      </c>
      <c r="U1736" s="73" t="s">
        <v>351</v>
      </c>
      <c r="V1736" s="74">
        <v>44572</v>
      </c>
      <c r="W1736" s="74">
        <v>44620</v>
      </c>
      <c r="X1736" s="55">
        <v>10183513</v>
      </c>
      <c r="Y1736" s="74" t="s">
        <v>130</v>
      </c>
      <c r="Z1736" s="74"/>
      <c r="AB1736" s="55" t="s">
        <v>130</v>
      </c>
      <c r="AC1736" s="55" t="s">
        <v>130</v>
      </c>
    </row>
    <row r="1737" spans="1:29" ht="13" x14ac:dyDescent="0.15">
      <c r="A1737" s="72" t="str">
        <f t="shared" si="27"/>
        <v>Ofsted Social Care Provider Webpage</v>
      </c>
      <c r="B1737" s="55" t="s">
        <v>2518</v>
      </c>
      <c r="C1737" s="55">
        <v>121694</v>
      </c>
      <c r="D1737" s="55" t="s">
        <v>398</v>
      </c>
      <c r="E1737" s="74">
        <v>37300</v>
      </c>
      <c r="F1737" s="55" t="s">
        <v>344</v>
      </c>
      <c r="G1737" s="55" t="s">
        <v>2519</v>
      </c>
      <c r="H1737" s="55" t="s">
        <v>2519</v>
      </c>
      <c r="I1737" s="55" t="s">
        <v>2520</v>
      </c>
      <c r="J1737" s="55" t="s">
        <v>2521</v>
      </c>
      <c r="K1737" s="55" t="s">
        <v>232</v>
      </c>
      <c r="L1737" s="55" t="s">
        <v>2522</v>
      </c>
      <c r="M1737" s="55" t="s">
        <v>378</v>
      </c>
      <c r="N1737" s="55" t="s">
        <v>134</v>
      </c>
      <c r="O1737" s="55" t="s">
        <v>232</v>
      </c>
      <c r="P1737" s="55" t="s">
        <v>496</v>
      </c>
      <c r="Q1737" s="55" t="s">
        <v>380</v>
      </c>
      <c r="R1737" s="55">
        <v>107</v>
      </c>
      <c r="S1737" s="74"/>
      <c r="T1737" s="55" t="s">
        <v>998</v>
      </c>
      <c r="U1737" s="73" t="s">
        <v>351</v>
      </c>
      <c r="V1737" s="74">
        <v>44600</v>
      </c>
      <c r="W1737" s="74">
        <v>44652</v>
      </c>
      <c r="X1737" s="55">
        <v>10183306</v>
      </c>
      <c r="Y1737" s="74" t="s">
        <v>132</v>
      </c>
      <c r="Z1737" s="74"/>
      <c r="AB1737" s="55" t="s">
        <v>132</v>
      </c>
      <c r="AC1737" s="55" t="s">
        <v>132</v>
      </c>
    </row>
    <row r="1738" spans="1:29" ht="13" x14ac:dyDescent="0.15">
      <c r="A1738" s="72" t="str">
        <f t="shared" si="27"/>
        <v>Ofsted Social Care Provider Webpage</v>
      </c>
      <c r="B1738" s="55" t="s">
        <v>2523</v>
      </c>
      <c r="C1738" s="55">
        <v>121766</v>
      </c>
      <c r="D1738" s="55" t="s">
        <v>413</v>
      </c>
      <c r="E1738" s="74">
        <v>37300</v>
      </c>
      <c r="F1738" s="55" t="s">
        <v>344</v>
      </c>
      <c r="G1738" s="55" t="s">
        <v>2524</v>
      </c>
      <c r="H1738" s="55" t="s">
        <v>2524</v>
      </c>
      <c r="I1738" s="55" t="s">
        <v>2525</v>
      </c>
      <c r="J1738" s="55" t="s">
        <v>2526</v>
      </c>
      <c r="L1738" s="55" t="s">
        <v>2527</v>
      </c>
      <c r="M1738" s="55" t="s">
        <v>378</v>
      </c>
      <c r="N1738" s="55" t="s">
        <v>134</v>
      </c>
      <c r="O1738" s="55" t="s">
        <v>232</v>
      </c>
      <c r="P1738" s="55" t="s">
        <v>2506</v>
      </c>
      <c r="Q1738" s="55" t="s">
        <v>380</v>
      </c>
      <c r="R1738" s="55">
        <v>44</v>
      </c>
      <c r="S1738" s="74"/>
      <c r="T1738" s="55" t="s">
        <v>998</v>
      </c>
      <c r="U1738" s="73" t="s">
        <v>351</v>
      </c>
      <c r="V1738" s="74">
        <v>44327</v>
      </c>
      <c r="W1738" s="74">
        <v>44371</v>
      </c>
      <c r="X1738" s="55">
        <v>10183523</v>
      </c>
      <c r="Y1738" s="74" t="s">
        <v>132</v>
      </c>
      <c r="Z1738" s="74"/>
      <c r="AB1738" s="55" t="s">
        <v>132</v>
      </c>
      <c r="AC1738" s="55" t="s">
        <v>132</v>
      </c>
    </row>
    <row r="1739" spans="1:29" ht="13" x14ac:dyDescent="0.15">
      <c r="A1739" s="72" t="str">
        <f t="shared" si="27"/>
        <v>Ofsted Social Care Provider Webpage</v>
      </c>
      <c r="B1739" s="55" t="s">
        <v>2528</v>
      </c>
      <c r="C1739" s="55">
        <v>131869</v>
      </c>
      <c r="D1739" s="55" t="s">
        <v>693</v>
      </c>
      <c r="E1739" s="74">
        <v>37300</v>
      </c>
      <c r="F1739" s="55" t="s">
        <v>344</v>
      </c>
      <c r="G1739" s="55" t="s">
        <v>2529</v>
      </c>
      <c r="H1739" s="55" t="s">
        <v>2529</v>
      </c>
      <c r="I1739" s="55" t="s">
        <v>2530</v>
      </c>
      <c r="J1739" s="55" t="s">
        <v>1393</v>
      </c>
      <c r="K1739" s="55" t="s">
        <v>683</v>
      </c>
      <c r="L1739" s="55" t="s">
        <v>2531</v>
      </c>
      <c r="M1739" s="55" t="s">
        <v>378</v>
      </c>
      <c r="N1739" s="55" t="s">
        <v>134</v>
      </c>
      <c r="O1739" s="55" t="s">
        <v>175</v>
      </c>
      <c r="P1739" s="55" t="s">
        <v>666</v>
      </c>
      <c r="Q1739" s="55" t="s">
        <v>350</v>
      </c>
      <c r="R1739" s="55">
        <v>9</v>
      </c>
      <c r="S1739" s="74"/>
      <c r="T1739" s="55" t="s">
        <v>2532</v>
      </c>
      <c r="U1739" s="73" t="s">
        <v>351</v>
      </c>
      <c r="V1739" s="74">
        <v>43080</v>
      </c>
      <c r="W1739" s="74">
        <v>43166</v>
      </c>
      <c r="X1739" s="55">
        <v>10035599</v>
      </c>
      <c r="Y1739" s="74" t="s">
        <v>140</v>
      </c>
      <c r="Z1739" s="74"/>
      <c r="AB1739" s="55" t="s">
        <v>132</v>
      </c>
      <c r="AC1739" s="55" t="s">
        <v>140</v>
      </c>
    </row>
    <row r="1740" spans="1:29" ht="13" x14ac:dyDescent="0.15">
      <c r="A1740" s="72" t="str">
        <f t="shared" si="27"/>
        <v>Ofsted Social Care Provider Webpage</v>
      </c>
      <c r="B1740" s="55" t="s">
        <v>2533</v>
      </c>
      <c r="D1740" s="55" t="s">
        <v>373</v>
      </c>
      <c r="E1740" s="74">
        <v>36861</v>
      </c>
      <c r="F1740" s="55" t="s">
        <v>344</v>
      </c>
      <c r="G1740" s="55" t="s">
        <v>360</v>
      </c>
      <c r="H1740" s="55" t="s">
        <v>360</v>
      </c>
      <c r="I1740" s="55" t="s">
        <v>360</v>
      </c>
      <c r="J1740" s="55" t="s">
        <v>360</v>
      </c>
      <c r="K1740" s="55" t="s">
        <v>360</v>
      </c>
      <c r="L1740" s="55" t="s">
        <v>360</v>
      </c>
      <c r="M1740" s="55" t="s">
        <v>142</v>
      </c>
      <c r="N1740" s="55" t="s">
        <v>142</v>
      </c>
      <c r="O1740" s="55" t="s">
        <v>265</v>
      </c>
      <c r="P1740" s="55" t="s">
        <v>1215</v>
      </c>
      <c r="Q1740" s="55" t="s">
        <v>350</v>
      </c>
      <c r="R1740" s="55">
        <v>2</v>
      </c>
      <c r="S1740" s="74"/>
      <c r="T1740" s="55" t="s">
        <v>1505</v>
      </c>
      <c r="U1740" s="73" t="s">
        <v>351</v>
      </c>
      <c r="V1740" s="74">
        <v>44424</v>
      </c>
      <c r="W1740" s="74">
        <v>44454</v>
      </c>
      <c r="X1740" s="55">
        <v>10187424</v>
      </c>
      <c r="Y1740" s="74" t="s">
        <v>132</v>
      </c>
      <c r="Z1740" s="74"/>
      <c r="AB1740" s="55" t="s">
        <v>132</v>
      </c>
      <c r="AC1740" s="55" t="s">
        <v>132</v>
      </c>
    </row>
    <row r="1741" spans="1:29" ht="13" x14ac:dyDescent="0.15">
      <c r="A1741" s="72" t="str">
        <f t="shared" si="27"/>
        <v>Ofsted Social Care Provider Webpage</v>
      </c>
      <c r="B1741" s="55" t="s">
        <v>2534</v>
      </c>
      <c r="D1741" s="55" t="s">
        <v>373</v>
      </c>
      <c r="E1741" s="74">
        <v>36882</v>
      </c>
      <c r="F1741" s="55" t="s">
        <v>344</v>
      </c>
      <c r="G1741" s="55" t="s">
        <v>360</v>
      </c>
      <c r="H1741" s="55" t="s">
        <v>360</v>
      </c>
      <c r="I1741" s="55" t="s">
        <v>360</v>
      </c>
      <c r="J1741" s="55" t="s">
        <v>360</v>
      </c>
      <c r="K1741" s="55" t="s">
        <v>360</v>
      </c>
      <c r="L1741" s="55" t="s">
        <v>360</v>
      </c>
      <c r="M1741" s="55" t="s">
        <v>142</v>
      </c>
      <c r="N1741" s="55" t="s">
        <v>142</v>
      </c>
      <c r="O1741" s="55" t="s">
        <v>265</v>
      </c>
      <c r="P1741" s="55" t="s">
        <v>1066</v>
      </c>
      <c r="Q1741" s="55" t="s">
        <v>350</v>
      </c>
      <c r="R1741" s="55">
        <v>3</v>
      </c>
      <c r="S1741" s="74"/>
      <c r="T1741" s="55" t="s">
        <v>1505</v>
      </c>
      <c r="U1741" s="73" t="s">
        <v>351</v>
      </c>
      <c r="V1741" s="74">
        <v>44517</v>
      </c>
      <c r="W1741" s="74">
        <v>44565</v>
      </c>
      <c r="X1741" s="55">
        <v>10185426</v>
      </c>
      <c r="Y1741" s="74" t="s">
        <v>132</v>
      </c>
      <c r="Z1741" s="74"/>
      <c r="AB1741" s="55" t="s">
        <v>132</v>
      </c>
      <c r="AC1741" s="55" t="s">
        <v>132</v>
      </c>
    </row>
    <row r="1742" spans="1:29" ht="13" x14ac:dyDescent="0.15">
      <c r="A1742" s="72" t="str">
        <f t="shared" si="27"/>
        <v>Ofsted Social Care Provider Webpage</v>
      </c>
      <c r="B1742" s="55" t="s">
        <v>2535</v>
      </c>
      <c r="D1742" s="55" t="s">
        <v>373</v>
      </c>
      <c r="E1742" s="74">
        <v>36861</v>
      </c>
      <c r="F1742" s="55" t="s">
        <v>344</v>
      </c>
      <c r="G1742" s="55" t="s">
        <v>360</v>
      </c>
      <c r="H1742" s="55" t="s">
        <v>360</v>
      </c>
      <c r="I1742" s="55" t="s">
        <v>360</v>
      </c>
      <c r="J1742" s="55" t="s">
        <v>360</v>
      </c>
      <c r="K1742" s="55" t="s">
        <v>360</v>
      </c>
      <c r="L1742" s="55" t="s">
        <v>360</v>
      </c>
      <c r="M1742" s="55" t="s">
        <v>142</v>
      </c>
      <c r="N1742" s="55" t="s">
        <v>142</v>
      </c>
      <c r="O1742" s="55" t="s">
        <v>265</v>
      </c>
      <c r="P1742" s="55" t="s">
        <v>1215</v>
      </c>
      <c r="Q1742" s="55" t="s">
        <v>350</v>
      </c>
      <c r="R1742" s="55">
        <v>2</v>
      </c>
      <c r="S1742" s="74"/>
      <c r="T1742" s="55" t="s">
        <v>1505</v>
      </c>
      <c r="U1742" s="73" t="s">
        <v>351</v>
      </c>
      <c r="V1742" s="74">
        <v>44356</v>
      </c>
      <c r="W1742" s="74">
        <v>44385</v>
      </c>
      <c r="X1742" s="55">
        <v>10187097</v>
      </c>
      <c r="Y1742" s="74" t="s">
        <v>132</v>
      </c>
      <c r="Z1742" s="74"/>
      <c r="AB1742" s="55" t="s">
        <v>132</v>
      </c>
      <c r="AC1742" s="55" t="s">
        <v>132</v>
      </c>
    </row>
    <row r="1743" spans="1:29" ht="13" x14ac:dyDescent="0.15">
      <c r="A1743" s="72" t="str">
        <f t="shared" si="27"/>
        <v>Ofsted Social Care Provider Webpage</v>
      </c>
      <c r="B1743" s="55" t="s">
        <v>2536</v>
      </c>
      <c r="D1743" s="55" t="s">
        <v>373</v>
      </c>
      <c r="E1743" s="74">
        <v>36882</v>
      </c>
      <c r="F1743" s="55" t="s">
        <v>344</v>
      </c>
      <c r="G1743" s="55" t="s">
        <v>360</v>
      </c>
      <c r="H1743" s="55" t="s">
        <v>360</v>
      </c>
      <c r="I1743" s="55" t="s">
        <v>360</v>
      </c>
      <c r="J1743" s="55" t="s">
        <v>360</v>
      </c>
      <c r="K1743" s="55" t="s">
        <v>360</v>
      </c>
      <c r="L1743" s="55" t="s">
        <v>360</v>
      </c>
      <c r="M1743" s="55" t="s">
        <v>142</v>
      </c>
      <c r="N1743" s="55" t="s">
        <v>142</v>
      </c>
      <c r="O1743" s="55" t="s">
        <v>265</v>
      </c>
      <c r="P1743" s="55" t="s">
        <v>540</v>
      </c>
      <c r="Q1743" s="55" t="s">
        <v>350</v>
      </c>
      <c r="R1743" s="55">
        <v>2</v>
      </c>
      <c r="S1743" s="74"/>
      <c r="T1743" s="55" t="s">
        <v>1505</v>
      </c>
      <c r="U1743" s="73" t="s">
        <v>351</v>
      </c>
      <c r="V1743" s="74">
        <v>44566</v>
      </c>
      <c r="W1743" s="74">
        <v>44608</v>
      </c>
      <c r="X1743" s="55">
        <v>10185235</v>
      </c>
      <c r="Y1743" s="74" t="s">
        <v>130</v>
      </c>
      <c r="Z1743" s="74"/>
      <c r="AB1743" s="55" t="s">
        <v>130</v>
      </c>
      <c r="AC1743" s="55" t="s">
        <v>130</v>
      </c>
    </row>
    <row r="1744" spans="1:29" ht="13" x14ac:dyDescent="0.15">
      <c r="A1744" s="72" t="str">
        <f t="shared" si="27"/>
        <v>Ofsted Social Care Provider Webpage</v>
      </c>
      <c r="B1744" s="55" t="s">
        <v>2537</v>
      </c>
      <c r="D1744" s="55" t="s">
        <v>373</v>
      </c>
      <c r="E1744" s="74">
        <v>36999</v>
      </c>
      <c r="F1744" s="55" t="s">
        <v>344</v>
      </c>
      <c r="G1744" s="55" t="s">
        <v>360</v>
      </c>
      <c r="H1744" s="55" t="s">
        <v>360</v>
      </c>
      <c r="I1744" s="55" t="s">
        <v>360</v>
      </c>
      <c r="J1744" s="55" t="s">
        <v>360</v>
      </c>
      <c r="K1744" s="55" t="s">
        <v>360</v>
      </c>
      <c r="L1744" s="55" t="s">
        <v>360</v>
      </c>
      <c r="M1744" s="55" t="s">
        <v>142</v>
      </c>
      <c r="N1744" s="55" t="s">
        <v>142</v>
      </c>
      <c r="O1744" s="55" t="s">
        <v>265</v>
      </c>
      <c r="P1744" s="55" t="s">
        <v>540</v>
      </c>
      <c r="Q1744" s="55" t="s">
        <v>350</v>
      </c>
      <c r="R1744" s="55">
        <v>2</v>
      </c>
      <c r="S1744" s="74"/>
      <c r="T1744" s="55" t="s">
        <v>910</v>
      </c>
      <c r="U1744" s="73" t="s">
        <v>351</v>
      </c>
      <c r="V1744" s="74">
        <v>44544</v>
      </c>
      <c r="W1744" s="74">
        <v>44588</v>
      </c>
      <c r="X1744" s="55">
        <v>10186665</v>
      </c>
      <c r="Y1744" s="74" t="s">
        <v>132</v>
      </c>
      <c r="Z1744" s="74"/>
      <c r="AB1744" s="55" t="s">
        <v>132</v>
      </c>
      <c r="AC1744" s="55" t="s">
        <v>132</v>
      </c>
    </row>
    <row r="1745" spans="1:29" ht="13" x14ac:dyDescent="0.15">
      <c r="A1745" s="72" t="str">
        <f t="shared" si="27"/>
        <v>Ofsted Social Care Provider Webpage</v>
      </c>
      <c r="B1745" s="55" t="s">
        <v>2538</v>
      </c>
      <c r="D1745" s="55" t="s">
        <v>373</v>
      </c>
      <c r="E1745" s="74">
        <v>36999</v>
      </c>
      <c r="F1745" s="55" t="s">
        <v>344</v>
      </c>
      <c r="G1745" s="55" t="s">
        <v>360</v>
      </c>
      <c r="H1745" s="55" t="s">
        <v>360</v>
      </c>
      <c r="I1745" s="55" t="s">
        <v>360</v>
      </c>
      <c r="J1745" s="55" t="s">
        <v>360</v>
      </c>
      <c r="K1745" s="55" t="s">
        <v>360</v>
      </c>
      <c r="L1745" s="55" t="s">
        <v>360</v>
      </c>
      <c r="M1745" s="55" t="s">
        <v>142</v>
      </c>
      <c r="N1745" s="55" t="s">
        <v>142</v>
      </c>
      <c r="O1745" s="55" t="s">
        <v>265</v>
      </c>
      <c r="P1745" s="55" t="s">
        <v>540</v>
      </c>
      <c r="Q1745" s="55" t="s">
        <v>350</v>
      </c>
      <c r="R1745" s="55">
        <v>1</v>
      </c>
      <c r="S1745" s="74"/>
      <c r="T1745" s="55" t="s">
        <v>910</v>
      </c>
      <c r="U1745" s="73" t="s">
        <v>351</v>
      </c>
      <c r="V1745" s="74">
        <v>44348</v>
      </c>
      <c r="W1745" s="74">
        <v>44377</v>
      </c>
      <c r="X1745" s="55">
        <v>10187584</v>
      </c>
      <c r="Y1745" s="74" t="s">
        <v>132</v>
      </c>
      <c r="Z1745" s="74"/>
      <c r="AB1745" s="55" t="s">
        <v>132</v>
      </c>
      <c r="AC1745" s="55" t="s">
        <v>132</v>
      </c>
    </row>
    <row r="1746" spans="1:29" ht="13" x14ac:dyDescent="0.15">
      <c r="A1746" s="72" t="str">
        <f t="shared" si="27"/>
        <v>Ofsted Social Care Provider Webpage</v>
      </c>
      <c r="B1746" s="55" t="s">
        <v>2539</v>
      </c>
      <c r="C1746" s="55">
        <v>105372</v>
      </c>
      <c r="D1746" s="55" t="s">
        <v>398</v>
      </c>
      <c r="E1746" s="74">
        <v>37300</v>
      </c>
      <c r="F1746" s="55" t="s">
        <v>344</v>
      </c>
      <c r="G1746" s="55" t="s">
        <v>2493</v>
      </c>
      <c r="H1746" s="55" t="s">
        <v>2540</v>
      </c>
      <c r="I1746" s="55" t="s">
        <v>2541</v>
      </c>
      <c r="J1746" s="55" t="s">
        <v>2542</v>
      </c>
      <c r="K1746" s="55" t="s">
        <v>209</v>
      </c>
      <c r="L1746" s="55" t="s">
        <v>2543</v>
      </c>
      <c r="M1746" s="55" t="s">
        <v>144</v>
      </c>
      <c r="N1746" s="55" t="s">
        <v>144</v>
      </c>
      <c r="O1746" s="55" t="s">
        <v>157</v>
      </c>
      <c r="P1746" s="55" t="s">
        <v>1092</v>
      </c>
      <c r="Q1746" s="55" t="s">
        <v>362</v>
      </c>
      <c r="R1746" s="55">
        <v>155</v>
      </c>
      <c r="S1746" s="74"/>
      <c r="U1746" s="73" t="s">
        <v>351</v>
      </c>
      <c r="V1746" s="74">
        <v>44586</v>
      </c>
      <c r="W1746" s="74">
        <v>44645</v>
      </c>
      <c r="X1746" s="55">
        <v>10183283</v>
      </c>
      <c r="Y1746" s="74" t="s">
        <v>130</v>
      </c>
      <c r="Z1746" s="74"/>
      <c r="AB1746" s="55" t="s">
        <v>132</v>
      </c>
      <c r="AC1746" s="55" t="s">
        <v>130</v>
      </c>
    </row>
    <row r="1747" spans="1:29" ht="13" x14ac:dyDescent="0.15">
      <c r="A1747" s="72" t="str">
        <f t="shared" si="27"/>
        <v>Ofsted Social Care Provider Webpage</v>
      </c>
      <c r="B1747" s="55" t="s">
        <v>2544</v>
      </c>
      <c r="D1747" s="55" t="s">
        <v>373</v>
      </c>
      <c r="E1747" s="74">
        <v>34352</v>
      </c>
      <c r="F1747" s="55" t="s">
        <v>344</v>
      </c>
      <c r="G1747" s="55" t="s">
        <v>360</v>
      </c>
      <c r="H1747" s="55" t="s">
        <v>360</v>
      </c>
      <c r="I1747" s="55" t="s">
        <v>360</v>
      </c>
      <c r="J1747" s="55" t="s">
        <v>360</v>
      </c>
      <c r="K1747" s="55" t="s">
        <v>360</v>
      </c>
      <c r="L1747" s="55" t="s">
        <v>360</v>
      </c>
      <c r="M1747" s="55" t="s">
        <v>144</v>
      </c>
      <c r="N1747" s="55" t="s">
        <v>144</v>
      </c>
      <c r="O1747" s="55" t="s">
        <v>263</v>
      </c>
      <c r="P1747" s="55" t="s">
        <v>1211</v>
      </c>
      <c r="Q1747" s="55" t="s">
        <v>350</v>
      </c>
      <c r="R1747" s="55">
        <v>6</v>
      </c>
      <c r="S1747" s="74"/>
      <c r="U1747" s="73" t="s">
        <v>351</v>
      </c>
      <c r="V1747" s="74">
        <v>44543</v>
      </c>
      <c r="W1747" s="74">
        <v>44587</v>
      </c>
      <c r="X1747" s="55">
        <v>10185363</v>
      </c>
      <c r="Y1747" s="74" t="s">
        <v>132</v>
      </c>
      <c r="Z1747" s="74"/>
      <c r="AB1747" s="55" t="s">
        <v>132</v>
      </c>
      <c r="AC1747" s="55" t="s">
        <v>130</v>
      </c>
    </row>
    <row r="1748" spans="1:29" ht="13" x14ac:dyDescent="0.15">
      <c r="A1748" s="72" t="str">
        <f t="shared" si="27"/>
        <v>Ofsted Social Care Provider Webpage</v>
      </c>
      <c r="B1748" s="55" t="s">
        <v>2545</v>
      </c>
      <c r="D1748" s="55" t="s">
        <v>373</v>
      </c>
      <c r="E1748" s="74">
        <v>34900</v>
      </c>
      <c r="F1748" s="55" t="s">
        <v>344</v>
      </c>
      <c r="G1748" s="55" t="s">
        <v>360</v>
      </c>
      <c r="H1748" s="55" t="s">
        <v>360</v>
      </c>
      <c r="I1748" s="55" t="s">
        <v>360</v>
      </c>
      <c r="J1748" s="55" t="s">
        <v>360</v>
      </c>
      <c r="K1748" s="55" t="s">
        <v>360</v>
      </c>
      <c r="L1748" s="55" t="s">
        <v>360</v>
      </c>
      <c r="M1748" s="55" t="s">
        <v>144</v>
      </c>
      <c r="N1748" s="55" t="s">
        <v>144</v>
      </c>
      <c r="O1748" s="55" t="s">
        <v>263</v>
      </c>
      <c r="P1748" s="55" t="s">
        <v>876</v>
      </c>
      <c r="Q1748" s="55" t="s">
        <v>350</v>
      </c>
      <c r="R1748" s="55">
        <v>5</v>
      </c>
      <c r="S1748" s="74"/>
      <c r="T1748" s="55" t="s">
        <v>2359</v>
      </c>
      <c r="U1748" s="73" t="s">
        <v>351</v>
      </c>
      <c r="V1748" s="74">
        <v>44447</v>
      </c>
      <c r="W1748" s="74">
        <v>44481</v>
      </c>
      <c r="X1748" s="55">
        <v>10202494</v>
      </c>
      <c r="Y1748" s="74" t="s">
        <v>130</v>
      </c>
      <c r="Z1748" s="74"/>
      <c r="AB1748" s="55" t="s">
        <v>130</v>
      </c>
      <c r="AC1748" s="55" t="s">
        <v>130</v>
      </c>
    </row>
    <row r="1749" spans="1:29" ht="13" x14ac:dyDescent="0.15">
      <c r="A1749" s="72" t="str">
        <f t="shared" si="27"/>
        <v>Ofsted Social Care Provider Webpage</v>
      </c>
      <c r="B1749" s="55" t="s">
        <v>2546</v>
      </c>
      <c r="D1749" s="55" t="s">
        <v>373</v>
      </c>
      <c r="E1749" s="74">
        <v>33915</v>
      </c>
      <c r="F1749" s="55" t="s">
        <v>344</v>
      </c>
      <c r="G1749" s="55" t="s">
        <v>360</v>
      </c>
      <c r="H1749" s="55" t="s">
        <v>360</v>
      </c>
      <c r="I1749" s="55" t="s">
        <v>360</v>
      </c>
      <c r="J1749" s="55" t="s">
        <v>360</v>
      </c>
      <c r="K1749" s="55" t="s">
        <v>360</v>
      </c>
      <c r="L1749" s="55" t="s">
        <v>360</v>
      </c>
      <c r="M1749" s="55" t="s">
        <v>144</v>
      </c>
      <c r="N1749" s="55" t="s">
        <v>144</v>
      </c>
      <c r="O1749" s="55" t="s">
        <v>263</v>
      </c>
      <c r="P1749" s="55" t="s">
        <v>263</v>
      </c>
      <c r="Q1749" s="55" t="s">
        <v>350</v>
      </c>
      <c r="R1749" s="55">
        <v>6</v>
      </c>
      <c r="S1749" s="74"/>
      <c r="T1749" s="55" t="s">
        <v>1505</v>
      </c>
      <c r="U1749" s="73" t="s">
        <v>351</v>
      </c>
      <c r="V1749" s="74">
        <v>44565</v>
      </c>
      <c r="W1749" s="74">
        <v>44596</v>
      </c>
      <c r="X1749" s="55">
        <v>10187562</v>
      </c>
      <c r="Y1749" s="74" t="s">
        <v>132</v>
      </c>
      <c r="Z1749" s="74"/>
      <c r="AB1749" s="55" t="s">
        <v>132</v>
      </c>
      <c r="AC1749" s="55" t="s">
        <v>132</v>
      </c>
    </row>
    <row r="1750" spans="1:29" ht="13" x14ac:dyDescent="0.15">
      <c r="A1750" s="72" t="str">
        <f t="shared" si="27"/>
        <v>Ofsted Social Care Provider Webpage</v>
      </c>
      <c r="B1750" s="55" t="s">
        <v>2547</v>
      </c>
      <c r="D1750" s="55" t="s">
        <v>373</v>
      </c>
      <c r="E1750" s="74">
        <v>33987</v>
      </c>
      <c r="F1750" s="55" t="s">
        <v>344</v>
      </c>
      <c r="G1750" s="55" t="s">
        <v>360</v>
      </c>
      <c r="H1750" s="55" t="s">
        <v>360</v>
      </c>
      <c r="I1750" s="55" t="s">
        <v>360</v>
      </c>
      <c r="J1750" s="55" t="s">
        <v>360</v>
      </c>
      <c r="K1750" s="55" t="s">
        <v>360</v>
      </c>
      <c r="L1750" s="55" t="s">
        <v>360</v>
      </c>
      <c r="M1750" s="55" t="s">
        <v>144</v>
      </c>
      <c r="N1750" s="55" t="s">
        <v>144</v>
      </c>
      <c r="O1750" s="55" t="s">
        <v>263</v>
      </c>
      <c r="P1750" s="55" t="s">
        <v>263</v>
      </c>
      <c r="Q1750" s="55" t="s">
        <v>350</v>
      </c>
      <c r="R1750" s="55">
        <v>6</v>
      </c>
      <c r="S1750" s="74"/>
      <c r="T1750" s="55" t="s">
        <v>1505</v>
      </c>
      <c r="U1750" s="73" t="s">
        <v>351</v>
      </c>
      <c r="V1750" s="74">
        <v>44593</v>
      </c>
      <c r="W1750" s="74">
        <v>44628</v>
      </c>
      <c r="X1750" s="55">
        <v>10186450</v>
      </c>
      <c r="Y1750" s="74" t="s">
        <v>140</v>
      </c>
      <c r="Z1750" s="74"/>
      <c r="AB1750" s="55" t="s">
        <v>140</v>
      </c>
      <c r="AC1750" s="55" t="s">
        <v>140</v>
      </c>
    </row>
    <row r="1751" spans="1:29" ht="13" x14ac:dyDescent="0.15">
      <c r="A1751" s="72" t="str">
        <f t="shared" si="27"/>
        <v>Ofsted Social Care Provider Webpage</v>
      </c>
      <c r="B1751" s="55" t="s">
        <v>2548</v>
      </c>
      <c r="D1751" s="55" t="s">
        <v>373</v>
      </c>
      <c r="E1751" s="74">
        <v>36404</v>
      </c>
      <c r="F1751" s="55" t="s">
        <v>344</v>
      </c>
      <c r="G1751" s="55" t="s">
        <v>360</v>
      </c>
      <c r="H1751" s="55" t="s">
        <v>360</v>
      </c>
      <c r="I1751" s="55" t="s">
        <v>360</v>
      </c>
      <c r="J1751" s="55" t="s">
        <v>360</v>
      </c>
      <c r="K1751" s="55" t="s">
        <v>360</v>
      </c>
      <c r="L1751" s="55" t="s">
        <v>360</v>
      </c>
      <c r="M1751" s="55" t="s">
        <v>144</v>
      </c>
      <c r="N1751" s="55" t="s">
        <v>144</v>
      </c>
      <c r="O1751" s="55" t="s">
        <v>263</v>
      </c>
      <c r="P1751" s="55" t="s">
        <v>1211</v>
      </c>
      <c r="Q1751" s="55" t="s">
        <v>350</v>
      </c>
      <c r="R1751" s="55">
        <v>8</v>
      </c>
      <c r="S1751" s="74"/>
      <c r="T1751" s="55" t="s">
        <v>630</v>
      </c>
      <c r="U1751" s="73" t="s">
        <v>351</v>
      </c>
      <c r="V1751" s="74">
        <v>44391</v>
      </c>
      <c r="W1751" s="74">
        <v>44431</v>
      </c>
      <c r="X1751" s="55">
        <v>10186099</v>
      </c>
      <c r="Y1751" s="74" t="s">
        <v>130</v>
      </c>
      <c r="Z1751" s="74"/>
      <c r="AB1751" s="55" t="s">
        <v>130</v>
      </c>
      <c r="AC1751" s="55" t="s">
        <v>146</v>
      </c>
    </row>
    <row r="1752" spans="1:29" ht="13" x14ac:dyDescent="0.15">
      <c r="A1752" s="72" t="str">
        <f t="shared" si="27"/>
        <v>Ofsted Social Care Provider Webpage</v>
      </c>
      <c r="B1752" s="55" t="s">
        <v>2549</v>
      </c>
      <c r="D1752" s="55" t="s">
        <v>373</v>
      </c>
      <c r="E1752" s="74">
        <v>37020</v>
      </c>
      <c r="F1752" s="55" t="s">
        <v>344</v>
      </c>
      <c r="G1752" s="55" t="s">
        <v>360</v>
      </c>
      <c r="H1752" s="55" t="s">
        <v>360</v>
      </c>
      <c r="I1752" s="55" t="s">
        <v>360</v>
      </c>
      <c r="J1752" s="55" t="s">
        <v>360</v>
      </c>
      <c r="K1752" s="55" t="s">
        <v>360</v>
      </c>
      <c r="L1752" s="55" t="s">
        <v>360</v>
      </c>
      <c r="M1752" s="55" t="s">
        <v>144</v>
      </c>
      <c r="N1752" s="55" t="s">
        <v>144</v>
      </c>
      <c r="O1752" s="55" t="s">
        <v>263</v>
      </c>
      <c r="P1752" s="55" t="s">
        <v>876</v>
      </c>
      <c r="Q1752" s="55" t="s">
        <v>350</v>
      </c>
      <c r="R1752" s="55">
        <v>4</v>
      </c>
      <c r="S1752" s="74"/>
      <c r="T1752" s="55" t="s">
        <v>2432</v>
      </c>
      <c r="U1752" s="73" t="s">
        <v>351</v>
      </c>
      <c r="V1752" s="74">
        <v>44594</v>
      </c>
      <c r="W1752" s="74">
        <v>44638</v>
      </c>
      <c r="X1752" s="55">
        <v>10187254</v>
      </c>
      <c r="Y1752" s="74" t="s">
        <v>132</v>
      </c>
      <c r="Z1752" s="74"/>
      <c r="AB1752" s="55" t="s">
        <v>132</v>
      </c>
      <c r="AC1752" s="55" t="s">
        <v>132</v>
      </c>
    </row>
    <row r="1753" spans="1:29" ht="13" x14ac:dyDescent="0.15">
      <c r="A1753" s="72" t="str">
        <f t="shared" si="27"/>
        <v>Ofsted Social Care Provider Webpage</v>
      </c>
      <c r="B1753" s="55" t="s">
        <v>2550</v>
      </c>
      <c r="D1753" s="55" t="s">
        <v>373</v>
      </c>
      <c r="E1753" s="74">
        <v>36840</v>
      </c>
      <c r="F1753" s="55" t="s">
        <v>344</v>
      </c>
      <c r="G1753" s="55" t="s">
        <v>360</v>
      </c>
      <c r="H1753" s="55" t="s">
        <v>360</v>
      </c>
      <c r="I1753" s="55" t="s">
        <v>360</v>
      </c>
      <c r="J1753" s="55" t="s">
        <v>360</v>
      </c>
      <c r="K1753" s="55" t="s">
        <v>360</v>
      </c>
      <c r="L1753" s="55" t="s">
        <v>360</v>
      </c>
      <c r="M1753" s="55" t="s">
        <v>144</v>
      </c>
      <c r="N1753" s="55" t="s">
        <v>144</v>
      </c>
      <c r="O1753" s="55" t="s">
        <v>263</v>
      </c>
      <c r="P1753" s="55" t="s">
        <v>876</v>
      </c>
      <c r="Q1753" s="55" t="s">
        <v>362</v>
      </c>
      <c r="R1753" s="55">
        <v>5</v>
      </c>
      <c r="S1753" s="74"/>
      <c r="T1753" s="55" t="s">
        <v>2551</v>
      </c>
      <c r="U1753" s="73" t="s">
        <v>351</v>
      </c>
      <c r="V1753" s="74">
        <v>44482</v>
      </c>
      <c r="W1753" s="74">
        <v>44518</v>
      </c>
      <c r="X1753" s="55">
        <v>10187603</v>
      </c>
      <c r="Y1753" s="74" t="s">
        <v>132</v>
      </c>
      <c r="Z1753" s="74"/>
      <c r="AB1753" s="55" t="s">
        <v>132</v>
      </c>
      <c r="AC1753" s="55" t="s">
        <v>132</v>
      </c>
    </row>
    <row r="1754" spans="1:29" ht="13" x14ac:dyDescent="0.15">
      <c r="A1754" s="72" t="str">
        <f t="shared" si="27"/>
        <v>Ofsted Social Care Provider Webpage</v>
      </c>
      <c r="B1754" s="55" t="s">
        <v>2552</v>
      </c>
      <c r="D1754" s="55" t="s">
        <v>373</v>
      </c>
      <c r="E1754" s="74">
        <v>35858</v>
      </c>
      <c r="F1754" s="55" t="s">
        <v>344</v>
      </c>
      <c r="G1754" s="55" t="s">
        <v>360</v>
      </c>
      <c r="H1754" s="55" t="s">
        <v>360</v>
      </c>
      <c r="I1754" s="55" t="s">
        <v>360</v>
      </c>
      <c r="J1754" s="55" t="s">
        <v>360</v>
      </c>
      <c r="K1754" s="55" t="s">
        <v>360</v>
      </c>
      <c r="L1754" s="55" t="s">
        <v>360</v>
      </c>
      <c r="M1754" s="55" t="s">
        <v>144</v>
      </c>
      <c r="N1754" s="55" t="s">
        <v>144</v>
      </c>
      <c r="O1754" s="55" t="s">
        <v>263</v>
      </c>
      <c r="P1754" s="55" t="s">
        <v>876</v>
      </c>
      <c r="Q1754" s="55" t="s">
        <v>350</v>
      </c>
      <c r="R1754" s="55">
        <v>6</v>
      </c>
      <c r="S1754" s="74"/>
      <c r="T1754" s="55" t="s">
        <v>1093</v>
      </c>
      <c r="U1754" s="73" t="s">
        <v>351</v>
      </c>
      <c r="V1754" s="74">
        <v>44425</v>
      </c>
      <c r="W1754" s="74">
        <v>44470</v>
      </c>
      <c r="X1754" s="55">
        <v>10186106</v>
      </c>
      <c r="Y1754" s="74" t="s">
        <v>132</v>
      </c>
      <c r="Z1754" s="74"/>
      <c r="AB1754" s="55" t="s">
        <v>132</v>
      </c>
      <c r="AC1754" s="55" t="s">
        <v>130</v>
      </c>
    </row>
    <row r="1755" spans="1:29" ht="13" x14ac:dyDescent="0.15">
      <c r="A1755" s="72" t="str">
        <f t="shared" si="27"/>
        <v>Ofsted Social Care Provider Webpage</v>
      </c>
      <c r="B1755" s="55" t="s">
        <v>2553</v>
      </c>
      <c r="D1755" s="55" t="s">
        <v>373</v>
      </c>
      <c r="E1755" s="74">
        <v>37074</v>
      </c>
      <c r="F1755" s="55" t="s">
        <v>344</v>
      </c>
      <c r="G1755" s="55" t="s">
        <v>360</v>
      </c>
      <c r="H1755" s="55" t="s">
        <v>360</v>
      </c>
      <c r="I1755" s="55" t="s">
        <v>360</v>
      </c>
      <c r="J1755" s="55" t="s">
        <v>360</v>
      </c>
      <c r="K1755" s="55" t="s">
        <v>360</v>
      </c>
      <c r="L1755" s="55" t="s">
        <v>360</v>
      </c>
      <c r="M1755" s="55" t="s">
        <v>144</v>
      </c>
      <c r="N1755" s="55" t="s">
        <v>144</v>
      </c>
      <c r="O1755" s="55" t="s">
        <v>263</v>
      </c>
      <c r="P1755" s="55" t="s">
        <v>263</v>
      </c>
      <c r="Q1755" s="55" t="s">
        <v>350</v>
      </c>
      <c r="R1755" s="55">
        <v>2</v>
      </c>
      <c r="S1755" s="74"/>
      <c r="T1755" s="55" t="s">
        <v>1505</v>
      </c>
      <c r="U1755" s="73" t="s">
        <v>351</v>
      </c>
      <c r="V1755" s="74">
        <v>44432</v>
      </c>
      <c r="W1755" s="74">
        <v>44474</v>
      </c>
      <c r="X1755" s="55">
        <v>10185239</v>
      </c>
      <c r="Y1755" s="74" t="s">
        <v>132</v>
      </c>
      <c r="Z1755" s="74"/>
      <c r="AB1755" s="55" t="s">
        <v>132</v>
      </c>
      <c r="AC1755" s="55" t="s">
        <v>132</v>
      </c>
    </row>
    <row r="1756" spans="1:29" ht="13" x14ac:dyDescent="0.15">
      <c r="A1756" s="72" t="str">
        <f t="shared" si="27"/>
        <v>Ofsted Social Care Provider Webpage</v>
      </c>
      <c r="B1756" s="55" t="s">
        <v>2554</v>
      </c>
      <c r="D1756" s="55" t="s">
        <v>373</v>
      </c>
      <c r="E1756" s="74">
        <v>37074</v>
      </c>
      <c r="F1756" s="55" t="s">
        <v>344</v>
      </c>
      <c r="G1756" s="55" t="s">
        <v>360</v>
      </c>
      <c r="H1756" s="55" t="s">
        <v>360</v>
      </c>
      <c r="I1756" s="55" t="s">
        <v>360</v>
      </c>
      <c r="J1756" s="55" t="s">
        <v>360</v>
      </c>
      <c r="K1756" s="55" t="s">
        <v>360</v>
      </c>
      <c r="L1756" s="55" t="s">
        <v>360</v>
      </c>
      <c r="M1756" s="55" t="s">
        <v>144</v>
      </c>
      <c r="N1756" s="55" t="s">
        <v>144</v>
      </c>
      <c r="O1756" s="55" t="s">
        <v>263</v>
      </c>
      <c r="P1756" s="55" t="s">
        <v>1120</v>
      </c>
      <c r="Q1756" s="55" t="s">
        <v>350</v>
      </c>
      <c r="R1756" s="55">
        <v>2</v>
      </c>
      <c r="S1756" s="74"/>
      <c r="T1756" s="55" t="s">
        <v>1505</v>
      </c>
      <c r="U1756" s="73" t="s">
        <v>351</v>
      </c>
      <c r="V1756" s="74">
        <v>44628</v>
      </c>
      <c r="W1756" s="74">
        <v>44677</v>
      </c>
      <c r="X1756" s="55">
        <v>10186527</v>
      </c>
      <c r="Y1756" s="74" t="s">
        <v>132</v>
      </c>
      <c r="Z1756" s="74"/>
      <c r="AB1756" s="55" t="s">
        <v>132</v>
      </c>
      <c r="AC1756" s="55" t="s">
        <v>132</v>
      </c>
    </row>
    <row r="1757" spans="1:29" ht="13" x14ac:dyDescent="0.15">
      <c r="A1757" s="72" t="str">
        <f t="shared" si="27"/>
        <v>Ofsted Social Care Provider Webpage</v>
      </c>
      <c r="B1757" s="55" t="s">
        <v>2555</v>
      </c>
      <c r="C1757" s="55">
        <v>122956</v>
      </c>
      <c r="D1757" s="55" t="s">
        <v>413</v>
      </c>
      <c r="E1757" s="74">
        <v>37300</v>
      </c>
      <c r="F1757" s="55" t="s">
        <v>344</v>
      </c>
      <c r="G1757" s="55" t="s">
        <v>2556</v>
      </c>
      <c r="H1757" s="55" t="s">
        <v>2557</v>
      </c>
      <c r="I1757" s="55" t="s">
        <v>2558</v>
      </c>
      <c r="J1757" s="55" t="s">
        <v>2559</v>
      </c>
      <c r="K1757" s="55" t="s">
        <v>235</v>
      </c>
      <c r="L1757" s="55" t="s">
        <v>2560</v>
      </c>
      <c r="M1757" s="55" t="s">
        <v>172</v>
      </c>
      <c r="N1757" s="55" t="s">
        <v>172</v>
      </c>
      <c r="O1757" s="55" t="s">
        <v>235</v>
      </c>
      <c r="P1757" s="55" t="s">
        <v>1036</v>
      </c>
      <c r="Q1757" s="55" t="s">
        <v>362</v>
      </c>
      <c r="R1757" s="55">
        <v>9</v>
      </c>
      <c r="S1757" s="74"/>
      <c r="T1757" s="55" t="s">
        <v>2561</v>
      </c>
      <c r="U1757" s="73" t="s">
        <v>351</v>
      </c>
      <c r="V1757" s="74">
        <v>44376</v>
      </c>
      <c r="W1757" s="74">
        <v>44427</v>
      </c>
      <c r="X1757" s="55">
        <v>10183481</v>
      </c>
      <c r="Y1757" s="74" t="s">
        <v>132</v>
      </c>
      <c r="Z1757" s="74"/>
      <c r="AB1757" s="55" t="s">
        <v>132</v>
      </c>
      <c r="AC1757" s="55" t="s">
        <v>132</v>
      </c>
    </row>
    <row r="1758" spans="1:29" ht="13" x14ac:dyDescent="0.15">
      <c r="A1758" s="72" t="str">
        <f t="shared" si="27"/>
        <v>Ofsted Social Care Provider Webpage</v>
      </c>
      <c r="B1758" s="55" t="s">
        <v>2562</v>
      </c>
      <c r="D1758" s="55" t="s">
        <v>373</v>
      </c>
      <c r="E1758" s="74">
        <v>37300</v>
      </c>
      <c r="F1758" s="55" t="s">
        <v>344</v>
      </c>
      <c r="G1758" s="55" t="s">
        <v>360</v>
      </c>
      <c r="H1758" s="55" t="s">
        <v>360</v>
      </c>
      <c r="I1758" s="55" t="s">
        <v>360</v>
      </c>
      <c r="J1758" s="55" t="s">
        <v>360</v>
      </c>
      <c r="K1758" s="55" t="s">
        <v>360</v>
      </c>
      <c r="L1758" s="55" t="s">
        <v>360</v>
      </c>
      <c r="M1758" s="55" t="s">
        <v>172</v>
      </c>
      <c r="N1758" s="55" t="s">
        <v>172</v>
      </c>
      <c r="O1758" s="55" t="s">
        <v>235</v>
      </c>
      <c r="P1758" s="55" t="s">
        <v>494</v>
      </c>
      <c r="Q1758" s="55" t="s">
        <v>350</v>
      </c>
      <c r="R1758" s="55">
        <v>4</v>
      </c>
      <c r="S1758" s="74"/>
      <c r="T1758" s="55" t="s">
        <v>495</v>
      </c>
      <c r="U1758" s="73" t="s">
        <v>351</v>
      </c>
      <c r="V1758" s="74">
        <v>44321</v>
      </c>
      <c r="W1758" s="74">
        <v>44351</v>
      </c>
      <c r="X1758" s="55">
        <v>10186013</v>
      </c>
      <c r="Y1758" s="74" t="s">
        <v>132</v>
      </c>
      <c r="Z1758" s="74"/>
      <c r="AB1758" s="55" t="s">
        <v>132</v>
      </c>
      <c r="AC1758" s="55" t="s">
        <v>132</v>
      </c>
    </row>
    <row r="1759" spans="1:29" ht="13" x14ac:dyDescent="0.15">
      <c r="A1759" s="72" t="str">
        <f t="shared" si="27"/>
        <v>Ofsted Social Care Provider Webpage</v>
      </c>
      <c r="B1759" s="55" t="s">
        <v>2563</v>
      </c>
      <c r="C1759" s="55">
        <v>130285</v>
      </c>
      <c r="D1759" s="55" t="s">
        <v>398</v>
      </c>
      <c r="E1759" s="74">
        <v>37300</v>
      </c>
      <c r="F1759" s="55" t="s">
        <v>344</v>
      </c>
      <c r="G1759" s="55" t="s">
        <v>2564</v>
      </c>
      <c r="H1759" s="55" t="s">
        <v>2565</v>
      </c>
      <c r="I1759" s="55" t="s">
        <v>354</v>
      </c>
      <c r="J1759" s="55" t="s">
        <v>147</v>
      </c>
      <c r="K1759" s="55" t="s">
        <v>209</v>
      </c>
      <c r="L1759" s="55" t="s">
        <v>2566</v>
      </c>
      <c r="M1759" s="55" t="s">
        <v>144</v>
      </c>
      <c r="N1759" s="55" t="s">
        <v>144</v>
      </c>
      <c r="O1759" s="55" t="s">
        <v>147</v>
      </c>
      <c r="P1759" s="55" t="s">
        <v>387</v>
      </c>
      <c r="Q1759" s="55" t="s">
        <v>362</v>
      </c>
      <c r="R1759" s="55">
        <v>149</v>
      </c>
      <c r="S1759" s="74"/>
      <c r="T1759" s="55" t="s">
        <v>2564</v>
      </c>
      <c r="U1759" s="73" t="s">
        <v>351</v>
      </c>
      <c r="V1759" s="74">
        <v>43642</v>
      </c>
      <c r="W1759" s="74">
        <v>43724</v>
      </c>
      <c r="X1759" s="55">
        <v>10033496</v>
      </c>
      <c r="Y1759" s="74" t="s">
        <v>146</v>
      </c>
      <c r="Z1759" s="74"/>
    </row>
    <row r="1760" spans="1:29" ht="13" x14ac:dyDescent="0.15">
      <c r="A1760" s="72" t="str">
        <f t="shared" si="27"/>
        <v>Ofsted Social Care Provider Webpage</v>
      </c>
      <c r="B1760" s="55" t="s">
        <v>2567</v>
      </c>
      <c r="D1760" s="55" t="s">
        <v>373</v>
      </c>
      <c r="E1760" s="74">
        <v>35103</v>
      </c>
      <c r="F1760" s="55" t="s">
        <v>344</v>
      </c>
      <c r="G1760" s="55" t="s">
        <v>360</v>
      </c>
      <c r="H1760" s="55" t="s">
        <v>360</v>
      </c>
      <c r="I1760" s="55" t="s">
        <v>360</v>
      </c>
      <c r="J1760" s="55" t="s">
        <v>360</v>
      </c>
      <c r="K1760" s="55" t="s">
        <v>360</v>
      </c>
      <c r="L1760" s="55" t="s">
        <v>360</v>
      </c>
      <c r="M1760" s="55" t="s">
        <v>144</v>
      </c>
      <c r="N1760" s="55" t="s">
        <v>144</v>
      </c>
      <c r="O1760" s="55" t="s">
        <v>209</v>
      </c>
      <c r="P1760" s="55" t="s">
        <v>650</v>
      </c>
      <c r="Q1760" s="55" t="s">
        <v>350</v>
      </c>
      <c r="R1760" s="55">
        <v>4</v>
      </c>
      <c r="S1760" s="74"/>
      <c r="T1760" s="55" t="s">
        <v>1363</v>
      </c>
      <c r="U1760" s="73" t="s">
        <v>351</v>
      </c>
      <c r="V1760" s="74">
        <v>44314</v>
      </c>
      <c r="W1760" s="74">
        <v>44356</v>
      </c>
      <c r="X1760" s="55">
        <v>10185452</v>
      </c>
      <c r="Y1760" s="74" t="s">
        <v>140</v>
      </c>
      <c r="Z1760" s="74"/>
      <c r="AB1760" s="55" t="s">
        <v>140</v>
      </c>
      <c r="AC1760" s="55" t="s">
        <v>140</v>
      </c>
    </row>
    <row r="1761" spans="1:29" ht="13" x14ac:dyDescent="0.15">
      <c r="A1761" s="72" t="str">
        <f t="shared" si="27"/>
        <v>Ofsted Social Care Provider Webpage</v>
      </c>
      <c r="B1761" s="55" t="s">
        <v>2568</v>
      </c>
      <c r="C1761" s="55">
        <v>119845</v>
      </c>
      <c r="D1761" s="55" t="s">
        <v>413</v>
      </c>
      <c r="E1761" s="74">
        <v>34282</v>
      </c>
      <c r="F1761" s="55" t="s">
        <v>344</v>
      </c>
      <c r="G1761" s="55" t="s">
        <v>2569</v>
      </c>
      <c r="H1761" s="55" t="s">
        <v>2570</v>
      </c>
      <c r="I1761" s="55" t="s">
        <v>2571</v>
      </c>
      <c r="J1761" s="55" t="s">
        <v>2542</v>
      </c>
      <c r="K1761" s="55" t="s">
        <v>209</v>
      </c>
      <c r="L1761" s="55" t="s">
        <v>2572</v>
      </c>
      <c r="M1761" s="55" t="s">
        <v>144</v>
      </c>
      <c r="N1761" s="55" t="s">
        <v>144</v>
      </c>
      <c r="O1761" s="55" t="s">
        <v>209</v>
      </c>
      <c r="P1761" s="55" t="s">
        <v>650</v>
      </c>
      <c r="Q1761" s="55" t="s">
        <v>350</v>
      </c>
      <c r="R1761" s="55">
        <v>12</v>
      </c>
      <c r="S1761" s="74"/>
      <c r="T1761" s="55" t="s">
        <v>450</v>
      </c>
      <c r="U1761" s="73" t="s">
        <v>351</v>
      </c>
      <c r="V1761" s="74">
        <v>43893</v>
      </c>
      <c r="W1761" s="74">
        <v>43922</v>
      </c>
      <c r="X1761" s="55">
        <v>10093058</v>
      </c>
      <c r="Y1761" s="74" t="s">
        <v>140</v>
      </c>
      <c r="Z1761" s="74"/>
      <c r="AB1761" s="55" t="s">
        <v>140</v>
      </c>
      <c r="AC1761" s="55" t="s">
        <v>140</v>
      </c>
    </row>
    <row r="1762" spans="1:29" ht="13" x14ac:dyDescent="0.15">
      <c r="A1762" s="72" t="str">
        <f t="shared" si="27"/>
        <v>Ofsted Social Care Provider Webpage</v>
      </c>
      <c r="B1762" s="55" t="s">
        <v>2573</v>
      </c>
      <c r="D1762" s="55" t="s">
        <v>373</v>
      </c>
      <c r="E1762" s="74">
        <v>37246</v>
      </c>
      <c r="F1762" s="55" t="s">
        <v>344</v>
      </c>
      <c r="G1762" s="55" t="s">
        <v>360</v>
      </c>
      <c r="H1762" s="55" t="s">
        <v>360</v>
      </c>
      <c r="I1762" s="55" t="s">
        <v>360</v>
      </c>
      <c r="J1762" s="55" t="s">
        <v>360</v>
      </c>
      <c r="K1762" s="55" t="s">
        <v>360</v>
      </c>
      <c r="L1762" s="55" t="s">
        <v>360</v>
      </c>
      <c r="M1762" s="55" t="s">
        <v>144</v>
      </c>
      <c r="N1762" s="55" t="s">
        <v>144</v>
      </c>
      <c r="O1762" s="55" t="s">
        <v>209</v>
      </c>
      <c r="P1762" s="55" t="s">
        <v>364</v>
      </c>
      <c r="Q1762" s="55" t="s">
        <v>350</v>
      </c>
      <c r="R1762" s="55">
        <v>4</v>
      </c>
      <c r="S1762" s="74"/>
      <c r="T1762" s="55" t="s">
        <v>2574</v>
      </c>
      <c r="U1762" s="73" t="s">
        <v>351</v>
      </c>
      <c r="V1762" s="74">
        <v>44432</v>
      </c>
      <c r="W1762" s="74">
        <v>44468</v>
      </c>
      <c r="X1762" s="55">
        <v>10186678</v>
      </c>
      <c r="Y1762" s="74" t="s">
        <v>140</v>
      </c>
      <c r="Z1762" s="74"/>
      <c r="AB1762" s="55" t="s">
        <v>140</v>
      </c>
      <c r="AC1762" s="55" t="s">
        <v>132</v>
      </c>
    </row>
    <row r="1763" spans="1:29" ht="13" x14ac:dyDescent="0.15">
      <c r="A1763" s="72" t="str">
        <f t="shared" si="27"/>
        <v>Ofsted Social Care Provider Webpage</v>
      </c>
      <c r="B1763" s="55" t="s">
        <v>2575</v>
      </c>
      <c r="C1763" s="55">
        <v>145709</v>
      </c>
      <c r="D1763" s="55" t="s">
        <v>413</v>
      </c>
      <c r="E1763" s="74">
        <v>37300</v>
      </c>
      <c r="F1763" s="55" t="s">
        <v>344</v>
      </c>
      <c r="G1763" s="55" t="s">
        <v>2576</v>
      </c>
      <c r="H1763" s="55" t="s">
        <v>2576</v>
      </c>
      <c r="I1763" s="55" t="s">
        <v>2577</v>
      </c>
      <c r="J1763" s="55" t="s">
        <v>2578</v>
      </c>
      <c r="L1763" s="55" t="s">
        <v>2579</v>
      </c>
      <c r="M1763" s="55" t="s">
        <v>129</v>
      </c>
      <c r="N1763" s="55" t="s">
        <v>129</v>
      </c>
      <c r="O1763" s="55" t="s">
        <v>280</v>
      </c>
      <c r="P1763" s="55" t="s">
        <v>2580</v>
      </c>
      <c r="Q1763" s="55" t="s">
        <v>380</v>
      </c>
      <c r="R1763" s="55">
        <v>29</v>
      </c>
      <c r="S1763" s="74"/>
      <c r="T1763" s="55" t="s">
        <v>2581</v>
      </c>
      <c r="U1763" s="73" t="s">
        <v>351</v>
      </c>
      <c r="V1763" s="74">
        <v>44586</v>
      </c>
      <c r="W1763" s="74">
        <v>44638</v>
      </c>
      <c r="X1763" s="55">
        <v>10183508</v>
      </c>
      <c r="Y1763" s="74" t="s">
        <v>132</v>
      </c>
      <c r="Z1763" s="74"/>
      <c r="AB1763" s="55" t="s">
        <v>132</v>
      </c>
      <c r="AC1763" s="55" t="s">
        <v>132</v>
      </c>
    </row>
    <row r="1764" spans="1:29" ht="13" x14ac:dyDescent="0.15">
      <c r="A1764" s="72" t="str">
        <f t="shared" si="27"/>
        <v>Ofsted Social Care Provider Webpage</v>
      </c>
      <c r="B1764" s="55" t="s">
        <v>2582</v>
      </c>
      <c r="D1764" s="55" t="s">
        <v>373</v>
      </c>
      <c r="E1764" s="74">
        <v>34448</v>
      </c>
      <c r="F1764" s="55" t="s">
        <v>344</v>
      </c>
      <c r="G1764" s="55" t="s">
        <v>360</v>
      </c>
      <c r="H1764" s="55" t="s">
        <v>360</v>
      </c>
      <c r="I1764" s="55" t="s">
        <v>360</v>
      </c>
      <c r="J1764" s="55" t="s">
        <v>360</v>
      </c>
      <c r="K1764" s="55" t="s">
        <v>360</v>
      </c>
      <c r="L1764" s="55" t="s">
        <v>360</v>
      </c>
      <c r="M1764" s="55" t="s">
        <v>129</v>
      </c>
      <c r="N1764" s="55" t="s">
        <v>129</v>
      </c>
      <c r="O1764" s="55" t="s">
        <v>131</v>
      </c>
      <c r="P1764" s="55" t="s">
        <v>1606</v>
      </c>
      <c r="Q1764" s="55" t="s">
        <v>362</v>
      </c>
      <c r="R1764" s="55">
        <v>9</v>
      </c>
      <c r="S1764" s="74" t="s">
        <v>332</v>
      </c>
      <c r="T1764" s="55" t="s">
        <v>2583</v>
      </c>
      <c r="U1764" s="73" t="s">
        <v>351</v>
      </c>
      <c r="V1764" s="74">
        <v>44579</v>
      </c>
      <c r="W1764" s="74">
        <v>44613</v>
      </c>
      <c r="X1764" s="55">
        <v>10185380</v>
      </c>
      <c r="Y1764" s="74" t="s">
        <v>132</v>
      </c>
      <c r="Z1764" s="74"/>
      <c r="AB1764" s="55" t="s">
        <v>132</v>
      </c>
      <c r="AC1764" s="55" t="s">
        <v>130</v>
      </c>
    </row>
    <row r="1765" spans="1:29" ht="13" x14ac:dyDescent="0.15">
      <c r="A1765" s="72" t="str">
        <f t="shared" si="27"/>
        <v>Ofsted Social Care Provider Webpage</v>
      </c>
      <c r="B1765" s="55" t="s">
        <v>2584</v>
      </c>
      <c r="D1765" s="55" t="s">
        <v>373</v>
      </c>
      <c r="E1765" s="74">
        <v>37252</v>
      </c>
      <c r="F1765" s="55" t="s">
        <v>344</v>
      </c>
      <c r="G1765" s="55" t="s">
        <v>360</v>
      </c>
      <c r="H1765" s="55" t="s">
        <v>360</v>
      </c>
      <c r="I1765" s="55" t="s">
        <v>360</v>
      </c>
      <c r="J1765" s="55" t="s">
        <v>360</v>
      </c>
      <c r="K1765" s="55" t="s">
        <v>360</v>
      </c>
      <c r="L1765" s="55" t="s">
        <v>360</v>
      </c>
      <c r="M1765" s="55" t="s">
        <v>129</v>
      </c>
      <c r="N1765" s="55" t="s">
        <v>129</v>
      </c>
      <c r="O1765" s="55" t="s">
        <v>182</v>
      </c>
      <c r="P1765" s="55" t="s">
        <v>1660</v>
      </c>
      <c r="Q1765" s="55" t="s">
        <v>350</v>
      </c>
      <c r="R1765" s="55">
        <v>5</v>
      </c>
      <c r="S1765" s="74"/>
      <c r="U1765" s="73" t="s">
        <v>351</v>
      </c>
      <c r="V1765" s="74">
        <v>44433</v>
      </c>
      <c r="W1765" s="74">
        <v>44468</v>
      </c>
      <c r="X1765" s="55">
        <v>10187431</v>
      </c>
      <c r="Y1765" s="74" t="s">
        <v>130</v>
      </c>
      <c r="Z1765" s="74"/>
      <c r="AB1765" s="55" t="s">
        <v>130</v>
      </c>
      <c r="AC1765" s="55" t="s">
        <v>130</v>
      </c>
    </row>
    <row r="1766" spans="1:29" ht="13" x14ac:dyDescent="0.15">
      <c r="A1766" s="72" t="str">
        <f t="shared" si="27"/>
        <v>Ofsted Social Care Provider Webpage</v>
      </c>
      <c r="B1766" s="55" t="s">
        <v>2585</v>
      </c>
      <c r="C1766" s="55">
        <v>110180</v>
      </c>
      <c r="D1766" s="55" t="s">
        <v>413</v>
      </c>
      <c r="E1766" s="74">
        <v>37300</v>
      </c>
      <c r="F1766" s="55" t="s">
        <v>344</v>
      </c>
      <c r="G1766" s="55" t="s">
        <v>2586</v>
      </c>
      <c r="H1766" s="55" t="s">
        <v>2587</v>
      </c>
      <c r="I1766" s="55" t="s">
        <v>2588</v>
      </c>
      <c r="J1766" s="55" t="s">
        <v>1333</v>
      </c>
      <c r="K1766" s="55" t="s">
        <v>1402</v>
      </c>
      <c r="L1766" s="55" t="s">
        <v>2589</v>
      </c>
      <c r="M1766" s="55" t="s">
        <v>150</v>
      </c>
      <c r="N1766" s="55" t="s">
        <v>150</v>
      </c>
      <c r="O1766" s="55" t="s">
        <v>283</v>
      </c>
      <c r="P1766" s="55" t="s">
        <v>1333</v>
      </c>
      <c r="Q1766" s="55" t="s">
        <v>362</v>
      </c>
      <c r="R1766" s="55">
        <v>247</v>
      </c>
      <c r="S1766" s="74"/>
      <c r="U1766" s="73" t="s">
        <v>351</v>
      </c>
      <c r="V1766" s="74">
        <v>43648</v>
      </c>
      <c r="W1766" s="74">
        <v>43719</v>
      </c>
      <c r="X1766" s="55">
        <v>10093078</v>
      </c>
      <c r="Y1766" s="74" t="s">
        <v>132</v>
      </c>
      <c r="Z1766" s="74"/>
      <c r="AB1766" s="55" t="s">
        <v>132</v>
      </c>
      <c r="AC1766" s="55" t="s">
        <v>132</v>
      </c>
    </row>
    <row r="1767" spans="1:29" ht="13" x14ac:dyDescent="0.15">
      <c r="A1767" s="72" t="str">
        <f t="shared" si="27"/>
        <v>Ofsted Social Care Provider Webpage</v>
      </c>
      <c r="B1767" s="55" t="s">
        <v>2590</v>
      </c>
      <c r="D1767" s="55" t="s">
        <v>373</v>
      </c>
      <c r="E1767" s="74">
        <v>33967</v>
      </c>
      <c r="F1767" s="55" t="s">
        <v>344</v>
      </c>
      <c r="G1767" s="55" t="s">
        <v>360</v>
      </c>
      <c r="H1767" s="55" t="s">
        <v>360</v>
      </c>
      <c r="I1767" s="55" t="s">
        <v>360</v>
      </c>
      <c r="J1767" s="55" t="s">
        <v>360</v>
      </c>
      <c r="K1767" s="55" t="s">
        <v>360</v>
      </c>
      <c r="L1767" s="55" t="s">
        <v>360</v>
      </c>
      <c r="M1767" s="55" t="s">
        <v>150</v>
      </c>
      <c r="N1767" s="55" t="s">
        <v>150</v>
      </c>
      <c r="O1767" s="55" t="s">
        <v>283</v>
      </c>
      <c r="P1767" s="55" t="s">
        <v>1492</v>
      </c>
      <c r="Q1767" s="55" t="s">
        <v>350</v>
      </c>
      <c r="R1767" s="55">
        <v>7</v>
      </c>
      <c r="S1767" s="74"/>
      <c r="T1767" s="55" t="s">
        <v>755</v>
      </c>
      <c r="U1767" s="73" t="s">
        <v>351</v>
      </c>
      <c r="V1767" s="74">
        <v>44398</v>
      </c>
      <c r="W1767" s="74">
        <v>44445</v>
      </c>
      <c r="X1767" s="55">
        <v>10185390</v>
      </c>
      <c r="Y1767" s="74" t="s">
        <v>140</v>
      </c>
      <c r="Z1767" s="74"/>
      <c r="AB1767" s="55" t="s">
        <v>140</v>
      </c>
      <c r="AC1767" s="55" t="s">
        <v>140</v>
      </c>
    </row>
    <row r="1768" spans="1:29" ht="13" x14ac:dyDescent="0.15">
      <c r="A1768" s="72" t="str">
        <f t="shared" si="27"/>
        <v>Ofsted Social Care Provider Webpage</v>
      </c>
      <c r="B1768" s="55" t="s">
        <v>2591</v>
      </c>
      <c r="C1768" s="55">
        <v>110181</v>
      </c>
      <c r="D1768" s="55" t="s">
        <v>413</v>
      </c>
      <c r="E1768" s="74">
        <v>37301</v>
      </c>
      <c r="F1768" s="55" t="s">
        <v>344</v>
      </c>
      <c r="G1768" s="55" t="s">
        <v>2592</v>
      </c>
      <c r="H1768" s="55" t="s">
        <v>2593</v>
      </c>
      <c r="I1768" s="55" t="s">
        <v>2594</v>
      </c>
      <c r="J1768" s="55" t="s">
        <v>291</v>
      </c>
      <c r="K1768" s="55" t="s">
        <v>1402</v>
      </c>
      <c r="L1768" s="55" t="s">
        <v>2595</v>
      </c>
      <c r="M1768" s="55" t="s">
        <v>150</v>
      </c>
      <c r="N1768" s="55" t="s">
        <v>150</v>
      </c>
      <c r="O1768" s="55" t="s">
        <v>291</v>
      </c>
      <c r="P1768" s="55" t="s">
        <v>291</v>
      </c>
      <c r="Q1768" s="55" t="s">
        <v>362</v>
      </c>
      <c r="R1768" s="55">
        <v>20</v>
      </c>
      <c r="S1768" s="74"/>
      <c r="T1768" s="55" t="s">
        <v>1884</v>
      </c>
      <c r="U1768" s="73" t="s">
        <v>351</v>
      </c>
      <c r="V1768" s="74">
        <v>44503</v>
      </c>
      <c r="W1768" s="74">
        <v>44575</v>
      </c>
      <c r="X1768" s="55">
        <v>10183542</v>
      </c>
      <c r="Y1768" s="74" t="s">
        <v>140</v>
      </c>
      <c r="Z1768" s="74"/>
      <c r="AB1768" s="55" t="s">
        <v>132</v>
      </c>
      <c r="AC1768" s="55" t="s">
        <v>140</v>
      </c>
    </row>
    <row r="1769" spans="1:29" ht="13" x14ac:dyDescent="0.15">
      <c r="A1769" s="72" t="str">
        <f t="shared" si="27"/>
        <v>Ofsted Social Care Provider Webpage</v>
      </c>
      <c r="B1769" s="55" t="s">
        <v>2596</v>
      </c>
      <c r="D1769" s="55" t="s">
        <v>373</v>
      </c>
      <c r="E1769" s="74">
        <v>33953</v>
      </c>
      <c r="F1769" s="55" t="s">
        <v>344</v>
      </c>
      <c r="G1769" s="55" t="s">
        <v>360</v>
      </c>
      <c r="H1769" s="55" t="s">
        <v>360</v>
      </c>
      <c r="I1769" s="55" t="s">
        <v>360</v>
      </c>
      <c r="J1769" s="55" t="s">
        <v>360</v>
      </c>
      <c r="K1769" s="55" t="s">
        <v>360</v>
      </c>
      <c r="L1769" s="55" t="s">
        <v>360</v>
      </c>
      <c r="M1769" s="55" t="s">
        <v>150</v>
      </c>
      <c r="N1769" s="55" t="s">
        <v>150</v>
      </c>
      <c r="O1769" s="55" t="s">
        <v>190</v>
      </c>
      <c r="P1769" s="55" t="s">
        <v>830</v>
      </c>
      <c r="Q1769" s="55" t="s">
        <v>350</v>
      </c>
      <c r="R1769" s="55">
        <v>6</v>
      </c>
      <c r="S1769" s="74"/>
      <c r="T1769" s="55" t="s">
        <v>890</v>
      </c>
      <c r="U1769" s="73" t="s">
        <v>351</v>
      </c>
      <c r="V1769" s="74">
        <v>44482</v>
      </c>
      <c r="W1769" s="74">
        <v>44536</v>
      </c>
      <c r="X1769" s="55">
        <v>10185061</v>
      </c>
      <c r="Y1769" s="74" t="s">
        <v>132</v>
      </c>
      <c r="Z1769" s="74"/>
      <c r="AB1769" s="55" t="s">
        <v>132</v>
      </c>
      <c r="AC1769" s="55" t="s">
        <v>132</v>
      </c>
    </row>
    <row r="1770" spans="1:29" ht="13" x14ac:dyDescent="0.15">
      <c r="A1770" s="72" t="str">
        <f t="shared" si="27"/>
        <v>Ofsted Social Care Provider Webpage</v>
      </c>
      <c r="B1770" s="55" t="s">
        <v>2597</v>
      </c>
      <c r="D1770" s="55" t="s">
        <v>373</v>
      </c>
      <c r="E1770" s="74">
        <v>33954</v>
      </c>
      <c r="F1770" s="55" t="s">
        <v>344</v>
      </c>
      <c r="G1770" s="55" t="s">
        <v>360</v>
      </c>
      <c r="H1770" s="55" t="s">
        <v>360</v>
      </c>
      <c r="I1770" s="55" t="s">
        <v>360</v>
      </c>
      <c r="J1770" s="55" t="s">
        <v>360</v>
      </c>
      <c r="K1770" s="55" t="s">
        <v>360</v>
      </c>
      <c r="L1770" s="55" t="s">
        <v>360</v>
      </c>
      <c r="M1770" s="55" t="s">
        <v>150</v>
      </c>
      <c r="N1770" s="55" t="s">
        <v>150</v>
      </c>
      <c r="O1770" s="55" t="s">
        <v>190</v>
      </c>
      <c r="P1770" s="55" t="s">
        <v>830</v>
      </c>
      <c r="Q1770" s="55" t="s">
        <v>350</v>
      </c>
      <c r="R1770" s="55">
        <v>6</v>
      </c>
      <c r="S1770" s="74"/>
      <c r="T1770" s="55" t="s">
        <v>890</v>
      </c>
      <c r="U1770" s="73" t="s">
        <v>351</v>
      </c>
      <c r="V1770" s="74">
        <v>44445</v>
      </c>
      <c r="W1770" s="74">
        <v>44488</v>
      </c>
      <c r="X1770" s="55">
        <v>10185159</v>
      </c>
      <c r="Y1770" s="74" t="s">
        <v>132</v>
      </c>
      <c r="Z1770" s="74"/>
      <c r="AB1770" s="55" t="s">
        <v>132</v>
      </c>
      <c r="AC1770" s="55" t="s">
        <v>132</v>
      </c>
    </row>
    <row r="1771" spans="1:29" ht="13" x14ac:dyDescent="0.15">
      <c r="A1771" s="72" t="str">
        <f t="shared" si="27"/>
        <v>Ofsted Social Care Provider Webpage</v>
      </c>
      <c r="B1771" s="55" t="s">
        <v>2598</v>
      </c>
      <c r="C1771" s="55">
        <v>116584</v>
      </c>
      <c r="D1771" s="55" t="s">
        <v>413</v>
      </c>
      <c r="E1771" s="74">
        <v>37301</v>
      </c>
      <c r="F1771" s="55" t="s">
        <v>344</v>
      </c>
      <c r="G1771" s="55" t="s">
        <v>2599</v>
      </c>
      <c r="H1771" s="55" t="s">
        <v>2600</v>
      </c>
      <c r="I1771" s="55" t="s">
        <v>2601</v>
      </c>
      <c r="J1771" s="55" t="s">
        <v>2602</v>
      </c>
      <c r="K1771" s="55" t="s">
        <v>190</v>
      </c>
      <c r="L1771" s="55" t="s">
        <v>2603</v>
      </c>
      <c r="M1771" s="55" t="s">
        <v>150</v>
      </c>
      <c r="N1771" s="55" t="s">
        <v>150</v>
      </c>
      <c r="O1771" s="55" t="s">
        <v>190</v>
      </c>
      <c r="P1771" s="55" t="s">
        <v>887</v>
      </c>
      <c r="Q1771" s="55" t="s">
        <v>362</v>
      </c>
      <c r="R1771" s="55">
        <v>77</v>
      </c>
      <c r="S1771" s="74"/>
      <c r="T1771" s="55" t="s">
        <v>2599</v>
      </c>
      <c r="U1771" s="73" t="s">
        <v>351</v>
      </c>
      <c r="V1771" s="74">
        <v>44537</v>
      </c>
      <c r="W1771" s="74">
        <v>44595</v>
      </c>
      <c r="X1771" s="55">
        <v>10183472</v>
      </c>
      <c r="Y1771" s="74" t="s">
        <v>140</v>
      </c>
      <c r="Z1771" s="74"/>
      <c r="AB1771" s="55" t="s">
        <v>140</v>
      </c>
      <c r="AC1771" s="55" t="s">
        <v>140</v>
      </c>
    </row>
    <row r="1772" spans="1:29" ht="13" x14ac:dyDescent="0.15">
      <c r="A1772" s="72" t="str">
        <f t="shared" si="27"/>
        <v>Ofsted Social Care Provider Webpage</v>
      </c>
      <c r="B1772" s="55" t="s">
        <v>2604</v>
      </c>
      <c r="C1772" s="55">
        <v>116594</v>
      </c>
      <c r="D1772" s="55" t="s">
        <v>398</v>
      </c>
      <c r="E1772" s="74">
        <v>37301</v>
      </c>
      <c r="F1772" s="55" t="s">
        <v>344</v>
      </c>
      <c r="G1772" s="55" t="s">
        <v>2605</v>
      </c>
      <c r="H1772" s="55" t="s">
        <v>2606</v>
      </c>
      <c r="I1772" s="55" t="s">
        <v>2607</v>
      </c>
      <c r="J1772" s="55" t="s">
        <v>1333</v>
      </c>
      <c r="K1772" s="55" t="s">
        <v>1402</v>
      </c>
      <c r="L1772" s="55" t="s">
        <v>2608</v>
      </c>
      <c r="M1772" s="55" t="s">
        <v>150</v>
      </c>
      <c r="N1772" s="55" t="s">
        <v>150</v>
      </c>
      <c r="O1772" s="55" t="s">
        <v>190</v>
      </c>
      <c r="P1772" s="55" t="s">
        <v>830</v>
      </c>
      <c r="Q1772" s="55" t="s">
        <v>362</v>
      </c>
      <c r="R1772" s="55">
        <v>34</v>
      </c>
      <c r="S1772" s="74"/>
      <c r="T1772" s="55" t="s">
        <v>2609</v>
      </c>
      <c r="U1772" s="73" t="s">
        <v>351</v>
      </c>
      <c r="V1772" s="74">
        <v>43753</v>
      </c>
      <c r="W1772" s="74">
        <v>43781</v>
      </c>
      <c r="X1772" s="55">
        <v>10099402</v>
      </c>
      <c r="Y1772" s="74" t="s">
        <v>132</v>
      </c>
      <c r="Z1772" s="74"/>
      <c r="AB1772" s="55" t="s">
        <v>132</v>
      </c>
      <c r="AC1772" s="55" t="s">
        <v>132</v>
      </c>
    </row>
    <row r="1773" spans="1:29" ht="13" x14ac:dyDescent="0.15">
      <c r="A1773" s="72" t="str">
        <f t="shared" si="27"/>
        <v>Ofsted Social Care Provider Webpage</v>
      </c>
      <c r="B1773" s="55" t="s">
        <v>2610</v>
      </c>
      <c r="D1773" s="55" t="s">
        <v>479</v>
      </c>
      <c r="E1773" s="74">
        <v>37301</v>
      </c>
      <c r="F1773" s="55" t="s">
        <v>344</v>
      </c>
      <c r="G1773" s="55" t="s">
        <v>360</v>
      </c>
      <c r="H1773" s="55" t="s">
        <v>360</v>
      </c>
      <c r="I1773" s="55" t="s">
        <v>360</v>
      </c>
      <c r="J1773" s="55" t="s">
        <v>360</v>
      </c>
      <c r="K1773" s="55" t="s">
        <v>360</v>
      </c>
      <c r="L1773" s="55" t="s">
        <v>360</v>
      </c>
      <c r="M1773" s="55" t="s">
        <v>150</v>
      </c>
      <c r="N1773" s="55" t="s">
        <v>150</v>
      </c>
      <c r="O1773" s="55" t="s">
        <v>190</v>
      </c>
      <c r="P1773" s="55" t="s">
        <v>1428</v>
      </c>
      <c r="Q1773" s="55" t="s">
        <v>362</v>
      </c>
      <c r="R1773" s="55">
        <v>30</v>
      </c>
      <c r="S1773" s="74"/>
      <c r="T1773" s="55" t="s">
        <v>2611</v>
      </c>
      <c r="U1773" s="73" t="s">
        <v>351</v>
      </c>
      <c r="V1773" s="74">
        <v>44307</v>
      </c>
      <c r="W1773" s="74">
        <v>44344</v>
      </c>
      <c r="X1773" s="55">
        <v>10187266</v>
      </c>
      <c r="Y1773" s="74" t="s">
        <v>140</v>
      </c>
      <c r="Z1773" s="74"/>
      <c r="AB1773" s="55" t="s">
        <v>132</v>
      </c>
      <c r="AC1773" s="55" t="s">
        <v>132</v>
      </c>
    </row>
    <row r="1774" spans="1:29" ht="13" x14ac:dyDescent="0.15">
      <c r="A1774" s="72" t="str">
        <f t="shared" si="27"/>
        <v>Ofsted Social Care Provider Webpage</v>
      </c>
      <c r="B1774" s="55" t="s">
        <v>2612</v>
      </c>
      <c r="C1774" s="55">
        <v>116636</v>
      </c>
      <c r="D1774" s="55" t="s">
        <v>413</v>
      </c>
      <c r="E1774" s="74">
        <v>37301</v>
      </c>
      <c r="F1774" s="55" t="s">
        <v>344</v>
      </c>
      <c r="G1774" s="55" t="s">
        <v>2613</v>
      </c>
      <c r="H1774" s="55" t="s">
        <v>2614</v>
      </c>
      <c r="I1774" s="55" t="s">
        <v>2615</v>
      </c>
      <c r="J1774" s="55" t="s">
        <v>2616</v>
      </c>
      <c r="K1774" s="55" t="s">
        <v>190</v>
      </c>
      <c r="L1774" s="55" t="s">
        <v>2617</v>
      </c>
      <c r="M1774" s="55" t="s">
        <v>150</v>
      </c>
      <c r="N1774" s="55" t="s">
        <v>150</v>
      </c>
      <c r="O1774" s="55" t="s">
        <v>190</v>
      </c>
      <c r="P1774" s="55" t="s">
        <v>1703</v>
      </c>
      <c r="Q1774" s="55" t="s">
        <v>350</v>
      </c>
      <c r="R1774" s="55">
        <v>45</v>
      </c>
      <c r="S1774" s="74"/>
      <c r="T1774" s="55" t="s">
        <v>2618</v>
      </c>
      <c r="U1774" s="73" t="s">
        <v>351</v>
      </c>
      <c r="V1774" s="74">
        <v>43900</v>
      </c>
      <c r="W1774" s="74">
        <v>43937</v>
      </c>
      <c r="X1774" s="55">
        <v>10093082</v>
      </c>
      <c r="Y1774" s="74" t="s">
        <v>140</v>
      </c>
      <c r="Z1774" s="74"/>
      <c r="AB1774" s="55" t="s">
        <v>140</v>
      </c>
      <c r="AC1774" s="55" t="s">
        <v>140</v>
      </c>
    </row>
    <row r="1775" spans="1:29" ht="13" x14ac:dyDescent="0.15">
      <c r="A1775" s="72" t="str">
        <f t="shared" si="27"/>
        <v>Ofsted Social Care Provider Webpage</v>
      </c>
      <c r="B1775" s="55" t="s">
        <v>2619</v>
      </c>
      <c r="C1775" s="55">
        <v>116635</v>
      </c>
      <c r="D1775" s="55" t="s">
        <v>413</v>
      </c>
      <c r="E1775" s="74">
        <v>37301</v>
      </c>
      <c r="F1775" s="55" t="s">
        <v>344</v>
      </c>
      <c r="G1775" s="55" t="s">
        <v>2620</v>
      </c>
      <c r="H1775" s="55" t="s">
        <v>2621</v>
      </c>
      <c r="I1775" s="55" t="s">
        <v>2622</v>
      </c>
      <c r="J1775" s="55" t="s">
        <v>2623</v>
      </c>
      <c r="K1775" s="55" t="s">
        <v>190</v>
      </c>
      <c r="L1775" s="55" t="s">
        <v>2624</v>
      </c>
      <c r="M1775" s="55" t="s">
        <v>150</v>
      </c>
      <c r="N1775" s="55" t="s">
        <v>150</v>
      </c>
      <c r="O1775" s="55" t="s">
        <v>190</v>
      </c>
      <c r="P1775" s="55" t="s">
        <v>830</v>
      </c>
      <c r="Q1775" s="55" t="s">
        <v>380</v>
      </c>
      <c r="R1775" s="55">
        <v>10</v>
      </c>
      <c r="S1775" s="74"/>
      <c r="T1775" s="55" t="s">
        <v>967</v>
      </c>
      <c r="U1775" s="73" t="s">
        <v>351</v>
      </c>
      <c r="V1775" s="74">
        <v>44572</v>
      </c>
      <c r="W1775" s="74">
        <v>44613</v>
      </c>
      <c r="X1775" s="55">
        <v>10183565</v>
      </c>
      <c r="Y1775" s="74" t="s">
        <v>140</v>
      </c>
      <c r="Z1775" s="74"/>
      <c r="AB1775" s="55" t="s">
        <v>140</v>
      </c>
      <c r="AC1775" s="55" t="s">
        <v>140</v>
      </c>
    </row>
    <row r="1776" spans="1:29" ht="13" x14ac:dyDescent="0.15">
      <c r="A1776" s="72" t="str">
        <f t="shared" si="27"/>
        <v>Ofsted Social Care Provider Webpage</v>
      </c>
      <c r="B1776" s="55" t="s">
        <v>2625</v>
      </c>
      <c r="C1776" s="55">
        <v>116588</v>
      </c>
      <c r="D1776" s="55" t="s">
        <v>413</v>
      </c>
      <c r="E1776" s="74">
        <v>37301</v>
      </c>
      <c r="F1776" s="55" t="s">
        <v>344</v>
      </c>
      <c r="G1776" s="55" t="s">
        <v>2626</v>
      </c>
      <c r="H1776" s="55" t="s">
        <v>2626</v>
      </c>
      <c r="I1776" s="55" t="s">
        <v>2627</v>
      </c>
      <c r="J1776" s="55" t="s">
        <v>2623</v>
      </c>
      <c r="K1776" s="55" t="s">
        <v>190</v>
      </c>
      <c r="L1776" s="55" t="s">
        <v>2628</v>
      </c>
      <c r="M1776" s="55" t="s">
        <v>150</v>
      </c>
      <c r="N1776" s="55" t="s">
        <v>150</v>
      </c>
      <c r="O1776" s="55" t="s">
        <v>190</v>
      </c>
      <c r="P1776" s="55" t="s">
        <v>830</v>
      </c>
      <c r="Q1776" s="55" t="s">
        <v>350</v>
      </c>
      <c r="R1776" s="55">
        <v>46</v>
      </c>
      <c r="S1776" s="74"/>
      <c r="T1776" s="55" t="s">
        <v>2629</v>
      </c>
      <c r="U1776" s="73" t="s">
        <v>351</v>
      </c>
      <c r="V1776" s="74">
        <v>43899</v>
      </c>
      <c r="W1776" s="74">
        <v>43984</v>
      </c>
      <c r="X1776" s="55">
        <v>10094783</v>
      </c>
      <c r="Y1776" s="74" t="s">
        <v>146</v>
      </c>
      <c r="Z1776" s="74"/>
      <c r="AB1776" s="55" t="s">
        <v>146</v>
      </c>
      <c r="AC1776" s="55" t="s">
        <v>130</v>
      </c>
    </row>
    <row r="1777" spans="1:29" ht="13" x14ac:dyDescent="0.15">
      <c r="A1777" s="72" t="str">
        <f t="shared" si="27"/>
        <v>Ofsted Social Care Provider Webpage</v>
      </c>
      <c r="B1777" s="55" t="s">
        <v>2630</v>
      </c>
      <c r="C1777" s="55">
        <v>116603</v>
      </c>
      <c r="D1777" s="55" t="s">
        <v>413</v>
      </c>
      <c r="E1777" s="74">
        <v>37301</v>
      </c>
      <c r="F1777" s="55" t="s">
        <v>344</v>
      </c>
      <c r="G1777" s="55" t="s">
        <v>2631</v>
      </c>
      <c r="H1777" s="55" t="s">
        <v>2631</v>
      </c>
      <c r="I1777" s="55" t="s">
        <v>2632</v>
      </c>
      <c r="J1777" s="55" t="s">
        <v>2633</v>
      </c>
      <c r="K1777" s="55" t="s">
        <v>190</v>
      </c>
      <c r="L1777" s="55" t="s">
        <v>2634</v>
      </c>
      <c r="M1777" s="55" t="s">
        <v>150</v>
      </c>
      <c r="N1777" s="55" t="s">
        <v>150</v>
      </c>
      <c r="O1777" s="55" t="s">
        <v>190</v>
      </c>
      <c r="P1777" s="55" t="s">
        <v>966</v>
      </c>
      <c r="Q1777" s="55" t="s">
        <v>380</v>
      </c>
      <c r="R1777" s="55">
        <v>23</v>
      </c>
      <c r="S1777" s="74"/>
      <c r="T1777" s="55" t="s">
        <v>967</v>
      </c>
      <c r="U1777" s="73" t="s">
        <v>351</v>
      </c>
      <c r="V1777" s="74">
        <v>43661</v>
      </c>
      <c r="W1777" s="74">
        <v>43720</v>
      </c>
      <c r="X1777" s="55">
        <v>10093084</v>
      </c>
      <c r="Y1777" s="74" t="s">
        <v>140</v>
      </c>
      <c r="Z1777" s="74"/>
      <c r="AB1777" s="55" t="s">
        <v>140</v>
      </c>
      <c r="AC1777" s="55" t="s">
        <v>140</v>
      </c>
    </row>
    <row r="1778" spans="1:29" ht="13" x14ac:dyDescent="0.15">
      <c r="A1778" s="72" t="str">
        <f t="shared" si="27"/>
        <v>Ofsted Social Care Provider Webpage</v>
      </c>
      <c r="B1778" s="55" t="s">
        <v>2635</v>
      </c>
      <c r="C1778" s="55">
        <v>118226</v>
      </c>
      <c r="D1778" s="55" t="s">
        <v>413</v>
      </c>
      <c r="E1778" s="74">
        <v>37301</v>
      </c>
      <c r="F1778" s="55" t="s">
        <v>344</v>
      </c>
      <c r="G1778" s="55" t="s">
        <v>2636</v>
      </c>
      <c r="H1778" s="55" t="s">
        <v>2637</v>
      </c>
      <c r="I1778" s="55" t="s">
        <v>2638</v>
      </c>
      <c r="J1778" s="55" t="s">
        <v>2639</v>
      </c>
      <c r="K1778" s="55" t="s">
        <v>199</v>
      </c>
      <c r="L1778" s="55" t="s">
        <v>2640</v>
      </c>
      <c r="M1778" s="55" t="s">
        <v>150</v>
      </c>
      <c r="N1778" s="55" t="s">
        <v>150</v>
      </c>
      <c r="O1778" s="55" t="s">
        <v>199</v>
      </c>
      <c r="P1778" s="55" t="s">
        <v>199</v>
      </c>
      <c r="Q1778" s="55" t="s">
        <v>362</v>
      </c>
      <c r="R1778" s="55">
        <v>37</v>
      </c>
      <c r="S1778" s="74"/>
      <c r="U1778" s="73" t="s">
        <v>351</v>
      </c>
      <c r="V1778" s="74">
        <v>44390</v>
      </c>
      <c r="W1778" s="74">
        <v>44446</v>
      </c>
      <c r="X1778" s="55">
        <v>10183551</v>
      </c>
      <c r="Y1778" s="74" t="s">
        <v>132</v>
      </c>
      <c r="Z1778" s="74"/>
      <c r="AB1778" s="55" t="s">
        <v>132</v>
      </c>
      <c r="AC1778" s="55" t="s">
        <v>132</v>
      </c>
    </row>
    <row r="1779" spans="1:29" ht="13" x14ac:dyDescent="0.15">
      <c r="A1779" s="72" t="str">
        <f t="shared" si="27"/>
        <v>Ofsted Social Care Provider Webpage</v>
      </c>
      <c r="B1779" s="55" t="s">
        <v>2641</v>
      </c>
      <c r="C1779" s="55">
        <v>138289</v>
      </c>
      <c r="D1779" s="55" t="s">
        <v>398</v>
      </c>
      <c r="E1779" s="74">
        <v>37301</v>
      </c>
      <c r="F1779" s="55" t="s">
        <v>344</v>
      </c>
      <c r="G1779" s="55" t="s">
        <v>2642</v>
      </c>
      <c r="H1779" s="55" t="s">
        <v>2642</v>
      </c>
      <c r="I1779" s="55" t="s">
        <v>2643</v>
      </c>
      <c r="J1779" s="55" t="s">
        <v>2644</v>
      </c>
      <c r="K1779" s="55" t="s">
        <v>237</v>
      </c>
      <c r="L1779" s="55" t="s">
        <v>2645</v>
      </c>
      <c r="M1779" s="55" t="s">
        <v>150</v>
      </c>
      <c r="N1779" s="55" t="s">
        <v>150</v>
      </c>
      <c r="O1779" s="55" t="s">
        <v>237</v>
      </c>
      <c r="P1779" s="55" t="s">
        <v>869</v>
      </c>
      <c r="Q1779" s="55" t="s">
        <v>420</v>
      </c>
      <c r="R1779" s="55">
        <v>105</v>
      </c>
      <c r="S1779" s="74"/>
      <c r="T1779" s="55" t="s">
        <v>2642</v>
      </c>
      <c r="U1779" s="73" t="s">
        <v>351</v>
      </c>
      <c r="V1779" s="74">
        <v>43228</v>
      </c>
      <c r="W1779" s="74">
        <v>43270</v>
      </c>
      <c r="X1779" s="55">
        <v>10054027</v>
      </c>
      <c r="Y1779" s="74" t="s">
        <v>132</v>
      </c>
      <c r="Z1779" s="74"/>
      <c r="AB1779" s="55" t="s">
        <v>132</v>
      </c>
      <c r="AC1779" s="55" t="s">
        <v>132</v>
      </c>
    </row>
    <row r="1780" spans="1:29" ht="13" x14ac:dyDescent="0.15">
      <c r="A1780" s="72" t="str">
        <f t="shared" si="27"/>
        <v>Ofsted Social Care Provider Webpage</v>
      </c>
      <c r="B1780" s="55" t="s">
        <v>2646</v>
      </c>
      <c r="C1780" s="55">
        <v>123329</v>
      </c>
      <c r="D1780" s="55" t="s">
        <v>413</v>
      </c>
      <c r="E1780" s="74">
        <v>37301</v>
      </c>
      <c r="F1780" s="55" t="s">
        <v>344</v>
      </c>
      <c r="G1780" s="55" t="s">
        <v>2647</v>
      </c>
      <c r="H1780" s="55" t="s">
        <v>2647</v>
      </c>
      <c r="I1780" s="55" t="s">
        <v>2648</v>
      </c>
      <c r="J1780" s="55" t="s">
        <v>402</v>
      </c>
      <c r="L1780" s="55" t="s">
        <v>2649</v>
      </c>
      <c r="M1780" s="55" t="s">
        <v>150</v>
      </c>
      <c r="N1780" s="55" t="s">
        <v>150</v>
      </c>
      <c r="O1780" s="55" t="s">
        <v>237</v>
      </c>
      <c r="P1780" s="55" t="s">
        <v>635</v>
      </c>
      <c r="Q1780" s="55" t="s">
        <v>380</v>
      </c>
      <c r="R1780" s="55">
        <v>10</v>
      </c>
      <c r="S1780" s="74"/>
      <c r="T1780" s="55" t="s">
        <v>636</v>
      </c>
      <c r="U1780" s="73" t="s">
        <v>351</v>
      </c>
      <c r="V1780" s="74">
        <v>44481</v>
      </c>
      <c r="W1780" s="74">
        <v>44525</v>
      </c>
      <c r="X1780" s="55">
        <v>10183566</v>
      </c>
      <c r="Y1780" s="74" t="s">
        <v>132</v>
      </c>
      <c r="Z1780" s="74"/>
      <c r="AB1780" s="55" t="s">
        <v>132</v>
      </c>
      <c r="AC1780" s="55" t="s">
        <v>132</v>
      </c>
    </row>
    <row r="1781" spans="1:29" ht="13" x14ac:dyDescent="0.15">
      <c r="A1781" s="72" t="str">
        <f t="shared" si="27"/>
        <v>Ofsted Social Care Provider Webpage</v>
      </c>
      <c r="B1781" s="55" t="s">
        <v>2650</v>
      </c>
      <c r="D1781" s="55" t="s">
        <v>373</v>
      </c>
      <c r="E1781" s="74">
        <v>36892</v>
      </c>
      <c r="F1781" s="55" t="s">
        <v>344</v>
      </c>
      <c r="G1781" s="55" t="s">
        <v>360</v>
      </c>
      <c r="H1781" s="55" t="s">
        <v>360</v>
      </c>
      <c r="I1781" s="55" t="s">
        <v>360</v>
      </c>
      <c r="J1781" s="55" t="s">
        <v>360</v>
      </c>
      <c r="K1781" s="55" t="s">
        <v>360</v>
      </c>
      <c r="L1781" s="55" t="s">
        <v>360</v>
      </c>
      <c r="M1781" s="55" t="s">
        <v>150</v>
      </c>
      <c r="N1781" s="55" t="s">
        <v>150</v>
      </c>
      <c r="O1781" s="55" t="s">
        <v>237</v>
      </c>
      <c r="P1781" s="55" t="s">
        <v>859</v>
      </c>
      <c r="Q1781" s="55" t="s">
        <v>362</v>
      </c>
      <c r="R1781" s="55">
        <v>6</v>
      </c>
      <c r="S1781" s="74"/>
      <c r="T1781" s="55" t="s">
        <v>1884</v>
      </c>
      <c r="U1781" s="73" t="s">
        <v>351</v>
      </c>
      <c r="V1781" s="74">
        <v>44417</v>
      </c>
      <c r="W1781" s="74">
        <v>44454</v>
      </c>
      <c r="X1781" s="55">
        <v>10187075</v>
      </c>
      <c r="Y1781" s="74" t="s">
        <v>132</v>
      </c>
      <c r="Z1781" s="74"/>
      <c r="AB1781" s="55" t="s">
        <v>132</v>
      </c>
      <c r="AC1781" s="55" t="s">
        <v>130</v>
      </c>
    </row>
    <row r="1782" spans="1:29" ht="13" x14ac:dyDescent="0.15">
      <c r="A1782" s="72" t="str">
        <f t="shared" si="27"/>
        <v>Ofsted Social Care Provider Webpage</v>
      </c>
      <c r="B1782" s="55" t="s">
        <v>2651</v>
      </c>
      <c r="D1782" s="55" t="s">
        <v>373</v>
      </c>
      <c r="E1782" s="74">
        <v>36892</v>
      </c>
      <c r="F1782" s="55" t="s">
        <v>344</v>
      </c>
      <c r="G1782" s="55" t="s">
        <v>360</v>
      </c>
      <c r="H1782" s="55" t="s">
        <v>360</v>
      </c>
      <c r="I1782" s="55" t="s">
        <v>360</v>
      </c>
      <c r="J1782" s="55" t="s">
        <v>360</v>
      </c>
      <c r="K1782" s="55" t="s">
        <v>360</v>
      </c>
      <c r="L1782" s="55" t="s">
        <v>360</v>
      </c>
      <c r="M1782" s="55" t="s">
        <v>150</v>
      </c>
      <c r="N1782" s="55" t="s">
        <v>150</v>
      </c>
      <c r="O1782" s="55" t="s">
        <v>237</v>
      </c>
      <c r="P1782" s="55" t="s">
        <v>990</v>
      </c>
      <c r="Q1782" s="55" t="s">
        <v>362</v>
      </c>
      <c r="R1782" s="55">
        <v>6</v>
      </c>
      <c r="S1782" s="74" t="s">
        <v>332</v>
      </c>
      <c r="T1782" s="55" t="s">
        <v>1884</v>
      </c>
      <c r="U1782" s="73" t="s">
        <v>351</v>
      </c>
      <c r="V1782" s="74">
        <v>44459</v>
      </c>
      <c r="W1782" s="74">
        <v>44503</v>
      </c>
      <c r="X1782" s="55">
        <v>10187106</v>
      </c>
      <c r="Y1782" s="74" t="s">
        <v>132</v>
      </c>
      <c r="Z1782" s="74"/>
      <c r="AB1782" s="55" t="s">
        <v>132</v>
      </c>
      <c r="AC1782" s="55" t="s">
        <v>140</v>
      </c>
    </row>
    <row r="1783" spans="1:29" ht="13" x14ac:dyDescent="0.15">
      <c r="A1783" s="72" t="str">
        <f t="shared" si="27"/>
        <v>Ofsted Social Care Provider Webpage</v>
      </c>
      <c r="B1783" s="55" t="s">
        <v>2652</v>
      </c>
      <c r="D1783" s="55" t="s">
        <v>373</v>
      </c>
      <c r="E1783" s="74">
        <v>35811</v>
      </c>
      <c r="F1783" s="55" t="s">
        <v>344</v>
      </c>
      <c r="G1783" s="55" t="s">
        <v>360</v>
      </c>
      <c r="H1783" s="55" t="s">
        <v>360</v>
      </c>
      <c r="I1783" s="55" t="s">
        <v>360</v>
      </c>
      <c r="J1783" s="55" t="s">
        <v>360</v>
      </c>
      <c r="K1783" s="55" t="s">
        <v>360</v>
      </c>
      <c r="L1783" s="55" t="s">
        <v>360</v>
      </c>
      <c r="M1783" s="55" t="s">
        <v>150</v>
      </c>
      <c r="N1783" s="55" t="s">
        <v>150</v>
      </c>
      <c r="O1783" s="55" t="s">
        <v>268</v>
      </c>
      <c r="P1783" s="55" t="s">
        <v>2653</v>
      </c>
      <c r="Q1783" s="55" t="s">
        <v>350</v>
      </c>
      <c r="R1783" s="55">
        <v>8</v>
      </c>
      <c r="S1783" s="74"/>
      <c r="T1783" s="55" t="s">
        <v>2654</v>
      </c>
      <c r="U1783" s="73" t="s">
        <v>351</v>
      </c>
      <c r="V1783" s="74">
        <v>44580</v>
      </c>
      <c r="W1783" s="74">
        <v>44620</v>
      </c>
      <c r="X1783" s="55">
        <v>10185125</v>
      </c>
      <c r="Y1783" s="74" t="s">
        <v>130</v>
      </c>
      <c r="Z1783" s="74"/>
      <c r="AB1783" s="55" t="s">
        <v>130</v>
      </c>
      <c r="AC1783" s="55" t="s">
        <v>130</v>
      </c>
    </row>
    <row r="1784" spans="1:29" ht="13" x14ac:dyDescent="0.15">
      <c r="A1784" s="72" t="str">
        <f t="shared" si="27"/>
        <v>Ofsted Social Care Provider Webpage</v>
      </c>
      <c r="B1784" s="55" t="s">
        <v>2655</v>
      </c>
      <c r="D1784" s="55" t="s">
        <v>373</v>
      </c>
      <c r="E1784" s="74">
        <v>31497</v>
      </c>
      <c r="F1784" s="55" t="s">
        <v>344</v>
      </c>
      <c r="G1784" s="55" t="s">
        <v>360</v>
      </c>
      <c r="H1784" s="55" t="s">
        <v>360</v>
      </c>
      <c r="I1784" s="55" t="s">
        <v>360</v>
      </c>
      <c r="J1784" s="55" t="s">
        <v>360</v>
      </c>
      <c r="K1784" s="55" t="s">
        <v>360</v>
      </c>
      <c r="L1784" s="55" t="s">
        <v>360</v>
      </c>
      <c r="M1784" s="55" t="s">
        <v>150</v>
      </c>
      <c r="N1784" s="55" t="s">
        <v>150</v>
      </c>
      <c r="O1784" s="55" t="s">
        <v>268</v>
      </c>
      <c r="P1784" s="55" t="s">
        <v>1556</v>
      </c>
      <c r="Q1784" s="55" t="s">
        <v>362</v>
      </c>
      <c r="R1784" s="55">
        <v>14</v>
      </c>
      <c r="S1784" s="74" t="s">
        <v>332</v>
      </c>
      <c r="T1784" s="55" t="s">
        <v>2656</v>
      </c>
      <c r="U1784" s="73" t="s">
        <v>351</v>
      </c>
      <c r="V1784" s="74">
        <v>44299</v>
      </c>
      <c r="W1784" s="74">
        <v>44355</v>
      </c>
      <c r="X1784" s="55">
        <v>10185461</v>
      </c>
      <c r="Y1784" s="74" t="s">
        <v>132</v>
      </c>
      <c r="Z1784" s="74"/>
      <c r="AB1784" s="55" t="s">
        <v>140</v>
      </c>
      <c r="AC1784" s="55" t="s">
        <v>140</v>
      </c>
    </row>
    <row r="1785" spans="1:29" ht="13" x14ac:dyDescent="0.15">
      <c r="A1785" s="72" t="str">
        <f t="shared" si="27"/>
        <v>Ofsted Social Care Provider Webpage</v>
      </c>
      <c r="B1785" s="55" t="s">
        <v>2657</v>
      </c>
      <c r="D1785" s="55" t="s">
        <v>373</v>
      </c>
      <c r="E1785" s="74">
        <v>26780</v>
      </c>
      <c r="F1785" s="55" t="s">
        <v>344</v>
      </c>
      <c r="G1785" s="55" t="s">
        <v>360</v>
      </c>
      <c r="H1785" s="55" t="s">
        <v>360</v>
      </c>
      <c r="I1785" s="55" t="s">
        <v>360</v>
      </c>
      <c r="J1785" s="55" t="s">
        <v>360</v>
      </c>
      <c r="K1785" s="55" t="s">
        <v>360</v>
      </c>
      <c r="L1785" s="55" t="s">
        <v>360</v>
      </c>
      <c r="M1785" s="55" t="s">
        <v>150</v>
      </c>
      <c r="N1785" s="55" t="s">
        <v>150</v>
      </c>
      <c r="O1785" s="55" t="s">
        <v>268</v>
      </c>
      <c r="P1785" s="55" t="s">
        <v>1943</v>
      </c>
      <c r="Q1785" s="55" t="s">
        <v>362</v>
      </c>
      <c r="R1785" s="55">
        <v>16</v>
      </c>
      <c r="S1785" s="74"/>
      <c r="T1785" s="55" t="s">
        <v>367</v>
      </c>
      <c r="U1785" s="73" t="s">
        <v>351</v>
      </c>
      <c r="V1785" s="74">
        <v>44299</v>
      </c>
      <c r="W1785" s="74">
        <v>44348</v>
      </c>
      <c r="X1785" s="55">
        <v>10186679</v>
      </c>
      <c r="Y1785" s="74" t="s">
        <v>132</v>
      </c>
      <c r="Z1785" s="74"/>
      <c r="AB1785" s="55" t="s">
        <v>132</v>
      </c>
      <c r="AC1785" s="55" t="s">
        <v>130</v>
      </c>
    </row>
    <row r="1786" spans="1:29" ht="13" x14ac:dyDescent="0.15">
      <c r="A1786" s="72" t="str">
        <f t="shared" si="27"/>
        <v>Ofsted Social Care Provider Webpage</v>
      </c>
      <c r="B1786" s="55" t="s">
        <v>2658</v>
      </c>
      <c r="D1786" s="55" t="s">
        <v>373</v>
      </c>
      <c r="E1786" s="74">
        <v>31509</v>
      </c>
      <c r="F1786" s="55" t="s">
        <v>344</v>
      </c>
      <c r="G1786" s="55" t="s">
        <v>360</v>
      </c>
      <c r="H1786" s="55" t="s">
        <v>360</v>
      </c>
      <c r="I1786" s="55" t="s">
        <v>360</v>
      </c>
      <c r="J1786" s="55" t="s">
        <v>360</v>
      </c>
      <c r="K1786" s="55" t="s">
        <v>360</v>
      </c>
      <c r="L1786" s="55" t="s">
        <v>360</v>
      </c>
      <c r="M1786" s="55" t="s">
        <v>150</v>
      </c>
      <c r="N1786" s="55" t="s">
        <v>150</v>
      </c>
      <c r="O1786" s="55" t="s">
        <v>268</v>
      </c>
      <c r="P1786" s="55" t="s">
        <v>2659</v>
      </c>
      <c r="Q1786" s="55" t="s">
        <v>362</v>
      </c>
      <c r="R1786" s="55">
        <v>6</v>
      </c>
      <c r="S1786" s="74" t="s">
        <v>332</v>
      </c>
      <c r="T1786" s="55" t="s">
        <v>2660</v>
      </c>
      <c r="U1786" s="73" t="s">
        <v>351</v>
      </c>
      <c r="V1786" s="74">
        <v>43635</v>
      </c>
      <c r="W1786" s="74">
        <v>43689</v>
      </c>
      <c r="X1786" s="55">
        <v>10095213</v>
      </c>
      <c r="Y1786" s="74" t="s">
        <v>132</v>
      </c>
      <c r="Z1786" s="74"/>
      <c r="AB1786" s="55" t="s">
        <v>132</v>
      </c>
      <c r="AC1786" s="55" t="s">
        <v>130</v>
      </c>
    </row>
    <row r="1787" spans="1:29" ht="13" x14ac:dyDescent="0.15">
      <c r="A1787" s="72" t="str">
        <f t="shared" si="27"/>
        <v>Ofsted Social Care Provider Webpage</v>
      </c>
      <c r="B1787" s="55" t="s">
        <v>2661</v>
      </c>
      <c r="C1787" s="55">
        <v>144233</v>
      </c>
      <c r="D1787" s="55" t="s">
        <v>413</v>
      </c>
      <c r="E1787" s="74">
        <v>37301</v>
      </c>
      <c r="F1787" s="55" t="s">
        <v>344</v>
      </c>
      <c r="G1787" s="55" t="s">
        <v>2662</v>
      </c>
      <c r="H1787" s="55" t="s">
        <v>2662</v>
      </c>
      <c r="I1787" s="55" t="s">
        <v>2663</v>
      </c>
      <c r="J1787" s="55" t="s">
        <v>2664</v>
      </c>
      <c r="K1787" s="55" t="s">
        <v>268</v>
      </c>
      <c r="L1787" s="55" t="s">
        <v>2665</v>
      </c>
      <c r="M1787" s="55" t="s">
        <v>150</v>
      </c>
      <c r="N1787" s="55" t="s">
        <v>150</v>
      </c>
      <c r="O1787" s="55" t="s">
        <v>268</v>
      </c>
      <c r="P1787" s="55" t="s">
        <v>2666</v>
      </c>
      <c r="Q1787" s="55" t="s">
        <v>420</v>
      </c>
      <c r="R1787" s="55">
        <v>16</v>
      </c>
      <c r="S1787" s="74"/>
      <c r="T1787" s="55" t="s">
        <v>2667</v>
      </c>
      <c r="U1787" s="73" t="s">
        <v>351</v>
      </c>
      <c r="V1787" s="74">
        <v>44327</v>
      </c>
      <c r="W1787" s="74">
        <v>44384</v>
      </c>
      <c r="X1787" s="55">
        <v>10183546</v>
      </c>
      <c r="Y1787" s="74" t="s">
        <v>132</v>
      </c>
      <c r="Z1787" s="74"/>
      <c r="AB1787" s="55" t="s">
        <v>132</v>
      </c>
      <c r="AC1787" s="55" t="s">
        <v>132</v>
      </c>
    </row>
    <row r="1788" spans="1:29" ht="13" x14ac:dyDescent="0.15">
      <c r="A1788" s="72" t="str">
        <f t="shared" si="27"/>
        <v>Ofsted Social Care Provider Webpage</v>
      </c>
      <c r="B1788" s="55" t="s">
        <v>2668</v>
      </c>
      <c r="C1788" s="55">
        <v>125459</v>
      </c>
      <c r="D1788" s="55" t="s">
        <v>413</v>
      </c>
      <c r="E1788" s="74">
        <v>37301</v>
      </c>
      <c r="F1788" s="55" t="s">
        <v>344</v>
      </c>
      <c r="G1788" s="55" t="s">
        <v>2669</v>
      </c>
      <c r="H1788" s="55" t="s">
        <v>2669</v>
      </c>
      <c r="I1788" s="55" t="s">
        <v>2670</v>
      </c>
      <c r="J1788" s="55" t="s">
        <v>2671</v>
      </c>
      <c r="K1788" s="55" t="s">
        <v>268</v>
      </c>
      <c r="L1788" s="55" t="s">
        <v>2672</v>
      </c>
      <c r="M1788" s="55" t="s">
        <v>150</v>
      </c>
      <c r="N1788" s="55" t="s">
        <v>150</v>
      </c>
      <c r="O1788" s="55" t="s">
        <v>268</v>
      </c>
      <c r="P1788" s="55" t="s">
        <v>1943</v>
      </c>
      <c r="Q1788" s="55" t="s">
        <v>380</v>
      </c>
      <c r="R1788" s="55">
        <v>24</v>
      </c>
      <c r="S1788" s="74"/>
      <c r="T1788" s="55" t="s">
        <v>640</v>
      </c>
      <c r="U1788" s="73" t="s">
        <v>351</v>
      </c>
      <c r="V1788" s="74">
        <v>43809</v>
      </c>
      <c r="W1788" s="74">
        <v>43874</v>
      </c>
      <c r="X1788" s="55">
        <v>10093090</v>
      </c>
      <c r="Y1788" s="74" t="s">
        <v>140</v>
      </c>
      <c r="Z1788" s="74"/>
      <c r="AB1788" s="55" t="s">
        <v>140</v>
      </c>
      <c r="AC1788" s="55" t="s">
        <v>140</v>
      </c>
    </row>
    <row r="1789" spans="1:29" ht="13" x14ac:dyDescent="0.15">
      <c r="A1789" s="72" t="str">
        <f t="shared" si="27"/>
        <v>Ofsted Social Care Provider Webpage</v>
      </c>
      <c r="B1789" s="55" t="s">
        <v>2673</v>
      </c>
      <c r="C1789" s="55">
        <v>125458</v>
      </c>
      <c r="D1789" s="55" t="s">
        <v>413</v>
      </c>
      <c r="E1789" s="74">
        <v>37301</v>
      </c>
      <c r="F1789" s="55" t="s">
        <v>344</v>
      </c>
      <c r="G1789" s="55" t="s">
        <v>2674</v>
      </c>
      <c r="H1789" s="55" t="s">
        <v>2674</v>
      </c>
      <c r="I1789" s="55" t="s">
        <v>2675</v>
      </c>
      <c r="J1789" s="55" t="s">
        <v>2676</v>
      </c>
      <c r="K1789" s="55" t="s">
        <v>268</v>
      </c>
      <c r="L1789" s="55" t="s">
        <v>2677</v>
      </c>
      <c r="M1789" s="55" t="s">
        <v>150</v>
      </c>
      <c r="N1789" s="55" t="s">
        <v>150</v>
      </c>
      <c r="O1789" s="55" t="s">
        <v>268</v>
      </c>
      <c r="P1789" s="55" t="s">
        <v>1943</v>
      </c>
      <c r="Q1789" s="55" t="s">
        <v>380</v>
      </c>
      <c r="R1789" s="55">
        <v>23</v>
      </c>
      <c r="S1789" s="74"/>
      <c r="T1789" s="55" t="s">
        <v>640</v>
      </c>
      <c r="U1789" s="73" t="s">
        <v>351</v>
      </c>
      <c r="V1789" s="74">
        <v>43843</v>
      </c>
      <c r="W1789" s="74">
        <v>43886</v>
      </c>
      <c r="X1789" s="55">
        <v>10093092</v>
      </c>
      <c r="Y1789" s="74" t="s">
        <v>140</v>
      </c>
      <c r="Z1789" s="74"/>
      <c r="AB1789" s="55" t="s">
        <v>140</v>
      </c>
      <c r="AC1789" s="55" t="s">
        <v>140</v>
      </c>
    </row>
    <row r="1790" spans="1:29" ht="13" x14ac:dyDescent="0.15">
      <c r="A1790" s="72" t="str">
        <f t="shared" si="27"/>
        <v>Ofsted Social Care Provider Webpage</v>
      </c>
      <c r="B1790" s="55" t="s">
        <v>2678</v>
      </c>
      <c r="C1790" s="55">
        <v>139151</v>
      </c>
      <c r="D1790" s="55" t="s">
        <v>398</v>
      </c>
      <c r="E1790" s="74">
        <v>37301</v>
      </c>
      <c r="F1790" s="55" t="s">
        <v>344</v>
      </c>
      <c r="G1790" s="55" t="s">
        <v>2679</v>
      </c>
      <c r="H1790" s="55" t="s">
        <v>2680</v>
      </c>
      <c r="I1790" s="55" t="s">
        <v>2681</v>
      </c>
      <c r="J1790" s="55" t="s">
        <v>2682</v>
      </c>
      <c r="K1790" s="55" t="s">
        <v>268</v>
      </c>
      <c r="L1790" s="55" t="s">
        <v>2683</v>
      </c>
      <c r="M1790" s="55" t="s">
        <v>150</v>
      </c>
      <c r="N1790" s="55" t="s">
        <v>150</v>
      </c>
      <c r="O1790" s="55" t="s">
        <v>268</v>
      </c>
      <c r="P1790" s="55" t="s">
        <v>1518</v>
      </c>
      <c r="Q1790" s="55" t="s">
        <v>420</v>
      </c>
      <c r="R1790" s="55">
        <v>273</v>
      </c>
      <c r="S1790" s="74"/>
      <c r="T1790" s="55" t="s">
        <v>2684</v>
      </c>
      <c r="U1790" s="73" t="s">
        <v>351</v>
      </c>
      <c r="V1790" s="74">
        <v>43634</v>
      </c>
      <c r="W1790" s="74">
        <v>43700</v>
      </c>
      <c r="X1790" s="55">
        <v>10092968</v>
      </c>
      <c r="Y1790" s="74" t="s">
        <v>140</v>
      </c>
      <c r="Z1790" s="74"/>
      <c r="AB1790" s="55" t="s">
        <v>140</v>
      </c>
      <c r="AC1790" s="55" t="s">
        <v>140</v>
      </c>
    </row>
    <row r="1791" spans="1:29" ht="13" x14ac:dyDescent="0.15">
      <c r="A1791" s="72" t="str">
        <f t="shared" si="27"/>
        <v>Ofsted Social Care Provider Webpage</v>
      </c>
      <c r="B1791" s="55" t="s">
        <v>2685</v>
      </c>
      <c r="C1791" s="55">
        <v>125478</v>
      </c>
      <c r="D1791" s="55" t="s">
        <v>413</v>
      </c>
      <c r="E1791" s="74">
        <v>37301</v>
      </c>
      <c r="F1791" s="55" t="s">
        <v>344</v>
      </c>
      <c r="G1791" s="55" t="s">
        <v>2686</v>
      </c>
      <c r="H1791" s="55" t="s">
        <v>2687</v>
      </c>
      <c r="I1791" s="55" t="s">
        <v>2688</v>
      </c>
      <c r="J1791" s="55" t="s">
        <v>2689</v>
      </c>
      <c r="K1791" s="55" t="s">
        <v>268</v>
      </c>
      <c r="L1791" s="55" t="s">
        <v>2690</v>
      </c>
      <c r="M1791" s="55" t="s">
        <v>150</v>
      </c>
      <c r="N1791" s="55" t="s">
        <v>150</v>
      </c>
      <c r="O1791" s="55" t="s">
        <v>268</v>
      </c>
      <c r="P1791" s="55" t="s">
        <v>2659</v>
      </c>
      <c r="Q1791" s="55" t="s">
        <v>362</v>
      </c>
      <c r="R1791" s="55">
        <v>15</v>
      </c>
      <c r="S1791" s="74"/>
      <c r="T1791" s="55" t="s">
        <v>2561</v>
      </c>
      <c r="U1791" s="73" t="s">
        <v>351</v>
      </c>
      <c r="V1791" s="74">
        <v>43725</v>
      </c>
      <c r="W1791" s="74">
        <v>43766</v>
      </c>
      <c r="X1791" s="55">
        <v>10093099</v>
      </c>
      <c r="Y1791" s="74" t="s">
        <v>132</v>
      </c>
      <c r="Z1791" s="74"/>
      <c r="AB1791" s="55" t="s">
        <v>130</v>
      </c>
      <c r="AC1791" s="55" t="s">
        <v>132</v>
      </c>
    </row>
    <row r="1792" spans="1:29" ht="13" x14ac:dyDescent="0.15">
      <c r="A1792" s="72" t="str">
        <f t="shared" si="27"/>
        <v>Ofsted Social Care Provider Webpage</v>
      </c>
      <c r="B1792" s="55" t="s">
        <v>2691</v>
      </c>
      <c r="C1792" s="55">
        <v>125454</v>
      </c>
      <c r="D1792" s="55" t="s">
        <v>413</v>
      </c>
      <c r="E1792" s="74">
        <v>37301</v>
      </c>
      <c r="F1792" s="55" t="s">
        <v>344</v>
      </c>
      <c r="G1792" s="55" t="s">
        <v>2692</v>
      </c>
      <c r="H1792" s="55" t="s">
        <v>2692</v>
      </c>
      <c r="I1792" s="55" t="s">
        <v>2693</v>
      </c>
      <c r="J1792" s="55" t="s">
        <v>2694</v>
      </c>
      <c r="K1792" s="55" t="s">
        <v>268</v>
      </c>
      <c r="L1792" s="55" t="s">
        <v>2695</v>
      </c>
      <c r="M1792" s="55" t="s">
        <v>150</v>
      </c>
      <c r="N1792" s="55" t="s">
        <v>150</v>
      </c>
      <c r="O1792" s="55" t="s">
        <v>268</v>
      </c>
      <c r="P1792" s="55" t="s">
        <v>1943</v>
      </c>
      <c r="Q1792" s="55" t="s">
        <v>362</v>
      </c>
      <c r="R1792" s="55">
        <v>66</v>
      </c>
      <c r="S1792" s="74"/>
      <c r="T1792" s="55" t="s">
        <v>2696</v>
      </c>
      <c r="U1792" s="73" t="s">
        <v>351</v>
      </c>
      <c r="V1792" s="74">
        <v>44515</v>
      </c>
      <c r="W1792" s="74">
        <v>44581</v>
      </c>
      <c r="X1792" s="55">
        <v>10183470</v>
      </c>
      <c r="Y1792" s="74" t="s">
        <v>140</v>
      </c>
      <c r="Z1792" s="74"/>
      <c r="AB1792" s="55" t="s">
        <v>140</v>
      </c>
      <c r="AC1792" s="55" t="s">
        <v>140</v>
      </c>
    </row>
    <row r="1793" spans="1:29" ht="13" x14ac:dyDescent="0.15">
      <c r="A1793" s="72" t="str">
        <f t="shared" si="27"/>
        <v>Ofsted Social Care Provider Webpage</v>
      </c>
      <c r="B1793" s="55" t="s">
        <v>2697</v>
      </c>
      <c r="C1793" s="55">
        <v>125403</v>
      </c>
      <c r="D1793" s="55" t="s">
        <v>413</v>
      </c>
      <c r="E1793" s="74">
        <v>37301</v>
      </c>
      <c r="F1793" s="55" t="s">
        <v>344</v>
      </c>
      <c r="G1793" s="55" t="s">
        <v>2698</v>
      </c>
      <c r="H1793" s="55" t="s">
        <v>2699</v>
      </c>
      <c r="I1793" s="55" t="s">
        <v>2700</v>
      </c>
      <c r="J1793" s="55" t="s">
        <v>2701</v>
      </c>
      <c r="K1793" s="55" t="s">
        <v>268</v>
      </c>
      <c r="L1793" s="55" t="s">
        <v>2702</v>
      </c>
      <c r="M1793" s="55" t="s">
        <v>150</v>
      </c>
      <c r="N1793" s="55" t="s">
        <v>150</v>
      </c>
      <c r="O1793" s="55" t="s">
        <v>268</v>
      </c>
      <c r="P1793" s="55" t="s">
        <v>2653</v>
      </c>
      <c r="Q1793" s="55" t="s">
        <v>362</v>
      </c>
      <c r="R1793" s="55">
        <v>112</v>
      </c>
      <c r="S1793" s="74"/>
      <c r="T1793" s="55" t="s">
        <v>2703</v>
      </c>
      <c r="U1793" s="73" t="s">
        <v>351</v>
      </c>
      <c r="V1793" s="74">
        <v>44579</v>
      </c>
      <c r="W1793" s="74">
        <v>44623</v>
      </c>
      <c r="X1793" s="55">
        <v>10183479</v>
      </c>
      <c r="Y1793" s="74" t="s">
        <v>140</v>
      </c>
      <c r="Z1793" s="74"/>
      <c r="AB1793" s="55" t="s">
        <v>140</v>
      </c>
      <c r="AC1793" s="55" t="s">
        <v>140</v>
      </c>
    </row>
    <row r="1794" spans="1:29" ht="13" x14ac:dyDescent="0.15">
      <c r="A1794" s="72" t="str">
        <f t="shared" si="27"/>
        <v>Ofsted Social Care Provider Webpage</v>
      </c>
      <c r="B1794" s="55" t="s">
        <v>2704</v>
      </c>
      <c r="C1794" s="55">
        <v>125279</v>
      </c>
      <c r="D1794" s="55" t="s">
        <v>398</v>
      </c>
      <c r="E1794" s="74">
        <v>37301</v>
      </c>
      <c r="F1794" s="55" t="s">
        <v>344</v>
      </c>
      <c r="G1794" s="55" t="s">
        <v>2705</v>
      </c>
      <c r="H1794" s="55" t="s">
        <v>2706</v>
      </c>
      <c r="I1794" s="55" t="s">
        <v>2707</v>
      </c>
      <c r="J1794" s="55" t="s">
        <v>1771</v>
      </c>
      <c r="K1794" s="55" t="s">
        <v>268</v>
      </c>
      <c r="L1794" s="55" t="s">
        <v>2708</v>
      </c>
      <c r="M1794" s="55" t="s">
        <v>150</v>
      </c>
      <c r="N1794" s="55" t="s">
        <v>150</v>
      </c>
      <c r="O1794" s="55" t="s">
        <v>268</v>
      </c>
      <c r="P1794" s="55" t="s">
        <v>1771</v>
      </c>
      <c r="Q1794" s="55" t="s">
        <v>380</v>
      </c>
      <c r="R1794" s="55">
        <v>567</v>
      </c>
      <c r="S1794" s="74"/>
      <c r="T1794" s="55" t="s">
        <v>2709</v>
      </c>
      <c r="U1794" s="73" t="s">
        <v>351</v>
      </c>
      <c r="V1794" s="74">
        <v>43165</v>
      </c>
      <c r="W1794" s="74">
        <v>43214</v>
      </c>
      <c r="X1794" s="55">
        <v>10026918</v>
      </c>
      <c r="Y1794" s="74" t="s">
        <v>140</v>
      </c>
      <c r="Z1794" s="74"/>
      <c r="AB1794" s="55" t="s">
        <v>132</v>
      </c>
      <c r="AC1794" s="55" t="s">
        <v>140</v>
      </c>
    </row>
    <row r="1795" spans="1:29" ht="13" x14ac:dyDescent="0.15">
      <c r="A1795" s="72" t="str">
        <f t="shared" si="27"/>
        <v>Ofsted Social Care Provider Webpage</v>
      </c>
      <c r="B1795" s="55" t="s">
        <v>2710</v>
      </c>
      <c r="D1795" s="55" t="s">
        <v>373</v>
      </c>
      <c r="E1795" s="74">
        <v>36108</v>
      </c>
      <c r="F1795" s="55" t="s">
        <v>344</v>
      </c>
      <c r="G1795" s="55" t="s">
        <v>360</v>
      </c>
      <c r="H1795" s="55" t="s">
        <v>360</v>
      </c>
      <c r="I1795" s="55" t="s">
        <v>360</v>
      </c>
      <c r="J1795" s="55" t="s">
        <v>360</v>
      </c>
      <c r="K1795" s="55" t="s">
        <v>360</v>
      </c>
      <c r="L1795" s="55" t="s">
        <v>360</v>
      </c>
      <c r="M1795" s="55" t="s">
        <v>150</v>
      </c>
      <c r="N1795" s="55" t="s">
        <v>150</v>
      </c>
      <c r="O1795" s="55" t="s">
        <v>153</v>
      </c>
      <c r="P1795" s="55" t="s">
        <v>1331</v>
      </c>
      <c r="Q1795" s="55" t="s">
        <v>350</v>
      </c>
      <c r="R1795" s="55">
        <v>7</v>
      </c>
      <c r="S1795" s="74"/>
      <c r="T1795" s="55" t="s">
        <v>1332</v>
      </c>
      <c r="U1795" s="73" t="s">
        <v>351</v>
      </c>
      <c r="V1795" s="74">
        <v>44349</v>
      </c>
      <c r="W1795" s="74">
        <v>44392</v>
      </c>
      <c r="X1795" s="55">
        <v>10187010</v>
      </c>
      <c r="Y1795" s="74" t="s">
        <v>140</v>
      </c>
      <c r="Z1795" s="74"/>
      <c r="AB1795" s="55" t="s">
        <v>132</v>
      </c>
      <c r="AC1795" s="55" t="s">
        <v>140</v>
      </c>
    </row>
    <row r="1796" spans="1:29" ht="13" x14ac:dyDescent="0.15">
      <c r="A1796" s="72" t="str">
        <f t="shared" si="27"/>
        <v>Ofsted Social Care Provider Webpage</v>
      </c>
      <c r="B1796" s="55" t="s">
        <v>2711</v>
      </c>
      <c r="C1796" s="55">
        <v>126139</v>
      </c>
      <c r="D1796" s="55" t="s">
        <v>413</v>
      </c>
      <c r="E1796" s="74">
        <v>37301</v>
      </c>
      <c r="F1796" s="55" t="s">
        <v>344</v>
      </c>
      <c r="G1796" s="55" t="s">
        <v>2712</v>
      </c>
      <c r="H1796" s="55" t="s">
        <v>2713</v>
      </c>
      <c r="I1796" s="55" t="s">
        <v>2714</v>
      </c>
      <c r="J1796" s="55" t="s">
        <v>2715</v>
      </c>
      <c r="K1796" s="55" t="s">
        <v>285</v>
      </c>
      <c r="L1796" s="55" t="s">
        <v>2716</v>
      </c>
      <c r="M1796" s="55" t="s">
        <v>150</v>
      </c>
      <c r="N1796" s="55" t="s">
        <v>150</v>
      </c>
      <c r="O1796" s="55" t="s">
        <v>285</v>
      </c>
      <c r="P1796" s="55" t="s">
        <v>1810</v>
      </c>
      <c r="Q1796" s="55" t="s">
        <v>362</v>
      </c>
      <c r="R1796" s="55">
        <v>60</v>
      </c>
      <c r="S1796" s="74"/>
      <c r="T1796" s="55" t="s">
        <v>2717</v>
      </c>
      <c r="U1796" s="73" t="s">
        <v>351</v>
      </c>
      <c r="V1796" s="74">
        <v>44572</v>
      </c>
      <c r="W1796" s="74">
        <v>44631</v>
      </c>
      <c r="X1796" s="55">
        <v>10183468</v>
      </c>
      <c r="Y1796" s="74" t="s">
        <v>132</v>
      </c>
      <c r="Z1796" s="74"/>
      <c r="AB1796" s="55" t="s">
        <v>132</v>
      </c>
      <c r="AC1796" s="55" t="s">
        <v>132</v>
      </c>
    </row>
    <row r="1797" spans="1:29" ht="13" x14ac:dyDescent="0.15">
      <c r="A1797" s="72" t="str">
        <f t="shared" si="27"/>
        <v>Ofsted Social Care Provider Webpage</v>
      </c>
      <c r="B1797" s="55" t="s">
        <v>2718</v>
      </c>
      <c r="C1797" s="55">
        <v>135814</v>
      </c>
      <c r="D1797" s="55" t="s">
        <v>413</v>
      </c>
      <c r="E1797" s="74">
        <v>37301</v>
      </c>
      <c r="F1797" s="55" t="s">
        <v>344</v>
      </c>
      <c r="G1797" s="55" t="s">
        <v>2719</v>
      </c>
      <c r="H1797" s="55" t="s">
        <v>2719</v>
      </c>
      <c r="I1797" s="55" t="s">
        <v>2720</v>
      </c>
      <c r="J1797" s="55" t="s">
        <v>2721</v>
      </c>
      <c r="K1797" s="55" t="s">
        <v>285</v>
      </c>
      <c r="L1797" s="55" t="s">
        <v>2722</v>
      </c>
      <c r="M1797" s="55" t="s">
        <v>150</v>
      </c>
      <c r="N1797" s="55" t="s">
        <v>150</v>
      </c>
      <c r="O1797" s="55" t="s">
        <v>285</v>
      </c>
      <c r="P1797" s="55" t="s">
        <v>796</v>
      </c>
      <c r="Q1797" s="55" t="s">
        <v>362</v>
      </c>
      <c r="R1797" s="55">
        <v>15</v>
      </c>
      <c r="S1797" s="74"/>
      <c r="T1797" s="55" t="s">
        <v>2723</v>
      </c>
      <c r="U1797" s="73" t="s">
        <v>351</v>
      </c>
      <c r="V1797" s="74">
        <v>44327</v>
      </c>
      <c r="W1797" s="74">
        <v>44383</v>
      </c>
      <c r="X1797" s="55">
        <v>10183543</v>
      </c>
      <c r="Y1797" s="74" t="s">
        <v>140</v>
      </c>
      <c r="Z1797" s="74"/>
      <c r="AB1797" s="55" t="s">
        <v>140</v>
      </c>
      <c r="AC1797" s="55" t="s">
        <v>140</v>
      </c>
    </row>
    <row r="1798" spans="1:29" ht="13" x14ac:dyDescent="0.15">
      <c r="A1798" s="72" t="str">
        <f t="shared" ref="A1798:A1861" si="28">HYPERLINK(_xlfn.CONCAT("http://reports.ofsted.gov.uk/inspection-reports/find-inspection-report/provider/CARE/",B1798),"Ofsted Social Care Provider Webpage")</f>
        <v>Ofsted Social Care Provider Webpage</v>
      </c>
      <c r="B1798" s="55" t="s">
        <v>2724</v>
      </c>
      <c r="C1798" s="55">
        <v>126154</v>
      </c>
      <c r="D1798" s="55" t="s">
        <v>413</v>
      </c>
      <c r="E1798" s="74">
        <v>37301</v>
      </c>
      <c r="F1798" s="55" t="s">
        <v>344</v>
      </c>
      <c r="G1798" s="55" t="s">
        <v>2725</v>
      </c>
      <c r="H1798" s="55" t="s">
        <v>2726</v>
      </c>
      <c r="I1798" s="55" t="s">
        <v>354</v>
      </c>
      <c r="J1798" s="55" t="s">
        <v>2727</v>
      </c>
      <c r="K1798" s="55" t="s">
        <v>285</v>
      </c>
      <c r="L1798" s="55" t="s">
        <v>2728</v>
      </c>
      <c r="M1798" s="55" t="s">
        <v>150</v>
      </c>
      <c r="N1798" s="55" t="s">
        <v>150</v>
      </c>
      <c r="O1798" s="55" t="s">
        <v>285</v>
      </c>
      <c r="P1798" s="55" t="s">
        <v>796</v>
      </c>
      <c r="Q1798" s="55" t="s">
        <v>350</v>
      </c>
      <c r="R1798" s="55">
        <v>43</v>
      </c>
      <c r="S1798" s="74"/>
      <c r="T1798" s="55" t="s">
        <v>2729</v>
      </c>
      <c r="U1798" s="73" t="s">
        <v>351</v>
      </c>
      <c r="V1798" s="74">
        <v>43900</v>
      </c>
      <c r="W1798" s="74">
        <v>43937</v>
      </c>
      <c r="X1798" s="55">
        <v>10093105</v>
      </c>
      <c r="Y1798" s="74" t="s">
        <v>140</v>
      </c>
      <c r="Z1798" s="74"/>
      <c r="AB1798" s="55" t="s">
        <v>140</v>
      </c>
      <c r="AC1798" s="55" t="s">
        <v>140</v>
      </c>
    </row>
    <row r="1799" spans="1:29" ht="13" x14ac:dyDescent="0.15">
      <c r="A1799" s="72" t="str">
        <f t="shared" si="28"/>
        <v>Ofsted Social Care Provider Webpage</v>
      </c>
      <c r="B1799" s="55" t="s">
        <v>2730</v>
      </c>
      <c r="D1799" s="55" t="s">
        <v>373</v>
      </c>
      <c r="E1799" s="74">
        <v>37073</v>
      </c>
      <c r="F1799" s="55" t="s">
        <v>344</v>
      </c>
      <c r="G1799" s="55" t="s">
        <v>360</v>
      </c>
      <c r="H1799" s="55" t="s">
        <v>360</v>
      </c>
      <c r="I1799" s="55" t="s">
        <v>360</v>
      </c>
      <c r="J1799" s="55" t="s">
        <v>360</v>
      </c>
      <c r="K1799" s="55" t="s">
        <v>360</v>
      </c>
      <c r="L1799" s="55" t="s">
        <v>360</v>
      </c>
      <c r="M1799" s="55" t="s">
        <v>150</v>
      </c>
      <c r="N1799" s="55" t="s">
        <v>150</v>
      </c>
      <c r="O1799" s="55" t="s">
        <v>285</v>
      </c>
      <c r="P1799" s="55" t="s">
        <v>565</v>
      </c>
      <c r="Q1799" s="55" t="s">
        <v>350</v>
      </c>
      <c r="R1799" s="55">
        <v>4</v>
      </c>
      <c r="S1799" s="74"/>
      <c r="T1799" s="55" t="s">
        <v>931</v>
      </c>
      <c r="U1799" s="73" t="s">
        <v>351</v>
      </c>
      <c r="V1799" s="74">
        <v>43599</v>
      </c>
      <c r="W1799" s="74">
        <v>43633</v>
      </c>
      <c r="X1799" s="55">
        <v>10095327</v>
      </c>
      <c r="Y1799" s="74" t="s">
        <v>132</v>
      </c>
      <c r="Z1799" s="74"/>
      <c r="AB1799" s="55" t="s">
        <v>132</v>
      </c>
      <c r="AC1799" s="55" t="s">
        <v>130</v>
      </c>
    </row>
    <row r="1800" spans="1:29" ht="13" x14ac:dyDescent="0.15">
      <c r="A1800" s="72" t="str">
        <f t="shared" si="28"/>
        <v>Ofsted Social Care Provider Webpage</v>
      </c>
      <c r="B1800" s="55" t="s">
        <v>2731</v>
      </c>
      <c r="C1800" s="55">
        <v>126132</v>
      </c>
      <c r="D1800" s="55" t="s">
        <v>398</v>
      </c>
      <c r="E1800" s="74">
        <v>37301</v>
      </c>
      <c r="F1800" s="55" t="s">
        <v>344</v>
      </c>
      <c r="G1800" s="55" t="s">
        <v>2732</v>
      </c>
      <c r="H1800" s="55" t="s">
        <v>2733</v>
      </c>
      <c r="I1800" s="55" t="s">
        <v>2734</v>
      </c>
      <c r="J1800" s="55" t="s">
        <v>796</v>
      </c>
      <c r="K1800" s="55" t="s">
        <v>285</v>
      </c>
      <c r="L1800" s="55" t="s">
        <v>2735</v>
      </c>
      <c r="M1800" s="55" t="s">
        <v>150</v>
      </c>
      <c r="N1800" s="55" t="s">
        <v>150</v>
      </c>
      <c r="O1800" s="55" t="s">
        <v>285</v>
      </c>
      <c r="P1800" s="55" t="s">
        <v>796</v>
      </c>
      <c r="Q1800" s="55" t="s">
        <v>362</v>
      </c>
      <c r="R1800" s="55">
        <v>205</v>
      </c>
      <c r="S1800" s="74"/>
      <c r="T1800" s="55" t="s">
        <v>2736</v>
      </c>
      <c r="U1800" s="73" t="s">
        <v>351</v>
      </c>
      <c r="V1800" s="74">
        <v>43585</v>
      </c>
      <c r="W1800" s="74">
        <v>43619</v>
      </c>
      <c r="X1800" s="55">
        <v>10099043</v>
      </c>
      <c r="Y1800" s="74" t="s">
        <v>132</v>
      </c>
      <c r="Z1800" s="74"/>
      <c r="AB1800" s="55" t="s">
        <v>132</v>
      </c>
      <c r="AC1800" s="55" t="s">
        <v>132</v>
      </c>
    </row>
    <row r="1801" spans="1:29" ht="13" x14ac:dyDescent="0.15">
      <c r="A1801" s="72" t="str">
        <f t="shared" si="28"/>
        <v>Ofsted Social Care Provider Webpage</v>
      </c>
      <c r="B1801" s="55" t="s">
        <v>2737</v>
      </c>
      <c r="D1801" s="55" t="s">
        <v>373</v>
      </c>
      <c r="E1801" s="74">
        <v>37073</v>
      </c>
      <c r="F1801" s="55" t="s">
        <v>344</v>
      </c>
      <c r="G1801" s="55" t="s">
        <v>360</v>
      </c>
      <c r="H1801" s="55" t="s">
        <v>360</v>
      </c>
      <c r="I1801" s="55" t="s">
        <v>360</v>
      </c>
      <c r="J1801" s="55" t="s">
        <v>360</v>
      </c>
      <c r="K1801" s="55" t="s">
        <v>360</v>
      </c>
      <c r="L1801" s="55" t="s">
        <v>360</v>
      </c>
      <c r="M1801" s="55" t="s">
        <v>150</v>
      </c>
      <c r="N1801" s="55" t="s">
        <v>150</v>
      </c>
      <c r="O1801" s="55" t="s">
        <v>285</v>
      </c>
      <c r="P1801" s="55" t="s">
        <v>2738</v>
      </c>
      <c r="Q1801" s="55" t="s">
        <v>350</v>
      </c>
      <c r="R1801" s="55">
        <v>6</v>
      </c>
      <c r="S1801" s="74"/>
      <c r="T1801" s="55" t="s">
        <v>2739</v>
      </c>
      <c r="U1801" s="73" t="s">
        <v>351</v>
      </c>
      <c r="V1801" s="74">
        <v>44567</v>
      </c>
      <c r="W1801" s="74">
        <v>44603</v>
      </c>
      <c r="X1801" s="55">
        <v>10187593</v>
      </c>
      <c r="Y1801" s="74" t="s">
        <v>132</v>
      </c>
      <c r="Z1801" s="74"/>
      <c r="AB1801" s="55" t="s">
        <v>132</v>
      </c>
      <c r="AC1801" s="55" t="s">
        <v>140</v>
      </c>
    </row>
    <row r="1802" spans="1:29" ht="13" x14ac:dyDescent="0.15">
      <c r="A1802" s="72" t="str">
        <f t="shared" si="28"/>
        <v>Ofsted Social Care Provider Webpage</v>
      </c>
      <c r="B1802" s="55" t="s">
        <v>2740</v>
      </c>
      <c r="D1802" s="55" t="s">
        <v>373</v>
      </c>
      <c r="E1802" s="74">
        <v>36373</v>
      </c>
      <c r="F1802" s="55" t="s">
        <v>344</v>
      </c>
      <c r="G1802" s="55" t="s">
        <v>360</v>
      </c>
      <c r="H1802" s="55" t="s">
        <v>360</v>
      </c>
      <c r="I1802" s="55" t="s">
        <v>360</v>
      </c>
      <c r="J1802" s="55" t="s">
        <v>360</v>
      </c>
      <c r="K1802" s="55" t="s">
        <v>360</v>
      </c>
      <c r="L1802" s="55" t="s">
        <v>360</v>
      </c>
      <c r="M1802" s="55" t="s">
        <v>138</v>
      </c>
      <c r="N1802" s="55" t="s">
        <v>138</v>
      </c>
      <c r="O1802" s="55" t="s">
        <v>159</v>
      </c>
      <c r="P1802" s="55" t="s">
        <v>1025</v>
      </c>
      <c r="Q1802" s="55" t="s">
        <v>350</v>
      </c>
      <c r="R1802" s="55">
        <v>5</v>
      </c>
      <c r="S1802" s="74"/>
      <c r="T1802" s="55" t="s">
        <v>2741</v>
      </c>
      <c r="U1802" s="73" t="s">
        <v>351</v>
      </c>
      <c r="V1802" s="74">
        <v>44375</v>
      </c>
      <c r="W1802" s="74">
        <v>44398</v>
      </c>
      <c r="X1802" s="55">
        <v>10186348</v>
      </c>
      <c r="Y1802" s="74" t="s">
        <v>140</v>
      </c>
      <c r="Z1802" s="74"/>
      <c r="AB1802" s="55" t="s">
        <v>140</v>
      </c>
      <c r="AC1802" s="55" t="s">
        <v>140</v>
      </c>
    </row>
    <row r="1803" spans="1:29" ht="13" x14ac:dyDescent="0.15">
      <c r="A1803" s="72" t="str">
        <f t="shared" si="28"/>
        <v>Ofsted Social Care Provider Webpage</v>
      </c>
      <c r="B1803" s="55" t="s">
        <v>2742</v>
      </c>
      <c r="D1803" s="55" t="s">
        <v>373</v>
      </c>
      <c r="E1803" s="74">
        <v>35839</v>
      </c>
      <c r="F1803" s="55" t="s">
        <v>344</v>
      </c>
      <c r="G1803" s="55" t="s">
        <v>360</v>
      </c>
      <c r="H1803" s="55" t="s">
        <v>360</v>
      </c>
      <c r="I1803" s="55" t="s">
        <v>360</v>
      </c>
      <c r="J1803" s="55" t="s">
        <v>360</v>
      </c>
      <c r="K1803" s="55" t="s">
        <v>360</v>
      </c>
      <c r="L1803" s="55" t="s">
        <v>360</v>
      </c>
      <c r="M1803" s="55" t="s">
        <v>138</v>
      </c>
      <c r="N1803" s="55" t="s">
        <v>138</v>
      </c>
      <c r="O1803" s="55" t="s">
        <v>159</v>
      </c>
      <c r="P1803" s="55" t="s">
        <v>1025</v>
      </c>
      <c r="Q1803" s="55" t="s">
        <v>362</v>
      </c>
      <c r="R1803" s="55">
        <v>6</v>
      </c>
      <c r="S1803" s="74"/>
      <c r="T1803" s="55" t="s">
        <v>2743</v>
      </c>
      <c r="U1803" s="73" t="s">
        <v>351</v>
      </c>
      <c r="V1803" s="74">
        <v>44460</v>
      </c>
      <c r="W1803" s="74">
        <v>44488</v>
      </c>
      <c r="X1803" s="55">
        <v>10187304</v>
      </c>
      <c r="Y1803" s="74" t="s">
        <v>140</v>
      </c>
      <c r="Z1803" s="74"/>
      <c r="AB1803" s="55" t="s">
        <v>140</v>
      </c>
      <c r="AC1803" s="55" t="s">
        <v>132</v>
      </c>
    </row>
    <row r="1804" spans="1:29" ht="13" x14ac:dyDescent="0.15">
      <c r="A1804" s="72" t="str">
        <f t="shared" si="28"/>
        <v>Ofsted Social Care Provider Webpage</v>
      </c>
      <c r="B1804" s="55" t="s">
        <v>2744</v>
      </c>
      <c r="D1804" s="55" t="s">
        <v>373</v>
      </c>
      <c r="E1804" s="74">
        <v>37231</v>
      </c>
      <c r="F1804" s="55" t="s">
        <v>344</v>
      </c>
      <c r="G1804" s="55" t="s">
        <v>360</v>
      </c>
      <c r="H1804" s="55" t="s">
        <v>360</v>
      </c>
      <c r="I1804" s="55" t="s">
        <v>360</v>
      </c>
      <c r="J1804" s="55" t="s">
        <v>360</v>
      </c>
      <c r="K1804" s="55" t="s">
        <v>360</v>
      </c>
      <c r="L1804" s="55" t="s">
        <v>360</v>
      </c>
      <c r="M1804" s="55" t="s">
        <v>136</v>
      </c>
      <c r="N1804" s="55" t="s">
        <v>136</v>
      </c>
      <c r="O1804" s="55" t="s">
        <v>255</v>
      </c>
      <c r="P1804" s="55" t="s">
        <v>583</v>
      </c>
      <c r="Q1804" s="55" t="s">
        <v>350</v>
      </c>
      <c r="R1804" s="55">
        <v>3</v>
      </c>
      <c r="S1804" s="74"/>
      <c r="T1804" s="55" t="s">
        <v>900</v>
      </c>
      <c r="U1804" s="73" t="s">
        <v>351</v>
      </c>
      <c r="V1804" s="74">
        <v>44545</v>
      </c>
      <c r="W1804" s="74">
        <v>44592</v>
      </c>
      <c r="X1804" s="55">
        <v>10186951</v>
      </c>
      <c r="Y1804" s="74" t="s">
        <v>130</v>
      </c>
      <c r="Z1804" s="74"/>
      <c r="AB1804" s="55" t="s">
        <v>132</v>
      </c>
      <c r="AC1804" s="55" t="s">
        <v>130</v>
      </c>
    </row>
    <row r="1805" spans="1:29" ht="13" x14ac:dyDescent="0.15">
      <c r="A1805" s="72" t="str">
        <f t="shared" si="28"/>
        <v>Ofsted Social Care Provider Webpage</v>
      </c>
      <c r="B1805" s="55" t="s">
        <v>2745</v>
      </c>
      <c r="D1805" s="55" t="s">
        <v>373</v>
      </c>
      <c r="E1805" s="74">
        <v>33774</v>
      </c>
      <c r="F1805" s="55" t="s">
        <v>344</v>
      </c>
      <c r="G1805" s="55" t="s">
        <v>360</v>
      </c>
      <c r="H1805" s="55" t="s">
        <v>360</v>
      </c>
      <c r="I1805" s="55" t="s">
        <v>360</v>
      </c>
      <c r="J1805" s="55" t="s">
        <v>360</v>
      </c>
      <c r="K1805" s="55" t="s">
        <v>360</v>
      </c>
      <c r="L1805" s="55" t="s">
        <v>360</v>
      </c>
      <c r="M1805" s="55" t="s">
        <v>136</v>
      </c>
      <c r="N1805" s="55" t="s">
        <v>136</v>
      </c>
      <c r="O1805" s="55" t="s">
        <v>185</v>
      </c>
      <c r="P1805" s="55" t="s">
        <v>898</v>
      </c>
      <c r="Q1805" s="55" t="s">
        <v>350</v>
      </c>
      <c r="R1805" s="55">
        <v>5</v>
      </c>
      <c r="S1805" s="74"/>
      <c r="T1805" s="55" t="s">
        <v>2746</v>
      </c>
      <c r="U1805" s="73" t="s">
        <v>351</v>
      </c>
      <c r="V1805" s="74">
        <v>44326</v>
      </c>
      <c r="W1805" s="74">
        <v>44365</v>
      </c>
      <c r="X1805" s="55">
        <v>10187151</v>
      </c>
      <c r="Y1805" s="74" t="s">
        <v>130</v>
      </c>
      <c r="Z1805" s="74"/>
      <c r="AB1805" s="55" t="s">
        <v>130</v>
      </c>
      <c r="AC1805" s="55" t="s">
        <v>146</v>
      </c>
    </row>
    <row r="1806" spans="1:29" ht="13" x14ac:dyDescent="0.15">
      <c r="A1806" s="72" t="str">
        <f t="shared" si="28"/>
        <v>Ofsted Social Care Provider Webpage</v>
      </c>
      <c r="B1806" s="55" t="s">
        <v>2747</v>
      </c>
      <c r="D1806" s="55" t="s">
        <v>373</v>
      </c>
      <c r="E1806" s="74">
        <v>37103</v>
      </c>
      <c r="F1806" s="55" t="s">
        <v>344</v>
      </c>
      <c r="G1806" s="55" t="s">
        <v>360</v>
      </c>
      <c r="H1806" s="55" t="s">
        <v>360</v>
      </c>
      <c r="I1806" s="55" t="s">
        <v>360</v>
      </c>
      <c r="J1806" s="55" t="s">
        <v>360</v>
      </c>
      <c r="K1806" s="55" t="s">
        <v>360</v>
      </c>
      <c r="L1806" s="55" t="s">
        <v>360</v>
      </c>
      <c r="M1806" s="55" t="s">
        <v>136</v>
      </c>
      <c r="N1806" s="55" t="s">
        <v>136</v>
      </c>
      <c r="O1806" s="55" t="s">
        <v>185</v>
      </c>
      <c r="P1806" s="55" t="s">
        <v>382</v>
      </c>
      <c r="Q1806" s="55" t="s">
        <v>350</v>
      </c>
      <c r="R1806" s="55">
        <v>4</v>
      </c>
      <c r="S1806" s="74"/>
      <c r="T1806" s="55" t="s">
        <v>2748</v>
      </c>
      <c r="U1806" s="73" t="s">
        <v>351</v>
      </c>
      <c r="V1806" s="74">
        <v>44411</v>
      </c>
      <c r="W1806" s="74">
        <v>44441</v>
      </c>
      <c r="X1806" s="55">
        <v>10187634</v>
      </c>
      <c r="Y1806" s="74" t="s">
        <v>140</v>
      </c>
      <c r="Z1806" s="74"/>
      <c r="AB1806" s="55" t="s">
        <v>132</v>
      </c>
      <c r="AC1806" s="55" t="s">
        <v>140</v>
      </c>
    </row>
    <row r="1807" spans="1:29" ht="13" x14ac:dyDescent="0.15">
      <c r="A1807" s="72" t="str">
        <f t="shared" si="28"/>
        <v>Ofsted Social Care Provider Webpage</v>
      </c>
      <c r="B1807" s="55" t="s">
        <v>2749</v>
      </c>
      <c r="C1807" s="55">
        <v>103606</v>
      </c>
      <c r="D1807" s="55" t="s">
        <v>413</v>
      </c>
      <c r="E1807" s="74">
        <v>37301</v>
      </c>
      <c r="F1807" s="55" t="s">
        <v>344</v>
      </c>
      <c r="G1807" s="55" t="s">
        <v>2750</v>
      </c>
      <c r="H1807" s="55" t="s">
        <v>2751</v>
      </c>
      <c r="I1807" s="55" t="s">
        <v>2752</v>
      </c>
      <c r="J1807" s="55" t="s">
        <v>2753</v>
      </c>
      <c r="L1807" s="55" t="s">
        <v>2754</v>
      </c>
      <c r="M1807" s="55" t="s">
        <v>142</v>
      </c>
      <c r="N1807" s="55" t="s">
        <v>142</v>
      </c>
      <c r="O1807" s="55" t="s">
        <v>141</v>
      </c>
      <c r="P1807" s="55" t="s">
        <v>2048</v>
      </c>
      <c r="Q1807" s="55" t="s">
        <v>380</v>
      </c>
      <c r="R1807" s="55">
        <v>16</v>
      </c>
      <c r="S1807" s="74"/>
      <c r="T1807" s="55" t="s">
        <v>2755</v>
      </c>
      <c r="U1807" s="73" t="s">
        <v>351</v>
      </c>
      <c r="V1807" s="74">
        <v>43858</v>
      </c>
      <c r="W1807" s="74">
        <v>43917</v>
      </c>
      <c r="X1807" s="55">
        <v>10093106</v>
      </c>
      <c r="Y1807" s="74" t="s">
        <v>140</v>
      </c>
      <c r="Z1807" s="74"/>
      <c r="AB1807" s="55" t="s">
        <v>140</v>
      </c>
      <c r="AC1807" s="55" t="s">
        <v>132</v>
      </c>
    </row>
    <row r="1808" spans="1:29" ht="13" x14ac:dyDescent="0.15">
      <c r="A1808" s="72" t="str">
        <f t="shared" si="28"/>
        <v>Ofsted Social Care Provider Webpage</v>
      </c>
      <c r="B1808" s="55" t="s">
        <v>2756</v>
      </c>
      <c r="C1808" s="55">
        <v>103632</v>
      </c>
      <c r="D1808" s="55" t="s">
        <v>413</v>
      </c>
      <c r="E1808" s="74">
        <v>37301</v>
      </c>
      <c r="F1808" s="55" t="s">
        <v>344</v>
      </c>
      <c r="G1808" s="55" t="s">
        <v>2757</v>
      </c>
      <c r="H1808" s="55" t="s">
        <v>2758</v>
      </c>
      <c r="I1808" s="55" t="s">
        <v>2759</v>
      </c>
      <c r="J1808" s="55" t="s">
        <v>141</v>
      </c>
      <c r="K1808" s="55" t="s">
        <v>142</v>
      </c>
      <c r="L1808" s="55" t="s">
        <v>2760</v>
      </c>
      <c r="M1808" s="55" t="s">
        <v>142</v>
      </c>
      <c r="N1808" s="55" t="s">
        <v>142</v>
      </c>
      <c r="O1808" s="55" t="s">
        <v>141</v>
      </c>
      <c r="P1808" s="55" t="s">
        <v>660</v>
      </c>
      <c r="Q1808" s="55" t="s">
        <v>380</v>
      </c>
      <c r="R1808" s="55">
        <v>12</v>
      </c>
      <c r="S1808" s="74"/>
      <c r="T1808" s="55" t="s">
        <v>2755</v>
      </c>
      <c r="U1808" s="73" t="s">
        <v>351</v>
      </c>
      <c r="V1808" s="74">
        <v>43739</v>
      </c>
      <c r="W1808" s="74">
        <v>43759</v>
      </c>
      <c r="X1808" s="55">
        <v>10093107</v>
      </c>
      <c r="Y1808" s="74" t="s">
        <v>132</v>
      </c>
      <c r="Z1808" s="74"/>
      <c r="AB1808" s="55" t="s">
        <v>132</v>
      </c>
      <c r="AC1808" s="55" t="s">
        <v>132</v>
      </c>
    </row>
    <row r="1809" spans="1:29" ht="13" x14ac:dyDescent="0.15">
      <c r="A1809" s="72" t="str">
        <f t="shared" si="28"/>
        <v>Ofsted Social Care Provider Webpage</v>
      </c>
      <c r="B1809" s="55" t="s">
        <v>2761</v>
      </c>
      <c r="C1809" s="55">
        <v>102948</v>
      </c>
      <c r="D1809" s="55" t="s">
        <v>398</v>
      </c>
      <c r="E1809" s="74">
        <v>37301</v>
      </c>
      <c r="F1809" s="55" t="s">
        <v>344</v>
      </c>
      <c r="G1809" s="55" t="s">
        <v>2762</v>
      </c>
      <c r="H1809" s="55" t="s">
        <v>2762</v>
      </c>
      <c r="I1809" s="55" t="s">
        <v>2763</v>
      </c>
      <c r="J1809" s="55" t="s">
        <v>129</v>
      </c>
      <c r="L1809" s="55" t="s">
        <v>2764</v>
      </c>
      <c r="M1809" s="55" t="s">
        <v>129</v>
      </c>
      <c r="N1809" s="55" t="s">
        <v>129</v>
      </c>
      <c r="O1809" s="55" t="s">
        <v>1758</v>
      </c>
      <c r="P1809" s="55" t="s">
        <v>2765</v>
      </c>
      <c r="Q1809" s="55" t="s">
        <v>362</v>
      </c>
      <c r="R1809" s="55">
        <v>51</v>
      </c>
      <c r="S1809" s="74"/>
      <c r="T1809" s="55" t="s">
        <v>2766</v>
      </c>
      <c r="U1809" s="73" t="s">
        <v>351</v>
      </c>
      <c r="V1809" s="74">
        <v>43725</v>
      </c>
      <c r="W1809" s="74">
        <v>43747</v>
      </c>
      <c r="X1809" s="55">
        <v>10092949</v>
      </c>
      <c r="Y1809" s="74" t="s">
        <v>132</v>
      </c>
      <c r="Z1809" s="74"/>
      <c r="AB1809" s="55" t="s">
        <v>132</v>
      </c>
      <c r="AC1809" s="55" t="s">
        <v>132</v>
      </c>
    </row>
    <row r="1810" spans="1:29" ht="13" x14ac:dyDescent="0.15">
      <c r="A1810" s="72" t="str">
        <f t="shared" si="28"/>
        <v>Ofsted Social Care Provider Webpage</v>
      </c>
      <c r="B1810" s="55" t="s">
        <v>2767</v>
      </c>
      <c r="C1810" s="55">
        <v>137814</v>
      </c>
      <c r="D1810" s="55" t="s">
        <v>398</v>
      </c>
      <c r="E1810" s="74">
        <v>37302</v>
      </c>
      <c r="F1810" s="55" t="s">
        <v>344</v>
      </c>
      <c r="G1810" s="55" t="s">
        <v>2768</v>
      </c>
      <c r="H1810" s="55" t="s">
        <v>2768</v>
      </c>
      <c r="I1810" s="55" t="s">
        <v>2769</v>
      </c>
      <c r="J1810" s="55" t="s">
        <v>2770</v>
      </c>
      <c r="L1810" s="55" t="s">
        <v>2771</v>
      </c>
      <c r="M1810" s="55" t="s">
        <v>138</v>
      </c>
      <c r="N1810" s="55" t="s">
        <v>138</v>
      </c>
      <c r="O1810" s="55" t="s">
        <v>183</v>
      </c>
      <c r="P1810" s="55" t="s">
        <v>508</v>
      </c>
      <c r="Q1810" s="55" t="s">
        <v>420</v>
      </c>
      <c r="R1810" s="55">
        <v>31</v>
      </c>
      <c r="S1810" s="74"/>
      <c r="T1810" s="55" t="s">
        <v>2768</v>
      </c>
      <c r="U1810" s="73" t="s">
        <v>351</v>
      </c>
      <c r="V1810" s="74">
        <v>44327</v>
      </c>
      <c r="W1810" s="74">
        <v>44385</v>
      </c>
      <c r="X1810" s="55">
        <v>10193503</v>
      </c>
      <c r="Y1810" s="74" t="s">
        <v>130</v>
      </c>
      <c r="Z1810" s="74"/>
      <c r="AB1810" s="55" t="s">
        <v>130</v>
      </c>
      <c r="AC1810" s="55" t="s">
        <v>130</v>
      </c>
    </row>
    <row r="1811" spans="1:29" ht="13" x14ac:dyDescent="0.15">
      <c r="A1811" s="72" t="str">
        <f t="shared" si="28"/>
        <v>Ofsted Social Care Provider Webpage</v>
      </c>
      <c r="B1811" s="55" t="s">
        <v>2772</v>
      </c>
      <c r="C1811" s="55">
        <v>115426</v>
      </c>
      <c r="D1811" s="55" t="s">
        <v>413</v>
      </c>
      <c r="E1811" s="74">
        <v>37302</v>
      </c>
      <c r="F1811" s="55" t="s">
        <v>344</v>
      </c>
      <c r="G1811" s="55" t="s">
        <v>2773</v>
      </c>
      <c r="H1811" s="55" t="s">
        <v>2773</v>
      </c>
      <c r="I1811" s="55" t="s">
        <v>2774</v>
      </c>
      <c r="J1811" s="55" t="s">
        <v>508</v>
      </c>
      <c r="K1811" s="55" t="s">
        <v>183</v>
      </c>
      <c r="L1811" s="55" t="s">
        <v>2775</v>
      </c>
      <c r="M1811" s="55" t="s">
        <v>138</v>
      </c>
      <c r="N1811" s="55" t="s">
        <v>138</v>
      </c>
      <c r="O1811" s="55" t="s">
        <v>183</v>
      </c>
      <c r="P1811" s="55" t="s">
        <v>510</v>
      </c>
      <c r="Q1811" s="55" t="s">
        <v>362</v>
      </c>
      <c r="R1811" s="55">
        <v>3</v>
      </c>
      <c r="S1811" s="74"/>
      <c r="T1811" s="55" t="s">
        <v>2776</v>
      </c>
      <c r="U1811" s="73" t="s">
        <v>351</v>
      </c>
      <c r="V1811" s="74">
        <v>44600</v>
      </c>
      <c r="W1811" s="74">
        <v>44638</v>
      </c>
      <c r="X1811" s="55">
        <v>10183492</v>
      </c>
      <c r="Y1811" s="74" t="s">
        <v>132</v>
      </c>
      <c r="Z1811" s="74"/>
      <c r="AB1811" s="55" t="s">
        <v>132</v>
      </c>
      <c r="AC1811" s="55" t="s">
        <v>132</v>
      </c>
    </row>
    <row r="1812" spans="1:29" ht="13" x14ac:dyDescent="0.15">
      <c r="A1812" s="72" t="str">
        <f t="shared" si="28"/>
        <v>Ofsted Social Care Provider Webpage</v>
      </c>
      <c r="B1812" s="55" t="s">
        <v>2777</v>
      </c>
      <c r="C1812" s="55">
        <v>115450</v>
      </c>
      <c r="D1812" s="55" t="s">
        <v>413</v>
      </c>
      <c r="E1812" s="74">
        <v>37302</v>
      </c>
      <c r="F1812" s="55" t="s">
        <v>344</v>
      </c>
      <c r="G1812" s="55" t="s">
        <v>2778</v>
      </c>
      <c r="H1812" s="55" t="s">
        <v>2778</v>
      </c>
      <c r="I1812" s="55" t="s">
        <v>2779</v>
      </c>
      <c r="J1812" s="55" t="s">
        <v>2780</v>
      </c>
      <c r="K1812" s="55" t="s">
        <v>183</v>
      </c>
      <c r="L1812" s="55" t="s">
        <v>2781</v>
      </c>
      <c r="M1812" s="55" t="s">
        <v>138</v>
      </c>
      <c r="N1812" s="55" t="s">
        <v>138</v>
      </c>
      <c r="O1812" s="55" t="s">
        <v>183</v>
      </c>
      <c r="P1812" s="55" t="s">
        <v>813</v>
      </c>
      <c r="Q1812" s="55" t="s">
        <v>380</v>
      </c>
      <c r="R1812" s="55">
        <v>56</v>
      </c>
      <c r="S1812" s="74"/>
      <c r="T1812" s="55" t="s">
        <v>1795</v>
      </c>
      <c r="U1812" s="73" t="s">
        <v>351</v>
      </c>
      <c r="V1812" s="74">
        <v>44621</v>
      </c>
      <c r="W1812" s="74">
        <v>44663</v>
      </c>
      <c r="X1812" s="55">
        <v>10183506</v>
      </c>
      <c r="Y1812" s="74" t="s">
        <v>140</v>
      </c>
      <c r="Z1812" s="74"/>
      <c r="AB1812" s="55" t="s">
        <v>140</v>
      </c>
      <c r="AC1812" s="55" t="s">
        <v>140</v>
      </c>
    </row>
    <row r="1813" spans="1:29" ht="13" x14ac:dyDescent="0.15">
      <c r="A1813" s="72" t="str">
        <f t="shared" si="28"/>
        <v>Ofsted Social Care Provider Webpage</v>
      </c>
      <c r="B1813" s="55" t="s">
        <v>2782</v>
      </c>
      <c r="C1813" s="55">
        <v>142612</v>
      </c>
      <c r="D1813" s="55" t="s">
        <v>413</v>
      </c>
      <c r="E1813" s="74">
        <v>37302</v>
      </c>
      <c r="F1813" s="55" t="s">
        <v>344</v>
      </c>
      <c r="G1813" s="55" t="s">
        <v>2783</v>
      </c>
      <c r="H1813" s="55" t="s">
        <v>2783</v>
      </c>
      <c r="I1813" s="55" t="s">
        <v>2784</v>
      </c>
      <c r="J1813" s="55" t="s">
        <v>2785</v>
      </c>
      <c r="K1813" s="55" t="s">
        <v>183</v>
      </c>
      <c r="L1813" s="55" t="s">
        <v>2786</v>
      </c>
      <c r="M1813" s="55" t="s">
        <v>138</v>
      </c>
      <c r="N1813" s="55" t="s">
        <v>138</v>
      </c>
      <c r="O1813" s="55" t="s">
        <v>183</v>
      </c>
      <c r="P1813" s="55" t="s">
        <v>1050</v>
      </c>
      <c r="Q1813" s="55" t="s">
        <v>420</v>
      </c>
      <c r="R1813" s="55">
        <v>40</v>
      </c>
      <c r="S1813" s="74"/>
      <c r="T1813" s="55" t="s">
        <v>2787</v>
      </c>
      <c r="U1813" s="73" t="s">
        <v>351</v>
      </c>
      <c r="V1813" s="74">
        <v>44453</v>
      </c>
      <c r="W1813" s="74">
        <v>44475</v>
      </c>
      <c r="X1813" s="55">
        <v>10183503</v>
      </c>
      <c r="Y1813" s="74" t="s">
        <v>132</v>
      </c>
      <c r="Z1813" s="74"/>
      <c r="AB1813" s="55" t="s">
        <v>132</v>
      </c>
      <c r="AC1813" s="55" t="s">
        <v>132</v>
      </c>
    </row>
    <row r="1814" spans="1:29" ht="13" x14ac:dyDescent="0.15">
      <c r="A1814" s="72" t="str">
        <f t="shared" si="28"/>
        <v>Ofsted Social Care Provider Webpage</v>
      </c>
      <c r="B1814" s="55" t="s">
        <v>2788</v>
      </c>
      <c r="D1814" s="55" t="s">
        <v>373</v>
      </c>
      <c r="E1814" s="74">
        <v>37062</v>
      </c>
      <c r="F1814" s="55" t="s">
        <v>344</v>
      </c>
      <c r="G1814" s="55" t="s">
        <v>360</v>
      </c>
      <c r="H1814" s="55" t="s">
        <v>360</v>
      </c>
      <c r="I1814" s="55" t="s">
        <v>360</v>
      </c>
      <c r="J1814" s="55" t="s">
        <v>360</v>
      </c>
      <c r="K1814" s="55" t="s">
        <v>360</v>
      </c>
      <c r="L1814" s="55" t="s">
        <v>360</v>
      </c>
      <c r="M1814" s="55" t="s">
        <v>378</v>
      </c>
      <c r="N1814" s="55" t="s">
        <v>134</v>
      </c>
      <c r="O1814" s="55" t="s">
        <v>133</v>
      </c>
      <c r="P1814" s="55" t="s">
        <v>2789</v>
      </c>
      <c r="Q1814" s="55" t="s">
        <v>350</v>
      </c>
      <c r="R1814" s="55">
        <v>1</v>
      </c>
      <c r="S1814" s="74"/>
      <c r="T1814" s="55" t="s">
        <v>2448</v>
      </c>
      <c r="U1814" s="73" t="s">
        <v>351</v>
      </c>
      <c r="V1814" s="74">
        <v>44516</v>
      </c>
      <c r="W1814" s="74">
        <v>44560</v>
      </c>
      <c r="X1814" s="55">
        <v>10185292</v>
      </c>
      <c r="Y1814" s="74" t="s">
        <v>140</v>
      </c>
      <c r="Z1814" s="74"/>
      <c r="AB1814" s="55" t="s">
        <v>140</v>
      </c>
      <c r="AC1814" s="55" t="s">
        <v>140</v>
      </c>
    </row>
    <row r="1815" spans="1:29" ht="13" x14ac:dyDescent="0.15">
      <c r="A1815" s="72" t="str">
        <f t="shared" si="28"/>
        <v>Ofsted Social Care Provider Webpage</v>
      </c>
      <c r="B1815" s="55" t="s">
        <v>2790</v>
      </c>
      <c r="D1815" s="55" t="s">
        <v>373</v>
      </c>
      <c r="E1815" s="74">
        <v>36796</v>
      </c>
      <c r="F1815" s="55" t="s">
        <v>344</v>
      </c>
      <c r="G1815" s="55" t="s">
        <v>360</v>
      </c>
      <c r="H1815" s="55" t="s">
        <v>360</v>
      </c>
      <c r="I1815" s="55" t="s">
        <v>360</v>
      </c>
      <c r="J1815" s="55" t="s">
        <v>360</v>
      </c>
      <c r="K1815" s="55" t="s">
        <v>360</v>
      </c>
      <c r="L1815" s="55" t="s">
        <v>360</v>
      </c>
      <c r="M1815" s="55" t="s">
        <v>378</v>
      </c>
      <c r="N1815" s="55" t="s">
        <v>134</v>
      </c>
      <c r="O1815" s="55" t="s">
        <v>133</v>
      </c>
      <c r="P1815" s="55" t="s">
        <v>1804</v>
      </c>
      <c r="Q1815" s="55" t="s">
        <v>350</v>
      </c>
      <c r="R1815" s="55">
        <v>4</v>
      </c>
      <c r="S1815" s="74"/>
      <c r="T1815" s="55" t="s">
        <v>2448</v>
      </c>
      <c r="U1815" s="73" t="s">
        <v>351</v>
      </c>
      <c r="V1815" s="74">
        <v>44601</v>
      </c>
      <c r="W1815" s="74">
        <v>44648</v>
      </c>
      <c r="X1815" s="55">
        <v>10186704</v>
      </c>
      <c r="Y1815" s="74" t="s">
        <v>140</v>
      </c>
      <c r="Z1815" s="74"/>
      <c r="AB1815" s="55" t="s">
        <v>140</v>
      </c>
      <c r="AC1815" s="55" t="s">
        <v>140</v>
      </c>
    </row>
    <row r="1816" spans="1:29" ht="13" x14ac:dyDescent="0.15">
      <c r="A1816" s="72" t="str">
        <f t="shared" si="28"/>
        <v>Ofsted Social Care Provider Webpage</v>
      </c>
      <c r="B1816" s="55" t="s">
        <v>2791</v>
      </c>
      <c r="C1816" s="55">
        <v>105137</v>
      </c>
      <c r="D1816" s="55" t="s">
        <v>413</v>
      </c>
      <c r="E1816" s="74">
        <v>37302</v>
      </c>
      <c r="F1816" s="55" t="s">
        <v>344</v>
      </c>
      <c r="G1816" s="55" t="s">
        <v>2792</v>
      </c>
      <c r="H1816" s="55" t="s">
        <v>2792</v>
      </c>
      <c r="I1816" s="55" t="s">
        <v>2793</v>
      </c>
      <c r="J1816" s="55" t="s">
        <v>2794</v>
      </c>
      <c r="K1816" s="55" t="s">
        <v>1339</v>
      </c>
      <c r="L1816" s="55" t="s">
        <v>2795</v>
      </c>
      <c r="M1816" s="55" t="s">
        <v>144</v>
      </c>
      <c r="N1816" s="55" t="s">
        <v>144</v>
      </c>
      <c r="O1816" s="55" t="s">
        <v>290</v>
      </c>
      <c r="P1816" s="55" t="s">
        <v>909</v>
      </c>
      <c r="Q1816" s="55" t="s">
        <v>362</v>
      </c>
      <c r="R1816" s="55">
        <v>8</v>
      </c>
      <c r="S1816" s="74"/>
      <c r="T1816" s="55" t="s">
        <v>2792</v>
      </c>
      <c r="U1816" s="73" t="s">
        <v>351</v>
      </c>
      <c r="V1816" s="74">
        <v>44369</v>
      </c>
      <c r="W1816" s="74">
        <v>44399</v>
      </c>
      <c r="X1816" s="55">
        <v>10183537</v>
      </c>
      <c r="Y1816" s="74" t="s">
        <v>132</v>
      </c>
      <c r="Z1816" s="74"/>
      <c r="AB1816" s="55" t="s">
        <v>132</v>
      </c>
      <c r="AC1816" s="55" t="s">
        <v>132</v>
      </c>
    </row>
    <row r="1817" spans="1:29" ht="13" x14ac:dyDescent="0.15">
      <c r="A1817" s="72" t="str">
        <f t="shared" si="28"/>
        <v>Ofsted Social Care Provider Webpage</v>
      </c>
      <c r="B1817" s="55" t="s">
        <v>2796</v>
      </c>
      <c r="D1817" s="55" t="s">
        <v>373</v>
      </c>
      <c r="E1817" s="74">
        <v>36158</v>
      </c>
      <c r="F1817" s="55" t="s">
        <v>344</v>
      </c>
      <c r="G1817" s="55" t="s">
        <v>360</v>
      </c>
      <c r="H1817" s="55" t="s">
        <v>360</v>
      </c>
      <c r="I1817" s="55" t="s">
        <v>360</v>
      </c>
      <c r="J1817" s="55" t="s">
        <v>360</v>
      </c>
      <c r="K1817" s="55" t="s">
        <v>360</v>
      </c>
      <c r="L1817" s="55" t="s">
        <v>360</v>
      </c>
      <c r="M1817" s="55" t="s">
        <v>138</v>
      </c>
      <c r="N1817" s="55" t="s">
        <v>138</v>
      </c>
      <c r="O1817" s="55" t="s">
        <v>196</v>
      </c>
      <c r="P1817" s="55" t="s">
        <v>1506</v>
      </c>
      <c r="Q1817" s="55" t="s">
        <v>362</v>
      </c>
      <c r="R1817" s="55">
        <v>5</v>
      </c>
      <c r="S1817" s="74" t="s">
        <v>332</v>
      </c>
      <c r="T1817" s="55" t="s">
        <v>2797</v>
      </c>
      <c r="U1817" s="73" t="s">
        <v>351</v>
      </c>
      <c r="V1817" s="74">
        <v>44578</v>
      </c>
      <c r="W1817" s="74">
        <v>44628</v>
      </c>
      <c r="X1817" s="55">
        <v>10186130</v>
      </c>
      <c r="Y1817" s="74" t="s">
        <v>132</v>
      </c>
      <c r="Z1817" s="74"/>
      <c r="AB1817" s="55" t="s">
        <v>132</v>
      </c>
      <c r="AC1817" s="55" t="s">
        <v>132</v>
      </c>
    </row>
    <row r="1818" spans="1:29" ht="13" x14ac:dyDescent="0.15">
      <c r="A1818" s="72" t="str">
        <f t="shared" si="28"/>
        <v>Ofsted Social Care Provider Webpage</v>
      </c>
      <c r="B1818" s="55" t="s">
        <v>2798</v>
      </c>
      <c r="C1818" s="55">
        <v>117646</v>
      </c>
      <c r="D1818" s="55" t="s">
        <v>413</v>
      </c>
      <c r="E1818" s="74">
        <v>30895</v>
      </c>
      <c r="F1818" s="55" t="s">
        <v>344</v>
      </c>
      <c r="G1818" s="55" t="s">
        <v>2799</v>
      </c>
      <c r="H1818" s="55" t="s">
        <v>2800</v>
      </c>
      <c r="I1818" s="55" t="s">
        <v>2801</v>
      </c>
      <c r="J1818" s="55" t="s">
        <v>2802</v>
      </c>
      <c r="K1818" s="55" t="s">
        <v>196</v>
      </c>
      <c r="L1818" s="55" t="s">
        <v>2803</v>
      </c>
      <c r="M1818" s="55" t="s">
        <v>138</v>
      </c>
      <c r="N1818" s="55" t="s">
        <v>138</v>
      </c>
      <c r="O1818" s="55" t="s">
        <v>196</v>
      </c>
      <c r="P1818" s="55" t="s">
        <v>441</v>
      </c>
      <c r="Q1818" s="55" t="s">
        <v>362</v>
      </c>
      <c r="R1818" s="55">
        <v>11</v>
      </c>
      <c r="S1818" s="74"/>
      <c r="T1818" s="55" t="s">
        <v>2804</v>
      </c>
      <c r="U1818" s="73" t="s">
        <v>351</v>
      </c>
      <c r="V1818" s="74">
        <v>44585</v>
      </c>
      <c r="W1818" s="74">
        <v>44629</v>
      </c>
      <c r="X1818" s="55">
        <v>10183502</v>
      </c>
      <c r="Y1818" s="74" t="s">
        <v>132</v>
      </c>
      <c r="Z1818" s="74"/>
      <c r="AB1818" s="55" t="s">
        <v>132</v>
      </c>
      <c r="AC1818" s="55" t="s">
        <v>132</v>
      </c>
    </row>
    <row r="1819" spans="1:29" ht="13" x14ac:dyDescent="0.15">
      <c r="A1819" s="72" t="str">
        <f t="shared" si="28"/>
        <v>Ofsted Social Care Provider Webpage</v>
      </c>
      <c r="B1819" s="55" t="s">
        <v>2805</v>
      </c>
      <c r="D1819" s="55" t="s">
        <v>373</v>
      </c>
      <c r="E1819" s="74">
        <v>35607</v>
      </c>
      <c r="F1819" s="55" t="s">
        <v>344</v>
      </c>
      <c r="G1819" s="55" t="s">
        <v>360</v>
      </c>
      <c r="H1819" s="55" t="s">
        <v>360</v>
      </c>
      <c r="I1819" s="55" t="s">
        <v>360</v>
      </c>
      <c r="J1819" s="55" t="s">
        <v>360</v>
      </c>
      <c r="K1819" s="55" t="s">
        <v>360</v>
      </c>
      <c r="L1819" s="55" t="s">
        <v>360</v>
      </c>
      <c r="M1819" s="55" t="s">
        <v>172</v>
      </c>
      <c r="N1819" s="55" t="s">
        <v>172</v>
      </c>
      <c r="O1819" s="55" t="s">
        <v>173</v>
      </c>
      <c r="P1819" s="55" t="s">
        <v>1540</v>
      </c>
      <c r="Q1819" s="55" t="s">
        <v>350</v>
      </c>
      <c r="R1819" s="55">
        <v>8</v>
      </c>
      <c r="S1819" s="74"/>
      <c r="T1819" s="55" t="s">
        <v>2267</v>
      </c>
      <c r="U1819" s="73" t="s">
        <v>351</v>
      </c>
      <c r="V1819" s="74">
        <v>44362</v>
      </c>
      <c r="W1819" s="74">
        <v>44396</v>
      </c>
      <c r="X1819" s="55">
        <v>10185500</v>
      </c>
      <c r="Y1819" s="74" t="s">
        <v>132</v>
      </c>
      <c r="Z1819" s="74"/>
      <c r="AB1819" s="55" t="s">
        <v>132</v>
      </c>
      <c r="AC1819" s="55" t="s">
        <v>140</v>
      </c>
    </row>
    <row r="1820" spans="1:29" ht="13" x14ac:dyDescent="0.15">
      <c r="A1820" s="72" t="str">
        <f t="shared" si="28"/>
        <v>Ofsted Social Care Provider Webpage</v>
      </c>
      <c r="B1820" s="55" t="s">
        <v>2806</v>
      </c>
      <c r="D1820" s="55" t="s">
        <v>373</v>
      </c>
      <c r="E1820" s="74">
        <v>36398</v>
      </c>
      <c r="F1820" s="55" t="s">
        <v>344</v>
      </c>
      <c r="G1820" s="55" t="s">
        <v>360</v>
      </c>
      <c r="H1820" s="55" t="s">
        <v>360</v>
      </c>
      <c r="I1820" s="55" t="s">
        <v>360</v>
      </c>
      <c r="J1820" s="55" t="s">
        <v>360</v>
      </c>
      <c r="K1820" s="55" t="s">
        <v>360</v>
      </c>
      <c r="L1820" s="55" t="s">
        <v>360</v>
      </c>
      <c r="M1820" s="55" t="s">
        <v>172</v>
      </c>
      <c r="N1820" s="55" t="s">
        <v>172</v>
      </c>
      <c r="O1820" s="55" t="s">
        <v>173</v>
      </c>
      <c r="P1820" s="55" t="s">
        <v>1540</v>
      </c>
      <c r="Q1820" s="55" t="s">
        <v>350</v>
      </c>
      <c r="R1820" s="55">
        <v>8</v>
      </c>
      <c r="S1820" s="74"/>
      <c r="T1820" s="55" t="s">
        <v>1848</v>
      </c>
      <c r="U1820" s="73" t="s">
        <v>351</v>
      </c>
      <c r="V1820" s="74">
        <v>44328</v>
      </c>
      <c r="W1820" s="74">
        <v>44356</v>
      </c>
      <c r="X1820" s="55">
        <v>10185845</v>
      </c>
      <c r="Y1820" s="74" t="s">
        <v>140</v>
      </c>
      <c r="Z1820" s="74"/>
      <c r="AB1820" s="55" t="s">
        <v>140</v>
      </c>
      <c r="AC1820" s="55" t="s">
        <v>132</v>
      </c>
    </row>
    <row r="1821" spans="1:29" ht="13" x14ac:dyDescent="0.15">
      <c r="A1821" s="72" t="str">
        <f t="shared" si="28"/>
        <v>Ofsted Social Care Provider Webpage</v>
      </c>
      <c r="B1821" s="55" t="s">
        <v>2807</v>
      </c>
      <c r="D1821" s="55" t="s">
        <v>373</v>
      </c>
      <c r="E1821" s="74">
        <v>37020</v>
      </c>
      <c r="F1821" s="55" t="s">
        <v>344</v>
      </c>
      <c r="G1821" s="55" t="s">
        <v>360</v>
      </c>
      <c r="H1821" s="55" t="s">
        <v>360</v>
      </c>
      <c r="I1821" s="55" t="s">
        <v>360</v>
      </c>
      <c r="J1821" s="55" t="s">
        <v>360</v>
      </c>
      <c r="K1821" s="55" t="s">
        <v>360</v>
      </c>
      <c r="L1821" s="55" t="s">
        <v>360</v>
      </c>
      <c r="M1821" s="55" t="s">
        <v>172</v>
      </c>
      <c r="N1821" s="55" t="s">
        <v>172</v>
      </c>
      <c r="O1821" s="55" t="s">
        <v>173</v>
      </c>
      <c r="P1821" s="55" t="s">
        <v>1540</v>
      </c>
      <c r="Q1821" s="55" t="s">
        <v>350</v>
      </c>
      <c r="R1821" s="55">
        <v>7</v>
      </c>
      <c r="S1821" s="74"/>
      <c r="T1821" s="55" t="s">
        <v>2267</v>
      </c>
      <c r="U1821" s="73" t="s">
        <v>351</v>
      </c>
      <c r="V1821" s="74">
        <v>44326</v>
      </c>
      <c r="W1821" s="74">
        <v>44363</v>
      </c>
      <c r="X1821" s="55">
        <v>10186102</v>
      </c>
      <c r="Y1821" s="74" t="s">
        <v>132</v>
      </c>
      <c r="Z1821" s="74"/>
      <c r="AB1821" s="55" t="s">
        <v>132</v>
      </c>
      <c r="AC1821" s="55" t="s">
        <v>132</v>
      </c>
    </row>
    <row r="1822" spans="1:29" ht="13" x14ac:dyDescent="0.15">
      <c r="A1822" s="72" t="str">
        <f t="shared" si="28"/>
        <v>Ofsted Social Care Provider Webpage</v>
      </c>
      <c r="B1822" s="55" t="s">
        <v>2808</v>
      </c>
      <c r="D1822" s="55" t="s">
        <v>479</v>
      </c>
      <c r="E1822" s="74">
        <v>36920</v>
      </c>
      <c r="F1822" s="55" t="s">
        <v>344</v>
      </c>
      <c r="G1822" s="55" t="s">
        <v>360</v>
      </c>
      <c r="H1822" s="55" t="s">
        <v>360</v>
      </c>
      <c r="I1822" s="55" t="s">
        <v>360</v>
      </c>
      <c r="J1822" s="55" t="s">
        <v>360</v>
      </c>
      <c r="K1822" s="55" t="s">
        <v>360</v>
      </c>
      <c r="L1822" s="55" t="s">
        <v>360</v>
      </c>
      <c r="M1822" s="55" t="s">
        <v>172</v>
      </c>
      <c r="N1822" s="55" t="s">
        <v>172</v>
      </c>
      <c r="O1822" s="55" t="s">
        <v>173</v>
      </c>
      <c r="P1822" s="55" t="s">
        <v>1069</v>
      </c>
      <c r="Q1822" s="55" t="s">
        <v>350</v>
      </c>
      <c r="R1822" s="55">
        <v>25</v>
      </c>
      <c r="S1822" s="74"/>
      <c r="T1822" s="55" t="s">
        <v>2809</v>
      </c>
      <c r="U1822" s="73" t="s">
        <v>351</v>
      </c>
      <c r="V1822" s="74">
        <v>44432</v>
      </c>
      <c r="W1822" s="74">
        <v>44469</v>
      </c>
      <c r="X1822" s="55">
        <v>10185097</v>
      </c>
      <c r="Y1822" s="74" t="s">
        <v>132</v>
      </c>
      <c r="Z1822" s="74"/>
      <c r="AB1822" s="55" t="s">
        <v>132</v>
      </c>
      <c r="AC1822" s="55" t="s">
        <v>132</v>
      </c>
    </row>
    <row r="1823" spans="1:29" ht="13" x14ac:dyDescent="0.15">
      <c r="A1823" s="72" t="str">
        <f t="shared" si="28"/>
        <v>Ofsted Social Care Provider Webpage</v>
      </c>
      <c r="B1823" s="55" t="s">
        <v>2810</v>
      </c>
      <c r="D1823" s="55" t="s">
        <v>373</v>
      </c>
      <c r="E1823" s="74">
        <v>36145</v>
      </c>
      <c r="F1823" s="55" t="s">
        <v>344</v>
      </c>
      <c r="G1823" s="55" t="s">
        <v>360</v>
      </c>
      <c r="H1823" s="55" t="s">
        <v>360</v>
      </c>
      <c r="I1823" s="55" t="s">
        <v>360</v>
      </c>
      <c r="J1823" s="55" t="s">
        <v>360</v>
      </c>
      <c r="K1823" s="55" t="s">
        <v>360</v>
      </c>
      <c r="L1823" s="55" t="s">
        <v>360</v>
      </c>
      <c r="M1823" s="55" t="s">
        <v>142</v>
      </c>
      <c r="N1823" s="55" t="s">
        <v>142</v>
      </c>
      <c r="O1823" s="55" t="s">
        <v>272</v>
      </c>
      <c r="P1823" s="55" t="s">
        <v>653</v>
      </c>
      <c r="Q1823" s="55" t="s">
        <v>350</v>
      </c>
      <c r="R1823" s="55">
        <v>5</v>
      </c>
      <c r="S1823" s="74"/>
      <c r="T1823" s="55" t="s">
        <v>2811</v>
      </c>
      <c r="U1823" s="73" t="s">
        <v>351</v>
      </c>
      <c r="V1823" s="74">
        <v>44467</v>
      </c>
      <c r="W1823" s="74">
        <v>44510</v>
      </c>
      <c r="X1823" s="55">
        <v>10185633</v>
      </c>
      <c r="Y1823" s="74" t="s">
        <v>130</v>
      </c>
      <c r="Z1823" s="74"/>
      <c r="AB1823" s="55" t="s">
        <v>130</v>
      </c>
      <c r="AC1823" s="55" t="s">
        <v>130</v>
      </c>
    </row>
    <row r="1824" spans="1:29" ht="13" x14ac:dyDescent="0.15">
      <c r="A1824" s="72" t="str">
        <f t="shared" si="28"/>
        <v>Ofsted Social Care Provider Webpage</v>
      </c>
      <c r="B1824" s="55" t="s">
        <v>2812</v>
      </c>
      <c r="D1824" s="55" t="s">
        <v>479</v>
      </c>
      <c r="E1824" s="74">
        <v>36997</v>
      </c>
      <c r="F1824" s="55" t="s">
        <v>344</v>
      </c>
      <c r="G1824" s="55" t="s">
        <v>360</v>
      </c>
      <c r="H1824" s="55" t="s">
        <v>360</v>
      </c>
      <c r="I1824" s="55" t="s">
        <v>360</v>
      </c>
      <c r="J1824" s="55" t="s">
        <v>360</v>
      </c>
      <c r="K1824" s="55" t="s">
        <v>360</v>
      </c>
      <c r="L1824" s="55" t="s">
        <v>360</v>
      </c>
      <c r="M1824" s="55" t="s">
        <v>142</v>
      </c>
      <c r="N1824" s="55" t="s">
        <v>142</v>
      </c>
      <c r="O1824" s="55" t="s">
        <v>272</v>
      </c>
      <c r="P1824" s="55" t="s">
        <v>653</v>
      </c>
      <c r="Q1824" s="55" t="s">
        <v>350</v>
      </c>
      <c r="R1824" s="55">
        <v>22</v>
      </c>
      <c r="S1824" s="74"/>
      <c r="T1824" s="55" t="s">
        <v>2813</v>
      </c>
      <c r="U1824" s="73" t="s">
        <v>351</v>
      </c>
      <c r="V1824" s="74">
        <v>44390</v>
      </c>
      <c r="W1824" s="74">
        <v>44428</v>
      </c>
      <c r="X1824" s="55">
        <v>10187483</v>
      </c>
      <c r="Y1824" s="74" t="s">
        <v>132</v>
      </c>
      <c r="Z1824" s="74"/>
      <c r="AB1824" s="55" t="s">
        <v>132</v>
      </c>
      <c r="AC1824" s="55" t="s">
        <v>130</v>
      </c>
    </row>
    <row r="1825" spans="1:29" ht="13" x14ac:dyDescent="0.15">
      <c r="A1825" s="72" t="str">
        <f t="shared" si="28"/>
        <v>Ofsted Social Care Provider Webpage</v>
      </c>
      <c r="B1825" s="55" t="s">
        <v>2814</v>
      </c>
      <c r="D1825" s="55" t="s">
        <v>373</v>
      </c>
      <c r="E1825" s="74">
        <v>36210</v>
      </c>
      <c r="F1825" s="55" t="s">
        <v>344</v>
      </c>
      <c r="G1825" s="55" t="s">
        <v>360</v>
      </c>
      <c r="H1825" s="55" t="s">
        <v>360</v>
      </c>
      <c r="I1825" s="55" t="s">
        <v>360</v>
      </c>
      <c r="J1825" s="55" t="s">
        <v>360</v>
      </c>
      <c r="K1825" s="55" t="s">
        <v>360</v>
      </c>
      <c r="L1825" s="55" t="s">
        <v>360</v>
      </c>
      <c r="M1825" s="55" t="s">
        <v>142</v>
      </c>
      <c r="N1825" s="55" t="s">
        <v>142</v>
      </c>
      <c r="O1825" s="55" t="s">
        <v>272</v>
      </c>
      <c r="P1825" s="55" t="s">
        <v>653</v>
      </c>
      <c r="Q1825" s="55" t="s">
        <v>350</v>
      </c>
      <c r="R1825" s="55">
        <v>5</v>
      </c>
      <c r="S1825" s="74"/>
      <c r="T1825" s="55" t="s">
        <v>2811</v>
      </c>
      <c r="U1825" s="73" t="s">
        <v>351</v>
      </c>
      <c r="V1825" s="74">
        <v>44370</v>
      </c>
      <c r="W1825" s="74">
        <v>44396</v>
      </c>
      <c r="X1825" s="55">
        <v>10187482</v>
      </c>
      <c r="Y1825" s="74" t="s">
        <v>132</v>
      </c>
      <c r="Z1825" s="74"/>
      <c r="AB1825" s="55" t="s">
        <v>132</v>
      </c>
      <c r="AC1825" s="55" t="s">
        <v>132</v>
      </c>
    </row>
    <row r="1826" spans="1:29" ht="13" x14ac:dyDescent="0.15">
      <c r="A1826" s="72" t="str">
        <f t="shared" si="28"/>
        <v>Ofsted Social Care Provider Webpage</v>
      </c>
      <c r="B1826" s="55" t="s">
        <v>2815</v>
      </c>
      <c r="C1826" s="55">
        <v>137446</v>
      </c>
      <c r="D1826" s="55" t="s">
        <v>398</v>
      </c>
      <c r="E1826" s="74">
        <v>37302</v>
      </c>
      <c r="F1826" s="55" t="s">
        <v>344</v>
      </c>
      <c r="G1826" s="55" t="s">
        <v>2816</v>
      </c>
      <c r="H1826" s="55" t="s">
        <v>2817</v>
      </c>
      <c r="I1826" s="55" t="s">
        <v>1573</v>
      </c>
      <c r="J1826" s="55" t="s">
        <v>2818</v>
      </c>
      <c r="K1826" s="55" t="s">
        <v>252</v>
      </c>
      <c r="L1826" s="55" t="s">
        <v>2819</v>
      </c>
      <c r="M1826" s="55" t="s">
        <v>142</v>
      </c>
      <c r="N1826" s="55" t="s">
        <v>142</v>
      </c>
      <c r="O1826" s="55" t="s">
        <v>272</v>
      </c>
      <c r="P1826" s="55" t="s">
        <v>653</v>
      </c>
      <c r="Q1826" s="55" t="s">
        <v>420</v>
      </c>
      <c r="R1826" s="55">
        <v>105</v>
      </c>
      <c r="S1826" s="74"/>
      <c r="T1826" s="55" t="s">
        <v>2820</v>
      </c>
      <c r="U1826" s="73" t="s">
        <v>351</v>
      </c>
      <c r="V1826" s="74">
        <v>43586</v>
      </c>
      <c r="W1826" s="74">
        <v>43740</v>
      </c>
      <c r="X1826" s="55">
        <v>10092951</v>
      </c>
      <c r="Y1826" s="74" t="s">
        <v>132</v>
      </c>
      <c r="Z1826" s="74"/>
      <c r="AB1826" s="55" t="s">
        <v>132</v>
      </c>
      <c r="AC1826" s="55" t="s">
        <v>132</v>
      </c>
    </row>
    <row r="1827" spans="1:29" ht="13" x14ac:dyDescent="0.15">
      <c r="A1827" s="72" t="str">
        <f t="shared" si="28"/>
        <v>Ofsted Social Care Provider Webpage</v>
      </c>
      <c r="B1827" s="55" t="s">
        <v>2821</v>
      </c>
      <c r="D1827" s="55" t="s">
        <v>373</v>
      </c>
      <c r="E1827" s="74">
        <v>33960</v>
      </c>
      <c r="F1827" s="55" t="s">
        <v>344</v>
      </c>
      <c r="G1827" s="55" t="s">
        <v>360</v>
      </c>
      <c r="H1827" s="55" t="s">
        <v>360</v>
      </c>
      <c r="I1827" s="55" t="s">
        <v>360</v>
      </c>
      <c r="J1827" s="55" t="s">
        <v>360</v>
      </c>
      <c r="K1827" s="55" t="s">
        <v>360</v>
      </c>
      <c r="L1827" s="55" t="s">
        <v>360</v>
      </c>
      <c r="M1827" s="55" t="s">
        <v>142</v>
      </c>
      <c r="N1827" s="55" t="s">
        <v>142</v>
      </c>
      <c r="O1827" s="55" t="s">
        <v>252</v>
      </c>
      <c r="P1827" s="55" t="s">
        <v>503</v>
      </c>
      <c r="Q1827" s="55" t="s">
        <v>350</v>
      </c>
      <c r="R1827" s="55">
        <v>8</v>
      </c>
      <c r="S1827" s="74"/>
      <c r="T1827" s="55" t="s">
        <v>1365</v>
      </c>
      <c r="U1827" s="73" t="s">
        <v>351</v>
      </c>
      <c r="V1827" s="74">
        <v>44426</v>
      </c>
      <c r="W1827" s="74">
        <v>44474</v>
      </c>
      <c r="X1827" s="55">
        <v>10186416</v>
      </c>
      <c r="Y1827" s="74" t="s">
        <v>130</v>
      </c>
      <c r="Z1827" s="74"/>
      <c r="AB1827" s="55" t="s">
        <v>130</v>
      </c>
      <c r="AC1827" s="55" t="s">
        <v>146</v>
      </c>
    </row>
    <row r="1828" spans="1:29" ht="13" x14ac:dyDescent="0.15">
      <c r="A1828" s="72" t="str">
        <f t="shared" si="28"/>
        <v>Ofsted Social Care Provider Webpage</v>
      </c>
      <c r="B1828" s="55" t="s">
        <v>2822</v>
      </c>
      <c r="D1828" s="55" t="s">
        <v>373</v>
      </c>
      <c r="E1828" s="74">
        <v>34218</v>
      </c>
      <c r="F1828" s="55" t="s">
        <v>344</v>
      </c>
      <c r="G1828" s="55" t="s">
        <v>360</v>
      </c>
      <c r="H1828" s="55" t="s">
        <v>360</v>
      </c>
      <c r="I1828" s="55" t="s">
        <v>360</v>
      </c>
      <c r="J1828" s="55" t="s">
        <v>360</v>
      </c>
      <c r="K1828" s="55" t="s">
        <v>360</v>
      </c>
      <c r="L1828" s="55" t="s">
        <v>360</v>
      </c>
      <c r="M1828" s="55" t="s">
        <v>142</v>
      </c>
      <c r="N1828" s="55" t="s">
        <v>142</v>
      </c>
      <c r="O1828" s="55" t="s">
        <v>252</v>
      </c>
      <c r="P1828" s="55" t="s">
        <v>388</v>
      </c>
      <c r="Q1828" s="55" t="s">
        <v>350</v>
      </c>
      <c r="R1828" s="55">
        <v>4</v>
      </c>
      <c r="S1828" s="74"/>
      <c r="T1828" s="55" t="s">
        <v>1373</v>
      </c>
      <c r="U1828" s="73" t="s">
        <v>351</v>
      </c>
      <c r="V1828" s="74">
        <v>44307</v>
      </c>
      <c r="W1828" s="74">
        <v>44337</v>
      </c>
      <c r="X1828" s="55">
        <v>10186309</v>
      </c>
      <c r="Y1828" s="74" t="s">
        <v>140</v>
      </c>
      <c r="Z1828" s="74"/>
      <c r="AB1828" s="55" t="s">
        <v>140</v>
      </c>
      <c r="AC1828" s="55" t="s">
        <v>140</v>
      </c>
    </row>
    <row r="1829" spans="1:29" ht="13" x14ac:dyDescent="0.15">
      <c r="A1829" s="72" t="str">
        <f t="shared" si="28"/>
        <v>Ofsted Social Care Provider Webpage</v>
      </c>
      <c r="B1829" s="55" t="s">
        <v>2823</v>
      </c>
      <c r="D1829" s="55" t="s">
        <v>373</v>
      </c>
      <c r="E1829" s="74">
        <v>35244</v>
      </c>
      <c r="F1829" s="55" t="s">
        <v>344</v>
      </c>
      <c r="G1829" s="55" t="s">
        <v>360</v>
      </c>
      <c r="H1829" s="55" t="s">
        <v>360</v>
      </c>
      <c r="I1829" s="55" t="s">
        <v>360</v>
      </c>
      <c r="J1829" s="55" t="s">
        <v>360</v>
      </c>
      <c r="K1829" s="55" t="s">
        <v>360</v>
      </c>
      <c r="L1829" s="55" t="s">
        <v>360</v>
      </c>
      <c r="M1829" s="55" t="s">
        <v>142</v>
      </c>
      <c r="N1829" s="55" t="s">
        <v>142</v>
      </c>
      <c r="O1829" s="55" t="s">
        <v>252</v>
      </c>
      <c r="P1829" s="55" t="s">
        <v>388</v>
      </c>
      <c r="Q1829" s="55" t="s">
        <v>350</v>
      </c>
      <c r="R1829" s="55">
        <v>5</v>
      </c>
      <c r="S1829" s="74"/>
      <c r="T1829" s="55" t="s">
        <v>1182</v>
      </c>
      <c r="U1829" s="73" t="s">
        <v>351</v>
      </c>
      <c r="V1829" s="74">
        <v>44579</v>
      </c>
      <c r="W1829" s="74">
        <v>44615</v>
      </c>
      <c r="X1829" s="55">
        <v>10187303</v>
      </c>
      <c r="Y1829" s="74" t="s">
        <v>140</v>
      </c>
      <c r="Z1829" s="74"/>
      <c r="AB1829" s="55" t="s">
        <v>140</v>
      </c>
      <c r="AC1829" s="55" t="s">
        <v>140</v>
      </c>
    </row>
    <row r="1830" spans="1:29" ht="13" x14ac:dyDescent="0.15">
      <c r="A1830" s="72" t="str">
        <f t="shared" si="28"/>
        <v>Ofsted Social Care Provider Webpage</v>
      </c>
      <c r="B1830" s="55" t="s">
        <v>2824</v>
      </c>
      <c r="D1830" s="55" t="s">
        <v>373</v>
      </c>
      <c r="E1830" s="74">
        <v>37109</v>
      </c>
      <c r="F1830" s="55" t="s">
        <v>344</v>
      </c>
      <c r="G1830" s="55" t="s">
        <v>360</v>
      </c>
      <c r="H1830" s="55" t="s">
        <v>360</v>
      </c>
      <c r="I1830" s="55" t="s">
        <v>360</v>
      </c>
      <c r="J1830" s="55" t="s">
        <v>360</v>
      </c>
      <c r="K1830" s="55" t="s">
        <v>360</v>
      </c>
      <c r="L1830" s="55" t="s">
        <v>360</v>
      </c>
      <c r="M1830" s="55" t="s">
        <v>142</v>
      </c>
      <c r="N1830" s="55" t="s">
        <v>142</v>
      </c>
      <c r="O1830" s="55" t="s">
        <v>252</v>
      </c>
      <c r="P1830" s="55" t="s">
        <v>388</v>
      </c>
      <c r="Q1830" s="55" t="s">
        <v>350</v>
      </c>
      <c r="R1830" s="55">
        <v>3</v>
      </c>
      <c r="S1830" s="74"/>
      <c r="T1830" s="55" t="s">
        <v>1182</v>
      </c>
      <c r="U1830" s="73" t="s">
        <v>351</v>
      </c>
      <c r="V1830" s="74">
        <v>44397</v>
      </c>
      <c r="W1830" s="74">
        <v>44463</v>
      </c>
      <c r="X1830" s="55">
        <v>10186580</v>
      </c>
      <c r="Y1830" s="74" t="s">
        <v>132</v>
      </c>
      <c r="Z1830" s="74"/>
      <c r="AB1830" s="55" t="s">
        <v>132</v>
      </c>
      <c r="AC1830" s="55" t="s">
        <v>132</v>
      </c>
    </row>
    <row r="1831" spans="1:29" ht="13" x14ac:dyDescent="0.15">
      <c r="A1831" s="72" t="str">
        <f t="shared" si="28"/>
        <v>Ofsted Social Care Provider Webpage</v>
      </c>
      <c r="B1831" s="55" t="s">
        <v>2825</v>
      </c>
      <c r="D1831" s="55" t="s">
        <v>373</v>
      </c>
      <c r="E1831" s="74">
        <v>37109</v>
      </c>
      <c r="F1831" s="55" t="s">
        <v>344</v>
      </c>
      <c r="G1831" s="55" t="s">
        <v>360</v>
      </c>
      <c r="H1831" s="55" t="s">
        <v>360</v>
      </c>
      <c r="I1831" s="55" t="s">
        <v>360</v>
      </c>
      <c r="J1831" s="55" t="s">
        <v>360</v>
      </c>
      <c r="K1831" s="55" t="s">
        <v>360</v>
      </c>
      <c r="L1831" s="55" t="s">
        <v>360</v>
      </c>
      <c r="M1831" s="55" t="s">
        <v>142</v>
      </c>
      <c r="N1831" s="55" t="s">
        <v>142</v>
      </c>
      <c r="O1831" s="55" t="s">
        <v>252</v>
      </c>
      <c r="P1831" s="55" t="s">
        <v>386</v>
      </c>
      <c r="Q1831" s="55" t="s">
        <v>350</v>
      </c>
      <c r="R1831" s="55">
        <v>3</v>
      </c>
      <c r="S1831" s="74"/>
      <c r="T1831" s="55" t="s">
        <v>1182</v>
      </c>
      <c r="U1831" s="73" t="s">
        <v>351</v>
      </c>
      <c r="V1831" s="74">
        <v>44453</v>
      </c>
      <c r="W1831" s="74">
        <v>44487</v>
      </c>
      <c r="X1831" s="55">
        <v>10185791</v>
      </c>
      <c r="Y1831" s="74" t="s">
        <v>132</v>
      </c>
      <c r="Z1831" s="74"/>
      <c r="AB1831" s="55" t="s">
        <v>132</v>
      </c>
      <c r="AC1831" s="55" t="s">
        <v>132</v>
      </c>
    </row>
    <row r="1832" spans="1:29" ht="13" x14ac:dyDescent="0.15">
      <c r="A1832" s="72" t="str">
        <f t="shared" si="28"/>
        <v>Ofsted Social Care Provider Webpage</v>
      </c>
      <c r="B1832" s="55" t="s">
        <v>2826</v>
      </c>
      <c r="D1832" s="55" t="s">
        <v>373</v>
      </c>
      <c r="E1832" s="74">
        <v>37109</v>
      </c>
      <c r="F1832" s="55" t="s">
        <v>344</v>
      </c>
      <c r="G1832" s="55" t="s">
        <v>360</v>
      </c>
      <c r="H1832" s="55" t="s">
        <v>360</v>
      </c>
      <c r="I1832" s="55" t="s">
        <v>360</v>
      </c>
      <c r="J1832" s="55" t="s">
        <v>360</v>
      </c>
      <c r="K1832" s="55" t="s">
        <v>360</v>
      </c>
      <c r="L1832" s="55" t="s">
        <v>360</v>
      </c>
      <c r="M1832" s="55" t="s">
        <v>142</v>
      </c>
      <c r="N1832" s="55" t="s">
        <v>142</v>
      </c>
      <c r="O1832" s="55" t="s">
        <v>252</v>
      </c>
      <c r="P1832" s="55" t="s">
        <v>388</v>
      </c>
      <c r="Q1832" s="55" t="s">
        <v>350</v>
      </c>
      <c r="R1832" s="55">
        <v>3</v>
      </c>
      <c r="S1832" s="74"/>
      <c r="T1832" s="55" t="s">
        <v>1182</v>
      </c>
      <c r="U1832" s="73" t="s">
        <v>351</v>
      </c>
      <c r="V1832" s="74">
        <v>44307</v>
      </c>
      <c r="W1832" s="74">
        <v>44340</v>
      </c>
      <c r="X1832" s="55">
        <v>10185482</v>
      </c>
      <c r="Y1832" s="74" t="s">
        <v>132</v>
      </c>
      <c r="Z1832" s="74"/>
      <c r="AB1832" s="55" t="s">
        <v>130</v>
      </c>
      <c r="AC1832" s="55" t="s">
        <v>132</v>
      </c>
    </row>
    <row r="1833" spans="1:29" ht="13" x14ac:dyDescent="0.15">
      <c r="A1833" s="72" t="str">
        <f t="shared" si="28"/>
        <v>Ofsted Social Care Provider Webpage</v>
      </c>
      <c r="B1833" s="55" t="s">
        <v>2827</v>
      </c>
      <c r="D1833" s="55" t="s">
        <v>373</v>
      </c>
      <c r="E1833" s="74">
        <v>37109</v>
      </c>
      <c r="F1833" s="55" t="s">
        <v>344</v>
      </c>
      <c r="G1833" s="55" t="s">
        <v>360</v>
      </c>
      <c r="H1833" s="55" t="s">
        <v>360</v>
      </c>
      <c r="I1833" s="55" t="s">
        <v>360</v>
      </c>
      <c r="J1833" s="55" t="s">
        <v>360</v>
      </c>
      <c r="K1833" s="55" t="s">
        <v>360</v>
      </c>
      <c r="L1833" s="55" t="s">
        <v>360</v>
      </c>
      <c r="M1833" s="55" t="s">
        <v>142</v>
      </c>
      <c r="N1833" s="55" t="s">
        <v>142</v>
      </c>
      <c r="O1833" s="55" t="s">
        <v>252</v>
      </c>
      <c r="P1833" s="55" t="s">
        <v>388</v>
      </c>
      <c r="Q1833" s="55" t="s">
        <v>350</v>
      </c>
      <c r="R1833" s="55">
        <v>3</v>
      </c>
      <c r="S1833" s="74"/>
      <c r="T1833" s="55" t="s">
        <v>1182</v>
      </c>
      <c r="U1833" s="73" t="s">
        <v>351</v>
      </c>
      <c r="V1833" s="74">
        <v>44517</v>
      </c>
      <c r="W1833" s="74">
        <v>44551</v>
      </c>
      <c r="X1833" s="55">
        <v>10186170</v>
      </c>
      <c r="Y1833" s="74" t="s">
        <v>132</v>
      </c>
      <c r="Z1833" s="74"/>
      <c r="AB1833" s="55" t="s">
        <v>132</v>
      </c>
      <c r="AC1833" s="55" t="s">
        <v>132</v>
      </c>
    </row>
    <row r="1834" spans="1:29" ht="13" x14ac:dyDescent="0.15">
      <c r="A1834" s="72" t="str">
        <f t="shared" si="28"/>
        <v>Ofsted Social Care Provider Webpage</v>
      </c>
      <c r="B1834" s="55" t="s">
        <v>2828</v>
      </c>
      <c r="D1834" s="55" t="s">
        <v>373</v>
      </c>
      <c r="E1834" s="74">
        <v>37109</v>
      </c>
      <c r="F1834" s="55" t="s">
        <v>344</v>
      </c>
      <c r="G1834" s="55" t="s">
        <v>360</v>
      </c>
      <c r="H1834" s="55" t="s">
        <v>360</v>
      </c>
      <c r="I1834" s="55" t="s">
        <v>360</v>
      </c>
      <c r="J1834" s="55" t="s">
        <v>360</v>
      </c>
      <c r="K1834" s="55" t="s">
        <v>360</v>
      </c>
      <c r="L1834" s="55" t="s">
        <v>360</v>
      </c>
      <c r="M1834" s="55" t="s">
        <v>142</v>
      </c>
      <c r="N1834" s="55" t="s">
        <v>142</v>
      </c>
      <c r="O1834" s="55" t="s">
        <v>252</v>
      </c>
      <c r="P1834" s="55" t="s">
        <v>386</v>
      </c>
      <c r="Q1834" s="55" t="s">
        <v>350</v>
      </c>
      <c r="R1834" s="55">
        <v>3</v>
      </c>
      <c r="S1834" s="74"/>
      <c r="T1834" s="55" t="s">
        <v>1182</v>
      </c>
      <c r="U1834" s="73" t="s">
        <v>351</v>
      </c>
      <c r="V1834" s="74">
        <v>44545</v>
      </c>
      <c r="W1834" s="74">
        <v>44595</v>
      </c>
      <c r="X1834" s="55">
        <v>10213744</v>
      </c>
      <c r="Y1834" s="74" t="s">
        <v>130</v>
      </c>
      <c r="Z1834" s="74"/>
      <c r="AB1834" s="55" t="s">
        <v>130</v>
      </c>
      <c r="AC1834" s="55" t="s">
        <v>130</v>
      </c>
    </row>
    <row r="1835" spans="1:29" ht="13" x14ac:dyDescent="0.15">
      <c r="A1835" s="72" t="str">
        <f t="shared" si="28"/>
        <v>Ofsted Social Care Provider Webpage</v>
      </c>
      <c r="B1835" s="55" t="s">
        <v>2829</v>
      </c>
      <c r="D1835" s="55" t="s">
        <v>373</v>
      </c>
      <c r="E1835" s="74">
        <v>37208</v>
      </c>
      <c r="F1835" s="55" t="s">
        <v>344</v>
      </c>
      <c r="G1835" s="55" t="s">
        <v>360</v>
      </c>
      <c r="H1835" s="55" t="s">
        <v>360</v>
      </c>
      <c r="I1835" s="55" t="s">
        <v>360</v>
      </c>
      <c r="J1835" s="55" t="s">
        <v>360</v>
      </c>
      <c r="K1835" s="55" t="s">
        <v>360</v>
      </c>
      <c r="L1835" s="55" t="s">
        <v>360</v>
      </c>
      <c r="M1835" s="55" t="s">
        <v>142</v>
      </c>
      <c r="N1835" s="55" t="s">
        <v>142</v>
      </c>
      <c r="O1835" s="55" t="s">
        <v>252</v>
      </c>
      <c r="P1835" s="55" t="s">
        <v>386</v>
      </c>
      <c r="Q1835" s="55" t="s">
        <v>350</v>
      </c>
      <c r="R1835" s="55">
        <v>6</v>
      </c>
      <c r="S1835" s="74"/>
      <c r="T1835" s="55" t="s">
        <v>2811</v>
      </c>
      <c r="U1835" s="73" t="s">
        <v>351</v>
      </c>
      <c r="V1835" s="74">
        <v>44621</v>
      </c>
      <c r="W1835" s="74">
        <v>44659</v>
      </c>
      <c r="X1835" s="55">
        <v>10186078</v>
      </c>
      <c r="Y1835" s="74" t="s">
        <v>130</v>
      </c>
      <c r="Z1835" s="74"/>
      <c r="AB1835" s="55" t="s">
        <v>130</v>
      </c>
      <c r="AC1835" s="55" t="s">
        <v>146</v>
      </c>
    </row>
    <row r="1836" spans="1:29" ht="13" x14ac:dyDescent="0.15">
      <c r="A1836" s="72" t="str">
        <f t="shared" si="28"/>
        <v>Ofsted Social Care Provider Webpage</v>
      </c>
      <c r="B1836" s="55" t="s">
        <v>2830</v>
      </c>
      <c r="D1836" s="55" t="s">
        <v>373</v>
      </c>
      <c r="E1836" s="74">
        <v>35796</v>
      </c>
      <c r="F1836" s="55" t="s">
        <v>344</v>
      </c>
      <c r="G1836" s="55" t="s">
        <v>360</v>
      </c>
      <c r="H1836" s="55" t="s">
        <v>360</v>
      </c>
      <c r="I1836" s="55" t="s">
        <v>360</v>
      </c>
      <c r="J1836" s="55" t="s">
        <v>360</v>
      </c>
      <c r="K1836" s="55" t="s">
        <v>360</v>
      </c>
      <c r="L1836" s="55" t="s">
        <v>360</v>
      </c>
      <c r="M1836" s="55" t="s">
        <v>142</v>
      </c>
      <c r="N1836" s="55" t="s">
        <v>142</v>
      </c>
      <c r="O1836" s="55" t="s">
        <v>252</v>
      </c>
      <c r="P1836" s="55" t="s">
        <v>388</v>
      </c>
      <c r="Q1836" s="55" t="s">
        <v>362</v>
      </c>
      <c r="R1836" s="55">
        <v>4</v>
      </c>
      <c r="S1836" s="74" t="s">
        <v>332</v>
      </c>
      <c r="T1836" s="55" t="s">
        <v>367</v>
      </c>
      <c r="U1836" s="73" t="s">
        <v>351</v>
      </c>
      <c r="V1836" s="74">
        <v>44516</v>
      </c>
      <c r="W1836" s="74">
        <v>44547</v>
      </c>
      <c r="X1836" s="55">
        <v>10187099</v>
      </c>
      <c r="Y1836" s="74" t="s">
        <v>132</v>
      </c>
      <c r="Z1836" s="74"/>
      <c r="AB1836" s="55" t="s">
        <v>132</v>
      </c>
      <c r="AC1836" s="55" t="s">
        <v>132</v>
      </c>
    </row>
    <row r="1837" spans="1:29" ht="13" x14ac:dyDescent="0.15">
      <c r="A1837" s="72" t="str">
        <f t="shared" si="28"/>
        <v>Ofsted Social Care Provider Webpage</v>
      </c>
      <c r="B1837" s="55" t="s">
        <v>2831</v>
      </c>
      <c r="C1837" s="55">
        <v>147508</v>
      </c>
      <c r="D1837" s="55" t="s">
        <v>398</v>
      </c>
      <c r="E1837" s="74">
        <v>37302</v>
      </c>
      <c r="F1837" s="55" t="s">
        <v>344</v>
      </c>
      <c r="G1837" s="55" t="s">
        <v>2832</v>
      </c>
      <c r="H1837" s="55" t="s">
        <v>2833</v>
      </c>
      <c r="I1837" s="55" t="s">
        <v>2834</v>
      </c>
      <c r="J1837" s="55" t="s">
        <v>2835</v>
      </c>
      <c r="L1837" s="55" t="s">
        <v>2836</v>
      </c>
      <c r="M1837" s="55" t="s">
        <v>142</v>
      </c>
      <c r="N1837" s="55" t="s">
        <v>142</v>
      </c>
      <c r="O1837" s="55" t="s">
        <v>252</v>
      </c>
      <c r="P1837" s="55" t="s">
        <v>386</v>
      </c>
      <c r="Q1837" s="55" t="s">
        <v>380</v>
      </c>
      <c r="R1837" s="55">
        <v>34</v>
      </c>
      <c r="S1837" s="74"/>
      <c r="T1837" s="55" t="s">
        <v>2832</v>
      </c>
      <c r="U1837" s="73" t="s">
        <v>351</v>
      </c>
      <c r="V1837" s="74">
        <v>43732</v>
      </c>
      <c r="W1837" s="74">
        <v>43754</v>
      </c>
      <c r="X1837" s="55">
        <v>10092952</v>
      </c>
      <c r="Y1837" s="74" t="s">
        <v>132</v>
      </c>
      <c r="Z1837" s="74"/>
      <c r="AB1837" s="55" t="s">
        <v>132</v>
      </c>
      <c r="AC1837" s="55" t="s">
        <v>132</v>
      </c>
    </row>
    <row r="1838" spans="1:29" ht="13" x14ac:dyDescent="0.15">
      <c r="A1838" s="72" t="str">
        <f t="shared" si="28"/>
        <v>Ofsted Social Care Provider Webpage</v>
      </c>
      <c r="B1838" s="55" t="s">
        <v>2837</v>
      </c>
      <c r="D1838" s="55" t="s">
        <v>373</v>
      </c>
      <c r="E1838" s="74">
        <v>44503</v>
      </c>
      <c r="F1838" s="55" t="s">
        <v>344</v>
      </c>
      <c r="G1838" s="55" t="s">
        <v>360</v>
      </c>
      <c r="H1838" s="55" t="s">
        <v>360</v>
      </c>
      <c r="I1838" s="55" t="s">
        <v>360</v>
      </c>
      <c r="J1838" s="55" t="s">
        <v>360</v>
      </c>
      <c r="K1838" s="55" t="s">
        <v>360</v>
      </c>
      <c r="L1838" s="55" t="s">
        <v>360</v>
      </c>
      <c r="M1838" s="55" t="s">
        <v>142</v>
      </c>
      <c r="N1838" s="55" t="s">
        <v>142</v>
      </c>
      <c r="O1838" s="55" t="s">
        <v>278</v>
      </c>
      <c r="P1838" s="55" t="s">
        <v>611</v>
      </c>
      <c r="Q1838" s="55" t="s">
        <v>350</v>
      </c>
      <c r="R1838" s="55">
        <v>6</v>
      </c>
      <c r="S1838" s="74"/>
      <c r="T1838" s="55" t="s">
        <v>1164</v>
      </c>
      <c r="U1838" s="73" t="s">
        <v>351</v>
      </c>
      <c r="V1838" s="74">
        <v>44461</v>
      </c>
      <c r="W1838" s="74">
        <v>44572</v>
      </c>
      <c r="X1838" s="55">
        <v>10186755</v>
      </c>
      <c r="Y1838" s="74" t="s">
        <v>146</v>
      </c>
      <c r="Z1838" s="74"/>
      <c r="AB1838" s="55" t="s">
        <v>146</v>
      </c>
      <c r="AC1838" s="55" t="s">
        <v>146</v>
      </c>
    </row>
    <row r="1839" spans="1:29" ht="13" x14ac:dyDescent="0.15">
      <c r="A1839" s="72" t="str">
        <f t="shared" si="28"/>
        <v>Ofsted Social Care Provider Webpage</v>
      </c>
      <c r="B1839" s="55" t="s">
        <v>2838</v>
      </c>
      <c r="D1839" s="55" t="s">
        <v>373</v>
      </c>
      <c r="E1839" s="74">
        <v>37127</v>
      </c>
      <c r="F1839" s="55" t="s">
        <v>344</v>
      </c>
      <c r="G1839" s="55" t="s">
        <v>360</v>
      </c>
      <c r="H1839" s="55" t="s">
        <v>360</v>
      </c>
      <c r="I1839" s="55" t="s">
        <v>360</v>
      </c>
      <c r="J1839" s="55" t="s">
        <v>360</v>
      </c>
      <c r="K1839" s="55" t="s">
        <v>360</v>
      </c>
      <c r="L1839" s="55" t="s">
        <v>360</v>
      </c>
      <c r="M1839" s="55" t="s">
        <v>144</v>
      </c>
      <c r="N1839" s="55" t="s">
        <v>144</v>
      </c>
      <c r="O1839" s="55" t="s">
        <v>217</v>
      </c>
      <c r="P1839" s="55" t="s">
        <v>903</v>
      </c>
      <c r="Q1839" s="55" t="s">
        <v>350</v>
      </c>
      <c r="R1839" s="55">
        <v>4</v>
      </c>
      <c r="S1839" s="74"/>
      <c r="T1839" s="55" t="s">
        <v>1505</v>
      </c>
      <c r="U1839" s="73" t="s">
        <v>351</v>
      </c>
      <c r="V1839" s="74">
        <v>44404</v>
      </c>
      <c r="W1839" s="74">
        <v>44433</v>
      </c>
      <c r="X1839" s="55">
        <v>10185161</v>
      </c>
      <c r="Y1839" s="74" t="s">
        <v>132</v>
      </c>
      <c r="Z1839" s="74"/>
      <c r="AB1839" s="55" t="s">
        <v>132</v>
      </c>
      <c r="AC1839" s="55" t="s">
        <v>132</v>
      </c>
    </row>
    <row r="1840" spans="1:29" ht="13" x14ac:dyDescent="0.15">
      <c r="A1840" s="72" t="str">
        <f t="shared" si="28"/>
        <v>Ofsted Social Care Provider Webpage</v>
      </c>
      <c r="B1840" s="55" t="s">
        <v>2839</v>
      </c>
      <c r="D1840" s="55" t="s">
        <v>373</v>
      </c>
      <c r="E1840" s="74">
        <v>34859</v>
      </c>
      <c r="F1840" s="55" t="s">
        <v>344</v>
      </c>
      <c r="G1840" s="55" t="s">
        <v>360</v>
      </c>
      <c r="H1840" s="55" t="s">
        <v>360</v>
      </c>
      <c r="I1840" s="55" t="s">
        <v>360</v>
      </c>
      <c r="J1840" s="55" t="s">
        <v>360</v>
      </c>
      <c r="K1840" s="55" t="s">
        <v>360</v>
      </c>
      <c r="L1840" s="55" t="s">
        <v>360</v>
      </c>
      <c r="M1840" s="55" t="s">
        <v>144</v>
      </c>
      <c r="N1840" s="55" t="s">
        <v>144</v>
      </c>
      <c r="O1840" s="55" t="s">
        <v>217</v>
      </c>
      <c r="P1840" s="55" t="s">
        <v>384</v>
      </c>
      <c r="Q1840" s="55" t="s">
        <v>350</v>
      </c>
      <c r="R1840" s="55">
        <v>4</v>
      </c>
      <c r="S1840" s="74"/>
      <c r="T1840" s="55" t="s">
        <v>1505</v>
      </c>
      <c r="U1840" s="73" t="s">
        <v>351</v>
      </c>
      <c r="V1840" s="74">
        <v>44376</v>
      </c>
      <c r="W1840" s="74">
        <v>44404</v>
      </c>
      <c r="X1840" s="55">
        <v>10185202</v>
      </c>
      <c r="Y1840" s="74" t="s">
        <v>132</v>
      </c>
      <c r="Z1840" s="74"/>
      <c r="AB1840" s="55" t="s">
        <v>132</v>
      </c>
      <c r="AC1840" s="55" t="s">
        <v>132</v>
      </c>
    </row>
    <row r="1841" spans="1:29" ht="13" x14ac:dyDescent="0.15">
      <c r="A1841" s="72" t="str">
        <f t="shared" si="28"/>
        <v>Ofsted Social Care Provider Webpage</v>
      </c>
      <c r="B1841" s="55" t="s">
        <v>2840</v>
      </c>
      <c r="D1841" s="55" t="s">
        <v>373</v>
      </c>
      <c r="E1841" s="74">
        <v>37127</v>
      </c>
      <c r="F1841" s="55" t="s">
        <v>344</v>
      </c>
      <c r="G1841" s="55" t="s">
        <v>360</v>
      </c>
      <c r="H1841" s="55" t="s">
        <v>360</v>
      </c>
      <c r="I1841" s="55" t="s">
        <v>360</v>
      </c>
      <c r="J1841" s="55" t="s">
        <v>360</v>
      </c>
      <c r="K1841" s="55" t="s">
        <v>360</v>
      </c>
      <c r="L1841" s="55" t="s">
        <v>360</v>
      </c>
      <c r="M1841" s="55" t="s">
        <v>144</v>
      </c>
      <c r="N1841" s="55" t="s">
        <v>144</v>
      </c>
      <c r="O1841" s="55" t="s">
        <v>217</v>
      </c>
      <c r="P1841" s="55" t="s">
        <v>384</v>
      </c>
      <c r="Q1841" s="55" t="s">
        <v>350</v>
      </c>
      <c r="R1841" s="55">
        <v>4</v>
      </c>
      <c r="S1841" s="74"/>
      <c r="T1841" s="55" t="s">
        <v>1505</v>
      </c>
      <c r="U1841" s="73" t="s">
        <v>351</v>
      </c>
      <c r="V1841" s="74">
        <v>44504</v>
      </c>
      <c r="W1841" s="74">
        <v>44544</v>
      </c>
      <c r="X1841" s="55">
        <v>10186354</v>
      </c>
      <c r="Y1841" s="74" t="s">
        <v>132</v>
      </c>
      <c r="Z1841" s="74"/>
      <c r="AB1841" s="55" t="s">
        <v>132</v>
      </c>
      <c r="AC1841" s="55" t="s">
        <v>132</v>
      </c>
    </row>
    <row r="1842" spans="1:29" ht="13" x14ac:dyDescent="0.15">
      <c r="A1842" s="72" t="str">
        <f t="shared" si="28"/>
        <v>Ofsted Social Care Provider Webpage</v>
      </c>
      <c r="B1842" s="55" t="s">
        <v>2841</v>
      </c>
      <c r="D1842" s="55" t="s">
        <v>373</v>
      </c>
      <c r="E1842" s="74">
        <v>37229</v>
      </c>
      <c r="F1842" s="55" t="s">
        <v>344</v>
      </c>
      <c r="G1842" s="55" t="s">
        <v>360</v>
      </c>
      <c r="H1842" s="55" t="s">
        <v>360</v>
      </c>
      <c r="I1842" s="55" t="s">
        <v>360</v>
      </c>
      <c r="J1842" s="55" t="s">
        <v>360</v>
      </c>
      <c r="K1842" s="55" t="s">
        <v>360</v>
      </c>
      <c r="L1842" s="55" t="s">
        <v>360</v>
      </c>
      <c r="M1842" s="55" t="s">
        <v>144</v>
      </c>
      <c r="N1842" s="55" t="s">
        <v>144</v>
      </c>
      <c r="O1842" s="55" t="s">
        <v>217</v>
      </c>
      <c r="P1842" s="55" t="s">
        <v>384</v>
      </c>
      <c r="Q1842" s="55" t="s">
        <v>350</v>
      </c>
      <c r="R1842" s="55">
        <v>6</v>
      </c>
      <c r="S1842" s="74"/>
      <c r="T1842" s="55" t="s">
        <v>2842</v>
      </c>
      <c r="U1842" s="73" t="s">
        <v>351</v>
      </c>
      <c r="V1842" s="74">
        <v>44454</v>
      </c>
      <c r="W1842" s="74">
        <v>44491</v>
      </c>
      <c r="X1842" s="55">
        <v>10186460</v>
      </c>
      <c r="Y1842" s="74" t="s">
        <v>132</v>
      </c>
      <c r="Z1842" s="74"/>
      <c r="AB1842" s="55" t="s">
        <v>132</v>
      </c>
      <c r="AC1842" s="55" t="s">
        <v>130</v>
      </c>
    </row>
    <row r="1843" spans="1:29" ht="13" x14ac:dyDescent="0.15">
      <c r="A1843" s="72" t="str">
        <f t="shared" si="28"/>
        <v>Ofsted Social Care Provider Webpage</v>
      </c>
      <c r="B1843" s="55" t="s">
        <v>2843</v>
      </c>
      <c r="C1843" s="55">
        <v>113654</v>
      </c>
      <c r="D1843" s="55" t="s">
        <v>413</v>
      </c>
      <c r="E1843" s="74">
        <v>37305</v>
      </c>
      <c r="F1843" s="55" t="s">
        <v>344</v>
      </c>
      <c r="G1843" s="55" t="s">
        <v>2844</v>
      </c>
      <c r="H1843" s="55" t="s">
        <v>2845</v>
      </c>
      <c r="I1843" s="55" t="s">
        <v>2846</v>
      </c>
      <c r="J1843" s="55" t="s">
        <v>2847</v>
      </c>
      <c r="K1843" s="55" t="s">
        <v>174</v>
      </c>
      <c r="L1843" s="55" t="s">
        <v>2848</v>
      </c>
      <c r="M1843" s="55" t="s">
        <v>136</v>
      </c>
      <c r="N1843" s="55" t="s">
        <v>136</v>
      </c>
      <c r="O1843" s="55" t="s">
        <v>174</v>
      </c>
      <c r="P1843" s="55" t="s">
        <v>572</v>
      </c>
      <c r="Q1843" s="55" t="s">
        <v>362</v>
      </c>
      <c r="R1843" s="55">
        <v>24</v>
      </c>
      <c r="S1843" s="74"/>
      <c r="T1843" s="55" t="s">
        <v>1797</v>
      </c>
      <c r="U1843" s="73" t="s">
        <v>351</v>
      </c>
      <c r="V1843" s="74">
        <v>44460</v>
      </c>
      <c r="W1843" s="74">
        <v>44518</v>
      </c>
      <c r="X1843" s="55">
        <v>10183568</v>
      </c>
      <c r="Y1843" s="74" t="s">
        <v>132</v>
      </c>
      <c r="Z1843" s="74"/>
      <c r="AB1843" s="55" t="s">
        <v>132</v>
      </c>
      <c r="AC1843" s="55" t="s">
        <v>132</v>
      </c>
    </row>
    <row r="1844" spans="1:29" ht="13" x14ac:dyDescent="0.15">
      <c r="A1844" s="72" t="str">
        <f t="shared" si="28"/>
        <v>Ofsted Social Care Provider Webpage</v>
      </c>
      <c r="B1844" s="55" t="s">
        <v>2849</v>
      </c>
      <c r="C1844" s="55">
        <v>113652</v>
      </c>
      <c r="D1844" s="55" t="s">
        <v>413</v>
      </c>
      <c r="E1844" s="74">
        <v>37305</v>
      </c>
      <c r="F1844" s="55" t="s">
        <v>344</v>
      </c>
      <c r="G1844" s="55" t="s">
        <v>2850</v>
      </c>
      <c r="H1844" s="55" t="s">
        <v>2850</v>
      </c>
      <c r="I1844" s="55" t="s">
        <v>2851</v>
      </c>
      <c r="J1844" s="55" t="s">
        <v>2852</v>
      </c>
      <c r="L1844" s="55" t="s">
        <v>2853</v>
      </c>
      <c r="M1844" s="55" t="s">
        <v>136</v>
      </c>
      <c r="N1844" s="55" t="s">
        <v>136</v>
      </c>
      <c r="O1844" s="55" t="s">
        <v>174</v>
      </c>
      <c r="P1844" s="55" t="s">
        <v>572</v>
      </c>
      <c r="Q1844" s="55" t="s">
        <v>362</v>
      </c>
      <c r="R1844" s="55">
        <v>30</v>
      </c>
      <c r="S1844" s="74"/>
      <c r="T1844" s="55" t="s">
        <v>2850</v>
      </c>
      <c r="U1844" s="73" t="s">
        <v>351</v>
      </c>
      <c r="V1844" s="74">
        <v>44607</v>
      </c>
      <c r="W1844" s="74">
        <v>44676</v>
      </c>
      <c r="X1844" s="55">
        <v>10183581</v>
      </c>
      <c r="Y1844" s="74" t="s">
        <v>132</v>
      </c>
      <c r="Z1844" s="74"/>
      <c r="AB1844" s="55" t="s">
        <v>130</v>
      </c>
      <c r="AC1844" s="55" t="s">
        <v>130</v>
      </c>
    </row>
    <row r="1845" spans="1:29" ht="13" x14ac:dyDescent="0.15">
      <c r="A1845" s="72" t="str">
        <f t="shared" si="28"/>
        <v>Ofsted Social Care Provider Webpage</v>
      </c>
      <c r="B1845" s="55" t="s">
        <v>2854</v>
      </c>
      <c r="C1845" s="55">
        <v>131552</v>
      </c>
      <c r="D1845" s="55" t="s">
        <v>413</v>
      </c>
      <c r="E1845" s="74">
        <v>37305</v>
      </c>
      <c r="F1845" s="55" t="s">
        <v>344</v>
      </c>
      <c r="G1845" s="55" t="s">
        <v>2855</v>
      </c>
      <c r="H1845" s="55" t="s">
        <v>1525</v>
      </c>
      <c r="I1845" s="55" t="s">
        <v>2856</v>
      </c>
      <c r="J1845" s="55" t="s">
        <v>2857</v>
      </c>
      <c r="K1845" s="55" t="s">
        <v>174</v>
      </c>
      <c r="L1845" s="55" t="s">
        <v>2858</v>
      </c>
      <c r="M1845" s="55" t="s">
        <v>136</v>
      </c>
      <c r="N1845" s="55" t="s">
        <v>136</v>
      </c>
      <c r="O1845" s="55" t="s">
        <v>174</v>
      </c>
      <c r="P1845" s="55" t="s">
        <v>857</v>
      </c>
      <c r="Q1845" s="55" t="s">
        <v>380</v>
      </c>
      <c r="R1845" s="55">
        <v>40</v>
      </c>
      <c r="S1845" s="74"/>
      <c r="T1845" s="55" t="s">
        <v>1525</v>
      </c>
      <c r="U1845" s="73" t="s">
        <v>351</v>
      </c>
      <c r="V1845" s="74">
        <v>44452</v>
      </c>
      <c r="W1845" s="74">
        <v>44480</v>
      </c>
      <c r="X1845" s="55">
        <v>10183570</v>
      </c>
      <c r="Y1845" s="74" t="s">
        <v>140</v>
      </c>
      <c r="Z1845" s="74"/>
      <c r="AB1845" s="55" t="s">
        <v>140</v>
      </c>
      <c r="AC1845" s="55" t="s">
        <v>140</v>
      </c>
    </row>
    <row r="1846" spans="1:29" ht="13" x14ac:dyDescent="0.15">
      <c r="A1846" s="72" t="str">
        <f t="shared" si="28"/>
        <v>Ofsted Social Care Provider Webpage</v>
      </c>
      <c r="B1846" s="55" t="s">
        <v>2859</v>
      </c>
      <c r="D1846" s="55" t="s">
        <v>373</v>
      </c>
      <c r="E1846" s="74">
        <v>37092</v>
      </c>
      <c r="F1846" s="55" t="s">
        <v>344</v>
      </c>
      <c r="G1846" s="55" t="s">
        <v>360</v>
      </c>
      <c r="H1846" s="55" t="s">
        <v>360</v>
      </c>
      <c r="I1846" s="55" t="s">
        <v>360</v>
      </c>
      <c r="J1846" s="55" t="s">
        <v>360</v>
      </c>
      <c r="K1846" s="55" t="s">
        <v>360</v>
      </c>
      <c r="L1846" s="55" t="s">
        <v>360</v>
      </c>
      <c r="M1846" s="55" t="s">
        <v>144</v>
      </c>
      <c r="N1846" s="55" t="s">
        <v>144</v>
      </c>
      <c r="O1846" s="55" t="s">
        <v>261</v>
      </c>
      <c r="P1846" s="55" t="s">
        <v>512</v>
      </c>
      <c r="Q1846" s="55" t="s">
        <v>350</v>
      </c>
      <c r="R1846" s="55">
        <v>1</v>
      </c>
      <c r="S1846" s="74"/>
      <c r="T1846" s="55" t="s">
        <v>2860</v>
      </c>
      <c r="U1846" s="73" t="s">
        <v>351</v>
      </c>
      <c r="V1846" s="74">
        <v>44306</v>
      </c>
      <c r="W1846" s="74">
        <v>44340</v>
      </c>
      <c r="X1846" s="55">
        <v>10185022</v>
      </c>
      <c r="Y1846" s="74" t="s">
        <v>132</v>
      </c>
      <c r="Z1846" s="74"/>
      <c r="AB1846" s="55" t="s">
        <v>132</v>
      </c>
      <c r="AC1846" s="55" t="s">
        <v>132</v>
      </c>
    </row>
    <row r="1847" spans="1:29" ht="13" x14ac:dyDescent="0.15">
      <c r="A1847" s="72" t="str">
        <f t="shared" si="28"/>
        <v>Ofsted Social Care Provider Webpage</v>
      </c>
      <c r="B1847" s="55" t="s">
        <v>2861</v>
      </c>
      <c r="D1847" s="55" t="s">
        <v>373</v>
      </c>
      <c r="E1847" s="74">
        <v>37092</v>
      </c>
      <c r="F1847" s="55" t="s">
        <v>344</v>
      </c>
      <c r="G1847" s="55" t="s">
        <v>360</v>
      </c>
      <c r="H1847" s="55" t="s">
        <v>360</v>
      </c>
      <c r="I1847" s="55" t="s">
        <v>360</v>
      </c>
      <c r="J1847" s="55" t="s">
        <v>360</v>
      </c>
      <c r="K1847" s="55" t="s">
        <v>360</v>
      </c>
      <c r="L1847" s="55" t="s">
        <v>360</v>
      </c>
      <c r="M1847" s="55" t="s">
        <v>144</v>
      </c>
      <c r="N1847" s="55" t="s">
        <v>144</v>
      </c>
      <c r="O1847" s="55" t="s">
        <v>261</v>
      </c>
      <c r="P1847" s="55" t="s">
        <v>512</v>
      </c>
      <c r="Q1847" s="55" t="s">
        <v>350</v>
      </c>
      <c r="R1847" s="55">
        <v>1</v>
      </c>
      <c r="S1847" s="74"/>
      <c r="T1847" s="55" t="s">
        <v>2860</v>
      </c>
      <c r="U1847" s="73" t="s">
        <v>351</v>
      </c>
      <c r="V1847" s="74">
        <v>44418</v>
      </c>
      <c r="W1847" s="74">
        <v>44461</v>
      </c>
      <c r="X1847" s="55">
        <v>10185033</v>
      </c>
      <c r="Y1847" s="74" t="s">
        <v>130</v>
      </c>
      <c r="Z1847" s="74"/>
      <c r="AB1847" s="55" t="s">
        <v>130</v>
      </c>
      <c r="AC1847" s="55" t="s">
        <v>130</v>
      </c>
    </row>
    <row r="1848" spans="1:29" ht="13" x14ac:dyDescent="0.15">
      <c r="A1848" s="72" t="str">
        <f t="shared" si="28"/>
        <v>Ofsted Social Care Provider Webpage</v>
      </c>
      <c r="B1848" s="55" t="s">
        <v>2862</v>
      </c>
      <c r="D1848" s="55" t="s">
        <v>373</v>
      </c>
      <c r="E1848" s="74">
        <v>37305</v>
      </c>
      <c r="F1848" s="55" t="s">
        <v>344</v>
      </c>
      <c r="G1848" s="55" t="s">
        <v>360</v>
      </c>
      <c r="H1848" s="55" t="s">
        <v>360</v>
      </c>
      <c r="I1848" s="55" t="s">
        <v>360</v>
      </c>
      <c r="J1848" s="55" t="s">
        <v>360</v>
      </c>
      <c r="K1848" s="55" t="s">
        <v>360</v>
      </c>
      <c r="L1848" s="55" t="s">
        <v>360</v>
      </c>
      <c r="M1848" s="55" t="s">
        <v>144</v>
      </c>
      <c r="N1848" s="55" t="s">
        <v>144</v>
      </c>
      <c r="O1848" s="55" t="s">
        <v>261</v>
      </c>
      <c r="P1848" s="55" t="s">
        <v>512</v>
      </c>
      <c r="Q1848" s="55" t="s">
        <v>362</v>
      </c>
      <c r="R1848" s="55">
        <v>3</v>
      </c>
      <c r="S1848" s="74"/>
      <c r="T1848" s="55" t="s">
        <v>2360</v>
      </c>
      <c r="U1848" s="73" t="s">
        <v>351</v>
      </c>
      <c r="V1848" s="74">
        <v>44517</v>
      </c>
      <c r="W1848" s="74">
        <v>44559</v>
      </c>
      <c r="X1848" s="55">
        <v>10187013</v>
      </c>
      <c r="Y1848" s="74" t="s">
        <v>132</v>
      </c>
      <c r="Z1848" s="74"/>
      <c r="AB1848" s="55" t="s">
        <v>132</v>
      </c>
      <c r="AC1848" s="55" t="s">
        <v>132</v>
      </c>
    </row>
    <row r="1849" spans="1:29" ht="13" x14ac:dyDescent="0.15">
      <c r="A1849" s="72" t="str">
        <f t="shared" si="28"/>
        <v>Ofsted Social Care Provider Webpage</v>
      </c>
      <c r="B1849" s="55" t="s">
        <v>2863</v>
      </c>
      <c r="D1849" s="55" t="s">
        <v>2864</v>
      </c>
      <c r="E1849" s="74">
        <v>37305</v>
      </c>
      <c r="F1849" s="55" t="s">
        <v>344</v>
      </c>
      <c r="G1849" s="55" t="s">
        <v>360</v>
      </c>
      <c r="H1849" s="55" t="s">
        <v>360</v>
      </c>
      <c r="I1849" s="55" t="s">
        <v>360</v>
      </c>
      <c r="J1849" s="55" t="s">
        <v>360</v>
      </c>
      <c r="K1849" s="55" t="s">
        <v>360</v>
      </c>
      <c r="L1849" s="55" t="s">
        <v>360</v>
      </c>
      <c r="M1849" s="55" t="s">
        <v>144</v>
      </c>
      <c r="N1849" s="55" t="s">
        <v>144</v>
      </c>
      <c r="O1849" s="55" t="s">
        <v>261</v>
      </c>
      <c r="P1849" s="55" t="s">
        <v>512</v>
      </c>
      <c r="Q1849" s="55" t="s">
        <v>362</v>
      </c>
      <c r="R1849" s="55">
        <v>12</v>
      </c>
      <c r="S1849" s="74"/>
      <c r="T1849" s="55" t="s">
        <v>2360</v>
      </c>
      <c r="U1849" s="73" t="s">
        <v>351</v>
      </c>
      <c r="V1849" s="74">
        <v>44453</v>
      </c>
      <c r="W1849" s="74">
        <v>44482</v>
      </c>
      <c r="X1849" s="55">
        <v>10165452</v>
      </c>
      <c r="Y1849" s="74" t="s">
        <v>140</v>
      </c>
      <c r="Z1849" s="74" t="s">
        <v>132</v>
      </c>
      <c r="AA1849" s="55" t="s">
        <v>140</v>
      </c>
      <c r="AB1849" s="55" t="s">
        <v>140</v>
      </c>
      <c r="AC1849" s="55" t="s">
        <v>140</v>
      </c>
    </row>
    <row r="1850" spans="1:29" ht="13" x14ac:dyDescent="0.15">
      <c r="A1850" s="72" t="str">
        <f t="shared" si="28"/>
        <v>Ofsted Social Care Provider Webpage</v>
      </c>
      <c r="B1850" s="55" t="s">
        <v>2865</v>
      </c>
      <c r="D1850" s="55" t="s">
        <v>373</v>
      </c>
      <c r="E1850" s="74">
        <v>37305</v>
      </c>
      <c r="F1850" s="55" t="s">
        <v>344</v>
      </c>
      <c r="G1850" s="55" t="s">
        <v>360</v>
      </c>
      <c r="H1850" s="55" t="s">
        <v>360</v>
      </c>
      <c r="I1850" s="55" t="s">
        <v>360</v>
      </c>
      <c r="J1850" s="55" t="s">
        <v>360</v>
      </c>
      <c r="K1850" s="55" t="s">
        <v>360</v>
      </c>
      <c r="L1850" s="55" t="s">
        <v>360</v>
      </c>
      <c r="M1850" s="55" t="s">
        <v>144</v>
      </c>
      <c r="N1850" s="55" t="s">
        <v>144</v>
      </c>
      <c r="O1850" s="55" t="s">
        <v>261</v>
      </c>
      <c r="P1850" s="55" t="s">
        <v>792</v>
      </c>
      <c r="Q1850" s="55" t="s">
        <v>350</v>
      </c>
      <c r="R1850" s="55">
        <v>1</v>
      </c>
      <c r="S1850" s="74"/>
      <c r="T1850" s="55" t="s">
        <v>2860</v>
      </c>
      <c r="U1850" s="73" t="s">
        <v>351</v>
      </c>
      <c r="V1850" s="74">
        <v>44496</v>
      </c>
      <c r="W1850" s="74">
        <v>44533</v>
      </c>
      <c r="X1850" s="55">
        <v>10212707</v>
      </c>
      <c r="Y1850" s="55" t="s">
        <v>130</v>
      </c>
      <c r="Z1850" s="74"/>
      <c r="AB1850" s="55" t="s">
        <v>130</v>
      </c>
      <c r="AC1850" s="55" t="s">
        <v>130</v>
      </c>
    </row>
    <row r="1851" spans="1:29" ht="13" x14ac:dyDescent="0.15">
      <c r="A1851" s="72" t="str">
        <f t="shared" si="28"/>
        <v>Ofsted Social Care Provider Webpage</v>
      </c>
      <c r="B1851" s="55" t="s">
        <v>2866</v>
      </c>
      <c r="C1851" s="55">
        <v>137934</v>
      </c>
      <c r="D1851" s="55" t="s">
        <v>413</v>
      </c>
      <c r="E1851" s="74">
        <v>37305</v>
      </c>
      <c r="F1851" s="55" t="s">
        <v>344</v>
      </c>
      <c r="G1851" s="55" t="s">
        <v>2867</v>
      </c>
      <c r="H1851" s="55" t="s">
        <v>2867</v>
      </c>
      <c r="I1851" s="55" t="s">
        <v>2868</v>
      </c>
      <c r="J1851" s="55" t="s">
        <v>2094</v>
      </c>
      <c r="K1851" s="55" t="s">
        <v>156</v>
      </c>
      <c r="L1851" s="55" t="s">
        <v>2869</v>
      </c>
      <c r="M1851" s="55" t="s">
        <v>150</v>
      </c>
      <c r="N1851" s="55" t="s">
        <v>150</v>
      </c>
      <c r="O1851" s="55" t="s">
        <v>156</v>
      </c>
      <c r="P1851" s="55" t="s">
        <v>2870</v>
      </c>
      <c r="Q1851" s="55" t="s">
        <v>420</v>
      </c>
      <c r="R1851" s="55">
        <v>20</v>
      </c>
      <c r="S1851" s="74"/>
      <c r="T1851" s="55" t="s">
        <v>2867</v>
      </c>
      <c r="U1851" s="73" t="s">
        <v>351</v>
      </c>
      <c r="V1851" s="74">
        <v>44586</v>
      </c>
      <c r="W1851" s="74">
        <v>44629</v>
      </c>
      <c r="X1851" s="55">
        <v>10183538</v>
      </c>
      <c r="Y1851" s="74" t="s">
        <v>132</v>
      </c>
      <c r="Z1851" s="74"/>
      <c r="AB1851" s="55" t="s">
        <v>132</v>
      </c>
      <c r="AC1851" s="55" t="s">
        <v>132</v>
      </c>
    </row>
    <row r="1852" spans="1:29" ht="13" x14ac:dyDescent="0.15">
      <c r="A1852" s="72" t="str">
        <f t="shared" si="28"/>
        <v>Ofsted Social Care Provider Webpage</v>
      </c>
      <c r="B1852" s="55" t="s">
        <v>2871</v>
      </c>
      <c r="D1852" s="55" t="s">
        <v>373</v>
      </c>
      <c r="E1852" s="74">
        <v>37224</v>
      </c>
      <c r="F1852" s="55" t="s">
        <v>344</v>
      </c>
      <c r="G1852" s="55" t="s">
        <v>360</v>
      </c>
      <c r="H1852" s="55" t="s">
        <v>360</v>
      </c>
      <c r="I1852" s="55" t="s">
        <v>360</v>
      </c>
      <c r="J1852" s="55" t="s">
        <v>360</v>
      </c>
      <c r="K1852" s="55" t="s">
        <v>360</v>
      </c>
      <c r="L1852" s="55" t="s">
        <v>360</v>
      </c>
      <c r="M1852" s="55" t="s">
        <v>150</v>
      </c>
      <c r="N1852" s="55" t="s">
        <v>150</v>
      </c>
      <c r="O1852" s="55" t="s">
        <v>203</v>
      </c>
      <c r="P1852" s="55" t="s">
        <v>1038</v>
      </c>
      <c r="Q1852" s="55" t="s">
        <v>362</v>
      </c>
      <c r="R1852" s="55">
        <v>10</v>
      </c>
      <c r="S1852" s="74"/>
      <c r="T1852" s="55" t="s">
        <v>1119</v>
      </c>
      <c r="U1852" s="73" t="s">
        <v>351</v>
      </c>
      <c r="V1852" s="74">
        <v>43881</v>
      </c>
      <c r="W1852" s="74">
        <v>43924</v>
      </c>
      <c r="X1852" s="55">
        <v>10095357</v>
      </c>
      <c r="Y1852" s="55" t="s">
        <v>140</v>
      </c>
      <c r="Z1852" s="74"/>
      <c r="AB1852" s="55" t="s">
        <v>140</v>
      </c>
      <c r="AC1852" s="55" t="s">
        <v>140</v>
      </c>
    </row>
    <row r="1853" spans="1:29" ht="13" x14ac:dyDescent="0.15">
      <c r="A1853" s="72" t="str">
        <f t="shared" si="28"/>
        <v>Ofsted Social Care Provider Webpage</v>
      </c>
      <c r="B1853" s="55" t="s">
        <v>2872</v>
      </c>
      <c r="D1853" s="55" t="s">
        <v>373</v>
      </c>
      <c r="E1853" s="74">
        <v>37091</v>
      </c>
      <c r="F1853" s="55" t="s">
        <v>344</v>
      </c>
      <c r="G1853" s="55" t="s">
        <v>360</v>
      </c>
      <c r="H1853" s="55" t="s">
        <v>360</v>
      </c>
      <c r="I1853" s="55" t="s">
        <v>360</v>
      </c>
      <c r="J1853" s="55" t="s">
        <v>360</v>
      </c>
      <c r="K1853" s="55" t="s">
        <v>360</v>
      </c>
      <c r="L1853" s="55" t="s">
        <v>360</v>
      </c>
      <c r="M1853" s="55" t="s">
        <v>150</v>
      </c>
      <c r="N1853" s="55" t="s">
        <v>150</v>
      </c>
      <c r="O1853" s="55" t="s">
        <v>203</v>
      </c>
      <c r="P1853" s="55" t="s">
        <v>1268</v>
      </c>
      <c r="Q1853" s="55" t="s">
        <v>350</v>
      </c>
      <c r="R1853" s="55">
        <v>8</v>
      </c>
      <c r="S1853" s="74"/>
      <c r="T1853" s="55" t="s">
        <v>2873</v>
      </c>
      <c r="U1853" s="73" t="s">
        <v>351</v>
      </c>
      <c r="V1853" s="74">
        <v>44606</v>
      </c>
      <c r="W1853" s="74">
        <v>44651</v>
      </c>
      <c r="X1853" s="55">
        <v>10185947</v>
      </c>
      <c r="Y1853" s="74" t="s">
        <v>132</v>
      </c>
      <c r="Z1853" s="74"/>
      <c r="AB1853" s="55" t="s">
        <v>132</v>
      </c>
      <c r="AC1853" s="55" t="s">
        <v>132</v>
      </c>
    </row>
    <row r="1854" spans="1:29" ht="13" x14ac:dyDescent="0.15">
      <c r="A1854" s="72" t="str">
        <f t="shared" si="28"/>
        <v>Ofsted Social Care Provider Webpage</v>
      </c>
      <c r="B1854" s="55" t="s">
        <v>2874</v>
      </c>
      <c r="D1854" s="55" t="s">
        <v>373</v>
      </c>
      <c r="E1854" s="74">
        <v>36712</v>
      </c>
      <c r="F1854" s="55" t="s">
        <v>344</v>
      </c>
      <c r="G1854" s="55" t="s">
        <v>360</v>
      </c>
      <c r="H1854" s="55" t="s">
        <v>360</v>
      </c>
      <c r="I1854" s="55" t="s">
        <v>360</v>
      </c>
      <c r="J1854" s="55" t="s">
        <v>360</v>
      </c>
      <c r="K1854" s="55" t="s">
        <v>360</v>
      </c>
      <c r="L1854" s="55" t="s">
        <v>360</v>
      </c>
      <c r="M1854" s="55" t="s">
        <v>150</v>
      </c>
      <c r="N1854" s="55" t="s">
        <v>150</v>
      </c>
      <c r="O1854" s="55" t="s">
        <v>203</v>
      </c>
      <c r="P1854" s="55" t="s">
        <v>1263</v>
      </c>
      <c r="Q1854" s="55" t="s">
        <v>350</v>
      </c>
      <c r="R1854" s="55">
        <v>7</v>
      </c>
      <c r="S1854" s="74"/>
      <c r="T1854" s="55" t="s">
        <v>483</v>
      </c>
      <c r="U1854" s="73" t="s">
        <v>351</v>
      </c>
      <c r="V1854" s="74">
        <v>44509</v>
      </c>
      <c r="W1854" s="74">
        <v>44533</v>
      </c>
      <c r="X1854" s="55">
        <v>10187318</v>
      </c>
      <c r="Y1854" s="55" t="s">
        <v>132</v>
      </c>
      <c r="Z1854" s="74"/>
      <c r="AB1854" s="55" t="s">
        <v>132</v>
      </c>
      <c r="AC1854" s="55" t="s">
        <v>132</v>
      </c>
    </row>
    <row r="1855" spans="1:29" ht="13" x14ac:dyDescent="0.15">
      <c r="A1855" s="72" t="str">
        <f t="shared" si="28"/>
        <v>Ofsted Social Care Provider Webpage</v>
      </c>
      <c r="B1855" s="55" t="s">
        <v>2875</v>
      </c>
      <c r="D1855" s="55" t="s">
        <v>373</v>
      </c>
      <c r="E1855" s="74">
        <v>35982</v>
      </c>
      <c r="F1855" s="55" t="s">
        <v>344</v>
      </c>
      <c r="G1855" s="55" t="s">
        <v>360</v>
      </c>
      <c r="H1855" s="55" t="s">
        <v>360</v>
      </c>
      <c r="I1855" s="55" t="s">
        <v>360</v>
      </c>
      <c r="J1855" s="55" t="s">
        <v>360</v>
      </c>
      <c r="K1855" s="55" t="s">
        <v>360</v>
      </c>
      <c r="L1855" s="55" t="s">
        <v>360</v>
      </c>
      <c r="M1855" s="55" t="s">
        <v>150</v>
      </c>
      <c r="N1855" s="55" t="s">
        <v>150</v>
      </c>
      <c r="O1855" s="55" t="s">
        <v>203</v>
      </c>
      <c r="P1855" s="55" t="s">
        <v>800</v>
      </c>
      <c r="Q1855" s="55" t="s">
        <v>350</v>
      </c>
      <c r="R1855" s="55">
        <v>7</v>
      </c>
      <c r="S1855" s="74"/>
      <c r="T1855" s="55" t="s">
        <v>483</v>
      </c>
      <c r="U1855" s="73" t="s">
        <v>351</v>
      </c>
      <c r="V1855" s="74">
        <v>44536</v>
      </c>
      <c r="W1855" s="74">
        <v>44585</v>
      </c>
      <c r="X1855" s="55">
        <v>10187275</v>
      </c>
      <c r="Y1855" s="55" t="s">
        <v>140</v>
      </c>
      <c r="Z1855" s="74"/>
      <c r="AB1855" s="55" t="s">
        <v>140</v>
      </c>
      <c r="AC1855" s="55" t="s">
        <v>140</v>
      </c>
    </row>
    <row r="1856" spans="1:29" ht="13" x14ac:dyDescent="0.15">
      <c r="A1856" s="72" t="str">
        <f t="shared" si="28"/>
        <v>Ofsted Social Care Provider Webpage</v>
      </c>
      <c r="B1856" s="55" t="s">
        <v>2876</v>
      </c>
      <c r="D1856" s="55" t="s">
        <v>373</v>
      </c>
      <c r="E1856" s="74">
        <v>34684</v>
      </c>
      <c r="F1856" s="55" t="s">
        <v>344</v>
      </c>
      <c r="G1856" s="55" t="s">
        <v>360</v>
      </c>
      <c r="H1856" s="55" t="s">
        <v>360</v>
      </c>
      <c r="I1856" s="55" t="s">
        <v>360</v>
      </c>
      <c r="J1856" s="55" t="s">
        <v>360</v>
      </c>
      <c r="K1856" s="55" t="s">
        <v>360</v>
      </c>
      <c r="L1856" s="55" t="s">
        <v>360</v>
      </c>
      <c r="M1856" s="55" t="s">
        <v>150</v>
      </c>
      <c r="N1856" s="55" t="s">
        <v>150</v>
      </c>
      <c r="O1856" s="55" t="s">
        <v>203</v>
      </c>
      <c r="P1856" s="55" t="s">
        <v>1038</v>
      </c>
      <c r="Q1856" s="55" t="s">
        <v>350</v>
      </c>
      <c r="R1856" s="55">
        <v>8</v>
      </c>
      <c r="S1856" s="74"/>
      <c r="T1856" s="55" t="s">
        <v>2877</v>
      </c>
      <c r="U1856" s="73" t="s">
        <v>351</v>
      </c>
      <c r="V1856" s="74">
        <v>44321</v>
      </c>
      <c r="W1856" s="74">
        <v>44369</v>
      </c>
      <c r="X1856" s="55">
        <v>10186256</v>
      </c>
      <c r="Y1856" s="55" t="s">
        <v>132</v>
      </c>
      <c r="Z1856" s="74"/>
      <c r="AB1856" s="55" t="s">
        <v>132</v>
      </c>
      <c r="AC1856" s="55" t="s">
        <v>130</v>
      </c>
    </row>
    <row r="1857" spans="1:29" ht="13" x14ac:dyDescent="0.15">
      <c r="A1857" s="72" t="str">
        <f t="shared" si="28"/>
        <v>Ofsted Social Care Provider Webpage</v>
      </c>
      <c r="B1857" s="55" t="s">
        <v>2878</v>
      </c>
      <c r="C1857" s="55">
        <v>136177</v>
      </c>
      <c r="D1857" s="55" t="s">
        <v>398</v>
      </c>
      <c r="E1857" s="74">
        <v>37305</v>
      </c>
      <c r="F1857" s="55" t="s">
        <v>344</v>
      </c>
      <c r="G1857" s="55" t="s">
        <v>2879</v>
      </c>
      <c r="H1857" s="55" t="s">
        <v>2880</v>
      </c>
      <c r="I1857" s="55" t="s">
        <v>2881</v>
      </c>
      <c r="J1857" s="55" t="s">
        <v>593</v>
      </c>
      <c r="K1857" s="55" t="s">
        <v>203</v>
      </c>
      <c r="L1857" s="55" t="s">
        <v>2882</v>
      </c>
      <c r="M1857" s="55" t="s">
        <v>150</v>
      </c>
      <c r="N1857" s="55" t="s">
        <v>150</v>
      </c>
      <c r="O1857" s="55" t="s">
        <v>203</v>
      </c>
      <c r="P1857" s="55" t="s">
        <v>593</v>
      </c>
      <c r="Q1857" s="55" t="s">
        <v>420</v>
      </c>
      <c r="R1857" s="55">
        <v>499</v>
      </c>
      <c r="S1857" s="74"/>
      <c r="T1857" s="55" t="s">
        <v>2883</v>
      </c>
      <c r="U1857" s="73" t="s">
        <v>351</v>
      </c>
      <c r="V1857" s="74">
        <v>43214</v>
      </c>
      <c r="W1857" s="74">
        <v>43256</v>
      </c>
      <c r="X1857" s="55">
        <v>10026913</v>
      </c>
      <c r="Y1857" s="74" t="s">
        <v>132</v>
      </c>
      <c r="Z1857" s="74"/>
      <c r="AB1857" s="55" t="s">
        <v>132</v>
      </c>
      <c r="AC1857" s="55" t="s">
        <v>140</v>
      </c>
    </row>
    <row r="1858" spans="1:29" ht="13" x14ac:dyDescent="0.15">
      <c r="A1858" s="72" t="str">
        <f t="shared" si="28"/>
        <v>Ofsted Social Care Provider Webpage</v>
      </c>
      <c r="B1858" s="55" t="s">
        <v>2884</v>
      </c>
      <c r="C1858" s="55">
        <v>119056</v>
      </c>
      <c r="D1858" s="55" t="s">
        <v>413</v>
      </c>
      <c r="E1858" s="74">
        <v>37305</v>
      </c>
      <c r="F1858" s="55" t="s">
        <v>344</v>
      </c>
      <c r="G1858" s="55" t="s">
        <v>2885</v>
      </c>
      <c r="H1858" s="55" t="s">
        <v>2886</v>
      </c>
      <c r="I1858" s="55" t="s">
        <v>2887</v>
      </c>
      <c r="J1858" s="55" t="s">
        <v>2888</v>
      </c>
      <c r="K1858" s="55" t="s">
        <v>203</v>
      </c>
      <c r="L1858" s="55" t="s">
        <v>2889</v>
      </c>
      <c r="M1858" s="55" t="s">
        <v>150</v>
      </c>
      <c r="N1858" s="55" t="s">
        <v>150</v>
      </c>
      <c r="O1858" s="55" t="s">
        <v>203</v>
      </c>
      <c r="P1858" s="55" t="s">
        <v>1263</v>
      </c>
      <c r="Q1858" s="55" t="s">
        <v>380</v>
      </c>
      <c r="R1858" s="55">
        <v>19</v>
      </c>
      <c r="S1858" s="74"/>
      <c r="T1858" s="55" t="s">
        <v>1547</v>
      </c>
      <c r="U1858" s="73" t="s">
        <v>351</v>
      </c>
      <c r="V1858" s="74">
        <v>44481</v>
      </c>
      <c r="W1858" s="74">
        <v>44537</v>
      </c>
      <c r="X1858" s="55">
        <v>10183555</v>
      </c>
      <c r="Y1858" s="55" t="s">
        <v>140</v>
      </c>
      <c r="Z1858" s="74"/>
      <c r="AB1858" s="55" t="s">
        <v>132</v>
      </c>
      <c r="AC1858" s="55" t="s">
        <v>132</v>
      </c>
    </row>
    <row r="1859" spans="1:29" ht="13" x14ac:dyDescent="0.15">
      <c r="A1859" s="72" t="str">
        <f t="shared" si="28"/>
        <v>Ofsted Social Care Provider Webpage</v>
      </c>
      <c r="B1859" s="55" t="s">
        <v>2890</v>
      </c>
      <c r="D1859" s="55" t="s">
        <v>373</v>
      </c>
      <c r="E1859" s="74">
        <v>37089</v>
      </c>
      <c r="F1859" s="55" t="s">
        <v>344</v>
      </c>
      <c r="G1859" s="55" t="s">
        <v>360</v>
      </c>
      <c r="H1859" s="55" t="s">
        <v>360</v>
      </c>
      <c r="I1859" s="55" t="s">
        <v>360</v>
      </c>
      <c r="J1859" s="55" t="s">
        <v>360</v>
      </c>
      <c r="K1859" s="55" t="s">
        <v>360</v>
      </c>
      <c r="L1859" s="55" t="s">
        <v>360</v>
      </c>
      <c r="M1859" s="55" t="s">
        <v>150</v>
      </c>
      <c r="N1859" s="55" t="s">
        <v>150</v>
      </c>
      <c r="O1859" s="55" t="s">
        <v>203</v>
      </c>
      <c r="P1859" s="55" t="s">
        <v>800</v>
      </c>
      <c r="Q1859" s="55" t="s">
        <v>350</v>
      </c>
      <c r="R1859" s="55">
        <v>3</v>
      </c>
      <c r="S1859" s="74"/>
      <c r="T1859" s="55" t="s">
        <v>2891</v>
      </c>
      <c r="U1859" s="73" t="s">
        <v>351</v>
      </c>
      <c r="V1859" s="74">
        <v>44613</v>
      </c>
      <c r="W1859" s="74">
        <v>44657</v>
      </c>
      <c r="X1859" s="55">
        <v>10187570</v>
      </c>
      <c r="Y1859" s="74" t="s">
        <v>132</v>
      </c>
      <c r="Z1859" s="74"/>
      <c r="AB1859" s="55" t="s">
        <v>132</v>
      </c>
      <c r="AC1859" s="55" t="s">
        <v>130</v>
      </c>
    </row>
    <row r="1860" spans="1:29" ht="13" x14ac:dyDescent="0.15">
      <c r="A1860" s="72" t="str">
        <f t="shared" si="28"/>
        <v>Ofsted Social Care Provider Webpage</v>
      </c>
      <c r="B1860" s="55" t="s">
        <v>2892</v>
      </c>
      <c r="D1860" s="55" t="s">
        <v>373</v>
      </c>
      <c r="E1860" s="74">
        <v>37068</v>
      </c>
      <c r="F1860" s="55" t="s">
        <v>344</v>
      </c>
      <c r="G1860" s="55" t="s">
        <v>360</v>
      </c>
      <c r="H1860" s="55" t="s">
        <v>360</v>
      </c>
      <c r="I1860" s="55" t="s">
        <v>360</v>
      </c>
      <c r="J1860" s="55" t="s">
        <v>360</v>
      </c>
      <c r="K1860" s="55" t="s">
        <v>360</v>
      </c>
      <c r="L1860" s="55" t="s">
        <v>360</v>
      </c>
      <c r="M1860" s="55" t="s">
        <v>150</v>
      </c>
      <c r="N1860" s="55" t="s">
        <v>150</v>
      </c>
      <c r="O1860" s="55" t="s">
        <v>203</v>
      </c>
      <c r="P1860" s="55" t="s">
        <v>800</v>
      </c>
      <c r="Q1860" s="55" t="s">
        <v>350</v>
      </c>
      <c r="R1860" s="55">
        <v>3</v>
      </c>
      <c r="S1860" s="74"/>
      <c r="T1860" s="55" t="s">
        <v>2891</v>
      </c>
      <c r="U1860" s="73" t="s">
        <v>351</v>
      </c>
      <c r="V1860" s="74">
        <v>44606</v>
      </c>
      <c r="W1860" s="74">
        <v>44671</v>
      </c>
      <c r="X1860" s="55">
        <v>10187070</v>
      </c>
      <c r="Y1860" s="74" t="s">
        <v>132</v>
      </c>
      <c r="Z1860" s="74"/>
      <c r="AB1860" s="55" t="s">
        <v>132</v>
      </c>
      <c r="AC1860" s="55" t="s">
        <v>130</v>
      </c>
    </row>
    <row r="1861" spans="1:29" ht="13" x14ac:dyDescent="0.15">
      <c r="A1861" s="72" t="str">
        <f t="shared" si="28"/>
        <v>Ofsted Social Care Provider Webpage</v>
      </c>
      <c r="B1861" s="55" t="s">
        <v>2893</v>
      </c>
      <c r="D1861" s="55" t="s">
        <v>373</v>
      </c>
      <c r="E1861" s="74">
        <v>37083</v>
      </c>
      <c r="F1861" s="55" t="s">
        <v>344</v>
      </c>
      <c r="G1861" s="55" t="s">
        <v>360</v>
      </c>
      <c r="H1861" s="55" t="s">
        <v>360</v>
      </c>
      <c r="I1861" s="55" t="s">
        <v>360</v>
      </c>
      <c r="J1861" s="55" t="s">
        <v>360</v>
      </c>
      <c r="K1861" s="55" t="s">
        <v>360</v>
      </c>
      <c r="L1861" s="55" t="s">
        <v>360</v>
      </c>
      <c r="M1861" s="55" t="s">
        <v>150</v>
      </c>
      <c r="N1861" s="55" t="s">
        <v>150</v>
      </c>
      <c r="O1861" s="55" t="s">
        <v>203</v>
      </c>
      <c r="P1861" s="55" t="s">
        <v>1263</v>
      </c>
      <c r="Q1861" s="55" t="s">
        <v>350</v>
      </c>
      <c r="R1861" s="55">
        <v>3</v>
      </c>
      <c r="S1861" s="74"/>
      <c r="T1861" s="55" t="s">
        <v>2891</v>
      </c>
      <c r="U1861" s="73" t="s">
        <v>351</v>
      </c>
      <c r="V1861" s="74">
        <v>44636</v>
      </c>
      <c r="W1861" s="74">
        <v>44676</v>
      </c>
      <c r="X1861" s="55">
        <v>10185524</v>
      </c>
      <c r="Y1861" s="74" t="s">
        <v>140</v>
      </c>
      <c r="Z1861" s="74"/>
      <c r="AB1861" s="55" t="s">
        <v>140</v>
      </c>
      <c r="AC1861" s="55" t="s">
        <v>140</v>
      </c>
    </row>
    <row r="1862" spans="1:29" ht="13" x14ac:dyDescent="0.15">
      <c r="A1862" s="72" t="str">
        <f t="shared" ref="A1862:A1925" si="29">HYPERLINK(_xlfn.CONCAT("http://reports.ofsted.gov.uk/inspection-reports/find-inspection-report/provider/CARE/",B1862),"Ofsted Social Care Provider Webpage")</f>
        <v>Ofsted Social Care Provider Webpage</v>
      </c>
      <c r="B1862" s="55" t="s">
        <v>2894</v>
      </c>
      <c r="D1862" s="55" t="s">
        <v>373</v>
      </c>
      <c r="E1862" s="74">
        <v>37089</v>
      </c>
      <c r="F1862" s="55" t="s">
        <v>344</v>
      </c>
      <c r="G1862" s="55" t="s">
        <v>360</v>
      </c>
      <c r="H1862" s="55" t="s">
        <v>360</v>
      </c>
      <c r="I1862" s="55" t="s">
        <v>360</v>
      </c>
      <c r="J1862" s="55" t="s">
        <v>360</v>
      </c>
      <c r="K1862" s="55" t="s">
        <v>360</v>
      </c>
      <c r="L1862" s="55" t="s">
        <v>360</v>
      </c>
      <c r="M1862" s="55" t="s">
        <v>150</v>
      </c>
      <c r="N1862" s="55" t="s">
        <v>150</v>
      </c>
      <c r="O1862" s="55" t="s">
        <v>203</v>
      </c>
      <c r="P1862" s="55" t="s">
        <v>800</v>
      </c>
      <c r="Q1862" s="55" t="s">
        <v>350</v>
      </c>
      <c r="R1862" s="55">
        <v>3</v>
      </c>
      <c r="S1862" s="74"/>
      <c r="T1862" s="55" t="s">
        <v>2891</v>
      </c>
      <c r="U1862" s="73" t="s">
        <v>351</v>
      </c>
      <c r="V1862" s="74">
        <v>44355</v>
      </c>
      <c r="W1862" s="74">
        <v>44414</v>
      </c>
      <c r="X1862" s="55">
        <v>10186875</v>
      </c>
      <c r="Y1862" s="74" t="s">
        <v>132</v>
      </c>
      <c r="Z1862" s="74"/>
      <c r="AB1862" s="55" t="s">
        <v>132</v>
      </c>
      <c r="AC1862" s="55" t="s">
        <v>132</v>
      </c>
    </row>
    <row r="1863" spans="1:29" ht="13" x14ac:dyDescent="0.15">
      <c r="A1863" s="72" t="str">
        <f t="shared" si="29"/>
        <v>Ofsted Social Care Provider Webpage</v>
      </c>
      <c r="B1863" s="55" t="s">
        <v>2895</v>
      </c>
      <c r="D1863" s="55" t="s">
        <v>373</v>
      </c>
      <c r="E1863" s="74">
        <v>37068</v>
      </c>
      <c r="F1863" s="55" t="s">
        <v>344</v>
      </c>
      <c r="G1863" s="55" t="s">
        <v>360</v>
      </c>
      <c r="H1863" s="55" t="s">
        <v>360</v>
      </c>
      <c r="I1863" s="55" t="s">
        <v>360</v>
      </c>
      <c r="J1863" s="55" t="s">
        <v>360</v>
      </c>
      <c r="K1863" s="55" t="s">
        <v>360</v>
      </c>
      <c r="L1863" s="55" t="s">
        <v>360</v>
      </c>
      <c r="M1863" s="55" t="s">
        <v>150</v>
      </c>
      <c r="N1863" s="55" t="s">
        <v>150</v>
      </c>
      <c r="O1863" s="55" t="s">
        <v>203</v>
      </c>
      <c r="P1863" s="55" t="s">
        <v>800</v>
      </c>
      <c r="Q1863" s="55" t="s">
        <v>350</v>
      </c>
      <c r="R1863" s="55">
        <v>3</v>
      </c>
      <c r="S1863" s="74"/>
      <c r="T1863" s="55" t="s">
        <v>2891</v>
      </c>
      <c r="U1863" s="73" t="s">
        <v>351</v>
      </c>
      <c r="V1863" s="74">
        <v>44321</v>
      </c>
      <c r="W1863" s="74">
        <v>44372</v>
      </c>
      <c r="X1863" s="55">
        <v>10186269</v>
      </c>
      <c r="Y1863" s="74" t="s">
        <v>140</v>
      </c>
      <c r="Z1863" s="74"/>
      <c r="AB1863" s="55" t="s">
        <v>140</v>
      </c>
      <c r="AC1863" s="55" t="s">
        <v>140</v>
      </c>
    </row>
    <row r="1864" spans="1:29" ht="13" x14ac:dyDescent="0.15">
      <c r="A1864" s="72" t="str">
        <f t="shared" si="29"/>
        <v>Ofsted Social Care Provider Webpage</v>
      </c>
      <c r="B1864" s="55" t="s">
        <v>2896</v>
      </c>
      <c r="D1864" s="55" t="s">
        <v>373</v>
      </c>
      <c r="E1864" s="74">
        <v>37068</v>
      </c>
      <c r="F1864" s="55" t="s">
        <v>344</v>
      </c>
      <c r="G1864" s="55" t="s">
        <v>360</v>
      </c>
      <c r="H1864" s="55" t="s">
        <v>360</v>
      </c>
      <c r="I1864" s="55" t="s">
        <v>360</v>
      </c>
      <c r="J1864" s="55" t="s">
        <v>360</v>
      </c>
      <c r="K1864" s="55" t="s">
        <v>360</v>
      </c>
      <c r="L1864" s="55" t="s">
        <v>360</v>
      </c>
      <c r="M1864" s="55" t="s">
        <v>150</v>
      </c>
      <c r="N1864" s="55" t="s">
        <v>150</v>
      </c>
      <c r="O1864" s="55" t="s">
        <v>203</v>
      </c>
      <c r="P1864" s="55" t="s">
        <v>1263</v>
      </c>
      <c r="Q1864" s="55" t="s">
        <v>350</v>
      </c>
      <c r="R1864" s="55">
        <v>3</v>
      </c>
      <c r="S1864" s="74"/>
      <c r="T1864" s="55" t="s">
        <v>2891</v>
      </c>
      <c r="U1864" s="73" t="s">
        <v>351</v>
      </c>
      <c r="V1864" s="74">
        <v>44335</v>
      </c>
      <c r="W1864" s="74">
        <v>44400</v>
      </c>
      <c r="X1864" s="55">
        <v>10185195</v>
      </c>
      <c r="Y1864" s="74" t="s">
        <v>132</v>
      </c>
      <c r="Z1864" s="74"/>
      <c r="AB1864" s="55" t="s">
        <v>132</v>
      </c>
      <c r="AC1864" s="55" t="s">
        <v>132</v>
      </c>
    </row>
    <row r="1865" spans="1:29" ht="13" x14ac:dyDescent="0.15">
      <c r="A1865" s="72" t="str">
        <f t="shared" si="29"/>
        <v>Ofsted Social Care Provider Webpage</v>
      </c>
      <c r="B1865" s="55" t="s">
        <v>2897</v>
      </c>
      <c r="D1865" s="55" t="s">
        <v>373</v>
      </c>
      <c r="E1865" s="74">
        <v>37088</v>
      </c>
      <c r="F1865" s="55" t="s">
        <v>344</v>
      </c>
      <c r="G1865" s="55" t="s">
        <v>360</v>
      </c>
      <c r="H1865" s="55" t="s">
        <v>360</v>
      </c>
      <c r="I1865" s="55" t="s">
        <v>360</v>
      </c>
      <c r="J1865" s="55" t="s">
        <v>360</v>
      </c>
      <c r="K1865" s="55" t="s">
        <v>360</v>
      </c>
      <c r="L1865" s="55" t="s">
        <v>360</v>
      </c>
      <c r="M1865" s="55" t="s">
        <v>150</v>
      </c>
      <c r="N1865" s="55" t="s">
        <v>150</v>
      </c>
      <c r="O1865" s="55" t="s">
        <v>203</v>
      </c>
      <c r="P1865" s="55" t="s">
        <v>1263</v>
      </c>
      <c r="Q1865" s="55" t="s">
        <v>350</v>
      </c>
      <c r="R1865" s="55">
        <v>3</v>
      </c>
      <c r="S1865" s="74"/>
      <c r="T1865" s="55" t="s">
        <v>2891</v>
      </c>
      <c r="U1865" s="73" t="s">
        <v>351</v>
      </c>
      <c r="V1865" s="74">
        <v>44446</v>
      </c>
      <c r="W1865" s="74">
        <v>44481</v>
      </c>
      <c r="X1865" s="55">
        <v>10185146</v>
      </c>
      <c r="Y1865" s="74" t="s">
        <v>132</v>
      </c>
      <c r="Z1865" s="74"/>
      <c r="AB1865" s="55" t="s">
        <v>132</v>
      </c>
      <c r="AC1865" s="55" t="s">
        <v>132</v>
      </c>
    </row>
    <row r="1866" spans="1:29" ht="13" x14ac:dyDescent="0.15">
      <c r="A1866" s="72" t="str">
        <f t="shared" si="29"/>
        <v>Ofsted Social Care Provider Webpage</v>
      </c>
      <c r="B1866" s="55" t="s">
        <v>2898</v>
      </c>
      <c r="D1866" s="55" t="s">
        <v>373</v>
      </c>
      <c r="E1866" s="74">
        <v>37068</v>
      </c>
      <c r="F1866" s="55" t="s">
        <v>344</v>
      </c>
      <c r="G1866" s="55" t="s">
        <v>360</v>
      </c>
      <c r="H1866" s="55" t="s">
        <v>360</v>
      </c>
      <c r="I1866" s="55" t="s">
        <v>360</v>
      </c>
      <c r="J1866" s="55" t="s">
        <v>360</v>
      </c>
      <c r="K1866" s="55" t="s">
        <v>360</v>
      </c>
      <c r="L1866" s="55" t="s">
        <v>360</v>
      </c>
      <c r="M1866" s="55" t="s">
        <v>150</v>
      </c>
      <c r="N1866" s="55" t="s">
        <v>150</v>
      </c>
      <c r="O1866" s="55" t="s">
        <v>203</v>
      </c>
      <c r="P1866" s="55" t="s">
        <v>1263</v>
      </c>
      <c r="Q1866" s="55" t="s">
        <v>350</v>
      </c>
      <c r="R1866" s="55">
        <v>3</v>
      </c>
      <c r="S1866" s="74"/>
      <c r="T1866" s="55" t="s">
        <v>2891</v>
      </c>
      <c r="U1866" s="73" t="s">
        <v>351</v>
      </c>
      <c r="V1866" s="74">
        <v>44440</v>
      </c>
      <c r="W1866" s="74">
        <v>44480</v>
      </c>
      <c r="X1866" s="55">
        <v>10185350</v>
      </c>
      <c r="Y1866" s="74" t="s">
        <v>132</v>
      </c>
      <c r="Z1866" s="74"/>
      <c r="AB1866" s="55" t="s">
        <v>132</v>
      </c>
      <c r="AC1866" s="55" t="s">
        <v>132</v>
      </c>
    </row>
    <row r="1867" spans="1:29" ht="13" x14ac:dyDescent="0.15">
      <c r="A1867" s="72" t="str">
        <f t="shared" si="29"/>
        <v>Ofsted Social Care Provider Webpage</v>
      </c>
      <c r="B1867" s="55" t="s">
        <v>2899</v>
      </c>
      <c r="D1867" s="55" t="s">
        <v>373</v>
      </c>
      <c r="E1867" s="74">
        <v>37068</v>
      </c>
      <c r="F1867" s="55" t="s">
        <v>344</v>
      </c>
      <c r="G1867" s="55" t="s">
        <v>360</v>
      </c>
      <c r="H1867" s="55" t="s">
        <v>360</v>
      </c>
      <c r="I1867" s="55" t="s">
        <v>360</v>
      </c>
      <c r="J1867" s="55" t="s">
        <v>360</v>
      </c>
      <c r="K1867" s="55" t="s">
        <v>360</v>
      </c>
      <c r="L1867" s="55" t="s">
        <v>360</v>
      </c>
      <c r="M1867" s="55" t="s">
        <v>150</v>
      </c>
      <c r="N1867" s="55" t="s">
        <v>150</v>
      </c>
      <c r="O1867" s="55" t="s">
        <v>203</v>
      </c>
      <c r="P1867" s="55" t="s">
        <v>1263</v>
      </c>
      <c r="Q1867" s="55" t="s">
        <v>350</v>
      </c>
      <c r="R1867" s="55">
        <v>3</v>
      </c>
      <c r="S1867" s="74"/>
      <c r="T1867" s="55" t="s">
        <v>2891</v>
      </c>
      <c r="U1867" s="73" t="s">
        <v>351</v>
      </c>
      <c r="V1867" s="74">
        <v>44349</v>
      </c>
      <c r="W1867" s="74">
        <v>44396</v>
      </c>
      <c r="X1867" s="55">
        <v>10185621</v>
      </c>
      <c r="Y1867" s="74" t="s">
        <v>140</v>
      </c>
      <c r="Z1867" s="74"/>
      <c r="AB1867" s="55" t="s">
        <v>140</v>
      </c>
      <c r="AC1867" s="55" t="s">
        <v>140</v>
      </c>
    </row>
    <row r="1868" spans="1:29" ht="13" x14ac:dyDescent="0.15">
      <c r="A1868" s="72" t="str">
        <f t="shared" si="29"/>
        <v>Ofsted Social Care Provider Webpage</v>
      </c>
      <c r="B1868" s="55" t="s">
        <v>2900</v>
      </c>
      <c r="C1868" s="55">
        <v>131611</v>
      </c>
      <c r="D1868" s="55" t="s">
        <v>413</v>
      </c>
      <c r="E1868" s="74">
        <v>37305</v>
      </c>
      <c r="F1868" s="55" t="s">
        <v>344</v>
      </c>
      <c r="G1868" s="55" t="s">
        <v>2901</v>
      </c>
      <c r="H1868" s="55" t="s">
        <v>2902</v>
      </c>
      <c r="I1868" s="55" t="s">
        <v>2903</v>
      </c>
      <c r="J1868" s="55" t="s">
        <v>419</v>
      </c>
      <c r="K1868" s="55" t="s">
        <v>203</v>
      </c>
      <c r="L1868" s="55" t="s">
        <v>2904</v>
      </c>
      <c r="M1868" s="55" t="s">
        <v>150</v>
      </c>
      <c r="N1868" s="55" t="s">
        <v>150</v>
      </c>
      <c r="O1868" s="55" t="s">
        <v>203</v>
      </c>
      <c r="P1868" s="55" t="s">
        <v>419</v>
      </c>
      <c r="Q1868" s="55" t="s">
        <v>362</v>
      </c>
      <c r="R1868" s="55">
        <v>22</v>
      </c>
      <c r="S1868" s="74"/>
      <c r="U1868" s="73" t="s">
        <v>351</v>
      </c>
      <c r="V1868" s="74">
        <v>43844</v>
      </c>
      <c r="W1868" s="74">
        <v>43895</v>
      </c>
      <c r="X1868" s="55">
        <v>10094705</v>
      </c>
      <c r="Y1868" s="74" t="s">
        <v>132</v>
      </c>
      <c r="Z1868" s="74"/>
      <c r="AB1868" s="55" t="s">
        <v>132</v>
      </c>
      <c r="AC1868" s="55" t="s">
        <v>132</v>
      </c>
    </row>
    <row r="1869" spans="1:29" ht="13" x14ac:dyDescent="0.15">
      <c r="A1869" s="72" t="str">
        <f t="shared" si="29"/>
        <v>Ofsted Social Care Provider Webpage</v>
      </c>
      <c r="B1869" s="55" t="s">
        <v>2905</v>
      </c>
      <c r="D1869" s="55" t="s">
        <v>373</v>
      </c>
      <c r="E1869" s="74">
        <v>37064</v>
      </c>
      <c r="F1869" s="55" t="s">
        <v>344</v>
      </c>
      <c r="G1869" s="55" t="s">
        <v>360</v>
      </c>
      <c r="H1869" s="55" t="s">
        <v>360</v>
      </c>
      <c r="I1869" s="55" t="s">
        <v>360</v>
      </c>
      <c r="J1869" s="55" t="s">
        <v>360</v>
      </c>
      <c r="K1869" s="55" t="s">
        <v>360</v>
      </c>
      <c r="L1869" s="55" t="s">
        <v>360</v>
      </c>
      <c r="M1869" s="55" t="s">
        <v>150</v>
      </c>
      <c r="N1869" s="55" t="s">
        <v>150</v>
      </c>
      <c r="O1869" s="55" t="s">
        <v>203</v>
      </c>
      <c r="P1869" s="55" t="s">
        <v>563</v>
      </c>
      <c r="Q1869" s="55" t="s">
        <v>350</v>
      </c>
      <c r="R1869" s="55">
        <v>3</v>
      </c>
      <c r="S1869" s="74"/>
      <c r="T1869" s="55" t="s">
        <v>2906</v>
      </c>
      <c r="U1869" s="73" t="s">
        <v>351</v>
      </c>
      <c r="V1869" s="74">
        <v>44349</v>
      </c>
      <c r="W1869" s="74">
        <v>44509</v>
      </c>
      <c r="X1869" s="55">
        <v>10187287</v>
      </c>
      <c r="Y1869" s="74" t="s">
        <v>130</v>
      </c>
      <c r="Z1869" s="74"/>
      <c r="AB1869" s="55" t="s">
        <v>130</v>
      </c>
      <c r="AC1869" s="55" t="s">
        <v>130</v>
      </c>
    </row>
    <row r="1870" spans="1:29" ht="13" x14ac:dyDescent="0.15">
      <c r="A1870" s="72" t="str">
        <f t="shared" si="29"/>
        <v>Ofsted Social Care Provider Webpage</v>
      </c>
      <c r="B1870" s="55" t="s">
        <v>2907</v>
      </c>
      <c r="C1870" s="55">
        <v>137459</v>
      </c>
      <c r="D1870" s="55" t="s">
        <v>413</v>
      </c>
      <c r="E1870" s="74">
        <v>37305</v>
      </c>
      <c r="F1870" s="55" t="s">
        <v>344</v>
      </c>
      <c r="G1870" s="55" t="s">
        <v>2908</v>
      </c>
      <c r="H1870" s="55" t="s">
        <v>2908</v>
      </c>
      <c r="I1870" s="55" t="s">
        <v>2909</v>
      </c>
      <c r="J1870" s="55" t="s">
        <v>2910</v>
      </c>
      <c r="K1870" s="55" t="s">
        <v>266</v>
      </c>
      <c r="L1870" s="55" t="s">
        <v>2911</v>
      </c>
      <c r="M1870" s="55" t="s">
        <v>138</v>
      </c>
      <c r="N1870" s="55" t="s">
        <v>138</v>
      </c>
      <c r="O1870" s="55" t="s">
        <v>266</v>
      </c>
      <c r="P1870" s="55" t="s">
        <v>2912</v>
      </c>
      <c r="Q1870" s="55" t="s">
        <v>420</v>
      </c>
      <c r="R1870" s="55">
        <v>16</v>
      </c>
      <c r="S1870" s="74"/>
      <c r="T1870" s="55" t="s">
        <v>2908</v>
      </c>
      <c r="U1870" s="73" t="s">
        <v>351</v>
      </c>
      <c r="V1870" s="74">
        <v>44502</v>
      </c>
      <c r="W1870" s="74">
        <v>44525</v>
      </c>
      <c r="X1870" s="55">
        <v>10183505</v>
      </c>
      <c r="Y1870" s="74" t="s">
        <v>140</v>
      </c>
      <c r="Z1870" s="74"/>
      <c r="AB1870" s="55" t="s">
        <v>140</v>
      </c>
      <c r="AC1870" s="55" t="s">
        <v>140</v>
      </c>
    </row>
    <row r="1871" spans="1:29" ht="13" x14ac:dyDescent="0.15">
      <c r="A1871" s="72" t="str">
        <f t="shared" si="29"/>
        <v>Ofsted Social Care Provider Webpage</v>
      </c>
      <c r="B1871" s="55" t="s">
        <v>2913</v>
      </c>
      <c r="C1871" s="55">
        <v>124879</v>
      </c>
      <c r="D1871" s="55" t="s">
        <v>413</v>
      </c>
      <c r="E1871" s="74">
        <v>37305</v>
      </c>
      <c r="F1871" s="55" t="s">
        <v>344</v>
      </c>
      <c r="G1871" s="55" t="s">
        <v>2914</v>
      </c>
      <c r="H1871" s="55" t="s">
        <v>2914</v>
      </c>
      <c r="I1871" s="55" t="s">
        <v>2915</v>
      </c>
      <c r="J1871" s="55" t="s">
        <v>2916</v>
      </c>
      <c r="K1871" s="55" t="s">
        <v>266</v>
      </c>
      <c r="L1871" s="55" t="s">
        <v>2917</v>
      </c>
      <c r="M1871" s="55" t="s">
        <v>138</v>
      </c>
      <c r="N1871" s="55" t="s">
        <v>138</v>
      </c>
      <c r="O1871" s="55" t="s">
        <v>266</v>
      </c>
      <c r="P1871" s="55" t="s">
        <v>1522</v>
      </c>
      <c r="Q1871" s="55" t="s">
        <v>350</v>
      </c>
      <c r="R1871" s="55">
        <v>16</v>
      </c>
      <c r="S1871" s="74"/>
      <c r="U1871" s="73" t="s">
        <v>351</v>
      </c>
      <c r="V1871" s="74">
        <v>44614</v>
      </c>
      <c r="W1871" s="74">
        <v>44655</v>
      </c>
      <c r="X1871" s="55">
        <v>10183489</v>
      </c>
      <c r="Y1871" s="74" t="s">
        <v>132</v>
      </c>
      <c r="Z1871" s="74"/>
      <c r="AB1871" s="55" t="s">
        <v>132</v>
      </c>
      <c r="AC1871" s="55" t="s">
        <v>132</v>
      </c>
    </row>
    <row r="1872" spans="1:29" ht="13" x14ac:dyDescent="0.15">
      <c r="A1872" s="72" t="str">
        <f t="shared" si="29"/>
        <v>Ofsted Social Care Provider Webpage</v>
      </c>
      <c r="B1872" s="55" t="s">
        <v>2918</v>
      </c>
      <c r="C1872" s="55">
        <v>124899</v>
      </c>
      <c r="D1872" s="55" t="s">
        <v>398</v>
      </c>
      <c r="E1872" s="74">
        <v>37305</v>
      </c>
      <c r="F1872" s="55" t="s">
        <v>344</v>
      </c>
      <c r="G1872" s="55" t="s">
        <v>2919</v>
      </c>
      <c r="H1872" s="55" t="s">
        <v>2919</v>
      </c>
      <c r="I1872" s="55" t="s">
        <v>2920</v>
      </c>
      <c r="J1872" s="55" t="s">
        <v>2921</v>
      </c>
      <c r="K1872" s="55" t="s">
        <v>266</v>
      </c>
      <c r="L1872" s="55" t="s">
        <v>2922</v>
      </c>
      <c r="M1872" s="55" t="s">
        <v>138</v>
      </c>
      <c r="N1872" s="55" t="s">
        <v>138</v>
      </c>
      <c r="O1872" s="55" t="s">
        <v>266</v>
      </c>
      <c r="P1872" s="55" t="s">
        <v>1522</v>
      </c>
      <c r="Q1872" s="55" t="s">
        <v>350</v>
      </c>
      <c r="R1872" s="55">
        <v>20</v>
      </c>
      <c r="S1872" s="74"/>
      <c r="T1872" s="55" t="s">
        <v>2919</v>
      </c>
      <c r="U1872" s="73" t="s">
        <v>351</v>
      </c>
      <c r="V1872" s="74">
        <v>43557</v>
      </c>
      <c r="W1872" s="74">
        <v>43593</v>
      </c>
      <c r="X1872" s="55">
        <v>10099001</v>
      </c>
      <c r="Y1872" s="74" t="s">
        <v>132</v>
      </c>
      <c r="Z1872" s="74"/>
      <c r="AB1872" s="55" t="s">
        <v>132</v>
      </c>
      <c r="AC1872" s="55" t="s">
        <v>130</v>
      </c>
    </row>
    <row r="1873" spans="1:29" ht="13" x14ac:dyDescent="0.15">
      <c r="A1873" s="72" t="str">
        <f t="shared" si="29"/>
        <v>Ofsted Social Care Provider Webpage</v>
      </c>
      <c r="B1873" s="55" t="s">
        <v>2923</v>
      </c>
      <c r="C1873" s="55">
        <v>124890</v>
      </c>
      <c r="D1873" s="55" t="s">
        <v>413</v>
      </c>
      <c r="E1873" s="74">
        <v>37305</v>
      </c>
      <c r="F1873" s="55" t="s">
        <v>344</v>
      </c>
      <c r="G1873" s="55" t="s">
        <v>2924</v>
      </c>
      <c r="H1873" s="55" t="s">
        <v>2925</v>
      </c>
      <c r="I1873" s="55" t="s">
        <v>2926</v>
      </c>
      <c r="J1873" s="55" t="s">
        <v>2927</v>
      </c>
      <c r="L1873" s="55" t="s">
        <v>2928</v>
      </c>
      <c r="M1873" s="55" t="s">
        <v>138</v>
      </c>
      <c r="N1873" s="55" t="s">
        <v>138</v>
      </c>
      <c r="O1873" s="55" t="s">
        <v>266</v>
      </c>
      <c r="P1873" s="55" t="s">
        <v>1622</v>
      </c>
      <c r="Q1873" s="55" t="s">
        <v>350</v>
      </c>
      <c r="R1873" s="55">
        <v>10</v>
      </c>
      <c r="S1873" s="74"/>
      <c r="T1873" s="55" t="s">
        <v>2929</v>
      </c>
      <c r="U1873" s="73" t="s">
        <v>351</v>
      </c>
      <c r="V1873" s="74">
        <v>44453</v>
      </c>
      <c r="W1873" s="74">
        <v>44502</v>
      </c>
      <c r="X1873" s="55">
        <v>10183490</v>
      </c>
      <c r="Y1873" s="74" t="s">
        <v>130</v>
      </c>
      <c r="Z1873" s="74"/>
      <c r="AB1873" s="55" t="s">
        <v>130</v>
      </c>
      <c r="AC1873" s="55" t="s">
        <v>130</v>
      </c>
    </row>
    <row r="1874" spans="1:29" ht="13" x14ac:dyDescent="0.15">
      <c r="A1874" s="72" t="str">
        <f t="shared" si="29"/>
        <v>Ofsted Social Care Provider Webpage</v>
      </c>
      <c r="B1874" s="55" t="s">
        <v>2930</v>
      </c>
      <c r="C1874" s="55">
        <v>137433</v>
      </c>
      <c r="D1874" s="55" t="s">
        <v>413</v>
      </c>
      <c r="E1874" s="74">
        <v>37305</v>
      </c>
      <c r="F1874" s="55" t="s">
        <v>344</v>
      </c>
      <c r="G1874" s="55" t="s">
        <v>2931</v>
      </c>
      <c r="H1874" s="55" t="s">
        <v>2931</v>
      </c>
      <c r="I1874" s="55" t="s">
        <v>2932</v>
      </c>
      <c r="J1874" s="55" t="s">
        <v>2933</v>
      </c>
      <c r="K1874" s="55" t="s">
        <v>266</v>
      </c>
      <c r="L1874" s="55" t="s">
        <v>2934</v>
      </c>
      <c r="M1874" s="55" t="s">
        <v>138</v>
      </c>
      <c r="N1874" s="55" t="s">
        <v>138</v>
      </c>
      <c r="O1874" s="55" t="s">
        <v>266</v>
      </c>
      <c r="P1874" s="55" t="s">
        <v>934</v>
      </c>
      <c r="Q1874" s="55" t="s">
        <v>420</v>
      </c>
      <c r="R1874" s="55">
        <v>23</v>
      </c>
      <c r="S1874" s="74"/>
      <c r="T1874" s="55" t="s">
        <v>2187</v>
      </c>
      <c r="U1874" s="73" t="s">
        <v>351</v>
      </c>
      <c r="V1874" s="74">
        <v>44321</v>
      </c>
      <c r="W1874" s="74">
        <v>44351</v>
      </c>
      <c r="X1874" s="55">
        <v>10183501</v>
      </c>
      <c r="Y1874" s="74" t="s">
        <v>140</v>
      </c>
      <c r="Z1874" s="74"/>
      <c r="AB1874" s="55" t="s">
        <v>140</v>
      </c>
      <c r="AC1874" s="55" t="s">
        <v>140</v>
      </c>
    </row>
    <row r="1875" spans="1:29" ht="13" x14ac:dyDescent="0.15">
      <c r="A1875" s="72" t="str">
        <f t="shared" si="29"/>
        <v>Ofsted Social Care Provider Webpage</v>
      </c>
      <c r="B1875" s="55" t="s">
        <v>2935</v>
      </c>
      <c r="D1875" s="55" t="s">
        <v>373</v>
      </c>
      <c r="E1875" s="74">
        <v>34430</v>
      </c>
      <c r="F1875" s="55" t="s">
        <v>344</v>
      </c>
      <c r="G1875" s="55" t="s">
        <v>360</v>
      </c>
      <c r="H1875" s="55" t="s">
        <v>360</v>
      </c>
      <c r="I1875" s="55" t="s">
        <v>360</v>
      </c>
      <c r="J1875" s="55" t="s">
        <v>360</v>
      </c>
      <c r="K1875" s="55" t="s">
        <v>360</v>
      </c>
      <c r="L1875" s="55" t="s">
        <v>360</v>
      </c>
      <c r="M1875" s="55" t="s">
        <v>142</v>
      </c>
      <c r="N1875" s="55" t="s">
        <v>142</v>
      </c>
      <c r="O1875" s="55" t="s">
        <v>195</v>
      </c>
      <c r="P1875" s="55" t="s">
        <v>747</v>
      </c>
      <c r="Q1875" s="55" t="s">
        <v>350</v>
      </c>
      <c r="R1875" s="55">
        <v>4</v>
      </c>
      <c r="S1875" s="74"/>
      <c r="T1875" s="55" t="s">
        <v>1365</v>
      </c>
      <c r="U1875" s="73" t="s">
        <v>351</v>
      </c>
      <c r="V1875" s="74">
        <v>44454</v>
      </c>
      <c r="W1875" s="74">
        <v>44484</v>
      </c>
      <c r="X1875" s="55">
        <v>10186435</v>
      </c>
      <c r="Y1875" s="74" t="s">
        <v>132</v>
      </c>
      <c r="Z1875" s="74"/>
      <c r="AB1875" s="55" t="s">
        <v>132</v>
      </c>
      <c r="AC1875" s="55" t="s">
        <v>132</v>
      </c>
    </row>
    <row r="1876" spans="1:29" ht="13" x14ac:dyDescent="0.15">
      <c r="A1876" s="72" t="str">
        <f t="shared" si="29"/>
        <v>Ofsted Social Care Provider Webpage</v>
      </c>
      <c r="B1876" s="55" t="s">
        <v>2936</v>
      </c>
      <c r="C1876" s="55">
        <v>103876</v>
      </c>
      <c r="D1876" s="55" t="s">
        <v>398</v>
      </c>
      <c r="E1876" s="74">
        <v>37306</v>
      </c>
      <c r="F1876" s="55" t="s">
        <v>344</v>
      </c>
      <c r="G1876" s="55" t="s">
        <v>2937</v>
      </c>
      <c r="H1876" s="55" t="s">
        <v>2938</v>
      </c>
      <c r="I1876" s="55" t="s">
        <v>2939</v>
      </c>
      <c r="J1876" s="55" t="s">
        <v>2940</v>
      </c>
      <c r="K1876" s="55" t="s">
        <v>142</v>
      </c>
      <c r="L1876" s="55" t="s">
        <v>2941</v>
      </c>
      <c r="M1876" s="55" t="s">
        <v>142</v>
      </c>
      <c r="N1876" s="55" t="s">
        <v>142</v>
      </c>
      <c r="O1876" s="55" t="s">
        <v>177</v>
      </c>
      <c r="P1876" s="55" t="s">
        <v>885</v>
      </c>
      <c r="Q1876" s="55" t="s">
        <v>362</v>
      </c>
      <c r="R1876" s="55">
        <v>3</v>
      </c>
      <c r="S1876" s="74"/>
      <c r="T1876" s="55" t="s">
        <v>2942</v>
      </c>
      <c r="U1876" s="73" t="s">
        <v>351</v>
      </c>
      <c r="V1876" s="74">
        <v>43627</v>
      </c>
      <c r="W1876" s="74">
        <v>43654</v>
      </c>
      <c r="X1876" s="55">
        <v>10092954</v>
      </c>
      <c r="Y1876" s="74" t="s">
        <v>132</v>
      </c>
      <c r="Z1876" s="74"/>
      <c r="AB1876" s="55" t="s">
        <v>132</v>
      </c>
      <c r="AC1876" s="55" t="s">
        <v>132</v>
      </c>
    </row>
    <row r="1877" spans="1:29" ht="13" x14ac:dyDescent="0.15">
      <c r="A1877" s="72" t="str">
        <f t="shared" si="29"/>
        <v>Ofsted Social Care Provider Webpage</v>
      </c>
      <c r="B1877" s="55" t="s">
        <v>2943</v>
      </c>
      <c r="D1877" s="55" t="s">
        <v>373</v>
      </c>
      <c r="E1877" s="74">
        <v>37306</v>
      </c>
      <c r="F1877" s="55" t="s">
        <v>344</v>
      </c>
      <c r="G1877" s="55" t="s">
        <v>360</v>
      </c>
      <c r="H1877" s="55" t="s">
        <v>360</v>
      </c>
      <c r="I1877" s="55" t="s">
        <v>360</v>
      </c>
      <c r="J1877" s="55" t="s">
        <v>360</v>
      </c>
      <c r="K1877" s="55" t="s">
        <v>360</v>
      </c>
      <c r="L1877" s="55" t="s">
        <v>360</v>
      </c>
      <c r="M1877" s="55" t="s">
        <v>144</v>
      </c>
      <c r="N1877" s="55" t="s">
        <v>144</v>
      </c>
      <c r="O1877" s="55" t="s">
        <v>250</v>
      </c>
      <c r="P1877" s="55" t="s">
        <v>1372</v>
      </c>
      <c r="Q1877" s="55" t="s">
        <v>362</v>
      </c>
      <c r="R1877" s="55">
        <v>19</v>
      </c>
      <c r="S1877" s="74"/>
      <c r="T1877" s="55" t="s">
        <v>2360</v>
      </c>
      <c r="U1877" s="73" t="s">
        <v>351</v>
      </c>
      <c r="V1877" s="74">
        <v>44579</v>
      </c>
      <c r="W1877" s="74">
        <v>44610</v>
      </c>
      <c r="X1877" s="55">
        <v>10209967</v>
      </c>
      <c r="Y1877" s="74" t="s">
        <v>146</v>
      </c>
      <c r="Z1877" s="74"/>
      <c r="AB1877" s="55" t="s">
        <v>146</v>
      </c>
      <c r="AC1877" s="55" t="s">
        <v>146</v>
      </c>
    </row>
    <row r="1878" spans="1:29" ht="13" x14ac:dyDescent="0.15">
      <c r="A1878" s="72" t="str">
        <f t="shared" si="29"/>
        <v>Ofsted Social Care Provider Webpage</v>
      </c>
      <c r="B1878" s="55" t="s">
        <v>2944</v>
      </c>
      <c r="D1878" s="55" t="s">
        <v>373</v>
      </c>
      <c r="E1878" s="74">
        <v>37175</v>
      </c>
      <c r="F1878" s="55" t="s">
        <v>344</v>
      </c>
      <c r="G1878" s="55" t="s">
        <v>360</v>
      </c>
      <c r="H1878" s="55" t="s">
        <v>360</v>
      </c>
      <c r="I1878" s="55" t="s">
        <v>360</v>
      </c>
      <c r="J1878" s="55" t="s">
        <v>360</v>
      </c>
      <c r="K1878" s="55" t="s">
        <v>360</v>
      </c>
      <c r="L1878" s="55" t="s">
        <v>360</v>
      </c>
      <c r="M1878" s="55" t="s">
        <v>144</v>
      </c>
      <c r="N1878" s="55" t="s">
        <v>144</v>
      </c>
      <c r="O1878" s="55" t="s">
        <v>215</v>
      </c>
      <c r="P1878" s="55" t="s">
        <v>1440</v>
      </c>
      <c r="Q1878" s="55" t="s">
        <v>350</v>
      </c>
      <c r="R1878" s="55">
        <v>3</v>
      </c>
      <c r="S1878" s="74"/>
      <c r="T1878" s="55" t="s">
        <v>1505</v>
      </c>
      <c r="U1878" s="73" t="s">
        <v>351</v>
      </c>
      <c r="V1878" s="74">
        <v>44621</v>
      </c>
      <c r="W1878" s="74">
        <v>44662</v>
      </c>
      <c r="X1878" s="55">
        <v>10186918</v>
      </c>
      <c r="Y1878" s="55" t="s">
        <v>132</v>
      </c>
      <c r="Z1878" s="74"/>
      <c r="AB1878" s="55" t="s">
        <v>132</v>
      </c>
      <c r="AC1878" s="55" t="s">
        <v>132</v>
      </c>
    </row>
    <row r="1879" spans="1:29" ht="13" x14ac:dyDescent="0.15">
      <c r="A1879" s="72" t="str">
        <f t="shared" si="29"/>
        <v>Ofsted Social Care Provider Webpage</v>
      </c>
      <c r="B1879" s="55" t="s">
        <v>2945</v>
      </c>
      <c r="D1879" s="55" t="s">
        <v>373</v>
      </c>
      <c r="E1879" s="74">
        <v>37071</v>
      </c>
      <c r="F1879" s="55" t="s">
        <v>344</v>
      </c>
      <c r="G1879" s="55" t="s">
        <v>360</v>
      </c>
      <c r="H1879" s="55" t="s">
        <v>360</v>
      </c>
      <c r="I1879" s="55" t="s">
        <v>360</v>
      </c>
      <c r="J1879" s="55" t="s">
        <v>360</v>
      </c>
      <c r="K1879" s="55" t="s">
        <v>360</v>
      </c>
      <c r="L1879" s="55" t="s">
        <v>360</v>
      </c>
      <c r="M1879" s="55" t="s">
        <v>144</v>
      </c>
      <c r="N1879" s="55" t="s">
        <v>144</v>
      </c>
      <c r="O1879" s="55" t="s">
        <v>215</v>
      </c>
      <c r="P1879" s="55" t="s">
        <v>1440</v>
      </c>
      <c r="Q1879" s="55" t="s">
        <v>350</v>
      </c>
      <c r="R1879" s="55">
        <v>4</v>
      </c>
      <c r="S1879" s="74"/>
      <c r="T1879" s="55" t="s">
        <v>1505</v>
      </c>
      <c r="U1879" s="73" t="s">
        <v>351</v>
      </c>
      <c r="V1879" s="74">
        <v>44390</v>
      </c>
      <c r="W1879" s="74">
        <v>44425</v>
      </c>
      <c r="X1879" s="55">
        <v>10185196</v>
      </c>
      <c r="Y1879" s="74" t="s">
        <v>130</v>
      </c>
      <c r="Z1879" s="74"/>
      <c r="AB1879" s="55" t="s">
        <v>130</v>
      </c>
      <c r="AC1879" s="55" t="s">
        <v>130</v>
      </c>
    </row>
    <row r="1880" spans="1:29" ht="13" x14ac:dyDescent="0.15">
      <c r="A1880" s="72" t="str">
        <f t="shared" si="29"/>
        <v>Ofsted Social Care Provider Webpage</v>
      </c>
      <c r="B1880" s="55" t="s">
        <v>2946</v>
      </c>
      <c r="D1880" s="55" t="s">
        <v>373</v>
      </c>
      <c r="E1880" s="74">
        <v>36844</v>
      </c>
      <c r="F1880" s="55" t="s">
        <v>344</v>
      </c>
      <c r="G1880" s="55" t="s">
        <v>360</v>
      </c>
      <c r="H1880" s="55" t="s">
        <v>360</v>
      </c>
      <c r="I1880" s="55" t="s">
        <v>360</v>
      </c>
      <c r="J1880" s="55" t="s">
        <v>360</v>
      </c>
      <c r="K1880" s="55" t="s">
        <v>360</v>
      </c>
      <c r="L1880" s="55" t="s">
        <v>360</v>
      </c>
      <c r="M1880" s="55" t="s">
        <v>144</v>
      </c>
      <c r="N1880" s="55" t="s">
        <v>144</v>
      </c>
      <c r="O1880" s="55" t="s">
        <v>215</v>
      </c>
      <c r="P1880" s="55" t="s">
        <v>1207</v>
      </c>
      <c r="Q1880" s="55" t="s">
        <v>350</v>
      </c>
      <c r="R1880" s="55">
        <v>6</v>
      </c>
      <c r="S1880" s="74"/>
      <c r="T1880" s="55" t="s">
        <v>2947</v>
      </c>
      <c r="U1880" s="73" t="s">
        <v>351</v>
      </c>
      <c r="V1880" s="74">
        <v>44383</v>
      </c>
      <c r="W1880" s="74">
        <v>44420</v>
      </c>
      <c r="X1880" s="55">
        <v>10186544</v>
      </c>
      <c r="Y1880" s="74" t="s">
        <v>130</v>
      </c>
      <c r="Z1880" s="74"/>
      <c r="AB1880" s="55" t="s">
        <v>130</v>
      </c>
      <c r="AC1880" s="55" t="s">
        <v>130</v>
      </c>
    </row>
    <row r="1881" spans="1:29" ht="13" x14ac:dyDescent="0.15">
      <c r="A1881" s="72" t="str">
        <f t="shared" si="29"/>
        <v>Ofsted Social Care Provider Webpage</v>
      </c>
      <c r="B1881" s="55" t="s">
        <v>2948</v>
      </c>
      <c r="D1881" s="55" t="s">
        <v>373</v>
      </c>
      <c r="E1881" s="74">
        <v>37102</v>
      </c>
      <c r="F1881" s="55" t="s">
        <v>344</v>
      </c>
      <c r="G1881" s="55" t="s">
        <v>360</v>
      </c>
      <c r="H1881" s="55" t="s">
        <v>360</v>
      </c>
      <c r="I1881" s="55" t="s">
        <v>360</v>
      </c>
      <c r="J1881" s="55" t="s">
        <v>360</v>
      </c>
      <c r="K1881" s="55" t="s">
        <v>360</v>
      </c>
      <c r="L1881" s="55" t="s">
        <v>360</v>
      </c>
      <c r="M1881" s="55" t="s">
        <v>129</v>
      </c>
      <c r="N1881" s="55" t="s">
        <v>129</v>
      </c>
      <c r="O1881" s="55" t="s">
        <v>213</v>
      </c>
      <c r="P1881" s="55" t="s">
        <v>1020</v>
      </c>
      <c r="Q1881" s="55" t="s">
        <v>350</v>
      </c>
      <c r="R1881" s="55">
        <v>11</v>
      </c>
      <c r="S1881" s="74"/>
      <c r="T1881" s="55" t="s">
        <v>2196</v>
      </c>
      <c r="U1881" s="73" t="s">
        <v>351</v>
      </c>
      <c r="V1881" s="74">
        <v>44601</v>
      </c>
      <c r="W1881" s="74">
        <v>44648</v>
      </c>
      <c r="X1881" s="55">
        <v>10185094</v>
      </c>
      <c r="Y1881" s="74" t="s">
        <v>130</v>
      </c>
      <c r="Z1881" s="74"/>
      <c r="AB1881" s="55" t="s">
        <v>130</v>
      </c>
      <c r="AC1881" s="55" t="s">
        <v>130</v>
      </c>
    </row>
    <row r="1882" spans="1:29" ht="13" x14ac:dyDescent="0.15">
      <c r="A1882" s="72" t="str">
        <f t="shared" si="29"/>
        <v>Ofsted Social Care Provider Webpage</v>
      </c>
      <c r="B1882" s="55" t="s">
        <v>2949</v>
      </c>
      <c r="D1882" s="55" t="s">
        <v>373</v>
      </c>
      <c r="E1882" s="74">
        <v>37068</v>
      </c>
      <c r="F1882" s="55" t="s">
        <v>344</v>
      </c>
      <c r="G1882" s="55" t="s">
        <v>360</v>
      </c>
      <c r="H1882" s="55" t="s">
        <v>360</v>
      </c>
      <c r="I1882" s="55" t="s">
        <v>360</v>
      </c>
      <c r="J1882" s="55" t="s">
        <v>360</v>
      </c>
      <c r="K1882" s="55" t="s">
        <v>360</v>
      </c>
      <c r="L1882" s="55" t="s">
        <v>360</v>
      </c>
      <c r="M1882" s="55" t="s">
        <v>129</v>
      </c>
      <c r="N1882" s="55" t="s">
        <v>129</v>
      </c>
      <c r="O1882" s="55" t="s">
        <v>213</v>
      </c>
      <c r="P1882" s="55" t="s">
        <v>1160</v>
      </c>
      <c r="Q1882" s="55" t="s">
        <v>350</v>
      </c>
      <c r="R1882" s="55">
        <v>3</v>
      </c>
      <c r="S1882" s="74"/>
      <c r="T1882" s="55" t="s">
        <v>1597</v>
      </c>
      <c r="U1882" s="73" t="s">
        <v>351</v>
      </c>
      <c r="V1882" s="74">
        <v>44482</v>
      </c>
      <c r="W1882" s="74">
        <v>44518</v>
      </c>
      <c r="X1882" s="55">
        <v>10185051</v>
      </c>
      <c r="Y1882" s="74" t="s">
        <v>132</v>
      </c>
      <c r="Z1882" s="74"/>
      <c r="AB1882" s="55" t="s">
        <v>132</v>
      </c>
      <c r="AC1882" s="55" t="s">
        <v>132</v>
      </c>
    </row>
    <row r="1883" spans="1:29" ht="13" x14ac:dyDescent="0.15">
      <c r="A1883" s="72" t="str">
        <f t="shared" si="29"/>
        <v>Ofsted Social Care Provider Webpage</v>
      </c>
      <c r="B1883" s="55" t="s">
        <v>2950</v>
      </c>
      <c r="D1883" s="55" t="s">
        <v>373</v>
      </c>
      <c r="E1883" s="74">
        <v>37228</v>
      </c>
      <c r="F1883" s="55" t="s">
        <v>344</v>
      </c>
      <c r="G1883" s="55" t="s">
        <v>360</v>
      </c>
      <c r="H1883" s="55" t="s">
        <v>360</v>
      </c>
      <c r="I1883" s="55" t="s">
        <v>360</v>
      </c>
      <c r="J1883" s="55" t="s">
        <v>360</v>
      </c>
      <c r="K1883" s="55" t="s">
        <v>360</v>
      </c>
      <c r="L1883" s="55" t="s">
        <v>360</v>
      </c>
      <c r="M1883" s="55" t="s">
        <v>129</v>
      </c>
      <c r="N1883" s="55" t="s">
        <v>129</v>
      </c>
      <c r="O1883" s="55" t="s">
        <v>160</v>
      </c>
      <c r="P1883" s="55" t="s">
        <v>2951</v>
      </c>
      <c r="Q1883" s="55" t="s">
        <v>362</v>
      </c>
      <c r="R1883" s="55">
        <v>8</v>
      </c>
      <c r="S1883" s="74"/>
      <c r="T1883" s="55" t="s">
        <v>432</v>
      </c>
      <c r="U1883" s="73" t="s">
        <v>351</v>
      </c>
      <c r="V1883" s="74">
        <v>44593</v>
      </c>
      <c r="W1883" s="74">
        <v>44627</v>
      </c>
      <c r="X1883" s="55">
        <v>10186949</v>
      </c>
      <c r="Y1883" s="74" t="s">
        <v>132</v>
      </c>
      <c r="Z1883" s="74"/>
      <c r="AB1883" s="55" t="s">
        <v>132</v>
      </c>
      <c r="AC1883" s="55" t="s">
        <v>132</v>
      </c>
    </row>
    <row r="1884" spans="1:29" ht="13" x14ac:dyDescent="0.15">
      <c r="A1884" s="72" t="str">
        <f t="shared" si="29"/>
        <v>Ofsted Social Care Provider Webpage</v>
      </c>
      <c r="B1884" s="55" t="s">
        <v>2952</v>
      </c>
      <c r="D1884" s="55" t="s">
        <v>373</v>
      </c>
      <c r="E1884" s="74">
        <v>36364</v>
      </c>
      <c r="F1884" s="55" t="s">
        <v>344</v>
      </c>
      <c r="G1884" s="55" t="s">
        <v>360</v>
      </c>
      <c r="H1884" s="55" t="s">
        <v>360</v>
      </c>
      <c r="I1884" s="55" t="s">
        <v>360</v>
      </c>
      <c r="J1884" s="55" t="s">
        <v>360</v>
      </c>
      <c r="K1884" s="55" t="s">
        <v>360</v>
      </c>
      <c r="L1884" s="55" t="s">
        <v>360</v>
      </c>
      <c r="M1884" s="55" t="s">
        <v>138</v>
      </c>
      <c r="N1884" s="55" t="s">
        <v>138</v>
      </c>
      <c r="O1884" s="55" t="s">
        <v>224</v>
      </c>
      <c r="P1884" s="55" t="s">
        <v>1294</v>
      </c>
      <c r="Q1884" s="55" t="s">
        <v>362</v>
      </c>
      <c r="R1884" s="55">
        <v>11</v>
      </c>
      <c r="S1884" s="74"/>
      <c r="T1884" s="55" t="s">
        <v>1119</v>
      </c>
      <c r="U1884" s="73" t="s">
        <v>351</v>
      </c>
      <c r="V1884" s="74">
        <v>44516</v>
      </c>
      <c r="W1884" s="74">
        <v>44546</v>
      </c>
      <c r="X1884" s="55">
        <v>10185627</v>
      </c>
      <c r="Y1884" s="74" t="s">
        <v>140</v>
      </c>
      <c r="Z1884" s="74"/>
      <c r="AB1884" s="55" t="s">
        <v>140</v>
      </c>
      <c r="AC1884" s="55" t="s">
        <v>140</v>
      </c>
    </row>
    <row r="1885" spans="1:29" ht="13" x14ac:dyDescent="0.15">
      <c r="A1885" s="72" t="str">
        <f t="shared" si="29"/>
        <v>Ofsted Social Care Provider Webpage</v>
      </c>
      <c r="B1885" s="55" t="s">
        <v>2953</v>
      </c>
      <c r="D1885" s="55" t="s">
        <v>373</v>
      </c>
      <c r="E1885" s="74">
        <v>35765</v>
      </c>
      <c r="F1885" s="55" t="s">
        <v>344</v>
      </c>
      <c r="G1885" s="55" t="s">
        <v>360</v>
      </c>
      <c r="H1885" s="55" t="s">
        <v>360</v>
      </c>
      <c r="I1885" s="55" t="s">
        <v>360</v>
      </c>
      <c r="J1885" s="55" t="s">
        <v>360</v>
      </c>
      <c r="K1885" s="55" t="s">
        <v>360</v>
      </c>
      <c r="L1885" s="55" t="s">
        <v>360</v>
      </c>
      <c r="M1885" s="55" t="s">
        <v>144</v>
      </c>
      <c r="N1885" s="55" t="s">
        <v>144</v>
      </c>
      <c r="O1885" s="55" t="s">
        <v>263</v>
      </c>
      <c r="P1885" s="55" t="s">
        <v>1120</v>
      </c>
      <c r="Q1885" s="55" t="s">
        <v>362</v>
      </c>
      <c r="R1885" s="55">
        <v>2</v>
      </c>
      <c r="S1885" s="74"/>
      <c r="T1885" s="55" t="s">
        <v>2551</v>
      </c>
      <c r="U1885" s="73" t="s">
        <v>351</v>
      </c>
      <c r="V1885" s="74">
        <v>44383</v>
      </c>
      <c r="W1885" s="74">
        <v>44413</v>
      </c>
      <c r="X1885" s="55">
        <v>10186533</v>
      </c>
      <c r="Y1885" s="74" t="s">
        <v>132</v>
      </c>
      <c r="Z1885" s="74"/>
      <c r="AB1885" s="55" t="s">
        <v>132</v>
      </c>
      <c r="AC1885" s="55" t="s">
        <v>132</v>
      </c>
    </row>
    <row r="1886" spans="1:29" ht="13" x14ac:dyDescent="0.15">
      <c r="A1886" s="72" t="str">
        <f t="shared" si="29"/>
        <v>Ofsted Social Care Provider Webpage</v>
      </c>
      <c r="B1886" s="55" t="s">
        <v>2954</v>
      </c>
      <c r="D1886" s="55" t="s">
        <v>373</v>
      </c>
      <c r="E1886" s="74">
        <v>36206</v>
      </c>
      <c r="F1886" s="55" t="s">
        <v>344</v>
      </c>
      <c r="G1886" s="55" t="s">
        <v>360</v>
      </c>
      <c r="H1886" s="55" t="s">
        <v>360</v>
      </c>
      <c r="I1886" s="55" t="s">
        <v>360</v>
      </c>
      <c r="J1886" s="55" t="s">
        <v>360</v>
      </c>
      <c r="K1886" s="55" t="s">
        <v>360</v>
      </c>
      <c r="L1886" s="55" t="s">
        <v>360</v>
      </c>
      <c r="M1886" s="55" t="s">
        <v>144</v>
      </c>
      <c r="N1886" s="55" t="s">
        <v>144</v>
      </c>
      <c r="O1886" s="55" t="s">
        <v>263</v>
      </c>
      <c r="P1886" s="55" t="s">
        <v>1211</v>
      </c>
      <c r="Q1886" s="55" t="s">
        <v>362</v>
      </c>
      <c r="R1886" s="55">
        <v>3</v>
      </c>
      <c r="S1886" s="74"/>
      <c r="T1886" s="55" t="s">
        <v>2551</v>
      </c>
      <c r="U1886" s="73" t="s">
        <v>351</v>
      </c>
      <c r="V1886" s="74">
        <v>44635</v>
      </c>
      <c r="W1886" s="74">
        <v>44678</v>
      </c>
      <c r="X1886" s="55">
        <v>10185548</v>
      </c>
      <c r="Y1886" s="74" t="s">
        <v>140</v>
      </c>
      <c r="Z1886" s="74"/>
      <c r="AB1886" s="55" t="s">
        <v>140</v>
      </c>
      <c r="AC1886" s="55" t="s">
        <v>140</v>
      </c>
    </row>
    <row r="1887" spans="1:29" ht="13" x14ac:dyDescent="0.15">
      <c r="A1887" s="72" t="str">
        <f t="shared" si="29"/>
        <v>Ofsted Social Care Provider Webpage</v>
      </c>
      <c r="B1887" s="55" t="s">
        <v>2955</v>
      </c>
      <c r="D1887" s="55" t="s">
        <v>373</v>
      </c>
      <c r="E1887" s="74">
        <v>36300</v>
      </c>
      <c r="F1887" s="55" t="s">
        <v>344</v>
      </c>
      <c r="G1887" s="55" t="s">
        <v>360</v>
      </c>
      <c r="H1887" s="55" t="s">
        <v>360</v>
      </c>
      <c r="I1887" s="55" t="s">
        <v>360</v>
      </c>
      <c r="J1887" s="55" t="s">
        <v>360</v>
      </c>
      <c r="K1887" s="55" t="s">
        <v>360</v>
      </c>
      <c r="L1887" s="55" t="s">
        <v>360</v>
      </c>
      <c r="M1887" s="55" t="s">
        <v>144</v>
      </c>
      <c r="N1887" s="55" t="s">
        <v>144</v>
      </c>
      <c r="O1887" s="55" t="s">
        <v>263</v>
      </c>
      <c r="P1887" s="55" t="s">
        <v>263</v>
      </c>
      <c r="Q1887" s="55" t="s">
        <v>362</v>
      </c>
      <c r="R1887" s="55">
        <v>5</v>
      </c>
      <c r="S1887" s="74"/>
      <c r="T1887" s="55" t="s">
        <v>2551</v>
      </c>
      <c r="U1887" s="73" t="s">
        <v>351</v>
      </c>
      <c r="V1887" s="74">
        <v>44628</v>
      </c>
      <c r="W1887" s="74">
        <v>44670</v>
      </c>
      <c r="X1887" s="55">
        <v>10185521</v>
      </c>
      <c r="Y1887" s="74" t="s">
        <v>132</v>
      </c>
      <c r="Z1887" s="74"/>
      <c r="AB1887" s="55" t="s">
        <v>132</v>
      </c>
      <c r="AC1887" s="55" t="s">
        <v>140</v>
      </c>
    </row>
    <row r="1888" spans="1:29" ht="13" x14ac:dyDescent="0.15">
      <c r="A1888" s="72" t="str">
        <f t="shared" si="29"/>
        <v>Ofsted Social Care Provider Webpage</v>
      </c>
      <c r="B1888" s="55" t="s">
        <v>2956</v>
      </c>
      <c r="D1888" s="55" t="s">
        <v>373</v>
      </c>
      <c r="E1888" s="74">
        <v>36580</v>
      </c>
      <c r="F1888" s="55" t="s">
        <v>344</v>
      </c>
      <c r="G1888" s="55" t="s">
        <v>360</v>
      </c>
      <c r="H1888" s="55" t="s">
        <v>360</v>
      </c>
      <c r="I1888" s="55" t="s">
        <v>360</v>
      </c>
      <c r="J1888" s="55" t="s">
        <v>360</v>
      </c>
      <c r="K1888" s="55" t="s">
        <v>360</v>
      </c>
      <c r="L1888" s="55" t="s">
        <v>360</v>
      </c>
      <c r="M1888" s="55" t="s">
        <v>144</v>
      </c>
      <c r="N1888" s="55" t="s">
        <v>144</v>
      </c>
      <c r="O1888" s="55" t="s">
        <v>263</v>
      </c>
      <c r="P1888" s="55" t="s">
        <v>1211</v>
      </c>
      <c r="Q1888" s="55" t="s">
        <v>362</v>
      </c>
      <c r="R1888" s="55">
        <v>3</v>
      </c>
      <c r="S1888" s="74"/>
      <c r="T1888" s="55" t="s">
        <v>2551</v>
      </c>
      <c r="U1888" s="73" t="s">
        <v>351</v>
      </c>
      <c r="V1888" s="74">
        <v>44474</v>
      </c>
      <c r="W1888" s="74">
        <v>44508</v>
      </c>
      <c r="X1888" s="55">
        <v>10186700</v>
      </c>
      <c r="Y1888" s="74" t="s">
        <v>132</v>
      </c>
      <c r="Z1888" s="74"/>
      <c r="AB1888" s="55" t="s">
        <v>132</v>
      </c>
      <c r="AC1888" s="55" t="s">
        <v>132</v>
      </c>
    </row>
    <row r="1889" spans="1:29" ht="13" x14ac:dyDescent="0.15">
      <c r="A1889" s="72" t="str">
        <f t="shared" si="29"/>
        <v>Ofsted Social Care Provider Webpage</v>
      </c>
      <c r="B1889" s="55" t="s">
        <v>2957</v>
      </c>
      <c r="D1889" s="55" t="s">
        <v>373</v>
      </c>
      <c r="E1889" s="74">
        <v>35019</v>
      </c>
      <c r="F1889" s="55" t="s">
        <v>344</v>
      </c>
      <c r="G1889" s="55" t="s">
        <v>360</v>
      </c>
      <c r="H1889" s="55" t="s">
        <v>360</v>
      </c>
      <c r="I1889" s="55" t="s">
        <v>360</v>
      </c>
      <c r="J1889" s="55" t="s">
        <v>360</v>
      </c>
      <c r="K1889" s="55" t="s">
        <v>360</v>
      </c>
      <c r="L1889" s="55" t="s">
        <v>360</v>
      </c>
      <c r="M1889" s="55" t="s">
        <v>138</v>
      </c>
      <c r="N1889" s="55" t="s">
        <v>138</v>
      </c>
      <c r="O1889" s="55" t="s">
        <v>224</v>
      </c>
      <c r="P1889" s="55" t="s">
        <v>1552</v>
      </c>
      <c r="Q1889" s="55" t="s">
        <v>362</v>
      </c>
      <c r="R1889" s="55">
        <v>4</v>
      </c>
      <c r="S1889" s="74"/>
      <c r="T1889" s="55" t="s">
        <v>557</v>
      </c>
      <c r="U1889" s="73" t="s">
        <v>351</v>
      </c>
      <c r="V1889" s="74">
        <v>44321</v>
      </c>
      <c r="W1889" s="74">
        <v>44344</v>
      </c>
      <c r="X1889" s="55">
        <v>10185317</v>
      </c>
      <c r="Y1889" s="74" t="s">
        <v>132</v>
      </c>
      <c r="Z1889" s="74"/>
      <c r="AB1889" s="55" t="s">
        <v>132</v>
      </c>
      <c r="AC1889" s="55" t="s">
        <v>132</v>
      </c>
    </row>
    <row r="1890" spans="1:29" ht="13" x14ac:dyDescent="0.15">
      <c r="A1890" s="72" t="str">
        <f t="shared" si="29"/>
        <v>Ofsted Social Care Provider Webpage</v>
      </c>
      <c r="B1890" s="55" t="s">
        <v>2958</v>
      </c>
      <c r="D1890" s="55" t="s">
        <v>373</v>
      </c>
      <c r="E1890" s="74">
        <v>26834</v>
      </c>
      <c r="F1890" s="55" t="s">
        <v>344</v>
      </c>
      <c r="G1890" s="55" t="s">
        <v>360</v>
      </c>
      <c r="H1890" s="55" t="s">
        <v>360</v>
      </c>
      <c r="I1890" s="55" t="s">
        <v>360</v>
      </c>
      <c r="J1890" s="55" t="s">
        <v>360</v>
      </c>
      <c r="K1890" s="55" t="s">
        <v>360</v>
      </c>
      <c r="L1890" s="55" t="s">
        <v>360</v>
      </c>
      <c r="M1890" s="55" t="s">
        <v>138</v>
      </c>
      <c r="N1890" s="55" t="s">
        <v>138</v>
      </c>
      <c r="O1890" s="55" t="s">
        <v>159</v>
      </c>
      <c r="P1890" s="55" t="s">
        <v>1985</v>
      </c>
      <c r="Q1890" s="55" t="s">
        <v>362</v>
      </c>
      <c r="R1890" s="55">
        <v>17</v>
      </c>
      <c r="S1890" s="74"/>
      <c r="T1890" s="55" t="s">
        <v>2959</v>
      </c>
      <c r="U1890" s="73" t="s">
        <v>351</v>
      </c>
      <c r="V1890" s="74">
        <v>44312</v>
      </c>
      <c r="W1890" s="74">
        <v>44335</v>
      </c>
      <c r="X1890" s="55">
        <v>10185838</v>
      </c>
      <c r="Y1890" s="55" t="s">
        <v>130</v>
      </c>
      <c r="Z1890" s="74"/>
      <c r="AB1890" s="55" t="s">
        <v>130</v>
      </c>
      <c r="AC1890" s="55" t="s">
        <v>130</v>
      </c>
    </row>
    <row r="1891" spans="1:29" ht="13" x14ac:dyDescent="0.15">
      <c r="A1891" s="72" t="str">
        <f t="shared" si="29"/>
        <v>Ofsted Social Care Provider Webpage</v>
      </c>
      <c r="B1891" s="55" t="s">
        <v>2960</v>
      </c>
      <c r="D1891" s="55" t="s">
        <v>373</v>
      </c>
      <c r="E1891" s="74">
        <v>36000</v>
      </c>
      <c r="F1891" s="55" t="s">
        <v>344</v>
      </c>
      <c r="G1891" s="55" t="s">
        <v>360</v>
      </c>
      <c r="H1891" s="55" t="s">
        <v>360</v>
      </c>
      <c r="I1891" s="55" t="s">
        <v>360</v>
      </c>
      <c r="J1891" s="55" t="s">
        <v>360</v>
      </c>
      <c r="K1891" s="55" t="s">
        <v>360</v>
      </c>
      <c r="L1891" s="55" t="s">
        <v>360</v>
      </c>
      <c r="M1891" s="55" t="s">
        <v>144</v>
      </c>
      <c r="N1891" s="55" t="s">
        <v>144</v>
      </c>
      <c r="O1891" s="55" t="s">
        <v>263</v>
      </c>
      <c r="P1891" s="55" t="s">
        <v>1211</v>
      </c>
      <c r="Q1891" s="55" t="s">
        <v>362</v>
      </c>
      <c r="R1891" s="55">
        <v>4</v>
      </c>
      <c r="S1891" s="74"/>
      <c r="T1891" s="55" t="s">
        <v>2551</v>
      </c>
      <c r="U1891" s="73" t="s">
        <v>351</v>
      </c>
      <c r="V1891" s="74">
        <v>43718</v>
      </c>
      <c r="W1891" s="74">
        <v>43746</v>
      </c>
      <c r="X1891" s="55">
        <v>10095264</v>
      </c>
      <c r="Y1891" s="74" t="s">
        <v>140</v>
      </c>
      <c r="Z1891" s="74"/>
      <c r="AB1891" s="55" t="s">
        <v>140</v>
      </c>
      <c r="AC1891" s="55" t="s">
        <v>140</v>
      </c>
    </row>
    <row r="1892" spans="1:29" ht="13" x14ac:dyDescent="0.15">
      <c r="A1892" s="72" t="str">
        <f t="shared" si="29"/>
        <v>Ofsted Social Care Provider Webpage</v>
      </c>
      <c r="B1892" s="55" t="s">
        <v>2961</v>
      </c>
      <c r="D1892" s="55" t="s">
        <v>373</v>
      </c>
      <c r="E1892" s="74">
        <v>35726</v>
      </c>
      <c r="F1892" s="55" t="s">
        <v>344</v>
      </c>
      <c r="G1892" s="55" t="s">
        <v>360</v>
      </c>
      <c r="H1892" s="55" t="s">
        <v>360</v>
      </c>
      <c r="I1892" s="55" t="s">
        <v>360</v>
      </c>
      <c r="J1892" s="55" t="s">
        <v>360</v>
      </c>
      <c r="K1892" s="55" t="s">
        <v>360</v>
      </c>
      <c r="L1892" s="55" t="s">
        <v>360</v>
      </c>
      <c r="M1892" s="55" t="s">
        <v>144</v>
      </c>
      <c r="N1892" s="55" t="s">
        <v>144</v>
      </c>
      <c r="O1892" s="55" t="s">
        <v>263</v>
      </c>
      <c r="P1892" s="55" t="s">
        <v>876</v>
      </c>
      <c r="Q1892" s="55" t="s">
        <v>362</v>
      </c>
      <c r="R1892" s="55">
        <v>6</v>
      </c>
      <c r="S1892" s="74"/>
      <c r="T1892" s="55" t="s">
        <v>2551</v>
      </c>
      <c r="U1892" s="73" t="s">
        <v>351</v>
      </c>
      <c r="V1892" s="74">
        <v>44628</v>
      </c>
      <c r="W1892" s="74">
        <v>44671</v>
      </c>
      <c r="X1892" s="55">
        <v>10186245</v>
      </c>
      <c r="Y1892" s="74" t="s">
        <v>132</v>
      </c>
      <c r="Z1892" s="74"/>
      <c r="AB1892" s="55" t="s">
        <v>132</v>
      </c>
      <c r="AC1892" s="55" t="s">
        <v>130</v>
      </c>
    </row>
    <row r="1893" spans="1:29" ht="13" x14ac:dyDescent="0.15">
      <c r="A1893" s="72" t="str">
        <f t="shared" si="29"/>
        <v>Ofsted Social Care Provider Webpage</v>
      </c>
      <c r="B1893" s="55" t="s">
        <v>2962</v>
      </c>
      <c r="D1893" s="55" t="s">
        <v>373</v>
      </c>
      <c r="E1893" s="74">
        <v>34443</v>
      </c>
      <c r="F1893" s="55" t="s">
        <v>344</v>
      </c>
      <c r="G1893" s="55" t="s">
        <v>360</v>
      </c>
      <c r="H1893" s="55" t="s">
        <v>360</v>
      </c>
      <c r="I1893" s="55" t="s">
        <v>360</v>
      </c>
      <c r="J1893" s="55" t="s">
        <v>360</v>
      </c>
      <c r="K1893" s="55" t="s">
        <v>360</v>
      </c>
      <c r="L1893" s="55" t="s">
        <v>360</v>
      </c>
      <c r="M1893" s="55" t="s">
        <v>144</v>
      </c>
      <c r="N1893" s="55" t="s">
        <v>144</v>
      </c>
      <c r="O1893" s="55" t="s">
        <v>263</v>
      </c>
      <c r="P1893" s="55" t="s">
        <v>263</v>
      </c>
      <c r="Q1893" s="55" t="s">
        <v>362</v>
      </c>
      <c r="R1893" s="55">
        <v>6</v>
      </c>
      <c r="S1893" s="74"/>
      <c r="T1893" s="55" t="s">
        <v>2551</v>
      </c>
      <c r="U1893" s="73" t="s">
        <v>351</v>
      </c>
      <c r="V1893" s="74">
        <v>44622</v>
      </c>
      <c r="W1893" s="74">
        <v>44671</v>
      </c>
      <c r="X1893" s="55">
        <v>10186220</v>
      </c>
      <c r="Y1893" s="74" t="s">
        <v>132</v>
      </c>
      <c r="Z1893" s="74"/>
      <c r="AB1893" s="55" t="s">
        <v>132</v>
      </c>
      <c r="AC1893" s="55" t="s">
        <v>132</v>
      </c>
    </row>
    <row r="1894" spans="1:29" ht="13" x14ac:dyDescent="0.15">
      <c r="A1894" s="72" t="str">
        <f t="shared" si="29"/>
        <v>Ofsted Social Care Provider Webpage</v>
      </c>
      <c r="B1894" s="55" t="s">
        <v>2963</v>
      </c>
      <c r="D1894" s="55" t="s">
        <v>373</v>
      </c>
      <c r="E1894" s="74">
        <v>34788</v>
      </c>
      <c r="F1894" s="55" t="s">
        <v>344</v>
      </c>
      <c r="G1894" s="55" t="s">
        <v>360</v>
      </c>
      <c r="H1894" s="55" t="s">
        <v>360</v>
      </c>
      <c r="I1894" s="55" t="s">
        <v>360</v>
      </c>
      <c r="J1894" s="55" t="s">
        <v>360</v>
      </c>
      <c r="K1894" s="55" t="s">
        <v>360</v>
      </c>
      <c r="L1894" s="55" t="s">
        <v>360</v>
      </c>
      <c r="M1894" s="55" t="s">
        <v>144</v>
      </c>
      <c r="N1894" s="55" t="s">
        <v>144</v>
      </c>
      <c r="O1894" s="55" t="s">
        <v>263</v>
      </c>
      <c r="P1894" s="55" t="s">
        <v>1211</v>
      </c>
      <c r="Q1894" s="55" t="s">
        <v>362</v>
      </c>
      <c r="R1894" s="55">
        <v>5</v>
      </c>
      <c r="S1894" s="74" t="s">
        <v>332</v>
      </c>
      <c r="T1894" s="55" t="s">
        <v>2551</v>
      </c>
      <c r="U1894" s="73" t="s">
        <v>351</v>
      </c>
      <c r="V1894" s="74">
        <v>44538</v>
      </c>
      <c r="W1894" s="74">
        <v>44586</v>
      </c>
      <c r="X1894" s="55">
        <v>10186403</v>
      </c>
      <c r="Y1894" s="74" t="s">
        <v>132</v>
      </c>
      <c r="Z1894" s="74"/>
      <c r="AB1894" s="55" t="s">
        <v>132</v>
      </c>
      <c r="AC1894" s="55" t="s">
        <v>132</v>
      </c>
    </row>
    <row r="1895" spans="1:29" ht="13" x14ac:dyDescent="0.15">
      <c r="A1895" s="72" t="str">
        <f t="shared" si="29"/>
        <v>Ofsted Social Care Provider Webpage</v>
      </c>
      <c r="B1895" s="55" t="s">
        <v>2964</v>
      </c>
      <c r="D1895" s="55" t="s">
        <v>373</v>
      </c>
      <c r="E1895" s="74">
        <v>34390</v>
      </c>
      <c r="F1895" s="55" t="s">
        <v>344</v>
      </c>
      <c r="G1895" s="55" t="s">
        <v>360</v>
      </c>
      <c r="H1895" s="55" t="s">
        <v>360</v>
      </c>
      <c r="I1895" s="55" t="s">
        <v>360</v>
      </c>
      <c r="J1895" s="55" t="s">
        <v>360</v>
      </c>
      <c r="K1895" s="55" t="s">
        <v>360</v>
      </c>
      <c r="L1895" s="55" t="s">
        <v>360</v>
      </c>
      <c r="M1895" s="55" t="s">
        <v>144</v>
      </c>
      <c r="N1895" s="55" t="s">
        <v>144</v>
      </c>
      <c r="O1895" s="55" t="s">
        <v>263</v>
      </c>
      <c r="P1895" s="55" t="s">
        <v>263</v>
      </c>
      <c r="Q1895" s="55" t="s">
        <v>362</v>
      </c>
      <c r="R1895" s="55">
        <v>3</v>
      </c>
      <c r="S1895" s="74"/>
      <c r="T1895" s="55" t="s">
        <v>2551</v>
      </c>
      <c r="U1895" s="73" t="s">
        <v>351</v>
      </c>
      <c r="V1895" s="74">
        <v>44573</v>
      </c>
      <c r="W1895" s="74">
        <v>44602</v>
      </c>
      <c r="X1895" s="55">
        <v>10187447</v>
      </c>
      <c r="Y1895" s="74" t="s">
        <v>132</v>
      </c>
      <c r="Z1895" s="74"/>
      <c r="AB1895" s="55" t="s">
        <v>132</v>
      </c>
      <c r="AC1895" s="55" t="s">
        <v>132</v>
      </c>
    </row>
    <row r="1896" spans="1:29" ht="13" x14ac:dyDescent="0.15">
      <c r="A1896" s="72" t="str">
        <f t="shared" si="29"/>
        <v>Ofsted Social Care Provider Webpage</v>
      </c>
      <c r="B1896" s="55" t="s">
        <v>2965</v>
      </c>
      <c r="D1896" s="55" t="s">
        <v>373</v>
      </c>
      <c r="E1896" s="74">
        <v>35222</v>
      </c>
      <c r="F1896" s="55" t="s">
        <v>344</v>
      </c>
      <c r="G1896" s="55" t="s">
        <v>360</v>
      </c>
      <c r="H1896" s="55" t="s">
        <v>360</v>
      </c>
      <c r="I1896" s="55" t="s">
        <v>360</v>
      </c>
      <c r="J1896" s="55" t="s">
        <v>360</v>
      </c>
      <c r="K1896" s="55" t="s">
        <v>360</v>
      </c>
      <c r="L1896" s="55" t="s">
        <v>360</v>
      </c>
      <c r="M1896" s="55" t="s">
        <v>129</v>
      </c>
      <c r="N1896" s="55" t="s">
        <v>129</v>
      </c>
      <c r="O1896" s="55" t="s">
        <v>167</v>
      </c>
      <c r="P1896" s="55" t="s">
        <v>866</v>
      </c>
      <c r="Q1896" s="55" t="s">
        <v>350</v>
      </c>
      <c r="R1896" s="55">
        <v>4</v>
      </c>
      <c r="S1896" s="74"/>
      <c r="T1896" s="55" t="s">
        <v>2966</v>
      </c>
      <c r="U1896" s="73" t="s">
        <v>351</v>
      </c>
      <c r="V1896" s="74">
        <v>44510</v>
      </c>
      <c r="W1896" s="74">
        <v>44579</v>
      </c>
      <c r="X1896" s="55">
        <v>10186467</v>
      </c>
      <c r="Y1896" s="74" t="s">
        <v>132</v>
      </c>
      <c r="Z1896" s="74"/>
      <c r="AB1896" s="55" t="s">
        <v>130</v>
      </c>
      <c r="AC1896" s="55" t="s">
        <v>132</v>
      </c>
    </row>
    <row r="1897" spans="1:29" ht="13" x14ac:dyDescent="0.15">
      <c r="A1897" s="72" t="str">
        <f t="shared" si="29"/>
        <v>Ofsted Social Care Provider Webpage</v>
      </c>
      <c r="B1897" s="55" t="s">
        <v>2967</v>
      </c>
      <c r="D1897" s="55" t="s">
        <v>373</v>
      </c>
      <c r="E1897" s="74">
        <v>35436</v>
      </c>
      <c r="F1897" s="55" t="s">
        <v>344</v>
      </c>
      <c r="G1897" s="55" t="s">
        <v>360</v>
      </c>
      <c r="H1897" s="55" t="s">
        <v>360</v>
      </c>
      <c r="I1897" s="55" t="s">
        <v>360</v>
      </c>
      <c r="J1897" s="55" t="s">
        <v>360</v>
      </c>
      <c r="K1897" s="55" t="s">
        <v>360</v>
      </c>
      <c r="L1897" s="55" t="s">
        <v>360</v>
      </c>
      <c r="M1897" s="55" t="s">
        <v>129</v>
      </c>
      <c r="N1897" s="55" t="s">
        <v>129</v>
      </c>
      <c r="O1897" s="55" t="s">
        <v>167</v>
      </c>
      <c r="P1897" s="55" t="s">
        <v>866</v>
      </c>
      <c r="Q1897" s="55" t="s">
        <v>350</v>
      </c>
      <c r="R1897" s="55">
        <v>8</v>
      </c>
      <c r="S1897" s="74"/>
      <c r="T1897" s="55" t="s">
        <v>2966</v>
      </c>
      <c r="U1897" s="73" t="s">
        <v>351</v>
      </c>
      <c r="V1897" s="74">
        <v>43845</v>
      </c>
      <c r="W1897" s="74">
        <v>43875</v>
      </c>
      <c r="X1897" s="55">
        <v>10095249</v>
      </c>
      <c r="Y1897" s="74" t="s">
        <v>140</v>
      </c>
      <c r="Z1897" s="74"/>
      <c r="AB1897" s="55" t="s">
        <v>140</v>
      </c>
      <c r="AC1897" s="55" t="s">
        <v>140</v>
      </c>
    </row>
    <row r="1898" spans="1:29" ht="13" x14ac:dyDescent="0.15">
      <c r="A1898" s="72" t="str">
        <f t="shared" si="29"/>
        <v>Ofsted Social Care Provider Webpage</v>
      </c>
      <c r="B1898" s="55" t="s">
        <v>2968</v>
      </c>
      <c r="D1898" s="55" t="s">
        <v>373</v>
      </c>
      <c r="E1898" s="74">
        <v>33921</v>
      </c>
      <c r="F1898" s="55" t="s">
        <v>344</v>
      </c>
      <c r="G1898" s="55" t="s">
        <v>360</v>
      </c>
      <c r="H1898" s="55" t="s">
        <v>360</v>
      </c>
      <c r="I1898" s="55" t="s">
        <v>360</v>
      </c>
      <c r="J1898" s="55" t="s">
        <v>360</v>
      </c>
      <c r="K1898" s="55" t="s">
        <v>360</v>
      </c>
      <c r="L1898" s="55" t="s">
        <v>360</v>
      </c>
      <c r="M1898" s="55" t="s">
        <v>129</v>
      </c>
      <c r="N1898" s="55" t="s">
        <v>129</v>
      </c>
      <c r="O1898" s="55" t="s">
        <v>242</v>
      </c>
      <c r="P1898" s="55" t="s">
        <v>1519</v>
      </c>
      <c r="Q1898" s="55" t="s">
        <v>362</v>
      </c>
      <c r="R1898" s="55">
        <v>6</v>
      </c>
      <c r="S1898" s="74"/>
      <c r="T1898" s="55" t="s">
        <v>1884</v>
      </c>
      <c r="U1898" s="73" t="s">
        <v>351</v>
      </c>
      <c r="V1898" s="74">
        <v>44579</v>
      </c>
      <c r="W1898" s="74">
        <v>44635</v>
      </c>
      <c r="X1898" s="55">
        <v>10185204</v>
      </c>
      <c r="Y1898" s="74" t="s">
        <v>132</v>
      </c>
      <c r="Z1898" s="74"/>
      <c r="AB1898" s="55" t="s">
        <v>132</v>
      </c>
      <c r="AC1898" s="55" t="s">
        <v>130</v>
      </c>
    </row>
    <row r="1899" spans="1:29" ht="13" x14ac:dyDescent="0.15">
      <c r="A1899" s="72" t="str">
        <f t="shared" si="29"/>
        <v>Ofsted Social Care Provider Webpage</v>
      </c>
      <c r="B1899" s="55" t="s">
        <v>2969</v>
      </c>
      <c r="D1899" s="55" t="s">
        <v>479</v>
      </c>
      <c r="E1899" s="74">
        <v>37306</v>
      </c>
      <c r="F1899" s="55" t="s">
        <v>344</v>
      </c>
      <c r="G1899" s="55" t="s">
        <v>360</v>
      </c>
      <c r="H1899" s="55" t="s">
        <v>360</v>
      </c>
      <c r="I1899" s="55" t="s">
        <v>360</v>
      </c>
      <c r="J1899" s="55" t="s">
        <v>360</v>
      </c>
      <c r="K1899" s="55" t="s">
        <v>360</v>
      </c>
      <c r="L1899" s="55" t="s">
        <v>360</v>
      </c>
      <c r="M1899" s="55" t="s">
        <v>136</v>
      </c>
      <c r="N1899" s="55" t="s">
        <v>136</v>
      </c>
      <c r="O1899" s="55" t="s">
        <v>176</v>
      </c>
      <c r="P1899" s="55" t="s">
        <v>2060</v>
      </c>
      <c r="Q1899" s="55" t="s">
        <v>350</v>
      </c>
      <c r="R1899" s="55">
        <v>68</v>
      </c>
      <c r="S1899" s="74"/>
      <c r="T1899" s="55" t="s">
        <v>596</v>
      </c>
      <c r="U1899" s="73" t="s">
        <v>351</v>
      </c>
      <c r="V1899" s="74">
        <v>44621</v>
      </c>
      <c r="W1899" s="74">
        <v>44656</v>
      </c>
      <c r="X1899" s="55">
        <v>10187207</v>
      </c>
      <c r="Y1899" s="74" t="s">
        <v>130</v>
      </c>
      <c r="Z1899" s="74"/>
      <c r="AB1899" s="55" t="s">
        <v>130</v>
      </c>
      <c r="AC1899" s="55" t="s">
        <v>130</v>
      </c>
    </row>
    <row r="1900" spans="1:29" ht="13" x14ac:dyDescent="0.15">
      <c r="A1900" s="72" t="str">
        <f t="shared" si="29"/>
        <v>Ofsted Social Care Provider Webpage</v>
      </c>
      <c r="B1900" s="55" t="s">
        <v>2970</v>
      </c>
      <c r="D1900" s="55" t="s">
        <v>373</v>
      </c>
      <c r="E1900" s="74">
        <v>36067</v>
      </c>
      <c r="F1900" s="55" t="s">
        <v>344</v>
      </c>
      <c r="G1900" s="55" t="s">
        <v>360</v>
      </c>
      <c r="H1900" s="55" t="s">
        <v>360</v>
      </c>
      <c r="I1900" s="55" t="s">
        <v>360</v>
      </c>
      <c r="J1900" s="55" t="s">
        <v>360</v>
      </c>
      <c r="K1900" s="55" t="s">
        <v>360</v>
      </c>
      <c r="L1900" s="55" t="s">
        <v>360</v>
      </c>
      <c r="M1900" s="55" t="s">
        <v>144</v>
      </c>
      <c r="N1900" s="55" t="s">
        <v>144</v>
      </c>
      <c r="O1900" s="55" t="s">
        <v>281</v>
      </c>
      <c r="P1900" s="55" t="s">
        <v>556</v>
      </c>
      <c r="Q1900" s="55" t="s">
        <v>350</v>
      </c>
      <c r="R1900" s="55">
        <v>4</v>
      </c>
      <c r="S1900" s="74"/>
      <c r="T1900" s="55" t="s">
        <v>1363</v>
      </c>
      <c r="U1900" s="73" t="s">
        <v>351</v>
      </c>
      <c r="V1900" s="74">
        <v>43607</v>
      </c>
      <c r="W1900" s="74">
        <v>43641</v>
      </c>
      <c r="X1900" s="55">
        <v>10095265</v>
      </c>
      <c r="Y1900" s="74" t="s">
        <v>132</v>
      </c>
      <c r="Z1900" s="74"/>
      <c r="AB1900" s="55" t="s">
        <v>132</v>
      </c>
      <c r="AC1900" s="55" t="s">
        <v>132</v>
      </c>
    </row>
    <row r="1901" spans="1:29" ht="13" x14ac:dyDescent="0.15">
      <c r="A1901" s="72" t="str">
        <f t="shared" si="29"/>
        <v>Ofsted Social Care Provider Webpage</v>
      </c>
      <c r="B1901" s="55" t="s">
        <v>2971</v>
      </c>
      <c r="C1901" s="55">
        <v>102464</v>
      </c>
      <c r="D1901" s="55" t="s">
        <v>413</v>
      </c>
      <c r="E1901" s="74">
        <v>37306</v>
      </c>
      <c r="F1901" s="55" t="s">
        <v>344</v>
      </c>
      <c r="G1901" s="55" t="s">
        <v>2972</v>
      </c>
      <c r="H1901" s="55" t="s">
        <v>2973</v>
      </c>
      <c r="I1901" s="55" t="s">
        <v>2974</v>
      </c>
      <c r="J1901" s="55" t="s">
        <v>2975</v>
      </c>
      <c r="K1901" s="55" t="s">
        <v>1746</v>
      </c>
      <c r="L1901" s="55" t="s">
        <v>2976</v>
      </c>
      <c r="M1901" s="55" t="s">
        <v>129</v>
      </c>
      <c r="N1901" s="55" t="s">
        <v>129</v>
      </c>
      <c r="O1901" s="55" t="s">
        <v>197</v>
      </c>
      <c r="P1901" s="55" t="s">
        <v>532</v>
      </c>
      <c r="Q1901" s="55" t="s">
        <v>350</v>
      </c>
      <c r="R1901" s="55">
        <v>22</v>
      </c>
      <c r="S1901" s="74"/>
      <c r="T1901" s="55" t="s">
        <v>2972</v>
      </c>
      <c r="U1901" s="73" t="s">
        <v>351</v>
      </c>
      <c r="V1901" s="74">
        <v>44516</v>
      </c>
      <c r="W1901" s="74">
        <v>44578</v>
      </c>
      <c r="X1901" s="55">
        <v>10183510</v>
      </c>
      <c r="Y1901" s="74" t="s">
        <v>132</v>
      </c>
      <c r="Z1901" s="74"/>
      <c r="AB1901" s="55" t="s">
        <v>132</v>
      </c>
      <c r="AC1901" s="55" t="s">
        <v>132</v>
      </c>
    </row>
    <row r="1902" spans="1:29" ht="13" x14ac:dyDescent="0.15">
      <c r="A1902" s="72" t="str">
        <f t="shared" si="29"/>
        <v>Ofsted Social Care Provider Webpage</v>
      </c>
      <c r="B1902" s="55" t="s">
        <v>2977</v>
      </c>
      <c r="C1902" s="55">
        <v>121221</v>
      </c>
      <c r="D1902" s="55" t="s">
        <v>398</v>
      </c>
      <c r="E1902" s="74">
        <v>37306</v>
      </c>
      <c r="F1902" s="55" t="s">
        <v>344</v>
      </c>
      <c r="G1902" s="55" t="s">
        <v>2978</v>
      </c>
      <c r="H1902" s="55" t="s">
        <v>2979</v>
      </c>
      <c r="I1902" s="55" t="s">
        <v>2980</v>
      </c>
      <c r="J1902" s="55" t="s">
        <v>2981</v>
      </c>
      <c r="K1902" s="55" t="s">
        <v>224</v>
      </c>
      <c r="L1902" s="55" t="s">
        <v>2982</v>
      </c>
      <c r="M1902" s="55" t="s">
        <v>138</v>
      </c>
      <c r="N1902" s="55" t="s">
        <v>138</v>
      </c>
      <c r="O1902" s="55" t="s">
        <v>224</v>
      </c>
      <c r="P1902" s="55" t="s">
        <v>374</v>
      </c>
      <c r="Q1902" s="55" t="s">
        <v>350</v>
      </c>
      <c r="R1902" s="55">
        <v>17</v>
      </c>
      <c r="S1902" s="74"/>
      <c r="U1902" s="73" t="s">
        <v>351</v>
      </c>
      <c r="V1902" s="74">
        <v>39786</v>
      </c>
      <c r="W1902" s="74">
        <v>39884</v>
      </c>
      <c r="X1902" s="55">
        <v>381399</v>
      </c>
      <c r="Y1902" s="74" t="s">
        <v>132</v>
      </c>
      <c r="Z1902" s="74"/>
      <c r="AB1902" s="55" t="s">
        <v>132</v>
      </c>
      <c r="AC1902" s="55" t="s">
        <v>132</v>
      </c>
    </row>
    <row r="1903" spans="1:29" ht="13" x14ac:dyDescent="0.15">
      <c r="A1903" s="72" t="str">
        <f t="shared" si="29"/>
        <v>Ofsted Social Care Provider Webpage</v>
      </c>
      <c r="B1903" s="55" t="s">
        <v>2983</v>
      </c>
      <c r="D1903" s="55" t="s">
        <v>373</v>
      </c>
      <c r="E1903" s="74">
        <v>37370</v>
      </c>
      <c r="F1903" s="55" t="s">
        <v>344</v>
      </c>
      <c r="G1903" s="55" t="s">
        <v>360</v>
      </c>
      <c r="H1903" s="55" t="s">
        <v>360</v>
      </c>
      <c r="I1903" s="55" t="s">
        <v>360</v>
      </c>
      <c r="J1903" s="55" t="s">
        <v>360</v>
      </c>
      <c r="K1903" s="55" t="s">
        <v>360</v>
      </c>
      <c r="L1903" s="55" t="s">
        <v>360</v>
      </c>
      <c r="M1903" s="55" t="s">
        <v>172</v>
      </c>
      <c r="N1903" s="55" t="s">
        <v>172</v>
      </c>
      <c r="O1903" s="55" t="s">
        <v>214</v>
      </c>
      <c r="P1903" s="55" t="s">
        <v>790</v>
      </c>
      <c r="Q1903" s="55" t="s">
        <v>350</v>
      </c>
      <c r="R1903" s="55">
        <v>4</v>
      </c>
      <c r="S1903" s="74"/>
      <c r="T1903" s="55" t="s">
        <v>791</v>
      </c>
      <c r="U1903" s="73" t="s">
        <v>351</v>
      </c>
      <c r="V1903" s="74">
        <v>44446</v>
      </c>
      <c r="W1903" s="74">
        <v>44477</v>
      </c>
      <c r="X1903" s="55">
        <v>10185572</v>
      </c>
      <c r="Y1903" s="74" t="s">
        <v>132</v>
      </c>
      <c r="Z1903" s="74"/>
      <c r="AB1903" s="55" t="s">
        <v>130</v>
      </c>
      <c r="AC1903" s="55" t="s">
        <v>132</v>
      </c>
    </row>
    <row r="1904" spans="1:29" ht="13" x14ac:dyDescent="0.15">
      <c r="A1904" s="72" t="str">
        <f t="shared" si="29"/>
        <v>Ofsted Social Care Provider Webpage</v>
      </c>
      <c r="B1904" s="55" t="s">
        <v>2984</v>
      </c>
      <c r="D1904" s="55" t="s">
        <v>373</v>
      </c>
      <c r="E1904" s="74">
        <v>37376</v>
      </c>
      <c r="F1904" s="55" t="s">
        <v>344</v>
      </c>
      <c r="G1904" s="55" t="s">
        <v>360</v>
      </c>
      <c r="H1904" s="55" t="s">
        <v>360</v>
      </c>
      <c r="I1904" s="55" t="s">
        <v>360</v>
      </c>
      <c r="J1904" s="55" t="s">
        <v>360</v>
      </c>
      <c r="K1904" s="55" t="s">
        <v>360</v>
      </c>
      <c r="L1904" s="55" t="s">
        <v>360</v>
      </c>
      <c r="M1904" s="55" t="s">
        <v>129</v>
      </c>
      <c r="N1904" s="55" t="s">
        <v>129</v>
      </c>
      <c r="O1904" s="55" t="s">
        <v>191</v>
      </c>
      <c r="P1904" s="55" t="s">
        <v>2985</v>
      </c>
      <c r="Q1904" s="55" t="s">
        <v>350</v>
      </c>
      <c r="R1904" s="55">
        <v>4</v>
      </c>
      <c r="S1904" s="74"/>
      <c r="U1904" s="73" t="s">
        <v>351</v>
      </c>
      <c r="V1904" s="74">
        <v>44320</v>
      </c>
      <c r="W1904" s="74">
        <v>44351</v>
      </c>
      <c r="X1904" s="55">
        <v>10187639</v>
      </c>
      <c r="Y1904" s="74" t="s">
        <v>132</v>
      </c>
      <c r="Z1904" s="74"/>
      <c r="AB1904" s="55" t="s">
        <v>132</v>
      </c>
      <c r="AC1904" s="55" t="s">
        <v>132</v>
      </c>
    </row>
    <row r="1905" spans="1:29" ht="13" x14ac:dyDescent="0.15">
      <c r="A1905" s="72" t="str">
        <f t="shared" si="29"/>
        <v>Ofsted Social Care Provider Webpage</v>
      </c>
      <c r="B1905" s="55" t="s">
        <v>2986</v>
      </c>
      <c r="D1905" s="55" t="s">
        <v>373</v>
      </c>
      <c r="E1905" s="74">
        <v>37376</v>
      </c>
      <c r="F1905" s="55" t="s">
        <v>344</v>
      </c>
      <c r="G1905" s="55" t="s">
        <v>360</v>
      </c>
      <c r="H1905" s="55" t="s">
        <v>360</v>
      </c>
      <c r="I1905" s="55" t="s">
        <v>360</v>
      </c>
      <c r="J1905" s="55" t="s">
        <v>360</v>
      </c>
      <c r="K1905" s="55" t="s">
        <v>360</v>
      </c>
      <c r="L1905" s="55" t="s">
        <v>360</v>
      </c>
      <c r="M1905" s="55" t="s">
        <v>150</v>
      </c>
      <c r="N1905" s="55" t="s">
        <v>150</v>
      </c>
      <c r="O1905" s="55" t="s">
        <v>268</v>
      </c>
      <c r="P1905" s="55" t="s">
        <v>639</v>
      </c>
      <c r="Q1905" s="55" t="s">
        <v>350</v>
      </c>
      <c r="R1905" s="55">
        <v>4</v>
      </c>
      <c r="S1905" s="74"/>
      <c r="T1905" s="55" t="s">
        <v>2654</v>
      </c>
      <c r="U1905" s="73" t="s">
        <v>351</v>
      </c>
      <c r="V1905" s="74">
        <v>44391</v>
      </c>
      <c r="W1905" s="74">
        <v>44440</v>
      </c>
      <c r="X1905" s="55">
        <v>10185722</v>
      </c>
      <c r="Y1905" s="74" t="s">
        <v>132</v>
      </c>
      <c r="Z1905" s="74"/>
      <c r="AB1905" s="55" t="s">
        <v>132</v>
      </c>
      <c r="AC1905" s="55" t="s">
        <v>132</v>
      </c>
    </row>
    <row r="1906" spans="1:29" ht="13" x14ac:dyDescent="0.15">
      <c r="A1906" s="72" t="str">
        <f t="shared" si="29"/>
        <v>Ofsted Social Care Provider Webpage</v>
      </c>
      <c r="B1906" s="55" t="s">
        <v>2987</v>
      </c>
      <c r="D1906" s="55" t="s">
        <v>373</v>
      </c>
      <c r="E1906" s="74">
        <v>37377</v>
      </c>
      <c r="F1906" s="55" t="s">
        <v>344</v>
      </c>
      <c r="G1906" s="55" t="s">
        <v>360</v>
      </c>
      <c r="H1906" s="55" t="s">
        <v>360</v>
      </c>
      <c r="I1906" s="55" t="s">
        <v>360</v>
      </c>
      <c r="J1906" s="55" t="s">
        <v>360</v>
      </c>
      <c r="K1906" s="55" t="s">
        <v>360</v>
      </c>
      <c r="L1906" s="55" t="s">
        <v>360</v>
      </c>
      <c r="M1906" s="55" t="s">
        <v>150</v>
      </c>
      <c r="N1906" s="55" t="s">
        <v>150</v>
      </c>
      <c r="O1906" s="55" t="s">
        <v>181</v>
      </c>
      <c r="P1906" s="55" t="s">
        <v>626</v>
      </c>
      <c r="Q1906" s="55" t="s">
        <v>350</v>
      </c>
      <c r="R1906" s="55">
        <v>2</v>
      </c>
      <c r="S1906" s="74"/>
      <c r="T1906" s="55" t="s">
        <v>627</v>
      </c>
      <c r="U1906" s="73" t="s">
        <v>351</v>
      </c>
      <c r="V1906" s="74">
        <v>44446</v>
      </c>
      <c r="W1906" s="74">
        <v>44487</v>
      </c>
      <c r="X1906" s="55">
        <v>10185675</v>
      </c>
      <c r="Y1906" s="74" t="s">
        <v>140</v>
      </c>
      <c r="Z1906" s="74"/>
      <c r="AB1906" s="55" t="s">
        <v>140</v>
      </c>
      <c r="AC1906" s="55" t="s">
        <v>140</v>
      </c>
    </row>
    <row r="1907" spans="1:29" ht="13" x14ac:dyDescent="0.15">
      <c r="A1907" s="72" t="str">
        <f t="shared" si="29"/>
        <v>Ofsted Social Care Provider Webpage</v>
      </c>
      <c r="B1907" s="55" t="s">
        <v>2988</v>
      </c>
      <c r="D1907" s="55" t="s">
        <v>373</v>
      </c>
      <c r="E1907" s="74">
        <v>37377</v>
      </c>
      <c r="F1907" s="55" t="s">
        <v>344</v>
      </c>
      <c r="G1907" s="55" t="s">
        <v>360</v>
      </c>
      <c r="H1907" s="55" t="s">
        <v>360</v>
      </c>
      <c r="I1907" s="55" t="s">
        <v>360</v>
      </c>
      <c r="J1907" s="55" t="s">
        <v>360</v>
      </c>
      <c r="K1907" s="55" t="s">
        <v>360</v>
      </c>
      <c r="L1907" s="55" t="s">
        <v>360</v>
      </c>
      <c r="M1907" s="55" t="s">
        <v>150</v>
      </c>
      <c r="N1907" s="55" t="s">
        <v>150</v>
      </c>
      <c r="O1907" s="55" t="s">
        <v>181</v>
      </c>
      <c r="P1907" s="55" t="s">
        <v>429</v>
      </c>
      <c r="Q1907" s="55" t="s">
        <v>350</v>
      </c>
      <c r="R1907" s="55">
        <v>2</v>
      </c>
      <c r="S1907" s="74"/>
      <c r="T1907" s="55" t="s">
        <v>627</v>
      </c>
      <c r="U1907" s="73" t="s">
        <v>351</v>
      </c>
      <c r="V1907" s="74">
        <v>44581</v>
      </c>
      <c r="W1907" s="74">
        <v>44621</v>
      </c>
      <c r="X1907" s="55">
        <v>10186401</v>
      </c>
      <c r="Y1907" s="74" t="s">
        <v>140</v>
      </c>
      <c r="Z1907" s="74"/>
      <c r="AB1907" s="55" t="s">
        <v>140</v>
      </c>
      <c r="AC1907" s="55" t="s">
        <v>140</v>
      </c>
    </row>
    <row r="1908" spans="1:29" ht="13" x14ac:dyDescent="0.15">
      <c r="A1908" s="72" t="str">
        <f t="shared" si="29"/>
        <v>Ofsted Social Care Provider Webpage</v>
      </c>
      <c r="B1908" s="55" t="s">
        <v>2989</v>
      </c>
      <c r="D1908" s="55" t="s">
        <v>373</v>
      </c>
      <c r="E1908" s="74">
        <v>37377</v>
      </c>
      <c r="F1908" s="55" t="s">
        <v>344</v>
      </c>
      <c r="G1908" s="55" t="s">
        <v>360</v>
      </c>
      <c r="H1908" s="55" t="s">
        <v>360</v>
      </c>
      <c r="I1908" s="55" t="s">
        <v>360</v>
      </c>
      <c r="J1908" s="55" t="s">
        <v>360</v>
      </c>
      <c r="K1908" s="55" t="s">
        <v>360</v>
      </c>
      <c r="L1908" s="55" t="s">
        <v>360</v>
      </c>
      <c r="M1908" s="55" t="s">
        <v>129</v>
      </c>
      <c r="N1908" s="55" t="s">
        <v>129</v>
      </c>
      <c r="O1908" s="55" t="s">
        <v>279</v>
      </c>
      <c r="P1908" s="55" t="s">
        <v>2499</v>
      </c>
      <c r="Q1908" s="55" t="s">
        <v>350</v>
      </c>
      <c r="R1908" s="55">
        <v>5</v>
      </c>
      <c r="S1908" s="74"/>
      <c r="T1908" s="55" t="s">
        <v>2990</v>
      </c>
      <c r="U1908" s="73" t="s">
        <v>351</v>
      </c>
      <c r="V1908" s="74">
        <v>43615</v>
      </c>
      <c r="W1908" s="74">
        <v>43641</v>
      </c>
      <c r="X1908" s="55">
        <v>10095384</v>
      </c>
      <c r="Y1908" s="74" t="s">
        <v>132</v>
      </c>
      <c r="Z1908" s="74"/>
      <c r="AB1908" s="55" t="s">
        <v>132</v>
      </c>
      <c r="AC1908" s="55" t="s">
        <v>132</v>
      </c>
    </row>
    <row r="1909" spans="1:29" ht="13" x14ac:dyDescent="0.15">
      <c r="A1909" s="72" t="str">
        <f t="shared" si="29"/>
        <v>Ofsted Social Care Provider Webpage</v>
      </c>
      <c r="B1909" s="55" t="s">
        <v>2991</v>
      </c>
      <c r="D1909" s="55" t="s">
        <v>373</v>
      </c>
      <c r="E1909" s="74">
        <v>37377</v>
      </c>
      <c r="F1909" s="55" t="s">
        <v>344</v>
      </c>
      <c r="G1909" s="55" t="s">
        <v>360</v>
      </c>
      <c r="H1909" s="55" t="s">
        <v>360</v>
      </c>
      <c r="I1909" s="55" t="s">
        <v>360</v>
      </c>
      <c r="J1909" s="55" t="s">
        <v>360</v>
      </c>
      <c r="K1909" s="55" t="s">
        <v>360</v>
      </c>
      <c r="L1909" s="55" t="s">
        <v>360</v>
      </c>
      <c r="M1909" s="55" t="s">
        <v>138</v>
      </c>
      <c r="N1909" s="55" t="s">
        <v>138</v>
      </c>
      <c r="O1909" s="55" t="s">
        <v>216</v>
      </c>
      <c r="P1909" s="55" t="s">
        <v>1918</v>
      </c>
      <c r="Q1909" s="55" t="s">
        <v>350</v>
      </c>
      <c r="R1909" s="55">
        <v>7</v>
      </c>
      <c r="S1909" s="74"/>
      <c r="T1909" s="55" t="s">
        <v>2992</v>
      </c>
      <c r="U1909" s="73" t="s">
        <v>351</v>
      </c>
      <c r="V1909" s="74">
        <v>44355</v>
      </c>
      <c r="W1909" s="74">
        <v>44389</v>
      </c>
      <c r="X1909" s="55">
        <v>10187630</v>
      </c>
      <c r="Y1909" s="74" t="s">
        <v>132</v>
      </c>
      <c r="Z1909" s="74"/>
      <c r="AB1909" s="55" t="s">
        <v>132</v>
      </c>
      <c r="AC1909" s="55" t="s">
        <v>132</v>
      </c>
    </row>
    <row r="1910" spans="1:29" ht="13" x14ac:dyDescent="0.15">
      <c r="A1910" s="72" t="str">
        <f t="shared" si="29"/>
        <v>Ofsted Social Care Provider Webpage</v>
      </c>
      <c r="B1910" s="55" t="s">
        <v>2993</v>
      </c>
      <c r="D1910" s="55" t="s">
        <v>373</v>
      </c>
      <c r="E1910" s="74">
        <v>37385</v>
      </c>
      <c r="F1910" s="55" t="s">
        <v>344</v>
      </c>
      <c r="G1910" s="55" t="s">
        <v>360</v>
      </c>
      <c r="H1910" s="55" t="s">
        <v>360</v>
      </c>
      <c r="I1910" s="55" t="s">
        <v>360</v>
      </c>
      <c r="J1910" s="55" t="s">
        <v>360</v>
      </c>
      <c r="K1910" s="55" t="s">
        <v>360</v>
      </c>
      <c r="L1910" s="55" t="s">
        <v>360</v>
      </c>
      <c r="M1910" s="55" t="s">
        <v>136</v>
      </c>
      <c r="N1910" s="55" t="s">
        <v>136</v>
      </c>
      <c r="O1910" s="55" t="s">
        <v>185</v>
      </c>
      <c r="P1910" s="55" t="s">
        <v>1292</v>
      </c>
      <c r="Q1910" s="55" t="s">
        <v>350</v>
      </c>
      <c r="R1910" s="55">
        <v>4</v>
      </c>
      <c r="S1910" s="74"/>
      <c r="T1910" s="55" t="s">
        <v>2994</v>
      </c>
      <c r="U1910" s="73" t="s">
        <v>351</v>
      </c>
      <c r="V1910" s="74">
        <v>44411</v>
      </c>
      <c r="W1910" s="74">
        <v>44447</v>
      </c>
      <c r="X1910" s="55">
        <v>10186043</v>
      </c>
      <c r="Y1910" s="55" t="s">
        <v>132</v>
      </c>
      <c r="Z1910" s="74"/>
      <c r="AB1910" s="55" t="s">
        <v>132</v>
      </c>
      <c r="AC1910" s="55" t="s">
        <v>130</v>
      </c>
    </row>
    <row r="1911" spans="1:29" ht="13" x14ac:dyDescent="0.15">
      <c r="A1911" s="72" t="str">
        <f t="shared" si="29"/>
        <v>Ofsted Social Care Provider Webpage</v>
      </c>
      <c r="B1911" s="55" t="s">
        <v>2995</v>
      </c>
      <c r="D1911" s="55" t="s">
        <v>373</v>
      </c>
      <c r="E1911" s="74">
        <v>37805</v>
      </c>
      <c r="F1911" s="55" t="s">
        <v>344</v>
      </c>
      <c r="G1911" s="55" t="s">
        <v>360</v>
      </c>
      <c r="H1911" s="55" t="s">
        <v>360</v>
      </c>
      <c r="I1911" s="55" t="s">
        <v>360</v>
      </c>
      <c r="J1911" s="55" t="s">
        <v>360</v>
      </c>
      <c r="K1911" s="55" t="s">
        <v>360</v>
      </c>
      <c r="L1911" s="55" t="s">
        <v>360</v>
      </c>
      <c r="M1911" s="55" t="s">
        <v>142</v>
      </c>
      <c r="N1911" s="55" t="s">
        <v>142</v>
      </c>
      <c r="O1911" s="55" t="s">
        <v>262</v>
      </c>
      <c r="P1911" s="55" t="s">
        <v>1035</v>
      </c>
      <c r="Q1911" s="55" t="s">
        <v>380</v>
      </c>
      <c r="R1911" s="55">
        <v>5</v>
      </c>
      <c r="S1911" s="74"/>
      <c r="T1911" s="55" t="s">
        <v>2996</v>
      </c>
      <c r="U1911" s="73" t="s">
        <v>351</v>
      </c>
      <c r="V1911" s="74">
        <v>44607</v>
      </c>
      <c r="W1911" s="74">
        <v>44651</v>
      </c>
      <c r="X1911" s="55">
        <v>10187120</v>
      </c>
      <c r="Y1911" s="74" t="s">
        <v>132</v>
      </c>
      <c r="Z1911" s="74"/>
      <c r="AB1911" s="55" t="s">
        <v>132</v>
      </c>
      <c r="AC1911" s="55" t="s">
        <v>132</v>
      </c>
    </row>
    <row r="1912" spans="1:29" ht="13" x14ac:dyDescent="0.15">
      <c r="A1912" s="72" t="str">
        <f t="shared" si="29"/>
        <v>Ofsted Social Care Provider Webpage</v>
      </c>
      <c r="B1912" s="55" t="s">
        <v>2997</v>
      </c>
      <c r="D1912" s="55" t="s">
        <v>373</v>
      </c>
      <c r="E1912" s="74">
        <v>37665</v>
      </c>
      <c r="F1912" s="55" t="s">
        <v>344</v>
      </c>
      <c r="G1912" s="55" t="s">
        <v>360</v>
      </c>
      <c r="H1912" s="55" t="s">
        <v>360</v>
      </c>
      <c r="I1912" s="55" t="s">
        <v>360</v>
      </c>
      <c r="J1912" s="55" t="s">
        <v>360</v>
      </c>
      <c r="K1912" s="55" t="s">
        <v>360</v>
      </c>
      <c r="L1912" s="55" t="s">
        <v>360</v>
      </c>
      <c r="M1912" s="55" t="s">
        <v>172</v>
      </c>
      <c r="N1912" s="55" t="s">
        <v>172</v>
      </c>
      <c r="O1912" s="55" t="s">
        <v>234</v>
      </c>
      <c r="P1912" s="55" t="s">
        <v>965</v>
      </c>
      <c r="Q1912" s="55" t="s">
        <v>350</v>
      </c>
      <c r="R1912" s="55">
        <v>4</v>
      </c>
      <c r="S1912" s="74"/>
      <c r="T1912" s="55" t="s">
        <v>495</v>
      </c>
      <c r="U1912" s="73" t="s">
        <v>351</v>
      </c>
      <c r="V1912" s="74">
        <v>44418</v>
      </c>
      <c r="W1912" s="74">
        <v>44462</v>
      </c>
      <c r="X1912" s="55">
        <v>10186945</v>
      </c>
      <c r="Y1912" s="74" t="s">
        <v>132</v>
      </c>
      <c r="Z1912" s="74"/>
      <c r="AB1912" s="55" t="s">
        <v>130</v>
      </c>
      <c r="AC1912" s="55" t="s">
        <v>132</v>
      </c>
    </row>
    <row r="1913" spans="1:29" ht="13" x14ac:dyDescent="0.15">
      <c r="A1913" s="72" t="str">
        <f t="shared" si="29"/>
        <v>Ofsted Social Care Provider Webpage</v>
      </c>
      <c r="B1913" s="55" t="s">
        <v>2998</v>
      </c>
      <c r="D1913" s="55" t="s">
        <v>373</v>
      </c>
      <c r="E1913" s="74">
        <v>37398</v>
      </c>
      <c r="F1913" s="55" t="s">
        <v>344</v>
      </c>
      <c r="G1913" s="55" t="s">
        <v>360</v>
      </c>
      <c r="H1913" s="55" t="s">
        <v>360</v>
      </c>
      <c r="I1913" s="55" t="s">
        <v>360</v>
      </c>
      <c r="J1913" s="55" t="s">
        <v>360</v>
      </c>
      <c r="K1913" s="55" t="s">
        <v>360</v>
      </c>
      <c r="L1913" s="55" t="s">
        <v>360</v>
      </c>
      <c r="M1913" s="55" t="s">
        <v>138</v>
      </c>
      <c r="N1913" s="55" t="s">
        <v>138</v>
      </c>
      <c r="O1913" s="55" t="s">
        <v>259</v>
      </c>
      <c r="P1913" s="55" t="s">
        <v>1914</v>
      </c>
      <c r="Q1913" s="55" t="s">
        <v>350</v>
      </c>
      <c r="R1913" s="55">
        <v>6</v>
      </c>
      <c r="S1913" s="74"/>
      <c r="T1913" s="55" t="s">
        <v>638</v>
      </c>
      <c r="U1913" s="73" t="s">
        <v>351</v>
      </c>
      <c r="V1913" s="74">
        <v>44328</v>
      </c>
      <c r="W1913" s="74">
        <v>44361</v>
      </c>
      <c r="X1913" s="55">
        <v>10186180</v>
      </c>
      <c r="Y1913" s="74" t="s">
        <v>130</v>
      </c>
      <c r="Z1913" s="74"/>
      <c r="AB1913" s="55" t="s">
        <v>130</v>
      </c>
      <c r="AC1913" s="55" t="s">
        <v>130</v>
      </c>
    </row>
    <row r="1914" spans="1:29" ht="13" x14ac:dyDescent="0.15">
      <c r="A1914" s="72" t="str">
        <f t="shared" si="29"/>
        <v>Ofsted Social Care Provider Webpage</v>
      </c>
      <c r="B1914" s="55" t="s">
        <v>2999</v>
      </c>
      <c r="D1914" s="55" t="s">
        <v>373</v>
      </c>
      <c r="E1914" s="74">
        <v>37620</v>
      </c>
      <c r="F1914" s="55" t="s">
        <v>344</v>
      </c>
      <c r="G1914" s="55" t="s">
        <v>360</v>
      </c>
      <c r="H1914" s="55" t="s">
        <v>360</v>
      </c>
      <c r="I1914" s="55" t="s">
        <v>360</v>
      </c>
      <c r="J1914" s="55" t="s">
        <v>360</v>
      </c>
      <c r="K1914" s="55" t="s">
        <v>360</v>
      </c>
      <c r="L1914" s="55" t="s">
        <v>360</v>
      </c>
      <c r="M1914" s="55" t="s">
        <v>150</v>
      </c>
      <c r="N1914" s="55" t="s">
        <v>150</v>
      </c>
      <c r="O1914" s="55" t="s">
        <v>285</v>
      </c>
      <c r="P1914" s="55" t="s">
        <v>1810</v>
      </c>
      <c r="Q1914" s="55" t="s">
        <v>350</v>
      </c>
      <c r="R1914" s="55">
        <v>4</v>
      </c>
      <c r="S1914" s="74"/>
      <c r="T1914" s="55" t="s">
        <v>931</v>
      </c>
      <c r="U1914" s="73" t="s">
        <v>351</v>
      </c>
      <c r="V1914" s="74">
        <v>44573</v>
      </c>
      <c r="W1914" s="74">
        <v>44617</v>
      </c>
      <c r="X1914" s="55">
        <v>10186146</v>
      </c>
      <c r="Y1914" s="74" t="s">
        <v>132</v>
      </c>
      <c r="Z1914" s="74"/>
      <c r="AB1914" s="55" t="s">
        <v>132</v>
      </c>
      <c r="AC1914" s="55" t="s">
        <v>132</v>
      </c>
    </row>
    <row r="1915" spans="1:29" ht="13" x14ac:dyDescent="0.15">
      <c r="A1915" s="72" t="str">
        <f t="shared" si="29"/>
        <v>Ofsted Social Care Provider Webpage</v>
      </c>
      <c r="B1915" s="55" t="s">
        <v>3000</v>
      </c>
      <c r="D1915" s="55" t="s">
        <v>373</v>
      </c>
      <c r="E1915" s="74">
        <v>38114</v>
      </c>
      <c r="F1915" s="55" t="s">
        <v>344</v>
      </c>
      <c r="G1915" s="55" t="s">
        <v>360</v>
      </c>
      <c r="H1915" s="55" t="s">
        <v>360</v>
      </c>
      <c r="I1915" s="55" t="s">
        <v>360</v>
      </c>
      <c r="J1915" s="55" t="s">
        <v>360</v>
      </c>
      <c r="K1915" s="55" t="s">
        <v>360</v>
      </c>
      <c r="L1915" s="55" t="s">
        <v>360</v>
      </c>
      <c r="M1915" s="55" t="s">
        <v>136</v>
      </c>
      <c r="N1915" s="55" t="s">
        <v>136</v>
      </c>
      <c r="O1915" s="55" t="s">
        <v>255</v>
      </c>
      <c r="P1915" s="55" t="s">
        <v>609</v>
      </c>
      <c r="Q1915" s="55" t="s">
        <v>380</v>
      </c>
      <c r="R1915" s="55">
        <v>6</v>
      </c>
      <c r="S1915" s="74" t="s">
        <v>332</v>
      </c>
      <c r="T1915" s="55" t="s">
        <v>3001</v>
      </c>
      <c r="U1915" s="73" t="s">
        <v>351</v>
      </c>
      <c r="V1915" s="74">
        <v>44306</v>
      </c>
      <c r="W1915" s="74">
        <v>44343</v>
      </c>
      <c r="X1915" s="55">
        <v>10187192</v>
      </c>
      <c r="Y1915" s="74" t="s">
        <v>132</v>
      </c>
      <c r="Z1915" s="74"/>
      <c r="AB1915" s="55" t="s">
        <v>132</v>
      </c>
      <c r="AC1915" s="55" t="s">
        <v>132</v>
      </c>
    </row>
    <row r="1916" spans="1:29" ht="13" x14ac:dyDescent="0.15">
      <c r="A1916" s="72" t="str">
        <f t="shared" si="29"/>
        <v>Ofsted Social Care Provider Webpage</v>
      </c>
      <c r="B1916" s="55" t="s">
        <v>3002</v>
      </c>
      <c r="D1916" s="55" t="s">
        <v>479</v>
      </c>
      <c r="E1916" s="74">
        <v>37895</v>
      </c>
      <c r="F1916" s="55" t="s">
        <v>344</v>
      </c>
      <c r="G1916" s="55" t="s">
        <v>360</v>
      </c>
      <c r="H1916" s="55" t="s">
        <v>360</v>
      </c>
      <c r="I1916" s="55" t="s">
        <v>360</v>
      </c>
      <c r="J1916" s="55" t="s">
        <v>360</v>
      </c>
      <c r="K1916" s="55" t="s">
        <v>360</v>
      </c>
      <c r="L1916" s="55" t="s">
        <v>360</v>
      </c>
      <c r="M1916" s="55" t="s">
        <v>136</v>
      </c>
      <c r="N1916" s="55" t="s">
        <v>136</v>
      </c>
      <c r="O1916" s="55" t="s">
        <v>185</v>
      </c>
      <c r="P1916" s="55" t="s">
        <v>3003</v>
      </c>
      <c r="Q1916" s="55" t="s">
        <v>362</v>
      </c>
      <c r="R1916" s="55">
        <v>42</v>
      </c>
      <c r="S1916" s="74"/>
      <c r="T1916" s="55" t="s">
        <v>3004</v>
      </c>
      <c r="U1916" s="73" t="s">
        <v>351</v>
      </c>
      <c r="V1916" s="74">
        <v>44503</v>
      </c>
      <c r="W1916" s="74">
        <v>44531</v>
      </c>
      <c r="X1916" s="55">
        <v>10185526</v>
      </c>
      <c r="Y1916" s="74" t="s">
        <v>132</v>
      </c>
      <c r="Z1916" s="74"/>
      <c r="AB1916" s="55" t="s">
        <v>132</v>
      </c>
      <c r="AC1916" s="55" t="s">
        <v>132</v>
      </c>
    </row>
    <row r="1917" spans="1:29" ht="13" x14ac:dyDescent="0.15">
      <c r="A1917" s="72" t="str">
        <f t="shared" si="29"/>
        <v>Ofsted Social Care Provider Webpage</v>
      </c>
      <c r="B1917" s="55" t="s">
        <v>3005</v>
      </c>
      <c r="D1917" s="55" t="s">
        <v>373</v>
      </c>
      <c r="E1917" s="74">
        <v>38114</v>
      </c>
      <c r="F1917" s="55" t="s">
        <v>344</v>
      </c>
      <c r="G1917" s="55" t="s">
        <v>360</v>
      </c>
      <c r="H1917" s="55" t="s">
        <v>360</v>
      </c>
      <c r="I1917" s="55" t="s">
        <v>360</v>
      </c>
      <c r="J1917" s="55" t="s">
        <v>360</v>
      </c>
      <c r="K1917" s="55" t="s">
        <v>360</v>
      </c>
      <c r="L1917" s="55" t="s">
        <v>360</v>
      </c>
      <c r="M1917" s="55" t="s">
        <v>136</v>
      </c>
      <c r="N1917" s="55" t="s">
        <v>136</v>
      </c>
      <c r="O1917" s="55" t="s">
        <v>255</v>
      </c>
      <c r="P1917" s="55" t="s">
        <v>583</v>
      </c>
      <c r="Q1917" s="55" t="s">
        <v>380</v>
      </c>
      <c r="R1917" s="55">
        <v>6</v>
      </c>
      <c r="S1917" s="74"/>
      <c r="T1917" s="55" t="s">
        <v>3001</v>
      </c>
      <c r="U1917" s="73" t="s">
        <v>351</v>
      </c>
      <c r="V1917" s="74">
        <v>44384</v>
      </c>
      <c r="W1917" s="74">
        <v>44414</v>
      </c>
      <c r="X1917" s="55">
        <v>10185240</v>
      </c>
      <c r="Y1917" s="74" t="s">
        <v>130</v>
      </c>
      <c r="Z1917" s="74"/>
      <c r="AB1917" s="55" t="s">
        <v>130</v>
      </c>
      <c r="AC1917" s="55" t="s">
        <v>146</v>
      </c>
    </row>
    <row r="1918" spans="1:29" ht="13" x14ac:dyDescent="0.15">
      <c r="A1918" s="72" t="str">
        <f t="shared" si="29"/>
        <v>Ofsted Social Care Provider Webpage</v>
      </c>
      <c r="B1918" s="55" t="s">
        <v>3006</v>
      </c>
      <c r="D1918" s="55" t="s">
        <v>373</v>
      </c>
      <c r="E1918" s="74">
        <v>37610</v>
      </c>
      <c r="F1918" s="55" t="s">
        <v>344</v>
      </c>
      <c r="G1918" s="55" t="s">
        <v>360</v>
      </c>
      <c r="H1918" s="55" t="s">
        <v>360</v>
      </c>
      <c r="I1918" s="55" t="s">
        <v>360</v>
      </c>
      <c r="J1918" s="55" t="s">
        <v>360</v>
      </c>
      <c r="K1918" s="55" t="s">
        <v>360</v>
      </c>
      <c r="L1918" s="55" t="s">
        <v>360</v>
      </c>
      <c r="M1918" s="55" t="s">
        <v>136</v>
      </c>
      <c r="N1918" s="55" t="s">
        <v>136</v>
      </c>
      <c r="O1918" s="55" t="s">
        <v>185</v>
      </c>
      <c r="P1918" s="55" t="s">
        <v>1292</v>
      </c>
      <c r="Q1918" s="55" t="s">
        <v>350</v>
      </c>
      <c r="R1918" s="55">
        <v>5</v>
      </c>
      <c r="S1918" s="74"/>
      <c r="T1918" s="55" t="s">
        <v>2994</v>
      </c>
      <c r="U1918" s="73" t="s">
        <v>351</v>
      </c>
      <c r="V1918" s="74">
        <v>44608</v>
      </c>
      <c r="W1918" s="74">
        <v>44652</v>
      </c>
      <c r="X1918" s="55">
        <v>10187339</v>
      </c>
      <c r="Y1918" s="55" t="s">
        <v>132</v>
      </c>
      <c r="Z1918" s="74"/>
      <c r="AB1918" s="55" t="s">
        <v>132</v>
      </c>
      <c r="AC1918" s="55" t="s">
        <v>132</v>
      </c>
    </row>
    <row r="1919" spans="1:29" ht="13" x14ac:dyDescent="0.15">
      <c r="A1919" s="72" t="str">
        <f t="shared" si="29"/>
        <v>Ofsted Social Care Provider Webpage</v>
      </c>
      <c r="B1919" s="55" t="s">
        <v>3007</v>
      </c>
      <c r="D1919" s="55" t="s">
        <v>373</v>
      </c>
      <c r="E1919" s="74">
        <v>38302</v>
      </c>
      <c r="F1919" s="55" t="s">
        <v>344</v>
      </c>
      <c r="G1919" s="55" t="s">
        <v>360</v>
      </c>
      <c r="H1919" s="55" t="s">
        <v>360</v>
      </c>
      <c r="I1919" s="55" t="s">
        <v>360</v>
      </c>
      <c r="J1919" s="55" t="s">
        <v>360</v>
      </c>
      <c r="K1919" s="55" t="s">
        <v>360</v>
      </c>
      <c r="L1919" s="55" t="s">
        <v>360</v>
      </c>
      <c r="M1919" s="55" t="s">
        <v>150</v>
      </c>
      <c r="N1919" s="55" t="s">
        <v>150</v>
      </c>
      <c r="O1919" s="55" t="s">
        <v>283</v>
      </c>
      <c r="P1919" s="55" t="s">
        <v>1333</v>
      </c>
      <c r="Q1919" s="55" t="s">
        <v>380</v>
      </c>
      <c r="R1919" s="55">
        <v>6</v>
      </c>
      <c r="S1919" s="74" t="s">
        <v>332</v>
      </c>
      <c r="T1919" s="55" t="s">
        <v>3008</v>
      </c>
      <c r="U1919" s="73" t="s">
        <v>351</v>
      </c>
      <c r="V1919" s="74">
        <v>44334</v>
      </c>
      <c r="W1919" s="74">
        <v>44413</v>
      </c>
      <c r="X1919" s="55">
        <v>10185416</v>
      </c>
      <c r="Y1919" s="74" t="s">
        <v>132</v>
      </c>
      <c r="Z1919" s="74"/>
      <c r="AB1919" s="55" t="s">
        <v>132</v>
      </c>
      <c r="AC1919" s="55" t="s">
        <v>132</v>
      </c>
    </row>
    <row r="1920" spans="1:29" ht="13" x14ac:dyDescent="0.15">
      <c r="A1920" s="72" t="str">
        <f t="shared" si="29"/>
        <v>Ofsted Social Care Provider Webpage</v>
      </c>
      <c r="B1920" s="55" t="s">
        <v>3009</v>
      </c>
      <c r="D1920" s="55" t="s">
        <v>373</v>
      </c>
      <c r="E1920" s="74">
        <v>38120</v>
      </c>
      <c r="F1920" s="55" t="s">
        <v>344</v>
      </c>
      <c r="G1920" s="55" t="s">
        <v>360</v>
      </c>
      <c r="H1920" s="55" t="s">
        <v>360</v>
      </c>
      <c r="I1920" s="55" t="s">
        <v>360</v>
      </c>
      <c r="J1920" s="55" t="s">
        <v>360</v>
      </c>
      <c r="K1920" s="55" t="s">
        <v>360</v>
      </c>
      <c r="L1920" s="55" t="s">
        <v>360</v>
      </c>
      <c r="M1920" s="55" t="s">
        <v>150</v>
      </c>
      <c r="N1920" s="55" t="s">
        <v>150</v>
      </c>
      <c r="O1920" s="55" t="s">
        <v>291</v>
      </c>
      <c r="P1920" s="55" t="s">
        <v>486</v>
      </c>
      <c r="Q1920" s="55" t="s">
        <v>380</v>
      </c>
      <c r="R1920" s="55">
        <v>5</v>
      </c>
      <c r="S1920" s="74" t="s">
        <v>332</v>
      </c>
      <c r="T1920" s="55" t="s">
        <v>3010</v>
      </c>
      <c r="U1920" s="73" t="s">
        <v>351</v>
      </c>
      <c r="V1920" s="74">
        <v>44377</v>
      </c>
      <c r="W1920" s="74">
        <v>44442</v>
      </c>
      <c r="X1920" s="55">
        <v>10185332</v>
      </c>
      <c r="Y1920" s="74" t="s">
        <v>140</v>
      </c>
      <c r="Z1920" s="74"/>
      <c r="AB1920" s="55" t="s">
        <v>140</v>
      </c>
      <c r="AC1920" s="55" t="s">
        <v>140</v>
      </c>
    </row>
    <row r="1921" spans="1:29" ht="13" x14ac:dyDescent="0.15">
      <c r="A1921" s="72" t="str">
        <f t="shared" si="29"/>
        <v>Ofsted Social Care Provider Webpage</v>
      </c>
      <c r="B1921" s="55" t="s">
        <v>3011</v>
      </c>
      <c r="D1921" s="55" t="s">
        <v>373</v>
      </c>
      <c r="E1921" s="74">
        <v>37530</v>
      </c>
      <c r="F1921" s="55" t="s">
        <v>344</v>
      </c>
      <c r="G1921" s="55" t="s">
        <v>360</v>
      </c>
      <c r="H1921" s="55" t="s">
        <v>360</v>
      </c>
      <c r="I1921" s="55" t="s">
        <v>360</v>
      </c>
      <c r="J1921" s="55" t="s">
        <v>360</v>
      </c>
      <c r="K1921" s="55" t="s">
        <v>360</v>
      </c>
      <c r="L1921" s="55" t="s">
        <v>360</v>
      </c>
      <c r="M1921" s="55" t="s">
        <v>150</v>
      </c>
      <c r="N1921" s="55" t="s">
        <v>150</v>
      </c>
      <c r="O1921" s="55" t="s">
        <v>203</v>
      </c>
      <c r="P1921" s="55" t="s">
        <v>1268</v>
      </c>
      <c r="Q1921" s="55" t="s">
        <v>350</v>
      </c>
      <c r="R1921" s="55">
        <v>9</v>
      </c>
      <c r="S1921" s="74"/>
      <c r="T1921" s="55" t="s">
        <v>2891</v>
      </c>
      <c r="U1921" s="73" t="s">
        <v>351</v>
      </c>
      <c r="V1921" s="74">
        <v>44405</v>
      </c>
      <c r="W1921" s="74">
        <v>44442</v>
      </c>
      <c r="X1921" s="55">
        <v>10186798</v>
      </c>
      <c r="Y1921" s="74" t="s">
        <v>132</v>
      </c>
      <c r="Z1921" s="74"/>
      <c r="AB1921" s="55" t="s">
        <v>132</v>
      </c>
      <c r="AC1921" s="55" t="s">
        <v>132</v>
      </c>
    </row>
    <row r="1922" spans="1:29" ht="13" x14ac:dyDescent="0.15">
      <c r="A1922" s="72" t="str">
        <f t="shared" si="29"/>
        <v>Ofsted Social Care Provider Webpage</v>
      </c>
      <c r="B1922" s="55" t="s">
        <v>3012</v>
      </c>
      <c r="D1922" s="55" t="s">
        <v>373</v>
      </c>
      <c r="E1922" s="74">
        <v>37697</v>
      </c>
      <c r="F1922" s="55" t="s">
        <v>344</v>
      </c>
      <c r="G1922" s="55" t="s">
        <v>360</v>
      </c>
      <c r="H1922" s="55" t="s">
        <v>360</v>
      </c>
      <c r="I1922" s="55" t="s">
        <v>360</v>
      </c>
      <c r="J1922" s="55" t="s">
        <v>360</v>
      </c>
      <c r="K1922" s="55" t="s">
        <v>360</v>
      </c>
      <c r="L1922" s="55" t="s">
        <v>360</v>
      </c>
      <c r="M1922" s="55" t="s">
        <v>378</v>
      </c>
      <c r="N1922" s="55" t="s">
        <v>170</v>
      </c>
      <c r="O1922" s="55" t="s">
        <v>193</v>
      </c>
      <c r="P1922" s="55" t="s">
        <v>193</v>
      </c>
      <c r="Q1922" s="55" t="s">
        <v>380</v>
      </c>
      <c r="R1922" s="55">
        <v>8</v>
      </c>
      <c r="S1922" s="74"/>
      <c r="T1922" s="55" t="s">
        <v>1353</v>
      </c>
      <c r="U1922" s="73" t="s">
        <v>351</v>
      </c>
      <c r="V1922" s="74">
        <v>44355</v>
      </c>
      <c r="W1922" s="74">
        <v>44398</v>
      </c>
      <c r="X1922" s="55">
        <v>10185685</v>
      </c>
      <c r="Y1922" s="74" t="s">
        <v>140</v>
      </c>
      <c r="Z1922" s="74"/>
      <c r="AB1922" s="55" t="s">
        <v>132</v>
      </c>
      <c r="AC1922" s="55" t="s">
        <v>140</v>
      </c>
    </row>
    <row r="1923" spans="1:29" ht="13" x14ac:dyDescent="0.15">
      <c r="A1923" s="72" t="str">
        <f t="shared" si="29"/>
        <v>Ofsted Social Care Provider Webpage</v>
      </c>
      <c r="B1923" s="55" t="s">
        <v>3013</v>
      </c>
      <c r="D1923" s="55" t="s">
        <v>389</v>
      </c>
      <c r="E1923" s="74">
        <v>37649</v>
      </c>
      <c r="F1923" s="55" t="s">
        <v>344</v>
      </c>
      <c r="G1923" s="55" t="s">
        <v>3014</v>
      </c>
      <c r="H1923" s="55" t="s">
        <v>3015</v>
      </c>
      <c r="I1923" s="55" t="s">
        <v>3016</v>
      </c>
      <c r="J1923" s="55" t="s">
        <v>3017</v>
      </c>
      <c r="L1923" s="55" t="s">
        <v>3018</v>
      </c>
      <c r="M1923" s="55" t="s">
        <v>136</v>
      </c>
      <c r="N1923" s="55" t="s">
        <v>136</v>
      </c>
      <c r="O1923" s="55" t="s">
        <v>154</v>
      </c>
      <c r="P1923" s="55" t="s">
        <v>1818</v>
      </c>
      <c r="Q1923" s="55" t="s">
        <v>362</v>
      </c>
      <c r="R1923" s="55"/>
      <c r="S1923" s="74"/>
      <c r="T1923" s="55" t="s">
        <v>367</v>
      </c>
      <c r="U1923" s="73" t="s">
        <v>351</v>
      </c>
      <c r="V1923" s="74">
        <v>43395</v>
      </c>
      <c r="W1923" s="74">
        <v>43418</v>
      </c>
      <c r="X1923" s="55">
        <v>10045927</v>
      </c>
      <c r="Y1923" s="74" t="s">
        <v>132</v>
      </c>
      <c r="Z1923" s="74"/>
      <c r="AB1923" s="55" t="s">
        <v>132</v>
      </c>
      <c r="AC1923" s="55" t="s">
        <v>132</v>
      </c>
    </row>
    <row r="1924" spans="1:29" ht="13" x14ac:dyDescent="0.15">
      <c r="A1924" s="72" t="str">
        <f t="shared" si="29"/>
        <v>Ofsted Social Care Provider Webpage</v>
      </c>
      <c r="B1924" s="55" t="s">
        <v>3019</v>
      </c>
      <c r="D1924" s="55" t="s">
        <v>373</v>
      </c>
      <c r="E1924" s="74">
        <v>37523</v>
      </c>
      <c r="F1924" s="55" t="s">
        <v>344</v>
      </c>
      <c r="G1924" s="55" t="s">
        <v>360</v>
      </c>
      <c r="H1924" s="55" t="s">
        <v>360</v>
      </c>
      <c r="I1924" s="55" t="s">
        <v>360</v>
      </c>
      <c r="J1924" s="55" t="s">
        <v>360</v>
      </c>
      <c r="K1924" s="55" t="s">
        <v>360</v>
      </c>
      <c r="L1924" s="55" t="s">
        <v>360</v>
      </c>
      <c r="M1924" s="55" t="s">
        <v>378</v>
      </c>
      <c r="N1924" s="55" t="s">
        <v>134</v>
      </c>
      <c r="O1924" s="55" t="s">
        <v>158</v>
      </c>
      <c r="P1924" s="55" t="s">
        <v>912</v>
      </c>
      <c r="Q1924" s="55" t="s">
        <v>350</v>
      </c>
      <c r="R1924" s="55">
        <v>6</v>
      </c>
      <c r="S1924" s="74"/>
      <c r="T1924" s="55" t="s">
        <v>574</v>
      </c>
      <c r="U1924" s="73" t="s">
        <v>351</v>
      </c>
      <c r="V1924" s="74">
        <v>44606</v>
      </c>
      <c r="W1924" s="74">
        <v>44652</v>
      </c>
      <c r="X1924" s="55">
        <v>10187163</v>
      </c>
      <c r="Y1924" s="74" t="s">
        <v>132</v>
      </c>
      <c r="Z1924" s="74"/>
      <c r="AB1924" s="55" t="s">
        <v>132</v>
      </c>
      <c r="AC1924" s="55" t="s">
        <v>132</v>
      </c>
    </row>
    <row r="1925" spans="1:29" ht="13" x14ac:dyDescent="0.15">
      <c r="A1925" s="72" t="str">
        <f t="shared" si="29"/>
        <v>Ofsted Social Care Provider Webpage</v>
      </c>
      <c r="B1925" s="55" t="s">
        <v>3020</v>
      </c>
      <c r="D1925" s="55" t="s">
        <v>389</v>
      </c>
      <c r="E1925" s="74">
        <v>37866</v>
      </c>
      <c r="F1925" s="55" t="s">
        <v>344</v>
      </c>
      <c r="G1925" s="55" t="s">
        <v>3021</v>
      </c>
      <c r="H1925" s="55" t="s">
        <v>3022</v>
      </c>
      <c r="I1925" s="55" t="s">
        <v>3023</v>
      </c>
      <c r="J1925" s="55" t="s">
        <v>1211</v>
      </c>
      <c r="K1925" s="55" t="s">
        <v>2469</v>
      </c>
      <c r="L1925" s="55" t="s">
        <v>3024</v>
      </c>
      <c r="M1925" s="55" t="s">
        <v>144</v>
      </c>
      <c r="N1925" s="55" t="s">
        <v>144</v>
      </c>
      <c r="O1925" s="55" t="s">
        <v>263</v>
      </c>
      <c r="P1925" s="55" t="s">
        <v>1211</v>
      </c>
      <c r="Q1925" s="55" t="s">
        <v>362</v>
      </c>
      <c r="R1925" s="55"/>
      <c r="S1925" s="74"/>
      <c r="T1925" s="55" t="s">
        <v>2551</v>
      </c>
      <c r="U1925" s="73" t="s">
        <v>351</v>
      </c>
      <c r="V1925" s="74">
        <v>43500</v>
      </c>
      <c r="W1925" s="74">
        <v>43543</v>
      </c>
      <c r="X1925" s="55">
        <v>10046670</v>
      </c>
      <c r="Y1925" s="74" t="s">
        <v>132</v>
      </c>
      <c r="Z1925" s="74"/>
      <c r="AB1925" s="55" t="s">
        <v>132</v>
      </c>
      <c r="AC1925" s="55" t="s">
        <v>132</v>
      </c>
    </row>
    <row r="1926" spans="1:29" ht="13" x14ac:dyDescent="0.15">
      <c r="A1926" s="72" t="str">
        <f t="shared" ref="A1926:A1989" si="30">HYPERLINK(_xlfn.CONCAT("http://reports.ofsted.gov.uk/inspection-reports/find-inspection-report/provider/CARE/",B1926),"Ofsted Social Care Provider Webpage")</f>
        <v>Ofsted Social Care Provider Webpage</v>
      </c>
      <c r="B1926" s="55" t="s">
        <v>3025</v>
      </c>
      <c r="D1926" s="55" t="s">
        <v>373</v>
      </c>
      <c r="E1926" s="74">
        <v>37833</v>
      </c>
      <c r="F1926" s="55" t="s">
        <v>344</v>
      </c>
      <c r="G1926" s="55" t="s">
        <v>360</v>
      </c>
      <c r="H1926" s="55" t="s">
        <v>360</v>
      </c>
      <c r="I1926" s="55" t="s">
        <v>360</v>
      </c>
      <c r="J1926" s="55" t="s">
        <v>360</v>
      </c>
      <c r="K1926" s="55" t="s">
        <v>360</v>
      </c>
      <c r="L1926" s="55" t="s">
        <v>360</v>
      </c>
      <c r="M1926" s="55" t="s">
        <v>150</v>
      </c>
      <c r="N1926" s="55" t="s">
        <v>150</v>
      </c>
      <c r="O1926" s="55" t="s">
        <v>181</v>
      </c>
      <c r="P1926" s="55" t="s">
        <v>2066</v>
      </c>
      <c r="Q1926" s="55" t="s">
        <v>380</v>
      </c>
      <c r="R1926" s="55">
        <v>7</v>
      </c>
      <c r="S1926" s="74"/>
      <c r="T1926" s="55" t="s">
        <v>3026</v>
      </c>
      <c r="U1926" s="73" t="s">
        <v>351</v>
      </c>
      <c r="V1926" s="74">
        <v>43852</v>
      </c>
      <c r="W1926" s="74">
        <v>43887</v>
      </c>
      <c r="X1926" s="55">
        <v>10095522</v>
      </c>
      <c r="Y1926" s="55" t="s">
        <v>132</v>
      </c>
      <c r="Z1926" s="74"/>
      <c r="AB1926" s="55" t="s">
        <v>132</v>
      </c>
      <c r="AC1926" s="55" t="s">
        <v>132</v>
      </c>
    </row>
    <row r="1927" spans="1:29" ht="13" x14ac:dyDescent="0.15">
      <c r="A1927" s="72" t="str">
        <f t="shared" si="30"/>
        <v>Ofsted Social Care Provider Webpage</v>
      </c>
      <c r="B1927" s="55" t="s">
        <v>3027</v>
      </c>
      <c r="D1927" s="55" t="s">
        <v>373</v>
      </c>
      <c r="E1927" s="74">
        <v>37708</v>
      </c>
      <c r="F1927" s="55" t="s">
        <v>344</v>
      </c>
      <c r="G1927" s="55" t="s">
        <v>360</v>
      </c>
      <c r="H1927" s="55" t="s">
        <v>360</v>
      </c>
      <c r="I1927" s="55" t="s">
        <v>360</v>
      </c>
      <c r="J1927" s="55" t="s">
        <v>360</v>
      </c>
      <c r="K1927" s="55" t="s">
        <v>360</v>
      </c>
      <c r="L1927" s="55" t="s">
        <v>360</v>
      </c>
      <c r="M1927" s="55" t="s">
        <v>129</v>
      </c>
      <c r="N1927" s="55" t="s">
        <v>129</v>
      </c>
      <c r="O1927" s="55" t="s">
        <v>260</v>
      </c>
      <c r="P1927" s="55" t="s">
        <v>753</v>
      </c>
      <c r="Q1927" s="55" t="s">
        <v>380</v>
      </c>
      <c r="R1927" s="55">
        <v>5</v>
      </c>
      <c r="S1927" s="74" t="s">
        <v>332</v>
      </c>
      <c r="T1927" s="55" t="s">
        <v>3028</v>
      </c>
      <c r="U1927" s="73" t="s">
        <v>351</v>
      </c>
      <c r="V1927" s="74">
        <v>44391</v>
      </c>
      <c r="W1927" s="74">
        <v>44491</v>
      </c>
      <c r="X1927" s="55">
        <v>10186628</v>
      </c>
      <c r="Y1927" s="74" t="s">
        <v>132</v>
      </c>
      <c r="Z1927" s="74"/>
      <c r="AB1927" s="55" t="s">
        <v>130</v>
      </c>
      <c r="AC1927" s="55" t="s">
        <v>132</v>
      </c>
    </row>
    <row r="1928" spans="1:29" ht="13" x14ac:dyDescent="0.15">
      <c r="A1928" s="72" t="str">
        <f t="shared" si="30"/>
        <v>Ofsted Social Care Provider Webpage</v>
      </c>
      <c r="B1928" s="55" t="s">
        <v>3029</v>
      </c>
      <c r="D1928" s="55" t="s">
        <v>2864</v>
      </c>
      <c r="E1928" s="74">
        <v>37844</v>
      </c>
      <c r="F1928" s="55" t="s">
        <v>344</v>
      </c>
      <c r="G1928" s="55" t="s">
        <v>360</v>
      </c>
      <c r="H1928" s="55" t="s">
        <v>360</v>
      </c>
      <c r="I1928" s="55" t="s">
        <v>360</v>
      </c>
      <c r="J1928" s="55" t="s">
        <v>360</v>
      </c>
      <c r="K1928" s="55" t="s">
        <v>360</v>
      </c>
      <c r="L1928" s="55" t="s">
        <v>360</v>
      </c>
      <c r="M1928" s="55" t="s">
        <v>150</v>
      </c>
      <c r="N1928" s="55" t="s">
        <v>150</v>
      </c>
      <c r="O1928" s="55" t="s">
        <v>181</v>
      </c>
      <c r="P1928" s="55" t="s">
        <v>1142</v>
      </c>
      <c r="Q1928" s="55" t="s">
        <v>380</v>
      </c>
      <c r="R1928" s="55">
        <v>7</v>
      </c>
      <c r="S1928" s="74"/>
      <c r="T1928" s="55" t="s">
        <v>3026</v>
      </c>
      <c r="U1928" s="73" t="s">
        <v>351</v>
      </c>
      <c r="V1928" s="74">
        <v>44544</v>
      </c>
      <c r="W1928" s="74">
        <v>44582</v>
      </c>
      <c r="X1928" s="55">
        <v>10165457</v>
      </c>
      <c r="Y1928" s="55" t="s">
        <v>132</v>
      </c>
      <c r="Z1928" s="74" t="s">
        <v>132</v>
      </c>
      <c r="AA1928" s="55" t="s">
        <v>132</v>
      </c>
      <c r="AB1928" s="55" t="s">
        <v>132</v>
      </c>
      <c r="AC1928" s="55" t="s">
        <v>132</v>
      </c>
    </row>
    <row r="1929" spans="1:29" ht="13" x14ac:dyDescent="0.15">
      <c r="A1929" s="72" t="str">
        <f t="shared" si="30"/>
        <v>Ofsted Social Care Provider Webpage</v>
      </c>
      <c r="B1929" s="55" t="s">
        <v>3030</v>
      </c>
      <c r="D1929" s="55" t="s">
        <v>373</v>
      </c>
      <c r="E1929" s="74">
        <v>37728</v>
      </c>
      <c r="F1929" s="55" t="s">
        <v>344</v>
      </c>
      <c r="G1929" s="55" t="s">
        <v>360</v>
      </c>
      <c r="H1929" s="55" t="s">
        <v>360</v>
      </c>
      <c r="I1929" s="55" t="s">
        <v>360</v>
      </c>
      <c r="J1929" s="55" t="s">
        <v>360</v>
      </c>
      <c r="K1929" s="55" t="s">
        <v>360</v>
      </c>
      <c r="L1929" s="55" t="s">
        <v>360</v>
      </c>
      <c r="M1929" s="55" t="s">
        <v>136</v>
      </c>
      <c r="N1929" s="55" t="s">
        <v>136</v>
      </c>
      <c r="O1929" s="55" t="s">
        <v>154</v>
      </c>
      <c r="P1929" s="55" t="s">
        <v>2290</v>
      </c>
      <c r="Q1929" s="55" t="s">
        <v>380</v>
      </c>
      <c r="R1929" s="55">
        <v>6</v>
      </c>
      <c r="S1929" s="74" t="s">
        <v>332</v>
      </c>
      <c r="T1929" s="55" t="s">
        <v>1687</v>
      </c>
      <c r="U1929" s="73" t="s">
        <v>351</v>
      </c>
      <c r="V1929" s="74">
        <v>44334</v>
      </c>
      <c r="W1929" s="74">
        <v>44369</v>
      </c>
      <c r="X1929" s="55">
        <v>10185386</v>
      </c>
      <c r="Y1929" s="74" t="s">
        <v>132</v>
      </c>
      <c r="Z1929" s="74"/>
      <c r="AB1929" s="55" t="s">
        <v>132</v>
      </c>
      <c r="AC1929" s="55" t="s">
        <v>132</v>
      </c>
    </row>
    <row r="1930" spans="1:29" ht="13" x14ac:dyDescent="0.15">
      <c r="A1930" s="72" t="str">
        <f t="shared" si="30"/>
        <v>Ofsted Social Care Provider Webpage</v>
      </c>
      <c r="B1930" s="55" t="s">
        <v>3031</v>
      </c>
      <c r="D1930" s="55" t="s">
        <v>389</v>
      </c>
      <c r="E1930" s="74">
        <v>37873</v>
      </c>
      <c r="F1930" s="55" t="s">
        <v>344</v>
      </c>
      <c r="G1930" s="55" t="s">
        <v>3032</v>
      </c>
      <c r="H1930" s="55" t="s">
        <v>3033</v>
      </c>
      <c r="I1930" s="55" t="s">
        <v>3034</v>
      </c>
      <c r="J1930" s="55" t="s">
        <v>3035</v>
      </c>
      <c r="K1930" s="55" t="s">
        <v>1746</v>
      </c>
      <c r="L1930" s="55" t="s">
        <v>3036</v>
      </c>
      <c r="M1930" s="55" t="s">
        <v>129</v>
      </c>
      <c r="N1930" s="55" t="s">
        <v>129</v>
      </c>
      <c r="O1930" s="55" t="s">
        <v>192</v>
      </c>
      <c r="P1930" s="55" t="s">
        <v>718</v>
      </c>
      <c r="Q1930" s="55" t="s">
        <v>350</v>
      </c>
      <c r="R1930" s="55"/>
      <c r="S1930" s="74"/>
      <c r="T1930" s="55" t="s">
        <v>3037</v>
      </c>
      <c r="U1930" s="73" t="s">
        <v>351</v>
      </c>
      <c r="V1930" s="74">
        <v>43479</v>
      </c>
      <c r="W1930" s="74">
        <v>43524</v>
      </c>
      <c r="X1930" s="55">
        <v>10045719</v>
      </c>
      <c r="Y1930" s="74" t="s">
        <v>140</v>
      </c>
      <c r="Z1930" s="74"/>
      <c r="AB1930" s="55" t="s">
        <v>140</v>
      </c>
      <c r="AC1930" s="55" t="s">
        <v>140</v>
      </c>
    </row>
    <row r="1931" spans="1:29" ht="13" x14ac:dyDescent="0.15">
      <c r="A1931" s="72" t="str">
        <f t="shared" si="30"/>
        <v>Ofsted Social Care Provider Webpage</v>
      </c>
      <c r="B1931" s="55" t="s">
        <v>3038</v>
      </c>
      <c r="D1931" s="55" t="s">
        <v>373</v>
      </c>
      <c r="E1931" s="74">
        <v>37833</v>
      </c>
      <c r="F1931" s="55" t="s">
        <v>344</v>
      </c>
      <c r="G1931" s="55" t="s">
        <v>360</v>
      </c>
      <c r="H1931" s="55" t="s">
        <v>360</v>
      </c>
      <c r="I1931" s="55" t="s">
        <v>360</v>
      </c>
      <c r="J1931" s="55" t="s">
        <v>360</v>
      </c>
      <c r="K1931" s="55" t="s">
        <v>360</v>
      </c>
      <c r="L1931" s="55" t="s">
        <v>360</v>
      </c>
      <c r="M1931" s="55" t="s">
        <v>150</v>
      </c>
      <c r="N1931" s="55" t="s">
        <v>150</v>
      </c>
      <c r="O1931" s="55" t="s">
        <v>181</v>
      </c>
      <c r="P1931" s="55" t="s">
        <v>626</v>
      </c>
      <c r="Q1931" s="55" t="s">
        <v>380</v>
      </c>
      <c r="R1931" s="55">
        <v>8</v>
      </c>
      <c r="S1931" s="74"/>
      <c r="T1931" s="55" t="s">
        <v>3026</v>
      </c>
      <c r="U1931" s="73" t="s">
        <v>351</v>
      </c>
      <c r="V1931" s="74">
        <v>44455</v>
      </c>
      <c r="W1931" s="74">
        <v>44503</v>
      </c>
      <c r="X1931" s="55">
        <v>10185069</v>
      </c>
      <c r="Y1931" s="74" t="s">
        <v>132</v>
      </c>
      <c r="Z1931" s="74"/>
      <c r="AB1931" s="55" t="s">
        <v>132</v>
      </c>
      <c r="AC1931" s="55" t="s">
        <v>132</v>
      </c>
    </row>
    <row r="1932" spans="1:29" ht="13" x14ac:dyDescent="0.15">
      <c r="A1932" s="72" t="str">
        <f t="shared" si="30"/>
        <v>Ofsted Social Care Provider Webpage</v>
      </c>
      <c r="B1932" s="55" t="s">
        <v>3039</v>
      </c>
      <c r="D1932" s="55" t="s">
        <v>373</v>
      </c>
      <c r="E1932" s="74">
        <v>37847</v>
      </c>
      <c r="F1932" s="55" t="s">
        <v>344</v>
      </c>
      <c r="G1932" s="55" t="s">
        <v>360</v>
      </c>
      <c r="H1932" s="55" t="s">
        <v>360</v>
      </c>
      <c r="I1932" s="55" t="s">
        <v>360</v>
      </c>
      <c r="J1932" s="55" t="s">
        <v>360</v>
      </c>
      <c r="K1932" s="55" t="s">
        <v>360</v>
      </c>
      <c r="L1932" s="55" t="s">
        <v>360</v>
      </c>
      <c r="M1932" s="55" t="s">
        <v>150</v>
      </c>
      <c r="N1932" s="55" t="s">
        <v>150</v>
      </c>
      <c r="O1932" s="55" t="s">
        <v>156</v>
      </c>
      <c r="P1932" s="55" t="s">
        <v>1277</v>
      </c>
      <c r="Q1932" s="55" t="s">
        <v>380</v>
      </c>
      <c r="R1932" s="55">
        <v>6</v>
      </c>
      <c r="S1932" s="74"/>
      <c r="T1932" s="55" t="s">
        <v>1278</v>
      </c>
      <c r="U1932" s="73" t="s">
        <v>351</v>
      </c>
      <c r="V1932" s="74">
        <v>44313</v>
      </c>
      <c r="W1932" s="74">
        <v>44362</v>
      </c>
      <c r="X1932" s="55">
        <v>10187343</v>
      </c>
      <c r="Y1932" s="74" t="s">
        <v>132</v>
      </c>
      <c r="Z1932" s="74"/>
      <c r="AB1932" s="55" t="s">
        <v>132</v>
      </c>
      <c r="AC1932" s="55" t="s">
        <v>132</v>
      </c>
    </row>
    <row r="1933" spans="1:29" ht="13" x14ac:dyDescent="0.15">
      <c r="A1933" s="72" t="str">
        <f t="shared" si="30"/>
        <v>Ofsted Social Care Provider Webpage</v>
      </c>
      <c r="B1933" s="55" t="s">
        <v>3040</v>
      </c>
      <c r="D1933" s="55" t="s">
        <v>373</v>
      </c>
      <c r="E1933" s="74">
        <v>37469</v>
      </c>
      <c r="F1933" s="55" t="s">
        <v>344</v>
      </c>
      <c r="G1933" s="55" t="s">
        <v>360</v>
      </c>
      <c r="H1933" s="55" t="s">
        <v>360</v>
      </c>
      <c r="I1933" s="55" t="s">
        <v>360</v>
      </c>
      <c r="J1933" s="55" t="s">
        <v>360</v>
      </c>
      <c r="K1933" s="55" t="s">
        <v>360</v>
      </c>
      <c r="L1933" s="55" t="s">
        <v>360</v>
      </c>
      <c r="M1933" s="55" t="s">
        <v>172</v>
      </c>
      <c r="N1933" s="55" t="s">
        <v>172</v>
      </c>
      <c r="O1933" s="55" t="s">
        <v>212</v>
      </c>
      <c r="P1933" s="55" t="s">
        <v>547</v>
      </c>
      <c r="Q1933" s="55" t="s">
        <v>362</v>
      </c>
      <c r="R1933" s="55">
        <v>8</v>
      </c>
      <c r="S1933" s="74" t="s">
        <v>332</v>
      </c>
      <c r="T1933" s="55" t="s">
        <v>3041</v>
      </c>
      <c r="U1933" s="73" t="s">
        <v>351</v>
      </c>
      <c r="V1933" s="74">
        <v>44355</v>
      </c>
      <c r="W1933" s="74">
        <v>44377</v>
      </c>
      <c r="X1933" s="55">
        <v>10187257</v>
      </c>
      <c r="Y1933" s="74" t="s">
        <v>132</v>
      </c>
      <c r="Z1933" s="74"/>
      <c r="AB1933" s="55" t="s">
        <v>132</v>
      </c>
      <c r="AC1933" s="55" t="s">
        <v>130</v>
      </c>
    </row>
    <row r="1934" spans="1:29" ht="13" x14ac:dyDescent="0.15">
      <c r="A1934" s="72" t="str">
        <f t="shared" si="30"/>
        <v>Ofsted Social Care Provider Webpage</v>
      </c>
      <c r="B1934" s="55" t="s">
        <v>3042</v>
      </c>
      <c r="D1934" s="55" t="s">
        <v>373</v>
      </c>
      <c r="E1934" s="74">
        <v>37434</v>
      </c>
      <c r="F1934" s="55" t="s">
        <v>344</v>
      </c>
      <c r="G1934" s="55" t="s">
        <v>360</v>
      </c>
      <c r="H1934" s="55" t="s">
        <v>360</v>
      </c>
      <c r="I1934" s="55" t="s">
        <v>360</v>
      </c>
      <c r="J1934" s="55" t="s">
        <v>360</v>
      </c>
      <c r="K1934" s="55" t="s">
        <v>360</v>
      </c>
      <c r="L1934" s="55" t="s">
        <v>360</v>
      </c>
      <c r="M1934" s="55" t="s">
        <v>144</v>
      </c>
      <c r="N1934" s="55" t="s">
        <v>144</v>
      </c>
      <c r="O1934" s="55" t="s">
        <v>163</v>
      </c>
      <c r="P1934" s="55" t="s">
        <v>1587</v>
      </c>
      <c r="Q1934" s="55" t="s">
        <v>350</v>
      </c>
      <c r="R1934" s="55">
        <v>3</v>
      </c>
      <c r="S1934" s="74"/>
      <c r="T1934" s="55" t="s">
        <v>2811</v>
      </c>
      <c r="U1934" s="73" t="s">
        <v>351</v>
      </c>
      <c r="V1934" s="74">
        <v>44308</v>
      </c>
      <c r="W1934" s="74">
        <v>44351</v>
      </c>
      <c r="X1934" s="55">
        <v>10187653</v>
      </c>
      <c r="Y1934" s="74" t="s">
        <v>132</v>
      </c>
      <c r="Z1934" s="74"/>
      <c r="AB1934" s="55" t="s">
        <v>132</v>
      </c>
      <c r="AC1934" s="55" t="s">
        <v>132</v>
      </c>
    </row>
    <row r="1935" spans="1:29" ht="13" x14ac:dyDescent="0.15">
      <c r="A1935" s="72" t="str">
        <f t="shared" si="30"/>
        <v>Ofsted Social Care Provider Webpage</v>
      </c>
      <c r="B1935" s="55" t="s">
        <v>3043</v>
      </c>
      <c r="D1935" s="55" t="s">
        <v>479</v>
      </c>
      <c r="E1935" s="74">
        <v>38217</v>
      </c>
      <c r="F1935" s="55" t="s">
        <v>344</v>
      </c>
      <c r="G1935" s="55" t="s">
        <v>360</v>
      </c>
      <c r="H1935" s="55" t="s">
        <v>360</v>
      </c>
      <c r="I1935" s="55" t="s">
        <v>360</v>
      </c>
      <c r="J1935" s="55" t="s">
        <v>360</v>
      </c>
      <c r="K1935" s="55" t="s">
        <v>360</v>
      </c>
      <c r="L1935" s="55" t="s">
        <v>360</v>
      </c>
      <c r="M1935" s="55" t="s">
        <v>378</v>
      </c>
      <c r="N1935" s="55" t="s">
        <v>134</v>
      </c>
      <c r="O1935" s="55" t="s">
        <v>133</v>
      </c>
      <c r="P1935" s="55" t="s">
        <v>685</v>
      </c>
      <c r="Q1935" s="55" t="s">
        <v>362</v>
      </c>
      <c r="R1935" s="55">
        <v>8</v>
      </c>
      <c r="S1935" s="74"/>
      <c r="T1935" s="55" t="s">
        <v>2804</v>
      </c>
      <c r="U1935" s="73" t="s">
        <v>351</v>
      </c>
      <c r="V1935" s="74">
        <v>43851</v>
      </c>
      <c r="W1935" s="74">
        <v>43894</v>
      </c>
      <c r="X1935" s="55">
        <v>10095720</v>
      </c>
      <c r="Y1935" s="55" t="s">
        <v>140</v>
      </c>
      <c r="Z1935" s="74"/>
      <c r="AB1935" s="55" t="s">
        <v>140</v>
      </c>
      <c r="AC1935" s="55" t="s">
        <v>140</v>
      </c>
    </row>
    <row r="1936" spans="1:29" ht="13" x14ac:dyDescent="0.15">
      <c r="A1936" s="72" t="str">
        <f t="shared" si="30"/>
        <v>Ofsted Social Care Provider Webpage</v>
      </c>
      <c r="B1936" s="55" t="s">
        <v>3044</v>
      </c>
      <c r="D1936" s="55" t="s">
        <v>373</v>
      </c>
      <c r="E1936" s="74">
        <v>37820</v>
      </c>
      <c r="F1936" s="55" t="s">
        <v>344</v>
      </c>
      <c r="G1936" s="55" t="s">
        <v>360</v>
      </c>
      <c r="H1936" s="55" t="s">
        <v>360</v>
      </c>
      <c r="I1936" s="55" t="s">
        <v>360</v>
      </c>
      <c r="J1936" s="55" t="s">
        <v>360</v>
      </c>
      <c r="K1936" s="55" t="s">
        <v>360</v>
      </c>
      <c r="L1936" s="55" t="s">
        <v>360</v>
      </c>
      <c r="M1936" s="55" t="s">
        <v>136</v>
      </c>
      <c r="N1936" s="55" t="s">
        <v>136</v>
      </c>
      <c r="O1936" s="55" t="s">
        <v>176</v>
      </c>
      <c r="P1936" s="55" t="s">
        <v>526</v>
      </c>
      <c r="Q1936" s="55" t="s">
        <v>380</v>
      </c>
      <c r="R1936" s="55">
        <v>9</v>
      </c>
      <c r="S1936" s="74"/>
      <c r="T1936" s="55" t="s">
        <v>2074</v>
      </c>
      <c r="U1936" s="73" t="s">
        <v>351</v>
      </c>
      <c r="V1936" s="74">
        <v>44313</v>
      </c>
      <c r="W1936" s="74">
        <v>44350</v>
      </c>
      <c r="X1936" s="55">
        <v>10187161</v>
      </c>
      <c r="Y1936" s="74" t="s">
        <v>132</v>
      </c>
      <c r="Z1936" s="74"/>
      <c r="AB1936" s="55" t="s">
        <v>132</v>
      </c>
      <c r="AC1936" s="55" t="s">
        <v>132</v>
      </c>
    </row>
    <row r="1937" spans="1:29" ht="13" x14ac:dyDescent="0.15">
      <c r="A1937" s="72" t="str">
        <f t="shared" si="30"/>
        <v>Ofsted Social Care Provider Webpage</v>
      </c>
      <c r="B1937" s="55" t="s">
        <v>3045</v>
      </c>
      <c r="D1937" s="55" t="s">
        <v>373</v>
      </c>
      <c r="E1937" s="74">
        <v>37734</v>
      </c>
      <c r="F1937" s="55" t="s">
        <v>344</v>
      </c>
      <c r="G1937" s="55" t="s">
        <v>360</v>
      </c>
      <c r="H1937" s="55" t="s">
        <v>360</v>
      </c>
      <c r="I1937" s="55" t="s">
        <v>360</v>
      </c>
      <c r="J1937" s="55" t="s">
        <v>360</v>
      </c>
      <c r="K1937" s="55" t="s">
        <v>360</v>
      </c>
      <c r="L1937" s="55" t="s">
        <v>360</v>
      </c>
      <c r="M1937" s="55" t="s">
        <v>378</v>
      </c>
      <c r="N1937" s="55" t="s">
        <v>134</v>
      </c>
      <c r="O1937" s="55" t="s">
        <v>175</v>
      </c>
      <c r="P1937" s="55" t="s">
        <v>678</v>
      </c>
      <c r="Q1937" s="55" t="s">
        <v>362</v>
      </c>
      <c r="R1937" s="55">
        <v>10</v>
      </c>
      <c r="S1937" s="74" t="s">
        <v>332</v>
      </c>
      <c r="T1937" s="55" t="s">
        <v>1049</v>
      </c>
      <c r="U1937" s="73" t="s">
        <v>351</v>
      </c>
      <c r="V1937" s="74">
        <v>43627</v>
      </c>
      <c r="W1937" s="74">
        <v>43651</v>
      </c>
      <c r="X1937" s="55">
        <v>10095473</v>
      </c>
      <c r="Y1937" s="74" t="s">
        <v>132</v>
      </c>
      <c r="Z1937" s="74"/>
      <c r="AB1937" s="55" t="s">
        <v>132</v>
      </c>
      <c r="AC1937" s="55" t="s">
        <v>132</v>
      </c>
    </row>
    <row r="1938" spans="1:29" ht="13" x14ac:dyDescent="0.15">
      <c r="A1938" s="72" t="str">
        <f t="shared" si="30"/>
        <v>Ofsted Social Care Provider Webpage</v>
      </c>
      <c r="B1938" s="55" t="s">
        <v>3046</v>
      </c>
      <c r="D1938" s="55" t="s">
        <v>373</v>
      </c>
      <c r="E1938" s="74">
        <v>37838</v>
      </c>
      <c r="F1938" s="55" t="s">
        <v>344</v>
      </c>
      <c r="G1938" s="55" t="s">
        <v>360</v>
      </c>
      <c r="H1938" s="55" t="s">
        <v>360</v>
      </c>
      <c r="I1938" s="55" t="s">
        <v>360</v>
      </c>
      <c r="J1938" s="55" t="s">
        <v>360</v>
      </c>
      <c r="K1938" s="55" t="s">
        <v>360</v>
      </c>
      <c r="L1938" s="55" t="s">
        <v>360</v>
      </c>
      <c r="M1938" s="55" t="s">
        <v>150</v>
      </c>
      <c r="N1938" s="55" t="s">
        <v>150</v>
      </c>
      <c r="O1938" s="55" t="s">
        <v>153</v>
      </c>
      <c r="P1938" s="55" t="s">
        <v>829</v>
      </c>
      <c r="Q1938" s="55" t="s">
        <v>380</v>
      </c>
      <c r="R1938" s="55">
        <v>5</v>
      </c>
      <c r="S1938" s="74"/>
      <c r="T1938" s="55" t="s">
        <v>3047</v>
      </c>
      <c r="U1938" s="73" t="s">
        <v>351</v>
      </c>
      <c r="V1938" s="74">
        <v>44412</v>
      </c>
      <c r="W1938" s="74">
        <v>44456</v>
      </c>
      <c r="X1938" s="55">
        <v>10187428</v>
      </c>
      <c r="Y1938" s="55" t="s">
        <v>140</v>
      </c>
      <c r="Z1938" s="74"/>
      <c r="AB1938" s="55" t="s">
        <v>140</v>
      </c>
      <c r="AC1938" s="55" t="s">
        <v>132</v>
      </c>
    </row>
    <row r="1939" spans="1:29" ht="13" x14ac:dyDescent="0.15">
      <c r="A1939" s="72" t="str">
        <f t="shared" si="30"/>
        <v>Ofsted Social Care Provider Webpage</v>
      </c>
      <c r="B1939" s="55" t="s">
        <v>3048</v>
      </c>
      <c r="D1939" s="55" t="s">
        <v>373</v>
      </c>
      <c r="E1939" s="74">
        <v>38036</v>
      </c>
      <c r="F1939" s="55" t="s">
        <v>344</v>
      </c>
      <c r="G1939" s="55" t="s">
        <v>360</v>
      </c>
      <c r="H1939" s="55" t="s">
        <v>360</v>
      </c>
      <c r="I1939" s="55" t="s">
        <v>360</v>
      </c>
      <c r="J1939" s="55" t="s">
        <v>360</v>
      </c>
      <c r="K1939" s="55" t="s">
        <v>360</v>
      </c>
      <c r="L1939" s="55" t="s">
        <v>360</v>
      </c>
      <c r="M1939" s="55" t="s">
        <v>136</v>
      </c>
      <c r="N1939" s="55" t="s">
        <v>136</v>
      </c>
      <c r="O1939" s="55" t="s">
        <v>288</v>
      </c>
      <c r="P1939" s="55" t="s">
        <v>1487</v>
      </c>
      <c r="Q1939" s="55" t="s">
        <v>380</v>
      </c>
      <c r="R1939" s="55">
        <v>7</v>
      </c>
      <c r="S1939" s="74" t="s">
        <v>332</v>
      </c>
      <c r="T1939" s="55" t="s">
        <v>1389</v>
      </c>
      <c r="U1939" s="73" t="s">
        <v>351</v>
      </c>
      <c r="V1939" s="74">
        <v>44614</v>
      </c>
      <c r="W1939" s="74">
        <v>44656</v>
      </c>
      <c r="X1939" s="55">
        <v>10185403</v>
      </c>
      <c r="Y1939" s="74" t="s">
        <v>146</v>
      </c>
      <c r="Z1939" s="74"/>
      <c r="AB1939" s="55" t="s">
        <v>146</v>
      </c>
      <c r="AC1939" s="55" t="s">
        <v>146</v>
      </c>
    </row>
    <row r="1940" spans="1:29" ht="13" x14ac:dyDescent="0.15">
      <c r="A1940" s="72" t="str">
        <f t="shared" si="30"/>
        <v>Ofsted Social Care Provider Webpage</v>
      </c>
      <c r="B1940" s="55" t="s">
        <v>3049</v>
      </c>
      <c r="D1940" s="55" t="s">
        <v>373</v>
      </c>
      <c r="E1940" s="74">
        <v>37931</v>
      </c>
      <c r="F1940" s="55" t="s">
        <v>344</v>
      </c>
      <c r="G1940" s="55" t="s">
        <v>360</v>
      </c>
      <c r="H1940" s="55" t="s">
        <v>360</v>
      </c>
      <c r="I1940" s="55" t="s">
        <v>360</v>
      </c>
      <c r="J1940" s="55" t="s">
        <v>360</v>
      </c>
      <c r="K1940" s="55" t="s">
        <v>360</v>
      </c>
      <c r="L1940" s="55" t="s">
        <v>360</v>
      </c>
      <c r="M1940" s="55" t="s">
        <v>129</v>
      </c>
      <c r="N1940" s="55" t="s">
        <v>129</v>
      </c>
      <c r="O1940" s="55" t="s">
        <v>279</v>
      </c>
      <c r="P1940" s="55" t="s">
        <v>1078</v>
      </c>
      <c r="Q1940" s="55" t="s">
        <v>350</v>
      </c>
      <c r="R1940" s="55">
        <v>4</v>
      </c>
      <c r="S1940" s="74"/>
      <c r="T1940" s="55" t="s">
        <v>3050</v>
      </c>
      <c r="U1940" s="73" t="s">
        <v>351</v>
      </c>
      <c r="V1940" s="74">
        <v>44362</v>
      </c>
      <c r="W1940" s="74">
        <v>44403</v>
      </c>
      <c r="X1940" s="55">
        <v>10185078</v>
      </c>
      <c r="Y1940" s="55" t="s">
        <v>132</v>
      </c>
      <c r="Z1940" s="74"/>
      <c r="AB1940" s="55" t="s">
        <v>132</v>
      </c>
      <c r="AC1940" s="55" t="s">
        <v>130</v>
      </c>
    </row>
    <row r="1941" spans="1:29" ht="13" x14ac:dyDescent="0.15">
      <c r="A1941" s="72" t="str">
        <f t="shared" si="30"/>
        <v>Ofsted Social Care Provider Webpage</v>
      </c>
      <c r="B1941" s="55" t="s">
        <v>3051</v>
      </c>
      <c r="D1941" s="55" t="s">
        <v>373</v>
      </c>
      <c r="E1941" s="74">
        <v>37964</v>
      </c>
      <c r="F1941" s="55" t="s">
        <v>344</v>
      </c>
      <c r="G1941" s="55" t="s">
        <v>360</v>
      </c>
      <c r="H1941" s="55" t="s">
        <v>360</v>
      </c>
      <c r="I1941" s="55" t="s">
        <v>360</v>
      </c>
      <c r="J1941" s="55" t="s">
        <v>360</v>
      </c>
      <c r="K1941" s="55" t="s">
        <v>360</v>
      </c>
      <c r="L1941" s="55" t="s">
        <v>360</v>
      </c>
      <c r="M1941" s="55" t="s">
        <v>144</v>
      </c>
      <c r="N1941" s="55" t="s">
        <v>144</v>
      </c>
      <c r="O1941" s="55" t="s">
        <v>276</v>
      </c>
      <c r="P1941" s="55" t="s">
        <v>3052</v>
      </c>
      <c r="Q1941" s="55" t="s">
        <v>380</v>
      </c>
      <c r="R1941" s="55">
        <v>5</v>
      </c>
      <c r="S1941" s="74"/>
      <c r="T1941" s="55" t="s">
        <v>3053</v>
      </c>
      <c r="U1941" s="73" t="s">
        <v>351</v>
      </c>
      <c r="V1941" s="74">
        <v>44481</v>
      </c>
      <c r="W1941" s="74">
        <v>44511</v>
      </c>
      <c r="X1941" s="55">
        <v>10186602</v>
      </c>
      <c r="Y1941" s="74" t="s">
        <v>132</v>
      </c>
      <c r="Z1941" s="74"/>
      <c r="AB1941" s="55" t="s">
        <v>132</v>
      </c>
      <c r="AC1941" s="55" t="s">
        <v>130</v>
      </c>
    </row>
    <row r="1942" spans="1:29" ht="13" x14ac:dyDescent="0.15">
      <c r="A1942" s="72" t="str">
        <f t="shared" si="30"/>
        <v>Ofsted Social Care Provider Webpage</v>
      </c>
      <c r="B1942" s="55" t="s">
        <v>3054</v>
      </c>
      <c r="D1942" s="55" t="s">
        <v>373</v>
      </c>
      <c r="E1942" s="74">
        <v>38022</v>
      </c>
      <c r="F1942" s="55" t="s">
        <v>344</v>
      </c>
      <c r="G1942" s="55" t="s">
        <v>360</v>
      </c>
      <c r="H1942" s="55" t="s">
        <v>360</v>
      </c>
      <c r="I1942" s="55" t="s">
        <v>360</v>
      </c>
      <c r="J1942" s="55" t="s">
        <v>360</v>
      </c>
      <c r="K1942" s="55" t="s">
        <v>360</v>
      </c>
      <c r="L1942" s="55" t="s">
        <v>360</v>
      </c>
      <c r="M1942" s="55" t="s">
        <v>144</v>
      </c>
      <c r="N1942" s="55" t="s">
        <v>144</v>
      </c>
      <c r="O1942" s="55" t="s">
        <v>276</v>
      </c>
      <c r="P1942" s="55" t="s">
        <v>3052</v>
      </c>
      <c r="Q1942" s="55" t="s">
        <v>380</v>
      </c>
      <c r="R1942" s="55">
        <v>6</v>
      </c>
      <c r="S1942" s="74"/>
      <c r="T1942" s="55" t="s">
        <v>3053</v>
      </c>
      <c r="U1942" s="73" t="s">
        <v>351</v>
      </c>
      <c r="V1942" s="74">
        <v>44404</v>
      </c>
      <c r="W1942" s="74">
        <v>44440</v>
      </c>
      <c r="X1942" s="55">
        <v>10186155</v>
      </c>
      <c r="Y1942" s="74" t="s">
        <v>130</v>
      </c>
      <c r="Z1942" s="74"/>
      <c r="AB1942" s="55" t="s">
        <v>130</v>
      </c>
      <c r="AC1942" s="55" t="s">
        <v>130</v>
      </c>
    </row>
    <row r="1943" spans="1:29" ht="13" x14ac:dyDescent="0.15">
      <c r="A1943" s="72" t="str">
        <f t="shared" si="30"/>
        <v>Ofsted Social Care Provider Webpage</v>
      </c>
      <c r="B1943" s="55" t="s">
        <v>3055</v>
      </c>
      <c r="D1943" s="55" t="s">
        <v>373</v>
      </c>
      <c r="E1943" s="74">
        <v>37942</v>
      </c>
      <c r="F1943" s="55" t="s">
        <v>344</v>
      </c>
      <c r="G1943" s="55" t="s">
        <v>360</v>
      </c>
      <c r="H1943" s="55" t="s">
        <v>360</v>
      </c>
      <c r="I1943" s="55" t="s">
        <v>360</v>
      </c>
      <c r="J1943" s="55" t="s">
        <v>360</v>
      </c>
      <c r="K1943" s="55" t="s">
        <v>360</v>
      </c>
      <c r="L1943" s="55" t="s">
        <v>360</v>
      </c>
      <c r="M1943" s="55" t="s">
        <v>129</v>
      </c>
      <c r="N1943" s="55" t="s">
        <v>129</v>
      </c>
      <c r="O1943" s="55" t="s">
        <v>197</v>
      </c>
      <c r="P1943" s="55" t="s">
        <v>3056</v>
      </c>
      <c r="Q1943" s="55" t="s">
        <v>380</v>
      </c>
      <c r="R1943" s="55">
        <v>13</v>
      </c>
      <c r="S1943" s="74"/>
      <c r="T1943" s="55" t="s">
        <v>3057</v>
      </c>
      <c r="U1943" s="73" t="s">
        <v>351</v>
      </c>
      <c r="V1943" s="74">
        <v>44573</v>
      </c>
      <c r="W1943" s="74">
        <v>44603</v>
      </c>
      <c r="X1943" s="55">
        <v>10185448</v>
      </c>
      <c r="Y1943" s="74" t="s">
        <v>132</v>
      </c>
      <c r="Z1943" s="74"/>
      <c r="AB1943" s="55" t="s">
        <v>132</v>
      </c>
      <c r="AC1943" s="55" t="s">
        <v>132</v>
      </c>
    </row>
    <row r="1944" spans="1:29" ht="13" x14ac:dyDescent="0.15">
      <c r="A1944" s="72" t="str">
        <f t="shared" si="30"/>
        <v>Ofsted Social Care Provider Webpage</v>
      </c>
      <c r="B1944" s="55" t="s">
        <v>3058</v>
      </c>
      <c r="D1944" s="55" t="s">
        <v>373</v>
      </c>
      <c r="E1944" s="74">
        <v>37788</v>
      </c>
      <c r="F1944" s="55" t="s">
        <v>344</v>
      </c>
      <c r="G1944" s="55" t="s">
        <v>360</v>
      </c>
      <c r="H1944" s="55" t="s">
        <v>360</v>
      </c>
      <c r="I1944" s="55" t="s">
        <v>360</v>
      </c>
      <c r="J1944" s="55" t="s">
        <v>360</v>
      </c>
      <c r="K1944" s="55" t="s">
        <v>360</v>
      </c>
      <c r="L1944" s="55" t="s">
        <v>360</v>
      </c>
      <c r="M1944" s="55" t="s">
        <v>142</v>
      </c>
      <c r="N1944" s="55" t="s">
        <v>142</v>
      </c>
      <c r="O1944" s="55" t="s">
        <v>265</v>
      </c>
      <c r="P1944" s="55" t="s">
        <v>540</v>
      </c>
      <c r="Q1944" s="55" t="s">
        <v>380</v>
      </c>
      <c r="R1944" s="55">
        <v>6</v>
      </c>
      <c r="S1944" s="74" t="s">
        <v>332</v>
      </c>
      <c r="T1944" s="55" t="s">
        <v>1067</v>
      </c>
      <c r="U1944" s="73" t="s">
        <v>351</v>
      </c>
      <c r="V1944" s="74">
        <v>44419</v>
      </c>
      <c r="W1944" s="74">
        <v>44456</v>
      </c>
      <c r="X1944" s="55">
        <v>10187585</v>
      </c>
      <c r="Y1944" s="74" t="s">
        <v>132</v>
      </c>
      <c r="Z1944" s="74"/>
      <c r="AB1944" s="55" t="s">
        <v>132</v>
      </c>
      <c r="AC1944" s="55" t="s">
        <v>132</v>
      </c>
    </row>
    <row r="1945" spans="1:29" ht="13" x14ac:dyDescent="0.15">
      <c r="A1945" s="72" t="str">
        <f t="shared" si="30"/>
        <v>Ofsted Social Care Provider Webpage</v>
      </c>
      <c r="B1945" s="55" t="s">
        <v>3059</v>
      </c>
      <c r="D1945" s="55" t="s">
        <v>373</v>
      </c>
      <c r="E1945" s="74">
        <v>37834</v>
      </c>
      <c r="F1945" s="55" t="s">
        <v>344</v>
      </c>
      <c r="G1945" s="55" t="s">
        <v>360</v>
      </c>
      <c r="H1945" s="55" t="s">
        <v>360</v>
      </c>
      <c r="I1945" s="55" t="s">
        <v>360</v>
      </c>
      <c r="J1945" s="55" t="s">
        <v>360</v>
      </c>
      <c r="K1945" s="55" t="s">
        <v>360</v>
      </c>
      <c r="L1945" s="55" t="s">
        <v>360</v>
      </c>
      <c r="M1945" s="55" t="s">
        <v>129</v>
      </c>
      <c r="N1945" s="55" t="s">
        <v>129</v>
      </c>
      <c r="O1945" s="55" t="s">
        <v>198</v>
      </c>
      <c r="P1945" s="55" t="s">
        <v>1287</v>
      </c>
      <c r="Q1945" s="55" t="s">
        <v>380</v>
      </c>
      <c r="R1945" s="55">
        <v>6</v>
      </c>
      <c r="S1945" s="74"/>
      <c r="T1945" s="55" t="s">
        <v>3060</v>
      </c>
      <c r="U1945" s="73" t="s">
        <v>351</v>
      </c>
      <c r="V1945" s="74">
        <v>44531</v>
      </c>
      <c r="W1945" s="74">
        <v>44586</v>
      </c>
      <c r="X1945" s="55">
        <v>10187498</v>
      </c>
      <c r="Y1945" s="74" t="s">
        <v>140</v>
      </c>
      <c r="Z1945" s="74"/>
      <c r="AB1945" s="55" t="s">
        <v>140</v>
      </c>
      <c r="AC1945" s="55" t="s">
        <v>140</v>
      </c>
    </row>
    <row r="1946" spans="1:29" ht="13" x14ac:dyDescent="0.15">
      <c r="A1946" s="72" t="str">
        <f t="shared" si="30"/>
        <v>Ofsted Social Care Provider Webpage</v>
      </c>
      <c r="B1946" s="55" t="s">
        <v>3061</v>
      </c>
      <c r="D1946" s="55" t="s">
        <v>373</v>
      </c>
      <c r="E1946" s="74">
        <v>37795</v>
      </c>
      <c r="F1946" s="55" t="s">
        <v>344</v>
      </c>
      <c r="G1946" s="55" t="s">
        <v>360</v>
      </c>
      <c r="H1946" s="55" t="s">
        <v>360</v>
      </c>
      <c r="I1946" s="55" t="s">
        <v>360</v>
      </c>
      <c r="J1946" s="55" t="s">
        <v>360</v>
      </c>
      <c r="K1946" s="55" t="s">
        <v>360</v>
      </c>
      <c r="L1946" s="55" t="s">
        <v>360</v>
      </c>
      <c r="M1946" s="55" t="s">
        <v>378</v>
      </c>
      <c r="N1946" s="55" t="s">
        <v>170</v>
      </c>
      <c r="O1946" s="55" t="s">
        <v>257</v>
      </c>
      <c r="P1946" s="55" t="s">
        <v>3062</v>
      </c>
      <c r="Q1946" s="55" t="s">
        <v>380</v>
      </c>
      <c r="R1946" s="55">
        <v>6</v>
      </c>
      <c r="S1946" s="74"/>
      <c r="T1946" s="55" t="s">
        <v>1184</v>
      </c>
      <c r="U1946" s="73" t="s">
        <v>351</v>
      </c>
      <c r="V1946" s="74">
        <v>44539</v>
      </c>
      <c r="W1946" s="74">
        <v>44588</v>
      </c>
      <c r="X1946" s="55">
        <v>10185957</v>
      </c>
      <c r="Y1946" s="74" t="s">
        <v>140</v>
      </c>
      <c r="Z1946" s="74"/>
      <c r="AB1946" s="55" t="s">
        <v>132</v>
      </c>
      <c r="AC1946" s="55" t="s">
        <v>140</v>
      </c>
    </row>
    <row r="1947" spans="1:29" ht="13" x14ac:dyDescent="0.15">
      <c r="A1947" s="72" t="str">
        <f t="shared" si="30"/>
        <v>Ofsted Social Care Provider Webpage</v>
      </c>
      <c r="B1947" s="55" t="s">
        <v>3063</v>
      </c>
      <c r="D1947" s="55" t="s">
        <v>373</v>
      </c>
      <c r="E1947" s="74">
        <v>37783</v>
      </c>
      <c r="F1947" s="55" t="s">
        <v>344</v>
      </c>
      <c r="G1947" s="55" t="s">
        <v>360</v>
      </c>
      <c r="H1947" s="55" t="s">
        <v>360</v>
      </c>
      <c r="I1947" s="55" t="s">
        <v>360</v>
      </c>
      <c r="J1947" s="55" t="s">
        <v>360</v>
      </c>
      <c r="K1947" s="55" t="s">
        <v>360</v>
      </c>
      <c r="L1947" s="55" t="s">
        <v>360</v>
      </c>
      <c r="M1947" s="55" t="s">
        <v>378</v>
      </c>
      <c r="N1947" s="55" t="s">
        <v>170</v>
      </c>
      <c r="O1947" s="55" t="s">
        <v>257</v>
      </c>
      <c r="P1947" s="55" t="s">
        <v>1183</v>
      </c>
      <c r="Q1947" s="55" t="s">
        <v>380</v>
      </c>
      <c r="R1947" s="55">
        <v>5</v>
      </c>
      <c r="S1947" s="74"/>
      <c r="T1947" s="55" t="s">
        <v>1184</v>
      </c>
      <c r="U1947" s="73" t="s">
        <v>351</v>
      </c>
      <c r="V1947" s="74">
        <v>44509</v>
      </c>
      <c r="W1947" s="74">
        <v>44544</v>
      </c>
      <c r="X1947" s="55">
        <v>10187529</v>
      </c>
      <c r="Y1947" s="74" t="s">
        <v>130</v>
      </c>
      <c r="Z1947" s="74"/>
      <c r="AB1947" s="55" t="s">
        <v>130</v>
      </c>
      <c r="AC1947" s="55" t="s">
        <v>130</v>
      </c>
    </row>
    <row r="1948" spans="1:29" ht="13" x14ac:dyDescent="0.15">
      <c r="A1948" s="72" t="str">
        <f t="shared" si="30"/>
        <v>Ofsted Social Care Provider Webpage</v>
      </c>
      <c r="B1948" s="55" t="s">
        <v>3064</v>
      </c>
      <c r="D1948" s="55" t="s">
        <v>389</v>
      </c>
      <c r="E1948" s="74">
        <v>37547</v>
      </c>
      <c r="F1948" s="55" t="s">
        <v>344</v>
      </c>
      <c r="G1948" s="55" t="s">
        <v>3065</v>
      </c>
      <c r="H1948" s="55" t="s">
        <v>3066</v>
      </c>
      <c r="I1948" s="55" t="s">
        <v>3067</v>
      </c>
      <c r="J1948" s="55" t="s">
        <v>3068</v>
      </c>
      <c r="K1948" s="55" t="s">
        <v>185</v>
      </c>
      <c r="L1948" s="55" t="s">
        <v>3069</v>
      </c>
      <c r="M1948" s="55" t="s">
        <v>136</v>
      </c>
      <c r="N1948" s="55" t="s">
        <v>136</v>
      </c>
      <c r="O1948" s="55" t="s">
        <v>185</v>
      </c>
      <c r="P1948" s="55" t="s">
        <v>898</v>
      </c>
      <c r="Q1948" s="55" t="s">
        <v>350</v>
      </c>
      <c r="R1948" s="55"/>
      <c r="S1948" s="74"/>
      <c r="T1948" s="55" t="s">
        <v>3070</v>
      </c>
      <c r="U1948" s="73" t="s">
        <v>351</v>
      </c>
      <c r="V1948" s="74">
        <v>44613</v>
      </c>
      <c r="W1948" s="74">
        <v>44672</v>
      </c>
      <c r="X1948" s="55">
        <v>10183418</v>
      </c>
      <c r="Y1948" s="74" t="s">
        <v>132</v>
      </c>
      <c r="Z1948" s="74"/>
      <c r="AB1948" s="55" t="s">
        <v>132</v>
      </c>
      <c r="AC1948" s="55" t="s">
        <v>132</v>
      </c>
    </row>
    <row r="1949" spans="1:29" ht="13" x14ac:dyDescent="0.15">
      <c r="A1949" s="72" t="str">
        <f t="shared" si="30"/>
        <v>Ofsted Social Care Provider Webpage</v>
      </c>
      <c r="B1949" s="55" t="s">
        <v>3071</v>
      </c>
      <c r="D1949" s="55" t="s">
        <v>479</v>
      </c>
      <c r="E1949" s="74">
        <v>38042</v>
      </c>
      <c r="F1949" s="55" t="s">
        <v>344</v>
      </c>
      <c r="G1949" s="55" t="s">
        <v>360</v>
      </c>
      <c r="H1949" s="55" t="s">
        <v>360</v>
      </c>
      <c r="I1949" s="55" t="s">
        <v>360</v>
      </c>
      <c r="J1949" s="55" t="s">
        <v>360</v>
      </c>
      <c r="K1949" s="55" t="s">
        <v>360</v>
      </c>
      <c r="L1949" s="55" t="s">
        <v>360</v>
      </c>
      <c r="M1949" s="55" t="s">
        <v>144</v>
      </c>
      <c r="N1949" s="55" t="s">
        <v>144</v>
      </c>
      <c r="O1949" s="55" t="s">
        <v>168</v>
      </c>
      <c r="P1949" s="55" t="s">
        <v>834</v>
      </c>
      <c r="Q1949" s="55" t="s">
        <v>350</v>
      </c>
      <c r="R1949" s="55">
        <v>8</v>
      </c>
      <c r="S1949" s="74"/>
      <c r="T1949" s="55" t="s">
        <v>3072</v>
      </c>
      <c r="U1949" s="73" t="s">
        <v>351</v>
      </c>
      <c r="V1949" s="74">
        <v>44411</v>
      </c>
      <c r="W1949" s="74">
        <v>44453</v>
      </c>
      <c r="X1949" s="55">
        <v>10185727</v>
      </c>
      <c r="Y1949" s="74" t="s">
        <v>140</v>
      </c>
      <c r="Z1949" s="74"/>
      <c r="AB1949" s="55" t="s">
        <v>140</v>
      </c>
      <c r="AC1949" s="55" t="s">
        <v>140</v>
      </c>
    </row>
    <row r="1950" spans="1:29" ht="13" x14ac:dyDescent="0.15">
      <c r="A1950" s="72" t="str">
        <f t="shared" si="30"/>
        <v>Ofsted Social Care Provider Webpage</v>
      </c>
      <c r="B1950" s="55" t="s">
        <v>3073</v>
      </c>
      <c r="C1950" s="55">
        <v>131975</v>
      </c>
      <c r="D1950" s="55" t="s">
        <v>413</v>
      </c>
      <c r="E1950" s="74">
        <v>37447</v>
      </c>
      <c r="F1950" s="55" t="s">
        <v>344</v>
      </c>
      <c r="G1950" s="55" t="s">
        <v>3074</v>
      </c>
      <c r="H1950" s="55" t="s">
        <v>3074</v>
      </c>
      <c r="I1950" s="55" t="s">
        <v>3075</v>
      </c>
      <c r="J1950" s="55" t="s">
        <v>3076</v>
      </c>
      <c r="K1950" s="55" t="s">
        <v>255</v>
      </c>
      <c r="L1950" s="55" t="s">
        <v>3077</v>
      </c>
      <c r="M1950" s="55" t="s">
        <v>136</v>
      </c>
      <c r="N1950" s="55" t="s">
        <v>136</v>
      </c>
      <c r="O1950" s="55" t="s">
        <v>255</v>
      </c>
      <c r="P1950" s="55" t="s">
        <v>609</v>
      </c>
      <c r="Q1950" s="55" t="s">
        <v>350</v>
      </c>
      <c r="R1950" s="55">
        <v>20</v>
      </c>
      <c r="S1950" s="74"/>
      <c r="T1950" s="55" t="s">
        <v>450</v>
      </c>
      <c r="U1950" s="73" t="s">
        <v>351</v>
      </c>
      <c r="V1950" s="74">
        <v>43893</v>
      </c>
      <c r="W1950" s="74">
        <v>43943</v>
      </c>
      <c r="X1950" s="55">
        <v>10099095</v>
      </c>
      <c r="Y1950" s="74" t="s">
        <v>130</v>
      </c>
      <c r="Z1950" s="74"/>
      <c r="AB1950" s="55" t="s">
        <v>130</v>
      </c>
      <c r="AC1950" s="55" t="s">
        <v>130</v>
      </c>
    </row>
    <row r="1951" spans="1:29" ht="13" x14ac:dyDescent="0.15">
      <c r="A1951" s="72" t="str">
        <f t="shared" si="30"/>
        <v>Ofsted Social Care Provider Webpage</v>
      </c>
      <c r="B1951" s="55" t="s">
        <v>3078</v>
      </c>
      <c r="C1951" s="55">
        <v>131016</v>
      </c>
      <c r="D1951" s="55" t="s">
        <v>413</v>
      </c>
      <c r="E1951" s="74">
        <v>37447</v>
      </c>
      <c r="F1951" s="55" t="s">
        <v>344</v>
      </c>
      <c r="G1951" s="55" t="s">
        <v>3079</v>
      </c>
      <c r="H1951" s="55" t="s">
        <v>1333</v>
      </c>
      <c r="I1951" s="55" t="s">
        <v>3080</v>
      </c>
      <c r="J1951" s="55" t="s">
        <v>3081</v>
      </c>
      <c r="K1951" s="55" t="s">
        <v>255</v>
      </c>
      <c r="L1951" s="55" t="s">
        <v>3082</v>
      </c>
      <c r="M1951" s="55" t="s">
        <v>136</v>
      </c>
      <c r="N1951" s="55" t="s">
        <v>136</v>
      </c>
      <c r="O1951" s="55" t="s">
        <v>255</v>
      </c>
      <c r="P1951" s="55" t="s">
        <v>609</v>
      </c>
      <c r="Q1951" s="55" t="s">
        <v>350</v>
      </c>
      <c r="R1951" s="55">
        <v>8</v>
      </c>
      <c r="S1951" s="74"/>
      <c r="T1951" s="55" t="s">
        <v>450</v>
      </c>
      <c r="U1951" s="73" t="s">
        <v>351</v>
      </c>
      <c r="V1951" s="74">
        <v>44502</v>
      </c>
      <c r="W1951" s="74">
        <v>44538</v>
      </c>
      <c r="X1951" s="55">
        <v>10183573</v>
      </c>
      <c r="Y1951" s="74" t="s">
        <v>130</v>
      </c>
      <c r="Z1951" s="74"/>
      <c r="AB1951" s="55" t="s">
        <v>130</v>
      </c>
      <c r="AC1951" s="55" t="s">
        <v>130</v>
      </c>
    </row>
    <row r="1952" spans="1:29" ht="13" x14ac:dyDescent="0.15">
      <c r="A1952" s="72" t="str">
        <f t="shared" si="30"/>
        <v>Ofsted Social Care Provider Webpage</v>
      </c>
      <c r="B1952" s="55" t="s">
        <v>3083</v>
      </c>
      <c r="D1952" s="55" t="s">
        <v>373</v>
      </c>
      <c r="E1952" s="74">
        <v>37711</v>
      </c>
      <c r="F1952" s="55" t="s">
        <v>344</v>
      </c>
      <c r="G1952" s="55" t="s">
        <v>360</v>
      </c>
      <c r="H1952" s="55" t="s">
        <v>360</v>
      </c>
      <c r="I1952" s="55" t="s">
        <v>360</v>
      </c>
      <c r="J1952" s="55" t="s">
        <v>360</v>
      </c>
      <c r="K1952" s="55" t="s">
        <v>360</v>
      </c>
      <c r="L1952" s="55" t="s">
        <v>360</v>
      </c>
      <c r="M1952" s="55" t="s">
        <v>142</v>
      </c>
      <c r="N1952" s="55" t="s">
        <v>142</v>
      </c>
      <c r="O1952" s="55" t="s">
        <v>166</v>
      </c>
      <c r="P1952" s="55" t="s">
        <v>1476</v>
      </c>
      <c r="Q1952" s="55" t="s">
        <v>380</v>
      </c>
      <c r="R1952" s="55">
        <v>4</v>
      </c>
      <c r="S1952" s="74" t="s">
        <v>332</v>
      </c>
      <c r="T1952" s="55" t="s">
        <v>1302</v>
      </c>
      <c r="U1952" s="73" t="s">
        <v>351</v>
      </c>
      <c r="V1952" s="74">
        <v>44341</v>
      </c>
      <c r="W1952" s="74">
        <v>44371</v>
      </c>
      <c r="X1952" s="55">
        <v>10187670</v>
      </c>
      <c r="Y1952" s="74" t="s">
        <v>132</v>
      </c>
      <c r="Z1952" s="74"/>
      <c r="AB1952" s="55" t="s">
        <v>132</v>
      </c>
      <c r="AC1952" s="55" t="s">
        <v>132</v>
      </c>
    </row>
    <row r="1953" spans="1:29" ht="13" x14ac:dyDescent="0.15">
      <c r="A1953" s="72" t="str">
        <f t="shared" si="30"/>
        <v>Ofsted Social Care Provider Webpage</v>
      </c>
      <c r="B1953" s="55" t="s">
        <v>3084</v>
      </c>
      <c r="C1953" s="55">
        <v>123920</v>
      </c>
      <c r="D1953" s="55" t="s">
        <v>413</v>
      </c>
      <c r="E1953" s="74">
        <v>37448</v>
      </c>
      <c r="F1953" s="55" t="s">
        <v>344</v>
      </c>
      <c r="G1953" s="55" t="s">
        <v>3085</v>
      </c>
      <c r="H1953" s="55" t="s">
        <v>3086</v>
      </c>
      <c r="I1953" s="55" t="s">
        <v>3087</v>
      </c>
      <c r="J1953" s="55" t="s">
        <v>3088</v>
      </c>
      <c r="K1953" s="55" t="s">
        <v>255</v>
      </c>
      <c r="L1953" s="55" t="s">
        <v>3089</v>
      </c>
      <c r="M1953" s="55" t="s">
        <v>136</v>
      </c>
      <c r="N1953" s="55" t="s">
        <v>136</v>
      </c>
      <c r="O1953" s="55" t="s">
        <v>255</v>
      </c>
      <c r="P1953" s="55" t="s">
        <v>609</v>
      </c>
      <c r="Q1953" s="55" t="s">
        <v>362</v>
      </c>
      <c r="R1953" s="55">
        <v>23</v>
      </c>
      <c r="S1953" s="74"/>
      <c r="U1953" s="73" t="s">
        <v>351</v>
      </c>
      <c r="V1953" s="74">
        <v>44487</v>
      </c>
      <c r="W1953" s="74">
        <v>44524</v>
      </c>
      <c r="X1953" s="55">
        <v>10183579</v>
      </c>
      <c r="Y1953" s="74" t="s">
        <v>132</v>
      </c>
      <c r="Z1953" s="74"/>
      <c r="AB1953" s="55" t="s">
        <v>132</v>
      </c>
      <c r="AC1953" s="55" t="s">
        <v>132</v>
      </c>
    </row>
    <row r="1954" spans="1:29" ht="13" x14ac:dyDescent="0.15">
      <c r="A1954" s="72" t="str">
        <f t="shared" si="30"/>
        <v>Ofsted Social Care Provider Webpage</v>
      </c>
      <c r="B1954" s="55" t="s">
        <v>3090</v>
      </c>
      <c r="D1954" s="55" t="s">
        <v>373</v>
      </c>
      <c r="E1954" s="74">
        <v>37994</v>
      </c>
      <c r="F1954" s="55" t="s">
        <v>344</v>
      </c>
      <c r="G1954" s="55" t="s">
        <v>360</v>
      </c>
      <c r="H1954" s="55" t="s">
        <v>360</v>
      </c>
      <c r="I1954" s="55" t="s">
        <v>360</v>
      </c>
      <c r="J1954" s="55" t="s">
        <v>360</v>
      </c>
      <c r="K1954" s="55" t="s">
        <v>360</v>
      </c>
      <c r="L1954" s="55" t="s">
        <v>360</v>
      </c>
      <c r="M1954" s="55" t="s">
        <v>138</v>
      </c>
      <c r="N1954" s="55" t="s">
        <v>138</v>
      </c>
      <c r="O1954" s="55" t="s">
        <v>216</v>
      </c>
      <c r="P1954" s="55" t="s">
        <v>1968</v>
      </c>
      <c r="Q1954" s="55" t="s">
        <v>380</v>
      </c>
      <c r="R1954" s="55">
        <v>5</v>
      </c>
      <c r="S1954" s="74" t="s">
        <v>332</v>
      </c>
      <c r="T1954" s="55" t="s">
        <v>3091</v>
      </c>
      <c r="U1954" s="73" t="s">
        <v>351</v>
      </c>
      <c r="V1954" s="74">
        <v>44299</v>
      </c>
      <c r="W1954" s="74">
        <v>44335</v>
      </c>
      <c r="X1954" s="55">
        <v>10186275</v>
      </c>
      <c r="Y1954" s="74" t="s">
        <v>132</v>
      </c>
      <c r="Z1954" s="74"/>
      <c r="AB1954" s="55" t="s">
        <v>132</v>
      </c>
      <c r="AC1954" s="55" t="s">
        <v>132</v>
      </c>
    </row>
    <row r="1955" spans="1:29" ht="13" x14ac:dyDescent="0.15">
      <c r="A1955" s="72" t="str">
        <f t="shared" si="30"/>
        <v>Ofsted Social Care Provider Webpage</v>
      </c>
      <c r="B1955" s="55" t="s">
        <v>3092</v>
      </c>
      <c r="D1955" s="55" t="s">
        <v>373</v>
      </c>
      <c r="E1955" s="74">
        <v>38006</v>
      </c>
      <c r="F1955" s="55" t="s">
        <v>344</v>
      </c>
      <c r="G1955" s="55" t="s">
        <v>360</v>
      </c>
      <c r="H1955" s="55" t="s">
        <v>360</v>
      </c>
      <c r="I1955" s="55" t="s">
        <v>360</v>
      </c>
      <c r="J1955" s="55" t="s">
        <v>360</v>
      </c>
      <c r="K1955" s="55" t="s">
        <v>360</v>
      </c>
      <c r="L1955" s="55" t="s">
        <v>360</v>
      </c>
      <c r="M1955" s="55" t="s">
        <v>378</v>
      </c>
      <c r="N1955" s="55" t="s">
        <v>134</v>
      </c>
      <c r="O1955" s="55" t="s">
        <v>225</v>
      </c>
      <c r="P1955" s="55" t="s">
        <v>1667</v>
      </c>
      <c r="Q1955" s="55" t="s">
        <v>380</v>
      </c>
      <c r="R1955" s="55">
        <v>11</v>
      </c>
      <c r="S1955" s="74" t="s">
        <v>332</v>
      </c>
      <c r="T1955" s="55" t="s">
        <v>1668</v>
      </c>
      <c r="U1955" s="73" t="s">
        <v>351</v>
      </c>
      <c r="V1955" s="74">
        <v>44391</v>
      </c>
      <c r="W1955" s="74">
        <v>44441</v>
      </c>
      <c r="X1955" s="55">
        <v>10185544</v>
      </c>
      <c r="Y1955" s="74" t="s">
        <v>132</v>
      </c>
      <c r="Z1955" s="74"/>
      <c r="AB1955" s="55" t="s">
        <v>132</v>
      </c>
      <c r="AC1955" s="55" t="s">
        <v>130</v>
      </c>
    </row>
    <row r="1956" spans="1:29" ht="13" x14ac:dyDescent="0.15">
      <c r="A1956" s="72" t="str">
        <f t="shared" si="30"/>
        <v>Ofsted Social Care Provider Webpage</v>
      </c>
      <c r="B1956" s="55" t="s">
        <v>3093</v>
      </c>
      <c r="D1956" s="55" t="s">
        <v>373</v>
      </c>
      <c r="E1956" s="74">
        <v>38125</v>
      </c>
      <c r="F1956" s="55" t="s">
        <v>344</v>
      </c>
      <c r="G1956" s="55" t="s">
        <v>360</v>
      </c>
      <c r="H1956" s="55" t="s">
        <v>360</v>
      </c>
      <c r="I1956" s="55" t="s">
        <v>360</v>
      </c>
      <c r="J1956" s="55" t="s">
        <v>360</v>
      </c>
      <c r="K1956" s="55" t="s">
        <v>360</v>
      </c>
      <c r="L1956" s="55" t="s">
        <v>360</v>
      </c>
      <c r="M1956" s="55" t="s">
        <v>378</v>
      </c>
      <c r="N1956" s="55" t="s">
        <v>134</v>
      </c>
      <c r="O1956" s="55" t="s">
        <v>226</v>
      </c>
      <c r="P1956" s="55" t="s">
        <v>3094</v>
      </c>
      <c r="Q1956" s="55" t="s">
        <v>380</v>
      </c>
      <c r="R1956" s="55">
        <v>6</v>
      </c>
      <c r="S1956" s="74" t="s">
        <v>332</v>
      </c>
      <c r="T1956" s="55" t="s">
        <v>3095</v>
      </c>
      <c r="U1956" s="73" t="s">
        <v>351</v>
      </c>
      <c r="V1956" s="74">
        <v>44480</v>
      </c>
      <c r="W1956" s="74">
        <v>44505</v>
      </c>
      <c r="X1956" s="55">
        <v>10187176</v>
      </c>
      <c r="Y1956" s="74" t="s">
        <v>140</v>
      </c>
      <c r="Z1956" s="74"/>
      <c r="AB1956" s="55" t="s">
        <v>140</v>
      </c>
      <c r="AC1956" s="55" t="s">
        <v>140</v>
      </c>
    </row>
    <row r="1957" spans="1:29" ht="13" x14ac:dyDescent="0.15">
      <c r="A1957" s="72" t="str">
        <f t="shared" si="30"/>
        <v>Ofsted Social Care Provider Webpage</v>
      </c>
      <c r="B1957" s="55" t="s">
        <v>3096</v>
      </c>
      <c r="D1957" s="55" t="s">
        <v>373</v>
      </c>
      <c r="E1957" s="74">
        <v>37960</v>
      </c>
      <c r="F1957" s="55" t="s">
        <v>344</v>
      </c>
      <c r="G1957" s="55" t="s">
        <v>360</v>
      </c>
      <c r="H1957" s="55" t="s">
        <v>360</v>
      </c>
      <c r="I1957" s="55" t="s">
        <v>360</v>
      </c>
      <c r="J1957" s="55" t="s">
        <v>360</v>
      </c>
      <c r="K1957" s="55" t="s">
        <v>360</v>
      </c>
      <c r="L1957" s="55" t="s">
        <v>360</v>
      </c>
      <c r="M1957" s="55" t="s">
        <v>150</v>
      </c>
      <c r="N1957" s="55" t="s">
        <v>150</v>
      </c>
      <c r="O1957" s="55" t="s">
        <v>190</v>
      </c>
      <c r="P1957" s="55" t="s">
        <v>1428</v>
      </c>
      <c r="Q1957" s="55" t="s">
        <v>380</v>
      </c>
      <c r="R1957" s="55">
        <v>5</v>
      </c>
      <c r="S1957" s="74"/>
      <c r="T1957" s="55" t="s">
        <v>967</v>
      </c>
      <c r="U1957" s="73" t="s">
        <v>351</v>
      </c>
      <c r="V1957" s="74">
        <v>44312</v>
      </c>
      <c r="W1957" s="74">
        <v>44371</v>
      </c>
      <c r="X1957" s="55">
        <v>10187280</v>
      </c>
      <c r="Y1957" s="74" t="s">
        <v>132</v>
      </c>
      <c r="Z1957" s="74"/>
      <c r="AB1957" s="55" t="s">
        <v>132</v>
      </c>
      <c r="AC1957" s="55" t="s">
        <v>130</v>
      </c>
    </row>
    <row r="1958" spans="1:29" ht="13" x14ac:dyDescent="0.15">
      <c r="A1958" s="72" t="str">
        <f t="shared" si="30"/>
        <v>Ofsted Social Care Provider Webpage</v>
      </c>
      <c r="B1958" s="55" t="s">
        <v>3097</v>
      </c>
      <c r="D1958" s="55" t="s">
        <v>389</v>
      </c>
      <c r="E1958" s="74">
        <v>38077</v>
      </c>
      <c r="F1958" s="55" t="s">
        <v>344</v>
      </c>
      <c r="G1958" s="55" t="s">
        <v>3098</v>
      </c>
      <c r="H1958" s="55" t="s">
        <v>3098</v>
      </c>
      <c r="I1958" s="55" t="s">
        <v>3099</v>
      </c>
      <c r="J1958" s="55" t="s">
        <v>3100</v>
      </c>
      <c r="K1958" s="55" t="s">
        <v>3101</v>
      </c>
      <c r="L1958" s="55" t="s">
        <v>3102</v>
      </c>
      <c r="M1958" s="55" t="s">
        <v>378</v>
      </c>
      <c r="N1958" s="55" t="s">
        <v>134</v>
      </c>
      <c r="O1958" s="55" t="s">
        <v>225</v>
      </c>
      <c r="P1958" s="55" t="s">
        <v>1667</v>
      </c>
      <c r="Q1958" s="55" t="s">
        <v>350</v>
      </c>
      <c r="R1958" s="55"/>
      <c r="S1958" s="74"/>
      <c r="T1958" s="55" t="s">
        <v>3103</v>
      </c>
      <c r="U1958" s="73" t="s">
        <v>351</v>
      </c>
      <c r="V1958" s="74">
        <v>42905</v>
      </c>
      <c r="W1958" s="74">
        <v>42971</v>
      </c>
      <c r="X1958" s="55">
        <v>10021605</v>
      </c>
      <c r="Y1958" s="74" t="s">
        <v>140</v>
      </c>
      <c r="Z1958" s="74"/>
      <c r="AB1958" s="55" t="s">
        <v>132</v>
      </c>
      <c r="AC1958" s="55" t="s">
        <v>132</v>
      </c>
    </row>
    <row r="1959" spans="1:29" ht="13" x14ac:dyDescent="0.15">
      <c r="A1959" s="72" t="str">
        <f t="shared" si="30"/>
        <v>Ofsted Social Care Provider Webpage</v>
      </c>
      <c r="B1959" s="55" t="s">
        <v>3104</v>
      </c>
      <c r="D1959" s="55" t="s">
        <v>389</v>
      </c>
      <c r="E1959" s="74">
        <v>37928</v>
      </c>
      <c r="F1959" s="55" t="s">
        <v>344</v>
      </c>
      <c r="G1959" s="55" t="s">
        <v>3105</v>
      </c>
      <c r="H1959" s="55" t="s">
        <v>3106</v>
      </c>
      <c r="I1959" s="55" t="s">
        <v>3107</v>
      </c>
      <c r="J1959" s="55" t="s">
        <v>3108</v>
      </c>
      <c r="L1959" s="55" t="s">
        <v>3109</v>
      </c>
      <c r="M1959" s="55" t="s">
        <v>144</v>
      </c>
      <c r="N1959" s="55" t="s">
        <v>144</v>
      </c>
      <c r="O1959" s="55" t="s">
        <v>147</v>
      </c>
      <c r="P1959" s="55" t="s">
        <v>387</v>
      </c>
      <c r="Q1959" s="55" t="s">
        <v>350</v>
      </c>
      <c r="R1959" s="55"/>
      <c r="S1959" s="74"/>
      <c r="T1959" s="55" t="s">
        <v>3110</v>
      </c>
      <c r="U1959" s="73" t="s">
        <v>351</v>
      </c>
      <c r="V1959" s="74">
        <v>43374</v>
      </c>
      <c r="W1959" s="74">
        <v>43405</v>
      </c>
      <c r="X1959" s="55">
        <v>10046663</v>
      </c>
      <c r="Y1959" s="74" t="s">
        <v>140</v>
      </c>
      <c r="Z1959" s="74"/>
      <c r="AB1959" s="55" t="s">
        <v>140</v>
      </c>
      <c r="AC1959" s="55" t="s">
        <v>140</v>
      </c>
    </row>
    <row r="1960" spans="1:29" ht="13" x14ac:dyDescent="0.15">
      <c r="A1960" s="72" t="str">
        <f t="shared" si="30"/>
        <v>Ofsted Social Care Provider Webpage</v>
      </c>
      <c r="B1960" s="55" t="s">
        <v>3111</v>
      </c>
      <c r="D1960" s="55" t="s">
        <v>479</v>
      </c>
      <c r="E1960" s="74">
        <v>38022</v>
      </c>
      <c r="F1960" s="55" t="s">
        <v>344</v>
      </c>
      <c r="G1960" s="55" t="s">
        <v>360</v>
      </c>
      <c r="H1960" s="55" t="s">
        <v>360</v>
      </c>
      <c r="I1960" s="55" t="s">
        <v>360</v>
      </c>
      <c r="J1960" s="55" t="s">
        <v>360</v>
      </c>
      <c r="K1960" s="55" t="s">
        <v>360</v>
      </c>
      <c r="L1960" s="55" t="s">
        <v>360</v>
      </c>
      <c r="M1960" s="55" t="s">
        <v>144</v>
      </c>
      <c r="N1960" s="55" t="s">
        <v>144</v>
      </c>
      <c r="O1960" s="55" t="s">
        <v>168</v>
      </c>
      <c r="P1960" s="55" t="s">
        <v>834</v>
      </c>
      <c r="Q1960" s="55" t="s">
        <v>350</v>
      </c>
      <c r="R1960" s="55">
        <v>12</v>
      </c>
      <c r="S1960" s="74"/>
      <c r="T1960" s="55" t="s">
        <v>3072</v>
      </c>
      <c r="U1960" s="73" t="s">
        <v>351</v>
      </c>
      <c r="V1960" s="74">
        <v>44306</v>
      </c>
      <c r="W1960" s="74">
        <v>44350</v>
      </c>
      <c r="X1960" s="55">
        <v>10185129</v>
      </c>
      <c r="Y1960" s="74" t="s">
        <v>132</v>
      </c>
      <c r="Z1960" s="74"/>
      <c r="AB1960" s="55" t="s">
        <v>132</v>
      </c>
      <c r="AC1960" s="55" t="s">
        <v>132</v>
      </c>
    </row>
    <row r="1961" spans="1:29" ht="13" x14ac:dyDescent="0.15">
      <c r="A1961" s="72" t="str">
        <f t="shared" si="30"/>
        <v>Ofsted Social Care Provider Webpage</v>
      </c>
      <c r="B1961" s="55" t="s">
        <v>3112</v>
      </c>
      <c r="D1961" s="55" t="s">
        <v>373</v>
      </c>
      <c r="E1961" s="74">
        <v>37901</v>
      </c>
      <c r="F1961" s="55" t="s">
        <v>344</v>
      </c>
      <c r="G1961" s="55" t="s">
        <v>360</v>
      </c>
      <c r="H1961" s="55" t="s">
        <v>360</v>
      </c>
      <c r="I1961" s="55" t="s">
        <v>360</v>
      </c>
      <c r="J1961" s="55" t="s">
        <v>360</v>
      </c>
      <c r="K1961" s="55" t="s">
        <v>360</v>
      </c>
      <c r="L1961" s="55" t="s">
        <v>360</v>
      </c>
      <c r="M1961" s="55" t="s">
        <v>378</v>
      </c>
      <c r="N1961" s="55" t="s">
        <v>134</v>
      </c>
      <c r="O1961" s="55" t="s">
        <v>206</v>
      </c>
      <c r="P1961" s="55" t="s">
        <v>1655</v>
      </c>
      <c r="Q1961" s="55" t="s">
        <v>380</v>
      </c>
      <c r="R1961" s="55">
        <v>4</v>
      </c>
      <c r="S1961" s="74"/>
      <c r="T1961" s="55" t="s">
        <v>3113</v>
      </c>
      <c r="U1961" s="73" t="s">
        <v>351</v>
      </c>
      <c r="V1961" s="74">
        <v>44452</v>
      </c>
      <c r="W1961" s="74">
        <v>44491</v>
      </c>
      <c r="X1961" s="55">
        <v>10187604</v>
      </c>
      <c r="Y1961" s="74" t="s">
        <v>130</v>
      </c>
      <c r="Z1961" s="74"/>
      <c r="AB1961" s="55" t="s">
        <v>130</v>
      </c>
      <c r="AC1961" s="55" t="s">
        <v>130</v>
      </c>
    </row>
    <row r="1962" spans="1:29" ht="13" x14ac:dyDescent="0.15">
      <c r="A1962" s="72" t="str">
        <f t="shared" si="30"/>
        <v>Ofsted Social Care Provider Webpage</v>
      </c>
      <c r="B1962" s="55" t="s">
        <v>3114</v>
      </c>
      <c r="D1962" s="55" t="s">
        <v>2864</v>
      </c>
      <c r="E1962" s="74">
        <v>37781</v>
      </c>
      <c r="F1962" s="55" t="s">
        <v>344</v>
      </c>
      <c r="G1962" s="55" t="s">
        <v>360</v>
      </c>
      <c r="H1962" s="55" t="s">
        <v>360</v>
      </c>
      <c r="I1962" s="55" t="s">
        <v>360</v>
      </c>
      <c r="J1962" s="55" t="s">
        <v>360</v>
      </c>
      <c r="K1962" s="55" t="s">
        <v>360</v>
      </c>
      <c r="L1962" s="55" t="s">
        <v>360</v>
      </c>
      <c r="M1962" s="55" t="s">
        <v>138</v>
      </c>
      <c r="N1962" s="55" t="s">
        <v>138</v>
      </c>
      <c r="O1962" s="55" t="s">
        <v>238</v>
      </c>
      <c r="P1962" s="55" t="s">
        <v>1080</v>
      </c>
      <c r="Q1962" s="55" t="s">
        <v>380</v>
      </c>
      <c r="R1962" s="55">
        <v>16</v>
      </c>
      <c r="S1962" s="74"/>
      <c r="T1962" s="55" t="s">
        <v>3115</v>
      </c>
      <c r="U1962" s="73" t="s">
        <v>351</v>
      </c>
      <c r="V1962" s="74">
        <v>44482</v>
      </c>
      <c r="W1962" s="74">
        <v>44544</v>
      </c>
      <c r="X1962" s="55">
        <v>10165436</v>
      </c>
      <c r="Y1962" s="74" t="s">
        <v>130</v>
      </c>
      <c r="Z1962" s="74" t="s">
        <v>130</v>
      </c>
      <c r="AA1962" s="55" t="s">
        <v>130</v>
      </c>
      <c r="AB1962" s="55" t="s">
        <v>130</v>
      </c>
      <c r="AC1962" s="55" t="s">
        <v>130</v>
      </c>
    </row>
    <row r="1963" spans="1:29" ht="13" x14ac:dyDescent="0.15">
      <c r="A1963" s="72" t="str">
        <f t="shared" si="30"/>
        <v>Ofsted Social Care Provider Webpage</v>
      </c>
      <c r="B1963" s="55" t="s">
        <v>3116</v>
      </c>
      <c r="D1963" s="55" t="s">
        <v>373</v>
      </c>
      <c r="E1963" s="74">
        <v>37901</v>
      </c>
      <c r="F1963" s="55" t="s">
        <v>344</v>
      </c>
      <c r="G1963" s="55" t="s">
        <v>360</v>
      </c>
      <c r="H1963" s="55" t="s">
        <v>360</v>
      </c>
      <c r="I1963" s="55" t="s">
        <v>360</v>
      </c>
      <c r="J1963" s="55" t="s">
        <v>360</v>
      </c>
      <c r="K1963" s="55" t="s">
        <v>360</v>
      </c>
      <c r="L1963" s="55" t="s">
        <v>360</v>
      </c>
      <c r="M1963" s="55" t="s">
        <v>378</v>
      </c>
      <c r="N1963" s="55" t="s">
        <v>134</v>
      </c>
      <c r="O1963" s="55" t="s">
        <v>206</v>
      </c>
      <c r="P1963" s="55" t="s">
        <v>760</v>
      </c>
      <c r="Q1963" s="55" t="s">
        <v>380</v>
      </c>
      <c r="R1963" s="55">
        <v>4</v>
      </c>
      <c r="S1963" s="74"/>
      <c r="T1963" s="55" t="s">
        <v>3113</v>
      </c>
      <c r="U1963" s="73" t="s">
        <v>351</v>
      </c>
      <c r="V1963" s="74">
        <v>44467</v>
      </c>
      <c r="W1963" s="74">
        <v>44501</v>
      </c>
      <c r="X1963" s="55">
        <v>10185943</v>
      </c>
      <c r="Y1963" s="74" t="s">
        <v>132</v>
      </c>
      <c r="Z1963" s="74"/>
      <c r="AB1963" s="55" t="s">
        <v>132</v>
      </c>
      <c r="AC1963" s="55" t="s">
        <v>132</v>
      </c>
    </row>
    <row r="1964" spans="1:29" ht="13" x14ac:dyDescent="0.15">
      <c r="A1964" s="72" t="str">
        <f t="shared" si="30"/>
        <v>Ofsted Social Care Provider Webpage</v>
      </c>
      <c r="B1964" s="55" t="s">
        <v>3117</v>
      </c>
      <c r="D1964" s="55" t="s">
        <v>373</v>
      </c>
      <c r="E1964" s="74">
        <v>37819</v>
      </c>
      <c r="F1964" s="55" t="s">
        <v>344</v>
      </c>
      <c r="G1964" s="55" t="s">
        <v>360</v>
      </c>
      <c r="H1964" s="55" t="s">
        <v>360</v>
      </c>
      <c r="I1964" s="55" t="s">
        <v>360</v>
      </c>
      <c r="J1964" s="55" t="s">
        <v>360</v>
      </c>
      <c r="K1964" s="55" t="s">
        <v>360</v>
      </c>
      <c r="L1964" s="55" t="s">
        <v>360</v>
      </c>
      <c r="M1964" s="55" t="s">
        <v>378</v>
      </c>
      <c r="N1964" s="55" t="s">
        <v>134</v>
      </c>
      <c r="O1964" s="55" t="s">
        <v>210</v>
      </c>
      <c r="P1964" s="55" t="s">
        <v>1250</v>
      </c>
      <c r="Q1964" s="55" t="s">
        <v>380</v>
      </c>
      <c r="R1964" s="55">
        <v>5</v>
      </c>
      <c r="S1964" s="74"/>
      <c r="T1964" s="55" t="s">
        <v>543</v>
      </c>
      <c r="U1964" s="73" t="s">
        <v>351</v>
      </c>
      <c r="V1964" s="74">
        <v>44362</v>
      </c>
      <c r="W1964" s="74">
        <v>44398</v>
      </c>
      <c r="X1964" s="55">
        <v>10187014</v>
      </c>
      <c r="Y1964" s="74" t="s">
        <v>132</v>
      </c>
      <c r="Z1964" s="74"/>
      <c r="AB1964" s="55" t="s">
        <v>132</v>
      </c>
      <c r="AC1964" s="55" t="s">
        <v>132</v>
      </c>
    </row>
    <row r="1965" spans="1:29" ht="13" x14ac:dyDescent="0.15">
      <c r="A1965" s="72" t="str">
        <f t="shared" si="30"/>
        <v>Ofsted Social Care Provider Webpage</v>
      </c>
      <c r="B1965" s="55" t="s">
        <v>3118</v>
      </c>
      <c r="D1965" s="55" t="s">
        <v>373</v>
      </c>
      <c r="E1965" s="74">
        <v>37895</v>
      </c>
      <c r="F1965" s="55" t="s">
        <v>344</v>
      </c>
      <c r="G1965" s="55" t="s">
        <v>360</v>
      </c>
      <c r="H1965" s="55" t="s">
        <v>360</v>
      </c>
      <c r="I1965" s="55" t="s">
        <v>360</v>
      </c>
      <c r="J1965" s="55" t="s">
        <v>360</v>
      </c>
      <c r="K1965" s="55" t="s">
        <v>360</v>
      </c>
      <c r="L1965" s="55" t="s">
        <v>360</v>
      </c>
      <c r="M1965" s="55" t="s">
        <v>378</v>
      </c>
      <c r="N1965" s="55" t="s">
        <v>134</v>
      </c>
      <c r="O1965" s="55" t="s">
        <v>206</v>
      </c>
      <c r="P1965" s="55" t="s">
        <v>750</v>
      </c>
      <c r="Q1965" s="55" t="s">
        <v>380</v>
      </c>
      <c r="R1965" s="55">
        <v>8</v>
      </c>
      <c r="S1965" s="74"/>
      <c r="T1965" s="55" t="s">
        <v>3113</v>
      </c>
      <c r="U1965" s="73" t="s">
        <v>351</v>
      </c>
      <c r="V1965" s="74">
        <v>44487</v>
      </c>
      <c r="W1965" s="74">
        <v>44532</v>
      </c>
      <c r="X1965" s="55">
        <v>10186625</v>
      </c>
      <c r="Y1965" s="74" t="s">
        <v>132</v>
      </c>
      <c r="Z1965" s="74"/>
      <c r="AB1965" s="55" t="s">
        <v>132</v>
      </c>
      <c r="AC1965" s="55" t="s">
        <v>132</v>
      </c>
    </row>
    <row r="1966" spans="1:29" ht="13" x14ac:dyDescent="0.15">
      <c r="A1966" s="72" t="str">
        <f t="shared" si="30"/>
        <v>Ofsted Social Care Provider Webpage</v>
      </c>
      <c r="B1966" s="55" t="s">
        <v>3119</v>
      </c>
      <c r="D1966" s="55" t="s">
        <v>373</v>
      </c>
      <c r="E1966" s="74">
        <v>37819</v>
      </c>
      <c r="F1966" s="55" t="s">
        <v>344</v>
      </c>
      <c r="G1966" s="55" t="s">
        <v>360</v>
      </c>
      <c r="H1966" s="55" t="s">
        <v>360</v>
      </c>
      <c r="I1966" s="55" t="s">
        <v>360</v>
      </c>
      <c r="J1966" s="55" t="s">
        <v>360</v>
      </c>
      <c r="K1966" s="55" t="s">
        <v>360</v>
      </c>
      <c r="L1966" s="55" t="s">
        <v>360</v>
      </c>
      <c r="M1966" s="55" t="s">
        <v>378</v>
      </c>
      <c r="N1966" s="55" t="s">
        <v>134</v>
      </c>
      <c r="O1966" s="55" t="s">
        <v>210</v>
      </c>
      <c r="P1966" s="55" t="s">
        <v>3120</v>
      </c>
      <c r="Q1966" s="55" t="s">
        <v>380</v>
      </c>
      <c r="R1966" s="55">
        <v>5</v>
      </c>
      <c r="S1966" s="74"/>
      <c r="T1966" s="55" t="s">
        <v>543</v>
      </c>
      <c r="U1966" s="73" t="s">
        <v>351</v>
      </c>
      <c r="V1966" s="74">
        <v>44501</v>
      </c>
      <c r="W1966" s="74">
        <v>44529</v>
      </c>
      <c r="X1966" s="55">
        <v>10186300</v>
      </c>
      <c r="Y1966" s="74" t="s">
        <v>132</v>
      </c>
      <c r="Z1966" s="74"/>
      <c r="AB1966" s="55" t="s">
        <v>132</v>
      </c>
      <c r="AC1966" s="55" t="s">
        <v>132</v>
      </c>
    </row>
    <row r="1967" spans="1:29" ht="13" x14ac:dyDescent="0.15">
      <c r="A1967" s="72" t="str">
        <f t="shared" si="30"/>
        <v>Ofsted Social Care Provider Webpage</v>
      </c>
      <c r="B1967" s="55" t="s">
        <v>3121</v>
      </c>
      <c r="D1967" s="55" t="s">
        <v>389</v>
      </c>
      <c r="E1967" s="74">
        <v>37889</v>
      </c>
      <c r="F1967" s="55" t="s">
        <v>344</v>
      </c>
      <c r="G1967" s="55" t="s">
        <v>3122</v>
      </c>
      <c r="H1967" s="55" t="s">
        <v>3123</v>
      </c>
      <c r="I1967" s="55" t="s">
        <v>3124</v>
      </c>
      <c r="J1967" s="55" t="s">
        <v>3125</v>
      </c>
      <c r="K1967" s="55" t="s">
        <v>3126</v>
      </c>
      <c r="L1967" s="55" t="s">
        <v>3127</v>
      </c>
      <c r="M1967" s="55" t="s">
        <v>378</v>
      </c>
      <c r="N1967" s="55" t="s">
        <v>170</v>
      </c>
      <c r="O1967" s="55" t="s">
        <v>231</v>
      </c>
      <c r="P1967" s="55" t="s">
        <v>3128</v>
      </c>
      <c r="Q1967" s="55" t="s">
        <v>362</v>
      </c>
      <c r="R1967" s="55"/>
      <c r="S1967" s="74"/>
      <c r="T1967" s="55" t="s">
        <v>3122</v>
      </c>
      <c r="U1967" s="73" t="s">
        <v>351</v>
      </c>
      <c r="V1967" s="74">
        <v>43402</v>
      </c>
      <c r="W1967" s="74">
        <v>43418</v>
      </c>
      <c r="X1967" s="55">
        <v>10046658</v>
      </c>
      <c r="Y1967" s="74" t="s">
        <v>140</v>
      </c>
      <c r="Z1967" s="74"/>
      <c r="AB1967" s="55" t="s">
        <v>140</v>
      </c>
      <c r="AC1967" s="55" t="s">
        <v>140</v>
      </c>
    </row>
    <row r="1968" spans="1:29" ht="13" x14ac:dyDescent="0.15">
      <c r="A1968" s="72" t="str">
        <f t="shared" si="30"/>
        <v>Ofsted Social Care Provider Webpage</v>
      </c>
      <c r="B1968" s="55" t="s">
        <v>3129</v>
      </c>
      <c r="D1968" s="55" t="s">
        <v>2864</v>
      </c>
      <c r="E1968" s="74">
        <v>37812</v>
      </c>
      <c r="F1968" s="55" t="s">
        <v>344</v>
      </c>
      <c r="G1968" s="55" t="s">
        <v>360</v>
      </c>
      <c r="H1968" s="55" t="s">
        <v>360</v>
      </c>
      <c r="I1968" s="55" t="s">
        <v>360</v>
      </c>
      <c r="J1968" s="55" t="s">
        <v>360</v>
      </c>
      <c r="K1968" s="55" t="s">
        <v>360</v>
      </c>
      <c r="L1968" s="55" t="s">
        <v>360</v>
      </c>
      <c r="M1968" s="55" t="s">
        <v>378</v>
      </c>
      <c r="N1968" s="55" t="s">
        <v>134</v>
      </c>
      <c r="O1968" s="55" t="s">
        <v>210</v>
      </c>
      <c r="P1968" s="55" t="s">
        <v>3120</v>
      </c>
      <c r="Q1968" s="55" t="s">
        <v>380</v>
      </c>
      <c r="R1968" s="55">
        <v>24</v>
      </c>
      <c r="S1968" s="74"/>
      <c r="T1968" s="55" t="s">
        <v>543</v>
      </c>
      <c r="U1968" s="73" t="s">
        <v>351</v>
      </c>
      <c r="V1968" s="74">
        <v>44327</v>
      </c>
      <c r="W1968" s="74">
        <v>44375</v>
      </c>
      <c r="X1968" s="55">
        <v>10165440</v>
      </c>
      <c r="Y1968" s="74" t="s">
        <v>140</v>
      </c>
      <c r="Z1968" s="74" t="s">
        <v>140</v>
      </c>
      <c r="AA1968" s="55" t="s">
        <v>132</v>
      </c>
      <c r="AB1968" s="55" t="s">
        <v>140</v>
      </c>
      <c r="AC1968" s="55" t="s">
        <v>140</v>
      </c>
    </row>
    <row r="1969" spans="1:29" ht="13" x14ac:dyDescent="0.15">
      <c r="A1969" s="72" t="str">
        <f t="shared" si="30"/>
        <v>Ofsted Social Care Provider Webpage</v>
      </c>
      <c r="B1969" s="55" t="s">
        <v>3130</v>
      </c>
      <c r="D1969" s="55" t="s">
        <v>373</v>
      </c>
      <c r="E1969" s="74">
        <v>37797</v>
      </c>
      <c r="F1969" s="55" t="s">
        <v>344</v>
      </c>
      <c r="G1969" s="55" t="s">
        <v>360</v>
      </c>
      <c r="H1969" s="55" t="s">
        <v>360</v>
      </c>
      <c r="I1969" s="55" t="s">
        <v>360</v>
      </c>
      <c r="J1969" s="55" t="s">
        <v>360</v>
      </c>
      <c r="K1969" s="55" t="s">
        <v>360</v>
      </c>
      <c r="L1969" s="55" t="s">
        <v>360</v>
      </c>
      <c r="M1969" s="55" t="s">
        <v>378</v>
      </c>
      <c r="N1969" s="55" t="s">
        <v>170</v>
      </c>
      <c r="O1969" s="55" t="s">
        <v>222</v>
      </c>
      <c r="P1969" s="55" t="s">
        <v>3131</v>
      </c>
      <c r="Q1969" s="55" t="s">
        <v>362</v>
      </c>
      <c r="R1969" s="55">
        <v>8</v>
      </c>
      <c r="S1969" s="74"/>
      <c r="T1969" s="55" t="s">
        <v>3132</v>
      </c>
      <c r="U1969" s="73" t="s">
        <v>351</v>
      </c>
      <c r="V1969" s="74">
        <v>44586</v>
      </c>
      <c r="W1969" s="74">
        <v>44621</v>
      </c>
      <c r="X1969" s="55">
        <v>10185182</v>
      </c>
      <c r="Y1969" s="74" t="s">
        <v>132</v>
      </c>
      <c r="Z1969" s="74"/>
      <c r="AB1969" s="55" t="s">
        <v>132</v>
      </c>
      <c r="AC1969" s="55" t="s">
        <v>132</v>
      </c>
    </row>
    <row r="1970" spans="1:29" ht="13" x14ac:dyDescent="0.15">
      <c r="A1970" s="72" t="str">
        <f t="shared" si="30"/>
        <v>Ofsted Social Care Provider Webpage</v>
      </c>
      <c r="B1970" s="55" t="s">
        <v>3133</v>
      </c>
      <c r="D1970" s="55" t="s">
        <v>389</v>
      </c>
      <c r="E1970" s="74">
        <v>37699</v>
      </c>
      <c r="F1970" s="55" t="s">
        <v>344</v>
      </c>
      <c r="G1970" s="55" t="s">
        <v>3134</v>
      </c>
      <c r="H1970" s="55" t="s">
        <v>3135</v>
      </c>
      <c r="I1970" s="55" t="s">
        <v>3136</v>
      </c>
      <c r="J1970" s="55" t="s">
        <v>237</v>
      </c>
      <c r="L1970" s="55" t="s">
        <v>3137</v>
      </c>
      <c r="M1970" s="55" t="s">
        <v>150</v>
      </c>
      <c r="N1970" s="55" t="s">
        <v>150</v>
      </c>
      <c r="O1970" s="55" t="s">
        <v>237</v>
      </c>
      <c r="P1970" s="55" t="s">
        <v>3138</v>
      </c>
      <c r="Q1970" s="55" t="s">
        <v>350</v>
      </c>
      <c r="R1970" s="55"/>
      <c r="S1970" s="74"/>
      <c r="T1970" s="55" t="s">
        <v>3139</v>
      </c>
      <c r="U1970" s="73" t="s">
        <v>351</v>
      </c>
      <c r="V1970" s="74">
        <v>43325</v>
      </c>
      <c r="W1970" s="74">
        <v>43350</v>
      </c>
      <c r="X1970" s="55">
        <v>10045667</v>
      </c>
      <c r="Y1970" s="74" t="s">
        <v>132</v>
      </c>
      <c r="Z1970" s="74"/>
      <c r="AB1970" s="55" t="s">
        <v>132</v>
      </c>
      <c r="AC1970" s="55" t="s">
        <v>132</v>
      </c>
    </row>
    <row r="1971" spans="1:29" ht="13" x14ac:dyDescent="0.15">
      <c r="A1971" s="72" t="str">
        <f t="shared" si="30"/>
        <v>Ofsted Social Care Provider Webpage</v>
      </c>
      <c r="B1971" s="55" t="s">
        <v>3140</v>
      </c>
      <c r="D1971" s="55" t="s">
        <v>373</v>
      </c>
      <c r="E1971" s="74">
        <v>37798</v>
      </c>
      <c r="F1971" s="55" t="s">
        <v>344</v>
      </c>
      <c r="G1971" s="55" t="s">
        <v>360</v>
      </c>
      <c r="H1971" s="55" t="s">
        <v>360</v>
      </c>
      <c r="I1971" s="55" t="s">
        <v>360</v>
      </c>
      <c r="J1971" s="55" t="s">
        <v>360</v>
      </c>
      <c r="K1971" s="55" t="s">
        <v>360</v>
      </c>
      <c r="L1971" s="55" t="s">
        <v>360</v>
      </c>
      <c r="M1971" s="55" t="s">
        <v>378</v>
      </c>
      <c r="N1971" s="55" t="s">
        <v>134</v>
      </c>
      <c r="O1971" s="55" t="s">
        <v>151</v>
      </c>
      <c r="P1971" s="55" t="s">
        <v>3141</v>
      </c>
      <c r="Q1971" s="55" t="s">
        <v>380</v>
      </c>
      <c r="R1971" s="55">
        <v>7</v>
      </c>
      <c r="S1971" s="74"/>
      <c r="T1971" s="55" t="s">
        <v>1220</v>
      </c>
      <c r="U1971" s="73" t="s">
        <v>351</v>
      </c>
      <c r="V1971" s="74">
        <v>44453</v>
      </c>
      <c r="W1971" s="74">
        <v>44503</v>
      </c>
      <c r="X1971" s="55">
        <v>10186388</v>
      </c>
      <c r="Y1971" s="74" t="s">
        <v>132</v>
      </c>
      <c r="Z1971" s="74"/>
      <c r="AB1971" s="55" t="s">
        <v>132</v>
      </c>
      <c r="AC1971" s="55" t="s">
        <v>132</v>
      </c>
    </row>
    <row r="1972" spans="1:29" ht="13" x14ac:dyDescent="0.15">
      <c r="A1972" s="72" t="str">
        <f t="shared" si="30"/>
        <v>Ofsted Social Care Provider Webpage</v>
      </c>
      <c r="B1972" s="55" t="s">
        <v>3142</v>
      </c>
      <c r="D1972" s="55" t="s">
        <v>373</v>
      </c>
      <c r="E1972" s="74">
        <v>37798</v>
      </c>
      <c r="F1972" s="55" t="s">
        <v>344</v>
      </c>
      <c r="G1972" s="55" t="s">
        <v>360</v>
      </c>
      <c r="H1972" s="55" t="s">
        <v>360</v>
      </c>
      <c r="I1972" s="55" t="s">
        <v>360</v>
      </c>
      <c r="J1972" s="55" t="s">
        <v>360</v>
      </c>
      <c r="K1972" s="55" t="s">
        <v>360</v>
      </c>
      <c r="L1972" s="55" t="s">
        <v>360</v>
      </c>
      <c r="M1972" s="55" t="s">
        <v>378</v>
      </c>
      <c r="N1972" s="55" t="s">
        <v>134</v>
      </c>
      <c r="O1972" s="55" t="s">
        <v>151</v>
      </c>
      <c r="P1972" s="55" t="s">
        <v>1778</v>
      </c>
      <c r="Q1972" s="55" t="s">
        <v>380</v>
      </c>
      <c r="R1972" s="55">
        <v>6</v>
      </c>
      <c r="S1972" s="74"/>
      <c r="T1972" s="55" t="s">
        <v>1220</v>
      </c>
      <c r="U1972" s="73" t="s">
        <v>351</v>
      </c>
      <c r="V1972" s="74">
        <v>44306</v>
      </c>
      <c r="W1972" s="74">
        <v>44348</v>
      </c>
      <c r="X1972" s="55">
        <v>10186505</v>
      </c>
      <c r="Y1972" s="74" t="s">
        <v>132</v>
      </c>
      <c r="Z1972" s="74"/>
      <c r="AB1972" s="55" t="s">
        <v>132</v>
      </c>
      <c r="AC1972" s="55" t="s">
        <v>132</v>
      </c>
    </row>
    <row r="1973" spans="1:29" ht="13" x14ac:dyDescent="0.15">
      <c r="A1973" s="72" t="str">
        <f t="shared" si="30"/>
        <v>Ofsted Social Care Provider Webpage</v>
      </c>
      <c r="B1973" s="55" t="s">
        <v>3143</v>
      </c>
      <c r="D1973" s="55" t="s">
        <v>389</v>
      </c>
      <c r="E1973" s="74">
        <v>37910</v>
      </c>
      <c r="F1973" s="55" t="s">
        <v>344</v>
      </c>
      <c r="G1973" s="55" t="s">
        <v>3144</v>
      </c>
      <c r="H1973" s="55" t="s">
        <v>3145</v>
      </c>
      <c r="I1973" s="55" t="s">
        <v>3146</v>
      </c>
      <c r="J1973" s="55" t="s">
        <v>3147</v>
      </c>
      <c r="L1973" s="55" t="s">
        <v>3148</v>
      </c>
      <c r="M1973" s="55" t="s">
        <v>378</v>
      </c>
      <c r="N1973" s="55" t="s">
        <v>170</v>
      </c>
      <c r="O1973" s="55" t="s">
        <v>222</v>
      </c>
      <c r="P1973" s="55" t="s">
        <v>2188</v>
      </c>
      <c r="Q1973" s="55" t="s">
        <v>362</v>
      </c>
      <c r="R1973" s="55"/>
      <c r="S1973" s="74"/>
      <c r="T1973" s="55" t="s">
        <v>3132</v>
      </c>
      <c r="U1973" s="73" t="s">
        <v>351</v>
      </c>
      <c r="V1973" s="74">
        <v>43472</v>
      </c>
      <c r="W1973" s="74">
        <v>43501</v>
      </c>
      <c r="X1973" s="55">
        <v>10045991</v>
      </c>
      <c r="Y1973" s="74" t="s">
        <v>132</v>
      </c>
      <c r="Z1973" s="74"/>
      <c r="AB1973" s="55" t="s">
        <v>132</v>
      </c>
      <c r="AC1973" s="55" t="s">
        <v>130</v>
      </c>
    </row>
    <row r="1974" spans="1:29" ht="13" x14ac:dyDescent="0.15">
      <c r="A1974" s="72" t="str">
        <f t="shared" si="30"/>
        <v>Ofsted Social Care Provider Webpage</v>
      </c>
      <c r="B1974" s="55" t="s">
        <v>3149</v>
      </c>
      <c r="D1974" s="55" t="s">
        <v>373</v>
      </c>
      <c r="E1974" s="74">
        <v>37925</v>
      </c>
      <c r="F1974" s="55" t="s">
        <v>344</v>
      </c>
      <c r="G1974" s="55" t="s">
        <v>360</v>
      </c>
      <c r="H1974" s="55" t="s">
        <v>360</v>
      </c>
      <c r="I1974" s="55" t="s">
        <v>360</v>
      </c>
      <c r="J1974" s="55" t="s">
        <v>360</v>
      </c>
      <c r="K1974" s="55" t="s">
        <v>360</v>
      </c>
      <c r="L1974" s="55" t="s">
        <v>360</v>
      </c>
      <c r="M1974" s="55" t="s">
        <v>144</v>
      </c>
      <c r="N1974" s="55" t="s">
        <v>144</v>
      </c>
      <c r="O1974" s="55" t="s">
        <v>145</v>
      </c>
      <c r="P1974" s="55" t="s">
        <v>525</v>
      </c>
      <c r="Q1974" s="55" t="s">
        <v>380</v>
      </c>
      <c r="R1974" s="55">
        <v>7</v>
      </c>
      <c r="S1974" s="74" t="s">
        <v>332</v>
      </c>
      <c r="T1974" s="55" t="s">
        <v>3150</v>
      </c>
      <c r="U1974" s="73" t="s">
        <v>351</v>
      </c>
      <c r="V1974" s="74">
        <v>44622</v>
      </c>
      <c r="W1974" s="74">
        <v>44670</v>
      </c>
      <c r="X1974" s="55">
        <v>10186066</v>
      </c>
      <c r="Y1974" s="74" t="s">
        <v>132</v>
      </c>
      <c r="Z1974" s="74"/>
      <c r="AB1974" s="55" t="s">
        <v>132</v>
      </c>
      <c r="AC1974" s="55" t="s">
        <v>132</v>
      </c>
    </row>
    <row r="1975" spans="1:29" ht="13" x14ac:dyDescent="0.15">
      <c r="A1975" s="72" t="str">
        <f t="shared" si="30"/>
        <v>Ofsted Social Care Provider Webpage</v>
      </c>
      <c r="B1975" s="55" t="s">
        <v>3151</v>
      </c>
      <c r="D1975" s="55" t="s">
        <v>373</v>
      </c>
      <c r="E1975" s="74">
        <v>37798</v>
      </c>
      <c r="F1975" s="55" t="s">
        <v>344</v>
      </c>
      <c r="G1975" s="55" t="s">
        <v>360</v>
      </c>
      <c r="H1975" s="55" t="s">
        <v>360</v>
      </c>
      <c r="I1975" s="55" t="s">
        <v>360</v>
      </c>
      <c r="J1975" s="55" t="s">
        <v>360</v>
      </c>
      <c r="K1975" s="55" t="s">
        <v>360</v>
      </c>
      <c r="L1975" s="55" t="s">
        <v>360</v>
      </c>
      <c r="M1975" s="55" t="s">
        <v>378</v>
      </c>
      <c r="N1975" s="55" t="s">
        <v>134</v>
      </c>
      <c r="O1975" s="55" t="s">
        <v>151</v>
      </c>
      <c r="P1975" s="55" t="s">
        <v>1921</v>
      </c>
      <c r="Q1975" s="55" t="s">
        <v>380</v>
      </c>
      <c r="R1975" s="55">
        <v>6</v>
      </c>
      <c r="S1975" s="74" t="s">
        <v>332</v>
      </c>
      <c r="T1975" s="55" t="s">
        <v>1220</v>
      </c>
      <c r="U1975" s="73" t="s">
        <v>351</v>
      </c>
      <c r="V1975" s="74">
        <v>44460</v>
      </c>
      <c r="W1975" s="74">
        <v>44495</v>
      </c>
      <c r="X1975" s="55">
        <v>10185498</v>
      </c>
      <c r="Y1975" s="55" t="s">
        <v>132</v>
      </c>
      <c r="AB1975" s="55" t="s">
        <v>132</v>
      </c>
      <c r="AC1975" s="55" t="s">
        <v>132</v>
      </c>
    </row>
    <row r="1976" spans="1:29" ht="13" x14ac:dyDescent="0.15">
      <c r="A1976" s="72" t="str">
        <f t="shared" si="30"/>
        <v>Ofsted Social Care Provider Webpage</v>
      </c>
      <c r="B1976" s="55" t="s">
        <v>3152</v>
      </c>
      <c r="D1976" s="55" t="s">
        <v>373</v>
      </c>
      <c r="E1976" s="74">
        <v>37679</v>
      </c>
      <c r="F1976" s="55" t="s">
        <v>344</v>
      </c>
      <c r="G1976" s="55" t="s">
        <v>360</v>
      </c>
      <c r="H1976" s="55" t="s">
        <v>360</v>
      </c>
      <c r="I1976" s="55" t="s">
        <v>360</v>
      </c>
      <c r="J1976" s="55" t="s">
        <v>360</v>
      </c>
      <c r="K1976" s="55" t="s">
        <v>360</v>
      </c>
      <c r="L1976" s="55" t="s">
        <v>360</v>
      </c>
      <c r="M1976" s="55" t="s">
        <v>378</v>
      </c>
      <c r="N1976" s="55" t="s">
        <v>170</v>
      </c>
      <c r="O1976" s="55" t="s">
        <v>222</v>
      </c>
      <c r="P1976" s="55" t="s">
        <v>2188</v>
      </c>
      <c r="Q1976" s="55" t="s">
        <v>380</v>
      </c>
      <c r="R1976" s="55">
        <v>6</v>
      </c>
      <c r="S1976" s="74"/>
      <c r="T1976" s="55" t="s">
        <v>687</v>
      </c>
      <c r="U1976" s="73" t="s">
        <v>351</v>
      </c>
      <c r="V1976" s="74">
        <v>44467</v>
      </c>
      <c r="W1976" s="74">
        <v>44517</v>
      </c>
      <c r="X1976" s="55">
        <v>10205026</v>
      </c>
      <c r="Y1976" s="55" t="s">
        <v>132</v>
      </c>
      <c r="AB1976" s="55" t="s">
        <v>132</v>
      </c>
      <c r="AC1976" s="55" t="s">
        <v>132</v>
      </c>
    </row>
    <row r="1977" spans="1:29" ht="13" x14ac:dyDescent="0.15">
      <c r="A1977" s="72" t="str">
        <f t="shared" si="30"/>
        <v>Ofsted Social Care Provider Webpage</v>
      </c>
      <c r="B1977" s="55" t="s">
        <v>3153</v>
      </c>
      <c r="D1977" s="55" t="s">
        <v>373</v>
      </c>
      <c r="E1977" s="74">
        <v>37720</v>
      </c>
      <c r="F1977" s="55" t="s">
        <v>344</v>
      </c>
      <c r="G1977" s="55" t="s">
        <v>360</v>
      </c>
      <c r="H1977" s="55" t="s">
        <v>360</v>
      </c>
      <c r="I1977" s="55" t="s">
        <v>360</v>
      </c>
      <c r="J1977" s="55" t="s">
        <v>360</v>
      </c>
      <c r="K1977" s="55" t="s">
        <v>360</v>
      </c>
      <c r="L1977" s="55" t="s">
        <v>360</v>
      </c>
      <c r="M1977" s="55" t="s">
        <v>378</v>
      </c>
      <c r="N1977" s="55" t="s">
        <v>170</v>
      </c>
      <c r="O1977" s="55" t="s">
        <v>222</v>
      </c>
      <c r="P1977" s="55" t="s">
        <v>3131</v>
      </c>
      <c r="Q1977" s="55" t="s">
        <v>380</v>
      </c>
      <c r="R1977" s="55">
        <v>6</v>
      </c>
      <c r="S1977" s="74" t="s">
        <v>332</v>
      </c>
      <c r="T1977" s="55" t="s">
        <v>687</v>
      </c>
      <c r="U1977" s="73" t="s">
        <v>351</v>
      </c>
      <c r="V1977" s="74">
        <v>44621</v>
      </c>
      <c r="W1977" s="74">
        <v>44662</v>
      </c>
      <c r="X1977" s="55">
        <v>10185231</v>
      </c>
      <c r="Y1977" s="55" t="s">
        <v>130</v>
      </c>
      <c r="AB1977" s="55" t="s">
        <v>130</v>
      </c>
      <c r="AC1977" s="55" t="s">
        <v>130</v>
      </c>
    </row>
    <row r="1978" spans="1:29" ht="13" x14ac:dyDescent="0.15">
      <c r="A1978" s="72" t="str">
        <f t="shared" si="30"/>
        <v>Ofsted Social Care Provider Webpage</v>
      </c>
      <c r="B1978" s="55" t="s">
        <v>3154</v>
      </c>
      <c r="D1978" s="55" t="s">
        <v>373</v>
      </c>
      <c r="E1978" s="74">
        <v>37812</v>
      </c>
      <c r="F1978" s="55" t="s">
        <v>344</v>
      </c>
      <c r="G1978" s="55" t="s">
        <v>360</v>
      </c>
      <c r="H1978" s="55" t="s">
        <v>360</v>
      </c>
      <c r="I1978" s="55" t="s">
        <v>360</v>
      </c>
      <c r="J1978" s="55" t="s">
        <v>360</v>
      </c>
      <c r="K1978" s="55" t="s">
        <v>360</v>
      </c>
      <c r="L1978" s="55" t="s">
        <v>360</v>
      </c>
      <c r="M1978" s="55" t="s">
        <v>378</v>
      </c>
      <c r="N1978" s="55" t="s">
        <v>134</v>
      </c>
      <c r="O1978" s="55" t="s">
        <v>210</v>
      </c>
      <c r="P1978" s="55" t="s">
        <v>1989</v>
      </c>
      <c r="Q1978" s="55" t="s">
        <v>380</v>
      </c>
      <c r="R1978" s="55">
        <v>5</v>
      </c>
      <c r="S1978" s="74"/>
      <c r="T1978" s="55" t="s">
        <v>543</v>
      </c>
      <c r="U1978" s="73" t="s">
        <v>351</v>
      </c>
      <c r="V1978" s="74">
        <v>44404</v>
      </c>
      <c r="W1978" s="74">
        <v>44434</v>
      </c>
      <c r="X1978" s="55">
        <v>10186251</v>
      </c>
      <c r="Y1978" s="55" t="s">
        <v>132</v>
      </c>
      <c r="AB1978" s="55" t="s">
        <v>132</v>
      </c>
      <c r="AC1978" s="55" t="s">
        <v>132</v>
      </c>
    </row>
    <row r="1979" spans="1:29" ht="13" x14ac:dyDescent="0.15">
      <c r="A1979" s="72" t="str">
        <f t="shared" si="30"/>
        <v>Ofsted Social Care Provider Webpage</v>
      </c>
      <c r="B1979" s="55" t="s">
        <v>3155</v>
      </c>
      <c r="D1979" s="55" t="s">
        <v>373</v>
      </c>
      <c r="E1979" s="74">
        <v>37819</v>
      </c>
      <c r="F1979" s="55" t="s">
        <v>344</v>
      </c>
      <c r="G1979" s="55" t="s">
        <v>360</v>
      </c>
      <c r="H1979" s="55" t="s">
        <v>360</v>
      </c>
      <c r="I1979" s="55" t="s">
        <v>360</v>
      </c>
      <c r="J1979" s="55" t="s">
        <v>360</v>
      </c>
      <c r="K1979" s="55" t="s">
        <v>360</v>
      </c>
      <c r="L1979" s="55" t="s">
        <v>360</v>
      </c>
      <c r="M1979" s="55" t="s">
        <v>378</v>
      </c>
      <c r="N1979" s="55" t="s">
        <v>134</v>
      </c>
      <c r="O1979" s="55" t="s">
        <v>210</v>
      </c>
      <c r="P1979" s="55" t="s">
        <v>624</v>
      </c>
      <c r="Q1979" s="55" t="s">
        <v>380</v>
      </c>
      <c r="R1979" s="55">
        <v>5</v>
      </c>
      <c r="S1979" s="74"/>
      <c r="T1979" s="55" t="s">
        <v>543</v>
      </c>
      <c r="U1979" s="73" t="s">
        <v>351</v>
      </c>
      <c r="V1979" s="74">
        <v>43725</v>
      </c>
      <c r="W1979" s="74">
        <v>43749</v>
      </c>
      <c r="X1979" s="55">
        <v>10095512</v>
      </c>
      <c r="Y1979" s="55" t="s">
        <v>132</v>
      </c>
      <c r="AB1979" s="55" t="s">
        <v>132</v>
      </c>
      <c r="AC1979" s="55" t="s">
        <v>132</v>
      </c>
    </row>
    <row r="1980" spans="1:29" ht="13" x14ac:dyDescent="0.15">
      <c r="A1980" s="72" t="str">
        <f t="shared" si="30"/>
        <v>Ofsted Social Care Provider Webpage</v>
      </c>
      <c r="B1980" s="55" t="s">
        <v>3156</v>
      </c>
      <c r="D1980" s="55" t="s">
        <v>389</v>
      </c>
      <c r="E1980" s="74">
        <v>37719</v>
      </c>
      <c r="F1980" s="55" t="s">
        <v>344</v>
      </c>
      <c r="G1980" s="55" t="s">
        <v>3157</v>
      </c>
      <c r="H1980" s="55" t="s">
        <v>3158</v>
      </c>
      <c r="I1980" s="55" t="s">
        <v>3159</v>
      </c>
      <c r="J1980" s="55" t="s">
        <v>3160</v>
      </c>
      <c r="L1980" s="55" t="s">
        <v>3161</v>
      </c>
      <c r="M1980" s="55" t="s">
        <v>172</v>
      </c>
      <c r="N1980" s="55" t="s">
        <v>172</v>
      </c>
      <c r="O1980" s="55" t="s">
        <v>284</v>
      </c>
      <c r="P1980" s="55" t="s">
        <v>357</v>
      </c>
      <c r="Q1980" s="55" t="s">
        <v>350</v>
      </c>
      <c r="R1980" s="55"/>
      <c r="S1980" s="74"/>
      <c r="T1980" s="55" t="s">
        <v>3162</v>
      </c>
      <c r="U1980" s="73" t="s">
        <v>351</v>
      </c>
      <c r="V1980" s="74">
        <v>42870</v>
      </c>
      <c r="W1980" s="74">
        <v>42892</v>
      </c>
      <c r="X1980" s="55">
        <v>10034090</v>
      </c>
      <c r="Y1980" s="55" t="s">
        <v>140</v>
      </c>
      <c r="AB1980" s="55" t="s">
        <v>140</v>
      </c>
      <c r="AC1980" s="55" t="s">
        <v>140</v>
      </c>
    </row>
    <row r="1981" spans="1:29" ht="13" x14ac:dyDescent="0.15">
      <c r="A1981" s="72" t="str">
        <f t="shared" si="30"/>
        <v>Ofsted Social Care Provider Webpage</v>
      </c>
      <c r="B1981" s="55" t="s">
        <v>3163</v>
      </c>
      <c r="D1981" s="55" t="s">
        <v>373</v>
      </c>
      <c r="E1981" s="74">
        <v>38266</v>
      </c>
      <c r="F1981" s="55" t="s">
        <v>344</v>
      </c>
      <c r="G1981" s="55" t="s">
        <v>360</v>
      </c>
      <c r="H1981" s="55" t="s">
        <v>360</v>
      </c>
      <c r="I1981" s="55" t="s">
        <v>360</v>
      </c>
      <c r="J1981" s="55" t="s">
        <v>360</v>
      </c>
      <c r="K1981" s="55" t="s">
        <v>360</v>
      </c>
      <c r="L1981" s="55" t="s">
        <v>360</v>
      </c>
      <c r="M1981" s="55" t="s">
        <v>129</v>
      </c>
      <c r="N1981" s="55" t="s">
        <v>129</v>
      </c>
      <c r="O1981" s="55" t="s">
        <v>131</v>
      </c>
      <c r="P1981" s="55" t="s">
        <v>1721</v>
      </c>
      <c r="Q1981" s="55" t="s">
        <v>380</v>
      </c>
      <c r="R1981" s="55">
        <v>6</v>
      </c>
      <c r="S1981" s="74"/>
      <c r="T1981" s="55" t="s">
        <v>3164</v>
      </c>
      <c r="U1981" s="73" t="s">
        <v>351</v>
      </c>
      <c r="V1981" s="74">
        <v>43844</v>
      </c>
      <c r="W1981" s="74">
        <v>43875</v>
      </c>
      <c r="X1981" s="55">
        <v>10095732</v>
      </c>
      <c r="Y1981" s="55" t="s">
        <v>132</v>
      </c>
      <c r="AB1981" s="55" t="s">
        <v>132</v>
      </c>
      <c r="AC1981" s="55" t="s">
        <v>132</v>
      </c>
    </row>
    <row r="1982" spans="1:29" ht="13" x14ac:dyDescent="0.15">
      <c r="A1982" s="72" t="str">
        <f t="shared" si="30"/>
        <v>Ofsted Social Care Provider Webpage</v>
      </c>
      <c r="B1982" s="55" t="s">
        <v>3165</v>
      </c>
      <c r="D1982" s="55" t="s">
        <v>389</v>
      </c>
      <c r="E1982" s="74">
        <v>37694</v>
      </c>
      <c r="F1982" s="55" t="s">
        <v>344</v>
      </c>
      <c r="G1982" s="55" t="s">
        <v>3166</v>
      </c>
      <c r="H1982" s="55" t="s">
        <v>3167</v>
      </c>
      <c r="I1982" s="55" t="s">
        <v>354</v>
      </c>
      <c r="J1982" s="55" t="s">
        <v>3168</v>
      </c>
      <c r="K1982" s="55" t="s">
        <v>183</v>
      </c>
      <c r="L1982" s="55" t="s">
        <v>3169</v>
      </c>
      <c r="M1982" s="55" t="s">
        <v>129</v>
      </c>
      <c r="N1982" s="55" t="s">
        <v>129</v>
      </c>
      <c r="O1982" s="55" t="s">
        <v>194</v>
      </c>
      <c r="P1982" s="55" t="s">
        <v>1833</v>
      </c>
      <c r="Q1982" s="55" t="s">
        <v>350</v>
      </c>
      <c r="R1982" s="55"/>
      <c r="S1982" s="74"/>
      <c r="T1982" s="55" t="s">
        <v>3170</v>
      </c>
      <c r="U1982" s="73" t="s">
        <v>351</v>
      </c>
      <c r="V1982" s="74">
        <v>44571</v>
      </c>
      <c r="W1982" s="74">
        <v>44615</v>
      </c>
      <c r="X1982" s="55">
        <v>10183354</v>
      </c>
      <c r="Y1982" s="55" t="s">
        <v>132</v>
      </c>
      <c r="AB1982" s="55" t="s">
        <v>130</v>
      </c>
      <c r="AC1982" s="55" t="s">
        <v>132</v>
      </c>
    </row>
    <row r="1983" spans="1:29" ht="13" x14ac:dyDescent="0.15">
      <c r="A1983" s="72" t="str">
        <f t="shared" si="30"/>
        <v>Ofsted Social Care Provider Webpage</v>
      </c>
      <c r="B1983" s="55" t="s">
        <v>3171</v>
      </c>
      <c r="D1983" s="55" t="s">
        <v>373</v>
      </c>
      <c r="E1983" s="74">
        <v>37872</v>
      </c>
      <c r="F1983" s="55" t="s">
        <v>344</v>
      </c>
      <c r="G1983" s="55" t="s">
        <v>360</v>
      </c>
      <c r="H1983" s="55" t="s">
        <v>360</v>
      </c>
      <c r="I1983" s="55" t="s">
        <v>360</v>
      </c>
      <c r="J1983" s="55" t="s">
        <v>360</v>
      </c>
      <c r="K1983" s="55" t="s">
        <v>360</v>
      </c>
      <c r="L1983" s="55" t="s">
        <v>360</v>
      </c>
      <c r="M1983" s="55" t="s">
        <v>378</v>
      </c>
      <c r="N1983" s="55" t="s">
        <v>134</v>
      </c>
      <c r="O1983" s="55" t="s">
        <v>277</v>
      </c>
      <c r="P1983" s="55" t="s">
        <v>277</v>
      </c>
      <c r="Q1983" s="55" t="s">
        <v>380</v>
      </c>
      <c r="R1983" s="55">
        <v>7</v>
      </c>
      <c r="S1983" s="74" t="s">
        <v>332</v>
      </c>
      <c r="T1983" s="55" t="s">
        <v>1575</v>
      </c>
      <c r="U1983" s="73" t="s">
        <v>351</v>
      </c>
      <c r="V1983" s="74">
        <v>44580</v>
      </c>
      <c r="W1983" s="74">
        <v>44635</v>
      </c>
      <c r="X1983" s="55">
        <v>10187469</v>
      </c>
      <c r="Y1983" s="55" t="s">
        <v>132</v>
      </c>
      <c r="AB1983" s="55" t="s">
        <v>132</v>
      </c>
      <c r="AC1983" s="55" t="s">
        <v>132</v>
      </c>
    </row>
    <row r="1984" spans="1:29" ht="13" x14ac:dyDescent="0.15">
      <c r="A1984" s="72" t="str">
        <f t="shared" si="30"/>
        <v>Ofsted Social Care Provider Webpage</v>
      </c>
      <c r="B1984" s="55" t="s">
        <v>3172</v>
      </c>
      <c r="D1984" s="55" t="s">
        <v>373</v>
      </c>
      <c r="E1984" s="74">
        <v>37547</v>
      </c>
      <c r="F1984" s="55" t="s">
        <v>344</v>
      </c>
      <c r="G1984" s="55" t="s">
        <v>360</v>
      </c>
      <c r="H1984" s="55" t="s">
        <v>360</v>
      </c>
      <c r="I1984" s="55" t="s">
        <v>360</v>
      </c>
      <c r="J1984" s="55" t="s">
        <v>360</v>
      </c>
      <c r="K1984" s="55" t="s">
        <v>360</v>
      </c>
      <c r="L1984" s="55" t="s">
        <v>360</v>
      </c>
      <c r="M1984" s="55" t="s">
        <v>172</v>
      </c>
      <c r="N1984" s="55" t="s">
        <v>172</v>
      </c>
      <c r="O1984" s="55" t="s">
        <v>228</v>
      </c>
      <c r="P1984" s="55" t="s">
        <v>991</v>
      </c>
      <c r="Q1984" s="55" t="s">
        <v>350</v>
      </c>
      <c r="R1984" s="55">
        <v>4</v>
      </c>
      <c r="S1984" s="74"/>
      <c r="T1984" s="55" t="s">
        <v>791</v>
      </c>
      <c r="U1984" s="73" t="s">
        <v>351</v>
      </c>
      <c r="V1984" s="74">
        <v>44467</v>
      </c>
      <c r="W1984" s="74">
        <v>44504</v>
      </c>
      <c r="X1984" s="55">
        <v>10186448</v>
      </c>
      <c r="Y1984" s="55" t="s">
        <v>140</v>
      </c>
      <c r="AB1984" s="55" t="s">
        <v>132</v>
      </c>
      <c r="AC1984" s="55" t="s">
        <v>140</v>
      </c>
    </row>
    <row r="1985" spans="1:29" ht="13" x14ac:dyDescent="0.15">
      <c r="A1985" s="72" t="str">
        <f t="shared" si="30"/>
        <v>Ofsted Social Care Provider Webpage</v>
      </c>
      <c r="B1985" s="55" t="s">
        <v>3173</v>
      </c>
      <c r="D1985" s="55" t="s">
        <v>389</v>
      </c>
      <c r="E1985" s="74">
        <v>37784</v>
      </c>
      <c r="F1985" s="55" t="s">
        <v>344</v>
      </c>
      <c r="G1985" s="55" t="s">
        <v>3174</v>
      </c>
      <c r="H1985" s="55" t="s">
        <v>3175</v>
      </c>
      <c r="I1985" s="55" t="s">
        <v>3176</v>
      </c>
      <c r="J1985" s="55" t="s">
        <v>2578</v>
      </c>
      <c r="L1985" s="55" t="s">
        <v>3177</v>
      </c>
      <c r="M1985" s="55" t="s">
        <v>129</v>
      </c>
      <c r="N1985" s="55" t="s">
        <v>129</v>
      </c>
      <c r="O1985" s="55" t="s">
        <v>260</v>
      </c>
      <c r="P1985" s="55" t="s">
        <v>3178</v>
      </c>
      <c r="Q1985" s="55" t="s">
        <v>350</v>
      </c>
      <c r="R1985" s="55"/>
      <c r="S1985" s="74"/>
      <c r="T1985" s="55" t="s">
        <v>3179</v>
      </c>
      <c r="U1985" s="73" t="s">
        <v>351</v>
      </c>
      <c r="V1985" s="74">
        <v>42989</v>
      </c>
      <c r="W1985" s="74">
        <v>43032</v>
      </c>
      <c r="X1985" s="55">
        <v>10039878</v>
      </c>
      <c r="Y1985" s="55" t="s">
        <v>132</v>
      </c>
      <c r="AB1985" s="55" t="s">
        <v>130</v>
      </c>
      <c r="AC1985" s="55" t="s">
        <v>132</v>
      </c>
    </row>
    <row r="1986" spans="1:29" ht="13" x14ac:dyDescent="0.15">
      <c r="A1986" s="72" t="str">
        <f t="shared" si="30"/>
        <v>Ofsted Social Care Provider Webpage</v>
      </c>
      <c r="B1986" s="55" t="s">
        <v>3180</v>
      </c>
      <c r="D1986" s="55" t="s">
        <v>373</v>
      </c>
      <c r="E1986" s="74">
        <v>37740</v>
      </c>
      <c r="F1986" s="55" t="s">
        <v>344</v>
      </c>
      <c r="G1986" s="55" t="s">
        <v>360</v>
      </c>
      <c r="H1986" s="55" t="s">
        <v>360</v>
      </c>
      <c r="I1986" s="55" t="s">
        <v>360</v>
      </c>
      <c r="J1986" s="55" t="s">
        <v>360</v>
      </c>
      <c r="K1986" s="55" t="s">
        <v>360</v>
      </c>
      <c r="L1986" s="55" t="s">
        <v>360</v>
      </c>
      <c r="M1986" s="55" t="s">
        <v>378</v>
      </c>
      <c r="N1986" s="55" t="s">
        <v>170</v>
      </c>
      <c r="O1986" s="55" t="s">
        <v>220</v>
      </c>
      <c r="P1986" s="55" t="s">
        <v>220</v>
      </c>
      <c r="Q1986" s="55" t="s">
        <v>380</v>
      </c>
      <c r="R1986" s="55">
        <v>9</v>
      </c>
      <c r="S1986" s="74" t="s">
        <v>332</v>
      </c>
      <c r="T1986" s="55" t="s">
        <v>1674</v>
      </c>
      <c r="U1986" s="73" t="s">
        <v>351</v>
      </c>
      <c r="V1986" s="74">
        <v>44572</v>
      </c>
      <c r="W1986" s="74">
        <v>44602</v>
      </c>
      <c r="X1986" s="55">
        <v>10185843</v>
      </c>
      <c r="Y1986" s="55" t="s">
        <v>132</v>
      </c>
      <c r="AB1986" s="55" t="s">
        <v>132</v>
      </c>
      <c r="AC1986" s="55" t="s">
        <v>132</v>
      </c>
    </row>
    <row r="1987" spans="1:29" ht="13" x14ac:dyDescent="0.15">
      <c r="A1987" s="72" t="str">
        <f t="shared" si="30"/>
        <v>Ofsted Social Care Provider Webpage</v>
      </c>
      <c r="B1987" s="55" t="s">
        <v>3181</v>
      </c>
      <c r="D1987" s="55" t="s">
        <v>373</v>
      </c>
      <c r="E1987" s="74">
        <v>37686</v>
      </c>
      <c r="F1987" s="55" t="s">
        <v>344</v>
      </c>
      <c r="G1987" s="55" t="s">
        <v>360</v>
      </c>
      <c r="H1987" s="55" t="s">
        <v>360</v>
      </c>
      <c r="I1987" s="55" t="s">
        <v>360</v>
      </c>
      <c r="J1987" s="55" t="s">
        <v>360</v>
      </c>
      <c r="K1987" s="55" t="s">
        <v>360</v>
      </c>
      <c r="L1987" s="55" t="s">
        <v>360</v>
      </c>
      <c r="M1987" s="55" t="s">
        <v>150</v>
      </c>
      <c r="N1987" s="55" t="s">
        <v>150</v>
      </c>
      <c r="O1987" s="55" t="s">
        <v>237</v>
      </c>
      <c r="P1987" s="55" t="s">
        <v>859</v>
      </c>
      <c r="Q1987" s="55" t="s">
        <v>380</v>
      </c>
      <c r="R1987" s="55">
        <v>6</v>
      </c>
      <c r="S1987" s="74"/>
      <c r="T1987" s="55" t="s">
        <v>636</v>
      </c>
      <c r="U1987" s="73" t="s">
        <v>351</v>
      </c>
      <c r="V1987" s="74">
        <v>44424</v>
      </c>
      <c r="W1987" s="74">
        <v>44463</v>
      </c>
      <c r="X1987" s="55">
        <v>10185036</v>
      </c>
      <c r="Y1987" s="55" t="s">
        <v>132</v>
      </c>
      <c r="AB1987" s="55" t="s">
        <v>130</v>
      </c>
      <c r="AC1987" s="55" t="s">
        <v>132</v>
      </c>
    </row>
    <row r="1988" spans="1:29" ht="13" x14ac:dyDescent="0.15">
      <c r="A1988" s="72" t="str">
        <f t="shared" si="30"/>
        <v>Ofsted Social Care Provider Webpage</v>
      </c>
      <c r="B1988" s="55" t="s">
        <v>3182</v>
      </c>
      <c r="D1988" s="55" t="s">
        <v>373</v>
      </c>
      <c r="E1988" s="74">
        <v>37942</v>
      </c>
      <c r="F1988" s="55" t="s">
        <v>344</v>
      </c>
      <c r="G1988" s="55" t="s">
        <v>360</v>
      </c>
      <c r="H1988" s="55" t="s">
        <v>360</v>
      </c>
      <c r="I1988" s="55" t="s">
        <v>360</v>
      </c>
      <c r="J1988" s="55" t="s">
        <v>360</v>
      </c>
      <c r="K1988" s="55" t="s">
        <v>360</v>
      </c>
      <c r="L1988" s="55" t="s">
        <v>360</v>
      </c>
      <c r="M1988" s="55" t="s">
        <v>129</v>
      </c>
      <c r="N1988" s="55" t="s">
        <v>129</v>
      </c>
      <c r="O1988" s="55" t="s">
        <v>192</v>
      </c>
      <c r="P1988" s="55" t="s">
        <v>718</v>
      </c>
      <c r="Q1988" s="55" t="s">
        <v>380</v>
      </c>
      <c r="R1988" s="55">
        <v>5</v>
      </c>
      <c r="S1988" s="74" t="s">
        <v>332</v>
      </c>
      <c r="T1988" s="55" t="s">
        <v>3183</v>
      </c>
      <c r="U1988" s="73" t="s">
        <v>351</v>
      </c>
      <c r="V1988" s="74">
        <v>44370</v>
      </c>
      <c r="W1988" s="74">
        <v>44399</v>
      </c>
      <c r="X1988" s="55">
        <v>10187201</v>
      </c>
      <c r="Y1988" s="55" t="s">
        <v>140</v>
      </c>
      <c r="AB1988" s="55" t="s">
        <v>140</v>
      </c>
      <c r="AC1988" s="55" t="s">
        <v>140</v>
      </c>
    </row>
    <row r="1989" spans="1:29" ht="13" x14ac:dyDescent="0.15">
      <c r="A1989" s="72" t="str">
        <f t="shared" si="30"/>
        <v>Ofsted Social Care Provider Webpage</v>
      </c>
      <c r="B1989" s="55" t="s">
        <v>3184</v>
      </c>
      <c r="D1989" s="55" t="s">
        <v>389</v>
      </c>
      <c r="E1989" s="74">
        <v>37865</v>
      </c>
      <c r="F1989" s="55" t="s">
        <v>344</v>
      </c>
      <c r="G1989" s="55" t="s">
        <v>3185</v>
      </c>
      <c r="H1989" s="55" t="s">
        <v>3186</v>
      </c>
      <c r="I1989" s="55" t="s">
        <v>3187</v>
      </c>
      <c r="J1989" s="55" t="s">
        <v>3188</v>
      </c>
      <c r="K1989" s="55" t="s">
        <v>293</v>
      </c>
      <c r="L1989" s="55" t="s">
        <v>3189</v>
      </c>
      <c r="M1989" s="55" t="s">
        <v>142</v>
      </c>
      <c r="N1989" s="55" t="s">
        <v>142</v>
      </c>
      <c r="O1989" s="55" t="s">
        <v>195</v>
      </c>
      <c r="P1989" s="55" t="s">
        <v>518</v>
      </c>
      <c r="Q1989" s="55" t="s">
        <v>350</v>
      </c>
      <c r="R1989" s="55"/>
      <c r="S1989" s="74"/>
      <c r="T1989" s="55" t="s">
        <v>450</v>
      </c>
      <c r="U1989" s="73" t="s">
        <v>351</v>
      </c>
      <c r="V1989" s="74">
        <v>43563</v>
      </c>
      <c r="W1989" s="74">
        <v>43599</v>
      </c>
      <c r="X1989" s="55">
        <v>10093240</v>
      </c>
      <c r="Y1989" s="55" t="s">
        <v>140</v>
      </c>
      <c r="AB1989" s="55" t="s">
        <v>140</v>
      </c>
      <c r="AC1989" s="55" t="s">
        <v>140</v>
      </c>
    </row>
    <row r="1990" spans="1:29" ht="13" x14ac:dyDescent="0.15">
      <c r="A1990" s="72" t="str">
        <f t="shared" ref="A1990:A2053" si="31">HYPERLINK(_xlfn.CONCAT("http://reports.ofsted.gov.uk/inspection-reports/find-inspection-report/provider/CARE/",B1990),"Ofsted Social Care Provider Webpage")</f>
        <v>Ofsted Social Care Provider Webpage</v>
      </c>
      <c r="B1990" s="55" t="s">
        <v>3190</v>
      </c>
      <c r="D1990" s="55" t="s">
        <v>389</v>
      </c>
      <c r="E1990" s="74">
        <v>37706</v>
      </c>
      <c r="F1990" s="55" t="s">
        <v>344</v>
      </c>
      <c r="G1990" s="55" t="s">
        <v>3191</v>
      </c>
      <c r="H1990" s="55" t="s">
        <v>3192</v>
      </c>
      <c r="I1990" s="55" t="s">
        <v>3193</v>
      </c>
      <c r="J1990" s="55" t="s">
        <v>3194</v>
      </c>
      <c r="L1990" s="55" t="s">
        <v>3195</v>
      </c>
      <c r="M1990" s="55" t="s">
        <v>378</v>
      </c>
      <c r="N1990" s="55" t="s">
        <v>170</v>
      </c>
      <c r="O1990" s="55" t="s">
        <v>233</v>
      </c>
      <c r="P1990" s="55" t="s">
        <v>1376</v>
      </c>
      <c r="Q1990" s="55" t="s">
        <v>362</v>
      </c>
      <c r="R1990" s="55"/>
      <c r="S1990" s="74"/>
      <c r="T1990" s="55" t="s">
        <v>3196</v>
      </c>
      <c r="U1990" s="73" t="s">
        <v>351</v>
      </c>
      <c r="V1990" s="74">
        <v>44592</v>
      </c>
      <c r="W1990" s="74">
        <v>44648</v>
      </c>
      <c r="X1990" s="55">
        <v>10183357</v>
      </c>
      <c r="Y1990" s="55" t="s">
        <v>132</v>
      </c>
      <c r="AB1990" s="55" t="s">
        <v>132</v>
      </c>
      <c r="AC1990" s="55" t="s">
        <v>140</v>
      </c>
    </row>
    <row r="1991" spans="1:29" ht="13" x14ac:dyDescent="0.15">
      <c r="A1991" s="72" t="str">
        <f t="shared" si="31"/>
        <v>Ofsted Social Care Provider Webpage</v>
      </c>
      <c r="B1991" s="55" t="s">
        <v>3197</v>
      </c>
      <c r="D1991" s="55" t="s">
        <v>373</v>
      </c>
      <c r="E1991" s="74">
        <v>37874</v>
      </c>
      <c r="F1991" s="55" t="s">
        <v>344</v>
      </c>
      <c r="G1991" s="55" t="s">
        <v>360</v>
      </c>
      <c r="H1991" s="55" t="s">
        <v>360</v>
      </c>
      <c r="I1991" s="55" t="s">
        <v>360</v>
      </c>
      <c r="J1991" s="55" t="s">
        <v>360</v>
      </c>
      <c r="K1991" s="55" t="s">
        <v>360</v>
      </c>
      <c r="L1991" s="55" t="s">
        <v>360</v>
      </c>
      <c r="M1991" s="55" t="s">
        <v>144</v>
      </c>
      <c r="N1991" s="55" t="s">
        <v>144</v>
      </c>
      <c r="O1991" s="55" t="s">
        <v>271</v>
      </c>
      <c r="P1991" s="55" t="s">
        <v>870</v>
      </c>
      <c r="Q1991" s="55" t="s">
        <v>380</v>
      </c>
      <c r="R1991" s="55">
        <v>3</v>
      </c>
      <c r="S1991" s="74"/>
      <c r="T1991" s="55" t="s">
        <v>1121</v>
      </c>
      <c r="U1991" s="73" t="s">
        <v>351</v>
      </c>
      <c r="V1991" s="74">
        <v>44608</v>
      </c>
      <c r="W1991" s="74">
        <v>44655</v>
      </c>
      <c r="X1991" s="55">
        <v>10185462</v>
      </c>
      <c r="Y1991" s="55" t="s">
        <v>132</v>
      </c>
      <c r="AB1991" s="55" t="s">
        <v>132</v>
      </c>
      <c r="AC1991" s="55" t="s">
        <v>130</v>
      </c>
    </row>
    <row r="1992" spans="1:29" ht="13" x14ac:dyDescent="0.15">
      <c r="A1992" s="72" t="str">
        <f t="shared" si="31"/>
        <v>Ofsted Social Care Provider Webpage</v>
      </c>
      <c r="B1992" s="55" t="s">
        <v>3198</v>
      </c>
      <c r="D1992" s="55" t="s">
        <v>373</v>
      </c>
      <c r="E1992" s="74">
        <v>37824</v>
      </c>
      <c r="F1992" s="55" t="s">
        <v>344</v>
      </c>
      <c r="G1992" s="55" t="s">
        <v>360</v>
      </c>
      <c r="H1992" s="55" t="s">
        <v>360</v>
      </c>
      <c r="I1992" s="55" t="s">
        <v>360</v>
      </c>
      <c r="J1992" s="55" t="s">
        <v>360</v>
      </c>
      <c r="K1992" s="55" t="s">
        <v>360</v>
      </c>
      <c r="L1992" s="55" t="s">
        <v>360</v>
      </c>
      <c r="M1992" s="55" t="s">
        <v>144</v>
      </c>
      <c r="N1992" s="55" t="s">
        <v>144</v>
      </c>
      <c r="O1992" s="55" t="s">
        <v>168</v>
      </c>
      <c r="P1992" s="55" t="s">
        <v>3199</v>
      </c>
      <c r="Q1992" s="55" t="s">
        <v>380</v>
      </c>
      <c r="R1992" s="55">
        <v>6</v>
      </c>
      <c r="S1992" s="74"/>
      <c r="T1992" s="55" t="s">
        <v>1432</v>
      </c>
      <c r="U1992" s="73" t="s">
        <v>351</v>
      </c>
      <c r="V1992" s="74">
        <v>43383</v>
      </c>
      <c r="W1992" s="74">
        <v>43425</v>
      </c>
      <c r="X1992" s="55">
        <v>10049526</v>
      </c>
      <c r="Y1992" s="55" t="s">
        <v>132</v>
      </c>
      <c r="AB1992" s="55" t="s">
        <v>132</v>
      </c>
      <c r="AC1992" s="55" t="s">
        <v>132</v>
      </c>
    </row>
    <row r="1993" spans="1:29" ht="13" x14ac:dyDescent="0.15">
      <c r="A1993" s="72" t="str">
        <f t="shared" si="31"/>
        <v>Ofsted Social Care Provider Webpage</v>
      </c>
      <c r="B1993" s="55" t="s">
        <v>3200</v>
      </c>
      <c r="D1993" s="55" t="s">
        <v>389</v>
      </c>
      <c r="E1993" s="74">
        <v>37834</v>
      </c>
      <c r="F1993" s="55" t="s">
        <v>344</v>
      </c>
      <c r="G1993" s="55" t="s">
        <v>3201</v>
      </c>
      <c r="H1993" s="55" t="s">
        <v>3202</v>
      </c>
      <c r="I1993" s="55" t="s">
        <v>3203</v>
      </c>
      <c r="J1993" s="55" t="s">
        <v>2578</v>
      </c>
      <c r="L1993" s="55" t="s">
        <v>3204</v>
      </c>
      <c r="M1993" s="55" t="s">
        <v>129</v>
      </c>
      <c r="N1993" s="55" t="s">
        <v>129</v>
      </c>
      <c r="O1993" s="55" t="s">
        <v>160</v>
      </c>
      <c r="P1993" s="55" t="s">
        <v>447</v>
      </c>
      <c r="Q1993" s="55" t="s">
        <v>362</v>
      </c>
      <c r="R1993" s="55"/>
      <c r="S1993" s="74"/>
      <c r="T1993" s="55" t="s">
        <v>3205</v>
      </c>
      <c r="U1993" s="73" t="s">
        <v>351</v>
      </c>
      <c r="V1993" s="74">
        <v>44515</v>
      </c>
      <c r="W1993" s="74">
        <v>44580</v>
      </c>
      <c r="X1993" s="55">
        <v>10205950</v>
      </c>
      <c r="Y1993" s="55" t="s">
        <v>140</v>
      </c>
    </row>
    <row r="1994" spans="1:29" ht="13" x14ac:dyDescent="0.15">
      <c r="A1994" s="72" t="str">
        <f t="shared" si="31"/>
        <v>Ofsted Social Care Provider Webpage</v>
      </c>
      <c r="B1994" s="55" t="s">
        <v>3206</v>
      </c>
      <c r="D1994" s="55" t="s">
        <v>373</v>
      </c>
      <c r="E1994" s="74">
        <v>37874</v>
      </c>
      <c r="F1994" s="55" t="s">
        <v>344</v>
      </c>
      <c r="G1994" s="55" t="s">
        <v>360</v>
      </c>
      <c r="H1994" s="55" t="s">
        <v>360</v>
      </c>
      <c r="I1994" s="55" t="s">
        <v>360</v>
      </c>
      <c r="J1994" s="55" t="s">
        <v>360</v>
      </c>
      <c r="K1994" s="55" t="s">
        <v>360</v>
      </c>
      <c r="L1994" s="55" t="s">
        <v>360</v>
      </c>
      <c r="M1994" s="55" t="s">
        <v>144</v>
      </c>
      <c r="N1994" s="55" t="s">
        <v>144</v>
      </c>
      <c r="O1994" s="55" t="s">
        <v>271</v>
      </c>
      <c r="P1994" s="55" t="s">
        <v>1120</v>
      </c>
      <c r="Q1994" s="55" t="s">
        <v>380</v>
      </c>
      <c r="R1994" s="55">
        <v>6</v>
      </c>
      <c r="S1994" s="74" t="s">
        <v>332</v>
      </c>
      <c r="T1994" s="55" t="s">
        <v>1121</v>
      </c>
      <c r="U1994" s="73" t="s">
        <v>351</v>
      </c>
      <c r="V1994" s="74">
        <v>44545</v>
      </c>
      <c r="W1994" s="74">
        <v>44593</v>
      </c>
      <c r="X1994" s="55">
        <v>10185299</v>
      </c>
      <c r="Y1994" s="55" t="s">
        <v>132</v>
      </c>
      <c r="AB1994" s="55" t="s">
        <v>132</v>
      </c>
      <c r="AC1994" s="55" t="s">
        <v>132</v>
      </c>
    </row>
    <row r="1995" spans="1:29" ht="13" x14ac:dyDescent="0.15">
      <c r="A1995" s="72" t="str">
        <f t="shared" si="31"/>
        <v>Ofsted Social Care Provider Webpage</v>
      </c>
      <c r="B1995" s="55" t="s">
        <v>3207</v>
      </c>
      <c r="D1995" s="55" t="s">
        <v>373</v>
      </c>
      <c r="E1995" s="74">
        <v>37830</v>
      </c>
      <c r="F1995" s="55" t="s">
        <v>344</v>
      </c>
      <c r="G1995" s="55" t="s">
        <v>360</v>
      </c>
      <c r="H1995" s="55" t="s">
        <v>360</v>
      </c>
      <c r="I1995" s="55" t="s">
        <v>360</v>
      </c>
      <c r="J1995" s="55" t="s">
        <v>360</v>
      </c>
      <c r="K1995" s="55" t="s">
        <v>360</v>
      </c>
      <c r="L1995" s="55" t="s">
        <v>360</v>
      </c>
      <c r="M1995" s="55" t="s">
        <v>144</v>
      </c>
      <c r="N1995" s="55" t="s">
        <v>144</v>
      </c>
      <c r="O1995" s="55" t="s">
        <v>168</v>
      </c>
      <c r="P1995" s="55" t="s">
        <v>834</v>
      </c>
      <c r="Q1995" s="55" t="s">
        <v>380</v>
      </c>
      <c r="R1995" s="55">
        <v>4</v>
      </c>
      <c r="S1995" s="74" t="s">
        <v>332</v>
      </c>
      <c r="T1995" s="55" t="s">
        <v>1432</v>
      </c>
      <c r="U1995" s="73" t="s">
        <v>351</v>
      </c>
      <c r="V1995" s="74">
        <v>44629</v>
      </c>
      <c r="W1995" s="74">
        <v>44680</v>
      </c>
      <c r="X1995" s="55">
        <v>10186916</v>
      </c>
      <c r="Y1995" s="55" t="s">
        <v>132</v>
      </c>
      <c r="AB1995" s="55" t="s">
        <v>132</v>
      </c>
      <c r="AC1995" s="55" t="s">
        <v>132</v>
      </c>
    </row>
    <row r="1996" spans="1:29" ht="13" x14ac:dyDescent="0.15">
      <c r="A1996" s="72" t="str">
        <f t="shared" si="31"/>
        <v>Ofsted Social Care Provider Webpage</v>
      </c>
      <c r="B1996" s="55" t="s">
        <v>3208</v>
      </c>
      <c r="D1996" s="55" t="s">
        <v>373</v>
      </c>
      <c r="E1996" s="74">
        <v>37826</v>
      </c>
      <c r="F1996" s="55" t="s">
        <v>344</v>
      </c>
      <c r="G1996" s="55" t="s">
        <v>360</v>
      </c>
      <c r="H1996" s="55" t="s">
        <v>360</v>
      </c>
      <c r="I1996" s="55" t="s">
        <v>360</v>
      </c>
      <c r="J1996" s="55" t="s">
        <v>360</v>
      </c>
      <c r="K1996" s="55" t="s">
        <v>360</v>
      </c>
      <c r="L1996" s="55" t="s">
        <v>360</v>
      </c>
      <c r="M1996" s="55" t="s">
        <v>378</v>
      </c>
      <c r="N1996" s="55" t="s">
        <v>134</v>
      </c>
      <c r="O1996" s="55" t="s">
        <v>277</v>
      </c>
      <c r="P1996" s="55" t="s">
        <v>1362</v>
      </c>
      <c r="Q1996" s="55" t="s">
        <v>380</v>
      </c>
      <c r="R1996" s="55">
        <v>7</v>
      </c>
      <c r="S1996" s="74"/>
      <c r="T1996" s="55" t="s">
        <v>1575</v>
      </c>
      <c r="U1996" s="73" t="s">
        <v>351</v>
      </c>
      <c r="V1996" s="74">
        <v>43816</v>
      </c>
      <c r="W1996" s="74">
        <v>43851</v>
      </c>
      <c r="X1996" s="55">
        <v>10095518</v>
      </c>
      <c r="Y1996" s="55" t="s">
        <v>140</v>
      </c>
      <c r="AB1996" s="55" t="s">
        <v>140</v>
      </c>
      <c r="AC1996" s="55" t="s">
        <v>140</v>
      </c>
    </row>
    <row r="1997" spans="1:29" ht="13" x14ac:dyDescent="0.15">
      <c r="A1997" s="72" t="str">
        <f t="shared" si="31"/>
        <v>Ofsted Social Care Provider Webpage</v>
      </c>
      <c r="B1997" s="55" t="s">
        <v>3209</v>
      </c>
      <c r="D1997" s="55" t="s">
        <v>373</v>
      </c>
      <c r="E1997" s="74">
        <v>37908</v>
      </c>
      <c r="F1997" s="55" t="s">
        <v>344</v>
      </c>
      <c r="G1997" s="55" t="s">
        <v>360</v>
      </c>
      <c r="H1997" s="55" t="s">
        <v>360</v>
      </c>
      <c r="I1997" s="55" t="s">
        <v>360</v>
      </c>
      <c r="J1997" s="55" t="s">
        <v>360</v>
      </c>
      <c r="K1997" s="55" t="s">
        <v>360</v>
      </c>
      <c r="L1997" s="55" t="s">
        <v>360</v>
      </c>
      <c r="M1997" s="55" t="s">
        <v>378</v>
      </c>
      <c r="N1997" s="55" t="s">
        <v>134</v>
      </c>
      <c r="O1997" s="55" t="s">
        <v>232</v>
      </c>
      <c r="P1997" s="55" t="s">
        <v>3210</v>
      </c>
      <c r="Q1997" s="55" t="s">
        <v>380</v>
      </c>
      <c r="R1997" s="55">
        <v>6</v>
      </c>
      <c r="S1997" s="74"/>
      <c r="T1997" s="55" t="s">
        <v>998</v>
      </c>
      <c r="U1997" s="73" t="s">
        <v>351</v>
      </c>
      <c r="V1997" s="74">
        <v>44565</v>
      </c>
      <c r="W1997" s="74">
        <v>44608</v>
      </c>
      <c r="X1997" s="55">
        <v>10185613</v>
      </c>
      <c r="Y1997" s="55" t="s">
        <v>132</v>
      </c>
      <c r="AB1997" s="55" t="s">
        <v>132</v>
      </c>
      <c r="AC1997" s="55" t="s">
        <v>132</v>
      </c>
    </row>
    <row r="1998" spans="1:29" ht="13" x14ac:dyDescent="0.15">
      <c r="A1998" s="72" t="str">
        <f t="shared" si="31"/>
        <v>Ofsted Social Care Provider Webpage</v>
      </c>
      <c r="B1998" s="55" t="s">
        <v>3211</v>
      </c>
      <c r="D1998" s="55" t="s">
        <v>373</v>
      </c>
      <c r="E1998" s="74">
        <v>37908</v>
      </c>
      <c r="F1998" s="55" t="s">
        <v>344</v>
      </c>
      <c r="G1998" s="55" t="s">
        <v>360</v>
      </c>
      <c r="H1998" s="55" t="s">
        <v>360</v>
      </c>
      <c r="I1998" s="55" t="s">
        <v>360</v>
      </c>
      <c r="J1998" s="55" t="s">
        <v>360</v>
      </c>
      <c r="K1998" s="55" t="s">
        <v>360</v>
      </c>
      <c r="L1998" s="55" t="s">
        <v>360</v>
      </c>
      <c r="M1998" s="55" t="s">
        <v>378</v>
      </c>
      <c r="N1998" s="55" t="s">
        <v>134</v>
      </c>
      <c r="O1998" s="55" t="s">
        <v>232</v>
      </c>
      <c r="P1998" s="55" t="s">
        <v>3210</v>
      </c>
      <c r="Q1998" s="55" t="s">
        <v>380</v>
      </c>
      <c r="R1998" s="55">
        <v>9</v>
      </c>
      <c r="S1998" s="74" t="s">
        <v>332</v>
      </c>
      <c r="T1998" s="55" t="s">
        <v>998</v>
      </c>
      <c r="U1998" s="73" t="s">
        <v>351</v>
      </c>
      <c r="V1998" s="74">
        <v>44629</v>
      </c>
      <c r="W1998" s="74">
        <v>44680</v>
      </c>
      <c r="X1998" s="55">
        <v>10186517</v>
      </c>
      <c r="Y1998" s="55" t="s">
        <v>132</v>
      </c>
      <c r="AB1998" s="55" t="s">
        <v>132</v>
      </c>
      <c r="AC1998" s="55" t="s">
        <v>140</v>
      </c>
    </row>
    <row r="1999" spans="1:29" ht="13" x14ac:dyDescent="0.15">
      <c r="A1999" s="72" t="str">
        <f t="shared" si="31"/>
        <v>Ofsted Social Care Provider Webpage</v>
      </c>
      <c r="B1999" s="55" t="s">
        <v>3212</v>
      </c>
      <c r="D1999" s="55" t="s">
        <v>373</v>
      </c>
      <c r="E1999" s="74">
        <v>37728</v>
      </c>
      <c r="F1999" s="55" t="s">
        <v>344</v>
      </c>
      <c r="G1999" s="55" t="s">
        <v>360</v>
      </c>
      <c r="H1999" s="55" t="s">
        <v>360</v>
      </c>
      <c r="I1999" s="55" t="s">
        <v>360</v>
      </c>
      <c r="J1999" s="55" t="s">
        <v>360</v>
      </c>
      <c r="K1999" s="55" t="s">
        <v>360</v>
      </c>
      <c r="L1999" s="55" t="s">
        <v>360</v>
      </c>
      <c r="M1999" s="55" t="s">
        <v>136</v>
      </c>
      <c r="N1999" s="55" t="s">
        <v>136</v>
      </c>
      <c r="O1999" s="55" t="s">
        <v>154</v>
      </c>
      <c r="P1999" s="55" t="s">
        <v>1686</v>
      </c>
      <c r="Q1999" s="55" t="s">
        <v>380</v>
      </c>
      <c r="R1999" s="55">
        <v>4</v>
      </c>
      <c r="S1999" s="74"/>
      <c r="T1999" s="55" t="s">
        <v>1687</v>
      </c>
      <c r="U1999" s="73" t="s">
        <v>351</v>
      </c>
      <c r="V1999" s="74">
        <v>43894</v>
      </c>
      <c r="W1999" s="74">
        <v>43956</v>
      </c>
      <c r="X1999" s="55">
        <v>10095467</v>
      </c>
      <c r="Y1999" s="55" t="s">
        <v>130</v>
      </c>
      <c r="AB1999" s="55" t="s">
        <v>130</v>
      </c>
      <c r="AC1999" s="55" t="s">
        <v>130</v>
      </c>
    </row>
    <row r="2000" spans="1:29" ht="13" x14ac:dyDescent="0.15">
      <c r="A2000" s="72" t="str">
        <f t="shared" si="31"/>
        <v>Ofsted Social Care Provider Webpage</v>
      </c>
      <c r="B2000" s="55" t="s">
        <v>3213</v>
      </c>
      <c r="D2000" s="55" t="s">
        <v>373</v>
      </c>
      <c r="E2000" s="74">
        <v>37908</v>
      </c>
      <c r="F2000" s="55" t="s">
        <v>344</v>
      </c>
      <c r="G2000" s="55" t="s">
        <v>360</v>
      </c>
      <c r="H2000" s="55" t="s">
        <v>360</v>
      </c>
      <c r="I2000" s="55" t="s">
        <v>360</v>
      </c>
      <c r="J2000" s="55" t="s">
        <v>360</v>
      </c>
      <c r="K2000" s="55" t="s">
        <v>360</v>
      </c>
      <c r="L2000" s="55" t="s">
        <v>360</v>
      </c>
      <c r="M2000" s="55" t="s">
        <v>378</v>
      </c>
      <c r="N2000" s="55" t="s">
        <v>134</v>
      </c>
      <c r="O2000" s="55" t="s">
        <v>232</v>
      </c>
      <c r="P2000" s="55" t="s">
        <v>491</v>
      </c>
      <c r="Q2000" s="55" t="s">
        <v>380</v>
      </c>
      <c r="R2000" s="55">
        <v>7</v>
      </c>
      <c r="S2000" s="74" t="s">
        <v>332</v>
      </c>
      <c r="T2000" s="55" t="s">
        <v>998</v>
      </c>
      <c r="U2000" s="73" t="s">
        <v>351</v>
      </c>
      <c r="V2000" s="74">
        <v>43739</v>
      </c>
      <c r="W2000" s="74">
        <v>43762</v>
      </c>
      <c r="X2000" s="55">
        <v>10095582</v>
      </c>
      <c r="Y2000" s="55" t="s">
        <v>140</v>
      </c>
      <c r="AB2000" s="55" t="s">
        <v>140</v>
      </c>
      <c r="AC2000" s="55" t="s">
        <v>140</v>
      </c>
    </row>
    <row r="2001" spans="1:29" ht="13" x14ac:dyDescent="0.15">
      <c r="A2001" s="72" t="str">
        <f t="shared" si="31"/>
        <v>Ofsted Social Care Provider Webpage</v>
      </c>
      <c r="B2001" s="55" t="s">
        <v>3214</v>
      </c>
      <c r="C2001" s="55">
        <v>130835</v>
      </c>
      <c r="D2001" s="55" t="s">
        <v>693</v>
      </c>
      <c r="E2001" s="74">
        <v>37460</v>
      </c>
      <c r="F2001" s="55" t="s">
        <v>344</v>
      </c>
      <c r="G2001" s="55" t="s">
        <v>3215</v>
      </c>
      <c r="H2001" s="55" t="s">
        <v>3215</v>
      </c>
      <c r="I2001" s="55" t="s">
        <v>3216</v>
      </c>
      <c r="J2001" s="55" t="s">
        <v>3217</v>
      </c>
      <c r="K2001" s="55" t="s">
        <v>282</v>
      </c>
      <c r="L2001" s="55" t="s">
        <v>3218</v>
      </c>
      <c r="M2001" s="55" t="s">
        <v>142</v>
      </c>
      <c r="N2001" s="55" t="s">
        <v>142</v>
      </c>
      <c r="O2001" s="55" t="s">
        <v>282</v>
      </c>
      <c r="P2001" s="55" t="s">
        <v>3219</v>
      </c>
      <c r="Q2001" s="55" t="s">
        <v>362</v>
      </c>
      <c r="R2001" s="55">
        <v>76</v>
      </c>
      <c r="S2001" s="74"/>
      <c r="T2001" s="55" t="s">
        <v>3215</v>
      </c>
      <c r="U2001" s="73" t="s">
        <v>351</v>
      </c>
      <c r="V2001" s="74">
        <v>43872</v>
      </c>
      <c r="W2001" s="74">
        <v>43923</v>
      </c>
      <c r="X2001" s="55">
        <v>10092973</v>
      </c>
      <c r="Y2001" s="55" t="s">
        <v>132</v>
      </c>
      <c r="AB2001" s="55" t="s">
        <v>132</v>
      </c>
      <c r="AC2001" s="55" t="s">
        <v>132</v>
      </c>
    </row>
    <row r="2002" spans="1:29" ht="13" x14ac:dyDescent="0.15">
      <c r="A2002" s="72" t="str">
        <f t="shared" si="31"/>
        <v>Ofsted Social Care Provider Webpage</v>
      </c>
      <c r="B2002" s="55" t="s">
        <v>3220</v>
      </c>
      <c r="D2002" s="55" t="s">
        <v>373</v>
      </c>
      <c r="E2002" s="74">
        <v>37908</v>
      </c>
      <c r="F2002" s="55" t="s">
        <v>344</v>
      </c>
      <c r="G2002" s="55" t="s">
        <v>360</v>
      </c>
      <c r="H2002" s="55" t="s">
        <v>360</v>
      </c>
      <c r="I2002" s="55" t="s">
        <v>360</v>
      </c>
      <c r="J2002" s="55" t="s">
        <v>360</v>
      </c>
      <c r="K2002" s="55" t="s">
        <v>360</v>
      </c>
      <c r="L2002" s="55" t="s">
        <v>360</v>
      </c>
      <c r="M2002" s="55" t="s">
        <v>378</v>
      </c>
      <c r="N2002" s="55" t="s">
        <v>134</v>
      </c>
      <c r="O2002" s="55" t="s">
        <v>232</v>
      </c>
      <c r="P2002" s="55" t="s">
        <v>595</v>
      </c>
      <c r="Q2002" s="55" t="s">
        <v>380</v>
      </c>
      <c r="R2002" s="55">
        <v>6</v>
      </c>
      <c r="S2002" s="74"/>
      <c r="T2002" s="55" t="s">
        <v>998</v>
      </c>
      <c r="U2002" s="73" t="s">
        <v>351</v>
      </c>
      <c r="V2002" s="74">
        <v>44607</v>
      </c>
      <c r="W2002" s="74">
        <v>44658</v>
      </c>
      <c r="X2002" s="55">
        <v>10187051</v>
      </c>
      <c r="Y2002" s="55" t="s">
        <v>130</v>
      </c>
      <c r="AB2002" s="55" t="s">
        <v>130</v>
      </c>
      <c r="AC2002" s="55" t="s">
        <v>130</v>
      </c>
    </row>
    <row r="2003" spans="1:29" ht="13" x14ac:dyDescent="0.15">
      <c r="A2003" s="72" t="str">
        <f t="shared" si="31"/>
        <v>Ofsted Social Care Provider Webpage</v>
      </c>
      <c r="B2003" s="55" t="s">
        <v>3221</v>
      </c>
      <c r="D2003" s="55" t="s">
        <v>479</v>
      </c>
      <c r="E2003" s="74">
        <v>37617</v>
      </c>
      <c r="F2003" s="55" t="s">
        <v>344</v>
      </c>
      <c r="G2003" s="55" t="s">
        <v>360</v>
      </c>
      <c r="H2003" s="55" t="s">
        <v>360</v>
      </c>
      <c r="I2003" s="55" t="s">
        <v>360</v>
      </c>
      <c r="J2003" s="55" t="s">
        <v>360</v>
      </c>
      <c r="K2003" s="55" t="s">
        <v>360</v>
      </c>
      <c r="L2003" s="55" t="s">
        <v>360</v>
      </c>
      <c r="M2003" s="55" t="s">
        <v>172</v>
      </c>
      <c r="N2003" s="55" t="s">
        <v>172</v>
      </c>
      <c r="O2003" s="55" t="s">
        <v>214</v>
      </c>
      <c r="P2003" s="55" t="s">
        <v>1426</v>
      </c>
      <c r="Q2003" s="55" t="s">
        <v>350</v>
      </c>
      <c r="R2003" s="55">
        <v>55</v>
      </c>
      <c r="S2003" s="74"/>
      <c r="T2003" s="55" t="s">
        <v>1290</v>
      </c>
      <c r="U2003" s="73" t="s">
        <v>351</v>
      </c>
      <c r="V2003" s="74">
        <v>44432</v>
      </c>
      <c r="W2003" s="74">
        <v>44467</v>
      </c>
      <c r="X2003" s="55">
        <v>10185089</v>
      </c>
      <c r="Y2003" s="55" t="s">
        <v>132</v>
      </c>
      <c r="AB2003" s="55" t="s">
        <v>132</v>
      </c>
      <c r="AC2003" s="55" t="s">
        <v>132</v>
      </c>
    </row>
    <row r="2004" spans="1:29" ht="13" x14ac:dyDescent="0.15">
      <c r="A2004" s="72" t="str">
        <f t="shared" si="31"/>
        <v>Ofsted Social Care Provider Webpage</v>
      </c>
      <c r="B2004" s="55" t="s">
        <v>3222</v>
      </c>
      <c r="D2004" s="55" t="s">
        <v>389</v>
      </c>
      <c r="E2004" s="74">
        <v>37804</v>
      </c>
      <c r="F2004" s="55" t="s">
        <v>344</v>
      </c>
      <c r="G2004" s="55" t="s">
        <v>3223</v>
      </c>
      <c r="H2004" s="55" t="s">
        <v>3224</v>
      </c>
      <c r="I2004" s="55" t="s">
        <v>3225</v>
      </c>
      <c r="J2004" s="55" t="s">
        <v>3226</v>
      </c>
      <c r="K2004" s="55" t="s">
        <v>183</v>
      </c>
      <c r="L2004" s="55" t="s">
        <v>3227</v>
      </c>
      <c r="M2004" s="55" t="s">
        <v>138</v>
      </c>
      <c r="N2004" s="55" t="s">
        <v>138</v>
      </c>
      <c r="O2004" s="55" t="s">
        <v>183</v>
      </c>
      <c r="P2004" s="55" t="s">
        <v>584</v>
      </c>
      <c r="Q2004" s="55" t="s">
        <v>350</v>
      </c>
      <c r="R2004" s="55"/>
      <c r="S2004" s="74"/>
      <c r="T2004" s="55" t="s">
        <v>3228</v>
      </c>
      <c r="U2004" s="73" t="s">
        <v>351</v>
      </c>
      <c r="V2004" s="74">
        <v>44613</v>
      </c>
      <c r="W2004" s="74">
        <v>44656</v>
      </c>
      <c r="X2004" s="55">
        <v>10183347</v>
      </c>
      <c r="Y2004" s="55" t="s">
        <v>140</v>
      </c>
      <c r="AB2004" s="55" t="s">
        <v>140</v>
      </c>
      <c r="AC2004" s="55" t="s">
        <v>140</v>
      </c>
    </row>
    <row r="2005" spans="1:29" ht="13" x14ac:dyDescent="0.15">
      <c r="A2005" s="72" t="str">
        <f t="shared" si="31"/>
        <v>Ofsted Social Care Provider Webpage</v>
      </c>
      <c r="B2005" s="55" t="s">
        <v>3229</v>
      </c>
      <c r="D2005" s="55" t="s">
        <v>373</v>
      </c>
      <c r="E2005" s="74">
        <v>37726</v>
      </c>
      <c r="F2005" s="55" t="s">
        <v>344</v>
      </c>
      <c r="G2005" s="55" t="s">
        <v>360</v>
      </c>
      <c r="H2005" s="55" t="s">
        <v>360</v>
      </c>
      <c r="I2005" s="55" t="s">
        <v>360</v>
      </c>
      <c r="J2005" s="55" t="s">
        <v>360</v>
      </c>
      <c r="K2005" s="55" t="s">
        <v>360</v>
      </c>
      <c r="L2005" s="55" t="s">
        <v>360</v>
      </c>
      <c r="M2005" s="55" t="s">
        <v>136</v>
      </c>
      <c r="N2005" s="55" t="s">
        <v>136</v>
      </c>
      <c r="O2005" s="55" t="s">
        <v>154</v>
      </c>
      <c r="P2005" s="55" t="s">
        <v>2290</v>
      </c>
      <c r="Q2005" s="55" t="s">
        <v>380</v>
      </c>
      <c r="R2005" s="55">
        <v>5</v>
      </c>
      <c r="S2005" s="74"/>
      <c r="T2005" s="55" t="s">
        <v>1687</v>
      </c>
      <c r="U2005" s="73" t="s">
        <v>351</v>
      </c>
      <c r="V2005" s="74">
        <v>44327</v>
      </c>
      <c r="W2005" s="74">
        <v>44361</v>
      </c>
      <c r="X2005" s="55">
        <v>10185028</v>
      </c>
      <c r="Y2005" s="55" t="s">
        <v>132</v>
      </c>
      <c r="AB2005" s="55" t="s">
        <v>132</v>
      </c>
      <c r="AC2005" s="55" t="s">
        <v>130</v>
      </c>
    </row>
    <row r="2006" spans="1:29" ht="13" x14ac:dyDescent="0.15">
      <c r="A2006" s="72" t="str">
        <f t="shared" si="31"/>
        <v>Ofsted Social Care Provider Webpage</v>
      </c>
      <c r="B2006" s="55" t="s">
        <v>3230</v>
      </c>
      <c r="D2006" s="55" t="s">
        <v>373</v>
      </c>
      <c r="E2006" s="74">
        <v>37712</v>
      </c>
      <c r="F2006" s="55" t="s">
        <v>344</v>
      </c>
      <c r="G2006" s="55" t="s">
        <v>360</v>
      </c>
      <c r="H2006" s="55" t="s">
        <v>360</v>
      </c>
      <c r="I2006" s="55" t="s">
        <v>360</v>
      </c>
      <c r="J2006" s="55" t="s">
        <v>360</v>
      </c>
      <c r="K2006" s="55" t="s">
        <v>360</v>
      </c>
      <c r="L2006" s="55" t="s">
        <v>360</v>
      </c>
      <c r="M2006" s="55" t="s">
        <v>378</v>
      </c>
      <c r="N2006" s="55" t="s">
        <v>134</v>
      </c>
      <c r="O2006" s="55" t="s">
        <v>204</v>
      </c>
      <c r="P2006" s="55" t="s">
        <v>1920</v>
      </c>
      <c r="Q2006" s="55" t="s">
        <v>380</v>
      </c>
      <c r="R2006" s="55">
        <v>6</v>
      </c>
      <c r="S2006" s="74"/>
      <c r="T2006" s="55" t="s">
        <v>1479</v>
      </c>
      <c r="U2006" s="73" t="s">
        <v>351</v>
      </c>
      <c r="V2006" s="74">
        <v>44453</v>
      </c>
      <c r="W2006" s="74">
        <v>44491</v>
      </c>
      <c r="X2006" s="55">
        <v>10185005</v>
      </c>
      <c r="Y2006" s="55" t="s">
        <v>140</v>
      </c>
      <c r="AB2006" s="55" t="s">
        <v>140</v>
      </c>
      <c r="AC2006" s="55" t="s">
        <v>132</v>
      </c>
    </row>
    <row r="2007" spans="1:29" ht="13" x14ac:dyDescent="0.15">
      <c r="A2007" s="72" t="str">
        <f t="shared" si="31"/>
        <v>Ofsted Social Care Provider Webpage</v>
      </c>
      <c r="B2007" s="55" t="s">
        <v>3231</v>
      </c>
      <c r="C2007" s="55">
        <v>115813</v>
      </c>
      <c r="D2007" s="55" t="s">
        <v>413</v>
      </c>
      <c r="E2007" s="74">
        <v>37461</v>
      </c>
      <c r="F2007" s="55" t="s">
        <v>344</v>
      </c>
      <c r="G2007" s="55" t="s">
        <v>3232</v>
      </c>
      <c r="H2007" s="55" t="s">
        <v>3233</v>
      </c>
      <c r="I2007" s="55" t="s">
        <v>3234</v>
      </c>
      <c r="J2007" s="55" t="s">
        <v>3235</v>
      </c>
      <c r="K2007" s="55" t="s">
        <v>185</v>
      </c>
      <c r="L2007" s="55" t="s">
        <v>3236</v>
      </c>
      <c r="M2007" s="55" t="s">
        <v>136</v>
      </c>
      <c r="N2007" s="55" t="s">
        <v>136</v>
      </c>
      <c r="O2007" s="55" t="s">
        <v>185</v>
      </c>
      <c r="P2007" s="55" t="s">
        <v>898</v>
      </c>
      <c r="Q2007" s="55" t="s">
        <v>362</v>
      </c>
      <c r="R2007" s="55">
        <v>15</v>
      </c>
      <c r="S2007" s="74"/>
      <c r="T2007" s="55" t="s">
        <v>3237</v>
      </c>
      <c r="U2007" s="73" t="s">
        <v>351</v>
      </c>
      <c r="V2007" s="74">
        <v>44523</v>
      </c>
      <c r="W2007" s="74">
        <v>44585</v>
      </c>
      <c r="X2007" s="55">
        <v>10183578</v>
      </c>
      <c r="Y2007" s="55" t="s">
        <v>132</v>
      </c>
      <c r="AB2007" s="55" t="s">
        <v>132</v>
      </c>
      <c r="AC2007" s="55" t="s">
        <v>132</v>
      </c>
    </row>
    <row r="2008" spans="1:29" ht="13" x14ac:dyDescent="0.15">
      <c r="A2008" s="72" t="str">
        <f t="shared" si="31"/>
        <v>Ofsted Social Care Provider Webpage</v>
      </c>
      <c r="B2008" s="55" t="s">
        <v>3238</v>
      </c>
      <c r="D2008" s="55" t="s">
        <v>373</v>
      </c>
      <c r="E2008" s="74">
        <v>37628</v>
      </c>
      <c r="F2008" s="55" t="s">
        <v>344</v>
      </c>
      <c r="G2008" s="55" t="s">
        <v>360</v>
      </c>
      <c r="H2008" s="55" t="s">
        <v>360</v>
      </c>
      <c r="I2008" s="55" t="s">
        <v>360</v>
      </c>
      <c r="J2008" s="55" t="s">
        <v>360</v>
      </c>
      <c r="K2008" s="55" t="s">
        <v>360</v>
      </c>
      <c r="L2008" s="55" t="s">
        <v>360</v>
      </c>
      <c r="M2008" s="55" t="s">
        <v>378</v>
      </c>
      <c r="N2008" s="55" t="s">
        <v>134</v>
      </c>
      <c r="O2008" s="55" t="s">
        <v>206</v>
      </c>
      <c r="P2008" s="55" t="s">
        <v>760</v>
      </c>
      <c r="Q2008" s="55" t="s">
        <v>362</v>
      </c>
      <c r="R2008" s="55">
        <v>7</v>
      </c>
      <c r="S2008" s="74"/>
      <c r="T2008" s="55" t="s">
        <v>3239</v>
      </c>
      <c r="U2008" s="73" t="s">
        <v>351</v>
      </c>
      <c r="V2008" s="74">
        <v>43879</v>
      </c>
      <c r="W2008" s="74">
        <v>43899</v>
      </c>
      <c r="X2008" s="55">
        <v>10095412</v>
      </c>
      <c r="Y2008" s="55" t="s">
        <v>132</v>
      </c>
      <c r="AB2008" s="55" t="s">
        <v>132</v>
      </c>
      <c r="AC2008" s="55" t="s">
        <v>132</v>
      </c>
    </row>
    <row r="2009" spans="1:29" ht="13" x14ac:dyDescent="0.15">
      <c r="A2009" s="72" t="str">
        <f t="shared" si="31"/>
        <v>Ofsted Social Care Provider Webpage</v>
      </c>
      <c r="B2009" s="55" t="s">
        <v>3240</v>
      </c>
      <c r="D2009" s="55" t="s">
        <v>373</v>
      </c>
      <c r="E2009" s="74">
        <v>37874</v>
      </c>
      <c r="F2009" s="55" t="s">
        <v>344</v>
      </c>
      <c r="G2009" s="55" t="s">
        <v>360</v>
      </c>
      <c r="H2009" s="55" t="s">
        <v>360</v>
      </c>
      <c r="I2009" s="55" t="s">
        <v>360</v>
      </c>
      <c r="J2009" s="55" t="s">
        <v>360</v>
      </c>
      <c r="K2009" s="55" t="s">
        <v>360</v>
      </c>
      <c r="L2009" s="55" t="s">
        <v>360</v>
      </c>
      <c r="M2009" s="55" t="s">
        <v>138</v>
      </c>
      <c r="N2009" s="55" t="s">
        <v>138</v>
      </c>
      <c r="O2009" s="55" t="s">
        <v>224</v>
      </c>
      <c r="P2009" s="55" t="s">
        <v>1872</v>
      </c>
      <c r="Q2009" s="55" t="s">
        <v>380</v>
      </c>
      <c r="R2009" s="55">
        <v>4</v>
      </c>
      <c r="S2009" s="74" t="s">
        <v>332</v>
      </c>
      <c r="T2009" s="55" t="s">
        <v>2272</v>
      </c>
      <c r="U2009" s="73" t="s">
        <v>351</v>
      </c>
      <c r="V2009" s="74">
        <v>44424</v>
      </c>
      <c r="W2009" s="74">
        <v>44454</v>
      </c>
      <c r="X2009" s="55">
        <v>10186355</v>
      </c>
      <c r="Y2009" s="55" t="s">
        <v>132</v>
      </c>
      <c r="AB2009" s="55" t="s">
        <v>132</v>
      </c>
      <c r="AC2009" s="55" t="s">
        <v>132</v>
      </c>
    </row>
    <row r="2010" spans="1:29" ht="13" x14ac:dyDescent="0.15">
      <c r="A2010" s="72" t="str">
        <f t="shared" si="31"/>
        <v>Ofsted Social Care Provider Webpage</v>
      </c>
      <c r="B2010" s="55" t="s">
        <v>3241</v>
      </c>
      <c r="D2010" s="55" t="s">
        <v>373</v>
      </c>
      <c r="E2010" s="74">
        <v>37895</v>
      </c>
      <c r="F2010" s="55" t="s">
        <v>344</v>
      </c>
      <c r="G2010" s="55" t="s">
        <v>360</v>
      </c>
      <c r="H2010" s="55" t="s">
        <v>360</v>
      </c>
      <c r="I2010" s="55" t="s">
        <v>360</v>
      </c>
      <c r="J2010" s="55" t="s">
        <v>360</v>
      </c>
      <c r="K2010" s="55" t="s">
        <v>360</v>
      </c>
      <c r="L2010" s="55" t="s">
        <v>360</v>
      </c>
      <c r="M2010" s="55" t="s">
        <v>378</v>
      </c>
      <c r="N2010" s="55" t="s">
        <v>134</v>
      </c>
      <c r="O2010" s="55" t="s">
        <v>206</v>
      </c>
      <c r="P2010" s="55" t="s">
        <v>760</v>
      </c>
      <c r="Q2010" s="55" t="s">
        <v>380</v>
      </c>
      <c r="R2010" s="55">
        <v>8</v>
      </c>
      <c r="S2010" s="74"/>
      <c r="T2010" s="55" t="s">
        <v>3113</v>
      </c>
      <c r="U2010" s="73" t="s">
        <v>351</v>
      </c>
      <c r="V2010" s="74">
        <v>44327</v>
      </c>
      <c r="W2010" s="74">
        <v>44362</v>
      </c>
      <c r="X2010" s="55">
        <v>10185658</v>
      </c>
      <c r="Y2010" s="55" t="s">
        <v>140</v>
      </c>
      <c r="AB2010" s="55" t="s">
        <v>140</v>
      </c>
      <c r="AC2010" s="55" t="s">
        <v>140</v>
      </c>
    </row>
    <row r="2011" spans="1:29" ht="13" x14ac:dyDescent="0.15">
      <c r="A2011" s="72" t="str">
        <f t="shared" si="31"/>
        <v>Ofsted Social Care Provider Webpage</v>
      </c>
      <c r="B2011" s="55" t="s">
        <v>3242</v>
      </c>
      <c r="D2011" s="55" t="s">
        <v>373</v>
      </c>
      <c r="E2011" s="74">
        <v>37979</v>
      </c>
      <c r="F2011" s="55" t="s">
        <v>344</v>
      </c>
      <c r="G2011" s="55" t="s">
        <v>360</v>
      </c>
      <c r="H2011" s="55" t="s">
        <v>360</v>
      </c>
      <c r="I2011" s="55" t="s">
        <v>360</v>
      </c>
      <c r="J2011" s="55" t="s">
        <v>360</v>
      </c>
      <c r="K2011" s="55" t="s">
        <v>360</v>
      </c>
      <c r="L2011" s="55" t="s">
        <v>360</v>
      </c>
      <c r="M2011" s="55" t="s">
        <v>138</v>
      </c>
      <c r="N2011" s="55" t="s">
        <v>138</v>
      </c>
      <c r="O2011" s="55" t="s">
        <v>224</v>
      </c>
      <c r="P2011" s="55" t="s">
        <v>1294</v>
      </c>
      <c r="Q2011" s="55" t="s">
        <v>380</v>
      </c>
      <c r="R2011" s="55">
        <v>4</v>
      </c>
      <c r="S2011" s="74" t="s">
        <v>332</v>
      </c>
      <c r="T2011" s="55" t="s">
        <v>2272</v>
      </c>
      <c r="U2011" s="73" t="s">
        <v>351</v>
      </c>
      <c r="V2011" s="74">
        <v>44523</v>
      </c>
      <c r="W2011" s="74">
        <v>44565</v>
      </c>
      <c r="X2011" s="55">
        <v>10186534</v>
      </c>
      <c r="Y2011" s="55" t="s">
        <v>130</v>
      </c>
      <c r="AB2011" s="55" t="s">
        <v>130</v>
      </c>
      <c r="AC2011" s="55" t="s">
        <v>130</v>
      </c>
    </row>
    <row r="2012" spans="1:29" ht="13" x14ac:dyDescent="0.15">
      <c r="A2012" s="72" t="str">
        <f t="shared" si="31"/>
        <v>Ofsted Social Care Provider Webpage</v>
      </c>
      <c r="B2012" s="55" t="s">
        <v>3243</v>
      </c>
      <c r="D2012" s="55" t="s">
        <v>373</v>
      </c>
      <c r="E2012" s="74">
        <v>37712</v>
      </c>
      <c r="F2012" s="55" t="s">
        <v>344</v>
      </c>
      <c r="G2012" s="55" t="s">
        <v>360</v>
      </c>
      <c r="H2012" s="55" t="s">
        <v>360</v>
      </c>
      <c r="I2012" s="55" t="s">
        <v>360</v>
      </c>
      <c r="J2012" s="55" t="s">
        <v>360</v>
      </c>
      <c r="K2012" s="55" t="s">
        <v>360</v>
      </c>
      <c r="L2012" s="55" t="s">
        <v>360</v>
      </c>
      <c r="M2012" s="55" t="s">
        <v>378</v>
      </c>
      <c r="N2012" s="55" t="s">
        <v>134</v>
      </c>
      <c r="O2012" s="55" t="s">
        <v>204</v>
      </c>
      <c r="P2012" s="55" t="s">
        <v>1920</v>
      </c>
      <c r="Q2012" s="55" t="s">
        <v>380</v>
      </c>
      <c r="R2012" s="55">
        <v>8</v>
      </c>
      <c r="S2012" s="74"/>
      <c r="T2012" s="55" t="s">
        <v>1479</v>
      </c>
      <c r="U2012" s="73" t="s">
        <v>351</v>
      </c>
      <c r="V2012" s="74">
        <v>43782</v>
      </c>
      <c r="W2012" s="74">
        <v>43815</v>
      </c>
      <c r="X2012" s="55">
        <v>10095454</v>
      </c>
      <c r="Y2012" s="55" t="s">
        <v>140</v>
      </c>
      <c r="AB2012" s="55" t="s">
        <v>140</v>
      </c>
      <c r="AC2012" s="55" t="s">
        <v>140</v>
      </c>
    </row>
    <row r="2013" spans="1:29" ht="13" x14ac:dyDescent="0.15">
      <c r="A2013" s="72" t="str">
        <f t="shared" si="31"/>
        <v>Ofsted Social Care Provider Webpage</v>
      </c>
      <c r="B2013" s="55" t="s">
        <v>3244</v>
      </c>
      <c r="D2013" s="55" t="s">
        <v>373</v>
      </c>
      <c r="E2013" s="74">
        <v>37869</v>
      </c>
      <c r="F2013" s="55" t="s">
        <v>344</v>
      </c>
      <c r="G2013" s="55" t="s">
        <v>360</v>
      </c>
      <c r="H2013" s="55" t="s">
        <v>360</v>
      </c>
      <c r="I2013" s="55" t="s">
        <v>360</v>
      </c>
      <c r="J2013" s="55" t="s">
        <v>360</v>
      </c>
      <c r="K2013" s="55" t="s">
        <v>360</v>
      </c>
      <c r="L2013" s="55" t="s">
        <v>360</v>
      </c>
      <c r="M2013" s="55" t="s">
        <v>378</v>
      </c>
      <c r="N2013" s="55" t="s">
        <v>170</v>
      </c>
      <c r="O2013" s="55" t="s">
        <v>178</v>
      </c>
      <c r="P2013" s="55" t="s">
        <v>2014</v>
      </c>
      <c r="Q2013" s="55" t="s">
        <v>380</v>
      </c>
      <c r="R2013" s="55">
        <v>5</v>
      </c>
      <c r="S2013" s="74"/>
      <c r="T2013" s="55" t="s">
        <v>2068</v>
      </c>
      <c r="U2013" s="73" t="s">
        <v>351</v>
      </c>
      <c r="V2013" s="74">
        <v>44516</v>
      </c>
      <c r="W2013" s="74">
        <v>44550</v>
      </c>
      <c r="X2013" s="55">
        <v>10186513</v>
      </c>
      <c r="Y2013" s="55" t="s">
        <v>132</v>
      </c>
      <c r="AB2013" s="55" t="s">
        <v>132</v>
      </c>
      <c r="AC2013" s="55" t="s">
        <v>132</v>
      </c>
    </row>
    <row r="2014" spans="1:29" ht="13" x14ac:dyDescent="0.15">
      <c r="A2014" s="72" t="str">
        <f t="shared" si="31"/>
        <v>Ofsted Social Care Provider Webpage</v>
      </c>
      <c r="B2014" s="55" t="s">
        <v>3245</v>
      </c>
      <c r="D2014" s="55" t="s">
        <v>373</v>
      </c>
      <c r="E2014" s="74">
        <v>37712</v>
      </c>
      <c r="F2014" s="55" t="s">
        <v>344</v>
      </c>
      <c r="G2014" s="55" t="s">
        <v>360</v>
      </c>
      <c r="H2014" s="55" t="s">
        <v>360</v>
      </c>
      <c r="I2014" s="55" t="s">
        <v>360</v>
      </c>
      <c r="J2014" s="55" t="s">
        <v>360</v>
      </c>
      <c r="K2014" s="55" t="s">
        <v>360</v>
      </c>
      <c r="L2014" s="55" t="s">
        <v>360</v>
      </c>
      <c r="M2014" s="55" t="s">
        <v>378</v>
      </c>
      <c r="N2014" s="55" t="s">
        <v>134</v>
      </c>
      <c r="O2014" s="55" t="s">
        <v>204</v>
      </c>
      <c r="P2014" s="55" t="s">
        <v>1920</v>
      </c>
      <c r="Q2014" s="55" t="s">
        <v>380</v>
      </c>
      <c r="R2014" s="55">
        <v>4</v>
      </c>
      <c r="S2014" s="74"/>
      <c r="T2014" s="55" t="s">
        <v>1479</v>
      </c>
      <c r="U2014" s="73" t="s">
        <v>351</v>
      </c>
      <c r="V2014" s="74">
        <v>44349</v>
      </c>
      <c r="W2014" s="74">
        <v>44382</v>
      </c>
      <c r="X2014" s="55">
        <v>10186405</v>
      </c>
      <c r="Y2014" s="55" t="s">
        <v>132</v>
      </c>
      <c r="AB2014" s="55" t="s">
        <v>132</v>
      </c>
      <c r="AC2014" s="55" t="s">
        <v>132</v>
      </c>
    </row>
    <row r="2015" spans="1:29" ht="13" x14ac:dyDescent="0.15">
      <c r="A2015" s="72" t="str">
        <f t="shared" si="31"/>
        <v>Ofsted Social Care Provider Webpage</v>
      </c>
      <c r="B2015" s="55" t="s">
        <v>3246</v>
      </c>
      <c r="D2015" s="55" t="s">
        <v>373</v>
      </c>
      <c r="E2015" s="74">
        <v>37712</v>
      </c>
      <c r="F2015" s="55" t="s">
        <v>344</v>
      </c>
      <c r="G2015" s="55" t="s">
        <v>360</v>
      </c>
      <c r="H2015" s="55" t="s">
        <v>360</v>
      </c>
      <c r="I2015" s="55" t="s">
        <v>360</v>
      </c>
      <c r="J2015" s="55" t="s">
        <v>360</v>
      </c>
      <c r="K2015" s="55" t="s">
        <v>360</v>
      </c>
      <c r="L2015" s="55" t="s">
        <v>360</v>
      </c>
      <c r="M2015" s="55" t="s">
        <v>378</v>
      </c>
      <c r="N2015" s="55" t="s">
        <v>134</v>
      </c>
      <c r="O2015" s="55" t="s">
        <v>204</v>
      </c>
      <c r="P2015" s="55" t="s">
        <v>1478</v>
      </c>
      <c r="Q2015" s="55" t="s">
        <v>380</v>
      </c>
      <c r="R2015" s="55">
        <v>4</v>
      </c>
      <c r="S2015" s="74"/>
      <c r="T2015" s="55" t="s">
        <v>1479</v>
      </c>
      <c r="U2015" s="73" t="s">
        <v>351</v>
      </c>
      <c r="V2015" s="74">
        <v>44433</v>
      </c>
      <c r="W2015" s="74">
        <v>44466</v>
      </c>
      <c r="X2015" s="55">
        <v>10197056</v>
      </c>
      <c r="Y2015" s="55" t="s">
        <v>130</v>
      </c>
      <c r="AB2015" s="55" t="s">
        <v>130</v>
      </c>
      <c r="AC2015" s="55" t="s">
        <v>130</v>
      </c>
    </row>
    <row r="2016" spans="1:29" ht="13" x14ac:dyDescent="0.15">
      <c r="A2016" s="72" t="str">
        <f t="shared" si="31"/>
        <v>Ofsted Social Care Provider Webpage</v>
      </c>
      <c r="B2016" s="55" t="s">
        <v>3247</v>
      </c>
      <c r="D2016" s="55" t="s">
        <v>389</v>
      </c>
      <c r="E2016" s="74">
        <v>38050</v>
      </c>
      <c r="F2016" s="55" t="s">
        <v>344</v>
      </c>
      <c r="G2016" s="55" t="s">
        <v>3248</v>
      </c>
      <c r="H2016" s="55" t="s">
        <v>621</v>
      </c>
      <c r="I2016" s="55" t="s">
        <v>3249</v>
      </c>
      <c r="J2016" s="55" t="s">
        <v>3250</v>
      </c>
      <c r="K2016" s="55" t="s">
        <v>293</v>
      </c>
      <c r="L2016" s="55" t="s">
        <v>3251</v>
      </c>
      <c r="M2016" s="55" t="s">
        <v>142</v>
      </c>
      <c r="N2016" s="55" t="s">
        <v>142</v>
      </c>
      <c r="O2016" s="55" t="s">
        <v>293</v>
      </c>
      <c r="P2016" s="55" t="s">
        <v>984</v>
      </c>
      <c r="Q2016" s="55" t="s">
        <v>350</v>
      </c>
      <c r="R2016" s="55"/>
      <c r="S2016" s="74"/>
      <c r="T2016" s="55" t="s">
        <v>3252</v>
      </c>
      <c r="U2016" s="73" t="s">
        <v>351</v>
      </c>
      <c r="V2016" s="74">
        <v>43395</v>
      </c>
      <c r="W2016" s="74">
        <v>43420</v>
      </c>
      <c r="X2016" s="55">
        <v>10045651</v>
      </c>
      <c r="Y2016" s="55" t="s">
        <v>132</v>
      </c>
      <c r="AB2016" s="55" t="s">
        <v>132</v>
      </c>
      <c r="AC2016" s="55" t="s">
        <v>130</v>
      </c>
    </row>
    <row r="2017" spans="1:29" ht="13" x14ac:dyDescent="0.15">
      <c r="A2017" s="72" t="str">
        <f t="shared" si="31"/>
        <v>Ofsted Social Care Provider Webpage</v>
      </c>
      <c r="B2017" s="55" t="s">
        <v>3253</v>
      </c>
      <c r="D2017" s="55" t="s">
        <v>373</v>
      </c>
      <c r="E2017" s="74">
        <v>37979</v>
      </c>
      <c r="F2017" s="55" t="s">
        <v>344</v>
      </c>
      <c r="G2017" s="55" t="s">
        <v>360</v>
      </c>
      <c r="H2017" s="55" t="s">
        <v>360</v>
      </c>
      <c r="I2017" s="55" t="s">
        <v>360</v>
      </c>
      <c r="J2017" s="55" t="s">
        <v>360</v>
      </c>
      <c r="K2017" s="55" t="s">
        <v>360</v>
      </c>
      <c r="L2017" s="55" t="s">
        <v>360</v>
      </c>
      <c r="M2017" s="55" t="s">
        <v>138</v>
      </c>
      <c r="N2017" s="55" t="s">
        <v>138</v>
      </c>
      <c r="O2017" s="55" t="s">
        <v>224</v>
      </c>
      <c r="P2017" s="55" t="s">
        <v>1675</v>
      </c>
      <c r="Q2017" s="55" t="s">
        <v>380</v>
      </c>
      <c r="R2017" s="55">
        <v>4</v>
      </c>
      <c r="S2017" s="74"/>
      <c r="T2017" s="55" t="s">
        <v>2272</v>
      </c>
      <c r="U2017" s="73" t="s">
        <v>351</v>
      </c>
      <c r="V2017" s="74">
        <v>44530</v>
      </c>
      <c r="W2017" s="74">
        <v>44572</v>
      </c>
      <c r="X2017" s="55">
        <v>10206672</v>
      </c>
      <c r="Y2017" s="55" t="s">
        <v>130</v>
      </c>
      <c r="AB2017" s="55" t="s">
        <v>132</v>
      </c>
      <c r="AC2017" s="55" t="s">
        <v>130</v>
      </c>
    </row>
    <row r="2018" spans="1:29" ht="13" x14ac:dyDescent="0.15">
      <c r="A2018" s="72" t="str">
        <f t="shared" si="31"/>
        <v>Ofsted Social Care Provider Webpage</v>
      </c>
      <c r="B2018" s="55" t="s">
        <v>3254</v>
      </c>
      <c r="D2018" s="55" t="s">
        <v>389</v>
      </c>
      <c r="E2018" s="74">
        <v>38140</v>
      </c>
      <c r="F2018" s="55" t="s">
        <v>344</v>
      </c>
      <c r="G2018" s="55" t="s">
        <v>3255</v>
      </c>
      <c r="H2018" s="55" t="s">
        <v>3256</v>
      </c>
      <c r="I2018" s="55" t="s">
        <v>3257</v>
      </c>
      <c r="J2018" s="55" t="s">
        <v>1641</v>
      </c>
      <c r="K2018" s="55" t="s">
        <v>293</v>
      </c>
      <c r="L2018" s="55" t="s">
        <v>3258</v>
      </c>
      <c r="M2018" s="55" t="s">
        <v>142</v>
      </c>
      <c r="N2018" s="55" t="s">
        <v>142</v>
      </c>
      <c r="O2018" s="55" t="s">
        <v>293</v>
      </c>
      <c r="P2018" s="55" t="s">
        <v>1641</v>
      </c>
      <c r="Q2018" s="55" t="s">
        <v>362</v>
      </c>
      <c r="R2018" s="55"/>
      <c r="S2018" s="74"/>
      <c r="T2018" s="55" t="s">
        <v>3255</v>
      </c>
      <c r="U2018" s="73" t="s">
        <v>351</v>
      </c>
      <c r="V2018" s="74">
        <v>43325</v>
      </c>
      <c r="W2018" s="74">
        <v>43368</v>
      </c>
      <c r="X2018" s="55">
        <v>10045650</v>
      </c>
      <c r="Y2018" s="55" t="s">
        <v>132</v>
      </c>
      <c r="AB2018" s="55" t="s">
        <v>132</v>
      </c>
      <c r="AC2018" s="55" t="s">
        <v>130</v>
      </c>
    </row>
    <row r="2019" spans="1:29" ht="13" x14ac:dyDescent="0.15">
      <c r="A2019" s="72" t="str">
        <f t="shared" si="31"/>
        <v>Ofsted Social Care Provider Webpage</v>
      </c>
      <c r="B2019" s="55" t="s">
        <v>3259</v>
      </c>
      <c r="D2019" s="55" t="s">
        <v>373</v>
      </c>
      <c r="E2019" s="74">
        <v>37347</v>
      </c>
      <c r="F2019" s="55" t="s">
        <v>344</v>
      </c>
      <c r="G2019" s="55" t="s">
        <v>360</v>
      </c>
      <c r="H2019" s="55" t="s">
        <v>360</v>
      </c>
      <c r="I2019" s="55" t="s">
        <v>360</v>
      </c>
      <c r="J2019" s="55" t="s">
        <v>360</v>
      </c>
      <c r="K2019" s="55" t="s">
        <v>360</v>
      </c>
      <c r="L2019" s="55" t="s">
        <v>360</v>
      </c>
      <c r="M2019" s="55" t="s">
        <v>144</v>
      </c>
      <c r="N2019" s="55" t="s">
        <v>144</v>
      </c>
      <c r="O2019" s="55" t="s">
        <v>163</v>
      </c>
      <c r="P2019" s="55" t="s">
        <v>376</v>
      </c>
      <c r="Q2019" s="55" t="s">
        <v>380</v>
      </c>
      <c r="R2019" s="55">
        <v>3</v>
      </c>
      <c r="S2019" s="74" t="s">
        <v>332</v>
      </c>
      <c r="T2019" s="55" t="s">
        <v>473</v>
      </c>
      <c r="U2019" s="73" t="s">
        <v>351</v>
      </c>
      <c r="V2019" s="74">
        <v>44574</v>
      </c>
      <c r="W2019" s="74">
        <v>44637</v>
      </c>
      <c r="X2019" s="55">
        <v>10186731</v>
      </c>
      <c r="Y2019" s="55" t="s">
        <v>140</v>
      </c>
      <c r="AB2019" s="55" t="s">
        <v>140</v>
      </c>
      <c r="AC2019" s="55" t="s">
        <v>140</v>
      </c>
    </row>
    <row r="2020" spans="1:29" ht="13" x14ac:dyDescent="0.15">
      <c r="A2020" s="72" t="str">
        <f t="shared" si="31"/>
        <v>Ofsted Social Care Provider Webpage</v>
      </c>
      <c r="B2020" s="55" t="s">
        <v>3260</v>
      </c>
      <c r="D2020" s="55" t="s">
        <v>373</v>
      </c>
      <c r="E2020" s="74">
        <v>37883</v>
      </c>
      <c r="F2020" s="55" t="s">
        <v>344</v>
      </c>
      <c r="G2020" s="55" t="s">
        <v>360</v>
      </c>
      <c r="H2020" s="55" t="s">
        <v>360</v>
      </c>
      <c r="I2020" s="55" t="s">
        <v>360</v>
      </c>
      <c r="J2020" s="55" t="s">
        <v>360</v>
      </c>
      <c r="K2020" s="55" t="s">
        <v>360</v>
      </c>
      <c r="L2020" s="55" t="s">
        <v>360</v>
      </c>
      <c r="M2020" s="55" t="s">
        <v>144</v>
      </c>
      <c r="N2020" s="55" t="s">
        <v>144</v>
      </c>
      <c r="O2020" s="55" t="s">
        <v>245</v>
      </c>
      <c r="P2020" s="55" t="s">
        <v>245</v>
      </c>
      <c r="Q2020" s="55" t="s">
        <v>380</v>
      </c>
      <c r="R2020" s="55">
        <v>5</v>
      </c>
      <c r="S2020" s="74"/>
      <c r="T2020" s="55" t="s">
        <v>776</v>
      </c>
      <c r="U2020" s="73" t="s">
        <v>351</v>
      </c>
      <c r="V2020" s="74">
        <v>44613</v>
      </c>
      <c r="W2020" s="74">
        <v>44658</v>
      </c>
      <c r="X2020" s="55">
        <v>10186356</v>
      </c>
      <c r="Y2020" s="55" t="s">
        <v>130</v>
      </c>
      <c r="AB2020" s="55" t="s">
        <v>130</v>
      </c>
      <c r="AC2020" s="55" t="s">
        <v>130</v>
      </c>
    </row>
    <row r="2021" spans="1:29" ht="13" x14ac:dyDescent="0.15">
      <c r="A2021" s="72" t="str">
        <f t="shared" si="31"/>
        <v>Ofsted Social Care Provider Webpage</v>
      </c>
      <c r="B2021" s="55" t="s">
        <v>3261</v>
      </c>
      <c r="D2021" s="55" t="s">
        <v>389</v>
      </c>
      <c r="E2021" s="74">
        <v>38001</v>
      </c>
      <c r="F2021" s="55" t="s">
        <v>344</v>
      </c>
      <c r="G2021" s="55" t="s">
        <v>3262</v>
      </c>
      <c r="H2021" s="55" t="s">
        <v>3263</v>
      </c>
      <c r="I2021" s="55" t="s">
        <v>3264</v>
      </c>
      <c r="J2021" s="55" t="s">
        <v>2753</v>
      </c>
      <c r="L2021" s="55" t="s">
        <v>3265</v>
      </c>
      <c r="M2021" s="55" t="s">
        <v>142</v>
      </c>
      <c r="N2021" s="55" t="s">
        <v>142</v>
      </c>
      <c r="O2021" s="55" t="s">
        <v>282</v>
      </c>
      <c r="P2021" s="55" t="s">
        <v>3266</v>
      </c>
      <c r="Q2021" s="55" t="s">
        <v>362</v>
      </c>
      <c r="R2021" s="55"/>
      <c r="S2021" s="74"/>
      <c r="T2021" s="55" t="s">
        <v>3263</v>
      </c>
      <c r="U2021" s="73" t="s">
        <v>351</v>
      </c>
      <c r="V2021" s="74">
        <v>44578</v>
      </c>
      <c r="W2021" s="74">
        <v>44679</v>
      </c>
      <c r="X2021" s="55">
        <v>10183436</v>
      </c>
      <c r="Y2021" s="55" t="s">
        <v>132</v>
      </c>
      <c r="AB2021" s="55" t="s">
        <v>132</v>
      </c>
      <c r="AC2021" s="55" t="s">
        <v>130</v>
      </c>
    </row>
    <row r="2022" spans="1:29" ht="13" x14ac:dyDescent="0.15">
      <c r="A2022" s="72" t="str">
        <f t="shared" si="31"/>
        <v>Ofsted Social Care Provider Webpage</v>
      </c>
      <c r="B2022" s="55" t="s">
        <v>3267</v>
      </c>
      <c r="D2022" s="55" t="s">
        <v>373</v>
      </c>
      <c r="E2022" s="74">
        <v>37953</v>
      </c>
      <c r="F2022" s="55" t="s">
        <v>344</v>
      </c>
      <c r="G2022" s="55" t="s">
        <v>360</v>
      </c>
      <c r="H2022" s="55" t="s">
        <v>360</v>
      </c>
      <c r="I2022" s="55" t="s">
        <v>360</v>
      </c>
      <c r="J2022" s="55" t="s">
        <v>360</v>
      </c>
      <c r="K2022" s="55" t="s">
        <v>360</v>
      </c>
      <c r="L2022" s="55" t="s">
        <v>360</v>
      </c>
      <c r="M2022" s="55" t="s">
        <v>172</v>
      </c>
      <c r="N2022" s="55" t="s">
        <v>172</v>
      </c>
      <c r="O2022" s="55" t="s">
        <v>234</v>
      </c>
      <c r="P2022" s="55" t="s">
        <v>369</v>
      </c>
      <c r="Q2022" s="55" t="s">
        <v>380</v>
      </c>
      <c r="R2022" s="55">
        <v>11</v>
      </c>
      <c r="S2022" s="74" t="s">
        <v>332</v>
      </c>
      <c r="T2022" s="55" t="s">
        <v>1271</v>
      </c>
      <c r="U2022" s="73" t="s">
        <v>351</v>
      </c>
      <c r="V2022" s="74">
        <v>44621</v>
      </c>
      <c r="W2022" s="74">
        <v>44662</v>
      </c>
      <c r="X2022" s="55">
        <v>10185877</v>
      </c>
      <c r="Y2022" s="55" t="s">
        <v>140</v>
      </c>
      <c r="AB2022" s="55" t="s">
        <v>140</v>
      </c>
      <c r="AC2022" s="55" t="s">
        <v>140</v>
      </c>
    </row>
    <row r="2023" spans="1:29" ht="13" x14ac:dyDescent="0.15">
      <c r="A2023" s="72" t="str">
        <f t="shared" si="31"/>
        <v>Ofsted Social Care Provider Webpage</v>
      </c>
      <c r="B2023" s="55" t="s">
        <v>3268</v>
      </c>
      <c r="C2023" s="55">
        <v>136902</v>
      </c>
      <c r="D2023" s="55" t="s">
        <v>398</v>
      </c>
      <c r="E2023" s="74">
        <v>37468</v>
      </c>
      <c r="F2023" s="55" t="s">
        <v>344</v>
      </c>
      <c r="G2023" s="55" t="s">
        <v>3269</v>
      </c>
      <c r="H2023" s="55" t="s">
        <v>3270</v>
      </c>
      <c r="I2023" s="55" t="s">
        <v>354</v>
      </c>
      <c r="J2023" s="55" t="s">
        <v>3271</v>
      </c>
      <c r="K2023" s="55" t="s">
        <v>168</v>
      </c>
      <c r="L2023" s="55" t="s">
        <v>3272</v>
      </c>
      <c r="M2023" s="55" t="s">
        <v>144</v>
      </c>
      <c r="N2023" s="55" t="s">
        <v>144</v>
      </c>
      <c r="O2023" s="55" t="s">
        <v>168</v>
      </c>
      <c r="P2023" s="55" t="s">
        <v>3199</v>
      </c>
      <c r="Q2023" s="55" t="s">
        <v>420</v>
      </c>
      <c r="R2023" s="55">
        <v>53</v>
      </c>
      <c r="S2023" s="74"/>
      <c r="T2023" s="55" t="s">
        <v>3273</v>
      </c>
      <c r="U2023" s="73" t="s">
        <v>351</v>
      </c>
      <c r="V2023" s="74">
        <v>43382</v>
      </c>
      <c r="W2023" s="74">
        <v>43412</v>
      </c>
      <c r="X2023" s="55">
        <v>10046785</v>
      </c>
      <c r="Y2023" s="55" t="s">
        <v>140</v>
      </c>
      <c r="AB2023" s="55" t="s">
        <v>140</v>
      </c>
      <c r="AC2023" s="55" t="s">
        <v>132</v>
      </c>
    </row>
    <row r="2024" spans="1:29" ht="13" x14ac:dyDescent="0.15">
      <c r="A2024" s="72" t="str">
        <f t="shared" si="31"/>
        <v>Ofsted Social Care Provider Webpage</v>
      </c>
      <c r="B2024" s="55" t="s">
        <v>3274</v>
      </c>
      <c r="D2024" s="55" t="s">
        <v>389</v>
      </c>
      <c r="E2024" s="74">
        <v>37945</v>
      </c>
      <c r="F2024" s="55" t="s">
        <v>344</v>
      </c>
      <c r="G2024" s="55" t="s">
        <v>3275</v>
      </c>
      <c r="H2024" s="55" t="s">
        <v>3276</v>
      </c>
      <c r="I2024" s="55" t="s">
        <v>3277</v>
      </c>
      <c r="J2024" s="55" t="s">
        <v>3278</v>
      </c>
      <c r="K2024" s="55" t="s">
        <v>129</v>
      </c>
      <c r="L2024" s="55" t="s">
        <v>3279</v>
      </c>
      <c r="M2024" s="55" t="s">
        <v>129</v>
      </c>
      <c r="N2024" s="55" t="s">
        <v>129</v>
      </c>
      <c r="O2024" s="55" t="s">
        <v>152</v>
      </c>
      <c r="P2024" s="55" t="s">
        <v>1130</v>
      </c>
      <c r="Q2024" s="55" t="s">
        <v>350</v>
      </c>
      <c r="R2024" s="55"/>
      <c r="S2024" s="74"/>
      <c r="T2024" s="55" t="s">
        <v>3280</v>
      </c>
      <c r="U2024" s="73" t="s">
        <v>351</v>
      </c>
      <c r="V2024" s="74">
        <v>44627</v>
      </c>
      <c r="W2024" s="74">
        <v>44677</v>
      </c>
      <c r="X2024" s="55">
        <v>10183352</v>
      </c>
      <c r="Y2024" s="55" t="s">
        <v>132</v>
      </c>
      <c r="AB2024" s="55" t="s">
        <v>132</v>
      </c>
      <c r="AC2024" s="55" t="s">
        <v>132</v>
      </c>
    </row>
    <row r="2025" spans="1:29" ht="13" x14ac:dyDescent="0.15">
      <c r="A2025" s="72" t="str">
        <f t="shared" si="31"/>
        <v>Ofsted Social Care Provider Webpage</v>
      </c>
      <c r="B2025" s="55" t="s">
        <v>3281</v>
      </c>
      <c r="D2025" s="55" t="s">
        <v>373</v>
      </c>
      <c r="E2025" s="74">
        <v>37883</v>
      </c>
      <c r="F2025" s="55" t="s">
        <v>344</v>
      </c>
      <c r="G2025" s="55" t="s">
        <v>360</v>
      </c>
      <c r="H2025" s="55" t="s">
        <v>360</v>
      </c>
      <c r="I2025" s="55" t="s">
        <v>360</v>
      </c>
      <c r="J2025" s="55" t="s">
        <v>360</v>
      </c>
      <c r="K2025" s="55" t="s">
        <v>360</v>
      </c>
      <c r="L2025" s="55" t="s">
        <v>360</v>
      </c>
      <c r="M2025" s="55" t="s">
        <v>144</v>
      </c>
      <c r="N2025" s="55" t="s">
        <v>144</v>
      </c>
      <c r="O2025" s="55" t="s">
        <v>245</v>
      </c>
      <c r="P2025" s="55" t="s">
        <v>1796</v>
      </c>
      <c r="Q2025" s="55" t="s">
        <v>380</v>
      </c>
      <c r="R2025" s="55">
        <v>4</v>
      </c>
      <c r="S2025" s="74"/>
      <c r="T2025" s="55" t="s">
        <v>776</v>
      </c>
      <c r="U2025" s="73" t="s">
        <v>351</v>
      </c>
      <c r="V2025" s="74">
        <v>44488</v>
      </c>
      <c r="W2025" s="74">
        <v>44524</v>
      </c>
      <c r="X2025" s="55">
        <v>10185813</v>
      </c>
      <c r="Y2025" s="55" t="s">
        <v>132</v>
      </c>
      <c r="AB2025" s="55" t="s">
        <v>132</v>
      </c>
      <c r="AC2025" s="55" t="s">
        <v>132</v>
      </c>
    </row>
    <row r="2026" spans="1:29" ht="13" x14ac:dyDescent="0.15">
      <c r="A2026" s="72" t="str">
        <f t="shared" si="31"/>
        <v>Ofsted Social Care Provider Webpage</v>
      </c>
      <c r="B2026" s="55" t="s">
        <v>3282</v>
      </c>
      <c r="D2026" s="55" t="s">
        <v>373</v>
      </c>
      <c r="E2026" s="74">
        <v>37686</v>
      </c>
      <c r="F2026" s="55" t="s">
        <v>344</v>
      </c>
      <c r="G2026" s="55" t="s">
        <v>360</v>
      </c>
      <c r="H2026" s="55" t="s">
        <v>360</v>
      </c>
      <c r="I2026" s="55" t="s">
        <v>360</v>
      </c>
      <c r="J2026" s="55" t="s">
        <v>360</v>
      </c>
      <c r="K2026" s="55" t="s">
        <v>360</v>
      </c>
      <c r="L2026" s="55" t="s">
        <v>360</v>
      </c>
      <c r="M2026" s="55" t="s">
        <v>144</v>
      </c>
      <c r="N2026" s="55" t="s">
        <v>144</v>
      </c>
      <c r="O2026" s="55" t="s">
        <v>209</v>
      </c>
      <c r="P2026" s="55" t="s">
        <v>629</v>
      </c>
      <c r="Q2026" s="55" t="s">
        <v>350</v>
      </c>
      <c r="R2026" s="55">
        <v>4</v>
      </c>
      <c r="S2026" s="74"/>
      <c r="T2026" s="55" t="s">
        <v>1363</v>
      </c>
      <c r="U2026" s="73" t="s">
        <v>351</v>
      </c>
      <c r="V2026" s="74">
        <v>44531</v>
      </c>
      <c r="W2026" s="74">
        <v>44574</v>
      </c>
      <c r="X2026" s="55">
        <v>10185150</v>
      </c>
      <c r="Y2026" s="55" t="s">
        <v>140</v>
      </c>
      <c r="AB2026" s="55" t="s">
        <v>140</v>
      </c>
      <c r="AC2026" s="55" t="s">
        <v>132</v>
      </c>
    </row>
    <row r="2027" spans="1:29" ht="13" x14ac:dyDescent="0.15">
      <c r="A2027" s="72" t="str">
        <f t="shared" si="31"/>
        <v>Ofsted Social Care Provider Webpage</v>
      </c>
      <c r="B2027" s="55" t="s">
        <v>3283</v>
      </c>
      <c r="D2027" s="55" t="s">
        <v>373</v>
      </c>
      <c r="E2027" s="74">
        <v>37838</v>
      </c>
      <c r="F2027" s="55" t="s">
        <v>344</v>
      </c>
      <c r="G2027" s="55" t="s">
        <v>360</v>
      </c>
      <c r="H2027" s="55" t="s">
        <v>360</v>
      </c>
      <c r="I2027" s="55" t="s">
        <v>360</v>
      </c>
      <c r="J2027" s="55" t="s">
        <v>360</v>
      </c>
      <c r="K2027" s="55" t="s">
        <v>360</v>
      </c>
      <c r="L2027" s="55" t="s">
        <v>360</v>
      </c>
      <c r="M2027" s="55" t="s">
        <v>378</v>
      </c>
      <c r="N2027" s="55" t="s">
        <v>134</v>
      </c>
      <c r="O2027" s="55" t="s">
        <v>158</v>
      </c>
      <c r="P2027" s="55" t="s">
        <v>480</v>
      </c>
      <c r="Q2027" s="55" t="s">
        <v>380</v>
      </c>
      <c r="R2027" s="55">
        <v>5</v>
      </c>
      <c r="S2027" s="74"/>
      <c r="T2027" s="55" t="s">
        <v>756</v>
      </c>
      <c r="U2027" s="73" t="s">
        <v>351</v>
      </c>
      <c r="V2027" s="74">
        <v>44544</v>
      </c>
      <c r="W2027" s="74">
        <v>44586</v>
      </c>
      <c r="X2027" s="55">
        <v>10185530</v>
      </c>
      <c r="Y2027" s="55" t="s">
        <v>140</v>
      </c>
      <c r="AB2027" s="55" t="s">
        <v>140</v>
      </c>
      <c r="AC2027" s="55" t="s">
        <v>132</v>
      </c>
    </row>
    <row r="2028" spans="1:29" ht="13" x14ac:dyDescent="0.15">
      <c r="A2028" s="72" t="str">
        <f t="shared" si="31"/>
        <v>Ofsted Social Care Provider Webpage</v>
      </c>
      <c r="B2028" s="55" t="s">
        <v>3284</v>
      </c>
      <c r="D2028" s="55" t="s">
        <v>373</v>
      </c>
      <c r="E2028" s="74">
        <v>37953</v>
      </c>
      <c r="F2028" s="55" t="s">
        <v>344</v>
      </c>
      <c r="G2028" s="55" t="s">
        <v>360</v>
      </c>
      <c r="H2028" s="55" t="s">
        <v>360</v>
      </c>
      <c r="I2028" s="55" t="s">
        <v>360</v>
      </c>
      <c r="J2028" s="55" t="s">
        <v>360</v>
      </c>
      <c r="K2028" s="55" t="s">
        <v>360</v>
      </c>
      <c r="L2028" s="55" t="s">
        <v>360</v>
      </c>
      <c r="M2028" s="55" t="s">
        <v>172</v>
      </c>
      <c r="N2028" s="55" t="s">
        <v>172</v>
      </c>
      <c r="O2028" s="55" t="s">
        <v>234</v>
      </c>
      <c r="P2028" s="55" t="s">
        <v>457</v>
      </c>
      <c r="Q2028" s="55" t="s">
        <v>380</v>
      </c>
      <c r="R2028" s="55">
        <v>4</v>
      </c>
      <c r="S2028" s="74"/>
      <c r="T2028" s="55" t="s">
        <v>1271</v>
      </c>
      <c r="U2028" s="73" t="s">
        <v>351</v>
      </c>
      <c r="V2028" s="74">
        <v>44523</v>
      </c>
      <c r="W2028" s="74">
        <v>44571</v>
      </c>
      <c r="X2028" s="55">
        <v>10185580</v>
      </c>
      <c r="Y2028" s="55" t="s">
        <v>130</v>
      </c>
      <c r="AB2028" s="55" t="s">
        <v>130</v>
      </c>
      <c r="AC2028" s="55" t="s">
        <v>130</v>
      </c>
    </row>
    <row r="2029" spans="1:29" ht="13" x14ac:dyDescent="0.15">
      <c r="A2029" s="72" t="str">
        <f t="shared" si="31"/>
        <v>Ofsted Social Care Provider Webpage</v>
      </c>
      <c r="B2029" s="55" t="s">
        <v>3285</v>
      </c>
      <c r="D2029" s="55" t="s">
        <v>389</v>
      </c>
      <c r="E2029" s="74">
        <v>37838</v>
      </c>
      <c r="F2029" s="55" t="s">
        <v>344</v>
      </c>
      <c r="G2029" s="55" t="s">
        <v>3286</v>
      </c>
      <c r="H2029" s="55" t="s">
        <v>3287</v>
      </c>
      <c r="I2029" s="55" t="s">
        <v>3288</v>
      </c>
      <c r="J2029" s="55" t="s">
        <v>253</v>
      </c>
      <c r="L2029" s="55" t="s">
        <v>3289</v>
      </c>
      <c r="M2029" s="55" t="s">
        <v>150</v>
      </c>
      <c r="N2029" s="55" t="s">
        <v>150</v>
      </c>
      <c r="O2029" s="55" t="s">
        <v>253</v>
      </c>
      <c r="P2029" s="55" t="s">
        <v>253</v>
      </c>
      <c r="Q2029" s="55" t="s">
        <v>350</v>
      </c>
      <c r="R2029" s="55"/>
      <c r="S2029" s="74"/>
      <c r="T2029" s="55" t="s">
        <v>3290</v>
      </c>
      <c r="U2029" s="73" t="s">
        <v>351</v>
      </c>
      <c r="V2029" s="74">
        <v>43304</v>
      </c>
      <c r="W2029" s="74">
        <v>43335</v>
      </c>
      <c r="X2029" s="55">
        <v>10045678</v>
      </c>
      <c r="Y2029" s="55" t="s">
        <v>132</v>
      </c>
      <c r="AB2029" s="55" t="s">
        <v>132</v>
      </c>
      <c r="AC2029" s="55" t="s">
        <v>132</v>
      </c>
    </row>
    <row r="2030" spans="1:29" ht="13" x14ac:dyDescent="0.15">
      <c r="A2030" s="72" t="str">
        <f t="shared" si="31"/>
        <v>Ofsted Social Care Provider Webpage</v>
      </c>
      <c r="B2030" s="55" t="s">
        <v>3291</v>
      </c>
      <c r="D2030" s="55" t="s">
        <v>373</v>
      </c>
      <c r="E2030" s="74">
        <v>37481</v>
      </c>
      <c r="F2030" s="55" t="s">
        <v>344</v>
      </c>
      <c r="G2030" s="55" t="s">
        <v>360</v>
      </c>
      <c r="H2030" s="55" t="s">
        <v>360</v>
      </c>
      <c r="I2030" s="55" t="s">
        <v>360</v>
      </c>
      <c r="J2030" s="55" t="s">
        <v>360</v>
      </c>
      <c r="K2030" s="55" t="s">
        <v>360</v>
      </c>
      <c r="L2030" s="55" t="s">
        <v>360</v>
      </c>
      <c r="M2030" s="55" t="s">
        <v>144</v>
      </c>
      <c r="N2030" s="55" t="s">
        <v>144</v>
      </c>
      <c r="O2030" s="55" t="s">
        <v>168</v>
      </c>
      <c r="P2030" s="55" t="s">
        <v>834</v>
      </c>
      <c r="Q2030" s="55" t="s">
        <v>350</v>
      </c>
      <c r="R2030" s="55">
        <v>3</v>
      </c>
      <c r="S2030" s="74"/>
      <c r="T2030" s="55" t="s">
        <v>2574</v>
      </c>
      <c r="U2030" s="73" t="s">
        <v>351</v>
      </c>
      <c r="V2030" s="74">
        <v>43760</v>
      </c>
      <c r="W2030" s="74">
        <v>43781</v>
      </c>
      <c r="X2030" s="55">
        <v>10095392</v>
      </c>
      <c r="Y2030" s="55" t="s">
        <v>132</v>
      </c>
      <c r="AB2030" s="55" t="s">
        <v>132</v>
      </c>
      <c r="AC2030" s="55" t="s">
        <v>132</v>
      </c>
    </row>
    <row r="2031" spans="1:29" ht="13" x14ac:dyDescent="0.15">
      <c r="A2031" s="72" t="str">
        <f t="shared" si="31"/>
        <v>Ofsted Social Care Provider Webpage</v>
      </c>
      <c r="B2031" s="55" t="s">
        <v>3292</v>
      </c>
      <c r="D2031" s="55" t="s">
        <v>373</v>
      </c>
      <c r="E2031" s="74">
        <v>37868</v>
      </c>
      <c r="F2031" s="55" t="s">
        <v>344</v>
      </c>
      <c r="G2031" s="55" t="s">
        <v>360</v>
      </c>
      <c r="H2031" s="55" t="s">
        <v>360</v>
      </c>
      <c r="I2031" s="55" t="s">
        <v>360</v>
      </c>
      <c r="J2031" s="55" t="s">
        <v>360</v>
      </c>
      <c r="K2031" s="55" t="s">
        <v>360</v>
      </c>
      <c r="L2031" s="55" t="s">
        <v>360</v>
      </c>
      <c r="M2031" s="55" t="s">
        <v>378</v>
      </c>
      <c r="N2031" s="55" t="s">
        <v>170</v>
      </c>
      <c r="O2031" s="55" t="s">
        <v>178</v>
      </c>
      <c r="P2031" s="55" t="s">
        <v>1450</v>
      </c>
      <c r="Q2031" s="55" t="s">
        <v>380</v>
      </c>
      <c r="R2031" s="55">
        <v>3</v>
      </c>
      <c r="S2031" s="74"/>
      <c r="T2031" s="55" t="s">
        <v>2068</v>
      </c>
      <c r="U2031" s="73" t="s">
        <v>351</v>
      </c>
      <c r="V2031" s="74">
        <v>44502</v>
      </c>
      <c r="W2031" s="74">
        <v>44538</v>
      </c>
      <c r="X2031" s="55">
        <v>10185967</v>
      </c>
      <c r="Y2031" s="55" t="s">
        <v>132</v>
      </c>
      <c r="AB2031" s="55" t="s">
        <v>132</v>
      </c>
      <c r="AC2031" s="55" t="s">
        <v>132</v>
      </c>
    </row>
    <row r="2032" spans="1:29" ht="13" x14ac:dyDescent="0.15">
      <c r="A2032" s="72" t="str">
        <f t="shared" si="31"/>
        <v>Ofsted Social Care Provider Webpage</v>
      </c>
      <c r="B2032" s="55" t="s">
        <v>3293</v>
      </c>
      <c r="D2032" s="55" t="s">
        <v>373</v>
      </c>
      <c r="E2032" s="74">
        <v>37866</v>
      </c>
      <c r="F2032" s="55" t="s">
        <v>344</v>
      </c>
      <c r="G2032" s="55" t="s">
        <v>360</v>
      </c>
      <c r="H2032" s="55" t="s">
        <v>360</v>
      </c>
      <c r="I2032" s="55" t="s">
        <v>360</v>
      </c>
      <c r="J2032" s="55" t="s">
        <v>360</v>
      </c>
      <c r="K2032" s="55" t="s">
        <v>360</v>
      </c>
      <c r="L2032" s="55" t="s">
        <v>360</v>
      </c>
      <c r="M2032" s="55" t="s">
        <v>378</v>
      </c>
      <c r="N2032" s="55" t="s">
        <v>134</v>
      </c>
      <c r="O2032" s="55" t="s">
        <v>158</v>
      </c>
      <c r="P2032" s="55" t="s">
        <v>480</v>
      </c>
      <c r="Q2032" s="55" t="s">
        <v>380</v>
      </c>
      <c r="R2032" s="55">
        <v>5</v>
      </c>
      <c r="S2032" s="74" t="s">
        <v>332</v>
      </c>
      <c r="T2032" s="55" t="s">
        <v>756</v>
      </c>
      <c r="U2032" s="73" t="s">
        <v>351</v>
      </c>
      <c r="V2032" s="74">
        <v>44411</v>
      </c>
      <c r="W2032" s="74">
        <v>44446</v>
      </c>
      <c r="X2032" s="55">
        <v>10185749</v>
      </c>
      <c r="Y2032" s="55" t="s">
        <v>130</v>
      </c>
      <c r="AB2032" s="55" t="s">
        <v>130</v>
      </c>
      <c r="AC2032" s="55" t="s">
        <v>130</v>
      </c>
    </row>
    <row r="2033" spans="1:29" ht="13" x14ac:dyDescent="0.15">
      <c r="A2033" s="72" t="str">
        <f t="shared" si="31"/>
        <v>Ofsted Social Care Provider Webpage</v>
      </c>
      <c r="B2033" s="55" t="s">
        <v>3294</v>
      </c>
      <c r="D2033" s="55" t="s">
        <v>373</v>
      </c>
      <c r="E2033" s="74">
        <v>37873</v>
      </c>
      <c r="F2033" s="55" t="s">
        <v>344</v>
      </c>
      <c r="G2033" s="55" t="s">
        <v>360</v>
      </c>
      <c r="H2033" s="55" t="s">
        <v>360</v>
      </c>
      <c r="I2033" s="55" t="s">
        <v>360</v>
      </c>
      <c r="J2033" s="55" t="s">
        <v>360</v>
      </c>
      <c r="K2033" s="55" t="s">
        <v>360</v>
      </c>
      <c r="L2033" s="55" t="s">
        <v>360</v>
      </c>
      <c r="M2033" s="55" t="s">
        <v>378</v>
      </c>
      <c r="N2033" s="55" t="s">
        <v>134</v>
      </c>
      <c r="O2033" s="55" t="s">
        <v>158</v>
      </c>
      <c r="P2033" s="55" t="s">
        <v>480</v>
      </c>
      <c r="Q2033" s="55" t="s">
        <v>380</v>
      </c>
      <c r="R2033" s="55">
        <v>7</v>
      </c>
      <c r="S2033" s="74" t="s">
        <v>332</v>
      </c>
      <c r="T2033" s="55" t="s">
        <v>756</v>
      </c>
      <c r="U2033" s="73" t="s">
        <v>351</v>
      </c>
      <c r="V2033" s="74">
        <v>44495</v>
      </c>
      <c r="W2033" s="74">
        <v>44531</v>
      </c>
      <c r="X2033" s="55">
        <v>10186244</v>
      </c>
      <c r="Y2033" s="55" t="s">
        <v>140</v>
      </c>
      <c r="AB2033" s="55" t="s">
        <v>140</v>
      </c>
      <c r="AC2033" s="55" t="s">
        <v>140</v>
      </c>
    </row>
    <row r="2034" spans="1:29" ht="13" x14ac:dyDescent="0.15">
      <c r="A2034" s="72" t="str">
        <f t="shared" si="31"/>
        <v>Ofsted Social Care Provider Webpage</v>
      </c>
      <c r="B2034" s="55" t="s">
        <v>3295</v>
      </c>
      <c r="D2034" s="55" t="s">
        <v>373</v>
      </c>
      <c r="E2034" s="74">
        <v>37868</v>
      </c>
      <c r="F2034" s="55" t="s">
        <v>344</v>
      </c>
      <c r="G2034" s="55" t="s">
        <v>360</v>
      </c>
      <c r="H2034" s="55" t="s">
        <v>360</v>
      </c>
      <c r="I2034" s="55" t="s">
        <v>360</v>
      </c>
      <c r="J2034" s="55" t="s">
        <v>360</v>
      </c>
      <c r="K2034" s="55" t="s">
        <v>360</v>
      </c>
      <c r="L2034" s="55" t="s">
        <v>360</v>
      </c>
      <c r="M2034" s="55" t="s">
        <v>378</v>
      </c>
      <c r="N2034" s="55" t="s">
        <v>170</v>
      </c>
      <c r="O2034" s="55" t="s">
        <v>178</v>
      </c>
      <c r="P2034" s="55" t="s">
        <v>1450</v>
      </c>
      <c r="Q2034" s="55" t="s">
        <v>380</v>
      </c>
      <c r="R2034" s="55">
        <v>5</v>
      </c>
      <c r="S2034" s="74"/>
      <c r="T2034" s="55" t="s">
        <v>2068</v>
      </c>
      <c r="U2034" s="73" t="s">
        <v>351</v>
      </c>
      <c r="V2034" s="74">
        <v>44467</v>
      </c>
      <c r="W2034" s="74">
        <v>44497</v>
      </c>
      <c r="X2034" s="55">
        <v>10186456</v>
      </c>
      <c r="Y2034" s="55" t="s">
        <v>130</v>
      </c>
      <c r="AB2034" s="55" t="s">
        <v>130</v>
      </c>
      <c r="AC2034" s="55" t="s">
        <v>130</v>
      </c>
    </row>
    <row r="2035" spans="1:29" ht="13" x14ac:dyDescent="0.15">
      <c r="A2035" s="72" t="str">
        <f t="shared" si="31"/>
        <v>Ofsted Social Care Provider Webpage</v>
      </c>
      <c r="B2035" s="55" t="s">
        <v>3296</v>
      </c>
      <c r="D2035" s="55" t="s">
        <v>373</v>
      </c>
      <c r="E2035" s="74">
        <v>37869</v>
      </c>
      <c r="F2035" s="55" t="s">
        <v>344</v>
      </c>
      <c r="G2035" s="55" t="s">
        <v>360</v>
      </c>
      <c r="H2035" s="55" t="s">
        <v>360</v>
      </c>
      <c r="I2035" s="55" t="s">
        <v>360</v>
      </c>
      <c r="J2035" s="55" t="s">
        <v>360</v>
      </c>
      <c r="K2035" s="55" t="s">
        <v>360</v>
      </c>
      <c r="L2035" s="55" t="s">
        <v>360</v>
      </c>
      <c r="M2035" s="55" t="s">
        <v>378</v>
      </c>
      <c r="N2035" s="55" t="s">
        <v>170</v>
      </c>
      <c r="O2035" s="55" t="s">
        <v>178</v>
      </c>
      <c r="P2035" s="55" t="s">
        <v>2014</v>
      </c>
      <c r="Q2035" s="55" t="s">
        <v>380</v>
      </c>
      <c r="R2035" s="55">
        <v>3</v>
      </c>
      <c r="S2035" s="74"/>
      <c r="T2035" s="55" t="s">
        <v>2068</v>
      </c>
      <c r="U2035" s="73" t="s">
        <v>351</v>
      </c>
      <c r="V2035" s="74">
        <v>44327</v>
      </c>
      <c r="W2035" s="74">
        <v>44371</v>
      </c>
      <c r="X2035" s="55">
        <v>10187492</v>
      </c>
      <c r="Y2035" s="55" t="s">
        <v>132</v>
      </c>
      <c r="AB2035" s="55" t="s">
        <v>130</v>
      </c>
      <c r="AC2035" s="55" t="s">
        <v>132</v>
      </c>
    </row>
    <row r="2036" spans="1:29" ht="13" x14ac:dyDescent="0.15">
      <c r="A2036" s="72" t="str">
        <f t="shared" si="31"/>
        <v>Ofsted Social Care Provider Webpage</v>
      </c>
      <c r="B2036" s="55" t="s">
        <v>3297</v>
      </c>
      <c r="D2036" s="55" t="s">
        <v>373</v>
      </c>
      <c r="E2036" s="74">
        <v>37662</v>
      </c>
      <c r="F2036" s="55" t="s">
        <v>344</v>
      </c>
      <c r="G2036" s="55" t="s">
        <v>360</v>
      </c>
      <c r="H2036" s="55" t="s">
        <v>360</v>
      </c>
      <c r="I2036" s="55" t="s">
        <v>360</v>
      </c>
      <c r="J2036" s="55" t="s">
        <v>360</v>
      </c>
      <c r="K2036" s="55" t="s">
        <v>360</v>
      </c>
      <c r="L2036" s="55" t="s">
        <v>360</v>
      </c>
      <c r="M2036" s="55" t="s">
        <v>378</v>
      </c>
      <c r="N2036" s="55" t="s">
        <v>170</v>
      </c>
      <c r="O2036" s="55" t="s">
        <v>264</v>
      </c>
      <c r="P2036" s="55" t="s">
        <v>437</v>
      </c>
      <c r="Q2036" s="55" t="s">
        <v>380</v>
      </c>
      <c r="R2036" s="55">
        <v>3</v>
      </c>
      <c r="S2036" s="74"/>
      <c r="T2036" s="55" t="s">
        <v>1696</v>
      </c>
      <c r="U2036" s="73" t="s">
        <v>351</v>
      </c>
      <c r="V2036" s="74">
        <v>44481</v>
      </c>
      <c r="W2036" s="74">
        <v>44530</v>
      </c>
      <c r="X2036" s="55">
        <v>10186843</v>
      </c>
      <c r="Y2036" s="55" t="s">
        <v>132</v>
      </c>
      <c r="AB2036" s="55" t="s">
        <v>132</v>
      </c>
      <c r="AC2036" s="55" t="s">
        <v>132</v>
      </c>
    </row>
    <row r="2037" spans="1:29" ht="13" x14ac:dyDescent="0.15">
      <c r="A2037" s="72" t="str">
        <f t="shared" si="31"/>
        <v>Ofsted Social Care Provider Webpage</v>
      </c>
      <c r="B2037" s="55" t="s">
        <v>3298</v>
      </c>
      <c r="D2037" s="55" t="s">
        <v>373</v>
      </c>
      <c r="E2037" s="74">
        <v>37868</v>
      </c>
      <c r="F2037" s="55" t="s">
        <v>344</v>
      </c>
      <c r="G2037" s="55" t="s">
        <v>360</v>
      </c>
      <c r="H2037" s="55" t="s">
        <v>360</v>
      </c>
      <c r="I2037" s="55" t="s">
        <v>360</v>
      </c>
      <c r="J2037" s="55" t="s">
        <v>360</v>
      </c>
      <c r="K2037" s="55" t="s">
        <v>360</v>
      </c>
      <c r="L2037" s="55" t="s">
        <v>360</v>
      </c>
      <c r="M2037" s="55" t="s">
        <v>378</v>
      </c>
      <c r="N2037" s="55" t="s">
        <v>170</v>
      </c>
      <c r="O2037" s="55" t="s">
        <v>178</v>
      </c>
      <c r="P2037" s="55" t="s">
        <v>2014</v>
      </c>
      <c r="Q2037" s="55" t="s">
        <v>380</v>
      </c>
      <c r="R2037" s="55">
        <v>3</v>
      </c>
      <c r="S2037" s="74"/>
      <c r="T2037" s="55" t="s">
        <v>2068</v>
      </c>
      <c r="U2037" s="73" t="s">
        <v>351</v>
      </c>
      <c r="V2037" s="74">
        <v>44522</v>
      </c>
      <c r="W2037" s="74">
        <v>44560</v>
      </c>
      <c r="X2037" s="55">
        <v>10185273</v>
      </c>
      <c r="Y2037" s="55" t="s">
        <v>132</v>
      </c>
      <c r="AB2037" s="55" t="s">
        <v>132</v>
      </c>
      <c r="AC2037" s="55" t="s">
        <v>132</v>
      </c>
    </row>
    <row r="2038" spans="1:29" ht="13" x14ac:dyDescent="0.15">
      <c r="A2038" s="72" t="str">
        <f t="shared" si="31"/>
        <v>Ofsted Social Care Provider Webpage</v>
      </c>
      <c r="B2038" s="55" t="s">
        <v>3299</v>
      </c>
      <c r="D2038" s="55" t="s">
        <v>479</v>
      </c>
      <c r="E2038" s="74">
        <v>37785</v>
      </c>
      <c r="F2038" s="55" t="s">
        <v>344</v>
      </c>
      <c r="G2038" s="55" t="s">
        <v>360</v>
      </c>
      <c r="H2038" s="55" t="s">
        <v>360</v>
      </c>
      <c r="I2038" s="55" t="s">
        <v>360</v>
      </c>
      <c r="J2038" s="55" t="s">
        <v>360</v>
      </c>
      <c r="K2038" s="55" t="s">
        <v>360</v>
      </c>
      <c r="L2038" s="55" t="s">
        <v>360</v>
      </c>
      <c r="M2038" s="55" t="s">
        <v>378</v>
      </c>
      <c r="N2038" s="55" t="s">
        <v>134</v>
      </c>
      <c r="O2038" s="55" t="s">
        <v>175</v>
      </c>
      <c r="P2038" s="55" t="s">
        <v>666</v>
      </c>
      <c r="Q2038" s="55" t="s">
        <v>350</v>
      </c>
      <c r="R2038" s="55">
        <v>9</v>
      </c>
      <c r="S2038" s="74"/>
      <c r="T2038" s="55" t="s">
        <v>2532</v>
      </c>
      <c r="U2038" s="73" t="s">
        <v>351</v>
      </c>
      <c r="V2038" s="74">
        <v>44523</v>
      </c>
      <c r="W2038" s="74">
        <v>44566</v>
      </c>
      <c r="X2038" s="55">
        <v>10185600</v>
      </c>
      <c r="Y2038" s="55" t="s">
        <v>140</v>
      </c>
      <c r="AB2038" s="55" t="s">
        <v>140</v>
      </c>
      <c r="AC2038" s="55" t="s">
        <v>140</v>
      </c>
    </row>
    <row r="2039" spans="1:29" ht="13" x14ac:dyDescent="0.15">
      <c r="A2039" s="72" t="str">
        <f t="shared" si="31"/>
        <v>Ofsted Social Care Provider Webpage</v>
      </c>
      <c r="B2039" s="55" t="s">
        <v>3300</v>
      </c>
      <c r="D2039" s="55" t="s">
        <v>373</v>
      </c>
      <c r="E2039" s="74">
        <v>37869</v>
      </c>
      <c r="F2039" s="55" t="s">
        <v>344</v>
      </c>
      <c r="G2039" s="55" t="s">
        <v>360</v>
      </c>
      <c r="H2039" s="55" t="s">
        <v>360</v>
      </c>
      <c r="I2039" s="55" t="s">
        <v>360</v>
      </c>
      <c r="J2039" s="55" t="s">
        <v>360</v>
      </c>
      <c r="K2039" s="55" t="s">
        <v>360</v>
      </c>
      <c r="L2039" s="55" t="s">
        <v>360</v>
      </c>
      <c r="M2039" s="55" t="s">
        <v>378</v>
      </c>
      <c r="N2039" s="55" t="s">
        <v>170</v>
      </c>
      <c r="O2039" s="55" t="s">
        <v>178</v>
      </c>
      <c r="P2039" s="55" t="s">
        <v>2014</v>
      </c>
      <c r="Q2039" s="55" t="s">
        <v>380</v>
      </c>
      <c r="R2039" s="55">
        <v>7</v>
      </c>
      <c r="S2039" s="74" t="s">
        <v>332</v>
      </c>
      <c r="T2039" s="55" t="s">
        <v>2068</v>
      </c>
      <c r="U2039" s="73" t="s">
        <v>351</v>
      </c>
      <c r="V2039" s="74">
        <v>44362</v>
      </c>
      <c r="W2039" s="74">
        <v>44393</v>
      </c>
      <c r="X2039" s="55">
        <v>10186660</v>
      </c>
      <c r="Y2039" s="55" t="s">
        <v>132</v>
      </c>
      <c r="AB2039" s="55" t="s">
        <v>132</v>
      </c>
      <c r="AC2039" s="55" t="s">
        <v>132</v>
      </c>
    </row>
    <row r="2040" spans="1:29" ht="13" x14ac:dyDescent="0.15">
      <c r="A2040" s="72" t="str">
        <f t="shared" si="31"/>
        <v>Ofsted Social Care Provider Webpage</v>
      </c>
      <c r="B2040" s="55" t="s">
        <v>3301</v>
      </c>
      <c r="D2040" s="55" t="s">
        <v>389</v>
      </c>
      <c r="E2040" s="74">
        <v>38063</v>
      </c>
      <c r="F2040" s="55" t="s">
        <v>344</v>
      </c>
      <c r="G2040" s="55" t="s">
        <v>3302</v>
      </c>
      <c r="H2040" s="55" t="s">
        <v>3303</v>
      </c>
      <c r="I2040" s="55" t="s">
        <v>3304</v>
      </c>
      <c r="J2040" s="55" t="s">
        <v>3305</v>
      </c>
      <c r="K2040" s="55" t="s">
        <v>203</v>
      </c>
      <c r="L2040" s="55" t="s">
        <v>3306</v>
      </c>
      <c r="M2040" s="55" t="s">
        <v>150</v>
      </c>
      <c r="N2040" s="55" t="s">
        <v>150</v>
      </c>
      <c r="O2040" s="55" t="s">
        <v>203</v>
      </c>
      <c r="P2040" s="55" t="s">
        <v>1268</v>
      </c>
      <c r="Q2040" s="55" t="s">
        <v>350</v>
      </c>
      <c r="R2040" s="55"/>
      <c r="S2040" s="74"/>
      <c r="T2040" s="55" t="s">
        <v>3307</v>
      </c>
      <c r="U2040" s="73" t="s">
        <v>351</v>
      </c>
      <c r="V2040" s="74">
        <v>43584</v>
      </c>
      <c r="W2040" s="74">
        <v>43619</v>
      </c>
      <c r="X2040" s="55">
        <v>10103397</v>
      </c>
      <c r="Y2040" s="55" t="s">
        <v>132</v>
      </c>
      <c r="AB2040" s="55" t="s">
        <v>132</v>
      </c>
      <c r="AC2040" s="55" t="s">
        <v>130</v>
      </c>
    </row>
    <row r="2041" spans="1:29" ht="13" x14ac:dyDescent="0.15">
      <c r="A2041" s="72" t="str">
        <f t="shared" si="31"/>
        <v>Ofsted Social Care Provider Webpage</v>
      </c>
      <c r="B2041" s="55" t="s">
        <v>3308</v>
      </c>
      <c r="D2041" s="55" t="s">
        <v>389</v>
      </c>
      <c r="E2041" s="74">
        <v>38041</v>
      </c>
      <c r="F2041" s="55" t="s">
        <v>344</v>
      </c>
      <c r="G2041" s="55" t="s">
        <v>3309</v>
      </c>
      <c r="H2041" s="55" t="s">
        <v>3310</v>
      </c>
      <c r="I2041" s="55" t="s">
        <v>354</v>
      </c>
      <c r="J2041" s="55" t="s">
        <v>129</v>
      </c>
      <c r="L2041" s="55" t="s">
        <v>3311</v>
      </c>
      <c r="M2041" s="55" t="s">
        <v>129</v>
      </c>
      <c r="N2041" s="55" t="s">
        <v>129</v>
      </c>
      <c r="O2041" s="55" t="s">
        <v>208</v>
      </c>
      <c r="P2041" s="55" t="s">
        <v>3178</v>
      </c>
      <c r="Q2041" s="55" t="s">
        <v>350</v>
      </c>
      <c r="R2041" s="55"/>
      <c r="S2041" s="74"/>
      <c r="T2041" s="55" t="s">
        <v>3312</v>
      </c>
      <c r="U2041" s="73" t="s">
        <v>351</v>
      </c>
      <c r="V2041" s="74">
        <v>43486</v>
      </c>
      <c r="W2041" s="74">
        <v>43529</v>
      </c>
      <c r="X2041" s="55">
        <v>10045638</v>
      </c>
      <c r="Y2041" s="55" t="s">
        <v>140</v>
      </c>
      <c r="AB2041" s="55" t="s">
        <v>132</v>
      </c>
      <c r="AC2041" s="55" t="s">
        <v>140</v>
      </c>
    </row>
    <row r="2042" spans="1:29" ht="13" x14ac:dyDescent="0.15">
      <c r="A2042" s="72" t="str">
        <f t="shared" si="31"/>
        <v>Ofsted Social Care Provider Webpage</v>
      </c>
      <c r="B2042" s="55" t="s">
        <v>3313</v>
      </c>
      <c r="D2042" s="55" t="s">
        <v>373</v>
      </c>
      <c r="E2042" s="74">
        <v>38008</v>
      </c>
      <c r="F2042" s="55" t="s">
        <v>344</v>
      </c>
      <c r="G2042" s="55" t="s">
        <v>360</v>
      </c>
      <c r="H2042" s="55" t="s">
        <v>360</v>
      </c>
      <c r="I2042" s="55" t="s">
        <v>360</v>
      </c>
      <c r="J2042" s="55" t="s">
        <v>360</v>
      </c>
      <c r="K2042" s="55" t="s">
        <v>360</v>
      </c>
      <c r="L2042" s="55" t="s">
        <v>360</v>
      </c>
      <c r="M2042" s="55" t="s">
        <v>144</v>
      </c>
      <c r="N2042" s="55" t="s">
        <v>144</v>
      </c>
      <c r="O2042" s="55" t="s">
        <v>236</v>
      </c>
      <c r="P2042" s="55" t="s">
        <v>2088</v>
      </c>
      <c r="Q2042" s="55" t="s">
        <v>380</v>
      </c>
      <c r="R2042" s="55">
        <v>7</v>
      </c>
      <c r="S2042" s="74"/>
      <c r="T2042" s="55" t="s">
        <v>3314</v>
      </c>
      <c r="U2042" s="73" t="s">
        <v>351</v>
      </c>
      <c r="V2042" s="74">
        <v>43837</v>
      </c>
      <c r="W2042" s="74">
        <v>43865</v>
      </c>
      <c r="X2042" s="55">
        <v>10095652</v>
      </c>
      <c r="Y2042" s="55" t="s">
        <v>146</v>
      </c>
      <c r="AB2042" s="55" t="s">
        <v>146</v>
      </c>
      <c r="AC2042" s="55" t="s">
        <v>146</v>
      </c>
    </row>
    <row r="2043" spans="1:29" ht="13" x14ac:dyDescent="0.15">
      <c r="A2043" s="72" t="str">
        <f t="shared" si="31"/>
        <v>Ofsted Social Care Provider Webpage</v>
      </c>
      <c r="B2043" s="55" t="s">
        <v>3315</v>
      </c>
      <c r="D2043" s="55" t="s">
        <v>373</v>
      </c>
      <c r="E2043" s="74">
        <v>37705</v>
      </c>
      <c r="F2043" s="55" t="s">
        <v>344</v>
      </c>
      <c r="G2043" s="55" t="s">
        <v>360</v>
      </c>
      <c r="H2043" s="55" t="s">
        <v>360</v>
      </c>
      <c r="I2043" s="55" t="s">
        <v>360</v>
      </c>
      <c r="J2043" s="55" t="s">
        <v>360</v>
      </c>
      <c r="K2043" s="55" t="s">
        <v>360</v>
      </c>
      <c r="L2043" s="55" t="s">
        <v>360</v>
      </c>
      <c r="M2043" s="55" t="s">
        <v>378</v>
      </c>
      <c r="N2043" s="55" t="s">
        <v>170</v>
      </c>
      <c r="O2043" s="55" t="s">
        <v>264</v>
      </c>
      <c r="P2043" s="55" t="s">
        <v>1334</v>
      </c>
      <c r="Q2043" s="55" t="s">
        <v>380</v>
      </c>
      <c r="R2043" s="55">
        <v>6</v>
      </c>
      <c r="S2043" s="74" t="s">
        <v>332</v>
      </c>
      <c r="T2043" s="55" t="s">
        <v>1696</v>
      </c>
      <c r="U2043" s="73" t="s">
        <v>351</v>
      </c>
      <c r="V2043" s="74">
        <v>44593</v>
      </c>
      <c r="W2043" s="74">
        <v>44630</v>
      </c>
      <c r="X2043" s="55">
        <v>10187493</v>
      </c>
      <c r="Y2043" s="55" t="s">
        <v>132</v>
      </c>
      <c r="AB2043" s="55" t="s">
        <v>132</v>
      </c>
      <c r="AC2043" s="55" t="s">
        <v>132</v>
      </c>
    </row>
    <row r="2044" spans="1:29" ht="13" x14ac:dyDescent="0.15">
      <c r="A2044" s="72" t="str">
        <f t="shared" si="31"/>
        <v>Ofsted Social Care Provider Webpage</v>
      </c>
      <c r="B2044" s="55" t="s">
        <v>3316</v>
      </c>
      <c r="D2044" s="55" t="s">
        <v>373</v>
      </c>
      <c r="E2044" s="74">
        <v>37662</v>
      </c>
      <c r="F2044" s="55" t="s">
        <v>344</v>
      </c>
      <c r="G2044" s="55" t="s">
        <v>360</v>
      </c>
      <c r="H2044" s="55" t="s">
        <v>360</v>
      </c>
      <c r="I2044" s="55" t="s">
        <v>360</v>
      </c>
      <c r="J2044" s="55" t="s">
        <v>360</v>
      </c>
      <c r="K2044" s="55" t="s">
        <v>360</v>
      </c>
      <c r="L2044" s="55" t="s">
        <v>360</v>
      </c>
      <c r="M2044" s="55" t="s">
        <v>378</v>
      </c>
      <c r="N2044" s="55" t="s">
        <v>170</v>
      </c>
      <c r="O2044" s="55" t="s">
        <v>264</v>
      </c>
      <c r="P2044" s="55" t="s">
        <v>437</v>
      </c>
      <c r="Q2044" s="55" t="s">
        <v>380</v>
      </c>
      <c r="R2044" s="55">
        <v>6</v>
      </c>
      <c r="S2044" s="74"/>
      <c r="T2044" s="55" t="s">
        <v>1696</v>
      </c>
      <c r="U2044" s="73" t="s">
        <v>351</v>
      </c>
      <c r="V2044" s="74">
        <v>44495</v>
      </c>
      <c r="W2044" s="74">
        <v>44547</v>
      </c>
      <c r="X2044" s="55">
        <v>10186583</v>
      </c>
      <c r="Y2044" s="55" t="s">
        <v>130</v>
      </c>
      <c r="AB2044" s="55" t="s">
        <v>130</v>
      </c>
      <c r="AC2044" s="55" t="s">
        <v>130</v>
      </c>
    </row>
    <row r="2045" spans="1:29" ht="13" x14ac:dyDescent="0.15">
      <c r="A2045" s="72" t="str">
        <f t="shared" si="31"/>
        <v>Ofsted Social Care Provider Webpage</v>
      </c>
      <c r="B2045" s="55" t="s">
        <v>3317</v>
      </c>
      <c r="D2045" s="55" t="s">
        <v>2864</v>
      </c>
      <c r="E2045" s="74">
        <v>37733</v>
      </c>
      <c r="F2045" s="55" t="s">
        <v>344</v>
      </c>
      <c r="G2045" s="55" t="s">
        <v>360</v>
      </c>
      <c r="H2045" s="55" t="s">
        <v>360</v>
      </c>
      <c r="I2045" s="55" t="s">
        <v>360</v>
      </c>
      <c r="J2045" s="55" t="s">
        <v>360</v>
      </c>
      <c r="K2045" s="55" t="s">
        <v>360</v>
      </c>
      <c r="L2045" s="55" t="s">
        <v>360</v>
      </c>
      <c r="M2045" s="55" t="s">
        <v>378</v>
      </c>
      <c r="N2045" s="55" t="s">
        <v>170</v>
      </c>
      <c r="O2045" s="55" t="s">
        <v>233</v>
      </c>
      <c r="P2045" s="55" t="s">
        <v>2363</v>
      </c>
      <c r="Q2045" s="55" t="s">
        <v>380</v>
      </c>
      <c r="R2045" s="55">
        <v>12</v>
      </c>
      <c r="S2045" s="74"/>
      <c r="T2045" s="55" t="s">
        <v>381</v>
      </c>
      <c r="U2045" s="73" t="s">
        <v>351</v>
      </c>
      <c r="V2045" s="74">
        <v>43795</v>
      </c>
      <c r="W2045" s="74">
        <v>43826</v>
      </c>
      <c r="X2045" s="55">
        <v>10055244</v>
      </c>
      <c r="Y2045" s="55" t="s">
        <v>132</v>
      </c>
      <c r="Z2045" s="55" t="s">
        <v>132</v>
      </c>
      <c r="AA2045" s="55" t="s">
        <v>132</v>
      </c>
      <c r="AB2045" s="55" t="s">
        <v>132</v>
      </c>
      <c r="AC2045" s="55" t="s">
        <v>130</v>
      </c>
    </row>
    <row r="2046" spans="1:29" ht="13" x14ac:dyDescent="0.15">
      <c r="A2046" s="72" t="str">
        <f t="shared" si="31"/>
        <v>Ofsted Social Care Provider Webpage</v>
      </c>
      <c r="B2046" s="55" t="s">
        <v>3318</v>
      </c>
      <c r="D2046" s="55" t="s">
        <v>389</v>
      </c>
      <c r="E2046" s="74">
        <v>38055</v>
      </c>
      <c r="F2046" s="55" t="s">
        <v>344</v>
      </c>
      <c r="G2046" s="55" t="s">
        <v>3319</v>
      </c>
      <c r="H2046" s="55" t="s">
        <v>587</v>
      </c>
      <c r="I2046" s="55" t="s">
        <v>3320</v>
      </c>
      <c r="J2046" s="55" t="s">
        <v>382</v>
      </c>
      <c r="L2046" s="55" t="s">
        <v>3321</v>
      </c>
      <c r="M2046" s="55" t="s">
        <v>136</v>
      </c>
      <c r="N2046" s="55" t="s">
        <v>136</v>
      </c>
      <c r="O2046" s="55" t="s">
        <v>185</v>
      </c>
      <c r="P2046" s="55" t="s">
        <v>382</v>
      </c>
      <c r="Q2046" s="55" t="s">
        <v>362</v>
      </c>
      <c r="R2046" s="55"/>
      <c r="S2046" s="74"/>
      <c r="T2046" s="55" t="s">
        <v>3319</v>
      </c>
      <c r="U2046" s="73" t="s">
        <v>351</v>
      </c>
      <c r="V2046" s="74">
        <v>43395</v>
      </c>
      <c r="W2046" s="74">
        <v>43420</v>
      </c>
      <c r="X2046" s="55">
        <v>10045940</v>
      </c>
      <c r="Y2046" s="55" t="s">
        <v>132</v>
      </c>
      <c r="AB2046" s="55" t="s">
        <v>132</v>
      </c>
      <c r="AC2046" s="55" t="s">
        <v>132</v>
      </c>
    </row>
    <row r="2047" spans="1:29" ht="13" x14ac:dyDescent="0.15">
      <c r="A2047" s="72" t="str">
        <f t="shared" si="31"/>
        <v>Ofsted Social Care Provider Webpage</v>
      </c>
      <c r="B2047" s="55" t="s">
        <v>3322</v>
      </c>
      <c r="D2047" s="55" t="s">
        <v>373</v>
      </c>
      <c r="E2047" s="74">
        <v>37991</v>
      </c>
      <c r="F2047" s="55" t="s">
        <v>344</v>
      </c>
      <c r="G2047" s="55" t="s">
        <v>360</v>
      </c>
      <c r="H2047" s="55" t="s">
        <v>360</v>
      </c>
      <c r="I2047" s="55" t="s">
        <v>360</v>
      </c>
      <c r="J2047" s="55" t="s">
        <v>360</v>
      </c>
      <c r="K2047" s="55" t="s">
        <v>360</v>
      </c>
      <c r="L2047" s="55" t="s">
        <v>360</v>
      </c>
      <c r="M2047" s="55" t="s">
        <v>144</v>
      </c>
      <c r="N2047" s="55" t="s">
        <v>144</v>
      </c>
      <c r="O2047" s="55" t="s">
        <v>209</v>
      </c>
      <c r="P2047" s="55" t="s">
        <v>777</v>
      </c>
      <c r="Q2047" s="55" t="s">
        <v>380</v>
      </c>
      <c r="R2047" s="55">
        <v>1</v>
      </c>
      <c r="S2047" s="74"/>
      <c r="T2047" s="55" t="s">
        <v>657</v>
      </c>
      <c r="U2047" s="73" t="s">
        <v>351</v>
      </c>
      <c r="V2047" s="74">
        <v>44537</v>
      </c>
      <c r="W2047" s="74">
        <v>44586</v>
      </c>
      <c r="X2047" s="55">
        <v>10210141</v>
      </c>
      <c r="Y2047" s="55" t="s">
        <v>132</v>
      </c>
      <c r="AB2047" s="55" t="s">
        <v>130</v>
      </c>
      <c r="AC2047" s="55" t="s">
        <v>132</v>
      </c>
    </row>
    <row r="2048" spans="1:29" ht="13" x14ac:dyDescent="0.15">
      <c r="A2048" s="72" t="str">
        <f t="shared" si="31"/>
        <v>Ofsted Social Care Provider Webpage</v>
      </c>
      <c r="B2048" s="55" t="s">
        <v>3323</v>
      </c>
      <c r="D2048" s="55" t="s">
        <v>373</v>
      </c>
      <c r="E2048" s="74">
        <v>37928</v>
      </c>
      <c r="F2048" s="55" t="s">
        <v>344</v>
      </c>
      <c r="G2048" s="55" t="s">
        <v>360</v>
      </c>
      <c r="H2048" s="55" t="s">
        <v>360</v>
      </c>
      <c r="I2048" s="55" t="s">
        <v>360</v>
      </c>
      <c r="J2048" s="55" t="s">
        <v>360</v>
      </c>
      <c r="K2048" s="55" t="s">
        <v>360</v>
      </c>
      <c r="L2048" s="55" t="s">
        <v>360</v>
      </c>
      <c r="M2048" s="55" t="s">
        <v>144</v>
      </c>
      <c r="N2048" s="55" t="s">
        <v>144</v>
      </c>
      <c r="O2048" s="55" t="s">
        <v>209</v>
      </c>
      <c r="P2048" s="55" t="s">
        <v>777</v>
      </c>
      <c r="Q2048" s="55" t="s">
        <v>380</v>
      </c>
      <c r="R2048" s="55">
        <v>6</v>
      </c>
      <c r="S2048" s="74"/>
      <c r="T2048" s="55" t="s">
        <v>657</v>
      </c>
      <c r="U2048" s="73" t="s">
        <v>351</v>
      </c>
      <c r="V2048" s="74">
        <v>44566</v>
      </c>
      <c r="W2048" s="74">
        <v>44610</v>
      </c>
      <c r="X2048" s="55">
        <v>10187382</v>
      </c>
      <c r="Y2048" s="55" t="s">
        <v>132</v>
      </c>
      <c r="AB2048" s="55" t="s">
        <v>132</v>
      </c>
      <c r="AC2048" s="55" t="s">
        <v>132</v>
      </c>
    </row>
    <row r="2049" spans="1:29" ht="13" x14ac:dyDescent="0.15">
      <c r="A2049" s="72" t="str">
        <f t="shared" si="31"/>
        <v>Ofsted Social Care Provider Webpage</v>
      </c>
      <c r="B2049" s="55" t="s">
        <v>3324</v>
      </c>
      <c r="D2049" s="55" t="s">
        <v>373</v>
      </c>
      <c r="E2049" s="74">
        <v>37928</v>
      </c>
      <c r="F2049" s="55" t="s">
        <v>344</v>
      </c>
      <c r="G2049" s="55" t="s">
        <v>360</v>
      </c>
      <c r="H2049" s="55" t="s">
        <v>360</v>
      </c>
      <c r="I2049" s="55" t="s">
        <v>360</v>
      </c>
      <c r="J2049" s="55" t="s">
        <v>360</v>
      </c>
      <c r="K2049" s="55" t="s">
        <v>360</v>
      </c>
      <c r="L2049" s="55" t="s">
        <v>360</v>
      </c>
      <c r="M2049" s="55" t="s">
        <v>144</v>
      </c>
      <c r="N2049" s="55" t="s">
        <v>144</v>
      </c>
      <c r="O2049" s="55" t="s">
        <v>209</v>
      </c>
      <c r="P2049" s="55" t="s">
        <v>474</v>
      </c>
      <c r="Q2049" s="55" t="s">
        <v>380</v>
      </c>
      <c r="R2049" s="55">
        <v>6</v>
      </c>
      <c r="S2049" s="74" t="s">
        <v>332</v>
      </c>
      <c r="T2049" s="55" t="s">
        <v>657</v>
      </c>
      <c r="U2049" s="73" t="s">
        <v>351</v>
      </c>
      <c r="V2049" s="74">
        <v>44628</v>
      </c>
      <c r="W2049" s="74">
        <v>44679</v>
      </c>
      <c r="X2049" s="55">
        <v>10185100</v>
      </c>
      <c r="Y2049" s="55" t="s">
        <v>140</v>
      </c>
      <c r="AB2049" s="55" t="s">
        <v>140</v>
      </c>
      <c r="AC2049" s="55" t="s">
        <v>140</v>
      </c>
    </row>
    <row r="2050" spans="1:29" ht="13" x14ac:dyDescent="0.15">
      <c r="A2050" s="72" t="str">
        <f t="shared" si="31"/>
        <v>Ofsted Social Care Provider Webpage</v>
      </c>
      <c r="B2050" s="55" t="s">
        <v>3325</v>
      </c>
      <c r="D2050" s="55" t="s">
        <v>373</v>
      </c>
      <c r="E2050" s="74">
        <v>37966</v>
      </c>
      <c r="F2050" s="55" t="s">
        <v>344</v>
      </c>
      <c r="G2050" s="55" t="s">
        <v>360</v>
      </c>
      <c r="H2050" s="55" t="s">
        <v>360</v>
      </c>
      <c r="I2050" s="55" t="s">
        <v>360</v>
      </c>
      <c r="J2050" s="55" t="s">
        <v>360</v>
      </c>
      <c r="K2050" s="55" t="s">
        <v>360</v>
      </c>
      <c r="L2050" s="55" t="s">
        <v>360</v>
      </c>
      <c r="M2050" s="55" t="s">
        <v>144</v>
      </c>
      <c r="N2050" s="55" t="s">
        <v>144</v>
      </c>
      <c r="O2050" s="55" t="s">
        <v>209</v>
      </c>
      <c r="P2050" s="55" t="s">
        <v>555</v>
      </c>
      <c r="Q2050" s="55" t="s">
        <v>380</v>
      </c>
      <c r="R2050" s="55">
        <v>3</v>
      </c>
      <c r="S2050" s="74"/>
      <c r="T2050" s="55" t="s">
        <v>657</v>
      </c>
      <c r="U2050" s="73" t="s">
        <v>351</v>
      </c>
      <c r="V2050" s="74">
        <v>43845</v>
      </c>
      <c r="W2050" s="74">
        <v>43886</v>
      </c>
      <c r="X2050" s="55">
        <v>10095631</v>
      </c>
      <c r="Y2050" s="55" t="s">
        <v>132</v>
      </c>
      <c r="AB2050" s="55" t="s">
        <v>132</v>
      </c>
      <c r="AC2050" s="55" t="s">
        <v>140</v>
      </c>
    </row>
    <row r="2051" spans="1:29" ht="13" x14ac:dyDescent="0.15">
      <c r="A2051" s="72" t="str">
        <f t="shared" si="31"/>
        <v>Ofsted Social Care Provider Webpage</v>
      </c>
      <c r="B2051" s="55" t="s">
        <v>3326</v>
      </c>
      <c r="D2051" s="55" t="s">
        <v>373</v>
      </c>
      <c r="E2051" s="74">
        <v>37922</v>
      </c>
      <c r="F2051" s="55" t="s">
        <v>344</v>
      </c>
      <c r="G2051" s="55" t="s">
        <v>360</v>
      </c>
      <c r="H2051" s="55" t="s">
        <v>360</v>
      </c>
      <c r="I2051" s="55" t="s">
        <v>360</v>
      </c>
      <c r="J2051" s="55" t="s">
        <v>360</v>
      </c>
      <c r="K2051" s="55" t="s">
        <v>360</v>
      </c>
      <c r="L2051" s="55" t="s">
        <v>360</v>
      </c>
      <c r="M2051" s="55" t="s">
        <v>144</v>
      </c>
      <c r="N2051" s="55" t="s">
        <v>144</v>
      </c>
      <c r="O2051" s="55" t="s">
        <v>236</v>
      </c>
      <c r="P2051" s="55" t="s">
        <v>1122</v>
      </c>
      <c r="Q2051" s="55" t="s">
        <v>380</v>
      </c>
      <c r="R2051" s="55">
        <v>4</v>
      </c>
      <c r="S2051" s="74"/>
      <c r="T2051" s="55" t="s">
        <v>3314</v>
      </c>
      <c r="U2051" s="73" t="s">
        <v>351</v>
      </c>
      <c r="V2051" s="74">
        <v>44566</v>
      </c>
      <c r="W2051" s="74">
        <v>44596</v>
      </c>
      <c r="X2051" s="55">
        <v>10187652</v>
      </c>
      <c r="Y2051" s="55" t="s">
        <v>132</v>
      </c>
      <c r="AB2051" s="55" t="s">
        <v>132</v>
      </c>
      <c r="AC2051" s="55" t="s">
        <v>130</v>
      </c>
    </row>
    <row r="2052" spans="1:29" ht="13" x14ac:dyDescent="0.15">
      <c r="A2052" s="72" t="str">
        <f t="shared" si="31"/>
        <v>Ofsted Social Care Provider Webpage</v>
      </c>
      <c r="B2052" s="55" t="s">
        <v>3327</v>
      </c>
      <c r="D2052" s="55" t="s">
        <v>373</v>
      </c>
      <c r="E2052" s="74">
        <v>37712</v>
      </c>
      <c r="F2052" s="55" t="s">
        <v>344</v>
      </c>
      <c r="G2052" s="55" t="s">
        <v>360</v>
      </c>
      <c r="H2052" s="55" t="s">
        <v>360</v>
      </c>
      <c r="I2052" s="55" t="s">
        <v>360</v>
      </c>
      <c r="J2052" s="55" t="s">
        <v>360</v>
      </c>
      <c r="K2052" s="55" t="s">
        <v>360</v>
      </c>
      <c r="L2052" s="55" t="s">
        <v>360</v>
      </c>
      <c r="M2052" s="55" t="s">
        <v>378</v>
      </c>
      <c r="N2052" s="55" t="s">
        <v>134</v>
      </c>
      <c r="O2052" s="55" t="s">
        <v>180</v>
      </c>
      <c r="P2052" s="55" t="s">
        <v>1483</v>
      </c>
      <c r="Q2052" s="55" t="s">
        <v>380</v>
      </c>
      <c r="R2052" s="55">
        <v>6</v>
      </c>
      <c r="S2052" s="74"/>
      <c r="T2052" s="55" t="s">
        <v>2361</v>
      </c>
      <c r="U2052" s="73" t="s">
        <v>351</v>
      </c>
      <c r="V2052" s="74">
        <v>44586</v>
      </c>
      <c r="W2052" s="74">
        <v>44636</v>
      </c>
      <c r="X2052" s="55">
        <v>10210855</v>
      </c>
      <c r="Y2052" s="55" t="s">
        <v>130</v>
      </c>
      <c r="AB2052" s="55" t="s">
        <v>130</v>
      </c>
      <c r="AC2052" s="55" t="s">
        <v>130</v>
      </c>
    </row>
    <row r="2053" spans="1:29" ht="13" x14ac:dyDescent="0.15">
      <c r="A2053" s="72" t="str">
        <f t="shared" si="31"/>
        <v>Ofsted Social Care Provider Webpage</v>
      </c>
      <c r="B2053" s="55" t="s">
        <v>3328</v>
      </c>
      <c r="D2053" s="55" t="s">
        <v>2864</v>
      </c>
      <c r="E2053" s="74">
        <v>37636</v>
      </c>
      <c r="F2053" s="55" t="s">
        <v>344</v>
      </c>
      <c r="G2053" s="55" t="s">
        <v>360</v>
      </c>
      <c r="H2053" s="55" t="s">
        <v>360</v>
      </c>
      <c r="I2053" s="55" t="s">
        <v>360</v>
      </c>
      <c r="J2053" s="55" t="s">
        <v>360</v>
      </c>
      <c r="K2053" s="55" t="s">
        <v>360</v>
      </c>
      <c r="L2053" s="55" t="s">
        <v>360</v>
      </c>
      <c r="M2053" s="55" t="s">
        <v>136</v>
      </c>
      <c r="N2053" s="55" t="s">
        <v>136</v>
      </c>
      <c r="O2053" s="55" t="s">
        <v>256</v>
      </c>
      <c r="P2053" s="55" t="s">
        <v>3329</v>
      </c>
      <c r="Q2053" s="55" t="s">
        <v>380</v>
      </c>
      <c r="R2053" s="55">
        <v>24</v>
      </c>
      <c r="S2053" s="74"/>
      <c r="T2053" s="55" t="s">
        <v>3330</v>
      </c>
      <c r="U2053" s="73" t="s">
        <v>351</v>
      </c>
      <c r="V2053" s="74">
        <v>44355</v>
      </c>
      <c r="W2053" s="74">
        <v>44386</v>
      </c>
      <c r="X2053" s="55">
        <v>10193908</v>
      </c>
      <c r="Y2053" s="55" t="s">
        <v>132</v>
      </c>
      <c r="Z2053" s="55" t="s">
        <v>132</v>
      </c>
      <c r="AA2053" s="55" t="s">
        <v>132</v>
      </c>
      <c r="AB2053" s="55" t="s">
        <v>132</v>
      </c>
      <c r="AC2053" s="55" t="s">
        <v>130</v>
      </c>
    </row>
    <row r="2054" spans="1:29" ht="13" x14ac:dyDescent="0.15">
      <c r="A2054" s="72" t="str">
        <f t="shared" ref="A2054:A2117" si="32">HYPERLINK(_xlfn.CONCAT("http://reports.ofsted.gov.uk/inspection-reports/find-inspection-report/provider/CARE/",B2054),"Ofsted Social Care Provider Webpage")</f>
        <v>Ofsted Social Care Provider Webpage</v>
      </c>
      <c r="B2054" s="55" t="s">
        <v>3331</v>
      </c>
      <c r="D2054" s="55" t="s">
        <v>479</v>
      </c>
      <c r="E2054" s="74">
        <v>38005</v>
      </c>
      <c r="F2054" s="55" t="s">
        <v>344</v>
      </c>
      <c r="G2054" s="55" t="s">
        <v>360</v>
      </c>
      <c r="H2054" s="55" t="s">
        <v>360</v>
      </c>
      <c r="I2054" s="55" t="s">
        <v>360</v>
      </c>
      <c r="J2054" s="55" t="s">
        <v>360</v>
      </c>
      <c r="K2054" s="55" t="s">
        <v>360</v>
      </c>
      <c r="L2054" s="55" t="s">
        <v>360</v>
      </c>
      <c r="M2054" s="55" t="s">
        <v>144</v>
      </c>
      <c r="N2054" s="55" t="s">
        <v>144</v>
      </c>
      <c r="O2054" s="55" t="s">
        <v>263</v>
      </c>
      <c r="P2054" s="55" t="s">
        <v>1211</v>
      </c>
      <c r="Q2054" s="55" t="s">
        <v>362</v>
      </c>
      <c r="R2054" s="55">
        <v>24</v>
      </c>
      <c r="S2054" s="74"/>
      <c r="T2054" s="55" t="s">
        <v>1847</v>
      </c>
      <c r="U2054" s="73" t="s">
        <v>351</v>
      </c>
      <c r="V2054" s="74">
        <v>44531</v>
      </c>
      <c r="W2054" s="74">
        <v>44588</v>
      </c>
      <c r="X2054" s="55">
        <v>10186877</v>
      </c>
      <c r="Y2054" s="55" t="s">
        <v>132</v>
      </c>
      <c r="AB2054" s="55" t="s">
        <v>132</v>
      </c>
      <c r="AC2054" s="55" t="s">
        <v>132</v>
      </c>
    </row>
    <row r="2055" spans="1:29" ht="13" x14ac:dyDescent="0.15">
      <c r="A2055" s="72" t="str">
        <f t="shared" si="32"/>
        <v>Ofsted Social Care Provider Webpage</v>
      </c>
      <c r="B2055" s="55" t="s">
        <v>3332</v>
      </c>
      <c r="D2055" s="55" t="s">
        <v>373</v>
      </c>
      <c r="E2055" s="74">
        <v>37712</v>
      </c>
      <c r="F2055" s="55" t="s">
        <v>344</v>
      </c>
      <c r="G2055" s="55" t="s">
        <v>360</v>
      </c>
      <c r="H2055" s="55" t="s">
        <v>360</v>
      </c>
      <c r="I2055" s="55" t="s">
        <v>360</v>
      </c>
      <c r="J2055" s="55" t="s">
        <v>360</v>
      </c>
      <c r="K2055" s="55" t="s">
        <v>360</v>
      </c>
      <c r="L2055" s="55" t="s">
        <v>360</v>
      </c>
      <c r="M2055" s="55" t="s">
        <v>378</v>
      </c>
      <c r="N2055" s="55" t="s">
        <v>134</v>
      </c>
      <c r="O2055" s="55" t="s">
        <v>180</v>
      </c>
      <c r="P2055" s="55" t="s">
        <v>1483</v>
      </c>
      <c r="Q2055" s="55" t="s">
        <v>380</v>
      </c>
      <c r="R2055" s="55">
        <v>6</v>
      </c>
      <c r="S2055" s="74"/>
      <c r="T2055" s="55" t="s">
        <v>2361</v>
      </c>
      <c r="U2055" s="73" t="s">
        <v>351</v>
      </c>
      <c r="V2055" s="74">
        <v>44419</v>
      </c>
      <c r="W2055" s="74">
        <v>44474</v>
      </c>
      <c r="X2055" s="55">
        <v>10185408</v>
      </c>
      <c r="Y2055" s="55" t="s">
        <v>130</v>
      </c>
      <c r="AB2055" s="55" t="s">
        <v>130</v>
      </c>
      <c r="AC2055" s="55" t="s">
        <v>146</v>
      </c>
    </row>
    <row r="2056" spans="1:29" ht="13" x14ac:dyDescent="0.15">
      <c r="A2056" s="72" t="str">
        <f t="shared" si="32"/>
        <v>Ofsted Social Care Provider Webpage</v>
      </c>
      <c r="B2056" s="55" t="s">
        <v>3333</v>
      </c>
      <c r="D2056" s="55" t="s">
        <v>389</v>
      </c>
      <c r="E2056" s="74">
        <v>37838</v>
      </c>
      <c r="F2056" s="55" t="s">
        <v>344</v>
      </c>
      <c r="G2056" s="55" t="s">
        <v>3334</v>
      </c>
      <c r="H2056" s="55" t="s">
        <v>3335</v>
      </c>
      <c r="I2056" s="55" t="s">
        <v>3336</v>
      </c>
      <c r="J2056" s="55" t="s">
        <v>2738</v>
      </c>
      <c r="K2056" s="55" t="s">
        <v>285</v>
      </c>
      <c r="L2056" s="55" t="s">
        <v>3337</v>
      </c>
      <c r="M2056" s="55" t="s">
        <v>150</v>
      </c>
      <c r="N2056" s="55" t="s">
        <v>150</v>
      </c>
      <c r="O2056" s="55" t="s">
        <v>285</v>
      </c>
      <c r="P2056" s="55" t="s">
        <v>2738</v>
      </c>
      <c r="Q2056" s="55" t="s">
        <v>350</v>
      </c>
      <c r="R2056" s="55"/>
      <c r="S2056" s="74"/>
      <c r="T2056" s="55" t="s">
        <v>726</v>
      </c>
      <c r="U2056" s="73" t="s">
        <v>351</v>
      </c>
      <c r="V2056" s="74">
        <v>43283</v>
      </c>
      <c r="W2056" s="74">
        <v>43322</v>
      </c>
      <c r="X2056" s="55">
        <v>10045655</v>
      </c>
      <c r="Y2056" s="55" t="s">
        <v>140</v>
      </c>
      <c r="AB2056" s="55" t="s">
        <v>140</v>
      </c>
      <c r="AC2056" s="55" t="s">
        <v>140</v>
      </c>
    </row>
    <row r="2057" spans="1:29" ht="13" x14ac:dyDescent="0.15">
      <c r="A2057" s="72" t="str">
        <f t="shared" si="32"/>
        <v>Ofsted Social Care Provider Webpage</v>
      </c>
      <c r="B2057" s="55" t="s">
        <v>3338</v>
      </c>
      <c r="D2057" s="55" t="s">
        <v>373</v>
      </c>
      <c r="E2057" s="74">
        <v>37707</v>
      </c>
      <c r="F2057" s="55" t="s">
        <v>344</v>
      </c>
      <c r="G2057" s="55" t="s">
        <v>360</v>
      </c>
      <c r="H2057" s="55" t="s">
        <v>360</v>
      </c>
      <c r="I2057" s="55" t="s">
        <v>360</v>
      </c>
      <c r="J2057" s="55" t="s">
        <v>360</v>
      </c>
      <c r="K2057" s="55" t="s">
        <v>360</v>
      </c>
      <c r="L2057" s="55" t="s">
        <v>360</v>
      </c>
      <c r="M2057" s="55" t="s">
        <v>150</v>
      </c>
      <c r="N2057" s="55" t="s">
        <v>150</v>
      </c>
      <c r="O2057" s="55" t="s">
        <v>190</v>
      </c>
      <c r="P2057" s="55" t="s">
        <v>749</v>
      </c>
      <c r="Q2057" s="55" t="s">
        <v>350</v>
      </c>
      <c r="R2057" s="55">
        <v>4</v>
      </c>
      <c r="S2057" s="74"/>
      <c r="T2057" s="55" t="s">
        <v>888</v>
      </c>
      <c r="U2057" s="73" t="s">
        <v>351</v>
      </c>
      <c r="V2057" s="74">
        <v>44601</v>
      </c>
      <c r="W2057" s="74">
        <v>44650</v>
      </c>
      <c r="X2057" s="55">
        <v>10186557</v>
      </c>
      <c r="Y2057" s="55" t="s">
        <v>130</v>
      </c>
      <c r="AB2057" s="55" t="s">
        <v>130</v>
      </c>
      <c r="AC2057" s="55" t="s">
        <v>146</v>
      </c>
    </row>
    <row r="2058" spans="1:29" ht="13" x14ac:dyDescent="0.15">
      <c r="A2058" s="72" t="str">
        <f t="shared" si="32"/>
        <v>Ofsted Social Care Provider Webpage</v>
      </c>
      <c r="B2058" s="55" t="s">
        <v>3339</v>
      </c>
      <c r="D2058" s="55" t="s">
        <v>479</v>
      </c>
      <c r="E2058" s="74">
        <v>37741</v>
      </c>
      <c r="F2058" s="55" t="s">
        <v>344</v>
      </c>
      <c r="G2058" s="55" t="s">
        <v>360</v>
      </c>
      <c r="H2058" s="55" t="s">
        <v>360</v>
      </c>
      <c r="I2058" s="55" t="s">
        <v>360</v>
      </c>
      <c r="J2058" s="55" t="s">
        <v>360</v>
      </c>
      <c r="K2058" s="55" t="s">
        <v>360</v>
      </c>
      <c r="L2058" s="55" t="s">
        <v>360</v>
      </c>
      <c r="M2058" s="55" t="s">
        <v>142</v>
      </c>
      <c r="N2058" s="55" t="s">
        <v>142</v>
      </c>
      <c r="O2058" s="55" t="s">
        <v>195</v>
      </c>
      <c r="P2058" s="55" t="s">
        <v>518</v>
      </c>
      <c r="Q2058" s="55" t="s">
        <v>350</v>
      </c>
      <c r="R2058" s="55">
        <v>30</v>
      </c>
      <c r="S2058" s="74"/>
      <c r="T2058" s="55" t="s">
        <v>3340</v>
      </c>
      <c r="U2058" s="73" t="s">
        <v>351</v>
      </c>
      <c r="V2058" s="74">
        <v>44376</v>
      </c>
      <c r="W2058" s="74">
        <v>44397</v>
      </c>
      <c r="X2058" s="55">
        <v>10186871</v>
      </c>
      <c r="Y2058" s="55" t="s">
        <v>132</v>
      </c>
      <c r="AB2058" s="55" t="s">
        <v>132</v>
      </c>
      <c r="AC2058" s="55" t="s">
        <v>132</v>
      </c>
    </row>
    <row r="2059" spans="1:29" ht="13" x14ac:dyDescent="0.15">
      <c r="A2059" s="72" t="str">
        <f t="shared" si="32"/>
        <v>Ofsted Social Care Provider Webpage</v>
      </c>
      <c r="B2059" s="55" t="s">
        <v>3341</v>
      </c>
      <c r="D2059" s="55" t="s">
        <v>2864</v>
      </c>
      <c r="E2059" s="74">
        <v>37868</v>
      </c>
      <c r="F2059" s="55" t="s">
        <v>344</v>
      </c>
      <c r="G2059" s="55" t="s">
        <v>360</v>
      </c>
      <c r="H2059" s="55" t="s">
        <v>360</v>
      </c>
      <c r="I2059" s="55" t="s">
        <v>360</v>
      </c>
      <c r="J2059" s="55" t="s">
        <v>360</v>
      </c>
      <c r="K2059" s="55" t="s">
        <v>360</v>
      </c>
      <c r="L2059" s="55" t="s">
        <v>360</v>
      </c>
      <c r="M2059" s="55" t="s">
        <v>378</v>
      </c>
      <c r="N2059" s="55" t="s">
        <v>170</v>
      </c>
      <c r="O2059" s="55" t="s">
        <v>178</v>
      </c>
      <c r="P2059" s="55" t="s">
        <v>434</v>
      </c>
      <c r="Q2059" s="55" t="s">
        <v>380</v>
      </c>
      <c r="R2059" s="55">
        <v>38</v>
      </c>
      <c r="S2059" s="74"/>
      <c r="T2059" s="55" t="s">
        <v>2068</v>
      </c>
      <c r="U2059" s="73" t="s">
        <v>351</v>
      </c>
      <c r="V2059" s="74">
        <v>44299</v>
      </c>
      <c r="W2059" s="74">
        <v>44357</v>
      </c>
      <c r="X2059" s="55">
        <v>10165454</v>
      </c>
      <c r="Y2059" s="55" t="s">
        <v>140</v>
      </c>
      <c r="Z2059" s="55" t="s">
        <v>132</v>
      </c>
      <c r="AA2059" s="55" t="s">
        <v>140</v>
      </c>
      <c r="AB2059" s="55" t="s">
        <v>140</v>
      </c>
      <c r="AC2059" s="55" t="s">
        <v>140</v>
      </c>
    </row>
    <row r="2060" spans="1:29" ht="13" x14ac:dyDescent="0.15">
      <c r="A2060" s="72" t="str">
        <f t="shared" si="32"/>
        <v>Ofsted Social Care Provider Webpage</v>
      </c>
      <c r="B2060" s="55" t="s">
        <v>3342</v>
      </c>
      <c r="D2060" s="55" t="s">
        <v>373</v>
      </c>
      <c r="E2060" s="74">
        <v>37642</v>
      </c>
      <c r="F2060" s="55" t="s">
        <v>344</v>
      </c>
      <c r="G2060" s="55" t="s">
        <v>360</v>
      </c>
      <c r="H2060" s="55" t="s">
        <v>360</v>
      </c>
      <c r="I2060" s="55" t="s">
        <v>360</v>
      </c>
      <c r="J2060" s="55" t="s">
        <v>360</v>
      </c>
      <c r="K2060" s="55" t="s">
        <v>360</v>
      </c>
      <c r="L2060" s="55" t="s">
        <v>360</v>
      </c>
      <c r="M2060" s="55" t="s">
        <v>144</v>
      </c>
      <c r="N2060" s="55" t="s">
        <v>144</v>
      </c>
      <c r="O2060" s="55" t="s">
        <v>236</v>
      </c>
      <c r="P2060" s="55" t="s">
        <v>996</v>
      </c>
      <c r="Q2060" s="55" t="s">
        <v>350</v>
      </c>
      <c r="R2060" s="55">
        <v>7</v>
      </c>
      <c r="S2060" s="74"/>
      <c r="T2060" s="55" t="s">
        <v>385</v>
      </c>
      <c r="U2060" s="73" t="s">
        <v>351</v>
      </c>
      <c r="V2060" s="74">
        <v>44390</v>
      </c>
      <c r="W2060" s="74">
        <v>44427</v>
      </c>
      <c r="X2060" s="55">
        <v>10201563</v>
      </c>
      <c r="Y2060" s="55" t="s">
        <v>132</v>
      </c>
      <c r="AB2060" s="55" t="s">
        <v>132</v>
      </c>
      <c r="AC2060" s="55" t="s">
        <v>130</v>
      </c>
    </row>
    <row r="2061" spans="1:29" ht="13" x14ac:dyDescent="0.15">
      <c r="A2061" s="72" t="str">
        <f t="shared" si="32"/>
        <v>Ofsted Social Care Provider Webpage</v>
      </c>
      <c r="B2061" s="55" t="s">
        <v>3343</v>
      </c>
      <c r="C2061" s="55">
        <v>119873</v>
      </c>
      <c r="D2061" s="55" t="s">
        <v>413</v>
      </c>
      <c r="E2061" s="74">
        <v>37480</v>
      </c>
      <c r="F2061" s="55" t="s">
        <v>344</v>
      </c>
      <c r="G2061" s="55" t="s">
        <v>3344</v>
      </c>
      <c r="H2061" s="55" t="s">
        <v>3345</v>
      </c>
      <c r="I2061" s="55" t="s">
        <v>3346</v>
      </c>
      <c r="J2061" s="55" t="s">
        <v>3347</v>
      </c>
      <c r="L2061" s="55" t="s">
        <v>3348</v>
      </c>
      <c r="M2061" s="55" t="s">
        <v>144</v>
      </c>
      <c r="N2061" s="55" t="s">
        <v>144</v>
      </c>
      <c r="O2061" s="55" t="s">
        <v>209</v>
      </c>
      <c r="P2061" s="55" t="s">
        <v>364</v>
      </c>
      <c r="Q2061" s="55" t="s">
        <v>380</v>
      </c>
      <c r="R2061" s="55">
        <v>20</v>
      </c>
      <c r="S2061" s="74"/>
      <c r="T2061" s="55" t="s">
        <v>657</v>
      </c>
      <c r="U2061" s="73" t="s">
        <v>351</v>
      </c>
      <c r="V2061" s="74">
        <v>44326</v>
      </c>
      <c r="W2061" s="74">
        <v>44372</v>
      </c>
      <c r="X2061" s="55">
        <v>10183536</v>
      </c>
      <c r="Y2061" s="55" t="s">
        <v>130</v>
      </c>
      <c r="AB2061" s="55" t="s">
        <v>130</v>
      </c>
      <c r="AC2061" s="55" t="s">
        <v>130</v>
      </c>
    </row>
    <row r="2062" spans="1:29" ht="13" x14ac:dyDescent="0.15">
      <c r="A2062" s="72" t="str">
        <f t="shared" si="32"/>
        <v>Ofsted Social Care Provider Webpage</v>
      </c>
      <c r="B2062" s="55" t="s">
        <v>3349</v>
      </c>
      <c r="D2062" s="55" t="s">
        <v>373</v>
      </c>
      <c r="E2062" s="74">
        <v>37876</v>
      </c>
      <c r="F2062" s="55" t="s">
        <v>344</v>
      </c>
      <c r="G2062" s="55" t="s">
        <v>360</v>
      </c>
      <c r="H2062" s="55" t="s">
        <v>360</v>
      </c>
      <c r="I2062" s="55" t="s">
        <v>360</v>
      </c>
      <c r="J2062" s="55" t="s">
        <v>360</v>
      </c>
      <c r="K2062" s="55" t="s">
        <v>360</v>
      </c>
      <c r="L2062" s="55" t="s">
        <v>360</v>
      </c>
      <c r="M2062" s="55" t="s">
        <v>144</v>
      </c>
      <c r="N2062" s="55" t="s">
        <v>144</v>
      </c>
      <c r="O2062" s="55" t="s">
        <v>290</v>
      </c>
      <c r="P2062" s="55" t="s">
        <v>1099</v>
      </c>
      <c r="Q2062" s="55" t="s">
        <v>380</v>
      </c>
      <c r="R2062" s="55">
        <v>9</v>
      </c>
      <c r="S2062" s="74"/>
      <c r="T2062" s="55" t="s">
        <v>3350</v>
      </c>
      <c r="U2062" s="73" t="s">
        <v>351</v>
      </c>
      <c r="V2062" s="74">
        <v>44481</v>
      </c>
      <c r="W2062" s="74">
        <v>44531</v>
      </c>
      <c r="X2062" s="55">
        <v>10187563</v>
      </c>
      <c r="Y2062" s="55" t="s">
        <v>130</v>
      </c>
      <c r="AB2062" s="55" t="s">
        <v>130</v>
      </c>
      <c r="AC2062" s="55" t="s">
        <v>130</v>
      </c>
    </row>
    <row r="2063" spans="1:29" ht="13" x14ac:dyDescent="0.15">
      <c r="A2063" s="72" t="str">
        <f t="shared" si="32"/>
        <v>Ofsted Social Care Provider Webpage</v>
      </c>
      <c r="B2063" s="55" t="s">
        <v>3351</v>
      </c>
      <c r="D2063" s="55" t="s">
        <v>373</v>
      </c>
      <c r="E2063" s="74">
        <v>37876</v>
      </c>
      <c r="F2063" s="55" t="s">
        <v>344</v>
      </c>
      <c r="G2063" s="55" t="s">
        <v>360</v>
      </c>
      <c r="H2063" s="55" t="s">
        <v>360</v>
      </c>
      <c r="I2063" s="55" t="s">
        <v>360</v>
      </c>
      <c r="J2063" s="55" t="s">
        <v>360</v>
      </c>
      <c r="K2063" s="55" t="s">
        <v>360</v>
      </c>
      <c r="L2063" s="55" t="s">
        <v>360</v>
      </c>
      <c r="M2063" s="55" t="s">
        <v>144</v>
      </c>
      <c r="N2063" s="55" t="s">
        <v>144</v>
      </c>
      <c r="O2063" s="55" t="s">
        <v>215</v>
      </c>
      <c r="P2063" s="55" t="s">
        <v>1440</v>
      </c>
      <c r="Q2063" s="55" t="s">
        <v>380</v>
      </c>
      <c r="R2063" s="55">
        <v>7</v>
      </c>
      <c r="S2063" s="74" t="s">
        <v>332</v>
      </c>
      <c r="T2063" s="55" t="s">
        <v>3352</v>
      </c>
      <c r="U2063" s="73" t="s">
        <v>351</v>
      </c>
      <c r="V2063" s="74">
        <v>43804</v>
      </c>
      <c r="W2063" s="74">
        <v>43839</v>
      </c>
      <c r="X2063" s="55">
        <v>10095556</v>
      </c>
      <c r="Y2063" s="55" t="s">
        <v>132</v>
      </c>
      <c r="AB2063" s="55" t="s">
        <v>132</v>
      </c>
      <c r="AC2063" s="55" t="s">
        <v>132</v>
      </c>
    </row>
    <row r="2064" spans="1:29" ht="13" x14ac:dyDescent="0.15">
      <c r="A2064" s="72" t="str">
        <f t="shared" si="32"/>
        <v>Ofsted Social Care Provider Webpage</v>
      </c>
      <c r="B2064" s="55" t="s">
        <v>3353</v>
      </c>
      <c r="D2064" s="55" t="s">
        <v>373</v>
      </c>
      <c r="E2064" s="74">
        <v>37648</v>
      </c>
      <c r="F2064" s="55" t="s">
        <v>344</v>
      </c>
      <c r="G2064" s="55" t="s">
        <v>360</v>
      </c>
      <c r="H2064" s="55" t="s">
        <v>360</v>
      </c>
      <c r="I2064" s="55" t="s">
        <v>360</v>
      </c>
      <c r="J2064" s="55" t="s">
        <v>360</v>
      </c>
      <c r="K2064" s="55" t="s">
        <v>360</v>
      </c>
      <c r="L2064" s="55" t="s">
        <v>360</v>
      </c>
      <c r="M2064" s="55" t="s">
        <v>144</v>
      </c>
      <c r="N2064" s="55" t="s">
        <v>144</v>
      </c>
      <c r="O2064" s="55" t="s">
        <v>261</v>
      </c>
      <c r="P2064" s="55" t="s">
        <v>512</v>
      </c>
      <c r="Q2064" s="55" t="s">
        <v>380</v>
      </c>
      <c r="R2064" s="55">
        <v>4</v>
      </c>
      <c r="S2064" s="74" t="s">
        <v>332</v>
      </c>
      <c r="T2064" s="55" t="s">
        <v>3354</v>
      </c>
      <c r="U2064" s="73" t="s">
        <v>351</v>
      </c>
      <c r="V2064" s="74">
        <v>44446</v>
      </c>
      <c r="W2064" s="74">
        <v>44483</v>
      </c>
      <c r="X2064" s="55">
        <v>10185059</v>
      </c>
      <c r="Y2064" s="55" t="s">
        <v>140</v>
      </c>
      <c r="AB2064" s="55" t="s">
        <v>140</v>
      </c>
      <c r="AC2064" s="55" t="s">
        <v>140</v>
      </c>
    </row>
    <row r="2065" spans="1:29" ht="13" x14ac:dyDescent="0.15">
      <c r="A2065" s="72" t="str">
        <f t="shared" si="32"/>
        <v>Ofsted Social Care Provider Webpage</v>
      </c>
      <c r="B2065" s="55" t="s">
        <v>3355</v>
      </c>
      <c r="D2065" s="55" t="s">
        <v>373</v>
      </c>
      <c r="E2065" s="74">
        <v>37977</v>
      </c>
      <c r="F2065" s="55" t="s">
        <v>344</v>
      </c>
      <c r="G2065" s="55" t="s">
        <v>360</v>
      </c>
      <c r="H2065" s="55" t="s">
        <v>360</v>
      </c>
      <c r="I2065" s="55" t="s">
        <v>360</v>
      </c>
      <c r="J2065" s="55" t="s">
        <v>360</v>
      </c>
      <c r="K2065" s="55" t="s">
        <v>360</v>
      </c>
      <c r="L2065" s="55" t="s">
        <v>360</v>
      </c>
      <c r="M2065" s="55" t="s">
        <v>172</v>
      </c>
      <c r="N2065" s="55" t="s">
        <v>172</v>
      </c>
      <c r="O2065" s="55" t="s">
        <v>173</v>
      </c>
      <c r="P2065" s="55" t="s">
        <v>961</v>
      </c>
      <c r="Q2065" s="55" t="s">
        <v>380</v>
      </c>
      <c r="R2065" s="55">
        <v>4</v>
      </c>
      <c r="S2065" s="74"/>
      <c r="T2065" s="55" t="s">
        <v>1431</v>
      </c>
      <c r="U2065" s="73" t="s">
        <v>351</v>
      </c>
      <c r="V2065" s="74">
        <v>44418</v>
      </c>
      <c r="W2065" s="74">
        <v>44448</v>
      </c>
      <c r="X2065" s="55">
        <v>10186038</v>
      </c>
      <c r="Y2065" s="55" t="s">
        <v>132</v>
      </c>
      <c r="AB2065" s="55" t="s">
        <v>132</v>
      </c>
      <c r="AC2065" s="55" t="s">
        <v>132</v>
      </c>
    </row>
    <row r="2066" spans="1:29" ht="13" x14ac:dyDescent="0.15">
      <c r="A2066" s="72" t="str">
        <f t="shared" si="32"/>
        <v>Ofsted Social Care Provider Webpage</v>
      </c>
      <c r="B2066" s="55" t="s">
        <v>3356</v>
      </c>
      <c r="D2066" s="55" t="s">
        <v>373</v>
      </c>
      <c r="E2066" s="74">
        <v>37733</v>
      </c>
      <c r="F2066" s="55" t="s">
        <v>344</v>
      </c>
      <c r="G2066" s="55" t="s">
        <v>360</v>
      </c>
      <c r="H2066" s="55" t="s">
        <v>360</v>
      </c>
      <c r="I2066" s="55" t="s">
        <v>360</v>
      </c>
      <c r="J2066" s="55" t="s">
        <v>360</v>
      </c>
      <c r="K2066" s="55" t="s">
        <v>360</v>
      </c>
      <c r="L2066" s="55" t="s">
        <v>360</v>
      </c>
      <c r="M2066" s="55" t="s">
        <v>378</v>
      </c>
      <c r="N2066" s="55" t="s">
        <v>134</v>
      </c>
      <c r="O2066" s="55" t="s">
        <v>251</v>
      </c>
      <c r="P2066" s="55" t="s">
        <v>3357</v>
      </c>
      <c r="Q2066" s="55" t="s">
        <v>380</v>
      </c>
      <c r="R2066" s="55">
        <v>6</v>
      </c>
      <c r="S2066" s="74" t="s">
        <v>332</v>
      </c>
      <c r="T2066" s="55" t="s">
        <v>3358</v>
      </c>
      <c r="U2066" s="73" t="s">
        <v>351</v>
      </c>
      <c r="V2066" s="74">
        <v>44461</v>
      </c>
      <c r="W2066" s="74">
        <v>44508</v>
      </c>
      <c r="X2066" s="55">
        <v>10185437</v>
      </c>
      <c r="Y2066" s="55" t="s">
        <v>140</v>
      </c>
      <c r="AB2066" s="55" t="s">
        <v>140</v>
      </c>
      <c r="AC2066" s="55" t="s">
        <v>132</v>
      </c>
    </row>
    <row r="2067" spans="1:29" ht="13" x14ac:dyDescent="0.15">
      <c r="A2067" s="72" t="str">
        <f t="shared" si="32"/>
        <v>Ofsted Social Care Provider Webpage</v>
      </c>
      <c r="B2067" s="55" t="s">
        <v>3359</v>
      </c>
      <c r="D2067" s="55" t="s">
        <v>373</v>
      </c>
      <c r="E2067" s="74">
        <v>38063</v>
      </c>
      <c r="F2067" s="55" t="s">
        <v>344</v>
      </c>
      <c r="G2067" s="55" t="s">
        <v>360</v>
      </c>
      <c r="H2067" s="55" t="s">
        <v>360</v>
      </c>
      <c r="I2067" s="55" t="s">
        <v>360</v>
      </c>
      <c r="J2067" s="55" t="s">
        <v>360</v>
      </c>
      <c r="K2067" s="55" t="s">
        <v>360</v>
      </c>
      <c r="L2067" s="55" t="s">
        <v>360</v>
      </c>
      <c r="M2067" s="55" t="s">
        <v>172</v>
      </c>
      <c r="N2067" s="55" t="s">
        <v>172</v>
      </c>
      <c r="O2067" s="55" t="s">
        <v>171</v>
      </c>
      <c r="P2067" s="55" t="s">
        <v>983</v>
      </c>
      <c r="Q2067" s="55" t="s">
        <v>380</v>
      </c>
      <c r="R2067" s="55">
        <v>5</v>
      </c>
      <c r="S2067" s="74"/>
      <c r="T2067" s="55" t="s">
        <v>3360</v>
      </c>
      <c r="U2067" s="73" t="s">
        <v>351</v>
      </c>
      <c r="V2067" s="74">
        <v>43648</v>
      </c>
      <c r="W2067" s="74">
        <v>43668</v>
      </c>
      <c r="X2067" s="55">
        <v>10095674</v>
      </c>
      <c r="Y2067" s="55" t="s">
        <v>132</v>
      </c>
      <c r="AB2067" s="55" t="s">
        <v>132</v>
      </c>
      <c r="AC2067" s="55" t="s">
        <v>132</v>
      </c>
    </row>
    <row r="2068" spans="1:29" ht="13" x14ac:dyDescent="0.15">
      <c r="A2068" s="72" t="str">
        <f t="shared" si="32"/>
        <v>Ofsted Social Care Provider Webpage</v>
      </c>
      <c r="B2068" s="55" t="s">
        <v>3361</v>
      </c>
      <c r="D2068" s="55" t="s">
        <v>373</v>
      </c>
      <c r="E2068" s="74">
        <v>37707</v>
      </c>
      <c r="F2068" s="55" t="s">
        <v>344</v>
      </c>
      <c r="G2068" s="55" t="s">
        <v>360</v>
      </c>
      <c r="H2068" s="55" t="s">
        <v>360</v>
      </c>
      <c r="I2068" s="55" t="s">
        <v>360</v>
      </c>
      <c r="J2068" s="55" t="s">
        <v>360</v>
      </c>
      <c r="K2068" s="55" t="s">
        <v>360</v>
      </c>
      <c r="L2068" s="55" t="s">
        <v>360</v>
      </c>
      <c r="M2068" s="55" t="s">
        <v>378</v>
      </c>
      <c r="N2068" s="55" t="s">
        <v>134</v>
      </c>
      <c r="O2068" s="55" t="s">
        <v>251</v>
      </c>
      <c r="P2068" s="55" t="s">
        <v>1709</v>
      </c>
      <c r="Q2068" s="55" t="s">
        <v>380</v>
      </c>
      <c r="R2068" s="55">
        <v>8</v>
      </c>
      <c r="S2068" s="74" t="s">
        <v>332</v>
      </c>
      <c r="T2068" s="55" t="s">
        <v>3358</v>
      </c>
      <c r="U2068" s="73" t="s">
        <v>351</v>
      </c>
      <c r="V2068" s="74">
        <v>44355</v>
      </c>
      <c r="W2068" s="74">
        <v>44393</v>
      </c>
      <c r="X2068" s="55">
        <v>10186884</v>
      </c>
      <c r="Y2068" s="55" t="s">
        <v>130</v>
      </c>
      <c r="AB2068" s="55" t="s">
        <v>130</v>
      </c>
      <c r="AC2068" s="55" t="s">
        <v>146</v>
      </c>
    </row>
    <row r="2069" spans="1:29" ht="13" x14ac:dyDescent="0.15">
      <c r="A2069" s="72" t="str">
        <f t="shared" si="32"/>
        <v>Ofsted Social Care Provider Webpage</v>
      </c>
      <c r="B2069" s="55" t="s">
        <v>3362</v>
      </c>
      <c r="D2069" s="55" t="s">
        <v>373</v>
      </c>
      <c r="E2069" s="74">
        <v>37741</v>
      </c>
      <c r="F2069" s="55" t="s">
        <v>344</v>
      </c>
      <c r="G2069" s="55" t="s">
        <v>360</v>
      </c>
      <c r="H2069" s="55" t="s">
        <v>360</v>
      </c>
      <c r="I2069" s="55" t="s">
        <v>360</v>
      </c>
      <c r="J2069" s="55" t="s">
        <v>360</v>
      </c>
      <c r="K2069" s="55" t="s">
        <v>360</v>
      </c>
      <c r="L2069" s="55" t="s">
        <v>360</v>
      </c>
      <c r="M2069" s="55" t="s">
        <v>378</v>
      </c>
      <c r="N2069" s="55" t="s">
        <v>134</v>
      </c>
      <c r="O2069" s="55" t="s">
        <v>251</v>
      </c>
      <c r="P2069" s="55" t="s">
        <v>3363</v>
      </c>
      <c r="Q2069" s="55" t="s">
        <v>380</v>
      </c>
      <c r="R2069" s="55">
        <v>5</v>
      </c>
      <c r="S2069" s="74"/>
      <c r="T2069" s="55" t="s">
        <v>3358</v>
      </c>
      <c r="U2069" s="73" t="s">
        <v>351</v>
      </c>
      <c r="V2069" s="74">
        <v>44432</v>
      </c>
      <c r="W2069" s="74">
        <v>44475</v>
      </c>
      <c r="X2069" s="55">
        <v>10186359</v>
      </c>
      <c r="Y2069" s="55" t="s">
        <v>132</v>
      </c>
      <c r="AB2069" s="55" t="s">
        <v>132</v>
      </c>
      <c r="AC2069" s="55" t="s">
        <v>130</v>
      </c>
    </row>
    <row r="2070" spans="1:29" ht="13" x14ac:dyDescent="0.15">
      <c r="A2070" s="72" t="str">
        <f t="shared" si="32"/>
        <v>Ofsted Social Care Provider Webpage</v>
      </c>
      <c r="B2070" s="55" t="s">
        <v>3364</v>
      </c>
      <c r="D2070" s="55" t="s">
        <v>389</v>
      </c>
      <c r="E2070" s="74">
        <v>37916</v>
      </c>
      <c r="F2070" s="55" t="s">
        <v>344</v>
      </c>
      <c r="G2070" s="55" t="s">
        <v>3365</v>
      </c>
      <c r="H2070" s="55" t="s">
        <v>3365</v>
      </c>
      <c r="I2070" s="55" t="s">
        <v>3366</v>
      </c>
      <c r="J2070" s="55" t="s">
        <v>3367</v>
      </c>
      <c r="K2070" s="55" t="s">
        <v>3368</v>
      </c>
      <c r="L2070" s="55" t="s">
        <v>3369</v>
      </c>
      <c r="M2070" s="55" t="s">
        <v>378</v>
      </c>
      <c r="N2070" s="55" t="s">
        <v>170</v>
      </c>
      <c r="O2070" s="55" t="s">
        <v>178</v>
      </c>
      <c r="P2070" s="55" t="s">
        <v>952</v>
      </c>
      <c r="Q2070" s="55" t="s">
        <v>350</v>
      </c>
      <c r="R2070" s="55"/>
      <c r="S2070" s="74"/>
      <c r="T2070" s="55" t="s">
        <v>3370</v>
      </c>
      <c r="U2070" s="73" t="s">
        <v>351</v>
      </c>
      <c r="V2070" s="74">
        <v>44473</v>
      </c>
      <c r="W2070" s="74">
        <v>44503</v>
      </c>
      <c r="X2070" s="55">
        <v>10183375</v>
      </c>
      <c r="Y2070" s="55" t="s">
        <v>132</v>
      </c>
      <c r="AB2070" s="55" t="s">
        <v>132</v>
      </c>
      <c r="AC2070" s="55" t="s">
        <v>132</v>
      </c>
    </row>
    <row r="2071" spans="1:29" ht="13" x14ac:dyDescent="0.15">
      <c r="A2071" s="72" t="str">
        <f t="shared" si="32"/>
        <v>Ofsted Social Care Provider Webpage</v>
      </c>
      <c r="B2071" s="55" t="s">
        <v>3371</v>
      </c>
      <c r="D2071" s="55" t="s">
        <v>389</v>
      </c>
      <c r="E2071" s="74">
        <v>38153</v>
      </c>
      <c r="F2071" s="55" t="s">
        <v>344</v>
      </c>
      <c r="G2071" s="55" t="s">
        <v>3372</v>
      </c>
      <c r="H2071" s="55" t="s">
        <v>3373</v>
      </c>
      <c r="I2071" s="55" t="s">
        <v>3374</v>
      </c>
      <c r="J2071" s="55" t="s">
        <v>178</v>
      </c>
      <c r="L2071" s="55" t="s">
        <v>3375</v>
      </c>
      <c r="M2071" s="55" t="s">
        <v>378</v>
      </c>
      <c r="N2071" s="55" t="s">
        <v>170</v>
      </c>
      <c r="O2071" s="55" t="s">
        <v>178</v>
      </c>
      <c r="P2071" s="55" t="s">
        <v>2014</v>
      </c>
      <c r="Q2071" s="55" t="s">
        <v>350</v>
      </c>
      <c r="R2071" s="55"/>
      <c r="S2071" s="74"/>
      <c r="T2071" s="55" t="s">
        <v>3372</v>
      </c>
      <c r="U2071" s="73" t="s">
        <v>351</v>
      </c>
      <c r="V2071" s="74">
        <v>43234</v>
      </c>
      <c r="W2071" s="74">
        <v>43284</v>
      </c>
      <c r="X2071" s="55">
        <v>10021626</v>
      </c>
      <c r="Y2071" s="55" t="s">
        <v>132</v>
      </c>
      <c r="AB2071" s="55" t="s">
        <v>132</v>
      </c>
      <c r="AC2071" s="55" t="s">
        <v>132</v>
      </c>
    </row>
    <row r="2072" spans="1:29" ht="13" x14ac:dyDescent="0.15">
      <c r="A2072" s="72" t="str">
        <f t="shared" si="32"/>
        <v>Ofsted Social Care Provider Webpage</v>
      </c>
      <c r="B2072" s="55" t="s">
        <v>3376</v>
      </c>
      <c r="D2072" s="55" t="s">
        <v>373</v>
      </c>
      <c r="E2072" s="74">
        <v>37712</v>
      </c>
      <c r="F2072" s="55" t="s">
        <v>344</v>
      </c>
      <c r="G2072" s="55" t="s">
        <v>360</v>
      </c>
      <c r="H2072" s="55" t="s">
        <v>360</v>
      </c>
      <c r="I2072" s="55" t="s">
        <v>360</v>
      </c>
      <c r="J2072" s="55" t="s">
        <v>360</v>
      </c>
      <c r="K2072" s="55" t="s">
        <v>360</v>
      </c>
      <c r="L2072" s="55" t="s">
        <v>360</v>
      </c>
      <c r="M2072" s="55" t="s">
        <v>378</v>
      </c>
      <c r="N2072" s="55" t="s">
        <v>134</v>
      </c>
      <c r="O2072" s="55" t="s">
        <v>204</v>
      </c>
      <c r="P2072" s="55" t="s">
        <v>929</v>
      </c>
      <c r="Q2072" s="55" t="s">
        <v>380</v>
      </c>
      <c r="R2072" s="55">
        <v>8</v>
      </c>
      <c r="S2072" s="74"/>
      <c r="T2072" s="55" t="s">
        <v>1479</v>
      </c>
      <c r="U2072" s="73" t="s">
        <v>351</v>
      </c>
      <c r="V2072" s="74">
        <v>44475</v>
      </c>
      <c r="W2072" s="74">
        <v>44510</v>
      </c>
      <c r="X2072" s="55">
        <v>10186171</v>
      </c>
      <c r="Y2072" s="55" t="s">
        <v>132</v>
      </c>
      <c r="AB2072" s="55" t="s">
        <v>132</v>
      </c>
      <c r="AC2072" s="55" t="s">
        <v>132</v>
      </c>
    </row>
    <row r="2073" spans="1:29" ht="13" x14ac:dyDescent="0.15">
      <c r="A2073" s="72" t="str">
        <f t="shared" si="32"/>
        <v>Ofsted Social Care Provider Webpage</v>
      </c>
      <c r="B2073" s="55" t="s">
        <v>3377</v>
      </c>
      <c r="D2073" s="55" t="s">
        <v>373</v>
      </c>
      <c r="E2073" s="74">
        <v>37966</v>
      </c>
      <c r="F2073" s="55" t="s">
        <v>344</v>
      </c>
      <c r="G2073" s="55" t="s">
        <v>360</v>
      </c>
      <c r="H2073" s="55" t="s">
        <v>360</v>
      </c>
      <c r="I2073" s="55" t="s">
        <v>360</v>
      </c>
      <c r="J2073" s="55" t="s">
        <v>360</v>
      </c>
      <c r="K2073" s="55" t="s">
        <v>360</v>
      </c>
      <c r="L2073" s="55" t="s">
        <v>360</v>
      </c>
      <c r="M2073" s="55" t="s">
        <v>172</v>
      </c>
      <c r="N2073" s="55" t="s">
        <v>172</v>
      </c>
      <c r="O2073" s="55" t="s">
        <v>173</v>
      </c>
      <c r="P2073" s="55" t="s">
        <v>961</v>
      </c>
      <c r="Q2073" s="55" t="s">
        <v>380</v>
      </c>
      <c r="R2073" s="55">
        <v>8</v>
      </c>
      <c r="S2073" s="74" t="s">
        <v>332</v>
      </c>
      <c r="T2073" s="55" t="s">
        <v>1431</v>
      </c>
      <c r="U2073" s="73" t="s">
        <v>351</v>
      </c>
      <c r="V2073" s="74">
        <v>44572</v>
      </c>
      <c r="W2073" s="74">
        <v>44610</v>
      </c>
      <c r="X2073" s="55">
        <v>10187111</v>
      </c>
      <c r="Y2073" s="55" t="s">
        <v>140</v>
      </c>
      <c r="AB2073" s="55" t="s">
        <v>140</v>
      </c>
      <c r="AC2073" s="55" t="s">
        <v>140</v>
      </c>
    </row>
    <row r="2074" spans="1:29" ht="13" x14ac:dyDescent="0.15">
      <c r="A2074" s="72" t="str">
        <f t="shared" si="32"/>
        <v>Ofsted Social Care Provider Webpage</v>
      </c>
      <c r="B2074" s="55" t="s">
        <v>3378</v>
      </c>
      <c r="D2074" s="55" t="s">
        <v>389</v>
      </c>
      <c r="E2074" s="74">
        <v>37916</v>
      </c>
      <c r="F2074" s="55" t="s">
        <v>344</v>
      </c>
      <c r="G2074" s="55" t="s">
        <v>3379</v>
      </c>
      <c r="H2074" s="55" t="s">
        <v>3380</v>
      </c>
      <c r="I2074" s="55" t="s">
        <v>3381</v>
      </c>
      <c r="J2074" s="55" t="s">
        <v>3382</v>
      </c>
      <c r="K2074" s="55" t="s">
        <v>3368</v>
      </c>
      <c r="L2074" s="55" t="s">
        <v>3383</v>
      </c>
      <c r="M2074" s="55" t="s">
        <v>378</v>
      </c>
      <c r="N2074" s="55" t="s">
        <v>170</v>
      </c>
      <c r="O2074" s="55" t="s">
        <v>178</v>
      </c>
      <c r="P2074" s="55" t="s">
        <v>434</v>
      </c>
      <c r="Q2074" s="55" t="s">
        <v>362</v>
      </c>
      <c r="R2074" s="55"/>
      <c r="S2074" s="74"/>
      <c r="T2074" s="55" t="s">
        <v>3384</v>
      </c>
      <c r="U2074" s="73" t="s">
        <v>351</v>
      </c>
      <c r="V2074" s="74">
        <v>43304</v>
      </c>
      <c r="W2074" s="74">
        <v>43343</v>
      </c>
      <c r="X2074" s="55">
        <v>10046657</v>
      </c>
      <c r="Y2074" s="55" t="s">
        <v>132</v>
      </c>
      <c r="AB2074" s="55" t="s">
        <v>132</v>
      </c>
      <c r="AC2074" s="55" t="s">
        <v>132</v>
      </c>
    </row>
    <row r="2075" spans="1:29" ht="13" x14ac:dyDescent="0.15">
      <c r="A2075" s="72" t="str">
        <f t="shared" si="32"/>
        <v>Ofsted Social Care Provider Webpage</v>
      </c>
      <c r="B2075" s="55" t="s">
        <v>3385</v>
      </c>
      <c r="D2075" s="55" t="s">
        <v>373</v>
      </c>
      <c r="E2075" s="74">
        <v>37938</v>
      </c>
      <c r="F2075" s="55" t="s">
        <v>344</v>
      </c>
      <c r="G2075" s="55" t="s">
        <v>360</v>
      </c>
      <c r="H2075" s="55" t="s">
        <v>360</v>
      </c>
      <c r="I2075" s="55" t="s">
        <v>360</v>
      </c>
      <c r="J2075" s="55" t="s">
        <v>360</v>
      </c>
      <c r="K2075" s="55" t="s">
        <v>360</v>
      </c>
      <c r="L2075" s="55" t="s">
        <v>360</v>
      </c>
      <c r="M2075" s="55" t="s">
        <v>172</v>
      </c>
      <c r="N2075" s="55" t="s">
        <v>172</v>
      </c>
      <c r="O2075" s="55" t="s">
        <v>171</v>
      </c>
      <c r="P2075" s="55" t="s">
        <v>983</v>
      </c>
      <c r="Q2075" s="55" t="s">
        <v>380</v>
      </c>
      <c r="R2075" s="55">
        <v>6</v>
      </c>
      <c r="S2075" s="74"/>
      <c r="T2075" s="55" t="s">
        <v>3360</v>
      </c>
      <c r="U2075" s="73" t="s">
        <v>351</v>
      </c>
      <c r="V2075" s="74">
        <v>44509</v>
      </c>
      <c r="W2075" s="74">
        <v>44546</v>
      </c>
      <c r="X2075" s="55">
        <v>10186431</v>
      </c>
      <c r="Y2075" s="55" t="s">
        <v>132</v>
      </c>
      <c r="AB2075" s="55" t="s">
        <v>132</v>
      </c>
      <c r="AC2075" s="55" t="s">
        <v>132</v>
      </c>
    </row>
    <row r="2076" spans="1:29" ht="13" x14ac:dyDescent="0.15">
      <c r="A2076" s="72" t="str">
        <f t="shared" si="32"/>
        <v>Ofsted Social Care Provider Webpage</v>
      </c>
      <c r="B2076" s="55" t="s">
        <v>3386</v>
      </c>
      <c r="D2076" s="55" t="s">
        <v>389</v>
      </c>
      <c r="E2076" s="74">
        <v>37712</v>
      </c>
      <c r="F2076" s="55" t="s">
        <v>344</v>
      </c>
      <c r="G2076" s="55" t="s">
        <v>3387</v>
      </c>
      <c r="H2076" s="55" t="s">
        <v>3388</v>
      </c>
      <c r="I2076" s="55" t="s">
        <v>3389</v>
      </c>
      <c r="J2076" s="55" t="s">
        <v>3390</v>
      </c>
      <c r="L2076" s="55" t="s">
        <v>3391</v>
      </c>
      <c r="M2076" s="55" t="s">
        <v>378</v>
      </c>
      <c r="N2076" s="55" t="s">
        <v>170</v>
      </c>
      <c r="O2076" s="55" t="s">
        <v>243</v>
      </c>
      <c r="P2076" s="55" t="s">
        <v>1786</v>
      </c>
      <c r="Q2076" s="55" t="s">
        <v>362</v>
      </c>
      <c r="R2076" s="55"/>
      <c r="S2076" s="74"/>
      <c r="T2076" s="55" t="s">
        <v>367</v>
      </c>
      <c r="U2076" s="73" t="s">
        <v>351</v>
      </c>
      <c r="V2076" s="74">
        <v>44578</v>
      </c>
      <c r="W2076" s="74">
        <v>44616</v>
      </c>
      <c r="X2076" s="55">
        <v>10183372</v>
      </c>
      <c r="Y2076" s="55" t="s">
        <v>132</v>
      </c>
      <c r="AB2076" s="55" t="s">
        <v>132</v>
      </c>
      <c r="AC2076" s="55" t="s">
        <v>132</v>
      </c>
    </row>
    <row r="2077" spans="1:29" ht="13" x14ac:dyDescent="0.15">
      <c r="A2077" s="72" t="str">
        <f t="shared" si="32"/>
        <v>Ofsted Social Care Provider Webpage</v>
      </c>
      <c r="B2077" s="55" t="s">
        <v>3392</v>
      </c>
      <c r="D2077" s="55" t="s">
        <v>373</v>
      </c>
      <c r="E2077" s="74">
        <v>38029</v>
      </c>
      <c r="F2077" s="55" t="s">
        <v>344</v>
      </c>
      <c r="G2077" s="55" t="s">
        <v>360</v>
      </c>
      <c r="H2077" s="55" t="s">
        <v>360</v>
      </c>
      <c r="I2077" s="55" t="s">
        <v>360</v>
      </c>
      <c r="J2077" s="55" t="s">
        <v>360</v>
      </c>
      <c r="K2077" s="55" t="s">
        <v>360</v>
      </c>
      <c r="L2077" s="55" t="s">
        <v>360</v>
      </c>
      <c r="M2077" s="55" t="s">
        <v>172</v>
      </c>
      <c r="N2077" s="55" t="s">
        <v>172</v>
      </c>
      <c r="O2077" s="55" t="s">
        <v>171</v>
      </c>
      <c r="P2077" s="55" t="s">
        <v>983</v>
      </c>
      <c r="Q2077" s="55" t="s">
        <v>380</v>
      </c>
      <c r="R2077" s="55">
        <v>6</v>
      </c>
      <c r="S2077" s="74"/>
      <c r="T2077" s="55" t="s">
        <v>3360</v>
      </c>
      <c r="U2077" s="73" t="s">
        <v>351</v>
      </c>
      <c r="V2077" s="74">
        <v>44488</v>
      </c>
      <c r="W2077" s="74">
        <v>44531</v>
      </c>
      <c r="X2077" s="55">
        <v>10185617</v>
      </c>
      <c r="Y2077" s="55" t="s">
        <v>130</v>
      </c>
      <c r="AB2077" s="55" t="s">
        <v>130</v>
      </c>
      <c r="AC2077" s="55" t="s">
        <v>130</v>
      </c>
    </row>
    <row r="2078" spans="1:29" ht="13" x14ac:dyDescent="0.15">
      <c r="A2078" s="72" t="str">
        <f t="shared" si="32"/>
        <v>Ofsted Social Care Provider Webpage</v>
      </c>
      <c r="B2078" s="55" t="s">
        <v>3393</v>
      </c>
      <c r="D2078" s="55" t="s">
        <v>373</v>
      </c>
      <c r="E2078" s="74">
        <v>37966</v>
      </c>
      <c r="F2078" s="55" t="s">
        <v>344</v>
      </c>
      <c r="G2078" s="55" t="s">
        <v>360</v>
      </c>
      <c r="H2078" s="55" t="s">
        <v>360</v>
      </c>
      <c r="I2078" s="55" t="s">
        <v>360</v>
      </c>
      <c r="J2078" s="55" t="s">
        <v>360</v>
      </c>
      <c r="K2078" s="55" t="s">
        <v>360</v>
      </c>
      <c r="L2078" s="55" t="s">
        <v>360</v>
      </c>
      <c r="M2078" s="55" t="s">
        <v>172</v>
      </c>
      <c r="N2078" s="55" t="s">
        <v>172</v>
      </c>
      <c r="O2078" s="55" t="s">
        <v>173</v>
      </c>
      <c r="P2078" s="55" t="s">
        <v>860</v>
      </c>
      <c r="Q2078" s="55" t="s">
        <v>380</v>
      </c>
      <c r="R2078" s="55">
        <v>5</v>
      </c>
      <c r="S2078" s="74"/>
      <c r="T2078" s="55" t="s">
        <v>1431</v>
      </c>
      <c r="U2078" s="73" t="s">
        <v>351</v>
      </c>
      <c r="V2078" s="74">
        <v>44299</v>
      </c>
      <c r="W2078" s="74">
        <v>44333</v>
      </c>
      <c r="X2078" s="55">
        <v>10186096</v>
      </c>
      <c r="Y2078" s="55" t="s">
        <v>132</v>
      </c>
      <c r="AB2078" s="55" t="s">
        <v>132</v>
      </c>
      <c r="AC2078" s="55" t="s">
        <v>132</v>
      </c>
    </row>
    <row r="2079" spans="1:29" ht="13" x14ac:dyDescent="0.15">
      <c r="A2079" s="72" t="str">
        <f t="shared" si="32"/>
        <v>Ofsted Social Care Provider Webpage</v>
      </c>
      <c r="B2079" s="55" t="s">
        <v>3394</v>
      </c>
      <c r="D2079" s="55" t="s">
        <v>389</v>
      </c>
      <c r="E2079" s="74">
        <v>37931</v>
      </c>
      <c r="F2079" s="55" t="s">
        <v>344</v>
      </c>
      <c r="G2079" s="55" t="s">
        <v>3395</v>
      </c>
      <c r="H2079" s="55" t="s">
        <v>3396</v>
      </c>
      <c r="I2079" s="55" t="s">
        <v>3397</v>
      </c>
      <c r="J2079" s="55" t="s">
        <v>2614</v>
      </c>
      <c r="K2079" s="55" t="s">
        <v>1037</v>
      </c>
      <c r="L2079" s="55" t="s">
        <v>3398</v>
      </c>
      <c r="M2079" s="55" t="s">
        <v>136</v>
      </c>
      <c r="N2079" s="55" t="s">
        <v>136</v>
      </c>
      <c r="O2079" s="55" t="s">
        <v>288</v>
      </c>
      <c r="P2079" s="55" t="s">
        <v>1037</v>
      </c>
      <c r="Q2079" s="55" t="s">
        <v>350</v>
      </c>
      <c r="R2079" s="55"/>
      <c r="S2079" s="74"/>
      <c r="T2079" s="55" t="s">
        <v>2197</v>
      </c>
      <c r="U2079" s="73" t="s">
        <v>351</v>
      </c>
      <c r="V2079" s="74">
        <v>44578</v>
      </c>
      <c r="W2079" s="74">
        <v>44615</v>
      </c>
      <c r="X2079" s="55">
        <v>10183419</v>
      </c>
      <c r="Y2079" s="55" t="s">
        <v>132</v>
      </c>
      <c r="AB2079" s="55" t="s">
        <v>132</v>
      </c>
      <c r="AC2079" s="55" t="s">
        <v>132</v>
      </c>
    </row>
    <row r="2080" spans="1:29" ht="13" x14ac:dyDescent="0.15">
      <c r="A2080" s="72" t="str">
        <f t="shared" si="32"/>
        <v>Ofsted Social Care Provider Webpage</v>
      </c>
      <c r="B2080" s="55" t="s">
        <v>3399</v>
      </c>
      <c r="D2080" s="55" t="s">
        <v>373</v>
      </c>
      <c r="E2080" s="74">
        <v>38071</v>
      </c>
      <c r="F2080" s="55" t="s">
        <v>344</v>
      </c>
      <c r="G2080" s="55" t="s">
        <v>360</v>
      </c>
      <c r="H2080" s="55" t="s">
        <v>360</v>
      </c>
      <c r="I2080" s="55" t="s">
        <v>360</v>
      </c>
      <c r="J2080" s="55" t="s">
        <v>360</v>
      </c>
      <c r="K2080" s="55" t="s">
        <v>360</v>
      </c>
      <c r="L2080" s="55" t="s">
        <v>360</v>
      </c>
      <c r="M2080" s="55" t="s">
        <v>172</v>
      </c>
      <c r="N2080" s="55" t="s">
        <v>172</v>
      </c>
      <c r="O2080" s="55" t="s">
        <v>173</v>
      </c>
      <c r="P2080" s="55" t="s">
        <v>2307</v>
      </c>
      <c r="Q2080" s="55" t="s">
        <v>380</v>
      </c>
      <c r="R2080" s="55">
        <v>3</v>
      </c>
      <c r="S2080" s="74"/>
      <c r="T2080" s="55" t="s">
        <v>1431</v>
      </c>
      <c r="U2080" s="73" t="s">
        <v>351</v>
      </c>
      <c r="V2080" s="74">
        <v>44586</v>
      </c>
      <c r="W2080" s="74">
        <v>44623</v>
      </c>
      <c r="X2080" s="55">
        <v>10187322</v>
      </c>
      <c r="Y2080" s="55" t="s">
        <v>140</v>
      </c>
      <c r="AB2080" s="55" t="s">
        <v>140</v>
      </c>
      <c r="AC2080" s="55" t="s">
        <v>140</v>
      </c>
    </row>
    <row r="2081" spans="1:29" ht="13" x14ac:dyDescent="0.15">
      <c r="A2081" s="72" t="str">
        <f t="shared" si="32"/>
        <v>Ofsted Social Care Provider Webpage</v>
      </c>
      <c r="B2081" s="55" t="s">
        <v>3400</v>
      </c>
      <c r="D2081" s="55" t="s">
        <v>373</v>
      </c>
      <c r="E2081" s="74">
        <v>38006</v>
      </c>
      <c r="F2081" s="55" t="s">
        <v>344</v>
      </c>
      <c r="G2081" s="55" t="s">
        <v>360</v>
      </c>
      <c r="H2081" s="55" t="s">
        <v>360</v>
      </c>
      <c r="I2081" s="55" t="s">
        <v>360</v>
      </c>
      <c r="J2081" s="55" t="s">
        <v>360</v>
      </c>
      <c r="K2081" s="55" t="s">
        <v>360</v>
      </c>
      <c r="L2081" s="55" t="s">
        <v>360</v>
      </c>
      <c r="M2081" s="55" t="s">
        <v>144</v>
      </c>
      <c r="N2081" s="55" t="s">
        <v>144</v>
      </c>
      <c r="O2081" s="55" t="s">
        <v>250</v>
      </c>
      <c r="P2081" s="55" t="s">
        <v>759</v>
      </c>
      <c r="Q2081" s="55" t="s">
        <v>380</v>
      </c>
      <c r="R2081" s="55">
        <v>5</v>
      </c>
      <c r="S2081" s="74" t="s">
        <v>332</v>
      </c>
      <c r="T2081" s="55" t="s">
        <v>3401</v>
      </c>
      <c r="U2081" s="73" t="s">
        <v>351</v>
      </c>
      <c r="V2081" s="74">
        <v>44509</v>
      </c>
      <c r="W2081" s="74">
        <v>44550</v>
      </c>
      <c r="X2081" s="55">
        <v>10187005</v>
      </c>
      <c r="Y2081" s="55" t="s">
        <v>146</v>
      </c>
      <c r="AB2081" s="55" t="s">
        <v>146</v>
      </c>
      <c r="AC2081" s="55" t="s">
        <v>146</v>
      </c>
    </row>
    <row r="2082" spans="1:29" ht="13" x14ac:dyDescent="0.15">
      <c r="A2082" s="72" t="str">
        <f t="shared" si="32"/>
        <v>Ofsted Social Care Provider Webpage</v>
      </c>
      <c r="B2082" s="55" t="s">
        <v>3402</v>
      </c>
      <c r="D2082" s="55" t="s">
        <v>373</v>
      </c>
      <c r="E2082" s="74">
        <v>37705</v>
      </c>
      <c r="F2082" s="55" t="s">
        <v>344</v>
      </c>
      <c r="G2082" s="55" t="s">
        <v>360</v>
      </c>
      <c r="H2082" s="55" t="s">
        <v>360</v>
      </c>
      <c r="I2082" s="55" t="s">
        <v>360</v>
      </c>
      <c r="J2082" s="55" t="s">
        <v>360</v>
      </c>
      <c r="K2082" s="55" t="s">
        <v>360</v>
      </c>
      <c r="L2082" s="55" t="s">
        <v>360</v>
      </c>
      <c r="M2082" s="55" t="s">
        <v>144</v>
      </c>
      <c r="N2082" s="55" t="s">
        <v>144</v>
      </c>
      <c r="O2082" s="55" t="s">
        <v>250</v>
      </c>
      <c r="P2082" s="55" t="s">
        <v>759</v>
      </c>
      <c r="Q2082" s="55" t="s">
        <v>380</v>
      </c>
      <c r="R2082" s="55">
        <v>2</v>
      </c>
      <c r="S2082" s="74"/>
      <c r="T2082" s="55" t="s">
        <v>3401</v>
      </c>
      <c r="U2082" s="73" t="s">
        <v>351</v>
      </c>
      <c r="V2082" s="74">
        <v>44369</v>
      </c>
      <c r="W2082" s="74">
        <v>44403</v>
      </c>
      <c r="X2082" s="55">
        <v>10185457</v>
      </c>
      <c r="Y2082" s="55" t="s">
        <v>146</v>
      </c>
      <c r="AB2082" s="55" t="s">
        <v>146</v>
      </c>
      <c r="AC2082" s="55" t="s">
        <v>146</v>
      </c>
    </row>
    <row r="2083" spans="1:29" ht="13" x14ac:dyDescent="0.15">
      <c r="A2083" s="72" t="str">
        <f t="shared" si="32"/>
        <v>Ofsted Social Care Provider Webpage</v>
      </c>
      <c r="B2083" s="55" t="s">
        <v>3403</v>
      </c>
      <c r="D2083" s="55" t="s">
        <v>389</v>
      </c>
      <c r="E2083" s="74">
        <v>38352</v>
      </c>
      <c r="F2083" s="55" t="s">
        <v>344</v>
      </c>
      <c r="G2083" s="55" t="s">
        <v>3395</v>
      </c>
      <c r="H2083" s="55" t="s">
        <v>3404</v>
      </c>
      <c r="I2083" s="55" t="s">
        <v>3405</v>
      </c>
      <c r="J2083" s="55" t="s">
        <v>3017</v>
      </c>
      <c r="L2083" s="55" t="s">
        <v>3406</v>
      </c>
      <c r="M2083" s="55" t="s">
        <v>136</v>
      </c>
      <c r="N2083" s="55" t="s">
        <v>136</v>
      </c>
      <c r="O2083" s="55" t="s">
        <v>154</v>
      </c>
      <c r="P2083" s="55" t="s">
        <v>1818</v>
      </c>
      <c r="Q2083" s="55" t="s">
        <v>350</v>
      </c>
      <c r="R2083" s="55"/>
      <c r="S2083" s="74"/>
      <c r="T2083" s="55" t="s">
        <v>2197</v>
      </c>
      <c r="U2083" s="73" t="s">
        <v>351</v>
      </c>
      <c r="V2083" s="74">
        <v>44592</v>
      </c>
      <c r="W2083" s="74">
        <v>44644</v>
      </c>
      <c r="X2083" s="55">
        <v>10183420</v>
      </c>
      <c r="Y2083" s="55" t="s">
        <v>132</v>
      </c>
      <c r="AB2083" s="55" t="s">
        <v>132</v>
      </c>
      <c r="AC2083" s="55" t="s">
        <v>132</v>
      </c>
    </row>
    <row r="2084" spans="1:29" ht="13" x14ac:dyDescent="0.15">
      <c r="A2084" s="72" t="str">
        <f t="shared" si="32"/>
        <v>Ofsted Social Care Provider Webpage</v>
      </c>
      <c r="B2084" s="55" t="s">
        <v>3407</v>
      </c>
      <c r="D2084" s="55" t="s">
        <v>389</v>
      </c>
      <c r="E2084" s="74">
        <v>37930</v>
      </c>
      <c r="F2084" s="55" t="s">
        <v>344</v>
      </c>
      <c r="G2084" s="55" t="s">
        <v>3408</v>
      </c>
      <c r="H2084" s="55" t="s">
        <v>3409</v>
      </c>
      <c r="I2084" s="55" t="s">
        <v>3410</v>
      </c>
      <c r="J2084" s="55" t="s">
        <v>3411</v>
      </c>
      <c r="K2084" s="55" t="s">
        <v>203</v>
      </c>
      <c r="L2084" s="55" t="s">
        <v>3412</v>
      </c>
      <c r="M2084" s="55" t="s">
        <v>150</v>
      </c>
      <c r="N2084" s="55" t="s">
        <v>150</v>
      </c>
      <c r="O2084" s="55" t="s">
        <v>203</v>
      </c>
      <c r="P2084" s="55" t="s">
        <v>563</v>
      </c>
      <c r="Q2084" s="55" t="s">
        <v>350</v>
      </c>
      <c r="R2084" s="55"/>
      <c r="S2084" s="74"/>
      <c r="T2084" s="55" t="s">
        <v>3413</v>
      </c>
      <c r="U2084" s="73" t="s">
        <v>351</v>
      </c>
      <c r="V2084" s="74">
        <v>44466</v>
      </c>
      <c r="W2084" s="74">
        <v>44511</v>
      </c>
      <c r="X2084" s="55">
        <v>10183403</v>
      </c>
      <c r="Y2084" s="55" t="s">
        <v>140</v>
      </c>
      <c r="AB2084" s="55" t="s">
        <v>140</v>
      </c>
      <c r="AC2084" s="55" t="s">
        <v>140</v>
      </c>
    </row>
    <row r="2085" spans="1:29" ht="13" x14ac:dyDescent="0.15">
      <c r="A2085" s="72" t="str">
        <f t="shared" si="32"/>
        <v>Ofsted Social Care Provider Webpage</v>
      </c>
      <c r="B2085" s="55" t="s">
        <v>3414</v>
      </c>
      <c r="D2085" s="55" t="s">
        <v>389</v>
      </c>
      <c r="E2085" s="74">
        <v>37833</v>
      </c>
      <c r="F2085" s="55" t="s">
        <v>344</v>
      </c>
      <c r="G2085" s="55" t="s">
        <v>3415</v>
      </c>
      <c r="H2085" s="55" t="s">
        <v>3416</v>
      </c>
      <c r="I2085" s="55" t="s">
        <v>3417</v>
      </c>
      <c r="J2085" s="55" t="s">
        <v>3418</v>
      </c>
      <c r="K2085" s="55" t="s">
        <v>203</v>
      </c>
      <c r="L2085" s="55" t="s">
        <v>3419</v>
      </c>
      <c r="M2085" s="55" t="s">
        <v>150</v>
      </c>
      <c r="N2085" s="55" t="s">
        <v>150</v>
      </c>
      <c r="O2085" s="55" t="s">
        <v>203</v>
      </c>
      <c r="P2085" s="55" t="s">
        <v>1835</v>
      </c>
      <c r="Q2085" s="55" t="s">
        <v>362</v>
      </c>
      <c r="R2085" s="55"/>
      <c r="S2085" s="74"/>
      <c r="T2085" s="55" t="s">
        <v>3420</v>
      </c>
      <c r="U2085" s="73" t="s">
        <v>351</v>
      </c>
      <c r="V2085" s="74">
        <v>43507</v>
      </c>
      <c r="W2085" s="74">
        <v>43537</v>
      </c>
      <c r="X2085" s="55">
        <v>10046668</v>
      </c>
      <c r="Y2085" s="55" t="s">
        <v>132</v>
      </c>
      <c r="AB2085" s="55" t="s">
        <v>132</v>
      </c>
      <c r="AC2085" s="55" t="s">
        <v>132</v>
      </c>
    </row>
    <row r="2086" spans="1:29" ht="13" x14ac:dyDescent="0.15">
      <c r="A2086" s="72" t="str">
        <f t="shared" si="32"/>
        <v>Ofsted Social Care Provider Webpage</v>
      </c>
      <c r="B2086" s="55" t="s">
        <v>3421</v>
      </c>
      <c r="D2086" s="55" t="s">
        <v>389</v>
      </c>
      <c r="E2086" s="74">
        <v>38019</v>
      </c>
      <c r="F2086" s="55" t="s">
        <v>344</v>
      </c>
      <c r="G2086" s="55" t="s">
        <v>3422</v>
      </c>
      <c r="H2086" s="55" t="s">
        <v>3423</v>
      </c>
      <c r="I2086" s="55" t="s">
        <v>354</v>
      </c>
      <c r="J2086" s="55" t="s">
        <v>3424</v>
      </c>
      <c r="L2086" s="55" t="s">
        <v>3425</v>
      </c>
      <c r="M2086" s="55" t="s">
        <v>150</v>
      </c>
      <c r="N2086" s="55" t="s">
        <v>150</v>
      </c>
      <c r="O2086" s="55" t="s">
        <v>203</v>
      </c>
      <c r="P2086" s="55" t="s">
        <v>2078</v>
      </c>
      <c r="Q2086" s="55" t="s">
        <v>350</v>
      </c>
      <c r="R2086" s="55"/>
      <c r="S2086" s="74"/>
      <c r="T2086" s="55" t="s">
        <v>3426</v>
      </c>
      <c r="U2086" s="73" t="s">
        <v>351</v>
      </c>
      <c r="V2086" s="74">
        <v>44515</v>
      </c>
      <c r="W2086" s="74">
        <v>44599</v>
      </c>
      <c r="X2086" s="55">
        <v>10183408</v>
      </c>
      <c r="Y2086" s="55" t="s">
        <v>132</v>
      </c>
      <c r="AB2086" s="55" t="s">
        <v>132</v>
      </c>
      <c r="AC2086" s="55" t="s">
        <v>132</v>
      </c>
    </row>
    <row r="2087" spans="1:29" ht="13" x14ac:dyDescent="0.15">
      <c r="A2087" s="72" t="str">
        <f t="shared" si="32"/>
        <v>Ofsted Social Care Provider Webpage</v>
      </c>
      <c r="B2087" s="55" t="s">
        <v>3427</v>
      </c>
      <c r="D2087" s="55" t="s">
        <v>389</v>
      </c>
      <c r="E2087" s="74">
        <v>38063</v>
      </c>
      <c r="F2087" s="55" t="s">
        <v>344</v>
      </c>
      <c r="G2087" s="55" t="s">
        <v>3428</v>
      </c>
      <c r="H2087" s="55" t="s">
        <v>3429</v>
      </c>
      <c r="I2087" s="55" t="s">
        <v>354</v>
      </c>
      <c r="J2087" s="55" t="s">
        <v>3430</v>
      </c>
      <c r="K2087" s="55" t="s">
        <v>203</v>
      </c>
      <c r="L2087" s="55" t="s">
        <v>3431</v>
      </c>
      <c r="M2087" s="55" t="s">
        <v>150</v>
      </c>
      <c r="N2087" s="55" t="s">
        <v>150</v>
      </c>
      <c r="O2087" s="55" t="s">
        <v>203</v>
      </c>
      <c r="P2087" s="55" t="s">
        <v>1263</v>
      </c>
      <c r="Q2087" s="55" t="s">
        <v>350</v>
      </c>
      <c r="R2087" s="55"/>
      <c r="S2087" s="74"/>
      <c r="T2087" s="55" t="s">
        <v>2891</v>
      </c>
      <c r="U2087" s="73" t="s">
        <v>351</v>
      </c>
      <c r="V2087" s="74">
        <v>44466</v>
      </c>
      <c r="W2087" s="74">
        <v>44525</v>
      </c>
      <c r="X2087" s="55">
        <v>10183411</v>
      </c>
      <c r="Y2087" s="55" t="s">
        <v>132</v>
      </c>
      <c r="AB2087" s="55" t="s">
        <v>132</v>
      </c>
      <c r="AC2087" s="55" t="s">
        <v>132</v>
      </c>
    </row>
    <row r="2088" spans="1:29" ht="13" x14ac:dyDescent="0.15">
      <c r="A2088" s="72" t="str">
        <f t="shared" si="32"/>
        <v>Ofsted Social Care Provider Webpage</v>
      </c>
      <c r="B2088" s="55" t="s">
        <v>3432</v>
      </c>
      <c r="D2088" s="55" t="s">
        <v>373</v>
      </c>
      <c r="E2088" s="74">
        <v>37711</v>
      </c>
      <c r="F2088" s="55" t="s">
        <v>344</v>
      </c>
      <c r="G2088" s="55" t="s">
        <v>360</v>
      </c>
      <c r="H2088" s="55" t="s">
        <v>360</v>
      </c>
      <c r="I2088" s="55" t="s">
        <v>360</v>
      </c>
      <c r="J2088" s="55" t="s">
        <v>360</v>
      </c>
      <c r="K2088" s="55" t="s">
        <v>360</v>
      </c>
      <c r="L2088" s="55" t="s">
        <v>360</v>
      </c>
      <c r="M2088" s="55" t="s">
        <v>142</v>
      </c>
      <c r="N2088" s="55" t="s">
        <v>142</v>
      </c>
      <c r="O2088" s="55" t="s">
        <v>278</v>
      </c>
      <c r="P2088" s="55" t="s">
        <v>1042</v>
      </c>
      <c r="Q2088" s="55" t="s">
        <v>380</v>
      </c>
      <c r="R2088" s="55">
        <v>4</v>
      </c>
      <c r="S2088" s="74"/>
      <c r="T2088" s="55" t="s">
        <v>3433</v>
      </c>
      <c r="U2088" s="73" t="s">
        <v>351</v>
      </c>
      <c r="V2088" s="74">
        <v>43853</v>
      </c>
      <c r="W2088" s="74">
        <v>43873</v>
      </c>
      <c r="X2088" s="55">
        <v>10095447</v>
      </c>
      <c r="Y2088" s="55" t="s">
        <v>132</v>
      </c>
      <c r="AB2088" s="55" t="s">
        <v>132</v>
      </c>
      <c r="AC2088" s="55" t="s">
        <v>130</v>
      </c>
    </row>
    <row r="2089" spans="1:29" ht="13" x14ac:dyDescent="0.15">
      <c r="A2089" s="72" t="str">
        <f t="shared" si="32"/>
        <v>Ofsted Social Care Provider Webpage</v>
      </c>
      <c r="B2089" s="55" t="s">
        <v>3434</v>
      </c>
      <c r="D2089" s="55" t="s">
        <v>389</v>
      </c>
      <c r="E2089" s="74">
        <v>37928</v>
      </c>
      <c r="F2089" s="55" t="s">
        <v>344</v>
      </c>
      <c r="G2089" s="55" t="s">
        <v>3435</v>
      </c>
      <c r="H2089" s="55" t="s">
        <v>3435</v>
      </c>
      <c r="I2089" s="55" t="s">
        <v>3436</v>
      </c>
      <c r="J2089" s="55" t="s">
        <v>3437</v>
      </c>
      <c r="K2089" s="55" t="s">
        <v>203</v>
      </c>
      <c r="L2089" s="55" t="s">
        <v>3438</v>
      </c>
      <c r="M2089" s="55" t="s">
        <v>129</v>
      </c>
      <c r="N2089" s="55" t="s">
        <v>129</v>
      </c>
      <c r="O2089" s="55" t="s">
        <v>139</v>
      </c>
      <c r="P2089" s="55" t="s">
        <v>1015</v>
      </c>
      <c r="Q2089" s="55" t="s">
        <v>350</v>
      </c>
      <c r="R2089" s="55"/>
      <c r="S2089" s="74"/>
      <c r="T2089" s="55" t="s">
        <v>3439</v>
      </c>
      <c r="U2089" s="73" t="s">
        <v>351</v>
      </c>
      <c r="V2089" s="74">
        <v>43654</v>
      </c>
      <c r="W2089" s="74">
        <v>43697</v>
      </c>
      <c r="X2089" s="55">
        <v>10093243</v>
      </c>
      <c r="Y2089" s="55" t="s">
        <v>132</v>
      </c>
      <c r="AB2089" s="55" t="s">
        <v>132</v>
      </c>
      <c r="AC2089" s="55" t="s">
        <v>132</v>
      </c>
    </row>
    <row r="2090" spans="1:29" ht="13" x14ac:dyDescent="0.15">
      <c r="A2090" s="72" t="str">
        <f t="shared" si="32"/>
        <v>Ofsted Social Care Provider Webpage</v>
      </c>
      <c r="B2090" s="55" t="s">
        <v>3440</v>
      </c>
      <c r="D2090" s="55" t="s">
        <v>389</v>
      </c>
      <c r="E2090" s="74">
        <v>37923</v>
      </c>
      <c r="F2090" s="55" t="s">
        <v>344</v>
      </c>
      <c r="G2090" s="55" t="s">
        <v>3441</v>
      </c>
      <c r="H2090" s="55" t="s">
        <v>3442</v>
      </c>
      <c r="I2090" s="55" t="s">
        <v>354</v>
      </c>
      <c r="J2090" s="55" t="s">
        <v>3443</v>
      </c>
      <c r="L2090" s="55" t="s">
        <v>3444</v>
      </c>
      <c r="M2090" s="55" t="s">
        <v>150</v>
      </c>
      <c r="N2090" s="55" t="s">
        <v>150</v>
      </c>
      <c r="O2090" s="55" t="s">
        <v>218</v>
      </c>
      <c r="P2090" s="55" t="s">
        <v>1644</v>
      </c>
      <c r="Q2090" s="55" t="s">
        <v>362</v>
      </c>
      <c r="R2090" s="55"/>
      <c r="S2090" s="74"/>
      <c r="T2090" s="55" t="s">
        <v>3445</v>
      </c>
      <c r="U2090" s="73" t="s">
        <v>351</v>
      </c>
      <c r="V2090" s="74">
        <v>43381</v>
      </c>
      <c r="W2090" s="74">
        <v>43413</v>
      </c>
      <c r="X2090" s="55">
        <v>10045664</v>
      </c>
      <c r="Y2090" s="55" t="s">
        <v>132</v>
      </c>
      <c r="AB2090" s="55" t="s">
        <v>130</v>
      </c>
      <c r="AC2090" s="55" t="s">
        <v>132</v>
      </c>
    </row>
    <row r="2091" spans="1:29" ht="13" x14ac:dyDescent="0.15">
      <c r="A2091" s="72" t="str">
        <f t="shared" si="32"/>
        <v>Ofsted Social Care Provider Webpage</v>
      </c>
      <c r="B2091" s="55" t="s">
        <v>3446</v>
      </c>
      <c r="D2091" s="55" t="s">
        <v>389</v>
      </c>
      <c r="E2091" s="74">
        <v>37852</v>
      </c>
      <c r="F2091" s="55" t="s">
        <v>344</v>
      </c>
      <c r="G2091" s="55" t="s">
        <v>3447</v>
      </c>
      <c r="H2091" s="55" t="s">
        <v>3448</v>
      </c>
      <c r="I2091" s="55" t="s">
        <v>3449</v>
      </c>
      <c r="J2091" s="55" t="s">
        <v>1833</v>
      </c>
      <c r="K2091" s="55" t="s">
        <v>183</v>
      </c>
      <c r="L2091" s="55" t="s">
        <v>3450</v>
      </c>
      <c r="M2091" s="55" t="s">
        <v>129</v>
      </c>
      <c r="N2091" s="55" t="s">
        <v>129</v>
      </c>
      <c r="O2091" s="55" t="s">
        <v>194</v>
      </c>
      <c r="P2091" s="55" t="s">
        <v>1012</v>
      </c>
      <c r="Q2091" s="55" t="s">
        <v>350</v>
      </c>
      <c r="R2091" s="55"/>
      <c r="S2091" s="74"/>
      <c r="T2091" s="55" t="s">
        <v>2197</v>
      </c>
      <c r="U2091" s="73" t="s">
        <v>351</v>
      </c>
      <c r="V2091" s="74">
        <v>43220</v>
      </c>
      <c r="W2091" s="74">
        <v>43250</v>
      </c>
      <c r="X2091" s="55">
        <v>10045574</v>
      </c>
      <c r="Y2091" s="55" t="s">
        <v>132</v>
      </c>
      <c r="AB2091" s="55" t="s">
        <v>132</v>
      </c>
      <c r="AC2091" s="55" t="s">
        <v>140</v>
      </c>
    </row>
    <row r="2092" spans="1:29" ht="13" x14ac:dyDescent="0.15">
      <c r="A2092" s="72" t="str">
        <f t="shared" si="32"/>
        <v>Ofsted Social Care Provider Webpage</v>
      </c>
      <c r="B2092" s="55" t="s">
        <v>3451</v>
      </c>
      <c r="D2092" s="55" t="s">
        <v>389</v>
      </c>
      <c r="E2092" s="74">
        <v>37859</v>
      </c>
      <c r="F2092" s="55" t="s">
        <v>344</v>
      </c>
      <c r="G2092" s="55" t="s">
        <v>3452</v>
      </c>
      <c r="H2092" s="55" t="s">
        <v>3453</v>
      </c>
      <c r="I2092" s="55" t="s">
        <v>3454</v>
      </c>
      <c r="J2092" s="55" t="s">
        <v>3455</v>
      </c>
      <c r="L2092" s="55" t="s">
        <v>3456</v>
      </c>
      <c r="M2092" s="55" t="s">
        <v>142</v>
      </c>
      <c r="N2092" s="55" t="s">
        <v>142</v>
      </c>
      <c r="O2092" s="55" t="s">
        <v>292</v>
      </c>
      <c r="P2092" s="55" t="s">
        <v>1052</v>
      </c>
      <c r="Q2092" s="55" t="s">
        <v>350</v>
      </c>
      <c r="R2092" s="55"/>
      <c r="S2092" s="74"/>
      <c r="T2092" s="55" t="s">
        <v>1164</v>
      </c>
      <c r="U2092" s="73" t="s">
        <v>351</v>
      </c>
      <c r="V2092" s="74">
        <v>44522</v>
      </c>
      <c r="W2092" s="74">
        <v>44582</v>
      </c>
      <c r="X2092" s="55">
        <v>10183433</v>
      </c>
      <c r="Y2092" s="55" t="s">
        <v>140</v>
      </c>
      <c r="AB2092" s="55" t="s">
        <v>132</v>
      </c>
      <c r="AC2092" s="55" t="s">
        <v>140</v>
      </c>
    </row>
    <row r="2093" spans="1:29" ht="13" x14ac:dyDescent="0.15">
      <c r="A2093" s="72" t="str">
        <f t="shared" si="32"/>
        <v>Ofsted Social Care Provider Webpage</v>
      </c>
      <c r="B2093" s="55" t="s">
        <v>3457</v>
      </c>
      <c r="D2093" s="55" t="s">
        <v>389</v>
      </c>
      <c r="E2093" s="74">
        <v>37847</v>
      </c>
      <c r="F2093" s="55" t="s">
        <v>344</v>
      </c>
      <c r="G2093" s="55" t="s">
        <v>3458</v>
      </c>
      <c r="H2093" s="55" t="s">
        <v>3459</v>
      </c>
      <c r="I2093" s="55" t="s">
        <v>3460</v>
      </c>
      <c r="J2093" s="55" t="s">
        <v>129</v>
      </c>
      <c r="L2093" s="55" t="s">
        <v>3461</v>
      </c>
      <c r="M2093" s="55" t="s">
        <v>129</v>
      </c>
      <c r="N2093" s="55" t="s">
        <v>129</v>
      </c>
      <c r="O2093" s="55" t="s">
        <v>279</v>
      </c>
      <c r="P2093" s="55" t="s">
        <v>1078</v>
      </c>
      <c r="Q2093" s="55" t="s">
        <v>350</v>
      </c>
      <c r="R2093" s="55"/>
      <c r="S2093" s="74"/>
      <c r="T2093" s="55" t="s">
        <v>3462</v>
      </c>
      <c r="U2093" s="73" t="s">
        <v>351</v>
      </c>
      <c r="V2093" s="74">
        <v>43563</v>
      </c>
      <c r="W2093" s="74">
        <v>43593</v>
      </c>
      <c r="X2093" s="55">
        <v>10046851</v>
      </c>
      <c r="Y2093" s="55" t="s">
        <v>132</v>
      </c>
      <c r="AB2093" s="55" t="s">
        <v>132</v>
      </c>
      <c r="AC2093" s="55" t="s">
        <v>130</v>
      </c>
    </row>
    <row r="2094" spans="1:29" ht="13" x14ac:dyDescent="0.15">
      <c r="A2094" s="72" t="str">
        <f t="shared" si="32"/>
        <v>Ofsted Social Care Provider Webpage</v>
      </c>
      <c r="B2094" s="55" t="s">
        <v>3463</v>
      </c>
      <c r="D2094" s="55" t="s">
        <v>389</v>
      </c>
      <c r="E2094" s="74">
        <v>37951</v>
      </c>
      <c r="F2094" s="55" t="s">
        <v>344</v>
      </c>
      <c r="G2094" s="55" t="s">
        <v>3464</v>
      </c>
      <c r="H2094" s="55" t="s">
        <v>3465</v>
      </c>
      <c r="I2094" s="55" t="s">
        <v>3466</v>
      </c>
      <c r="J2094" s="55" t="s">
        <v>3467</v>
      </c>
      <c r="L2094" s="55" t="s">
        <v>3468</v>
      </c>
      <c r="M2094" s="55" t="s">
        <v>150</v>
      </c>
      <c r="N2094" s="55" t="s">
        <v>150</v>
      </c>
      <c r="O2094" s="55" t="s">
        <v>203</v>
      </c>
      <c r="P2094" s="55" t="s">
        <v>3469</v>
      </c>
      <c r="Q2094" s="55" t="s">
        <v>350</v>
      </c>
      <c r="R2094" s="55"/>
      <c r="S2094" s="74"/>
      <c r="T2094" s="55" t="s">
        <v>3470</v>
      </c>
      <c r="U2094" s="73" t="s">
        <v>351</v>
      </c>
      <c r="V2094" s="74">
        <v>43542</v>
      </c>
      <c r="W2094" s="74">
        <v>43605</v>
      </c>
      <c r="X2094" s="55">
        <v>10046669</v>
      </c>
      <c r="Y2094" s="55" t="s">
        <v>132</v>
      </c>
      <c r="AB2094" s="55" t="s">
        <v>132</v>
      </c>
      <c r="AC2094" s="55" t="s">
        <v>132</v>
      </c>
    </row>
    <row r="2095" spans="1:29" ht="13" x14ac:dyDescent="0.15">
      <c r="A2095" s="72" t="str">
        <f t="shared" si="32"/>
        <v>Ofsted Social Care Provider Webpage</v>
      </c>
      <c r="B2095" s="55" t="s">
        <v>3471</v>
      </c>
      <c r="D2095" s="55" t="s">
        <v>389</v>
      </c>
      <c r="E2095" s="74">
        <v>37924</v>
      </c>
      <c r="F2095" s="55" t="s">
        <v>344</v>
      </c>
      <c r="G2095" s="55" t="s">
        <v>3472</v>
      </c>
      <c r="H2095" s="55" t="s">
        <v>3473</v>
      </c>
      <c r="I2095" s="55" t="s">
        <v>354</v>
      </c>
      <c r="J2095" s="55" t="s">
        <v>3467</v>
      </c>
      <c r="K2095" s="55" t="s">
        <v>203</v>
      </c>
      <c r="L2095" s="55" t="s">
        <v>3474</v>
      </c>
      <c r="M2095" s="55" t="s">
        <v>150</v>
      </c>
      <c r="N2095" s="55" t="s">
        <v>150</v>
      </c>
      <c r="O2095" s="55" t="s">
        <v>203</v>
      </c>
      <c r="P2095" s="55" t="s">
        <v>3469</v>
      </c>
      <c r="Q2095" s="55" t="s">
        <v>350</v>
      </c>
      <c r="R2095" s="55"/>
      <c r="S2095" s="74"/>
      <c r="T2095" s="55" t="s">
        <v>3475</v>
      </c>
      <c r="U2095" s="73" t="s">
        <v>351</v>
      </c>
      <c r="V2095" s="74">
        <v>43745</v>
      </c>
      <c r="W2095" s="74">
        <v>43812</v>
      </c>
      <c r="X2095" s="55">
        <v>10093290</v>
      </c>
      <c r="Y2095" s="55" t="s">
        <v>132</v>
      </c>
      <c r="AB2095" s="55" t="s">
        <v>130</v>
      </c>
      <c r="AC2095" s="55" t="s">
        <v>132</v>
      </c>
    </row>
    <row r="2096" spans="1:29" ht="13" x14ac:dyDescent="0.15">
      <c r="A2096" s="72" t="str">
        <f t="shared" si="32"/>
        <v>Ofsted Social Care Provider Webpage</v>
      </c>
      <c r="B2096" s="55" t="s">
        <v>3476</v>
      </c>
      <c r="D2096" s="55" t="s">
        <v>373</v>
      </c>
      <c r="E2096" s="74">
        <v>37659</v>
      </c>
      <c r="F2096" s="55" t="s">
        <v>344</v>
      </c>
      <c r="G2096" s="55" t="s">
        <v>360</v>
      </c>
      <c r="H2096" s="55" t="s">
        <v>360</v>
      </c>
      <c r="I2096" s="55" t="s">
        <v>360</v>
      </c>
      <c r="J2096" s="55" t="s">
        <v>360</v>
      </c>
      <c r="K2096" s="55" t="s">
        <v>360</v>
      </c>
      <c r="L2096" s="55" t="s">
        <v>360</v>
      </c>
      <c r="M2096" s="55" t="s">
        <v>172</v>
      </c>
      <c r="N2096" s="55" t="s">
        <v>172</v>
      </c>
      <c r="O2096" s="55" t="s">
        <v>235</v>
      </c>
      <c r="P2096" s="55" t="s">
        <v>2338</v>
      </c>
      <c r="Q2096" s="55" t="s">
        <v>380</v>
      </c>
      <c r="R2096" s="55">
        <v>8</v>
      </c>
      <c r="S2096" s="74" t="s">
        <v>332</v>
      </c>
      <c r="T2096" s="55" t="s">
        <v>3477</v>
      </c>
      <c r="U2096" s="73" t="s">
        <v>351</v>
      </c>
      <c r="V2096" s="74">
        <v>44516</v>
      </c>
      <c r="W2096" s="74">
        <v>44546</v>
      </c>
      <c r="X2096" s="55">
        <v>10187198</v>
      </c>
      <c r="Y2096" s="55" t="s">
        <v>130</v>
      </c>
      <c r="AB2096" s="55" t="s">
        <v>130</v>
      </c>
      <c r="AC2096" s="55" t="s">
        <v>130</v>
      </c>
    </row>
    <row r="2097" spans="1:29" ht="13" x14ac:dyDescent="0.15">
      <c r="A2097" s="72" t="str">
        <f t="shared" si="32"/>
        <v>Ofsted Social Care Provider Webpage</v>
      </c>
      <c r="B2097" s="55" t="s">
        <v>3478</v>
      </c>
      <c r="D2097" s="55" t="s">
        <v>373</v>
      </c>
      <c r="E2097" s="74">
        <v>37953</v>
      </c>
      <c r="F2097" s="55" t="s">
        <v>344</v>
      </c>
      <c r="G2097" s="55" t="s">
        <v>360</v>
      </c>
      <c r="H2097" s="55" t="s">
        <v>360</v>
      </c>
      <c r="I2097" s="55" t="s">
        <v>360</v>
      </c>
      <c r="J2097" s="55" t="s">
        <v>360</v>
      </c>
      <c r="K2097" s="55" t="s">
        <v>360</v>
      </c>
      <c r="L2097" s="55" t="s">
        <v>360</v>
      </c>
      <c r="M2097" s="55" t="s">
        <v>172</v>
      </c>
      <c r="N2097" s="55" t="s">
        <v>172</v>
      </c>
      <c r="O2097" s="55" t="s">
        <v>235</v>
      </c>
      <c r="P2097" s="55" t="s">
        <v>628</v>
      </c>
      <c r="Q2097" s="55" t="s">
        <v>380</v>
      </c>
      <c r="R2097" s="55">
        <v>16</v>
      </c>
      <c r="S2097" s="74"/>
      <c r="T2097" s="55" t="s">
        <v>3477</v>
      </c>
      <c r="U2097" s="73" t="s">
        <v>351</v>
      </c>
      <c r="V2097" s="74">
        <v>44567</v>
      </c>
      <c r="W2097" s="74">
        <v>44621</v>
      </c>
      <c r="X2097" s="55">
        <v>10185712</v>
      </c>
      <c r="Y2097" s="55" t="s">
        <v>140</v>
      </c>
      <c r="AB2097" s="55" t="s">
        <v>132</v>
      </c>
      <c r="AC2097" s="55" t="s">
        <v>132</v>
      </c>
    </row>
    <row r="2098" spans="1:29" ht="13" x14ac:dyDescent="0.15">
      <c r="A2098" s="72" t="str">
        <f t="shared" si="32"/>
        <v>Ofsted Social Care Provider Webpage</v>
      </c>
      <c r="B2098" s="55" t="s">
        <v>3479</v>
      </c>
      <c r="D2098" s="55" t="s">
        <v>2864</v>
      </c>
      <c r="E2098" s="74">
        <v>37953</v>
      </c>
      <c r="F2098" s="55" t="s">
        <v>344</v>
      </c>
      <c r="G2098" s="55" t="s">
        <v>360</v>
      </c>
      <c r="H2098" s="55" t="s">
        <v>360</v>
      </c>
      <c r="I2098" s="55" t="s">
        <v>360</v>
      </c>
      <c r="J2098" s="55" t="s">
        <v>360</v>
      </c>
      <c r="K2098" s="55" t="s">
        <v>360</v>
      </c>
      <c r="L2098" s="55" t="s">
        <v>360</v>
      </c>
      <c r="M2098" s="55" t="s">
        <v>172</v>
      </c>
      <c r="N2098" s="55" t="s">
        <v>172</v>
      </c>
      <c r="O2098" s="55" t="s">
        <v>235</v>
      </c>
      <c r="P2098" s="55" t="s">
        <v>1355</v>
      </c>
      <c r="Q2098" s="55" t="s">
        <v>380</v>
      </c>
      <c r="R2098" s="55">
        <v>20</v>
      </c>
      <c r="S2098" s="74"/>
      <c r="T2098" s="55" t="s">
        <v>3477</v>
      </c>
      <c r="U2098" s="73" t="s">
        <v>351</v>
      </c>
      <c r="V2098" s="74">
        <v>44369</v>
      </c>
      <c r="W2098" s="74">
        <v>44411</v>
      </c>
      <c r="X2098" s="55">
        <v>10165443</v>
      </c>
      <c r="Y2098" s="55" t="s">
        <v>132</v>
      </c>
      <c r="Z2098" s="55" t="s">
        <v>130</v>
      </c>
      <c r="AA2098" s="55" t="s">
        <v>132</v>
      </c>
      <c r="AB2098" s="55" t="s">
        <v>132</v>
      </c>
      <c r="AC2098" s="55" t="s">
        <v>132</v>
      </c>
    </row>
    <row r="2099" spans="1:29" ht="13" x14ac:dyDescent="0.15">
      <c r="A2099" s="72" t="str">
        <f t="shared" si="32"/>
        <v>Ofsted Social Care Provider Webpage</v>
      </c>
      <c r="B2099" s="55" t="s">
        <v>3480</v>
      </c>
      <c r="D2099" s="55" t="s">
        <v>373</v>
      </c>
      <c r="E2099" s="74">
        <v>37762</v>
      </c>
      <c r="F2099" s="55" t="s">
        <v>344</v>
      </c>
      <c r="G2099" s="55" t="s">
        <v>360</v>
      </c>
      <c r="H2099" s="55" t="s">
        <v>360</v>
      </c>
      <c r="I2099" s="55" t="s">
        <v>360</v>
      </c>
      <c r="J2099" s="55" t="s">
        <v>360</v>
      </c>
      <c r="K2099" s="55" t="s">
        <v>360</v>
      </c>
      <c r="L2099" s="55" t="s">
        <v>360</v>
      </c>
      <c r="M2099" s="55" t="s">
        <v>378</v>
      </c>
      <c r="N2099" s="55" t="s">
        <v>170</v>
      </c>
      <c r="O2099" s="55" t="s">
        <v>184</v>
      </c>
      <c r="P2099" s="55" t="s">
        <v>676</v>
      </c>
      <c r="Q2099" s="55" t="s">
        <v>380</v>
      </c>
      <c r="R2099" s="55">
        <v>5</v>
      </c>
      <c r="S2099" s="74"/>
      <c r="T2099" s="55" t="s">
        <v>1711</v>
      </c>
      <c r="U2099" s="73" t="s">
        <v>351</v>
      </c>
      <c r="V2099" s="74">
        <v>44355</v>
      </c>
      <c r="W2099" s="74">
        <v>44391</v>
      </c>
      <c r="X2099" s="55">
        <v>10185278</v>
      </c>
      <c r="Y2099" s="55" t="s">
        <v>132</v>
      </c>
      <c r="AB2099" s="55" t="s">
        <v>132</v>
      </c>
      <c r="AC2099" s="55" t="s">
        <v>132</v>
      </c>
    </row>
    <row r="2100" spans="1:29" ht="13" x14ac:dyDescent="0.15">
      <c r="A2100" s="72" t="str">
        <f t="shared" si="32"/>
        <v>Ofsted Social Care Provider Webpage</v>
      </c>
      <c r="B2100" s="55" t="s">
        <v>3481</v>
      </c>
      <c r="D2100" s="55" t="s">
        <v>373</v>
      </c>
      <c r="E2100" s="74">
        <v>37762</v>
      </c>
      <c r="F2100" s="55" t="s">
        <v>344</v>
      </c>
      <c r="G2100" s="55" t="s">
        <v>360</v>
      </c>
      <c r="H2100" s="55" t="s">
        <v>360</v>
      </c>
      <c r="I2100" s="55" t="s">
        <v>360</v>
      </c>
      <c r="J2100" s="55" t="s">
        <v>360</v>
      </c>
      <c r="K2100" s="55" t="s">
        <v>360</v>
      </c>
      <c r="L2100" s="55" t="s">
        <v>360</v>
      </c>
      <c r="M2100" s="55" t="s">
        <v>378</v>
      </c>
      <c r="N2100" s="55" t="s">
        <v>170</v>
      </c>
      <c r="O2100" s="55" t="s">
        <v>184</v>
      </c>
      <c r="P2100" s="55" t="s">
        <v>184</v>
      </c>
      <c r="Q2100" s="55" t="s">
        <v>380</v>
      </c>
      <c r="R2100" s="55">
        <v>6</v>
      </c>
      <c r="S2100" s="74" t="s">
        <v>332</v>
      </c>
      <c r="T2100" s="55" t="s">
        <v>1711</v>
      </c>
      <c r="U2100" s="73" t="s">
        <v>351</v>
      </c>
      <c r="V2100" s="74">
        <v>44390</v>
      </c>
      <c r="W2100" s="74">
        <v>44432</v>
      </c>
      <c r="X2100" s="55">
        <v>10185889</v>
      </c>
      <c r="Y2100" s="55" t="s">
        <v>132</v>
      </c>
      <c r="AB2100" s="55" t="s">
        <v>132</v>
      </c>
      <c r="AC2100" s="55" t="s">
        <v>132</v>
      </c>
    </row>
    <row r="2101" spans="1:29" ht="13" x14ac:dyDescent="0.15">
      <c r="A2101" s="72" t="str">
        <f t="shared" si="32"/>
        <v>Ofsted Social Care Provider Webpage</v>
      </c>
      <c r="B2101" s="55" t="s">
        <v>3482</v>
      </c>
      <c r="D2101" s="55" t="s">
        <v>389</v>
      </c>
      <c r="E2101" s="74">
        <v>37946</v>
      </c>
      <c r="F2101" s="55" t="s">
        <v>344</v>
      </c>
      <c r="G2101" s="55" t="s">
        <v>3483</v>
      </c>
      <c r="H2101" s="55" t="s">
        <v>3484</v>
      </c>
      <c r="I2101" s="55" t="s">
        <v>3485</v>
      </c>
      <c r="J2101" s="55" t="s">
        <v>224</v>
      </c>
      <c r="L2101" s="55" t="s">
        <v>3486</v>
      </c>
      <c r="M2101" s="55" t="s">
        <v>138</v>
      </c>
      <c r="N2101" s="55" t="s">
        <v>138</v>
      </c>
      <c r="O2101" s="55" t="s">
        <v>224</v>
      </c>
      <c r="P2101" s="55" t="s">
        <v>374</v>
      </c>
      <c r="Q2101" s="55" t="s">
        <v>350</v>
      </c>
      <c r="R2101" s="55"/>
      <c r="S2101" s="74"/>
      <c r="T2101" s="55" t="s">
        <v>3487</v>
      </c>
      <c r="U2101" s="73" t="s">
        <v>351</v>
      </c>
      <c r="V2101" s="74">
        <v>44312</v>
      </c>
      <c r="W2101" s="74">
        <v>44343</v>
      </c>
      <c r="X2101" s="55">
        <v>10183344</v>
      </c>
      <c r="Y2101" s="55" t="s">
        <v>132</v>
      </c>
      <c r="AB2101" s="55" t="s">
        <v>132</v>
      </c>
      <c r="AC2101" s="55" t="s">
        <v>132</v>
      </c>
    </row>
    <row r="2102" spans="1:29" ht="13" x14ac:dyDescent="0.15">
      <c r="A2102" s="72" t="str">
        <f t="shared" si="32"/>
        <v>Ofsted Social Care Provider Webpage</v>
      </c>
      <c r="B2102" s="55" t="s">
        <v>3488</v>
      </c>
      <c r="D2102" s="55" t="s">
        <v>373</v>
      </c>
      <c r="E2102" s="74">
        <v>37722</v>
      </c>
      <c r="F2102" s="55" t="s">
        <v>344</v>
      </c>
      <c r="G2102" s="55" t="s">
        <v>360</v>
      </c>
      <c r="H2102" s="55" t="s">
        <v>360</v>
      </c>
      <c r="I2102" s="55" t="s">
        <v>360</v>
      </c>
      <c r="J2102" s="55" t="s">
        <v>360</v>
      </c>
      <c r="K2102" s="55" t="s">
        <v>360</v>
      </c>
      <c r="L2102" s="55" t="s">
        <v>360</v>
      </c>
      <c r="M2102" s="55" t="s">
        <v>129</v>
      </c>
      <c r="N2102" s="55" t="s">
        <v>129</v>
      </c>
      <c r="O2102" s="55" t="s">
        <v>186</v>
      </c>
      <c r="P2102" s="55" t="s">
        <v>769</v>
      </c>
      <c r="Q2102" s="55" t="s">
        <v>380</v>
      </c>
      <c r="R2102" s="55">
        <v>5</v>
      </c>
      <c r="S2102" s="74"/>
      <c r="T2102" s="55" t="s">
        <v>3489</v>
      </c>
      <c r="U2102" s="73" t="s">
        <v>351</v>
      </c>
      <c r="V2102" s="74">
        <v>44488</v>
      </c>
      <c r="W2102" s="74">
        <v>44593</v>
      </c>
      <c r="X2102" s="55">
        <v>10185346</v>
      </c>
      <c r="Y2102" s="55" t="s">
        <v>140</v>
      </c>
      <c r="AB2102" s="55" t="s">
        <v>132</v>
      </c>
      <c r="AC2102" s="55" t="s">
        <v>140</v>
      </c>
    </row>
    <row r="2103" spans="1:29" ht="13" x14ac:dyDescent="0.15">
      <c r="A2103" s="72" t="str">
        <f t="shared" si="32"/>
        <v>Ofsted Social Care Provider Webpage</v>
      </c>
      <c r="B2103" s="55" t="s">
        <v>3490</v>
      </c>
      <c r="D2103" s="55" t="s">
        <v>389</v>
      </c>
      <c r="E2103" s="74">
        <v>38104</v>
      </c>
      <c r="F2103" s="55" t="s">
        <v>344</v>
      </c>
      <c r="G2103" s="55" t="s">
        <v>3491</v>
      </c>
      <c r="H2103" s="55" t="s">
        <v>3492</v>
      </c>
      <c r="I2103" s="55" t="s">
        <v>3493</v>
      </c>
      <c r="J2103" s="55" t="s">
        <v>3494</v>
      </c>
      <c r="K2103" s="55" t="s">
        <v>293</v>
      </c>
      <c r="L2103" s="55" t="s">
        <v>3495</v>
      </c>
      <c r="M2103" s="55" t="s">
        <v>142</v>
      </c>
      <c r="N2103" s="55" t="s">
        <v>142</v>
      </c>
      <c r="O2103" s="55" t="s">
        <v>293</v>
      </c>
      <c r="P2103" s="55" t="s">
        <v>984</v>
      </c>
      <c r="Q2103" s="55" t="s">
        <v>362</v>
      </c>
      <c r="R2103" s="55"/>
      <c r="S2103" s="74"/>
      <c r="T2103" s="55" t="s">
        <v>3496</v>
      </c>
      <c r="U2103" s="73" t="s">
        <v>351</v>
      </c>
      <c r="V2103" s="74">
        <v>43486</v>
      </c>
      <c r="W2103" s="74">
        <v>43522</v>
      </c>
      <c r="X2103" s="55">
        <v>10045711</v>
      </c>
      <c r="Y2103" s="55" t="s">
        <v>132</v>
      </c>
      <c r="AB2103" s="55" t="s">
        <v>132</v>
      </c>
      <c r="AC2103" s="55" t="s">
        <v>132</v>
      </c>
    </row>
    <row r="2104" spans="1:29" ht="13" x14ac:dyDescent="0.15">
      <c r="A2104" s="72" t="str">
        <f t="shared" si="32"/>
        <v>Ofsted Social Care Provider Webpage</v>
      </c>
      <c r="B2104" s="55" t="s">
        <v>3497</v>
      </c>
      <c r="D2104" s="55" t="s">
        <v>389</v>
      </c>
      <c r="E2104" s="74">
        <v>37928</v>
      </c>
      <c r="F2104" s="55" t="s">
        <v>344</v>
      </c>
      <c r="G2104" s="55" t="s">
        <v>3498</v>
      </c>
      <c r="H2104" s="55" t="s">
        <v>3499</v>
      </c>
      <c r="I2104" s="55" t="s">
        <v>3500</v>
      </c>
      <c r="J2104" s="55" t="s">
        <v>2439</v>
      </c>
      <c r="K2104" s="55" t="s">
        <v>209</v>
      </c>
      <c r="L2104" s="55" t="s">
        <v>3501</v>
      </c>
      <c r="M2104" s="55" t="s">
        <v>144</v>
      </c>
      <c r="N2104" s="55" t="s">
        <v>144</v>
      </c>
      <c r="O2104" s="55" t="s">
        <v>209</v>
      </c>
      <c r="P2104" s="55" t="s">
        <v>534</v>
      </c>
      <c r="Q2104" s="55" t="s">
        <v>362</v>
      </c>
      <c r="R2104" s="55"/>
      <c r="S2104" s="74"/>
      <c r="T2104" s="55" t="s">
        <v>3498</v>
      </c>
      <c r="U2104" s="73" t="s">
        <v>351</v>
      </c>
      <c r="V2104" s="74">
        <v>43850</v>
      </c>
      <c r="W2104" s="74">
        <v>43872</v>
      </c>
      <c r="X2104" s="55">
        <v>10093244</v>
      </c>
      <c r="Y2104" s="55" t="s">
        <v>132</v>
      </c>
      <c r="AB2104" s="55" t="s">
        <v>132</v>
      </c>
      <c r="AC2104" s="55" t="s">
        <v>132</v>
      </c>
    </row>
    <row r="2105" spans="1:29" ht="13" x14ac:dyDescent="0.15">
      <c r="A2105" s="72" t="str">
        <f t="shared" si="32"/>
        <v>Ofsted Social Care Provider Webpage</v>
      </c>
      <c r="B2105" s="55" t="s">
        <v>3502</v>
      </c>
      <c r="D2105" s="55" t="s">
        <v>389</v>
      </c>
      <c r="E2105" s="74">
        <v>38135</v>
      </c>
      <c r="F2105" s="55" t="s">
        <v>344</v>
      </c>
      <c r="G2105" s="55" t="s">
        <v>3503</v>
      </c>
      <c r="H2105" s="55" t="s">
        <v>3503</v>
      </c>
      <c r="I2105" s="55" t="s">
        <v>3504</v>
      </c>
      <c r="J2105" s="55" t="s">
        <v>2753</v>
      </c>
      <c r="L2105" s="55" t="s">
        <v>3505</v>
      </c>
      <c r="M2105" s="55" t="s">
        <v>142</v>
      </c>
      <c r="N2105" s="55" t="s">
        <v>142</v>
      </c>
      <c r="O2105" s="55" t="s">
        <v>141</v>
      </c>
      <c r="P2105" s="55" t="s">
        <v>2048</v>
      </c>
      <c r="Q2105" s="55" t="s">
        <v>350</v>
      </c>
      <c r="R2105" s="55"/>
      <c r="S2105" s="74"/>
      <c r="T2105" s="55" t="s">
        <v>3372</v>
      </c>
      <c r="U2105" s="73" t="s">
        <v>351</v>
      </c>
      <c r="V2105" s="74">
        <v>44480</v>
      </c>
      <c r="W2105" s="74">
        <v>44529</v>
      </c>
      <c r="X2105" s="55">
        <v>10183439</v>
      </c>
      <c r="Y2105" s="55" t="s">
        <v>140</v>
      </c>
      <c r="AB2105" s="55" t="s">
        <v>140</v>
      </c>
      <c r="AC2105" s="55" t="s">
        <v>140</v>
      </c>
    </row>
    <row r="2106" spans="1:29" ht="13" x14ac:dyDescent="0.15">
      <c r="A2106" s="72" t="str">
        <f t="shared" si="32"/>
        <v>Ofsted Social Care Provider Webpage</v>
      </c>
      <c r="B2106" s="55" t="s">
        <v>3506</v>
      </c>
      <c r="D2106" s="55" t="s">
        <v>373</v>
      </c>
      <c r="E2106" s="74">
        <v>37568</v>
      </c>
      <c r="F2106" s="55" t="s">
        <v>344</v>
      </c>
      <c r="G2106" s="55" t="s">
        <v>360</v>
      </c>
      <c r="H2106" s="55" t="s">
        <v>360</v>
      </c>
      <c r="I2106" s="55" t="s">
        <v>360</v>
      </c>
      <c r="J2106" s="55" t="s">
        <v>360</v>
      </c>
      <c r="K2106" s="55" t="s">
        <v>360</v>
      </c>
      <c r="L2106" s="55" t="s">
        <v>360</v>
      </c>
      <c r="M2106" s="55" t="s">
        <v>144</v>
      </c>
      <c r="N2106" s="55" t="s">
        <v>144</v>
      </c>
      <c r="O2106" s="55" t="s">
        <v>250</v>
      </c>
      <c r="P2106" s="55" t="s">
        <v>759</v>
      </c>
      <c r="Q2106" s="55" t="s">
        <v>350</v>
      </c>
      <c r="R2106" s="55">
        <v>2</v>
      </c>
      <c r="S2106" s="74"/>
      <c r="T2106" s="55" t="s">
        <v>1600</v>
      </c>
      <c r="U2106" s="73" t="s">
        <v>351</v>
      </c>
      <c r="V2106" s="74">
        <v>44566</v>
      </c>
      <c r="W2106" s="74">
        <v>44599</v>
      </c>
      <c r="X2106" s="55">
        <v>10187404</v>
      </c>
      <c r="Y2106" s="55" t="s">
        <v>132</v>
      </c>
      <c r="AB2106" s="55" t="s">
        <v>132</v>
      </c>
      <c r="AC2106" s="55" t="s">
        <v>132</v>
      </c>
    </row>
    <row r="2107" spans="1:29" ht="13" x14ac:dyDescent="0.15">
      <c r="A2107" s="72" t="str">
        <f t="shared" si="32"/>
        <v>Ofsted Social Care Provider Webpage</v>
      </c>
      <c r="B2107" s="55" t="s">
        <v>3507</v>
      </c>
      <c r="D2107" s="55" t="s">
        <v>373</v>
      </c>
      <c r="E2107" s="74">
        <v>37938</v>
      </c>
      <c r="F2107" s="55" t="s">
        <v>344</v>
      </c>
      <c r="G2107" s="55" t="s">
        <v>360</v>
      </c>
      <c r="H2107" s="55" t="s">
        <v>360</v>
      </c>
      <c r="I2107" s="55" t="s">
        <v>360</v>
      </c>
      <c r="J2107" s="55" t="s">
        <v>360</v>
      </c>
      <c r="K2107" s="55" t="s">
        <v>360</v>
      </c>
      <c r="L2107" s="55" t="s">
        <v>360</v>
      </c>
      <c r="M2107" s="55" t="s">
        <v>129</v>
      </c>
      <c r="N2107" s="55" t="s">
        <v>129</v>
      </c>
      <c r="O2107" s="55" t="s">
        <v>128</v>
      </c>
      <c r="P2107" s="55" t="s">
        <v>1467</v>
      </c>
      <c r="Q2107" s="55" t="s">
        <v>350</v>
      </c>
      <c r="R2107" s="55">
        <v>6</v>
      </c>
      <c r="S2107" s="74"/>
      <c r="T2107" s="55" t="s">
        <v>3508</v>
      </c>
      <c r="U2107" s="73" t="s">
        <v>351</v>
      </c>
      <c r="V2107" s="74">
        <v>44517</v>
      </c>
      <c r="W2107" s="74">
        <v>44565</v>
      </c>
      <c r="X2107" s="55">
        <v>10186022</v>
      </c>
      <c r="Y2107" s="55" t="s">
        <v>140</v>
      </c>
      <c r="AB2107" s="55" t="s">
        <v>132</v>
      </c>
      <c r="AC2107" s="55" t="s">
        <v>140</v>
      </c>
    </row>
    <row r="2108" spans="1:29" ht="13" x14ac:dyDescent="0.15">
      <c r="A2108" s="72" t="str">
        <f t="shared" si="32"/>
        <v>Ofsted Social Care Provider Webpage</v>
      </c>
      <c r="B2108" s="55" t="s">
        <v>3509</v>
      </c>
      <c r="D2108" s="55" t="s">
        <v>373</v>
      </c>
      <c r="E2108" s="74">
        <v>37697</v>
      </c>
      <c r="F2108" s="55" t="s">
        <v>344</v>
      </c>
      <c r="G2108" s="55" t="s">
        <v>360</v>
      </c>
      <c r="H2108" s="55" t="s">
        <v>360</v>
      </c>
      <c r="I2108" s="55" t="s">
        <v>360</v>
      </c>
      <c r="J2108" s="55" t="s">
        <v>360</v>
      </c>
      <c r="K2108" s="55" t="s">
        <v>360</v>
      </c>
      <c r="L2108" s="55" t="s">
        <v>360</v>
      </c>
      <c r="M2108" s="55" t="s">
        <v>138</v>
      </c>
      <c r="N2108" s="55" t="s">
        <v>138</v>
      </c>
      <c r="O2108" s="55" t="s">
        <v>266</v>
      </c>
      <c r="P2108" s="55" t="s">
        <v>2912</v>
      </c>
      <c r="Q2108" s="55" t="s">
        <v>380</v>
      </c>
      <c r="R2108" s="55">
        <v>7</v>
      </c>
      <c r="S2108" s="74"/>
      <c r="T2108" s="55" t="s">
        <v>3510</v>
      </c>
      <c r="U2108" s="73" t="s">
        <v>351</v>
      </c>
      <c r="V2108" s="74">
        <v>44298</v>
      </c>
      <c r="W2108" s="74">
        <v>44323</v>
      </c>
      <c r="X2108" s="55">
        <v>10187642</v>
      </c>
      <c r="Y2108" s="55" t="s">
        <v>130</v>
      </c>
      <c r="AB2108" s="55" t="s">
        <v>130</v>
      </c>
      <c r="AC2108" s="55" t="s">
        <v>130</v>
      </c>
    </row>
    <row r="2109" spans="1:29" ht="13" x14ac:dyDescent="0.15">
      <c r="A2109" s="72" t="str">
        <f t="shared" si="32"/>
        <v>Ofsted Social Care Provider Webpage</v>
      </c>
      <c r="B2109" s="55" t="s">
        <v>3511</v>
      </c>
      <c r="D2109" s="55" t="s">
        <v>373</v>
      </c>
      <c r="E2109" s="74">
        <v>37683</v>
      </c>
      <c r="F2109" s="55" t="s">
        <v>344</v>
      </c>
      <c r="G2109" s="55" t="s">
        <v>360</v>
      </c>
      <c r="H2109" s="55" t="s">
        <v>360</v>
      </c>
      <c r="I2109" s="55" t="s">
        <v>360</v>
      </c>
      <c r="J2109" s="55" t="s">
        <v>360</v>
      </c>
      <c r="K2109" s="55" t="s">
        <v>360</v>
      </c>
      <c r="L2109" s="55" t="s">
        <v>360</v>
      </c>
      <c r="M2109" s="55" t="s">
        <v>138</v>
      </c>
      <c r="N2109" s="55" t="s">
        <v>138</v>
      </c>
      <c r="O2109" s="55" t="s">
        <v>266</v>
      </c>
      <c r="P2109" s="55" t="s">
        <v>2912</v>
      </c>
      <c r="Q2109" s="55" t="s">
        <v>380</v>
      </c>
      <c r="R2109" s="55">
        <v>7</v>
      </c>
      <c r="S2109" s="74"/>
      <c r="T2109" s="55" t="s">
        <v>3510</v>
      </c>
      <c r="U2109" s="73" t="s">
        <v>351</v>
      </c>
      <c r="V2109" s="74">
        <v>44384</v>
      </c>
      <c r="W2109" s="74">
        <v>44420</v>
      </c>
      <c r="X2109" s="55">
        <v>10185652</v>
      </c>
      <c r="Y2109" s="55" t="s">
        <v>132</v>
      </c>
      <c r="AB2109" s="55" t="s">
        <v>132</v>
      </c>
      <c r="AC2109" s="55" t="s">
        <v>132</v>
      </c>
    </row>
    <row r="2110" spans="1:29" ht="13" x14ac:dyDescent="0.15">
      <c r="A2110" s="72" t="str">
        <f t="shared" si="32"/>
        <v>Ofsted Social Care Provider Webpage</v>
      </c>
      <c r="B2110" s="55" t="s">
        <v>3512</v>
      </c>
      <c r="D2110" s="55" t="s">
        <v>373</v>
      </c>
      <c r="E2110" s="74">
        <v>37502</v>
      </c>
      <c r="F2110" s="55" t="s">
        <v>344</v>
      </c>
      <c r="G2110" s="55" t="s">
        <v>360</v>
      </c>
      <c r="H2110" s="55" t="s">
        <v>360</v>
      </c>
      <c r="I2110" s="55" t="s">
        <v>360</v>
      </c>
      <c r="J2110" s="55" t="s">
        <v>360</v>
      </c>
      <c r="K2110" s="55" t="s">
        <v>360</v>
      </c>
      <c r="L2110" s="55" t="s">
        <v>360</v>
      </c>
      <c r="M2110" s="55" t="s">
        <v>150</v>
      </c>
      <c r="N2110" s="55" t="s">
        <v>150</v>
      </c>
      <c r="O2110" s="55" t="s">
        <v>203</v>
      </c>
      <c r="P2110" s="55" t="s">
        <v>1038</v>
      </c>
      <c r="Q2110" s="55" t="s">
        <v>380</v>
      </c>
      <c r="R2110" s="55">
        <v>7</v>
      </c>
      <c r="S2110" s="74" t="s">
        <v>332</v>
      </c>
      <c r="T2110" s="55" t="s">
        <v>1547</v>
      </c>
      <c r="U2110" s="73" t="s">
        <v>351</v>
      </c>
      <c r="V2110" s="74">
        <v>44524</v>
      </c>
      <c r="W2110" s="74">
        <v>44593</v>
      </c>
      <c r="X2110" s="55">
        <v>10185700</v>
      </c>
      <c r="Y2110" s="55" t="s">
        <v>132</v>
      </c>
      <c r="AB2110" s="55" t="s">
        <v>132</v>
      </c>
      <c r="AC2110" s="55" t="s">
        <v>130</v>
      </c>
    </row>
    <row r="2111" spans="1:29" ht="13" x14ac:dyDescent="0.15">
      <c r="A2111" s="72" t="str">
        <f t="shared" si="32"/>
        <v>Ofsted Social Care Provider Webpage</v>
      </c>
      <c r="B2111" s="55" t="s">
        <v>3513</v>
      </c>
      <c r="D2111" s="55" t="s">
        <v>373</v>
      </c>
      <c r="E2111" s="74">
        <v>37883</v>
      </c>
      <c r="F2111" s="55" t="s">
        <v>344</v>
      </c>
      <c r="G2111" s="55" t="s">
        <v>360</v>
      </c>
      <c r="H2111" s="55" t="s">
        <v>360</v>
      </c>
      <c r="I2111" s="55" t="s">
        <v>360</v>
      </c>
      <c r="J2111" s="55" t="s">
        <v>360</v>
      </c>
      <c r="K2111" s="55" t="s">
        <v>360</v>
      </c>
      <c r="L2111" s="55" t="s">
        <v>360</v>
      </c>
      <c r="M2111" s="55" t="s">
        <v>144</v>
      </c>
      <c r="N2111" s="55" t="s">
        <v>144</v>
      </c>
      <c r="O2111" s="55" t="s">
        <v>281</v>
      </c>
      <c r="P2111" s="55" t="s">
        <v>556</v>
      </c>
      <c r="Q2111" s="55" t="s">
        <v>380</v>
      </c>
      <c r="R2111" s="55">
        <v>3</v>
      </c>
      <c r="S2111" s="74"/>
      <c r="T2111" s="55" t="s">
        <v>2081</v>
      </c>
      <c r="U2111" s="73" t="s">
        <v>351</v>
      </c>
      <c r="V2111" s="74">
        <v>44628</v>
      </c>
      <c r="W2111" s="74">
        <v>44673</v>
      </c>
      <c r="X2111" s="55">
        <v>10186863</v>
      </c>
      <c r="Y2111" s="55" t="s">
        <v>130</v>
      </c>
      <c r="AB2111" s="55" t="s">
        <v>132</v>
      </c>
      <c r="AC2111" s="55" t="s">
        <v>130</v>
      </c>
    </row>
    <row r="2112" spans="1:29" ht="13" x14ac:dyDescent="0.15">
      <c r="A2112" s="72" t="str">
        <f t="shared" si="32"/>
        <v>Ofsted Social Care Provider Webpage</v>
      </c>
      <c r="B2112" s="55" t="s">
        <v>3514</v>
      </c>
      <c r="D2112" s="55" t="s">
        <v>389</v>
      </c>
      <c r="E2112" s="74">
        <v>37973</v>
      </c>
      <c r="F2112" s="55" t="s">
        <v>344</v>
      </c>
      <c r="G2112" s="55" t="s">
        <v>3515</v>
      </c>
      <c r="H2112" s="55" t="s">
        <v>3516</v>
      </c>
      <c r="I2112" s="55" t="s">
        <v>354</v>
      </c>
      <c r="J2112" s="55" t="s">
        <v>3455</v>
      </c>
      <c r="L2112" s="55" t="s">
        <v>3517</v>
      </c>
      <c r="M2112" s="55" t="s">
        <v>142</v>
      </c>
      <c r="N2112" s="55" t="s">
        <v>142</v>
      </c>
      <c r="O2112" s="55" t="s">
        <v>292</v>
      </c>
      <c r="P2112" s="55" t="s">
        <v>976</v>
      </c>
      <c r="Q2112" s="55" t="s">
        <v>362</v>
      </c>
      <c r="R2112" s="55"/>
      <c r="S2112" s="74"/>
      <c r="T2112" s="55" t="s">
        <v>3518</v>
      </c>
      <c r="U2112" s="73" t="s">
        <v>351</v>
      </c>
      <c r="V2112" s="74">
        <v>43654</v>
      </c>
      <c r="W2112" s="74">
        <v>43691</v>
      </c>
      <c r="X2112" s="55">
        <v>10093291</v>
      </c>
      <c r="Y2112" s="55" t="s">
        <v>140</v>
      </c>
      <c r="AB2112" s="55" t="s">
        <v>132</v>
      </c>
      <c r="AC2112" s="55" t="s">
        <v>132</v>
      </c>
    </row>
    <row r="2113" spans="1:29" ht="13" x14ac:dyDescent="0.15">
      <c r="A2113" s="72" t="str">
        <f t="shared" si="32"/>
        <v>Ofsted Social Care Provider Webpage</v>
      </c>
      <c r="B2113" s="55" t="s">
        <v>3519</v>
      </c>
      <c r="D2113" s="55" t="s">
        <v>373</v>
      </c>
      <c r="E2113" s="74">
        <v>37503</v>
      </c>
      <c r="F2113" s="55" t="s">
        <v>344</v>
      </c>
      <c r="G2113" s="55" t="s">
        <v>360</v>
      </c>
      <c r="H2113" s="55" t="s">
        <v>360</v>
      </c>
      <c r="I2113" s="55" t="s">
        <v>360</v>
      </c>
      <c r="J2113" s="55" t="s">
        <v>360</v>
      </c>
      <c r="K2113" s="55" t="s">
        <v>360</v>
      </c>
      <c r="L2113" s="55" t="s">
        <v>360</v>
      </c>
      <c r="M2113" s="55" t="s">
        <v>150</v>
      </c>
      <c r="N2113" s="55" t="s">
        <v>150</v>
      </c>
      <c r="O2113" s="55" t="s">
        <v>203</v>
      </c>
      <c r="P2113" s="55" t="s">
        <v>1268</v>
      </c>
      <c r="Q2113" s="55" t="s">
        <v>362</v>
      </c>
      <c r="R2113" s="55">
        <v>9</v>
      </c>
      <c r="S2113" s="74"/>
      <c r="T2113" s="55" t="s">
        <v>824</v>
      </c>
      <c r="U2113" s="73" t="s">
        <v>351</v>
      </c>
      <c r="V2113" s="74">
        <v>44432</v>
      </c>
      <c r="W2113" s="74">
        <v>44480</v>
      </c>
      <c r="X2113" s="55">
        <v>10186065</v>
      </c>
      <c r="Y2113" s="55" t="s">
        <v>140</v>
      </c>
      <c r="AB2113" s="55" t="s">
        <v>140</v>
      </c>
      <c r="AC2113" s="55" t="s">
        <v>132</v>
      </c>
    </row>
    <row r="2114" spans="1:29" ht="13" x14ac:dyDescent="0.15">
      <c r="A2114" s="72" t="str">
        <f t="shared" si="32"/>
        <v>Ofsted Social Care Provider Webpage</v>
      </c>
      <c r="B2114" s="55" t="s">
        <v>3520</v>
      </c>
      <c r="D2114" s="55" t="s">
        <v>373</v>
      </c>
      <c r="E2114" s="74">
        <v>37503</v>
      </c>
      <c r="F2114" s="55" t="s">
        <v>344</v>
      </c>
      <c r="G2114" s="55" t="s">
        <v>360</v>
      </c>
      <c r="H2114" s="55" t="s">
        <v>360</v>
      </c>
      <c r="I2114" s="55" t="s">
        <v>360</v>
      </c>
      <c r="J2114" s="55" t="s">
        <v>360</v>
      </c>
      <c r="K2114" s="55" t="s">
        <v>360</v>
      </c>
      <c r="L2114" s="55" t="s">
        <v>360</v>
      </c>
      <c r="M2114" s="55" t="s">
        <v>150</v>
      </c>
      <c r="N2114" s="55" t="s">
        <v>150</v>
      </c>
      <c r="O2114" s="55" t="s">
        <v>203</v>
      </c>
      <c r="P2114" s="55" t="s">
        <v>1268</v>
      </c>
      <c r="Q2114" s="55" t="s">
        <v>362</v>
      </c>
      <c r="R2114" s="55">
        <v>8</v>
      </c>
      <c r="S2114" s="74"/>
      <c r="T2114" s="55" t="s">
        <v>824</v>
      </c>
      <c r="U2114" s="73" t="s">
        <v>351</v>
      </c>
      <c r="V2114" s="74">
        <v>44327</v>
      </c>
      <c r="W2114" s="74">
        <v>44390</v>
      </c>
      <c r="X2114" s="55">
        <v>10187074</v>
      </c>
      <c r="Y2114" s="55" t="s">
        <v>140</v>
      </c>
      <c r="AB2114" s="55" t="s">
        <v>140</v>
      </c>
      <c r="AC2114" s="55" t="s">
        <v>140</v>
      </c>
    </row>
    <row r="2115" spans="1:29" ht="13" x14ac:dyDescent="0.15">
      <c r="A2115" s="72" t="str">
        <f t="shared" si="32"/>
        <v>Ofsted Social Care Provider Webpage</v>
      </c>
      <c r="B2115" s="55" t="s">
        <v>3521</v>
      </c>
      <c r="D2115" s="55" t="s">
        <v>373</v>
      </c>
      <c r="E2115" s="74">
        <v>37673</v>
      </c>
      <c r="F2115" s="55" t="s">
        <v>344</v>
      </c>
      <c r="G2115" s="55" t="s">
        <v>360</v>
      </c>
      <c r="H2115" s="55" t="s">
        <v>360</v>
      </c>
      <c r="I2115" s="55" t="s">
        <v>360</v>
      </c>
      <c r="J2115" s="55" t="s">
        <v>360</v>
      </c>
      <c r="K2115" s="55" t="s">
        <v>360</v>
      </c>
      <c r="L2115" s="55" t="s">
        <v>360</v>
      </c>
      <c r="M2115" s="55" t="s">
        <v>150</v>
      </c>
      <c r="N2115" s="55" t="s">
        <v>150</v>
      </c>
      <c r="O2115" s="55" t="s">
        <v>285</v>
      </c>
      <c r="P2115" s="55" t="s">
        <v>2738</v>
      </c>
      <c r="Q2115" s="55" t="s">
        <v>380</v>
      </c>
      <c r="R2115" s="55">
        <v>4</v>
      </c>
      <c r="S2115" s="74"/>
      <c r="T2115" s="55" t="s">
        <v>2238</v>
      </c>
      <c r="U2115" s="73" t="s">
        <v>351</v>
      </c>
      <c r="V2115" s="74">
        <v>44313</v>
      </c>
      <c r="W2115" s="74">
        <v>44357</v>
      </c>
      <c r="X2115" s="55">
        <v>10185971</v>
      </c>
      <c r="Y2115" s="55" t="s">
        <v>140</v>
      </c>
      <c r="AB2115" s="55" t="s">
        <v>140</v>
      </c>
      <c r="AC2115" s="55" t="s">
        <v>140</v>
      </c>
    </row>
    <row r="2116" spans="1:29" ht="13" x14ac:dyDescent="0.15">
      <c r="A2116" s="72" t="str">
        <f t="shared" si="32"/>
        <v>Ofsted Social Care Provider Webpage</v>
      </c>
      <c r="B2116" s="55" t="s">
        <v>3522</v>
      </c>
      <c r="D2116" s="55" t="s">
        <v>373</v>
      </c>
      <c r="E2116" s="74">
        <v>37673</v>
      </c>
      <c r="F2116" s="55" t="s">
        <v>344</v>
      </c>
      <c r="G2116" s="55" t="s">
        <v>360</v>
      </c>
      <c r="H2116" s="55" t="s">
        <v>360</v>
      </c>
      <c r="I2116" s="55" t="s">
        <v>360</v>
      </c>
      <c r="J2116" s="55" t="s">
        <v>360</v>
      </c>
      <c r="K2116" s="55" t="s">
        <v>360</v>
      </c>
      <c r="L2116" s="55" t="s">
        <v>360</v>
      </c>
      <c r="M2116" s="55" t="s">
        <v>150</v>
      </c>
      <c r="N2116" s="55" t="s">
        <v>150</v>
      </c>
      <c r="O2116" s="55" t="s">
        <v>285</v>
      </c>
      <c r="P2116" s="55" t="s">
        <v>1810</v>
      </c>
      <c r="Q2116" s="55" t="s">
        <v>380</v>
      </c>
      <c r="R2116" s="55">
        <v>16</v>
      </c>
      <c r="S2116" s="74"/>
      <c r="T2116" s="55" t="s">
        <v>2238</v>
      </c>
      <c r="U2116" s="73" t="s">
        <v>351</v>
      </c>
      <c r="V2116" s="74">
        <v>44300</v>
      </c>
      <c r="W2116" s="74">
        <v>44344</v>
      </c>
      <c r="X2116" s="55">
        <v>10186618</v>
      </c>
      <c r="Y2116" s="55" t="s">
        <v>140</v>
      </c>
      <c r="AB2116" s="55" t="s">
        <v>140</v>
      </c>
      <c r="AC2116" s="55" t="s">
        <v>140</v>
      </c>
    </row>
    <row r="2117" spans="1:29" ht="13" x14ac:dyDescent="0.15">
      <c r="A2117" s="72" t="str">
        <f t="shared" si="32"/>
        <v>Ofsted Social Care Provider Webpage</v>
      </c>
      <c r="B2117" s="55" t="s">
        <v>3523</v>
      </c>
      <c r="D2117" s="55" t="s">
        <v>373</v>
      </c>
      <c r="E2117" s="74">
        <v>37673</v>
      </c>
      <c r="F2117" s="55" t="s">
        <v>344</v>
      </c>
      <c r="G2117" s="55" t="s">
        <v>360</v>
      </c>
      <c r="H2117" s="55" t="s">
        <v>360</v>
      </c>
      <c r="I2117" s="55" t="s">
        <v>360</v>
      </c>
      <c r="J2117" s="55" t="s">
        <v>360</v>
      </c>
      <c r="K2117" s="55" t="s">
        <v>360</v>
      </c>
      <c r="L2117" s="55" t="s">
        <v>360</v>
      </c>
      <c r="M2117" s="55" t="s">
        <v>150</v>
      </c>
      <c r="N2117" s="55" t="s">
        <v>150</v>
      </c>
      <c r="O2117" s="55" t="s">
        <v>285</v>
      </c>
      <c r="P2117" s="55" t="s">
        <v>2738</v>
      </c>
      <c r="Q2117" s="55" t="s">
        <v>380</v>
      </c>
      <c r="R2117" s="55">
        <v>5</v>
      </c>
      <c r="S2117" s="74"/>
      <c r="T2117" s="55" t="s">
        <v>2238</v>
      </c>
      <c r="U2117" s="73" t="s">
        <v>351</v>
      </c>
      <c r="V2117" s="74">
        <v>44341</v>
      </c>
      <c r="W2117" s="74">
        <v>44406</v>
      </c>
      <c r="X2117" s="55">
        <v>10185016</v>
      </c>
      <c r="Y2117" s="55" t="s">
        <v>140</v>
      </c>
      <c r="AB2117" s="55" t="s">
        <v>132</v>
      </c>
      <c r="AC2117" s="55" t="s">
        <v>132</v>
      </c>
    </row>
    <row r="2118" spans="1:29" ht="13" x14ac:dyDescent="0.15">
      <c r="A2118" s="72" t="str">
        <f t="shared" ref="A2118:A2181" si="33">HYPERLINK(_xlfn.CONCAT("http://reports.ofsted.gov.uk/inspection-reports/find-inspection-report/provider/CARE/",B2118),"Ofsted Social Care Provider Webpage")</f>
        <v>Ofsted Social Care Provider Webpage</v>
      </c>
      <c r="B2118" s="55" t="s">
        <v>3524</v>
      </c>
      <c r="D2118" s="55" t="s">
        <v>373</v>
      </c>
      <c r="E2118" s="74">
        <v>37735</v>
      </c>
      <c r="F2118" s="55" t="s">
        <v>344</v>
      </c>
      <c r="G2118" s="55" t="s">
        <v>360</v>
      </c>
      <c r="H2118" s="55" t="s">
        <v>360</v>
      </c>
      <c r="I2118" s="55" t="s">
        <v>360</v>
      </c>
      <c r="J2118" s="55" t="s">
        <v>360</v>
      </c>
      <c r="K2118" s="55" t="s">
        <v>360</v>
      </c>
      <c r="L2118" s="55" t="s">
        <v>360</v>
      </c>
      <c r="M2118" s="55" t="s">
        <v>378</v>
      </c>
      <c r="N2118" s="55" t="s">
        <v>134</v>
      </c>
      <c r="O2118" s="55" t="s">
        <v>246</v>
      </c>
      <c r="P2118" s="55" t="s">
        <v>246</v>
      </c>
      <c r="Q2118" s="55" t="s">
        <v>380</v>
      </c>
      <c r="R2118" s="55">
        <v>9</v>
      </c>
      <c r="S2118" s="74" t="s">
        <v>332</v>
      </c>
      <c r="T2118" s="55" t="s">
        <v>1916</v>
      </c>
      <c r="U2118" s="73" t="s">
        <v>351</v>
      </c>
      <c r="V2118" s="74">
        <v>44433</v>
      </c>
      <c r="W2118" s="74">
        <v>44470</v>
      </c>
      <c r="X2118" s="55">
        <v>10186224</v>
      </c>
      <c r="Y2118" s="55" t="s">
        <v>140</v>
      </c>
      <c r="AB2118" s="55" t="s">
        <v>140</v>
      </c>
      <c r="AC2118" s="55" t="s">
        <v>132</v>
      </c>
    </row>
    <row r="2119" spans="1:29" ht="13" x14ac:dyDescent="0.15">
      <c r="A2119" s="72" t="str">
        <f t="shared" si="33"/>
        <v>Ofsted Social Care Provider Webpage</v>
      </c>
      <c r="B2119" s="55" t="s">
        <v>3525</v>
      </c>
      <c r="D2119" s="55" t="s">
        <v>389</v>
      </c>
      <c r="E2119" s="74">
        <v>38062</v>
      </c>
      <c r="F2119" s="55" t="s">
        <v>344</v>
      </c>
      <c r="G2119" s="55" t="s">
        <v>3526</v>
      </c>
      <c r="H2119" s="55" t="s">
        <v>3527</v>
      </c>
      <c r="I2119" s="55" t="s">
        <v>3528</v>
      </c>
      <c r="J2119" s="55" t="s">
        <v>178</v>
      </c>
      <c r="L2119" s="55" t="s">
        <v>3375</v>
      </c>
      <c r="M2119" s="55" t="s">
        <v>378</v>
      </c>
      <c r="N2119" s="55" t="s">
        <v>170</v>
      </c>
      <c r="O2119" s="55" t="s">
        <v>178</v>
      </c>
      <c r="P2119" s="55" t="s">
        <v>2014</v>
      </c>
      <c r="Q2119" s="55" t="s">
        <v>350</v>
      </c>
      <c r="R2119" s="55"/>
      <c r="S2119" s="74"/>
      <c r="T2119" s="55" t="s">
        <v>3529</v>
      </c>
      <c r="U2119" s="73" t="s">
        <v>351</v>
      </c>
      <c r="V2119" s="74">
        <v>43334</v>
      </c>
      <c r="W2119" s="74">
        <v>43378</v>
      </c>
      <c r="X2119" s="55">
        <v>10046660</v>
      </c>
      <c r="Y2119" s="55" t="s">
        <v>140</v>
      </c>
      <c r="AB2119" s="55" t="s">
        <v>132</v>
      </c>
      <c r="AC2119" s="55" t="s">
        <v>140</v>
      </c>
    </row>
    <row r="2120" spans="1:29" ht="13" x14ac:dyDescent="0.15">
      <c r="A2120" s="72" t="str">
        <f t="shared" si="33"/>
        <v>Ofsted Social Care Provider Webpage</v>
      </c>
      <c r="B2120" s="55" t="s">
        <v>3530</v>
      </c>
      <c r="D2120" s="55" t="s">
        <v>373</v>
      </c>
      <c r="E2120" s="74">
        <v>37900</v>
      </c>
      <c r="F2120" s="55" t="s">
        <v>344</v>
      </c>
      <c r="G2120" s="55" t="s">
        <v>360</v>
      </c>
      <c r="H2120" s="55" t="s">
        <v>360</v>
      </c>
      <c r="I2120" s="55" t="s">
        <v>360</v>
      </c>
      <c r="J2120" s="55" t="s">
        <v>360</v>
      </c>
      <c r="K2120" s="55" t="s">
        <v>360</v>
      </c>
      <c r="L2120" s="55" t="s">
        <v>360</v>
      </c>
      <c r="M2120" s="55" t="s">
        <v>150</v>
      </c>
      <c r="N2120" s="55" t="s">
        <v>150</v>
      </c>
      <c r="O2120" s="55" t="s">
        <v>240</v>
      </c>
      <c r="P2120" s="55" t="s">
        <v>1784</v>
      </c>
      <c r="Q2120" s="55" t="s">
        <v>380</v>
      </c>
      <c r="R2120" s="55">
        <v>6</v>
      </c>
      <c r="S2120" s="74" t="s">
        <v>332</v>
      </c>
      <c r="T2120" s="55" t="s">
        <v>788</v>
      </c>
      <c r="U2120" s="73" t="s">
        <v>351</v>
      </c>
      <c r="V2120" s="74">
        <v>44587</v>
      </c>
      <c r="W2120" s="74">
        <v>44648</v>
      </c>
      <c r="X2120" s="55">
        <v>10185243</v>
      </c>
      <c r="Y2120" s="55" t="s">
        <v>132</v>
      </c>
      <c r="AB2120" s="55" t="s">
        <v>132</v>
      </c>
      <c r="AC2120" s="55" t="s">
        <v>130</v>
      </c>
    </row>
    <row r="2121" spans="1:29" ht="13" x14ac:dyDescent="0.15">
      <c r="A2121" s="72" t="str">
        <f t="shared" si="33"/>
        <v>Ofsted Social Care Provider Webpage</v>
      </c>
      <c r="B2121" s="55" t="s">
        <v>3531</v>
      </c>
      <c r="D2121" s="55" t="s">
        <v>373</v>
      </c>
      <c r="E2121" s="74">
        <v>37575</v>
      </c>
      <c r="F2121" s="55" t="s">
        <v>344</v>
      </c>
      <c r="G2121" s="55" t="s">
        <v>360</v>
      </c>
      <c r="H2121" s="55" t="s">
        <v>360</v>
      </c>
      <c r="I2121" s="55" t="s">
        <v>360</v>
      </c>
      <c r="J2121" s="55" t="s">
        <v>360</v>
      </c>
      <c r="K2121" s="55" t="s">
        <v>360</v>
      </c>
      <c r="L2121" s="55" t="s">
        <v>360</v>
      </c>
      <c r="M2121" s="55" t="s">
        <v>136</v>
      </c>
      <c r="N2121" s="55" t="s">
        <v>136</v>
      </c>
      <c r="O2121" s="55" t="s">
        <v>288</v>
      </c>
      <c r="P2121" s="55" t="s">
        <v>1037</v>
      </c>
      <c r="Q2121" s="55" t="s">
        <v>350</v>
      </c>
      <c r="R2121" s="55">
        <v>4</v>
      </c>
      <c r="S2121" s="74"/>
      <c r="T2121" s="55" t="s">
        <v>832</v>
      </c>
      <c r="U2121" s="73" t="s">
        <v>351</v>
      </c>
      <c r="V2121" s="74">
        <v>44488</v>
      </c>
      <c r="W2121" s="74">
        <v>44525</v>
      </c>
      <c r="X2121" s="55">
        <v>10187195</v>
      </c>
      <c r="Y2121" s="55" t="s">
        <v>132</v>
      </c>
      <c r="AB2121" s="55" t="s">
        <v>132</v>
      </c>
      <c r="AC2121" s="55" t="s">
        <v>130</v>
      </c>
    </row>
    <row r="2122" spans="1:29" ht="13" x14ac:dyDescent="0.15">
      <c r="A2122" s="72" t="str">
        <f t="shared" si="33"/>
        <v>Ofsted Social Care Provider Webpage</v>
      </c>
      <c r="B2122" s="55" t="s">
        <v>3532</v>
      </c>
      <c r="D2122" s="55" t="s">
        <v>373</v>
      </c>
      <c r="E2122" s="74">
        <v>37683</v>
      </c>
      <c r="F2122" s="55" t="s">
        <v>344</v>
      </c>
      <c r="G2122" s="55" t="s">
        <v>360</v>
      </c>
      <c r="H2122" s="55" t="s">
        <v>360</v>
      </c>
      <c r="I2122" s="55" t="s">
        <v>360</v>
      </c>
      <c r="J2122" s="55" t="s">
        <v>360</v>
      </c>
      <c r="K2122" s="55" t="s">
        <v>360</v>
      </c>
      <c r="L2122" s="55" t="s">
        <v>360</v>
      </c>
      <c r="M2122" s="55" t="s">
        <v>144</v>
      </c>
      <c r="N2122" s="55" t="s">
        <v>144</v>
      </c>
      <c r="O2122" s="55" t="s">
        <v>207</v>
      </c>
      <c r="P2122" s="55" t="s">
        <v>207</v>
      </c>
      <c r="Q2122" s="55" t="s">
        <v>380</v>
      </c>
      <c r="R2122" s="55">
        <v>4</v>
      </c>
      <c r="S2122" s="74" t="s">
        <v>332</v>
      </c>
      <c r="T2122" s="55" t="s">
        <v>841</v>
      </c>
      <c r="U2122" s="73" t="s">
        <v>351</v>
      </c>
      <c r="V2122" s="74">
        <v>43872</v>
      </c>
      <c r="W2122" s="74">
        <v>43889</v>
      </c>
      <c r="X2122" s="55">
        <v>10095431</v>
      </c>
      <c r="Y2122" s="55" t="s">
        <v>130</v>
      </c>
      <c r="AB2122" s="55" t="s">
        <v>130</v>
      </c>
      <c r="AC2122" s="55" t="s">
        <v>146</v>
      </c>
    </row>
    <row r="2123" spans="1:29" ht="13" x14ac:dyDescent="0.15">
      <c r="A2123" s="72" t="str">
        <f t="shared" si="33"/>
        <v>Ofsted Social Care Provider Webpage</v>
      </c>
      <c r="B2123" s="55" t="s">
        <v>3533</v>
      </c>
      <c r="D2123" s="55" t="s">
        <v>373</v>
      </c>
      <c r="E2123" s="74">
        <v>37952</v>
      </c>
      <c r="F2123" s="55" t="s">
        <v>344</v>
      </c>
      <c r="G2123" s="55" t="s">
        <v>360</v>
      </c>
      <c r="H2123" s="55" t="s">
        <v>360</v>
      </c>
      <c r="I2123" s="55" t="s">
        <v>360</v>
      </c>
      <c r="J2123" s="55" t="s">
        <v>360</v>
      </c>
      <c r="K2123" s="55" t="s">
        <v>360</v>
      </c>
      <c r="L2123" s="55" t="s">
        <v>360</v>
      </c>
      <c r="M2123" s="55" t="s">
        <v>144</v>
      </c>
      <c r="N2123" s="55" t="s">
        <v>144</v>
      </c>
      <c r="O2123" s="55" t="s">
        <v>207</v>
      </c>
      <c r="P2123" s="55" t="s">
        <v>207</v>
      </c>
      <c r="Q2123" s="55" t="s">
        <v>380</v>
      </c>
      <c r="R2123" s="55">
        <v>3</v>
      </c>
      <c r="S2123" s="74"/>
      <c r="T2123" s="55" t="s">
        <v>841</v>
      </c>
      <c r="U2123" s="73" t="s">
        <v>351</v>
      </c>
      <c r="V2123" s="74">
        <v>44572</v>
      </c>
      <c r="W2123" s="74">
        <v>44607</v>
      </c>
      <c r="X2123" s="55">
        <v>10185232</v>
      </c>
      <c r="Y2123" s="55" t="s">
        <v>130</v>
      </c>
      <c r="AB2123" s="55" t="s">
        <v>130</v>
      </c>
      <c r="AC2123" s="55" t="s">
        <v>130</v>
      </c>
    </row>
    <row r="2124" spans="1:29" ht="13" x14ac:dyDescent="0.15">
      <c r="A2124" s="72" t="str">
        <f t="shared" si="33"/>
        <v>Ofsted Social Care Provider Webpage</v>
      </c>
      <c r="B2124" s="55" t="s">
        <v>3534</v>
      </c>
      <c r="D2124" s="55" t="s">
        <v>373</v>
      </c>
      <c r="E2124" s="74">
        <v>37656</v>
      </c>
      <c r="F2124" s="55" t="s">
        <v>344</v>
      </c>
      <c r="G2124" s="55" t="s">
        <v>360</v>
      </c>
      <c r="H2124" s="55" t="s">
        <v>360</v>
      </c>
      <c r="I2124" s="55" t="s">
        <v>360</v>
      </c>
      <c r="J2124" s="55" t="s">
        <v>360</v>
      </c>
      <c r="K2124" s="55" t="s">
        <v>360</v>
      </c>
      <c r="L2124" s="55" t="s">
        <v>360</v>
      </c>
      <c r="M2124" s="55" t="s">
        <v>144</v>
      </c>
      <c r="N2124" s="55" t="s">
        <v>144</v>
      </c>
      <c r="O2124" s="55" t="s">
        <v>207</v>
      </c>
      <c r="P2124" s="55" t="s">
        <v>207</v>
      </c>
      <c r="Q2124" s="55" t="s">
        <v>380</v>
      </c>
      <c r="R2124" s="55">
        <v>2</v>
      </c>
      <c r="S2124" s="74"/>
      <c r="T2124" s="55" t="s">
        <v>841</v>
      </c>
      <c r="U2124" s="73" t="s">
        <v>351</v>
      </c>
      <c r="V2124" s="74">
        <v>44566</v>
      </c>
      <c r="W2124" s="74">
        <v>44595</v>
      </c>
      <c r="X2124" s="55">
        <v>10186592</v>
      </c>
      <c r="Y2124" s="55" t="s">
        <v>132</v>
      </c>
      <c r="AB2124" s="55" t="s">
        <v>132</v>
      </c>
      <c r="AC2124" s="55" t="s">
        <v>132</v>
      </c>
    </row>
    <row r="2125" spans="1:29" ht="13" x14ac:dyDescent="0.15">
      <c r="A2125" s="72" t="str">
        <f t="shared" si="33"/>
        <v>Ofsted Social Care Provider Webpage</v>
      </c>
      <c r="B2125" s="55" t="s">
        <v>3535</v>
      </c>
      <c r="D2125" s="55" t="s">
        <v>373</v>
      </c>
      <c r="E2125" s="74">
        <v>37900</v>
      </c>
      <c r="F2125" s="55" t="s">
        <v>344</v>
      </c>
      <c r="G2125" s="55" t="s">
        <v>360</v>
      </c>
      <c r="H2125" s="55" t="s">
        <v>360</v>
      </c>
      <c r="I2125" s="55" t="s">
        <v>360</v>
      </c>
      <c r="J2125" s="55" t="s">
        <v>360</v>
      </c>
      <c r="K2125" s="55" t="s">
        <v>360</v>
      </c>
      <c r="L2125" s="55" t="s">
        <v>360</v>
      </c>
      <c r="M2125" s="55" t="s">
        <v>150</v>
      </c>
      <c r="N2125" s="55" t="s">
        <v>150</v>
      </c>
      <c r="O2125" s="55" t="s">
        <v>240</v>
      </c>
      <c r="P2125" s="55" t="s">
        <v>1784</v>
      </c>
      <c r="Q2125" s="55" t="s">
        <v>380</v>
      </c>
      <c r="R2125" s="55">
        <v>5</v>
      </c>
      <c r="S2125" s="74"/>
      <c r="T2125" s="55" t="s">
        <v>788</v>
      </c>
      <c r="U2125" s="73" t="s">
        <v>351</v>
      </c>
      <c r="V2125" s="74">
        <v>44313</v>
      </c>
      <c r="W2125" s="74">
        <v>44361</v>
      </c>
      <c r="X2125" s="55">
        <v>10187660</v>
      </c>
      <c r="Y2125" s="55" t="s">
        <v>132</v>
      </c>
      <c r="AB2125" s="55" t="s">
        <v>132</v>
      </c>
      <c r="AC2125" s="55" t="s">
        <v>132</v>
      </c>
    </row>
    <row r="2126" spans="1:29" ht="13" x14ac:dyDescent="0.15">
      <c r="A2126" s="72" t="str">
        <f t="shared" si="33"/>
        <v>Ofsted Social Care Provider Webpage</v>
      </c>
      <c r="B2126" s="55" t="s">
        <v>3536</v>
      </c>
      <c r="D2126" s="55" t="s">
        <v>389</v>
      </c>
      <c r="E2126" s="74">
        <v>37938</v>
      </c>
      <c r="F2126" s="55" t="s">
        <v>344</v>
      </c>
      <c r="G2126" s="55" t="s">
        <v>3537</v>
      </c>
      <c r="H2126" s="55" t="s">
        <v>3538</v>
      </c>
      <c r="I2126" s="55" t="s">
        <v>3539</v>
      </c>
      <c r="J2126" s="55" t="s">
        <v>3540</v>
      </c>
      <c r="L2126" s="55" t="s">
        <v>3541</v>
      </c>
      <c r="M2126" s="55" t="s">
        <v>144</v>
      </c>
      <c r="N2126" s="55" t="s">
        <v>144</v>
      </c>
      <c r="O2126" s="55" t="s">
        <v>209</v>
      </c>
      <c r="P2126" s="55" t="s">
        <v>555</v>
      </c>
      <c r="Q2126" s="55" t="s">
        <v>362</v>
      </c>
      <c r="R2126" s="55"/>
      <c r="S2126" s="74"/>
      <c r="T2126" s="55" t="s">
        <v>3542</v>
      </c>
      <c r="U2126" s="73" t="s">
        <v>351</v>
      </c>
      <c r="V2126" s="74">
        <v>43242</v>
      </c>
      <c r="W2126" s="74">
        <v>43277</v>
      </c>
      <c r="X2126" s="55">
        <v>10054820</v>
      </c>
      <c r="Y2126" s="55" t="s">
        <v>140</v>
      </c>
      <c r="AB2126" s="55" t="s">
        <v>132</v>
      </c>
      <c r="AC2126" s="55" t="s">
        <v>140</v>
      </c>
    </row>
    <row r="2127" spans="1:29" ht="13" x14ac:dyDescent="0.15">
      <c r="A2127" s="72" t="str">
        <f t="shared" si="33"/>
        <v>Ofsted Social Care Provider Webpage</v>
      </c>
      <c r="B2127" s="55" t="s">
        <v>3543</v>
      </c>
      <c r="D2127" s="55" t="s">
        <v>373</v>
      </c>
      <c r="E2127" s="74">
        <v>37869</v>
      </c>
      <c r="F2127" s="55" t="s">
        <v>344</v>
      </c>
      <c r="G2127" s="55" t="s">
        <v>360</v>
      </c>
      <c r="H2127" s="55" t="s">
        <v>360</v>
      </c>
      <c r="I2127" s="55" t="s">
        <v>360</v>
      </c>
      <c r="J2127" s="55" t="s">
        <v>360</v>
      </c>
      <c r="K2127" s="55" t="s">
        <v>360</v>
      </c>
      <c r="L2127" s="55" t="s">
        <v>360</v>
      </c>
      <c r="M2127" s="55" t="s">
        <v>378</v>
      </c>
      <c r="N2127" s="55" t="s">
        <v>170</v>
      </c>
      <c r="O2127" s="55" t="s">
        <v>169</v>
      </c>
      <c r="P2127" s="55" t="s">
        <v>169</v>
      </c>
      <c r="Q2127" s="55" t="s">
        <v>380</v>
      </c>
      <c r="R2127" s="55">
        <v>3</v>
      </c>
      <c r="S2127" s="74"/>
      <c r="T2127" s="55" t="s">
        <v>3544</v>
      </c>
      <c r="U2127" s="73" t="s">
        <v>351</v>
      </c>
      <c r="V2127" s="74">
        <v>44362</v>
      </c>
      <c r="W2127" s="74">
        <v>44407</v>
      </c>
      <c r="X2127" s="55">
        <v>10185650</v>
      </c>
      <c r="Y2127" s="55" t="s">
        <v>130</v>
      </c>
      <c r="AB2127" s="55" t="s">
        <v>130</v>
      </c>
      <c r="AC2127" s="55" t="s">
        <v>132</v>
      </c>
    </row>
    <row r="2128" spans="1:29" ht="13" x14ac:dyDescent="0.15">
      <c r="A2128" s="72" t="str">
        <f t="shared" si="33"/>
        <v>Ofsted Social Care Provider Webpage</v>
      </c>
      <c r="B2128" s="55" t="s">
        <v>3545</v>
      </c>
      <c r="D2128" s="55" t="s">
        <v>373</v>
      </c>
      <c r="E2128" s="74">
        <v>37964</v>
      </c>
      <c r="F2128" s="55" t="s">
        <v>344</v>
      </c>
      <c r="G2128" s="55" t="s">
        <v>360</v>
      </c>
      <c r="H2128" s="55" t="s">
        <v>360</v>
      </c>
      <c r="I2128" s="55" t="s">
        <v>360</v>
      </c>
      <c r="J2128" s="55" t="s">
        <v>360</v>
      </c>
      <c r="K2128" s="55" t="s">
        <v>360</v>
      </c>
      <c r="L2128" s="55" t="s">
        <v>360</v>
      </c>
      <c r="M2128" s="55" t="s">
        <v>150</v>
      </c>
      <c r="N2128" s="55" t="s">
        <v>150</v>
      </c>
      <c r="O2128" s="55" t="s">
        <v>190</v>
      </c>
      <c r="P2128" s="55" t="s">
        <v>936</v>
      </c>
      <c r="Q2128" s="55" t="s">
        <v>380</v>
      </c>
      <c r="R2128" s="55">
        <v>4</v>
      </c>
      <c r="S2128" s="74"/>
      <c r="T2128" s="55" t="s">
        <v>967</v>
      </c>
      <c r="U2128" s="73" t="s">
        <v>351</v>
      </c>
      <c r="V2128" s="74">
        <v>44383</v>
      </c>
      <c r="W2128" s="74">
        <v>44448</v>
      </c>
      <c r="X2128" s="55">
        <v>10185556</v>
      </c>
      <c r="Y2128" s="55" t="s">
        <v>130</v>
      </c>
      <c r="AB2128" s="55" t="s">
        <v>130</v>
      </c>
      <c r="AC2128" s="55" t="s">
        <v>130</v>
      </c>
    </row>
    <row r="2129" spans="1:29" ht="13" x14ac:dyDescent="0.15">
      <c r="A2129" s="72" t="str">
        <f t="shared" si="33"/>
        <v>Ofsted Social Care Provider Webpage</v>
      </c>
      <c r="B2129" s="55" t="s">
        <v>3546</v>
      </c>
      <c r="D2129" s="55" t="s">
        <v>373</v>
      </c>
      <c r="E2129" s="74">
        <v>37869</v>
      </c>
      <c r="F2129" s="55" t="s">
        <v>344</v>
      </c>
      <c r="G2129" s="55" t="s">
        <v>360</v>
      </c>
      <c r="H2129" s="55" t="s">
        <v>360</v>
      </c>
      <c r="I2129" s="55" t="s">
        <v>360</v>
      </c>
      <c r="J2129" s="55" t="s">
        <v>360</v>
      </c>
      <c r="K2129" s="55" t="s">
        <v>360</v>
      </c>
      <c r="L2129" s="55" t="s">
        <v>360</v>
      </c>
      <c r="M2129" s="55" t="s">
        <v>378</v>
      </c>
      <c r="N2129" s="55" t="s">
        <v>170</v>
      </c>
      <c r="O2129" s="55" t="s">
        <v>169</v>
      </c>
      <c r="P2129" s="55" t="s">
        <v>169</v>
      </c>
      <c r="Q2129" s="55" t="s">
        <v>380</v>
      </c>
      <c r="R2129" s="55">
        <v>3</v>
      </c>
      <c r="S2129" s="74"/>
      <c r="T2129" s="55" t="s">
        <v>3544</v>
      </c>
      <c r="U2129" s="73" t="s">
        <v>351</v>
      </c>
      <c r="V2129" s="74">
        <v>44621</v>
      </c>
      <c r="W2129" s="74">
        <v>44663</v>
      </c>
      <c r="X2129" s="55">
        <v>10185618</v>
      </c>
      <c r="Y2129" s="55" t="s">
        <v>132</v>
      </c>
      <c r="AB2129" s="55" t="s">
        <v>132</v>
      </c>
      <c r="AC2129" s="55" t="s">
        <v>132</v>
      </c>
    </row>
    <row r="2130" spans="1:29" ht="13" x14ac:dyDescent="0.15">
      <c r="A2130" s="72" t="str">
        <f t="shared" si="33"/>
        <v>Ofsted Social Care Provider Webpage</v>
      </c>
      <c r="B2130" s="55" t="s">
        <v>3547</v>
      </c>
      <c r="D2130" s="55" t="s">
        <v>373</v>
      </c>
      <c r="E2130" s="74">
        <v>37964</v>
      </c>
      <c r="F2130" s="55" t="s">
        <v>344</v>
      </c>
      <c r="G2130" s="55" t="s">
        <v>360</v>
      </c>
      <c r="H2130" s="55" t="s">
        <v>360</v>
      </c>
      <c r="I2130" s="55" t="s">
        <v>360</v>
      </c>
      <c r="J2130" s="55" t="s">
        <v>360</v>
      </c>
      <c r="K2130" s="55" t="s">
        <v>360</v>
      </c>
      <c r="L2130" s="55" t="s">
        <v>360</v>
      </c>
      <c r="M2130" s="55" t="s">
        <v>150</v>
      </c>
      <c r="N2130" s="55" t="s">
        <v>150</v>
      </c>
      <c r="O2130" s="55" t="s">
        <v>149</v>
      </c>
      <c r="P2130" s="55" t="s">
        <v>3548</v>
      </c>
      <c r="Q2130" s="55" t="s">
        <v>380</v>
      </c>
      <c r="R2130" s="55">
        <v>5</v>
      </c>
      <c r="S2130" s="74" t="s">
        <v>332</v>
      </c>
      <c r="T2130" s="55" t="s">
        <v>3549</v>
      </c>
      <c r="U2130" s="73" t="s">
        <v>351</v>
      </c>
      <c r="V2130" s="74">
        <v>43738</v>
      </c>
      <c r="W2130" s="74">
        <v>43760</v>
      </c>
      <c r="X2130" s="55">
        <v>10095629</v>
      </c>
      <c r="Y2130" s="55" t="s">
        <v>140</v>
      </c>
      <c r="AB2130" s="55" t="s">
        <v>132</v>
      </c>
      <c r="AC2130" s="55" t="s">
        <v>140</v>
      </c>
    </row>
    <row r="2131" spans="1:29" ht="13" x14ac:dyDescent="0.15">
      <c r="A2131" s="72" t="str">
        <f t="shared" si="33"/>
        <v>Ofsted Social Care Provider Webpage</v>
      </c>
      <c r="B2131" s="55" t="s">
        <v>3550</v>
      </c>
      <c r="D2131" s="55" t="s">
        <v>389</v>
      </c>
      <c r="E2131" s="74">
        <v>37984</v>
      </c>
      <c r="F2131" s="55" t="s">
        <v>344</v>
      </c>
      <c r="G2131" s="55" t="s">
        <v>3551</v>
      </c>
      <c r="H2131" s="55" t="s">
        <v>3175</v>
      </c>
      <c r="I2131" s="55" t="s">
        <v>3552</v>
      </c>
      <c r="J2131" s="55" t="s">
        <v>3553</v>
      </c>
      <c r="L2131" s="55" t="s">
        <v>3554</v>
      </c>
      <c r="M2131" s="55" t="s">
        <v>136</v>
      </c>
      <c r="N2131" s="55" t="s">
        <v>136</v>
      </c>
      <c r="O2131" s="55" t="s">
        <v>174</v>
      </c>
      <c r="P2131" s="55" t="s">
        <v>3555</v>
      </c>
      <c r="Q2131" s="55" t="s">
        <v>350</v>
      </c>
      <c r="R2131" s="55"/>
      <c r="S2131" s="74"/>
      <c r="T2131" s="55" t="s">
        <v>3529</v>
      </c>
      <c r="U2131" s="73" t="s">
        <v>351</v>
      </c>
      <c r="V2131" s="74">
        <v>43675</v>
      </c>
      <c r="W2131" s="74">
        <v>43700</v>
      </c>
      <c r="X2131" s="55">
        <v>10093249</v>
      </c>
      <c r="Y2131" s="55" t="s">
        <v>132</v>
      </c>
      <c r="AB2131" s="55" t="s">
        <v>130</v>
      </c>
      <c r="AC2131" s="55" t="s">
        <v>130</v>
      </c>
    </row>
    <row r="2132" spans="1:29" ht="13" x14ac:dyDescent="0.15">
      <c r="A2132" s="72" t="str">
        <f t="shared" si="33"/>
        <v>Ofsted Social Care Provider Webpage</v>
      </c>
      <c r="B2132" s="55" t="s">
        <v>3556</v>
      </c>
      <c r="D2132" s="55" t="s">
        <v>389</v>
      </c>
      <c r="E2132" s="74">
        <v>37802</v>
      </c>
      <c r="F2132" s="55" t="s">
        <v>344</v>
      </c>
      <c r="G2132" s="55" t="s">
        <v>770</v>
      </c>
      <c r="H2132" s="55" t="s">
        <v>3557</v>
      </c>
      <c r="I2132" s="55" t="s">
        <v>3558</v>
      </c>
      <c r="J2132" s="55" t="s">
        <v>3559</v>
      </c>
      <c r="L2132" s="55" t="s">
        <v>3560</v>
      </c>
      <c r="M2132" s="55" t="s">
        <v>150</v>
      </c>
      <c r="N2132" s="55" t="s">
        <v>150</v>
      </c>
      <c r="O2132" s="55" t="s">
        <v>203</v>
      </c>
      <c r="P2132" s="55" t="s">
        <v>3559</v>
      </c>
      <c r="Q2132" s="55" t="s">
        <v>350</v>
      </c>
      <c r="R2132" s="55"/>
      <c r="S2132" s="74"/>
      <c r="T2132" s="55" t="s">
        <v>775</v>
      </c>
      <c r="U2132" s="73" t="s">
        <v>351</v>
      </c>
      <c r="V2132" s="74">
        <v>44543</v>
      </c>
      <c r="W2132" s="74">
        <v>44592</v>
      </c>
      <c r="X2132" s="55">
        <v>10183404</v>
      </c>
      <c r="Y2132" s="55" t="s">
        <v>132</v>
      </c>
      <c r="AB2132" s="55" t="s">
        <v>132</v>
      </c>
      <c r="AC2132" s="55" t="s">
        <v>132</v>
      </c>
    </row>
    <row r="2133" spans="1:29" ht="13" x14ac:dyDescent="0.15">
      <c r="A2133" s="72" t="str">
        <f t="shared" si="33"/>
        <v>Ofsted Social Care Provider Webpage</v>
      </c>
      <c r="B2133" s="55" t="s">
        <v>3561</v>
      </c>
      <c r="D2133" s="55" t="s">
        <v>373</v>
      </c>
      <c r="E2133" s="74">
        <v>37869</v>
      </c>
      <c r="F2133" s="55" t="s">
        <v>344</v>
      </c>
      <c r="G2133" s="55" t="s">
        <v>360</v>
      </c>
      <c r="H2133" s="55" t="s">
        <v>360</v>
      </c>
      <c r="I2133" s="55" t="s">
        <v>360</v>
      </c>
      <c r="J2133" s="55" t="s">
        <v>360</v>
      </c>
      <c r="K2133" s="55" t="s">
        <v>360</v>
      </c>
      <c r="L2133" s="55" t="s">
        <v>360</v>
      </c>
      <c r="M2133" s="55" t="s">
        <v>378</v>
      </c>
      <c r="N2133" s="55" t="s">
        <v>170</v>
      </c>
      <c r="O2133" s="55" t="s">
        <v>169</v>
      </c>
      <c r="P2133" s="55" t="s">
        <v>169</v>
      </c>
      <c r="Q2133" s="55" t="s">
        <v>380</v>
      </c>
      <c r="R2133" s="55">
        <v>5</v>
      </c>
      <c r="S2133" s="74" t="s">
        <v>332</v>
      </c>
      <c r="T2133" s="55" t="s">
        <v>3544</v>
      </c>
      <c r="U2133" s="73" t="s">
        <v>351</v>
      </c>
      <c r="V2133" s="74">
        <v>43844</v>
      </c>
      <c r="W2133" s="74">
        <v>43867</v>
      </c>
      <c r="X2133" s="55">
        <v>10095548</v>
      </c>
      <c r="Y2133" s="55" t="s">
        <v>132</v>
      </c>
      <c r="AB2133" s="55" t="s">
        <v>130</v>
      </c>
      <c r="AC2133" s="55" t="s">
        <v>132</v>
      </c>
    </row>
    <row r="2134" spans="1:29" ht="13" x14ac:dyDescent="0.15">
      <c r="A2134" s="72" t="str">
        <f t="shared" si="33"/>
        <v>Ofsted Social Care Provider Webpage</v>
      </c>
      <c r="B2134" s="55" t="s">
        <v>3562</v>
      </c>
      <c r="D2134" s="55" t="s">
        <v>389</v>
      </c>
      <c r="E2134" s="74">
        <v>38002</v>
      </c>
      <c r="F2134" s="55" t="s">
        <v>344</v>
      </c>
      <c r="G2134" s="55" t="s">
        <v>3563</v>
      </c>
      <c r="H2134" s="55" t="s">
        <v>3564</v>
      </c>
      <c r="I2134" s="55" t="s">
        <v>3565</v>
      </c>
      <c r="J2134" s="55" t="s">
        <v>251</v>
      </c>
      <c r="L2134" s="55" t="s">
        <v>3566</v>
      </c>
      <c r="M2134" s="55" t="s">
        <v>378</v>
      </c>
      <c r="N2134" s="55" t="s">
        <v>134</v>
      </c>
      <c r="O2134" s="55" t="s">
        <v>251</v>
      </c>
      <c r="P2134" s="55" t="s">
        <v>3363</v>
      </c>
      <c r="Q2134" s="55" t="s">
        <v>350</v>
      </c>
      <c r="R2134" s="55"/>
      <c r="S2134" s="74"/>
      <c r="T2134" s="55" t="s">
        <v>3529</v>
      </c>
      <c r="U2134" s="73" t="s">
        <v>351</v>
      </c>
      <c r="V2134" s="74">
        <v>43486</v>
      </c>
      <c r="W2134" s="74">
        <v>43515</v>
      </c>
      <c r="X2134" s="55">
        <v>10082576</v>
      </c>
      <c r="Y2134" s="55" t="s">
        <v>140</v>
      </c>
      <c r="AB2134" s="55" t="s">
        <v>140</v>
      </c>
      <c r="AC2134" s="55" t="s">
        <v>140</v>
      </c>
    </row>
    <row r="2135" spans="1:29" ht="13" x14ac:dyDescent="0.15">
      <c r="A2135" s="72" t="str">
        <f t="shared" si="33"/>
        <v>Ofsted Social Care Provider Webpage</v>
      </c>
      <c r="B2135" s="55" t="s">
        <v>3567</v>
      </c>
      <c r="D2135" s="55" t="s">
        <v>479</v>
      </c>
      <c r="E2135" s="74">
        <v>37795</v>
      </c>
      <c r="F2135" s="55" t="s">
        <v>344</v>
      </c>
      <c r="G2135" s="55" t="s">
        <v>360</v>
      </c>
      <c r="H2135" s="55" t="s">
        <v>360</v>
      </c>
      <c r="I2135" s="55" t="s">
        <v>360</v>
      </c>
      <c r="J2135" s="55" t="s">
        <v>360</v>
      </c>
      <c r="K2135" s="55" t="s">
        <v>360</v>
      </c>
      <c r="L2135" s="55" t="s">
        <v>360</v>
      </c>
      <c r="M2135" s="55" t="s">
        <v>144</v>
      </c>
      <c r="N2135" s="55" t="s">
        <v>144</v>
      </c>
      <c r="O2135" s="55" t="s">
        <v>168</v>
      </c>
      <c r="P2135" s="55" t="s">
        <v>834</v>
      </c>
      <c r="Q2135" s="55" t="s">
        <v>350</v>
      </c>
      <c r="R2135" s="55">
        <v>48</v>
      </c>
      <c r="S2135" s="74"/>
      <c r="T2135" s="55" t="s">
        <v>3568</v>
      </c>
      <c r="U2135" s="73" t="s">
        <v>351</v>
      </c>
      <c r="V2135" s="74">
        <v>44328</v>
      </c>
      <c r="W2135" s="74">
        <v>44363</v>
      </c>
      <c r="X2135" s="55">
        <v>10187438</v>
      </c>
      <c r="Y2135" s="55" t="s">
        <v>132</v>
      </c>
      <c r="AB2135" s="55" t="s">
        <v>132</v>
      </c>
      <c r="AC2135" s="55" t="s">
        <v>132</v>
      </c>
    </row>
    <row r="2136" spans="1:29" ht="13" x14ac:dyDescent="0.15">
      <c r="A2136" s="72" t="str">
        <f t="shared" si="33"/>
        <v>Ofsted Social Care Provider Webpage</v>
      </c>
      <c r="B2136" s="55" t="s">
        <v>3569</v>
      </c>
      <c r="C2136" s="55">
        <v>121256</v>
      </c>
      <c r="D2136" s="55" t="s">
        <v>413</v>
      </c>
      <c r="E2136" s="74">
        <v>37523</v>
      </c>
      <c r="F2136" s="55" t="s">
        <v>344</v>
      </c>
      <c r="G2136" s="55" t="s">
        <v>3570</v>
      </c>
      <c r="H2136" s="55" t="s">
        <v>3570</v>
      </c>
      <c r="I2136" s="55" t="s">
        <v>3571</v>
      </c>
      <c r="J2136" s="55" t="s">
        <v>3572</v>
      </c>
      <c r="K2136" s="55" t="s">
        <v>224</v>
      </c>
      <c r="L2136" s="55" t="s">
        <v>3573</v>
      </c>
      <c r="M2136" s="55" t="s">
        <v>138</v>
      </c>
      <c r="N2136" s="55" t="s">
        <v>138</v>
      </c>
      <c r="O2136" s="55" t="s">
        <v>224</v>
      </c>
      <c r="P2136" s="55" t="s">
        <v>1294</v>
      </c>
      <c r="Q2136" s="55" t="s">
        <v>380</v>
      </c>
      <c r="R2136" s="55">
        <v>28</v>
      </c>
      <c r="S2136" s="74"/>
      <c r="T2136" s="55" t="s">
        <v>2272</v>
      </c>
      <c r="U2136" s="73" t="s">
        <v>351</v>
      </c>
      <c r="V2136" s="74">
        <v>44376</v>
      </c>
      <c r="W2136" s="74">
        <v>44419</v>
      </c>
      <c r="X2136" s="55">
        <v>10183495</v>
      </c>
      <c r="Y2136" s="55" t="s">
        <v>132</v>
      </c>
      <c r="AB2136" s="55" t="s">
        <v>132</v>
      </c>
      <c r="AC2136" s="55" t="s">
        <v>132</v>
      </c>
    </row>
    <row r="2137" spans="1:29" ht="13" x14ac:dyDescent="0.15">
      <c r="A2137" s="72" t="str">
        <f t="shared" si="33"/>
        <v>Ofsted Social Care Provider Webpage</v>
      </c>
      <c r="B2137" s="55" t="s">
        <v>3574</v>
      </c>
      <c r="C2137" s="55">
        <v>139099</v>
      </c>
      <c r="D2137" s="55" t="s">
        <v>413</v>
      </c>
      <c r="E2137" s="74">
        <v>37525</v>
      </c>
      <c r="F2137" s="55" t="s">
        <v>344</v>
      </c>
      <c r="G2137" s="55" t="s">
        <v>3575</v>
      </c>
      <c r="H2137" s="55" t="s">
        <v>3576</v>
      </c>
      <c r="I2137" s="55" t="s">
        <v>3577</v>
      </c>
      <c r="J2137" s="55" t="s">
        <v>3578</v>
      </c>
      <c r="L2137" s="55" t="s">
        <v>3579</v>
      </c>
      <c r="M2137" s="55" t="s">
        <v>138</v>
      </c>
      <c r="N2137" s="55" t="s">
        <v>138</v>
      </c>
      <c r="O2137" s="55" t="s">
        <v>224</v>
      </c>
      <c r="P2137" s="55" t="s">
        <v>1530</v>
      </c>
      <c r="Q2137" s="55" t="s">
        <v>420</v>
      </c>
      <c r="R2137" s="55">
        <v>31</v>
      </c>
      <c r="S2137" s="74"/>
      <c r="T2137" s="55" t="s">
        <v>3580</v>
      </c>
      <c r="U2137" s="73" t="s">
        <v>351</v>
      </c>
      <c r="V2137" s="74">
        <v>44621</v>
      </c>
      <c r="W2137" s="74">
        <v>44655</v>
      </c>
      <c r="X2137" s="55">
        <v>10183493</v>
      </c>
      <c r="Y2137" s="55" t="s">
        <v>140</v>
      </c>
      <c r="AB2137" s="55" t="s">
        <v>132</v>
      </c>
      <c r="AC2137" s="55" t="s">
        <v>140</v>
      </c>
    </row>
    <row r="2138" spans="1:29" ht="13" x14ac:dyDescent="0.15">
      <c r="A2138" s="72" t="str">
        <f t="shared" si="33"/>
        <v>Ofsted Social Care Provider Webpage</v>
      </c>
      <c r="B2138" s="55" t="s">
        <v>3581</v>
      </c>
      <c r="D2138" s="55" t="s">
        <v>479</v>
      </c>
      <c r="E2138" s="74">
        <v>37895</v>
      </c>
      <c r="F2138" s="55" t="s">
        <v>344</v>
      </c>
      <c r="G2138" s="55" t="s">
        <v>360</v>
      </c>
      <c r="H2138" s="55" t="s">
        <v>360</v>
      </c>
      <c r="I2138" s="55" t="s">
        <v>360</v>
      </c>
      <c r="J2138" s="55" t="s">
        <v>360</v>
      </c>
      <c r="K2138" s="55" t="s">
        <v>360</v>
      </c>
      <c r="L2138" s="55" t="s">
        <v>360</v>
      </c>
      <c r="M2138" s="55" t="s">
        <v>142</v>
      </c>
      <c r="N2138" s="55" t="s">
        <v>142</v>
      </c>
      <c r="O2138" s="55" t="s">
        <v>293</v>
      </c>
      <c r="P2138" s="55" t="s">
        <v>1641</v>
      </c>
      <c r="Q2138" s="55" t="s">
        <v>362</v>
      </c>
      <c r="R2138" s="55">
        <v>61</v>
      </c>
      <c r="S2138" s="74"/>
      <c r="T2138" s="55" t="s">
        <v>3582</v>
      </c>
      <c r="U2138" s="73" t="s">
        <v>351</v>
      </c>
      <c r="V2138" s="74">
        <v>44328</v>
      </c>
      <c r="W2138" s="74">
        <v>44371</v>
      </c>
      <c r="X2138" s="55">
        <v>10187079</v>
      </c>
      <c r="Y2138" s="55" t="s">
        <v>132</v>
      </c>
      <c r="AB2138" s="55" t="s">
        <v>132</v>
      </c>
      <c r="AC2138" s="55" t="s">
        <v>132</v>
      </c>
    </row>
    <row r="2139" spans="1:29" ht="13" x14ac:dyDescent="0.15">
      <c r="A2139" s="72" t="str">
        <f t="shared" si="33"/>
        <v>Ofsted Social Care Provider Webpage</v>
      </c>
      <c r="B2139" s="55" t="s">
        <v>3583</v>
      </c>
      <c r="D2139" s="55" t="s">
        <v>373</v>
      </c>
      <c r="E2139" s="74">
        <v>37733</v>
      </c>
      <c r="F2139" s="55" t="s">
        <v>344</v>
      </c>
      <c r="G2139" s="55" t="s">
        <v>360</v>
      </c>
      <c r="H2139" s="55" t="s">
        <v>360</v>
      </c>
      <c r="I2139" s="55" t="s">
        <v>360</v>
      </c>
      <c r="J2139" s="55" t="s">
        <v>360</v>
      </c>
      <c r="K2139" s="55" t="s">
        <v>360</v>
      </c>
      <c r="L2139" s="55" t="s">
        <v>360</v>
      </c>
      <c r="M2139" s="55" t="s">
        <v>142</v>
      </c>
      <c r="N2139" s="55" t="s">
        <v>142</v>
      </c>
      <c r="O2139" s="55" t="s">
        <v>177</v>
      </c>
      <c r="P2139" s="55" t="s">
        <v>835</v>
      </c>
      <c r="Q2139" s="55" t="s">
        <v>380</v>
      </c>
      <c r="R2139" s="55">
        <v>4</v>
      </c>
      <c r="S2139" s="74"/>
      <c r="T2139" s="55" t="s">
        <v>3584</v>
      </c>
      <c r="U2139" s="73" t="s">
        <v>351</v>
      </c>
      <c r="V2139" s="74">
        <v>44495</v>
      </c>
      <c r="W2139" s="74">
        <v>44530</v>
      </c>
      <c r="X2139" s="55">
        <v>10187021</v>
      </c>
      <c r="Y2139" s="55" t="s">
        <v>130</v>
      </c>
      <c r="AB2139" s="55" t="s">
        <v>130</v>
      </c>
      <c r="AC2139" s="55" t="s">
        <v>130</v>
      </c>
    </row>
    <row r="2140" spans="1:29" ht="13" x14ac:dyDescent="0.15">
      <c r="A2140" s="72" t="str">
        <f t="shared" si="33"/>
        <v>Ofsted Social Care Provider Webpage</v>
      </c>
      <c r="B2140" s="55" t="s">
        <v>3585</v>
      </c>
      <c r="D2140" s="55" t="s">
        <v>373</v>
      </c>
      <c r="E2140" s="74">
        <v>37573</v>
      </c>
      <c r="F2140" s="55" t="s">
        <v>344</v>
      </c>
      <c r="G2140" s="55" t="s">
        <v>360</v>
      </c>
      <c r="H2140" s="55" t="s">
        <v>360</v>
      </c>
      <c r="I2140" s="55" t="s">
        <v>360</v>
      </c>
      <c r="J2140" s="55" t="s">
        <v>360</v>
      </c>
      <c r="K2140" s="55" t="s">
        <v>360</v>
      </c>
      <c r="L2140" s="55" t="s">
        <v>360</v>
      </c>
      <c r="M2140" s="55" t="s">
        <v>150</v>
      </c>
      <c r="N2140" s="55" t="s">
        <v>150</v>
      </c>
      <c r="O2140" s="55" t="s">
        <v>285</v>
      </c>
      <c r="P2140" s="55" t="s">
        <v>2738</v>
      </c>
      <c r="Q2140" s="55" t="s">
        <v>350</v>
      </c>
      <c r="R2140" s="55">
        <v>5</v>
      </c>
      <c r="S2140" s="74"/>
      <c r="T2140" s="55" t="s">
        <v>3586</v>
      </c>
      <c r="U2140" s="73" t="s">
        <v>351</v>
      </c>
      <c r="V2140" s="74">
        <v>44503</v>
      </c>
      <c r="W2140" s="74">
        <v>44550</v>
      </c>
      <c r="X2140" s="55">
        <v>10208980</v>
      </c>
      <c r="Y2140" s="55" t="s">
        <v>132</v>
      </c>
      <c r="AB2140" s="55" t="s">
        <v>132</v>
      </c>
      <c r="AC2140" s="55" t="s">
        <v>130</v>
      </c>
    </row>
    <row r="2141" spans="1:29" ht="13" x14ac:dyDescent="0.15">
      <c r="A2141" s="72" t="str">
        <f t="shared" si="33"/>
        <v>Ofsted Social Care Provider Webpage</v>
      </c>
      <c r="B2141" s="55" t="s">
        <v>3587</v>
      </c>
      <c r="D2141" s="55" t="s">
        <v>373</v>
      </c>
      <c r="E2141" s="74">
        <v>37631</v>
      </c>
      <c r="F2141" s="55" t="s">
        <v>344</v>
      </c>
      <c r="G2141" s="55" t="s">
        <v>360</v>
      </c>
      <c r="H2141" s="55" t="s">
        <v>360</v>
      </c>
      <c r="I2141" s="55" t="s">
        <v>360</v>
      </c>
      <c r="J2141" s="55" t="s">
        <v>360</v>
      </c>
      <c r="K2141" s="55" t="s">
        <v>360</v>
      </c>
      <c r="L2141" s="55" t="s">
        <v>360</v>
      </c>
      <c r="M2141" s="55" t="s">
        <v>142</v>
      </c>
      <c r="N2141" s="55" t="s">
        <v>142</v>
      </c>
      <c r="O2141" s="55" t="s">
        <v>278</v>
      </c>
      <c r="P2141" s="55" t="s">
        <v>611</v>
      </c>
      <c r="Q2141" s="55" t="s">
        <v>350</v>
      </c>
      <c r="R2141" s="55">
        <v>9</v>
      </c>
      <c r="S2141" s="74"/>
      <c r="T2141" s="55" t="s">
        <v>1164</v>
      </c>
      <c r="U2141" s="73" t="s">
        <v>351</v>
      </c>
      <c r="V2141" s="74">
        <v>44621</v>
      </c>
      <c r="W2141" s="74">
        <v>44662</v>
      </c>
      <c r="X2141" s="55">
        <v>10186546</v>
      </c>
      <c r="Y2141" s="55" t="s">
        <v>130</v>
      </c>
      <c r="AB2141" s="55" t="s">
        <v>130</v>
      </c>
      <c r="AC2141" s="55" t="s">
        <v>130</v>
      </c>
    </row>
    <row r="2142" spans="1:29" ht="13" x14ac:dyDescent="0.15">
      <c r="A2142" s="72" t="str">
        <f t="shared" si="33"/>
        <v>Ofsted Social Care Provider Webpage</v>
      </c>
      <c r="B2142" s="55" t="s">
        <v>3588</v>
      </c>
      <c r="D2142" s="55" t="s">
        <v>389</v>
      </c>
      <c r="E2142" s="74">
        <v>37971</v>
      </c>
      <c r="F2142" s="55" t="s">
        <v>344</v>
      </c>
      <c r="G2142" s="55" t="s">
        <v>3589</v>
      </c>
      <c r="H2142" s="55" t="s">
        <v>3590</v>
      </c>
      <c r="I2142" s="55" t="s">
        <v>3591</v>
      </c>
      <c r="J2142" s="55" t="s">
        <v>3430</v>
      </c>
      <c r="K2142" s="55" t="s">
        <v>203</v>
      </c>
      <c r="L2142" s="55" t="s">
        <v>3592</v>
      </c>
      <c r="M2142" s="55" t="s">
        <v>150</v>
      </c>
      <c r="N2142" s="55" t="s">
        <v>150</v>
      </c>
      <c r="O2142" s="55" t="s">
        <v>203</v>
      </c>
      <c r="P2142" s="55" t="s">
        <v>1263</v>
      </c>
      <c r="Q2142" s="55" t="s">
        <v>362</v>
      </c>
      <c r="R2142" s="55"/>
      <c r="S2142" s="74"/>
      <c r="T2142" s="55" t="s">
        <v>367</v>
      </c>
      <c r="U2142" s="73" t="s">
        <v>351</v>
      </c>
      <c r="V2142" s="74">
        <v>44487</v>
      </c>
      <c r="W2142" s="74">
        <v>44529</v>
      </c>
      <c r="X2142" s="55">
        <v>10183406</v>
      </c>
      <c r="Y2142" s="55" t="s">
        <v>132</v>
      </c>
      <c r="AB2142" s="55" t="s">
        <v>132</v>
      </c>
      <c r="AC2142" s="55" t="s">
        <v>132</v>
      </c>
    </row>
    <row r="2143" spans="1:29" ht="13" x14ac:dyDescent="0.15">
      <c r="A2143" s="72" t="str">
        <f t="shared" si="33"/>
        <v>Ofsted Social Care Provider Webpage</v>
      </c>
      <c r="B2143" s="55" t="s">
        <v>3593</v>
      </c>
      <c r="D2143" s="55" t="s">
        <v>373</v>
      </c>
      <c r="E2143" s="74">
        <v>37778</v>
      </c>
      <c r="F2143" s="55" t="s">
        <v>344</v>
      </c>
      <c r="G2143" s="55" t="s">
        <v>360</v>
      </c>
      <c r="H2143" s="55" t="s">
        <v>360</v>
      </c>
      <c r="I2143" s="55" t="s">
        <v>360</v>
      </c>
      <c r="J2143" s="55" t="s">
        <v>360</v>
      </c>
      <c r="K2143" s="55" t="s">
        <v>360</v>
      </c>
      <c r="L2143" s="55" t="s">
        <v>360</v>
      </c>
      <c r="M2143" s="55" t="s">
        <v>378</v>
      </c>
      <c r="N2143" s="55" t="s">
        <v>170</v>
      </c>
      <c r="O2143" s="55" t="s">
        <v>231</v>
      </c>
      <c r="P2143" s="55" t="s">
        <v>231</v>
      </c>
      <c r="Q2143" s="55" t="s">
        <v>380</v>
      </c>
      <c r="R2143" s="55">
        <v>5</v>
      </c>
      <c r="S2143" s="74" t="s">
        <v>332</v>
      </c>
      <c r="T2143" s="55" t="s">
        <v>1945</v>
      </c>
      <c r="U2143" s="73" t="s">
        <v>351</v>
      </c>
      <c r="V2143" s="74">
        <v>44410</v>
      </c>
      <c r="W2143" s="74">
        <v>44434</v>
      </c>
      <c r="X2143" s="55">
        <v>10185076</v>
      </c>
      <c r="Y2143" s="55" t="s">
        <v>140</v>
      </c>
      <c r="AB2143" s="55" t="s">
        <v>132</v>
      </c>
      <c r="AC2143" s="55" t="s">
        <v>132</v>
      </c>
    </row>
    <row r="2144" spans="1:29" ht="13" x14ac:dyDescent="0.15">
      <c r="A2144" s="72" t="str">
        <f t="shared" si="33"/>
        <v>Ofsted Social Care Provider Webpage</v>
      </c>
      <c r="B2144" s="55" t="s">
        <v>3594</v>
      </c>
      <c r="D2144" s="55" t="s">
        <v>373</v>
      </c>
      <c r="E2144" s="74">
        <v>37797</v>
      </c>
      <c r="F2144" s="55" t="s">
        <v>344</v>
      </c>
      <c r="G2144" s="55" t="s">
        <v>360</v>
      </c>
      <c r="H2144" s="55" t="s">
        <v>360</v>
      </c>
      <c r="I2144" s="55" t="s">
        <v>360</v>
      </c>
      <c r="J2144" s="55" t="s">
        <v>360</v>
      </c>
      <c r="K2144" s="55" t="s">
        <v>360</v>
      </c>
      <c r="L2144" s="55" t="s">
        <v>360</v>
      </c>
      <c r="M2144" s="55" t="s">
        <v>378</v>
      </c>
      <c r="N2144" s="55" t="s">
        <v>170</v>
      </c>
      <c r="O2144" s="55" t="s">
        <v>231</v>
      </c>
      <c r="P2144" s="55" t="s">
        <v>231</v>
      </c>
      <c r="Q2144" s="55" t="s">
        <v>380</v>
      </c>
      <c r="R2144" s="55">
        <v>5</v>
      </c>
      <c r="S2144" s="74"/>
      <c r="T2144" s="55" t="s">
        <v>1945</v>
      </c>
      <c r="U2144" s="73" t="s">
        <v>351</v>
      </c>
      <c r="V2144" s="74">
        <v>44439</v>
      </c>
      <c r="W2144" s="74">
        <v>44466</v>
      </c>
      <c r="X2144" s="55">
        <v>10186823</v>
      </c>
      <c r="Y2144" s="55" t="s">
        <v>132</v>
      </c>
      <c r="AB2144" s="55" t="s">
        <v>132</v>
      </c>
      <c r="AC2144" s="55" t="s">
        <v>132</v>
      </c>
    </row>
    <row r="2145" spans="1:29" ht="13" x14ac:dyDescent="0.15">
      <c r="A2145" s="72" t="str">
        <f t="shared" si="33"/>
        <v>Ofsted Social Care Provider Webpage</v>
      </c>
      <c r="B2145" s="55" t="s">
        <v>3595</v>
      </c>
      <c r="D2145" s="55" t="s">
        <v>2864</v>
      </c>
      <c r="E2145" s="74">
        <v>38077</v>
      </c>
      <c r="F2145" s="55" t="s">
        <v>344</v>
      </c>
      <c r="G2145" s="55" t="s">
        <v>360</v>
      </c>
      <c r="H2145" s="55" t="s">
        <v>360</v>
      </c>
      <c r="I2145" s="55" t="s">
        <v>360</v>
      </c>
      <c r="J2145" s="55" t="s">
        <v>360</v>
      </c>
      <c r="K2145" s="55" t="s">
        <v>360</v>
      </c>
      <c r="L2145" s="55" t="s">
        <v>360</v>
      </c>
      <c r="M2145" s="55" t="s">
        <v>150</v>
      </c>
      <c r="N2145" s="55" t="s">
        <v>150</v>
      </c>
      <c r="O2145" s="55" t="s">
        <v>190</v>
      </c>
      <c r="P2145" s="55" t="s">
        <v>500</v>
      </c>
      <c r="Q2145" s="55" t="s">
        <v>380</v>
      </c>
      <c r="R2145" s="55">
        <v>16</v>
      </c>
      <c r="S2145" s="74"/>
      <c r="T2145" s="55" t="s">
        <v>967</v>
      </c>
      <c r="U2145" s="73" t="s">
        <v>351</v>
      </c>
      <c r="V2145" s="74">
        <v>44383</v>
      </c>
      <c r="W2145" s="74">
        <v>44431</v>
      </c>
      <c r="X2145" s="55">
        <v>10165438</v>
      </c>
      <c r="Y2145" s="55" t="s">
        <v>130</v>
      </c>
      <c r="Z2145" s="55" t="s">
        <v>130</v>
      </c>
      <c r="AA2145" s="55" t="s">
        <v>130</v>
      </c>
      <c r="AB2145" s="55" t="s">
        <v>130</v>
      </c>
      <c r="AC2145" s="55" t="s">
        <v>130</v>
      </c>
    </row>
    <row r="2146" spans="1:29" ht="13" x14ac:dyDescent="0.15">
      <c r="A2146" s="72" t="str">
        <f t="shared" si="33"/>
        <v>Ofsted Social Care Provider Webpage</v>
      </c>
      <c r="B2146" s="55" t="s">
        <v>3596</v>
      </c>
      <c r="C2146" s="55">
        <v>140997</v>
      </c>
      <c r="D2146" s="55" t="s">
        <v>413</v>
      </c>
      <c r="E2146" s="74">
        <v>37537</v>
      </c>
      <c r="F2146" s="55" t="s">
        <v>344</v>
      </c>
      <c r="G2146" s="55" t="s">
        <v>3597</v>
      </c>
      <c r="H2146" s="55" t="s">
        <v>3598</v>
      </c>
      <c r="I2146" s="55" t="s">
        <v>3599</v>
      </c>
      <c r="J2146" s="55" t="s">
        <v>3600</v>
      </c>
      <c r="L2146" s="55" t="s">
        <v>3601</v>
      </c>
      <c r="M2146" s="55" t="s">
        <v>142</v>
      </c>
      <c r="N2146" s="55" t="s">
        <v>142</v>
      </c>
      <c r="O2146" s="55" t="s">
        <v>262</v>
      </c>
      <c r="P2146" s="55" t="s">
        <v>916</v>
      </c>
      <c r="Q2146" s="55" t="s">
        <v>420</v>
      </c>
      <c r="R2146" s="55">
        <v>63</v>
      </c>
      <c r="S2146" s="74"/>
      <c r="T2146" s="55" t="s">
        <v>3602</v>
      </c>
      <c r="U2146" s="73" t="s">
        <v>351</v>
      </c>
      <c r="V2146" s="74">
        <v>44537</v>
      </c>
      <c r="W2146" s="74">
        <v>44586</v>
      </c>
      <c r="X2146" s="55">
        <v>10183477</v>
      </c>
      <c r="Y2146" s="55" t="s">
        <v>132</v>
      </c>
      <c r="AB2146" s="55" t="s">
        <v>132</v>
      </c>
      <c r="AC2146" s="55" t="s">
        <v>132</v>
      </c>
    </row>
    <row r="2147" spans="1:29" ht="13" x14ac:dyDescent="0.15">
      <c r="A2147" s="72" t="str">
        <f t="shared" si="33"/>
        <v>Ofsted Social Care Provider Webpage</v>
      </c>
      <c r="B2147" s="55" t="s">
        <v>3603</v>
      </c>
      <c r="C2147" s="55">
        <v>147347</v>
      </c>
      <c r="D2147" s="55" t="s">
        <v>413</v>
      </c>
      <c r="E2147" s="74">
        <v>37537</v>
      </c>
      <c r="F2147" s="55" t="s">
        <v>344</v>
      </c>
      <c r="G2147" s="55" t="s">
        <v>3604</v>
      </c>
      <c r="H2147" s="55" t="s">
        <v>3604</v>
      </c>
      <c r="I2147" s="55" t="s">
        <v>3605</v>
      </c>
      <c r="J2147" s="55" t="s">
        <v>1859</v>
      </c>
      <c r="K2147" s="55" t="s">
        <v>262</v>
      </c>
      <c r="L2147" s="55" t="s">
        <v>3606</v>
      </c>
      <c r="M2147" s="55" t="s">
        <v>142</v>
      </c>
      <c r="N2147" s="55" t="s">
        <v>142</v>
      </c>
      <c r="O2147" s="55" t="s">
        <v>262</v>
      </c>
      <c r="P2147" s="55" t="s">
        <v>1035</v>
      </c>
      <c r="Q2147" s="55" t="s">
        <v>380</v>
      </c>
      <c r="R2147" s="55">
        <v>4</v>
      </c>
      <c r="S2147" s="74"/>
      <c r="T2147" s="55" t="s">
        <v>1145</v>
      </c>
      <c r="U2147" s="73" t="s">
        <v>351</v>
      </c>
      <c r="V2147" s="74">
        <v>43872</v>
      </c>
      <c r="W2147" s="74">
        <v>43921</v>
      </c>
      <c r="X2147" s="55">
        <v>10093153</v>
      </c>
      <c r="Y2147" s="55" t="s">
        <v>140</v>
      </c>
      <c r="AB2147" s="55" t="s">
        <v>140</v>
      </c>
      <c r="AC2147" s="55" t="s">
        <v>140</v>
      </c>
    </row>
    <row r="2148" spans="1:29" ht="13" x14ac:dyDescent="0.15">
      <c r="A2148" s="72" t="str">
        <f t="shared" si="33"/>
        <v>Ofsted Social Care Provider Webpage</v>
      </c>
      <c r="B2148" s="55" t="s">
        <v>3607</v>
      </c>
      <c r="C2148" s="55">
        <v>124496</v>
      </c>
      <c r="D2148" s="55" t="s">
        <v>413</v>
      </c>
      <c r="E2148" s="74">
        <v>37537</v>
      </c>
      <c r="F2148" s="55" t="s">
        <v>344</v>
      </c>
      <c r="G2148" s="55" t="s">
        <v>3608</v>
      </c>
      <c r="H2148" s="55" t="s">
        <v>2996</v>
      </c>
      <c r="I2148" s="55" t="s">
        <v>3609</v>
      </c>
      <c r="J2148" s="55" t="s">
        <v>3610</v>
      </c>
      <c r="K2148" s="55" t="s">
        <v>262</v>
      </c>
      <c r="L2148" s="55" t="s">
        <v>3611</v>
      </c>
      <c r="M2148" s="55" t="s">
        <v>142</v>
      </c>
      <c r="N2148" s="55" t="s">
        <v>142</v>
      </c>
      <c r="O2148" s="55" t="s">
        <v>262</v>
      </c>
      <c r="P2148" s="55" t="s">
        <v>618</v>
      </c>
      <c r="Q2148" s="55" t="s">
        <v>380</v>
      </c>
      <c r="R2148" s="55">
        <v>18</v>
      </c>
      <c r="S2148" s="74"/>
      <c r="T2148" s="55" t="s">
        <v>2996</v>
      </c>
      <c r="U2148" s="73" t="s">
        <v>351</v>
      </c>
      <c r="V2148" s="74">
        <v>44579</v>
      </c>
      <c r="W2148" s="74">
        <v>44628</v>
      </c>
      <c r="X2148" s="55">
        <v>10183584</v>
      </c>
      <c r="Y2148" s="55" t="s">
        <v>140</v>
      </c>
      <c r="AB2148" s="55" t="s">
        <v>140</v>
      </c>
      <c r="AC2148" s="55" t="s">
        <v>140</v>
      </c>
    </row>
    <row r="2149" spans="1:29" ht="13" x14ac:dyDescent="0.15">
      <c r="A2149" s="72" t="str">
        <f t="shared" si="33"/>
        <v>Ofsted Social Care Provider Webpage</v>
      </c>
      <c r="B2149" s="55" t="s">
        <v>3612</v>
      </c>
      <c r="C2149" s="55">
        <v>142094</v>
      </c>
      <c r="D2149" s="55" t="s">
        <v>413</v>
      </c>
      <c r="E2149" s="74">
        <v>37537</v>
      </c>
      <c r="F2149" s="55" t="s">
        <v>344</v>
      </c>
      <c r="G2149" s="55" t="s">
        <v>3613</v>
      </c>
      <c r="H2149" s="55" t="s">
        <v>3614</v>
      </c>
      <c r="I2149" s="55" t="s">
        <v>3615</v>
      </c>
      <c r="J2149" s="55" t="s">
        <v>3616</v>
      </c>
      <c r="K2149" s="55" t="s">
        <v>262</v>
      </c>
      <c r="L2149" s="55" t="s">
        <v>3617</v>
      </c>
      <c r="M2149" s="55" t="s">
        <v>142</v>
      </c>
      <c r="N2149" s="55" t="s">
        <v>142</v>
      </c>
      <c r="O2149" s="55" t="s">
        <v>262</v>
      </c>
      <c r="P2149" s="55" t="s">
        <v>1859</v>
      </c>
      <c r="Q2149" s="55" t="s">
        <v>420</v>
      </c>
      <c r="R2149" s="55">
        <v>32</v>
      </c>
      <c r="S2149" s="74"/>
      <c r="T2149" s="55" t="s">
        <v>3602</v>
      </c>
      <c r="U2149" s="73" t="s">
        <v>351</v>
      </c>
      <c r="V2149" s="74">
        <v>44516</v>
      </c>
      <c r="W2149" s="74">
        <v>44585</v>
      </c>
      <c r="X2149" s="55">
        <v>10183588</v>
      </c>
      <c r="Y2149" s="55" t="s">
        <v>140</v>
      </c>
      <c r="AB2149" s="55" t="s">
        <v>140</v>
      </c>
      <c r="AC2149" s="55" t="s">
        <v>140</v>
      </c>
    </row>
    <row r="2150" spans="1:29" ht="13" x14ac:dyDescent="0.15">
      <c r="A2150" s="72" t="str">
        <f t="shared" si="33"/>
        <v>Ofsted Social Care Provider Webpage</v>
      </c>
      <c r="B2150" s="55" t="s">
        <v>3618</v>
      </c>
      <c r="C2150" s="55">
        <v>142170</v>
      </c>
      <c r="D2150" s="55" t="s">
        <v>413</v>
      </c>
      <c r="E2150" s="74">
        <v>37537</v>
      </c>
      <c r="F2150" s="55" t="s">
        <v>344</v>
      </c>
      <c r="G2150" s="55" t="s">
        <v>3619</v>
      </c>
      <c r="H2150" s="55" t="s">
        <v>3620</v>
      </c>
      <c r="I2150" s="55" t="s">
        <v>3621</v>
      </c>
      <c r="J2150" s="55" t="s">
        <v>3622</v>
      </c>
      <c r="K2150" s="55" t="s">
        <v>262</v>
      </c>
      <c r="L2150" s="55" t="s">
        <v>3623</v>
      </c>
      <c r="M2150" s="55" t="s">
        <v>142</v>
      </c>
      <c r="N2150" s="55" t="s">
        <v>142</v>
      </c>
      <c r="O2150" s="55" t="s">
        <v>262</v>
      </c>
      <c r="P2150" s="55" t="s">
        <v>949</v>
      </c>
      <c r="Q2150" s="55" t="s">
        <v>420</v>
      </c>
      <c r="R2150" s="55">
        <v>10</v>
      </c>
      <c r="S2150" s="74"/>
      <c r="T2150" s="55" t="s">
        <v>3624</v>
      </c>
      <c r="U2150" s="73" t="s">
        <v>351</v>
      </c>
      <c r="V2150" s="74">
        <v>43886</v>
      </c>
      <c r="W2150" s="74">
        <v>43927</v>
      </c>
      <c r="X2150" s="55">
        <v>10093156</v>
      </c>
      <c r="Y2150" s="55" t="s">
        <v>140</v>
      </c>
      <c r="AB2150" s="55" t="s">
        <v>140</v>
      </c>
      <c r="AC2150" s="55" t="s">
        <v>140</v>
      </c>
    </row>
    <row r="2151" spans="1:29" ht="13" x14ac:dyDescent="0.15">
      <c r="A2151" s="72" t="str">
        <f t="shared" si="33"/>
        <v>Ofsted Social Care Provider Webpage</v>
      </c>
      <c r="B2151" s="55" t="s">
        <v>3625</v>
      </c>
      <c r="C2151" s="55">
        <v>142169</v>
      </c>
      <c r="D2151" s="55" t="s">
        <v>413</v>
      </c>
      <c r="E2151" s="74">
        <v>37537</v>
      </c>
      <c r="F2151" s="55" t="s">
        <v>344</v>
      </c>
      <c r="G2151" s="55" t="s">
        <v>3626</v>
      </c>
      <c r="H2151" s="55" t="s">
        <v>3627</v>
      </c>
      <c r="I2151" s="55" t="s">
        <v>3628</v>
      </c>
      <c r="J2151" s="55" t="s">
        <v>265</v>
      </c>
      <c r="K2151" s="55" t="s">
        <v>262</v>
      </c>
      <c r="L2151" s="55" t="s">
        <v>3629</v>
      </c>
      <c r="M2151" s="55" t="s">
        <v>142</v>
      </c>
      <c r="N2151" s="55" t="s">
        <v>142</v>
      </c>
      <c r="O2151" s="55" t="s">
        <v>262</v>
      </c>
      <c r="P2151" s="55" t="s">
        <v>618</v>
      </c>
      <c r="Q2151" s="55" t="s">
        <v>420</v>
      </c>
      <c r="R2151" s="55">
        <v>7</v>
      </c>
      <c r="S2151" s="74"/>
      <c r="T2151" s="55" t="s">
        <v>3624</v>
      </c>
      <c r="U2151" s="73" t="s">
        <v>351</v>
      </c>
      <c r="V2151" s="74">
        <v>44592</v>
      </c>
      <c r="W2151" s="74">
        <v>44645</v>
      </c>
      <c r="X2151" s="55">
        <v>10183583</v>
      </c>
      <c r="Y2151" s="55" t="s">
        <v>140</v>
      </c>
      <c r="AB2151" s="55" t="s">
        <v>140</v>
      </c>
      <c r="AC2151" s="55" t="s">
        <v>140</v>
      </c>
    </row>
    <row r="2152" spans="1:29" ht="13" x14ac:dyDescent="0.15">
      <c r="A2152" s="72" t="str">
        <f t="shared" si="33"/>
        <v>Ofsted Social Care Provider Webpage</v>
      </c>
      <c r="B2152" s="55" t="s">
        <v>3630</v>
      </c>
      <c r="C2152" s="55">
        <v>148378</v>
      </c>
      <c r="D2152" s="55" t="s">
        <v>413</v>
      </c>
      <c r="E2152" s="74">
        <v>37538</v>
      </c>
      <c r="F2152" s="55" t="s">
        <v>344</v>
      </c>
      <c r="G2152" s="55" t="s">
        <v>3631</v>
      </c>
      <c r="H2152" s="55" t="s">
        <v>3632</v>
      </c>
      <c r="I2152" s="55" t="s">
        <v>354</v>
      </c>
      <c r="J2152" s="55" t="s">
        <v>581</v>
      </c>
      <c r="K2152" s="55" t="s">
        <v>255</v>
      </c>
      <c r="L2152" s="55" t="s">
        <v>3633</v>
      </c>
      <c r="M2152" s="55" t="s">
        <v>136</v>
      </c>
      <c r="N2152" s="55" t="s">
        <v>136</v>
      </c>
      <c r="O2152" s="55" t="s">
        <v>255</v>
      </c>
      <c r="P2152" s="55" t="s">
        <v>583</v>
      </c>
      <c r="Q2152" s="55" t="s">
        <v>380</v>
      </c>
      <c r="R2152" s="55">
        <v>8</v>
      </c>
      <c r="S2152" s="74"/>
      <c r="T2152" s="55" t="s">
        <v>3634</v>
      </c>
      <c r="U2152" s="73" t="s">
        <v>351</v>
      </c>
      <c r="V2152" s="74">
        <v>43657</v>
      </c>
      <c r="W2152" s="74">
        <v>43719</v>
      </c>
      <c r="X2152" s="55">
        <v>10093158</v>
      </c>
      <c r="Y2152" s="55" t="s">
        <v>132</v>
      </c>
      <c r="AB2152" s="55" t="s">
        <v>140</v>
      </c>
      <c r="AC2152" s="55" t="s">
        <v>132</v>
      </c>
    </row>
    <row r="2153" spans="1:29" ht="13" x14ac:dyDescent="0.15">
      <c r="A2153" s="72" t="str">
        <f t="shared" si="33"/>
        <v>Ofsted Social Care Provider Webpage</v>
      </c>
      <c r="B2153" s="55" t="s">
        <v>3635</v>
      </c>
      <c r="D2153" s="55" t="s">
        <v>373</v>
      </c>
      <c r="E2153" s="74">
        <v>37554</v>
      </c>
      <c r="F2153" s="55" t="s">
        <v>344</v>
      </c>
      <c r="G2153" s="55" t="s">
        <v>360</v>
      </c>
      <c r="H2153" s="55" t="s">
        <v>360</v>
      </c>
      <c r="I2153" s="55" t="s">
        <v>360</v>
      </c>
      <c r="J2153" s="55" t="s">
        <v>360</v>
      </c>
      <c r="K2153" s="55" t="s">
        <v>360</v>
      </c>
      <c r="L2153" s="55" t="s">
        <v>360</v>
      </c>
      <c r="M2153" s="55" t="s">
        <v>138</v>
      </c>
      <c r="N2153" s="55" t="s">
        <v>138</v>
      </c>
      <c r="O2153" s="55" t="s">
        <v>266</v>
      </c>
      <c r="P2153" s="55" t="s">
        <v>934</v>
      </c>
      <c r="Q2153" s="55" t="s">
        <v>380</v>
      </c>
      <c r="R2153" s="55">
        <v>6</v>
      </c>
      <c r="S2153" s="74"/>
      <c r="T2153" s="55" t="s">
        <v>3510</v>
      </c>
      <c r="U2153" s="73" t="s">
        <v>351</v>
      </c>
      <c r="V2153" s="74">
        <v>44390</v>
      </c>
      <c r="W2153" s="74">
        <v>44413</v>
      </c>
      <c r="X2153" s="55">
        <v>10186806</v>
      </c>
      <c r="Y2153" s="55" t="s">
        <v>132</v>
      </c>
      <c r="AB2153" s="55" t="s">
        <v>132</v>
      </c>
      <c r="AC2153" s="55" t="s">
        <v>132</v>
      </c>
    </row>
    <row r="2154" spans="1:29" ht="13" x14ac:dyDescent="0.15">
      <c r="A2154" s="72" t="str">
        <f t="shared" si="33"/>
        <v>Ofsted Social Care Provider Webpage</v>
      </c>
      <c r="B2154" s="55" t="s">
        <v>3636</v>
      </c>
      <c r="D2154" s="55" t="s">
        <v>373</v>
      </c>
      <c r="E2154" s="74">
        <v>37806</v>
      </c>
      <c r="F2154" s="55" t="s">
        <v>344</v>
      </c>
      <c r="G2154" s="55" t="s">
        <v>360</v>
      </c>
      <c r="H2154" s="55" t="s">
        <v>360</v>
      </c>
      <c r="I2154" s="55" t="s">
        <v>360</v>
      </c>
      <c r="J2154" s="55" t="s">
        <v>360</v>
      </c>
      <c r="K2154" s="55" t="s">
        <v>360</v>
      </c>
      <c r="L2154" s="55" t="s">
        <v>360</v>
      </c>
      <c r="M2154" s="55" t="s">
        <v>172</v>
      </c>
      <c r="N2154" s="55" t="s">
        <v>172</v>
      </c>
      <c r="O2154" s="55" t="s">
        <v>171</v>
      </c>
      <c r="P2154" s="55" t="s">
        <v>895</v>
      </c>
      <c r="Q2154" s="55" t="s">
        <v>350</v>
      </c>
      <c r="R2154" s="55">
        <v>4</v>
      </c>
      <c r="S2154" s="74"/>
      <c r="T2154" s="55" t="s">
        <v>861</v>
      </c>
      <c r="U2154" s="73" t="s">
        <v>351</v>
      </c>
      <c r="V2154" s="74">
        <v>44480</v>
      </c>
      <c r="W2154" s="74">
        <v>44525</v>
      </c>
      <c r="X2154" s="55">
        <v>10186948</v>
      </c>
      <c r="Y2154" s="55" t="s">
        <v>132</v>
      </c>
      <c r="AB2154" s="55" t="s">
        <v>132</v>
      </c>
      <c r="AC2154" s="55" t="s">
        <v>132</v>
      </c>
    </row>
    <row r="2155" spans="1:29" ht="13" x14ac:dyDescent="0.15">
      <c r="A2155" s="72" t="str">
        <f t="shared" si="33"/>
        <v>Ofsted Social Care Provider Webpage</v>
      </c>
      <c r="B2155" s="55" t="s">
        <v>3637</v>
      </c>
      <c r="D2155" s="55" t="s">
        <v>389</v>
      </c>
      <c r="E2155" s="74">
        <v>37826</v>
      </c>
      <c r="F2155" s="55" t="s">
        <v>344</v>
      </c>
      <c r="G2155" s="55" t="s">
        <v>722</v>
      </c>
      <c r="H2155" s="55" t="s">
        <v>3638</v>
      </c>
      <c r="I2155" s="55" t="s">
        <v>3639</v>
      </c>
      <c r="J2155" s="55" t="s">
        <v>3640</v>
      </c>
      <c r="K2155" s="55" t="s">
        <v>266</v>
      </c>
      <c r="L2155" s="55" t="s">
        <v>3641</v>
      </c>
      <c r="M2155" s="55" t="s">
        <v>138</v>
      </c>
      <c r="N2155" s="55" t="s">
        <v>138</v>
      </c>
      <c r="O2155" s="55" t="s">
        <v>266</v>
      </c>
      <c r="P2155" s="55" t="s">
        <v>2912</v>
      </c>
      <c r="Q2155" s="55" t="s">
        <v>350</v>
      </c>
      <c r="R2155" s="55"/>
      <c r="S2155" s="74"/>
      <c r="T2155" s="55" t="s">
        <v>726</v>
      </c>
      <c r="U2155" s="73" t="s">
        <v>351</v>
      </c>
      <c r="V2155" s="74">
        <v>43598</v>
      </c>
      <c r="W2155" s="74">
        <v>43623</v>
      </c>
      <c r="X2155" s="55">
        <v>10093230</v>
      </c>
      <c r="Y2155" s="55" t="s">
        <v>132</v>
      </c>
      <c r="AB2155" s="55" t="s">
        <v>132</v>
      </c>
      <c r="AC2155" s="55" t="s">
        <v>132</v>
      </c>
    </row>
    <row r="2156" spans="1:29" ht="13" x14ac:dyDescent="0.15">
      <c r="A2156" s="72" t="str">
        <f t="shared" si="33"/>
        <v>Ofsted Social Care Provider Webpage</v>
      </c>
      <c r="B2156" s="55" t="s">
        <v>3642</v>
      </c>
      <c r="D2156" s="55" t="s">
        <v>373</v>
      </c>
      <c r="E2156" s="74">
        <v>37543</v>
      </c>
      <c r="F2156" s="55" t="s">
        <v>344</v>
      </c>
      <c r="G2156" s="55" t="s">
        <v>360</v>
      </c>
      <c r="H2156" s="55" t="s">
        <v>360</v>
      </c>
      <c r="I2156" s="55" t="s">
        <v>360</v>
      </c>
      <c r="J2156" s="55" t="s">
        <v>360</v>
      </c>
      <c r="K2156" s="55" t="s">
        <v>360</v>
      </c>
      <c r="L2156" s="55" t="s">
        <v>360</v>
      </c>
      <c r="M2156" s="55" t="s">
        <v>129</v>
      </c>
      <c r="N2156" s="55" t="s">
        <v>129</v>
      </c>
      <c r="O2156" s="55" t="s">
        <v>192</v>
      </c>
      <c r="P2156" s="55" t="s">
        <v>1191</v>
      </c>
      <c r="Q2156" s="55" t="s">
        <v>350</v>
      </c>
      <c r="R2156" s="55">
        <v>3</v>
      </c>
      <c r="S2156" s="74"/>
      <c r="U2156" s="73" t="s">
        <v>351</v>
      </c>
      <c r="V2156" s="74">
        <v>44340</v>
      </c>
      <c r="W2156" s="74">
        <v>44375</v>
      </c>
      <c r="X2156" s="55">
        <v>10185597</v>
      </c>
      <c r="Y2156" s="55" t="s">
        <v>132</v>
      </c>
      <c r="AB2156" s="55" t="s">
        <v>132</v>
      </c>
      <c r="AC2156" s="55" t="s">
        <v>132</v>
      </c>
    </row>
    <row r="2157" spans="1:29" ht="13" x14ac:dyDescent="0.15">
      <c r="A2157" s="72" t="str">
        <f t="shared" si="33"/>
        <v>Ofsted Social Care Provider Webpage</v>
      </c>
      <c r="B2157" s="55" t="s">
        <v>3643</v>
      </c>
      <c r="D2157" s="55" t="s">
        <v>389</v>
      </c>
      <c r="E2157" s="74">
        <v>37621</v>
      </c>
      <c r="F2157" s="55" t="s">
        <v>344</v>
      </c>
      <c r="G2157" s="55" t="s">
        <v>3644</v>
      </c>
      <c r="H2157" s="55" t="s">
        <v>3645</v>
      </c>
      <c r="I2157" s="55" t="s">
        <v>3646</v>
      </c>
      <c r="J2157" s="55" t="s">
        <v>240</v>
      </c>
      <c r="K2157" s="55" t="s">
        <v>190</v>
      </c>
      <c r="L2157" s="55" t="s">
        <v>1783</v>
      </c>
      <c r="M2157" s="55" t="s">
        <v>150</v>
      </c>
      <c r="N2157" s="55" t="s">
        <v>150</v>
      </c>
      <c r="O2157" s="55" t="s">
        <v>240</v>
      </c>
      <c r="P2157" s="55" t="s">
        <v>1784</v>
      </c>
      <c r="Q2157" s="55" t="s">
        <v>350</v>
      </c>
      <c r="R2157" s="55"/>
      <c r="S2157" s="74"/>
      <c r="T2157" s="55" t="s">
        <v>456</v>
      </c>
      <c r="U2157" s="73" t="s">
        <v>351</v>
      </c>
      <c r="V2157" s="74">
        <v>44501</v>
      </c>
      <c r="W2157" s="74">
        <v>44587</v>
      </c>
      <c r="X2157" s="55">
        <v>10183410</v>
      </c>
      <c r="Y2157" s="55" t="s">
        <v>140</v>
      </c>
      <c r="AB2157" s="55" t="s">
        <v>140</v>
      </c>
      <c r="AC2157" s="55" t="s">
        <v>132</v>
      </c>
    </row>
    <row r="2158" spans="1:29" ht="13" x14ac:dyDescent="0.15">
      <c r="A2158" s="72" t="str">
        <f t="shared" si="33"/>
        <v>Ofsted Social Care Provider Webpage</v>
      </c>
      <c r="B2158" s="55" t="s">
        <v>3647</v>
      </c>
      <c r="D2158" s="55" t="s">
        <v>373</v>
      </c>
      <c r="E2158" s="74">
        <v>37711</v>
      </c>
      <c r="F2158" s="55" t="s">
        <v>344</v>
      </c>
      <c r="G2158" s="55" t="s">
        <v>360</v>
      </c>
      <c r="H2158" s="55" t="s">
        <v>360</v>
      </c>
      <c r="I2158" s="55" t="s">
        <v>360</v>
      </c>
      <c r="J2158" s="55" t="s">
        <v>360</v>
      </c>
      <c r="K2158" s="55" t="s">
        <v>360</v>
      </c>
      <c r="L2158" s="55" t="s">
        <v>360</v>
      </c>
      <c r="M2158" s="55" t="s">
        <v>172</v>
      </c>
      <c r="N2158" s="55" t="s">
        <v>172</v>
      </c>
      <c r="O2158" s="55" t="s">
        <v>211</v>
      </c>
      <c r="P2158" s="55" t="s">
        <v>2228</v>
      </c>
      <c r="Q2158" s="55" t="s">
        <v>380</v>
      </c>
      <c r="R2158" s="55">
        <v>10</v>
      </c>
      <c r="S2158" s="74"/>
      <c r="T2158" s="55" t="s">
        <v>2464</v>
      </c>
      <c r="U2158" s="73" t="s">
        <v>351</v>
      </c>
      <c r="V2158" s="74">
        <v>44411</v>
      </c>
      <c r="W2158" s="74">
        <v>44448</v>
      </c>
      <c r="X2158" s="55">
        <v>10187540</v>
      </c>
      <c r="Y2158" s="55" t="s">
        <v>140</v>
      </c>
      <c r="AB2158" s="55" t="s">
        <v>132</v>
      </c>
      <c r="AC2158" s="55" t="s">
        <v>140</v>
      </c>
    </row>
    <row r="2159" spans="1:29" ht="13" x14ac:dyDescent="0.15">
      <c r="A2159" s="72" t="str">
        <f t="shared" si="33"/>
        <v>Ofsted Social Care Provider Webpage</v>
      </c>
      <c r="B2159" s="55" t="s">
        <v>3648</v>
      </c>
      <c r="D2159" s="55" t="s">
        <v>373</v>
      </c>
      <c r="E2159" s="74">
        <v>37711</v>
      </c>
      <c r="F2159" s="55" t="s">
        <v>344</v>
      </c>
      <c r="G2159" s="55" t="s">
        <v>360</v>
      </c>
      <c r="H2159" s="55" t="s">
        <v>360</v>
      </c>
      <c r="I2159" s="55" t="s">
        <v>360</v>
      </c>
      <c r="J2159" s="55" t="s">
        <v>360</v>
      </c>
      <c r="K2159" s="55" t="s">
        <v>360</v>
      </c>
      <c r="L2159" s="55" t="s">
        <v>360</v>
      </c>
      <c r="M2159" s="55" t="s">
        <v>172</v>
      </c>
      <c r="N2159" s="55" t="s">
        <v>172</v>
      </c>
      <c r="O2159" s="55" t="s">
        <v>211</v>
      </c>
      <c r="P2159" s="55" t="s">
        <v>1062</v>
      </c>
      <c r="Q2159" s="55" t="s">
        <v>380</v>
      </c>
      <c r="R2159" s="55">
        <v>7</v>
      </c>
      <c r="S2159" s="74"/>
      <c r="T2159" s="55" t="s">
        <v>2464</v>
      </c>
      <c r="U2159" s="73" t="s">
        <v>351</v>
      </c>
      <c r="V2159" s="74">
        <v>44396</v>
      </c>
      <c r="W2159" s="74">
        <v>44431</v>
      </c>
      <c r="X2159" s="55">
        <v>10185987</v>
      </c>
      <c r="Y2159" s="55" t="s">
        <v>132</v>
      </c>
      <c r="AB2159" s="55" t="s">
        <v>130</v>
      </c>
      <c r="AC2159" s="55" t="s">
        <v>132</v>
      </c>
    </row>
    <row r="2160" spans="1:29" ht="13" x14ac:dyDescent="0.15">
      <c r="A2160" s="72" t="str">
        <f t="shared" si="33"/>
        <v>Ofsted Social Care Provider Webpage</v>
      </c>
      <c r="B2160" s="55" t="s">
        <v>3649</v>
      </c>
      <c r="D2160" s="55" t="s">
        <v>373</v>
      </c>
      <c r="E2160" s="74">
        <v>37711</v>
      </c>
      <c r="F2160" s="55" t="s">
        <v>344</v>
      </c>
      <c r="G2160" s="55" t="s">
        <v>360</v>
      </c>
      <c r="H2160" s="55" t="s">
        <v>360</v>
      </c>
      <c r="I2160" s="55" t="s">
        <v>360</v>
      </c>
      <c r="J2160" s="55" t="s">
        <v>360</v>
      </c>
      <c r="K2160" s="55" t="s">
        <v>360</v>
      </c>
      <c r="L2160" s="55" t="s">
        <v>360</v>
      </c>
      <c r="M2160" s="55" t="s">
        <v>172</v>
      </c>
      <c r="N2160" s="55" t="s">
        <v>172</v>
      </c>
      <c r="O2160" s="55" t="s">
        <v>211</v>
      </c>
      <c r="P2160" s="55" t="s">
        <v>1343</v>
      </c>
      <c r="Q2160" s="55" t="s">
        <v>380</v>
      </c>
      <c r="R2160" s="55">
        <v>6</v>
      </c>
      <c r="S2160" s="74"/>
      <c r="T2160" s="55" t="s">
        <v>2464</v>
      </c>
      <c r="U2160" s="73" t="s">
        <v>351</v>
      </c>
      <c r="V2160" s="74">
        <v>44439</v>
      </c>
      <c r="W2160" s="74">
        <v>44466</v>
      </c>
      <c r="X2160" s="55">
        <v>10187165</v>
      </c>
      <c r="Y2160" s="55" t="s">
        <v>140</v>
      </c>
      <c r="AB2160" s="55" t="s">
        <v>140</v>
      </c>
      <c r="AC2160" s="55" t="s">
        <v>140</v>
      </c>
    </row>
    <row r="2161" spans="1:29" ht="13" x14ac:dyDescent="0.15">
      <c r="A2161" s="72" t="str">
        <f t="shared" si="33"/>
        <v>Ofsted Social Care Provider Webpage</v>
      </c>
      <c r="B2161" s="55" t="s">
        <v>3650</v>
      </c>
      <c r="D2161" s="55" t="s">
        <v>373</v>
      </c>
      <c r="E2161" s="74">
        <v>37711</v>
      </c>
      <c r="F2161" s="55" t="s">
        <v>344</v>
      </c>
      <c r="G2161" s="55" t="s">
        <v>360</v>
      </c>
      <c r="H2161" s="55" t="s">
        <v>360</v>
      </c>
      <c r="I2161" s="55" t="s">
        <v>360</v>
      </c>
      <c r="J2161" s="55" t="s">
        <v>360</v>
      </c>
      <c r="K2161" s="55" t="s">
        <v>360</v>
      </c>
      <c r="L2161" s="55" t="s">
        <v>360</v>
      </c>
      <c r="M2161" s="55" t="s">
        <v>172</v>
      </c>
      <c r="N2161" s="55" t="s">
        <v>172</v>
      </c>
      <c r="O2161" s="55" t="s">
        <v>211</v>
      </c>
      <c r="P2161" s="55" t="s">
        <v>1062</v>
      </c>
      <c r="Q2161" s="55" t="s">
        <v>380</v>
      </c>
      <c r="R2161" s="55">
        <v>7</v>
      </c>
      <c r="S2161" s="74"/>
      <c r="T2161" s="55" t="s">
        <v>2464</v>
      </c>
      <c r="U2161" s="73" t="s">
        <v>351</v>
      </c>
      <c r="V2161" s="74">
        <v>44405</v>
      </c>
      <c r="W2161" s="74">
        <v>44441</v>
      </c>
      <c r="X2161" s="55">
        <v>10186652</v>
      </c>
      <c r="Y2161" s="55" t="s">
        <v>132</v>
      </c>
      <c r="AB2161" s="55" t="s">
        <v>130</v>
      </c>
      <c r="AC2161" s="55" t="s">
        <v>132</v>
      </c>
    </row>
    <row r="2162" spans="1:29" ht="13" x14ac:dyDescent="0.15">
      <c r="A2162" s="72" t="str">
        <f t="shared" si="33"/>
        <v>Ofsted Social Care Provider Webpage</v>
      </c>
      <c r="B2162" s="55" t="s">
        <v>3651</v>
      </c>
      <c r="D2162" s="55" t="s">
        <v>373</v>
      </c>
      <c r="E2162" s="74">
        <v>37711</v>
      </c>
      <c r="F2162" s="55" t="s">
        <v>344</v>
      </c>
      <c r="G2162" s="55" t="s">
        <v>360</v>
      </c>
      <c r="H2162" s="55" t="s">
        <v>360</v>
      </c>
      <c r="I2162" s="55" t="s">
        <v>360</v>
      </c>
      <c r="J2162" s="55" t="s">
        <v>360</v>
      </c>
      <c r="K2162" s="55" t="s">
        <v>360</v>
      </c>
      <c r="L2162" s="55" t="s">
        <v>360</v>
      </c>
      <c r="M2162" s="55" t="s">
        <v>172</v>
      </c>
      <c r="N2162" s="55" t="s">
        <v>172</v>
      </c>
      <c r="O2162" s="55" t="s">
        <v>211</v>
      </c>
      <c r="P2162" s="55" t="s">
        <v>1062</v>
      </c>
      <c r="Q2162" s="55" t="s">
        <v>380</v>
      </c>
      <c r="R2162" s="55">
        <v>9</v>
      </c>
      <c r="S2162" s="74"/>
      <c r="T2162" s="55" t="s">
        <v>2464</v>
      </c>
      <c r="U2162" s="73" t="s">
        <v>351</v>
      </c>
      <c r="V2162" s="74">
        <v>44594</v>
      </c>
      <c r="W2162" s="74">
        <v>44636</v>
      </c>
      <c r="X2162" s="55">
        <v>10185560</v>
      </c>
      <c r="Y2162" s="55" t="s">
        <v>140</v>
      </c>
      <c r="AB2162" s="55" t="s">
        <v>140</v>
      </c>
      <c r="AC2162" s="55" t="s">
        <v>140</v>
      </c>
    </row>
    <row r="2163" spans="1:29" ht="13" x14ac:dyDescent="0.15">
      <c r="A2163" s="72" t="str">
        <f t="shared" si="33"/>
        <v>Ofsted Social Care Provider Webpage</v>
      </c>
      <c r="B2163" s="55" t="s">
        <v>3652</v>
      </c>
      <c r="D2163" s="55" t="s">
        <v>373</v>
      </c>
      <c r="E2163" s="74">
        <v>37924</v>
      </c>
      <c r="F2163" s="55" t="s">
        <v>344</v>
      </c>
      <c r="G2163" s="55" t="s">
        <v>360</v>
      </c>
      <c r="H2163" s="55" t="s">
        <v>360</v>
      </c>
      <c r="I2163" s="55" t="s">
        <v>360</v>
      </c>
      <c r="J2163" s="55" t="s">
        <v>360</v>
      </c>
      <c r="K2163" s="55" t="s">
        <v>360</v>
      </c>
      <c r="L2163" s="55" t="s">
        <v>360</v>
      </c>
      <c r="M2163" s="55" t="s">
        <v>144</v>
      </c>
      <c r="N2163" s="55" t="s">
        <v>144</v>
      </c>
      <c r="O2163" s="55" t="s">
        <v>263</v>
      </c>
      <c r="P2163" s="55" t="s">
        <v>876</v>
      </c>
      <c r="Q2163" s="55" t="s">
        <v>380</v>
      </c>
      <c r="R2163" s="55">
        <v>5</v>
      </c>
      <c r="S2163" s="74"/>
      <c r="T2163" s="55" t="s">
        <v>1212</v>
      </c>
      <c r="U2163" s="73" t="s">
        <v>351</v>
      </c>
      <c r="V2163" s="74">
        <v>44606</v>
      </c>
      <c r="W2163" s="74">
        <v>44645</v>
      </c>
      <c r="X2163" s="55">
        <v>10185599</v>
      </c>
      <c r="Y2163" s="55" t="s">
        <v>132</v>
      </c>
      <c r="AB2163" s="55" t="s">
        <v>132</v>
      </c>
      <c r="AC2163" s="55" t="s">
        <v>130</v>
      </c>
    </row>
    <row r="2164" spans="1:29" ht="13" x14ac:dyDescent="0.15">
      <c r="A2164" s="72" t="str">
        <f t="shared" si="33"/>
        <v>Ofsted Social Care Provider Webpage</v>
      </c>
      <c r="B2164" s="55" t="s">
        <v>3653</v>
      </c>
      <c r="D2164" s="55" t="s">
        <v>373</v>
      </c>
      <c r="E2164" s="74">
        <v>38366</v>
      </c>
      <c r="F2164" s="55" t="s">
        <v>344</v>
      </c>
      <c r="G2164" s="55" t="s">
        <v>360</v>
      </c>
      <c r="H2164" s="55" t="s">
        <v>360</v>
      </c>
      <c r="I2164" s="55" t="s">
        <v>360</v>
      </c>
      <c r="J2164" s="55" t="s">
        <v>360</v>
      </c>
      <c r="K2164" s="55" t="s">
        <v>360</v>
      </c>
      <c r="L2164" s="55" t="s">
        <v>360</v>
      </c>
      <c r="M2164" s="55" t="s">
        <v>144</v>
      </c>
      <c r="N2164" s="55" t="s">
        <v>144</v>
      </c>
      <c r="O2164" s="55" t="s">
        <v>209</v>
      </c>
      <c r="P2164" s="55" t="s">
        <v>597</v>
      </c>
      <c r="Q2164" s="55" t="s">
        <v>350</v>
      </c>
      <c r="R2164" s="55">
        <v>1</v>
      </c>
      <c r="S2164" s="74"/>
      <c r="T2164" s="55" t="s">
        <v>2435</v>
      </c>
      <c r="U2164" s="73" t="s">
        <v>351</v>
      </c>
      <c r="V2164" s="74">
        <v>43899</v>
      </c>
      <c r="W2164" s="74">
        <v>43955</v>
      </c>
      <c r="X2164" s="55">
        <v>10095745</v>
      </c>
      <c r="Y2164" s="55" t="s">
        <v>132</v>
      </c>
      <c r="AB2164" s="55" t="s">
        <v>132</v>
      </c>
      <c r="AC2164" s="55" t="s">
        <v>132</v>
      </c>
    </row>
    <row r="2165" spans="1:29" ht="13" x14ac:dyDescent="0.15">
      <c r="A2165" s="72" t="str">
        <f t="shared" si="33"/>
        <v>Ofsted Social Care Provider Webpage</v>
      </c>
      <c r="B2165" s="55" t="s">
        <v>3654</v>
      </c>
      <c r="C2165" s="55">
        <v>145198</v>
      </c>
      <c r="D2165" s="55" t="s">
        <v>413</v>
      </c>
      <c r="E2165" s="74">
        <v>37546</v>
      </c>
      <c r="F2165" s="55" t="s">
        <v>344</v>
      </c>
      <c r="G2165" s="55" t="s">
        <v>3655</v>
      </c>
      <c r="H2165" s="55" t="s">
        <v>3656</v>
      </c>
      <c r="I2165" s="55" t="s">
        <v>3657</v>
      </c>
      <c r="J2165" s="55" t="s">
        <v>3658</v>
      </c>
      <c r="K2165" s="55" t="s">
        <v>288</v>
      </c>
      <c r="L2165" s="55" t="s">
        <v>3659</v>
      </c>
      <c r="M2165" s="55" t="s">
        <v>136</v>
      </c>
      <c r="N2165" s="55" t="s">
        <v>136</v>
      </c>
      <c r="O2165" s="55" t="s">
        <v>288</v>
      </c>
      <c r="P2165" s="55" t="s">
        <v>1235</v>
      </c>
      <c r="Q2165" s="55" t="s">
        <v>420</v>
      </c>
      <c r="R2165" s="55">
        <v>14</v>
      </c>
      <c r="S2165" s="74"/>
      <c r="T2165" s="55" t="s">
        <v>3660</v>
      </c>
      <c r="U2165" s="73" t="s">
        <v>351</v>
      </c>
      <c r="V2165" s="74">
        <v>43780</v>
      </c>
      <c r="W2165" s="74">
        <v>43795</v>
      </c>
      <c r="X2165" s="55">
        <v>10093159</v>
      </c>
      <c r="Y2165" s="55" t="s">
        <v>132</v>
      </c>
      <c r="AB2165" s="55" t="s">
        <v>132</v>
      </c>
      <c r="AC2165" s="55" t="s">
        <v>132</v>
      </c>
    </row>
    <row r="2166" spans="1:29" ht="13" x14ac:dyDescent="0.15">
      <c r="A2166" s="72" t="str">
        <f t="shared" si="33"/>
        <v>Ofsted Social Care Provider Webpage</v>
      </c>
      <c r="B2166" s="55" t="s">
        <v>3661</v>
      </c>
      <c r="C2166" s="55">
        <v>130759</v>
      </c>
      <c r="D2166" s="55" t="s">
        <v>693</v>
      </c>
      <c r="E2166" s="74">
        <v>37546</v>
      </c>
      <c r="F2166" s="55" t="s">
        <v>344</v>
      </c>
      <c r="G2166" s="55" t="s">
        <v>3662</v>
      </c>
      <c r="H2166" s="55" t="s">
        <v>3663</v>
      </c>
      <c r="I2166" s="55" t="s">
        <v>354</v>
      </c>
      <c r="J2166" s="55" t="s">
        <v>3664</v>
      </c>
      <c r="K2166" s="55" t="s">
        <v>214</v>
      </c>
      <c r="L2166" s="55" t="s">
        <v>3665</v>
      </c>
      <c r="M2166" s="55" t="s">
        <v>172</v>
      </c>
      <c r="N2166" s="55" t="s">
        <v>172</v>
      </c>
      <c r="O2166" s="55" t="s">
        <v>214</v>
      </c>
      <c r="P2166" s="55" t="s">
        <v>1345</v>
      </c>
      <c r="Q2166" s="55" t="s">
        <v>362</v>
      </c>
      <c r="R2166" s="55">
        <v>49</v>
      </c>
      <c r="S2166" s="74"/>
      <c r="T2166" s="55" t="s">
        <v>3662</v>
      </c>
      <c r="U2166" s="73" t="s">
        <v>351</v>
      </c>
      <c r="V2166" s="74">
        <v>43788</v>
      </c>
      <c r="W2166" s="74">
        <v>43809</v>
      </c>
      <c r="X2166" s="55">
        <v>10098196</v>
      </c>
      <c r="Y2166" s="55" t="s">
        <v>132</v>
      </c>
      <c r="AB2166" s="55" t="s">
        <v>132</v>
      </c>
      <c r="AC2166" s="55" t="s">
        <v>132</v>
      </c>
    </row>
    <row r="2167" spans="1:29" ht="13" x14ac:dyDescent="0.15">
      <c r="A2167" s="72" t="str">
        <f t="shared" si="33"/>
        <v>Ofsted Social Care Provider Webpage</v>
      </c>
      <c r="B2167" s="55" t="s">
        <v>3666</v>
      </c>
      <c r="C2167" s="55">
        <v>144286</v>
      </c>
      <c r="D2167" s="55" t="s">
        <v>413</v>
      </c>
      <c r="E2167" s="74">
        <v>37546</v>
      </c>
      <c r="F2167" s="55" t="s">
        <v>344</v>
      </c>
      <c r="G2167" s="55" t="s">
        <v>3667</v>
      </c>
      <c r="H2167" s="55" t="s">
        <v>3668</v>
      </c>
      <c r="I2167" s="55" t="s">
        <v>3669</v>
      </c>
      <c r="J2167" s="55" t="s">
        <v>3670</v>
      </c>
      <c r="K2167" s="55" t="s">
        <v>288</v>
      </c>
      <c r="L2167" s="55" t="s">
        <v>3671</v>
      </c>
      <c r="M2167" s="55" t="s">
        <v>136</v>
      </c>
      <c r="N2167" s="55" t="s">
        <v>136</v>
      </c>
      <c r="O2167" s="55" t="s">
        <v>288</v>
      </c>
      <c r="P2167" s="55" t="s">
        <v>1101</v>
      </c>
      <c r="Q2167" s="55" t="s">
        <v>420</v>
      </c>
      <c r="R2167" s="55">
        <v>40</v>
      </c>
      <c r="S2167" s="74"/>
      <c r="T2167" s="55" t="s">
        <v>3672</v>
      </c>
      <c r="U2167" s="73" t="s">
        <v>351</v>
      </c>
      <c r="V2167" s="74">
        <v>44320</v>
      </c>
      <c r="W2167" s="74">
        <v>44350</v>
      </c>
      <c r="X2167" s="55">
        <v>10183475</v>
      </c>
      <c r="Y2167" s="55" t="s">
        <v>132</v>
      </c>
      <c r="AB2167" s="55" t="s">
        <v>132</v>
      </c>
      <c r="AC2167" s="55" t="s">
        <v>132</v>
      </c>
    </row>
    <row r="2168" spans="1:29" ht="13" x14ac:dyDescent="0.15">
      <c r="A2168" s="72" t="str">
        <f t="shared" si="33"/>
        <v>Ofsted Social Care Provider Webpage</v>
      </c>
      <c r="B2168" s="55" t="s">
        <v>3673</v>
      </c>
      <c r="C2168" s="55">
        <v>126535</v>
      </c>
      <c r="D2168" s="55" t="s">
        <v>413</v>
      </c>
      <c r="E2168" s="74">
        <v>37547</v>
      </c>
      <c r="F2168" s="55" t="s">
        <v>344</v>
      </c>
      <c r="G2168" s="55" t="s">
        <v>3674</v>
      </c>
      <c r="H2168" s="55" t="s">
        <v>3674</v>
      </c>
      <c r="I2168" s="55" t="s">
        <v>3675</v>
      </c>
      <c r="J2168" s="55" t="s">
        <v>3676</v>
      </c>
      <c r="L2168" s="55" t="s">
        <v>3677</v>
      </c>
      <c r="M2168" s="55" t="s">
        <v>136</v>
      </c>
      <c r="N2168" s="55" t="s">
        <v>136</v>
      </c>
      <c r="O2168" s="55" t="s">
        <v>288</v>
      </c>
      <c r="P2168" s="55" t="s">
        <v>1037</v>
      </c>
      <c r="Q2168" s="55" t="s">
        <v>350</v>
      </c>
      <c r="R2168" s="55">
        <v>160</v>
      </c>
      <c r="S2168" s="74"/>
      <c r="U2168" s="73" t="s">
        <v>351</v>
      </c>
      <c r="V2168" s="74">
        <v>44579</v>
      </c>
      <c r="W2168" s="74">
        <v>44629</v>
      </c>
      <c r="X2168" s="55">
        <v>10183464</v>
      </c>
      <c r="Y2168" s="55" t="s">
        <v>140</v>
      </c>
      <c r="AB2168" s="55" t="s">
        <v>132</v>
      </c>
      <c r="AC2168" s="55" t="s">
        <v>140</v>
      </c>
    </row>
    <row r="2169" spans="1:29" ht="13" x14ac:dyDescent="0.15">
      <c r="A2169" s="72" t="str">
        <f t="shared" si="33"/>
        <v>Ofsted Social Care Provider Webpage</v>
      </c>
      <c r="B2169" s="55" t="s">
        <v>3678</v>
      </c>
      <c r="D2169" s="55" t="s">
        <v>373</v>
      </c>
      <c r="E2169" s="74">
        <v>37820</v>
      </c>
      <c r="F2169" s="55" t="s">
        <v>344</v>
      </c>
      <c r="G2169" s="55" t="s">
        <v>360</v>
      </c>
      <c r="H2169" s="55" t="s">
        <v>360</v>
      </c>
      <c r="I2169" s="55" t="s">
        <v>360</v>
      </c>
      <c r="J2169" s="55" t="s">
        <v>360</v>
      </c>
      <c r="K2169" s="55" t="s">
        <v>360</v>
      </c>
      <c r="L2169" s="55" t="s">
        <v>360</v>
      </c>
      <c r="M2169" s="55" t="s">
        <v>129</v>
      </c>
      <c r="N2169" s="55" t="s">
        <v>129</v>
      </c>
      <c r="O2169" s="55" t="s">
        <v>191</v>
      </c>
      <c r="P2169" s="55" t="s">
        <v>1224</v>
      </c>
      <c r="Q2169" s="55" t="s">
        <v>350</v>
      </c>
      <c r="R2169" s="55">
        <v>6</v>
      </c>
      <c r="S2169" s="74"/>
      <c r="U2169" s="73" t="s">
        <v>351</v>
      </c>
      <c r="V2169" s="74">
        <v>44425</v>
      </c>
      <c r="W2169" s="74">
        <v>44476</v>
      </c>
      <c r="X2169" s="55">
        <v>10205029</v>
      </c>
      <c r="Y2169" s="55" t="s">
        <v>132</v>
      </c>
      <c r="AB2169" s="55" t="s">
        <v>132</v>
      </c>
      <c r="AC2169" s="55" t="s">
        <v>130</v>
      </c>
    </row>
    <row r="2170" spans="1:29" ht="13" x14ac:dyDescent="0.15">
      <c r="A2170" s="72" t="str">
        <f t="shared" si="33"/>
        <v>Ofsted Social Care Provider Webpage</v>
      </c>
      <c r="B2170" s="55" t="s">
        <v>3679</v>
      </c>
      <c r="D2170" s="55" t="s">
        <v>373</v>
      </c>
      <c r="E2170" s="74">
        <v>37945</v>
      </c>
      <c r="F2170" s="55" t="s">
        <v>344</v>
      </c>
      <c r="G2170" s="55" t="s">
        <v>360</v>
      </c>
      <c r="H2170" s="55" t="s">
        <v>360</v>
      </c>
      <c r="I2170" s="55" t="s">
        <v>360</v>
      </c>
      <c r="J2170" s="55" t="s">
        <v>360</v>
      </c>
      <c r="K2170" s="55" t="s">
        <v>360</v>
      </c>
      <c r="L2170" s="55" t="s">
        <v>360</v>
      </c>
      <c r="M2170" s="55" t="s">
        <v>144</v>
      </c>
      <c r="N2170" s="55" t="s">
        <v>144</v>
      </c>
      <c r="O2170" s="55" t="s">
        <v>209</v>
      </c>
      <c r="P2170" s="55" t="s">
        <v>597</v>
      </c>
      <c r="Q2170" s="55" t="s">
        <v>380</v>
      </c>
      <c r="R2170" s="55">
        <v>6</v>
      </c>
      <c r="S2170" s="74"/>
      <c r="T2170" s="55" t="s">
        <v>657</v>
      </c>
      <c r="U2170" s="73" t="s">
        <v>351</v>
      </c>
      <c r="V2170" s="74">
        <v>44613</v>
      </c>
      <c r="W2170" s="74">
        <v>44663</v>
      </c>
      <c r="X2170" s="55">
        <v>10187373</v>
      </c>
      <c r="Y2170" s="55" t="s">
        <v>146</v>
      </c>
      <c r="AB2170" s="55" t="s">
        <v>146</v>
      </c>
      <c r="AC2170" s="55" t="s">
        <v>146</v>
      </c>
    </row>
    <row r="2171" spans="1:29" ht="13" x14ac:dyDescent="0.15">
      <c r="A2171" s="72" t="str">
        <f t="shared" si="33"/>
        <v>Ofsted Social Care Provider Webpage</v>
      </c>
      <c r="B2171" s="55" t="s">
        <v>3680</v>
      </c>
      <c r="D2171" s="55" t="s">
        <v>389</v>
      </c>
      <c r="E2171" s="74">
        <v>38194</v>
      </c>
      <c r="F2171" s="55" t="s">
        <v>344</v>
      </c>
      <c r="G2171" s="55" t="s">
        <v>3681</v>
      </c>
      <c r="H2171" s="55" t="s">
        <v>3682</v>
      </c>
      <c r="I2171" s="55" t="s">
        <v>3683</v>
      </c>
      <c r="J2171" s="55" t="s">
        <v>1523</v>
      </c>
      <c r="K2171" s="55" t="s">
        <v>190</v>
      </c>
      <c r="L2171" s="55" t="s">
        <v>3684</v>
      </c>
      <c r="M2171" s="55" t="s">
        <v>150</v>
      </c>
      <c r="N2171" s="55" t="s">
        <v>150</v>
      </c>
      <c r="O2171" s="55" t="s">
        <v>190</v>
      </c>
      <c r="P2171" s="55" t="s">
        <v>1523</v>
      </c>
      <c r="Q2171" s="55" t="s">
        <v>350</v>
      </c>
      <c r="R2171" s="55"/>
      <c r="S2171" s="74"/>
      <c r="T2171" s="55" t="s">
        <v>3529</v>
      </c>
      <c r="U2171" s="73" t="s">
        <v>351</v>
      </c>
      <c r="V2171" s="74">
        <v>43325</v>
      </c>
      <c r="W2171" s="74">
        <v>43356</v>
      </c>
      <c r="X2171" s="55">
        <v>10046842</v>
      </c>
      <c r="Y2171" s="55" t="s">
        <v>132</v>
      </c>
      <c r="AB2171" s="55" t="s">
        <v>130</v>
      </c>
      <c r="AC2171" s="55" t="s">
        <v>132</v>
      </c>
    </row>
    <row r="2172" spans="1:29" ht="13" x14ac:dyDescent="0.15">
      <c r="A2172" s="72" t="str">
        <f t="shared" si="33"/>
        <v>Ofsted Social Care Provider Webpage</v>
      </c>
      <c r="B2172" s="55" t="s">
        <v>3685</v>
      </c>
      <c r="C2172" s="55">
        <v>131355</v>
      </c>
      <c r="D2172" s="55" t="s">
        <v>398</v>
      </c>
      <c r="E2172" s="74">
        <v>37550</v>
      </c>
      <c r="F2172" s="55" t="s">
        <v>344</v>
      </c>
      <c r="G2172" s="55" t="s">
        <v>3686</v>
      </c>
      <c r="H2172" s="55" t="s">
        <v>3686</v>
      </c>
      <c r="I2172" s="55" t="s">
        <v>3687</v>
      </c>
      <c r="J2172" s="55" t="s">
        <v>3347</v>
      </c>
      <c r="L2172" s="55" t="s">
        <v>3688</v>
      </c>
      <c r="M2172" s="55" t="s">
        <v>144</v>
      </c>
      <c r="N2172" s="55" t="s">
        <v>144</v>
      </c>
      <c r="O2172" s="55" t="s">
        <v>209</v>
      </c>
      <c r="P2172" s="55" t="s">
        <v>474</v>
      </c>
      <c r="Q2172" s="55" t="s">
        <v>350</v>
      </c>
      <c r="R2172" s="55">
        <v>295</v>
      </c>
      <c r="S2172" s="74"/>
      <c r="T2172" s="55" t="s">
        <v>3689</v>
      </c>
      <c r="U2172" s="73" t="s">
        <v>351</v>
      </c>
      <c r="V2172" s="74">
        <v>44600</v>
      </c>
      <c r="W2172" s="74">
        <v>44652</v>
      </c>
      <c r="X2172" s="55">
        <v>10210828</v>
      </c>
      <c r="Y2172" s="55" t="s">
        <v>132</v>
      </c>
      <c r="AB2172" s="55" t="s">
        <v>132</v>
      </c>
      <c r="AC2172" s="55" t="s">
        <v>132</v>
      </c>
    </row>
    <row r="2173" spans="1:29" ht="13" x14ac:dyDescent="0.15">
      <c r="A2173" s="72" t="str">
        <f t="shared" si="33"/>
        <v>Ofsted Social Care Provider Webpage</v>
      </c>
      <c r="B2173" s="55" t="s">
        <v>3690</v>
      </c>
      <c r="D2173" s="55" t="s">
        <v>373</v>
      </c>
      <c r="E2173" s="74">
        <v>37928</v>
      </c>
      <c r="F2173" s="55" t="s">
        <v>344</v>
      </c>
      <c r="G2173" s="55" t="s">
        <v>360</v>
      </c>
      <c r="H2173" s="55" t="s">
        <v>360</v>
      </c>
      <c r="I2173" s="55" t="s">
        <v>360</v>
      </c>
      <c r="J2173" s="55" t="s">
        <v>360</v>
      </c>
      <c r="K2173" s="55" t="s">
        <v>360</v>
      </c>
      <c r="L2173" s="55" t="s">
        <v>360</v>
      </c>
      <c r="M2173" s="55" t="s">
        <v>378</v>
      </c>
      <c r="N2173" s="55" t="s">
        <v>134</v>
      </c>
      <c r="O2173" s="55" t="s">
        <v>251</v>
      </c>
      <c r="P2173" s="55" t="s">
        <v>1709</v>
      </c>
      <c r="Q2173" s="55" t="s">
        <v>380</v>
      </c>
      <c r="R2173" s="55">
        <v>4</v>
      </c>
      <c r="S2173" s="74"/>
      <c r="T2173" s="55" t="s">
        <v>3358</v>
      </c>
      <c r="U2173" s="73" t="s">
        <v>351</v>
      </c>
      <c r="V2173" s="74">
        <v>44622</v>
      </c>
      <c r="W2173" s="74">
        <v>44672</v>
      </c>
      <c r="X2173" s="55">
        <v>10215975</v>
      </c>
      <c r="Y2173" s="55" t="s">
        <v>130</v>
      </c>
      <c r="AB2173" s="55" t="s">
        <v>130</v>
      </c>
      <c r="AC2173" s="55" t="s">
        <v>130</v>
      </c>
    </row>
    <row r="2174" spans="1:29" ht="13" x14ac:dyDescent="0.15">
      <c r="A2174" s="72" t="str">
        <f t="shared" si="33"/>
        <v>Ofsted Social Care Provider Webpage</v>
      </c>
      <c r="B2174" s="55" t="s">
        <v>3691</v>
      </c>
      <c r="D2174" s="55" t="s">
        <v>373</v>
      </c>
      <c r="E2174" s="74">
        <v>37879</v>
      </c>
      <c r="F2174" s="55" t="s">
        <v>344</v>
      </c>
      <c r="G2174" s="55" t="s">
        <v>360</v>
      </c>
      <c r="H2174" s="55" t="s">
        <v>360</v>
      </c>
      <c r="I2174" s="55" t="s">
        <v>360</v>
      </c>
      <c r="J2174" s="55" t="s">
        <v>360</v>
      </c>
      <c r="K2174" s="55" t="s">
        <v>360</v>
      </c>
      <c r="L2174" s="55" t="s">
        <v>360</v>
      </c>
      <c r="M2174" s="55" t="s">
        <v>144</v>
      </c>
      <c r="N2174" s="55" t="s">
        <v>144</v>
      </c>
      <c r="O2174" s="55" t="s">
        <v>188</v>
      </c>
      <c r="P2174" s="55" t="s">
        <v>188</v>
      </c>
      <c r="Q2174" s="55" t="s">
        <v>380</v>
      </c>
      <c r="R2174" s="55">
        <v>4</v>
      </c>
      <c r="S2174" s="74" t="s">
        <v>332</v>
      </c>
      <c r="T2174" s="55" t="s">
        <v>3692</v>
      </c>
      <c r="U2174" s="73" t="s">
        <v>351</v>
      </c>
      <c r="V2174" s="74">
        <v>44516</v>
      </c>
      <c r="W2174" s="74">
        <v>44546</v>
      </c>
      <c r="X2174" s="55">
        <v>10186084</v>
      </c>
      <c r="Y2174" s="55" t="s">
        <v>132</v>
      </c>
      <c r="AB2174" s="55" t="s">
        <v>132</v>
      </c>
      <c r="AC2174" s="55" t="s">
        <v>132</v>
      </c>
    </row>
    <row r="2175" spans="1:29" ht="13" x14ac:dyDescent="0.15">
      <c r="A2175" s="72" t="str">
        <f t="shared" si="33"/>
        <v>Ofsted Social Care Provider Webpage</v>
      </c>
      <c r="B2175" s="55" t="s">
        <v>3693</v>
      </c>
      <c r="D2175" s="55" t="s">
        <v>389</v>
      </c>
      <c r="E2175" s="74">
        <v>37995</v>
      </c>
      <c r="F2175" s="55" t="s">
        <v>344</v>
      </c>
      <c r="G2175" s="55" t="s">
        <v>3694</v>
      </c>
      <c r="H2175" s="55" t="s">
        <v>3695</v>
      </c>
      <c r="I2175" s="55" t="s">
        <v>3696</v>
      </c>
      <c r="J2175" s="55" t="s">
        <v>3697</v>
      </c>
      <c r="K2175" s="55" t="s">
        <v>190</v>
      </c>
      <c r="L2175" s="55" t="s">
        <v>3698</v>
      </c>
      <c r="M2175" s="55" t="s">
        <v>150</v>
      </c>
      <c r="N2175" s="55" t="s">
        <v>150</v>
      </c>
      <c r="O2175" s="55" t="s">
        <v>190</v>
      </c>
      <c r="P2175" s="55" t="s">
        <v>3699</v>
      </c>
      <c r="Q2175" s="55" t="s">
        <v>362</v>
      </c>
      <c r="R2175" s="55"/>
      <c r="S2175" s="74"/>
      <c r="T2175" s="55" t="s">
        <v>367</v>
      </c>
      <c r="U2175" s="73" t="s">
        <v>351</v>
      </c>
      <c r="V2175" s="74">
        <v>43535</v>
      </c>
      <c r="W2175" s="74">
        <v>43580</v>
      </c>
      <c r="X2175" s="55">
        <v>10045846</v>
      </c>
      <c r="Y2175" s="55" t="s">
        <v>132</v>
      </c>
      <c r="AB2175" s="55" t="s">
        <v>132</v>
      </c>
      <c r="AC2175" s="55" t="s">
        <v>130</v>
      </c>
    </row>
    <row r="2176" spans="1:29" ht="13" x14ac:dyDescent="0.15">
      <c r="A2176" s="72" t="str">
        <f t="shared" si="33"/>
        <v>Ofsted Social Care Provider Webpage</v>
      </c>
      <c r="B2176" s="55" t="s">
        <v>3700</v>
      </c>
      <c r="D2176" s="55" t="s">
        <v>373</v>
      </c>
      <c r="E2176" s="74">
        <v>37852</v>
      </c>
      <c r="F2176" s="55" t="s">
        <v>344</v>
      </c>
      <c r="G2176" s="55" t="s">
        <v>360</v>
      </c>
      <c r="H2176" s="55" t="s">
        <v>360</v>
      </c>
      <c r="I2176" s="55" t="s">
        <v>360</v>
      </c>
      <c r="J2176" s="55" t="s">
        <v>360</v>
      </c>
      <c r="K2176" s="55" t="s">
        <v>360</v>
      </c>
      <c r="L2176" s="55" t="s">
        <v>360</v>
      </c>
      <c r="M2176" s="55" t="s">
        <v>144</v>
      </c>
      <c r="N2176" s="55" t="s">
        <v>144</v>
      </c>
      <c r="O2176" s="55" t="s">
        <v>209</v>
      </c>
      <c r="P2176" s="55" t="s">
        <v>650</v>
      </c>
      <c r="Q2176" s="55" t="s">
        <v>380</v>
      </c>
      <c r="R2176" s="55">
        <v>6</v>
      </c>
      <c r="S2176" s="74"/>
      <c r="T2176" s="55" t="s">
        <v>657</v>
      </c>
      <c r="U2176" s="73" t="s">
        <v>351</v>
      </c>
      <c r="V2176" s="74">
        <v>44586</v>
      </c>
      <c r="W2176" s="74">
        <v>44642</v>
      </c>
      <c r="X2176" s="55">
        <v>10185537</v>
      </c>
      <c r="Y2176" s="55" t="s">
        <v>146</v>
      </c>
      <c r="AB2176" s="55" t="s">
        <v>146</v>
      </c>
      <c r="AC2176" s="55" t="s">
        <v>146</v>
      </c>
    </row>
    <row r="2177" spans="1:29" ht="13" x14ac:dyDescent="0.15">
      <c r="A2177" s="72" t="str">
        <f t="shared" si="33"/>
        <v>Ofsted Social Care Provider Webpage</v>
      </c>
      <c r="B2177" s="55" t="s">
        <v>3701</v>
      </c>
      <c r="D2177" s="55" t="s">
        <v>373</v>
      </c>
      <c r="E2177" s="74">
        <v>37992</v>
      </c>
      <c r="F2177" s="55" t="s">
        <v>344</v>
      </c>
      <c r="G2177" s="55" t="s">
        <v>360</v>
      </c>
      <c r="H2177" s="55" t="s">
        <v>360</v>
      </c>
      <c r="I2177" s="55" t="s">
        <v>360</v>
      </c>
      <c r="J2177" s="55" t="s">
        <v>360</v>
      </c>
      <c r="K2177" s="55" t="s">
        <v>360</v>
      </c>
      <c r="L2177" s="55" t="s">
        <v>360</v>
      </c>
      <c r="M2177" s="55" t="s">
        <v>144</v>
      </c>
      <c r="N2177" s="55" t="s">
        <v>144</v>
      </c>
      <c r="O2177" s="55" t="s">
        <v>209</v>
      </c>
      <c r="P2177" s="55" t="s">
        <v>629</v>
      </c>
      <c r="Q2177" s="55" t="s">
        <v>380</v>
      </c>
      <c r="R2177" s="55">
        <v>6</v>
      </c>
      <c r="S2177" s="74" t="s">
        <v>332</v>
      </c>
      <c r="T2177" s="55" t="s">
        <v>657</v>
      </c>
      <c r="U2177" s="73" t="s">
        <v>351</v>
      </c>
      <c r="V2177" s="74">
        <v>44635</v>
      </c>
      <c r="W2177" s="74">
        <v>44680</v>
      </c>
      <c r="X2177" s="55">
        <v>10185907</v>
      </c>
      <c r="Y2177" s="55" t="s">
        <v>132</v>
      </c>
      <c r="AB2177" s="55" t="s">
        <v>132</v>
      </c>
      <c r="AC2177" s="55" t="s">
        <v>130</v>
      </c>
    </row>
    <row r="2178" spans="1:29" ht="13" x14ac:dyDescent="0.15">
      <c r="A2178" s="72" t="str">
        <f t="shared" si="33"/>
        <v>Ofsted Social Care Provider Webpage</v>
      </c>
      <c r="B2178" s="55" t="s">
        <v>3702</v>
      </c>
      <c r="D2178" s="55" t="s">
        <v>373</v>
      </c>
      <c r="E2178" s="74">
        <v>37852</v>
      </c>
      <c r="F2178" s="55" t="s">
        <v>344</v>
      </c>
      <c r="G2178" s="55" t="s">
        <v>360</v>
      </c>
      <c r="H2178" s="55" t="s">
        <v>360</v>
      </c>
      <c r="I2178" s="55" t="s">
        <v>360</v>
      </c>
      <c r="J2178" s="55" t="s">
        <v>360</v>
      </c>
      <c r="K2178" s="55" t="s">
        <v>360</v>
      </c>
      <c r="L2178" s="55" t="s">
        <v>360</v>
      </c>
      <c r="M2178" s="55" t="s">
        <v>144</v>
      </c>
      <c r="N2178" s="55" t="s">
        <v>144</v>
      </c>
      <c r="O2178" s="55" t="s">
        <v>209</v>
      </c>
      <c r="P2178" s="55" t="s">
        <v>629</v>
      </c>
      <c r="Q2178" s="55" t="s">
        <v>380</v>
      </c>
      <c r="R2178" s="55">
        <v>6</v>
      </c>
      <c r="S2178" s="74"/>
      <c r="T2178" s="55" t="s">
        <v>657</v>
      </c>
      <c r="U2178" s="73" t="s">
        <v>351</v>
      </c>
      <c r="V2178" s="74">
        <v>44321</v>
      </c>
      <c r="W2178" s="74">
        <v>44362</v>
      </c>
      <c r="X2178" s="55">
        <v>10187465</v>
      </c>
      <c r="Y2178" s="55" t="s">
        <v>132</v>
      </c>
      <c r="AB2178" s="55" t="s">
        <v>132</v>
      </c>
      <c r="AC2178" s="55" t="s">
        <v>132</v>
      </c>
    </row>
    <row r="2179" spans="1:29" ht="13" x14ac:dyDescent="0.15">
      <c r="A2179" s="72" t="str">
        <f t="shared" si="33"/>
        <v>Ofsted Social Care Provider Webpage</v>
      </c>
      <c r="B2179" s="55" t="s">
        <v>3703</v>
      </c>
      <c r="D2179" s="55" t="s">
        <v>373</v>
      </c>
      <c r="E2179" s="74">
        <v>37939</v>
      </c>
      <c r="F2179" s="55" t="s">
        <v>344</v>
      </c>
      <c r="G2179" s="55" t="s">
        <v>360</v>
      </c>
      <c r="H2179" s="55" t="s">
        <v>360</v>
      </c>
      <c r="I2179" s="55" t="s">
        <v>360</v>
      </c>
      <c r="J2179" s="55" t="s">
        <v>360</v>
      </c>
      <c r="K2179" s="55" t="s">
        <v>360</v>
      </c>
      <c r="L2179" s="55" t="s">
        <v>360</v>
      </c>
      <c r="M2179" s="55" t="s">
        <v>144</v>
      </c>
      <c r="N2179" s="55" t="s">
        <v>144</v>
      </c>
      <c r="O2179" s="55" t="s">
        <v>209</v>
      </c>
      <c r="P2179" s="55" t="s">
        <v>545</v>
      </c>
      <c r="Q2179" s="55" t="s">
        <v>380</v>
      </c>
      <c r="R2179" s="55">
        <v>6</v>
      </c>
      <c r="S2179" s="74"/>
      <c r="T2179" s="55" t="s">
        <v>657</v>
      </c>
      <c r="U2179" s="73" t="s">
        <v>351</v>
      </c>
      <c r="V2179" s="74">
        <v>44453</v>
      </c>
      <c r="W2179" s="74">
        <v>44517</v>
      </c>
      <c r="X2179" s="55">
        <v>10187234</v>
      </c>
      <c r="Y2179" s="55" t="s">
        <v>130</v>
      </c>
      <c r="AB2179" s="55" t="s">
        <v>130</v>
      </c>
      <c r="AC2179" s="55" t="s">
        <v>130</v>
      </c>
    </row>
    <row r="2180" spans="1:29" ht="13" x14ac:dyDescent="0.15">
      <c r="A2180" s="72" t="str">
        <f t="shared" si="33"/>
        <v>Ofsted Social Care Provider Webpage</v>
      </c>
      <c r="B2180" s="55" t="s">
        <v>3704</v>
      </c>
      <c r="C2180" s="55">
        <v>137313</v>
      </c>
      <c r="D2180" s="55" t="s">
        <v>398</v>
      </c>
      <c r="E2180" s="74">
        <v>37567</v>
      </c>
      <c r="F2180" s="55" t="s">
        <v>344</v>
      </c>
      <c r="G2180" s="55" t="s">
        <v>3705</v>
      </c>
      <c r="H2180" s="55" t="s">
        <v>3706</v>
      </c>
      <c r="I2180" s="55" t="s">
        <v>354</v>
      </c>
      <c r="J2180" s="55" t="s">
        <v>3707</v>
      </c>
      <c r="K2180" s="55" t="s">
        <v>255</v>
      </c>
      <c r="L2180" s="55" t="s">
        <v>3708</v>
      </c>
      <c r="M2180" s="55" t="s">
        <v>136</v>
      </c>
      <c r="N2180" s="55" t="s">
        <v>136</v>
      </c>
      <c r="O2180" s="55" t="s">
        <v>255</v>
      </c>
      <c r="P2180" s="55" t="s">
        <v>609</v>
      </c>
      <c r="Q2180" s="55" t="s">
        <v>420</v>
      </c>
      <c r="R2180" s="55">
        <v>164</v>
      </c>
      <c r="S2180" s="74"/>
      <c r="T2180" s="55" t="s">
        <v>3709</v>
      </c>
      <c r="U2180" s="73" t="s">
        <v>351</v>
      </c>
      <c r="V2180" s="74">
        <v>44508</v>
      </c>
      <c r="W2180" s="74">
        <v>44566</v>
      </c>
      <c r="X2180" s="55">
        <v>10183281</v>
      </c>
      <c r="Y2180" s="55" t="s">
        <v>132</v>
      </c>
      <c r="AB2180" s="55" t="s">
        <v>132</v>
      </c>
      <c r="AC2180" s="55" t="s">
        <v>132</v>
      </c>
    </row>
    <row r="2181" spans="1:29" ht="13" x14ac:dyDescent="0.15">
      <c r="A2181" s="72" t="str">
        <f t="shared" si="33"/>
        <v>Ofsted Social Care Provider Webpage</v>
      </c>
      <c r="B2181" s="55" t="s">
        <v>3710</v>
      </c>
      <c r="D2181" s="55" t="s">
        <v>373</v>
      </c>
      <c r="E2181" s="74">
        <v>37733</v>
      </c>
      <c r="F2181" s="55" t="s">
        <v>344</v>
      </c>
      <c r="G2181" s="55" t="s">
        <v>360</v>
      </c>
      <c r="H2181" s="55" t="s">
        <v>360</v>
      </c>
      <c r="I2181" s="55" t="s">
        <v>360</v>
      </c>
      <c r="J2181" s="55" t="s">
        <v>360</v>
      </c>
      <c r="K2181" s="55" t="s">
        <v>360</v>
      </c>
      <c r="L2181" s="55" t="s">
        <v>360</v>
      </c>
      <c r="M2181" s="55" t="s">
        <v>142</v>
      </c>
      <c r="N2181" s="55" t="s">
        <v>142</v>
      </c>
      <c r="O2181" s="55" t="s">
        <v>177</v>
      </c>
      <c r="P2181" s="55" t="s">
        <v>835</v>
      </c>
      <c r="Q2181" s="55" t="s">
        <v>380</v>
      </c>
      <c r="R2181" s="55">
        <v>4</v>
      </c>
      <c r="S2181" s="74"/>
      <c r="T2181" s="55" t="s">
        <v>3584</v>
      </c>
      <c r="U2181" s="73" t="s">
        <v>351</v>
      </c>
      <c r="V2181" s="74">
        <v>43846</v>
      </c>
      <c r="W2181" s="74">
        <v>43886</v>
      </c>
      <c r="X2181" s="55">
        <v>10095471</v>
      </c>
      <c r="Y2181" s="55" t="s">
        <v>146</v>
      </c>
      <c r="AB2181" s="55" t="s">
        <v>146</v>
      </c>
      <c r="AC2181" s="55" t="s">
        <v>146</v>
      </c>
    </row>
    <row r="2182" spans="1:29" ht="13" x14ac:dyDescent="0.15">
      <c r="A2182" s="72" t="str">
        <f t="shared" ref="A2182:A2245" si="34">HYPERLINK(_xlfn.CONCAT("http://reports.ofsted.gov.uk/inspection-reports/find-inspection-report/provider/CARE/",B2182),"Ofsted Social Care Provider Webpage")</f>
        <v>Ofsted Social Care Provider Webpage</v>
      </c>
      <c r="B2182" s="55" t="s">
        <v>3711</v>
      </c>
      <c r="D2182" s="55" t="s">
        <v>373</v>
      </c>
      <c r="E2182" s="74">
        <v>37733</v>
      </c>
      <c r="F2182" s="55" t="s">
        <v>344</v>
      </c>
      <c r="G2182" s="55" t="s">
        <v>360</v>
      </c>
      <c r="H2182" s="55" t="s">
        <v>360</v>
      </c>
      <c r="I2182" s="55" t="s">
        <v>360</v>
      </c>
      <c r="J2182" s="55" t="s">
        <v>360</v>
      </c>
      <c r="K2182" s="55" t="s">
        <v>360</v>
      </c>
      <c r="L2182" s="55" t="s">
        <v>360</v>
      </c>
      <c r="M2182" s="55" t="s">
        <v>142</v>
      </c>
      <c r="N2182" s="55" t="s">
        <v>142</v>
      </c>
      <c r="O2182" s="55" t="s">
        <v>177</v>
      </c>
      <c r="P2182" s="55" t="s">
        <v>835</v>
      </c>
      <c r="Q2182" s="55" t="s">
        <v>380</v>
      </c>
      <c r="R2182" s="55">
        <v>7</v>
      </c>
      <c r="S2182" s="74"/>
      <c r="T2182" s="55" t="s">
        <v>3584</v>
      </c>
      <c r="U2182" s="73" t="s">
        <v>351</v>
      </c>
      <c r="V2182" s="74">
        <v>44453</v>
      </c>
      <c r="W2182" s="74">
        <v>44487</v>
      </c>
      <c r="X2182" s="55">
        <v>10187399</v>
      </c>
      <c r="Y2182" s="55" t="s">
        <v>132</v>
      </c>
      <c r="AB2182" s="55" t="s">
        <v>132</v>
      </c>
      <c r="AC2182" s="55" t="s">
        <v>130</v>
      </c>
    </row>
    <row r="2183" spans="1:29" ht="13" x14ac:dyDescent="0.15">
      <c r="A2183" s="72" t="str">
        <f t="shared" si="34"/>
        <v>Ofsted Social Care Provider Webpage</v>
      </c>
      <c r="B2183" s="55" t="s">
        <v>3712</v>
      </c>
      <c r="C2183" s="55">
        <v>112456</v>
      </c>
      <c r="D2183" s="55" t="s">
        <v>413</v>
      </c>
      <c r="E2183" s="74">
        <v>37573</v>
      </c>
      <c r="F2183" s="55" t="s">
        <v>344</v>
      </c>
      <c r="G2183" s="55" t="s">
        <v>3713</v>
      </c>
      <c r="H2183" s="55" t="s">
        <v>3713</v>
      </c>
      <c r="I2183" s="55" t="s">
        <v>3714</v>
      </c>
      <c r="J2183" s="55" t="s">
        <v>3715</v>
      </c>
      <c r="L2183" s="55" t="s">
        <v>3716</v>
      </c>
      <c r="M2183" s="55" t="s">
        <v>378</v>
      </c>
      <c r="N2183" s="55" t="s">
        <v>134</v>
      </c>
      <c r="O2183" s="55" t="s">
        <v>232</v>
      </c>
      <c r="P2183" s="55" t="s">
        <v>496</v>
      </c>
      <c r="Q2183" s="55" t="s">
        <v>350</v>
      </c>
      <c r="R2183" s="55">
        <v>28</v>
      </c>
      <c r="S2183" s="74"/>
      <c r="T2183" s="55" t="s">
        <v>3717</v>
      </c>
      <c r="U2183" s="73" t="s">
        <v>351</v>
      </c>
      <c r="V2183" s="74">
        <v>44461</v>
      </c>
      <c r="W2183" s="74">
        <v>44510</v>
      </c>
      <c r="X2183" s="55">
        <v>10183514</v>
      </c>
      <c r="Y2183" s="55" t="s">
        <v>140</v>
      </c>
      <c r="AB2183" s="55" t="s">
        <v>140</v>
      </c>
      <c r="AC2183" s="55" t="s">
        <v>140</v>
      </c>
    </row>
    <row r="2184" spans="1:29" ht="13" x14ac:dyDescent="0.15">
      <c r="A2184" s="72" t="str">
        <f t="shared" si="34"/>
        <v>Ofsted Social Care Provider Webpage</v>
      </c>
      <c r="B2184" s="55" t="s">
        <v>3718</v>
      </c>
      <c r="C2184" s="55">
        <v>112452</v>
      </c>
      <c r="D2184" s="55" t="s">
        <v>413</v>
      </c>
      <c r="E2184" s="74">
        <v>37573</v>
      </c>
      <c r="F2184" s="55" t="s">
        <v>344</v>
      </c>
      <c r="G2184" s="55" t="s">
        <v>3719</v>
      </c>
      <c r="H2184" s="55" t="s">
        <v>3720</v>
      </c>
      <c r="I2184" s="55" t="s">
        <v>3721</v>
      </c>
      <c r="J2184" s="55" t="s">
        <v>3722</v>
      </c>
      <c r="K2184" s="55" t="s">
        <v>168</v>
      </c>
      <c r="L2184" s="55" t="s">
        <v>3723</v>
      </c>
      <c r="M2184" s="55" t="s">
        <v>144</v>
      </c>
      <c r="N2184" s="55" t="s">
        <v>144</v>
      </c>
      <c r="O2184" s="55" t="s">
        <v>168</v>
      </c>
      <c r="P2184" s="55" t="s">
        <v>834</v>
      </c>
      <c r="Q2184" s="55" t="s">
        <v>350</v>
      </c>
      <c r="R2184" s="55">
        <v>16</v>
      </c>
      <c r="S2184" s="74"/>
      <c r="T2184" s="55" t="s">
        <v>3717</v>
      </c>
      <c r="U2184" s="73" t="s">
        <v>351</v>
      </c>
      <c r="V2184" s="74">
        <v>44488</v>
      </c>
      <c r="W2184" s="74">
        <v>44539</v>
      </c>
      <c r="X2184" s="55">
        <v>10183530</v>
      </c>
      <c r="Y2184" s="55" t="s">
        <v>132</v>
      </c>
      <c r="AB2184" s="55" t="s">
        <v>132</v>
      </c>
      <c r="AC2184" s="55" t="s">
        <v>132</v>
      </c>
    </row>
    <row r="2185" spans="1:29" ht="13" x14ac:dyDescent="0.15">
      <c r="A2185" s="72" t="str">
        <f t="shared" si="34"/>
        <v>Ofsted Social Care Provider Webpage</v>
      </c>
      <c r="B2185" s="55" t="s">
        <v>3724</v>
      </c>
      <c r="C2185" s="55">
        <v>137205</v>
      </c>
      <c r="D2185" s="55" t="s">
        <v>398</v>
      </c>
      <c r="E2185" s="74">
        <v>37573</v>
      </c>
      <c r="F2185" s="55" t="s">
        <v>344</v>
      </c>
      <c r="G2185" s="55" t="s">
        <v>3725</v>
      </c>
      <c r="H2185" s="55" t="s">
        <v>3726</v>
      </c>
      <c r="I2185" s="55" t="s">
        <v>354</v>
      </c>
      <c r="J2185" s="55" t="s">
        <v>3727</v>
      </c>
      <c r="K2185" s="55" t="s">
        <v>168</v>
      </c>
      <c r="L2185" s="55" t="s">
        <v>3728</v>
      </c>
      <c r="M2185" s="55" t="s">
        <v>144</v>
      </c>
      <c r="N2185" s="55" t="s">
        <v>144</v>
      </c>
      <c r="O2185" s="55" t="s">
        <v>168</v>
      </c>
      <c r="P2185" s="55" t="s">
        <v>834</v>
      </c>
      <c r="Q2185" s="55" t="s">
        <v>420</v>
      </c>
      <c r="R2185" s="55">
        <v>139</v>
      </c>
      <c r="S2185" s="74"/>
      <c r="T2185" s="55" t="s">
        <v>3729</v>
      </c>
      <c r="U2185" s="73" t="s">
        <v>351</v>
      </c>
      <c r="V2185" s="74">
        <v>43368</v>
      </c>
      <c r="W2185" s="74">
        <v>43480</v>
      </c>
      <c r="X2185" s="55">
        <v>10046813</v>
      </c>
      <c r="Y2185" s="55" t="s">
        <v>132</v>
      </c>
      <c r="AB2185" s="55" t="s">
        <v>132</v>
      </c>
      <c r="AC2185" s="55" t="s">
        <v>132</v>
      </c>
    </row>
    <row r="2186" spans="1:29" ht="13" x14ac:dyDescent="0.15">
      <c r="A2186" s="72" t="str">
        <f t="shared" si="34"/>
        <v>Ofsted Social Care Provider Webpage</v>
      </c>
      <c r="B2186" s="55" t="s">
        <v>3730</v>
      </c>
      <c r="D2186" s="55" t="s">
        <v>373</v>
      </c>
      <c r="E2186" s="74">
        <v>37712</v>
      </c>
      <c r="F2186" s="55" t="s">
        <v>344</v>
      </c>
      <c r="G2186" s="55" t="s">
        <v>360</v>
      </c>
      <c r="H2186" s="55" t="s">
        <v>360</v>
      </c>
      <c r="I2186" s="55" t="s">
        <v>360</v>
      </c>
      <c r="J2186" s="55" t="s">
        <v>360</v>
      </c>
      <c r="K2186" s="55" t="s">
        <v>360</v>
      </c>
      <c r="L2186" s="55" t="s">
        <v>360</v>
      </c>
      <c r="M2186" s="55" t="s">
        <v>378</v>
      </c>
      <c r="N2186" s="55" t="s">
        <v>134</v>
      </c>
      <c r="O2186" s="55" t="s">
        <v>204</v>
      </c>
      <c r="P2186" s="55" t="s">
        <v>1478</v>
      </c>
      <c r="Q2186" s="55" t="s">
        <v>380</v>
      </c>
      <c r="R2186" s="55">
        <v>6</v>
      </c>
      <c r="S2186" s="74"/>
      <c r="T2186" s="55" t="s">
        <v>1479</v>
      </c>
      <c r="U2186" s="73" t="s">
        <v>351</v>
      </c>
      <c r="V2186" s="74">
        <v>44495</v>
      </c>
      <c r="W2186" s="74">
        <v>44540</v>
      </c>
      <c r="X2186" s="55">
        <v>10202495</v>
      </c>
      <c r="Y2186" s="55" t="s">
        <v>130</v>
      </c>
      <c r="AB2186" s="55" t="s">
        <v>130</v>
      </c>
      <c r="AC2186" s="55" t="s">
        <v>130</v>
      </c>
    </row>
    <row r="2187" spans="1:29" ht="13" x14ac:dyDescent="0.15">
      <c r="A2187" s="72" t="str">
        <f t="shared" si="34"/>
        <v>Ofsted Social Care Provider Webpage</v>
      </c>
      <c r="B2187" s="55" t="s">
        <v>3731</v>
      </c>
      <c r="D2187" s="55" t="s">
        <v>373</v>
      </c>
      <c r="E2187" s="74">
        <v>37817</v>
      </c>
      <c r="F2187" s="55" t="s">
        <v>344</v>
      </c>
      <c r="G2187" s="55" t="s">
        <v>360</v>
      </c>
      <c r="H2187" s="55" t="s">
        <v>360</v>
      </c>
      <c r="I2187" s="55" t="s">
        <v>360</v>
      </c>
      <c r="J2187" s="55" t="s">
        <v>360</v>
      </c>
      <c r="K2187" s="55" t="s">
        <v>360</v>
      </c>
      <c r="L2187" s="55" t="s">
        <v>360</v>
      </c>
      <c r="M2187" s="55" t="s">
        <v>136</v>
      </c>
      <c r="N2187" s="55" t="s">
        <v>136</v>
      </c>
      <c r="O2187" s="55" t="s">
        <v>165</v>
      </c>
      <c r="P2187" s="55" t="s">
        <v>2318</v>
      </c>
      <c r="Q2187" s="55" t="s">
        <v>380</v>
      </c>
      <c r="R2187" s="55">
        <v>4</v>
      </c>
      <c r="S2187" s="74" t="s">
        <v>332</v>
      </c>
      <c r="T2187" s="55" t="s">
        <v>2120</v>
      </c>
      <c r="U2187" s="73" t="s">
        <v>351</v>
      </c>
      <c r="V2187" s="74">
        <v>44424</v>
      </c>
      <c r="W2187" s="74">
        <v>44455</v>
      </c>
      <c r="X2187" s="55">
        <v>10186746</v>
      </c>
      <c r="Y2187" s="55" t="s">
        <v>146</v>
      </c>
      <c r="AB2187" s="55" t="s">
        <v>146</v>
      </c>
      <c r="AC2187" s="55" t="s">
        <v>146</v>
      </c>
    </row>
    <row r="2188" spans="1:29" ht="13" x14ac:dyDescent="0.15">
      <c r="A2188" s="72" t="str">
        <f t="shared" si="34"/>
        <v>Ofsted Social Care Provider Webpage</v>
      </c>
      <c r="B2188" s="55" t="s">
        <v>3732</v>
      </c>
      <c r="D2188" s="55" t="s">
        <v>373</v>
      </c>
      <c r="E2188" s="74">
        <v>37956</v>
      </c>
      <c r="F2188" s="55" t="s">
        <v>344</v>
      </c>
      <c r="G2188" s="55" t="s">
        <v>360</v>
      </c>
      <c r="H2188" s="55" t="s">
        <v>360</v>
      </c>
      <c r="I2188" s="55" t="s">
        <v>360</v>
      </c>
      <c r="J2188" s="55" t="s">
        <v>360</v>
      </c>
      <c r="K2188" s="55" t="s">
        <v>360</v>
      </c>
      <c r="L2188" s="55" t="s">
        <v>360</v>
      </c>
      <c r="M2188" s="55" t="s">
        <v>150</v>
      </c>
      <c r="N2188" s="55" t="s">
        <v>150</v>
      </c>
      <c r="O2188" s="55" t="s">
        <v>203</v>
      </c>
      <c r="P2188" s="55" t="s">
        <v>419</v>
      </c>
      <c r="Q2188" s="55" t="s">
        <v>350</v>
      </c>
      <c r="R2188" s="55">
        <v>8</v>
      </c>
      <c r="S2188" s="74"/>
      <c r="T2188" s="55" t="s">
        <v>1016</v>
      </c>
      <c r="U2188" s="73" t="s">
        <v>351</v>
      </c>
      <c r="V2188" s="74">
        <v>43781</v>
      </c>
      <c r="W2188" s="74">
        <v>43805</v>
      </c>
      <c r="X2188" s="55">
        <v>10095620</v>
      </c>
      <c r="Y2188" s="55" t="s">
        <v>132</v>
      </c>
      <c r="AB2188" s="55" t="s">
        <v>132</v>
      </c>
      <c r="AC2188" s="55" t="s">
        <v>132</v>
      </c>
    </row>
    <row r="2189" spans="1:29" ht="13" x14ac:dyDescent="0.15">
      <c r="A2189" s="72" t="str">
        <f t="shared" si="34"/>
        <v>Ofsted Social Care Provider Webpage</v>
      </c>
      <c r="B2189" s="55" t="s">
        <v>3733</v>
      </c>
      <c r="D2189" s="55" t="s">
        <v>373</v>
      </c>
      <c r="E2189" s="74">
        <v>37578</v>
      </c>
      <c r="F2189" s="55" t="s">
        <v>344</v>
      </c>
      <c r="G2189" s="55" t="s">
        <v>360</v>
      </c>
      <c r="H2189" s="55" t="s">
        <v>360</v>
      </c>
      <c r="I2189" s="55" t="s">
        <v>360</v>
      </c>
      <c r="J2189" s="55" t="s">
        <v>360</v>
      </c>
      <c r="K2189" s="55" t="s">
        <v>360</v>
      </c>
      <c r="L2189" s="55" t="s">
        <v>360</v>
      </c>
      <c r="M2189" s="55" t="s">
        <v>138</v>
      </c>
      <c r="N2189" s="55" t="s">
        <v>138</v>
      </c>
      <c r="O2189" s="55" t="s">
        <v>224</v>
      </c>
      <c r="P2189" s="55" t="s">
        <v>2271</v>
      </c>
      <c r="Q2189" s="55" t="s">
        <v>362</v>
      </c>
      <c r="R2189" s="55">
        <v>4</v>
      </c>
      <c r="S2189" s="74"/>
      <c r="T2189" s="55" t="s">
        <v>557</v>
      </c>
      <c r="U2189" s="73" t="s">
        <v>351</v>
      </c>
      <c r="V2189" s="74">
        <v>43738</v>
      </c>
      <c r="W2189" s="74">
        <v>43760</v>
      </c>
      <c r="X2189" s="55">
        <v>10095406</v>
      </c>
      <c r="Y2189" s="55" t="s">
        <v>132</v>
      </c>
      <c r="AB2189" s="55" t="s">
        <v>132</v>
      </c>
      <c r="AC2189" s="55" t="s">
        <v>132</v>
      </c>
    </row>
    <row r="2190" spans="1:29" ht="13" x14ac:dyDescent="0.15">
      <c r="A2190" s="72" t="str">
        <f t="shared" si="34"/>
        <v>Ofsted Social Care Provider Webpage</v>
      </c>
      <c r="B2190" s="55" t="s">
        <v>3734</v>
      </c>
      <c r="D2190" s="55" t="s">
        <v>373</v>
      </c>
      <c r="E2190" s="74">
        <v>37848</v>
      </c>
      <c r="F2190" s="55" t="s">
        <v>344</v>
      </c>
      <c r="G2190" s="55" t="s">
        <v>360</v>
      </c>
      <c r="H2190" s="55" t="s">
        <v>360</v>
      </c>
      <c r="I2190" s="55" t="s">
        <v>360</v>
      </c>
      <c r="J2190" s="55" t="s">
        <v>360</v>
      </c>
      <c r="K2190" s="55" t="s">
        <v>360</v>
      </c>
      <c r="L2190" s="55" t="s">
        <v>360</v>
      </c>
      <c r="M2190" s="55" t="s">
        <v>144</v>
      </c>
      <c r="N2190" s="55" t="s">
        <v>144</v>
      </c>
      <c r="O2190" s="55" t="s">
        <v>287</v>
      </c>
      <c r="P2190" s="55" t="s">
        <v>287</v>
      </c>
      <c r="Q2190" s="55" t="s">
        <v>380</v>
      </c>
      <c r="R2190" s="55">
        <v>5</v>
      </c>
      <c r="S2190" s="74"/>
      <c r="T2190" s="55" t="s">
        <v>882</v>
      </c>
      <c r="U2190" s="73" t="s">
        <v>351</v>
      </c>
      <c r="V2190" s="74">
        <v>44355</v>
      </c>
      <c r="W2190" s="74">
        <v>44396</v>
      </c>
      <c r="X2190" s="55">
        <v>10186424</v>
      </c>
      <c r="Y2190" s="55" t="s">
        <v>146</v>
      </c>
      <c r="AB2190" s="55" t="s">
        <v>146</v>
      </c>
      <c r="AC2190" s="55" t="s">
        <v>146</v>
      </c>
    </row>
    <row r="2191" spans="1:29" ht="13" x14ac:dyDescent="0.15">
      <c r="A2191" s="72" t="str">
        <f t="shared" si="34"/>
        <v>Ofsted Social Care Provider Webpage</v>
      </c>
      <c r="B2191" s="55" t="s">
        <v>3735</v>
      </c>
      <c r="D2191" s="55" t="s">
        <v>389</v>
      </c>
      <c r="E2191" s="74">
        <v>38195</v>
      </c>
      <c r="F2191" s="55" t="s">
        <v>344</v>
      </c>
      <c r="G2191" s="55" t="s">
        <v>3736</v>
      </c>
      <c r="H2191" s="55" t="s">
        <v>3737</v>
      </c>
      <c r="I2191" s="55" t="s">
        <v>3738</v>
      </c>
      <c r="J2191" s="55" t="s">
        <v>129</v>
      </c>
      <c r="L2191" s="55" t="s">
        <v>3739</v>
      </c>
      <c r="M2191" s="55" t="s">
        <v>129</v>
      </c>
      <c r="N2191" s="55" t="s">
        <v>129</v>
      </c>
      <c r="O2191" s="55" t="s">
        <v>191</v>
      </c>
      <c r="P2191" s="55" t="s">
        <v>2985</v>
      </c>
      <c r="Q2191" s="55" t="s">
        <v>350</v>
      </c>
      <c r="R2191" s="55"/>
      <c r="S2191" s="74"/>
      <c r="T2191" s="55" t="s">
        <v>3736</v>
      </c>
      <c r="U2191" s="73" t="s">
        <v>351</v>
      </c>
      <c r="V2191" s="74">
        <v>43171</v>
      </c>
      <c r="W2191" s="74">
        <v>43203</v>
      </c>
      <c r="X2191" s="55">
        <v>10038131</v>
      </c>
      <c r="Y2191" s="55" t="s">
        <v>132</v>
      </c>
      <c r="AB2191" s="55" t="s">
        <v>132</v>
      </c>
      <c r="AC2191" s="55" t="s">
        <v>132</v>
      </c>
    </row>
    <row r="2192" spans="1:29" ht="13" x14ac:dyDescent="0.15">
      <c r="A2192" s="72" t="str">
        <f t="shared" si="34"/>
        <v>Ofsted Social Care Provider Webpage</v>
      </c>
      <c r="B2192" s="55" t="s">
        <v>3740</v>
      </c>
      <c r="D2192" s="55" t="s">
        <v>389</v>
      </c>
      <c r="E2192" s="74">
        <v>38104</v>
      </c>
      <c r="F2192" s="55" t="s">
        <v>344</v>
      </c>
      <c r="G2192" s="55" t="s">
        <v>3741</v>
      </c>
      <c r="H2192" s="55" t="s">
        <v>3742</v>
      </c>
      <c r="I2192" s="55" t="s">
        <v>3743</v>
      </c>
      <c r="J2192" s="55" t="s">
        <v>561</v>
      </c>
      <c r="K2192" s="55" t="s">
        <v>209</v>
      </c>
      <c r="L2192" s="55" t="s">
        <v>3744</v>
      </c>
      <c r="M2192" s="55" t="s">
        <v>144</v>
      </c>
      <c r="N2192" s="55" t="s">
        <v>144</v>
      </c>
      <c r="O2192" s="55" t="s">
        <v>209</v>
      </c>
      <c r="P2192" s="55" t="s">
        <v>561</v>
      </c>
      <c r="Q2192" s="55" t="s">
        <v>350</v>
      </c>
      <c r="R2192" s="55"/>
      <c r="S2192" s="74"/>
      <c r="T2192" s="55" t="s">
        <v>3529</v>
      </c>
      <c r="U2192" s="73" t="s">
        <v>351</v>
      </c>
      <c r="V2192" s="74">
        <v>44585</v>
      </c>
      <c r="W2192" s="74">
        <v>44634</v>
      </c>
      <c r="X2192" s="55">
        <v>10183401</v>
      </c>
      <c r="Y2192" s="55" t="s">
        <v>132</v>
      </c>
      <c r="AB2192" s="55" t="s">
        <v>132</v>
      </c>
      <c r="AC2192" s="55" t="s">
        <v>130</v>
      </c>
    </row>
    <row r="2193" spans="1:29" ht="13" x14ac:dyDescent="0.15">
      <c r="A2193" s="72" t="str">
        <f t="shared" si="34"/>
        <v>Ofsted Social Care Provider Webpage</v>
      </c>
      <c r="B2193" s="55" t="s">
        <v>3745</v>
      </c>
      <c r="D2193" s="55" t="s">
        <v>373</v>
      </c>
      <c r="E2193" s="74">
        <v>37950</v>
      </c>
      <c r="F2193" s="55" t="s">
        <v>344</v>
      </c>
      <c r="G2193" s="55" t="s">
        <v>360</v>
      </c>
      <c r="H2193" s="55" t="s">
        <v>360</v>
      </c>
      <c r="I2193" s="55" t="s">
        <v>360</v>
      </c>
      <c r="J2193" s="55" t="s">
        <v>360</v>
      </c>
      <c r="K2193" s="55" t="s">
        <v>360</v>
      </c>
      <c r="L2193" s="55" t="s">
        <v>360</v>
      </c>
      <c r="M2193" s="55" t="s">
        <v>144</v>
      </c>
      <c r="N2193" s="55" t="s">
        <v>144</v>
      </c>
      <c r="O2193" s="55" t="s">
        <v>143</v>
      </c>
      <c r="P2193" s="55" t="s">
        <v>2439</v>
      </c>
      <c r="Q2193" s="55" t="s">
        <v>380</v>
      </c>
      <c r="R2193" s="55">
        <v>5</v>
      </c>
      <c r="S2193" s="74"/>
      <c r="T2193" s="55" t="s">
        <v>3746</v>
      </c>
      <c r="U2193" s="73" t="s">
        <v>351</v>
      </c>
      <c r="V2193" s="74">
        <v>44382</v>
      </c>
      <c r="W2193" s="74">
        <v>44413</v>
      </c>
      <c r="X2193" s="55">
        <v>10187333</v>
      </c>
      <c r="Y2193" s="55" t="s">
        <v>132</v>
      </c>
      <c r="AB2193" s="55" t="s">
        <v>132</v>
      </c>
      <c r="AC2193" s="55" t="s">
        <v>132</v>
      </c>
    </row>
    <row r="2194" spans="1:29" ht="13" x14ac:dyDescent="0.15">
      <c r="A2194" s="72" t="str">
        <f t="shared" si="34"/>
        <v>Ofsted Social Care Provider Webpage</v>
      </c>
      <c r="B2194" s="55" t="s">
        <v>3747</v>
      </c>
      <c r="D2194" s="55" t="s">
        <v>373</v>
      </c>
      <c r="E2194" s="74">
        <v>37817</v>
      </c>
      <c r="F2194" s="55" t="s">
        <v>344</v>
      </c>
      <c r="G2194" s="55" t="s">
        <v>360</v>
      </c>
      <c r="H2194" s="55" t="s">
        <v>360</v>
      </c>
      <c r="I2194" s="55" t="s">
        <v>360</v>
      </c>
      <c r="J2194" s="55" t="s">
        <v>360</v>
      </c>
      <c r="K2194" s="55" t="s">
        <v>360</v>
      </c>
      <c r="L2194" s="55" t="s">
        <v>360</v>
      </c>
      <c r="M2194" s="55" t="s">
        <v>136</v>
      </c>
      <c r="N2194" s="55" t="s">
        <v>136</v>
      </c>
      <c r="O2194" s="55" t="s">
        <v>165</v>
      </c>
      <c r="P2194" s="55" t="s">
        <v>748</v>
      </c>
      <c r="Q2194" s="55" t="s">
        <v>380</v>
      </c>
      <c r="R2194" s="55">
        <v>5</v>
      </c>
      <c r="S2194" s="74" t="s">
        <v>332</v>
      </c>
      <c r="T2194" s="55" t="s">
        <v>2120</v>
      </c>
      <c r="U2194" s="73" t="s">
        <v>351</v>
      </c>
      <c r="V2194" s="74">
        <v>44467</v>
      </c>
      <c r="W2194" s="74">
        <v>44497</v>
      </c>
      <c r="X2194" s="55">
        <v>10186540</v>
      </c>
      <c r="Y2194" s="55" t="s">
        <v>132</v>
      </c>
      <c r="AB2194" s="55" t="s">
        <v>132</v>
      </c>
      <c r="AC2194" s="55" t="s">
        <v>132</v>
      </c>
    </row>
    <row r="2195" spans="1:29" ht="13" x14ac:dyDescent="0.15">
      <c r="A2195" s="72" t="str">
        <f t="shared" si="34"/>
        <v>Ofsted Social Care Provider Webpage</v>
      </c>
      <c r="B2195" s="55" t="s">
        <v>3748</v>
      </c>
      <c r="D2195" s="55" t="s">
        <v>2864</v>
      </c>
      <c r="E2195" s="74">
        <v>38125</v>
      </c>
      <c r="F2195" s="55" t="s">
        <v>344</v>
      </c>
      <c r="G2195" s="55" t="s">
        <v>360</v>
      </c>
      <c r="H2195" s="55" t="s">
        <v>360</v>
      </c>
      <c r="I2195" s="55" t="s">
        <v>360</v>
      </c>
      <c r="J2195" s="55" t="s">
        <v>360</v>
      </c>
      <c r="K2195" s="55" t="s">
        <v>360</v>
      </c>
      <c r="L2195" s="55" t="s">
        <v>360</v>
      </c>
      <c r="M2195" s="55" t="s">
        <v>144</v>
      </c>
      <c r="N2195" s="55" t="s">
        <v>144</v>
      </c>
      <c r="O2195" s="55" t="s">
        <v>248</v>
      </c>
      <c r="P2195" s="55" t="s">
        <v>492</v>
      </c>
      <c r="Q2195" s="55" t="s">
        <v>380</v>
      </c>
      <c r="R2195" s="55">
        <v>27</v>
      </c>
      <c r="S2195" s="74"/>
      <c r="T2195" s="55" t="s">
        <v>3749</v>
      </c>
      <c r="U2195" s="73" t="s">
        <v>351</v>
      </c>
      <c r="V2195" s="74">
        <v>43837</v>
      </c>
      <c r="W2195" s="74">
        <v>43878</v>
      </c>
      <c r="X2195" s="55">
        <v>10055239</v>
      </c>
      <c r="Y2195" s="55" t="s">
        <v>140</v>
      </c>
      <c r="Z2195" s="55" t="s">
        <v>140</v>
      </c>
      <c r="AA2195" s="55" t="s">
        <v>132</v>
      </c>
      <c r="AB2195" s="55" t="s">
        <v>140</v>
      </c>
      <c r="AC2195" s="55" t="s">
        <v>132</v>
      </c>
    </row>
    <row r="2196" spans="1:29" ht="13" x14ac:dyDescent="0.15">
      <c r="A2196" s="72" t="str">
        <f t="shared" si="34"/>
        <v>Ofsted Social Care Provider Webpage</v>
      </c>
      <c r="B2196" s="55" t="s">
        <v>3750</v>
      </c>
      <c r="C2196" s="55">
        <v>114337</v>
      </c>
      <c r="D2196" s="55" t="s">
        <v>413</v>
      </c>
      <c r="E2196" s="74">
        <v>37586</v>
      </c>
      <c r="F2196" s="55" t="s">
        <v>344</v>
      </c>
      <c r="G2196" s="55" t="s">
        <v>3751</v>
      </c>
      <c r="H2196" s="55" t="s">
        <v>3751</v>
      </c>
      <c r="I2196" s="55" t="s">
        <v>3752</v>
      </c>
      <c r="J2196" s="55" t="s">
        <v>178</v>
      </c>
      <c r="L2196" s="55" t="s">
        <v>3753</v>
      </c>
      <c r="M2196" s="55" t="s">
        <v>378</v>
      </c>
      <c r="N2196" s="55" t="s">
        <v>170</v>
      </c>
      <c r="O2196" s="55" t="s">
        <v>178</v>
      </c>
      <c r="P2196" s="55" t="s">
        <v>2014</v>
      </c>
      <c r="Q2196" s="55" t="s">
        <v>380</v>
      </c>
      <c r="R2196" s="55">
        <v>45</v>
      </c>
      <c r="S2196" s="74"/>
      <c r="T2196" s="55" t="s">
        <v>2068</v>
      </c>
      <c r="U2196" s="73" t="s">
        <v>351</v>
      </c>
      <c r="V2196" s="74">
        <v>43789</v>
      </c>
      <c r="W2196" s="74">
        <v>43819</v>
      </c>
      <c r="X2196" s="55">
        <v>10094714</v>
      </c>
      <c r="Y2196" s="55" t="s">
        <v>132</v>
      </c>
      <c r="AB2196" s="55" t="s">
        <v>132</v>
      </c>
      <c r="AC2196" s="55" t="s">
        <v>132</v>
      </c>
    </row>
    <row r="2197" spans="1:29" ht="13" x14ac:dyDescent="0.15">
      <c r="A2197" s="72" t="str">
        <f t="shared" si="34"/>
        <v>Ofsted Social Care Provider Webpage</v>
      </c>
      <c r="B2197" s="55" t="s">
        <v>3754</v>
      </c>
      <c r="D2197" s="55" t="s">
        <v>373</v>
      </c>
      <c r="E2197" s="74">
        <v>38042</v>
      </c>
      <c r="F2197" s="55" t="s">
        <v>344</v>
      </c>
      <c r="G2197" s="55" t="s">
        <v>360</v>
      </c>
      <c r="H2197" s="55" t="s">
        <v>360</v>
      </c>
      <c r="I2197" s="55" t="s">
        <v>360</v>
      </c>
      <c r="J2197" s="55" t="s">
        <v>360</v>
      </c>
      <c r="K2197" s="55" t="s">
        <v>360</v>
      </c>
      <c r="L2197" s="55" t="s">
        <v>360</v>
      </c>
      <c r="M2197" s="55" t="s">
        <v>144</v>
      </c>
      <c r="N2197" s="55" t="s">
        <v>144</v>
      </c>
      <c r="O2197" s="55" t="s">
        <v>248</v>
      </c>
      <c r="P2197" s="55" t="s">
        <v>397</v>
      </c>
      <c r="Q2197" s="55" t="s">
        <v>380</v>
      </c>
      <c r="R2197" s="55">
        <v>3</v>
      </c>
      <c r="S2197" s="74"/>
      <c r="T2197" s="55" t="s">
        <v>3749</v>
      </c>
      <c r="U2197" s="73" t="s">
        <v>351</v>
      </c>
      <c r="V2197" s="74">
        <v>44615</v>
      </c>
      <c r="W2197" s="74">
        <v>44659</v>
      </c>
      <c r="X2197" s="55">
        <v>10186531</v>
      </c>
      <c r="Y2197" s="55" t="s">
        <v>130</v>
      </c>
      <c r="AB2197" s="55" t="s">
        <v>130</v>
      </c>
      <c r="AC2197" s="55" t="s">
        <v>130</v>
      </c>
    </row>
    <row r="2198" spans="1:29" ht="13" x14ac:dyDescent="0.15">
      <c r="A2198" s="72" t="str">
        <f t="shared" si="34"/>
        <v>Ofsted Social Care Provider Webpage</v>
      </c>
      <c r="B2198" s="55" t="s">
        <v>3755</v>
      </c>
      <c r="C2198" s="55">
        <v>114341</v>
      </c>
      <c r="D2198" s="55" t="s">
        <v>413</v>
      </c>
      <c r="E2198" s="74">
        <v>37586</v>
      </c>
      <c r="F2198" s="55" t="s">
        <v>344</v>
      </c>
      <c r="G2198" s="55" t="s">
        <v>3756</v>
      </c>
      <c r="H2198" s="55" t="s">
        <v>3756</v>
      </c>
      <c r="I2198" s="55" t="s">
        <v>3757</v>
      </c>
      <c r="J2198" s="55" t="s">
        <v>3382</v>
      </c>
      <c r="K2198" s="55" t="s">
        <v>3368</v>
      </c>
      <c r="L2198" s="55" t="s">
        <v>3758</v>
      </c>
      <c r="M2198" s="55" t="s">
        <v>378</v>
      </c>
      <c r="N2198" s="55" t="s">
        <v>170</v>
      </c>
      <c r="O2198" s="55" t="s">
        <v>178</v>
      </c>
      <c r="P2198" s="55" t="s">
        <v>434</v>
      </c>
      <c r="Q2198" s="55" t="s">
        <v>380</v>
      </c>
      <c r="R2198" s="55">
        <v>10</v>
      </c>
      <c r="S2198" s="74"/>
      <c r="T2198" s="55" t="s">
        <v>2068</v>
      </c>
      <c r="U2198" s="73" t="s">
        <v>351</v>
      </c>
      <c r="V2198" s="74">
        <v>44607</v>
      </c>
      <c r="W2198" s="74">
        <v>44649</v>
      </c>
      <c r="X2198" s="55">
        <v>10183522</v>
      </c>
      <c r="Y2198" s="55" t="s">
        <v>130</v>
      </c>
      <c r="AB2198" s="55" t="s">
        <v>130</v>
      </c>
      <c r="AC2198" s="55" t="s">
        <v>130</v>
      </c>
    </row>
    <row r="2199" spans="1:29" ht="13" x14ac:dyDescent="0.15">
      <c r="A2199" s="72" t="str">
        <f t="shared" si="34"/>
        <v>Ofsted Social Care Provider Webpage</v>
      </c>
      <c r="B2199" s="55" t="s">
        <v>3759</v>
      </c>
      <c r="D2199" s="55" t="s">
        <v>373</v>
      </c>
      <c r="E2199" s="74">
        <v>38075</v>
      </c>
      <c r="F2199" s="55" t="s">
        <v>344</v>
      </c>
      <c r="G2199" s="55" t="s">
        <v>360</v>
      </c>
      <c r="H2199" s="55" t="s">
        <v>360</v>
      </c>
      <c r="I2199" s="55" t="s">
        <v>360</v>
      </c>
      <c r="J2199" s="55" t="s">
        <v>360</v>
      </c>
      <c r="K2199" s="55" t="s">
        <v>360</v>
      </c>
      <c r="L2199" s="55" t="s">
        <v>360</v>
      </c>
      <c r="M2199" s="55" t="s">
        <v>144</v>
      </c>
      <c r="N2199" s="55" t="s">
        <v>144</v>
      </c>
      <c r="O2199" s="55" t="s">
        <v>248</v>
      </c>
      <c r="P2199" s="55" t="s">
        <v>492</v>
      </c>
      <c r="Q2199" s="55" t="s">
        <v>380</v>
      </c>
      <c r="R2199" s="55">
        <v>6</v>
      </c>
      <c r="S2199" s="74"/>
      <c r="T2199" s="55" t="s">
        <v>3749</v>
      </c>
      <c r="U2199" s="73" t="s">
        <v>351</v>
      </c>
      <c r="V2199" s="74">
        <v>44405</v>
      </c>
      <c r="W2199" s="74">
        <v>44440</v>
      </c>
      <c r="X2199" s="55">
        <v>10186867</v>
      </c>
      <c r="Y2199" s="55" t="s">
        <v>130</v>
      </c>
      <c r="AB2199" s="55" t="s">
        <v>130</v>
      </c>
      <c r="AC2199" s="55" t="s">
        <v>130</v>
      </c>
    </row>
    <row r="2200" spans="1:29" ht="13" x14ac:dyDescent="0.15">
      <c r="A2200" s="72" t="str">
        <f t="shared" si="34"/>
        <v>Ofsted Social Care Provider Webpage</v>
      </c>
      <c r="B2200" s="55" t="s">
        <v>3760</v>
      </c>
      <c r="D2200" s="55" t="s">
        <v>389</v>
      </c>
      <c r="E2200" s="74">
        <v>37874</v>
      </c>
      <c r="F2200" s="55" t="s">
        <v>344</v>
      </c>
      <c r="G2200" s="55" t="s">
        <v>3761</v>
      </c>
      <c r="H2200" s="55" t="s">
        <v>3762</v>
      </c>
      <c r="I2200" s="55" t="s">
        <v>354</v>
      </c>
      <c r="J2200" s="55" t="s">
        <v>3763</v>
      </c>
      <c r="L2200" s="55" t="s">
        <v>3764</v>
      </c>
      <c r="M2200" s="55" t="s">
        <v>144</v>
      </c>
      <c r="N2200" s="55" t="s">
        <v>144</v>
      </c>
      <c r="O2200" s="55" t="s">
        <v>215</v>
      </c>
      <c r="P2200" s="55" t="s">
        <v>1203</v>
      </c>
      <c r="Q2200" s="55" t="s">
        <v>362</v>
      </c>
      <c r="R2200" s="55"/>
      <c r="S2200" s="74"/>
      <c r="T2200" s="55" t="s">
        <v>1884</v>
      </c>
      <c r="U2200" s="73" t="s">
        <v>351</v>
      </c>
      <c r="V2200" s="74">
        <v>44417</v>
      </c>
      <c r="W2200" s="74">
        <v>44469</v>
      </c>
      <c r="X2200" s="55">
        <v>10183387</v>
      </c>
      <c r="Y2200" s="55" t="s">
        <v>140</v>
      </c>
      <c r="AB2200" s="55" t="s">
        <v>132</v>
      </c>
      <c r="AC2200" s="55" t="s">
        <v>140</v>
      </c>
    </row>
    <row r="2201" spans="1:29" ht="13" x14ac:dyDescent="0.15">
      <c r="A2201" s="72" t="str">
        <f t="shared" si="34"/>
        <v>Ofsted Social Care Provider Webpage</v>
      </c>
      <c r="B2201" s="55" t="s">
        <v>3765</v>
      </c>
      <c r="D2201" s="55" t="s">
        <v>373</v>
      </c>
      <c r="E2201" s="74">
        <v>37650</v>
      </c>
      <c r="F2201" s="55" t="s">
        <v>344</v>
      </c>
      <c r="G2201" s="55" t="s">
        <v>360</v>
      </c>
      <c r="H2201" s="55" t="s">
        <v>360</v>
      </c>
      <c r="I2201" s="55" t="s">
        <v>360</v>
      </c>
      <c r="J2201" s="55" t="s">
        <v>360</v>
      </c>
      <c r="K2201" s="55" t="s">
        <v>360</v>
      </c>
      <c r="L2201" s="55" t="s">
        <v>360</v>
      </c>
      <c r="M2201" s="55" t="s">
        <v>378</v>
      </c>
      <c r="N2201" s="55" t="s">
        <v>170</v>
      </c>
      <c r="O2201" s="55" t="s">
        <v>264</v>
      </c>
      <c r="P2201" s="55" t="s">
        <v>437</v>
      </c>
      <c r="Q2201" s="55" t="s">
        <v>380</v>
      </c>
      <c r="R2201" s="55">
        <v>3</v>
      </c>
      <c r="S2201" s="74"/>
      <c r="T2201" s="55" t="s">
        <v>1696</v>
      </c>
      <c r="U2201" s="73" t="s">
        <v>351</v>
      </c>
      <c r="V2201" s="74">
        <v>44502</v>
      </c>
      <c r="W2201" s="74">
        <v>44546</v>
      </c>
      <c r="X2201" s="55">
        <v>10187394</v>
      </c>
      <c r="Y2201" s="55" t="s">
        <v>140</v>
      </c>
      <c r="AB2201" s="55" t="s">
        <v>140</v>
      </c>
      <c r="AC2201" s="55" t="s">
        <v>140</v>
      </c>
    </row>
    <row r="2202" spans="1:29" ht="13" x14ac:dyDescent="0.15">
      <c r="A2202" s="72" t="str">
        <f t="shared" si="34"/>
        <v>Ofsted Social Care Provider Webpage</v>
      </c>
      <c r="B2202" s="55" t="s">
        <v>3766</v>
      </c>
      <c r="D2202" s="55" t="s">
        <v>373</v>
      </c>
      <c r="E2202" s="74">
        <v>37943</v>
      </c>
      <c r="F2202" s="55" t="s">
        <v>344</v>
      </c>
      <c r="G2202" s="55" t="s">
        <v>360</v>
      </c>
      <c r="H2202" s="55" t="s">
        <v>360</v>
      </c>
      <c r="I2202" s="55" t="s">
        <v>360</v>
      </c>
      <c r="J2202" s="55" t="s">
        <v>360</v>
      </c>
      <c r="K2202" s="55" t="s">
        <v>360</v>
      </c>
      <c r="L2202" s="55" t="s">
        <v>360</v>
      </c>
      <c r="M2202" s="55" t="s">
        <v>150</v>
      </c>
      <c r="N2202" s="55" t="s">
        <v>150</v>
      </c>
      <c r="O2202" s="55" t="s">
        <v>268</v>
      </c>
      <c r="P2202" s="55" t="s">
        <v>395</v>
      </c>
      <c r="Q2202" s="55" t="s">
        <v>380</v>
      </c>
      <c r="R2202" s="55">
        <v>4</v>
      </c>
      <c r="S2202" s="74"/>
      <c r="T2202" s="55" t="s">
        <v>640</v>
      </c>
      <c r="U2202" s="73" t="s">
        <v>351</v>
      </c>
      <c r="V2202" s="74">
        <v>44341</v>
      </c>
      <c r="W2202" s="74">
        <v>44406</v>
      </c>
      <c r="X2202" s="55">
        <v>10185690</v>
      </c>
      <c r="Y2202" s="55" t="s">
        <v>132</v>
      </c>
      <c r="AB2202" s="55" t="s">
        <v>132</v>
      </c>
      <c r="AC2202" s="55" t="s">
        <v>132</v>
      </c>
    </row>
    <row r="2203" spans="1:29" ht="13" x14ac:dyDescent="0.15">
      <c r="A2203" s="72" t="str">
        <f t="shared" si="34"/>
        <v>Ofsted Social Care Provider Webpage</v>
      </c>
      <c r="B2203" s="55" t="s">
        <v>3767</v>
      </c>
      <c r="D2203" s="55" t="s">
        <v>373</v>
      </c>
      <c r="E2203" s="74">
        <v>37960</v>
      </c>
      <c r="F2203" s="55" t="s">
        <v>344</v>
      </c>
      <c r="G2203" s="55" t="s">
        <v>360</v>
      </c>
      <c r="H2203" s="55" t="s">
        <v>360</v>
      </c>
      <c r="I2203" s="55" t="s">
        <v>360</v>
      </c>
      <c r="J2203" s="55" t="s">
        <v>360</v>
      </c>
      <c r="K2203" s="55" t="s">
        <v>360</v>
      </c>
      <c r="L2203" s="55" t="s">
        <v>360</v>
      </c>
      <c r="M2203" s="55" t="s">
        <v>150</v>
      </c>
      <c r="N2203" s="55" t="s">
        <v>150</v>
      </c>
      <c r="O2203" s="55" t="s">
        <v>268</v>
      </c>
      <c r="P2203" s="55" t="s">
        <v>2682</v>
      </c>
      <c r="Q2203" s="55" t="s">
        <v>380</v>
      </c>
      <c r="R2203" s="55">
        <v>5</v>
      </c>
      <c r="S2203" s="74"/>
      <c r="T2203" s="55" t="s">
        <v>640</v>
      </c>
      <c r="U2203" s="73" t="s">
        <v>351</v>
      </c>
      <c r="V2203" s="74">
        <v>44341</v>
      </c>
      <c r="W2203" s="74">
        <v>44389</v>
      </c>
      <c r="X2203" s="55">
        <v>10185383</v>
      </c>
      <c r="Y2203" s="55" t="s">
        <v>140</v>
      </c>
      <c r="AB2203" s="55" t="s">
        <v>140</v>
      </c>
      <c r="AC2203" s="55" t="s">
        <v>140</v>
      </c>
    </row>
    <row r="2204" spans="1:29" ht="13" x14ac:dyDescent="0.15">
      <c r="A2204" s="72" t="str">
        <f t="shared" si="34"/>
        <v>Ofsted Social Care Provider Webpage</v>
      </c>
      <c r="B2204" s="55" t="s">
        <v>3768</v>
      </c>
      <c r="D2204" s="55" t="s">
        <v>373</v>
      </c>
      <c r="E2204" s="74">
        <v>37943</v>
      </c>
      <c r="F2204" s="55" t="s">
        <v>344</v>
      </c>
      <c r="G2204" s="55" t="s">
        <v>360</v>
      </c>
      <c r="H2204" s="55" t="s">
        <v>360</v>
      </c>
      <c r="I2204" s="55" t="s">
        <v>360</v>
      </c>
      <c r="J2204" s="55" t="s">
        <v>360</v>
      </c>
      <c r="K2204" s="55" t="s">
        <v>360</v>
      </c>
      <c r="L2204" s="55" t="s">
        <v>360</v>
      </c>
      <c r="M2204" s="55" t="s">
        <v>150</v>
      </c>
      <c r="N2204" s="55" t="s">
        <v>150</v>
      </c>
      <c r="O2204" s="55" t="s">
        <v>268</v>
      </c>
      <c r="P2204" s="55" t="s">
        <v>1943</v>
      </c>
      <c r="Q2204" s="55" t="s">
        <v>380</v>
      </c>
      <c r="R2204" s="55">
        <v>6</v>
      </c>
      <c r="S2204" s="74"/>
      <c r="T2204" s="55" t="s">
        <v>640</v>
      </c>
      <c r="U2204" s="73" t="s">
        <v>351</v>
      </c>
      <c r="V2204" s="74">
        <v>43606</v>
      </c>
      <c r="W2204" s="74">
        <v>43650</v>
      </c>
      <c r="X2204" s="55">
        <v>10095605</v>
      </c>
      <c r="Y2204" s="55" t="s">
        <v>130</v>
      </c>
      <c r="AB2204" s="55" t="s">
        <v>130</v>
      </c>
      <c r="AC2204" s="55" t="s">
        <v>146</v>
      </c>
    </row>
    <row r="2205" spans="1:29" ht="13" x14ac:dyDescent="0.15">
      <c r="A2205" s="72" t="str">
        <f t="shared" si="34"/>
        <v>Ofsted Social Care Provider Webpage</v>
      </c>
      <c r="B2205" s="55" t="s">
        <v>3769</v>
      </c>
      <c r="D2205" s="55" t="s">
        <v>373</v>
      </c>
      <c r="E2205" s="74">
        <v>37944</v>
      </c>
      <c r="F2205" s="55" t="s">
        <v>344</v>
      </c>
      <c r="G2205" s="55" t="s">
        <v>360</v>
      </c>
      <c r="H2205" s="55" t="s">
        <v>360</v>
      </c>
      <c r="I2205" s="55" t="s">
        <v>360</v>
      </c>
      <c r="J2205" s="55" t="s">
        <v>360</v>
      </c>
      <c r="K2205" s="55" t="s">
        <v>360</v>
      </c>
      <c r="L2205" s="55" t="s">
        <v>360</v>
      </c>
      <c r="M2205" s="55" t="s">
        <v>150</v>
      </c>
      <c r="N2205" s="55" t="s">
        <v>150</v>
      </c>
      <c r="O2205" s="55" t="s">
        <v>268</v>
      </c>
      <c r="P2205" s="55" t="s">
        <v>639</v>
      </c>
      <c r="Q2205" s="55" t="s">
        <v>380</v>
      </c>
      <c r="R2205" s="55">
        <v>5</v>
      </c>
      <c r="S2205" s="74"/>
      <c r="T2205" s="55" t="s">
        <v>640</v>
      </c>
      <c r="U2205" s="73" t="s">
        <v>351</v>
      </c>
      <c r="V2205" s="74">
        <v>44313</v>
      </c>
      <c r="W2205" s="74">
        <v>44362</v>
      </c>
      <c r="X2205" s="55">
        <v>10186223</v>
      </c>
      <c r="Y2205" s="55" t="s">
        <v>140</v>
      </c>
      <c r="AB2205" s="55" t="s">
        <v>140</v>
      </c>
      <c r="AC2205" s="55" t="s">
        <v>140</v>
      </c>
    </row>
    <row r="2206" spans="1:29" ht="13" x14ac:dyDescent="0.15">
      <c r="A2206" s="72" t="str">
        <f t="shared" si="34"/>
        <v>Ofsted Social Care Provider Webpage</v>
      </c>
      <c r="B2206" s="55" t="s">
        <v>3770</v>
      </c>
      <c r="D2206" s="55" t="s">
        <v>373</v>
      </c>
      <c r="E2206" s="74">
        <v>37820</v>
      </c>
      <c r="F2206" s="55" t="s">
        <v>344</v>
      </c>
      <c r="G2206" s="55" t="s">
        <v>360</v>
      </c>
      <c r="H2206" s="55" t="s">
        <v>360</v>
      </c>
      <c r="I2206" s="55" t="s">
        <v>360</v>
      </c>
      <c r="J2206" s="55" t="s">
        <v>360</v>
      </c>
      <c r="K2206" s="55" t="s">
        <v>360</v>
      </c>
      <c r="L2206" s="55" t="s">
        <v>360</v>
      </c>
      <c r="M2206" s="55" t="s">
        <v>144</v>
      </c>
      <c r="N2206" s="55" t="s">
        <v>144</v>
      </c>
      <c r="O2206" s="55" t="s">
        <v>147</v>
      </c>
      <c r="P2206" s="55" t="s">
        <v>674</v>
      </c>
      <c r="Q2206" s="55" t="s">
        <v>380</v>
      </c>
      <c r="R2206" s="55">
        <v>3</v>
      </c>
      <c r="S2206" s="74"/>
      <c r="T2206" s="55" t="s">
        <v>3771</v>
      </c>
      <c r="U2206" s="73" t="s">
        <v>351</v>
      </c>
      <c r="V2206" s="74">
        <v>44616</v>
      </c>
      <c r="W2206" s="74">
        <v>44659</v>
      </c>
      <c r="X2206" s="55">
        <v>10185295</v>
      </c>
      <c r="Y2206" s="55" t="s">
        <v>130</v>
      </c>
      <c r="AB2206" s="55" t="s">
        <v>130</v>
      </c>
      <c r="AC2206" s="55" t="s">
        <v>130</v>
      </c>
    </row>
    <row r="2207" spans="1:29" ht="13" x14ac:dyDescent="0.15">
      <c r="A2207" s="72" t="str">
        <f t="shared" si="34"/>
        <v>Ofsted Social Care Provider Webpage</v>
      </c>
      <c r="B2207" s="55" t="s">
        <v>3772</v>
      </c>
      <c r="C2207" s="55">
        <v>104735</v>
      </c>
      <c r="D2207" s="55" t="s">
        <v>413</v>
      </c>
      <c r="E2207" s="74">
        <v>37589</v>
      </c>
      <c r="F2207" s="55" t="s">
        <v>344</v>
      </c>
      <c r="G2207" s="55" t="s">
        <v>3773</v>
      </c>
      <c r="H2207" s="55" t="s">
        <v>3774</v>
      </c>
      <c r="I2207" s="55" t="s">
        <v>3775</v>
      </c>
      <c r="J2207" s="55" t="s">
        <v>3763</v>
      </c>
      <c r="L2207" s="55" t="s">
        <v>3776</v>
      </c>
      <c r="M2207" s="55" t="s">
        <v>144</v>
      </c>
      <c r="N2207" s="55" t="s">
        <v>144</v>
      </c>
      <c r="O2207" s="55" t="s">
        <v>215</v>
      </c>
      <c r="P2207" s="55" t="s">
        <v>1440</v>
      </c>
      <c r="Q2207" s="55" t="s">
        <v>362</v>
      </c>
      <c r="R2207" s="55">
        <v>10</v>
      </c>
      <c r="S2207" s="74"/>
      <c r="T2207" s="55" t="s">
        <v>3777</v>
      </c>
      <c r="U2207" s="73" t="s">
        <v>351</v>
      </c>
      <c r="V2207" s="74">
        <v>44474</v>
      </c>
      <c r="W2207" s="74">
        <v>44519</v>
      </c>
      <c r="X2207" s="55">
        <v>10183533</v>
      </c>
      <c r="Y2207" s="55" t="s">
        <v>132</v>
      </c>
      <c r="AB2207" s="55" t="s">
        <v>132</v>
      </c>
      <c r="AC2207" s="55" t="s">
        <v>130</v>
      </c>
    </row>
    <row r="2208" spans="1:29" ht="13" x14ac:dyDescent="0.15">
      <c r="A2208" s="72" t="str">
        <f t="shared" si="34"/>
        <v>Ofsted Social Care Provider Webpage</v>
      </c>
      <c r="B2208" s="55" t="s">
        <v>3778</v>
      </c>
      <c r="D2208" s="55" t="s">
        <v>373</v>
      </c>
      <c r="E2208" s="74">
        <v>37820</v>
      </c>
      <c r="F2208" s="55" t="s">
        <v>344</v>
      </c>
      <c r="G2208" s="55" t="s">
        <v>360</v>
      </c>
      <c r="H2208" s="55" t="s">
        <v>360</v>
      </c>
      <c r="I2208" s="55" t="s">
        <v>360</v>
      </c>
      <c r="J2208" s="55" t="s">
        <v>360</v>
      </c>
      <c r="K2208" s="55" t="s">
        <v>360</v>
      </c>
      <c r="L2208" s="55" t="s">
        <v>360</v>
      </c>
      <c r="M2208" s="55" t="s">
        <v>144</v>
      </c>
      <c r="N2208" s="55" t="s">
        <v>144</v>
      </c>
      <c r="O2208" s="55" t="s">
        <v>147</v>
      </c>
      <c r="P2208" s="55" t="s">
        <v>674</v>
      </c>
      <c r="Q2208" s="55" t="s">
        <v>380</v>
      </c>
      <c r="R2208" s="55">
        <v>4</v>
      </c>
      <c r="S2208" s="74"/>
      <c r="T2208" s="55" t="s">
        <v>3771</v>
      </c>
      <c r="U2208" s="73" t="s">
        <v>351</v>
      </c>
      <c r="V2208" s="74">
        <v>44510</v>
      </c>
      <c r="W2208" s="74">
        <v>44550</v>
      </c>
      <c r="X2208" s="55">
        <v>10185584</v>
      </c>
      <c r="Y2208" s="55" t="s">
        <v>132</v>
      </c>
      <c r="AB2208" s="55" t="s">
        <v>132</v>
      </c>
      <c r="AC2208" s="55" t="s">
        <v>130</v>
      </c>
    </row>
    <row r="2209" spans="1:29" ht="13" x14ac:dyDescent="0.15">
      <c r="A2209" s="72" t="str">
        <f t="shared" si="34"/>
        <v>Ofsted Social Care Provider Webpage</v>
      </c>
      <c r="B2209" s="55" t="s">
        <v>3779</v>
      </c>
      <c r="C2209" s="55">
        <v>104734</v>
      </c>
      <c r="D2209" s="55" t="s">
        <v>413</v>
      </c>
      <c r="E2209" s="74">
        <v>37589</v>
      </c>
      <c r="F2209" s="55" t="s">
        <v>344</v>
      </c>
      <c r="G2209" s="55" t="s">
        <v>3780</v>
      </c>
      <c r="H2209" s="55" t="s">
        <v>3781</v>
      </c>
      <c r="I2209" s="55" t="s">
        <v>3782</v>
      </c>
      <c r="J2209" s="55" t="s">
        <v>3763</v>
      </c>
      <c r="L2209" s="55" t="s">
        <v>3783</v>
      </c>
      <c r="M2209" s="55" t="s">
        <v>144</v>
      </c>
      <c r="N2209" s="55" t="s">
        <v>144</v>
      </c>
      <c r="O2209" s="55" t="s">
        <v>215</v>
      </c>
      <c r="P2209" s="55" t="s">
        <v>1008</v>
      </c>
      <c r="Q2209" s="55" t="s">
        <v>362</v>
      </c>
      <c r="R2209" s="55">
        <v>20</v>
      </c>
      <c r="S2209" s="74"/>
      <c r="T2209" s="55" t="s">
        <v>3784</v>
      </c>
      <c r="U2209" s="73" t="s">
        <v>351</v>
      </c>
      <c r="V2209" s="74">
        <v>43627</v>
      </c>
      <c r="W2209" s="74">
        <v>43661</v>
      </c>
      <c r="X2209" s="55">
        <v>10093166</v>
      </c>
      <c r="Y2209" s="55" t="s">
        <v>140</v>
      </c>
      <c r="AB2209" s="55" t="s">
        <v>140</v>
      </c>
      <c r="AC2209" s="55" t="s">
        <v>132</v>
      </c>
    </row>
    <row r="2210" spans="1:29" ht="13" x14ac:dyDescent="0.15">
      <c r="A2210" s="72" t="str">
        <f t="shared" si="34"/>
        <v>Ofsted Social Care Provider Webpage</v>
      </c>
      <c r="B2210" s="55" t="s">
        <v>3785</v>
      </c>
      <c r="D2210" s="55" t="s">
        <v>373</v>
      </c>
      <c r="E2210" s="74">
        <v>38042</v>
      </c>
      <c r="F2210" s="55" t="s">
        <v>344</v>
      </c>
      <c r="G2210" s="55" t="s">
        <v>360</v>
      </c>
      <c r="H2210" s="55" t="s">
        <v>360</v>
      </c>
      <c r="I2210" s="55" t="s">
        <v>360</v>
      </c>
      <c r="J2210" s="55" t="s">
        <v>360</v>
      </c>
      <c r="K2210" s="55" t="s">
        <v>360</v>
      </c>
      <c r="L2210" s="55" t="s">
        <v>360</v>
      </c>
      <c r="M2210" s="55" t="s">
        <v>144</v>
      </c>
      <c r="N2210" s="55" t="s">
        <v>144</v>
      </c>
      <c r="O2210" s="55" t="s">
        <v>248</v>
      </c>
      <c r="P2210" s="55" t="s">
        <v>492</v>
      </c>
      <c r="Q2210" s="55" t="s">
        <v>380</v>
      </c>
      <c r="R2210" s="55">
        <v>4</v>
      </c>
      <c r="S2210" s="74"/>
      <c r="T2210" s="55" t="s">
        <v>3749</v>
      </c>
      <c r="U2210" s="73" t="s">
        <v>351</v>
      </c>
      <c r="V2210" s="74">
        <v>44361</v>
      </c>
      <c r="W2210" s="74">
        <v>44391</v>
      </c>
      <c r="X2210" s="55">
        <v>10187534</v>
      </c>
      <c r="Y2210" s="55" t="s">
        <v>130</v>
      </c>
      <c r="AB2210" s="55" t="s">
        <v>130</v>
      </c>
      <c r="AC2210" s="55" t="s">
        <v>130</v>
      </c>
    </row>
    <row r="2211" spans="1:29" ht="13" x14ac:dyDescent="0.15">
      <c r="A2211" s="72" t="str">
        <f t="shared" si="34"/>
        <v>Ofsted Social Care Provider Webpage</v>
      </c>
      <c r="B2211" s="55" t="s">
        <v>3786</v>
      </c>
      <c r="D2211" s="55" t="s">
        <v>373</v>
      </c>
      <c r="E2211" s="74">
        <v>37685</v>
      </c>
      <c r="F2211" s="55" t="s">
        <v>344</v>
      </c>
      <c r="G2211" s="55" t="s">
        <v>360</v>
      </c>
      <c r="H2211" s="55" t="s">
        <v>360</v>
      </c>
      <c r="I2211" s="55" t="s">
        <v>360</v>
      </c>
      <c r="J2211" s="55" t="s">
        <v>360</v>
      </c>
      <c r="K2211" s="55" t="s">
        <v>360</v>
      </c>
      <c r="L2211" s="55" t="s">
        <v>360</v>
      </c>
      <c r="M2211" s="55" t="s">
        <v>144</v>
      </c>
      <c r="N2211" s="55" t="s">
        <v>144</v>
      </c>
      <c r="O2211" s="55" t="s">
        <v>250</v>
      </c>
      <c r="P2211" s="55" t="s">
        <v>361</v>
      </c>
      <c r="Q2211" s="55" t="s">
        <v>350</v>
      </c>
      <c r="R2211" s="55">
        <v>2</v>
      </c>
      <c r="S2211" s="74"/>
      <c r="T2211" s="55" t="s">
        <v>2860</v>
      </c>
      <c r="U2211" s="73" t="s">
        <v>351</v>
      </c>
      <c r="V2211" s="74">
        <v>44635</v>
      </c>
      <c r="W2211" s="74">
        <v>44678</v>
      </c>
      <c r="X2211" s="55">
        <v>10185623</v>
      </c>
      <c r="Y2211" s="55" t="s">
        <v>132</v>
      </c>
      <c r="AB2211" s="55" t="s">
        <v>132</v>
      </c>
      <c r="AC2211" s="55" t="s">
        <v>130</v>
      </c>
    </row>
    <row r="2212" spans="1:29" ht="13" x14ac:dyDescent="0.15">
      <c r="A2212" s="72" t="str">
        <f t="shared" si="34"/>
        <v>Ofsted Social Care Provider Webpage</v>
      </c>
      <c r="B2212" s="55" t="s">
        <v>3787</v>
      </c>
      <c r="D2212" s="55" t="s">
        <v>373</v>
      </c>
      <c r="E2212" s="74">
        <v>37771</v>
      </c>
      <c r="F2212" s="55" t="s">
        <v>344</v>
      </c>
      <c r="G2212" s="55" t="s">
        <v>360</v>
      </c>
      <c r="H2212" s="55" t="s">
        <v>360</v>
      </c>
      <c r="I2212" s="55" t="s">
        <v>360</v>
      </c>
      <c r="J2212" s="55" t="s">
        <v>360</v>
      </c>
      <c r="K2212" s="55" t="s">
        <v>360</v>
      </c>
      <c r="L2212" s="55" t="s">
        <v>360</v>
      </c>
      <c r="M2212" s="55" t="s">
        <v>144</v>
      </c>
      <c r="N2212" s="55" t="s">
        <v>144</v>
      </c>
      <c r="O2212" s="55" t="s">
        <v>287</v>
      </c>
      <c r="P2212" s="55" t="s">
        <v>815</v>
      </c>
      <c r="Q2212" s="55" t="s">
        <v>380</v>
      </c>
      <c r="R2212" s="55">
        <v>5</v>
      </c>
      <c r="S2212" s="74"/>
      <c r="T2212" s="55" t="s">
        <v>882</v>
      </c>
      <c r="U2212" s="73" t="s">
        <v>351</v>
      </c>
      <c r="V2212" s="74">
        <v>43725</v>
      </c>
      <c r="W2212" s="74">
        <v>43755</v>
      </c>
      <c r="X2212" s="55">
        <v>10095483</v>
      </c>
      <c r="Y2212" s="55" t="s">
        <v>146</v>
      </c>
      <c r="AB2212" s="55" t="s">
        <v>146</v>
      </c>
      <c r="AC2212" s="55" t="s">
        <v>146</v>
      </c>
    </row>
    <row r="2213" spans="1:29" ht="13" x14ac:dyDescent="0.15">
      <c r="A2213" s="72" t="str">
        <f t="shared" si="34"/>
        <v>Ofsted Social Care Provider Webpage</v>
      </c>
      <c r="B2213" s="55" t="s">
        <v>3788</v>
      </c>
      <c r="C2213" s="55">
        <v>130595</v>
      </c>
      <c r="D2213" s="55" t="s">
        <v>693</v>
      </c>
      <c r="E2213" s="74">
        <v>37596</v>
      </c>
      <c r="F2213" s="55" t="s">
        <v>344</v>
      </c>
      <c r="G2213" s="55" t="s">
        <v>3789</v>
      </c>
      <c r="H2213" s="55" t="s">
        <v>3789</v>
      </c>
      <c r="I2213" s="55" t="s">
        <v>3790</v>
      </c>
      <c r="J2213" s="55" t="s">
        <v>2526</v>
      </c>
      <c r="L2213" s="55" t="s">
        <v>3791</v>
      </c>
      <c r="M2213" s="55" t="s">
        <v>378</v>
      </c>
      <c r="N2213" s="55" t="s">
        <v>134</v>
      </c>
      <c r="O2213" s="55" t="s">
        <v>294</v>
      </c>
      <c r="P2213" s="55" t="s">
        <v>2320</v>
      </c>
      <c r="Q2213" s="55" t="s">
        <v>362</v>
      </c>
      <c r="R2213" s="55">
        <v>177</v>
      </c>
      <c r="S2213" s="74"/>
      <c r="T2213" s="55" t="s">
        <v>3792</v>
      </c>
      <c r="U2213" s="73" t="s">
        <v>351</v>
      </c>
      <c r="V2213" s="74">
        <v>43493</v>
      </c>
      <c r="W2213" s="74">
        <v>43532</v>
      </c>
      <c r="X2213" s="55">
        <v>10080479</v>
      </c>
      <c r="Y2213" s="55" t="s">
        <v>140</v>
      </c>
      <c r="AB2213" s="55" t="s">
        <v>140</v>
      </c>
      <c r="AC2213" s="55" t="s">
        <v>140</v>
      </c>
    </row>
    <row r="2214" spans="1:29" ht="13" x14ac:dyDescent="0.15">
      <c r="A2214" s="72" t="str">
        <f t="shared" si="34"/>
        <v>Ofsted Social Care Provider Webpage</v>
      </c>
      <c r="B2214" s="55" t="s">
        <v>3793</v>
      </c>
      <c r="D2214" s="55" t="s">
        <v>373</v>
      </c>
      <c r="E2214" s="74">
        <v>37771</v>
      </c>
      <c r="F2214" s="55" t="s">
        <v>344</v>
      </c>
      <c r="G2214" s="55" t="s">
        <v>360</v>
      </c>
      <c r="H2214" s="55" t="s">
        <v>360</v>
      </c>
      <c r="I2214" s="55" t="s">
        <v>360</v>
      </c>
      <c r="J2214" s="55" t="s">
        <v>360</v>
      </c>
      <c r="K2214" s="55" t="s">
        <v>360</v>
      </c>
      <c r="L2214" s="55" t="s">
        <v>360</v>
      </c>
      <c r="M2214" s="55" t="s">
        <v>144</v>
      </c>
      <c r="N2214" s="55" t="s">
        <v>144</v>
      </c>
      <c r="O2214" s="55" t="s">
        <v>287</v>
      </c>
      <c r="P2214" s="55" t="s">
        <v>815</v>
      </c>
      <c r="Q2214" s="55" t="s">
        <v>380</v>
      </c>
      <c r="R2214" s="55">
        <v>5</v>
      </c>
      <c r="S2214" s="74" t="s">
        <v>332</v>
      </c>
      <c r="T2214" s="55" t="s">
        <v>882</v>
      </c>
      <c r="U2214" s="73" t="s">
        <v>351</v>
      </c>
      <c r="V2214" s="74">
        <v>44510</v>
      </c>
      <c r="W2214" s="74">
        <v>44550</v>
      </c>
      <c r="X2214" s="55">
        <v>10212708</v>
      </c>
      <c r="Y2214" s="55" t="s">
        <v>132</v>
      </c>
      <c r="AB2214" s="55" t="s">
        <v>132</v>
      </c>
      <c r="AC2214" s="55" t="s">
        <v>132</v>
      </c>
    </row>
    <row r="2215" spans="1:29" ht="13" x14ac:dyDescent="0.15">
      <c r="A2215" s="72" t="str">
        <f t="shared" si="34"/>
        <v>Ofsted Social Care Provider Webpage</v>
      </c>
      <c r="B2215" s="55" t="s">
        <v>3794</v>
      </c>
      <c r="C2215" s="55">
        <v>137478</v>
      </c>
      <c r="D2215" s="55" t="s">
        <v>413</v>
      </c>
      <c r="E2215" s="74">
        <v>37603</v>
      </c>
      <c r="F2215" s="55" t="s">
        <v>344</v>
      </c>
      <c r="G2215" s="55" t="s">
        <v>3795</v>
      </c>
      <c r="H2215" s="55" t="s">
        <v>3796</v>
      </c>
      <c r="I2215" s="55" t="s">
        <v>3797</v>
      </c>
      <c r="J2215" s="55" t="s">
        <v>3798</v>
      </c>
      <c r="K2215" s="55" t="s">
        <v>165</v>
      </c>
      <c r="L2215" s="55" t="s">
        <v>3799</v>
      </c>
      <c r="M2215" s="55" t="s">
        <v>136</v>
      </c>
      <c r="N2215" s="55" t="s">
        <v>136</v>
      </c>
      <c r="O2215" s="55" t="s">
        <v>165</v>
      </c>
      <c r="P2215" s="55" t="s">
        <v>2318</v>
      </c>
      <c r="Q2215" s="55" t="s">
        <v>420</v>
      </c>
      <c r="R2215" s="55">
        <v>23</v>
      </c>
      <c r="S2215" s="74"/>
      <c r="T2215" s="55" t="s">
        <v>3800</v>
      </c>
      <c r="U2215" s="73" t="s">
        <v>351</v>
      </c>
      <c r="V2215" s="74">
        <v>44382</v>
      </c>
      <c r="W2215" s="74">
        <v>44463</v>
      </c>
      <c r="X2215" s="55">
        <v>10183576</v>
      </c>
      <c r="Y2215" s="55" t="s">
        <v>132</v>
      </c>
      <c r="AB2215" s="55" t="s">
        <v>132</v>
      </c>
      <c r="AC2215" s="55" t="s">
        <v>132</v>
      </c>
    </row>
    <row r="2216" spans="1:29" ht="13" x14ac:dyDescent="0.15">
      <c r="A2216" s="72" t="str">
        <f t="shared" si="34"/>
        <v>Ofsted Social Care Provider Webpage</v>
      </c>
      <c r="B2216" s="55" t="s">
        <v>3801</v>
      </c>
      <c r="C2216" s="55">
        <v>107791</v>
      </c>
      <c r="D2216" s="55" t="s">
        <v>398</v>
      </c>
      <c r="E2216" s="74">
        <v>37607</v>
      </c>
      <c r="F2216" s="55" t="s">
        <v>344</v>
      </c>
      <c r="G2216" s="55" t="s">
        <v>3802</v>
      </c>
      <c r="H2216" s="55" t="s">
        <v>3802</v>
      </c>
      <c r="I2216" s="55" t="s">
        <v>3803</v>
      </c>
      <c r="J2216" s="55" t="s">
        <v>750</v>
      </c>
      <c r="K2216" s="55" t="s">
        <v>2374</v>
      </c>
      <c r="L2216" s="55" t="s">
        <v>3804</v>
      </c>
      <c r="M2216" s="55" t="s">
        <v>378</v>
      </c>
      <c r="N2216" s="55" t="s">
        <v>134</v>
      </c>
      <c r="O2216" s="55" t="s">
        <v>206</v>
      </c>
      <c r="P2216" s="55" t="s">
        <v>750</v>
      </c>
      <c r="Q2216" s="55" t="s">
        <v>362</v>
      </c>
      <c r="R2216" s="55">
        <v>205</v>
      </c>
      <c r="S2216" s="74"/>
      <c r="T2216" s="55" t="s">
        <v>3805</v>
      </c>
      <c r="U2216" s="73" t="s">
        <v>351</v>
      </c>
      <c r="V2216" s="74">
        <v>43872</v>
      </c>
      <c r="W2216" s="74">
        <v>43899</v>
      </c>
      <c r="X2216" s="55">
        <v>10133114</v>
      </c>
      <c r="Y2216" s="55" t="s">
        <v>130</v>
      </c>
      <c r="AB2216" s="55" t="s">
        <v>130</v>
      </c>
      <c r="AC2216" s="55" t="s">
        <v>146</v>
      </c>
    </row>
    <row r="2217" spans="1:29" ht="13" x14ac:dyDescent="0.15">
      <c r="A2217" s="72" t="str">
        <f t="shared" si="34"/>
        <v>Ofsted Social Care Provider Webpage</v>
      </c>
      <c r="B2217" s="55" t="s">
        <v>3806</v>
      </c>
      <c r="D2217" s="55" t="s">
        <v>389</v>
      </c>
      <c r="E2217" s="74">
        <v>37834</v>
      </c>
      <c r="F2217" s="55" t="s">
        <v>344</v>
      </c>
      <c r="G2217" s="55" t="s">
        <v>3807</v>
      </c>
      <c r="H2217" s="55" t="s">
        <v>3808</v>
      </c>
      <c r="I2217" s="55" t="s">
        <v>354</v>
      </c>
      <c r="J2217" s="55" t="s">
        <v>3809</v>
      </c>
      <c r="K2217" s="55" t="s">
        <v>2578</v>
      </c>
      <c r="L2217" s="55" t="s">
        <v>3810</v>
      </c>
      <c r="M2217" s="55" t="s">
        <v>129</v>
      </c>
      <c r="N2217" s="55" t="s">
        <v>129</v>
      </c>
      <c r="O2217" s="55" t="s">
        <v>242</v>
      </c>
      <c r="P2217" s="55" t="s">
        <v>1078</v>
      </c>
      <c r="Q2217" s="55" t="s">
        <v>350</v>
      </c>
      <c r="R2217" s="55"/>
      <c r="S2217" s="74"/>
      <c r="T2217" s="55" t="s">
        <v>3811</v>
      </c>
      <c r="U2217" s="73" t="s">
        <v>351</v>
      </c>
      <c r="V2217" s="74">
        <v>43157</v>
      </c>
      <c r="W2217" s="74">
        <v>43195</v>
      </c>
      <c r="X2217" s="55">
        <v>10038136</v>
      </c>
      <c r="Y2217" s="55" t="s">
        <v>132</v>
      </c>
      <c r="AB2217" s="55" t="s">
        <v>132</v>
      </c>
      <c r="AC2217" s="55" t="s">
        <v>132</v>
      </c>
    </row>
    <row r="2218" spans="1:29" ht="13" x14ac:dyDescent="0.15">
      <c r="A2218" s="72" t="str">
        <f t="shared" si="34"/>
        <v>Ofsted Social Care Provider Webpage</v>
      </c>
      <c r="B2218" s="55" t="s">
        <v>3812</v>
      </c>
      <c r="C2218" s="55">
        <v>137493</v>
      </c>
      <c r="D2218" s="55" t="s">
        <v>413</v>
      </c>
      <c r="E2218" s="74">
        <v>37610</v>
      </c>
      <c r="F2218" s="55" t="s">
        <v>344</v>
      </c>
      <c r="G2218" s="55" t="s">
        <v>3813</v>
      </c>
      <c r="H2218" s="55" t="s">
        <v>3813</v>
      </c>
      <c r="I2218" s="55" t="s">
        <v>3814</v>
      </c>
      <c r="J2218" s="55" t="s">
        <v>3815</v>
      </c>
      <c r="L2218" s="55" t="s">
        <v>3816</v>
      </c>
      <c r="M2218" s="55" t="s">
        <v>136</v>
      </c>
      <c r="N2218" s="55" t="s">
        <v>136</v>
      </c>
      <c r="O2218" s="55" t="s">
        <v>135</v>
      </c>
      <c r="P2218" s="55" t="s">
        <v>831</v>
      </c>
      <c r="Q2218" s="55" t="s">
        <v>420</v>
      </c>
      <c r="R2218" s="55">
        <v>11</v>
      </c>
      <c r="S2218" s="74"/>
      <c r="T2218" s="55" t="s">
        <v>3817</v>
      </c>
      <c r="U2218" s="73" t="s">
        <v>351</v>
      </c>
      <c r="V2218" s="74">
        <v>44460</v>
      </c>
      <c r="W2218" s="74">
        <v>44515</v>
      </c>
      <c r="X2218" s="55">
        <v>10183569</v>
      </c>
      <c r="Y2218" s="55" t="s">
        <v>132</v>
      </c>
      <c r="AB2218" s="55" t="s">
        <v>132</v>
      </c>
      <c r="AC2218" s="55" t="s">
        <v>132</v>
      </c>
    </row>
    <row r="2219" spans="1:29" ht="13" x14ac:dyDescent="0.15">
      <c r="A2219" s="72" t="str">
        <f t="shared" si="34"/>
        <v>Ofsted Social Care Provider Webpage</v>
      </c>
      <c r="B2219" s="55" t="s">
        <v>3818</v>
      </c>
      <c r="C2219" s="55">
        <v>122384</v>
      </c>
      <c r="D2219" s="55" t="s">
        <v>413</v>
      </c>
      <c r="E2219" s="74">
        <v>37610</v>
      </c>
      <c r="F2219" s="55" t="s">
        <v>344</v>
      </c>
      <c r="G2219" s="55" t="s">
        <v>3819</v>
      </c>
      <c r="H2219" s="55" t="s">
        <v>3820</v>
      </c>
      <c r="I2219" s="55" t="s">
        <v>3821</v>
      </c>
      <c r="J2219" s="55" t="s">
        <v>3822</v>
      </c>
      <c r="K2219" s="55" t="s">
        <v>233</v>
      </c>
      <c r="L2219" s="55" t="s">
        <v>3823</v>
      </c>
      <c r="M2219" s="55" t="s">
        <v>378</v>
      </c>
      <c r="N2219" s="55" t="s">
        <v>170</v>
      </c>
      <c r="O2219" s="55" t="s">
        <v>233</v>
      </c>
      <c r="P2219" s="55" t="s">
        <v>1999</v>
      </c>
      <c r="Q2219" s="55" t="s">
        <v>380</v>
      </c>
      <c r="R2219" s="55">
        <v>9</v>
      </c>
      <c r="S2219" s="74"/>
      <c r="T2219" s="55" t="s">
        <v>381</v>
      </c>
      <c r="U2219" s="73" t="s">
        <v>351</v>
      </c>
      <c r="V2219" s="74">
        <v>44538</v>
      </c>
      <c r="W2219" s="74">
        <v>44588</v>
      </c>
      <c r="X2219" s="55">
        <v>10183511</v>
      </c>
      <c r="Y2219" s="55" t="s">
        <v>132</v>
      </c>
      <c r="AB2219" s="55" t="s">
        <v>132</v>
      </c>
      <c r="AC2219" s="55" t="s">
        <v>132</v>
      </c>
    </row>
    <row r="2220" spans="1:29" ht="13" x14ac:dyDescent="0.15">
      <c r="A2220" s="72" t="str">
        <f t="shared" si="34"/>
        <v>Ofsted Social Care Provider Webpage</v>
      </c>
      <c r="B2220" s="55" t="s">
        <v>3824</v>
      </c>
      <c r="C2220" s="55">
        <v>131878</v>
      </c>
      <c r="D2220" s="55" t="s">
        <v>693</v>
      </c>
      <c r="E2220" s="74">
        <v>37621</v>
      </c>
      <c r="F2220" s="55" t="s">
        <v>344</v>
      </c>
      <c r="G2220" s="55" t="s">
        <v>3825</v>
      </c>
      <c r="H2220" s="55" t="s">
        <v>3826</v>
      </c>
      <c r="I2220" s="55" t="s">
        <v>3827</v>
      </c>
      <c r="J2220" s="55" t="s">
        <v>3076</v>
      </c>
      <c r="K2220" s="55" t="s">
        <v>255</v>
      </c>
      <c r="L2220" s="55" t="s">
        <v>3828</v>
      </c>
      <c r="M2220" s="55" t="s">
        <v>136</v>
      </c>
      <c r="N2220" s="55" t="s">
        <v>136</v>
      </c>
      <c r="O2220" s="55" t="s">
        <v>255</v>
      </c>
      <c r="P2220" s="55" t="s">
        <v>609</v>
      </c>
      <c r="Q2220" s="55" t="s">
        <v>350</v>
      </c>
      <c r="R2220" s="55">
        <v>54</v>
      </c>
      <c r="S2220" s="74"/>
      <c r="T2220" s="55" t="s">
        <v>450</v>
      </c>
      <c r="U2220" s="73" t="s">
        <v>351</v>
      </c>
      <c r="V2220" s="74">
        <v>44510</v>
      </c>
      <c r="W2220" s="74">
        <v>44543</v>
      </c>
      <c r="X2220" s="55">
        <v>10183329</v>
      </c>
      <c r="Y2220" s="55" t="s">
        <v>130</v>
      </c>
      <c r="AB2220" s="55" t="s">
        <v>130</v>
      </c>
      <c r="AC2220" s="55" t="s">
        <v>130</v>
      </c>
    </row>
    <row r="2221" spans="1:29" ht="13" x14ac:dyDescent="0.15">
      <c r="A2221" s="72" t="str">
        <f t="shared" si="34"/>
        <v>Ofsted Social Care Provider Webpage</v>
      </c>
      <c r="B2221" s="55" t="s">
        <v>3829</v>
      </c>
      <c r="C2221" s="55">
        <v>119026</v>
      </c>
      <c r="D2221" s="55" t="s">
        <v>413</v>
      </c>
      <c r="E2221" s="74">
        <v>37629</v>
      </c>
      <c r="F2221" s="55" t="s">
        <v>344</v>
      </c>
      <c r="G2221" s="55" t="s">
        <v>3830</v>
      </c>
      <c r="H2221" s="55" t="s">
        <v>3831</v>
      </c>
      <c r="I2221" s="55" t="s">
        <v>354</v>
      </c>
      <c r="J2221" s="55" t="s">
        <v>417</v>
      </c>
      <c r="K2221" s="55" t="s">
        <v>203</v>
      </c>
      <c r="L2221" s="55" t="s">
        <v>3832</v>
      </c>
      <c r="M2221" s="55" t="s">
        <v>150</v>
      </c>
      <c r="N2221" s="55" t="s">
        <v>150</v>
      </c>
      <c r="O2221" s="55" t="s">
        <v>203</v>
      </c>
      <c r="P2221" s="55" t="s">
        <v>419</v>
      </c>
      <c r="Q2221" s="55" t="s">
        <v>380</v>
      </c>
      <c r="R2221" s="55">
        <v>19</v>
      </c>
      <c r="S2221" s="74"/>
      <c r="T2221" s="55" t="s">
        <v>1547</v>
      </c>
      <c r="U2221" s="73" t="s">
        <v>351</v>
      </c>
      <c r="V2221" s="74">
        <v>44510</v>
      </c>
      <c r="W2221" s="74">
        <v>44575</v>
      </c>
      <c r="X2221" s="55">
        <v>10183540</v>
      </c>
      <c r="Y2221" s="55" t="s">
        <v>140</v>
      </c>
      <c r="AB2221" s="55" t="s">
        <v>140</v>
      </c>
      <c r="AC2221" s="55" t="s">
        <v>140</v>
      </c>
    </row>
    <row r="2222" spans="1:29" ht="13" x14ac:dyDescent="0.15">
      <c r="A2222" s="72" t="str">
        <f t="shared" si="34"/>
        <v>Ofsted Social Care Provider Webpage</v>
      </c>
      <c r="B2222" s="55" t="s">
        <v>3833</v>
      </c>
      <c r="C2222" s="55">
        <v>119032</v>
      </c>
      <c r="D2222" s="55" t="s">
        <v>413</v>
      </c>
      <c r="E2222" s="74">
        <v>37629</v>
      </c>
      <c r="F2222" s="55" t="s">
        <v>344</v>
      </c>
      <c r="G2222" s="55" t="s">
        <v>3834</v>
      </c>
      <c r="H2222" s="55" t="s">
        <v>3834</v>
      </c>
      <c r="I2222" s="55" t="s">
        <v>3835</v>
      </c>
      <c r="J2222" s="55" t="s">
        <v>3836</v>
      </c>
      <c r="K2222" s="55" t="s">
        <v>203</v>
      </c>
      <c r="L2222" s="55" t="s">
        <v>3837</v>
      </c>
      <c r="M2222" s="55" t="s">
        <v>150</v>
      </c>
      <c r="N2222" s="55" t="s">
        <v>150</v>
      </c>
      <c r="O2222" s="55" t="s">
        <v>203</v>
      </c>
      <c r="P2222" s="55" t="s">
        <v>419</v>
      </c>
      <c r="Q2222" s="55" t="s">
        <v>380</v>
      </c>
      <c r="R2222" s="55">
        <v>54</v>
      </c>
      <c r="S2222" s="74"/>
      <c r="T2222" s="55" t="s">
        <v>1547</v>
      </c>
      <c r="U2222" s="73" t="s">
        <v>351</v>
      </c>
      <c r="V2222" s="74">
        <v>43858</v>
      </c>
      <c r="W2222" s="74">
        <v>43892</v>
      </c>
      <c r="X2222" s="55">
        <v>10093172</v>
      </c>
      <c r="Y2222" s="55" t="s">
        <v>132</v>
      </c>
      <c r="AB2222" s="55" t="s">
        <v>132</v>
      </c>
      <c r="AC2222" s="55" t="s">
        <v>132</v>
      </c>
    </row>
    <row r="2223" spans="1:29" ht="13" x14ac:dyDescent="0.15">
      <c r="A2223" s="72" t="str">
        <f t="shared" si="34"/>
        <v>Ofsted Social Care Provider Webpage</v>
      </c>
      <c r="B2223" s="55" t="s">
        <v>3838</v>
      </c>
      <c r="C2223" s="55">
        <v>130652</v>
      </c>
      <c r="D2223" s="55" t="s">
        <v>693</v>
      </c>
      <c r="E2223" s="74">
        <v>37631</v>
      </c>
      <c r="F2223" s="55" t="s">
        <v>344</v>
      </c>
      <c r="G2223" s="55" t="s">
        <v>3839</v>
      </c>
      <c r="H2223" s="55" t="s">
        <v>3840</v>
      </c>
      <c r="I2223" s="55" t="s">
        <v>3841</v>
      </c>
      <c r="J2223" s="55" t="s">
        <v>703</v>
      </c>
      <c r="K2223" s="55" t="s">
        <v>176</v>
      </c>
      <c r="L2223" s="55" t="s">
        <v>3842</v>
      </c>
      <c r="M2223" s="55" t="s">
        <v>136</v>
      </c>
      <c r="N2223" s="55" t="s">
        <v>136</v>
      </c>
      <c r="O2223" s="55" t="s">
        <v>705</v>
      </c>
      <c r="P2223" s="55" t="s">
        <v>706</v>
      </c>
      <c r="Q2223" s="55" t="s">
        <v>362</v>
      </c>
      <c r="R2223" s="55">
        <v>60</v>
      </c>
      <c r="S2223" s="74"/>
      <c r="T2223" s="55" t="s">
        <v>3840</v>
      </c>
      <c r="U2223" s="73" t="s">
        <v>351</v>
      </c>
      <c r="V2223" s="74">
        <v>43858</v>
      </c>
      <c r="W2223" s="74">
        <v>43892</v>
      </c>
      <c r="X2223" s="55">
        <v>10092975</v>
      </c>
      <c r="Y2223" s="55" t="s">
        <v>132</v>
      </c>
      <c r="AB2223" s="55" t="s">
        <v>132</v>
      </c>
      <c r="AC2223" s="55" t="s">
        <v>132</v>
      </c>
    </row>
    <row r="2224" spans="1:29" ht="13" x14ac:dyDescent="0.15">
      <c r="A2224" s="72" t="str">
        <f t="shared" si="34"/>
        <v>Ofsted Social Care Provider Webpage</v>
      </c>
      <c r="B2224" s="55" t="s">
        <v>3843</v>
      </c>
      <c r="D2224" s="55" t="s">
        <v>373</v>
      </c>
      <c r="E2224" s="74">
        <v>37952</v>
      </c>
      <c r="F2224" s="55" t="s">
        <v>344</v>
      </c>
      <c r="G2224" s="55" t="s">
        <v>360</v>
      </c>
      <c r="H2224" s="55" t="s">
        <v>360</v>
      </c>
      <c r="I2224" s="55" t="s">
        <v>360</v>
      </c>
      <c r="J2224" s="55" t="s">
        <v>360</v>
      </c>
      <c r="K2224" s="55" t="s">
        <v>360</v>
      </c>
      <c r="L2224" s="55" t="s">
        <v>360</v>
      </c>
      <c r="M2224" s="55" t="s">
        <v>129</v>
      </c>
      <c r="N2224" s="55" t="s">
        <v>129</v>
      </c>
      <c r="O2224" s="55" t="s">
        <v>167</v>
      </c>
      <c r="P2224" s="55" t="s">
        <v>553</v>
      </c>
      <c r="Q2224" s="55" t="s">
        <v>380</v>
      </c>
      <c r="R2224" s="55">
        <v>7</v>
      </c>
      <c r="S2224" s="74" t="s">
        <v>332</v>
      </c>
      <c r="T2224" s="55" t="s">
        <v>3844</v>
      </c>
      <c r="U2224" s="73" t="s">
        <v>351</v>
      </c>
      <c r="V2224" s="74">
        <v>44523</v>
      </c>
      <c r="W2224" s="74">
        <v>44578</v>
      </c>
      <c r="X2224" s="55">
        <v>10185393</v>
      </c>
      <c r="Y2224" s="55" t="s">
        <v>132</v>
      </c>
      <c r="AB2224" s="55" t="s">
        <v>132</v>
      </c>
      <c r="AC2224" s="55" t="s">
        <v>130</v>
      </c>
    </row>
    <row r="2225" spans="1:29" ht="13" x14ac:dyDescent="0.15">
      <c r="A2225" s="72" t="str">
        <f t="shared" si="34"/>
        <v>Ofsted Social Care Provider Webpage</v>
      </c>
      <c r="B2225" s="55" t="s">
        <v>3845</v>
      </c>
      <c r="C2225" s="55">
        <v>130597</v>
      </c>
      <c r="D2225" s="55" t="s">
        <v>693</v>
      </c>
      <c r="E2225" s="74">
        <v>37634</v>
      </c>
      <c r="F2225" s="55" t="s">
        <v>344</v>
      </c>
      <c r="G2225" s="55" t="s">
        <v>3846</v>
      </c>
      <c r="H2225" s="55" t="s">
        <v>3847</v>
      </c>
      <c r="I2225" s="55" t="s">
        <v>3848</v>
      </c>
      <c r="J2225" s="55" t="s">
        <v>3849</v>
      </c>
      <c r="K2225" s="55" t="s">
        <v>820</v>
      </c>
      <c r="L2225" s="55" t="s">
        <v>3850</v>
      </c>
      <c r="M2225" s="55" t="s">
        <v>138</v>
      </c>
      <c r="N2225" s="55" t="s">
        <v>138</v>
      </c>
      <c r="O2225" s="55" t="s">
        <v>161</v>
      </c>
      <c r="P2225" s="55" t="s">
        <v>822</v>
      </c>
      <c r="Q2225" s="55" t="s">
        <v>362</v>
      </c>
      <c r="R2225" s="55">
        <v>47</v>
      </c>
      <c r="S2225" s="74"/>
      <c r="T2225" s="55" t="s">
        <v>3851</v>
      </c>
      <c r="U2225" s="73" t="s">
        <v>351</v>
      </c>
      <c r="V2225" s="74">
        <v>43131</v>
      </c>
      <c r="W2225" s="74">
        <v>43151</v>
      </c>
      <c r="X2225" s="55">
        <v>10010783</v>
      </c>
      <c r="Y2225" s="55" t="s">
        <v>140</v>
      </c>
      <c r="AB2225" s="55" t="s">
        <v>132</v>
      </c>
      <c r="AC2225" s="55" t="s">
        <v>140</v>
      </c>
    </row>
    <row r="2226" spans="1:29" ht="13" x14ac:dyDescent="0.15">
      <c r="A2226" s="72" t="str">
        <f t="shared" si="34"/>
        <v>Ofsted Social Care Provider Webpage</v>
      </c>
      <c r="B2226" s="55" t="s">
        <v>3852</v>
      </c>
      <c r="C2226" s="55">
        <v>130623</v>
      </c>
      <c r="D2226" s="55" t="s">
        <v>693</v>
      </c>
      <c r="E2226" s="74">
        <v>37634</v>
      </c>
      <c r="F2226" s="55" t="s">
        <v>344</v>
      </c>
      <c r="G2226" s="55" t="s">
        <v>3853</v>
      </c>
      <c r="H2226" s="55" t="s">
        <v>3854</v>
      </c>
      <c r="I2226" s="55" t="s">
        <v>354</v>
      </c>
      <c r="J2226" s="55" t="s">
        <v>3855</v>
      </c>
      <c r="K2226" s="55" t="s">
        <v>2469</v>
      </c>
      <c r="L2226" s="55" t="s">
        <v>3856</v>
      </c>
      <c r="M2226" s="55" t="s">
        <v>144</v>
      </c>
      <c r="N2226" s="55" t="s">
        <v>144</v>
      </c>
      <c r="O2226" s="55" t="s">
        <v>162</v>
      </c>
      <c r="P2226" s="55" t="s">
        <v>376</v>
      </c>
      <c r="Q2226" s="55" t="s">
        <v>362</v>
      </c>
      <c r="R2226" s="55">
        <v>808</v>
      </c>
      <c r="S2226" s="74"/>
      <c r="T2226" s="55" t="s">
        <v>3857</v>
      </c>
      <c r="U2226" s="73" t="s">
        <v>351</v>
      </c>
      <c r="V2226" s="74">
        <v>44579</v>
      </c>
      <c r="W2226" s="74">
        <v>44629</v>
      </c>
      <c r="X2226" s="55">
        <v>10183332</v>
      </c>
      <c r="Y2226" s="55" t="s">
        <v>132</v>
      </c>
      <c r="AB2226" s="55" t="s">
        <v>132</v>
      </c>
      <c r="AC2226" s="55" t="s">
        <v>132</v>
      </c>
    </row>
    <row r="2227" spans="1:29" ht="13" x14ac:dyDescent="0.15">
      <c r="A2227" s="72" t="str">
        <f t="shared" si="34"/>
        <v>Ofsted Social Care Provider Webpage</v>
      </c>
      <c r="B2227" s="55" t="s">
        <v>3858</v>
      </c>
      <c r="C2227" s="55">
        <v>103870</v>
      </c>
      <c r="D2227" s="55" t="s">
        <v>398</v>
      </c>
      <c r="E2227" s="74">
        <v>37637</v>
      </c>
      <c r="F2227" s="55" t="s">
        <v>344</v>
      </c>
      <c r="G2227" s="55" t="s">
        <v>3859</v>
      </c>
      <c r="H2227" s="55" t="s">
        <v>3859</v>
      </c>
      <c r="I2227" s="55" t="s">
        <v>3860</v>
      </c>
      <c r="J2227" s="55" t="s">
        <v>2940</v>
      </c>
      <c r="K2227" s="55" t="s">
        <v>142</v>
      </c>
      <c r="L2227" s="55" t="s">
        <v>3861</v>
      </c>
      <c r="M2227" s="55" t="s">
        <v>142</v>
      </c>
      <c r="N2227" s="55" t="s">
        <v>142</v>
      </c>
      <c r="O2227" s="55" t="s">
        <v>177</v>
      </c>
      <c r="P2227" s="55" t="s">
        <v>885</v>
      </c>
      <c r="Q2227" s="55" t="s">
        <v>380</v>
      </c>
      <c r="R2227" s="55">
        <v>470</v>
      </c>
      <c r="S2227" s="74"/>
      <c r="T2227" s="55" t="s">
        <v>3584</v>
      </c>
      <c r="U2227" s="73" t="s">
        <v>351</v>
      </c>
      <c r="V2227" s="74">
        <v>43634</v>
      </c>
      <c r="W2227" s="74">
        <v>43698</v>
      </c>
      <c r="X2227" s="55">
        <v>10092955</v>
      </c>
      <c r="Y2227" s="55" t="s">
        <v>140</v>
      </c>
      <c r="AB2227" s="55" t="s">
        <v>140</v>
      </c>
      <c r="AC2227" s="55" t="s">
        <v>140</v>
      </c>
    </row>
    <row r="2228" spans="1:29" ht="13" x14ac:dyDescent="0.15">
      <c r="A2228" s="72" t="str">
        <f t="shared" si="34"/>
        <v>Ofsted Social Care Provider Webpage</v>
      </c>
      <c r="B2228" s="55" t="s">
        <v>3862</v>
      </c>
      <c r="C2228" s="55">
        <v>144638</v>
      </c>
      <c r="D2228" s="55" t="s">
        <v>398</v>
      </c>
      <c r="E2228" s="74">
        <v>37637</v>
      </c>
      <c r="F2228" s="55" t="s">
        <v>344</v>
      </c>
      <c r="G2228" s="55" t="s">
        <v>3863</v>
      </c>
      <c r="H2228" s="55" t="s">
        <v>2925</v>
      </c>
      <c r="I2228" s="55" t="s">
        <v>3864</v>
      </c>
      <c r="J2228" s="55" t="s">
        <v>200</v>
      </c>
      <c r="L2228" s="55" t="s">
        <v>3865</v>
      </c>
      <c r="M2228" s="55" t="s">
        <v>136</v>
      </c>
      <c r="N2228" s="55" t="s">
        <v>136</v>
      </c>
      <c r="O2228" s="55" t="s">
        <v>200</v>
      </c>
      <c r="P2228" s="55" t="s">
        <v>3866</v>
      </c>
      <c r="Q2228" s="55" t="s">
        <v>380</v>
      </c>
      <c r="R2228" s="55">
        <v>24</v>
      </c>
      <c r="S2228" s="74"/>
      <c r="T2228" s="55" t="s">
        <v>3867</v>
      </c>
      <c r="U2228" s="73" t="s">
        <v>351</v>
      </c>
      <c r="V2228" s="74">
        <v>43732</v>
      </c>
      <c r="W2228" s="74">
        <v>43815</v>
      </c>
      <c r="X2228" s="55">
        <v>10092956</v>
      </c>
      <c r="Y2228" s="55" t="s">
        <v>132</v>
      </c>
      <c r="AB2228" s="55" t="s">
        <v>130</v>
      </c>
      <c r="AC2228" s="55" t="s">
        <v>130</v>
      </c>
    </row>
    <row r="2229" spans="1:29" ht="13" x14ac:dyDescent="0.15">
      <c r="A2229" s="72" t="str">
        <f t="shared" si="34"/>
        <v>Ofsted Social Care Provider Webpage</v>
      </c>
      <c r="B2229" s="55" t="s">
        <v>3868</v>
      </c>
      <c r="C2229" s="55">
        <v>130772</v>
      </c>
      <c r="D2229" s="55" t="s">
        <v>693</v>
      </c>
      <c r="E2229" s="74">
        <v>37638</v>
      </c>
      <c r="F2229" s="55" t="s">
        <v>344</v>
      </c>
      <c r="G2229" s="55" t="s">
        <v>3869</v>
      </c>
      <c r="H2229" s="55" t="s">
        <v>3869</v>
      </c>
      <c r="I2229" s="55" t="s">
        <v>3870</v>
      </c>
      <c r="J2229" s="55" t="s">
        <v>3160</v>
      </c>
      <c r="L2229" s="55" t="s">
        <v>3871</v>
      </c>
      <c r="M2229" s="55" t="s">
        <v>172</v>
      </c>
      <c r="N2229" s="55" t="s">
        <v>172</v>
      </c>
      <c r="O2229" s="55" t="s">
        <v>284</v>
      </c>
      <c r="P2229" s="55" t="s">
        <v>357</v>
      </c>
      <c r="Q2229" s="55" t="s">
        <v>350</v>
      </c>
      <c r="R2229" s="55">
        <v>50</v>
      </c>
      <c r="S2229" s="74"/>
      <c r="T2229" s="55" t="s">
        <v>3869</v>
      </c>
      <c r="U2229" s="73" t="s">
        <v>351</v>
      </c>
      <c r="V2229" s="74">
        <v>44600</v>
      </c>
      <c r="W2229" s="74">
        <v>44638</v>
      </c>
      <c r="X2229" s="55">
        <v>10183324</v>
      </c>
      <c r="Y2229" s="55" t="s">
        <v>132</v>
      </c>
      <c r="AB2229" s="55" t="s">
        <v>132</v>
      </c>
      <c r="AC2229" s="55" t="s">
        <v>132</v>
      </c>
    </row>
    <row r="2230" spans="1:29" ht="13" x14ac:dyDescent="0.15">
      <c r="A2230" s="72" t="str">
        <f t="shared" si="34"/>
        <v>Ofsted Social Care Provider Webpage</v>
      </c>
      <c r="B2230" s="55" t="s">
        <v>3872</v>
      </c>
      <c r="C2230" s="55">
        <v>101094</v>
      </c>
      <c r="D2230" s="55" t="s">
        <v>413</v>
      </c>
      <c r="E2230" s="74">
        <v>37638</v>
      </c>
      <c r="F2230" s="55" t="s">
        <v>344</v>
      </c>
      <c r="G2230" s="55" t="s">
        <v>3873</v>
      </c>
      <c r="H2230" s="55" t="s">
        <v>3874</v>
      </c>
      <c r="I2230" s="55" t="s">
        <v>354</v>
      </c>
      <c r="J2230" s="55" t="s">
        <v>2578</v>
      </c>
      <c r="L2230" s="55" t="s">
        <v>3875</v>
      </c>
      <c r="M2230" s="55" t="s">
        <v>129</v>
      </c>
      <c r="N2230" s="55" t="s">
        <v>129</v>
      </c>
      <c r="O2230" s="55" t="s">
        <v>280</v>
      </c>
      <c r="P2230" s="55" t="s">
        <v>1367</v>
      </c>
      <c r="Q2230" s="55" t="s">
        <v>380</v>
      </c>
      <c r="R2230" s="55">
        <v>17</v>
      </c>
      <c r="S2230" s="74"/>
      <c r="T2230" s="55" t="s">
        <v>2581</v>
      </c>
      <c r="U2230" s="73" t="s">
        <v>351</v>
      </c>
      <c r="V2230" s="74">
        <v>44488</v>
      </c>
      <c r="W2230" s="74">
        <v>44531</v>
      </c>
      <c r="X2230" s="55">
        <v>10183509</v>
      </c>
      <c r="Y2230" s="55" t="s">
        <v>140</v>
      </c>
      <c r="AB2230" s="55" t="s">
        <v>140</v>
      </c>
      <c r="AC2230" s="55" t="s">
        <v>140</v>
      </c>
    </row>
    <row r="2231" spans="1:29" ht="13" x14ac:dyDescent="0.15">
      <c r="A2231" s="72" t="str">
        <f t="shared" si="34"/>
        <v>Ofsted Social Care Provider Webpage</v>
      </c>
      <c r="B2231" s="55" t="s">
        <v>3876</v>
      </c>
      <c r="D2231" s="55" t="s">
        <v>373</v>
      </c>
      <c r="E2231" s="74">
        <v>37700</v>
      </c>
      <c r="F2231" s="55" t="s">
        <v>344</v>
      </c>
      <c r="G2231" s="55" t="s">
        <v>360</v>
      </c>
      <c r="H2231" s="55" t="s">
        <v>360</v>
      </c>
      <c r="I2231" s="55" t="s">
        <v>360</v>
      </c>
      <c r="J2231" s="55" t="s">
        <v>360</v>
      </c>
      <c r="K2231" s="55" t="s">
        <v>360</v>
      </c>
      <c r="L2231" s="55" t="s">
        <v>360</v>
      </c>
      <c r="M2231" s="55" t="s">
        <v>150</v>
      </c>
      <c r="N2231" s="55" t="s">
        <v>150</v>
      </c>
      <c r="O2231" s="55" t="s">
        <v>285</v>
      </c>
      <c r="P2231" s="55" t="s">
        <v>575</v>
      </c>
      <c r="Q2231" s="55" t="s">
        <v>350</v>
      </c>
      <c r="R2231" s="55">
        <v>6</v>
      </c>
      <c r="S2231" s="74"/>
      <c r="T2231" s="55" t="s">
        <v>1962</v>
      </c>
      <c r="U2231" s="73" t="s">
        <v>351</v>
      </c>
      <c r="V2231" s="74">
        <v>44600</v>
      </c>
      <c r="W2231" s="74">
        <v>44672</v>
      </c>
      <c r="X2231" s="55">
        <v>10185108</v>
      </c>
      <c r="Y2231" s="55" t="s">
        <v>140</v>
      </c>
      <c r="AB2231" s="55" t="s">
        <v>140</v>
      </c>
      <c r="AC2231" s="55" t="s">
        <v>140</v>
      </c>
    </row>
    <row r="2232" spans="1:29" ht="13" x14ac:dyDescent="0.15">
      <c r="A2232" s="72" t="str">
        <f t="shared" si="34"/>
        <v>Ofsted Social Care Provider Webpage</v>
      </c>
      <c r="B2232" s="55" t="s">
        <v>3877</v>
      </c>
      <c r="C2232" s="55">
        <v>139655</v>
      </c>
      <c r="D2232" s="55" t="s">
        <v>398</v>
      </c>
      <c r="E2232" s="74">
        <v>37641</v>
      </c>
      <c r="F2232" s="55" t="s">
        <v>344</v>
      </c>
      <c r="G2232" s="55" t="s">
        <v>3878</v>
      </c>
      <c r="H2232" s="55" t="s">
        <v>3879</v>
      </c>
      <c r="I2232" s="55" t="s">
        <v>354</v>
      </c>
      <c r="J2232" s="55" t="s">
        <v>3880</v>
      </c>
      <c r="K2232" s="55" t="s">
        <v>255</v>
      </c>
      <c r="L2232" s="55" t="s">
        <v>3881</v>
      </c>
      <c r="M2232" s="55" t="s">
        <v>136</v>
      </c>
      <c r="N2232" s="55" t="s">
        <v>136</v>
      </c>
      <c r="O2232" s="55" t="s">
        <v>255</v>
      </c>
      <c r="P2232" s="55" t="s">
        <v>757</v>
      </c>
      <c r="Q2232" s="55" t="s">
        <v>420</v>
      </c>
      <c r="R2232" s="55">
        <v>131</v>
      </c>
      <c r="S2232" s="74"/>
      <c r="T2232" s="55" t="s">
        <v>3882</v>
      </c>
      <c r="U2232" s="73" t="s">
        <v>351</v>
      </c>
      <c r="V2232" s="74">
        <v>43522</v>
      </c>
      <c r="W2232" s="74">
        <v>43553</v>
      </c>
      <c r="X2232" s="55">
        <v>10048550</v>
      </c>
      <c r="Y2232" s="55" t="s">
        <v>132</v>
      </c>
      <c r="AB2232" s="55" t="s">
        <v>132</v>
      </c>
      <c r="AC2232" s="55" t="s">
        <v>132</v>
      </c>
    </row>
    <row r="2233" spans="1:29" ht="13" x14ac:dyDescent="0.15">
      <c r="A2233" s="72" t="str">
        <f t="shared" si="34"/>
        <v>Ofsted Social Care Provider Webpage</v>
      </c>
      <c r="B2233" s="55" t="s">
        <v>3883</v>
      </c>
      <c r="C2233" s="55">
        <v>140898</v>
      </c>
      <c r="D2233" s="55" t="s">
        <v>398</v>
      </c>
      <c r="E2233" s="74">
        <v>37648</v>
      </c>
      <c r="F2233" s="55" t="s">
        <v>344</v>
      </c>
      <c r="G2233" s="55" t="s">
        <v>3884</v>
      </c>
      <c r="H2233" s="55" t="s">
        <v>3884</v>
      </c>
      <c r="I2233" s="55" t="s">
        <v>3885</v>
      </c>
      <c r="J2233" s="55" t="s">
        <v>3886</v>
      </c>
      <c r="K2233" s="55" t="s">
        <v>176</v>
      </c>
      <c r="L2233" s="55" t="s">
        <v>3887</v>
      </c>
      <c r="M2233" s="55" t="s">
        <v>136</v>
      </c>
      <c r="N2233" s="55" t="s">
        <v>136</v>
      </c>
      <c r="O2233" s="55" t="s">
        <v>176</v>
      </c>
      <c r="P2233" s="55" t="s">
        <v>2060</v>
      </c>
      <c r="Q2233" s="55" t="s">
        <v>420</v>
      </c>
      <c r="R2233" s="55">
        <v>110</v>
      </c>
      <c r="S2233" s="74"/>
      <c r="T2233" s="55" t="s">
        <v>3888</v>
      </c>
      <c r="U2233" s="73" t="s">
        <v>351</v>
      </c>
      <c r="V2233" s="74">
        <v>44599</v>
      </c>
      <c r="W2233" s="74">
        <v>44641</v>
      </c>
      <c r="X2233" s="55">
        <v>10183309</v>
      </c>
      <c r="Y2233" s="55" t="s">
        <v>130</v>
      </c>
      <c r="AB2233" s="55" t="s">
        <v>130</v>
      </c>
      <c r="AC2233" s="55" t="s">
        <v>146</v>
      </c>
    </row>
    <row r="2234" spans="1:29" ht="13" x14ac:dyDescent="0.15">
      <c r="A2234" s="72" t="str">
        <f t="shared" si="34"/>
        <v>Ofsted Social Care Provider Webpage</v>
      </c>
      <c r="B2234" s="55" t="s">
        <v>3889</v>
      </c>
      <c r="C2234" s="55">
        <v>103623</v>
      </c>
      <c r="D2234" s="55" t="s">
        <v>413</v>
      </c>
      <c r="E2234" s="74">
        <v>37649</v>
      </c>
      <c r="F2234" s="55" t="s">
        <v>344</v>
      </c>
      <c r="G2234" s="55" t="s">
        <v>3890</v>
      </c>
      <c r="H2234" s="55" t="s">
        <v>3890</v>
      </c>
      <c r="I2234" s="55" t="s">
        <v>3891</v>
      </c>
      <c r="J2234" s="55" t="s">
        <v>254</v>
      </c>
      <c r="K2234" s="55" t="s">
        <v>142</v>
      </c>
      <c r="L2234" s="55" t="s">
        <v>3892</v>
      </c>
      <c r="M2234" s="55" t="s">
        <v>142</v>
      </c>
      <c r="N2234" s="55" t="s">
        <v>142</v>
      </c>
      <c r="O2234" s="55" t="s">
        <v>254</v>
      </c>
      <c r="P2234" s="55" t="s">
        <v>1048</v>
      </c>
      <c r="Q2234" s="55" t="s">
        <v>380</v>
      </c>
      <c r="R2234" s="55">
        <v>12</v>
      </c>
      <c r="S2234" s="74"/>
      <c r="T2234" s="55" t="s">
        <v>2755</v>
      </c>
      <c r="U2234" s="73" t="s">
        <v>351</v>
      </c>
      <c r="V2234" s="74">
        <v>43655</v>
      </c>
      <c r="W2234" s="74">
        <v>43707</v>
      </c>
      <c r="X2234" s="55">
        <v>10094716</v>
      </c>
      <c r="Y2234" s="55" t="s">
        <v>130</v>
      </c>
      <c r="AB2234" s="55" t="s">
        <v>130</v>
      </c>
      <c r="AC2234" s="55" t="s">
        <v>130</v>
      </c>
    </row>
    <row r="2235" spans="1:29" ht="13" x14ac:dyDescent="0.15">
      <c r="A2235" s="72" t="str">
        <f t="shared" si="34"/>
        <v>Ofsted Social Care Provider Webpage</v>
      </c>
      <c r="B2235" s="55" t="s">
        <v>3893</v>
      </c>
      <c r="D2235" s="55" t="s">
        <v>373</v>
      </c>
      <c r="E2235" s="74">
        <v>37963</v>
      </c>
      <c r="F2235" s="55" t="s">
        <v>344</v>
      </c>
      <c r="G2235" s="55" t="s">
        <v>360</v>
      </c>
      <c r="H2235" s="55" t="s">
        <v>360</v>
      </c>
      <c r="I2235" s="55" t="s">
        <v>360</v>
      </c>
      <c r="J2235" s="55" t="s">
        <v>360</v>
      </c>
      <c r="K2235" s="55" t="s">
        <v>360</v>
      </c>
      <c r="L2235" s="55" t="s">
        <v>360</v>
      </c>
      <c r="M2235" s="55" t="s">
        <v>150</v>
      </c>
      <c r="N2235" s="55" t="s">
        <v>150</v>
      </c>
      <c r="O2235" s="55" t="s">
        <v>258</v>
      </c>
      <c r="P2235" s="55" t="s">
        <v>455</v>
      </c>
      <c r="Q2235" s="55" t="s">
        <v>362</v>
      </c>
      <c r="R2235" s="55">
        <v>8</v>
      </c>
      <c r="S2235" s="74" t="s">
        <v>332</v>
      </c>
      <c r="T2235" s="55" t="s">
        <v>3894</v>
      </c>
      <c r="U2235" s="73" t="s">
        <v>351</v>
      </c>
      <c r="V2235" s="74">
        <v>44524</v>
      </c>
      <c r="W2235" s="74">
        <v>44574</v>
      </c>
      <c r="X2235" s="55">
        <v>10186579</v>
      </c>
      <c r="Y2235" s="55" t="s">
        <v>132</v>
      </c>
      <c r="AB2235" s="55" t="s">
        <v>132</v>
      </c>
      <c r="AC2235" s="55" t="s">
        <v>132</v>
      </c>
    </row>
    <row r="2236" spans="1:29" ht="13" x14ac:dyDescent="0.15">
      <c r="A2236" s="72" t="str">
        <f t="shared" si="34"/>
        <v>Ofsted Social Care Provider Webpage</v>
      </c>
      <c r="B2236" s="55" t="s">
        <v>3895</v>
      </c>
      <c r="D2236" s="55" t="s">
        <v>389</v>
      </c>
      <c r="E2236" s="74">
        <v>38007</v>
      </c>
      <c r="F2236" s="55" t="s">
        <v>344</v>
      </c>
      <c r="G2236" s="55" t="s">
        <v>3896</v>
      </c>
      <c r="H2236" s="55" t="s">
        <v>3897</v>
      </c>
      <c r="I2236" s="55" t="s">
        <v>3898</v>
      </c>
      <c r="J2236" s="55" t="s">
        <v>3899</v>
      </c>
      <c r="K2236" s="55" t="s">
        <v>3900</v>
      </c>
      <c r="L2236" s="55" t="s">
        <v>3901</v>
      </c>
      <c r="M2236" s="55" t="s">
        <v>142</v>
      </c>
      <c r="N2236" s="55" t="s">
        <v>142</v>
      </c>
      <c r="O2236" s="55" t="s">
        <v>177</v>
      </c>
      <c r="P2236" s="55" t="s">
        <v>1406</v>
      </c>
      <c r="Q2236" s="55" t="s">
        <v>362</v>
      </c>
      <c r="R2236" s="55"/>
      <c r="S2236" s="74"/>
      <c r="T2236" s="55" t="s">
        <v>1884</v>
      </c>
      <c r="U2236" s="73" t="s">
        <v>351</v>
      </c>
      <c r="V2236" s="74">
        <v>43570</v>
      </c>
      <c r="W2236" s="74">
        <v>43609</v>
      </c>
      <c r="X2236" s="55">
        <v>10093245</v>
      </c>
      <c r="Y2236" s="55" t="s">
        <v>132</v>
      </c>
      <c r="AB2236" s="55" t="s">
        <v>132</v>
      </c>
      <c r="AC2236" s="55" t="s">
        <v>130</v>
      </c>
    </row>
    <row r="2237" spans="1:29" ht="13" x14ac:dyDescent="0.15">
      <c r="A2237" s="72" t="str">
        <f t="shared" si="34"/>
        <v>Ofsted Social Care Provider Webpage</v>
      </c>
      <c r="B2237" s="55" t="s">
        <v>3902</v>
      </c>
      <c r="C2237" s="55">
        <v>121254</v>
      </c>
      <c r="D2237" s="55" t="s">
        <v>413</v>
      </c>
      <c r="E2237" s="74">
        <v>37656</v>
      </c>
      <c r="F2237" s="55" t="s">
        <v>344</v>
      </c>
      <c r="G2237" s="55" t="s">
        <v>3903</v>
      </c>
      <c r="H2237" s="55" t="s">
        <v>3903</v>
      </c>
      <c r="I2237" s="55" t="s">
        <v>3904</v>
      </c>
      <c r="J2237" s="55" t="s">
        <v>3905</v>
      </c>
      <c r="K2237" s="55" t="s">
        <v>224</v>
      </c>
      <c r="L2237" s="55" t="s">
        <v>3906</v>
      </c>
      <c r="M2237" s="55" t="s">
        <v>138</v>
      </c>
      <c r="N2237" s="55" t="s">
        <v>138</v>
      </c>
      <c r="O2237" s="55" t="s">
        <v>224</v>
      </c>
      <c r="P2237" s="55" t="s">
        <v>1552</v>
      </c>
      <c r="Q2237" s="55" t="s">
        <v>380</v>
      </c>
      <c r="R2237" s="55">
        <v>26</v>
      </c>
      <c r="S2237" s="74"/>
      <c r="T2237" s="55" t="s">
        <v>2272</v>
      </c>
      <c r="U2237" s="73" t="s">
        <v>351</v>
      </c>
      <c r="V2237" s="74">
        <v>44593</v>
      </c>
      <c r="W2237" s="74">
        <v>44630</v>
      </c>
      <c r="X2237" s="55">
        <v>10183504</v>
      </c>
      <c r="Y2237" s="55" t="s">
        <v>132</v>
      </c>
      <c r="AB2237" s="55" t="s">
        <v>130</v>
      </c>
      <c r="AC2237" s="55" t="s">
        <v>132</v>
      </c>
    </row>
    <row r="2238" spans="1:29" ht="13" x14ac:dyDescent="0.15">
      <c r="A2238" s="72" t="str">
        <f t="shared" si="34"/>
        <v>Ofsted Social Care Provider Webpage</v>
      </c>
      <c r="B2238" s="55" t="s">
        <v>3907</v>
      </c>
      <c r="D2238" s="55" t="s">
        <v>693</v>
      </c>
      <c r="E2238" s="74">
        <v>37657</v>
      </c>
      <c r="F2238" s="55" t="s">
        <v>344</v>
      </c>
      <c r="G2238" s="55" t="s">
        <v>3908</v>
      </c>
      <c r="H2238" s="55" t="s">
        <v>3908</v>
      </c>
      <c r="I2238" s="55" t="s">
        <v>3909</v>
      </c>
      <c r="J2238" s="55" t="s">
        <v>1902</v>
      </c>
      <c r="K2238" s="55" t="s">
        <v>285</v>
      </c>
      <c r="L2238" s="55" t="s">
        <v>3910</v>
      </c>
      <c r="M2238" s="55" t="s">
        <v>150</v>
      </c>
      <c r="N2238" s="55" t="s">
        <v>150</v>
      </c>
      <c r="O2238" s="55" t="s">
        <v>285</v>
      </c>
      <c r="P2238" s="55" t="s">
        <v>1902</v>
      </c>
      <c r="Q2238" s="55" t="s">
        <v>362</v>
      </c>
      <c r="R2238" s="55">
        <v>90</v>
      </c>
      <c r="S2238" s="74"/>
      <c r="T2238" s="55" t="s">
        <v>3911</v>
      </c>
      <c r="U2238" s="73" t="s">
        <v>351</v>
      </c>
      <c r="V2238" s="74">
        <v>43368</v>
      </c>
      <c r="W2238" s="74">
        <v>43388</v>
      </c>
      <c r="X2238" s="55">
        <v>10046858</v>
      </c>
      <c r="Y2238" s="55" t="s">
        <v>140</v>
      </c>
      <c r="AB2238" s="55" t="s">
        <v>140</v>
      </c>
      <c r="AC2238" s="55" t="s">
        <v>140</v>
      </c>
    </row>
    <row r="2239" spans="1:29" ht="13" x14ac:dyDescent="0.15">
      <c r="A2239" s="72" t="str">
        <f t="shared" si="34"/>
        <v>Ofsted Social Care Provider Webpage</v>
      </c>
      <c r="B2239" s="55" t="s">
        <v>3912</v>
      </c>
      <c r="D2239" s="55" t="s">
        <v>373</v>
      </c>
      <c r="E2239" s="74">
        <v>37700</v>
      </c>
      <c r="F2239" s="55" t="s">
        <v>344</v>
      </c>
      <c r="G2239" s="55" t="s">
        <v>360</v>
      </c>
      <c r="H2239" s="55" t="s">
        <v>360</v>
      </c>
      <c r="I2239" s="55" t="s">
        <v>360</v>
      </c>
      <c r="J2239" s="55" t="s">
        <v>360</v>
      </c>
      <c r="K2239" s="55" t="s">
        <v>360</v>
      </c>
      <c r="L2239" s="55" t="s">
        <v>360</v>
      </c>
      <c r="M2239" s="55" t="s">
        <v>144</v>
      </c>
      <c r="N2239" s="55" t="s">
        <v>144</v>
      </c>
      <c r="O2239" s="55" t="s">
        <v>250</v>
      </c>
      <c r="P2239" s="55" t="s">
        <v>759</v>
      </c>
      <c r="Q2239" s="55" t="s">
        <v>350</v>
      </c>
      <c r="R2239" s="55">
        <v>3</v>
      </c>
      <c r="S2239" s="74"/>
      <c r="T2239" s="55" t="s">
        <v>1600</v>
      </c>
      <c r="U2239" s="73" t="s">
        <v>351</v>
      </c>
      <c r="V2239" s="74">
        <v>44466</v>
      </c>
      <c r="W2239" s="74">
        <v>44494</v>
      </c>
      <c r="X2239" s="55">
        <v>10186962</v>
      </c>
      <c r="Y2239" s="55" t="s">
        <v>132</v>
      </c>
      <c r="AB2239" s="55" t="s">
        <v>132</v>
      </c>
      <c r="AC2239" s="55" t="s">
        <v>132</v>
      </c>
    </row>
    <row r="2240" spans="1:29" ht="13" x14ac:dyDescent="0.15">
      <c r="A2240" s="72" t="str">
        <f t="shared" si="34"/>
        <v>Ofsted Social Care Provider Webpage</v>
      </c>
      <c r="B2240" s="55" t="s">
        <v>3913</v>
      </c>
      <c r="D2240" s="55" t="s">
        <v>398</v>
      </c>
      <c r="E2240" s="74">
        <v>37657</v>
      </c>
      <c r="F2240" s="55" t="s">
        <v>344</v>
      </c>
      <c r="G2240" s="55" t="s">
        <v>3914</v>
      </c>
      <c r="H2240" s="55" t="s">
        <v>3914</v>
      </c>
      <c r="I2240" s="55" t="s">
        <v>3915</v>
      </c>
      <c r="J2240" s="55" t="s">
        <v>3916</v>
      </c>
      <c r="K2240" s="55" t="s">
        <v>285</v>
      </c>
      <c r="L2240" s="55" t="s">
        <v>3917</v>
      </c>
      <c r="M2240" s="55" t="s">
        <v>150</v>
      </c>
      <c r="N2240" s="55" t="s">
        <v>150</v>
      </c>
      <c r="O2240" s="55" t="s">
        <v>285</v>
      </c>
      <c r="P2240" s="55" t="s">
        <v>565</v>
      </c>
      <c r="Q2240" s="55" t="s">
        <v>380</v>
      </c>
      <c r="R2240" s="55">
        <v>125</v>
      </c>
      <c r="S2240" s="74"/>
      <c r="T2240" s="55" t="s">
        <v>2238</v>
      </c>
      <c r="U2240" s="73" t="s">
        <v>351</v>
      </c>
      <c r="V2240" s="74">
        <v>43418</v>
      </c>
      <c r="W2240" s="74">
        <v>43480</v>
      </c>
      <c r="X2240" s="55">
        <v>10046814</v>
      </c>
      <c r="Y2240" s="55" t="s">
        <v>140</v>
      </c>
      <c r="AB2240" s="55" t="s">
        <v>140</v>
      </c>
      <c r="AC2240" s="55" t="s">
        <v>140</v>
      </c>
    </row>
    <row r="2241" spans="1:29" ht="13" x14ac:dyDescent="0.15">
      <c r="A2241" s="72" t="str">
        <f t="shared" si="34"/>
        <v>Ofsted Social Care Provider Webpage</v>
      </c>
      <c r="B2241" s="55" t="s">
        <v>3918</v>
      </c>
      <c r="D2241" s="55" t="s">
        <v>389</v>
      </c>
      <c r="E2241" s="74">
        <v>37916</v>
      </c>
      <c r="F2241" s="55" t="s">
        <v>344</v>
      </c>
      <c r="G2241" s="55" t="s">
        <v>3919</v>
      </c>
      <c r="H2241" s="55" t="s">
        <v>3920</v>
      </c>
      <c r="I2241" s="55" t="s">
        <v>3921</v>
      </c>
      <c r="J2241" s="55" t="s">
        <v>3922</v>
      </c>
      <c r="K2241" s="55" t="s">
        <v>3368</v>
      </c>
      <c r="L2241" s="55" t="s">
        <v>3923</v>
      </c>
      <c r="M2241" s="55" t="s">
        <v>378</v>
      </c>
      <c r="N2241" s="55" t="s">
        <v>170</v>
      </c>
      <c r="O2241" s="55" t="s">
        <v>178</v>
      </c>
      <c r="P2241" s="55" t="s">
        <v>905</v>
      </c>
      <c r="Q2241" s="55" t="s">
        <v>362</v>
      </c>
      <c r="R2241" s="55"/>
      <c r="S2241" s="74"/>
      <c r="T2241" s="55" t="s">
        <v>1884</v>
      </c>
      <c r="U2241" s="73" t="s">
        <v>351</v>
      </c>
      <c r="V2241" s="74">
        <v>43353</v>
      </c>
      <c r="W2241" s="74">
        <v>43384</v>
      </c>
      <c r="X2241" s="55">
        <v>10046659</v>
      </c>
      <c r="Y2241" s="55" t="s">
        <v>132</v>
      </c>
      <c r="AB2241" s="55" t="s">
        <v>132</v>
      </c>
      <c r="AC2241" s="55" t="s">
        <v>132</v>
      </c>
    </row>
    <row r="2242" spans="1:29" ht="13" x14ac:dyDescent="0.15">
      <c r="A2242" s="72" t="str">
        <f t="shared" si="34"/>
        <v>Ofsted Social Care Provider Webpage</v>
      </c>
      <c r="B2242" s="55" t="s">
        <v>3924</v>
      </c>
      <c r="C2242" s="55">
        <v>136742</v>
      </c>
      <c r="D2242" s="55" t="s">
        <v>398</v>
      </c>
      <c r="E2242" s="74">
        <v>37659</v>
      </c>
      <c r="F2242" s="55" t="s">
        <v>344</v>
      </c>
      <c r="G2242" s="55" t="s">
        <v>3925</v>
      </c>
      <c r="H2242" s="55" t="s">
        <v>3925</v>
      </c>
      <c r="I2242" s="55" t="s">
        <v>3926</v>
      </c>
      <c r="J2242" s="55" t="s">
        <v>3347</v>
      </c>
      <c r="L2242" s="55" t="s">
        <v>3927</v>
      </c>
      <c r="M2242" s="55" t="s">
        <v>144</v>
      </c>
      <c r="N2242" s="55" t="s">
        <v>144</v>
      </c>
      <c r="O2242" s="55" t="s">
        <v>209</v>
      </c>
      <c r="P2242" s="55" t="s">
        <v>474</v>
      </c>
      <c r="Q2242" s="55" t="s">
        <v>420</v>
      </c>
      <c r="R2242" s="55">
        <v>195</v>
      </c>
      <c r="S2242" s="74"/>
      <c r="T2242" s="55" t="s">
        <v>3925</v>
      </c>
      <c r="U2242" s="73" t="s">
        <v>351</v>
      </c>
      <c r="V2242" s="74">
        <v>43740</v>
      </c>
      <c r="W2242" s="74">
        <v>43777</v>
      </c>
      <c r="X2242" s="55">
        <v>10092959</v>
      </c>
      <c r="Y2242" s="55" t="s">
        <v>140</v>
      </c>
      <c r="AB2242" s="55" t="s">
        <v>140</v>
      </c>
      <c r="AC2242" s="55" t="s">
        <v>140</v>
      </c>
    </row>
    <row r="2243" spans="1:29" ht="13" x14ac:dyDescent="0.15">
      <c r="A2243" s="72" t="str">
        <f t="shared" si="34"/>
        <v>Ofsted Social Care Provider Webpage</v>
      </c>
      <c r="B2243" s="55" t="s">
        <v>3928</v>
      </c>
      <c r="C2243" s="55">
        <v>132779</v>
      </c>
      <c r="D2243" s="55" t="s">
        <v>693</v>
      </c>
      <c r="E2243" s="74">
        <v>37663</v>
      </c>
      <c r="F2243" s="55" t="s">
        <v>344</v>
      </c>
      <c r="G2243" s="55" t="s">
        <v>3929</v>
      </c>
      <c r="H2243" s="55" t="s">
        <v>3929</v>
      </c>
      <c r="I2243" s="55" t="s">
        <v>3930</v>
      </c>
      <c r="J2243" s="55" t="s">
        <v>3670</v>
      </c>
      <c r="K2243" s="55" t="s">
        <v>288</v>
      </c>
      <c r="L2243" s="55" t="s">
        <v>3931</v>
      </c>
      <c r="M2243" s="55" t="s">
        <v>136</v>
      </c>
      <c r="N2243" s="55" t="s">
        <v>136</v>
      </c>
      <c r="O2243" s="55" t="s">
        <v>288</v>
      </c>
      <c r="P2243" s="55" t="s">
        <v>1101</v>
      </c>
      <c r="Q2243" s="55" t="s">
        <v>362</v>
      </c>
      <c r="R2243" s="55">
        <v>219</v>
      </c>
      <c r="S2243" s="74"/>
      <c r="T2243" s="55" t="s">
        <v>3929</v>
      </c>
      <c r="U2243" s="73" t="s">
        <v>351</v>
      </c>
      <c r="V2243" s="74">
        <v>43242</v>
      </c>
      <c r="W2243" s="74">
        <v>43285</v>
      </c>
      <c r="X2243" s="55">
        <v>10046861</v>
      </c>
      <c r="Y2243" s="55" t="s">
        <v>132</v>
      </c>
      <c r="AB2243" s="55" t="s">
        <v>132</v>
      </c>
      <c r="AC2243" s="55" t="s">
        <v>132</v>
      </c>
    </row>
    <row r="2244" spans="1:29" ht="13" x14ac:dyDescent="0.15">
      <c r="A2244" s="72" t="str">
        <f t="shared" si="34"/>
        <v>Ofsted Social Care Provider Webpage</v>
      </c>
      <c r="B2244" s="55" t="s">
        <v>3932</v>
      </c>
      <c r="D2244" s="55" t="s">
        <v>2864</v>
      </c>
      <c r="E2244" s="74">
        <v>37923</v>
      </c>
      <c r="F2244" s="55" t="s">
        <v>344</v>
      </c>
      <c r="G2244" s="55" t="s">
        <v>360</v>
      </c>
      <c r="H2244" s="55" t="s">
        <v>360</v>
      </c>
      <c r="I2244" s="55" t="s">
        <v>360</v>
      </c>
      <c r="J2244" s="55" t="s">
        <v>360</v>
      </c>
      <c r="K2244" s="55" t="s">
        <v>360</v>
      </c>
      <c r="L2244" s="55" t="s">
        <v>360</v>
      </c>
      <c r="M2244" s="55" t="s">
        <v>172</v>
      </c>
      <c r="N2244" s="55" t="s">
        <v>172</v>
      </c>
      <c r="O2244" s="55" t="s">
        <v>214</v>
      </c>
      <c r="P2244" s="55" t="s">
        <v>1426</v>
      </c>
      <c r="Q2244" s="55" t="s">
        <v>380</v>
      </c>
      <c r="R2244" s="55">
        <v>12</v>
      </c>
      <c r="S2244" s="74"/>
      <c r="T2244" s="55" t="s">
        <v>3933</v>
      </c>
      <c r="U2244" s="73" t="s">
        <v>351</v>
      </c>
      <c r="V2244" s="74">
        <v>44516</v>
      </c>
      <c r="W2244" s="74">
        <v>44572</v>
      </c>
      <c r="X2244" s="55">
        <v>10165447</v>
      </c>
      <c r="Y2244" s="55" t="s">
        <v>132</v>
      </c>
      <c r="Z2244" s="55" t="s">
        <v>130</v>
      </c>
      <c r="AA2244" s="55" t="s">
        <v>132</v>
      </c>
      <c r="AB2244" s="55" t="s">
        <v>132</v>
      </c>
      <c r="AC2244" s="55" t="s">
        <v>132</v>
      </c>
    </row>
    <row r="2245" spans="1:29" ht="13" x14ac:dyDescent="0.15">
      <c r="A2245" s="72" t="str">
        <f t="shared" si="34"/>
        <v>Ofsted Social Care Provider Webpage</v>
      </c>
      <c r="B2245" s="55" t="s">
        <v>3934</v>
      </c>
      <c r="D2245" s="55" t="s">
        <v>373</v>
      </c>
      <c r="E2245" s="74">
        <v>38015</v>
      </c>
      <c r="F2245" s="55" t="s">
        <v>344</v>
      </c>
      <c r="G2245" s="55" t="s">
        <v>360</v>
      </c>
      <c r="H2245" s="55" t="s">
        <v>360</v>
      </c>
      <c r="I2245" s="55" t="s">
        <v>360</v>
      </c>
      <c r="J2245" s="55" t="s">
        <v>360</v>
      </c>
      <c r="K2245" s="55" t="s">
        <v>360</v>
      </c>
      <c r="L2245" s="55" t="s">
        <v>360</v>
      </c>
      <c r="M2245" s="55" t="s">
        <v>172</v>
      </c>
      <c r="N2245" s="55" t="s">
        <v>172</v>
      </c>
      <c r="O2245" s="55" t="s">
        <v>214</v>
      </c>
      <c r="P2245" s="55" t="s">
        <v>1561</v>
      </c>
      <c r="Q2245" s="55" t="s">
        <v>380</v>
      </c>
      <c r="R2245" s="55">
        <v>6</v>
      </c>
      <c r="S2245" s="74"/>
      <c r="T2245" s="55" t="s">
        <v>3933</v>
      </c>
      <c r="U2245" s="73" t="s">
        <v>351</v>
      </c>
      <c r="V2245" s="74">
        <v>44539</v>
      </c>
      <c r="W2245" s="74">
        <v>44581</v>
      </c>
      <c r="X2245" s="55">
        <v>10186680</v>
      </c>
      <c r="Y2245" s="55" t="s">
        <v>132</v>
      </c>
      <c r="AB2245" s="55" t="s">
        <v>132</v>
      </c>
      <c r="AC2245" s="55" t="s">
        <v>132</v>
      </c>
    </row>
    <row r="2246" spans="1:29" ht="13" x14ac:dyDescent="0.15">
      <c r="A2246" s="72" t="str">
        <f t="shared" ref="A2246:A2309" si="35">HYPERLINK(_xlfn.CONCAT("http://reports.ofsted.gov.uk/inspection-reports/find-inspection-report/provider/CARE/",B2246),"Ofsted Social Care Provider Webpage")</f>
        <v>Ofsted Social Care Provider Webpage</v>
      </c>
      <c r="B2246" s="55" t="s">
        <v>3935</v>
      </c>
      <c r="D2246" s="55" t="s">
        <v>373</v>
      </c>
      <c r="E2246" s="74">
        <v>38037</v>
      </c>
      <c r="F2246" s="55" t="s">
        <v>344</v>
      </c>
      <c r="G2246" s="55" t="s">
        <v>360</v>
      </c>
      <c r="H2246" s="55" t="s">
        <v>360</v>
      </c>
      <c r="I2246" s="55" t="s">
        <v>360</v>
      </c>
      <c r="J2246" s="55" t="s">
        <v>360</v>
      </c>
      <c r="K2246" s="55" t="s">
        <v>360</v>
      </c>
      <c r="L2246" s="55" t="s">
        <v>360</v>
      </c>
      <c r="M2246" s="55" t="s">
        <v>172</v>
      </c>
      <c r="N2246" s="55" t="s">
        <v>172</v>
      </c>
      <c r="O2246" s="55" t="s">
        <v>214</v>
      </c>
      <c r="P2246" s="55" t="s">
        <v>790</v>
      </c>
      <c r="Q2246" s="55" t="s">
        <v>380</v>
      </c>
      <c r="R2246" s="55">
        <v>7</v>
      </c>
      <c r="S2246" s="74"/>
      <c r="T2246" s="55" t="s">
        <v>3933</v>
      </c>
      <c r="U2246" s="73" t="s">
        <v>351</v>
      </c>
      <c r="V2246" s="74">
        <v>44355</v>
      </c>
      <c r="W2246" s="74">
        <v>44392</v>
      </c>
      <c r="X2246" s="55">
        <v>10193520</v>
      </c>
      <c r="Y2246" s="55" t="s">
        <v>130</v>
      </c>
      <c r="AB2246" s="55" t="s">
        <v>130</v>
      </c>
      <c r="AC2246" s="55" t="s">
        <v>130</v>
      </c>
    </row>
    <row r="2247" spans="1:29" ht="13" x14ac:dyDescent="0.15">
      <c r="A2247" s="72" t="str">
        <f t="shared" si="35"/>
        <v>Ofsted Social Care Provider Webpage</v>
      </c>
      <c r="B2247" s="55" t="s">
        <v>3936</v>
      </c>
      <c r="D2247" s="55" t="s">
        <v>373</v>
      </c>
      <c r="E2247" s="74">
        <v>37949</v>
      </c>
      <c r="F2247" s="55" t="s">
        <v>344</v>
      </c>
      <c r="G2247" s="55" t="s">
        <v>360</v>
      </c>
      <c r="H2247" s="55" t="s">
        <v>360</v>
      </c>
      <c r="I2247" s="55" t="s">
        <v>360</v>
      </c>
      <c r="J2247" s="55" t="s">
        <v>360</v>
      </c>
      <c r="K2247" s="55" t="s">
        <v>360</v>
      </c>
      <c r="L2247" s="55" t="s">
        <v>360</v>
      </c>
      <c r="M2247" s="55" t="s">
        <v>172</v>
      </c>
      <c r="N2247" s="55" t="s">
        <v>172</v>
      </c>
      <c r="O2247" s="55" t="s">
        <v>214</v>
      </c>
      <c r="P2247" s="55" t="s">
        <v>3937</v>
      </c>
      <c r="Q2247" s="55" t="s">
        <v>380</v>
      </c>
      <c r="R2247" s="55">
        <v>5</v>
      </c>
      <c r="S2247" s="74" t="s">
        <v>332</v>
      </c>
      <c r="T2247" s="55" t="s">
        <v>3933</v>
      </c>
      <c r="U2247" s="73" t="s">
        <v>351</v>
      </c>
      <c r="V2247" s="74">
        <v>44509</v>
      </c>
      <c r="W2247" s="74">
        <v>44544</v>
      </c>
      <c r="X2247" s="55">
        <v>10187149</v>
      </c>
      <c r="Y2247" s="55" t="s">
        <v>140</v>
      </c>
      <c r="AB2247" s="55" t="s">
        <v>132</v>
      </c>
      <c r="AC2247" s="55" t="s">
        <v>140</v>
      </c>
    </row>
    <row r="2248" spans="1:29" ht="13" x14ac:dyDescent="0.15">
      <c r="A2248" s="72" t="str">
        <f t="shared" si="35"/>
        <v>Ofsted Social Care Provider Webpage</v>
      </c>
      <c r="B2248" s="55" t="s">
        <v>3938</v>
      </c>
      <c r="D2248" s="55" t="s">
        <v>373</v>
      </c>
      <c r="E2248" s="74">
        <v>37903</v>
      </c>
      <c r="F2248" s="55" t="s">
        <v>344</v>
      </c>
      <c r="G2248" s="55" t="s">
        <v>360</v>
      </c>
      <c r="H2248" s="55" t="s">
        <v>360</v>
      </c>
      <c r="I2248" s="55" t="s">
        <v>360</v>
      </c>
      <c r="J2248" s="55" t="s">
        <v>360</v>
      </c>
      <c r="K2248" s="55" t="s">
        <v>360</v>
      </c>
      <c r="L2248" s="55" t="s">
        <v>360</v>
      </c>
      <c r="M2248" s="55" t="s">
        <v>172</v>
      </c>
      <c r="N2248" s="55" t="s">
        <v>172</v>
      </c>
      <c r="O2248" s="55" t="s">
        <v>214</v>
      </c>
      <c r="P2248" s="55" t="s">
        <v>1632</v>
      </c>
      <c r="Q2248" s="55" t="s">
        <v>380</v>
      </c>
      <c r="R2248" s="55">
        <v>6</v>
      </c>
      <c r="S2248" s="74" t="s">
        <v>332</v>
      </c>
      <c r="T2248" s="55" t="s">
        <v>3933</v>
      </c>
      <c r="U2248" s="73" t="s">
        <v>351</v>
      </c>
      <c r="V2248" s="74">
        <v>44537</v>
      </c>
      <c r="W2248" s="74">
        <v>44582</v>
      </c>
      <c r="X2248" s="55">
        <v>10186119</v>
      </c>
      <c r="Y2248" s="55" t="s">
        <v>130</v>
      </c>
      <c r="AB2248" s="55" t="s">
        <v>130</v>
      </c>
      <c r="AC2248" s="55" t="s">
        <v>130</v>
      </c>
    </row>
    <row r="2249" spans="1:29" ht="13" x14ac:dyDescent="0.15">
      <c r="A2249" s="72" t="str">
        <f t="shared" si="35"/>
        <v>Ofsted Social Care Provider Webpage</v>
      </c>
      <c r="B2249" s="55" t="s">
        <v>3939</v>
      </c>
      <c r="C2249" s="55">
        <v>117044</v>
      </c>
      <c r="D2249" s="55" t="s">
        <v>398</v>
      </c>
      <c r="E2249" s="74">
        <v>37666</v>
      </c>
      <c r="F2249" s="55" t="s">
        <v>344</v>
      </c>
      <c r="G2249" s="55" t="s">
        <v>3940</v>
      </c>
      <c r="H2249" s="55" t="s">
        <v>3941</v>
      </c>
      <c r="I2249" s="55" t="s">
        <v>3942</v>
      </c>
      <c r="J2249" s="55" t="s">
        <v>3943</v>
      </c>
      <c r="K2249" s="55" t="s">
        <v>293</v>
      </c>
      <c r="L2249" s="55" t="s">
        <v>3944</v>
      </c>
      <c r="M2249" s="55" t="s">
        <v>142</v>
      </c>
      <c r="N2249" s="55" t="s">
        <v>142</v>
      </c>
      <c r="O2249" s="55" t="s">
        <v>293</v>
      </c>
      <c r="P2249" s="55" t="s">
        <v>1422</v>
      </c>
      <c r="Q2249" s="55" t="s">
        <v>362</v>
      </c>
      <c r="R2249" s="55">
        <v>189</v>
      </c>
      <c r="S2249" s="74"/>
      <c r="T2249" s="55" t="s">
        <v>3945</v>
      </c>
      <c r="U2249" s="73" t="s">
        <v>351</v>
      </c>
      <c r="V2249" s="74">
        <v>44488</v>
      </c>
      <c r="W2249" s="74">
        <v>44531</v>
      </c>
      <c r="X2249" s="55">
        <v>10183284</v>
      </c>
      <c r="Y2249" s="55" t="s">
        <v>130</v>
      </c>
      <c r="AB2249" s="55" t="s">
        <v>132</v>
      </c>
      <c r="AC2249" s="55" t="s">
        <v>130</v>
      </c>
    </row>
    <row r="2250" spans="1:29" ht="13" x14ac:dyDescent="0.15">
      <c r="A2250" s="72" t="str">
        <f t="shared" si="35"/>
        <v>Ofsted Social Care Provider Webpage</v>
      </c>
      <c r="B2250" s="55" t="s">
        <v>3946</v>
      </c>
      <c r="C2250" s="55">
        <v>117064</v>
      </c>
      <c r="D2250" s="55" t="s">
        <v>413</v>
      </c>
      <c r="E2250" s="74">
        <v>37666</v>
      </c>
      <c r="F2250" s="55" t="s">
        <v>344</v>
      </c>
      <c r="G2250" s="55" t="s">
        <v>3947</v>
      </c>
      <c r="H2250" s="55" t="s">
        <v>3948</v>
      </c>
      <c r="I2250" s="55" t="s">
        <v>3949</v>
      </c>
      <c r="J2250" s="55" t="s">
        <v>2226</v>
      </c>
      <c r="L2250" s="55" t="s">
        <v>3950</v>
      </c>
      <c r="M2250" s="55" t="s">
        <v>142</v>
      </c>
      <c r="N2250" s="55" t="s">
        <v>142</v>
      </c>
      <c r="O2250" s="55" t="s">
        <v>293</v>
      </c>
      <c r="P2250" s="55" t="s">
        <v>1060</v>
      </c>
      <c r="Q2250" s="55" t="s">
        <v>350</v>
      </c>
      <c r="R2250" s="55">
        <v>74</v>
      </c>
      <c r="S2250" s="74"/>
      <c r="T2250" s="55" t="s">
        <v>3947</v>
      </c>
      <c r="U2250" s="73" t="s">
        <v>351</v>
      </c>
      <c r="V2250" s="74">
        <v>44600</v>
      </c>
      <c r="W2250" s="74">
        <v>44651</v>
      </c>
      <c r="X2250" s="55">
        <v>10183476</v>
      </c>
      <c r="Y2250" s="55" t="s">
        <v>146</v>
      </c>
      <c r="AB2250" s="55" t="s">
        <v>146</v>
      </c>
      <c r="AC2250" s="55" t="s">
        <v>146</v>
      </c>
    </row>
    <row r="2251" spans="1:29" ht="13" x14ac:dyDescent="0.15">
      <c r="A2251" s="72" t="str">
        <f t="shared" si="35"/>
        <v>Ofsted Social Care Provider Webpage</v>
      </c>
      <c r="B2251" s="55" t="s">
        <v>3951</v>
      </c>
      <c r="C2251" s="55">
        <v>148347</v>
      </c>
      <c r="D2251" s="55" t="s">
        <v>413</v>
      </c>
      <c r="E2251" s="74">
        <v>37666</v>
      </c>
      <c r="F2251" s="55" t="s">
        <v>344</v>
      </c>
      <c r="G2251" s="55" t="s">
        <v>3952</v>
      </c>
      <c r="H2251" s="55" t="s">
        <v>3952</v>
      </c>
      <c r="I2251" s="55" t="s">
        <v>3953</v>
      </c>
      <c r="J2251" s="55" t="s">
        <v>3954</v>
      </c>
      <c r="K2251" s="55" t="s">
        <v>293</v>
      </c>
      <c r="L2251" s="55" t="s">
        <v>3955</v>
      </c>
      <c r="M2251" s="55" t="s">
        <v>142</v>
      </c>
      <c r="N2251" s="55" t="s">
        <v>142</v>
      </c>
      <c r="O2251" s="55" t="s">
        <v>293</v>
      </c>
      <c r="P2251" s="55" t="s">
        <v>1136</v>
      </c>
      <c r="Q2251" s="55" t="s">
        <v>420</v>
      </c>
      <c r="R2251" s="55">
        <v>15</v>
      </c>
      <c r="S2251" s="74"/>
      <c r="T2251" s="55" t="s">
        <v>3956</v>
      </c>
      <c r="U2251" s="73" t="s">
        <v>351</v>
      </c>
      <c r="V2251" s="74">
        <v>44389</v>
      </c>
      <c r="W2251" s="74">
        <v>44468</v>
      </c>
      <c r="X2251" s="55">
        <v>10183591</v>
      </c>
      <c r="Y2251" s="55" t="s">
        <v>132</v>
      </c>
      <c r="AB2251" s="55" t="s">
        <v>132</v>
      </c>
      <c r="AC2251" s="55" t="s">
        <v>132</v>
      </c>
    </row>
    <row r="2252" spans="1:29" ht="13" x14ac:dyDescent="0.15">
      <c r="A2252" s="72" t="str">
        <f t="shared" si="35"/>
        <v>Ofsted Social Care Provider Webpage</v>
      </c>
      <c r="B2252" s="55" t="s">
        <v>3957</v>
      </c>
      <c r="D2252" s="55" t="s">
        <v>389</v>
      </c>
      <c r="E2252" s="74">
        <v>37736</v>
      </c>
      <c r="F2252" s="55" t="s">
        <v>344</v>
      </c>
      <c r="G2252" s="55" t="s">
        <v>3958</v>
      </c>
      <c r="H2252" s="55" t="s">
        <v>3192</v>
      </c>
      <c r="I2252" s="55" t="s">
        <v>3193</v>
      </c>
      <c r="J2252" s="55" t="s">
        <v>3194</v>
      </c>
      <c r="L2252" s="55" t="s">
        <v>3195</v>
      </c>
      <c r="M2252" s="55" t="s">
        <v>378</v>
      </c>
      <c r="N2252" s="55" t="s">
        <v>170</v>
      </c>
      <c r="O2252" s="55" t="s">
        <v>233</v>
      </c>
      <c r="P2252" s="55" t="s">
        <v>1376</v>
      </c>
      <c r="Q2252" s="55" t="s">
        <v>362</v>
      </c>
      <c r="R2252" s="55"/>
      <c r="S2252" s="74"/>
      <c r="T2252" s="55" t="s">
        <v>3196</v>
      </c>
      <c r="U2252" s="73" t="s">
        <v>351</v>
      </c>
      <c r="V2252" s="74">
        <v>43479</v>
      </c>
      <c r="W2252" s="74">
        <v>43501</v>
      </c>
      <c r="X2252" s="55">
        <v>10045584</v>
      </c>
      <c r="Y2252" s="55" t="s">
        <v>140</v>
      </c>
      <c r="AB2252" s="55" t="s">
        <v>140</v>
      </c>
      <c r="AC2252" s="55" t="s">
        <v>132</v>
      </c>
    </row>
    <row r="2253" spans="1:29" ht="13" x14ac:dyDescent="0.15">
      <c r="A2253" s="72" t="str">
        <f t="shared" si="35"/>
        <v>Ofsted Social Care Provider Webpage</v>
      </c>
      <c r="B2253" s="55" t="s">
        <v>3959</v>
      </c>
      <c r="C2253" s="55">
        <v>104417</v>
      </c>
      <c r="D2253" s="55" t="s">
        <v>413</v>
      </c>
      <c r="E2253" s="74">
        <v>37670</v>
      </c>
      <c r="F2253" s="55" t="s">
        <v>344</v>
      </c>
      <c r="G2253" s="55" t="s">
        <v>3960</v>
      </c>
      <c r="H2253" s="55" t="s">
        <v>3960</v>
      </c>
      <c r="I2253" s="55" t="s">
        <v>3961</v>
      </c>
      <c r="J2253" s="55" t="s">
        <v>3455</v>
      </c>
      <c r="L2253" s="55" t="s">
        <v>3962</v>
      </c>
      <c r="M2253" s="55" t="s">
        <v>142</v>
      </c>
      <c r="N2253" s="55" t="s">
        <v>142</v>
      </c>
      <c r="O2253" s="55" t="s">
        <v>292</v>
      </c>
      <c r="P2253" s="55" t="s">
        <v>976</v>
      </c>
      <c r="Q2253" s="55" t="s">
        <v>380</v>
      </c>
      <c r="R2253" s="55">
        <v>6</v>
      </c>
      <c r="S2253" s="74"/>
      <c r="T2253" s="55" t="s">
        <v>3963</v>
      </c>
      <c r="U2253" s="73" t="s">
        <v>351</v>
      </c>
      <c r="V2253" s="74">
        <v>43774</v>
      </c>
      <c r="W2253" s="74">
        <v>43860</v>
      </c>
      <c r="X2253" s="55">
        <v>10093179</v>
      </c>
      <c r="Y2253" s="55" t="s">
        <v>132</v>
      </c>
      <c r="AB2253" s="55" t="s">
        <v>132</v>
      </c>
      <c r="AC2253" s="55" t="s">
        <v>132</v>
      </c>
    </row>
    <row r="2254" spans="1:29" ht="13" x14ac:dyDescent="0.15">
      <c r="A2254" s="72" t="str">
        <f t="shared" si="35"/>
        <v>Ofsted Social Care Provider Webpage</v>
      </c>
      <c r="B2254" s="55" t="s">
        <v>3964</v>
      </c>
      <c r="D2254" s="55" t="s">
        <v>373</v>
      </c>
      <c r="E2254" s="74">
        <v>37736</v>
      </c>
      <c r="F2254" s="55" t="s">
        <v>344</v>
      </c>
      <c r="G2254" s="55" t="s">
        <v>360</v>
      </c>
      <c r="H2254" s="55" t="s">
        <v>360</v>
      </c>
      <c r="I2254" s="55" t="s">
        <v>360</v>
      </c>
      <c r="J2254" s="55" t="s">
        <v>360</v>
      </c>
      <c r="K2254" s="55" t="s">
        <v>360</v>
      </c>
      <c r="L2254" s="55" t="s">
        <v>360</v>
      </c>
      <c r="M2254" s="55" t="s">
        <v>136</v>
      </c>
      <c r="N2254" s="55" t="s">
        <v>136</v>
      </c>
      <c r="O2254" s="55" t="s">
        <v>288</v>
      </c>
      <c r="P2254" s="55" t="s">
        <v>1388</v>
      </c>
      <c r="Q2254" s="55" t="s">
        <v>350</v>
      </c>
      <c r="R2254" s="55">
        <v>4</v>
      </c>
      <c r="S2254" s="74"/>
      <c r="T2254" s="55" t="s">
        <v>832</v>
      </c>
      <c r="U2254" s="73" t="s">
        <v>351</v>
      </c>
      <c r="V2254" s="74">
        <v>44378</v>
      </c>
      <c r="W2254" s="74">
        <v>44412</v>
      </c>
      <c r="X2254" s="55">
        <v>10198295</v>
      </c>
      <c r="Y2254" s="55" t="s">
        <v>130</v>
      </c>
      <c r="AB2254" s="55" t="s">
        <v>130</v>
      </c>
      <c r="AC2254" s="55" t="s">
        <v>130</v>
      </c>
    </row>
    <row r="2255" spans="1:29" ht="13" x14ac:dyDescent="0.15">
      <c r="A2255" s="72" t="str">
        <f t="shared" si="35"/>
        <v>Ofsted Social Care Provider Webpage</v>
      </c>
      <c r="B2255" s="55" t="s">
        <v>3965</v>
      </c>
      <c r="D2255" s="55" t="s">
        <v>373</v>
      </c>
      <c r="E2255" s="74">
        <v>38006</v>
      </c>
      <c r="F2255" s="55" t="s">
        <v>344</v>
      </c>
      <c r="G2255" s="55" t="s">
        <v>360</v>
      </c>
      <c r="H2255" s="55" t="s">
        <v>360</v>
      </c>
      <c r="I2255" s="55" t="s">
        <v>360</v>
      </c>
      <c r="J2255" s="55" t="s">
        <v>360</v>
      </c>
      <c r="K2255" s="55" t="s">
        <v>360</v>
      </c>
      <c r="L2255" s="55" t="s">
        <v>360</v>
      </c>
      <c r="M2255" s="55" t="s">
        <v>172</v>
      </c>
      <c r="N2255" s="55" t="s">
        <v>172</v>
      </c>
      <c r="O2255" s="55" t="s">
        <v>214</v>
      </c>
      <c r="P2255" s="55" t="s">
        <v>1426</v>
      </c>
      <c r="Q2255" s="55" t="s">
        <v>380</v>
      </c>
      <c r="R2255" s="55">
        <v>6</v>
      </c>
      <c r="S2255" s="74"/>
      <c r="T2255" s="55" t="s">
        <v>3933</v>
      </c>
      <c r="U2255" s="73" t="s">
        <v>351</v>
      </c>
      <c r="V2255" s="74">
        <v>44614</v>
      </c>
      <c r="W2255" s="74">
        <v>44648</v>
      </c>
      <c r="X2255" s="55">
        <v>10185995</v>
      </c>
      <c r="Y2255" s="55" t="s">
        <v>140</v>
      </c>
      <c r="AB2255" s="55" t="s">
        <v>140</v>
      </c>
      <c r="AC2255" s="55" t="s">
        <v>140</v>
      </c>
    </row>
    <row r="2256" spans="1:29" ht="13" x14ac:dyDescent="0.15">
      <c r="A2256" s="72" t="str">
        <f t="shared" si="35"/>
        <v>Ofsted Social Care Provider Webpage</v>
      </c>
      <c r="B2256" s="55" t="s">
        <v>3966</v>
      </c>
      <c r="D2256" s="55" t="s">
        <v>389</v>
      </c>
      <c r="E2256" s="74">
        <v>38043</v>
      </c>
      <c r="F2256" s="55" t="s">
        <v>344</v>
      </c>
      <c r="G2256" s="55" t="s">
        <v>3967</v>
      </c>
      <c r="H2256" s="55" t="s">
        <v>3968</v>
      </c>
      <c r="I2256" s="55" t="s">
        <v>3969</v>
      </c>
      <c r="J2256" s="55" t="s">
        <v>129</v>
      </c>
      <c r="L2256" s="55" t="s">
        <v>3970</v>
      </c>
      <c r="M2256" s="55" t="s">
        <v>129</v>
      </c>
      <c r="N2256" s="55" t="s">
        <v>129</v>
      </c>
      <c r="O2256" s="55" t="s">
        <v>260</v>
      </c>
      <c r="P2256" s="55" t="s">
        <v>753</v>
      </c>
      <c r="Q2256" s="55" t="s">
        <v>350</v>
      </c>
      <c r="R2256" s="55"/>
      <c r="S2256" s="74"/>
      <c r="T2256" s="55" t="s">
        <v>3968</v>
      </c>
      <c r="U2256" s="73" t="s">
        <v>351</v>
      </c>
      <c r="V2256" s="74">
        <v>43479</v>
      </c>
      <c r="W2256" s="74">
        <v>43509</v>
      </c>
      <c r="X2256" s="55">
        <v>10045622</v>
      </c>
      <c r="Y2256" s="55" t="s">
        <v>132</v>
      </c>
      <c r="AB2256" s="55" t="s">
        <v>132</v>
      </c>
      <c r="AC2256" s="55" t="s">
        <v>132</v>
      </c>
    </row>
    <row r="2257" spans="1:29" ht="13" x14ac:dyDescent="0.15">
      <c r="A2257" s="72" t="str">
        <f t="shared" si="35"/>
        <v>Ofsted Social Care Provider Webpage</v>
      </c>
      <c r="B2257" s="55" t="s">
        <v>3971</v>
      </c>
      <c r="D2257" s="55" t="s">
        <v>389</v>
      </c>
      <c r="E2257" s="74">
        <v>38187</v>
      </c>
      <c r="F2257" s="55" t="s">
        <v>344</v>
      </c>
      <c r="G2257" s="55" t="s">
        <v>3372</v>
      </c>
      <c r="H2257" s="55" t="s">
        <v>3972</v>
      </c>
      <c r="I2257" s="55" t="s">
        <v>3973</v>
      </c>
      <c r="J2257" s="55" t="s">
        <v>3974</v>
      </c>
      <c r="L2257" s="55" t="s">
        <v>3975</v>
      </c>
      <c r="M2257" s="55" t="s">
        <v>144</v>
      </c>
      <c r="N2257" s="55" t="s">
        <v>144</v>
      </c>
      <c r="O2257" s="55" t="s">
        <v>276</v>
      </c>
      <c r="P2257" s="55" t="s">
        <v>3052</v>
      </c>
      <c r="Q2257" s="55" t="s">
        <v>350</v>
      </c>
      <c r="R2257" s="55"/>
      <c r="S2257" s="74"/>
      <c r="T2257" s="55" t="s">
        <v>3372</v>
      </c>
      <c r="U2257" s="73" t="s">
        <v>351</v>
      </c>
      <c r="V2257" s="74">
        <v>43437</v>
      </c>
      <c r="W2257" s="74">
        <v>43468</v>
      </c>
      <c r="X2257" s="55">
        <v>10045966</v>
      </c>
      <c r="Y2257" s="55" t="s">
        <v>132</v>
      </c>
      <c r="AB2257" s="55" t="s">
        <v>132</v>
      </c>
      <c r="AC2257" s="55" t="s">
        <v>132</v>
      </c>
    </row>
    <row r="2258" spans="1:29" ht="13" x14ac:dyDescent="0.15">
      <c r="A2258" s="72" t="str">
        <f t="shared" si="35"/>
        <v>Ofsted Social Care Provider Webpage</v>
      </c>
      <c r="B2258" s="55" t="s">
        <v>3976</v>
      </c>
      <c r="D2258" s="55" t="s">
        <v>389</v>
      </c>
      <c r="E2258" s="74">
        <v>38006</v>
      </c>
      <c r="F2258" s="55" t="s">
        <v>344</v>
      </c>
      <c r="G2258" s="55" t="s">
        <v>3977</v>
      </c>
      <c r="H2258" s="55" t="s">
        <v>3978</v>
      </c>
      <c r="I2258" s="55" t="s">
        <v>3979</v>
      </c>
      <c r="J2258" s="55" t="s">
        <v>1650</v>
      </c>
      <c r="K2258" s="55" t="s">
        <v>183</v>
      </c>
      <c r="L2258" s="55" t="s">
        <v>3980</v>
      </c>
      <c r="M2258" s="55" t="s">
        <v>129</v>
      </c>
      <c r="N2258" s="55" t="s">
        <v>129</v>
      </c>
      <c r="O2258" s="55" t="s">
        <v>242</v>
      </c>
      <c r="P2258" s="55" t="s">
        <v>1192</v>
      </c>
      <c r="Q2258" s="55" t="s">
        <v>362</v>
      </c>
      <c r="R2258" s="55"/>
      <c r="S2258" s="74"/>
      <c r="T2258" s="55" t="s">
        <v>1884</v>
      </c>
      <c r="U2258" s="73" t="s">
        <v>351</v>
      </c>
      <c r="V2258" s="74">
        <v>44599</v>
      </c>
      <c r="W2258" s="74">
        <v>44648</v>
      </c>
      <c r="X2258" s="55">
        <v>10183270</v>
      </c>
      <c r="Y2258" s="55" t="s">
        <v>132</v>
      </c>
      <c r="AB2258" s="55" t="s">
        <v>132</v>
      </c>
      <c r="AC2258" s="55" t="s">
        <v>132</v>
      </c>
    </row>
    <row r="2259" spans="1:29" ht="13" x14ac:dyDescent="0.15">
      <c r="A2259" s="72" t="str">
        <f t="shared" si="35"/>
        <v>Ofsted Social Care Provider Webpage</v>
      </c>
      <c r="B2259" s="55" t="s">
        <v>3981</v>
      </c>
      <c r="D2259" s="55" t="s">
        <v>389</v>
      </c>
      <c r="E2259" s="74">
        <v>37700</v>
      </c>
      <c r="F2259" s="55" t="s">
        <v>344</v>
      </c>
      <c r="G2259" s="55" t="s">
        <v>3982</v>
      </c>
      <c r="H2259" s="55" t="s">
        <v>3983</v>
      </c>
      <c r="I2259" s="55" t="s">
        <v>354</v>
      </c>
      <c r="J2259" s="55" t="s">
        <v>3411</v>
      </c>
      <c r="K2259" s="55" t="s">
        <v>203</v>
      </c>
      <c r="L2259" s="55" t="s">
        <v>3984</v>
      </c>
      <c r="M2259" s="55" t="s">
        <v>150</v>
      </c>
      <c r="N2259" s="55" t="s">
        <v>150</v>
      </c>
      <c r="O2259" s="55" t="s">
        <v>203</v>
      </c>
      <c r="P2259" s="55" t="s">
        <v>563</v>
      </c>
      <c r="Q2259" s="55" t="s">
        <v>350</v>
      </c>
      <c r="R2259" s="55"/>
      <c r="S2259" s="74"/>
      <c r="T2259" s="55" t="s">
        <v>3985</v>
      </c>
      <c r="U2259" s="73" t="s">
        <v>351</v>
      </c>
      <c r="V2259" s="74">
        <v>44508</v>
      </c>
      <c r="W2259" s="74">
        <v>44571</v>
      </c>
      <c r="X2259" s="55">
        <v>10183402</v>
      </c>
      <c r="Y2259" s="55" t="s">
        <v>132</v>
      </c>
      <c r="AB2259" s="55" t="s">
        <v>132</v>
      </c>
      <c r="AC2259" s="55" t="s">
        <v>132</v>
      </c>
    </row>
    <row r="2260" spans="1:29" ht="13" x14ac:dyDescent="0.15">
      <c r="A2260" s="72" t="str">
        <f t="shared" si="35"/>
        <v>Ofsted Social Care Provider Webpage</v>
      </c>
      <c r="B2260" s="55" t="s">
        <v>3986</v>
      </c>
      <c r="C2260" s="55">
        <v>130748</v>
      </c>
      <c r="D2260" s="55" t="s">
        <v>693</v>
      </c>
      <c r="E2260" s="74">
        <v>37684</v>
      </c>
      <c r="F2260" s="55" t="s">
        <v>344</v>
      </c>
      <c r="G2260" s="55" t="s">
        <v>3987</v>
      </c>
      <c r="H2260" s="55" t="s">
        <v>3988</v>
      </c>
      <c r="I2260" s="55" t="s">
        <v>3989</v>
      </c>
      <c r="J2260" s="55" t="s">
        <v>3990</v>
      </c>
      <c r="K2260" s="55" t="s">
        <v>212</v>
      </c>
      <c r="L2260" s="55" t="s">
        <v>3991</v>
      </c>
      <c r="M2260" s="55" t="s">
        <v>172</v>
      </c>
      <c r="N2260" s="55" t="s">
        <v>172</v>
      </c>
      <c r="O2260" s="55" t="s">
        <v>212</v>
      </c>
      <c r="P2260" s="55" t="s">
        <v>714</v>
      </c>
      <c r="Q2260" s="55" t="s">
        <v>380</v>
      </c>
      <c r="R2260" s="55">
        <v>187</v>
      </c>
      <c r="S2260" s="74"/>
      <c r="T2260" s="55" t="s">
        <v>3992</v>
      </c>
      <c r="U2260" s="73" t="s">
        <v>351</v>
      </c>
      <c r="V2260" s="74">
        <v>44502</v>
      </c>
      <c r="W2260" s="74">
        <v>44538</v>
      </c>
      <c r="X2260" s="55">
        <v>10183321</v>
      </c>
      <c r="Y2260" s="55" t="s">
        <v>140</v>
      </c>
      <c r="AB2260" s="55" t="s">
        <v>140</v>
      </c>
      <c r="AC2260" s="55" t="s">
        <v>140</v>
      </c>
    </row>
    <row r="2261" spans="1:29" ht="13" x14ac:dyDescent="0.15">
      <c r="A2261" s="72" t="str">
        <f t="shared" si="35"/>
        <v>Ofsted Social Care Provider Webpage</v>
      </c>
      <c r="B2261" s="55" t="s">
        <v>3993</v>
      </c>
      <c r="D2261" s="55" t="s">
        <v>373</v>
      </c>
      <c r="E2261" s="74">
        <v>37932</v>
      </c>
      <c r="F2261" s="55" t="s">
        <v>344</v>
      </c>
      <c r="G2261" s="55" t="s">
        <v>360</v>
      </c>
      <c r="H2261" s="55" t="s">
        <v>360</v>
      </c>
      <c r="I2261" s="55" t="s">
        <v>360</v>
      </c>
      <c r="J2261" s="55" t="s">
        <v>360</v>
      </c>
      <c r="K2261" s="55" t="s">
        <v>360</v>
      </c>
      <c r="L2261" s="55" t="s">
        <v>360</v>
      </c>
      <c r="M2261" s="55" t="s">
        <v>144</v>
      </c>
      <c r="N2261" s="55" t="s">
        <v>144</v>
      </c>
      <c r="O2261" s="55" t="s">
        <v>271</v>
      </c>
      <c r="P2261" s="55" t="s">
        <v>870</v>
      </c>
      <c r="Q2261" s="55" t="s">
        <v>350</v>
      </c>
      <c r="R2261" s="55">
        <v>7</v>
      </c>
      <c r="S2261" s="74"/>
      <c r="T2261" s="55" t="s">
        <v>630</v>
      </c>
      <c r="U2261" s="73" t="s">
        <v>351</v>
      </c>
      <c r="V2261" s="74">
        <v>44391</v>
      </c>
      <c r="W2261" s="74">
        <v>44424</v>
      </c>
      <c r="X2261" s="55">
        <v>10186033</v>
      </c>
      <c r="Y2261" s="55" t="s">
        <v>132</v>
      </c>
      <c r="AB2261" s="55" t="s">
        <v>132</v>
      </c>
      <c r="AC2261" s="55" t="s">
        <v>130</v>
      </c>
    </row>
    <row r="2262" spans="1:29" ht="13" x14ac:dyDescent="0.15">
      <c r="A2262" s="72" t="str">
        <f t="shared" si="35"/>
        <v>Ofsted Social Care Provider Webpage</v>
      </c>
      <c r="B2262" s="55" t="s">
        <v>3994</v>
      </c>
      <c r="D2262" s="55" t="s">
        <v>373</v>
      </c>
      <c r="E2262" s="74">
        <v>37903</v>
      </c>
      <c r="F2262" s="55" t="s">
        <v>344</v>
      </c>
      <c r="G2262" s="55" t="s">
        <v>360</v>
      </c>
      <c r="H2262" s="55" t="s">
        <v>360</v>
      </c>
      <c r="I2262" s="55" t="s">
        <v>360</v>
      </c>
      <c r="J2262" s="55" t="s">
        <v>360</v>
      </c>
      <c r="K2262" s="55" t="s">
        <v>360</v>
      </c>
      <c r="L2262" s="55" t="s">
        <v>360</v>
      </c>
      <c r="M2262" s="55" t="s">
        <v>172</v>
      </c>
      <c r="N2262" s="55" t="s">
        <v>172</v>
      </c>
      <c r="O2262" s="55" t="s">
        <v>214</v>
      </c>
      <c r="P2262" s="55" t="s">
        <v>1345</v>
      </c>
      <c r="Q2262" s="55" t="s">
        <v>380</v>
      </c>
      <c r="R2262" s="55">
        <v>11</v>
      </c>
      <c r="S2262" s="74"/>
      <c r="T2262" s="55" t="s">
        <v>3933</v>
      </c>
      <c r="U2262" s="73" t="s">
        <v>351</v>
      </c>
      <c r="V2262" s="74">
        <v>44461</v>
      </c>
      <c r="W2262" s="74">
        <v>44516</v>
      </c>
      <c r="X2262" s="55">
        <v>10187180</v>
      </c>
      <c r="Y2262" s="55" t="s">
        <v>132</v>
      </c>
      <c r="AB2262" s="55" t="s">
        <v>132</v>
      </c>
      <c r="AC2262" s="55" t="s">
        <v>132</v>
      </c>
    </row>
    <row r="2263" spans="1:29" ht="13" x14ac:dyDescent="0.15">
      <c r="A2263" s="72" t="str">
        <f t="shared" si="35"/>
        <v>Ofsted Social Care Provider Webpage</v>
      </c>
      <c r="B2263" s="55" t="s">
        <v>3995</v>
      </c>
      <c r="D2263" s="55" t="s">
        <v>389</v>
      </c>
      <c r="E2263" s="74">
        <v>37763</v>
      </c>
      <c r="F2263" s="55" t="s">
        <v>344</v>
      </c>
      <c r="G2263" s="55" t="s">
        <v>3996</v>
      </c>
      <c r="H2263" s="55" t="s">
        <v>3996</v>
      </c>
      <c r="I2263" s="55" t="s">
        <v>3997</v>
      </c>
      <c r="J2263" s="55" t="s">
        <v>234</v>
      </c>
      <c r="L2263" s="55" t="s">
        <v>3998</v>
      </c>
      <c r="M2263" s="55" t="s">
        <v>172</v>
      </c>
      <c r="N2263" s="55" t="s">
        <v>172</v>
      </c>
      <c r="O2263" s="55" t="s">
        <v>235</v>
      </c>
      <c r="P2263" s="55" t="s">
        <v>948</v>
      </c>
      <c r="Q2263" s="55" t="s">
        <v>350</v>
      </c>
      <c r="R2263" s="55"/>
      <c r="S2263" s="74"/>
      <c r="T2263" s="55" t="s">
        <v>3999</v>
      </c>
      <c r="U2263" s="73" t="s">
        <v>351</v>
      </c>
      <c r="V2263" s="74">
        <v>43493</v>
      </c>
      <c r="W2263" s="74">
        <v>43515</v>
      </c>
      <c r="X2263" s="55">
        <v>10045662</v>
      </c>
      <c r="Y2263" s="55" t="s">
        <v>140</v>
      </c>
      <c r="AB2263" s="55" t="s">
        <v>140</v>
      </c>
      <c r="AC2263" s="55" t="s">
        <v>140</v>
      </c>
    </row>
    <row r="2264" spans="1:29" ht="13" x14ac:dyDescent="0.15">
      <c r="A2264" s="72" t="str">
        <f t="shared" si="35"/>
        <v>Ofsted Social Care Provider Webpage</v>
      </c>
      <c r="B2264" s="55" t="s">
        <v>4000</v>
      </c>
      <c r="D2264" s="55" t="s">
        <v>373</v>
      </c>
      <c r="E2264" s="74">
        <v>37802</v>
      </c>
      <c r="F2264" s="55" t="s">
        <v>344</v>
      </c>
      <c r="G2264" s="55" t="s">
        <v>360</v>
      </c>
      <c r="H2264" s="55" t="s">
        <v>360</v>
      </c>
      <c r="I2264" s="55" t="s">
        <v>360</v>
      </c>
      <c r="J2264" s="55" t="s">
        <v>360</v>
      </c>
      <c r="K2264" s="55" t="s">
        <v>360</v>
      </c>
      <c r="L2264" s="55" t="s">
        <v>360</v>
      </c>
      <c r="M2264" s="55" t="s">
        <v>144</v>
      </c>
      <c r="N2264" s="55" t="s">
        <v>144</v>
      </c>
      <c r="O2264" s="55" t="s">
        <v>217</v>
      </c>
      <c r="P2264" s="55" t="s">
        <v>384</v>
      </c>
      <c r="Q2264" s="55" t="s">
        <v>350</v>
      </c>
      <c r="R2264" s="55">
        <v>5</v>
      </c>
      <c r="S2264" s="74"/>
      <c r="T2264" s="55" t="s">
        <v>385</v>
      </c>
      <c r="U2264" s="73" t="s">
        <v>351</v>
      </c>
      <c r="V2264" s="74">
        <v>44614</v>
      </c>
      <c r="W2264" s="74">
        <v>44651</v>
      </c>
      <c r="X2264" s="55">
        <v>10185631</v>
      </c>
      <c r="Y2264" s="55" t="s">
        <v>132</v>
      </c>
      <c r="AB2264" s="55" t="s">
        <v>132</v>
      </c>
      <c r="AC2264" s="55" t="s">
        <v>132</v>
      </c>
    </row>
    <row r="2265" spans="1:29" ht="13" x14ac:dyDescent="0.15">
      <c r="A2265" s="72" t="str">
        <f t="shared" si="35"/>
        <v>Ofsted Social Care Provider Webpage</v>
      </c>
      <c r="B2265" s="55" t="s">
        <v>4001</v>
      </c>
      <c r="D2265" s="55" t="s">
        <v>479</v>
      </c>
      <c r="E2265" s="74">
        <v>38481</v>
      </c>
      <c r="F2265" s="55" t="s">
        <v>344</v>
      </c>
      <c r="G2265" s="55" t="s">
        <v>360</v>
      </c>
      <c r="H2265" s="55" t="s">
        <v>360</v>
      </c>
      <c r="I2265" s="55" t="s">
        <v>360</v>
      </c>
      <c r="J2265" s="55" t="s">
        <v>360</v>
      </c>
      <c r="K2265" s="55" t="s">
        <v>360</v>
      </c>
      <c r="L2265" s="55" t="s">
        <v>360</v>
      </c>
      <c r="M2265" s="55" t="s">
        <v>150</v>
      </c>
      <c r="N2265" s="55" t="s">
        <v>150</v>
      </c>
      <c r="O2265" s="55" t="s">
        <v>156</v>
      </c>
      <c r="P2265" s="55" t="s">
        <v>1576</v>
      </c>
      <c r="Q2265" s="55" t="s">
        <v>362</v>
      </c>
      <c r="R2265" s="55">
        <v>20</v>
      </c>
      <c r="S2265" s="74"/>
      <c r="T2265" s="55" t="s">
        <v>1459</v>
      </c>
      <c r="U2265" s="73" t="s">
        <v>351</v>
      </c>
      <c r="V2265" s="74">
        <v>44356</v>
      </c>
      <c r="W2265" s="74">
        <v>44397</v>
      </c>
      <c r="X2265" s="55">
        <v>10186313</v>
      </c>
      <c r="Y2265" s="55" t="s">
        <v>132</v>
      </c>
      <c r="AB2265" s="55" t="s">
        <v>132</v>
      </c>
      <c r="AC2265" s="55" t="s">
        <v>130</v>
      </c>
    </row>
    <row r="2266" spans="1:29" ht="13" x14ac:dyDescent="0.15">
      <c r="A2266" s="72" t="str">
        <f t="shared" si="35"/>
        <v>Ofsted Social Care Provider Webpage</v>
      </c>
      <c r="B2266" s="55" t="s">
        <v>4002</v>
      </c>
      <c r="C2266" s="55">
        <v>138547</v>
      </c>
      <c r="D2266" s="55" t="s">
        <v>413</v>
      </c>
      <c r="E2266" s="74">
        <v>37697</v>
      </c>
      <c r="F2266" s="55" t="s">
        <v>344</v>
      </c>
      <c r="G2266" s="55" t="s">
        <v>4003</v>
      </c>
      <c r="H2266" s="55" t="s">
        <v>4004</v>
      </c>
      <c r="I2266" s="55" t="s">
        <v>354</v>
      </c>
      <c r="J2266" s="55" t="s">
        <v>129</v>
      </c>
      <c r="K2266" s="55" t="s">
        <v>2578</v>
      </c>
      <c r="L2266" s="55" t="s">
        <v>4005</v>
      </c>
      <c r="M2266" s="55" t="s">
        <v>129</v>
      </c>
      <c r="N2266" s="55" t="s">
        <v>129</v>
      </c>
      <c r="O2266" s="55" t="s">
        <v>186</v>
      </c>
      <c r="P2266" s="55" t="s">
        <v>2125</v>
      </c>
      <c r="Q2266" s="55" t="s">
        <v>420</v>
      </c>
      <c r="R2266" s="55">
        <v>11</v>
      </c>
      <c r="S2266" s="74"/>
      <c r="T2266" s="55" t="s">
        <v>4003</v>
      </c>
      <c r="U2266" s="73" t="s">
        <v>351</v>
      </c>
      <c r="V2266" s="74">
        <v>44474</v>
      </c>
      <c r="W2266" s="74">
        <v>44518</v>
      </c>
      <c r="X2266" s="55">
        <v>10183507</v>
      </c>
      <c r="Y2266" s="55" t="s">
        <v>132</v>
      </c>
      <c r="AB2266" s="55" t="s">
        <v>132</v>
      </c>
      <c r="AC2266" s="55" t="s">
        <v>132</v>
      </c>
    </row>
    <row r="2267" spans="1:29" ht="13" x14ac:dyDescent="0.15">
      <c r="A2267" s="72" t="str">
        <f t="shared" si="35"/>
        <v>Ofsted Social Care Provider Webpage</v>
      </c>
      <c r="B2267" s="55" t="s">
        <v>4006</v>
      </c>
      <c r="D2267" s="55" t="s">
        <v>373</v>
      </c>
      <c r="E2267" s="74">
        <v>37904</v>
      </c>
      <c r="F2267" s="55" t="s">
        <v>344</v>
      </c>
      <c r="G2267" s="55" t="s">
        <v>360</v>
      </c>
      <c r="H2267" s="55" t="s">
        <v>360</v>
      </c>
      <c r="I2267" s="55" t="s">
        <v>360</v>
      </c>
      <c r="J2267" s="55" t="s">
        <v>360</v>
      </c>
      <c r="K2267" s="55" t="s">
        <v>360</v>
      </c>
      <c r="L2267" s="55" t="s">
        <v>360</v>
      </c>
      <c r="M2267" s="55" t="s">
        <v>144</v>
      </c>
      <c r="N2267" s="55" t="s">
        <v>144</v>
      </c>
      <c r="O2267" s="55" t="s">
        <v>209</v>
      </c>
      <c r="P2267" s="55" t="s">
        <v>736</v>
      </c>
      <c r="Q2267" s="55" t="s">
        <v>350</v>
      </c>
      <c r="R2267" s="55">
        <v>4</v>
      </c>
      <c r="S2267" s="74"/>
      <c r="T2267" s="55" t="s">
        <v>4007</v>
      </c>
      <c r="U2267" s="73" t="s">
        <v>351</v>
      </c>
      <c r="V2267" s="74">
        <v>43642</v>
      </c>
      <c r="W2267" s="74">
        <v>43665</v>
      </c>
      <c r="X2267" s="55">
        <v>10095577</v>
      </c>
      <c r="Y2267" s="55" t="s">
        <v>130</v>
      </c>
      <c r="AB2267" s="55" t="s">
        <v>130</v>
      </c>
      <c r="AC2267" s="55" t="s">
        <v>130</v>
      </c>
    </row>
    <row r="2268" spans="1:29" ht="13" x14ac:dyDescent="0.15">
      <c r="A2268" s="72" t="str">
        <f t="shared" si="35"/>
        <v>Ofsted Social Care Provider Webpage</v>
      </c>
      <c r="B2268" s="55" t="s">
        <v>4008</v>
      </c>
      <c r="D2268" s="55" t="s">
        <v>373</v>
      </c>
      <c r="E2268" s="74">
        <v>37904</v>
      </c>
      <c r="F2268" s="55" t="s">
        <v>344</v>
      </c>
      <c r="G2268" s="55" t="s">
        <v>360</v>
      </c>
      <c r="H2268" s="55" t="s">
        <v>360</v>
      </c>
      <c r="I2268" s="55" t="s">
        <v>360</v>
      </c>
      <c r="J2268" s="55" t="s">
        <v>360</v>
      </c>
      <c r="K2268" s="55" t="s">
        <v>360</v>
      </c>
      <c r="L2268" s="55" t="s">
        <v>360</v>
      </c>
      <c r="M2268" s="55" t="s">
        <v>144</v>
      </c>
      <c r="N2268" s="55" t="s">
        <v>144</v>
      </c>
      <c r="O2268" s="55" t="s">
        <v>209</v>
      </c>
      <c r="P2268" s="55" t="s">
        <v>534</v>
      </c>
      <c r="Q2268" s="55" t="s">
        <v>350</v>
      </c>
      <c r="R2268" s="55">
        <v>4</v>
      </c>
      <c r="S2268" s="74"/>
      <c r="T2268" s="55" t="s">
        <v>4007</v>
      </c>
      <c r="U2268" s="73" t="s">
        <v>351</v>
      </c>
      <c r="V2268" s="74">
        <v>44607</v>
      </c>
      <c r="W2268" s="74">
        <v>44651</v>
      </c>
      <c r="X2268" s="55">
        <v>10187117</v>
      </c>
      <c r="Y2268" s="55" t="s">
        <v>146</v>
      </c>
      <c r="AB2268" s="55" t="s">
        <v>146</v>
      </c>
      <c r="AC2268" s="55" t="s">
        <v>146</v>
      </c>
    </row>
    <row r="2269" spans="1:29" ht="13" x14ac:dyDescent="0.15">
      <c r="A2269" s="72" t="str">
        <f t="shared" si="35"/>
        <v>Ofsted Social Care Provider Webpage</v>
      </c>
      <c r="B2269" s="55" t="s">
        <v>4009</v>
      </c>
      <c r="D2269" s="55" t="s">
        <v>373</v>
      </c>
      <c r="E2269" s="74">
        <v>37804</v>
      </c>
      <c r="F2269" s="55" t="s">
        <v>344</v>
      </c>
      <c r="G2269" s="55" t="s">
        <v>360</v>
      </c>
      <c r="H2269" s="55" t="s">
        <v>360</v>
      </c>
      <c r="I2269" s="55" t="s">
        <v>360</v>
      </c>
      <c r="J2269" s="55" t="s">
        <v>360</v>
      </c>
      <c r="K2269" s="55" t="s">
        <v>360</v>
      </c>
      <c r="L2269" s="55" t="s">
        <v>360</v>
      </c>
      <c r="M2269" s="55" t="s">
        <v>150</v>
      </c>
      <c r="N2269" s="55" t="s">
        <v>150</v>
      </c>
      <c r="O2269" s="55" t="s">
        <v>285</v>
      </c>
      <c r="P2269" s="55" t="s">
        <v>2001</v>
      </c>
      <c r="Q2269" s="55" t="s">
        <v>350</v>
      </c>
      <c r="R2269" s="55">
        <v>5</v>
      </c>
      <c r="S2269" s="74"/>
      <c r="T2269" s="55" t="s">
        <v>1962</v>
      </c>
      <c r="U2269" s="73" t="s">
        <v>351</v>
      </c>
      <c r="V2269" s="74">
        <v>44594</v>
      </c>
      <c r="W2269" s="74">
        <v>44648</v>
      </c>
      <c r="X2269" s="55">
        <v>10186742</v>
      </c>
      <c r="Y2269" s="55" t="s">
        <v>140</v>
      </c>
      <c r="AB2269" s="55" t="s">
        <v>140</v>
      </c>
      <c r="AC2269" s="55" t="s">
        <v>140</v>
      </c>
    </row>
    <row r="2270" spans="1:29" ht="13" x14ac:dyDescent="0.15">
      <c r="A2270" s="72" t="str">
        <f t="shared" si="35"/>
        <v>Ofsted Social Care Provider Webpage</v>
      </c>
      <c r="B2270" s="55" t="s">
        <v>4010</v>
      </c>
      <c r="D2270" s="55" t="s">
        <v>373</v>
      </c>
      <c r="E2270" s="74">
        <v>37789</v>
      </c>
      <c r="F2270" s="55" t="s">
        <v>344</v>
      </c>
      <c r="G2270" s="55" t="s">
        <v>360</v>
      </c>
      <c r="H2270" s="55" t="s">
        <v>360</v>
      </c>
      <c r="I2270" s="55" t="s">
        <v>360</v>
      </c>
      <c r="J2270" s="55" t="s">
        <v>360</v>
      </c>
      <c r="K2270" s="55" t="s">
        <v>360</v>
      </c>
      <c r="L2270" s="55" t="s">
        <v>360</v>
      </c>
      <c r="M2270" s="55" t="s">
        <v>144</v>
      </c>
      <c r="N2270" s="55" t="s">
        <v>144</v>
      </c>
      <c r="O2270" s="55" t="s">
        <v>215</v>
      </c>
      <c r="P2270" s="55" t="s">
        <v>1440</v>
      </c>
      <c r="Q2270" s="55" t="s">
        <v>350</v>
      </c>
      <c r="R2270" s="55">
        <v>6</v>
      </c>
      <c r="S2270" s="74"/>
      <c r="T2270" s="55" t="s">
        <v>4011</v>
      </c>
      <c r="U2270" s="73" t="s">
        <v>351</v>
      </c>
      <c r="V2270" s="74">
        <v>44531</v>
      </c>
      <c r="W2270" s="74">
        <v>44580</v>
      </c>
      <c r="X2270" s="55">
        <v>10187241</v>
      </c>
      <c r="Y2270" s="55" t="s">
        <v>130</v>
      </c>
      <c r="AB2270" s="55" t="s">
        <v>130</v>
      </c>
      <c r="AC2270" s="55" t="s">
        <v>130</v>
      </c>
    </row>
    <row r="2271" spans="1:29" ht="13" x14ac:dyDescent="0.15">
      <c r="A2271" s="72" t="str">
        <f t="shared" si="35"/>
        <v>Ofsted Social Care Provider Webpage</v>
      </c>
      <c r="B2271" s="55" t="s">
        <v>4012</v>
      </c>
      <c r="D2271" s="55" t="s">
        <v>373</v>
      </c>
      <c r="E2271" s="74">
        <v>37960</v>
      </c>
      <c r="F2271" s="55" t="s">
        <v>344</v>
      </c>
      <c r="G2271" s="55" t="s">
        <v>360</v>
      </c>
      <c r="H2271" s="55" t="s">
        <v>360</v>
      </c>
      <c r="I2271" s="55" t="s">
        <v>360</v>
      </c>
      <c r="J2271" s="55" t="s">
        <v>360</v>
      </c>
      <c r="K2271" s="55" t="s">
        <v>360</v>
      </c>
      <c r="L2271" s="55" t="s">
        <v>360</v>
      </c>
      <c r="M2271" s="55" t="s">
        <v>172</v>
      </c>
      <c r="N2271" s="55" t="s">
        <v>172</v>
      </c>
      <c r="O2271" s="55" t="s">
        <v>235</v>
      </c>
      <c r="P2271" s="55" t="s">
        <v>2338</v>
      </c>
      <c r="Q2271" s="55" t="s">
        <v>380</v>
      </c>
      <c r="R2271" s="55">
        <v>3</v>
      </c>
      <c r="S2271" s="74"/>
      <c r="T2271" s="55" t="s">
        <v>3477</v>
      </c>
      <c r="U2271" s="73" t="s">
        <v>351</v>
      </c>
      <c r="V2271" s="74">
        <v>44412</v>
      </c>
      <c r="W2271" s="74">
        <v>44446</v>
      </c>
      <c r="X2271" s="55">
        <v>10186464</v>
      </c>
      <c r="Y2271" s="55" t="s">
        <v>140</v>
      </c>
      <c r="AB2271" s="55" t="s">
        <v>140</v>
      </c>
      <c r="AC2271" s="55" t="s">
        <v>140</v>
      </c>
    </row>
    <row r="2272" spans="1:29" ht="13" x14ac:dyDescent="0.15">
      <c r="A2272" s="72" t="str">
        <f t="shared" si="35"/>
        <v>Ofsted Social Care Provider Webpage</v>
      </c>
      <c r="B2272" s="55" t="s">
        <v>4013</v>
      </c>
      <c r="D2272" s="55" t="s">
        <v>479</v>
      </c>
      <c r="E2272" s="74">
        <v>37827</v>
      </c>
      <c r="F2272" s="55" t="s">
        <v>344</v>
      </c>
      <c r="G2272" s="55" t="s">
        <v>360</v>
      </c>
      <c r="H2272" s="55" t="s">
        <v>360</v>
      </c>
      <c r="I2272" s="55" t="s">
        <v>360</v>
      </c>
      <c r="J2272" s="55" t="s">
        <v>360</v>
      </c>
      <c r="K2272" s="55" t="s">
        <v>360</v>
      </c>
      <c r="L2272" s="55" t="s">
        <v>360</v>
      </c>
      <c r="M2272" s="55" t="s">
        <v>172</v>
      </c>
      <c r="N2272" s="55" t="s">
        <v>172</v>
      </c>
      <c r="O2272" s="55" t="s">
        <v>214</v>
      </c>
      <c r="P2272" s="55" t="s">
        <v>1561</v>
      </c>
      <c r="Q2272" s="55" t="s">
        <v>350</v>
      </c>
      <c r="R2272" s="55">
        <v>39</v>
      </c>
      <c r="S2272" s="74"/>
      <c r="T2272" s="55" t="s">
        <v>1290</v>
      </c>
      <c r="U2272" s="73" t="s">
        <v>351</v>
      </c>
      <c r="V2272" s="74">
        <v>44356</v>
      </c>
      <c r="W2272" s="74">
        <v>44403</v>
      </c>
      <c r="X2272" s="55">
        <v>10185095</v>
      </c>
      <c r="Y2272" s="55" t="s">
        <v>132</v>
      </c>
      <c r="AB2272" s="55" t="s">
        <v>132</v>
      </c>
      <c r="AC2272" s="55" t="s">
        <v>132</v>
      </c>
    </row>
    <row r="2273" spans="1:29" ht="13" x14ac:dyDescent="0.15">
      <c r="A2273" s="72" t="str">
        <f t="shared" si="35"/>
        <v>Ofsted Social Care Provider Webpage</v>
      </c>
      <c r="B2273" s="55" t="s">
        <v>4014</v>
      </c>
      <c r="D2273" s="55" t="s">
        <v>373</v>
      </c>
      <c r="E2273" s="74">
        <v>38476</v>
      </c>
      <c r="F2273" s="55" t="s">
        <v>344</v>
      </c>
      <c r="G2273" s="55" t="s">
        <v>360</v>
      </c>
      <c r="H2273" s="55" t="s">
        <v>360</v>
      </c>
      <c r="I2273" s="55" t="s">
        <v>360</v>
      </c>
      <c r="J2273" s="55" t="s">
        <v>360</v>
      </c>
      <c r="K2273" s="55" t="s">
        <v>360</v>
      </c>
      <c r="L2273" s="55" t="s">
        <v>360</v>
      </c>
      <c r="M2273" s="55" t="s">
        <v>172</v>
      </c>
      <c r="N2273" s="55" t="s">
        <v>172</v>
      </c>
      <c r="O2273" s="55" t="s">
        <v>235</v>
      </c>
      <c r="P2273" s="55" t="s">
        <v>1036</v>
      </c>
      <c r="Q2273" s="55" t="s">
        <v>380</v>
      </c>
      <c r="R2273" s="55">
        <v>4</v>
      </c>
      <c r="S2273" s="74"/>
      <c r="T2273" s="55" t="s">
        <v>3477</v>
      </c>
      <c r="U2273" s="73" t="s">
        <v>351</v>
      </c>
      <c r="V2273" s="74">
        <v>44384</v>
      </c>
      <c r="W2273" s="74">
        <v>44412</v>
      </c>
      <c r="X2273" s="55">
        <v>10187649</v>
      </c>
      <c r="Y2273" s="55" t="s">
        <v>130</v>
      </c>
      <c r="AB2273" s="55" t="s">
        <v>130</v>
      </c>
      <c r="AC2273" s="55" t="s">
        <v>130</v>
      </c>
    </row>
    <row r="2274" spans="1:29" ht="13" x14ac:dyDescent="0.15">
      <c r="A2274" s="72" t="str">
        <f t="shared" si="35"/>
        <v>Ofsted Social Care Provider Webpage</v>
      </c>
      <c r="B2274" s="55" t="s">
        <v>4015</v>
      </c>
      <c r="D2274" s="55" t="s">
        <v>373</v>
      </c>
      <c r="E2274" s="74">
        <v>37893</v>
      </c>
      <c r="F2274" s="55" t="s">
        <v>344</v>
      </c>
      <c r="G2274" s="55" t="s">
        <v>360</v>
      </c>
      <c r="H2274" s="55" t="s">
        <v>360</v>
      </c>
      <c r="I2274" s="55" t="s">
        <v>360</v>
      </c>
      <c r="J2274" s="55" t="s">
        <v>360</v>
      </c>
      <c r="K2274" s="55" t="s">
        <v>360</v>
      </c>
      <c r="L2274" s="55" t="s">
        <v>360</v>
      </c>
      <c r="M2274" s="55" t="s">
        <v>142</v>
      </c>
      <c r="N2274" s="55" t="s">
        <v>142</v>
      </c>
      <c r="O2274" s="55" t="s">
        <v>262</v>
      </c>
      <c r="P2274" s="55" t="s">
        <v>618</v>
      </c>
      <c r="Q2274" s="55" t="s">
        <v>350</v>
      </c>
      <c r="R2274" s="55">
        <v>6</v>
      </c>
      <c r="S2274" s="74"/>
      <c r="T2274" s="55" t="s">
        <v>1505</v>
      </c>
      <c r="U2274" s="73" t="s">
        <v>351</v>
      </c>
      <c r="V2274" s="74">
        <v>44320</v>
      </c>
      <c r="W2274" s="74">
        <v>44361</v>
      </c>
      <c r="X2274" s="55">
        <v>10185305</v>
      </c>
      <c r="Y2274" s="55" t="s">
        <v>132</v>
      </c>
      <c r="AB2274" s="55" t="s">
        <v>132</v>
      </c>
      <c r="AC2274" s="55" t="s">
        <v>132</v>
      </c>
    </row>
    <row r="2275" spans="1:29" ht="13" x14ac:dyDescent="0.15">
      <c r="A2275" s="72" t="str">
        <f t="shared" si="35"/>
        <v>Ofsted Social Care Provider Webpage</v>
      </c>
      <c r="B2275" s="55" t="s">
        <v>4016</v>
      </c>
      <c r="D2275" s="55" t="s">
        <v>373</v>
      </c>
      <c r="E2275" s="74">
        <v>37838</v>
      </c>
      <c r="F2275" s="55" t="s">
        <v>344</v>
      </c>
      <c r="G2275" s="55" t="s">
        <v>360</v>
      </c>
      <c r="H2275" s="55" t="s">
        <v>360</v>
      </c>
      <c r="I2275" s="55" t="s">
        <v>360</v>
      </c>
      <c r="J2275" s="55" t="s">
        <v>360</v>
      </c>
      <c r="K2275" s="55" t="s">
        <v>360</v>
      </c>
      <c r="L2275" s="55" t="s">
        <v>360</v>
      </c>
      <c r="M2275" s="55" t="s">
        <v>150</v>
      </c>
      <c r="N2275" s="55" t="s">
        <v>150</v>
      </c>
      <c r="O2275" s="55" t="s">
        <v>153</v>
      </c>
      <c r="P2275" s="55" t="s">
        <v>1331</v>
      </c>
      <c r="Q2275" s="55" t="s">
        <v>380</v>
      </c>
      <c r="R2275" s="55">
        <v>8</v>
      </c>
      <c r="S2275" s="74"/>
      <c r="T2275" s="55" t="s">
        <v>3047</v>
      </c>
      <c r="U2275" s="73" t="s">
        <v>351</v>
      </c>
      <c r="V2275" s="74">
        <v>44356</v>
      </c>
      <c r="W2275" s="74">
        <v>44418</v>
      </c>
      <c r="X2275" s="55">
        <v>10185040</v>
      </c>
      <c r="Y2275" s="55" t="s">
        <v>132</v>
      </c>
      <c r="AB2275" s="55" t="s">
        <v>132</v>
      </c>
      <c r="AC2275" s="55" t="s">
        <v>130</v>
      </c>
    </row>
    <row r="2276" spans="1:29" ht="13" x14ac:dyDescent="0.15">
      <c r="A2276" s="72" t="str">
        <f t="shared" si="35"/>
        <v>Ofsted Social Care Provider Webpage</v>
      </c>
      <c r="B2276" s="55" t="s">
        <v>4017</v>
      </c>
      <c r="D2276" s="55" t="s">
        <v>373</v>
      </c>
      <c r="E2276" s="74">
        <v>38187</v>
      </c>
      <c r="F2276" s="55" t="s">
        <v>344</v>
      </c>
      <c r="G2276" s="55" t="s">
        <v>360</v>
      </c>
      <c r="H2276" s="55" t="s">
        <v>360</v>
      </c>
      <c r="I2276" s="55" t="s">
        <v>360</v>
      </c>
      <c r="J2276" s="55" t="s">
        <v>360</v>
      </c>
      <c r="K2276" s="55" t="s">
        <v>360</v>
      </c>
      <c r="L2276" s="55" t="s">
        <v>360</v>
      </c>
      <c r="M2276" s="55" t="s">
        <v>138</v>
      </c>
      <c r="N2276" s="55" t="s">
        <v>138</v>
      </c>
      <c r="O2276" s="55" t="s">
        <v>183</v>
      </c>
      <c r="P2276" s="55" t="s">
        <v>616</v>
      </c>
      <c r="Q2276" s="55" t="s">
        <v>380</v>
      </c>
      <c r="R2276" s="55">
        <v>12</v>
      </c>
      <c r="S2276" s="74" t="s">
        <v>332</v>
      </c>
      <c r="T2276" s="55" t="s">
        <v>1795</v>
      </c>
      <c r="U2276" s="73" t="s">
        <v>351</v>
      </c>
      <c r="V2276" s="74">
        <v>44305</v>
      </c>
      <c r="W2276" s="74">
        <v>44328</v>
      </c>
      <c r="X2276" s="55">
        <v>10186204</v>
      </c>
      <c r="Y2276" s="55" t="s">
        <v>132</v>
      </c>
      <c r="AB2276" s="55" t="s">
        <v>132</v>
      </c>
      <c r="AC2276" s="55" t="s">
        <v>132</v>
      </c>
    </row>
    <row r="2277" spans="1:29" ht="13" x14ac:dyDescent="0.15">
      <c r="A2277" s="72" t="str">
        <f t="shared" si="35"/>
        <v>Ofsted Social Care Provider Webpage</v>
      </c>
      <c r="B2277" s="55" t="s">
        <v>4018</v>
      </c>
      <c r="D2277" s="55" t="s">
        <v>373</v>
      </c>
      <c r="E2277" s="74">
        <v>38092</v>
      </c>
      <c r="F2277" s="55" t="s">
        <v>344</v>
      </c>
      <c r="G2277" s="55" t="s">
        <v>360</v>
      </c>
      <c r="H2277" s="55" t="s">
        <v>360</v>
      </c>
      <c r="I2277" s="55" t="s">
        <v>360</v>
      </c>
      <c r="J2277" s="55" t="s">
        <v>360</v>
      </c>
      <c r="K2277" s="55" t="s">
        <v>360</v>
      </c>
      <c r="L2277" s="55" t="s">
        <v>360</v>
      </c>
      <c r="M2277" s="55" t="s">
        <v>136</v>
      </c>
      <c r="N2277" s="55" t="s">
        <v>136</v>
      </c>
      <c r="O2277" s="55" t="s">
        <v>255</v>
      </c>
      <c r="P2277" s="55" t="s">
        <v>757</v>
      </c>
      <c r="Q2277" s="55" t="s">
        <v>350</v>
      </c>
      <c r="R2277" s="55">
        <v>5</v>
      </c>
      <c r="S2277" s="74"/>
      <c r="T2277" s="55" t="s">
        <v>4019</v>
      </c>
      <c r="U2277" s="73" t="s">
        <v>351</v>
      </c>
      <c r="V2277" s="74">
        <v>44502</v>
      </c>
      <c r="W2277" s="74">
        <v>44530</v>
      </c>
      <c r="X2277" s="55">
        <v>10185050</v>
      </c>
      <c r="Y2277" s="55" t="s">
        <v>132</v>
      </c>
      <c r="AB2277" s="55" t="s">
        <v>132</v>
      </c>
      <c r="AC2277" s="55" t="s">
        <v>132</v>
      </c>
    </row>
    <row r="2278" spans="1:29" ht="13" x14ac:dyDescent="0.15">
      <c r="A2278" s="72" t="str">
        <f t="shared" si="35"/>
        <v>Ofsted Social Care Provider Webpage</v>
      </c>
      <c r="B2278" s="55" t="s">
        <v>4020</v>
      </c>
      <c r="C2278" s="55">
        <v>130803</v>
      </c>
      <c r="D2278" s="55" t="s">
        <v>693</v>
      </c>
      <c r="E2278" s="74">
        <v>37721</v>
      </c>
      <c r="F2278" s="55" t="s">
        <v>344</v>
      </c>
      <c r="G2278" s="55" t="s">
        <v>4021</v>
      </c>
      <c r="H2278" s="55" t="s">
        <v>4022</v>
      </c>
      <c r="I2278" s="55" t="s">
        <v>4023</v>
      </c>
      <c r="J2278" s="55" t="s">
        <v>4024</v>
      </c>
      <c r="K2278" s="55" t="s">
        <v>255</v>
      </c>
      <c r="L2278" s="55" t="s">
        <v>4025</v>
      </c>
      <c r="M2278" s="55" t="s">
        <v>136</v>
      </c>
      <c r="N2278" s="55" t="s">
        <v>136</v>
      </c>
      <c r="O2278" s="55" t="s">
        <v>255</v>
      </c>
      <c r="P2278" s="55" t="s">
        <v>757</v>
      </c>
      <c r="Q2278" s="55" t="s">
        <v>380</v>
      </c>
      <c r="R2278" s="55">
        <v>218</v>
      </c>
      <c r="S2278" s="74"/>
      <c r="T2278" s="55" t="s">
        <v>4021</v>
      </c>
      <c r="U2278" s="73" t="s">
        <v>351</v>
      </c>
      <c r="V2278" s="74">
        <v>42864</v>
      </c>
      <c r="W2278" s="74">
        <v>42888</v>
      </c>
      <c r="X2278" s="55">
        <v>10033835</v>
      </c>
      <c r="Y2278" s="55" t="s">
        <v>140</v>
      </c>
      <c r="AB2278" s="55" t="s">
        <v>140</v>
      </c>
      <c r="AC2278" s="55" t="s">
        <v>140</v>
      </c>
    </row>
    <row r="2279" spans="1:29" ht="13" x14ac:dyDescent="0.15">
      <c r="A2279" s="72" t="str">
        <f t="shared" si="35"/>
        <v>Ofsted Social Care Provider Webpage</v>
      </c>
      <c r="B2279" s="55" t="s">
        <v>4026</v>
      </c>
      <c r="D2279" s="55" t="s">
        <v>389</v>
      </c>
      <c r="E2279" s="74">
        <v>38148</v>
      </c>
      <c r="F2279" s="55" t="s">
        <v>344</v>
      </c>
      <c r="G2279" s="55" t="s">
        <v>4027</v>
      </c>
      <c r="H2279" s="55" t="s">
        <v>4028</v>
      </c>
      <c r="I2279" s="55" t="s">
        <v>4029</v>
      </c>
      <c r="J2279" s="55" t="s">
        <v>4030</v>
      </c>
      <c r="K2279" s="55" t="s">
        <v>293</v>
      </c>
      <c r="L2279" s="55" t="s">
        <v>4031</v>
      </c>
      <c r="M2279" s="55" t="s">
        <v>142</v>
      </c>
      <c r="N2279" s="55" t="s">
        <v>142</v>
      </c>
      <c r="O2279" s="55" t="s">
        <v>293</v>
      </c>
      <c r="P2279" s="55" t="s">
        <v>1641</v>
      </c>
      <c r="Q2279" s="55" t="s">
        <v>350</v>
      </c>
      <c r="R2279" s="55"/>
      <c r="S2279" s="74"/>
      <c r="T2279" s="55" t="s">
        <v>3529</v>
      </c>
      <c r="U2279" s="73" t="s">
        <v>351</v>
      </c>
      <c r="V2279" s="74">
        <v>43752</v>
      </c>
      <c r="W2279" s="74">
        <v>43784</v>
      </c>
      <c r="X2279" s="55">
        <v>10093294</v>
      </c>
      <c r="Y2279" s="55" t="s">
        <v>132</v>
      </c>
      <c r="AB2279" s="55" t="s">
        <v>132</v>
      </c>
      <c r="AC2279" s="55" t="s">
        <v>132</v>
      </c>
    </row>
    <row r="2280" spans="1:29" ht="13" x14ac:dyDescent="0.15">
      <c r="A2280" s="72" t="str">
        <f t="shared" si="35"/>
        <v>Ofsted Social Care Provider Webpage</v>
      </c>
      <c r="B2280" s="55" t="s">
        <v>4032</v>
      </c>
      <c r="D2280" s="55" t="s">
        <v>373</v>
      </c>
      <c r="E2280" s="74">
        <v>37944</v>
      </c>
      <c r="F2280" s="55" t="s">
        <v>344</v>
      </c>
      <c r="G2280" s="55" t="s">
        <v>360</v>
      </c>
      <c r="H2280" s="55" t="s">
        <v>360</v>
      </c>
      <c r="I2280" s="55" t="s">
        <v>360</v>
      </c>
      <c r="J2280" s="55" t="s">
        <v>360</v>
      </c>
      <c r="K2280" s="55" t="s">
        <v>360</v>
      </c>
      <c r="L2280" s="55" t="s">
        <v>360</v>
      </c>
      <c r="M2280" s="55" t="s">
        <v>150</v>
      </c>
      <c r="N2280" s="55" t="s">
        <v>150</v>
      </c>
      <c r="O2280" s="55" t="s">
        <v>268</v>
      </c>
      <c r="P2280" s="55" t="s">
        <v>1771</v>
      </c>
      <c r="Q2280" s="55" t="s">
        <v>380</v>
      </c>
      <c r="R2280" s="55">
        <v>2</v>
      </c>
      <c r="S2280" s="74"/>
      <c r="T2280" s="55" t="s">
        <v>640</v>
      </c>
      <c r="U2280" s="73" t="s">
        <v>351</v>
      </c>
      <c r="V2280" s="74">
        <v>44475</v>
      </c>
      <c r="W2280" s="74">
        <v>44523</v>
      </c>
      <c r="X2280" s="55">
        <v>10187661</v>
      </c>
      <c r="Y2280" s="55" t="s">
        <v>130</v>
      </c>
      <c r="AB2280" s="55" t="s">
        <v>130</v>
      </c>
      <c r="AC2280" s="55" t="s">
        <v>130</v>
      </c>
    </row>
    <row r="2281" spans="1:29" ht="13" x14ac:dyDescent="0.15">
      <c r="A2281" s="72" t="str">
        <f t="shared" si="35"/>
        <v>Ofsted Social Care Provider Webpage</v>
      </c>
      <c r="B2281" s="55" t="s">
        <v>4033</v>
      </c>
      <c r="D2281" s="55" t="s">
        <v>389</v>
      </c>
      <c r="E2281" s="74">
        <v>38019</v>
      </c>
      <c r="F2281" s="55" t="s">
        <v>344</v>
      </c>
      <c r="G2281" s="55" t="s">
        <v>4034</v>
      </c>
      <c r="H2281" s="55" t="s">
        <v>4035</v>
      </c>
      <c r="I2281" s="55" t="s">
        <v>4036</v>
      </c>
      <c r="J2281" s="55" t="s">
        <v>1331</v>
      </c>
      <c r="L2281" s="55" t="s">
        <v>1879</v>
      </c>
      <c r="M2281" s="55" t="s">
        <v>150</v>
      </c>
      <c r="N2281" s="55" t="s">
        <v>150</v>
      </c>
      <c r="O2281" s="55" t="s">
        <v>153</v>
      </c>
      <c r="P2281" s="55" t="s">
        <v>1331</v>
      </c>
      <c r="Q2281" s="55" t="s">
        <v>362</v>
      </c>
      <c r="R2281" s="55"/>
      <c r="S2281" s="74"/>
      <c r="T2281" s="55" t="s">
        <v>1884</v>
      </c>
      <c r="U2281" s="73" t="s">
        <v>351</v>
      </c>
      <c r="V2281" s="74">
        <v>43528</v>
      </c>
      <c r="W2281" s="74">
        <v>43578</v>
      </c>
      <c r="X2281" s="55">
        <v>10046656</v>
      </c>
      <c r="Y2281" s="55" t="s">
        <v>140</v>
      </c>
      <c r="AB2281" s="55" t="s">
        <v>140</v>
      </c>
      <c r="AC2281" s="55" t="s">
        <v>140</v>
      </c>
    </row>
    <row r="2282" spans="1:29" ht="13" x14ac:dyDescent="0.15">
      <c r="A2282" s="72" t="str">
        <f t="shared" si="35"/>
        <v>Ofsted Social Care Provider Webpage</v>
      </c>
      <c r="B2282" s="55" t="s">
        <v>4037</v>
      </c>
      <c r="D2282" s="55" t="s">
        <v>693</v>
      </c>
      <c r="E2282" s="74">
        <v>37741</v>
      </c>
      <c r="F2282" s="55" t="s">
        <v>344</v>
      </c>
      <c r="G2282" s="55" t="s">
        <v>4038</v>
      </c>
      <c r="H2282" s="55" t="s">
        <v>4038</v>
      </c>
      <c r="I2282" s="55" t="s">
        <v>4039</v>
      </c>
      <c r="J2282" s="55" t="s">
        <v>4040</v>
      </c>
      <c r="L2282" s="55" t="s">
        <v>4041</v>
      </c>
      <c r="M2282" s="55" t="s">
        <v>378</v>
      </c>
      <c r="N2282" s="55" t="s">
        <v>170</v>
      </c>
      <c r="O2282" s="55" t="s">
        <v>233</v>
      </c>
      <c r="P2282" s="55" t="s">
        <v>2363</v>
      </c>
      <c r="Q2282" s="55" t="s">
        <v>362</v>
      </c>
      <c r="R2282" s="55">
        <v>30</v>
      </c>
      <c r="S2282" s="74"/>
      <c r="T2282" s="55" t="s">
        <v>4042</v>
      </c>
      <c r="U2282" s="73" t="s">
        <v>351</v>
      </c>
      <c r="V2282" s="74">
        <v>43123</v>
      </c>
      <c r="W2282" s="74">
        <v>43194</v>
      </c>
      <c r="X2282" s="55">
        <v>10011212</v>
      </c>
      <c r="Y2282" s="55" t="s">
        <v>132</v>
      </c>
      <c r="AB2282" s="55" t="s">
        <v>132</v>
      </c>
      <c r="AC2282" s="55" t="s">
        <v>132</v>
      </c>
    </row>
    <row r="2283" spans="1:29" ht="13" x14ac:dyDescent="0.15">
      <c r="A2283" s="72" t="str">
        <f t="shared" si="35"/>
        <v>Ofsted Social Care Provider Webpage</v>
      </c>
      <c r="B2283" s="55" t="s">
        <v>4043</v>
      </c>
      <c r="D2283" s="55" t="s">
        <v>2864</v>
      </c>
      <c r="E2283" s="74">
        <v>38065</v>
      </c>
      <c r="F2283" s="55" t="s">
        <v>344</v>
      </c>
      <c r="G2283" s="55" t="s">
        <v>360</v>
      </c>
      <c r="H2283" s="55" t="s">
        <v>360</v>
      </c>
      <c r="I2283" s="55" t="s">
        <v>360</v>
      </c>
      <c r="J2283" s="55" t="s">
        <v>360</v>
      </c>
      <c r="K2283" s="55" t="s">
        <v>360</v>
      </c>
      <c r="L2283" s="55" t="s">
        <v>360</v>
      </c>
      <c r="M2283" s="55" t="s">
        <v>136</v>
      </c>
      <c r="N2283" s="55" t="s">
        <v>136</v>
      </c>
      <c r="O2283" s="55" t="s">
        <v>174</v>
      </c>
      <c r="P2283" s="55" t="s">
        <v>570</v>
      </c>
      <c r="Q2283" s="55" t="s">
        <v>380</v>
      </c>
      <c r="R2283" s="55">
        <v>12</v>
      </c>
      <c r="S2283" s="74"/>
      <c r="T2283" s="55" t="s">
        <v>1525</v>
      </c>
      <c r="U2283" s="73" t="s">
        <v>351</v>
      </c>
      <c r="V2283" s="74">
        <v>44601</v>
      </c>
      <c r="W2283" s="74">
        <v>44652</v>
      </c>
      <c r="X2283" s="55">
        <v>10165460</v>
      </c>
      <c r="Y2283" s="55" t="s">
        <v>132</v>
      </c>
      <c r="Z2283" s="55" t="s">
        <v>132</v>
      </c>
      <c r="AA2283" s="55" t="s">
        <v>132</v>
      </c>
      <c r="AB2283" s="55" t="s">
        <v>132</v>
      </c>
      <c r="AC2283" s="55" t="s">
        <v>132</v>
      </c>
    </row>
    <row r="2284" spans="1:29" ht="13" x14ac:dyDescent="0.15">
      <c r="A2284" s="72" t="str">
        <f t="shared" si="35"/>
        <v>Ofsted Social Care Provider Webpage</v>
      </c>
      <c r="B2284" s="55" t="s">
        <v>4044</v>
      </c>
      <c r="D2284" s="55" t="s">
        <v>373</v>
      </c>
      <c r="E2284" s="74">
        <v>37806</v>
      </c>
      <c r="F2284" s="55" t="s">
        <v>344</v>
      </c>
      <c r="G2284" s="55" t="s">
        <v>360</v>
      </c>
      <c r="H2284" s="55" t="s">
        <v>360</v>
      </c>
      <c r="I2284" s="55" t="s">
        <v>360</v>
      </c>
      <c r="J2284" s="55" t="s">
        <v>360</v>
      </c>
      <c r="K2284" s="55" t="s">
        <v>360</v>
      </c>
      <c r="L2284" s="55" t="s">
        <v>360</v>
      </c>
      <c r="M2284" s="55" t="s">
        <v>136</v>
      </c>
      <c r="N2284" s="55" t="s">
        <v>136</v>
      </c>
      <c r="O2284" s="55" t="s">
        <v>705</v>
      </c>
      <c r="P2284" s="55" t="s">
        <v>891</v>
      </c>
      <c r="Q2284" s="55" t="s">
        <v>350</v>
      </c>
      <c r="R2284" s="55">
        <v>3</v>
      </c>
      <c r="S2284" s="74"/>
      <c r="T2284" s="55" t="s">
        <v>892</v>
      </c>
      <c r="U2284" s="73" t="s">
        <v>351</v>
      </c>
      <c r="V2284" s="74">
        <v>44398</v>
      </c>
      <c r="W2284" s="74">
        <v>44439</v>
      </c>
      <c r="X2284" s="55">
        <v>10187132</v>
      </c>
      <c r="Y2284" s="55" t="s">
        <v>132</v>
      </c>
      <c r="AB2284" s="55" t="s">
        <v>132</v>
      </c>
      <c r="AC2284" s="55" t="s">
        <v>132</v>
      </c>
    </row>
    <row r="2285" spans="1:29" ht="13" x14ac:dyDescent="0.15">
      <c r="A2285" s="72" t="str">
        <f t="shared" si="35"/>
        <v>Ofsted Social Care Provider Webpage</v>
      </c>
      <c r="B2285" s="55" t="s">
        <v>4045</v>
      </c>
      <c r="D2285" s="55" t="s">
        <v>2864</v>
      </c>
      <c r="E2285" s="74">
        <v>37914</v>
      </c>
      <c r="F2285" s="55" t="s">
        <v>344</v>
      </c>
      <c r="G2285" s="55" t="s">
        <v>360</v>
      </c>
      <c r="H2285" s="55" t="s">
        <v>360</v>
      </c>
      <c r="I2285" s="55" t="s">
        <v>360</v>
      </c>
      <c r="J2285" s="55" t="s">
        <v>360</v>
      </c>
      <c r="K2285" s="55" t="s">
        <v>360</v>
      </c>
      <c r="L2285" s="55" t="s">
        <v>360</v>
      </c>
      <c r="M2285" s="55" t="s">
        <v>378</v>
      </c>
      <c r="N2285" s="55" t="s">
        <v>134</v>
      </c>
      <c r="O2285" s="55" t="s">
        <v>251</v>
      </c>
      <c r="P2285" s="55" t="s">
        <v>4046</v>
      </c>
      <c r="Q2285" s="55" t="s">
        <v>380</v>
      </c>
      <c r="R2285" s="55">
        <v>10</v>
      </c>
      <c r="S2285" s="74"/>
      <c r="T2285" s="55" t="s">
        <v>3358</v>
      </c>
      <c r="U2285" s="73" t="s">
        <v>351</v>
      </c>
      <c r="V2285" s="74">
        <v>44593</v>
      </c>
      <c r="W2285" s="74">
        <v>44642</v>
      </c>
      <c r="X2285" s="55">
        <v>10165462</v>
      </c>
      <c r="Y2285" s="55" t="s">
        <v>140</v>
      </c>
      <c r="Z2285" s="55" t="s">
        <v>140</v>
      </c>
      <c r="AA2285" s="55" t="s">
        <v>140</v>
      </c>
      <c r="AB2285" s="55" t="s">
        <v>132</v>
      </c>
      <c r="AC2285" s="55" t="s">
        <v>140</v>
      </c>
    </row>
    <row r="2286" spans="1:29" ht="13" x14ac:dyDescent="0.15">
      <c r="A2286" s="72" t="str">
        <f t="shared" si="35"/>
        <v>Ofsted Social Care Provider Webpage</v>
      </c>
      <c r="B2286" s="55" t="s">
        <v>4047</v>
      </c>
      <c r="C2286" s="55">
        <v>146555</v>
      </c>
      <c r="D2286" s="55" t="s">
        <v>693</v>
      </c>
      <c r="E2286" s="74">
        <v>37754</v>
      </c>
      <c r="F2286" s="55" t="s">
        <v>344</v>
      </c>
      <c r="G2286" s="55" t="s">
        <v>4048</v>
      </c>
      <c r="H2286" s="55" t="s">
        <v>4048</v>
      </c>
      <c r="I2286" s="55" t="s">
        <v>4049</v>
      </c>
      <c r="J2286" s="55" t="s">
        <v>4050</v>
      </c>
      <c r="L2286" s="55" t="s">
        <v>4051</v>
      </c>
      <c r="M2286" s="55" t="s">
        <v>136</v>
      </c>
      <c r="N2286" s="55" t="s">
        <v>136</v>
      </c>
      <c r="O2286" s="55" t="s">
        <v>185</v>
      </c>
      <c r="P2286" s="55" t="s">
        <v>1292</v>
      </c>
      <c r="Q2286" s="55" t="s">
        <v>350</v>
      </c>
      <c r="R2286" s="55">
        <v>697</v>
      </c>
      <c r="S2286" s="74"/>
      <c r="T2286" s="55" t="s">
        <v>4052</v>
      </c>
      <c r="U2286" s="73" t="s">
        <v>351</v>
      </c>
      <c r="V2286" s="74">
        <v>43500</v>
      </c>
      <c r="W2286" s="74">
        <v>43521</v>
      </c>
      <c r="X2286" s="55">
        <v>10046864</v>
      </c>
      <c r="Y2286" s="55" t="s">
        <v>140</v>
      </c>
      <c r="AB2286" s="55" t="s">
        <v>140</v>
      </c>
      <c r="AC2286" s="55" t="s">
        <v>140</v>
      </c>
    </row>
    <row r="2287" spans="1:29" ht="13" x14ac:dyDescent="0.15">
      <c r="A2287" s="72" t="str">
        <f t="shared" si="35"/>
        <v>Ofsted Social Care Provider Webpage</v>
      </c>
      <c r="B2287" s="55" t="s">
        <v>4053</v>
      </c>
      <c r="D2287" s="55" t="s">
        <v>451</v>
      </c>
      <c r="E2287" s="74">
        <v>38266</v>
      </c>
      <c r="F2287" s="55" t="s">
        <v>344</v>
      </c>
      <c r="G2287" s="55" t="s">
        <v>4054</v>
      </c>
      <c r="H2287" s="55" t="s">
        <v>4055</v>
      </c>
      <c r="I2287" s="55" t="s">
        <v>4056</v>
      </c>
      <c r="J2287" s="55" t="s">
        <v>4057</v>
      </c>
      <c r="K2287" s="55" t="s">
        <v>885</v>
      </c>
      <c r="L2287" s="55" t="s">
        <v>4058</v>
      </c>
      <c r="M2287" s="55" t="s">
        <v>142</v>
      </c>
      <c r="N2287" s="55" t="s">
        <v>142</v>
      </c>
      <c r="O2287" s="55" t="s">
        <v>262</v>
      </c>
      <c r="P2287" s="55" t="s">
        <v>692</v>
      </c>
      <c r="Q2287" s="55" t="s">
        <v>362</v>
      </c>
      <c r="R2287" s="55">
        <v>9</v>
      </c>
      <c r="S2287" s="74"/>
      <c r="T2287" s="55" t="s">
        <v>4054</v>
      </c>
      <c r="U2287" s="73" t="s">
        <v>351</v>
      </c>
      <c r="V2287" s="74">
        <v>43391</v>
      </c>
      <c r="W2287" s="74">
        <v>43419</v>
      </c>
      <c r="X2287" s="55">
        <v>10051881</v>
      </c>
      <c r="Y2287" s="55" t="s">
        <v>132</v>
      </c>
      <c r="AB2287" s="55" t="s">
        <v>132</v>
      </c>
      <c r="AC2287" s="55" t="s">
        <v>132</v>
      </c>
    </row>
    <row r="2288" spans="1:29" ht="13" x14ac:dyDescent="0.15">
      <c r="A2288" s="72" t="str">
        <f t="shared" si="35"/>
        <v>Ofsted Social Care Provider Webpage</v>
      </c>
      <c r="B2288" s="55" t="s">
        <v>4059</v>
      </c>
      <c r="D2288" s="55" t="s">
        <v>451</v>
      </c>
      <c r="E2288" s="74">
        <v>38070</v>
      </c>
      <c r="F2288" s="55" t="s">
        <v>344</v>
      </c>
      <c r="G2288" s="55" t="s">
        <v>4060</v>
      </c>
      <c r="H2288" s="55" t="s">
        <v>4061</v>
      </c>
      <c r="I2288" s="55" t="s">
        <v>354</v>
      </c>
      <c r="J2288" s="55" t="s">
        <v>2578</v>
      </c>
      <c r="L2288" s="55" t="s">
        <v>4062</v>
      </c>
      <c r="M2288" s="55" t="s">
        <v>129</v>
      </c>
      <c r="N2288" s="55" t="s">
        <v>129</v>
      </c>
      <c r="O2288" s="55" t="s">
        <v>208</v>
      </c>
      <c r="P2288" s="55" t="s">
        <v>3178</v>
      </c>
      <c r="Q2288" s="55" t="s">
        <v>362</v>
      </c>
      <c r="R2288" s="55">
        <v>4</v>
      </c>
      <c r="S2288" s="74"/>
      <c r="T2288" s="55" t="s">
        <v>4063</v>
      </c>
      <c r="U2288" s="73" t="s">
        <v>351</v>
      </c>
      <c r="V2288" s="74">
        <v>44620</v>
      </c>
      <c r="W2288" s="74">
        <v>44659</v>
      </c>
      <c r="X2288" s="55">
        <v>10183445</v>
      </c>
      <c r="Y2288" s="55" t="s">
        <v>132</v>
      </c>
      <c r="AB2288" s="55" t="s">
        <v>130</v>
      </c>
      <c r="AC2288" s="55" t="s">
        <v>132</v>
      </c>
    </row>
    <row r="2289" spans="1:29" ht="13" x14ac:dyDescent="0.15">
      <c r="A2289" s="72" t="str">
        <f t="shared" si="35"/>
        <v>Ofsted Social Care Provider Webpage</v>
      </c>
      <c r="B2289" s="55" t="s">
        <v>4064</v>
      </c>
      <c r="D2289" s="55" t="s">
        <v>451</v>
      </c>
      <c r="E2289" s="74">
        <v>38023</v>
      </c>
      <c r="F2289" s="55" t="s">
        <v>344</v>
      </c>
      <c r="G2289" s="55" t="s">
        <v>4065</v>
      </c>
      <c r="H2289" s="55" t="s">
        <v>4066</v>
      </c>
      <c r="I2289" s="55" t="s">
        <v>354</v>
      </c>
      <c r="J2289" s="55" t="s">
        <v>2578</v>
      </c>
      <c r="L2289" s="55" t="s">
        <v>4067</v>
      </c>
      <c r="M2289" s="55" t="s">
        <v>129</v>
      </c>
      <c r="N2289" s="55" t="s">
        <v>129</v>
      </c>
      <c r="O2289" s="55" t="s">
        <v>208</v>
      </c>
      <c r="P2289" s="55" t="s">
        <v>4068</v>
      </c>
      <c r="Q2289" s="55" t="s">
        <v>362</v>
      </c>
      <c r="R2289" s="55">
        <v>6</v>
      </c>
      <c r="S2289" s="74"/>
      <c r="T2289" s="55" t="s">
        <v>4063</v>
      </c>
      <c r="U2289" s="73" t="s">
        <v>351</v>
      </c>
      <c r="V2289" s="74">
        <v>43606</v>
      </c>
      <c r="W2289" s="74">
        <v>43630</v>
      </c>
      <c r="X2289" s="55">
        <v>10092983</v>
      </c>
      <c r="Y2289" s="55" t="s">
        <v>132</v>
      </c>
      <c r="AB2289" s="55" t="s">
        <v>132</v>
      </c>
      <c r="AC2289" s="55" t="s">
        <v>140</v>
      </c>
    </row>
    <row r="2290" spans="1:29" ht="13" x14ac:dyDescent="0.15">
      <c r="A2290" s="72" t="str">
        <f t="shared" si="35"/>
        <v>Ofsted Social Care Provider Webpage</v>
      </c>
      <c r="B2290" s="55" t="s">
        <v>4069</v>
      </c>
      <c r="D2290" s="55" t="s">
        <v>451</v>
      </c>
      <c r="E2290" s="74">
        <v>38169</v>
      </c>
      <c r="F2290" s="55" t="s">
        <v>344</v>
      </c>
      <c r="G2290" s="55" t="s">
        <v>4060</v>
      </c>
      <c r="H2290" s="55" t="s">
        <v>4070</v>
      </c>
      <c r="I2290" s="55" t="s">
        <v>4071</v>
      </c>
      <c r="J2290" s="55" t="s">
        <v>129</v>
      </c>
      <c r="L2290" s="55" t="s">
        <v>4072</v>
      </c>
      <c r="M2290" s="55" t="s">
        <v>129</v>
      </c>
      <c r="N2290" s="55" t="s">
        <v>129</v>
      </c>
      <c r="O2290" s="55" t="s">
        <v>280</v>
      </c>
      <c r="P2290" s="55" t="s">
        <v>1367</v>
      </c>
      <c r="Q2290" s="55" t="s">
        <v>362</v>
      </c>
      <c r="R2290" s="55">
        <v>4</v>
      </c>
      <c r="S2290" s="74"/>
      <c r="T2290" s="55" t="s">
        <v>4063</v>
      </c>
      <c r="U2290" s="73" t="s">
        <v>351</v>
      </c>
      <c r="V2290" s="74">
        <v>43474</v>
      </c>
      <c r="W2290" s="74">
        <v>43509</v>
      </c>
      <c r="X2290" s="55">
        <v>10045734</v>
      </c>
      <c r="Y2290" s="55" t="s">
        <v>140</v>
      </c>
      <c r="AB2290" s="55" t="s">
        <v>132</v>
      </c>
      <c r="AC2290" s="55" t="s">
        <v>140</v>
      </c>
    </row>
    <row r="2291" spans="1:29" ht="13" x14ac:dyDescent="0.15">
      <c r="A2291" s="72" t="str">
        <f t="shared" si="35"/>
        <v>Ofsted Social Care Provider Webpage</v>
      </c>
      <c r="B2291" s="55" t="s">
        <v>4073</v>
      </c>
      <c r="D2291" s="55" t="s">
        <v>389</v>
      </c>
      <c r="E2291" s="74">
        <v>38016</v>
      </c>
      <c r="F2291" s="55" t="s">
        <v>344</v>
      </c>
      <c r="G2291" s="55" t="s">
        <v>4074</v>
      </c>
      <c r="H2291" s="55" t="s">
        <v>4075</v>
      </c>
      <c r="I2291" s="55" t="s">
        <v>4076</v>
      </c>
      <c r="J2291" s="55" t="s">
        <v>4077</v>
      </c>
      <c r="K2291" s="55" t="s">
        <v>203</v>
      </c>
      <c r="L2291" s="55" t="s">
        <v>4078</v>
      </c>
      <c r="M2291" s="55" t="s">
        <v>150</v>
      </c>
      <c r="N2291" s="55" t="s">
        <v>150</v>
      </c>
      <c r="O2291" s="55" t="s">
        <v>203</v>
      </c>
      <c r="P2291" s="55" t="s">
        <v>563</v>
      </c>
      <c r="Q2291" s="55" t="s">
        <v>350</v>
      </c>
      <c r="R2291" s="55"/>
      <c r="S2291" s="74"/>
      <c r="T2291" s="55" t="s">
        <v>4079</v>
      </c>
      <c r="U2291" s="73" t="s">
        <v>351</v>
      </c>
      <c r="V2291" s="74">
        <v>43528</v>
      </c>
      <c r="W2291" s="74">
        <v>43637</v>
      </c>
      <c r="X2291" s="55">
        <v>10049194</v>
      </c>
      <c r="Y2291" s="55" t="s">
        <v>132</v>
      </c>
      <c r="AB2291" s="55" t="s">
        <v>130</v>
      </c>
      <c r="AC2291" s="55" t="s">
        <v>130</v>
      </c>
    </row>
    <row r="2292" spans="1:29" ht="13" x14ac:dyDescent="0.15">
      <c r="A2292" s="72" t="str">
        <f t="shared" si="35"/>
        <v>Ofsted Social Care Provider Webpage</v>
      </c>
      <c r="B2292" s="55" t="s">
        <v>4080</v>
      </c>
      <c r="D2292" s="55" t="s">
        <v>373</v>
      </c>
      <c r="E2292" s="74">
        <v>37852</v>
      </c>
      <c r="F2292" s="55" t="s">
        <v>344</v>
      </c>
      <c r="G2292" s="55" t="s">
        <v>360</v>
      </c>
      <c r="H2292" s="55" t="s">
        <v>360</v>
      </c>
      <c r="I2292" s="55" t="s">
        <v>360</v>
      </c>
      <c r="J2292" s="55" t="s">
        <v>360</v>
      </c>
      <c r="K2292" s="55" t="s">
        <v>360</v>
      </c>
      <c r="L2292" s="55" t="s">
        <v>360</v>
      </c>
      <c r="M2292" s="55" t="s">
        <v>142</v>
      </c>
      <c r="N2292" s="55" t="s">
        <v>142</v>
      </c>
      <c r="O2292" s="55" t="s">
        <v>262</v>
      </c>
      <c r="P2292" s="55" t="s">
        <v>523</v>
      </c>
      <c r="Q2292" s="55" t="s">
        <v>350</v>
      </c>
      <c r="R2292" s="55">
        <v>2</v>
      </c>
      <c r="S2292" s="74"/>
      <c r="T2292" s="55" t="s">
        <v>4081</v>
      </c>
      <c r="U2292" s="73" t="s">
        <v>351</v>
      </c>
      <c r="V2292" s="74">
        <v>43740</v>
      </c>
      <c r="W2292" s="74">
        <v>43759</v>
      </c>
      <c r="X2292" s="55">
        <v>10095533</v>
      </c>
      <c r="Y2292" s="55" t="s">
        <v>132</v>
      </c>
      <c r="AB2292" s="55" t="s">
        <v>132</v>
      </c>
      <c r="AC2292" s="55" t="s">
        <v>132</v>
      </c>
    </row>
    <row r="2293" spans="1:29" ht="13" x14ac:dyDescent="0.15">
      <c r="A2293" s="72" t="str">
        <f t="shared" si="35"/>
        <v>Ofsted Social Care Provider Webpage</v>
      </c>
      <c r="B2293" s="55" t="s">
        <v>4082</v>
      </c>
      <c r="D2293" s="55" t="s">
        <v>451</v>
      </c>
      <c r="E2293" s="74">
        <v>38173</v>
      </c>
      <c r="F2293" s="55" t="s">
        <v>344</v>
      </c>
      <c r="G2293" s="55" t="s">
        <v>4083</v>
      </c>
      <c r="H2293" s="55" t="s">
        <v>4084</v>
      </c>
      <c r="I2293" s="55" t="s">
        <v>4085</v>
      </c>
      <c r="J2293" s="55" t="s">
        <v>4086</v>
      </c>
      <c r="L2293" s="55" t="s">
        <v>4087</v>
      </c>
      <c r="M2293" s="55" t="s">
        <v>142</v>
      </c>
      <c r="N2293" s="55" t="s">
        <v>142</v>
      </c>
      <c r="O2293" s="55" t="s">
        <v>166</v>
      </c>
      <c r="P2293" s="55" t="s">
        <v>1152</v>
      </c>
      <c r="Q2293" s="55" t="s">
        <v>362</v>
      </c>
      <c r="R2293" s="55">
        <v>12</v>
      </c>
      <c r="S2293" s="74"/>
      <c r="T2293" s="55" t="s">
        <v>4083</v>
      </c>
      <c r="U2293" s="73" t="s">
        <v>351</v>
      </c>
      <c r="V2293" s="74">
        <v>43320</v>
      </c>
      <c r="W2293" s="74">
        <v>43353</v>
      </c>
      <c r="X2293" s="55">
        <v>10045735</v>
      </c>
      <c r="Y2293" s="55" t="s">
        <v>140</v>
      </c>
      <c r="AB2293" s="55" t="s">
        <v>140</v>
      </c>
      <c r="AC2293" s="55" t="s">
        <v>132</v>
      </c>
    </row>
    <row r="2294" spans="1:29" ht="13" x14ac:dyDescent="0.15">
      <c r="A2294" s="72" t="str">
        <f t="shared" si="35"/>
        <v>Ofsted Social Care Provider Webpage</v>
      </c>
      <c r="B2294" s="55" t="s">
        <v>4088</v>
      </c>
      <c r="D2294" s="55" t="s">
        <v>389</v>
      </c>
      <c r="E2294" s="74">
        <v>37861</v>
      </c>
      <c r="F2294" s="55" t="s">
        <v>344</v>
      </c>
      <c r="G2294" s="55" t="s">
        <v>4089</v>
      </c>
      <c r="H2294" s="55" t="s">
        <v>3192</v>
      </c>
      <c r="I2294" s="55" t="s">
        <v>3193</v>
      </c>
      <c r="J2294" s="55" t="s">
        <v>3194</v>
      </c>
      <c r="L2294" s="55" t="s">
        <v>3195</v>
      </c>
      <c r="M2294" s="55" t="s">
        <v>378</v>
      </c>
      <c r="N2294" s="55" t="s">
        <v>170</v>
      </c>
      <c r="O2294" s="55" t="s">
        <v>233</v>
      </c>
      <c r="P2294" s="55" t="s">
        <v>1376</v>
      </c>
      <c r="Q2294" s="55" t="s">
        <v>362</v>
      </c>
      <c r="R2294" s="55"/>
      <c r="S2294" s="74"/>
      <c r="T2294" s="55" t="s">
        <v>3196</v>
      </c>
      <c r="U2294" s="73" t="s">
        <v>351</v>
      </c>
      <c r="V2294" s="74">
        <v>43528</v>
      </c>
      <c r="W2294" s="74">
        <v>43567</v>
      </c>
      <c r="X2294" s="55">
        <v>10046672</v>
      </c>
      <c r="Y2294" s="55" t="s">
        <v>132</v>
      </c>
      <c r="AB2294" s="55" t="s">
        <v>132</v>
      </c>
      <c r="AC2294" s="55" t="s">
        <v>132</v>
      </c>
    </row>
    <row r="2295" spans="1:29" ht="13" x14ac:dyDescent="0.15">
      <c r="A2295" s="72" t="str">
        <f t="shared" si="35"/>
        <v>Ofsted Social Care Provider Webpage</v>
      </c>
      <c r="B2295" s="55" t="s">
        <v>4090</v>
      </c>
      <c r="D2295" s="55" t="s">
        <v>389</v>
      </c>
      <c r="E2295" s="74">
        <v>37992</v>
      </c>
      <c r="F2295" s="55" t="s">
        <v>344</v>
      </c>
      <c r="G2295" s="55" t="s">
        <v>4091</v>
      </c>
      <c r="H2295" s="55" t="s">
        <v>4092</v>
      </c>
      <c r="I2295" s="55" t="s">
        <v>4093</v>
      </c>
      <c r="J2295" s="55" t="s">
        <v>221</v>
      </c>
      <c r="L2295" s="55" t="s">
        <v>4094</v>
      </c>
      <c r="M2295" s="55" t="s">
        <v>150</v>
      </c>
      <c r="N2295" s="55" t="s">
        <v>150</v>
      </c>
      <c r="O2295" s="55" t="s">
        <v>221</v>
      </c>
      <c r="P2295" s="55" t="s">
        <v>349</v>
      </c>
      <c r="Q2295" s="55" t="s">
        <v>350</v>
      </c>
      <c r="R2295" s="55"/>
      <c r="S2295" s="74"/>
      <c r="T2295" s="55" t="s">
        <v>3529</v>
      </c>
      <c r="U2295" s="73" t="s">
        <v>351</v>
      </c>
      <c r="V2295" s="74">
        <v>43228</v>
      </c>
      <c r="W2295" s="74">
        <v>43258</v>
      </c>
      <c r="X2295" s="55">
        <v>10046825</v>
      </c>
      <c r="Y2295" s="55" t="s">
        <v>132</v>
      </c>
      <c r="AB2295" s="55" t="s">
        <v>130</v>
      </c>
      <c r="AC2295" s="55" t="s">
        <v>132</v>
      </c>
    </row>
    <row r="2296" spans="1:29" ht="13" x14ac:dyDescent="0.15">
      <c r="A2296" s="72" t="str">
        <f t="shared" si="35"/>
        <v>Ofsted Social Care Provider Webpage</v>
      </c>
      <c r="B2296" s="55" t="s">
        <v>4095</v>
      </c>
      <c r="D2296" s="55" t="s">
        <v>373</v>
      </c>
      <c r="E2296" s="74">
        <v>37890</v>
      </c>
      <c r="F2296" s="55" t="s">
        <v>344</v>
      </c>
      <c r="G2296" s="55" t="s">
        <v>360</v>
      </c>
      <c r="H2296" s="55" t="s">
        <v>360</v>
      </c>
      <c r="I2296" s="55" t="s">
        <v>360</v>
      </c>
      <c r="J2296" s="55" t="s">
        <v>360</v>
      </c>
      <c r="K2296" s="55" t="s">
        <v>360</v>
      </c>
      <c r="L2296" s="55" t="s">
        <v>360</v>
      </c>
      <c r="M2296" s="55" t="s">
        <v>138</v>
      </c>
      <c r="N2296" s="55" t="s">
        <v>138</v>
      </c>
      <c r="O2296" s="55" t="s">
        <v>266</v>
      </c>
      <c r="P2296" s="55" t="s">
        <v>1622</v>
      </c>
      <c r="Q2296" s="55" t="s">
        <v>350</v>
      </c>
      <c r="R2296" s="55">
        <v>4</v>
      </c>
      <c r="S2296" s="74"/>
      <c r="T2296" s="55" t="s">
        <v>1623</v>
      </c>
      <c r="U2296" s="73" t="s">
        <v>351</v>
      </c>
      <c r="V2296" s="74">
        <v>44502</v>
      </c>
      <c r="W2296" s="74">
        <v>44530</v>
      </c>
      <c r="X2296" s="55">
        <v>10185062</v>
      </c>
      <c r="Y2296" s="55" t="s">
        <v>132</v>
      </c>
      <c r="AB2296" s="55" t="s">
        <v>132</v>
      </c>
      <c r="AC2296" s="55" t="s">
        <v>132</v>
      </c>
    </row>
    <row r="2297" spans="1:29" ht="13" x14ac:dyDescent="0.15">
      <c r="A2297" s="72" t="str">
        <f t="shared" si="35"/>
        <v>Ofsted Social Care Provider Webpage</v>
      </c>
      <c r="B2297" s="55" t="s">
        <v>4096</v>
      </c>
      <c r="D2297" s="55" t="s">
        <v>373</v>
      </c>
      <c r="E2297" s="74">
        <v>37799</v>
      </c>
      <c r="F2297" s="55" t="s">
        <v>344</v>
      </c>
      <c r="G2297" s="55" t="s">
        <v>360</v>
      </c>
      <c r="H2297" s="55" t="s">
        <v>360</v>
      </c>
      <c r="I2297" s="55" t="s">
        <v>360</v>
      </c>
      <c r="J2297" s="55" t="s">
        <v>360</v>
      </c>
      <c r="K2297" s="55" t="s">
        <v>360</v>
      </c>
      <c r="L2297" s="55" t="s">
        <v>360</v>
      </c>
      <c r="M2297" s="55" t="s">
        <v>172</v>
      </c>
      <c r="N2297" s="55" t="s">
        <v>172</v>
      </c>
      <c r="O2297" s="55" t="s">
        <v>235</v>
      </c>
      <c r="P2297" s="55" t="s">
        <v>1355</v>
      </c>
      <c r="Q2297" s="55" t="s">
        <v>350</v>
      </c>
      <c r="R2297" s="55">
        <v>5</v>
      </c>
      <c r="S2297" s="74"/>
      <c r="T2297" s="55" t="s">
        <v>861</v>
      </c>
      <c r="U2297" s="73" t="s">
        <v>351</v>
      </c>
      <c r="V2297" s="74">
        <v>44348</v>
      </c>
      <c r="W2297" s="74">
        <v>44382</v>
      </c>
      <c r="X2297" s="55">
        <v>10187546</v>
      </c>
      <c r="Y2297" s="55" t="s">
        <v>132</v>
      </c>
      <c r="AB2297" s="55" t="s">
        <v>130</v>
      </c>
      <c r="AC2297" s="55" t="s">
        <v>132</v>
      </c>
    </row>
    <row r="2298" spans="1:29" ht="13" x14ac:dyDescent="0.15">
      <c r="A2298" s="72" t="str">
        <f t="shared" si="35"/>
        <v>Ofsted Social Care Provider Webpage</v>
      </c>
      <c r="B2298" s="55" t="s">
        <v>4097</v>
      </c>
      <c r="D2298" s="55" t="s">
        <v>468</v>
      </c>
      <c r="E2298" s="74">
        <v>37741</v>
      </c>
      <c r="F2298" s="55" t="s">
        <v>344</v>
      </c>
      <c r="G2298" s="55" t="s">
        <v>4098</v>
      </c>
      <c r="H2298" s="55" t="s">
        <v>4099</v>
      </c>
      <c r="I2298" s="55" t="s">
        <v>354</v>
      </c>
      <c r="J2298" s="55" t="s">
        <v>4100</v>
      </c>
      <c r="L2298" s="55" t="s">
        <v>4101</v>
      </c>
      <c r="M2298" s="55" t="s">
        <v>144</v>
      </c>
      <c r="N2298" s="55" t="s">
        <v>144</v>
      </c>
      <c r="O2298" s="55" t="s">
        <v>163</v>
      </c>
      <c r="P2298" s="55" t="s">
        <v>472</v>
      </c>
      <c r="Q2298" s="55" t="s">
        <v>362</v>
      </c>
      <c r="R2298" s="55"/>
      <c r="S2298" s="74"/>
      <c r="T2298" s="55" t="s">
        <v>4102</v>
      </c>
      <c r="U2298" s="73" t="s">
        <v>351</v>
      </c>
      <c r="V2298" s="74">
        <v>43025</v>
      </c>
      <c r="W2298" s="74">
        <v>43060</v>
      </c>
      <c r="X2298" s="55">
        <v>10029229</v>
      </c>
      <c r="Y2298" s="55" t="s">
        <v>140</v>
      </c>
      <c r="AB2298" s="55" t="s">
        <v>132</v>
      </c>
      <c r="AC2298" s="55" t="s">
        <v>140</v>
      </c>
    </row>
    <row r="2299" spans="1:29" ht="13" x14ac:dyDescent="0.15">
      <c r="A2299" s="72" t="str">
        <f t="shared" si="35"/>
        <v>Ofsted Social Care Provider Webpage</v>
      </c>
      <c r="B2299" s="55" t="s">
        <v>4103</v>
      </c>
      <c r="D2299" s="55" t="s">
        <v>468</v>
      </c>
      <c r="E2299" s="74">
        <v>37790</v>
      </c>
      <c r="F2299" s="55" t="s">
        <v>344</v>
      </c>
      <c r="G2299" s="55" t="s">
        <v>4104</v>
      </c>
      <c r="H2299" s="55" t="s">
        <v>3538</v>
      </c>
      <c r="I2299" s="55" t="s">
        <v>3539</v>
      </c>
      <c r="J2299" s="55" t="s">
        <v>3540</v>
      </c>
      <c r="L2299" s="55" t="s">
        <v>3541</v>
      </c>
      <c r="M2299" s="55" t="s">
        <v>144</v>
      </c>
      <c r="N2299" s="55" t="s">
        <v>144</v>
      </c>
      <c r="O2299" s="55" t="s">
        <v>209</v>
      </c>
      <c r="P2299" s="55" t="s">
        <v>555</v>
      </c>
      <c r="Q2299" s="55" t="s">
        <v>362</v>
      </c>
      <c r="R2299" s="55"/>
      <c r="S2299" s="74"/>
      <c r="T2299" s="55" t="s">
        <v>3542</v>
      </c>
      <c r="U2299" s="73" t="s">
        <v>351</v>
      </c>
      <c r="V2299" s="74">
        <v>44529</v>
      </c>
      <c r="W2299" s="74">
        <v>44580</v>
      </c>
      <c r="X2299" s="55">
        <v>10183459</v>
      </c>
      <c r="Y2299" s="55" t="s">
        <v>140</v>
      </c>
      <c r="AB2299" s="55" t="s">
        <v>140</v>
      </c>
      <c r="AC2299" s="55" t="s">
        <v>140</v>
      </c>
    </row>
    <row r="2300" spans="1:29" ht="13" x14ac:dyDescent="0.15">
      <c r="A2300" s="72" t="str">
        <f t="shared" si="35"/>
        <v>Ofsted Social Care Provider Webpage</v>
      </c>
      <c r="B2300" s="55" t="s">
        <v>4105</v>
      </c>
      <c r="D2300" s="55" t="s">
        <v>468</v>
      </c>
      <c r="E2300" s="74">
        <v>37790</v>
      </c>
      <c r="F2300" s="55" t="s">
        <v>344</v>
      </c>
      <c r="G2300" s="55" t="s">
        <v>4106</v>
      </c>
      <c r="H2300" s="55" t="s">
        <v>4106</v>
      </c>
      <c r="I2300" s="55" t="s">
        <v>4107</v>
      </c>
      <c r="J2300" s="55" t="s">
        <v>3017</v>
      </c>
      <c r="L2300" s="55" t="s">
        <v>4108</v>
      </c>
      <c r="M2300" s="55" t="s">
        <v>136</v>
      </c>
      <c r="N2300" s="55" t="s">
        <v>136</v>
      </c>
      <c r="O2300" s="55" t="s">
        <v>154</v>
      </c>
      <c r="P2300" s="55" t="s">
        <v>4109</v>
      </c>
      <c r="Q2300" s="55" t="s">
        <v>362</v>
      </c>
      <c r="R2300" s="55"/>
      <c r="S2300" s="74"/>
      <c r="T2300" s="55" t="s">
        <v>4106</v>
      </c>
      <c r="U2300" s="73" t="s">
        <v>351</v>
      </c>
      <c r="V2300" s="74">
        <v>43510</v>
      </c>
      <c r="W2300" s="74">
        <v>43531</v>
      </c>
      <c r="X2300" s="55">
        <v>10046728</v>
      </c>
      <c r="Y2300" s="55" t="s">
        <v>140</v>
      </c>
      <c r="AB2300" s="55" t="s">
        <v>140</v>
      </c>
      <c r="AC2300" s="55" t="s">
        <v>140</v>
      </c>
    </row>
    <row r="2301" spans="1:29" ht="13" x14ac:dyDescent="0.15">
      <c r="A2301" s="72" t="str">
        <f t="shared" si="35"/>
        <v>Ofsted Social Care Provider Webpage</v>
      </c>
      <c r="B2301" s="55" t="s">
        <v>4110</v>
      </c>
      <c r="D2301" s="55" t="s">
        <v>468</v>
      </c>
      <c r="E2301" s="74">
        <v>37790</v>
      </c>
      <c r="F2301" s="55" t="s">
        <v>344</v>
      </c>
      <c r="G2301" s="55" t="s">
        <v>3205</v>
      </c>
      <c r="H2301" s="55" t="s">
        <v>4111</v>
      </c>
      <c r="I2301" s="55" t="s">
        <v>354</v>
      </c>
      <c r="J2301" s="55" t="s">
        <v>129</v>
      </c>
      <c r="L2301" s="55" t="s">
        <v>3204</v>
      </c>
      <c r="M2301" s="55" t="s">
        <v>129</v>
      </c>
      <c r="N2301" s="55" t="s">
        <v>129</v>
      </c>
      <c r="O2301" s="55" t="s">
        <v>160</v>
      </c>
      <c r="P2301" s="55" t="s">
        <v>447</v>
      </c>
      <c r="Q2301" s="55" t="s">
        <v>362</v>
      </c>
      <c r="R2301" s="55"/>
      <c r="S2301" s="74"/>
      <c r="T2301" s="55" t="s">
        <v>3205</v>
      </c>
      <c r="U2301" s="73" t="s">
        <v>351</v>
      </c>
      <c r="V2301" s="74">
        <v>44515</v>
      </c>
      <c r="W2301" s="74">
        <v>44580</v>
      </c>
      <c r="X2301" s="55">
        <v>10183455</v>
      </c>
      <c r="Y2301" s="55" t="s">
        <v>140</v>
      </c>
      <c r="AB2301" s="55" t="s">
        <v>132</v>
      </c>
      <c r="AC2301" s="55" t="s">
        <v>140</v>
      </c>
    </row>
    <row r="2302" spans="1:29" ht="13" x14ac:dyDescent="0.15">
      <c r="A2302" s="72" t="str">
        <f t="shared" si="35"/>
        <v>Ofsted Social Care Provider Webpage</v>
      </c>
      <c r="B2302" s="55" t="s">
        <v>4112</v>
      </c>
      <c r="D2302" s="55" t="s">
        <v>389</v>
      </c>
      <c r="E2302" s="74">
        <v>38005</v>
      </c>
      <c r="F2302" s="55" t="s">
        <v>344</v>
      </c>
      <c r="G2302" s="55" t="s">
        <v>4113</v>
      </c>
      <c r="H2302" s="55" t="s">
        <v>4114</v>
      </c>
      <c r="I2302" s="55" t="s">
        <v>4115</v>
      </c>
      <c r="J2302" s="55" t="s">
        <v>2210</v>
      </c>
      <c r="K2302" s="55" t="s">
        <v>183</v>
      </c>
      <c r="L2302" s="55" t="s">
        <v>4116</v>
      </c>
      <c r="M2302" s="55" t="s">
        <v>138</v>
      </c>
      <c r="N2302" s="55" t="s">
        <v>138</v>
      </c>
      <c r="O2302" s="55" t="s">
        <v>183</v>
      </c>
      <c r="P2302" s="55" t="s">
        <v>2051</v>
      </c>
      <c r="Q2302" s="55" t="s">
        <v>350</v>
      </c>
      <c r="R2302" s="55"/>
      <c r="S2302" s="74"/>
      <c r="T2302" s="55" t="s">
        <v>4117</v>
      </c>
      <c r="U2302" s="73" t="s">
        <v>351</v>
      </c>
      <c r="V2302" s="74">
        <v>43514</v>
      </c>
      <c r="W2302" s="74">
        <v>43538</v>
      </c>
      <c r="X2302" s="55">
        <v>10045654</v>
      </c>
      <c r="Y2302" s="55" t="s">
        <v>132</v>
      </c>
      <c r="AB2302" s="55" t="s">
        <v>132</v>
      </c>
      <c r="AC2302" s="55" t="s">
        <v>140</v>
      </c>
    </row>
    <row r="2303" spans="1:29" ht="13" x14ac:dyDescent="0.15">
      <c r="A2303" s="72" t="str">
        <f t="shared" si="35"/>
        <v>Ofsted Social Care Provider Webpage</v>
      </c>
      <c r="B2303" s="55" t="s">
        <v>4118</v>
      </c>
      <c r="D2303" s="55" t="s">
        <v>479</v>
      </c>
      <c r="E2303" s="74">
        <v>37862</v>
      </c>
      <c r="F2303" s="55" t="s">
        <v>344</v>
      </c>
      <c r="G2303" s="55" t="s">
        <v>360</v>
      </c>
      <c r="H2303" s="55" t="s">
        <v>360</v>
      </c>
      <c r="I2303" s="55" t="s">
        <v>360</v>
      </c>
      <c r="J2303" s="55" t="s">
        <v>360</v>
      </c>
      <c r="K2303" s="55" t="s">
        <v>360</v>
      </c>
      <c r="L2303" s="55" t="s">
        <v>360</v>
      </c>
      <c r="M2303" s="55" t="s">
        <v>144</v>
      </c>
      <c r="N2303" s="55" t="s">
        <v>144</v>
      </c>
      <c r="O2303" s="55" t="s">
        <v>168</v>
      </c>
      <c r="P2303" s="55" t="s">
        <v>834</v>
      </c>
      <c r="Q2303" s="55" t="s">
        <v>350</v>
      </c>
      <c r="R2303" s="55">
        <v>50</v>
      </c>
      <c r="S2303" s="74"/>
      <c r="T2303" s="55" t="s">
        <v>4119</v>
      </c>
      <c r="U2303" s="73" t="s">
        <v>351</v>
      </c>
      <c r="V2303" s="74">
        <v>44517</v>
      </c>
      <c r="W2303" s="74">
        <v>44559</v>
      </c>
      <c r="X2303" s="55">
        <v>10187572</v>
      </c>
      <c r="Y2303" s="55" t="s">
        <v>132</v>
      </c>
      <c r="AB2303" s="55" t="s">
        <v>132</v>
      </c>
      <c r="AC2303" s="55" t="s">
        <v>132</v>
      </c>
    </row>
    <row r="2304" spans="1:29" ht="13" x14ac:dyDescent="0.15">
      <c r="A2304" s="72" t="str">
        <f t="shared" si="35"/>
        <v>Ofsted Social Care Provider Webpage</v>
      </c>
      <c r="B2304" s="55" t="s">
        <v>4120</v>
      </c>
      <c r="D2304" s="55" t="s">
        <v>451</v>
      </c>
      <c r="E2304" s="74">
        <v>37995</v>
      </c>
      <c r="F2304" s="55" t="s">
        <v>344</v>
      </c>
      <c r="G2304" s="55" t="s">
        <v>4121</v>
      </c>
      <c r="H2304" s="55" t="s">
        <v>4122</v>
      </c>
      <c r="I2304" s="55" t="s">
        <v>4123</v>
      </c>
      <c r="J2304" s="55" t="s">
        <v>203</v>
      </c>
      <c r="L2304" s="55" t="s">
        <v>4124</v>
      </c>
      <c r="M2304" s="55" t="s">
        <v>129</v>
      </c>
      <c r="N2304" s="55" t="s">
        <v>129</v>
      </c>
      <c r="O2304" s="55" t="s">
        <v>155</v>
      </c>
      <c r="P2304" s="55" t="s">
        <v>482</v>
      </c>
      <c r="Q2304" s="55" t="s">
        <v>350</v>
      </c>
      <c r="R2304" s="55">
        <v>9</v>
      </c>
      <c r="S2304" s="74"/>
      <c r="T2304" s="55" t="s">
        <v>4125</v>
      </c>
      <c r="U2304" s="73" t="s">
        <v>351</v>
      </c>
      <c r="V2304" s="74">
        <v>44475</v>
      </c>
      <c r="W2304" s="74">
        <v>44510</v>
      </c>
      <c r="X2304" s="55">
        <v>10183442</v>
      </c>
      <c r="Y2304" s="55" t="s">
        <v>132</v>
      </c>
      <c r="AB2304" s="55" t="s">
        <v>132</v>
      </c>
      <c r="AC2304" s="55" t="s">
        <v>130</v>
      </c>
    </row>
    <row r="2305" spans="1:29" ht="13" x14ac:dyDescent="0.15">
      <c r="A2305" s="72" t="str">
        <f t="shared" si="35"/>
        <v>Ofsted Social Care Provider Webpage</v>
      </c>
      <c r="B2305" s="55" t="s">
        <v>4126</v>
      </c>
      <c r="D2305" s="55" t="s">
        <v>468</v>
      </c>
      <c r="E2305" s="74">
        <v>37802</v>
      </c>
      <c r="F2305" s="55" t="s">
        <v>344</v>
      </c>
      <c r="G2305" s="55" t="s">
        <v>4127</v>
      </c>
      <c r="H2305" s="55" t="s">
        <v>4128</v>
      </c>
      <c r="I2305" s="55" t="s">
        <v>4129</v>
      </c>
      <c r="J2305" s="55" t="s">
        <v>4130</v>
      </c>
      <c r="K2305" s="55" t="s">
        <v>175</v>
      </c>
      <c r="L2305" s="55" t="s">
        <v>4131</v>
      </c>
      <c r="M2305" s="55" t="s">
        <v>378</v>
      </c>
      <c r="N2305" s="55" t="s">
        <v>134</v>
      </c>
      <c r="O2305" s="55" t="s">
        <v>175</v>
      </c>
      <c r="P2305" s="55" t="s">
        <v>666</v>
      </c>
      <c r="Q2305" s="55" t="s">
        <v>362</v>
      </c>
      <c r="R2305" s="55"/>
      <c r="S2305" s="74"/>
      <c r="T2305" s="55" t="s">
        <v>4127</v>
      </c>
      <c r="U2305" s="73" t="s">
        <v>351</v>
      </c>
      <c r="V2305" s="74">
        <v>42905</v>
      </c>
      <c r="W2305" s="74">
        <v>42944</v>
      </c>
      <c r="X2305" s="55">
        <v>10021661</v>
      </c>
      <c r="Y2305" s="55" t="s">
        <v>132</v>
      </c>
      <c r="AB2305" s="55" t="s">
        <v>132</v>
      </c>
      <c r="AC2305" s="55" t="s">
        <v>132</v>
      </c>
    </row>
    <row r="2306" spans="1:29" ht="13" x14ac:dyDescent="0.15">
      <c r="A2306" s="72" t="str">
        <f t="shared" si="35"/>
        <v>Ofsted Social Care Provider Webpage</v>
      </c>
      <c r="B2306" s="55" t="s">
        <v>4132</v>
      </c>
      <c r="D2306" s="55" t="s">
        <v>468</v>
      </c>
      <c r="E2306" s="74">
        <v>37802</v>
      </c>
      <c r="F2306" s="55" t="s">
        <v>344</v>
      </c>
      <c r="G2306" s="55" t="s">
        <v>4133</v>
      </c>
      <c r="H2306" s="55" t="s">
        <v>4134</v>
      </c>
      <c r="I2306" s="55" t="s">
        <v>4135</v>
      </c>
      <c r="J2306" s="55" t="s">
        <v>4136</v>
      </c>
      <c r="K2306" s="55" t="s">
        <v>174</v>
      </c>
      <c r="L2306" s="55" t="s">
        <v>4137</v>
      </c>
      <c r="M2306" s="55" t="s">
        <v>136</v>
      </c>
      <c r="N2306" s="55" t="s">
        <v>136</v>
      </c>
      <c r="O2306" s="55" t="s">
        <v>174</v>
      </c>
      <c r="P2306" s="55" t="s">
        <v>1526</v>
      </c>
      <c r="Q2306" s="55" t="s">
        <v>362</v>
      </c>
      <c r="R2306" s="55"/>
      <c r="S2306" s="74"/>
      <c r="T2306" s="55" t="s">
        <v>4138</v>
      </c>
      <c r="U2306" s="73" t="s">
        <v>351</v>
      </c>
      <c r="V2306" s="74">
        <v>44571</v>
      </c>
      <c r="W2306" s="74">
        <v>44606</v>
      </c>
      <c r="X2306" s="55">
        <v>10183454</v>
      </c>
      <c r="Y2306" s="55" t="s">
        <v>132</v>
      </c>
      <c r="AB2306" s="55" t="s">
        <v>132</v>
      </c>
      <c r="AC2306" s="55" t="s">
        <v>132</v>
      </c>
    </row>
    <row r="2307" spans="1:29" ht="13" x14ac:dyDescent="0.15">
      <c r="A2307" s="72" t="str">
        <f t="shared" si="35"/>
        <v>Ofsted Social Care Provider Webpage</v>
      </c>
      <c r="B2307" s="55" t="s">
        <v>4139</v>
      </c>
      <c r="D2307" s="55" t="s">
        <v>468</v>
      </c>
      <c r="E2307" s="74">
        <v>37803</v>
      </c>
      <c r="F2307" s="55" t="s">
        <v>344</v>
      </c>
      <c r="G2307" s="55" t="s">
        <v>4140</v>
      </c>
      <c r="H2307" s="55" t="s">
        <v>4141</v>
      </c>
      <c r="I2307" s="55" t="s">
        <v>354</v>
      </c>
      <c r="J2307" s="55" t="s">
        <v>4142</v>
      </c>
      <c r="K2307" s="55" t="s">
        <v>1339</v>
      </c>
      <c r="L2307" s="55" t="s">
        <v>4143</v>
      </c>
      <c r="M2307" s="55" t="s">
        <v>144</v>
      </c>
      <c r="N2307" s="55" t="s">
        <v>144</v>
      </c>
      <c r="O2307" s="55" t="s">
        <v>261</v>
      </c>
      <c r="P2307" s="55" t="s">
        <v>512</v>
      </c>
      <c r="Q2307" s="55" t="s">
        <v>362</v>
      </c>
      <c r="R2307" s="55"/>
      <c r="S2307" s="74"/>
      <c r="T2307" s="55" t="s">
        <v>2360</v>
      </c>
      <c r="U2307" s="73" t="s">
        <v>351</v>
      </c>
      <c r="V2307" s="74">
        <v>43220</v>
      </c>
      <c r="W2307" s="74">
        <v>43258</v>
      </c>
      <c r="X2307" s="55">
        <v>10046733</v>
      </c>
      <c r="Y2307" s="55" t="s">
        <v>132</v>
      </c>
      <c r="AB2307" s="55" t="s">
        <v>132</v>
      </c>
      <c r="AC2307" s="55" t="s">
        <v>132</v>
      </c>
    </row>
    <row r="2308" spans="1:29" ht="13" x14ac:dyDescent="0.15">
      <c r="A2308" s="72" t="str">
        <f t="shared" si="35"/>
        <v>Ofsted Social Care Provider Webpage</v>
      </c>
      <c r="B2308" s="55" t="s">
        <v>4144</v>
      </c>
      <c r="D2308" s="55" t="s">
        <v>468</v>
      </c>
      <c r="E2308" s="74">
        <v>37803</v>
      </c>
      <c r="F2308" s="55" t="s">
        <v>344</v>
      </c>
      <c r="G2308" s="55" t="s">
        <v>4145</v>
      </c>
      <c r="H2308" s="55" t="s">
        <v>4146</v>
      </c>
      <c r="I2308" s="55" t="s">
        <v>4147</v>
      </c>
      <c r="J2308" s="55" t="s">
        <v>241</v>
      </c>
      <c r="L2308" s="55" t="s">
        <v>4148</v>
      </c>
      <c r="M2308" s="55" t="s">
        <v>150</v>
      </c>
      <c r="N2308" s="55" t="s">
        <v>150</v>
      </c>
      <c r="O2308" s="55" t="s">
        <v>241</v>
      </c>
      <c r="P2308" s="55" t="s">
        <v>486</v>
      </c>
      <c r="Q2308" s="55" t="s">
        <v>362</v>
      </c>
      <c r="R2308" s="55"/>
      <c r="S2308" s="74"/>
      <c r="T2308" s="55" t="s">
        <v>4149</v>
      </c>
      <c r="U2308" s="73" t="s">
        <v>351</v>
      </c>
      <c r="V2308" s="74">
        <v>42814</v>
      </c>
      <c r="W2308" s="74">
        <v>42853</v>
      </c>
      <c r="X2308" s="55">
        <v>10011351</v>
      </c>
      <c r="Y2308" s="55" t="s">
        <v>140</v>
      </c>
      <c r="AB2308" s="55" t="s">
        <v>132</v>
      </c>
      <c r="AC2308" s="55" t="s">
        <v>140</v>
      </c>
    </row>
    <row r="2309" spans="1:29" ht="13" x14ac:dyDescent="0.15">
      <c r="A2309" s="72" t="str">
        <f t="shared" si="35"/>
        <v>Ofsted Social Care Provider Webpage</v>
      </c>
      <c r="B2309" s="55" t="s">
        <v>4150</v>
      </c>
      <c r="D2309" s="55" t="s">
        <v>389</v>
      </c>
      <c r="E2309" s="74">
        <v>38044</v>
      </c>
      <c r="F2309" s="55" t="s">
        <v>344</v>
      </c>
      <c r="G2309" s="55" t="s">
        <v>4151</v>
      </c>
      <c r="H2309" s="55" t="s">
        <v>4152</v>
      </c>
      <c r="I2309" s="55" t="s">
        <v>4153</v>
      </c>
      <c r="J2309" s="55" t="s">
        <v>129</v>
      </c>
      <c r="L2309" s="55" t="s">
        <v>4154</v>
      </c>
      <c r="M2309" s="55" t="s">
        <v>129</v>
      </c>
      <c r="N2309" s="55" t="s">
        <v>129</v>
      </c>
      <c r="O2309" s="55" t="s">
        <v>187</v>
      </c>
      <c r="P2309" s="55" t="s">
        <v>4155</v>
      </c>
      <c r="Q2309" s="55" t="s">
        <v>350</v>
      </c>
      <c r="R2309" s="55"/>
      <c r="S2309" s="74"/>
      <c r="U2309" s="73" t="s">
        <v>351</v>
      </c>
      <c r="V2309" s="74">
        <v>43178</v>
      </c>
      <c r="W2309" s="74">
        <v>43237</v>
      </c>
      <c r="X2309" s="55">
        <v>10038132</v>
      </c>
      <c r="Y2309" s="55" t="s">
        <v>140</v>
      </c>
      <c r="AB2309" s="55" t="s">
        <v>140</v>
      </c>
      <c r="AC2309" s="55" t="s">
        <v>140</v>
      </c>
    </row>
    <row r="2310" spans="1:29" ht="13" x14ac:dyDescent="0.15">
      <c r="A2310" s="72" t="str">
        <f t="shared" ref="A2310:A2373" si="36">HYPERLINK(_xlfn.CONCAT("http://reports.ofsted.gov.uk/inspection-reports/find-inspection-report/provider/CARE/",B2310),"Ofsted Social Care Provider Webpage")</f>
        <v>Ofsted Social Care Provider Webpage</v>
      </c>
      <c r="B2310" s="55" t="s">
        <v>4156</v>
      </c>
      <c r="D2310" s="55" t="s">
        <v>468</v>
      </c>
      <c r="E2310" s="74">
        <v>37803</v>
      </c>
      <c r="F2310" s="55" t="s">
        <v>344</v>
      </c>
      <c r="G2310" s="55" t="s">
        <v>4157</v>
      </c>
      <c r="H2310" s="55" t="s">
        <v>4158</v>
      </c>
      <c r="I2310" s="55" t="s">
        <v>4159</v>
      </c>
      <c r="J2310" s="55" t="s">
        <v>129</v>
      </c>
      <c r="L2310" s="55" t="s">
        <v>4160</v>
      </c>
      <c r="M2310" s="55" t="s">
        <v>129</v>
      </c>
      <c r="N2310" s="55" t="s">
        <v>129</v>
      </c>
      <c r="O2310" s="55" t="s">
        <v>164</v>
      </c>
      <c r="P2310" s="55" t="s">
        <v>4161</v>
      </c>
      <c r="Q2310" s="55" t="s">
        <v>362</v>
      </c>
      <c r="R2310" s="55"/>
      <c r="S2310" s="74"/>
      <c r="T2310" s="55" t="s">
        <v>4162</v>
      </c>
      <c r="U2310" s="73" t="s">
        <v>351</v>
      </c>
      <c r="V2310" s="74">
        <v>43794</v>
      </c>
      <c r="W2310" s="74">
        <v>43817</v>
      </c>
      <c r="X2310" s="55">
        <v>10093316</v>
      </c>
      <c r="Y2310" s="55" t="s">
        <v>140</v>
      </c>
      <c r="AB2310" s="55" t="s">
        <v>140</v>
      </c>
      <c r="AC2310" s="55" t="s">
        <v>140</v>
      </c>
    </row>
    <row r="2311" spans="1:29" ht="13" x14ac:dyDescent="0.15">
      <c r="A2311" s="72" t="str">
        <f t="shared" si="36"/>
        <v>Ofsted Social Care Provider Webpage</v>
      </c>
      <c r="B2311" s="55" t="s">
        <v>4163</v>
      </c>
      <c r="D2311" s="55" t="s">
        <v>468</v>
      </c>
      <c r="E2311" s="74">
        <v>37803</v>
      </c>
      <c r="F2311" s="55" t="s">
        <v>344</v>
      </c>
      <c r="G2311" s="55" t="s">
        <v>4164</v>
      </c>
      <c r="H2311" s="55" t="s">
        <v>4165</v>
      </c>
      <c r="I2311" s="55" t="s">
        <v>4166</v>
      </c>
      <c r="J2311" s="55" t="s">
        <v>4167</v>
      </c>
      <c r="L2311" s="55" t="s">
        <v>4168</v>
      </c>
      <c r="M2311" s="55" t="s">
        <v>150</v>
      </c>
      <c r="N2311" s="55" t="s">
        <v>150</v>
      </c>
      <c r="O2311" s="55" t="s">
        <v>221</v>
      </c>
      <c r="P2311" s="55" t="s">
        <v>4169</v>
      </c>
      <c r="Q2311" s="55" t="s">
        <v>362</v>
      </c>
      <c r="R2311" s="55"/>
      <c r="S2311" s="74"/>
      <c r="T2311" s="55" t="s">
        <v>4170</v>
      </c>
      <c r="U2311" s="73" t="s">
        <v>351</v>
      </c>
      <c r="V2311" s="74">
        <v>43486</v>
      </c>
      <c r="W2311" s="74">
        <v>43529</v>
      </c>
      <c r="X2311" s="55">
        <v>10046738</v>
      </c>
      <c r="Y2311" s="55" t="s">
        <v>130</v>
      </c>
      <c r="AB2311" s="55" t="s">
        <v>130</v>
      </c>
      <c r="AC2311" s="55" t="s">
        <v>146</v>
      </c>
    </row>
    <row r="2312" spans="1:29" ht="13" x14ac:dyDescent="0.15">
      <c r="A2312" s="72" t="str">
        <f t="shared" si="36"/>
        <v>Ofsted Social Care Provider Webpage</v>
      </c>
      <c r="B2312" s="55" t="s">
        <v>4171</v>
      </c>
      <c r="D2312" s="55" t="s">
        <v>373</v>
      </c>
      <c r="E2312" s="74">
        <v>38253</v>
      </c>
      <c r="F2312" s="55" t="s">
        <v>344</v>
      </c>
      <c r="G2312" s="55" t="s">
        <v>360</v>
      </c>
      <c r="H2312" s="55" t="s">
        <v>360</v>
      </c>
      <c r="I2312" s="55" t="s">
        <v>360</v>
      </c>
      <c r="J2312" s="55" t="s">
        <v>360</v>
      </c>
      <c r="K2312" s="55" t="s">
        <v>360</v>
      </c>
      <c r="L2312" s="55" t="s">
        <v>360</v>
      </c>
      <c r="M2312" s="55" t="s">
        <v>144</v>
      </c>
      <c r="N2312" s="55" t="s">
        <v>144</v>
      </c>
      <c r="O2312" s="55" t="s">
        <v>245</v>
      </c>
      <c r="P2312" s="55" t="s">
        <v>1796</v>
      </c>
      <c r="Q2312" s="55" t="s">
        <v>350</v>
      </c>
      <c r="R2312" s="55">
        <v>3</v>
      </c>
      <c r="S2312" s="74"/>
      <c r="T2312" s="55" t="s">
        <v>1505</v>
      </c>
      <c r="U2312" s="73" t="s">
        <v>351</v>
      </c>
      <c r="V2312" s="74">
        <v>44516</v>
      </c>
      <c r="W2312" s="74">
        <v>44565</v>
      </c>
      <c r="X2312" s="55">
        <v>10185410</v>
      </c>
      <c r="Y2312" s="55" t="s">
        <v>130</v>
      </c>
      <c r="AB2312" s="55" t="s">
        <v>130</v>
      </c>
      <c r="AC2312" s="55" t="s">
        <v>130</v>
      </c>
    </row>
    <row r="2313" spans="1:29" ht="13" x14ac:dyDescent="0.15">
      <c r="A2313" s="72" t="str">
        <f t="shared" si="36"/>
        <v>Ofsted Social Care Provider Webpage</v>
      </c>
      <c r="B2313" s="55" t="s">
        <v>4172</v>
      </c>
      <c r="C2313" s="55">
        <v>136484</v>
      </c>
      <c r="D2313" s="55" t="s">
        <v>398</v>
      </c>
      <c r="E2313" s="74">
        <v>37805</v>
      </c>
      <c r="F2313" s="55" t="s">
        <v>344</v>
      </c>
      <c r="G2313" s="55" t="s">
        <v>4173</v>
      </c>
      <c r="H2313" s="55" t="s">
        <v>4173</v>
      </c>
      <c r="I2313" s="55" t="s">
        <v>4174</v>
      </c>
      <c r="J2313" s="55" t="s">
        <v>4175</v>
      </c>
      <c r="K2313" s="55" t="s">
        <v>156</v>
      </c>
      <c r="L2313" s="55" t="s">
        <v>4176</v>
      </c>
      <c r="M2313" s="55" t="s">
        <v>150</v>
      </c>
      <c r="N2313" s="55" t="s">
        <v>150</v>
      </c>
      <c r="O2313" s="55" t="s">
        <v>156</v>
      </c>
      <c r="P2313" s="55" t="s">
        <v>1217</v>
      </c>
      <c r="Q2313" s="55" t="s">
        <v>420</v>
      </c>
      <c r="R2313" s="55">
        <v>70</v>
      </c>
      <c r="S2313" s="74"/>
      <c r="T2313" s="55" t="s">
        <v>4177</v>
      </c>
      <c r="U2313" s="73" t="s">
        <v>351</v>
      </c>
      <c r="V2313" s="74">
        <v>43746</v>
      </c>
      <c r="W2313" s="74">
        <v>43815</v>
      </c>
      <c r="X2313" s="55">
        <v>10092962</v>
      </c>
      <c r="Y2313" s="55" t="s">
        <v>140</v>
      </c>
      <c r="AB2313" s="55" t="s">
        <v>140</v>
      </c>
      <c r="AC2313" s="55" t="s">
        <v>140</v>
      </c>
    </row>
    <row r="2314" spans="1:29" ht="13" x14ac:dyDescent="0.15">
      <c r="A2314" s="72" t="str">
        <f t="shared" si="36"/>
        <v>Ofsted Social Care Provider Webpage</v>
      </c>
      <c r="B2314" s="55" t="s">
        <v>4178</v>
      </c>
      <c r="C2314" s="55">
        <v>114635</v>
      </c>
      <c r="D2314" s="55" t="s">
        <v>413</v>
      </c>
      <c r="E2314" s="74">
        <v>37806</v>
      </c>
      <c r="F2314" s="55" t="s">
        <v>344</v>
      </c>
      <c r="G2314" s="55" t="s">
        <v>4179</v>
      </c>
      <c r="H2314" s="55" t="s">
        <v>4180</v>
      </c>
      <c r="I2314" s="55" t="s">
        <v>4181</v>
      </c>
      <c r="J2314" s="55" t="s">
        <v>4182</v>
      </c>
      <c r="K2314" s="55" t="s">
        <v>181</v>
      </c>
      <c r="L2314" s="55" t="s">
        <v>4183</v>
      </c>
      <c r="M2314" s="55" t="s">
        <v>150</v>
      </c>
      <c r="N2314" s="55" t="s">
        <v>150</v>
      </c>
      <c r="O2314" s="55" t="s">
        <v>181</v>
      </c>
      <c r="P2314" s="55" t="s">
        <v>626</v>
      </c>
      <c r="Q2314" s="55" t="s">
        <v>362</v>
      </c>
      <c r="R2314" s="55">
        <v>26</v>
      </c>
      <c r="S2314" s="74"/>
      <c r="T2314" s="55" t="s">
        <v>4184</v>
      </c>
      <c r="U2314" s="73" t="s">
        <v>351</v>
      </c>
      <c r="V2314" s="74">
        <v>44523</v>
      </c>
      <c r="W2314" s="74">
        <v>44581</v>
      </c>
      <c r="X2314" s="55">
        <v>10183478</v>
      </c>
      <c r="Y2314" s="55" t="s">
        <v>132</v>
      </c>
      <c r="AB2314" s="55" t="s">
        <v>132</v>
      </c>
      <c r="AC2314" s="55" t="s">
        <v>132</v>
      </c>
    </row>
    <row r="2315" spans="1:29" ht="13" x14ac:dyDescent="0.15">
      <c r="A2315" s="72" t="str">
        <f t="shared" si="36"/>
        <v>Ofsted Social Care Provider Webpage</v>
      </c>
      <c r="B2315" s="55" t="s">
        <v>4185</v>
      </c>
      <c r="D2315" s="55" t="s">
        <v>451</v>
      </c>
      <c r="E2315" s="74">
        <v>38002</v>
      </c>
      <c r="F2315" s="55" t="s">
        <v>344</v>
      </c>
      <c r="G2315" s="55" t="s">
        <v>4186</v>
      </c>
      <c r="H2315" s="55" t="s">
        <v>4187</v>
      </c>
      <c r="I2315" s="55" t="s">
        <v>354</v>
      </c>
      <c r="J2315" s="55" t="s">
        <v>251</v>
      </c>
      <c r="K2315" s="55" t="s">
        <v>683</v>
      </c>
      <c r="L2315" s="55" t="s">
        <v>4188</v>
      </c>
      <c r="M2315" s="55" t="s">
        <v>378</v>
      </c>
      <c r="N2315" s="55" t="s">
        <v>134</v>
      </c>
      <c r="O2315" s="55" t="s">
        <v>251</v>
      </c>
      <c r="P2315" s="55" t="s">
        <v>2408</v>
      </c>
      <c r="Q2315" s="55" t="s">
        <v>350</v>
      </c>
      <c r="R2315" s="55">
        <v>12</v>
      </c>
      <c r="S2315" s="74"/>
      <c r="T2315" s="55" t="s">
        <v>1259</v>
      </c>
      <c r="U2315" s="73" t="s">
        <v>351</v>
      </c>
      <c r="V2315" s="74">
        <v>42907</v>
      </c>
      <c r="W2315" s="74">
        <v>42936</v>
      </c>
      <c r="X2315" s="55">
        <v>10030967</v>
      </c>
      <c r="Y2315" s="55" t="s">
        <v>132</v>
      </c>
      <c r="AB2315" s="55" t="s">
        <v>132</v>
      </c>
      <c r="AC2315" s="55" t="s">
        <v>132</v>
      </c>
    </row>
    <row r="2316" spans="1:29" ht="13" x14ac:dyDescent="0.15">
      <c r="A2316" s="72" t="str">
        <f t="shared" si="36"/>
        <v>Ofsted Social Care Provider Webpage</v>
      </c>
      <c r="B2316" s="55" t="s">
        <v>4189</v>
      </c>
      <c r="D2316" s="55" t="s">
        <v>398</v>
      </c>
      <c r="E2316" s="74">
        <v>37819</v>
      </c>
      <c r="F2316" s="55" t="s">
        <v>344</v>
      </c>
      <c r="G2316" s="55" t="s">
        <v>4190</v>
      </c>
      <c r="H2316" s="55" t="s">
        <v>4191</v>
      </c>
      <c r="I2316" s="55" t="s">
        <v>4192</v>
      </c>
      <c r="J2316" s="55" t="s">
        <v>827</v>
      </c>
      <c r="K2316" s="55" t="s">
        <v>181</v>
      </c>
      <c r="L2316" s="55" t="s">
        <v>4193</v>
      </c>
      <c r="M2316" s="55" t="s">
        <v>150</v>
      </c>
      <c r="N2316" s="55" t="s">
        <v>150</v>
      </c>
      <c r="O2316" s="55" t="s">
        <v>153</v>
      </c>
      <c r="P2316" s="55" t="s">
        <v>829</v>
      </c>
      <c r="Q2316" s="55" t="s">
        <v>350</v>
      </c>
      <c r="R2316" s="55">
        <v>688</v>
      </c>
      <c r="S2316" s="74"/>
      <c r="T2316" s="55" t="s">
        <v>4194</v>
      </c>
      <c r="U2316" s="73" t="s">
        <v>351</v>
      </c>
      <c r="V2316" s="74">
        <v>41355</v>
      </c>
      <c r="W2316" s="74">
        <v>41405</v>
      </c>
      <c r="X2316" s="55">
        <v>910859</v>
      </c>
      <c r="Y2316" s="55" t="s">
        <v>132</v>
      </c>
      <c r="AB2316" s="55" t="s">
        <v>132</v>
      </c>
      <c r="AC2316" s="55" t="s">
        <v>132</v>
      </c>
    </row>
    <row r="2317" spans="1:29" ht="13" x14ac:dyDescent="0.15">
      <c r="A2317" s="72" t="str">
        <f t="shared" si="36"/>
        <v>Ofsted Social Care Provider Webpage</v>
      </c>
      <c r="B2317" s="55" t="s">
        <v>4195</v>
      </c>
      <c r="C2317" s="55">
        <v>100986</v>
      </c>
      <c r="D2317" s="55" t="s">
        <v>413</v>
      </c>
      <c r="E2317" s="74">
        <v>37819</v>
      </c>
      <c r="F2317" s="55" t="s">
        <v>344</v>
      </c>
      <c r="G2317" s="55" t="s">
        <v>4196</v>
      </c>
      <c r="H2317" s="55" t="s">
        <v>4196</v>
      </c>
      <c r="I2317" s="55" t="s">
        <v>4197</v>
      </c>
      <c r="J2317" s="55" t="s">
        <v>4198</v>
      </c>
      <c r="K2317" s="55" t="s">
        <v>181</v>
      </c>
      <c r="L2317" s="55" t="s">
        <v>4199</v>
      </c>
      <c r="M2317" s="55" t="s">
        <v>150</v>
      </c>
      <c r="N2317" s="55" t="s">
        <v>150</v>
      </c>
      <c r="O2317" s="55" t="s">
        <v>181</v>
      </c>
      <c r="P2317" s="55" t="s">
        <v>937</v>
      </c>
      <c r="Q2317" s="55" t="s">
        <v>380</v>
      </c>
      <c r="R2317" s="55">
        <v>33</v>
      </c>
      <c r="S2317" s="74"/>
      <c r="T2317" s="55" t="s">
        <v>3026</v>
      </c>
      <c r="U2317" s="73" t="s">
        <v>351</v>
      </c>
      <c r="V2317" s="74">
        <v>44489</v>
      </c>
      <c r="W2317" s="74">
        <v>44550</v>
      </c>
      <c r="X2317" s="55">
        <v>10183539</v>
      </c>
      <c r="Y2317" s="55" t="s">
        <v>140</v>
      </c>
      <c r="AB2317" s="55" t="s">
        <v>140</v>
      </c>
      <c r="AC2317" s="55" t="s">
        <v>140</v>
      </c>
    </row>
    <row r="2318" spans="1:29" ht="13" x14ac:dyDescent="0.15">
      <c r="A2318" s="72" t="str">
        <f t="shared" si="36"/>
        <v>Ofsted Social Care Provider Webpage</v>
      </c>
      <c r="B2318" s="55" t="s">
        <v>4200</v>
      </c>
      <c r="C2318" s="55">
        <v>114625</v>
      </c>
      <c r="D2318" s="55" t="s">
        <v>398</v>
      </c>
      <c r="E2318" s="74">
        <v>37824</v>
      </c>
      <c r="F2318" s="55" t="s">
        <v>344</v>
      </c>
      <c r="G2318" s="55" t="s">
        <v>4201</v>
      </c>
      <c r="H2318" s="55" t="s">
        <v>4201</v>
      </c>
      <c r="I2318" s="55" t="s">
        <v>4202</v>
      </c>
      <c r="J2318" s="55" t="s">
        <v>4203</v>
      </c>
      <c r="K2318" s="55" t="s">
        <v>181</v>
      </c>
      <c r="L2318" s="55" t="s">
        <v>4204</v>
      </c>
      <c r="M2318" s="55" t="s">
        <v>150</v>
      </c>
      <c r="N2318" s="55" t="s">
        <v>150</v>
      </c>
      <c r="O2318" s="55" t="s">
        <v>181</v>
      </c>
      <c r="P2318" s="55" t="s">
        <v>1142</v>
      </c>
      <c r="Q2318" s="55" t="s">
        <v>362</v>
      </c>
      <c r="R2318" s="55">
        <v>117</v>
      </c>
      <c r="S2318" s="74"/>
      <c r="T2318" s="55" t="s">
        <v>4205</v>
      </c>
      <c r="U2318" s="73" t="s">
        <v>351</v>
      </c>
      <c r="V2318" s="74">
        <v>43507</v>
      </c>
      <c r="W2318" s="74">
        <v>43538</v>
      </c>
      <c r="X2318" s="55">
        <v>10049198</v>
      </c>
      <c r="Y2318" s="55" t="s">
        <v>132</v>
      </c>
      <c r="AB2318" s="55" t="s">
        <v>132</v>
      </c>
      <c r="AC2318" s="55" t="s">
        <v>132</v>
      </c>
    </row>
    <row r="2319" spans="1:29" ht="13" x14ac:dyDescent="0.15">
      <c r="A2319" s="72" t="str">
        <f t="shared" si="36"/>
        <v>Ofsted Social Care Provider Webpage</v>
      </c>
      <c r="B2319" s="55" t="s">
        <v>4206</v>
      </c>
      <c r="C2319" s="55">
        <v>114677</v>
      </c>
      <c r="D2319" s="55" t="s">
        <v>413</v>
      </c>
      <c r="E2319" s="74">
        <v>37824</v>
      </c>
      <c r="F2319" s="55" t="s">
        <v>344</v>
      </c>
      <c r="G2319" s="55" t="s">
        <v>4207</v>
      </c>
      <c r="H2319" s="55" t="s">
        <v>4208</v>
      </c>
      <c r="I2319" s="55" t="s">
        <v>354</v>
      </c>
      <c r="J2319" s="55" t="s">
        <v>4198</v>
      </c>
      <c r="K2319" s="55" t="s">
        <v>181</v>
      </c>
      <c r="L2319" s="55" t="s">
        <v>4209</v>
      </c>
      <c r="M2319" s="55" t="s">
        <v>150</v>
      </c>
      <c r="N2319" s="55" t="s">
        <v>150</v>
      </c>
      <c r="O2319" s="55" t="s">
        <v>181</v>
      </c>
      <c r="P2319" s="55" t="s">
        <v>937</v>
      </c>
      <c r="Q2319" s="55" t="s">
        <v>362</v>
      </c>
      <c r="R2319" s="55">
        <v>22</v>
      </c>
      <c r="S2319" s="74"/>
      <c r="T2319" s="55" t="s">
        <v>4210</v>
      </c>
      <c r="U2319" s="73" t="s">
        <v>351</v>
      </c>
      <c r="V2319" s="74">
        <v>43620</v>
      </c>
      <c r="W2319" s="74">
        <v>43636</v>
      </c>
      <c r="X2319" s="55">
        <v>10093196</v>
      </c>
      <c r="Y2319" s="55" t="s">
        <v>132</v>
      </c>
      <c r="AB2319" s="55" t="s">
        <v>132</v>
      </c>
      <c r="AC2319" s="55" t="s">
        <v>132</v>
      </c>
    </row>
    <row r="2320" spans="1:29" ht="13" x14ac:dyDescent="0.15">
      <c r="A2320" s="72" t="str">
        <f t="shared" si="36"/>
        <v>Ofsted Social Care Provider Webpage</v>
      </c>
      <c r="B2320" s="55" t="s">
        <v>4211</v>
      </c>
      <c r="C2320" s="55">
        <v>133653</v>
      </c>
      <c r="D2320" s="55" t="s">
        <v>413</v>
      </c>
      <c r="E2320" s="74">
        <v>37824</v>
      </c>
      <c r="F2320" s="55" t="s">
        <v>344</v>
      </c>
      <c r="G2320" s="55" t="s">
        <v>4212</v>
      </c>
      <c r="H2320" s="55" t="s">
        <v>4213</v>
      </c>
      <c r="I2320" s="55" t="s">
        <v>354</v>
      </c>
      <c r="J2320" s="55" t="s">
        <v>4214</v>
      </c>
      <c r="K2320" s="55" t="s">
        <v>181</v>
      </c>
      <c r="L2320" s="55" t="s">
        <v>4215</v>
      </c>
      <c r="M2320" s="55" t="s">
        <v>150</v>
      </c>
      <c r="N2320" s="55" t="s">
        <v>150</v>
      </c>
      <c r="O2320" s="55" t="s">
        <v>181</v>
      </c>
      <c r="P2320" s="55" t="s">
        <v>626</v>
      </c>
      <c r="Q2320" s="55" t="s">
        <v>362</v>
      </c>
      <c r="R2320" s="55">
        <v>40</v>
      </c>
      <c r="S2320" s="74"/>
      <c r="T2320" s="55" t="s">
        <v>4216</v>
      </c>
      <c r="U2320" s="73" t="s">
        <v>351</v>
      </c>
      <c r="V2320" s="74">
        <v>43655</v>
      </c>
      <c r="W2320" s="74">
        <v>43733</v>
      </c>
      <c r="X2320" s="55">
        <v>10093197</v>
      </c>
      <c r="Y2320" s="55" t="s">
        <v>130</v>
      </c>
      <c r="AB2320" s="55" t="s">
        <v>130</v>
      </c>
      <c r="AC2320" s="55" t="s">
        <v>146</v>
      </c>
    </row>
    <row r="2321" spans="1:29" ht="13" x14ac:dyDescent="0.15">
      <c r="A2321" s="72" t="str">
        <f t="shared" si="36"/>
        <v>Ofsted Social Care Provider Webpage</v>
      </c>
      <c r="B2321" s="55" t="s">
        <v>4217</v>
      </c>
      <c r="C2321" s="55">
        <v>114619</v>
      </c>
      <c r="D2321" s="55" t="s">
        <v>413</v>
      </c>
      <c r="E2321" s="74">
        <v>37824</v>
      </c>
      <c r="F2321" s="55" t="s">
        <v>344</v>
      </c>
      <c r="G2321" s="55" t="s">
        <v>4218</v>
      </c>
      <c r="H2321" s="55" t="s">
        <v>4218</v>
      </c>
      <c r="I2321" s="55" t="s">
        <v>4219</v>
      </c>
      <c r="J2321" s="55" t="s">
        <v>827</v>
      </c>
      <c r="L2321" s="55" t="s">
        <v>4220</v>
      </c>
      <c r="M2321" s="55" t="s">
        <v>150</v>
      </c>
      <c r="N2321" s="55" t="s">
        <v>150</v>
      </c>
      <c r="O2321" s="55" t="s">
        <v>153</v>
      </c>
      <c r="P2321" s="55" t="s">
        <v>2323</v>
      </c>
      <c r="Q2321" s="55" t="s">
        <v>362</v>
      </c>
      <c r="R2321" s="55">
        <v>36</v>
      </c>
      <c r="S2321" s="74"/>
      <c r="T2321" s="55" t="s">
        <v>4218</v>
      </c>
      <c r="U2321" s="73" t="s">
        <v>351</v>
      </c>
      <c r="V2321" s="74">
        <v>43892</v>
      </c>
      <c r="W2321" s="74">
        <v>43924</v>
      </c>
      <c r="X2321" s="55">
        <v>10099067</v>
      </c>
      <c r="Y2321" s="55" t="s">
        <v>140</v>
      </c>
      <c r="AB2321" s="55" t="s">
        <v>140</v>
      </c>
      <c r="AC2321" s="55" t="s">
        <v>140</v>
      </c>
    </row>
    <row r="2322" spans="1:29" ht="13" x14ac:dyDescent="0.15">
      <c r="A2322" s="72" t="str">
        <f t="shared" si="36"/>
        <v>Ofsted Social Care Provider Webpage</v>
      </c>
      <c r="B2322" s="55" t="s">
        <v>4221</v>
      </c>
      <c r="D2322" s="55" t="s">
        <v>389</v>
      </c>
      <c r="E2322" s="74">
        <v>37966</v>
      </c>
      <c r="F2322" s="55" t="s">
        <v>344</v>
      </c>
      <c r="G2322" s="55" t="s">
        <v>4222</v>
      </c>
      <c r="H2322" s="55" t="s">
        <v>4223</v>
      </c>
      <c r="I2322" s="55" t="s">
        <v>4224</v>
      </c>
      <c r="J2322" s="55" t="s">
        <v>3017</v>
      </c>
      <c r="L2322" s="55" t="s">
        <v>4225</v>
      </c>
      <c r="M2322" s="55" t="s">
        <v>136</v>
      </c>
      <c r="N2322" s="55" t="s">
        <v>136</v>
      </c>
      <c r="O2322" s="55" t="s">
        <v>154</v>
      </c>
      <c r="P2322" s="55" t="s">
        <v>1686</v>
      </c>
      <c r="Q2322" s="55" t="s">
        <v>362</v>
      </c>
      <c r="R2322" s="55"/>
      <c r="S2322" s="74"/>
      <c r="T2322" s="55" t="s">
        <v>3196</v>
      </c>
      <c r="U2322" s="73" t="s">
        <v>351</v>
      </c>
      <c r="V2322" s="74">
        <v>42940</v>
      </c>
      <c r="W2322" s="74">
        <v>42970</v>
      </c>
      <c r="X2322" s="55">
        <v>10021611</v>
      </c>
      <c r="Y2322" s="55" t="s">
        <v>140</v>
      </c>
      <c r="AB2322" s="55" t="s">
        <v>132</v>
      </c>
      <c r="AC2322" s="55" t="s">
        <v>140</v>
      </c>
    </row>
    <row r="2323" spans="1:29" ht="13" x14ac:dyDescent="0.15">
      <c r="A2323" s="72" t="str">
        <f t="shared" si="36"/>
        <v>Ofsted Social Care Provider Webpage</v>
      </c>
      <c r="B2323" s="55" t="s">
        <v>4226</v>
      </c>
      <c r="C2323" s="55">
        <v>133108</v>
      </c>
      <c r="D2323" s="55" t="s">
        <v>693</v>
      </c>
      <c r="E2323" s="74">
        <v>37826</v>
      </c>
      <c r="F2323" s="55" t="s">
        <v>344</v>
      </c>
      <c r="G2323" s="55" t="s">
        <v>4227</v>
      </c>
      <c r="H2323" s="55" t="s">
        <v>4227</v>
      </c>
      <c r="I2323" s="55" t="s">
        <v>4228</v>
      </c>
      <c r="J2323" s="55" t="s">
        <v>1457</v>
      </c>
      <c r="L2323" s="55" t="s">
        <v>4229</v>
      </c>
      <c r="M2323" s="55" t="s">
        <v>142</v>
      </c>
      <c r="N2323" s="55" t="s">
        <v>142</v>
      </c>
      <c r="O2323" s="55" t="s">
        <v>195</v>
      </c>
      <c r="P2323" s="55" t="s">
        <v>747</v>
      </c>
      <c r="Q2323" s="55" t="s">
        <v>362</v>
      </c>
      <c r="R2323" s="55">
        <v>77</v>
      </c>
      <c r="S2323" s="74"/>
      <c r="T2323" s="55" t="s">
        <v>4227</v>
      </c>
      <c r="U2323" s="73" t="s">
        <v>351</v>
      </c>
      <c r="V2323" s="74">
        <v>44586</v>
      </c>
      <c r="W2323" s="74">
        <v>44635</v>
      </c>
      <c r="X2323" s="55">
        <v>10183330</v>
      </c>
      <c r="Y2323" s="55" t="s">
        <v>132</v>
      </c>
      <c r="AB2323" s="55" t="s">
        <v>132</v>
      </c>
      <c r="AC2323" s="55" t="s">
        <v>132</v>
      </c>
    </row>
    <row r="2324" spans="1:29" ht="13" x14ac:dyDescent="0.15">
      <c r="A2324" s="72" t="str">
        <f t="shared" si="36"/>
        <v>Ofsted Social Care Provider Webpage</v>
      </c>
      <c r="B2324" s="55" t="s">
        <v>4230</v>
      </c>
      <c r="C2324" s="55">
        <v>130667</v>
      </c>
      <c r="D2324" s="55" t="s">
        <v>693</v>
      </c>
      <c r="E2324" s="74">
        <v>37832</v>
      </c>
      <c r="F2324" s="55" t="s">
        <v>344</v>
      </c>
      <c r="G2324" s="55" t="s">
        <v>4231</v>
      </c>
      <c r="H2324" s="55" t="s">
        <v>4231</v>
      </c>
      <c r="I2324" s="55" t="s">
        <v>4232</v>
      </c>
      <c r="J2324" s="55" t="s">
        <v>4233</v>
      </c>
      <c r="K2324" s="55" t="s">
        <v>181</v>
      </c>
      <c r="L2324" s="55" t="s">
        <v>4234</v>
      </c>
      <c r="M2324" s="55" t="s">
        <v>150</v>
      </c>
      <c r="N2324" s="55" t="s">
        <v>150</v>
      </c>
      <c r="O2324" s="55" t="s">
        <v>181</v>
      </c>
      <c r="P2324" s="55" t="s">
        <v>937</v>
      </c>
      <c r="Q2324" s="55" t="s">
        <v>362</v>
      </c>
      <c r="R2324" s="55">
        <v>117</v>
      </c>
      <c r="S2324" s="74"/>
      <c r="T2324" s="55" t="s">
        <v>4231</v>
      </c>
      <c r="U2324" s="73" t="s">
        <v>351</v>
      </c>
      <c r="V2324" s="74">
        <v>43361</v>
      </c>
      <c r="W2324" s="74">
        <v>43384</v>
      </c>
      <c r="X2324" s="55">
        <v>10046860</v>
      </c>
      <c r="Y2324" s="55" t="s">
        <v>140</v>
      </c>
      <c r="AB2324" s="55" t="s">
        <v>140</v>
      </c>
      <c r="AC2324" s="55" t="s">
        <v>140</v>
      </c>
    </row>
    <row r="2325" spans="1:29" ht="13" x14ac:dyDescent="0.15">
      <c r="A2325" s="72" t="str">
        <f t="shared" si="36"/>
        <v>Ofsted Social Care Provider Webpage</v>
      </c>
      <c r="B2325" s="55" t="s">
        <v>4235</v>
      </c>
      <c r="D2325" s="55" t="s">
        <v>468</v>
      </c>
      <c r="E2325" s="74">
        <v>37838</v>
      </c>
      <c r="F2325" s="55" t="s">
        <v>344</v>
      </c>
      <c r="G2325" s="55" t="s">
        <v>4236</v>
      </c>
      <c r="H2325" s="55" t="s">
        <v>4237</v>
      </c>
      <c r="I2325" s="55" t="s">
        <v>354</v>
      </c>
      <c r="J2325" s="55" t="s">
        <v>2753</v>
      </c>
      <c r="L2325" s="55" t="s">
        <v>4238</v>
      </c>
      <c r="M2325" s="55" t="s">
        <v>142</v>
      </c>
      <c r="N2325" s="55" t="s">
        <v>142</v>
      </c>
      <c r="O2325" s="55" t="s">
        <v>254</v>
      </c>
      <c r="P2325" s="55" t="s">
        <v>1048</v>
      </c>
      <c r="Q2325" s="55" t="s">
        <v>362</v>
      </c>
      <c r="R2325" s="55"/>
      <c r="S2325" s="74"/>
      <c r="T2325" s="55" t="s">
        <v>367</v>
      </c>
      <c r="U2325" s="73" t="s">
        <v>351</v>
      </c>
      <c r="V2325" s="74">
        <v>43843</v>
      </c>
      <c r="W2325" s="74">
        <v>43873</v>
      </c>
      <c r="X2325" s="55">
        <v>10046737</v>
      </c>
      <c r="Y2325" s="55" t="s">
        <v>132</v>
      </c>
      <c r="AB2325" s="55" t="s">
        <v>132</v>
      </c>
      <c r="AC2325" s="55" t="s">
        <v>132</v>
      </c>
    </row>
    <row r="2326" spans="1:29" ht="13" x14ac:dyDescent="0.15">
      <c r="A2326" s="72" t="str">
        <f t="shared" si="36"/>
        <v>Ofsted Social Care Provider Webpage</v>
      </c>
      <c r="B2326" s="55" t="s">
        <v>4239</v>
      </c>
      <c r="D2326" s="55" t="s">
        <v>373</v>
      </c>
      <c r="E2326" s="74">
        <v>38019</v>
      </c>
      <c r="F2326" s="55" t="s">
        <v>344</v>
      </c>
      <c r="G2326" s="55" t="s">
        <v>360</v>
      </c>
      <c r="H2326" s="55" t="s">
        <v>360</v>
      </c>
      <c r="I2326" s="55" t="s">
        <v>360</v>
      </c>
      <c r="J2326" s="55" t="s">
        <v>360</v>
      </c>
      <c r="K2326" s="55" t="s">
        <v>360</v>
      </c>
      <c r="L2326" s="55" t="s">
        <v>360</v>
      </c>
      <c r="M2326" s="55" t="s">
        <v>172</v>
      </c>
      <c r="N2326" s="55" t="s">
        <v>172</v>
      </c>
      <c r="O2326" s="55" t="s">
        <v>173</v>
      </c>
      <c r="P2326" s="55" t="s">
        <v>2307</v>
      </c>
      <c r="Q2326" s="55" t="s">
        <v>380</v>
      </c>
      <c r="R2326" s="55">
        <v>4</v>
      </c>
      <c r="S2326" s="74"/>
      <c r="T2326" s="55" t="s">
        <v>3477</v>
      </c>
      <c r="U2326" s="73" t="s">
        <v>351</v>
      </c>
      <c r="V2326" s="74">
        <v>44545</v>
      </c>
      <c r="W2326" s="74">
        <v>44593</v>
      </c>
      <c r="X2326" s="55">
        <v>10187536</v>
      </c>
      <c r="Y2326" s="55" t="s">
        <v>130</v>
      </c>
      <c r="AB2326" s="55" t="s">
        <v>130</v>
      </c>
      <c r="AC2326" s="55" t="s">
        <v>130</v>
      </c>
    </row>
    <row r="2327" spans="1:29" ht="13" x14ac:dyDescent="0.15">
      <c r="A2327" s="72" t="str">
        <f t="shared" si="36"/>
        <v>Ofsted Social Care Provider Webpage</v>
      </c>
      <c r="B2327" s="55" t="s">
        <v>4240</v>
      </c>
      <c r="D2327" s="55" t="s">
        <v>373</v>
      </c>
      <c r="E2327" s="74">
        <v>37949</v>
      </c>
      <c r="F2327" s="55" t="s">
        <v>344</v>
      </c>
      <c r="G2327" s="55" t="s">
        <v>360</v>
      </c>
      <c r="H2327" s="55" t="s">
        <v>360</v>
      </c>
      <c r="I2327" s="55" t="s">
        <v>360</v>
      </c>
      <c r="J2327" s="55" t="s">
        <v>360</v>
      </c>
      <c r="K2327" s="55" t="s">
        <v>360</v>
      </c>
      <c r="L2327" s="55" t="s">
        <v>360</v>
      </c>
      <c r="M2327" s="55" t="s">
        <v>172</v>
      </c>
      <c r="N2327" s="55" t="s">
        <v>172</v>
      </c>
      <c r="O2327" s="55" t="s">
        <v>235</v>
      </c>
      <c r="P2327" s="55" t="s">
        <v>1355</v>
      </c>
      <c r="Q2327" s="55" t="s">
        <v>350</v>
      </c>
      <c r="R2327" s="55">
        <v>3</v>
      </c>
      <c r="S2327" s="74"/>
      <c r="T2327" s="55" t="s">
        <v>1105</v>
      </c>
      <c r="U2327" s="73" t="s">
        <v>351</v>
      </c>
      <c r="V2327" s="74">
        <v>44502</v>
      </c>
      <c r="W2327" s="74">
        <v>44533</v>
      </c>
      <c r="X2327" s="55">
        <v>10187552</v>
      </c>
      <c r="Y2327" s="55" t="s">
        <v>130</v>
      </c>
      <c r="AB2327" s="55" t="s">
        <v>130</v>
      </c>
      <c r="AC2327" s="55" t="s">
        <v>130</v>
      </c>
    </row>
    <row r="2328" spans="1:29" ht="13" x14ac:dyDescent="0.15">
      <c r="A2328" s="72" t="str">
        <f t="shared" si="36"/>
        <v>Ofsted Social Care Provider Webpage</v>
      </c>
      <c r="B2328" s="55" t="s">
        <v>4241</v>
      </c>
      <c r="D2328" s="55" t="s">
        <v>468</v>
      </c>
      <c r="E2328" s="74">
        <v>37844</v>
      </c>
      <c r="F2328" s="55" t="s">
        <v>344</v>
      </c>
      <c r="G2328" s="55" t="s">
        <v>4242</v>
      </c>
      <c r="H2328" s="55" t="s">
        <v>4243</v>
      </c>
      <c r="I2328" s="55" t="s">
        <v>4244</v>
      </c>
      <c r="J2328" s="55" t="s">
        <v>2578</v>
      </c>
      <c r="L2328" s="55" t="s">
        <v>4245</v>
      </c>
      <c r="M2328" s="55" t="s">
        <v>129</v>
      </c>
      <c r="N2328" s="55" t="s">
        <v>129</v>
      </c>
      <c r="O2328" s="55" t="s">
        <v>260</v>
      </c>
      <c r="P2328" s="55" t="s">
        <v>4246</v>
      </c>
      <c r="Q2328" s="55" t="s">
        <v>362</v>
      </c>
      <c r="R2328" s="55"/>
      <c r="S2328" s="74"/>
      <c r="T2328" s="55" t="s">
        <v>367</v>
      </c>
      <c r="U2328" s="73" t="s">
        <v>351</v>
      </c>
      <c r="V2328" s="74">
        <v>42527</v>
      </c>
      <c r="W2328" s="74">
        <v>42552</v>
      </c>
      <c r="X2328" s="55">
        <v>10010550</v>
      </c>
      <c r="Y2328" s="55" t="s">
        <v>132</v>
      </c>
      <c r="AB2328" s="55" t="s">
        <v>132</v>
      </c>
      <c r="AC2328" s="55" t="s">
        <v>132</v>
      </c>
    </row>
    <row r="2329" spans="1:29" ht="13" x14ac:dyDescent="0.15">
      <c r="A2329" s="72" t="str">
        <f t="shared" si="36"/>
        <v>Ofsted Social Care Provider Webpage</v>
      </c>
      <c r="B2329" s="55" t="s">
        <v>4247</v>
      </c>
      <c r="D2329" s="55" t="s">
        <v>468</v>
      </c>
      <c r="E2329" s="74">
        <v>37844</v>
      </c>
      <c r="F2329" s="55" t="s">
        <v>344</v>
      </c>
      <c r="G2329" s="55" t="s">
        <v>4248</v>
      </c>
      <c r="H2329" s="55" t="s">
        <v>3015</v>
      </c>
      <c r="I2329" s="55" t="s">
        <v>3016</v>
      </c>
      <c r="J2329" s="55" t="s">
        <v>3017</v>
      </c>
      <c r="L2329" s="55" t="s">
        <v>3018</v>
      </c>
      <c r="M2329" s="55" t="s">
        <v>136</v>
      </c>
      <c r="N2329" s="55" t="s">
        <v>136</v>
      </c>
      <c r="O2329" s="55" t="s">
        <v>154</v>
      </c>
      <c r="P2329" s="55" t="s">
        <v>1818</v>
      </c>
      <c r="Q2329" s="55" t="s">
        <v>362</v>
      </c>
      <c r="R2329" s="55"/>
      <c r="S2329" s="74"/>
      <c r="T2329" s="55" t="s">
        <v>367</v>
      </c>
      <c r="U2329" s="73" t="s">
        <v>351</v>
      </c>
      <c r="V2329" s="74">
        <v>42685</v>
      </c>
      <c r="W2329" s="74">
        <v>42751</v>
      </c>
      <c r="X2329" s="55">
        <v>10011352</v>
      </c>
      <c r="Y2329" s="55" t="s">
        <v>132</v>
      </c>
      <c r="AB2329" s="55" t="s">
        <v>132</v>
      </c>
      <c r="AC2329" s="55" t="s">
        <v>132</v>
      </c>
    </row>
    <row r="2330" spans="1:29" ht="13" x14ac:dyDescent="0.15">
      <c r="A2330" s="72" t="str">
        <f t="shared" si="36"/>
        <v>Ofsted Social Care Provider Webpage</v>
      </c>
      <c r="B2330" s="55" t="s">
        <v>4249</v>
      </c>
      <c r="D2330" s="55" t="s">
        <v>468</v>
      </c>
      <c r="E2330" s="74">
        <v>37844</v>
      </c>
      <c r="F2330" s="55" t="s">
        <v>344</v>
      </c>
      <c r="G2330" s="55" t="s">
        <v>4250</v>
      </c>
      <c r="H2330" s="55" t="s">
        <v>2593</v>
      </c>
      <c r="I2330" s="55" t="s">
        <v>4251</v>
      </c>
      <c r="J2330" s="55" t="s">
        <v>4252</v>
      </c>
      <c r="K2330" s="55" t="s">
        <v>3368</v>
      </c>
      <c r="L2330" s="55" t="s">
        <v>3923</v>
      </c>
      <c r="M2330" s="55" t="s">
        <v>378</v>
      </c>
      <c r="N2330" s="55" t="s">
        <v>170</v>
      </c>
      <c r="O2330" s="55" t="s">
        <v>178</v>
      </c>
      <c r="P2330" s="55" t="s">
        <v>905</v>
      </c>
      <c r="Q2330" s="55" t="s">
        <v>362</v>
      </c>
      <c r="R2330" s="55"/>
      <c r="S2330" s="74"/>
      <c r="T2330" s="55" t="s">
        <v>1884</v>
      </c>
      <c r="U2330" s="73" t="s">
        <v>351</v>
      </c>
      <c r="V2330" s="74">
        <v>42436</v>
      </c>
      <c r="W2330" s="74">
        <v>42475</v>
      </c>
      <c r="X2330" s="55">
        <v>2458272</v>
      </c>
      <c r="Y2330" s="55" t="s">
        <v>140</v>
      </c>
      <c r="AB2330" s="55" t="s">
        <v>132</v>
      </c>
      <c r="AC2330" s="55" t="s">
        <v>140</v>
      </c>
    </row>
    <row r="2331" spans="1:29" ht="13" x14ac:dyDescent="0.15">
      <c r="A2331" s="72" t="str">
        <f t="shared" si="36"/>
        <v>Ofsted Social Care Provider Webpage</v>
      </c>
      <c r="B2331" s="55" t="s">
        <v>4253</v>
      </c>
      <c r="D2331" s="55" t="s">
        <v>468</v>
      </c>
      <c r="E2331" s="74">
        <v>37844</v>
      </c>
      <c r="F2331" s="55" t="s">
        <v>344</v>
      </c>
      <c r="G2331" s="55" t="s">
        <v>4254</v>
      </c>
      <c r="H2331" s="55" t="s">
        <v>4255</v>
      </c>
      <c r="I2331" s="55" t="s">
        <v>4256</v>
      </c>
      <c r="J2331" s="55" t="s">
        <v>210</v>
      </c>
      <c r="K2331" s="55" t="s">
        <v>2374</v>
      </c>
      <c r="L2331" s="55" t="s">
        <v>4257</v>
      </c>
      <c r="M2331" s="55" t="s">
        <v>378</v>
      </c>
      <c r="N2331" s="55" t="s">
        <v>134</v>
      </c>
      <c r="O2331" s="55" t="s">
        <v>210</v>
      </c>
      <c r="P2331" s="55" t="s">
        <v>1250</v>
      </c>
      <c r="Q2331" s="55" t="s">
        <v>362</v>
      </c>
      <c r="R2331" s="55"/>
      <c r="S2331" s="74"/>
      <c r="T2331" s="55" t="s">
        <v>1884</v>
      </c>
      <c r="U2331" s="73" t="s">
        <v>351</v>
      </c>
      <c r="V2331" s="74">
        <v>42422</v>
      </c>
      <c r="W2331" s="74">
        <v>42460</v>
      </c>
      <c r="X2331" s="55">
        <v>2458269</v>
      </c>
      <c r="Y2331" s="55" t="s">
        <v>132</v>
      </c>
      <c r="AB2331" s="55" t="s">
        <v>132</v>
      </c>
      <c r="AC2331" s="55" t="s">
        <v>132</v>
      </c>
    </row>
    <row r="2332" spans="1:29" ht="13" x14ac:dyDescent="0.15">
      <c r="A2332" s="72" t="str">
        <f t="shared" si="36"/>
        <v>Ofsted Social Care Provider Webpage</v>
      </c>
      <c r="B2332" s="55" t="s">
        <v>4258</v>
      </c>
      <c r="D2332" s="55" t="s">
        <v>468</v>
      </c>
      <c r="E2332" s="74">
        <v>37844</v>
      </c>
      <c r="F2332" s="55" t="s">
        <v>344</v>
      </c>
      <c r="G2332" s="55" t="s">
        <v>4259</v>
      </c>
      <c r="H2332" s="55" t="s">
        <v>2593</v>
      </c>
      <c r="I2332" s="55" t="s">
        <v>4260</v>
      </c>
      <c r="J2332" s="55" t="s">
        <v>2770</v>
      </c>
      <c r="L2332" s="55" t="s">
        <v>4261</v>
      </c>
      <c r="M2332" s="55" t="s">
        <v>138</v>
      </c>
      <c r="N2332" s="55" t="s">
        <v>138</v>
      </c>
      <c r="O2332" s="55" t="s">
        <v>183</v>
      </c>
      <c r="P2332" s="55" t="s">
        <v>508</v>
      </c>
      <c r="Q2332" s="55" t="s">
        <v>362</v>
      </c>
      <c r="R2332" s="55"/>
      <c r="S2332" s="74"/>
      <c r="T2332" s="55" t="s">
        <v>1884</v>
      </c>
      <c r="U2332" s="73" t="s">
        <v>351</v>
      </c>
      <c r="V2332" s="74">
        <v>43157</v>
      </c>
      <c r="W2332" s="74">
        <v>43221</v>
      </c>
      <c r="X2332" s="55">
        <v>10010806</v>
      </c>
      <c r="Y2332" s="55" t="s">
        <v>132</v>
      </c>
      <c r="AB2332" s="55" t="s">
        <v>132</v>
      </c>
      <c r="AC2332" s="55" t="s">
        <v>130</v>
      </c>
    </row>
    <row r="2333" spans="1:29" ht="13" x14ac:dyDescent="0.15">
      <c r="A2333" s="72" t="str">
        <f t="shared" si="36"/>
        <v>Ofsted Social Care Provider Webpage</v>
      </c>
      <c r="B2333" s="55" t="s">
        <v>4262</v>
      </c>
      <c r="D2333" s="55" t="s">
        <v>468</v>
      </c>
      <c r="E2333" s="74">
        <v>37844</v>
      </c>
      <c r="F2333" s="55" t="s">
        <v>344</v>
      </c>
      <c r="G2333" s="55" t="s">
        <v>4263</v>
      </c>
      <c r="H2333" s="55" t="s">
        <v>4264</v>
      </c>
      <c r="I2333" s="55" t="s">
        <v>4265</v>
      </c>
      <c r="J2333" s="55" t="s">
        <v>129</v>
      </c>
      <c r="L2333" s="55" t="s">
        <v>4266</v>
      </c>
      <c r="M2333" s="55" t="s">
        <v>129</v>
      </c>
      <c r="N2333" s="55" t="s">
        <v>129</v>
      </c>
      <c r="O2333" s="55" t="s">
        <v>223</v>
      </c>
      <c r="P2333" s="55" t="s">
        <v>712</v>
      </c>
      <c r="Q2333" s="55" t="s">
        <v>362</v>
      </c>
      <c r="R2333" s="55"/>
      <c r="S2333" s="74"/>
      <c r="T2333" s="55" t="s">
        <v>1884</v>
      </c>
      <c r="U2333" s="73" t="s">
        <v>351</v>
      </c>
      <c r="V2333" s="74">
        <v>42352</v>
      </c>
      <c r="W2333" s="74">
        <v>42395</v>
      </c>
      <c r="X2333" s="55">
        <v>2459053</v>
      </c>
      <c r="Y2333" s="55" t="s">
        <v>140</v>
      </c>
      <c r="AB2333" s="55" t="s">
        <v>132</v>
      </c>
      <c r="AC2333" s="55" t="s">
        <v>132</v>
      </c>
    </row>
    <row r="2334" spans="1:29" ht="13" x14ac:dyDescent="0.15">
      <c r="A2334" s="72" t="str">
        <f t="shared" si="36"/>
        <v>Ofsted Social Care Provider Webpage</v>
      </c>
      <c r="B2334" s="55" t="s">
        <v>4267</v>
      </c>
      <c r="D2334" s="55" t="s">
        <v>373</v>
      </c>
      <c r="E2334" s="74">
        <v>38008</v>
      </c>
      <c r="F2334" s="55" t="s">
        <v>344</v>
      </c>
      <c r="G2334" s="55" t="s">
        <v>360</v>
      </c>
      <c r="H2334" s="55" t="s">
        <v>360</v>
      </c>
      <c r="I2334" s="55" t="s">
        <v>360</v>
      </c>
      <c r="J2334" s="55" t="s">
        <v>360</v>
      </c>
      <c r="K2334" s="55" t="s">
        <v>360</v>
      </c>
      <c r="L2334" s="55" t="s">
        <v>360</v>
      </c>
      <c r="M2334" s="55" t="s">
        <v>144</v>
      </c>
      <c r="N2334" s="55" t="s">
        <v>144</v>
      </c>
      <c r="O2334" s="55" t="s">
        <v>287</v>
      </c>
      <c r="P2334" s="55" t="s">
        <v>1103</v>
      </c>
      <c r="Q2334" s="55" t="s">
        <v>380</v>
      </c>
      <c r="R2334" s="55">
        <v>4</v>
      </c>
      <c r="S2334" s="74" t="s">
        <v>332</v>
      </c>
      <c r="T2334" s="55" t="s">
        <v>882</v>
      </c>
      <c r="U2334" s="73" t="s">
        <v>351</v>
      </c>
      <c r="V2334" s="74">
        <v>43033</v>
      </c>
      <c r="W2334" s="74">
        <v>43063</v>
      </c>
      <c r="X2334" s="55">
        <v>10039017</v>
      </c>
      <c r="Y2334" s="55" t="s">
        <v>146</v>
      </c>
      <c r="AB2334" s="55" t="s">
        <v>146</v>
      </c>
      <c r="AC2334" s="55" t="s">
        <v>146</v>
      </c>
    </row>
    <row r="2335" spans="1:29" ht="13" x14ac:dyDescent="0.15">
      <c r="A2335" s="72" t="str">
        <f t="shared" si="36"/>
        <v>Ofsted Social Care Provider Webpage</v>
      </c>
      <c r="B2335" s="55" t="s">
        <v>4268</v>
      </c>
      <c r="D2335" s="55" t="s">
        <v>451</v>
      </c>
      <c r="E2335" s="74">
        <v>37970</v>
      </c>
      <c r="F2335" s="55" t="s">
        <v>344</v>
      </c>
      <c r="G2335" s="55" t="s">
        <v>4269</v>
      </c>
      <c r="H2335" s="55" t="s">
        <v>4270</v>
      </c>
      <c r="I2335" s="55" t="s">
        <v>354</v>
      </c>
      <c r="J2335" s="55" t="s">
        <v>3188</v>
      </c>
      <c r="K2335" s="55" t="s">
        <v>293</v>
      </c>
      <c r="L2335" s="55" t="s">
        <v>4271</v>
      </c>
      <c r="M2335" s="55" t="s">
        <v>142</v>
      </c>
      <c r="N2335" s="55" t="s">
        <v>142</v>
      </c>
      <c r="O2335" s="55" t="s">
        <v>293</v>
      </c>
      <c r="P2335" s="55" t="s">
        <v>984</v>
      </c>
      <c r="Q2335" s="55" t="s">
        <v>350</v>
      </c>
      <c r="R2335" s="55">
        <v>8</v>
      </c>
      <c r="S2335" s="74"/>
      <c r="T2335" s="55" t="s">
        <v>1423</v>
      </c>
      <c r="U2335" s="73" t="s">
        <v>351</v>
      </c>
      <c r="V2335" s="74">
        <v>44544</v>
      </c>
      <c r="W2335" s="74">
        <v>44595</v>
      </c>
      <c r="X2335" s="55">
        <v>10183452</v>
      </c>
      <c r="Y2335" s="55" t="s">
        <v>132</v>
      </c>
      <c r="AB2335" s="55" t="s">
        <v>132</v>
      </c>
      <c r="AC2335" s="55" t="s">
        <v>132</v>
      </c>
    </row>
    <row r="2336" spans="1:29" ht="13" x14ac:dyDescent="0.15">
      <c r="A2336" s="72" t="str">
        <f t="shared" si="36"/>
        <v>Ofsted Social Care Provider Webpage</v>
      </c>
      <c r="B2336" s="55" t="s">
        <v>4272</v>
      </c>
      <c r="D2336" s="55" t="s">
        <v>373</v>
      </c>
      <c r="E2336" s="74">
        <v>37881</v>
      </c>
      <c r="F2336" s="55" t="s">
        <v>344</v>
      </c>
      <c r="G2336" s="55" t="s">
        <v>360</v>
      </c>
      <c r="H2336" s="55" t="s">
        <v>360</v>
      </c>
      <c r="I2336" s="55" t="s">
        <v>360</v>
      </c>
      <c r="J2336" s="55" t="s">
        <v>360</v>
      </c>
      <c r="K2336" s="55" t="s">
        <v>360</v>
      </c>
      <c r="L2336" s="55" t="s">
        <v>360</v>
      </c>
      <c r="M2336" s="55" t="s">
        <v>144</v>
      </c>
      <c r="N2336" s="55" t="s">
        <v>144</v>
      </c>
      <c r="O2336" s="55" t="s">
        <v>250</v>
      </c>
      <c r="P2336" s="55" t="s">
        <v>759</v>
      </c>
      <c r="Q2336" s="55" t="s">
        <v>350</v>
      </c>
      <c r="R2336" s="55">
        <v>2</v>
      </c>
      <c r="S2336" s="74"/>
      <c r="T2336" s="55" t="s">
        <v>1600</v>
      </c>
      <c r="U2336" s="73" t="s">
        <v>351</v>
      </c>
      <c r="V2336" s="74">
        <v>44621</v>
      </c>
      <c r="W2336" s="74">
        <v>44659</v>
      </c>
      <c r="X2336" s="55">
        <v>10186221</v>
      </c>
      <c r="Y2336" s="55" t="s">
        <v>130</v>
      </c>
      <c r="AB2336" s="55" t="s">
        <v>130</v>
      </c>
      <c r="AC2336" s="55" t="s">
        <v>130</v>
      </c>
    </row>
    <row r="2337" spans="1:29" ht="13" x14ac:dyDescent="0.15">
      <c r="A2337" s="72" t="str">
        <f t="shared" si="36"/>
        <v>Ofsted Social Care Provider Webpage</v>
      </c>
      <c r="B2337" s="55" t="s">
        <v>4273</v>
      </c>
      <c r="D2337" s="55" t="s">
        <v>373</v>
      </c>
      <c r="E2337" s="74">
        <v>38064</v>
      </c>
      <c r="F2337" s="55" t="s">
        <v>344</v>
      </c>
      <c r="G2337" s="55" t="s">
        <v>360</v>
      </c>
      <c r="H2337" s="55" t="s">
        <v>360</v>
      </c>
      <c r="I2337" s="55" t="s">
        <v>360</v>
      </c>
      <c r="J2337" s="55" t="s">
        <v>360</v>
      </c>
      <c r="K2337" s="55" t="s">
        <v>360</v>
      </c>
      <c r="L2337" s="55" t="s">
        <v>360</v>
      </c>
      <c r="M2337" s="55" t="s">
        <v>138</v>
      </c>
      <c r="N2337" s="55" t="s">
        <v>138</v>
      </c>
      <c r="O2337" s="55" t="s">
        <v>259</v>
      </c>
      <c r="P2337" s="55" t="s">
        <v>637</v>
      </c>
      <c r="Q2337" s="55" t="s">
        <v>362</v>
      </c>
      <c r="R2337" s="55">
        <v>6</v>
      </c>
      <c r="S2337" s="74" t="s">
        <v>332</v>
      </c>
      <c r="T2337" s="55" t="s">
        <v>4274</v>
      </c>
      <c r="U2337" s="73" t="s">
        <v>351</v>
      </c>
      <c r="V2337" s="74">
        <v>44586</v>
      </c>
      <c r="W2337" s="74">
        <v>44615</v>
      </c>
      <c r="X2337" s="55">
        <v>10185479</v>
      </c>
      <c r="Y2337" s="55" t="s">
        <v>132</v>
      </c>
      <c r="AB2337" s="55" t="s">
        <v>132</v>
      </c>
      <c r="AC2337" s="55" t="s">
        <v>132</v>
      </c>
    </row>
    <row r="2338" spans="1:29" ht="13" x14ac:dyDescent="0.15">
      <c r="A2338" s="72" t="str">
        <f t="shared" si="36"/>
        <v>Ofsted Social Care Provider Webpage</v>
      </c>
      <c r="B2338" s="55" t="s">
        <v>4275</v>
      </c>
      <c r="D2338" s="55" t="s">
        <v>451</v>
      </c>
      <c r="E2338" s="74">
        <v>38323</v>
      </c>
      <c r="F2338" s="55" t="s">
        <v>344</v>
      </c>
      <c r="G2338" s="55" t="s">
        <v>4121</v>
      </c>
      <c r="H2338" s="55" t="s">
        <v>4276</v>
      </c>
      <c r="I2338" s="55" t="s">
        <v>354</v>
      </c>
      <c r="J2338" s="55" t="s">
        <v>4277</v>
      </c>
      <c r="K2338" s="55" t="s">
        <v>268</v>
      </c>
      <c r="L2338" s="55" t="s">
        <v>4278</v>
      </c>
      <c r="M2338" s="55" t="s">
        <v>129</v>
      </c>
      <c r="N2338" s="55" t="s">
        <v>129</v>
      </c>
      <c r="O2338" s="55" t="s">
        <v>167</v>
      </c>
      <c r="P2338" s="55" t="s">
        <v>2239</v>
      </c>
      <c r="Q2338" s="55" t="s">
        <v>350</v>
      </c>
      <c r="R2338" s="55">
        <v>9</v>
      </c>
      <c r="S2338" s="74"/>
      <c r="T2338" s="55" t="s">
        <v>4125</v>
      </c>
      <c r="U2338" s="73" t="s">
        <v>351</v>
      </c>
      <c r="V2338" s="74">
        <v>44531</v>
      </c>
      <c r="W2338" s="74">
        <v>44587</v>
      </c>
      <c r="X2338" s="55">
        <v>10183443</v>
      </c>
      <c r="Y2338" s="55" t="s">
        <v>130</v>
      </c>
      <c r="AB2338" s="55" t="s">
        <v>132</v>
      </c>
      <c r="AC2338" s="55" t="s">
        <v>130</v>
      </c>
    </row>
    <row r="2339" spans="1:29" ht="13" x14ac:dyDescent="0.15">
      <c r="A2339" s="72" t="str">
        <f t="shared" si="36"/>
        <v>Ofsted Social Care Provider Webpage</v>
      </c>
      <c r="B2339" s="55" t="s">
        <v>4279</v>
      </c>
      <c r="D2339" s="55" t="s">
        <v>373</v>
      </c>
      <c r="E2339" s="74">
        <v>38072</v>
      </c>
      <c r="F2339" s="55" t="s">
        <v>344</v>
      </c>
      <c r="G2339" s="55" t="s">
        <v>360</v>
      </c>
      <c r="H2339" s="55" t="s">
        <v>360</v>
      </c>
      <c r="I2339" s="55" t="s">
        <v>360</v>
      </c>
      <c r="J2339" s="55" t="s">
        <v>360</v>
      </c>
      <c r="K2339" s="55" t="s">
        <v>360</v>
      </c>
      <c r="L2339" s="55" t="s">
        <v>360</v>
      </c>
      <c r="M2339" s="55" t="s">
        <v>150</v>
      </c>
      <c r="N2339" s="55" t="s">
        <v>150</v>
      </c>
      <c r="O2339" s="55" t="s">
        <v>221</v>
      </c>
      <c r="P2339" s="55" t="s">
        <v>349</v>
      </c>
      <c r="Q2339" s="55" t="s">
        <v>380</v>
      </c>
      <c r="R2339" s="55">
        <v>10</v>
      </c>
      <c r="S2339" s="74" t="s">
        <v>332</v>
      </c>
      <c r="T2339" s="55" t="s">
        <v>4280</v>
      </c>
      <c r="U2339" s="73" t="s">
        <v>351</v>
      </c>
      <c r="V2339" s="74">
        <v>44571</v>
      </c>
      <c r="W2339" s="74">
        <v>44623</v>
      </c>
      <c r="X2339" s="55">
        <v>10185815</v>
      </c>
      <c r="Y2339" s="55" t="s">
        <v>132</v>
      </c>
      <c r="AB2339" s="55" t="s">
        <v>132</v>
      </c>
      <c r="AC2339" s="55" t="s">
        <v>132</v>
      </c>
    </row>
    <row r="2340" spans="1:29" ht="13" x14ac:dyDescent="0.15">
      <c r="A2340" s="72" t="str">
        <f t="shared" si="36"/>
        <v>Ofsted Social Care Provider Webpage</v>
      </c>
      <c r="B2340" s="55" t="s">
        <v>4281</v>
      </c>
      <c r="D2340" s="55" t="s">
        <v>373</v>
      </c>
      <c r="E2340" s="74">
        <v>37945</v>
      </c>
      <c r="F2340" s="55" t="s">
        <v>344</v>
      </c>
      <c r="G2340" s="55" t="s">
        <v>360</v>
      </c>
      <c r="H2340" s="55" t="s">
        <v>360</v>
      </c>
      <c r="I2340" s="55" t="s">
        <v>360</v>
      </c>
      <c r="J2340" s="55" t="s">
        <v>360</v>
      </c>
      <c r="K2340" s="55" t="s">
        <v>360</v>
      </c>
      <c r="L2340" s="55" t="s">
        <v>360</v>
      </c>
      <c r="M2340" s="55" t="s">
        <v>144</v>
      </c>
      <c r="N2340" s="55" t="s">
        <v>144</v>
      </c>
      <c r="O2340" s="55" t="s">
        <v>207</v>
      </c>
      <c r="P2340" s="55" t="s">
        <v>207</v>
      </c>
      <c r="Q2340" s="55" t="s">
        <v>350</v>
      </c>
      <c r="R2340" s="55">
        <v>5</v>
      </c>
      <c r="S2340" s="74"/>
      <c r="T2340" s="55" t="s">
        <v>2947</v>
      </c>
      <c r="U2340" s="73" t="s">
        <v>351</v>
      </c>
      <c r="V2340" s="74">
        <v>44312</v>
      </c>
      <c r="W2340" s="74">
        <v>44342</v>
      </c>
      <c r="X2340" s="55">
        <v>10187475</v>
      </c>
      <c r="Y2340" s="55" t="s">
        <v>132</v>
      </c>
      <c r="AB2340" s="55" t="s">
        <v>132</v>
      </c>
      <c r="AC2340" s="55" t="s">
        <v>132</v>
      </c>
    </row>
    <row r="2341" spans="1:29" ht="13" x14ac:dyDescent="0.15">
      <c r="A2341" s="72" t="str">
        <f t="shared" si="36"/>
        <v>Ofsted Social Care Provider Webpage</v>
      </c>
      <c r="B2341" s="55" t="s">
        <v>4282</v>
      </c>
      <c r="D2341" s="55" t="s">
        <v>373</v>
      </c>
      <c r="E2341" s="74">
        <v>37963</v>
      </c>
      <c r="F2341" s="55" t="s">
        <v>344</v>
      </c>
      <c r="G2341" s="55" t="s">
        <v>360</v>
      </c>
      <c r="H2341" s="55" t="s">
        <v>360</v>
      </c>
      <c r="I2341" s="55" t="s">
        <v>360</v>
      </c>
      <c r="J2341" s="55" t="s">
        <v>360</v>
      </c>
      <c r="K2341" s="55" t="s">
        <v>360</v>
      </c>
      <c r="L2341" s="55" t="s">
        <v>360</v>
      </c>
      <c r="M2341" s="55" t="s">
        <v>129</v>
      </c>
      <c r="N2341" s="55" t="s">
        <v>129</v>
      </c>
      <c r="O2341" s="55" t="s">
        <v>242</v>
      </c>
      <c r="P2341" s="55" t="s">
        <v>1192</v>
      </c>
      <c r="Q2341" s="55" t="s">
        <v>350</v>
      </c>
      <c r="R2341" s="55">
        <v>5</v>
      </c>
      <c r="S2341" s="74"/>
      <c r="T2341" s="55" t="s">
        <v>4283</v>
      </c>
      <c r="U2341" s="73" t="s">
        <v>351</v>
      </c>
      <c r="V2341" s="74">
        <v>44614</v>
      </c>
      <c r="W2341" s="74">
        <v>44665</v>
      </c>
      <c r="X2341" s="55">
        <v>10185409</v>
      </c>
      <c r="Y2341" s="55" t="s">
        <v>132</v>
      </c>
      <c r="AB2341" s="55" t="s">
        <v>132</v>
      </c>
      <c r="AC2341" s="55" t="s">
        <v>132</v>
      </c>
    </row>
    <row r="2342" spans="1:29" ht="13" x14ac:dyDescent="0.15">
      <c r="A2342" s="72" t="str">
        <f t="shared" si="36"/>
        <v>Ofsted Social Care Provider Webpage</v>
      </c>
      <c r="B2342" s="55" t="s">
        <v>4284</v>
      </c>
      <c r="D2342" s="55" t="s">
        <v>373</v>
      </c>
      <c r="E2342" s="74">
        <v>37896</v>
      </c>
      <c r="F2342" s="55" t="s">
        <v>344</v>
      </c>
      <c r="G2342" s="55" t="s">
        <v>360</v>
      </c>
      <c r="H2342" s="55" t="s">
        <v>360</v>
      </c>
      <c r="I2342" s="55" t="s">
        <v>360</v>
      </c>
      <c r="J2342" s="55" t="s">
        <v>360</v>
      </c>
      <c r="K2342" s="55" t="s">
        <v>360</v>
      </c>
      <c r="L2342" s="55" t="s">
        <v>360</v>
      </c>
      <c r="M2342" s="55" t="s">
        <v>144</v>
      </c>
      <c r="N2342" s="55" t="s">
        <v>144</v>
      </c>
      <c r="O2342" s="55" t="s">
        <v>209</v>
      </c>
      <c r="P2342" s="55" t="s">
        <v>364</v>
      </c>
      <c r="Q2342" s="55" t="s">
        <v>350</v>
      </c>
      <c r="R2342" s="55">
        <v>3</v>
      </c>
      <c r="S2342" s="74"/>
      <c r="T2342" s="55" t="s">
        <v>2574</v>
      </c>
      <c r="U2342" s="73" t="s">
        <v>351</v>
      </c>
      <c r="V2342" s="74">
        <v>44385</v>
      </c>
      <c r="W2342" s="74">
        <v>44428</v>
      </c>
      <c r="X2342" s="55">
        <v>10185290</v>
      </c>
      <c r="Y2342" s="55" t="s">
        <v>132</v>
      </c>
      <c r="AB2342" s="55" t="s">
        <v>132</v>
      </c>
      <c r="AC2342" s="55" t="s">
        <v>132</v>
      </c>
    </row>
    <row r="2343" spans="1:29" ht="13" x14ac:dyDescent="0.15">
      <c r="A2343" s="72" t="str">
        <f t="shared" si="36"/>
        <v>Ofsted Social Care Provider Webpage</v>
      </c>
      <c r="B2343" s="55" t="s">
        <v>4285</v>
      </c>
      <c r="C2343" s="55">
        <v>147132</v>
      </c>
      <c r="D2343" s="55" t="s">
        <v>413</v>
      </c>
      <c r="E2343" s="74">
        <v>37865</v>
      </c>
      <c r="F2343" s="55" t="s">
        <v>344</v>
      </c>
      <c r="G2343" s="55" t="s">
        <v>4286</v>
      </c>
      <c r="H2343" s="55" t="s">
        <v>4287</v>
      </c>
      <c r="I2343" s="55" t="s">
        <v>4288</v>
      </c>
      <c r="J2343" s="55" t="s">
        <v>2397</v>
      </c>
      <c r="L2343" s="55" t="s">
        <v>4289</v>
      </c>
      <c r="M2343" s="55" t="s">
        <v>172</v>
      </c>
      <c r="N2343" s="55" t="s">
        <v>172</v>
      </c>
      <c r="O2343" s="55" t="s">
        <v>171</v>
      </c>
      <c r="P2343" s="55" t="s">
        <v>895</v>
      </c>
      <c r="Q2343" s="55" t="s">
        <v>380</v>
      </c>
      <c r="R2343" s="55">
        <v>12</v>
      </c>
      <c r="S2343" s="74"/>
      <c r="T2343" s="55" t="s">
        <v>3360</v>
      </c>
      <c r="U2343" s="73" t="s">
        <v>351</v>
      </c>
      <c r="V2343" s="74">
        <v>44341</v>
      </c>
      <c r="W2343" s="74">
        <v>44377</v>
      </c>
      <c r="X2343" s="55">
        <v>10183487</v>
      </c>
      <c r="Y2343" s="55" t="s">
        <v>132</v>
      </c>
      <c r="AB2343" s="55" t="s">
        <v>132</v>
      </c>
      <c r="AC2343" s="55" t="s">
        <v>140</v>
      </c>
    </row>
    <row r="2344" spans="1:29" ht="13" x14ac:dyDescent="0.15">
      <c r="A2344" s="72" t="str">
        <f t="shared" si="36"/>
        <v>Ofsted Social Care Provider Webpage</v>
      </c>
      <c r="B2344" s="55" t="s">
        <v>4290</v>
      </c>
      <c r="D2344" s="55" t="s">
        <v>373</v>
      </c>
      <c r="E2344" s="74">
        <v>37973</v>
      </c>
      <c r="F2344" s="55" t="s">
        <v>344</v>
      </c>
      <c r="G2344" s="55" t="s">
        <v>360</v>
      </c>
      <c r="H2344" s="55" t="s">
        <v>360</v>
      </c>
      <c r="I2344" s="55" t="s">
        <v>360</v>
      </c>
      <c r="J2344" s="55" t="s">
        <v>360</v>
      </c>
      <c r="K2344" s="55" t="s">
        <v>360</v>
      </c>
      <c r="L2344" s="55" t="s">
        <v>360</v>
      </c>
      <c r="M2344" s="55" t="s">
        <v>138</v>
      </c>
      <c r="N2344" s="55" t="s">
        <v>138</v>
      </c>
      <c r="O2344" s="55" t="s">
        <v>238</v>
      </c>
      <c r="P2344" s="55" t="s">
        <v>238</v>
      </c>
      <c r="Q2344" s="55" t="s">
        <v>350</v>
      </c>
      <c r="R2344" s="55">
        <v>8</v>
      </c>
      <c r="S2344" s="74"/>
      <c r="T2344" s="55" t="s">
        <v>1899</v>
      </c>
      <c r="U2344" s="73" t="s">
        <v>351</v>
      </c>
      <c r="V2344" s="74">
        <v>44334</v>
      </c>
      <c r="W2344" s="74">
        <v>44363</v>
      </c>
      <c r="X2344" s="55">
        <v>10187360</v>
      </c>
      <c r="Y2344" s="55" t="s">
        <v>130</v>
      </c>
      <c r="AB2344" s="55" t="s">
        <v>130</v>
      </c>
      <c r="AC2344" s="55" t="s">
        <v>146</v>
      </c>
    </row>
    <row r="2345" spans="1:29" ht="13" x14ac:dyDescent="0.15">
      <c r="A2345" s="72" t="str">
        <f t="shared" si="36"/>
        <v>Ofsted Social Care Provider Webpage</v>
      </c>
      <c r="B2345" s="55" t="s">
        <v>4291</v>
      </c>
      <c r="D2345" s="55" t="s">
        <v>389</v>
      </c>
      <c r="E2345" s="74">
        <v>37957</v>
      </c>
      <c r="F2345" s="55" t="s">
        <v>344</v>
      </c>
      <c r="G2345" s="55" t="s">
        <v>4292</v>
      </c>
      <c r="H2345" s="55" t="s">
        <v>4293</v>
      </c>
      <c r="I2345" s="55" t="s">
        <v>4294</v>
      </c>
      <c r="J2345" s="55" t="s">
        <v>2457</v>
      </c>
      <c r="L2345" s="55" t="s">
        <v>4295</v>
      </c>
      <c r="M2345" s="55" t="s">
        <v>172</v>
      </c>
      <c r="N2345" s="55" t="s">
        <v>172</v>
      </c>
      <c r="O2345" s="55" t="s">
        <v>212</v>
      </c>
      <c r="P2345" s="55" t="s">
        <v>883</v>
      </c>
      <c r="Q2345" s="55" t="s">
        <v>350</v>
      </c>
      <c r="R2345" s="55"/>
      <c r="S2345" s="74"/>
      <c r="T2345" s="55" t="s">
        <v>4296</v>
      </c>
      <c r="U2345" s="73" t="s">
        <v>351</v>
      </c>
      <c r="V2345" s="74">
        <v>44501</v>
      </c>
      <c r="W2345" s="74">
        <v>44547</v>
      </c>
      <c r="X2345" s="55">
        <v>10183340</v>
      </c>
      <c r="Y2345" s="55" t="s">
        <v>132</v>
      </c>
      <c r="AB2345" s="55" t="s">
        <v>132</v>
      </c>
      <c r="AC2345" s="55" t="s">
        <v>132</v>
      </c>
    </row>
    <row r="2346" spans="1:29" ht="13" x14ac:dyDescent="0.15">
      <c r="A2346" s="72" t="str">
        <f t="shared" si="36"/>
        <v>Ofsted Social Care Provider Webpage</v>
      </c>
      <c r="B2346" s="55" t="s">
        <v>4297</v>
      </c>
      <c r="C2346" s="55">
        <v>136449</v>
      </c>
      <c r="D2346" s="55" t="s">
        <v>398</v>
      </c>
      <c r="E2346" s="74">
        <v>37874</v>
      </c>
      <c r="F2346" s="55" t="s">
        <v>344</v>
      </c>
      <c r="G2346" s="55" t="s">
        <v>4298</v>
      </c>
      <c r="H2346" s="55" t="s">
        <v>4298</v>
      </c>
      <c r="I2346" s="55" t="s">
        <v>4299</v>
      </c>
      <c r="J2346" s="55" t="s">
        <v>4300</v>
      </c>
      <c r="L2346" s="55" t="s">
        <v>4301</v>
      </c>
      <c r="M2346" s="55" t="s">
        <v>150</v>
      </c>
      <c r="N2346" s="55" t="s">
        <v>150</v>
      </c>
      <c r="O2346" s="55" t="s">
        <v>241</v>
      </c>
      <c r="P2346" s="55" t="s">
        <v>486</v>
      </c>
      <c r="Q2346" s="55" t="s">
        <v>420</v>
      </c>
      <c r="R2346" s="55">
        <v>84</v>
      </c>
      <c r="S2346" s="74"/>
      <c r="T2346" s="55" t="s">
        <v>4298</v>
      </c>
      <c r="U2346" s="73" t="s">
        <v>351</v>
      </c>
      <c r="V2346" s="74">
        <v>43865</v>
      </c>
      <c r="W2346" s="74">
        <v>43895</v>
      </c>
      <c r="X2346" s="55">
        <v>10092963</v>
      </c>
      <c r="Y2346" s="55" t="s">
        <v>140</v>
      </c>
      <c r="AB2346" s="55" t="s">
        <v>140</v>
      </c>
      <c r="AC2346" s="55" t="s">
        <v>132</v>
      </c>
    </row>
    <row r="2347" spans="1:29" ht="13" x14ac:dyDescent="0.15">
      <c r="A2347" s="72" t="str">
        <f t="shared" si="36"/>
        <v>Ofsted Social Care Provider Webpage</v>
      </c>
      <c r="B2347" s="55" t="s">
        <v>4302</v>
      </c>
      <c r="D2347" s="55" t="s">
        <v>373</v>
      </c>
      <c r="E2347" s="74">
        <v>37958</v>
      </c>
      <c r="F2347" s="55" t="s">
        <v>344</v>
      </c>
      <c r="G2347" s="55" t="s">
        <v>360</v>
      </c>
      <c r="H2347" s="55" t="s">
        <v>360</v>
      </c>
      <c r="I2347" s="55" t="s">
        <v>360</v>
      </c>
      <c r="J2347" s="55" t="s">
        <v>360</v>
      </c>
      <c r="K2347" s="55" t="s">
        <v>360</v>
      </c>
      <c r="L2347" s="55" t="s">
        <v>360</v>
      </c>
      <c r="M2347" s="55" t="s">
        <v>150</v>
      </c>
      <c r="N2347" s="55" t="s">
        <v>150</v>
      </c>
      <c r="O2347" s="55" t="s">
        <v>291</v>
      </c>
      <c r="P2347" s="55" t="s">
        <v>291</v>
      </c>
      <c r="Q2347" s="55" t="s">
        <v>350</v>
      </c>
      <c r="R2347" s="55">
        <v>4</v>
      </c>
      <c r="S2347" s="74"/>
      <c r="T2347" s="55" t="s">
        <v>755</v>
      </c>
      <c r="U2347" s="73" t="s">
        <v>351</v>
      </c>
      <c r="V2347" s="74">
        <v>44377</v>
      </c>
      <c r="W2347" s="74">
        <v>44419</v>
      </c>
      <c r="X2347" s="55">
        <v>10187183</v>
      </c>
      <c r="Y2347" s="55" t="s">
        <v>140</v>
      </c>
      <c r="AB2347" s="55" t="s">
        <v>140</v>
      </c>
      <c r="AC2347" s="55" t="s">
        <v>140</v>
      </c>
    </row>
    <row r="2348" spans="1:29" ht="13" x14ac:dyDescent="0.15">
      <c r="A2348" s="72" t="str">
        <f t="shared" si="36"/>
        <v>Ofsted Social Care Provider Webpage</v>
      </c>
      <c r="B2348" s="55" t="s">
        <v>4303</v>
      </c>
      <c r="C2348" s="55">
        <v>108426</v>
      </c>
      <c r="D2348" s="55" t="s">
        <v>413</v>
      </c>
      <c r="E2348" s="74">
        <v>37879</v>
      </c>
      <c r="F2348" s="55" t="s">
        <v>344</v>
      </c>
      <c r="G2348" s="55" t="s">
        <v>4304</v>
      </c>
      <c r="H2348" s="55" t="s">
        <v>4305</v>
      </c>
      <c r="I2348" s="55" t="s">
        <v>4306</v>
      </c>
      <c r="J2348" s="55" t="s">
        <v>4307</v>
      </c>
      <c r="K2348" s="55" t="s">
        <v>3126</v>
      </c>
      <c r="L2348" s="55" t="s">
        <v>4308</v>
      </c>
      <c r="M2348" s="55" t="s">
        <v>378</v>
      </c>
      <c r="N2348" s="55" t="s">
        <v>170</v>
      </c>
      <c r="O2348" s="55" t="s">
        <v>184</v>
      </c>
      <c r="P2348" s="55" t="s">
        <v>184</v>
      </c>
      <c r="Q2348" s="55" t="s">
        <v>380</v>
      </c>
      <c r="R2348" s="55">
        <v>14</v>
      </c>
      <c r="S2348" s="74"/>
      <c r="T2348" s="55" t="s">
        <v>1711</v>
      </c>
      <c r="U2348" s="73" t="s">
        <v>351</v>
      </c>
      <c r="V2348" s="74">
        <v>43795</v>
      </c>
      <c r="W2348" s="74">
        <v>43836</v>
      </c>
      <c r="X2348" s="55">
        <v>10093200</v>
      </c>
      <c r="Y2348" s="55" t="s">
        <v>140</v>
      </c>
      <c r="AB2348" s="55" t="s">
        <v>140</v>
      </c>
      <c r="AC2348" s="55" t="s">
        <v>140</v>
      </c>
    </row>
    <row r="2349" spans="1:29" ht="13" x14ac:dyDescent="0.15">
      <c r="A2349" s="72" t="str">
        <f t="shared" si="36"/>
        <v>Ofsted Social Care Provider Webpage</v>
      </c>
      <c r="B2349" s="55" t="s">
        <v>4309</v>
      </c>
      <c r="C2349" s="55">
        <v>130555</v>
      </c>
      <c r="D2349" s="55" t="s">
        <v>693</v>
      </c>
      <c r="E2349" s="74">
        <v>37879</v>
      </c>
      <c r="F2349" s="55" t="s">
        <v>344</v>
      </c>
      <c r="G2349" s="55" t="s">
        <v>4310</v>
      </c>
      <c r="H2349" s="55" t="s">
        <v>4311</v>
      </c>
      <c r="I2349" s="55" t="s">
        <v>354</v>
      </c>
      <c r="J2349" s="55" t="s">
        <v>4312</v>
      </c>
      <c r="K2349" s="55" t="s">
        <v>3126</v>
      </c>
      <c r="L2349" s="55" t="s">
        <v>4313</v>
      </c>
      <c r="M2349" s="55" t="s">
        <v>378</v>
      </c>
      <c r="N2349" s="55" t="s">
        <v>170</v>
      </c>
      <c r="O2349" s="55" t="s">
        <v>257</v>
      </c>
      <c r="P2349" s="55" t="s">
        <v>1183</v>
      </c>
      <c r="Q2349" s="55" t="s">
        <v>380</v>
      </c>
      <c r="R2349" s="55">
        <v>19</v>
      </c>
      <c r="S2349" s="74"/>
      <c r="T2349" s="55" t="s">
        <v>1184</v>
      </c>
      <c r="U2349" s="73" t="s">
        <v>351</v>
      </c>
      <c r="V2349" s="74">
        <v>43235</v>
      </c>
      <c r="W2349" s="74">
        <v>43265</v>
      </c>
      <c r="X2349" s="55">
        <v>10046853</v>
      </c>
      <c r="Y2349" s="55" t="s">
        <v>140</v>
      </c>
      <c r="AB2349" s="55" t="s">
        <v>140</v>
      </c>
      <c r="AC2349" s="55" t="s">
        <v>140</v>
      </c>
    </row>
    <row r="2350" spans="1:29" ht="13" x14ac:dyDescent="0.15">
      <c r="A2350" s="72" t="str">
        <f t="shared" si="36"/>
        <v>Ofsted Social Care Provider Webpage</v>
      </c>
      <c r="B2350" s="55" t="s">
        <v>4314</v>
      </c>
      <c r="C2350" s="55">
        <v>136481</v>
      </c>
      <c r="D2350" s="55" t="s">
        <v>398</v>
      </c>
      <c r="E2350" s="74">
        <v>37888</v>
      </c>
      <c r="F2350" s="55" t="s">
        <v>344</v>
      </c>
      <c r="G2350" s="55" t="s">
        <v>4315</v>
      </c>
      <c r="H2350" s="55" t="s">
        <v>4315</v>
      </c>
      <c r="I2350" s="55" t="s">
        <v>4316</v>
      </c>
      <c r="J2350" s="55" t="s">
        <v>4317</v>
      </c>
      <c r="K2350" s="55" t="s">
        <v>224</v>
      </c>
      <c r="L2350" s="55" t="s">
        <v>4318</v>
      </c>
      <c r="M2350" s="55" t="s">
        <v>138</v>
      </c>
      <c r="N2350" s="55" t="s">
        <v>138</v>
      </c>
      <c r="O2350" s="55" t="s">
        <v>224</v>
      </c>
      <c r="P2350" s="55" t="s">
        <v>1294</v>
      </c>
      <c r="Q2350" s="55" t="s">
        <v>420</v>
      </c>
      <c r="R2350" s="55">
        <v>630</v>
      </c>
      <c r="S2350" s="74"/>
      <c r="T2350" s="55" t="s">
        <v>4319</v>
      </c>
      <c r="U2350" s="73" t="s">
        <v>351</v>
      </c>
      <c r="V2350" s="74">
        <v>43586</v>
      </c>
      <c r="W2350" s="74">
        <v>43608</v>
      </c>
      <c r="X2350" s="55">
        <v>10092964</v>
      </c>
      <c r="Y2350" s="55" t="s">
        <v>140</v>
      </c>
      <c r="AB2350" s="55" t="s">
        <v>132</v>
      </c>
      <c r="AC2350" s="55" t="s">
        <v>140</v>
      </c>
    </row>
    <row r="2351" spans="1:29" ht="13" x14ac:dyDescent="0.15">
      <c r="A2351" s="72" t="str">
        <f t="shared" si="36"/>
        <v>Ofsted Social Care Provider Webpage</v>
      </c>
      <c r="B2351" s="55" t="s">
        <v>4320</v>
      </c>
      <c r="D2351" s="55" t="s">
        <v>373</v>
      </c>
      <c r="E2351" s="74">
        <v>37978</v>
      </c>
      <c r="F2351" s="55" t="s">
        <v>344</v>
      </c>
      <c r="G2351" s="55" t="s">
        <v>360</v>
      </c>
      <c r="H2351" s="55" t="s">
        <v>360</v>
      </c>
      <c r="I2351" s="55" t="s">
        <v>360</v>
      </c>
      <c r="J2351" s="55" t="s">
        <v>360</v>
      </c>
      <c r="K2351" s="55" t="s">
        <v>360</v>
      </c>
      <c r="L2351" s="55" t="s">
        <v>360</v>
      </c>
      <c r="M2351" s="55" t="s">
        <v>144</v>
      </c>
      <c r="N2351" s="55" t="s">
        <v>144</v>
      </c>
      <c r="O2351" s="55" t="s">
        <v>209</v>
      </c>
      <c r="P2351" s="55" t="s">
        <v>597</v>
      </c>
      <c r="Q2351" s="55" t="s">
        <v>350</v>
      </c>
      <c r="R2351" s="55">
        <v>3</v>
      </c>
      <c r="S2351" s="74"/>
      <c r="T2351" s="55" t="s">
        <v>4321</v>
      </c>
      <c r="U2351" s="73" t="s">
        <v>351</v>
      </c>
      <c r="V2351" s="74">
        <v>44517</v>
      </c>
      <c r="W2351" s="74">
        <v>44550</v>
      </c>
      <c r="X2351" s="55">
        <v>10187390</v>
      </c>
      <c r="Y2351" s="55" t="s">
        <v>132</v>
      </c>
      <c r="AB2351" s="55" t="s">
        <v>132</v>
      </c>
      <c r="AC2351" s="55" t="s">
        <v>132</v>
      </c>
    </row>
    <row r="2352" spans="1:29" ht="13" x14ac:dyDescent="0.15">
      <c r="A2352" s="72" t="str">
        <f t="shared" si="36"/>
        <v>Ofsted Social Care Provider Webpage</v>
      </c>
      <c r="B2352" s="55" t="s">
        <v>4322</v>
      </c>
      <c r="C2352" s="55">
        <v>130584</v>
      </c>
      <c r="D2352" s="55" t="s">
        <v>693</v>
      </c>
      <c r="E2352" s="74">
        <v>37890</v>
      </c>
      <c r="F2352" s="55" t="s">
        <v>344</v>
      </c>
      <c r="G2352" s="55" t="s">
        <v>4323</v>
      </c>
      <c r="H2352" s="55" t="s">
        <v>4323</v>
      </c>
      <c r="I2352" s="55" t="s">
        <v>4324</v>
      </c>
      <c r="J2352" s="55" t="s">
        <v>4325</v>
      </c>
      <c r="K2352" s="55" t="s">
        <v>4326</v>
      </c>
      <c r="L2352" s="55" t="s">
        <v>4327</v>
      </c>
      <c r="M2352" s="55" t="s">
        <v>378</v>
      </c>
      <c r="N2352" s="55" t="s">
        <v>134</v>
      </c>
      <c r="O2352" s="55" t="s">
        <v>180</v>
      </c>
      <c r="P2352" s="55" t="s">
        <v>1892</v>
      </c>
      <c r="Q2352" s="55" t="s">
        <v>362</v>
      </c>
      <c r="R2352" s="55">
        <v>181</v>
      </c>
      <c r="S2352" s="74"/>
      <c r="U2352" s="73" t="s">
        <v>351</v>
      </c>
      <c r="V2352" s="74">
        <v>43368</v>
      </c>
      <c r="W2352" s="74">
        <v>43399</v>
      </c>
      <c r="X2352" s="55">
        <v>10011310</v>
      </c>
      <c r="Y2352" s="55" t="s">
        <v>140</v>
      </c>
      <c r="AB2352" s="55" t="s">
        <v>132</v>
      </c>
      <c r="AC2352" s="55" t="s">
        <v>140</v>
      </c>
    </row>
    <row r="2353" spans="1:29" ht="13" x14ac:dyDescent="0.15">
      <c r="A2353" s="72" t="str">
        <f t="shared" si="36"/>
        <v>Ofsted Social Care Provider Webpage</v>
      </c>
      <c r="B2353" s="55" t="s">
        <v>4328</v>
      </c>
      <c r="C2353" s="55">
        <v>130761</v>
      </c>
      <c r="D2353" s="55" t="s">
        <v>693</v>
      </c>
      <c r="E2353" s="74">
        <v>37900</v>
      </c>
      <c r="F2353" s="55" t="s">
        <v>344</v>
      </c>
      <c r="G2353" s="55" t="s">
        <v>4329</v>
      </c>
      <c r="H2353" s="55" t="s">
        <v>4329</v>
      </c>
      <c r="I2353" s="55" t="s">
        <v>4330</v>
      </c>
      <c r="J2353" s="55" t="s">
        <v>4331</v>
      </c>
      <c r="K2353" s="55" t="s">
        <v>214</v>
      </c>
      <c r="L2353" s="55" t="s">
        <v>4332</v>
      </c>
      <c r="M2353" s="55" t="s">
        <v>172</v>
      </c>
      <c r="N2353" s="55" t="s">
        <v>172</v>
      </c>
      <c r="O2353" s="55" t="s">
        <v>214</v>
      </c>
      <c r="P2353" s="55" t="s">
        <v>1632</v>
      </c>
      <c r="Q2353" s="55" t="s">
        <v>362</v>
      </c>
      <c r="R2353" s="55">
        <v>8</v>
      </c>
      <c r="S2353" s="74"/>
      <c r="T2353" s="55" t="s">
        <v>4329</v>
      </c>
      <c r="U2353" s="73" t="s">
        <v>351</v>
      </c>
      <c r="V2353" s="74">
        <v>43767</v>
      </c>
      <c r="W2353" s="74">
        <v>43783</v>
      </c>
      <c r="X2353" s="55">
        <v>10092979</v>
      </c>
      <c r="Y2353" s="55" t="s">
        <v>140</v>
      </c>
      <c r="AB2353" s="55" t="s">
        <v>140</v>
      </c>
      <c r="AC2353" s="55" t="s">
        <v>140</v>
      </c>
    </row>
    <row r="2354" spans="1:29" ht="13" x14ac:dyDescent="0.15">
      <c r="A2354" s="72" t="str">
        <f t="shared" si="36"/>
        <v>Ofsted Social Care Provider Webpage</v>
      </c>
      <c r="B2354" s="55" t="s">
        <v>4333</v>
      </c>
      <c r="D2354" s="55" t="s">
        <v>389</v>
      </c>
      <c r="E2354" s="74">
        <v>38160</v>
      </c>
      <c r="F2354" s="55" t="s">
        <v>344</v>
      </c>
      <c r="G2354" s="55" t="s">
        <v>4334</v>
      </c>
      <c r="H2354" s="55" t="s">
        <v>4335</v>
      </c>
      <c r="I2354" s="55" t="s">
        <v>4336</v>
      </c>
      <c r="J2354" s="55" t="s">
        <v>4337</v>
      </c>
      <c r="L2354" s="55" t="s">
        <v>4338</v>
      </c>
      <c r="M2354" s="55" t="s">
        <v>142</v>
      </c>
      <c r="N2354" s="55" t="s">
        <v>142</v>
      </c>
      <c r="O2354" s="55" t="s">
        <v>262</v>
      </c>
      <c r="P2354" s="55" t="s">
        <v>850</v>
      </c>
      <c r="Q2354" s="55" t="s">
        <v>350</v>
      </c>
      <c r="R2354" s="55"/>
      <c r="S2354" s="74"/>
      <c r="T2354" s="55" t="s">
        <v>4335</v>
      </c>
      <c r="U2354" s="73" t="s">
        <v>351</v>
      </c>
      <c r="V2354" s="74">
        <v>43584</v>
      </c>
      <c r="W2354" s="74">
        <v>43633</v>
      </c>
      <c r="X2354" s="55">
        <v>10093246</v>
      </c>
      <c r="Y2354" s="55" t="s">
        <v>140</v>
      </c>
      <c r="AB2354" s="55" t="s">
        <v>132</v>
      </c>
      <c r="AC2354" s="55" t="s">
        <v>140</v>
      </c>
    </row>
    <row r="2355" spans="1:29" ht="13" x14ac:dyDescent="0.15">
      <c r="A2355" s="72" t="str">
        <f t="shared" si="36"/>
        <v>Ofsted Social Care Provider Webpage</v>
      </c>
      <c r="B2355" s="55" t="s">
        <v>4339</v>
      </c>
      <c r="C2355" s="55">
        <v>118144</v>
      </c>
      <c r="D2355" s="55" t="s">
        <v>413</v>
      </c>
      <c r="E2355" s="74">
        <v>37904</v>
      </c>
      <c r="F2355" s="55" t="s">
        <v>344</v>
      </c>
      <c r="G2355" s="55" t="s">
        <v>4340</v>
      </c>
      <c r="H2355" s="55" t="s">
        <v>4341</v>
      </c>
      <c r="I2355" s="55" t="s">
        <v>354</v>
      </c>
      <c r="J2355" s="55" t="s">
        <v>4342</v>
      </c>
      <c r="L2355" s="55" t="s">
        <v>4343</v>
      </c>
      <c r="M2355" s="55" t="s">
        <v>378</v>
      </c>
      <c r="N2355" s="55" t="s">
        <v>134</v>
      </c>
      <c r="O2355" s="55" t="s">
        <v>180</v>
      </c>
      <c r="P2355" s="55" t="s">
        <v>1483</v>
      </c>
      <c r="Q2355" s="55" t="s">
        <v>380</v>
      </c>
      <c r="R2355" s="55">
        <v>12</v>
      </c>
      <c r="S2355" s="74"/>
      <c r="T2355" s="55" t="s">
        <v>2361</v>
      </c>
      <c r="U2355" s="73" t="s">
        <v>351</v>
      </c>
      <c r="V2355" s="74">
        <v>44475</v>
      </c>
      <c r="W2355" s="74">
        <v>44522</v>
      </c>
      <c r="X2355" s="55">
        <v>10183517</v>
      </c>
      <c r="Y2355" s="55" t="s">
        <v>130</v>
      </c>
      <c r="AB2355" s="55" t="s">
        <v>130</v>
      </c>
      <c r="AC2355" s="55" t="s">
        <v>130</v>
      </c>
    </row>
    <row r="2356" spans="1:29" ht="13" x14ac:dyDescent="0.15">
      <c r="A2356" s="72" t="str">
        <f t="shared" si="36"/>
        <v>Ofsted Social Care Provider Webpage</v>
      </c>
      <c r="B2356" s="55" t="s">
        <v>4344</v>
      </c>
      <c r="C2356" s="55">
        <v>131322</v>
      </c>
      <c r="D2356" s="55" t="s">
        <v>413</v>
      </c>
      <c r="E2356" s="74">
        <v>37910</v>
      </c>
      <c r="F2356" s="55" t="s">
        <v>344</v>
      </c>
      <c r="G2356" s="55" t="s">
        <v>4345</v>
      </c>
      <c r="H2356" s="55" t="s">
        <v>4345</v>
      </c>
      <c r="I2356" s="55" t="s">
        <v>4346</v>
      </c>
      <c r="J2356" s="55" t="s">
        <v>4347</v>
      </c>
      <c r="K2356" s="55" t="s">
        <v>173</v>
      </c>
      <c r="L2356" s="55" t="s">
        <v>4348</v>
      </c>
      <c r="M2356" s="55" t="s">
        <v>172</v>
      </c>
      <c r="N2356" s="55" t="s">
        <v>172</v>
      </c>
      <c r="O2356" s="55" t="s">
        <v>173</v>
      </c>
      <c r="P2356" s="55" t="s">
        <v>961</v>
      </c>
      <c r="Q2356" s="55" t="s">
        <v>380</v>
      </c>
      <c r="R2356" s="55">
        <v>8</v>
      </c>
      <c r="S2356" s="74"/>
      <c r="T2356" s="55" t="s">
        <v>1431</v>
      </c>
      <c r="U2356" s="73" t="s">
        <v>351</v>
      </c>
      <c r="V2356" s="74">
        <v>44390</v>
      </c>
      <c r="W2356" s="74">
        <v>44456</v>
      </c>
      <c r="X2356" s="55">
        <v>10183483</v>
      </c>
      <c r="Y2356" s="55" t="s">
        <v>140</v>
      </c>
      <c r="AB2356" s="55" t="s">
        <v>140</v>
      </c>
      <c r="AC2356" s="55" t="s">
        <v>140</v>
      </c>
    </row>
    <row r="2357" spans="1:29" ht="13" x14ac:dyDescent="0.15">
      <c r="A2357" s="72" t="str">
        <f t="shared" si="36"/>
        <v>Ofsted Social Care Provider Webpage</v>
      </c>
      <c r="B2357" s="55" t="s">
        <v>4349</v>
      </c>
      <c r="D2357" s="55" t="s">
        <v>373</v>
      </c>
      <c r="E2357" s="74">
        <v>38163</v>
      </c>
      <c r="F2357" s="55" t="s">
        <v>344</v>
      </c>
      <c r="G2357" s="55" t="s">
        <v>360</v>
      </c>
      <c r="H2357" s="55" t="s">
        <v>360</v>
      </c>
      <c r="I2357" s="55" t="s">
        <v>360</v>
      </c>
      <c r="J2357" s="55" t="s">
        <v>360</v>
      </c>
      <c r="K2357" s="55" t="s">
        <v>360</v>
      </c>
      <c r="L2357" s="55" t="s">
        <v>360</v>
      </c>
      <c r="M2357" s="55" t="s">
        <v>378</v>
      </c>
      <c r="N2357" s="55" t="s">
        <v>134</v>
      </c>
      <c r="O2357" s="55" t="s">
        <v>180</v>
      </c>
      <c r="P2357" s="55" t="s">
        <v>1892</v>
      </c>
      <c r="Q2357" s="55" t="s">
        <v>350</v>
      </c>
      <c r="R2357" s="55">
        <v>6</v>
      </c>
      <c r="S2357" s="74"/>
      <c r="T2357" s="55" t="s">
        <v>1251</v>
      </c>
      <c r="U2357" s="73" t="s">
        <v>351</v>
      </c>
      <c r="V2357" s="74">
        <v>44572</v>
      </c>
      <c r="W2357" s="74">
        <v>44623</v>
      </c>
      <c r="X2357" s="55">
        <v>10186689</v>
      </c>
      <c r="Y2357" s="55" t="s">
        <v>132</v>
      </c>
      <c r="AB2357" s="55" t="s">
        <v>132</v>
      </c>
      <c r="AC2357" s="55" t="s">
        <v>130</v>
      </c>
    </row>
    <row r="2358" spans="1:29" ht="13" x14ac:dyDescent="0.15">
      <c r="A2358" s="72" t="str">
        <f t="shared" si="36"/>
        <v>Ofsted Social Care Provider Webpage</v>
      </c>
      <c r="B2358" s="55" t="s">
        <v>4350</v>
      </c>
      <c r="C2358" s="55">
        <v>117685</v>
      </c>
      <c r="D2358" s="55" t="s">
        <v>413</v>
      </c>
      <c r="E2358" s="74">
        <v>37914</v>
      </c>
      <c r="F2358" s="55" t="s">
        <v>344</v>
      </c>
      <c r="G2358" s="55" t="s">
        <v>4351</v>
      </c>
      <c r="H2358" s="55" t="s">
        <v>4352</v>
      </c>
      <c r="I2358" s="55" t="s">
        <v>4353</v>
      </c>
      <c r="J2358" s="55" t="s">
        <v>4354</v>
      </c>
      <c r="K2358" s="55" t="s">
        <v>196</v>
      </c>
      <c r="L2358" s="55" t="s">
        <v>4355</v>
      </c>
      <c r="M2358" s="55" t="s">
        <v>138</v>
      </c>
      <c r="N2358" s="55" t="s">
        <v>138</v>
      </c>
      <c r="O2358" s="55" t="s">
        <v>196</v>
      </c>
      <c r="P2358" s="55" t="s">
        <v>441</v>
      </c>
      <c r="Q2358" s="55" t="s">
        <v>380</v>
      </c>
      <c r="R2358" s="55">
        <v>15</v>
      </c>
      <c r="S2358" s="74"/>
      <c r="T2358" s="55" t="s">
        <v>2082</v>
      </c>
      <c r="U2358" s="73" t="s">
        <v>351</v>
      </c>
      <c r="V2358" s="74">
        <v>44621</v>
      </c>
      <c r="W2358" s="74">
        <v>44670</v>
      </c>
      <c r="X2358" s="55">
        <v>10183498</v>
      </c>
      <c r="Y2358" s="55" t="s">
        <v>140</v>
      </c>
      <c r="AB2358" s="55" t="s">
        <v>140</v>
      </c>
      <c r="AC2358" s="55" t="s">
        <v>140</v>
      </c>
    </row>
    <row r="2359" spans="1:29" ht="13" x14ac:dyDescent="0.15">
      <c r="A2359" s="72" t="str">
        <f t="shared" si="36"/>
        <v>Ofsted Social Care Provider Webpage</v>
      </c>
      <c r="B2359" s="55" t="s">
        <v>4356</v>
      </c>
      <c r="C2359" s="55">
        <v>142257</v>
      </c>
      <c r="D2359" s="55" t="s">
        <v>413</v>
      </c>
      <c r="E2359" s="74">
        <v>37914</v>
      </c>
      <c r="F2359" s="55" t="s">
        <v>344</v>
      </c>
      <c r="G2359" s="55" t="s">
        <v>4357</v>
      </c>
      <c r="H2359" s="55" t="s">
        <v>4358</v>
      </c>
      <c r="I2359" s="55" t="s">
        <v>4359</v>
      </c>
      <c r="J2359" s="55" t="s">
        <v>4360</v>
      </c>
      <c r="L2359" s="55" t="s">
        <v>4361</v>
      </c>
      <c r="M2359" s="55" t="s">
        <v>138</v>
      </c>
      <c r="N2359" s="55" t="s">
        <v>138</v>
      </c>
      <c r="O2359" s="55" t="s">
        <v>196</v>
      </c>
      <c r="P2359" s="55" t="s">
        <v>1059</v>
      </c>
      <c r="Q2359" s="55" t="s">
        <v>420</v>
      </c>
      <c r="R2359" s="55">
        <v>33</v>
      </c>
      <c r="S2359" s="74"/>
      <c r="T2359" s="55" t="s">
        <v>4362</v>
      </c>
      <c r="U2359" s="73" t="s">
        <v>351</v>
      </c>
      <c r="V2359" s="74">
        <v>44529</v>
      </c>
      <c r="W2359" s="74">
        <v>44581</v>
      </c>
      <c r="X2359" s="55">
        <v>10183497</v>
      </c>
      <c r="Y2359" s="55" t="s">
        <v>132</v>
      </c>
      <c r="AB2359" s="55" t="s">
        <v>132</v>
      </c>
      <c r="AC2359" s="55" t="s">
        <v>132</v>
      </c>
    </row>
    <row r="2360" spans="1:29" ht="13" x14ac:dyDescent="0.15">
      <c r="A2360" s="72" t="str">
        <f t="shared" si="36"/>
        <v>Ofsted Social Care Provider Webpage</v>
      </c>
      <c r="B2360" s="55" t="s">
        <v>4363</v>
      </c>
      <c r="C2360" s="55">
        <v>117686</v>
      </c>
      <c r="D2360" s="55" t="s">
        <v>413</v>
      </c>
      <c r="E2360" s="74">
        <v>37915</v>
      </c>
      <c r="F2360" s="55" t="s">
        <v>344</v>
      </c>
      <c r="G2360" s="55" t="s">
        <v>4364</v>
      </c>
      <c r="H2360" s="55" t="s">
        <v>4364</v>
      </c>
      <c r="I2360" s="55" t="s">
        <v>4365</v>
      </c>
      <c r="J2360" s="55" t="s">
        <v>4366</v>
      </c>
      <c r="L2360" s="55" t="s">
        <v>4367</v>
      </c>
      <c r="M2360" s="55" t="s">
        <v>138</v>
      </c>
      <c r="N2360" s="55" t="s">
        <v>138</v>
      </c>
      <c r="O2360" s="55" t="s">
        <v>196</v>
      </c>
      <c r="P2360" s="55" t="s">
        <v>848</v>
      </c>
      <c r="Q2360" s="55" t="s">
        <v>380</v>
      </c>
      <c r="R2360" s="55">
        <v>8</v>
      </c>
      <c r="S2360" s="74"/>
      <c r="T2360" s="55" t="s">
        <v>2082</v>
      </c>
      <c r="U2360" s="73" t="s">
        <v>351</v>
      </c>
      <c r="V2360" s="74">
        <v>43487</v>
      </c>
      <c r="W2360" s="74">
        <v>43511</v>
      </c>
      <c r="X2360" s="55">
        <v>10045686</v>
      </c>
      <c r="Y2360" s="55" t="s">
        <v>140</v>
      </c>
      <c r="AB2360" s="55" t="s">
        <v>140</v>
      </c>
      <c r="AC2360" s="55" t="s">
        <v>140</v>
      </c>
    </row>
    <row r="2361" spans="1:29" ht="13" x14ac:dyDescent="0.15">
      <c r="A2361" s="72" t="str">
        <f t="shared" si="36"/>
        <v>Ofsted Social Care Provider Webpage</v>
      </c>
      <c r="B2361" s="55" t="s">
        <v>4368</v>
      </c>
      <c r="C2361" s="55">
        <v>117679</v>
      </c>
      <c r="D2361" s="55" t="s">
        <v>413</v>
      </c>
      <c r="E2361" s="74">
        <v>37915</v>
      </c>
      <c r="F2361" s="55" t="s">
        <v>344</v>
      </c>
      <c r="G2361" s="55" t="s">
        <v>4369</v>
      </c>
      <c r="H2361" s="55" t="s">
        <v>4370</v>
      </c>
      <c r="I2361" s="55" t="s">
        <v>354</v>
      </c>
      <c r="J2361" s="55" t="s">
        <v>4371</v>
      </c>
      <c r="K2361" s="55" t="s">
        <v>196</v>
      </c>
      <c r="L2361" s="55" t="s">
        <v>4372</v>
      </c>
      <c r="M2361" s="55" t="s">
        <v>138</v>
      </c>
      <c r="N2361" s="55" t="s">
        <v>138</v>
      </c>
      <c r="O2361" s="55" t="s">
        <v>196</v>
      </c>
      <c r="P2361" s="55" t="s">
        <v>4371</v>
      </c>
      <c r="Q2361" s="55" t="s">
        <v>380</v>
      </c>
      <c r="R2361" s="55">
        <v>18</v>
      </c>
      <c r="S2361" s="74"/>
      <c r="T2361" s="55" t="s">
        <v>2082</v>
      </c>
      <c r="U2361" s="73" t="s">
        <v>351</v>
      </c>
      <c r="V2361" s="74">
        <v>44571</v>
      </c>
      <c r="W2361" s="74">
        <v>44600</v>
      </c>
      <c r="X2361" s="55">
        <v>10183500</v>
      </c>
      <c r="Y2361" s="55" t="s">
        <v>140</v>
      </c>
      <c r="AB2361" s="55" t="s">
        <v>140</v>
      </c>
      <c r="AC2361" s="55" t="s">
        <v>140</v>
      </c>
    </row>
    <row r="2362" spans="1:29" ht="13" x14ac:dyDescent="0.15">
      <c r="A2362" s="72" t="str">
        <f t="shared" si="36"/>
        <v>Ofsted Social Care Provider Webpage</v>
      </c>
      <c r="B2362" s="55" t="s">
        <v>4373</v>
      </c>
      <c r="D2362" s="55" t="s">
        <v>389</v>
      </c>
      <c r="E2362" s="74">
        <v>38127</v>
      </c>
      <c r="F2362" s="55" t="s">
        <v>344</v>
      </c>
      <c r="G2362" s="55" t="s">
        <v>4374</v>
      </c>
      <c r="H2362" s="55" t="s">
        <v>3192</v>
      </c>
      <c r="I2362" s="55" t="s">
        <v>3193</v>
      </c>
      <c r="J2362" s="55" t="s">
        <v>3194</v>
      </c>
      <c r="L2362" s="55" t="s">
        <v>3195</v>
      </c>
      <c r="M2362" s="55" t="s">
        <v>378</v>
      </c>
      <c r="N2362" s="55" t="s">
        <v>170</v>
      </c>
      <c r="O2362" s="55" t="s">
        <v>233</v>
      </c>
      <c r="P2362" s="55" t="s">
        <v>1376</v>
      </c>
      <c r="Q2362" s="55" t="s">
        <v>362</v>
      </c>
      <c r="R2362" s="55"/>
      <c r="S2362" s="74"/>
      <c r="T2362" s="55" t="s">
        <v>3196</v>
      </c>
      <c r="U2362" s="73" t="s">
        <v>351</v>
      </c>
      <c r="V2362" s="74">
        <v>43325</v>
      </c>
      <c r="W2362" s="74">
        <v>43362</v>
      </c>
      <c r="X2362" s="55">
        <v>10046847</v>
      </c>
      <c r="Y2362" s="55" t="s">
        <v>132</v>
      </c>
      <c r="AB2362" s="55" t="s">
        <v>132</v>
      </c>
      <c r="AC2362" s="55" t="s">
        <v>132</v>
      </c>
    </row>
    <row r="2363" spans="1:29" ht="13" x14ac:dyDescent="0.15">
      <c r="A2363" s="72" t="str">
        <f t="shared" si="36"/>
        <v>Ofsted Social Care Provider Webpage</v>
      </c>
      <c r="B2363" s="55" t="s">
        <v>4375</v>
      </c>
      <c r="C2363" s="55">
        <v>118145</v>
      </c>
      <c r="D2363" s="55" t="s">
        <v>413</v>
      </c>
      <c r="E2363" s="74">
        <v>37921</v>
      </c>
      <c r="F2363" s="55" t="s">
        <v>344</v>
      </c>
      <c r="G2363" s="55" t="s">
        <v>4376</v>
      </c>
      <c r="H2363" s="55" t="s">
        <v>4377</v>
      </c>
      <c r="I2363" s="55" t="s">
        <v>354</v>
      </c>
      <c r="J2363" s="55" t="s">
        <v>4378</v>
      </c>
      <c r="K2363" s="55" t="s">
        <v>4379</v>
      </c>
      <c r="L2363" s="55" t="s">
        <v>4380</v>
      </c>
      <c r="M2363" s="55" t="s">
        <v>378</v>
      </c>
      <c r="N2363" s="55" t="s">
        <v>134</v>
      </c>
      <c r="O2363" s="55" t="s">
        <v>180</v>
      </c>
      <c r="P2363" s="55" t="s">
        <v>1249</v>
      </c>
      <c r="Q2363" s="55" t="s">
        <v>380</v>
      </c>
      <c r="R2363" s="55">
        <v>18</v>
      </c>
      <c r="S2363" s="74"/>
      <c r="T2363" s="55" t="s">
        <v>2361</v>
      </c>
      <c r="U2363" s="73" t="s">
        <v>351</v>
      </c>
      <c r="V2363" s="74">
        <v>44354</v>
      </c>
      <c r="W2363" s="74">
        <v>44392</v>
      </c>
      <c r="X2363" s="55">
        <v>10183519</v>
      </c>
      <c r="Y2363" s="55" t="s">
        <v>140</v>
      </c>
      <c r="AB2363" s="55" t="s">
        <v>140</v>
      </c>
      <c r="AC2363" s="55" t="s">
        <v>140</v>
      </c>
    </row>
    <row r="2364" spans="1:29" ht="13" x14ac:dyDescent="0.15">
      <c r="A2364" s="72" t="str">
        <f t="shared" si="36"/>
        <v>Ofsted Social Care Provider Webpage</v>
      </c>
      <c r="B2364" s="55" t="s">
        <v>4381</v>
      </c>
      <c r="D2364" s="55" t="s">
        <v>389</v>
      </c>
      <c r="E2364" s="74">
        <v>38132</v>
      </c>
      <c r="F2364" s="55" t="s">
        <v>344</v>
      </c>
      <c r="G2364" s="55" t="s">
        <v>4382</v>
      </c>
      <c r="H2364" s="55" t="s">
        <v>4383</v>
      </c>
      <c r="I2364" s="55" t="s">
        <v>354</v>
      </c>
      <c r="J2364" s="55" t="s">
        <v>167</v>
      </c>
      <c r="K2364" s="55" t="s">
        <v>129</v>
      </c>
      <c r="L2364" s="55" t="s">
        <v>4384</v>
      </c>
      <c r="M2364" s="55" t="s">
        <v>129</v>
      </c>
      <c r="N2364" s="55" t="s">
        <v>129</v>
      </c>
      <c r="O2364" s="55" t="s">
        <v>167</v>
      </c>
      <c r="P2364" s="55" t="s">
        <v>866</v>
      </c>
      <c r="Q2364" s="55" t="s">
        <v>350</v>
      </c>
      <c r="R2364" s="55"/>
      <c r="S2364" s="74"/>
      <c r="T2364" s="55" t="s">
        <v>4385</v>
      </c>
      <c r="U2364" s="73" t="s">
        <v>351</v>
      </c>
      <c r="V2364" s="74">
        <v>44417</v>
      </c>
      <c r="W2364" s="74">
        <v>44463</v>
      </c>
      <c r="X2364" s="55">
        <v>10201938</v>
      </c>
      <c r="Y2364" s="55" t="s">
        <v>146</v>
      </c>
      <c r="AB2364" s="55" t="s">
        <v>146</v>
      </c>
      <c r="AC2364" s="55" t="s">
        <v>146</v>
      </c>
    </row>
    <row r="2365" spans="1:29" ht="13" x14ac:dyDescent="0.15">
      <c r="A2365" s="72" t="str">
        <f t="shared" si="36"/>
        <v>Ofsted Social Care Provider Webpage</v>
      </c>
      <c r="B2365" s="55" t="s">
        <v>4386</v>
      </c>
      <c r="D2365" s="55" t="s">
        <v>373</v>
      </c>
      <c r="E2365" s="74">
        <v>38063</v>
      </c>
      <c r="F2365" s="55" t="s">
        <v>344</v>
      </c>
      <c r="G2365" s="55" t="s">
        <v>360</v>
      </c>
      <c r="H2365" s="55" t="s">
        <v>360</v>
      </c>
      <c r="I2365" s="55" t="s">
        <v>360</v>
      </c>
      <c r="J2365" s="55" t="s">
        <v>360</v>
      </c>
      <c r="K2365" s="55" t="s">
        <v>360</v>
      </c>
      <c r="L2365" s="55" t="s">
        <v>360</v>
      </c>
      <c r="M2365" s="55" t="s">
        <v>378</v>
      </c>
      <c r="N2365" s="55" t="s">
        <v>134</v>
      </c>
      <c r="O2365" s="55" t="s">
        <v>133</v>
      </c>
      <c r="P2365" s="55" t="s">
        <v>1804</v>
      </c>
      <c r="Q2365" s="55" t="s">
        <v>350</v>
      </c>
      <c r="R2365" s="55">
        <v>2</v>
      </c>
      <c r="S2365" s="74"/>
      <c r="T2365" s="55" t="s">
        <v>2448</v>
      </c>
      <c r="U2365" s="73" t="s">
        <v>351</v>
      </c>
      <c r="V2365" s="74">
        <v>44538</v>
      </c>
      <c r="W2365" s="74">
        <v>44588</v>
      </c>
      <c r="X2365" s="55">
        <v>10186097</v>
      </c>
      <c r="Y2365" s="55" t="s">
        <v>132</v>
      </c>
      <c r="AB2365" s="55" t="s">
        <v>132</v>
      </c>
      <c r="AC2365" s="55" t="s">
        <v>132</v>
      </c>
    </row>
    <row r="2366" spans="1:29" ht="13" x14ac:dyDescent="0.15">
      <c r="A2366" s="72" t="str">
        <f t="shared" si="36"/>
        <v>Ofsted Social Care Provider Webpage</v>
      </c>
      <c r="B2366" s="55" t="s">
        <v>4387</v>
      </c>
      <c r="D2366" s="55" t="s">
        <v>373</v>
      </c>
      <c r="E2366" s="74">
        <v>38152</v>
      </c>
      <c r="F2366" s="55" t="s">
        <v>344</v>
      </c>
      <c r="G2366" s="55" t="s">
        <v>360</v>
      </c>
      <c r="H2366" s="55" t="s">
        <v>360</v>
      </c>
      <c r="I2366" s="55" t="s">
        <v>360</v>
      </c>
      <c r="J2366" s="55" t="s">
        <v>360</v>
      </c>
      <c r="K2366" s="55" t="s">
        <v>360</v>
      </c>
      <c r="L2366" s="55" t="s">
        <v>360</v>
      </c>
      <c r="M2366" s="55" t="s">
        <v>144</v>
      </c>
      <c r="N2366" s="55" t="s">
        <v>144</v>
      </c>
      <c r="O2366" s="55" t="s">
        <v>147</v>
      </c>
      <c r="P2366" s="55" t="s">
        <v>807</v>
      </c>
      <c r="Q2366" s="55" t="s">
        <v>362</v>
      </c>
      <c r="R2366" s="55">
        <v>5</v>
      </c>
      <c r="S2366" s="74"/>
      <c r="T2366" s="55" t="s">
        <v>2551</v>
      </c>
      <c r="U2366" s="73" t="s">
        <v>351</v>
      </c>
      <c r="V2366" s="74">
        <v>44307</v>
      </c>
      <c r="W2366" s="74">
        <v>44337</v>
      </c>
      <c r="X2366" s="55">
        <v>10186741</v>
      </c>
      <c r="Y2366" s="55" t="s">
        <v>130</v>
      </c>
      <c r="AB2366" s="55" t="s">
        <v>130</v>
      </c>
      <c r="AC2366" s="55" t="s">
        <v>130</v>
      </c>
    </row>
    <row r="2367" spans="1:29" ht="13" x14ac:dyDescent="0.15">
      <c r="A2367" s="72" t="str">
        <f t="shared" si="36"/>
        <v>Ofsted Social Care Provider Webpage</v>
      </c>
      <c r="B2367" s="55" t="s">
        <v>4388</v>
      </c>
      <c r="D2367" s="55" t="s">
        <v>373</v>
      </c>
      <c r="E2367" s="74">
        <v>38077</v>
      </c>
      <c r="F2367" s="55" t="s">
        <v>344</v>
      </c>
      <c r="G2367" s="55" t="s">
        <v>360</v>
      </c>
      <c r="H2367" s="55" t="s">
        <v>360</v>
      </c>
      <c r="I2367" s="55" t="s">
        <v>360</v>
      </c>
      <c r="J2367" s="55" t="s">
        <v>360</v>
      </c>
      <c r="K2367" s="55" t="s">
        <v>360</v>
      </c>
      <c r="L2367" s="55" t="s">
        <v>360</v>
      </c>
      <c r="M2367" s="55" t="s">
        <v>142</v>
      </c>
      <c r="N2367" s="55" t="s">
        <v>142</v>
      </c>
      <c r="O2367" s="55" t="s">
        <v>262</v>
      </c>
      <c r="P2367" s="55" t="s">
        <v>850</v>
      </c>
      <c r="Q2367" s="55" t="s">
        <v>362</v>
      </c>
      <c r="R2367" s="55">
        <v>5</v>
      </c>
      <c r="S2367" s="74" t="s">
        <v>332</v>
      </c>
      <c r="T2367" s="55" t="s">
        <v>367</v>
      </c>
      <c r="U2367" s="73" t="s">
        <v>351</v>
      </c>
      <c r="V2367" s="74">
        <v>44581</v>
      </c>
      <c r="W2367" s="74">
        <v>44614</v>
      </c>
      <c r="X2367" s="55">
        <v>10185465</v>
      </c>
      <c r="Y2367" s="55" t="s">
        <v>132</v>
      </c>
      <c r="AB2367" s="55" t="s">
        <v>132</v>
      </c>
      <c r="AC2367" s="55" t="s">
        <v>132</v>
      </c>
    </row>
    <row r="2368" spans="1:29" ht="13" x14ac:dyDescent="0.15">
      <c r="A2368" s="72" t="str">
        <f t="shared" si="36"/>
        <v>Ofsted Social Care Provider Webpage</v>
      </c>
      <c r="B2368" s="55" t="s">
        <v>4389</v>
      </c>
      <c r="D2368" s="55" t="s">
        <v>389</v>
      </c>
      <c r="E2368" s="74">
        <v>38238</v>
      </c>
      <c r="F2368" s="55" t="s">
        <v>344</v>
      </c>
      <c r="G2368" s="55" t="s">
        <v>4390</v>
      </c>
      <c r="H2368" s="55" t="s">
        <v>4391</v>
      </c>
      <c r="I2368" s="55" t="s">
        <v>4392</v>
      </c>
      <c r="J2368" s="55" t="s">
        <v>4393</v>
      </c>
      <c r="K2368" s="55" t="s">
        <v>183</v>
      </c>
      <c r="L2368" s="55" t="s">
        <v>4394</v>
      </c>
      <c r="M2368" s="55" t="s">
        <v>138</v>
      </c>
      <c r="N2368" s="55" t="s">
        <v>138</v>
      </c>
      <c r="O2368" s="55" t="s">
        <v>183</v>
      </c>
      <c r="P2368" s="55" t="s">
        <v>907</v>
      </c>
      <c r="Q2368" s="55" t="s">
        <v>350</v>
      </c>
      <c r="R2368" s="55"/>
      <c r="S2368" s="74"/>
      <c r="T2368" s="55" t="s">
        <v>3470</v>
      </c>
      <c r="U2368" s="73" t="s">
        <v>351</v>
      </c>
      <c r="V2368" s="74">
        <v>43416</v>
      </c>
      <c r="W2368" s="74">
        <v>43446</v>
      </c>
      <c r="X2368" s="55">
        <v>10045656</v>
      </c>
      <c r="Y2368" s="55" t="s">
        <v>132</v>
      </c>
      <c r="AB2368" s="55" t="s">
        <v>132</v>
      </c>
      <c r="AC2368" s="55" t="s">
        <v>132</v>
      </c>
    </row>
    <row r="2369" spans="1:29" ht="13" x14ac:dyDescent="0.15">
      <c r="A2369" s="72" t="str">
        <f t="shared" si="36"/>
        <v>Ofsted Social Care Provider Webpage</v>
      </c>
      <c r="B2369" s="55" t="s">
        <v>4395</v>
      </c>
      <c r="C2369" s="55">
        <v>119861</v>
      </c>
      <c r="D2369" s="55" t="s">
        <v>413</v>
      </c>
      <c r="E2369" s="74">
        <v>37945</v>
      </c>
      <c r="F2369" s="55" t="s">
        <v>344</v>
      </c>
      <c r="G2369" s="55" t="s">
        <v>4396</v>
      </c>
      <c r="H2369" s="55" t="s">
        <v>4396</v>
      </c>
      <c r="I2369" s="55" t="s">
        <v>4397</v>
      </c>
      <c r="J2369" s="55" t="s">
        <v>4398</v>
      </c>
      <c r="K2369" s="55" t="s">
        <v>209</v>
      </c>
      <c r="L2369" s="55" t="s">
        <v>4399</v>
      </c>
      <c r="M2369" s="55" t="s">
        <v>144</v>
      </c>
      <c r="N2369" s="55" t="s">
        <v>144</v>
      </c>
      <c r="O2369" s="55" t="s">
        <v>209</v>
      </c>
      <c r="P2369" s="55" t="s">
        <v>364</v>
      </c>
      <c r="Q2369" s="55" t="s">
        <v>380</v>
      </c>
      <c r="R2369" s="55">
        <v>19</v>
      </c>
      <c r="S2369" s="74"/>
      <c r="T2369" s="55" t="s">
        <v>657</v>
      </c>
      <c r="U2369" s="73" t="s">
        <v>351</v>
      </c>
      <c r="V2369" s="74">
        <v>43788</v>
      </c>
      <c r="W2369" s="74">
        <v>43816</v>
      </c>
      <c r="X2369" s="55">
        <v>10093207</v>
      </c>
      <c r="Y2369" s="55" t="s">
        <v>140</v>
      </c>
      <c r="AB2369" s="55" t="s">
        <v>140</v>
      </c>
      <c r="AC2369" s="55" t="s">
        <v>140</v>
      </c>
    </row>
    <row r="2370" spans="1:29" ht="13" x14ac:dyDescent="0.15">
      <c r="A2370" s="72" t="str">
        <f t="shared" si="36"/>
        <v>Ofsted Social Care Provider Webpage</v>
      </c>
      <c r="B2370" s="55" t="s">
        <v>4400</v>
      </c>
      <c r="D2370" s="55" t="s">
        <v>373</v>
      </c>
      <c r="E2370" s="74">
        <v>38418</v>
      </c>
      <c r="F2370" s="55" t="s">
        <v>344</v>
      </c>
      <c r="G2370" s="55" t="s">
        <v>360</v>
      </c>
      <c r="H2370" s="55" t="s">
        <v>360</v>
      </c>
      <c r="I2370" s="55" t="s">
        <v>360</v>
      </c>
      <c r="J2370" s="55" t="s">
        <v>360</v>
      </c>
      <c r="K2370" s="55" t="s">
        <v>360</v>
      </c>
      <c r="L2370" s="55" t="s">
        <v>360</v>
      </c>
      <c r="M2370" s="55" t="s">
        <v>129</v>
      </c>
      <c r="N2370" s="55" t="s">
        <v>129</v>
      </c>
      <c r="O2370" s="55" t="s">
        <v>194</v>
      </c>
      <c r="P2370" s="55" t="s">
        <v>1833</v>
      </c>
      <c r="Q2370" s="55" t="s">
        <v>350</v>
      </c>
      <c r="R2370" s="55">
        <v>6</v>
      </c>
      <c r="S2370" s="74"/>
      <c r="T2370" s="55" t="s">
        <v>4401</v>
      </c>
      <c r="U2370" s="73" t="s">
        <v>351</v>
      </c>
      <c r="V2370" s="74">
        <v>44537</v>
      </c>
      <c r="W2370" s="74">
        <v>44586</v>
      </c>
      <c r="X2370" s="55">
        <v>10185122</v>
      </c>
      <c r="Y2370" s="55" t="s">
        <v>132</v>
      </c>
      <c r="AB2370" s="55" t="s">
        <v>132</v>
      </c>
      <c r="AC2370" s="55" t="s">
        <v>132</v>
      </c>
    </row>
    <row r="2371" spans="1:29" ht="13" x14ac:dyDescent="0.15">
      <c r="A2371" s="72" t="str">
        <f t="shared" si="36"/>
        <v>Ofsted Social Care Provider Webpage</v>
      </c>
      <c r="B2371" s="55" t="s">
        <v>4402</v>
      </c>
      <c r="D2371" s="55" t="s">
        <v>373</v>
      </c>
      <c r="E2371" s="74">
        <v>38076</v>
      </c>
      <c r="F2371" s="55" t="s">
        <v>344</v>
      </c>
      <c r="G2371" s="55" t="s">
        <v>360</v>
      </c>
      <c r="H2371" s="55" t="s">
        <v>360</v>
      </c>
      <c r="I2371" s="55" t="s">
        <v>360</v>
      </c>
      <c r="J2371" s="55" t="s">
        <v>360</v>
      </c>
      <c r="K2371" s="55" t="s">
        <v>360</v>
      </c>
      <c r="L2371" s="55" t="s">
        <v>360</v>
      </c>
      <c r="M2371" s="55" t="s">
        <v>138</v>
      </c>
      <c r="N2371" s="55" t="s">
        <v>138</v>
      </c>
      <c r="O2371" s="55" t="s">
        <v>238</v>
      </c>
      <c r="P2371" s="55" t="s">
        <v>1080</v>
      </c>
      <c r="Q2371" s="55" t="s">
        <v>380</v>
      </c>
      <c r="R2371" s="55">
        <v>8</v>
      </c>
      <c r="S2371" s="74" t="s">
        <v>332</v>
      </c>
      <c r="T2371" s="55" t="s">
        <v>3115</v>
      </c>
      <c r="U2371" s="73" t="s">
        <v>351</v>
      </c>
      <c r="V2371" s="74">
        <v>44390</v>
      </c>
      <c r="W2371" s="74">
        <v>44413</v>
      </c>
      <c r="X2371" s="55">
        <v>10185455</v>
      </c>
      <c r="Y2371" s="55" t="s">
        <v>132</v>
      </c>
      <c r="AB2371" s="55" t="s">
        <v>132</v>
      </c>
      <c r="AC2371" s="55" t="s">
        <v>132</v>
      </c>
    </row>
    <row r="2372" spans="1:29" ht="13" x14ac:dyDescent="0.15">
      <c r="A2372" s="72" t="str">
        <f t="shared" si="36"/>
        <v>Ofsted Social Care Provider Webpage</v>
      </c>
      <c r="B2372" s="55" t="s">
        <v>4403</v>
      </c>
      <c r="C2372" s="55">
        <v>146058</v>
      </c>
      <c r="D2372" s="55" t="s">
        <v>413</v>
      </c>
      <c r="E2372" s="74">
        <v>37965</v>
      </c>
      <c r="F2372" s="55" t="s">
        <v>344</v>
      </c>
      <c r="G2372" s="55" t="s">
        <v>4404</v>
      </c>
      <c r="H2372" s="55" t="s">
        <v>4404</v>
      </c>
      <c r="I2372" s="55" t="s">
        <v>4405</v>
      </c>
      <c r="J2372" s="55" t="s">
        <v>4406</v>
      </c>
      <c r="K2372" s="55" t="s">
        <v>173</v>
      </c>
      <c r="L2372" s="55" t="s">
        <v>4407</v>
      </c>
      <c r="M2372" s="55" t="s">
        <v>172</v>
      </c>
      <c r="N2372" s="55" t="s">
        <v>172</v>
      </c>
      <c r="O2372" s="55" t="s">
        <v>173</v>
      </c>
      <c r="P2372" s="55" t="s">
        <v>1305</v>
      </c>
      <c r="Q2372" s="55" t="s">
        <v>380</v>
      </c>
      <c r="R2372" s="55">
        <v>28</v>
      </c>
      <c r="S2372" s="74"/>
      <c r="T2372" s="55" t="s">
        <v>4404</v>
      </c>
      <c r="U2372" s="73" t="s">
        <v>351</v>
      </c>
      <c r="V2372" s="74">
        <v>44376</v>
      </c>
      <c r="W2372" s="74">
        <v>44419</v>
      </c>
      <c r="X2372" s="55">
        <v>10183482</v>
      </c>
      <c r="Y2372" s="55" t="s">
        <v>140</v>
      </c>
      <c r="AB2372" s="55" t="s">
        <v>140</v>
      </c>
      <c r="AC2372" s="55" t="s">
        <v>140</v>
      </c>
    </row>
    <row r="2373" spans="1:29" ht="13" x14ac:dyDescent="0.15">
      <c r="A2373" s="72" t="str">
        <f t="shared" si="36"/>
        <v>Ofsted Social Care Provider Webpage</v>
      </c>
      <c r="B2373" s="55" t="s">
        <v>4408</v>
      </c>
      <c r="D2373" s="55" t="s">
        <v>373</v>
      </c>
      <c r="E2373" s="74">
        <v>38054</v>
      </c>
      <c r="F2373" s="55" t="s">
        <v>344</v>
      </c>
      <c r="G2373" s="55" t="s">
        <v>360</v>
      </c>
      <c r="H2373" s="55" t="s">
        <v>360</v>
      </c>
      <c r="I2373" s="55" t="s">
        <v>360</v>
      </c>
      <c r="J2373" s="55" t="s">
        <v>360</v>
      </c>
      <c r="K2373" s="55" t="s">
        <v>360</v>
      </c>
      <c r="L2373" s="55" t="s">
        <v>360</v>
      </c>
      <c r="M2373" s="55" t="s">
        <v>150</v>
      </c>
      <c r="N2373" s="55" t="s">
        <v>150</v>
      </c>
      <c r="O2373" s="55" t="s">
        <v>203</v>
      </c>
      <c r="P2373" s="55" t="s">
        <v>563</v>
      </c>
      <c r="Q2373" s="55" t="s">
        <v>350</v>
      </c>
      <c r="R2373" s="55">
        <v>4</v>
      </c>
      <c r="S2373" s="74"/>
      <c r="T2373" s="55" t="s">
        <v>2906</v>
      </c>
      <c r="U2373" s="73" t="s">
        <v>351</v>
      </c>
      <c r="V2373" s="74">
        <v>44594</v>
      </c>
      <c r="W2373" s="74">
        <v>44637</v>
      </c>
      <c r="X2373" s="55">
        <v>10186663</v>
      </c>
      <c r="Y2373" s="55" t="s">
        <v>132</v>
      </c>
      <c r="AB2373" s="55" t="s">
        <v>132</v>
      </c>
      <c r="AC2373" s="55" t="s">
        <v>132</v>
      </c>
    </row>
    <row r="2374" spans="1:29" ht="13" x14ac:dyDescent="0.15">
      <c r="A2374" s="72" t="str">
        <f t="shared" ref="A2374:A2437" si="37">HYPERLINK(_xlfn.CONCAT("http://reports.ofsted.gov.uk/inspection-reports/find-inspection-report/provider/CARE/",B2374),"Ofsted Social Care Provider Webpage")</f>
        <v>Ofsted Social Care Provider Webpage</v>
      </c>
      <c r="B2374" s="55" t="s">
        <v>4409</v>
      </c>
      <c r="D2374" s="55" t="s">
        <v>373</v>
      </c>
      <c r="E2374" s="74">
        <v>38077</v>
      </c>
      <c r="F2374" s="55" t="s">
        <v>344</v>
      </c>
      <c r="G2374" s="55" t="s">
        <v>360</v>
      </c>
      <c r="H2374" s="55" t="s">
        <v>360</v>
      </c>
      <c r="I2374" s="55" t="s">
        <v>360</v>
      </c>
      <c r="J2374" s="55" t="s">
        <v>360</v>
      </c>
      <c r="K2374" s="55" t="s">
        <v>360</v>
      </c>
      <c r="L2374" s="55" t="s">
        <v>360</v>
      </c>
      <c r="M2374" s="55" t="s">
        <v>378</v>
      </c>
      <c r="N2374" s="55" t="s">
        <v>170</v>
      </c>
      <c r="O2374" s="55" t="s">
        <v>178</v>
      </c>
      <c r="P2374" s="55" t="s">
        <v>1374</v>
      </c>
      <c r="Q2374" s="55" t="s">
        <v>350</v>
      </c>
      <c r="R2374" s="55">
        <v>5</v>
      </c>
      <c r="S2374" s="74"/>
      <c r="T2374" s="55" t="s">
        <v>385</v>
      </c>
      <c r="U2374" s="73" t="s">
        <v>351</v>
      </c>
      <c r="V2374" s="74">
        <v>44593</v>
      </c>
      <c r="W2374" s="74">
        <v>44638</v>
      </c>
      <c r="X2374" s="55">
        <v>10187261</v>
      </c>
      <c r="Y2374" s="55" t="s">
        <v>132</v>
      </c>
      <c r="AB2374" s="55" t="s">
        <v>132</v>
      </c>
      <c r="AC2374" s="55" t="s">
        <v>132</v>
      </c>
    </row>
    <row r="2375" spans="1:29" ht="13" x14ac:dyDescent="0.15">
      <c r="A2375" s="72" t="str">
        <f t="shared" si="37"/>
        <v>Ofsted Social Care Provider Webpage</v>
      </c>
      <c r="B2375" s="55" t="s">
        <v>4410</v>
      </c>
      <c r="D2375" s="55" t="s">
        <v>373</v>
      </c>
      <c r="E2375" s="74">
        <v>38153</v>
      </c>
      <c r="F2375" s="55" t="s">
        <v>344</v>
      </c>
      <c r="G2375" s="55" t="s">
        <v>360</v>
      </c>
      <c r="H2375" s="55" t="s">
        <v>360</v>
      </c>
      <c r="I2375" s="55" t="s">
        <v>360</v>
      </c>
      <c r="J2375" s="55" t="s">
        <v>360</v>
      </c>
      <c r="K2375" s="55" t="s">
        <v>360</v>
      </c>
      <c r="L2375" s="55" t="s">
        <v>360</v>
      </c>
      <c r="M2375" s="55" t="s">
        <v>378</v>
      </c>
      <c r="N2375" s="55" t="s">
        <v>170</v>
      </c>
      <c r="O2375" s="55" t="s">
        <v>233</v>
      </c>
      <c r="P2375" s="55" t="s">
        <v>1999</v>
      </c>
      <c r="Q2375" s="55" t="s">
        <v>380</v>
      </c>
      <c r="R2375" s="55">
        <v>6</v>
      </c>
      <c r="S2375" s="74" t="s">
        <v>332</v>
      </c>
      <c r="T2375" s="55" t="s">
        <v>381</v>
      </c>
      <c r="U2375" s="73" t="s">
        <v>351</v>
      </c>
      <c r="V2375" s="74">
        <v>44540</v>
      </c>
      <c r="W2375" s="74">
        <v>44588</v>
      </c>
      <c r="X2375" s="55">
        <v>10185205</v>
      </c>
      <c r="Y2375" s="55" t="s">
        <v>132</v>
      </c>
      <c r="AB2375" s="55" t="s">
        <v>132</v>
      </c>
      <c r="AC2375" s="55" t="s">
        <v>132</v>
      </c>
    </row>
    <row r="2376" spans="1:29" ht="13" x14ac:dyDescent="0.15">
      <c r="A2376" s="72" t="str">
        <f t="shared" si="37"/>
        <v>Ofsted Social Care Provider Webpage</v>
      </c>
      <c r="B2376" s="55" t="s">
        <v>4411</v>
      </c>
      <c r="D2376" s="55" t="s">
        <v>373</v>
      </c>
      <c r="E2376" s="74">
        <v>38068</v>
      </c>
      <c r="F2376" s="55" t="s">
        <v>344</v>
      </c>
      <c r="G2376" s="55" t="s">
        <v>360</v>
      </c>
      <c r="H2376" s="55" t="s">
        <v>360</v>
      </c>
      <c r="I2376" s="55" t="s">
        <v>360</v>
      </c>
      <c r="J2376" s="55" t="s">
        <v>360</v>
      </c>
      <c r="K2376" s="55" t="s">
        <v>360</v>
      </c>
      <c r="L2376" s="55" t="s">
        <v>360</v>
      </c>
      <c r="M2376" s="55" t="s">
        <v>150</v>
      </c>
      <c r="N2376" s="55" t="s">
        <v>150</v>
      </c>
      <c r="O2376" s="55" t="s">
        <v>241</v>
      </c>
      <c r="P2376" s="55" t="s">
        <v>1492</v>
      </c>
      <c r="Q2376" s="55" t="s">
        <v>350</v>
      </c>
      <c r="R2376" s="55">
        <v>3</v>
      </c>
      <c r="S2376" s="74"/>
      <c r="T2376" s="55" t="s">
        <v>4412</v>
      </c>
      <c r="U2376" s="73" t="s">
        <v>351</v>
      </c>
      <c r="V2376" s="74">
        <v>44608</v>
      </c>
      <c r="W2376" s="74">
        <v>44659</v>
      </c>
      <c r="X2376" s="55">
        <v>10185421</v>
      </c>
      <c r="Y2376" s="55" t="s">
        <v>132</v>
      </c>
      <c r="AB2376" s="55" t="s">
        <v>132</v>
      </c>
      <c r="AC2376" s="55" t="s">
        <v>132</v>
      </c>
    </row>
    <row r="2377" spans="1:29" ht="13" x14ac:dyDescent="0.15">
      <c r="A2377" s="72" t="str">
        <f t="shared" si="37"/>
        <v>Ofsted Social Care Provider Webpage</v>
      </c>
      <c r="B2377" s="55" t="s">
        <v>4413</v>
      </c>
      <c r="D2377" s="55" t="s">
        <v>373</v>
      </c>
      <c r="E2377" s="74">
        <v>38132</v>
      </c>
      <c r="F2377" s="55" t="s">
        <v>344</v>
      </c>
      <c r="G2377" s="55" t="s">
        <v>360</v>
      </c>
      <c r="H2377" s="55" t="s">
        <v>360</v>
      </c>
      <c r="I2377" s="55" t="s">
        <v>360</v>
      </c>
      <c r="J2377" s="55" t="s">
        <v>360</v>
      </c>
      <c r="K2377" s="55" t="s">
        <v>360</v>
      </c>
      <c r="L2377" s="55" t="s">
        <v>360</v>
      </c>
      <c r="M2377" s="55" t="s">
        <v>144</v>
      </c>
      <c r="N2377" s="55" t="s">
        <v>144</v>
      </c>
      <c r="O2377" s="55" t="s">
        <v>215</v>
      </c>
      <c r="P2377" s="55" t="s">
        <v>1440</v>
      </c>
      <c r="Q2377" s="55" t="s">
        <v>350</v>
      </c>
      <c r="R2377" s="55">
        <v>5</v>
      </c>
      <c r="S2377" s="74"/>
      <c r="T2377" s="55" t="s">
        <v>4414</v>
      </c>
      <c r="U2377" s="73" t="s">
        <v>351</v>
      </c>
      <c r="V2377" s="74">
        <v>44628</v>
      </c>
      <c r="W2377" s="74">
        <v>44672</v>
      </c>
      <c r="X2377" s="55">
        <v>10185593</v>
      </c>
      <c r="Y2377" s="55" t="s">
        <v>132</v>
      </c>
      <c r="AB2377" s="55" t="s">
        <v>132</v>
      </c>
      <c r="AC2377" s="55" t="s">
        <v>132</v>
      </c>
    </row>
    <row r="2378" spans="1:29" ht="13" x14ac:dyDescent="0.15">
      <c r="A2378" s="72" t="str">
        <f t="shared" si="37"/>
        <v>Ofsted Social Care Provider Webpage</v>
      </c>
      <c r="B2378" s="55" t="s">
        <v>4415</v>
      </c>
      <c r="D2378" s="55" t="s">
        <v>373</v>
      </c>
      <c r="E2378" s="74">
        <v>38057</v>
      </c>
      <c r="F2378" s="55" t="s">
        <v>344</v>
      </c>
      <c r="G2378" s="55" t="s">
        <v>360</v>
      </c>
      <c r="H2378" s="55" t="s">
        <v>360</v>
      </c>
      <c r="I2378" s="55" t="s">
        <v>360</v>
      </c>
      <c r="J2378" s="55" t="s">
        <v>360</v>
      </c>
      <c r="K2378" s="55" t="s">
        <v>360</v>
      </c>
      <c r="L2378" s="55" t="s">
        <v>360</v>
      </c>
      <c r="M2378" s="55" t="s">
        <v>378</v>
      </c>
      <c r="N2378" s="55" t="s">
        <v>134</v>
      </c>
      <c r="O2378" s="55" t="s">
        <v>151</v>
      </c>
      <c r="P2378" s="55" t="s">
        <v>884</v>
      </c>
      <c r="Q2378" s="55" t="s">
        <v>380</v>
      </c>
      <c r="R2378" s="55">
        <v>6</v>
      </c>
      <c r="S2378" s="74"/>
      <c r="T2378" s="55" t="s">
        <v>1220</v>
      </c>
      <c r="U2378" s="73" t="s">
        <v>351</v>
      </c>
      <c r="V2378" s="74">
        <v>44454</v>
      </c>
      <c r="W2378" s="74">
        <v>44497</v>
      </c>
      <c r="X2378" s="55">
        <v>10186869</v>
      </c>
      <c r="Y2378" s="55" t="s">
        <v>130</v>
      </c>
      <c r="AB2378" s="55" t="s">
        <v>130</v>
      </c>
      <c r="AC2378" s="55" t="s">
        <v>146</v>
      </c>
    </row>
    <row r="2379" spans="1:29" ht="13" x14ac:dyDescent="0.15">
      <c r="A2379" s="72" t="str">
        <f t="shared" si="37"/>
        <v>Ofsted Social Care Provider Webpage</v>
      </c>
      <c r="B2379" s="55" t="s">
        <v>4416</v>
      </c>
      <c r="C2379" s="55">
        <v>130743</v>
      </c>
      <c r="D2379" s="55" t="s">
        <v>693</v>
      </c>
      <c r="E2379" s="74">
        <v>38012</v>
      </c>
      <c r="F2379" s="55" t="s">
        <v>344</v>
      </c>
      <c r="G2379" s="55" t="s">
        <v>4417</v>
      </c>
      <c r="H2379" s="55" t="s">
        <v>4417</v>
      </c>
      <c r="I2379" s="55" t="s">
        <v>4418</v>
      </c>
      <c r="J2379" s="55" t="s">
        <v>3540</v>
      </c>
      <c r="L2379" s="55" t="s">
        <v>4419</v>
      </c>
      <c r="M2379" s="55" t="s">
        <v>144</v>
      </c>
      <c r="N2379" s="55" t="s">
        <v>144</v>
      </c>
      <c r="O2379" s="55" t="s">
        <v>209</v>
      </c>
      <c r="P2379" s="55" t="s">
        <v>777</v>
      </c>
      <c r="Q2379" s="55" t="s">
        <v>380</v>
      </c>
      <c r="R2379" s="55">
        <v>590</v>
      </c>
      <c r="S2379" s="74"/>
      <c r="T2379" s="55" t="s">
        <v>657</v>
      </c>
      <c r="U2379" s="73" t="s">
        <v>351</v>
      </c>
      <c r="V2379" s="74">
        <v>43074</v>
      </c>
      <c r="W2379" s="74">
        <v>43131</v>
      </c>
      <c r="X2379" s="55">
        <v>10011216</v>
      </c>
      <c r="Y2379" s="55" t="s">
        <v>132</v>
      </c>
      <c r="AB2379" s="55" t="s">
        <v>130</v>
      </c>
      <c r="AC2379" s="55" t="s">
        <v>132</v>
      </c>
    </row>
    <row r="2380" spans="1:29" ht="13" x14ac:dyDescent="0.15">
      <c r="A2380" s="72" t="str">
        <f t="shared" si="37"/>
        <v>Ofsted Social Care Provider Webpage</v>
      </c>
      <c r="B2380" s="55" t="s">
        <v>4420</v>
      </c>
      <c r="D2380" s="55" t="s">
        <v>373</v>
      </c>
      <c r="E2380" s="74">
        <v>39170</v>
      </c>
      <c r="F2380" s="55" t="s">
        <v>344</v>
      </c>
      <c r="G2380" s="55" t="s">
        <v>360</v>
      </c>
      <c r="H2380" s="55" t="s">
        <v>360</v>
      </c>
      <c r="I2380" s="55" t="s">
        <v>360</v>
      </c>
      <c r="J2380" s="55" t="s">
        <v>360</v>
      </c>
      <c r="K2380" s="55" t="s">
        <v>360</v>
      </c>
      <c r="L2380" s="55" t="s">
        <v>360</v>
      </c>
      <c r="M2380" s="55" t="s">
        <v>136</v>
      </c>
      <c r="N2380" s="55" t="s">
        <v>136</v>
      </c>
      <c r="O2380" s="55" t="s">
        <v>288</v>
      </c>
      <c r="P2380" s="55" t="s">
        <v>1037</v>
      </c>
      <c r="Q2380" s="55" t="s">
        <v>350</v>
      </c>
      <c r="R2380" s="55">
        <v>6</v>
      </c>
      <c r="S2380" s="74"/>
      <c r="T2380" s="55" t="s">
        <v>2197</v>
      </c>
      <c r="U2380" s="73" t="s">
        <v>351</v>
      </c>
      <c r="V2380" s="74">
        <v>44539</v>
      </c>
      <c r="W2380" s="74">
        <v>44588</v>
      </c>
      <c r="X2380" s="55">
        <v>10185188</v>
      </c>
      <c r="Y2380" s="55" t="s">
        <v>132</v>
      </c>
      <c r="AB2380" s="55" t="s">
        <v>140</v>
      </c>
      <c r="AC2380" s="55" t="s">
        <v>132</v>
      </c>
    </row>
    <row r="2381" spans="1:29" ht="13" x14ac:dyDescent="0.15">
      <c r="A2381" s="72" t="str">
        <f t="shared" si="37"/>
        <v>Ofsted Social Care Provider Webpage</v>
      </c>
      <c r="B2381" s="55" t="s">
        <v>4421</v>
      </c>
      <c r="D2381" s="55" t="s">
        <v>389</v>
      </c>
      <c r="E2381" s="74">
        <v>38170</v>
      </c>
      <c r="F2381" s="55" t="s">
        <v>344</v>
      </c>
      <c r="G2381" s="55" t="s">
        <v>4422</v>
      </c>
      <c r="H2381" s="55" t="s">
        <v>4423</v>
      </c>
      <c r="I2381" s="55" t="s">
        <v>354</v>
      </c>
      <c r="J2381" s="55" t="s">
        <v>4424</v>
      </c>
      <c r="K2381" s="55" t="s">
        <v>2469</v>
      </c>
      <c r="L2381" s="55" t="s">
        <v>4425</v>
      </c>
      <c r="M2381" s="55" t="s">
        <v>144</v>
      </c>
      <c r="N2381" s="55" t="s">
        <v>144</v>
      </c>
      <c r="O2381" s="55" t="s">
        <v>276</v>
      </c>
      <c r="P2381" s="55" t="s">
        <v>1562</v>
      </c>
      <c r="Q2381" s="55" t="s">
        <v>350</v>
      </c>
      <c r="R2381" s="55"/>
      <c r="S2381" s="74"/>
      <c r="T2381" s="55" t="s">
        <v>4426</v>
      </c>
      <c r="U2381" s="73" t="s">
        <v>351</v>
      </c>
      <c r="V2381" s="74">
        <v>43689</v>
      </c>
      <c r="W2381" s="74">
        <v>43724</v>
      </c>
      <c r="X2381" s="55">
        <v>10093295</v>
      </c>
      <c r="Y2381" s="55" t="s">
        <v>132</v>
      </c>
      <c r="AB2381" s="55" t="s">
        <v>132</v>
      </c>
      <c r="AC2381" s="55" t="s">
        <v>132</v>
      </c>
    </row>
    <row r="2382" spans="1:29" ht="13" x14ac:dyDescent="0.15">
      <c r="A2382" s="72" t="str">
        <f t="shared" si="37"/>
        <v>Ofsted Social Care Provider Webpage</v>
      </c>
      <c r="B2382" s="55" t="s">
        <v>4427</v>
      </c>
      <c r="D2382" s="55" t="s">
        <v>373</v>
      </c>
      <c r="E2382" s="74">
        <v>38020</v>
      </c>
      <c r="F2382" s="55" t="s">
        <v>344</v>
      </c>
      <c r="G2382" s="55" t="s">
        <v>360</v>
      </c>
      <c r="H2382" s="55" t="s">
        <v>360</v>
      </c>
      <c r="I2382" s="55" t="s">
        <v>360</v>
      </c>
      <c r="J2382" s="55" t="s">
        <v>360</v>
      </c>
      <c r="K2382" s="55" t="s">
        <v>360</v>
      </c>
      <c r="L2382" s="55" t="s">
        <v>360</v>
      </c>
      <c r="M2382" s="55" t="s">
        <v>136</v>
      </c>
      <c r="N2382" s="55" t="s">
        <v>136</v>
      </c>
      <c r="O2382" s="55" t="s">
        <v>288</v>
      </c>
      <c r="P2382" s="55" t="s">
        <v>1487</v>
      </c>
      <c r="Q2382" s="55" t="s">
        <v>350</v>
      </c>
      <c r="R2382" s="55">
        <v>2</v>
      </c>
      <c r="S2382" s="74"/>
      <c r="T2382" s="55" t="s">
        <v>2197</v>
      </c>
      <c r="U2382" s="73" t="s">
        <v>351</v>
      </c>
      <c r="V2382" s="74">
        <v>44509</v>
      </c>
      <c r="W2382" s="74">
        <v>44551</v>
      </c>
      <c r="X2382" s="55">
        <v>10185296</v>
      </c>
      <c r="Y2382" s="55" t="s">
        <v>132</v>
      </c>
      <c r="AB2382" s="55" t="s">
        <v>132</v>
      </c>
      <c r="AC2382" s="55" t="s">
        <v>132</v>
      </c>
    </row>
    <row r="2383" spans="1:29" ht="13" x14ac:dyDescent="0.15">
      <c r="A2383" s="72" t="str">
        <f t="shared" si="37"/>
        <v>Ofsted Social Care Provider Webpage</v>
      </c>
      <c r="B2383" s="55" t="s">
        <v>4428</v>
      </c>
      <c r="D2383" s="55" t="s">
        <v>373</v>
      </c>
      <c r="E2383" s="74">
        <v>38020</v>
      </c>
      <c r="F2383" s="55" t="s">
        <v>344</v>
      </c>
      <c r="G2383" s="55" t="s">
        <v>360</v>
      </c>
      <c r="H2383" s="55" t="s">
        <v>360</v>
      </c>
      <c r="I2383" s="55" t="s">
        <v>360</v>
      </c>
      <c r="J2383" s="55" t="s">
        <v>360</v>
      </c>
      <c r="K2383" s="55" t="s">
        <v>360</v>
      </c>
      <c r="L2383" s="55" t="s">
        <v>360</v>
      </c>
      <c r="M2383" s="55" t="s">
        <v>136</v>
      </c>
      <c r="N2383" s="55" t="s">
        <v>136</v>
      </c>
      <c r="O2383" s="55" t="s">
        <v>288</v>
      </c>
      <c r="P2383" s="55" t="s">
        <v>1037</v>
      </c>
      <c r="Q2383" s="55" t="s">
        <v>350</v>
      </c>
      <c r="R2383" s="55">
        <v>5</v>
      </c>
      <c r="S2383" s="74"/>
      <c r="T2383" s="55" t="s">
        <v>2197</v>
      </c>
      <c r="U2383" s="73" t="s">
        <v>351</v>
      </c>
      <c r="V2383" s="74">
        <v>44322</v>
      </c>
      <c r="W2383" s="74">
        <v>44354</v>
      </c>
      <c r="X2383" s="55">
        <v>10185640</v>
      </c>
      <c r="Y2383" s="55" t="s">
        <v>130</v>
      </c>
      <c r="AB2383" s="55" t="s">
        <v>130</v>
      </c>
      <c r="AC2383" s="55" t="s">
        <v>130</v>
      </c>
    </row>
    <row r="2384" spans="1:29" ht="13" x14ac:dyDescent="0.15">
      <c r="A2384" s="72" t="str">
        <f t="shared" si="37"/>
        <v>Ofsted Social Care Provider Webpage</v>
      </c>
      <c r="B2384" s="55" t="s">
        <v>4429</v>
      </c>
      <c r="C2384" s="55">
        <v>130723</v>
      </c>
      <c r="D2384" s="55" t="s">
        <v>693</v>
      </c>
      <c r="E2384" s="74">
        <v>38016</v>
      </c>
      <c r="F2384" s="55" t="s">
        <v>344</v>
      </c>
      <c r="G2384" s="55" t="s">
        <v>4430</v>
      </c>
      <c r="H2384" s="55" t="s">
        <v>4430</v>
      </c>
      <c r="I2384" s="55" t="s">
        <v>4431</v>
      </c>
      <c r="J2384" s="55" t="s">
        <v>4354</v>
      </c>
      <c r="K2384" s="55" t="s">
        <v>196</v>
      </c>
      <c r="L2384" s="55" t="s">
        <v>4432</v>
      </c>
      <c r="M2384" s="55" t="s">
        <v>138</v>
      </c>
      <c r="N2384" s="55" t="s">
        <v>138</v>
      </c>
      <c r="O2384" s="55" t="s">
        <v>196</v>
      </c>
      <c r="P2384" s="55" t="s">
        <v>441</v>
      </c>
      <c r="Q2384" s="55" t="s">
        <v>362</v>
      </c>
      <c r="R2384" s="55">
        <v>80</v>
      </c>
      <c r="S2384" s="74"/>
      <c r="T2384" s="55" t="s">
        <v>4433</v>
      </c>
      <c r="U2384" s="73" t="s">
        <v>351</v>
      </c>
      <c r="V2384" s="74">
        <v>44578</v>
      </c>
      <c r="W2384" s="74">
        <v>44601</v>
      </c>
      <c r="X2384" s="55">
        <v>10183327</v>
      </c>
      <c r="Y2384" s="55" t="s">
        <v>132</v>
      </c>
      <c r="AB2384" s="55" t="s">
        <v>130</v>
      </c>
      <c r="AC2384" s="55" t="s">
        <v>132</v>
      </c>
    </row>
    <row r="2385" spans="1:29" ht="13" x14ac:dyDescent="0.15">
      <c r="A2385" s="72" t="str">
        <f t="shared" si="37"/>
        <v>Ofsted Social Care Provider Webpage</v>
      </c>
      <c r="B2385" s="55" t="s">
        <v>4434</v>
      </c>
      <c r="D2385" s="55" t="s">
        <v>373</v>
      </c>
      <c r="E2385" s="74">
        <v>38056</v>
      </c>
      <c r="F2385" s="55" t="s">
        <v>344</v>
      </c>
      <c r="G2385" s="55" t="s">
        <v>360</v>
      </c>
      <c r="H2385" s="55" t="s">
        <v>360</v>
      </c>
      <c r="I2385" s="55" t="s">
        <v>360</v>
      </c>
      <c r="J2385" s="55" t="s">
        <v>360</v>
      </c>
      <c r="K2385" s="55" t="s">
        <v>360</v>
      </c>
      <c r="L2385" s="55" t="s">
        <v>360</v>
      </c>
      <c r="M2385" s="55" t="s">
        <v>144</v>
      </c>
      <c r="N2385" s="55" t="s">
        <v>144</v>
      </c>
      <c r="O2385" s="55" t="s">
        <v>147</v>
      </c>
      <c r="P2385" s="55" t="s">
        <v>807</v>
      </c>
      <c r="Q2385" s="55" t="s">
        <v>380</v>
      </c>
      <c r="R2385" s="55">
        <v>5</v>
      </c>
      <c r="S2385" s="74" t="s">
        <v>332</v>
      </c>
      <c r="T2385" s="55" t="s">
        <v>3771</v>
      </c>
      <c r="U2385" s="73" t="s">
        <v>351</v>
      </c>
      <c r="V2385" s="74">
        <v>43882</v>
      </c>
      <c r="W2385" s="74">
        <v>43907</v>
      </c>
      <c r="X2385" s="55">
        <v>10095671</v>
      </c>
      <c r="Y2385" s="55" t="s">
        <v>140</v>
      </c>
      <c r="AB2385" s="55" t="s">
        <v>140</v>
      </c>
      <c r="AC2385" s="55" t="s">
        <v>140</v>
      </c>
    </row>
    <row r="2386" spans="1:29" ht="13" x14ac:dyDescent="0.15">
      <c r="A2386" s="72" t="str">
        <f t="shared" si="37"/>
        <v>Ofsted Social Care Provider Webpage</v>
      </c>
      <c r="B2386" s="55" t="s">
        <v>4435</v>
      </c>
      <c r="D2386" s="55" t="s">
        <v>373</v>
      </c>
      <c r="E2386" s="74">
        <v>38133</v>
      </c>
      <c r="F2386" s="55" t="s">
        <v>344</v>
      </c>
      <c r="G2386" s="55" t="s">
        <v>360</v>
      </c>
      <c r="H2386" s="55" t="s">
        <v>360</v>
      </c>
      <c r="I2386" s="55" t="s">
        <v>360</v>
      </c>
      <c r="J2386" s="55" t="s">
        <v>360</v>
      </c>
      <c r="K2386" s="55" t="s">
        <v>360</v>
      </c>
      <c r="L2386" s="55" t="s">
        <v>360</v>
      </c>
      <c r="M2386" s="55" t="s">
        <v>144</v>
      </c>
      <c r="N2386" s="55" t="s">
        <v>144</v>
      </c>
      <c r="O2386" s="55" t="s">
        <v>147</v>
      </c>
      <c r="P2386" s="55" t="s">
        <v>674</v>
      </c>
      <c r="Q2386" s="55" t="s">
        <v>380</v>
      </c>
      <c r="R2386" s="55">
        <v>6</v>
      </c>
      <c r="S2386" s="74" t="s">
        <v>332</v>
      </c>
      <c r="T2386" s="55" t="s">
        <v>3771</v>
      </c>
      <c r="U2386" s="73" t="s">
        <v>351</v>
      </c>
      <c r="V2386" s="74">
        <v>44614</v>
      </c>
      <c r="W2386" s="74">
        <v>44656</v>
      </c>
      <c r="X2386" s="55">
        <v>10185020</v>
      </c>
      <c r="Y2386" s="55" t="s">
        <v>132</v>
      </c>
      <c r="AB2386" s="55" t="s">
        <v>132</v>
      </c>
      <c r="AC2386" s="55" t="s">
        <v>132</v>
      </c>
    </row>
    <row r="2387" spans="1:29" ht="13" x14ac:dyDescent="0.15">
      <c r="A2387" s="72" t="str">
        <f t="shared" si="37"/>
        <v>Ofsted Social Care Provider Webpage</v>
      </c>
      <c r="B2387" s="55" t="s">
        <v>4436</v>
      </c>
      <c r="D2387" s="55" t="s">
        <v>373</v>
      </c>
      <c r="E2387" s="74">
        <v>38027</v>
      </c>
      <c r="F2387" s="55" t="s">
        <v>344</v>
      </c>
      <c r="G2387" s="55" t="s">
        <v>360</v>
      </c>
      <c r="H2387" s="55" t="s">
        <v>360</v>
      </c>
      <c r="I2387" s="55" t="s">
        <v>360</v>
      </c>
      <c r="J2387" s="55" t="s">
        <v>360</v>
      </c>
      <c r="K2387" s="55" t="s">
        <v>360</v>
      </c>
      <c r="L2387" s="55" t="s">
        <v>360</v>
      </c>
      <c r="M2387" s="55" t="s">
        <v>172</v>
      </c>
      <c r="N2387" s="55" t="s">
        <v>172</v>
      </c>
      <c r="O2387" s="55" t="s">
        <v>171</v>
      </c>
      <c r="P2387" s="55" t="s">
        <v>983</v>
      </c>
      <c r="Q2387" s="55" t="s">
        <v>350</v>
      </c>
      <c r="R2387" s="55">
        <v>4</v>
      </c>
      <c r="S2387" s="74"/>
      <c r="T2387" s="55" t="s">
        <v>861</v>
      </c>
      <c r="U2387" s="73" t="s">
        <v>351</v>
      </c>
      <c r="V2387" s="74">
        <v>44445</v>
      </c>
      <c r="W2387" s="74">
        <v>44476</v>
      </c>
      <c r="X2387" s="55">
        <v>10187245</v>
      </c>
      <c r="Y2387" s="55" t="s">
        <v>130</v>
      </c>
      <c r="AB2387" s="55" t="s">
        <v>130</v>
      </c>
      <c r="AC2387" s="55" t="s">
        <v>130</v>
      </c>
    </row>
    <row r="2388" spans="1:29" ht="13" x14ac:dyDescent="0.15">
      <c r="A2388" s="72" t="str">
        <f t="shared" si="37"/>
        <v>Ofsted Social Care Provider Webpage</v>
      </c>
      <c r="B2388" s="55" t="s">
        <v>4437</v>
      </c>
      <c r="D2388" s="55" t="s">
        <v>373</v>
      </c>
      <c r="E2388" s="74">
        <v>38212</v>
      </c>
      <c r="F2388" s="55" t="s">
        <v>344</v>
      </c>
      <c r="G2388" s="55" t="s">
        <v>360</v>
      </c>
      <c r="H2388" s="55" t="s">
        <v>360</v>
      </c>
      <c r="I2388" s="55" t="s">
        <v>360</v>
      </c>
      <c r="J2388" s="55" t="s">
        <v>360</v>
      </c>
      <c r="K2388" s="55" t="s">
        <v>360</v>
      </c>
      <c r="L2388" s="55" t="s">
        <v>360</v>
      </c>
      <c r="M2388" s="55" t="s">
        <v>138</v>
      </c>
      <c r="N2388" s="55" t="s">
        <v>138</v>
      </c>
      <c r="O2388" s="55" t="s">
        <v>224</v>
      </c>
      <c r="P2388" s="55" t="s">
        <v>1675</v>
      </c>
      <c r="Q2388" s="55" t="s">
        <v>362</v>
      </c>
      <c r="R2388" s="55">
        <v>6</v>
      </c>
      <c r="S2388" s="74" t="s">
        <v>332</v>
      </c>
      <c r="T2388" s="55" t="s">
        <v>557</v>
      </c>
      <c r="U2388" s="73" t="s">
        <v>351</v>
      </c>
      <c r="V2388" s="74">
        <v>44397</v>
      </c>
      <c r="W2388" s="74">
        <v>44425</v>
      </c>
      <c r="X2388" s="55">
        <v>10185316</v>
      </c>
      <c r="Y2388" s="55" t="s">
        <v>132</v>
      </c>
      <c r="AB2388" s="55" t="s">
        <v>132</v>
      </c>
      <c r="AC2388" s="55" t="s">
        <v>132</v>
      </c>
    </row>
    <row r="2389" spans="1:29" ht="13" x14ac:dyDescent="0.15">
      <c r="A2389" s="72" t="str">
        <f t="shared" si="37"/>
        <v>Ofsted Social Care Provider Webpage</v>
      </c>
      <c r="B2389" s="55" t="s">
        <v>4438</v>
      </c>
      <c r="D2389" s="55" t="s">
        <v>389</v>
      </c>
      <c r="E2389" s="74">
        <v>38176</v>
      </c>
      <c r="F2389" s="55" t="s">
        <v>344</v>
      </c>
      <c r="G2389" s="55" t="s">
        <v>4439</v>
      </c>
      <c r="H2389" s="55" t="s">
        <v>4440</v>
      </c>
      <c r="I2389" s="55" t="s">
        <v>354</v>
      </c>
      <c r="J2389" s="55" t="s">
        <v>2457</v>
      </c>
      <c r="L2389" s="55" t="s">
        <v>4441</v>
      </c>
      <c r="M2389" s="55" t="s">
        <v>172</v>
      </c>
      <c r="N2389" s="55" t="s">
        <v>172</v>
      </c>
      <c r="O2389" s="55" t="s">
        <v>211</v>
      </c>
      <c r="P2389" s="55" t="s">
        <v>2228</v>
      </c>
      <c r="Q2389" s="55" t="s">
        <v>350</v>
      </c>
      <c r="R2389" s="55"/>
      <c r="S2389" s="74"/>
      <c r="T2389" s="55" t="s">
        <v>4439</v>
      </c>
      <c r="U2389" s="73" t="s">
        <v>351</v>
      </c>
      <c r="V2389" s="74">
        <v>44487</v>
      </c>
      <c r="W2389" s="74">
        <v>44537</v>
      </c>
      <c r="X2389" s="55">
        <v>10183342</v>
      </c>
      <c r="Y2389" s="55" t="s">
        <v>130</v>
      </c>
      <c r="AB2389" s="55" t="s">
        <v>130</v>
      </c>
      <c r="AC2389" s="55" t="s">
        <v>130</v>
      </c>
    </row>
    <row r="2390" spans="1:29" ht="13" x14ac:dyDescent="0.15">
      <c r="A2390" s="72" t="str">
        <f t="shared" si="37"/>
        <v>Ofsted Social Care Provider Webpage</v>
      </c>
      <c r="B2390" s="55" t="s">
        <v>4442</v>
      </c>
      <c r="C2390" s="55">
        <v>137739</v>
      </c>
      <c r="D2390" s="55" t="s">
        <v>398</v>
      </c>
      <c r="E2390" s="74">
        <v>38041</v>
      </c>
      <c r="F2390" s="55" t="s">
        <v>344</v>
      </c>
      <c r="G2390" s="55" t="s">
        <v>4443</v>
      </c>
      <c r="H2390" s="55" t="s">
        <v>4443</v>
      </c>
      <c r="I2390" s="55" t="s">
        <v>4444</v>
      </c>
      <c r="J2390" s="55" t="s">
        <v>4445</v>
      </c>
      <c r="K2390" s="55" t="s">
        <v>203</v>
      </c>
      <c r="L2390" s="55" t="s">
        <v>4446</v>
      </c>
      <c r="M2390" s="55" t="s">
        <v>150</v>
      </c>
      <c r="N2390" s="55" t="s">
        <v>150</v>
      </c>
      <c r="O2390" s="55" t="s">
        <v>203</v>
      </c>
      <c r="P2390" s="55" t="s">
        <v>3469</v>
      </c>
      <c r="Q2390" s="55" t="s">
        <v>420</v>
      </c>
      <c r="R2390" s="55">
        <v>260</v>
      </c>
      <c r="S2390" s="74"/>
      <c r="T2390" s="55" t="s">
        <v>4447</v>
      </c>
      <c r="U2390" s="73" t="s">
        <v>351</v>
      </c>
      <c r="V2390" s="74">
        <v>43235</v>
      </c>
      <c r="W2390" s="74">
        <v>43264</v>
      </c>
      <c r="X2390" s="55">
        <v>10046819</v>
      </c>
      <c r="Y2390" s="55" t="s">
        <v>140</v>
      </c>
      <c r="AB2390" s="55" t="s">
        <v>132</v>
      </c>
      <c r="AC2390" s="55" t="s">
        <v>140</v>
      </c>
    </row>
    <row r="2391" spans="1:29" ht="13" x14ac:dyDescent="0.15">
      <c r="A2391" s="72" t="str">
        <f t="shared" si="37"/>
        <v>Ofsted Social Care Provider Webpage</v>
      </c>
      <c r="B2391" s="55" t="s">
        <v>4448</v>
      </c>
      <c r="D2391" s="55" t="s">
        <v>389</v>
      </c>
      <c r="E2391" s="74">
        <v>38119</v>
      </c>
      <c r="F2391" s="55" t="s">
        <v>344</v>
      </c>
      <c r="G2391" s="55" t="s">
        <v>4449</v>
      </c>
      <c r="H2391" s="55" t="s">
        <v>4450</v>
      </c>
      <c r="I2391" s="55" t="s">
        <v>4451</v>
      </c>
      <c r="J2391" s="55" t="s">
        <v>1936</v>
      </c>
      <c r="K2391" s="55" t="s">
        <v>203</v>
      </c>
      <c r="L2391" s="55" t="s">
        <v>4452</v>
      </c>
      <c r="M2391" s="55" t="s">
        <v>150</v>
      </c>
      <c r="N2391" s="55" t="s">
        <v>150</v>
      </c>
      <c r="O2391" s="55" t="s">
        <v>203</v>
      </c>
      <c r="P2391" s="55" t="s">
        <v>1835</v>
      </c>
      <c r="Q2391" s="55" t="s">
        <v>350</v>
      </c>
      <c r="R2391" s="55"/>
      <c r="S2391" s="74"/>
      <c r="T2391" s="55" t="s">
        <v>4453</v>
      </c>
      <c r="U2391" s="73" t="s">
        <v>351</v>
      </c>
      <c r="V2391" s="74">
        <v>43353</v>
      </c>
      <c r="W2391" s="74">
        <v>43397</v>
      </c>
      <c r="X2391" s="55">
        <v>10045676</v>
      </c>
      <c r="Y2391" s="55" t="s">
        <v>132</v>
      </c>
      <c r="AB2391" s="55" t="s">
        <v>132</v>
      </c>
      <c r="AC2391" s="55" t="s">
        <v>130</v>
      </c>
    </row>
    <row r="2392" spans="1:29" ht="13" x14ac:dyDescent="0.15">
      <c r="A2392" s="72" t="str">
        <f t="shared" si="37"/>
        <v>Ofsted Social Care Provider Webpage</v>
      </c>
      <c r="B2392" s="55" t="s">
        <v>4454</v>
      </c>
      <c r="D2392" s="55" t="s">
        <v>373</v>
      </c>
      <c r="E2392" s="74">
        <v>38462</v>
      </c>
      <c r="F2392" s="55" t="s">
        <v>344</v>
      </c>
      <c r="G2392" s="55" t="s">
        <v>360</v>
      </c>
      <c r="H2392" s="55" t="s">
        <v>360</v>
      </c>
      <c r="I2392" s="55" t="s">
        <v>360</v>
      </c>
      <c r="J2392" s="55" t="s">
        <v>360</v>
      </c>
      <c r="K2392" s="55" t="s">
        <v>360</v>
      </c>
      <c r="L2392" s="55" t="s">
        <v>360</v>
      </c>
      <c r="M2392" s="55" t="s">
        <v>129</v>
      </c>
      <c r="N2392" s="55" t="s">
        <v>129</v>
      </c>
      <c r="O2392" s="55" t="s">
        <v>223</v>
      </c>
      <c r="P2392" s="55" t="s">
        <v>1602</v>
      </c>
      <c r="Q2392" s="55" t="s">
        <v>350</v>
      </c>
      <c r="R2392" s="55">
        <v>8</v>
      </c>
      <c r="S2392" s="74"/>
      <c r="T2392" s="55" t="s">
        <v>4455</v>
      </c>
      <c r="U2392" s="73" t="s">
        <v>351</v>
      </c>
      <c r="V2392" s="74">
        <v>44489</v>
      </c>
      <c r="W2392" s="74">
        <v>44531</v>
      </c>
      <c r="X2392" s="55">
        <v>10186201</v>
      </c>
      <c r="Y2392" s="55" t="s">
        <v>130</v>
      </c>
      <c r="AB2392" s="55" t="s">
        <v>130</v>
      </c>
      <c r="AC2392" s="55" t="s">
        <v>130</v>
      </c>
    </row>
    <row r="2393" spans="1:29" ht="13" x14ac:dyDescent="0.15">
      <c r="A2393" s="72" t="str">
        <f t="shared" si="37"/>
        <v>Ofsted Social Care Provider Webpage</v>
      </c>
      <c r="B2393" s="55" t="s">
        <v>4456</v>
      </c>
      <c r="D2393" s="55" t="s">
        <v>373</v>
      </c>
      <c r="E2393" s="74">
        <v>38135</v>
      </c>
      <c r="F2393" s="55" t="s">
        <v>344</v>
      </c>
      <c r="G2393" s="55" t="s">
        <v>360</v>
      </c>
      <c r="H2393" s="55" t="s">
        <v>360</v>
      </c>
      <c r="I2393" s="55" t="s">
        <v>360</v>
      </c>
      <c r="J2393" s="55" t="s">
        <v>360</v>
      </c>
      <c r="K2393" s="55" t="s">
        <v>360</v>
      </c>
      <c r="L2393" s="55" t="s">
        <v>360</v>
      </c>
      <c r="M2393" s="55" t="s">
        <v>142</v>
      </c>
      <c r="N2393" s="55" t="s">
        <v>142</v>
      </c>
      <c r="O2393" s="55" t="s">
        <v>262</v>
      </c>
      <c r="P2393" s="55" t="s">
        <v>488</v>
      </c>
      <c r="Q2393" s="55" t="s">
        <v>350</v>
      </c>
      <c r="R2393" s="55">
        <v>3</v>
      </c>
      <c r="S2393" s="74"/>
      <c r="T2393" s="55" t="s">
        <v>4081</v>
      </c>
      <c r="U2393" s="73" t="s">
        <v>351</v>
      </c>
      <c r="V2393" s="74">
        <v>44418</v>
      </c>
      <c r="W2393" s="74">
        <v>44467</v>
      </c>
      <c r="X2393" s="55">
        <v>10195152</v>
      </c>
      <c r="Y2393" s="55" t="s">
        <v>130</v>
      </c>
      <c r="AB2393" s="55" t="s">
        <v>130</v>
      </c>
      <c r="AC2393" s="55" t="s">
        <v>130</v>
      </c>
    </row>
    <row r="2394" spans="1:29" ht="13" x14ac:dyDescent="0.15">
      <c r="A2394" s="72" t="str">
        <f t="shared" si="37"/>
        <v>Ofsted Social Care Provider Webpage</v>
      </c>
      <c r="B2394" s="55" t="s">
        <v>4457</v>
      </c>
      <c r="D2394" s="55" t="s">
        <v>373</v>
      </c>
      <c r="E2394" s="74">
        <v>38250</v>
      </c>
      <c r="F2394" s="55" t="s">
        <v>344</v>
      </c>
      <c r="G2394" s="55" t="s">
        <v>360</v>
      </c>
      <c r="H2394" s="55" t="s">
        <v>360</v>
      </c>
      <c r="I2394" s="55" t="s">
        <v>360</v>
      </c>
      <c r="J2394" s="55" t="s">
        <v>360</v>
      </c>
      <c r="K2394" s="55" t="s">
        <v>360</v>
      </c>
      <c r="L2394" s="55" t="s">
        <v>360</v>
      </c>
      <c r="M2394" s="55" t="s">
        <v>144</v>
      </c>
      <c r="N2394" s="55" t="s">
        <v>144</v>
      </c>
      <c r="O2394" s="55" t="s">
        <v>162</v>
      </c>
      <c r="P2394" s="55" t="s">
        <v>686</v>
      </c>
      <c r="Q2394" s="55" t="s">
        <v>350</v>
      </c>
      <c r="R2394" s="55">
        <v>3</v>
      </c>
      <c r="S2394" s="74"/>
      <c r="T2394" s="55" t="s">
        <v>2811</v>
      </c>
      <c r="U2394" s="73" t="s">
        <v>351</v>
      </c>
      <c r="V2394" s="74">
        <v>44419</v>
      </c>
      <c r="W2394" s="74">
        <v>44454</v>
      </c>
      <c r="X2394" s="55">
        <v>10185570</v>
      </c>
      <c r="Y2394" s="55" t="s">
        <v>132</v>
      </c>
      <c r="AB2394" s="55" t="s">
        <v>132</v>
      </c>
      <c r="AC2394" s="55" t="s">
        <v>132</v>
      </c>
    </row>
    <row r="2395" spans="1:29" ht="13" x14ac:dyDescent="0.15">
      <c r="A2395" s="72" t="str">
        <f t="shared" si="37"/>
        <v>Ofsted Social Care Provider Webpage</v>
      </c>
      <c r="B2395" s="55" t="s">
        <v>4458</v>
      </c>
      <c r="D2395" s="55" t="s">
        <v>389</v>
      </c>
      <c r="E2395" s="74">
        <v>38456</v>
      </c>
      <c r="F2395" s="55" t="s">
        <v>344</v>
      </c>
      <c r="G2395" s="55" t="s">
        <v>3110</v>
      </c>
      <c r="H2395" s="55" t="s">
        <v>4459</v>
      </c>
      <c r="I2395" s="55" t="s">
        <v>4460</v>
      </c>
      <c r="J2395" s="55" t="s">
        <v>523</v>
      </c>
      <c r="K2395" s="55" t="s">
        <v>262</v>
      </c>
      <c r="L2395" s="55" t="s">
        <v>4461</v>
      </c>
      <c r="M2395" s="55" t="s">
        <v>142</v>
      </c>
      <c r="N2395" s="55" t="s">
        <v>142</v>
      </c>
      <c r="O2395" s="55" t="s">
        <v>262</v>
      </c>
      <c r="P2395" s="55" t="s">
        <v>523</v>
      </c>
      <c r="Q2395" s="55" t="s">
        <v>350</v>
      </c>
      <c r="R2395" s="55"/>
      <c r="S2395" s="74"/>
      <c r="T2395" s="55" t="s">
        <v>3110</v>
      </c>
      <c r="U2395" s="73" t="s">
        <v>351</v>
      </c>
      <c r="V2395" s="74">
        <v>43290</v>
      </c>
      <c r="W2395" s="74">
        <v>43311</v>
      </c>
      <c r="X2395" s="55">
        <v>10045581</v>
      </c>
      <c r="Y2395" s="55" t="s">
        <v>132</v>
      </c>
      <c r="AB2395" s="55" t="s">
        <v>132</v>
      </c>
      <c r="AC2395" s="55" t="s">
        <v>132</v>
      </c>
    </row>
    <row r="2396" spans="1:29" ht="13" x14ac:dyDescent="0.15">
      <c r="A2396" s="72" t="str">
        <f t="shared" si="37"/>
        <v>Ofsted Social Care Provider Webpage</v>
      </c>
      <c r="B2396" s="55" t="s">
        <v>4462</v>
      </c>
      <c r="D2396" s="55" t="s">
        <v>389</v>
      </c>
      <c r="E2396" s="74">
        <v>38061</v>
      </c>
      <c r="F2396" s="55" t="s">
        <v>344</v>
      </c>
      <c r="G2396" s="55" t="s">
        <v>3122</v>
      </c>
      <c r="H2396" s="55" t="s">
        <v>4463</v>
      </c>
      <c r="I2396" s="55" t="s">
        <v>4464</v>
      </c>
      <c r="J2396" s="55" t="s">
        <v>251</v>
      </c>
      <c r="L2396" s="55" t="s">
        <v>4465</v>
      </c>
      <c r="M2396" s="55" t="s">
        <v>378</v>
      </c>
      <c r="N2396" s="55" t="s">
        <v>134</v>
      </c>
      <c r="O2396" s="55" t="s">
        <v>251</v>
      </c>
      <c r="P2396" s="55" t="s">
        <v>3363</v>
      </c>
      <c r="Q2396" s="55" t="s">
        <v>362</v>
      </c>
      <c r="R2396" s="55"/>
      <c r="S2396" s="74"/>
      <c r="T2396" s="55" t="s">
        <v>3122</v>
      </c>
      <c r="U2396" s="73" t="s">
        <v>351</v>
      </c>
      <c r="V2396" s="74">
        <v>44627</v>
      </c>
      <c r="W2396" s="74">
        <v>44680</v>
      </c>
      <c r="X2396" s="55">
        <v>10183380</v>
      </c>
      <c r="Y2396" s="55" t="s">
        <v>132</v>
      </c>
      <c r="AB2396" s="55" t="s">
        <v>132</v>
      </c>
      <c r="AC2396" s="55" t="s">
        <v>132</v>
      </c>
    </row>
    <row r="2397" spans="1:29" ht="13" x14ac:dyDescent="0.15">
      <c r="A2397" s="72" t="str">
        <f t="shared" si="37"/>
        <v>Ofsted Social Care Provider Webpage</v>
      </c>
      <c r="B2397" s="55" t="s">
        <v>4466</v>
      </c>
      <c r="D2397" s="55" t="s">
        <v>373</v>
      </c>
      <c r="E2397" s="74">
        <v>38160</v>
      </c>
      <c r="F2397" s="55" t="s">
        <v>344</v>
      </c>
      <c r="G2397" s="55" t="s">
        <v>360</v>
      </c>
      <c r="H2397" s="55" t="s">
        <v>360</v>
      </c>
      <c r="I2397" s="55" t="s">
        <v>360</v>
      </c>
      <c r="J2397" s="55" t="s">
        <v>360</v>
      </c>
      <c r="K2397" s="55" t="s">
        <v>360</v>
      </c>
      <c r="L2397" s="55" t="s">
        <v>360</v>
      </c>
      <c r="M2397" s="55" t="s">
        <v>138</v>
      </c>
      <c r="N2397" s="55" t="s">
        <v>138</v>
      </c>
      <c r="O2397" s="55" t="s">
        <v>224</v>
      </c>
      <c r="P2397" s="55" t="s">
        <v>1552</v>
      </c>
      <c r="Q2397" s="55" t="s">
        <v>362</v>
      </c>
      <c r="R2397" s="55">
        <v>4</v>
      </c>
      <c r="S2397" s="74"/>
      <c r="T2397" s="55" t="s">
        <v>557</v>
      </c>
      <c r="U2397" s="73" t="s">
        <v>351</v>
      </c>
      <c r="V2397" s="74">
        <v>44376</v>
      </c>
      <c r="W2397" s="74">
        <v>44400</v>
      </c>
      <c r="X2397" s="55">
        <v>10185318</v>
      </c>
      <c r="Y2397" s="55" t="s">
        <v>132</v>
      </c>
      <c r="AB2397" s="55" t="s">
        <v>132</v>
      </c>
      <c r="AC2397" s="55" t="s">
        <v>132</v>
      </c>
    </row>
    <row r="2398" spans="1:29" ht="13" x14ac:dyDescent="0.15">
      <c r="A2398" s="72" t="str">
        <f t="shared" si="37"/>
        <v>Ofsted Social Care Provider Webpage</v>
      </c>
      <c r="B2398" s="55" t="s">
        <v>4467</v>
      </c>
      <c r="D2398" s="55" t="s">
        <v>373</v>
      </c>
      <c r="E2398" s="74">
        <v>38162</v>
      </c>
      <c r="F2398" s="55" t="s">
        <v>344</v>
      </c>
      <c r="G2398" s="55" t="s">
        <v>360</v>
      </c>
      <c r="H2398" s="55" t="s">
        <v>360</v>
      </c>
      <c r="I2398" s="55" t="s">
        <v>360</v>
      </c>
      <c r="J2398" s="55" t="s">
        <v>360</v>
      </c>
      <c r="K2398" s="55" t="s">
        <v>360</v>
      </c>
      <c r="L2398" s="55" t="s">
        <v>360</v>
      </c>
      <c r="M2398" s="55" t="s">
        <v>144</v>
      </c>
      <c r="N2398" s="55" t="s">
        <v>144</v>
      </c>
      <c r="O2398" s="55" t="s">
        <v>209</v>
      </c>
      <c r="P2398" s="55" t="s">
        <v>650</v>
      </c>
      <c r="Q2398" s="55" t="s">
        <v>350</v>
      </c>
      <c r="R2398" s="55">
        <v>3</v>
      </c>
      <c r="S2398" s="74"/>
      <c r="T2398" s="55" t="s">
        <v>4468</v>
      </c>
      <c r="U2398" s="73" t="s">
        <v>351</v>
      </c>
      <c r="V2398" s="74">
        <v>44363</v>
      </c>
      <c r="W2398" s="74">
        <v>44404</v>
      </c>
      <c r="X2398" s="55">
        <v>10186837</v>
      </c>
      <c r="Y2398" s="55" t="s">
        <v>132</v>
      </c>
      <c r="AB2398" s="55" t="s">
        <v>132</v>
      </c>
      <c r="AC2398" s="55" t="s">
        <v>130</v>
      </c>
    </row>
    <row r="2399" spans="1:29" ht="13" x14ac:dyDescent="0.15">
      <c r="A2399" s="72" t="str">
        <f t="shared" si="37"/>
        <v>Ofsted Social Care Provider Webpage</v>
      </c>
      <c r="B2399" s="55" t="s">
        <v>4469</v>
      </c>
      <c r="D2399" s="55" t="s">
        <v>373</v>
      </c>
      <c r="E2399" s="74">
        <v>38244</v>
      </c>
      <c r="F2399" s="55" t="s">
        <v>344</v>
      </c>
      <c r="G2399" s="55" t="s">
        <v>360</v>
      </c>
      <c r="H2399" s="55" t="s">
        <v>360</v>
      </c>
      <c r="I2399" s="55" t="s">
        <v>360</v>
      </c>
      <c r="J2399" s="55" t="s">
        <v>360</v>
      </c>
      <c r="K2399" s="55" t="s">
        <v>360</v>
      </c>
      <c r="L2399" s="55" t="s">
        <v>360</v>
      </c>
      <c r="M2399" s="55" t="s">
        <v>378</v>
      </c>
      <c r="N2399" s="55" t="s">
        <v>134</v>
      </c>
      <c r="O2399" s="55" t="s">
        <v>277</v>
      </c>
      <c r="P2399" s="55" t="s">
        <v>461</v>
      </c>
      <c r="Q2399" s="55" t="s">
        <v>350</v>
      </c>
      <c r="R2399" s="55">
        <v>2</v>
      </c>
      <c r="S2399" s="74"/>
      <c r="T2399" s="55" t="s">
        <v>2448</v>
      </c>
      <c r="U2399" s="73" t="s">
        <v>351</v>
      </c>
      <c r="V2399" s="74">
        <v>44488</v>
      </c>
      <c r="W2399" s="74">
        <v>44531</v>
      </c>
      <c r="X2399" s="55">
        <v>10185493</v>
      </c>
      <c r="Y2399" s="55" t="s">
        <v>132</v>
      </c>
      <c r="AB2399" s="55" t="s">
        <v>132</v>
      </c>
      <c r="AC2399" s="55" t="s">
        <v>132</v>
      </c>
    </row>
    <row r="2400" spans="1:29" ht="13" x14ac:dyDescent="0.15">
      <c r="A2400" s="72" t="str">
        <f t="shared" si="37"/>
        <v>Ofsted Social Care Provider Webpage</v>
      </c>
      <c r="B2400" s="55" t="s">
        <v>4470</v>
      </c>
      <c r="D2400" s="55" t="s">
        <v>373</v>
      </c>
      <c r="E2400" s="74">
        <v>38090</v>
      </c>
      <c r="F2400" s="55" t="s">
        <v>344</v>
      </c>
      <c r="G2400" s="55" t="s">
        <v>360</v>
      </c>
      <c r="H2400" s="55" t="s">
        <v>360</v>
      </c>
      <c r="I2400" s="55" t="s">
        <v>360</v>
      </c>
      <c r="J2400" s="55" t="s">
        <v>360</v>
      </c>
      <c r="K2400" s="55" t="s">
        <v>360</v>
      </c>
      <c r="L2400" s="55" t="s">
        <v>360</v>
      </c>
      <c r="M2400" s="55" t="s">
        <v>136</v>
      </c>
      <c r="N2400" s="55" t="s">
        <v>136</v>
      </c>
      <c r="O2400" s="55" t="s">
        <v>255</v>
      </c>
      <c r="P2400" s="55" t="s">
        <v>757</v>
      </c>
      <c r="Q2400" s="55" t="s">
        <v>350</v>
      </c>
      <c r="R2400" s="55">
        <v>3</v>
      </c>
      <c r="S2400" s="74"/>
      <c r="T2400" s="55" t="s">
        <v>4019</v>
      </c>
      <c r="U2400" s="73" t="s">
        <v>351</v>
      </c>
      <c r="V2400" s="74">
        <v>44314</v>
      </c>
      <c r="W2400" s="74">
        <v>44343</v>
      </c>
      <c r="X2400" s="55">
        <v>10185511</v>
      </c>
      <c r="Y2400" s="55" t="s">
        <v>132</v>
      </c>
      <c r="AB2400" s="55" t="s">
        <v>132</v>
      </c>
      <c r="AC2400" s="55" t="s">
        <v>132</v>
      </c>
    </row>
    <row r="2401" spans="1:29" ht="13" x14ac:dyDescent="0.15">
      <c r="A2401" s="72" t="str">
        <f t="shared" si="37"/>
        <v>Ofsted Social Care Provider Webpage</v>
      </c>
      <c r="B2401" s="55" t="s">
        <v>4471</v>
      </c>
      <c r="D2401" s="55" t="s">
        <v>373</v>
      </c>
      <c r="E2401" s="74">
        <v>38252</v>
      </c>
      <c r="F2401" s="55" t="s">
        <v>344</v>
      </c>
      <c r="G2401" s="55" t="s">
        <v>360</v>
      </c>
      <c r="H2401" s="55" t="s">
        <v>360</v>
      </c>
      <c r="I2401" s="55" t="s">
        <v>360</v>
      </c>
      <c r="J2401" s="55" t="s">
        <v>360</v>
      </c>
      <c r="K2401" s="55" t="s">
        <v>360</v>
      </c>
      <c r="L2401" s="55" t="s">
        <v>360</v>
      </c>
      <c r="M2401" s="55" t="s">
        <v>138</v>
      </c>
      <c r="N2401" s="55" t="s">
        <v>138</v>
      </c>
      <c r="O2401" s="55" t="s">
        <v>266</v>
      </c>
      <c r="P2401" s="55" t="s">
        <v>4472</v>
      </c>
      <c r="Q2401" s="55" t="s">
        <v>350</v>
      </c>
      <c r="R2401" s="55">
        <v>8</v>
      </c>
      <c r="S2401" s="74"/>
      <c r="T2401" s="55" t="s">
        <v>4473</v>
      </c>
      <c r="U2401" s="73" t="s">
        <v>351</v>
      </c>
      <c r="V2401" s="74">
        <v>44334</v>
      </c>
      <c r="W2401" s="74">
        <v>44363</v>
      </c>
      <c r="X2401" s="55">
        <v>10185345</v>
      </c>
      <c r="Y2401" s="55" t="s">
        <v>130</v>
      </c>
      <c r="AB2401" s="55" t="s">
        <v>130</v>
      </c>
      <c r="AC2401" s="55" t="s">
        <v>130</v>
      </c>
    </row>
    <row r="2402" spans="1:29" ht="13" x14ac:dyDescent="0.15">
      <c r="A2402" s="72" t="str">
        <f t="shared" si="37"/>
        <v>Ofsted Social Care Provider Webpage</v>
      </c>
      <c r="B2402" s="55" t="s">
        <v>4474</v>
      </c>
      <c r="D2402" s="55" t="s">
        <v>389</v>
      </c>
      <c r="E2402" s="74">
        <v>38221</v>
      </c>
      <c r="F2402" s="55" t="s">
        <v>344</v>
      </c>
      <c r="G2402" s="55" t="s">
        <v>4475</v>
      </c>
      <c r="H2402" s="55" t="s">
        <v>4476</v>
      </c>
      <c r="I2402" s="55" t="s">
        <v>354</v>
      </c>
      <c r="J2402" s="55" t="s">
        <v>4477</v>
      </c>
      <c r="K2402" s="55" t="s">
        <v>285</v>
      </c>
      <c r="L2402" s="55" t="s">
        <v>4478</v>
      </c>
      <c r="M2402" s="55" t="s">
        <v>150</v>
      </c>
      <c r="N2402" s="55" t="s">
        <v>150</v>
      </c>
      <c r="O2402" s="55" t="s">
        <v>285</v>
      </c>
      <c r="P2402" s="55" t="s">
        <v>2001</v>
      </c>
      <c r="Q2402" s="55" t="s">
        <v>350</v>
      </c>
      <c r="R2402" s="55"/>
      <c r="S2402" s="74"/>
      <c r="T2402" s="55" t="s">
        <v>4475</v>
      </c>
      <c r="U2402" s="73" t="s">
        <v>351</v>
      </c>
      <c r="V2402" s="74">
        <v>43255</v>
      </c>
      <c r="W2402" s="74">
        <v>43291</v>
      </c>
      <c r="X2402" s="55">
        <v>10046833</v>
      </c>
      <c r="Y2402" s="55" t="s">
        <v>132</v>
      </c>
      <c r="AB2402" s="55" t="s">
        <v>132</v>
      </c>
      <c r="AC2402" s="55" t="s">
        <v>130</v>
      </c>
    </row>
    <row r="2403" spans="1:29" ht="13" x14ac:dyDescent="0.15">
      <c r="A2403" s="72" t="str">
        <f t="shared" si="37"/>
        <v>Ofsted Social Care Provider Webpage</v>
      </c>
      <c r="B2403" s="55" t="s">
        <v>4479</v>
      </c>
      <c r="D2403" s="55" t="s">
        <v>373</v>
      </c>
      <c r="E2403" s="74">
        <v>38162</v>
      </c>
      <c r="F2403" s="55" t="s">
        <v>344</v>
      </c>
      <c r="G2403" s="55" t="s">
        <v>360</v>
      </c>
      <c r="H2403" s="55" t="s">
        <v>360</v>
      </c>
      <c r="I2403" s="55" t="s">
        <v>360</v>
      </c>
      <c r="J2403" s="55" t="s">
        <v>360</v>
      </c>
      <c r="K2403" s="55" t="s">
        <v>360</v>
      </c>
      <c r="L2403" s="55" t="s">
        <v>360</v>
      </c>
      <c r="M2403" s="55" t="s">
        <v>378</v>
      </c>
      <c r="N2403" s="55" t="s">
        <v>134</v>
      </c>
      <c r="O2403" s="55" t="s">
        <v>151</v>
      </c>
      <c r="P2403" s="55" t="s">
        <v>3141</v>
      </c>
      <c r="Q2403" s="55" t="s">
        <v>380</v>
      </c>
      <c r="R2403" s="55">
        <v>6</v>
      </c>
      <c r="S2403" s="74"/>
      <c r="T2403" s="55" t="s">
        <v>1220</v>
      </c>
      <c r="U2403" s="73" t="s">
        <v>351</v>
      </c>
      <c r="V2403" s="74">
        <v>44572</v>
      </c>
      <c r="W2403" s="74">
        <v>44616</v>
      </c>
      <c r="X2403" s="55">
        <v>10205477</v>
      </c>
      <c r="Y2403" s="55" t="s">
        <v>132</v>
      </c>
      <c r="AB2403" s="55" t="s">
        <v>132</v>
      </c>
      <c r="AC2403" s="55" t="s">
        <v>130</v>
      </c>
    </row>
    <row r="2404" spans="1:29" ht="13" x14ac:dyDescent="0.15">
      <c r="A2404" s="72" t="str">
        <f t="shared" si="37"/>
        <v>Ofsted Social Care Provider Webpage</v>
      </c>
      <c r="B2404" s="55" t="s">
        <v>4480</v>
      </c>
      <c r="D2404" s="55" t="s">
        <v>373</v>
      </c>
      <c r="E2404" s="74">
        <v>38127</v>
      </c>
      <c r="F2404" s="55" t="s">
        <v>344</v>
      </c>
      <c r="G2404" s="55" t="s">
        <v>360</v>
      </c>
      <c r="H2404" s="55" t="s">
        <v>360</v>
      </c>
      <c r="I2404" s="55" t="s">
        <v>360</v>
      </c>
      <c r="J2404" s="55" t="s">
        <v>360</v>
      </c>
      <c r="K2404" s="55" t="s">
        <v>360</v>
      </c>
      <c r="L2404" s="55" t="s">
        <v>360</v>
      </c>
      <c r="M2404" s="55" t="s">
        <v>144</v>
      </c>
      <c r="N2404" s="55" t="s">
        <v>144</v>
      </c>
      <c r="O2404" s="55" t="s">
        <v>168</v>
      </c>
      <c r="P2404" s="55" t="s">
        <v>913</v>
      </c>
      <c r="Q2404" s="55" t="s">
        <v>350</v>
      </c>
      <c r="R2404" s="55">
        <v>1</v>
      </c>
      <c r="S2404" s="74"/>
      <c r="T2404" s="55" t="s">
        <v>915</v>
      </c>
      <c r="U2404" s="73" t="s">
        <v>351</v>
      </c>
      <c r="V2404" s="74">
        <v>44411</v>
      </c>
      <c r="W2404" s="74">
        <v>44454</v>
      </c>
      <c r="X2404" s="55">
        <v>10187436</v>
      </c>
      <c r="Y2404" s="55" t="s">
        <v>146</v>
      </c>
      <c r="AB2404" s="55" t="s">
        <v>146</v>
      </c>
      <c r="AC2404" s="55" t="s">
        <v>146</v>
      </c>
    </row>
    <row r="2405" spans="1:29" ht="13" x14ac:dyDescent="0.15">
      <c r="A2405" s="72" t="str">
        <f t="shared" si="37"/>
        <v>Ofsted Social Care Provider Webpage</v>
      </c>
      <c r="B2405" s="55" t="s">
        <v>4481</v>
      </c>
      <c r="C2405" s="55">
        <v>130698</v>
      </c>
      <c r="D2405" s="55" t="s">
        <v>693</v>
      </c>
      <c r="E2405" s="74">
        <v>38097</v>
      </c>
      <c r="F2405" s="55" t="s">
        <v>344</v>
      </c>
      <c r="G2405" s="55" t="s">
        <v>4482</v>
      </c>
      <c r="H2405" s="55" t="s">
        <v>4483</v>
      </c>
      <c r="I2405" s="55" t="s">
        <v>4484</v>
      </c>
      <c r="J2405" s="55" t="s">
        <v>966</v>
      </c>
      <c r="K2405" s="55" t="s">
        <v>190</v>
      </c>
      <c r="L2405" s="55" t="s">
        <v>4485</v>
      </c>
      <c r="M2405" s="55" t="s">
        <v>150</v>
      </c>
      <c r="N2405" s="55" t="s">
        <v>150</v>
      </c>
      <c r="O2405" s="55" t="s">
        <v>190</v>
      </c>
      <c r="P2405" s="55" t="s">
        <v>966</v>
      </c>
      <c r="Q2405" s="55" t="s">
        <v>362</v>
      </c>
      <c r="R2405" s="55">
        <v>192</v>
      </c>
      <c r="S2405" s="74"/>
      <c r="T2405" s="55" t="s">
        <v>4486</v>
      </c>
      <c r="U2405" s="73" t="s">
        <v>351</v>
      </c>
      <c r="V2405" s="74">
        <v>43235</v>
      </c>
      <c r="W2405" s="74">
        <v>43258</v>
      </c>
      <c r="X2405" s="55">
        <v>10046865</v>
      </c>
      <c r="Y2405" s="55" t="s">
        <v>140</v>
      </c>
      <c r="AB2405" s="55" t="s">
        <v>140</v>
      </c>
      <c r="AC2405" s="55" t="s">
        <v>140</v>
      </c>
    </row>
    <row r="2406" spans="1:29" ht="13" x14ac:dyDescent="0.15">
      <c r="A2406" s="72" t="str">
        <f t="shared" si="37"/>
        <v>Ofsted Social Care Provider Webpage</v>
      </c>
      <c r="B2406" s="55" t="s">
        <v>4487</v>
      </c>
      <c r="C2406" s="55">
        <v>138356</v>
      </c>
      <c r="D2406" s="55" t="s">
        <v>398</v>
      </c>
      <c r="E2406" s="74">
        <v>38103</v>
      </c>
      <c r="F2406" s="55" t="s">
        <v>344</v>
      </c>
      <c r="G2406" s="55" t="s">
        <v>4488</v>
      </c>
      <c r="H2406" s="55" t="s">
        <v>4489</v>
      </c>
      <c r="I2406" s="55" t="s">
        <v>354</v>
      </c>
      <c r="J2406" s="55" t="s">
        <v>4490</v>
      </c>
      <c r="K2406" s="55" t="s">
        <v>196</v>
      </c>
      <c r="L2406" s="55" t="s">
        <v>4491</v>
      </c>
      <c r="M2406" s="55" t="s">
        <v>138</v>
      </c>
      <c r="N2406" s="55" t="s">
        <v>138</v>
      </c>
      <c r="O2406" s="55" t="s">
        <v>196</v>
      </c>
      <c r="P2406" s="55" t="s">
        <v>1360</v>
      </c>
      <c r="Q2406" s="55" t="s">
        <v>420</v>
      </c>
      <c r="R2406" s="55">
        <v>137</v>
      </c>
      <c r="S2406" s="74"/>
      <c r="T2406" s="55" t="s">
        <v>4492</v>
      </c>
      <c r="U2406" s="73" t="s">
        <v>351</v>
      </c>
      <c r="V2406" s="74">
        <v>43655</v>
      </c>
      <c r="W2406" s="74">
        <v>43713</v>
      </c>
      <c r="X2406" s="55">
        <v>10092965</v>
      </c>
      <c r="Y2406" s="55" t="s">
        <v>132</v>
      </c>
      <c r="AB2406" s="55" t="s">
        <v>132</v>
      </c>
      <c r="AC2406" s="55" t="s">
        <v>132</v>
      </c>
    </row>
    <row r="2407" spans="1:29" ht="13" x14ac:dyDescent="0.15">
      <c r="A2407" s="72" t="str">
        <f t="shared" si="37"/>
        <v>Ofsted Social Care Provider Webpage</v>
      </c>
      <c r="B2407" s="55" t="s">
        <v>4493</v>
      </c>
      <c r="D2407" s="55" t="s">
        <v>373</v>
      </c>
      <c r="E2407" s="74">
        <v>38145</v>
      </c>
      <c r="F2407" s="55" t="s">
        <v>344</v>
      </c>
      <c r="G2407" s="55" t="s">
        <v>360</v>
      </c>
      <c r="H2407" s="55" t="s">
        <v>360</v>
      </c>
      <c r="I2407" s="55" t="s">
        <v>360</v>
      </c>
      <c r="J2407" s="55" t="s">
        <v>360</v>
      </c>
      <c r="K2407" s="55" t="s">
        <v>360</v>
      </c>
      <c r="L2407" s="55" t="s">
        <v>360</v>
      </c>
      <c r="M2407" s="55" t="s">
        <v>136</v>
      </c>
      <c r="N2407" s="55" t="s">
        <v>136</v>
      </c>
      <c r="O2407" s="55" t="s">
        <v>154</v>
      </c>
      <c r="P2407" s="55" t="s">
        <v>2290</v>
      </c>
      <c r="Q2407" s="55" t="s">
        <v>380</v>
      </c>
      <c r="R2407" s="55">
        <v>5</v>
      </c>
      <c r="S2407" s="74"/>
      <c r="T2407" s="55" t="s">
        <v>1687</v>
      </c>
      <c r="U2407" s="73" t="s">
        <v>351</v>
      </c>
      <c r="V2407" s="74">
        <v>44342</v>
      </c>
      <c r="W2407" s="74">
        <v>44379</v>
      </c>
      <c r="X2407" s="55">
        <v>10186959</v>
      </c>
      <c r="Y2407" s="55" t="s">
        <v>130</v>
      </c>
      <c r="AB2407" s="55" t="s">
        <v>130</v>
      </c>
      <c r="AC2407" s="55" t="s">
        <v>130</v>
      </c>
    </row>
    <row r="2408" spans="1:29" ht="13" x14ac:dyDescent="0.15">
      <c r="A2408" s="72" t="str">
        <f t="shared" si="37"/>
        <v>Ofsted Social Care Provider Webpage</v>
      </c>
      <c r="B2408" s="55" t="s">
        <v>4494</v>
      </c>
      <c r="C2408" s="55">
        <v>130692</v>
      </c>
      <c r="D2408" s="55" t="s">
        <v>693</v>
      </c>
      <c r="E2408" s="74">
        <v>38105</v>
      </c>
      <c r="F2408" s="55" t="s">
        <v>344</v>
      </c>
      <c r="G2408" s="55" t="s">
        <v>4495</v>
      </c>
      <c r="H2408" s="55" t="s">
        <v>4496</v>
      </c>
      <c r="I2408" s="55" t="s">
        <v>4497</v>
      </c>
      <c r="J2408" s="55" t="s">
        <v>966</v>
      </c>
      <c r="K2408" s="55" t="s">
        <v>190</v>
      </c>
      <c r="L2408" s="55" t="s">
        <v>4498</v>
      </c>
      <c r="M2408" s="55" t="s">
        <v>150</v>
      </c>
      <c r="N2408" s="55" t="s">
        <v>150</v>
      </c>
      <c r="O2408" s="55" t="s">
        <v>190</v>
      </c>
      <c r="P2408" s="55" t="s">
        <v>966</v>
      </c>
      <c r="Q2408" s="55" t="s">
        <v>362</v>
      </c>
      <c r="R2408" s="55">
        <v>15</v>
      </c>
      <c r="S2408" s="74"/>
      <c r="T2408" s="55" t="s">
        <v>4495</v>
      </c>
      <c r="U2408" s="73" t="s">
        <v>351</v>
      </c>
      <c r="V2408" s="74">
        <v>43620</v>
      </c>
      <c r="W2408" s="74">
        <v>43661</v>
      </c>
      <c r="X2408" s="55">
        <v>10092980</v>
      </c>
      <c r="Y2408" s="55" t="s">
        <v>140</v>
      </c>
      <c r="AB2408" s="55" t="s">
        <v>140</v>
      </c>
      <c r="AC2408" s="55" t="s">
        <v>140</v>
      </c>
    </row>
    <row r="2409" spans="1:29" ht="13" x14ac:dyDescent="0.15">
      <c r="A2409" s="72" t="str">
        <f t="shared" si="37"/>
        <v>Ofsted Social Care Provider Webpage</v>
      </c>
      <c r="B2409" s="55" t="s">
        <v>4499</v>
      </c>
      <c r="D2409" s="55" t="s">
        <v>389</v>
      </c>
      <c r="E2409" s="74">
        <v>38272</v>
      </c>
      <c r="F2409" s="55" t="s">
        <v>344</v>
      </c>
      <c r="G2409" s="55" t="s">
        <v>4500</v>
      </c>
      <c r="H2409" s="55" t="s">
        <v>4501</v>
      </c>
      <c r="I2409" s="55" t="s">
        <v>4502</v>
      </c>
      <c r="J2409" s="55" t="s">
        <v>2176</v>
      </c>
      <c r="K2409" s="55" t="s">
        <v>224</v>
      </c>
      <c r="L2409" s="55" t="s">
        <v>4503</v>
      </c>
      <c r="M2409" s="55" t="s">
        <v>138</v>
      </c>
      <c r="N2409" s="55" t="s">
        <v>138</v>
      </c>
      <c r="O2409" s="55" t="s">
        <v>224</v>
      </c>
      <c r="P2409" s="55" t="s">
        <v>2176</v>
      </c>
      <c r="Q2409" s="55" t="s">
        <v>350</v>
      </c>
      <c r="R2409" s="55"/>
      <c r="S2409" s="74"/>
      <c r="T2409" s="55" t="s">
        <v>3529</v>
      </c>
      <c r="U2409" s="73" t="s">
        <v>351</v>
      </c>
      <c r="V2409" s="74">
        <v>43535</v>
      </c>
      <c r="W2409" s="74">
        <v>43558</v>
      </c>
      <c r="X2409" s="55">
        <v>10045661</v>
      </c>
      <c r="Y2409" s="55" t="s">
        <v>132</v>
      </c>
      <c r="AB2409" s="55" t="s">
        <v>132</v>
      </c>
      <c r="AC2409" s="55" t="s">
        <v>132</v>
      </c>
    </row>
    <row r="2410" spans="1:29" ht="13" x14ac:dyDescent="0.15">
      <c r="A2410" s="72" t="str">
        <f t="shared" si="37"/>
        <v>Ofsted Social Care Provider Webpage</v>
      </c>
      <c r="B2410" s="55" t="s">
        <v>4504</v>
      </c>
      <c r="D2410" s="55" t="s">
        <v>373</v>
      </c>
      <c r="E2410" s="74">
        <v>38232</v>
      </c>
      <c r="F2410" s="55" t="s">
        <v>344</v>
      </c>
      <c r="G2410" s="55" t="s">
        <v>360</v>
      </c>
      <c r="H2410" s="55" t="s">
        <v>360</v>
      </c>
      <c r="I2410" s="55" t="s">
        <v>360</v>
      </c>
      <c r="J2410" s="55" t="s">
        <v>360</v>
      </c>
      <c r="K2410" s="55" t="s">
        <v>360</v>
      </c>
      <c r="L2410" s="55" t="s">
        <v>360</v>
      </c>
      <c r="M2410" s="55" t="s">
        <v>144</v>
      </c>
      <c r="N2410" s="55" t="s">
        <v>144</v>
      </c>
      <c r="O2410" s="55" t="s">
        <v>261</v>
      </c>
      <c r="P2410" s="55" t="s">
        <v>792</v>
      </c>
      <c r="Q2410" s="55" t="s">
        <v>350</v>
      </c>
      <c r="R2410" s="55">
        <v>1</v>
      </c>
      <c r="S2410" s="74"/>
      <c r="T2410" s="55" t="s">
        <v>4505</v>
      </c>
      <c r="U2410" s="73" t="s">
        <v>351</v>
      </c>
      <c r="V2410" s="74">
        <v>44454</v>
      </c>
      <c r="W2410" s="74">
        <v>44482</v>
      </c>
      <c r="X2410" s="55">
        <v>10185399</v>
      </c>
      <c r="Y2410" s="55" t="s">
        <v>132</v>
      </c>
      <c r="AB2410" s="55" t="s">
        <v>132</v>
      </c>
      <c r="AC2410" s="55" t="s">
        <v>130</v>
      </c>
    </row>
    <row r="2411" spans="1:29" ht="13" x14ac:dyDescent="0.15">
      <c r="A2411" s="72" t="str">
        <f t="shared" si="37"/>
        <v>Ofsted Social Care Provider Webpage</v>
      </c>
      <c r="B2411" s="55" t="s">
        <v>4506</v>
      </c>
      <c r="D2411" s="55" t="s">
        <v>373</v>
      </c>
      <c r="E2411" s="74">
        <v>38296</v>
      </c>
      <c r="F2411" s="55" t="s">
        <v>344</v>
      </c>
      <c r="G2411" s="55" t="s">
        <v>360</v>
      </c>
      <c r="H2411" s="55" t="s">
        <v>360</v>
      </c>
      <c r="I2411" s="55" t="s">
        <v>360</v>
      </c>
      <c r="J2411" s="55" t="s">
        <v>360</v>
      </c>
      <c r="K2411" s="55" t="s">
        <v>360</v>
      </c>
      <c r="L2411" s="55" t="s">
        <v>360</v>
      </c>
      <c r="M2411" s="55" t="s">
        <v>378</v>
      </c>
      <c r="N2411" s="55" t="s">
        <v>170</v>
      </c>
      <c r="O2411" s="55" t="s">
        <v>169</v>
      </c>
      <c r="P2411" s="55" t="s">
        <v>169</v>
      </c>
      <c r="Q2411" s="55" t="s">
        <v>350</v>
      </c>
      <c r="R2411" s="55">
        <v>5</v>
      </c>
      <c r="S2411" s="74"/>
      <c r="T2411" s="55" t="s">
        <v>481</v>
      </c>
      <c r="U2411" s="73" t="s">
        <v>351</v>
      </c>
      <c r="V2411" s="74">
        <v>44467</v>
      </c>
      <c r="W2411" s="74">
        <v>44509</v>
      </c>
      <c r="X2411" s="55">
        <v>10186376</v>
      </c>
      <c r="Y2411" s="55" t="s">
        <v>132</v>
      </c>
      <c r="AB2411" s="55" t="s">
        <v>132</v>
      </c>
      <c r="AC2411" s="55" t="s">
        <v>132</v>
      </c>
    </row>
    <row r="2412" spans="1:29" ht="13" x14ac:dyDescent="0.15">
      <c r="A2412" s="72" t="str">
        <f t="shared" si="37"/>
        <v>Ofsted Social Care Provider Webpage</v>
      </c>
      <c r="B2412" s="55" t="s">
        <v>4507</v>
      </c>
      <c r="D2412" s="55" t="s">
        <v>373</v>
      </c>
      <c r="E2412" s="74">
        <v>38216</v>
      </c>
      <c r="F2412" s="55" t="s">
        <v>344</v>
      </c>
      <c r="G2412" s="55" t="s">
        <v>360</v>
      </c>
      <c r="H2412" s="55" t="s">
        <v>360</v>
      </c>
      <c r="I2412" s="55" t="s">
        <v>360</v>
      </c>
      <c r="J2412" s="55" t="s">
        <v>360</v>
      </c>
      <c r="K2412" s="55" t="s">
        <v>360</v>
      </c>
      <c r="L2412" s="55" t="s">
        <v>360</v>
      </c>
      <c r="M2412" s="55" t="s">
        <v>144</v>
      </c>
      <c r="N2412" s="55" t="s">
        <v>144</v>
      </c>
      <c r="O2412" s="55" t="s">
        <v>215</v>
      </c>
      <c r="P2412" s="55" t="s">
        <v>655</v>
      </c>
      <c r="Q2412" s="55" t="s">
        <v>350</v>
      </c>
      <c r="R2412" s="55">
        <v>4</v>
      </c>
      <c r="S2412" s="74"/>
      <c r="T2412" s="55" t="s">
        <v>4508</v>
      </c>
      <c r="U2412" s="73" t="s">
        <v>351</v>
      </c>
      <c r="V2412" s="74">
        <v>44537</v>
      </c>
      <c r="W2412" s="74">
        <v>44606</v>
      </c>
      <c r="X2412" s="55">
        <v>10210034</v>
      </c>
      <c r="Y2412" s="55" t="s">
        <v>146</v>
      </c>
      <c r="AB2412" s="55" t="s">
        <v>146</v>
      </c>
      <c r="AC2412" s="55" t="s">
        <v>146</v>
      </c>
    </row>
    <row r="2413" spans="1:29" ht="13" x14ac:dyDescent="0.15">
      <c r="A2413" s="72" t="str">
        <f t="shared" si="37"/>
        <v>Ofsted Social Care Provider Webpage</v>
      </c>
      <c r="B2413" s="55" t="s">
        <v>4509</v>
      </c>
      <c r="C2413" s="55">
        <v>133540</v>
      </c>
      <c r="D2413" s="55" t="s">
        <v>413</v>
      </c>
      <c r="E2413" s="74">
        <v>38152</v>
      </c>
      <c r="F2413" s="55" t="s">
        <v>344</v>
      </c>
      <c r="G2413" s="55" t="s">
        <v>4510</v>
      </c>
      <c r="H2413" s="55" t="s">
        <v>4511</v>
      </c>
      <c r="I2413" s="55" t="s">
        <v>4512</v>
      </c>
      <c r="J2413" s="55" t="s">
        <v>4513</v>
      </c>
      <c r="K2413" s="55" t="s">
        <v>209</v>
      </c>
      <c r="L2413" s="55" t="s">
        <v>4514</v>
      </c>
      <c r="M2413" s="55" t="s">
        <v>144</v>
      </c>
      <c r="N2413" s="55" t="s">
        <v>144</v>
      </c>
      <c r="O2413" s="55" t="s">
        <v>209</v>
      </c>
      <c r="P2413" s="55" t="s">
        <v>597</v>
      </c>
      <c r="Q2413" s="55" t="s">
        <v>350</v>
      </c>
      <c r="R2413" s="55">
        <v>140</v>
      </c>
      <c r="S2413" s="74"/>
      <c r="T2413" s="55" t="s">
        <v>3717</v>
      </c>
      <c r="U2413" s="73" t="s">
        <v>351</v>
      </c>
      <c r="V2413" s="74">
        <v>44516</v>
      </c>
      <c r="W2413" s="74">
        <v>44575</v>
      </c>
      <c r="X2413" s="55">
        <v>10160278</v>
      </c>
      <c r="Y2413" s="55" t="s">
        <v>140</v>
      </c>
      <c r="AB2413" s="55" t="s">
        <v>140</v>
      </c>
      <c r="AC2413" s="55" t="s">
        <v>140</v>
      </c>
    </row>
    <row r="2414" spans="1:29" ht="13" x14ac:dyDescent="0.15">
      <c r="A2414" s="72" t="str">
        <f t="shared" si="37"/>
        <v>Ofsted Social Care Provider Webpage</v>
      </c>
      <c r="B2414" s="55" t="s">
        <v>4515</v>
      </c>
      <c r="C2414" s="55">
        <v>136482</v>
      </c>
      <c r="D2414" s="55" t="s">
        <v>398</v>
      </c>
      <c r="E2414" s="74">
        <v>38152</v>
      </c>
      <c r="F2414" s="55" t="s">
        <v>344</v>
      </c>
      <c r="G2414" s="55" t="s">
        <v>4516</v>
      </c>
      <c r="H2414" s="55" t="s">
        <v>4517</v>
      </c>
      <c r="I2414" s="55" t="s">
        <v>1929</v>
      </c>
      <c r="J2414" s="55" t="s">
        <v>4518</v>
      </c>
      <c r="K2414" s="55" t="s">
        <v>196</v>
      </c>
      <c r="L2414" s="55" t="s">
        <v>4519</v>
      </c>
      <c r="M2414" s="55" t="s">
        <v>138</v>
      </c>
      <c r="N2414" s="55" t="s">
        <v>138</v>
      </c>
      <c r="O2414" s="55" t="s">
        <v>196</v>
      </c>
      <c r="P2414" s="55" t="s">
        <v>1368</v>
      </c>
      <c r="Q2414" s="55" t="s">
        <v>420</v>
      </c>
      <c r="R2414" s="55">
        <v>280</v>
      </c>
      <c r="S2414" s="74"/>
      <c r="T2414" s="55" t="s">
        <v>4520</v>
      </c>
      <c r="U2414" s="73" t="s">
        <v>351</v>
      </c>
      <c r="V2414" s="74">
        <v>43536</v>
      </c>
      <c r="W2414" s="74">
        <v>43559</v>
      </c>
      <c r="X2414" s="55">
        <v>10046820</v>
      </c>
      <c r="Y2414" s="55" t="s">
        <v>132</v>
      </c>
      <c r="AB2414" s="55" t="s">
        <v>132</v>
      </c>
      <c r="AC2414" s="55" t="s">
        <v>132</v>
      </c>
    </row>
    <row r="2415" spans="1:29" ht="13" x14ac:dyDescent="0.15">
      <c r="A2415" s="72" t="str">
        <f t="shared" si="37"/>
        <v>Ofsted Social Care Provider Webpage</v>
      </c>
      <c r="B2415" s="55" t="s">
        <v>4521</v>
      </c>
      <c r="D2415" s="55" t="s">
        <v>389</v>
      </c>
      <c r="E2415" s="74">
        <v>38219</v>
      </c>
      <c r="F2415" s="55" t="s">
        <v>344</v>
      </c>
      <c r="G2415" s="55" t="s">
        <v>4522</v>
      </c>
      <c r="H2415" s="55" t="s">
        <v>4523</v>
      </c>
      <c r="I2415" s="55" t="s">
        <v>4524</v>
      </c>
      <c r="J2415" s="55" t="s">
        <v>382</v>
      </c>
      <c r="K2415" s="55" t="s">
        <v>382</v>
      </c>
      <c r="L2415" s="55" t="s">
        <v>4525</v>
      </c>
      <c r="M2415" s="55" t="s">
        <v>136</v>
      </c>
      <c r="N2415" s="55" t="s">
        <v>136</v>
      </c>
      <c r="O2415" s="55" t="s">
        <v>185</v>
      </c>
      <c r="P2415" s="55" t="s">
        <v>382</v>
      </c>
      <c r="Q2415" s="55" t="s">
        <v>350</v>
      </c>
      <c r="R2415" s="55"/>
      <c r="S2415" s="74"/>
      <c r="T2415" s="55" t="s">
        <v>4526</v>
      </c>
      <c r="U2415" s="73" t="s">
        <v>351</v>
      </c>
      <c r="V2415" s="74">
        <v>44501</v>
      </c>
      <c r="W2415" s="74">
        <v>44560</v>
      </c>
      <c r="X2415" s="55">
        <v>10183600</v>
      </c>
      <c r="Y2415" s="55" t="s">
        <v>132</v>
      </c>
      <c r="AB2415" s="55" t="s">
        <v>130</v>
      </c>
      <c r="AC2415" s="55" t="s">
        <v>130</v>
      </c>
    </row>
    <row r="2416" spans="1:29" ht="13" x14ac:dyDescent="0.15">
      <c r="A2416" s="72" t="str">
        <f t="shared" si="37"/>
        <v>Ofsted Social Care Provider Webpage</v>
      </c>
      <c r="B2416" s="55" t="s">
        <v>4527</v>
      </c>
      <c r="D2416" s="55" t="s">
        <v>373</v>
      </c>
      <c r="E2416" s="74">
        <v>38238</v>
      </c>
      <c r="F2416" s="55" t="s">
        <v>344</v>
      </c>
      <c r="G2416" s="55" t="s">
        <v>360</v>
      </c>
      <c r="H2416" s="55" t="s">
        <v>360</v>
      </c>
      <c r="I2416" s="55" t="s">
        <v>360</v>
      </c>
      <c r="J2416" s="55" t="s">
        <v>360</v>
      </c>
      <c r="K2416" s="55" t="s">
        <v>360</v>
      </c>
      <c r="L2416" s="55" t="s">
        <v>360</v>
      </c>
      <c r="M2416" s="55" t="s">
        <v>150</v>
      </c>
      <c r="N2416" s="55" t="s">
        <v>150</v>
      </c>
      <c r="O2416" s="55" t="s">
        <v>285</v>
      </c>
      <c r="P2416" s="55" t="s">
        <v>2738</v>
      </c>
      <c r="Q2416" s="55" t="s">
        <v>350</v>
      </c>
      <c r="R2416" s="55">
        <v>6</v>
      </c>
      <c r="S2416" s="74"/>
      <c r="T2416" s="55" t="s">
        <v>3586</v>
      </c>
      <c r="U2416" s="73" t="s">
        <v>351</v>
      </c>
      <c r="V2416" s="74">
        <v>44334</v>
      </c>
      <c r="W2416" s="74">
        <v>44386</v>
      </c>
      <c r="X2416" s="55">
        <v>10185824</v>
      </c>
      <c r="Y2416" s="55" t="s">
        <v>140</v>
      </c>
      <c r="AB2416" s="55" t="s">
        <v>140</v>
      </c>
      <c r="AC2416" s="55" t="s">
        <v>140</v>
      </c>
    </row>
    <row r="2417" spans="1:29" ht="13" x14ac:dyDescent="0.15">
      <c r="A2417" s="72" t="str">
        <f t="shared" si="37"/>
        <v>Ofsted Social Care Provider Webpage</v>
      </c>
      <c r="B2417" s="55" t="s">
        <v>4528</v>
      </c>
      <c r="D2417" s="55" t="s">
        <v>373</v>
      </c>
      <c r="E2417" s="74">
        <v>38244</v>
      </c>
      <c r="F2417" s="55" t="s">
        <v>344</v>
      </c>
      <c r="G2417" s="55" t="s">
        <v>360</v>
      </c>
      <c r="H2417" s="55" t="s">
        <v>360</v>
      </c>
      <c r="I2417" s="55" t="s">
        <v>360</v>
      </c>
      <c r="J2417" s="55" t="s">
        <v>360</v>
      </c>
      <c r="K2417" s="55" t="s">
        <v>360</v>
      </c>
      <c r="L2417" s="55" t="s">
        <v>360</v>
      </c>
      <c r="M2417" s="55" t="s">
        <v>144</v>
      </c>
      <c r="N2417" s="55" t="s">
        <v>144</v>
      </c>
      <c r="O2417" s="55" t="s">
        <v>209</v>
      </c>
      <c r="P2417" s="55" t="s">
        <v>484</v>
      </c>
      <c r="Q2417" s="55" t="s">
        <v>350</v>
      </c>
      <c r="R2417" s="55">
        <v>4</v>
      </c>
      <c r="S2417" s="74"/>
      <c r="T2417" s="55" t="s">
        <v>485</v>
      </c>
      <c r="U2417" s="73" t="s">
        <v>351</v>
      </c>
      <c r="V2417" s="74">
        <v>44425</v>
      </c>
      <c r="W2417" s="74">
        <v>44466</v>
      </c>
      <c r="X2417" s="55">
        <v>10187400</v>
      </c>
      <c r="Y2417" s="55" t="s">
        <v>132</v>
      </c>
      <c r="AB2417" s="55" t="s">
        <v>132</v>
      </c>
      <c r="AC2417" s="55" t="s">
        <v>132</v>
      </c>
    </row>
    <row r="2418" spans="1:29" ht="13" x14ac:dyDescent="0.15">
      <c r="A2418" s="72" t="str">
        <f t="shared" si="37"/>
        <v>Ofsted Social Care Provider Webpage</v>
      </c>
      <c r="B2418" s="55" t="s">
        <v>4529</v>
      </c>
      <c r="D2418" s="55" t="s">
        <v>373</v>
      </c>
      <c r="E2418" s="74">
        <v>38337</v>
      </c>
      <c r="F2418" s="55" t="s">
        <v>344</v>
      </c>
      <c r="G2418" s="55" t="s">
        <v>360</v>
      </c>
      <c r="H2418" s="55" t="s">
        <v>360</v>
      </c>
      <c r="I2418" s="55" t="s">
        <v>360</v>
      </c>
      <c r="J2418" s="55" t="s">
        <v>360</v>
      </c>
      <c r="K2418" s="55" t="s">
        <v>360</v>
      </c>
      <c r="L2418" s="55" t="s">
        <v>360</v>
      </c>
      <c r="M2418" s="55" t="s">
        <v>144</v>
      </c>
      <c r="N2418" s="55" t="s">
        <v>144</v>
      </c>
      <c r="O2418" s="55" t="s">
        <v>168</v>
      </c>
      <c r="P2418" s="55" t="s">
        <v>2110</v>
      </c>
      <c r="Q2418" s="55" t="s">
        <v>380</v>
      </c>
      <c r="R2418" s="55">
        <v>6</v>
      </c>
      <c r="S2418" s="74"/>
      <c r="T2418" s="55" t="s">
        <v>1432</v>
      </c>
      <c r="U2418" s="73" t="s">
        <v>351</v>
      </c>
      <c r="V2418" s="74">
        <v>44509</v>
      </c>
      <c r="W2418" s="74">
        <v>44559</v>
      </c>
      <c r="X2418" s="55">
        <v>10185930</v>
      </c>
      <c r="Y2418" s="55" t="s">
        <v>146</v>
      </c>
      <c r="AB2418" s="55" t="s">
        <v>146</v>
      </c>
      <c r="AC2418" s="55" t="s">
        <v>146</v>
      </c>
    </row>
    <row r="2419" spans="1:29" ht="13" x14ac:dyDescent="0.15">
      <c r="A2419" s="72" t="str">
        <f t="shared" si="37"/>
        <v>Ofsted Social Care Provider Webpage</v>
      </c>
      <c r="B2419" s="55" t="s">
        <v>4530</v>
      </c>
      <c r="D2419" s="55" t="s">
        <v>373</v>
      </c>
      <c r="E2419" s="74">
        <v>38511</v>
      </c>
      <c r="F2419" s="55" t="s">
        <v>344</v>
      </c>
      <c r="G2419" s="55" t="s">
        <v>360</v>
      </c>
      <c r="H2419" s="55" t="s">
        <v>360</v>
      </c>
      <c r="I2419" s="55" t="s">
        <v>360</v>
      </c>
      <c r="J2419" s="55" t="s">
        <v>360</v>
      </c>
      <c r="K2419" s="55" t="s">
        <v>360</v>
      </c>
      <c r="L2419" s="55" t="s">
        <v>360</v>
      </c>
      <c r="M2419" s="55" t="s">
        <v>142</v>
      </c>
      <c r="N2419" s="55" t="s">
        <v>142</v>
      </c>
      <c r="O2419" s="55" t="s">
        <v>282</v>
      </c>
      <c r="P2419" s="55" t="s">
        <v>3266</v>
      </c>
      <c r="Q2419" s="55" t="s">
        <v>350</v>
      </c>
      <c r="R2419" s="55">
        <v>4</v>
      </c>
      <c r="S2419" s="74"/>
      <c r="T2419" s="55" t="s">
        <v>4531</v>
      </c>
      <c r="U2419" s="73" t="s">
        <v>351</v>
      </c>
      <c r="V2419" s="74">
        <v>44446</v>
      </c>
      <c r="W2419" s="74">
        <v>44474</v>
      </c>
      <c r="X2419" s="55">
        <v>10185992</v>
      </c>
      <c r="Y2419" s="55" t="s">
        <v>132</v>
      </c>
      <c r="AB2419" s="55" t="s">
        <v>132</v>
      </c>
      <c r="AC2419" s="55" t="s">
        <v>132</v>
      </c>
    </row>
    <row r="2420" spans="1:29" ht="13" x14ac:dyDescent="0.15">
      <c r="A2420" s="72" t="str">
        <f t="shared" si="37"/>
        <v>Ofsted Social Care Provider Webpage</v>
      </c>
      <c r="B2420" s="55" t="s">
        <v>4532</v>
      </c>
      <c r="D2420" s="55" t="s">
        <v>373</v>
      </c>
      <c r="E2420" s="74">
        <v>38275</v>
      </c>
      <c r="F2420" s="55" t="s">
        <v>344</v>
      </c>
      <c r="G2420" s="55" t="s">
        <v>360</v>
      </c>
      <c r="H2420" s="55" t="s">
        <v>360</v>
      </c>
      <c r="I2420" s="55" t="s">
        <v>360</v>
      </c>
      <c r="J2420" s="55" t="s">
        <v>360</v>
      </c>
      <c r="K2420" s="55" t="s">
        <v>360</v>
      </c>
      <c r="L2420" s="55" t="s">
        <v>360</v>
      </c>
      <c r="M2420" s="55" t="s">
        <v>136</v>
      </c>
      <c r="N2420" s="55" t="s">
        <v>136</v>
      </c>
      <c r="O2420" s="55" t="s">
        <v>185</v>
      </c>
      <c r="P2420" s="55" t="s">
        <v>1292</v>
      </c>
      <c r="Q2420" s="55" t="s">
        <v>350</v>
      </c>
      <c r="R2420" s="55">
        <v>4</v>
      </c>
      <c r="S2420" s="74"/>
      <c r="T2420" s="55" t="s">
        <v>914</v>
      </c>
      <c r="U2420" s="73" t="s">
        <v>351</v>
      </c>
      <c r="V2420" s="74">
        <v>44509</v>
      </c>
      <c r="W2420" s="74">
        <v>44552</v>
      </c>
      <c r="X2420" s="55">
        <v>10185966</v>
      </c>
      <c r="Y2420" s="55" t="s">
        <v>132</v>
      </c>
      <c r="AB2420" s="55" t="s">
        <v>132</v>
      </c>
      <c r="AC2420" s="55" t="s">
        <v>132</v>
      </c>
    </row>
    <row r="2421" spans="1:29" ht="13" x14ac:dyDescent="0.15">
      <c r="A2421" s="72" t="str">
        <f t="shared" si="37"/>
        <v>Ofsted Social Care Provider Webpage</v>
      </c>
      <c r="B2421" s="55" t="s">
        <v>4533</v>
      </c>
      <c r="D2421" s="55" t="s">
        <v>373</v>
      </c>
      <c r="E2421" s="74">
        <v>38265</v>
      </c>
      <c r="F2421" s="55" t="s">
        <v>344</v>
      </c>
      <c r="G2421" s="55" t="s">
        <v>360</v>
      </c>
      <c r="H2421" s="55" t="s">
        <v>360</v>
      </c>
      <c r="I2421" s="55" t="s">
        <v>360</v>
      </c>
      <c r="J2421" s="55" t="s">
        <v>360</v>
      </c>
      <c r="K2421" s="55" t="s">
        <v>360</v>
      </c>
      <c r="L2421" s="55" t="s">
        <v>360</v>
      </c>
      <c r="M2421" s="55" t="s">
        <v>144</v>
      </c>
      <c r="N2421" s="55" t="s">
        <v>144</v>
      </c>
      <c r="O2421" s="55" t="s">
        <v>250</v>
      </c>
      <c r="P2421" s="55" t="s">
        <v>1372</v>
      </c>
      <c r="Q2421" s="55" t="s">
        <v>350</v>
      </c>
      <c r="R2421" s="55">
        <v>3</v>
      </c>
      <c r="S2421" s="74"/>
      <c r="T2421" s="55" t="s">
        <v>4534</v>
      </c>
      <c r="U2421" s="73" t="s">
        <v>351</v>
      </c>
      <c r="V2421" s="74">
        <v>44580</v>
      </c>
      <c r="W2421" s="74">
        <v>44615</v>
      </c>
      <c r="X2421" s="55">
        <v>10186511</v>
      </c>
      <c r="Y2421" s="55" t="s">
        <v>130</v>
      </c>
      <c r="AB2421" s="55" t="s">
        <v>130</v>
      </c>
      <c r="AC2421" s="55" t="s">
        <v>130</v>
      </c>
    </row>
    <row r="2422" spans="1:29" ht="13" x14ac:dyDescent="0.15">
      <c r="A2422" s="72" t="str">
        <f t="shared" si="37"/>
        <v>Ofsted Social Care Provider Webpage</v>
      </c>
      <c r="B2422" s="55" t="s">
        <v>4535</v>
      </c>
      <c r="D2422" s="55" t="s">
        <v>389</v>
      </c>
      <c r="E2422" s="74">
        <v>38273</v>
      </c>
      <c r="F2422" s="55" t="s">
        <v>344</v>
      </c>
      <c r="G2422" s="55" t="s">
        <v>4536</v>
      </c>
      <c r="H2422" s="55" t="s">
        <v>4537</v>
      </c>
      <c r="I2422" s="55" t="s">
        <v>1649</v>
      </c>
      <c r="J2422" s="55" t="s">
        <v>1650</v>
      </c>
      <c r="L2422" s="55" t="s">
        <v>1651</v>
      </c>
      <c r="M2422" s="55" t="s">
        <v>129</v>
      </c>
      <c r="N2422" s="55" t="s">
        <v>129</v>
      </c>
      <c r="O2422" s="55" t="s">
        <v>242</v>
      </c>
      <c r="P2422" s="55" t="s">
        <v>1519</v>
      </c>
      <c r="Q2422" s="55" t="s">
        <v>350</v>
      </c>
      <c r="R2422" s="55"/>
      <c r="S2422" s="74"/>
      <c r="T2422" s="55" t="s">
        <v>4538</v>
      </c>
      <c r="U2422" s="73" t="s">
        <v>351</v>
      </c>
      <c r="V2422" s="74">
        <v>44606</v>
      </c>
      <c r="W2422" s="74">
        <v>44652</v>
      </c>
      <c r="X2422" s="55">
        <v>10183355</v>
      </c>
      <c r="Y2422" s="55" t="s">
        <v>132</v>
      </c>
      <c r="AB2422" s="55" t="s">
        <v>132</v>
      </c>
      <c r="AC2422" s="55" t="s">
        <v>130</v>
      </c>
    </row>
    <row r="2423" spans="1:29" ht="13" x14ac:dyDescent="0.15">
      <c r="A2423" s="72" t="str">
        <f t="shared" si="37"/>
        <v>Ofsted Social Care Provider Webpage</v>
      </c>
      <c r="B2423" s="55" t="s">
        <v>4539</v>
      </c>
      <c r="D2423" s="55" t="s">
        <v>373</v>
      </c>
      <c r="E2423" s="74">
        <v>38238</v>
      </c>
      <c r="F2423" s="55" t="s">
        <v>344</v>
      </c>
      <c r="G2423" s="55" t="s">
        <v>360</v>
      </c>
      <c r="H2423" s="55" t="s">
        <v>360</v>
      </c>
      <c r="I2423" s="55" t="s">
        <v>360</v>
      </c>
      <c r="J2423" s="55" t="s">
        <v>360</v>
      </c>
      <c r="K2423" s="55" t="s">
        <v>360</v>
      </c>
      <c r="L2423" s="55" t="s">
        <v>360</v>
      </c>
      <c r="M2423" s="55" t="s">
        <v>144</v>
      </c>
      <c r="N2423" s="55" t="s">
        <v>144</v>
      </c>
      <c r="O2423" s="55" t="s">
        <v>250</v>
      </c>
      <c r="P2423" s="55" t="s">
        <v>759</v>
      </c>
      <c r="Q2423" s="55" t="s">
        <v>350</v>
      </c>
      <c r="R2423" s="55">
        <v>3</v>
      </c>
      <c r="S2423" s="74"/>
      <c r="T2423" s="55" t="s">
        <v>1600</v>
      </c>
      <c r="U2423" s="73" t="s">
        <v>351</v>
      </c>
      <c r="V2423" s="74">
        <v>44419</v>
      </c>
      <c r="W2423" s="74">
        <v>44454</v>
      </c>
      <c r="X2423" s="55">
        <v>10185117</v>
      </c>
      <c r="Y2423" s="55" t="s">
        <v>130</v>
      </c>
      <c r="AB2423" s="55" t="s">
        <v>130</v>
      </c>
      <c r="AC2423" s="55" t="s">
        <v>130</v>
      </c>
    </row>
    <row r="2424" spans="1:29" ht="13" x14ac:dyDescent="0.15">
      <c r="A2424" s="72" t="str">
        <f t="shared" si="37"/>
        <v>Ofsted Social Care Provider Webpage</v>
      </c>
      <c r="B2424" s="55" t="s">
        <v>4540</v>
      </c>
      <c r="D2424" s="55" t="s">
        <v>373</v>
      </c>
      <c r="E2424" s="74">
        <v>38344</v>
      </c>
      <c r="F2424" s="55" t="s">
        <v>344</v>
      </c>
      <c r="G2424" s="55" t="s">
        <v>360</v>
      </c>
      <c r="H2424" s="55" t="s">
        <v>360</v>
      </c>
      <c r="I2424" s="55" t="s">
        <v>360</v>
      </c>
      <c r="J2424" s="55" t="s">
        <v>360</v>
      </c>
      <c r="K2424" s="55" t="s">
        <v>360</v>
      </c>
      <c r="L2424" s="55" t="s">
        <v>360</v>
      </c>
      <c r="M2424" s="55" t="s">
        <v>142</v>
      </c>
      <c r="N2424" s="55" t="s">
        <v>142</v>
      </c>
      <c r="O2424" s="55" t="s">
        <v>195</v>
      </c>
      <c r="P2424" s="55" t="s">
        <v>518</v>
      </c>
      <c r="Q2424" s="55" t="s">
        <v>350</v>
      </c>
      <c r="R2424" s="55">
        <v>4</v>
      </c>
      <c r="S2424" s="74"/>
      <c r="T2424" s="55" t="s">
        <v>1365</v>
      </c>
      <c r="U2424" s="73" t="s">
        <v>351</v>
      </c>
      <c r="V2424" s="74">
        <v>44362</v>
      </c>
      <c r="W2424" s="74">
        <v>44391</v>
      </c>
      <c r="X2424" s="55">
        <v>10186423</v>
      </c>
      <c r="Y2424" s="55" t="s">
        <v>132</v>
      </c>
      <c r="AB2424" s="55" t="s">
        <v>132</v>
      </c>
      <c r="AC2424" s="55" t="s">
        <v>132</v>
      </c>
    </row>
    <row r="2425" spans="1:29" ht="13" x14ac:dyDescent="0.15">
      <c r="A2425" s="72" t="str">
        <f t="shared" si="37"/>
        <v>Ofsted Social Care Provider Webpage</v>
      </c>
      <c r="B2425" s="55" t="s">
        <v>4541</v>
      </c>
      <c r="D2425" s="55" t="s">
        <v>479</v>
      </c>
      <c r="E2425" s="74">
        <v>38715</v>
      </c>
      <c r="F2425" s="55" t="s">
        <v>344</v>
      </c>
      <c r="G2425" s="55" t="s">
        <v>360</v>
      </c>
      <c r="H2425" s="55" t="s">
        <v>360</v>
      </c>
      <c r="I2425" s="55" t="s">
        <v>360</v>
      </c>
      <c r="J2425" s="55" t="s">
        <v>360</v>
      </c>
      <c r="K2425" s="55" t="s">
        <v>360</v>
      </c>
      <c r="L2425" s="55" t="s">
        <v>360</v>
      </c>
      <c r="M2425" s="55" t="s">
        <v>150</v>
      </c>
      <c r="N2425" s="55" t="s">
        <v>150</v>
      </c>
      <c r="O2425" s="55" t="s">
        <v>268</v>
      </c>
      <c r="P2425" s="55" t="s">
        <v>1771</v>
      </c>
      <c r="Q2425" s="55" t="s">
        <v>362</v>
      </c>
      <c r="R2425" s="55">
        <v>66</v>
      </c>
      <c r="S2425" s="74"/>
      <c r="T2425" s="55" t="s">
        <v>4542</v>
      </c>
      <c r="U2425" s="73" t="s">
        <v>351</v>
      </c>
      <c r="V2425" s="74">
        <v>44432</v>
      </c>
      <c r="W2425" s="74">
        <v>44483</v>
      </c>
      <c r="X2425" s="55">
        <v>10187162</v>
      </c>
      <c r="Y2425" s="55" t="s">
        <v>132</v>
      </c>
      <c r="AB2425" s="55" t="s">
        <v>132</v>
      </c>
      <c r="AC2425" s="55" t="s">
        <v>132</v>
      </c>
    </row>
    <row r="2426" spans="1:29" ht="13" x14ac:dyDescent="0.15">
      <c r="A2426" s="72" t="str">
        <f t="shared" si="37"/>
        <v>Ofsted Social Care Provider Webpage</v>
      </c>
      <c r="B2426" s="55" t="s">
        <v>4543</v>
      </c>
      <c r="D2426" s="55" t="s">
        <v>389</v>
      </c>
      <c r="E2426" s="74">
        <v>38594</v>
      </c>
      <c r="F2426" s="55" t="s">
        <v>344</v>
      </c>
      <c r="G2426" s="55" t="s">
        <v>4544</v>
      </c>
      <c r="H2426" s="55" t="s">
        <v>4545</v>
      </c>
      <c r="I2426" s="55" t="s">
        <v>4546</v>
      </c>
      <c r="J2426" s="55" t="s">
        <v>3430</v>
      </c>
      <c r="L2426" s="55" t="s">
        <v>4547</v>
      </c>
      <c r="M2426" s="55" t="s">
        <v>150</v>
      </c>
      <c r="N2426" s="55" t="s">
        <v>150</v>
      </c>
      <c r="O2426" s="55" t="s">
        <v>203</v>
      </c>
      <c r="P2426" s="55" t="s">
        <v>800</v>
      </c>
      <c r="Q2426" s="55" t="s">
        <v>362</v>
      </c>
      <c r="R2426" s="55"/>
      <c r="S2426" s="74"/>
      <c r="T2426" s="55" t="s">
        <v>4548</v>
      </c>
      <c r="U2426" s="73" t="s">
        <v>351</v>
      </c>
      <c r="V2426" s="74">
        <v>43542</v>
      </c>
      <c r="W2426" s="74">
        <v>43580</v>
      </c>
      <c r="X2426" s="55">
        <v>10045669</v>
      </c>
      <c r="Y2426" s="55" t="s">
        <v>132</v>
      </c>
      <c r="AB2426" s="55" t="s">
        <v>132</v>
      </c>
      <c r="AC2426" s="55" t="s">
        <v>130</v>
      </c>
    </row>
    <row r="2427" spans="1:29" ht="13" x14ac:dyDescent="0.15">
      <c r="A2427" s="72" t="str">
        <f t="shared" si="37"/>
        <v>Ofsted Social Care Provider Webpage</v>
      </c>
      <c r="B2427" s="55" t="s">
        <v>4549</v>
      </c>
      <c r="D2427" s="55" t="s">
        <v>373</v>
      </c>
      <c r="E2427" s="74">
        <v>38303</v>
      </c>
      <c r="F2427" s="55" t="s">
        <v>344</v>
      </c>
      <c r="G2427" s="55" t="s">
        <v>360</v>
      </c>
      <c r="H2427" s="55" t="s">
        <v>360</v>
      </c>
      <c r="I2427" s="55" t="s">
        <v>360</v>
      </c>
      <c r="J2427" s="55" t="s">
        <v>360</v>
      </c>
      <c r="K2427" s="55" t="s">
        <v>360</v>
      </c>
      <c r="L2427" s="55" t="s">
        <v>360</v>
      </c>
      <c r="M2427" s="55" t="s">
        <v>129</v>
      </c>
      <c r="N2427" s="55" t="s">
        <v>129</v>
      </c>
      <c r="O2427" s="55" t="s">
        <v>198</v>
      </c>
      <c r="P2427" s="55" t="s">
        <v>4550</v>
      </c>
      <c r="Q2427" s="55" t="s">
        <v>380</v>
      </c>
      <c r="R2427" s="55">
        <v>6</v>
      </c>
      <c r="S2427" s="74"/>
      <c r="T2427" s="55" t="s">
        <v>3060</v>
      </c>
      <c r="U2427" s="73" t="s">
        <v>351</v>
      </c>
      <c r="V2427" s="74">
        <v>44490</v>
      </c>
      <c r="W2427" s="74">
        <v>44524</v>
      </c>
      <c r="X2427" s="55">
        <v>10208691</v>
      </c>
      <c r="Y2427" s="55" t="s">
        <v>130</v>
      </c>
      <c r="AB2427" s="55" t="s">
        <v>130</v>
      </c>
      <c r="AC2427" s="55" t="s">
        <v>132</v>
      </c>
    </row>
    <row r="2428" spans="1:29" ht="13" x14ac:dyDescent="0.15">
      <c r="A2428" s="72" t="str">
        <f t="shared" si="37"/>
        <v>Ofsted Social Care Provider Webpage</v>
      </c>
      <c r="B2428" s="55" t="s">
        <v>4551</v>
      </c>
      <c r="D2428" s="55" t="s">
        <v>373</v>
      </c>
      <c r="E2428" s="74">
        <v>38205</v>
      </c>
      <c r="F2428" s="55" t="s">
        <v>344</v>
      </c>
      <c r="G2428" s="55" t="s">
        <v>360</v>
      </c>
      <c r="H2428" s="55" t="s">
        <v>360</v>
      </c>
      <c r="I2428" s="55" t="s">
        <v>360</v>
      </c>
      <c r="J2428" s="55" t="s">
        <v>360</v>
      </c>
      <c r="K2428" s="55" t="s">
        <v>360</v>
      </c>
      <c r="L2428" s="55" t="s">
        <v>360</v>
      </c>
      <c r="M2428" s="55" t="s">
        <v>142</v>
      </c>
      <c r="N2428" s="55" t="s">
        <v>142</v>
      </c>
      <c r="O2428" s="55" t="s">
        <v>195</v>
      </c>
      <c r="P2428" s="55" t="s">
        <v>518</v>
      </c>
      <c r="Q2428" s="55" t="s">
        <v>350</v>
      </c>
      <c r="R2428" s="55">
        <v>5</v>
      </c>
      <c r="S2428" s="74"/>
      <c r="T2428" s="55" t="s">
        <v>450</v>
      </c>
      <c r="U2428" s="73" t="s">
        <v>351</v>
      </c>
      <c r="V2428" s="74">
        <v>44516</v>
      </c>
      <c r="W2428" s="74">
        <v>44574</v>
      </c>
      <c r="X2428" s="55">
        <v>10185394</v>
      </c>
      <c r="Y2428" s="55" t="s">
        <v>130</v>
      </c>
      <c r="AB2428" s="55" t="s">
        <v>130</v>
      </c>
      <c r="AC2428" s="55" t="s">
        <v>130</v>
      </c>
    </row>
    <row r="2429" spans="1:29" ht="13" x14ac:dyDescent="0.15">
      <c r="A2429" s="72" t="str">
        <f t="shared" si="37"/>
        <v>Ofsted Social Care Provider Webpage</v>
      </c>
      <c r="B2429" s="55" t="s">
        <v>4552</v>
      </c>
      <c r="D2429" s="55" t="s">
        <v>373</v>
      </c>
      <c r="E2429" s="74">
        <v>38369</v>
      </c>
      <c r="F2429" s="55" t="s">
        <v>344</v>
      </c>
      <c r="G2429" s="55" t="s">
        <v>360</v>
      </c>
      <c r="H2429" s="55" t="s">
        <v>360</v>
      </c>
      <c r="I2429" s="55" t="s">
        <v>360</v>
      </c>
      <c r="J2429" s="55" t="s">
        <v>360</v>
      </c>
      <c r="K2429" s="55" t="s">
        <v>360</v>
      </c>
      <c r="L2429" s="55" t="s">
        <v>360</v>
      </c>
      <c r="M2429" s="55" t="s">
        <v>144</v>
      </c>
      <c r="N2429" s="55" t="s">
        <v>144</v>
      </c>
      <c r="O2429" s="55" t="s">
        <v>207</v>
      </c>
      <c r="P2429" s="55" t="s">
        <v>207</v>
      </c>
      <c r="Q2429" s="55" t="s">
        <v>350</v>
      </c>
      <c r="R2429" s="55">
        <v>4</v>
      </c>
      <c r="S2429" s="74"/>
      <c r="T2429" s="55" t="s">
        <v>2947</v>
      </c>
      <c r="U2429" s="73" t="s">
        <v>351</v>
      </c>
      <c r="V2429" s="74">
        <v>44305</v>
      </c>
      <c r="W2429" s="74">
        <v>44341</v>
      </c>
      <c r="X2429" s="55">
        <v>10185281</v>
      </c>
      <c r="Y2429" s="55" t="s">
        <v>132</v>
      </c>
      <c r="AB2429" s="55" t="s">
        <v>132</v>
      </c>
      <c r="AC2429" s="55" t="s">
        <v>132</v>
      </c>
    </row>
    <row r="2430" spans="1:29" ht="13" x14ac:dyDescent="0.15">
      <c r="A2430" s="72" t="str">
        <f t="shared" si="37"/>
        <v>Ofsted Social Care Provider Webpage</v>
      </c>
      <c r="B2430" s="55" t="s">
        <v>4553</v>
      </c>
      <c r="D2430" s="55" t="s">
        <v>373</v>
      </c>
      <c r="E2430" s="74">
        <v>38239</v>
      </c>
      <c r="F2430" s="55" t="s">
        <v>344</v>
      </c>
      <c r="G2430" s="55" t="s">
        <v>360</v>
      </c>
      <c r="H2430" s="55" t="s">
        <v>360</v>
      </c>
      <c r="I2430" s="55" t="s">
        <v>360</v>
      </c>
      <c r="J2430" s="55" t="s">
        <v>360</v>
      </c>
      <c r="K2430" s="55" t="s">
        <v>360</v>
      </c>
      <c r="L2430" s="55" t="s">
        <v>360</v>
      </c>
      <c r="M2430" s="55" t="s">
        <v>144</v>
      </c>
      <c r="N2430" s="55" t="s">
        <v>144</v>
      </c>
      <c r="O2430" s="55" t="s">
        <v>245</v>
      </c>
      <c r="P2430" s="55" t="s">
        <v>245</v>
      </c>
      <c r="Q2430" s="55" t="s">
        <v>350</v>
      </c>
      <c r="R2430" s="55">
        <v>1</v>
      </c>
      <c r="S2430" s="74"/>
      <c r="T2430" s="55" t="s">
        <v>711</v>
      </c>
      <c r="U2430" s="73" t="s">
        <v>351</v>
      </c>
      <c r="V2430" s="74">
        <v>43564</v>
      </c>
      <c r="W2430" s="74">
        <v>43586</v>
      </c>
      <c r="X2430" s="55">
        <v>10095726</v>
      </c>
      <c r="Y2430" s="55" t="s">
        <v>132</v>
      </c>
      <c r="AB2430" s="55" t="s">
        <v>132</v>
      </c>
      <c r="AC2430" s="55" t="s">
        <v>132</v>
      </c>
    </row>
    <row r="2431" spans="1:29" ht="13" x14ac:dyDescent="0.15">
      <c r="A2431" s="72" t="str">
        <f t="shared" si="37"/>
        <v>Ofsted Social Care Provider Webpage</v>
      </c>
      <c r="B2431" s="55" t="s">
        <v>4554</v>
      </c>
      <c r="D2431" s="55" t="s">
        <v>373</v>
      </c>
      <c r="E2431" s="74">
        <v>38793</v>
      </c>
      <c r="F2431" s="55" t="s">
        <v>344</v>
      </c>
      <c r="G2431" s="55" t="s">
        <v>360</v>
      </c>
      <c r="H2431" s="55" t="s">
        <v>360</v>
      </c>
      <c r="I2431" s="55" t="s">
        <v>360</v>
      </c>
      <c r="J2431" s="55" t="s">
        <v>360</v>
      </c>
      <c r="K2431" s="55" t="s">
        <v>360</v>
      </c>
      <c r="L2431" s="55" t="s">
        <v>360</v>
      </c>
      <c r="M2431" s="55" t="s">
        <v>144</v>
      </c>
      <c r="N2431" s="55" t="s">
        <v>144</v>
      </c>
      <c r="O2431" s="55" t="s">
        <v>209</v>
      </c>
      <c r="P2431" s="55" t="s">
        <v>597</v>
      </c>
      <c r="Q2431" s="55" t="s">
        <v>350</v>
      </c>
      <c r="R2431" s="55">
        <v>3</v>
      </c>
      <c r="S2431" s="74"/>
      <c r="T2431" s="55" t="s">
        <v>2435</v>
      </c>
      <c r="U2431" s="73" t="s">
        <v>351</v>
      </c>
      <c r="V2431" s="74">
        <v>44355</v>
      </c>
      <c r="W2431" s="74">
        <v>44391</v>
      </c>
      <c r="X2431" s="55">
        <v>10186184</v>
      </c>
      <c r="Y2431" s="55" t="s">
        <v>132</v>
      </c>
      <c r="AB2431" s="55" t="s">
        <v>132</v>
      </c>
      <c r="AC2431" s="55" t="s">
        <v>140</v>
      </c>
    </row>
    <row r="2432" spans="1:29" ht="13" x14ac:dyDescent="0.15">
      <c r="A2432" s="72" t="str">
        <f t="shared" si="37"/>
        <v>Ofsted Social Care Provider Webpage</v>
      </c>
      <c r="B2432" s="55" t="s">
        <v>4555</v>
      </c>
      <c r="D2432" s="55" t="s">
        <v>373</v>
      </c>
      <c r="E2432" s="74">
        <v>38427</v>
      </c>
      <c r="F2432" s="55" t="s">
        <v>344</v>
      </c>
      <c r="G2432" s="55" t="s">
        <v>360</v>
      </c>
      <c r="H2432" s="55" t="s">
        <v>360</v>
      </c>
      <c r="I2432" s="55" t="s">
        <v>360</v>
      </c>
      <c r="J2432" s="55" t="s">
        <v>360</v>
      </c>
      <c r="K2432" s="55" t="s">
        <v>360</v>
      </c>
      <c r="L2432" s="55" t="s">
        <v>360</v>
      </c>
      <c r="M2432" s="55" t="s">
        <v>144</v>
      </c>
      <c r="N2432" s="55" t="s">
        <v>144</v>
      </c>
      <c r="O2432" s="55" t="s">
        <v>271</v>
      </c>
      <c r="P2432" s="55" t="s">
        <v>1122</v>
      </c>
      <c r="Q2432" s="55" t="s">
        <v>350</v>
      </c>
      <c r="R2432" s="55">
        <v>6</v>
      </c>
      <c r="S2432" s="74"/>
      <c r="T2432" s="55" t="s">
        <v>656</v>
      </c>
      <c r="U2432" s="73" t="s">
        <v>351</v>
      </c>
      <c r="V2432" s="74">
        <v>44517</v>
      </c>
      <c r="W2432" s="74">
        <v>44579</v>
      </c>
      <c r="X2432" s="55">
        <v>10187169</v>
      </c>
      <c r="Y2432" s="55" t="s">
        <v>132</v>
      </c>
      <c r="AB2432" s="55" t="s">
        <v>132</v>
      </c>
      <c r="AC2432" s="55" t="s">
        <v>132</v>
      </c>
    </row>
    <row r="2433" spans="1:29" ht="13" x14ac:dyDescent="0.15">
      <c r="A2433" s="72" t="str">
        <f t="shared" si="37"/>
        <v>Ofsted Social Care Provider Webpage</v>
      </c>
      <c r="B2433" s="55" t="s">
        <v>4556</v>
      </c>
      <c r="D2433" s="55" t="s">
        <v>373</v>
      </c>
      <c r="E2433" s="74">
        <v>38467</v>
      </c>
      <c r="F2433" s="55" t="s">
        <v>344</v>
      </c>
      <c r="G2433" s="55" t="s">
        <v>360</v>
      </c>
      <c r="H2433" s="55" t="s">
        <v>360</v>
      </c>
      <c r="I2433" s="55" t="s">
        <v>360</v>
      </c>
      <c r="J2433" s="55" t="s">
        <v>360</v>
      </c>
      <c r="K2433" s="55" t="s">
        <v>360</v>
      </c>
      <c r="L2433" s="55" t="s">
        <v>360</v>
      </c>
      <c r="M2433" s="55" t="s">
        <v>150</v>
      </c>
      <c r="N2433" s="55" t="s">
        <v>150</v>
      </c>
      <c r="O2433" s="55" t="s">
        <v>156</v>
      </c>
      <c r="P2433" s="55" t="s">
        <v>1277</v>
      </c>
      <c r="Q2433" s="55" t="s">
        <v>350</v>
      </c>
      <c r="R2433" s="55">
        <v>4</v>
      </c>
      <c r="S2433" s="74"/>
      <c r="T2433" s="55" t="s">
        <v>762</v>
      </c>
      <c r="U2433" s="73" t="s">
        <v>351</v>
      </c>
      <c r="V2433" s="74">
        <v>44545</v>
      </c>
      <c r="W2433" s="74">
        <v>44596</v>
      </c>
      <c r="X2433" s="55">
        <v>10185154</v>
      </c>
      <c r="Y2433" s="55" t="s">
        <v>132</v>
      </c>
      <c r="AB2433" s="55" t="s">
        <v>132</v>
      </c>
      <c r="AC2433" s="55" t="s">
        <v>132</v>
      </c>
    </row>
    <row r="2434" spans="1:29" ht="13" x14ac:dyDescent="0.15">
      <c r="A2434" s="72" t="str">
        <f t="shared" si="37"/>
        <v>Ofsted Social Care Provider Webpage</v>
      </c>
      <c r="B2434" s="55" t="s">
        <v>4557</v>
      </c>
      <c r="C2434" s="55">
        <v>130588</v>
      </c>
      <c r="D2434" s="55" t="s">
        <v>693</v>
      </c>
      <c r="E2434" s="74">
        <v>38231</v>
      </c>
      <c r="F2434" s="55" t="s">
        <v>344</v>
      </c>
      <c r="G2434" s="55" t="s">
        <v>4558</v>
      </c>
      <c r="H2434" s="55" t="s">
        <v>4558</v>
      </c>
      <c r="I2434" s="55" t="s">
        <v>4559</v>
      </c>
      <c r="J2434" s="55" t="s">
        <v>3094</v>
      </c>
      <c r="K2434" s="55" t="s">
        <v>214</v>
      </c>
      <c r="L2434" s="55" t="s">
        <v>4560</v>
      </c>
      <c r="M2434" s="55" t="s">
        <v>378</v>
      </c>
      <c r="N2434" s="55" t="s">
        <v>134</v>
      </c>
      <c r="O2434" s="55" t="s">
        <v>226</v>
      </c>
      <c r="P2434" s="55" t="s">
        <v>3094</v>
      </c>
      <c r="Q2434" s="55" t="s">
        <v>362</v>
      </c>
      <c r="R2434" s="55">
        <v>48</v>
      </c>
      <c r="S2434" s="74"/>
      <c r="T2434" s="55" t="s">
        <v>4558</v>
      </c>
      <c r="U2434" s="73" t="s">
        <v>351</v>
      </c>
      <c r="V2434" s="74">
        <v>43501</v>
      </c>
      <c r="W2434" s="74">
        <v>43543</v>
      </c>
      <c r="X2434" s="55">
        <v>10029045</v>
      </c>
      <c r="Y2434" s="55" t="s">
        <v>140</v>
      </c>
      <c r="AB2434" s="55" t="s">
        <v>132</v>
      </c>
      <c r="AC2434" s="55" t="s">
        <v>132</v>
      </c>
    </row>
    <row r="2435" spans="1:29" ht="13" x14ac:dyDescent="0.15">
      <c r="A2435" s="72" t="str">
        <f t="shared" si="37"/>
        <v>Ofsted Social Care Provider Webpage</v>
      </c>
      <c r="B2435" s="55" t="s">
        <v>4561</v>
      </c>
      <c r="D2435" s="55" t="s">
        <v>389</v>
      </c>
      <c r="E2435" s="74">
        <v>38447</v>
      </c>
      <c r="F2435" s="55" t="s">
        <v>344</v>
      </c>
      <c r="G2435" s="55" t="s">
        <v>4562</v>
      </c>
      <c r="H2435" s="55" t="s">
        <v>2150</v>
      </c>
      <c r="I2435" s="55" t="s">
        <v>4563</v>
      </c>
      <c r="J2435" s="55" t="s">
        <v>3798</v>
      </c>
      <c r="K2435" s="55" t="s">
        <v>165</v>
      </c>
      <c r="L2435" s="55" t="s">
        <v>4564</v>
      </c>
      <c r="M2435" s="55" t="s">
        <v>136</v>
      </c>
      <c r="N2435" s="55" t="s">
        <v>136</v>
      </c>
      <c r="O2435" s="55" t="s">
        <v>165</v>
      </c>
      <c r="P2435" s="55" t="s">
        <v>2318</v>
      </c>
      <c r="Q2435" s="55" t="s">
        <v>350</v>
      </c>
      <c r="R2435" s="55"/>
      <c r="S2435" s="74"/>
      <c r="T2435" s="55" t="s">
        <v>2197</v>
      </c>
      <c r="U2435" s="73" t="s">
        <v>351</v>
      </c>
      <c r="V2435" s="74">
        <v>44627</v>
      </c>
      <c r="W2435" s="74">
        <v>44679</v>
      </c>
      <c r="X2435" s="55">
        <v>10183422</v>
      </c>
      <c r="Y2435" s="55" t="s">
        <v>132</v>
      </c>
      <c r="AB2435" s="55" t="s">
        <v>132</v>
      </c>
      <c r="AC2435" s="55" t="s">
        <v>132</v>
      </c>
    </row>
    <row r="2436" spans="1:29" ht="13" x14ac:dyDescent="0.15">
      <c r="A2436" s="72" t="str">
        <f t="shared" si="37"/>
        <v>Ofsted Social Care Provider Webpage</v>
      </c>
      <c r="B2436" s="55" t="s">
        <v>4565</v>
      </c>
      <c r="D2436" s="55" t="s">
        <v>373</v>
      </c>
      <c r="E2436" s="74">
        <v>38372</v>
      </c>
      <c r="F2436" s="55" t="s">
        <v>344</v>
      </c>
      <c r="G2436" s="55" t="s">
        <v>360</v>
      </c>
      <c r="H2436" s="55" t="s">
        <v>360</v>
      </c>
      <c r="I2436" s="55" t="s">
        <v>360</v>
      </c>
      <c r="J2436" s="55" t="s">
        <v>360</v>
      </c>
      <c r="K2436" s="55" t="s">
        <v>360</v>
      </c>
      <c r="L2436" s="55" t="s">
        <v>360</v>
      </c>
      <c r="M2436" s="55" t="s">
        <v>172</v>
      </c>
      <c r="N2436" s="55" t="s">
        <v>172</v>
      </c>
      <c r="O2436" s="55" t="s">
        <v>173</v>
      </c>
      <c r="P2436" s="55" t="s">
        <v>1540</v>
      </c>
      <c r="Q2436" s="55" t="s">
        <v>380</v>
      </c>
      <c r="R2436" s="55">
        <v>6</v>
      </c>
      <c r="S2436" s="74"/>
      <c r="T2436" s="55" t="s">
        <v>1431</v>
      </c>
      <c r="U2436" s="73" t="s">
        <v>351</v>
      </c>
      <c r="V2436" s="74">
        <v>44601</v>
      </c>
      <c r="W2436" s="74">
        <v>44644</v>
      </c>
      <c r="X2436" s="55">
        <v>10187063</v>
      </c>
      <c r="Y2436" s="55" t="s">
        <v>132</v>
      </c>
      <c r="AB2436" s="55" t="s">
        <v>132</v>
      </c>
      <c r="AC2436" s="55" t="s">
        <v>132</v>
      </c>
    </row>
    <row r="2437" spans="1:29" ht="13" x14ac:dyDescent="0.15">
      <c r="A2437" s="72" t="str">
        <f t="shared" si="37"/>
        <v>Ofsted Social Care Provider Webpage</v>
      </c>
      <c r="B2437" s="55" t="s">
        <v>4566</v>
      </c>
      <c r="D2437" s="55" t="s">
        <v>373</v>
      </c>
      <c r="E2437" s="74">
        <v>38372</v>
      </c>
      <c r="F2437" s="55" t="s">
        <v>344</v>
      </c>
      <c r="G2437" s="55" t="s">
        <v>360</v>
      </c>
      <c r="H2437" s="55" t="s">
        <v>360</v>
      </c>
      <c r="I2437" s="55" t="s">
        <v>360</v>
      </c>
      <c r="J2437" s="55" t="s">
        <v>360</v>
      </c>
      <c r="K2437" s="55" t="s">
        <v>360</v>
      </c>
      <c r="L2437" s="55" t="s">
        <v>360</v>
      </c>
      <c r="M2437" s="55" t="s">
        <v>378</v>
      </c>
      <c r="N2437" s="55" t="s">
        <v>134</v>
      </c>
      <c r="O2437" s="55" t="s">
        <v>277</v>
      </c>
      <c r="P2437" s="55" t="s">
        <v>1362</v>
      </c>
      <c r="Q2437" s="55" t="s">
        <v>380</v>
      </c>
      <c r="R2437" s="55">
        <v>4</v>
      </c>
      <c r="S2437" s="74"/>
      <c r="T2437" s="55" t="s">
        <v>1575</v>
      </c>
      <c r="U2437" s="73" t="s">
        <v>351</v>
      </c>
      <c r="V2437" s="74">
        <v>43655</v>
      </c>
      <c r="W2437" s="74">
        <v>43684</v>
      </c>
      <c r="X2437" s="55">
        <v>10095749</v>
      </c>
      <c r="Y2437" s="55" t="s">
        <v>132</v>
      </c>
      <c r="AB2437" s="55" t="s">
        <v>132</v>
      </c>
      <c r="AC2437" s="55" t="s">
        <v>132</v>
      </c>
    </row>
    <row r="2438" spans="1:29" ht="13" x14ac:dyDescent="0.15">
      <c r="A2438" s="72" t="str">
        <f t="shared" ref="A2438:A2501" si="38">HYPERLINK(_xlfn.CONCAT("http://reports.ofsted.gov.uk/inspection-reports/find-inspection-report/provider/CARE/",B2438),"Ofsted Social Care Provider Webpage")</f>
        <v>Ofsted Social Care Provider Webpage</v>
      </c>
      <c r="B2438" s="55" t="s">
        <v>4567</v>
      </c>
      <c r="D2438" s="55" t="s">
        <v>373</v>
      </c>
      <c r="E2438" s="74">
        <v>38331</v>
      </c>
      <c r="F2438" s="55" t="s">
        <v>344</v>
      </c>
      <c r="G2438" s="55" t="s">
        <v>360</v>
      </c>
      <c r="H2438" s="55" t="s">
        <v>360</v>
      </c>
      <c r="I2438" s="55" t="s">
        <v>360</v>
      </c>
      <c r="J2438" s="55" t="s">
        <v>360</v>
      </c>
      <c r="K2438" s="55" t="s">
        <v>360</v>
      </c>
      <c r="L2438" s="55" t="s">
        <v>360</v>
      </c>
      <c r="M2438" s="55" t="s">
        <v>138</v>
      </c>
      <c r="N2438" s="55" t="s">
        <v>138</v>
      </c>
      <c r="O2438" s="55" t="s">
        <v>266</v>
      </c>
      <c r="P2438" s="55" t="s">
        <v>1622</v>
      </c>
      <c r="Q2438" s="55" t="s">
        <v>350</v>
      </c>
      <c r="R2438" s="55">
        <v>4</v>
      </c>
      <c r="S2438" s="74"/>
      <c r="T2438" s="55" t="s">
        <v>1623</v>
      </c>
      <c r="U2438" s="73" t="s">
        <v>351</v>
      </c>
      <c r="V2438" s="74">
        <v>44544</v>
      </c>
      <c r="W2438" s="74">
        <v>44588</v>
      </c>
      <c r="X2438" s="55">
        <v>10185820</v>
      </c>
      <c r="Y2438" s="55" t="s">
        <v>132</v>
      </c>
      <c r="AB2438" s="55" t="s">
        <v>132</v>
      </c>
      <c r="AC2438" s="55" t="s">
        <v>132</v>
      </c>
    </row>
    <row r="2439" spans="1:29" ht="13" x14ac:dyDescent="0.15">
      <c r="A2439" s="72" t="str">
        <f t="shared" si="38"/>
        <v>Ofsted Social Care Provider Webpage</v>
      </c>
      <c r="B2439" s="55" t="s">
        <v>4568</v>
      </c>
      <c r="D2439" s="55" t="s">
        <v>373</v>
      </c>
      <c r="E2439" s="74">
        <v>38758</v>
      </c>
      <c r="F2439" s="55" t="s">
        <v>344</v>
      </c>
      <c r="G2439" s="55" t="s">
        <v>360</v>
      </c>
      <c r="H2439" s="55" t="s">
        <v>360</v>
      </c>
      <c r="I2439" s="55" t="s">
        <v>360</v>
      </c>
      <c r="J2439" s="55" t="s">
        <v>360</v>
      </c>
      <c r="K2439" s="55" t="s">
        <v>360</v>
      </c>
      <c r="L2439" s="55" t="s">
        <v>360</v>
      </c>
      <c r="M2439" s="55" t="s">
        <v>144</v>
      </c>
      <c r="N2439" s="55" t="s">
        <v>144</v>
      </c>
      <c r="O2439" s="55" t="s">
        <v>215</v>
      </c>
      <c r="P2439" s="55" t="s">
        <v>1008</v>
      </c>
      <c r="Q2439" s="55" t="s">
        <v>350</v>
      </c>
      <c r="R2439" s="55">
        <v>4</v>
      </c>
      <c r="S2439" s="74"/>
      <c r="T2439" s="55" t="s">
        <v>4414</v>
      </c>
      <c r="U2439" s="73" t="s">
        <v>351</v>
      </c>
      <c r="V2439" s="74">
        <v>44544</v>
      </c>
      <c r="W2439" s="74">
        <v>44608</v>
      </c>
      <c r="X2439" s="55">
        <v>10187378</v>
      </c>
      <c r="Y2439" s="55" t="s">
        <v>130</v>
      </c>
      <c r="AB2439" s="55" t="s">
        <v>130</v>
      </c>
      <c r="AC2439" s="55" t="s">
        <v>130</v>
      </c>
    </row>
    <row r="2440" spans="1:29" ht="13" x14ac:dyDescent="0.15">
      <c r="A2440" s="72" t="str">
        <f t="shared" si="38"/>
        <v>Ofsted Social Care Provider Webpage</v>
      </c>
      <c r="B2440" s="55" t="s">
        <v>4569</v>
      </c>
      <c r="D2440" s="55" t="s">
        <v>389</v>
      </c>
      <c r="E2440" s="74">
        <v>38323</v>
      </c>
      <c r="F2440" s="55" t="s">
        <v>344</v>
      </c>
      <c r="G2440" s="55" t="s">
        <v>4570</v>
      </c>
      <c r="H2440" s="55" t="s">
        <v>4571</v>
      </c>
      <c r="I2440" s="55" t="s">
        <v>4572</v>
      </c>
      <c r="J2440" s="55" t="s">
        <v>3443</v>
      </c>
      <c r="L2440" s="55" t="s">
        <v>4573</v>
      </c>
      <c r="M2440" s="55" t="s">
        <v>150</v>
      </c>
      <c r="N2440" s="55" t="s">
        <v>150</v>
      </c>
      <c r="O2440" s="55" t="s">
        <v>218</v>
      </c>
      <c r="P2440" s="55" t="s">
        <v>1086</v>
      </c>
      <c r="Q2440" s="55" t="s">
        <v>350</v>
      </c>
      <c r="R2440" s="55"/>
      <c r="S2440" s="74"/>
      <c r="T2440" s="55" t="s">
        <v>4574</v>
      </c>
      <c r="U2440" s="73" t="s">
        <v>351</v>
      </c>
      <c r="V2440" s="74">
        <v>42870</v>
      </c>
      <c r="W2440" s="74">
        <v>42909</v>
      </c>
      <c r="X2440" s="55">
        <v>10021590</v>
      </c>
      <c r="Y2440" s="55" t="s">
        <v>140</v>
      </c>
      <c r="AB2440" s="55" t="s">
        <v>140</v>
      </c>
      <c r="AC2440" s="55" t="s">
        <v>140</v>
      </c>
    </row>
    <row r="2441" spans="1:29" ht="13" x14ac:dyDescent="0.15">
      <c r="A2441" s="72" t="str">
        <f t="shared" si="38"/>
        <v>Ofsted Social Care Provider Webpage</v>
      </c>
      <c r="B2441" s="55" t="s">
        <v>4575</v>
      </c>
      <c r="D2441" s="55" t="s">
        <v>373</v>
      </c>
      <c r="E2441" s="74">
        <v>38411</v>
      </c>
      <c r="F2441" s="55" t="s">
        <v>344</v>
      </c>
      <c r="G2441" s="55" t="s">
        <v>360</v>
      </c>
      <c r="H2441" s="55" t="s">
        <v>360</v>
      </c>
      <c r="I2441" s="55" t="s">
        <v>360</v>
      </c>
      <c r="J2441" s="55" t="s">
        <v>360</v>
      </c>
      <c r="K2441" s="55" t="s">
        <v>360</v>
      </c>
      <c r="L2441" s="55" t="s">
        <v>360</v>
      </c>
      <c r="M2441" s="55" t="s">
        <v>129</v>
      </c>
      <c r="N2441" s="55" t="s">
        <v>129</v>
      </c>
      <c r="O2441" s="55" t="s">
        <v>279</v>
      </c>
      <c r="P2441" s="55" t="s">
        <v>1078</v>
      </c>
      <c r="Q2441" s="55" t="s">
        <v>350</v>
      </c>
      <c r="R2441" s="55">
        <v>9</v>
      </c>
      <c r="S2441" s="74"/>
      <c r="T2441" s="55" t="s">
        <v>1303</v>
      </c>
      <c r="U2441" s="73" t="s">
        <v>351</v>
      </c>
      <c r="V2441" s="74">
        <v>44550</v>
      </c>
      <c r="W2441" s="74">
        <v>44592</v>
      </c>
      <c r="X2441" s="55">
        <v>10186419</v>
      </c>
      <c r="Y2441" s="55" t="s">
        <v>140</v>
      </c>
      <c r="AB2441" s="55" t="s">
        <v>140</v>
      </c>
      <c r="AC2441" s="55" t="s">
        <v>140</v>
      </c>
    </row>
    <row r="2442" spans="1:29" ht="13" x14ac:dyDescent="0.15">
      <c r="A2442" s="72" t="str">
        <f t="shared" si="38"/>
        <v>Ofsted Social Care Provider Webpage</v>
      </c>
      <c r="B2442" s="55" t="s">
        <v>4576</v>
      </c>
      <c r="D2442" s="55" t="s">
        <v>389</v>
      </c>
      <c r="E2442" s="74">
        <v>38302</v>
      </c>
      <c r="F2442" s="55" t="s">
        <v>344</v>
      </c>
      <c r="G2442" s="55" t="s">
        <v>4577</v>
      </c>
      <c r="H2442" s="55" t="s">
        <v>4578</v>
      </c>
      <c r="I2442" s="55" t="s">
        <v>4579</v>
      </c>
      <c r="J2442" s="55" t="s">
        <v>4347</v>
      </c>
      <c r="K2442" s="55" t="s">
        <v>173</v>
      </c>
      <c r="L2442" s="55" t="s">
        <v>4580</v>
      </c>
      <c r="M2442" s="55" t="s">
        <v>172</v>
      </c>
      <c r="N2442" s="55" t="s">
        <v>172</v>
      </c>
      <c r="O2442" s="55" t="s">
        <v>173</v>
      </c>
      <c r="P2442" s="55" t="s">
        <v>961</v>
      </c>
      <c r="Q2442" s="55" t="s">
        <v>350</v>
      </c>
      <c r="R2442" s="55"/>
      <c r="S2442" s="74"/>
      <c r="T2442" s="55" t="s">
        <v>2197</v>
      </c>
      <c r="U2442" s="73" t="s">
        <v>351</v>
      </c>
      <c r="V2442" s="74">
        <v>43808</v>
      </c>
      <c r="W2442" s="74">
        <v>43838</v>
      </c>
      <c r="X2442" s="55">
        <v>10093247</v>
      </c>
      <c r="Y2442" s="55" t="s">
        <v>132</v>
      </c>
      <c r="AB2442" s="55" t="s">
        <v>132</v>
      </c>
      <c r="AC2442" s="55" t="s">
        <v>132</v>
      </c>
    </row>
    <row r="2443" spans="1:29" ht="13" x14ac:dyDescent="0.15">
      <c r="A2443" s="72" t="str">
        <f t="shared" si="38"/>
        <v>Ofsted Social Care Provider Webpage</v>
      </c>
      <c r="B2443" s="55" t="s">
        <v>4581</v>
      </c>
      <c r="C2443" s="55">
        <v>130708</v>
      </c>
      <c r="D2443" s="55" t="s">
        <v>693</v>
      </c>
      <c r="E2443" s="74">
        <v>38274</v>
      </c>
      <c r="F2443" s="55" t="s">
        <v>344</v>
      </c>
      <c r="G2443" s="55" t="s">
        <v>4582</v>
      </c>
      <c r="H2443" s="55" t="s">
        <v>4582</v>
      </c>
      <c r="I2443" s="55" t="s">
        <v>4583</v>
      </c>
      <c r="J2443" s="55" t="s">
        <v>4584</v>
      </c>
      <c r="K2443" s="55" t="s">
        <v>190</v>
      </c>
      <c r="L2443" s="55" t="s">
        <v>4585</v>
      </c>
      <c r="M2443" s="55" t="s">
        <v>150</v>
      </c>
      <c r="N2443" s="55" t="s">
        <v>150</v>
      </c>
      <c r="O2443" s="55" t="s">
        <v>190</v>
      </c>
      <c r="P2443" s="55" t="s">
        <v>966</v>
      </c>
      <c r="Q2443" s="55" t="s">
        <v>362</v>
      </c>
      <c r="R2443" s="55">
        <v>79</v>
      </c>
      <c r="S2443" s="74"/>
      <c r="T2443" s="55" t="s">
        <v>4582</v>
      </c>
      <c r="U2443" s="73" t="s">
        <v>351</v>
      </c>
      <c r="V2443" s="74">
        <v>43389</v>
      </c>
      <c r="W2443" s="74">
        <v>43411</v>
      </c>
      <c r="X2443" s="55">
        <v>10046859</v>
      </c>
      <c r="Y2443" s="55" t="s">
        <v>140</v>
      </c>
      <c r="AB2443" s="55" t="s">
        <v>140</v>
      </c>
      <c r="AC2443" s="55" t="s">
        <v>140</v>
      </c>
    </row>
    <row r="2444" spans="1:29" ht="13" x14ac:dyDescent="0.15">
      <c r="A2444" s="72" t="str">
        <f t="shared" si="38"/>
        <v>Ofsted Social Care Provider Webpage</v>
      </c>
      <c r="B2444" s="55" t="s">
        <v>4586</v>
      </c>
      <c r="D2444" s="55" t="s">
        <v>373</v>
      </c>
      <c r="E2444" s="74">
        <v>38450</v>
      </c>
      <c r="F2444" s="55" t="s">
        <v>344</v>
      </c>
      <c r="G2444" s="55" t="s">
        <v>360</v>
      </c>
      <c r="H2444" s="55" t="s">
        <v>360</v>
      </c>
      <c r="I2444" s="55" t="s">
        <v>360</v>
      </c>
      <c r="J2444" s="55" t="s">
        <v>360</v>
      </c>
      <c r="K2444" s="55" t="s">
        <v>360</v>
      </c>
      <c r="L2444" s="55" t="s">
        <v>360</v>
      </c>
      <c r="M2444" s="55" t="s">
        <v>150</v>
      </c>
      <c r="N2444" s="55" t="s">
        <v>150</v>
      </c>
      <c r="O2444" s="55" t="s">
        <v>203</v>
      </c>
      <c r="P2444" s="55" t="s">
        <v>593</v>
      </c>
      <c r="Q2444" s="55" t="s">
        <v>350</v>
      </c>
      <c r="R2444" s="55">
        <v>4</v>
      </c>
      <c r="S2444" s="74"/>
      <c r="T2444" s="55" t="s">
        <v>2070</v>
      </c>
      <c r="U2444" s="73" t="s">
        <v>351</v>
      </c>
      <c r="V2444" s="74">
        <v>43677</v>
      </c>
      <c r="W2444" s="74">
        <v>43707</v>
      </c>
      <c r="X2444" s="55">
        <v>10095937</v>
      </c>
      <c r="Y2444" s="55" t="s">
        <v>132</v>
      </c>
      <c r="AB2444" s="55" t="s">
        <v>132</v>
      </c>
      <c r="AC2444" s="55" t="s">
        <v>130</v>
      </c>
    </row>
    <row r="2445" spans="1:29" ht="13" x14ac:dyDescent="0.15">
      <c r="A2445" s="72" t="str">
        <f t="shared" si="38"/>
        <v>Ofsted Social Care Provider Webpage</v>
      </c>
      <c r="B2445" s="55" t="s">
        <v>4587</v>
      </c>
      <c r="D2445" s="55" t="s">
        <v>389</v>
      </c>
      <c r="E2445" s="74">
        <v>38943</v>
      </c>
      <c r="F2445" s="55" t="s">
        <v>344</v>
      </c>
      <c r="G2445" s="55" t="s">
        <v>4588</v>
      </c>
      <c r="H2445" s="55" t="s">
        <v>3135</v>
      </c>
      <c r="I2445" s="55" t="s">
        <v>4589</v>
      </c>
      <c r="J2445" s="55" t="s">
        <v>239</v>
      </c>
      <c r="K2445" s="55" t="s">
        <v>174</v>
      </c>
      <c r="L2445" s="55" t="s">
        <v>4590</v>
      </c>
      <c r="M2445" s="55" t="s">
        <v>136</v>
      </c>
      <c r="N2445" s="55" t="s">
        <v>136</v>
      </c>
      <c r="O2445" s="55" t="s">
        <v>239</v>
      </c>
      <c r="P2445" s="55" t="s">
        <v>964</v>
      </c>
      <c r="Q2445" s="55" t="s">
        <v>350</v>
      </c>
      <c r="R2445" s="55"/>
      <c r="S2445" s="74"/>
      <c r="T2445" s="55" t="s">
        <v>4591</v>
      </c>
      <c r="U2445" s="73" t="s">
        <v>351</v>
      </c>
      <c r="V2445" s="74">
        <v>44627</v>
      </c>
      <c r="W2445" s="74">
        <v>44673</v>
      </c>
      <c r="X2445" s="55">
        <v>10183272</v>
      </c>
      <c r="Y2445" s="55" t="s">
        <v>132</v>
      </c>
      <c r="AB2445" s="55" t="s">
        <v>132</v>
      </c>
      <c r="AC2445" s="55" t="s">
        <v>132</v>
      </c>
    </row>
    <row r="2446" spans="1:29" ht="13" x14ac:dyDescent="0.15">
      <c r="A2446" s="72" t="str">
        <f t="shared" si="38"/>
        <v>Ofsted Social Care Provider Webpage</v>
      </c>
      <c r="B2446" s="55" t="s">
        <v>4592</v>
      </c>
      <c r="D2446" s="55" t="s">
        <v>373</v>
      </c>
      <c r="E2446" s="74">
        <v>38432</v>
      </c>
      <c r="F2446" s="55" t="s">
        <v>344</v>
      </c>
      <c r="G2446" s="55" t="s">
        <v>360</v>
      </c>
      <c r="H2446" s="55" t="s">
        <v>360</v>
      </c>
      <c r="I2446" s="55" t="s">
        <v>360</v>
      </c>
      <c r="J2446" s="55" t="s">
        <v>360</v>
      </c>
      <c r="K2446" s="55" t="s">
        <v>360</v>
      </c>
      <c r="L2446" s="55" t="s">
        <v>360</v>
      </c>
      <c r="M2446" s="55" t="s">
        <v>144</v>
      </c>
      <c r="N2446" s="55" t="s">
        <v>144</v>
      </c>
      <c r="O2446" s="55" t="s">
        <v>209</v>
      </c>
      <c r="P2446" s="55" t="s">
        <v>650</v>
      </c>
      <c r="Q2446" s="55" t="s">
        <v>350</v>
      </c>
      <c r="R2446" s="55">
        <v>5</v>
      </c>
      <c r="S2446" s="74"/>
      <c r="T2446" s="55" t="s">
        <v>4468</v>
      </c>
      <c r="U2446" s="73" t="s">
        <v>351</v>
      </c>
      <c r="V2446" s="74">
        <v>44377</v>
      </c>
      <c r="W2446" s="74">
        <v>44413</v>
      </c>
      <c r="X2446" s="55">
        <v>10186928</v>
      </c>
      <c r="Y2446" s="55" t="s">
        <v>130</v>
      </c>
      <c r="AB2446" s="55" t="s">
        <v>130</v>
      </c>
      <c r="AC2446" s="55" t="s">
        <v>130</v>
      </c>
    </row>
    <row r="2447" spans="1:29" ht="13" x14ac:dyDescent="0.15">
      <c r="A2447" s="72" t="str">
        <f t="shared" si="38"/>
        <v>Ofsted Social Care Provider Webpage</v>
      </c>
      <c r="B2447" s="55" t="s">
        <v>4593</v>
      </c>
      <c r="D2447" s="55" t="s">
        <v>373</v>
      </c>
      <c r="E2447" s="74">
        <v>38419</v>
      </c>
      <c r="F2447" s="55" t="s">
        <v>344</v>
      </c>
      <c r="G2447" s="55" t="s">
        <v>360</v>
      </c>
      <c r="H2447" s="55" t="s">
        <v>360</v>
      </c>
      <c r="I2447" s="55" t="s">
        <v>360</v>
      </c>
      <c r="J2447" s="55" t="s">
        <v>360</v>
      </c>
      <c r="K2447" s="55" t="s">
        <v>360</v>
      </c>
      <c r="L2447" s="55" t="s">
        <v>360</v>
      </c>
      <c r="M2447" s="55" t="s">
        <v>138</v>
      </c>
      <c r="N2447" s="55" t="s">
        <v>138</v>
      </c>
      <c r="O2447" s="55" t="s">
        <v>266</v>
      </c>
      <c r="P2447" s="55" t="s">
        <v>1522</v>
      </c>
      <c r="Q2447" s="55" t="s">
        <v>380</v>
      </c>
      <c r="R2447" s="55">
        <v>4</v>
      </c>
      <c r="S2447" s="74"/>
      <c r="T2447" s="55" t="s">
        <v>3510</v>
      </c>
      <c r="U2447" s="73" t="s">
        <v>351</v>
      </c>
      <c r="V2447" s="74">
        <v>44460</v>
      </c>
      <c r="W2447" s="74">
        <v>44487</v>
      </c>
      <c r="X2447" s="55">
        <v>10185945</v>
      </c>
      <c r="Y2447" s="55" t="s">
        <v>130</v>
      </c>
      <c r="AB2447" s="55" t="s">
        <v>130</v>
      </c>
      <c r="AC2447" s="55" t="s">
        <v>130</v>
      </c>
    </row>
    <row r="2448" spans="1:29" ht="13" x14ac:dyDescent="0.15">
      <c r="A2448" s="72" t="str">
        <f t="shared" si="38"/>
        <v>Ofsted Social Care Provider Webpage</v>
      </c>
      <c r="B2448" s="55" t="s">
        <v>4594</v>
      </c>
      <c r="D2448" s="55" t="s">
        <v>373</v>
      </c>
      <c r="E2448" s="74">
        <v>38322</v>
      </c>
      <c r="F2448" s="55" t="s">
        <v>344</v>
      </c>
      <c r="G2448" s="55" t="s">
        <v>360</v>
      </c>
      <c r="H2448" s="55" t="s">
        <v>360</v>
      </c>
      <c r="I2448" s="55" t="s">
        <v>360</v>
      </c>
      <c r="J2448" s="55" t="s">
        <v>360</v>
      </c>
      <c r="K2448" s="55" t="s">
        <v>360</v>
      </c>
      <c r="L2448" s="55" t="s">
        <v>360</v>
      </c>
      <c r="M2448" s="55" t="s">
        <v>150</v>
      </c>
      <c r="N2448" s="55" t="s">
        <v>150</v>
      </c>
      <c r="O2448" s="55" t="s">
        <v>203</v>
      </c>
      <c r="P2448" s="55" t="s">
        <v>1263</v>
      </c>
      <c r="Q2448" s="55" t="s">
        <v>350</v>
      </c>
      <c r="R2448" s="55">
        <v>6</v>
      </c>
      <c r="S2448" s="74"/>
      <c r="T2448" s="55" t="s">
        <v>2891</v>
      </c>
      <c r="U2448" s="73" t="s">
        <v>351</v>
      </c>
      <c r="V2448" s="74">
        <v>44622</v>
      </c>
      <c r="W2448" s="74">
        <v>44670</v>
      </c>
      <c r="X2448" s="55">
        <v>10185913</v>
      </c>
      <c r="Y2448" s="55" t="s">
        <v>132</v>
      </c>
      <c r="AB2448" s="55" t="s">
        <v>132</v>
      </c>
      <c r="AC2448" s="55" t="s">
        <v>140</v>
      </c>
    </row>
    <row r="2449" spans="1:29" ht="13" x14ac:dyDescent="0.15">
      <c r="A2449" s="72" t="str">
        <f t="shared" si="38"/>
        <v>Ofsted Social Care Provider Webpage</v>
      </c>
      <c r="B2449" s="55" t="s">
        <v>4595</v>
      </c>
      <c r="D2449" s="55" t="s">
        <v>373</v>
      </c>
      <c r="E2449" s="74">
        <v>38555</v>
      </c>
      <c r="F2449" s="55" t="s">
        <v>344</v>
      </c>
      <c r="G2449" s="55" t="s">
        <v>360</v>
      </c>
      <c r="H2449" s="55" t="s">
        <v>360</v>
      </c>
      <c r="I2449" s="55" t="s">
        <v>360</v>
      </c>
      <c r="J2449" s="55" t="s">
        <v>360</v>
      </c>
      <c r="K2449" s="55" t="s">
        <v>360</v>
      </c>
      <c r="L2449" s="55" t="s">
        <v>360</v>
      </c>
      <c r="M2449" s="55" t="s">
        <v>129</v>
      </c>
      <c r="N2449" s="55" t="s">
        <v>129</v>
      </c>
      <c r="O2449" s="55" t="s">
        <v>223</v>
      </c>
      <c r="P2449" s="55" t="s">
        <v>712</v>
      </c>
      <c r="Q2449" s="55" t="s">
        <v>350</v>
      </c>
      <c r="R2449" s="55">
        <v>5</v>
      </c>
      <c r="S2449" s="74"/>
      <c r="T2449" s="55" t="s">
        <v>1013</v>
      </c>
      <c r="U2449" s="73" t="s">
        <v>351</v>
      </c>
      <c r="V2449" s="74">
        <v>44377</v>
      </c>
      <c r="W2449" s="74">
        <v>44406</v>
      </c>
      <c r="X2449" s="55">
        <v>10186907</v>
      </c>
      <c r="Y2449" s="55" t="s">
        <v>130</v>
      </c>
      <c r="AB2449" s="55" t="s">
        <v>130</v>
      </c>
      <c r="AC2449" s="55" t="s">
        <v>130</v>
      </c>
    </row>
    <row r="2450" spans="1:29" ht="13" x14ac:dyDescent="0.15">
      <c r="A2450" s="72" t="str">
        <f t="shared" si="38"/>
        <v>Ofsted Social Care Provider Webpage</v>
      </c>
      <c r="B2450" s="55" t="s">
        <v>4596</v>
      </c>
      <c r="D2450" s="55" t="s">
        <v>479</v>
      </c>
      <c r="E2450" s="74">
        <v>38467</v>
      </c>
      <c r="F2450" s="55" t="s">
        <v>344</v>
      </c>
      <c r="G2450" s="55" t="s">
        <v>360</v>
      </c>
      <c r="H2450" s="55" t="s">
        <v>360</v>
      </c>
      <c r="I2450" s="55" t="s">
        <v>360</v>
      </c>
      <c r="J2450" s="55" t="s">
        <v>360</v>
      </c>
      <c r="K2450" s="55" t="s">
        <v>360</v>
      </c>
      <c r="L2450" s="55" t="s">
        <v>360</v>
      </c>
      <c r="M2450" s="55" t="s">
        <v>138</v>
      </c>
      <c r="N2450" s="55" t="s">
        <v>138</v>
      </c>
      <c r="O2450" s="55" t="s">
        <v>224</v>
      </c>
      <c r="P2450" s="55" t="s">
        <v>1675</v>
      </c>
      <c r="Q2450" s="55" t="s">
        <v>350</v>
      </c>
      <c r="R2450" s="55">
        <v>8</v>
      </c>
      <c r="S2450" s="74"/>
      <c r="T2450" s="55" t="s">
        <v>4597</v>
      </c>
      <c r="U2450" s="73" t="s">
        <v>351</v>
      </c>
      <c r="V2450" s="74">
        <v>44440</v>
      </c>
      <c r="W2450" s="74">
        <v>44467</v>
      </c>
      <c r="X2450" s="55">
        <v>10185187</v>
      </c>
      <c r="Y2450" s="55" t="s">
        <v>132</v>
      </c>
      <c r="AB2450" s="55" t="s">
        <v>132</v>
      </c>
      <c r="AC2450" s="55" t="s">
        <v>132</v>
      </c>
    </row>
    <row r="2451" spans="1:29" ht="13" x14ac:dyDescent="0.15">
      <c r="A2451" s="72" t="str">
        <f t="shared" si="38"/>
        <v>Ofsted Social Care Provider Webpage</v>
      </c>
      <c r="B2451" s="55" t="s">
        <v>4598</v>
      </c>
      <c r="D2451" s="55" t="s">
        <v>373</v>
      </c>
      <c r="E2451" s="74">
        <v>38511</v>
      </c>
      <c r="F2451" s="55" t="s">
        <v>344</v>
      </c>
      <c r="G2451" s="55" t="s">
        <v>360</v>
      </c>
      <c r="H2451" s="55" t="s">
        <v>360</v>
      </c>
      <c r="I2451" s="55" t="s">
        <v>360</v>
      </c>
      <c r="J2451" s="55" t="s">
        <v>360</v>
      </c>
      <c r="K2451" s="55" t="s">
        <v>360</v>
      </c>
      <c r="L2451" s="55" t="s">
        <v>360</v>
      </c>
      <c r="M2451" s="55" t="s">
        <v>144</v>
      </c>
      <c r="N2451" s="55" t="s">
        <v>144</v>
      </c>
      <c r="O2451" s="55" t="s">
        <v>261</v>
      </c>
      <c r="P2451" s="55" t="s">
        <v>512</v>
      </c>
      <c r="Q2451" s="55" t="s">
        <v>350</v>
      </c>
      <c r="R2451" s="55">
        <v>5</v>
      </c>
      <c r="S2451" s="74"/>
      <c r="T2451" s="55" t="s">
        <v>923</v>
      </c>
      <c r="U2451" s="73" t="s">
        <v>351</v>
      </c>
      <c r="V2451" s="74">
        <v>44530</v>
      </c>
      <c r="W2451" s="74">
        <v>44575</v>
      </c>
      <c r="X2451" s="55">
        <v>10187623</v>
      </c>
      <c r="Y2451" s="55" t="s">
        <v>132</v>
      </c>
      <c r="AB2451" s="55" t="s">
        <v>132</v>
      </c>
      <c r="AC2451" s="55" t="s">
        <v>132</v>
      </c>
    </row>
    <row r="2452" spans="1:29" ht="13" x14ac:dyDescent="0.15">
      <c r="A2452" s="72" t="str">
        <f t="shared" si="38"/>
        <v>Ofsted Social Care Provider Webpage</v>
      </c>
      <c r="B2452" s="55" t="s">
        <v>4599</v>
      </c>
      <c r="D2452" s="55" t="s">
        <v>373</v>
      </c>
      <c r="E2452" s="74">
        <v>38390</v>
      </c>
      <c r="F2452" s="55" t="s">
        <v>344</v>
      </c>
      <c r="G2452" s="55" t="s">
        <v>360</v>
      </c>
      <c r="H2452" s="55" t="s">
        <v>360</v>
      </c>
      <c r="I2452" s="55" t="s">
        <v>360</v>
      </c>
      <c r="J2452" s="55" t="s">
        <v>360</v>
      </c>
      <c r="K2452" s="55" t="s">
        <v>360</v>
      </c>
      <c r="L2452" s="55" t="s">
        <v>360</v>
      </c>
      <c r="M2452" s="55" t="s">
        <v>144</v>
      </c>
      <c r="N2452" s="55" t="s">
        <v>144</v>
      </c>
      <c r="O2452" s="55" t="s">
        <v>290</v>
      </c>
      <c r="P2452" s="55" t="s">
        <v>1512</v>
      </c>
      <c r="Q2452" s="55" t="s">
        <v>350</v>
      </c>
      <c r="R2452" s="55">
        <v>4</v>
      </c>
      <c r="S2452" s="74"/>
      <c r="T2452" s="55" t="s">
        <v>4600</v>
      </c>
      <c r="U2452" s="73" t="s">
        <v>351</v>
      </c>
      <c r="V2452" s="74">
        <v>44503</v>
      </c>
      <c r="W2452" s="74">
        <v>44539</v>
      </c>
      <c r="X2452" s="55">
        <v>10186409</v>
      </c>
      <c r="Y2452" s="55" t="s">
        <v>132</v>
      </c>
      <c r="AB2452" s="55" t="s">
        <v>132</v>
      </c>
      <c r="AC2452" s="55" t="s">
        <v>132</v>
      </c>
    </row>
    <row r="2453" spans="1:29" ht="13" x14ac:dyDescent="0.15">
      <c r="A2453" s="72" t="str">
        <f t="shared" si="38"/>
        <v>Ofsted Social Care Provider Webpage</v>
      </c>
      <c r="B2453" s="55" t="s">
        <v>4601</v>
      </c>
      <c r="D2453" s="55" t="s">
        <v>373</v>
      </c>
      <c r="E2453" s="74">
        <v>38427</v>
      </c>
      <c r="F2453" s="55" t="s">
        <v>344</v>
      </c>
      <c r="G2453" s="55" t="s">
        <v>360</v>
      </c>
      <c r="H2453" s="55" t="s">
        <v>360</v>
      </c>
      <c r="I2453" s="55" t="s">
        <v>360</v>
      </c>
      <c r="J2453" s="55" t="s">
        <v>360</v>
      </c>
      <c r="K2453" s="55" t="s">
        <v>360</v>
      </c>
      <c r="L2453" s="55" t="s">
        <v>360</v>
      </c>
      <c r="M2453" s="55" t="s">
        <v>142</v>
      </c>
      <c r="N2453" s="55" t="s">
        <v>142</v>
      </c>
      <c r="O2453" s="55" t="s">
        <v>272</v>
      </c>
      <c r="P2453" s="55" t="s">
        <v>1291</v>
      </c>
      <c r="Q2453" s="55" t="s">
        <v>350</v>
      </c>
      <c r="R2453" s="55">
        <v>4</v>
      </c>
      <c r="S2453" s="74"/>
      <c r="T2453" s="55" t="s">
        <v>1373</v>
      </c>
      <c r="U2453" s="73" t="s">
        <v>351</v>
      </c>
      <c r="V2453" s="74">
        <v>44362</v>
      </c>
      <c r="W2453" s="74">
        <v>44385</v>
      </c>
      <c r="X2453" s="55">
        <v>10187118</v>
      </c>
      <c r="Y2453" s="55" t="s">
        <v>140</v>
      </c>
      <c r="AB2453" s="55" t="s">
        <v>140</v>
      </c>
      <c r="AC2453" s="55" t="s">
        <v>140</v>
      </c>
    </row>
    <row r="2454" spans="1:29" ht="13" x14ac:dyDescent="0.15">
      <c r="A2454" s="72" t="str">
        <f t="shared" si="38"/>
        <v>Ofsted Social Care Provider Webpage</v>
      </c>
      <c r="B2454" s="55" t="s">
        <v>4602</v>
      </c>
      <c r="D2454" s="55" t="s">
        <v>373</v>
      </c>
      <c r="E2454" s="74">
        <v>38369</v>
      </c>
      <c r="F2454" s="55" t="s">
        <v>344</v>
      </c>
      <c r="G2454" s="55" t="s">
        <v>360</v>
      </c>
      <c r="H2454" s="55" t="s">
        <v>360</v>
      </c>
      <c r="I2454" s="55" t="s">
        <v>360</v>
      </c>
      <c r="J2454" s="55" t="s">
        <v>360</v>
      </c>
      <c r="K2454" s="55" t="s">
        <v>360</v>
      </c>
      <c r="L2454" s="55" t="s">
        <v>360</v>
      </c>
      <c r="M2454" s="55" t="s">
        <v>144</v>
      </c>
      <c r="N2454" s="55" t="s">
        <v>144</v>
      </c>
      <c r="O2454" s="55" t="s">
        <v>261</v>
      </c>
      <c r="P2454" s="55" t="s">
        <v>792</v>
      </c>
      <c r="Q2454" s="55" t="s">
        <v>350</v>
      </c>
      <c r="R2454" s="55">
        <v>1</v>
      </c>
      <c r="S2454" s="74"/>
      <c r="T2454" s="55" t="s">
        <v>4505</v>
      </c>
      <c r="U2454" s="73" t="s">
        <v>351</v>
      </c>
      <c r="V2454" s="74">
        <v>44543</v>
      </c>
      <c r="W2454" s="74">
        <v>44593</v>
      </c>
      <c r="X2454" s="55">
        <v>10185829</v>
      </c>
      <c r="Y2454" s="55" t="s">
        <v>132</v>
      </c>
      <c r="AB2454" s="55" t="s">
        <v>132</v>
      </c>
      <c r="AC2454" s="55" t="s">
        <v>130</v>
      </c>
    </row>
    <row r="2455" spans="1:29" ht="13" x14ac:dyDescent="0.15">
      <c r="A2455" s="72" t="str">
        <f t="shared" si="38"/>
        <v>Ofsted Social Care Provider Webpage</v>
      </c>
      <c r="B2455" s="55" t="s">
        <v>4603</v>
      </c>
      <c r="D2455" s="55" t="s">
        <v>373</v>
      </c>
      <c r="E2455" s="74">
        <v>38433</v>
      </c>
      <c r="F2455" s="55" t="s">
        <v>344</v>
      </c>
      <c r="G2455" s="55" t="s">
        <v>360</v>
      </c>
      <c r="H2455" s="55" t="s">
        <v>360</v>
      </c>
      <c r="I2455" s="55" t="s">
        <v>360</v>
      </c>
      <c r="J2455" s="55" t="s">
        <v>360</v>
      </c>
      <c r="K2455" s="55" t="s">
        <v>360</v>
      </c>
      <c r="L2455" s="55" t="s">
        <v>360</v>
      </c>
      <c r="M2455" s="55" t="s">
        <v>144</v>
      </c>
      <c r="N2455" s="55" t="s">
        <v>144</v>
      </c>
      <c r="O2455" s="55" t="s">
        <v>261</v>
      </c>
      <c r="P2455" s="55" t="s">
        <v>512</v>
      </c>
      <c r="Q2455" s="55" t="s">
        <v>380</v>
      </c>
      <c r="R2455" s="55">
        <v>4</v>
      </c>
      <c r="S2455" s="74"/>
      <c r="T2455" s="55" t="s">
        <v>3354</v>
      </c>
      <c r="U2455" s="73" t="s">
        <v>351</v>
      </c>
      <c r="V2455" s="74">
        <v>44452</v>
      </c>
      <c r="W2455" s="74">
        <v>44498</v>
      </c>
      <c r="X2455" s="55">
        <v>10187657</v>
      </c>
      <c r="Y2455" s="55" t="s">
        <v>130</v>
      </c>
      <c r="AB2455" s="55" t="s">
        <v>130</v>
      </c>
      <c r="AC2455" s="55" t="s">
        <v>146</v>
      </c>
    </row>
    <row r="2456" spans="1:29" ht="13" x14ac:dyDescent="0.15">
      <c r="A2456" s="72" t="str">
        <f t="shared" si="38"/>
        <v>Ofsted Social Care Provider Webpage</v>
      </c>
      <c r="B2456" s="55" t="s">
        <v>4604</v>
      </c>
      <c r="D2456" s="55" t="s">
        <v>389</v>
      </c>
      <c r="E2456" s="74">
        <v>38506</v>
      </c>
      <c r="F2456" s="55" t="s">
        <v>344</v>
      </c>
      <c r="G2456" s="55" t="s">
        <v>4605</v>
      </c>
      <c r="H2456" s="55" t="s">
        <v>4606</v>
      </c>
      <c r="I2456" s="55" t="s">
        <v>4607</v>
      </c>
      <c r="J2456" s="55" t="s">
        <v>4167</v>
      </c>
      <c r="L2456" s="55" t="s">
        <v>4608</v>
      </c>
      <c r="M2456" s="55" t="s">
        <v>138</v>
      </c>
      <c r="N2456" s="55" t="s">
        <v>138</v>
      </c>
      <c r="O2456" s="55" t="s">
        <v>161</v>
      </c>
      <c r="P2456" s="55" t="s">
        <v>822</v>
      </c>
      <c r="Q2456" s="55" t="s">
        <v>350</v>
      </c>
      <c r="R2456" s="55"/>
      <c r="S2456" s="74"/>
      <c r="T2456" s="55" t="s">
        <v>4609</v>
      </c>
      <c r="U2456" s="73" t="s">
        <v>351</v>
      </c>
      <c r="V2456" s="74">
        <v>43542</v>
      </c>
      <c r="W2456" s="74">
        <v>43571</v>
      </c>
      <c r="X2456" s="55">
        <v>10045663</v>
      </c>
      <c r="Y2456" s="55" t="s">
        <v>132</v>
      </c>
      <c r="AB2456" s="55" t="s">
        <v>132</v>
      </c>
      <c r="AC2456" s="55" t="s">
        <v>132</v>
      </c>
    </row>
    <row r="2457" spans="1:29" ht="13" x14ac:dyDescent="0.15">
      <c r="A2457" s="72" t="str">
        <f t="shared" si="38"/>
        <v>Ofsted Social Care Provider Webpage</v>
      </c>
      <c r="B2457" s="55" t="s">
        <v>4610</v>
      </c>
      <c r="D2457" s="55" t="s">
        <v>373</v>
      </c>
      <c r="E2457" s="74">
        <v>38481</v>
      </c>
      <c r="F2457" s="55" t="s">
        <v>344</v>
      </c>
      <c r="G2457" s="55" t="s">
        <v>360</v>
      </c>
      <c r="H2457" s="55" t="s">
        <v>360</v>
      </c>
      <c r="I2457" s="55" t="s">
        <v>360</v>
      </c>
      <c r="J2457" s="55" t="s">
        <v>360</v>
      </c>
      <c r="K2457" s="55" t="s">
        <v>360</v>
      </c>
      <c r="L2457" s="55" t="s">
        <v>360</v>
      </c>
      <c r="M2457" s="55" t="s">
        <v>142</v>
      </c>
      <c r="N2457" s="55" t="s">
        <v>142</v>
      </c>
      <c r="O2457" s="55" t="s">
        <v>262</v>
      </c>
      <c r="P2457" s="55" t="s">
        <v>488</v>
      </c>
      <c r="Q2457" s="55" t="s">
        <v>350</v>
      </c>
      <c r="R2457" s="55">
        <v>2</v>
      </c>
      <c r="S2457" s="74"/>
      <c r="T2457" s="55" t="s">
        <v>1430</v>
      </c>
      <c r="U2457" s="73" t="s">
        <v>351</v>
      </c>
      <c r="V2457" s="74">
        <v>44327</v>
      </c>
      <c r="W2457" s="74">
        <v>44355</v>
      </c>
      <c r="X2457" s="55">
        <v>10185194</v>
      </c>
      <c r="Y2457" s="55" t="s">
        <v>132</v>
      </c>
      <c r="AB2457" s="55" t="s">
        <v>132</v>
      </c>
      <c r="AC2457" s="55" t="s">
        <v>132</v>
      </c>
    </row>
    <row r="2458" spans="1:29" ht="13" x14ac:dyDescent="0.15">
      <c r="A2458" s="72" t="str">
        <f t="shared" si="38"/>
        <v>Ofsted Social Care Provider Webpage</v>
      </c>
      <c r="B2458" s="55" t="s">
        <v>4611</v>
      </c>
      <c r="D2458" s="55" t="s">
        <v>373</v>
      </c>
      <c r="E2458" s="74">
        <v>38404</v>
      </c>
      <c r="F2458" s="55" t="s">
        <v>344</v>
      </c>
      <c r="G2458" s="55" t="s">
        <v>360</v>
      </c>
      <c r="H2458" s="55" t="s">
        <v>360</v>
      </c>
      <c r="I2458" s="55" t="s">
        <v>360</v>
      </c>
      <c r="J2458" s="55" t="s">
        <v>360</v>
      </c>
      <c r="K2458" s="55" t="s">
        <v>360</v>
      </c>
      <c r="L2458" s="55" t="s">
        <v>360</v>
      </c>
      <c r="M2458" s="55" t="s">
        <v>144</v>
      </c>
      <c r="N2458" s="55" t="s">
        <v>144</v>
      </c>
      <c r="O2458" s="55" t="s">
        <v>250</v>
      </c>
      <c r="P2458" s="55" t="s">
        <v>759</v>
      </c>
      <c r="Q2458" s="55" t="s">
        <v>350</v>
      </c>
      <c r="R2458" s="55">
        <v>4</v>
      </c>
      <c r="S2458" s="74"/>
      <c r="T2458" s="55" t="s">
        <v>1600</v>
      </c>
      <c r="U2458" s="73" t="s">
        <v>351</v>
      </c>
      <c r="V2458" s="74">
        <v>44523</v>
      </c>
      <c r="W2458" s="74">
        <v>44566</v>
      </c>
      <c r="X2458" s="55">
        <v>10185516</v>
      </c>
      <c r="Y2458" s="55" t="s">
        <v>130</v>
      </c>
      <c r="AB2458" s="55" t="s">
        <v>130</v>
      </c>
      <c r="AC2458" s="55" t="s">
        <v>130</v>
      </c>
    </row>
    <row r="2459" spans="1:29" ht="13" x14ac:dyDescent="0.15">
      <c r="A2459" s="72" t="str">
        <f t="shared" si="38"/>
        <v>Ofsted Social Care Provider Webpage</v>
      </c>
      <c r="B2459" s="55" t="s">
        <v>4612</v>
      </c>
      <c r="D2459" s="55" t="s">
        <v>373</v>
      </c>
      <c r="E2459" s="74">
        <v>38702</v>
      </c>
      <c r="F2459" s="55" t="s">
        <v>344</v>
      </c>
      <c r="G2459" s="55" t="s">
        <v>360</v>
      </c>
      <c r="H2459" s="55" t="s">
        <v>360</v>
      </c>
      <c r="I2459" s="55" t="s">
        <v>360</v>
      </c>
      <c r="J2459" s="55" t="s">
        <v>360</v>
      </c>
      <c r="K2459" s="55" t="s">
        <v>360</v>
      </c>
      <c r="L2459" s="55" t="s">
        <v>360</v>
      </c>
      <c r="M2459" s="55" t="s">
        <v>144</v>
      </c>
      <c r="N2459" s="55" t="s">
        <v>144</v>
      </c>
      <c r="O2459" s="55" t="s">
        <v>217</v>
      </c>
      <c r="P2459" s="55" t="s">
        <v>384</v>
      </c>
      <c r="Q2459" s="55" t="s">
        <v>380</v>
      </c>
      <c r="R2459" s="55">
        <v>6</v>
      </c>
      <c r="S2459" s="74"/>
      <c r="T2459" s="55" t="s">
        <v>938</v>
      </c>
      <c r="U2459" s="73" t="s">
        <v>351</v>
      </c>
      <c r="V2459" s="74">
        <v>44362</v>
      </c>
      <c r="W2459" s="74">
        <v>44390</v>
      </c>
      <c r="X2459" s="55">
        <v>10187561</v>
      </c>
      <c r="Y2459" s="55" t="s">
        <v>132</v>
      </c>
      <c r="AB2459" s="55" t="s">
        <v>132</v>
      </c>
      <c r="AC2459" s="55" t="s">
        <v>140</v>
      </c>
    </row>
    <row r="2460" spans="1:29" ht="13" x14ac:dyDescent="0.15">
      <c r="A2460" s="72" t="str">
        <f t="shared" si="38"/>
        <v>Ofsted Social Care Provider Webpage</v>
      </c>
      <c r="B2460" s="55" t="s">
        <v>4613</v>
      </c>
      <c r="D2460" s="55" t="s">
        <v>389</v>
      </c>
      <c r="E2460" s="74">
        <v>38519</v>
      </c>
      <c r="F2460" s="55" t="s">
        <v>344</v>
      </c>
      <c r="G2460" s="55" t="s">
        <v>4614</v>
      </c>
      <c r="H2460" s="55" t="s">
        <v>4615</v>
      </c>
      <c r="I2460" s="55" t="s">
        <v>354</v>
      </c>
      <c r="J2460" s="55" t="s">
        <v>129</v>
      </c>
      <c r="L2460" s="55" t="s">
        <v>4616</v>
      </c>
      <c r="M2460" s="55" t="s">
        <v>129</v>
      </c>
      <c r="N2460" s="55" t="s">
        <v>129</v>
      </c>
      <c r="O2460" s="55" t="s">
        <v>213</v>
      </c>
      <c r="P2460" s="55" t="s">
        <v>1160</v>
      </c>
      <c r="Q2460" s="55" t="s">
        <v>362</v>
      </c>
      <c r="R2460" s="55"/>
      <c r="S2460" s="74"/>
      <c r="T2460" s="55" t="s">
        <v>3196</v>
      </c>
      <c r="U2460" s="73" t="s">
        <v>351</v>
      </c>
      <c r="V2460" s="74">
        <v>43136</v>
      </c>
      <c r="W2460" s="74">
        <v>43179</v>
      </c>
      <c r="X2460" s="55">
        <v>10038135</v>
      </c>
      <c r="Y2460" s="55" t="s">
        <v>132</v>
      </c>
      <c r="AB2460" s="55" t="s">
        <v>132</v>
      </c>
      <c r="AC2460" s="55" t="s">
        <v>130</v>
      </c>
    </row>
    <row r="2461" spans="1:29" ht="13" x14ac:dyDescent="0.15">
      <c r="A2461" s="72" t="str">
        <f t="shared" si="38"/>
        <v>Ofsted Social Care Provider Webpage</v>
      </c>
      <c r="B2461" s="55" t="s">
        <v>4617</v>
      </c>
      <c r="D2461" s="55" t="s">
        <v>373</v>
      </c>
      <c r="E2461" s="74">
        <v>38624</v>
      </c>
      <c r="F2461" s="55" t="s">
        <v>344</v>
      </c>
      <c r="G2461" s="55" t="s">
        <v>360</v>
      </c>
      <c r="H2461" s="55" t="s">
        <v>360</v>
      </c>
      <c r="I2461" s="55" t="s">
        <v>360</v>
      </c>
      <c r="J2461" s="55" t="s">
        <v>360</v>
      </c>
      <c r="K2461" s="55" t="s">
        <v>360</v>
      </c>
      <c r="L2461" s="55" t="s">
        <v>360</v>
      </c>
      <c r="M2461" s="55" t="s">
        <v>150</v>
      </c>
      <c r="N2461" s="55" t="s">
        <v>150</v>
      </c>
      <c r="O2461" s="55" t="s">
        <v>203</v>
      </c>
      <c r="P2461" s="55" t="s">
        <v>3559</v>
      </c>
      <c r="Q2461" s="55" t="s">
        <v>350</v>
      </c>
      <c r="R2461" s="55">
        <v>6</v>
      </c>
      <c r="S2461" s="74"/>
      <c r="T2461" s="55" t="s">
        <v>1016</v>
      </c>
      <c r="U2461" s="73" t="s">
        <v>351</v>
      </c>
      <c r="V2461" s="74">
        <v>44370</v>
      </c>
      <c r="W2461" s="74">
        <v>44456</v>
      </c>
      <c r="X2461" s="55">
        <v>10185575</v>
      </c>
      <c r="Y2461" s="55" t="s">
        <v>130</v>
      </c>
      <c r="AB2461" s="55" t="s">
        <v>130</v>
      </c>
      <c r="AC2461" s="55" t="s">
        <v>130</v>
      </c>
    </row>
    <row r="2462" spans="1:29" ht="13" x14ac:dyDescent="0.15">
      <c r="A2462" s="72" t="str">
        <f t="shared" si="38"/>
        <v>Ofsted Social Care Provider Webpage</v>
      </c>
      <c r="B2462" s="55" t="s">
        <v>4618</v>
      </c>
      <c r="D2462" s="55" t="s">
        <v>373</v>
      </c>
      <c r="E2462" s="74">
        <v>38525</v>
      </c>
      <c r="F2462" s="55" t="s">
        <v>344</v>
      </c>
      <c r="G2462" s="55" t="s">
        <v>360</v>
      </c>
      <c r="H2462" s="55" t="s">
        <v>360</v>
      </c>
      <c r="I2462" s="55" t="s">
        <v>360</v>
      </c>
      <c r="J2462" s="55" t="s">
        <v>360</v>
      </c>
      <c r="K2462" s="55" t="s">
        <v>360</v>
      </c>
      <c r="L2462" s="55" t="s">
        <v>360</v>
      </c>
      <c r="M2462" s="55" t="s">
        <v>150</v>
      </c>
      <c r="N2462" s="55" t="s">
        <v>150</v>
      </c>
      <c r="O2462" s="55" t="s">
        <v>190</v>
      </c>
      <c r="P2462" s="55" t="s">
        <v>749</v>
      </c>
      <c r="Q2462" s="55" t="s">
        <v>350</v>
      </c>
      <c r="R2462" s="55">
        <v>4</v>
      </c>
      <c r="S2462" s="74"/>
      <c r="T2462" s="55" t="s">
        <v>888</v>
      </c>
      <c r="U2462" s="73" t="s">
        <v>351</v>
      </c>
      <c r="V2462" s="74">
        <v>44607</v>
      </c>
      <c r="W2462" s="74">
        <v>44659</v>
      </c>
      <c r="X2462" s="55">
        <v>10185916</v>
      </c>
      <c r="Y2462" s="55" t="s">
        <v>140</v>
      </c>
      <c r="AB2462" s="55" t="s">
        <v>132</v>
      </c>
      <c r="AC2462" s="55" t="s">
        <v>140</v>
      </c>
    </row>
    <row r="2463" spans="1:29" ht="13" x14ac:dyDescent="0.15">
      <c r="A2463" s="72" t="str">
        <f t="shared" si="38"/>
        <v>Ofsted Social Care Provider Webpage</v>
      </c>
      <c r="B2463" s="55" t="s">
        <v>4619</v>
      </c>
      <c r="D2463" s="55" t="s">
        <v>373</v>
      </c>
      <c r="E2463" s="74">
        <v>38483</v>
      </c>
      <c r="F2463" s="55" t="s">
        <v>344</v>
      </c>
      <c r="G2463" s="55" t="s">
        <v>360</v>
      </c>
      <c r="H2463" s="55" t="s">
        <v>360</v>
      </c>
      <c r="I2463" s="55" t="s">
        <v>360</v>
      </c>
      <c r="J2463" s="55" t="s">
        <v>360</v>
      </c>
      <c r="K2463" s="55" t="s">
        <v>360</v>
      </c>
      <c r="L2463" s="55" t="s">
        <v>360</v>
      </c>
      <c r="M2463" s="55" t="s">
        <v>142</v>
      </c>
      <c r="N2463" s="55" t="s">
        <v>142</v>
      </c>
      <c r="O2463" s="55" t="s">
        <v>262</v>
      </c>
      <c r="P2463" s="55" t="s">
        <v>618</v>
      </c>
      <c r="Q2463" s="55" t="s">
        <v>350</v>
      </c>
      <c r="R2463" s="55">
        <v>3</v>
      </c>
      <c r="S2463" s="74"/>
      <c r="T2463" s="55" t="s">
        <v>517</v>
      </c>
      <c r="U2463" s="73" t="s">
        <v>351</v>
      </c>
      <c r="V2463" s="74">
        <v>44334</v>
      </c>
      <c r="W2463" s="74">
        <v>44377</v>
      </c>
      <c r="X2463" s="55">
        <v>10187429</v>
      </c>
      <c r="Y2463" s="55" t="s">
        <v>132</v>
      </c>
      <c r="AB2463" s="55" t="s">
        <v>132</v>
      </c>
      <c r="AC2463" s="55" t="s">
        <v>130</v>
      </c>
    </row>
    <row r="2464" spans="1:29" ht="13" x14ac:dyDescent="0.15">
      <c r="A2464" s="72" t="str">
        <f t="shared" si="38"/>
        <v>Ofsted Social Care Provider Webpage</v>
      </c>
      <c r="B2464" s="55" t="s">
        <v>4620</v>
      </c>
      <c r="D2464" s="55" t="s">
        <v>373</v>
      </c>
      <c r="E2464" s="74">
        <v>38516</v>
      </c>
      <c r="F2464" s="55" t="s">
        <v>344</v>
      </c>
      <c r="G2464" s="55" t="s">
        <v>360</v>
      </c>
      <c r="H2464" s="55" t="s">
        <v>360</v>
      </c>
      <c r="I2464" s="55" t="s">
        <v>360</v>
      </c>
      <c r="J2464" s="55" t="s">
        <v>360</v>
      </c>
      <c r="K2464" s="55" t="s">
        <v>360</v>
      </c>
      <c r="L2464" s="55" t="s">
        <v>360</v>
      </c>
      <c r="M2464" s="55" t="s">
        <v>142</v>
      </c>
      <c r="N2464" s="55" t="s">
        <v>142</v>
      </c>
      <c r="O2464" s="55" t="s">
        <v>262</v>
      </c>
      <c r="P2464" s="55" t="s">
        <v>1859</v>
      </c>
      <c r="Q2464" s="55" t="s">
        <v>350</v>
      </c>
      <c r="R2464" s="55">
        <v>6</v>
      </c>
      <c r="S2464" s="74"/>
      <c r="T2464" s="55" t="s">
        <v>960</v>
      </c>
      <c r="U2464" s="73" t="s">
        <v>351</v>
      </c>
      <c r="V2464" s="74">
        <v>44327</v>
      </c>
      <c r="W2464" s="74">
        <v>44357</v>
      </c>
      <c r="X2464" s="55">
        <v>10185449</v>
      </c>
      <c r="Y2464" s="55" t="s">
        <v>132</v>
      </c>
      <c r="AB2464" s="55" t="s">
        <v>132</v>
      </c>
      <c r="AC2464" s="55" t="s">
        <v>132</v>
      </c>
    </row>
    <row r="2465" spans="1:29" ht="13" x14ac:dyDescent="0.15">
      <c r="A2465" s="72" t="str">
        <f t="shared" si="38"/>
        <v>Ofsted Social Care Provider Webpage</v>
      </c>
      <c r="B2465" s="55" t="s">
        <v>4621</v>
      </c>
      <c r="D2465" s="55" t="s">
        <v>373</v>
      </c>
      <c r="E2465" s="74">
        <v>38544</v>
      </c>
      <c r="F2465" s="55" t="s">
        <v>344</v>
      </c>
      <c r="G2465" s="55" t="s">
        <v>360</v>
      </c>
      <c r="H2465" s="55" t="s">
        <v>360</v>
      </c>
      <c r="I2465" s="55" t="s">
        <v>360</v>
      </c>
      <c r="J2465" s="55" t="s">
        <v>360</v>
      </c>
      <c r="K2465" s="55" t="s">
        <v>360</v>
      </c>
      <c r="L2465" s="55" t="s">
        <v>360</v>
      </c>
      <c r="M2465" s="55" t="s">
        <v>138</v>
      </c>
      <c r="N2465" s="55" t="s">
        <v>138</v>
      </c>
      <c r="O2465" s="55" t="s">
        <v>224</v>
      </c>
      <c r="P2465" s="55" t="s">
        <v>1872</v>
      </c>
      <c r="Q2465" s="55" t="s">
        <v>362</v>
      </c>
      <c r="R2465" s="55">
        <v>4</v>
      </c>
      <c r="S2465" s="74"/>
      <c r="T2465" s="55" t="s">
        <v>557</v>
      </c>
      <c r="U2465" s="73" t="s">
        <v>351</v>
      </c>
      <c r="V2465" s="74">
        <v>44488</v>
      </c>
      <c r="W2465" s="74">
        <v>44519</v>
      </c>
      <c r="X2465" s="55">
        <v>10186855</v>
      </c>
      <c r="Y2465" s="55" t="s">
        <v>132</v>
      </c>
      <c r="AB2465" s="55" t="s">
        <v>132</v>
      </c>
      <c r="AC2465" s="55" t="s">
        <v>132</v>
      </c>
    </row>
    <row r="2466" spans="1:29" ht="13" x14ac:dyDescent="0.15">
      <c r="A2466" s="72" t="str">
        <f t="shared" si="38"/>
        <v>Ofsted Social Care Provider Webpage</v>
      </c>
      <c r="B2466" s="55" t="s">
        <v>4622</v>
      </c>
      <c r="D2466" s="55" t="s">
        <v>373</v>
      </c>
      <c r="E2466" s="74">
        <v>38588</v>
      </c>
      <c r="F2466" s="55" t="s">
        <v>344</v>
      </c>
      <c r="G2466" s="55" t="s">
        <v>360</v>
      </c>
      <c r="H2466" s="55" t="s">
        <v>360</v>
      </c>
      <c r="I2466" s="55" t="s">
        <v>360</v>
      </c>
      <c r="J2466" s="55" t="s">
        <v>360</v>
      </c>
      <c r="K2466" s="55" t="s">
        <v>360</v>
      </c>
      <c r="L2466" s="55" t="s">
        <v>360</v>
      </c>
      <c r="M2466" s="55" t="s">
        <v>142</v>
      </c>
      <c r="N2466" s="55" t="s">
        <v>142</v>
      </c>
      <c r="O2466" s="55" t="s">
        <v>278</v>
      </c>
      <c r="P2466" s="55" t="s">
        <v>1126</v>
      </c>
      <c r="Q2466" s="55" t="s">
        <v>380</v>
      </c>
      <c r="R2466" s="55">
        <v>4</v>
      </c>
      <c r="S2466" s="74"/>
      <c r="T2466" s="55" t="s">
        <v>3433</v>
      </c>
      <c r="U2466" s="73" t="s">
        <v>351</v>
      </c>
      <c r="V2466" s="74">
        <v>44495</v>
      </c>
      <c r="W2466" s="74">
        <v>44537</v>
      </c>
      <c r="X2466" s="55">
        <v>10186804</v>
      </c>
      <c r="Y2466" s="55" t="s">
        <v>140</v>
      </c>
      <c r="AB2466" s="55" t="s">
        <v>140</v>
      </c>
      <c r="AC2466" s="55" t="s">
        <v>140</v>
      </c>
    </row>
    <row r="2467" spans="1:29" ht="13" x14ac:dyDescent="0.15">
      <c r="A2467" s="72" t="str">
        <f t="shared" si="38"/>
        <v>Ofsted Social Care Provider Webpage</v>
      </c>
      <c r="B2467" s="55" t="s">
        <v>4623</v>
      </c>
      <c r="D2467" s="55" t="s">
        <v>373</v>
      </c>
      <c r="E2467" s="74">
        <v>38443</v>
      </c>
      <c r="F2467" s="55" t="s">
        <v>344</v>
      </c>
      <c r="G2467" s="55" t="s">
        <v>360</v>
      </c>
      <c r="H2467" s="55" t="s">
        <v>360</v>
      </c>
      <c r="I2467" s="55" t="s">
        <v>360</v>
      </c>
      <c r="J2467" s="55" t="s">
        <v>360</v>
      </c>
      <c r="K2467" s="55" t="s">
        <v>360</v>
      </c>
      <c r="L2467" s="55" t="s">
        <v>360</v>
      </c>
      <c r="M2467" s="55" t="s">
        <v>378</v>
      </c>
      <c r="N2467" s="55" t="s">
        <v>134</v>
      </c>
      <c r="O2467" s="55" t="s">
        <v>206</v>
      </c>
      <c r="P2467" s="55" t="s">
        <v>750</v>
      </c>
      <c r="Q2467" s="55" t="s">
        <v>350</v>
      </c>
      <c r="R2467" s="55">
        <v>3</v>
      </c>
      <c r="S2467" s="74"/>
      <c r="T2467" s="55" t="s">
        <v>843</v>
      </c>
      <c r="U2467" s="73" t="s">
        <v>351</v>
      </c>
      <c r="V2467" s="74">
        <v>44586</v>
      </c>
      <c r="W2467" s="74">
        <v>44622</v>
      </c>
      <c r="X2467" s="55">
        <v>10185365</v>
      </c>
      <c r="Y2467" s="55" t="s">
        <v>132</v>
      </c>
      <c r="AB2467" s="55" t="s">
        <v>132</v>
      </c>
      <c r="AC2467" s="55" t="s">
        <v>130</v>
      </c>
    </row>
    <row r="2468" spans="1:29" ht="13" x14ac:dyDescent="0.15">
      <c r="A2468" s="72" t="str">
        <f t="shared" si="38"/>
        <v>Ofsted Social Care Provider Webpage</v>
      </c>
      <c r="B2468" s="55" t="s">
        <v>4624</v>
      </c>
      <c r="D2468" s="55" t="s">
        <v>373</v>
      </c>
      <c r="E2468" s="74">
        <v>38470</v>
      </c>
      <c r="F2468" s="55" t="s">
        <v>344</v>
      </c>
      <c r="G2468" s="55" t="s">
        <v>360</v>
      </c>
      <c r="H2468" s="55" t="s">
        <v>360</v>
      </c>
      <c r="I2468" s="55" t="s">
        <v>360</v>
      </c>
      <c r="J2468" s="55" t="s">
        <v>360</v>
      </c>
      <c r="K2468" s="55" t="s">
        <v>360</v>
      </c>
      <c r="L2468" s="55" t="s">
        <v>360</v>
      </c>
      <c r="M2468" s="55" t="s">
        <v>172</v>
      </c>
      <c r="N2468" s="55" t="s">
        <v>172</v>
      </c>
      <c r="O2468" s="55" t="s">
        <v>235</v>
      </c>
      <c r="P2468" s="55" t="s">
        <v>2338</v>
      </c>
      <c r="Q2468" s="55" t="s">
        <v>350</v>
      </c>
      <c r="R2468" s="55">
        <v>4</v>
      </c>
      <c r="S2468" s="74"/>
      <c r="T2468" s="55" t="s">
        <v>2811</v>
      </c>
      <c r="U2468" s="73" t="s">
        <v>351</v>
      </c>
      <c r="V2468" s="74">
        <v>44572</v>
      </c>
      <c r="W2468" s="74">
        <v>44609</v>
      </c>
      <c r="X2468" s="55">
        <v>10187470</v>
      </c>
      <c r="Y2468" s="55" t="s">
        <v>132</v>
      </c>
      <c r="AB2468" s="55" t="s">
        <v>132</v>
      </c>
      <c r="AC2468" s="55" t="s">
        <v>132</v>
      </c>
    </row>
    <row r="2469" spans="1:29" ht="13" x14ac:dyDescent="0.15">
      <c r="A2469" s="72" t="str">
        <f t="shared" si="38"/>
        <v>Ofsted Social Care Provider Webpage</v>
      </c>
      <c r="B2469" s="55" t="s">
        <v>4625</v>
      </c>
      <c r="D2469" s="55" t="s">
        <v>373</v>
      </c>
      <c r="E2469" s="74">
        <v>38532</v>
      </c>
      <c r="F2469" s="55" t="s">
        <v>344</v>
      </c>
      <c r="G2469" s="55" t="s">
        <v>360</v>
      </c>
      <c r="H2469" s="55" t="s">
        <v>360</v>
      </c>
      <c r="I2469" s="55" t="s">
        <v>360</v>
      </c>
      <c r="J2469" s="55" t="s">
        <v>360</v>
      </c>
      <c r="K2469" s="55" t="s">
        <v>360</v>
      </c>
      <c r="L2469" s="55" t="s">
        <v>360</v>
      </c>
      <c r="M2469" s="55" t="s">
        <v>378</v>
      </c>
      <c r="N2469" s="55" t="s">
        <v>134</v>
      </c>
      <c r="O2469" s="55" t="s">
        <v>151</v>
      </c>
      <c r="P2469" s="55" t="s">
        <v>1921</v>
      </c>
      <c r="Q2469" s="55" t="s">
        <v>380</v>
      </c>
      <c r="R2469" s="55">
        <v>6</v>
      </c>
      <c r="S2469" s="74"/>
      <c r="T2469" s="55" t="s">
        <v>1220</v>
      </c>
      <c r="U2469" s="73" t="s">
        <v>351</v>
      </c>
      <c r="V2469" s="74">
        <v>44432</v>
      </c>
      <c r="W2469" s="74">
        <v>44468</v>
      </c>
      <c r="X2469" s="55">
        <v>10186972</v>
      </c>
      <c r="Y2469" s="55" t="s">
        <v>130</v>
      </c>
      <c r="AB2469" s="55" t="s">
        <v>130</v>
      </c>
      <c r="AC2469" s="55" t="s">
        <v>130</v>
      </c>
    </row>
    <row r="2470" spans="1:29" ht="13" x14ac:dyDescent="0.15">
      <c r="A2470" s="72" t="str">
        <f t="shared" si="38"/>
        <v>Ofsted Social Care Provider Webpage</v>
      </c>
      <c r="B2470" s="55" t="s">
        <v>4626</v>
      </c>
      <c r="D2470" s="55" t="s">
        <v>373</v>
      </c>
      <c r="E2470" s="74">
        <v>38443</v>
      </c>
      <c r="F2470" s="55" t="s">
        <v>344</v>
      </c>
      <c r="G2470" s="55" t="s">
        <v>360</v>
      </c>
      <c r="H2470" s="55" t="s">
        <v>360</v>
      </c>
      <c r="I2470" s="55" t="s">
        <v>360</v>
      </c>
      <c r="J2470" s="55" t="s">
        <v>360</v>
      </c>
      <c r="K2470" s="55" t="s">
        <v>360</v>
      </c>
      <c r="L2470" s="55" t="s">
        <v>360</v>
      </c>
      <c r="M2470" s="55" t="s">
        <v>172</v>
      </c>
      <c r="N2470" s="55" t="s">
        <v>172</v>
      </c>
      <c r="O2470" s="55" t="s">
        <v>212</v>
      </c>
      <c r="P2470" s="55" t="s">
        <v>592</v>
      </c>
      <c r="Q2470" s="55" t="s">
        <v>350</v>
      </c>
      <c r="R2470" s="55">
        <v>3</v>
      </c>
      <c r="S2470" s="74"/>
      <c r="T2470" s="55" t="s">
        <v>843</v>
      </c>
      <c r="U2470" s="73" t="s">
        <v>351</v>
      </c>
      <c r="V2470" s="74">
        <v>44454</v>
      </c>
      <c r="W2470" s="74">
        <v>44489</v>
      </c>
      <c r="X2470" s="55">
        <v>10186125</v>
      </c>
      <c r="Y2470" s="55" t="s">
        <v>132</v>
      </c>
      <c r="AB2470" s="55" t="s">
        <v>132</v>
      </c>
      <c r="AC2470" s="55" t="s">
        <v>132</v>
      </c>
    </row>
    <row r="2471" spans="1:29" ht="13" x14ac:dyDescent="0.15">
      <c r="A2471" s="72" t="str">
        <f t="shared" si="38"/>
        <v>Ofsted Social Care Provider Webpage</v>
      </c>
      <c r="B2471" s="55" t="s">
        <v>4627</v>
      </c>
      <c r="D2471" s="55" t="s">
        <v>373</v>
      </c>
      <c r="E2471" s="74">
        <v>38453</v>
      </c>
      <c r="F2471" s="55" t="s">
        <v>344</v>
      </c>
      <c r="G2471" s="55" t="s">
        <v>360</v>
      </c>
      <c r="H2471" s="55" t="s">
        <v>360</v>
      </c>
      <c r="I2471" s="55" t="s">
        <v>360</v>
      </c>
      <c r="J2471" s="55" t="s">
        <v>360</v>
      </c>
      <c r="K2471" s="55" t="s">
        <v>360</v>
      </c>
      <c r="L2471" s="55" t="s">
        <v>360</v>
      </c>
      <c r="M2471" s="55" t="s">
        <v>150</v>
      </c>
      <c r="N2471" s="55" t="s">
        <v>150</v>
      </c>
      <c r="O2471" s="55" t="s">
        <v>181</v>
      </c>
      <c r="P2471" s="55" t="s">
        <v>429</v>
      </c>
      <c r="Q2471" s="55" t="s">
        <v>350</v>
      </c>
      <c r="R2471" s="55">
        <v>4</v>
      </c>
      <c r="S2471" s="74"/>
      <c r="T2471" s="55" t="s">
        <v>931</v>
      </c>
      <c r="U2471" s="73" t="s">
        <v>351</v>
      </c>
      <c r="V2471" s="74">
        <v>44600</v>
      </c>
      <c r="W2471" s="74">
        <v>44652</v>
      </c>
      <c r="X2471" s="55">
        <v>10186549</v>
      </c>
      <c r="Y2471" s="55" t="s">
        <v>132</v>
      </c>
      <c r="AB2471" s="55" t="s">
        <v>130</v>
      </c>
      <c r="AC2471" s="55" t="s">
        <v>130</v>
      </c>
    </row>
    <row r="2472" spans="1:29" ht="13" x14ac:dyDescent="0.15">
      <c r="A2472" s="72" t="str">
        <f t="shared" si="38"/>
        <v>Ofsted Social Care Provider Webpage</v>
      </c>
      <c r="B2472" s="55" t="s">
        <v>4628</v>
      </c>
      <c r="D2472" s="55" t="s">
        <v>373</v>
      </c>
      <c r="E2472" s="74">
        <v>38475</v>
      </c>
      <c r="F2472" s="55" t="s">
        <v>344</v>
      </c>
      <c r="G2472" s="55" t="s">
        <v>360</v>
      </c>
      <c r="H2472" s="55" t="s">
        <v>360</v>
      </c>
      <c r="I2472" s="55" t="s">
        <v>360</v>
      </c>
      <c r="J2472" s="55" t="s">
        <v>360</v>
      </c>
      <c r="K2472" s="55" t="s">
        <v>360</v>
      </c>
      <c r="L2472" s="55" t="s">
        <v>360</v>
      </c>
      <c r="M2472" s="55" t="s">
        <v>142</v>
      </c>
      <c r="N2472" s="55" t="s">
        <v>142</v>
      </c>
      <c r="O2472" s="55" t="s">
        <v>262</v>
      </c>
      <c r="P2472" s="55" t="s">
        <v>618</v>
      </c>
      <c r="Q2472" s="55" t="s">
        <v>350</v>
      </c>
      <c r="R2472" s="55">
        <v>6</v>
      </c>
      <c r="S2472" s="74"/>
      <c r="T2472" s="55" t="s">
        <v>4629</v>
      </c>
      <c r="U2472" s="73" t="s">
        <v>351</v>
      </c>
      <c r="V2472" s="74">
        <v>44441</v>
      </c>
      <c r="W2472" s="74">
        <v>44481</v>
      </c>
      <c r="X2472" s="55">
        <v>10185082</v>
      </c>
      <c r="Y2472" s="55" t="s">
        <v>132</v>
      </c>
      <c r="AB2472" s="55" t="s">
        <v>132</v>
      </c>
      <c r="AC2472" s="55" t="s">
        <v>132</v>
      </c>
    </row>
    <row r="2473" spans="1:29" ht="13" x14ac:dyDescent="0.15">
      <c r="A2473" s="72" t="str">
        <f t="shared" si="38"/>
        <v>Ofsted Social Care Provider Webpage</v>
      </c>
      <c r="B2473" s="55" t="s">
        <v>4630</v>
      </c>
      <c r="D2473" s="55" t="s">
        <v>373</v>
      </c>
      <c r="E2473" s="74">
        <v>38517</v>
      </c>
      <c r="F2473" s="55" t="s">
        <v>344</v>
      </c>
      <c r="G2473" s="55" t="s">
        <v>360</v>
      </c>
      <c r="H2473" s="55" t="s">
        <v>360</v>
      </c>
      <c r="I2473" s="55" t="s">
        <v>360</v>
      </c>
      <c r="J2473" s="55" t="s">
        <v>360</v>
      </c>
      <c r="K2473" s="55" t="s">
        <v>360</v>
      </c>
      <c r="L2473" s="55" t="s">
        <v>360</v>
      </c>
      <c r="M2473" s="55" t="s">
        <v>378</v>
      </c>
      <c r="N2473" s="55" t="s">
        <v>134</v>
      </c>
      <c r="O2473" s="55" t="s">
        <v>206</v>
      </c>
      <c r="P2473" s="55" t="s">
        <v>710</v>
      </c>
      <c r="Q2473" s="55" t="s">
        <v>350</v>
      </c>
      <c r="R2473" s="55">
        <v>3</v>
      </c>
      <c r="S2473" s="74"/>
      <c r="T2473" s="55" t="s">
        <v>442</v>
      </c>
      <c r="U2473" s="73" t="s">
        <v>351</v>
      </c>
      <c r="V2473" s="74">
        <v>44489</v>
      </c>
      <c r="W2473" s="74">
        <v>44522</v>
      </c>
      <c r="X2473" s="55">
        <v>10186715</v>
      </c>
      <c r="Y2473" s="55" t="s">
        <v>132</v>
      </c>
      <c r="AB2473" s="55" t="s">
        <v>132</v>
      </c>
      <c r="AC2473" s="55" t="s">
        <v>132</v>
      </c>
    </row>
    <row r="2474" spans="1:29" ht="13" x14ac:dyDescent="0.15">
      <c r="A2474" s="72" t="str">
        <f t="shared" si="38"/>
        <v>Ofsted Social Care Provider Webpage</v>
      </c>
      <c r="B2474" s="55" t="s">
        <v>4631</v>
      </c>
      <c r="D2474" s="55" t="s">
        <v>373</v>
      </c>
      <c r="E2474" s="74">
        <v>38341</v>
      </c>
      <c r="F2474" s="55" t="s">
        <v>344</v>
      </c>
      <c r="G2474" s="55" t="s">
        <v>360</v>
      </c>
      <c r="H2474" s="55" t="s">
        <v>360</v>
      </c>
      <c r="I2474" s="55" t="s">
        <v>360</v>
      </c>
      <c r="J2474" s="55" t="s">
        <v>360</v>
      </c>
      <c r="K2474" s="55" t="s">
        <v>360</v>
      </c>
      <c r="L2474" s="55" t="s">
        <v>360</v>
      </c>
      <c r="M2474" s="55" t="s">
        <v>150</v>
      </c>
      <c r="N2474" s="55" t="s">
        <v>150</v>
      </c>
      <c r="O2474" s="55" t="s">
        <v>203</v>
      </c>
      <c r="P2474" s="55" t="s">
        <v>1038</v>
      </c>
      <c r="Q2474" s="55" t="s">
        <v>362</v>
      </c>
      <c r="R2474" s="55">
        <v>7</v>
      </c>
      <c r="S2474" s="74"/>
      <c r="T2474" s="55" t="s">
        <v>824</v>
      </c>
      <c r="U2474" s="73" t="s">
        <v>351</v>
      </c>
      <c r="V2474" s="74">
        <v>43845</v>
      </c>
      <c r="W2474" s="74">
        <v>43892</v>
      </c>
      <c r="X2474" s="55">
        <v>10095742</v>
      </c>
      <c r="Y2474" s="55" t="s">
        <v>140</v>
      </c>
      <c r="AB2474" s="55" t="s">
        <v>140</v>
      </c>
      <c r="AC2474" s="55" t="s">
        <v>140</v>
      </c>
    </row>
    <row r="2475" spans="1:29" ht="13" x14ac:dyDescent="0.15">
      <c r="A2475" s="72" t="str">
        <f t="shared" si="38"/>
        <v>Ofsted Social Care Provider Webpage</v>
      </c>
      <c r="B2475" s="55" t="s">
        <v>4632</v>
      </c>
      <c r="D2475" s="55" t="s">
        <v>389</v>
      </c>
      <c r="E2475" s="74">
        <v>38509</v>
      </c>
      <c r="F2475" s="55" t="s">
        <v>344</v>
      </c>
      <c r="G2475" s="55" t="s">
        <v>4633</v>
      </c>
      <c r="H2475" s="55" t="s">
        <v>4634</v>
      </c>
      <c r="I2475" s="55" t="s">
        <v>4635</v>
      </c>
      <c r="J2475" s="55" t="s">
        <v>4477</v>
      </c>
      <c r="L2475" s="55" t="s">
        <v>4636</v>
      </c>
      <c r="M2475" s="55" t="s">
        <v>150</v>
      </c>
      <c r="N2475" s="55" t="s">
        <v>150</v>
      </c>
      <c r="O2475" s="55" t="s">
        <v>285</v>
      </c>
      <c r="P2475" s="55" t="s">
        <v>2001</v>
      </c>
      <c r="Q2475" s="55" t="s">
        <v>350</v>
      </c>
      <c r="R2475" s="55"/>
      <c r="S2475" s="74"/>
      <c r="T2475" s="55" t="s">
        <v>4637</v>
      </c>
      <c r="U2475" s="73" t="s">
        <v>351</v>
      </c>
      <c r="V2475" s="74">
        <v>44501</v>
      </c>
      <c r="W2475" s="74">
        <v>44559</v>
      </c>
      <c r="X2475" s="55">
        <v>10183414</v>
      </c>
      <c r="Y2475" s="55" t="s">
        <v>140</v>
      </c>
      <c r="AB2475" s="55" t="s">
        <v>140</v>
      </c>
      <c r="AC2475" s="55" t="s">
        <v>140</v>
      </c>
    </row>
    <row r="2476" spans="1:29" ht="13" x14ac:dyDescent="0.15">
      <c r="A2476" s="72" t="str">
        <f t="shared" si="38"/>
        <v>Ofsted Social Care Provider Webpage</v>
      </c>
      <c r="B2476" s="55" t="s">
        <v>4638</v>
      </c>
      <c r="D2476" s="55" t="s">
        <v>373</v>
      </c>
      <c r="E2476" s="74">
        <v>38589</v>
      </c>
      <c r="F2476" s="55" t="s">
        <v>344</v>
      </c>
      <c r="G2476" s="55" t="s">
        <v>360</v>
      </c>
      <c r="H2476" s="55" t="s">
        <v>360</v>
      </c>
      <c r="I2476" s="55" t="s">
        <v>360</v>
      </c>
      <c r="J2476" s="55" t="s">
        <v>360</v>
      </c>
      <c r="K2476" s="55" t="s">
        <v>360</v>
      </c>
      <c r="L2476" s="55" t="s">
        <v>360</v>
      </c>
      <c r="M2476" s="55" t="s">
        <v>142</v>
      </c>
      <c r="N2476" s="55" t="s">
        <v>142</v>
      </c>
      <c r="O2476" s="55" t="s">
        <v>166</v>
      </c>
      <c r="P2476" s="55" t="s">
        <v>1476</v>
      </c>
      <c r="Q2476" s="55" t="s">
        <v>350</v>
      </c>
      <c r="R2476" s="55">
        <v>4</v>
      </c>
      <c r="S2476" s="74"/>
      <c r="T2476" s="55" t="s">
        <v>1164</v>
      </c>
      <c r="U2476" s="73" t="s">
        <v>351</v>
      </c>
      <c r="V2476" s="74">
        <v>44349</v>
      </c>
      <c r="W2476" s="74">
        <v>44378</v>
      </c>
      <c r="X2476" s="55">
        <v>10185960</v>
      </c>
      <c r="Y2476" s="55" t="s">
        <v>130</v>
      </c>
      <c r="AB2476" s="55" t="s">
        <v>130</v>
      </c>
      <c r="AC2476" s="55" t="s">
        <v>146</v>
      </c>
    </row>
    <row r="2477" spans="1:29" ht="13" x14ac:dyDescent="0.15">
      <c r="A2477" s="72" t="str">
        <f t="shared" si="38"/>
        <v>Ofsted Social Care Provider Webpage</v>
      </c>
      <c r="B2477" s="55" t="s">
        <v>4639</v>
      </c>
      <c r="D2477" s="55" t="s">
        <v>373</v>
      </c>
      <c r="E2477" s="74">
        <v>38531</v>
      </c>
      <c r="F2477" s="55" t="s">
        <v>344</v>
      </c>
      <c r="G2477" s="55" t="s">
        <v>360</v>
      </c>
      <c r="H2477" s="55" t="s">
        <v>360</v>
      </c>
      <c r="I2477" s="55" t="s">
        <v>360</v>
      </c>
      <c r="J2477" s="55" t="s">
        <v>360</v>
      </c>
      <c r="K2477" s="55" t="s">
        <v>360</v>
      </c>
      <c r="L2477" s="55" t="s">
        <v>360</v>
      </c>
      <c r="M2477" s="55" t="s">
        <v>129</v>
      </c>
      <c r="N2477" s="55" t="s">
        <v>129</v>
      </c>
      <c r="O2477" s="55" t="s">
        <v>242</v>
      </c>
      <c r="P2477" s="55" t="s">
        <v>1519</v>
      </c>
      <c r="Q2477" s="55" t="s">
        <v>350</v>
      </c>
      <c r="R2477" s="55">
        <v>6</v>
      </c>
      <c r="S2477" s="74"/>
      <c r="T2477" s="55" t="s">
        <v>4640</v>
      </c>
      <c r="U2477" s="73" t="s">
        <v>351</v>
      </c>
      <c r="V2477" s="74">
        <v>44593</v>
      </c>
      <c r="W2477" s="74">
        <v>44628</v>
      </c>
      <c r="X2477" s="55">
        <v>10185400</v>
      </c>
      <c r="Y2477" s="55" t="s">
        <v>132</v>
      </c>
      <c r="AB2477" s="55" t="s">
        <v>132</v>
      </c>
      <c r="AC2477" s="55" t="s">
        <v>132</v>
      </c>
    </row>
    <row r="2478" spans="1:29" ht="13" x14ac:dyDescent="0.15">
      <c r="A2478" s="72" t="str">
        <f t="shared" si="38"/>
        <v>Ofsted Social Care Provider Webpage</v>
      </c>
      <c r="B2478" s="55" t="s">
        <v>4641</v>
      </c>
      <c r="D2478" s="55" t="s">
        <v>389</v>
      </c>
      <c r="E2478" s="74">
        <v>38569</v>
      </c>
      <c r="F2478" s="55" t="s">
        <v>344</v>
      </c>
      <c r="G2478" s="55" t="s">
        <v>4642</v>
      </c>
      <c r="H2478" s="55" t="s">
        <v>4643</v>
      </c>
      <c r="I2478" s="55" t="s">
        <v>4644</v>
      </c>
      <c r="J2478" s="55" t="s">
        <v>2602</v>
      </c>
      <c r="K2478" s="55" t="s">
        <v>190</v>
      </c>
      <c r="L2478" s="55" t="s">
        <v>4645</v>
      </c>
      <c r="M2478" s="55" t="s">
        <v>150</v>
      </c>
      <c r="N2478" s="55" t="s">
        <v>150</v>
      </c>
      <c r="O2478" s="55" t="s">
        <v>190</v>
      </c>
      <c r="P2478" s="55" t="s">
        <v>887</v>
      </c>
      <c r="Q2478" s="55" t="s">
        <v>350</v>
      </c>
      <c r="R2478" s="55"/>
      <c r="S2478" s="74"/>
      <c r="T2478" s="55" t="s">
        <v>4646</v>
      </c>
      <c r="U2478" s="73" t="s">
        <v>351</v>
      </c>
      <c r="V2478" s="74">
        <v>44585</v>
      </c>
      <c r="W2478" s="74">
        <v>44623</v>
      </c>
      <c r="X2478" s="55">
        <v>10183409</v>
      </c>
      <c r="Y2478" s="55" t="s">
        <v>140</v>
      </c>
      <c r="AB2478" s="55" t="s">
        <v>140</v>
      </c>
      <c r="AC2478" s="55" t="s">
        <v>140</v>
      </c>
    </row>
    <row r="2479" spans="1:29" ht="13" x14ac:dyDescent="0.15">
      <c r="A2479" s="72" t="str">
        <f t="shared" si="38"/>
        <v>Ofsted Social Care Provider Webpage</v>
      </c>
      <c r="B2479" s="55" t="s">
        <v>4647</v>
      </c>
      <c r="D2479" s="55" t="s">
        <v>389</v>
      </c>
      <c r="E2479" s="74">
        <v>38435</v>
      </c>
      <c r="F2479" s="55" t="s">
        <v>344</v>
      </c>
      <c r="G2479" s="55" t="s">
        <v>4648</v>
      </c>
      <c r="H2479" s="55" t="s">
        <v>4649</v>
      </c>
      <c r="I2479" s="55" t="s">
        <v>4650</v>
      </c>
      <c r="J2479" s="55" t="s">
        <v>570</v>
      </c>
      <c r="L2479" s="55" t="s">
        <v>4651</v>
      </c>
      <c r="M2479" s="55" t="s">
        <v>136</v>
      </c>
      <c r="N2479" s="55" t="s">
        <v>136</v>
      </c>
      <c r="O2479" s="55" t="s">
        <v>174</v>
      </c>
      <c r="P2479" s="55" t="s">
        <v>572</v>
      </c>
      <c r="Q2479" s="55" t="s">
        <v>362</v>
      </c>
      <c r="R2479" s="55"/>
      <c r="S2479" s="74"/>
      <c r="T2479" s="55" t="s">
        <v>367</v>
      </c>
      <c r="U2479" s="73" t="s">
        <v>351</v>
      </c>
      <c r="V2479" s="74">
        <v>43136</v>
      </c>
      <c r="W2479" s="74">
        <v>43179</v>
      </c>
      <c r="X2479" s="55">
        <v>10038119</v>
      </c>
      <c r="Y2479" s="55" t="s">
        <v>140</v>
      </c>
      <c r="AB2479" s="55" t="s">
        <v>140</v>
      </c>
      <c r="AC2479" s="55" t="s">
        <v>140</v>
      </c>
    </row>
    <row r="2480" spans="1:29" ht="13" x14ac:dyDescent="0.15">
      <c r="A2480" s="72" t="str">
        <f t="shared" si="38"/>
        <v>Ofsted Social Care Provider Webpage</v>
      </c>
      <c r="B2480" s="55" t="s">
        <v>4652</v>
      </c>
      <c r="D2480" s="55" t="s">
        <v>373</v>
      </c>
      <c r="E2480" s="74">
        <v>38484</v>
      </c>
      <c r="F2480" s="55" t="s">
        <v>344</v>
      </c>
      <c r="G2480" s="55" t="s">
        <v>360</v>
      </c>
      <c r="H2480" s="55" t="s">
        <v>360</v>
      </c>
      <c r="I2480" s="55" t="s">
        <v>360</v>
      </c>
      <c r="J2480" s="55" t="s">
        <v>360</v>
      </c>
      <c r="K2480" s="55" t="s">
        <v>360</v>
      </c>
      <c r="L2480" s="55" t="s">
        <v>360</v>
      </c>
      <c r="M2480" s="55" t="s">
        <v>144</v>
      </c>
      <c r="N2480" s="55" t="s">
        <v>144</v>
      </c>
      <c r="O2480" s="55" t="s">
        <v>287</v>
      </c>
      <c r="P2480" s="55" t="s">
        <v>287</v>
      </c>
      <c r="Q2480" s="55" t="s">
        <v>350</v>
      </c>
      <c r="R2480" s="55">
        <v>4</v>
      </c>
      <c r="S2480" s="74"/>
      <c r="T2480" s="55" t="s">
        <v>4653</v>
      </c>
      <c r="U2480" s="73" t="s">
        <v>351</v>
      </c>
      <c r="V2480" s="74">
        <v>44573</v>
      </c>
      <c r="W2480" s="74">
        <v>44601</v>
      </c>
      <c r="X2480" s="55">
        <v>10186483</v>
      </c>
      <c r="Y2480" s="55" t="s">
        <v>132</v>
      </c>
      <c r="AB2480" s="55" t="s">
        <v>132</v>
      </c>
      <c r="AC2480" s="55" t="s">
        <v>132</v>
      </c>
    </row>
    <row r="2481" spans="1:29" ht="13" x14ac:dyDescent="0.15">
      <c r="A2481" s="72" t="str">
        <f t="shared" si="38"/>
        <v>Ofsted Social Care Provider Webpage</v>
      </c>
      <c r="B2481" s="55" t="s">
        <v>4654</v>
      </c>
      <c r="D2481" s="55" t="s">
        <v>373</v>
      </c>
      <c r="E2481" s="74">
        <v>38714</v>
      </c>
      <c r="F2481" s="55" t="s">
        <v>344</v>
      </c>
      <c r="G2481" s="55" t="s">
        <v>360</v>
      </c>
      <c r="H2481" s="55" t="s">
        <v>360</v>
      </c>
      <c r="I2481" s="55" t="s">
        <v>360</v>
      </c>
      <c r="J2481" s="55" t="s">
        <v>360</v>
      </c>
      <c r="K2481" s="55" t="s">
        <v>360</v>
      </c>
      <c r="L2481" s="55" t="s">
        <v>360</v>
      </c>
      <c r="M2481" s="55" t="s">
        <v>378</v>
      </c>
      <c r="N2481" s="55" t="s">
        <v>134</v>
      </c>
      <c r="O2481" s="55" t="s">
        <v>133</v>
      </c>
      <c r="P2481" s="55" t="s">
        <v>4655</v>
      </c>
      <c r="Q2481" s="55" t="s">
        <v>350</v>
      </c>
      <c r="R2481" s="55">
        <v>2</v>
      </c>
      <c r="S2481" s="74"/>
      <c r="T2481" s="55" t="s">
        <v>2448</v>
      </c>
      <c r="U2481" s="73" t="s">
        <v>351</v>
      </c>
      <c r="V2481" s="74">
        <v>44607</v>
      </c>
      <c r="W2481" s="74">
        <v>44652</v>
      </c>
      <c r="X2481" s="55">
        <v>10185974</v>
      </c>
      <c r="Y2481" s="55" t="s">
        <v>140</v>
      </c>
      <c r="AB2481" s="55" t="s">
        <v>140</v>
      </c>
      <c r="AC2481" s="55" t="s">
        <v>140</v>
      </c>
    </row>
    <row r="2482" spans="1:29" ht="13" x14ac:dyDescent="0.15">
      <c r="A2482" s="72" t="str">
        <f t="shared" si="38"/>
        <v>Ofsted Social Care Provider Webpage</v>
      </c>
      <c r="B2482" s="55" t="s">
        <v>4656</v>
      </c>
      <c r="D2482" s="55" t="s">
        <v>373</v>
      </c>
      <c r="E2482" s="74">
        <v>38623</v>
      </c>
      <c r="F2482" s="55" t="s">
        <v>344</v>
      </c>
      <c r="G2482" s="55" t="s">
        <v>360</v>
      </c>
      <c r="H2482" s="55" t="s">
        <v>360</v>
      </c>
      <c r="I2482" s="55" t="s">
        <v>360</v>
      </c>
      <c r="J2482" s="55" t="s">
        <v>360</v>
      </c>
      <c r="K2482" s="55" t="s">
        <v>360</v>
      </c>
      <c r="L2482" s="55" t="s">
        <v>360</v>
      </c>
      <c r="M2482" s="55" t="s">
        <v>136</v>
      </c>
      <c r="N2482" s="55" t="s">
        <v>136</v>
      </c>
      <c r="O2482" s="55" t="s">
        <v>174</v>
      </c>
      <c r="P2482" s="55" t="s">
        <v>982</v>
      </c>
      <c r="Q2482" s="55" t="s">
        <v>350</v>
      </c>
      <c r="R2482" s="55">
        <v>3</v>
      </c>
      <c r="S2482" s="74"/>
      <c r="T2482" s="55" t="s">
        <v>1917</v>
      </c>
      <c r="U2482" s="73" t="s">
        <v>351</v>
      </c>
      <c r="V2482" s="74">
        <v>44397</v>
      </c>
      <c r="W2482" s="74">
        <v>44428</v>
      </c>
      <c r="X2482" s="55">
        <v>10195655</v>
      </c>
      <c r="Y2482" s="55" t="s">
        <v>130</v>
      </c>
      <c r="AB2482" s="55" t="s">
        <v>130</v>
      </c>
      <c r="AC2482" s="55" t="s">
        <v>132</v>
      </c>
    </row>
    <row r="2483" spans="1:29" ht="13" x14ac:dyDescent="0.15">
      <c r="A2483" s="72" t="str">
        <f t="shared" si="38"/>
        <v>Ofsted Social Care Provider Webpage</v>
      </c>
      <c r="B2483" s="55" t="s">
        <v>4657</v>
      </c>
      <c r="D2483" s="55" t="s">
        <v>373</v>
      </c>
      <c r="E2483" s="74">
        <v>38728</v>
      </c>
      <c r="F2483" s="55" t="s">
        <v>344</v>
      </c>
      <c r="G2483" s="55" t="s">
        <v>360</v>
      </c>
      <c r="H2483" s="55" t="s">
        <v>360</v>
      </c>
      <c r="I2483" s="55" t="s">
        <v>360</v>
      </c>
      <c r="J2483" s="55" t="s">
        <v>360</v>
      </c>
      <c r="K2483" s="55" t="s">
        <v>360</v>
      </c>
      <c r="L2483" s="55" t="s">
        <v>360</v>
      </c>
      <c r="M2483" s="55" t="s">
        <v>144</v>
      </c>
      <c r="N2483" s="55" t="s">
        <v>144</v>
      </c>
      <c r="O2483" s="55" t="s">
        <v>209</v>
      </c>
      <c r="P2483" s="55" t="s">
        <v>629</v>
      </c>
      <c r="Q2483" s="55" t="s">
        <v>350</v>
      </c>
      <c r="R2483" s="55">
        <v>3</v>
      </c>
      <c r="S2483" s="74"/>
      <c r="T2483" s="55" t="s">
        <v>1363</v>
      </c>
      <c r="U2483" s="73" t="s">
        <v>351</v>
      </c>
      <c r="V2483" s="74">
        <v>44334</v>
      </c>
      <c r="W2483" s="74">
        <v>44372</v>
      </c>
      <c r="X2483" s="55">
        <v>10186010</v>
      </c>
      <c r="Y2483" s="55" t="s">
        <v>132</v>
      </c>
      <c r="AB2483" s="55" t="s">
        <v>132</v>
      </c>
      <c r="AC2483" s="55" t="s">
        <v>132</v>
      </c>
    </row>
    <row r="2484" spans="1:29" ht="13" x14ac:dyDescent="0.15">
      <c r="A2484" s="72" t="str">
        <f t="shared" si="38"/>
        <v>Ofsted Social Care Provider Webpage</v>
      </c>
      <c r="B2484" s="55" t="s">
        <v>4658</v>
      </c>
      <c r="D2484" s="55" t="s">
        <v>373</v>
      </c>
      <c r="E2484" s="74">
        <v>38677</v>
      </c>
      <c r="F2484" s="55" t="s">
        <v>344</v>
      </c>
      <c r="G2484" s="55" t="s">
        <v>360</v>
      </c>
      <c r="H2484" s="55" t="s">
        <v>360</v>
      </c>
      <c r="I2484" s="55" t="s">
        <v>360</v>
      </c>
      <c r="J2484" s="55" t="s">
        <v>360</v>
      </c>
      <c r="K2484" s="55" t="s">
        <v>360</v>
      </c>
      <c r="L2484" s="55" t="s">
        <v>360</v>
      </c>
      <c r="M2484" s="55" t="s">
        <v>144</v>
      </c>
      <c r="N2484" s="55" t="s">
        <v>144</v>
      </c>
      <c r="O2484" s="55" t="s">
        <v>236</v>
      </c>
      <c r="P2484" s="55" t="s">
        <v>996</v>
      </c>
      <c r="Q2484" s="55" t="s">
        <v>350</v>
      </c>
      <c r="R2484" s="55">
        <v>2</v>
      </c>
      <c r="S2484" s="74"/>
      <c r="T2484" s="55" t="s">
        <v>711</v>
      </c>
      <c r="U2484" s="73" t="s">
        <v>351</v>
      </c>
      <c r="V2484" s="74">
        <v>44628</v>
      </c>
      <c r="W2484" s="74">
        <v>44678</v>
      </c>
      <c r="X2484" s="55">
        <v>10186432</v>
      </c>
      <c r="Y2484" s="55" t="s">
        <v>140</v>
      </c>
      <c r="AB2484" s="55" t="s">
        <v>140</v>
      </c>
      <c r="AC2484" s="55" t="s">
        <v>140</v>
      </c>
    </row>
    <row r="2485" spans="1:29" ht="13" x14ac:dyDescent="0.15">
      <c r="A2485" s="72" t="str">
        <f t="shared" si="38"/>
        <v>Ofsted Social Care Provider Webpage</v>
      </c>
      <c r="B2485" s="55" t="s">
        <v>4659</v>
      </c>
      <c r="D2485" s="55" t="s">
        <v>373</v>
      </c>
      <c r="E2485" s="74">
        <v>38629</v>
      </c>
      <c r="F2485" s="55" t="s">
        <v>344</v>
      </c>
      <c r="G2485" s="55" t="s">
        <v>360</v>
      </c>
      <c r="H2485" s="55" t="s">
        <v>360</v>
      </c>
      <c r="I2485" s="55" t="s">
        <v>360</v>
      </c>
      <c r="J2485" s="55" t="s">
        <v>360</v>
      </c>
      <c r="K2485" s="55" t="s">
        <v>360</v>
      </c>
      <c r="L2485" s="55" t="s">
        <v>360</v>
      </c>
      <c r="M2485" s="55" t="s">
        <v>138</v>
      </c>
      <c r="N2485" s="55" t="s">
        <v>138</v>
      </c>
      <c r="O2485" s="55" t="s">
        <v>159</v>
      </c>
      <c r="P2485" s="55" t="s">
        <v>1025</v>
      </c>
      <c r="Q2485" s="55" t="s">
        <v>350</v>
      </c>
      <c r="R2485" s="55">
        <v>6</v>
      </c>
      <c r="S2485" s="74"/>
      <c r="T2485" s="55" t="s">
        <v>1221</v>
      </c>
      <c r="U2485" s="73" t="s">
        <v>351</v>
      </c>
      <c r="V2485" s="74">
        <v>44334</v>
      </c>
      <c r="W2485" s="74">
        <v>44363</v>
      </c>
      <c r="X2485" s="55">
        <v>10186940</v>
      </c>
      <c r="Y2485" s="55" t="s">
        <v>132</v>
      </c>
      <c r="AB2485" s="55" t="s">
        <v>132</v>
      </c>
      <c r="AC2485" s="55" t="s">
        <v>132</v>
      </c>
    </row>
    <row r="2486" spans="1:29" ht="13" x14ac:dyDescent="0.15">
      <c r="A2486" s="72" t="str">
        <f t="shared" si="38"/>
        <v>Ofsted Social Care Provider Webpage</v>
      </c>
      <c r="B2486" s="55" t="s">
        <v>4660</v>
      </c>
      <c r="D2486" s="55" t="s">
        <v>373</v>
      </c>
      <c r="E2486" s="74">
        <v>38523</v>
      </c>
      <c r="F2486" s="55" t="s">
        <v>344</v>
      </c>
      <c r="G2486" s="55" t="s">
        <v>360</v>
      </c>
      <c r="H2486" s="55" t="s">
        <v>360</v>
      </c>
      <c r="I2486" s="55" t="s">
        <v>360</v>
      </c>
      <c r="J2486" s="55" t="s">
        <v>360</v>
      </c>
      <c r="K2486" s="55" t="s">
        <v>360</v>
      </c>
      <c r="L2486" s="55" t="s">
        <v>360</v>
      </c>
      <c r="M2486" s="55" t="s">
        <v>144</v>
      </c>
      <c r="N2486" s="55" t="s">
        <v>144</v>
      </c>
      <c r="O2486" s="55" t="s">
        <v>261</v>
      </c>
      <c r="P2486" s="55" t="s">
        <v>792</v>
      </c>
      <c r="Q2486" s="55" t="s">
        <v>350</v>
      </c>
      <c r="R2486" s="55">
        <v>1</v>
      </c>
      <c r="S2486" s="74"/>
      <c r="T2486" s="55" t="s">
        <v>4505</v>
      </c>
      <c r="U2486" s="73" t="s">
        <v>351</v>
      </c>
      <c r="V2486" s="74">
        <v>44572</v>
      </c>
      <c r="W2486" s="74">
        <v>44610</v>
      </c>
      <c r="X2486" s="55">
        <v>10187025</v>
      </c>
      <c r="Y2486" s="55" t="s">
        <v>130</v>
      </c>
      <c r="AB2486" s="55" t="s">
        <v>130</v>
      </c>
      <c r="AC2486" s="55" t="s">
        <v>130</v>
      </c>
    </row>
    <row r="2487" spans="1:29" ht="13" x14ac:dyDescent="0.15">
      <c r="A2487" s="72" t="str">
        <f t="shared" si="38"/>
        <v>Ofsted Social Care Provider Webpage</v>
      </c>
      <c r="B2487" s="55" t="s">
        <v>4661</v>
      </c>
      <c r="D2487" s="55" t="s">
        <v>373</v>
      </c>
      <c r="E2487" s="74">
        <v>38579</v>
      </c>
      <c r="F2487" s="55" t="s">
        <v>344</v>
      </c>
      <c r="G2487" s="55" t="s">
        <v>360</v>
      </c>
      <c r="H2487" s="55" t="s">
        <v>360</v>
      </c>
      <c r="I2487" s="55" t="s">
        <v>360</v>
      </c>
      <c r="J2487" s="55" t="s">
        <v>360</v>
      </c>
      <c r="K2487" s="55" t="s">
        <v>360</v>
      </c>
      <c r="L2487" s="55" t="s">
        <v>360</v>
      </c>
      <c r="M2487" s="55" t="s">
        <v>144</v>
      </c>
      <c r="N2487" s="55" t="s">
        <v>144</v>
      </c>
      <c r="O2487" s="55" t="s">
        <v>250</v>
      </c>
      <c r="P2487" s="55" t="s">
        <v>1372</v>
      </c>
      <c r="Q2487" s="55" t="s">
        <v>350</v>
      </c>
      <c r="R2487" s="55">
        <v>7</v>
      </c>
      <c r="S2487" s="74"/>
      <c r="T2487" s="55" t="s">
        <v>4662</v>
      </c>
      <c r="U2487" s="73" t="s">
        <v>351</v>
      </c>
      <c r="V2487" s="74">
        <v>44635</v>
      </c>
      <c r="W2487" s="74">
        <v>44679</v>
      </c>
      <c r="X2487" s="55">
        <v>10218022</v>
      </c>
      <c r="Y2487" s="55" t="s">
        <v>132</v>
      </c>
      <c r="AB2487" s="55" t="s">
        <v>132</v>
      </c>
      <c r="AC2487" s="55" t="s">
        <v>132</v>
      </c>
    </row>
    <row r="2488" spans="1:29" ht="13" x14ac:dyDescent="0.15">
      <c r="A2488" s="72" t="str">
        <f t="shared" si="38"/>
        <v>Ofsted Social Care Provider Webpage</v>
      </c>
      <c r="B2488" s="55" t="s">
        <v>4663</v>
      </c>
      <c r="D2488" s="55" t="s">
        <v>373</v>
      </c>
      <c r="E2488" s="74">
        <v>38797</v>
      </c>
      <c r="F2488" s="55" t="s">
        <v>344</v>
      </c>
      <c r="G2488" s="55" t="s">
        <v>360</v>
      </c>
      <c r="H2488" s="55" t="s">
        <v>360</v>
      </c>
      <c r="I2488" s="55" t="s">
        <v>360</v>
      </c>
      <c r="J2488" s="55" t="s">
        <v>360</v>
      </c>
      <c r="K2488" s="55" t="s">
        <v>360</v>
      </c>
      <c r="L2488" s="55" t="s">
        <v>360</v>
      </c>
      <c r="M2488" s="55" t="s">
        <v>144</v>
      </c>
      <c r="N2488" s="55" t="s">
        <v>144</v>
      </c>
      <c r="O2488" s="55" t="s">
        <v>217</v>
      </c>
      <c r="P2488" s="55" t="s">
        <v>397</v>
      </c>
      <c r="Q2488" s="55" t="s">
        <v>350</v>
      </c>
      <c r="R2488" s="55">
        <v>2</v>
      </c>
      <c r="S2488" s="74"/>
      <c r="T2488" s="55" t="s">
        <v>385</v>
      </c>
      <c r="U2488" s="73" t="s">
        <v>351</v>
      </c>
      <c r="V2488" s="74">
        <v>44342</v>
      </c>
      <c r="W2488" s="74">
        <v>44378</v>
      </c>
      <c r="X2488" s="55">
        <v>10187087</v>
      </c>
      <c r="Y2488" s="55" t="s">
        <v>132</v>
      </c>
      <c r="AB2488" s="55" t="s">
        <v>130</v>
      </c>
      <c r="AC2488" s="55" t="s">
        <v>132</v>
      </c>
    </row>
    <row r="2489" spans="1:29" ht="13" x14ac:dyDescent="0.15">
      <c r="A2489" s="72" t="str">
        <f t="shared" si="38"/>
        <v>Ofsted Social Care Provider Webpage</v>
      </c>
      <c r="B2489" s="55" t="s">
        <v>4664</v>
      </c>
      <c r="D2489" s="55" t="s">
        <v>373</v>
      </c>
      <c r="E2489" s="74">
        <v>38622</v>
      </c>
      <c r="F2489" s="55" t="s">
        <v>344</v>
      </c>
      <c r="G2489" s="55" t="s">
        <v>360</v>
      </c>
      <c r="H2489" s="55" t="s">
        <v>360</v>
      </c>
      <c r="I2489" s="55" t="s">
        <v>360</v>
      </c>
      <c r="J2489" s="55" t="s">
        <v>360</v>
      </c>
      <c r="K2489" s="55" t="s">
        <v>360</v>
      </c>
      <c r="L2489" s="55" t="s">
        <v>360</v>
      </c>
      <c r="M2489" s="55" t="s">
        <v>144</v>
      </c>
      <c r="N2489" s="55" t="s">
        <v>144</v>
      </c>
      <c r="O2489" s="55" t="s">
        <v>209</v>
      </c>
      <c r="P2489" s="55" t="s">
        <v>1858</v>
      </c>
      <c r="Q2489" s="55" t="s">
        <v>380</v>
      </c>
      <c r="R2489" s="55">
        <v>4</v>
      </c>
      <c r="S2489" s="74"/>
      <c r="T2489" s="55" t="s">
        <v>657</v>
      </c>
      <c r="U2489" s="73" t="s">
        <v>351</v>
      </c>
      <c r="V2489" s="74">
        <v>44475</v>
      </c>
      <c r="W2489" s="74">
        <v>44510</v>
      </c>
      <c r="X2489" s="55">
        <v>10186352</v>
      </c>
      <c r="Y2489" s="55" t="s">
        <v>132</v>
      </c>
      <c r="AB2489" s="55" t="s">
        <v>132</v>
      </c>
      <c r="AC2489" s="55" t="s">
        <v>132</v>
      </c>
    </row>
    <row r="2490" spans="1:29" ht="13" x14ac:dyDescent="0.15">
      <c r="A2490" s="72" t="str">
        <f t="shared" si="38"/>
        <v>Ofsted Social Care Provider Webpage</v>
      </c>
      <c r="B2490" s="55" t="s">
        <v>4665</v>
      </c>
      <c r="D2490" s="55" t="s">
        <v>373</v>
      </c>
      <c r="E2490" s="74">
        <v>38540</v>
      </c>
      <c r="F2490" s="55" t="s">
        <v>344</v>
      </c>
      <c r="G2490" s="55" t="s">
        <v>360</v>
      </c>
      <c r="H2490" s="55" t="s">
        <v>360</v>
      </c>
      <c r="I2490" s="55" t="s">
        <v>360</v>
      </c>
      <c r="J2490" s="55" t="s">
        <v>360</v>
      </c>
      <c r="K2490" s="55" t="s">
        <v>360</v>
      </c>
      <c r="L2490" s="55" t="s">
        <v>360</v>
      </c>
      <c r="M2490" s="55" t="s">
        <v>144</v>
      </c>
      <c r="N2490" s="55" t="s">
        <v>144</v>
      </c>
      <c r="O2490" s="55" t="s">
        <v>245</v>
      </c>
      <c r="P2490" s="55" t="s">
        <v>1796</v>
      </c>
      <c r="Q2490" s="55" t="s">
        <v>350</v>
      </c>
      <c r="R2490" s="55">
        <v>3</v>
      </c>
      <c r="S2490" s="74"/>
      <c r="T2490" s="55" t="s">
        <v>613</v>
      </c>
      <c r="U2490" s="73" t="s">
        <v>351</v>
      </c>
      <c r="V2490" s="74">
        <v>44635</v>
      </c>
      <c r="W2490" s="74">
        <v>44680</v>
      </c>
      <c r="X2490" s="55">
        <v>10186393</v>
      </c>
      <c r="Y2490" s="55" t="s">
        <v>132</v>
      </c>
      <c r="AB2490" s="55" t="s">
        <v>132</v>
      </c>
      <c r="AC2490" s="55" t="s">
        <v>132</v>
      </c>
    </row>
    <row r="2491" spans="1:29" ht="13" x14ac:dyDescent="0.15">
      <c r="A2491" s="72" t="str">
        <f t="shared" si="38"/>
        <v>Ofsted Social Care Provider Webpage</v>
      </c>
      <c r="B2491" s="55" t="s">
        <v>4666</v>
      </c>
      <c r="D2491" s="55" t="s">
        <v>373</v>
      </c>
      <c r="E2491" s="74">
        <v>38527</v>
      </c>
      <c r="F2491" s="55" t="s">
        <v>344</v>
      </c>
      <c r="G2491" s="55" t="s">
        <v>360</v>
      </c>
      <c r="H2491" s="55" t="s">
        <v>360</v>
      </c>
      <c r="I2491" s="55" t="s">
        <v>360</v>
      </c>
      <c r="J2491" s="55" t="s">
        <v>360</v>
      </c>
      <c r="K2491" s="55" t="s">
        <v>360</v>
      </c>
      <c r="L2491" s="55" t="s">
        <v>360</v>
      </c>
      <c r="M2491" s="55" t="s">
        <v>144</v>
      </c>
      <c r="N2491" s="55" t="s">
        <v>144</v>
      </c>
      <c r="O2491" s="55" t="s">
        <v>248</v>
      </c>
      <c r="P2491" s="55" t="s">
        <v>439</v>
      </c>
      <c r="Q2491" s="55" t="s">
        <v>380</v>
      </c>
      <c r="R2491" s="55">
        <v>4</v>
      </c>
      <c r="S2491" s="74"/>
      <c r="T2491" s="55" t="s">
        <v>3749</v>
      </c>
      <c r="U2491" s="73" t="s">
        <v>351</v>
      </c>
      <c r="V2491" s="74">
        <v>44404</v>
      </c>
      <c r="W2491" s="74">
        <v>44439</v>
      </c>
      <c r="X2491" s="55">
        <v>10198644</v>
      </c>
      <c r="Y2491" s="55" t="s">
        <v>130</v>
      </c>
      <c r="AB2491" s="55" t="s">
        <v>130</v>
      </c>
      <c r="AC2491" s="55" t="s">
        <v>130</v>
      </c>
    </row>
    <row r="2492" spans="1:29" ht="13" x14ac:dyDescent="0.15">
      <c r="A2492" s="72" t="str">
        <f t="shared" si="38"/>
        <v>Ofsted Social Care Provider Webpage</v>
      </c>
      <c r="B2492" s="55" t="s">
        <v>4667</v>
      </c>
      <c r="D2492" s="55" t="s">
        <v>389</v>
      </c>
      <c r="E2492" s="74">
        <v>38709</v>
      </c>
      <c r="F2492" s="55" t="s">
        <v>344</v>
      </c>
      <c r="G2492" s="55" t="s">
        <v>4668</v>
      </c>
      <c r="H2492" s="55" t="s">
        <v>4669</v>
      </c>
      <c r="I2492" s="55" t="s">
        <v>354</v>
      </c>
      <c r="J2492" s="55" t="s">
        <v>4670</v>
      </c>
      <c r="K2492" s="55" t="s">
        <v>1746</v>
      </c>
      <c r="L2492" s="55" t="s">
        <v>4671</v>
      </c>
      <c r="M2492" s="55" t="s">
        <v>129</v>
      </c>
      <c r="N2492" s="55" t="s">
        <v>129</v>
      </c>
      <c r="O2492" s="55" t="s">
        <v>182</v>
      </c>
      <c r="P2492" s="55" t="s">
        <v>1660</v>
      </c>
      <c r="Q2492" s="55" t="s">
        <v>350</v>
      </c>
      <c r="R2492" s="55"/>
      <c r="S2492" s="74"/>
      <c r="T2492" s="55" t="s">
        <v>4672</v>
      </c>
      <c r="U2492" s="73" t="s">
        <v>351</v>
      </c>
      <c r="V2492" s="74">
        <v>43318</v>
      </c>
      <c r="W2492" s="74">
        <v>43360</v>
      </c>
      <c r="X2492" s="55">
        <v>10045626</v>
      </c>
      <c r="Y2492" s="55" t="s">
        <v>132</v>
      </c>
      <c r="AB2492" s="55" t="s">
        <v>132</v>
      </c>
      <c r="AC2492" s="55" t="s">
        <v>132</v>
      </c>
    </row>
    <row r="2493" spans="1:29" ht="13" x14ac:dyDescent="0.15">
      <c r="A2493" s="72" t="str">
        <f t="shared" si="38"/>
        <v>Ofsted Social Care Provider Webpage</v>
      </c>
      <c r="B2493" s="55" t="s">
        <v>4673</v>
      </c>
      <c r="D2493" s="55" t="s">
        <v>373</v>
      </c>
      <c r="E2493" s="74">
        <v>38617</v>
      </c>
      <c r="F2493" s="55" t="s">
        <v>344</v>
      </c>
      <c r="G2493" s="55" t="s">
        <v>360</v>
      </c>
      <c r="H2493" s="55" t="s">
        <v>360</v>
      </c>
      <c r="I2493" s="55" t="s">
        <v>360</v>
      </c>
      <c r="J2493" s="55" t="s">
        <v>360</v>
      </c>
      <c r="K2493" s="55" t="s">
        <v>360</v>
      </c>
      <c r="L2493" s="55" t="s">
        <v>360</v>
      </c>
      <c r="M2493" s="55" t="s">
        <v>378</v>
      </c>
      <c r="N2493" s="55" t="s">
        <v>170</v>
      </c>
      <c r="O2493" s="55" t="s">
        <v>169</v>
      </c>
      <c r="P2493" s="55" t="s">
        <v>169</v>
      </c>
      <c r="Q2493" s="55" t="s">
        <v>350</v>
      </c>
      <c r="R2493" s="55">
        <v>8</v>
      </c>
      <c r="S2493" s="74"/>
      <c r="T2493" s="55" t="s">
        <v>2367</v>
      </c>
      <c r="U2493" s="73" t="s">
        <v>351</v>
      </c>
      <c r="V2493" s="74">
        <v>44621</v>
      </c>
      <c r="W2493" s="74">
        <v>44663</v>
      </c>
      <c r="X2493" s="55">
        <v>10186584</v>
      </c>
      <c r="Y2493" s="55" t="s">
        <v>132</v>
      </c>
      <c r="AB2493" s="55" t="s">
        <v>132</v>
      </c>
      <c r="AC2493" s="55" t="s">
        <v>140</v>
      </c>
    </row>
    <row r="2494" spans="1:29" ht="13" x14ac:dyDescent="0.15">
      <c r="A2494" s="72" t="str">
        <f t="shared" si="38"/>
        <v>Ofsted Social Care Provider Webpage</v>
      </c>
      <c r="B2494" s="55" t="s">
        <v>4674</v>
      </c>
      <c r="D2494" s="55" t="s">
        <v>373</v>
      </c>
      <c r="E2494" s="74">
        <v>38714</v>
      </c>
      <c r="F2494" s="55" t="s">
        <v>344</v>
      </c>
      <c r="G2494" s="55" t="s">
        <v>360</v>
      </c>
      <c r="H2494" s="55" t="s">
        <v>360</v>
      </c>
      <c r="I2494" s="55" t="s">
        <v>360</v>
      </c>
      <c r="J2494" s="55" t="s">
        <v>360</v>
      </c>
      <c r="K2494" s="55" t="s">
        <v>360</v>
      </c>
      <c r="L2494" s="55" t="s">
        <v>360</v>
      </c>
      <c r="M2494" s="55" t="s">
        <v>378</v>
      </c>
      <c r="N2494" s="55" t="s">
        <v>134</v>
      </c>
      <c r="O2494" s="55" t="s">
        <v>133</v>
      </c>
      <c r="P2494" s="55" t="s">
        <v>2789</v>
      </c>
      <c r="Q2494" s="55" t="s">
        <v>350</v>
      </c>
      <c r="R2494" s="55">
        <v>3</v>
      </c>
      <c r="S2494" s="74"/>
      <c r="T2494" s="55" t="s">
        <v>2448</v>
      </c>
      <c r="U2494" s="73" t="s">
        <v>351</v>
      </c>
      <c r="V2494" s="74">
        <v>43879</v>
      </c>
      <c r="W2494" s="74">
        <v>43903</v>
      </c>
      <c r="X2494" s="55">
        <v>10095827</v>
      </c>
      <c r="Y2494" s="55" t="s">
        <v>132</v>
      </c>
      <c r="AB2494" s="55" t="s">
        <v>132</v>
      </c>
      <c r="AC2494" s="55" t="s">
        <v>132</v>
      </c>
    </row>
    <row r="2495" spans="1:29" ht="13" x14ac:dyDescent="0.15">
      <c r="A2495" s="72" t="str">
        <f t="shared" si="38"/>
        <v>Ofsted Social Care Provider Webpage</v>
      </c>
      <c r="B2495" s="55" t="s">
        <v>4675</v>
      </c>
      <c r="D2495" s="55" t="s">
        <v>373</v>
      </c>
      <c r="E2495" s="74">
        <v>38611</v>
      </c>
      <c r="F2495" s="55" t="s">
        <v>344</v>
      </c>
      <c r="G2495" s="55" t="s">
        <v>360</v>
      </c>
      <c r="H2495" s="55" t="s">
        <v>360</v>
      </c>
      <c r="I2495" s="55" t="s">
        <v>360</v>
      </c>
      <c r="J2495" s="55" t="s">
        <v>360</v>
      </c>
      <c r="K2495" s="55" t="s">
        <v>360</v>
      </c>
      <c r="L2495" s="55" t="s">
        <v>360</v>
      </c>
      <c r="M2495" s="55" t="s">
        <v>136</v>
      </c>
      <c r="N2495" s="55" t="s">
        <v>136</v>
      </c>
      <c r="O2495" s="55" t="s">
        <v>705</v>
      </c>
      <c r="P2495" s="55" t="s">
        <v>891</v>
      </c>
      <c r="Q2495" s="55" t="s">
        <v>350</v>
      </c>
      <c r="R2495" s="55">
        <v>3</v>
      </c>
      <c r="S2495" s="74"/>
      <c r="T2495" s="55" t="s">
        <v>892</v>
      </c>
      <c r="U2495" s="73" t="s">
        <v>351</v>
      </c>
      <c r="V2495" s="74">
        <v>44608</v>
      </c>
      <c r="W2495" s="74">
        <v>44652</v>
      </c>
      <c r="X2495" s="55">
        <v>10186499</v>
      </c>
      <c r="Y2495" s="55" t="s">
        <v>132</v>
      </c>
      <c r="AB2495" s="55" t="s">
        <v>132</v>
      </c>
      <c r="AC2495" s="55" t="s">
        <v>132</v>
      </c>
    </row>
    <row r="2496" spans="1:29" ht="13" x14ac:dyDescent="0.15">
      <c r="A2496" s="72" t="str">
        <f t="shared" si="38"/>
        <v>Ofsted Social Care Provider Webpage</v>
      </c>
      <c r="B2496" s="55" t="s">
        <v>4676</v>
      </c>
      <c r="D2496" s="55" t="s">
        <v>373</v>
      </c>
      <c r="E2496" s="74">
        <v>38770</v>
      </c>
      <c r="F2496" s="55" t="s">
        <v>344</v>
      </c>
      <c r="G2496" s="55" t="s">
        <v>360</v>
      </c>
      <c r="H2496" s="55" t="s">
        <v>360</v>
      </c>
      <c r="I2496" s="55" t="s">
        <v>360</v>
      </c>
      <c r="J2496" s="55" t="s">
        <v>360</v>
      </c>
      <c r="K2496" s="55" t="s">
        <v>360</v>
      </c>
      <c r="L2496" s="55" t="s">
        <v>360</v>
      </c>
      <c r="M2496" s="55" t="s">
        <v>142</v>
      </c>
      <c r="N2496" s="55" t="s">
        <v>142</v>
      </c>
      <c r="O2496" s="55" t="s">
        <v>265</v>
      </c>
      <c r="P2496" s="55" t="s">
        <v>540</v>
      </c>
      <c r="Q2496" s="55" t="s">
        <v>380</v>
      </c>
      <c r="R2496" s="55">
        <v>2</v>
      </c>
      <c r="S2496" s="74"/>
      <c r="T2496" s="55" t="s">
        <v>1067</v>
      </c>
      <c r="U2496" s="73" t="s">
        <v>351</v>
      </c>
      <c r="V2496" s="74">
        <v>44411</v>
      </c>
      <c r="W2496" s="74">
        <v>44456</v>
      </c>
      <c r="X2496" s="55">
        <v>10187362</v>
      </c>
      <c r="Y2496" s="55" t="s">
        <v>132</v>
      </c>
      <c r="AB2496" s="55" t="s">
        <v>130</v>
      </c>
      <c r="AC2496" s="55" t="s">
        <v>132</v>
      </c>
    </row>
    <row r="2497" spans="1:29" ht="13" x14ac:dyDescent="0.15">
      <c r="A2497" s="72" t="str">
        <f t="shared" si="38"/>
        <v>Ofsted Social Care Provider Webpage</v>
      </c>
      <c r="B2497" s="55" t="s">
        <v>4677</v>
      </c>
      <c r="D2497" s="55" t="s">
        <v>373</v>
      </c>
      <c r="E2497" s="74">
        <v>38596</v>
      </c>
      <c r="F2497" s="55" t="s">
        <v>344</v>
      </c>
      <c r="G2497" s="55" t="s">
        <v>360</v>
      </c>
      <c r="H2497" s="55" t="s">
        <v>360</v>
      </c>
      <c r="I2497" s="55" t="s">
        <v>360</v>
      </c>
      <c r="J2497" s="55" t="s">
        <v>360</v>
      </c>
      <c r="K2497" s="55" t="s">
        <v>360</v>
      </c>
      <c r="L2497" s="55" t="s">
        <v>360</v>
      </c>
      <c r="M2497" s="55" t="s">
        <v>144</v>
      </c>
      <c r="N2497" s="55" t="s">
        <v>144</v>
      </c>
      <c r="O2497" s="55" t="s">
        <v>248</v>
      </c>
      <c r="P2497" s="55" t="s">
        <v>439</v>
      </c>
      <c r="Q2497" s="55" t="s">
        <v>380</v>
      </c>
      <c r="R2497" s="55">
        <v>5</v>
      </c>
      <c r="S2497" s="74"/>
      <c r="T2497" s="55" t="s">
        <v>3749</v>
      </c>
      <c r="U2497" s="73" t="s">
        <v>351</v>
      </c>
      <c r="V2497" s="74">
        <v>44488</v>
      </c>
      <c r="W2497" s="74">
        <v>44522</v>
      </c>
      <c r="X2497" s="55">
        <v>10205288</v>
      </c>
      <c r="Y2497" s="55" t="s">
        <v>130</v>
      </c>
      <c r="AB2497" s="55" t="s">
        <v>130</v>
      </c>
      <c r="AC2497" s="55" t="s">
        <v>130</v>
      </c>
    </row>
    <row r="2498" spans="1:29" ht="13" x14ac:dyDescent="0.15">
      <c r="A2498" s="72" t="str">
        <f t="shared" si="38"/>
        <v>Ofsted Social Care Provider Webpage</v>
      </c>
      <c r="B2498" s="55" t="s">
        <v>4678</v>
      </c>
      <c r="D2498" s="55" t="s">
        <v>479</v>
      </c>
      <c r="E2498" s="74">
        <v>38656</v>
      </c>
      <c r="F2498" s="55" t="s">
        <v>344</v>
      </c>
      <c r="G2498" s="55" t="s">
        <v>360</v>
      </c>
      <c r="H2498" s="55" t="s">
        <v>360</v>
      </c>
      <c r="I2498" s="55" t="s">
        <v>360</v>
      </c>
      <c r="J2498" s="55" t="s">
        <v>360</v>
      </c>
      <c r="K2498" s="55" t="s">
        <v>360</v>
      </c>
      <c r="L2498" s="55" t="s">
        <v>360</v>
      </c>
      <c r="M2498" s="55" t="s">
        <v>172</v>
      </c>
      <c r="N2498" s="55" t="s">
        <v>172</v>
      </c>
      <c r="O2498" s="55" t="s">
        <v>247</v>
      </c>
      <c r="P2498" s="55" t="s">
        <v>798</v>
      </c>
      <c r="Q2498" s="55" t="s">
        <v>350</v>
      </c>
      <c r="R2498" s="55">
        <v>12</v>
      </c>
      <c r="S2498" s="74"/>
      <c r="T2498" s="55" t="s">
        <v>4679</v>
      </c>
      <c r="U2498" s="73" t="s">
        <v>351</v>
      </c>
      <c r="V2498" s="74">
        <v>44614</v>
      </c>
      <c r="W2498" s="74">
        <v>44650</v>
      </c>
      <c r="X2498" s="55">
        <v>10185098</v>
      </c>
      <c r="Y2498" s="55" t="s">
        <v>140</v>
      </c>
      <c r="AB2498" s="55" t="s">
        <v>140</v>
      </c>
      <c r="AC2498" s="55" t="s">
        <v>140</v>
      </c>
    </row>
    <row r="2499" spans="1:29" ht="13" x14ac:dyDescent="0.15">
      <c r="A2499" s="72" t="str">
        <f t="shared" si="38"/>
        <v>Ofsted Social Care Provider Webpage</v>
      </c>
      <c r="B2499" s="55" t="s">
        <v>4680</v>
      </c>
      <c r="D2499" s="55" t="s">
        <v>373</v>
      </c>
      <c r="E2499" s="74">
        <v>38588</v>
      </c>
      <c r="F2499" s="55" t="s">
        <v>344</v>
      </c>
      <c r="G2499" s="55" t="s">
        <v>360</v>
      </c>
      <c r="H2499" s="55" t="s">
        <v>360</v>
      </c>
      <c r="I2499" s="55" t="s">
        <v>360</v>
      </c>
      <c r="J2499" s="55" t="s">
        <v>360</v>
      </c>
      <c r="K2499" s="55" t="s">
        <v>360</v>
      </c>
      <c r="L2499" s="55" t="s">
        <v>360</v>
      </c>
      <c r="M2499" s="55" t="s">
        <v>144</v>
      </c>
      <c r="N2499" s="55" t="s">
        <v>144</v>
      </c>
      <c r="O2499" s="55" t="s">
        <v>245</v>
      </c>
      <c r="P2499" s="55" t="s">
        <v>245</v>
      </c>
      <c r="Q2499" s="55" t="s">
        <v>350</v>
      </c>
      <c r="R2499" s="55">
        <v>2</v>
      </c>
      <c r="S2499" s="74"/>
      <c r="T2499" s="55" t="s">
        <v>711</v>
      </c>
      <c r="U2499" s="73" t="s">
        <v>351</v>
      </c>
      <c r="V2499" s="74">
        <v>44488</v>
      </c>
      <c r="W2499" s="74">
        <v>44540</v>
      </c>
      <c r="X2499" s="55">
        <v>10187396</v>
      </c>
      <c r="Y2499" s="55" t="s">
        <v>140</v>
      </c>
      <c r="AB2499" s="55" t="s">
        <v>140</v>
      </c>
      <c r="AC2499" s="55" t="s">
        <v>140</v>
      </c>
    </row>
    <row r="2500" spans="1:29" ht="13" x14ac:dyDescent="0.15">
      <c r="A2500" s="72" t="str">
        <f t="shared" si="38"/>
        <v>Ofsted Social Care Provider Webpage</v>
      </c>
      <c r="B2500" s="55" t="s">
        <v>4681</v>
      </c>
      <c r="C2500" s="55">
        <v>142309</v>
      </c>
      <c r="D2500" s="55" t="s">
        <v>413</v>
      </c>
      <c r="E2500" s="74">
        <v>38530</v>
      </c>
      <c r="F2500" s="55" t="s">
        <v>344</v>
      </c>
      <c r="G2500" s="55" t="s">
        <v>4682</v>
      </c>
      <c r="H2500" s="55" t="s">
        <v>4683</v>
      </c>
      <c r="I2500" s="55" t="s">
        <v>4684</v>
      </c>
      <c r="J2500" s="55" t="s">
        <v>4685</v>
      </c>
      <c r="K2500" s="55" t="s">
        <v>214</v>
      </c>
      <c r="L2500" s="55" t="s">
        <v>4686</v>
      </c>
      <c r="M2500" s="55" t="s">
        <v>172</v>
      </c>
      <c r="N2500" s="55" t="s">
        <v>172</v>
      </c>
      <c r="O2500" s="55" t="s">
        <v>214</v>
      </c>
      <c r="P2500" s="55" t="s">
        <v>4687</v>
      </c>
      <c r="Q2500" s="55" t="s">
        <v>420</v>
      </c>
      <c r="R2500" s="55">
        <v>5</v>
      </c>
      <c r="S2500" s="74"/>
      <c r="T2500" s="55" t="s">
        <v>4688</v>
      </c>
      <c r="U2500" s="73" t="s">
        <v>351</v>
      </c>
      <c r="V2500" s="74">
        <v>44523</v>
      </c>
      <c r="W2500" s="74">
        <v>44580</v>
      </c>
      <c r="X2500" s="55">
        <v>10183485</v>
      </c>
      <c r="Y2500" s="55" t="s">
        <v>140</v>
      </c>
      <c r="AB2500" s="55" t="s">
        <v>140</v>
      </c>
      <c r="AC2500" s="55" t="s">
        <v>140</v>
      </c>
    </row>
    <row r="2501" spans="1:29" ht="13" x14ac:dyDescent="0.15">
      <c r="A2501" s="72" t="str">
        <f t="shared" si="38"/>
        <v>Ofsted Social Care Provider Webpage</v>
      </c>
      <c r="B2501" s="55" t="s">
        <v>4689</v>
      </c>
      <c r="D2501" s="55" t="s">
        <v>389</v>
      </c>
      <c r="E2501" s="74">
        <v>38637</v>
      </c>
      <c r="F2501" s="55" t="s">
        <v>344</v>
      </c>
      <c r="G2501" s="55" t="s">
        <v>4690</v>
      </c>
      <c r="H2501" s="55" t="s">
        <v>4691</v>
      </c>
      <c r="I2501" s="55" t="s">
        <v>4692</v>
      </c>
      <c r="J2501" s="55" t="s">
        <v>4693</v>
      </c>
      <c r="L2501" s="55" t="s">
        <v>4694</v>
      </c>
      <c r="M2501" s="55" t="s">
        <v>378</v>
      </c>
      <c r="N2501" s="55" t="s">
        <v>170</v>
      </c>
      <c r="O2501" s="55" t="s">
        <v>178</v>
      </c>
      <c r="P2501" s="55" t="s">
        <v>2014</v>
      </c>
      <c r="Q2501" s="55" t="s">
        <v>350</v>
      </c>
      <c r="R2501" s="55"/>
      <c r="S2501" s="74"/>
      <c r="T2501" s="55" t="s">
        <v>4695</v>
      </c>
      <c r="U2501" s="73" t="s">
        <v>351</v>
      </c>
      <c r="V2501" s="74">
        <v>44529</v>
      </c>
      <c r="W2501" s="74">
        <v>44582</v>
      </c>
      <c r="X2501" s="55">
        <v>10183379</v>
      </c>
      <c r="Y2501" s="55" t="s">
        <v>132</v>
      </c>
      <c r="AB2501" s="55" t="s">
        <v>132</v>
      </c>
      <c r="AC2501" s="55" t="s">
        <v>132</v>
      </c>
    </row>
    <row r="2502" spans="1:29" ht="13" x14ac:dyDescent="0.15">
      <c r="A2502" s="72" t="str">
        <f t="shared" ref="A2502:A2565" si="39">HYPERLINK(_xlfn.CONCAT("http://reports.ofsted.gov.uk/inspection-reports/find-inspection-report/provider/CARE/",B2502),"Ofsted Social Care Provider Webpage")</f>
        <v>Ofsted Social Care Provider Webpage</v>
      </c>
      <c r="B2502" s="55" t="s">
        <v>4696</v>
      </c>
      <c r="D2502" s="55" t="s">
        <v>373</v>
      </c>
      <c r="E2502" s="74">
        <v>38551</v>
      </c>
      <c r="F2502" s="55" t="s">
        <v>344</v>
      </c>
      <c r="G2502" s="55" t="s">
        <v>360</v>
      </c>
      <c r="H2502" s="55" t="s">
        <v>360</v>
      </c>
      <c r="I2502" s="55" t="s">
        <v>360</v>
      </c>
      <c r="J2502" s="55" t="s">
        <v>360</v>
      </c>
      <c r="K2502" s="55" t="s">
        <v>360</v>
      </c>
      <c r="L2502" s="55" t="s">
        <v>360</v>
      </c>
      <c r="M2502" s="55" t="s">
        <v>150</v>
      </c>
      <c r="N2502" s="55" t="s">
        <v>150</v>
      </c>
      <c r="O2502" s="55" t="s">
        <v>203</v>
      </c>
      <c r="P2502" s="55" t="s">
        <v>1038</v>
      </c>
      <c r="Q2502" s="55" t="s">
        <v>362</v>
      </c>
      <c r="R2502" s="55">
        <v>4</v>
      </c>
      <c r="S2502" s="74"/>
      <c r="T2502" s="55" t="s">
        <v>824</v>
      </c>
      <c r="U2502" s="73" t="s">
        <v>351</v>
      </c>
      <c r="V2502" s="74">
        <v>44426</v>
      </c>
      <c r="W2502" s="74">
        <v>44462</v>
      </c>
      <c r="X2502" s="55">
        <v>10187559</v>
      </c>
      <c r="Y2502" s="55" t="s">
        <v>140</v>
      </c>
      <c r="AB2502" s="55" t="s">
        <v>140</v>
      </c>
      <c r="AC2502" s="55" t="s">
        <v>140</v>
      </c>
    </row>
    <row r="2503" spans="1:29" ht="13" x14ac:dyDescent="0.15">
      <c r="A2503" s="72" t="str">
        <f t="shared" si="39"/>
        <v>Ofsted Social Care Provider Webpage</v>
      </c>
      <c r="B2503" s="55" t="s">
        <v>4697</v>
      </c>
      <c r="D2503" s="55" t="s">
        <v>373</v>
      </c>
      <c r="E2503" s="74">
        <v>38600</v>
      </c>
      <c r="F2503" s="55" t="s">
        <v>344</v>
      </c>
      <c r="G2503" s="55" t="s">
        <v>360</v>
      </c>
      <c r="H2503" s="55" t="s">
        <v>360</v>
      </c>
      <c r="I2503" s="55" t="s">
        <v>360</v>
      </c>
      <c r="J2503" s="55" t="s">
        <v>360</v>
      </c>
      <c r="K2503" s="55" t="s">
        <v>360</v>
      </c>
      <c r="L2503" s="55" t="s">
        <v>360</v>
      </c>
      <c r="M2503" s="55" t="s">
        <v>144</v>
      </c>
      <c r="N2503" s="55" t="s">
        <v>144</v>
      </c>
      <c r="O2503" s="55" t="s">
        <v>245</v>
      </c>
      <c r="P2503" s="55" t="s">
        <v>1796</v>
      </c>
      <c r="Q2503" s="55" t="s">
        <v>350</v>
      </c>
      <c r="R2503" s="55">
        <v>3</v>
      </c>
      <c r="S2503" s="74"/>
      <c r="T2503" s="55" t="s">
        <v>613</v>
      </c>
      <c r="U2503" s="73" t="s">
        <v>351</v>
      </c>
      <c r="V2503" s="74">
        <v>44361</v>
      </c>
      <c r="W2503" s="74">
        <v>44393</v>
      </c>
      <c r="X2503" s="55">
        <v>10186391</v>
      </c>
      <c r="Y2503" s="55" t="s">
        <v>132</v>
      </c>
      <c r="AB2503" s="55" t="s">
        <v>132</v>
      </c>
      <c r="AC2503" s="55" t="s">
        <v>132</v>
      </c>
    </row>
    <row r="2504" spans="1:29" ht="13" x14ac:dyDescent="0.15">
      <c r="A2504" s="72" t="str">
        <f t="shared" si="39"/>
        <v>Ofsted Social Care Provider Webpage</v>
      </c>
      <c r="B2504" s="55" t="s">
        <v>4698</v>
      </c>
      <c r="D2504" s="55" t="s">
        <v>479</v>
      </c>
      <c r="E2504" s="74">
        <v>38651</v>
      </c>
      <c r="F2504" s="55" t="s">
        <v>344</v>
      </c>
      <c r="G2504" s="55" t="s">
        <v>360</v>
      </c>
      <c r="H2504" s="55" t="s">
        <v>360</v>
      </c>
      <c r="I2504" s="55" t="s">
        <v>360</v>
      </c>
      <c r="J2504" s="55" t="s">
        <v>360</v>
      </c>
      <c r="K2504" s="55" t="s">
        <v>360</v>
      </c>
      <c r="L2504" s="55" t="s">
        <v>360</v>
      </c>
      <c r="M2504" s="55" t="s">
        <v>136</v>
      </c>
      <c r="N2504" s="55" t="s">
        <v>136</v>
      </c>
      <c r="O2504" s="55" t="s">
        <v>176</v>
      </c>
      <c r="P2504" s="55" t="s">
        <v>526</v>
      </c>
      <c r="Q2504" s="55" t="s">
        <v>350</v>
      </c>
      <c r="R2504" s="55">
        <v>60</v>
      </c>
      <c r="S2504" s="74"/>
      <c r="T2504" s="55" t="s">
        <v>596</v>
      </c>
      <c r="U2504" s="73" t="s">
        <v>351</v>
      </c>
      <c r="V2504" s="74">
        <v>44481</v>
      </c>
      <c r="W2504" s="74">
        <v>44531</v>
      </c>
      <c r="X2504" s="55">
        <v>10203864</v>
      </c>
      <c r="Y2504" s="55" t="s">
        <v>146</v>
      </c>
      <c r="AB2504" s="55" t="s">
        <v>146</v>
      </c>
      <c r="AC2504" s="55" t="s">
        <v>146</v>
      </c>
    </row>
    <row r="2505" spans="1:29" ht="13" x14ac:dyDescent="0.15">
      <c r="A2505" s="72" t="str">
        <f t="shared" si="39"/>
        <v>Ofsted Social Care Provider Webpage</v>
      </c>
      <c r="B2505" s="55" t="s">
        <v>4699</v>
      </c>
      <c r="D2505" s="55" t="s">
        <v>373</v>
      </c>
      <c r="E2505" s="74">
        <v>38628</v>
      </c>
      <c r="F2505" s="55" t="s">
        <v>344</v>
      </c>
      <c r="G2505" s="55" t="s">
        <v>360</v>
      </c>
      <c r="H2505" s="55" t="s">
        <v>360</v>
      </c>
      <c r="I2505" s="55" t="s">
        <v>360</v>
      </c>
      <c r="J2505" s="55" t="s">
        <v>360</v>
      </c>
      <c r="K2505" s="55" t="s">
        <v>360</v>
      </c>
      <c r="L2505" s="55" t="s">
        <v>360</v>
      </c>
      <c r="M2505" s="55" t="s">
        <v>144</v>
      </c>
      <c r="N2505" s="55" t="s">
        <v>144</v>
      </c>
      <c r="O2505" s="55" t="s">
        <v>145</v>
      </c>
      <c r="P2505" s="55" t="s">
        <v>484</v>
      </c>
      <c r="Q2505" s="55" t="s">
        <v>350</v>
      </c>
      <c r="R2505" s="55">
        <v>2</v>
      </c>
      <c r="S2505" s="74"/>
      <c r="T2505" s="55" t="s">
        <v>485</v>
      </c>
      <c r="U2505" s="73" t="s">
        <v>351</v>
      </c>
      <c r="V2505" s="74">
        <v>44600</v>
      </c>
      <c r="W2505" s="74">
        <v>44642</v>
      </c>
      <c r="X2505" s="55">
        <v>10185081</v>
      </c>
      <c r="Y2505" s="55" t="s">
        <v>132</v>
      </c>
      <c r="AB2505" s="55" t="s">
        <v>132</v>
      </c>
      <c r="AC2505" s="55" t="s">
        <v>132</v>
      </c>
    </row>
    <row r="2506" spans="1:29" ht="13" x14ac:dyDescent="0.15">
      <c r="A2506" s="72" t="str">
        <f t="shared" si="39"/>
        <v>Ofsted Social Care Provider Webpage</v>
      </c>
      <c r="B2506" s="55" t="s">
        <v>4700</v>
      </c>
      <c r="D2506" s="55" t="s">
        <v>389</v>
      </c>
      <c r="E2506" s="74">
        <v>38649</v>
      </c>
      <c r="F2506" s="55" t="s">
        <v>344</v>
      </c>
      <c r="G2506" s="55" t="s">
        <v>771</v>
      </c>
      <c r="H2506" s="55" t="s">
        <v>4701</v>
      </c>
      <c r="I2506" s="55" t="s">
        <v>4702</v>
      </c>
      <c r="J2506" s="55" t="s">
        <v>4703</v>
      </c>
      <c r="K2506" s="55" t="s">
        <v>209</v>
      </c>
      <c r="L2506" s="55" t="s">
        <v>4704</v>
      </c>
      <c r="M2506" s="55" t="s">
        <v>144</v>
      </c>
      <c r="N2506" s="55" t="s">
        <v>144</v>
      </c>
      <c r="O2506" s="55" t="s">
        <v>245</v>
      </c>
      <c r="P2506" s="55" t="s">
        <v>1796</v>
      </c>
      <c r="Q2506" s="55" t="s">
        <v>350</v>
      </c>
      <c r="R2506" s="55"/>
      <c r="S2506" s="74"/>
      <c r="T2506" s="55" t="s">
        <v>4705</v>
      </c>
      <c r="U2506" s="73" t="s">
        <v>351</v>
      </c>
      <c r="V2506" s="74">
        <v>43514</v>
      </c>
      <c r="W2506" s="74">
        <v>43556</v>
      </c>
      <c r="X2506" s="55">
        <v>10046671</v>
      </c>
      <c r="Y2506" s="55" t="s">
        <v>140</v>
      </c>
      <c r="AB2506" s="55" t="s">
        <v>140</v>
      </c>
      <c r="AC2506" s="55" t="s">
        <v>140</v>
      </c>
    </row>
    <row r="2507" spans="1:29" ht="13" x14ac:dyDescent="0.15">
      <c r="A2507" s="72" t="str">
        <f t="shared" si="39"/>
        <v>Ofsted Social Care Provider Webpage</v>
      </c>
      <c r="B2507" s="55" t="s">
        <v>4706</v>
      </c>
      <c r="D2507" s="55" t="s">
        <v>373</v>
      </c>
      <c r="E2507" s="74">
        <v>38567</v>
      </c>
      <c r="F2507" s="55" t="s">
        <v>344</v>
      </c>
      <c r="G2507" s="55" t="s">
        <v>360</v>
      </c>
      <c r="H2507" s="55" t="s">
        <v>360</v>
      </c>
      <c r="I2507" s="55" t="s">
        <v>360</v>
      </c>
      <c r="J2507" s="55" t="s">
        <v>360</v>
      </c>
      <c r="K2507" s="55" t="s">
        <v>360</v>
      </c>
      <c r="L2507" s="55" t="s">
        <v>360</v>
      </c>
      <c r="M2507" s="55" t="s">
        <v>144</v>
      </c>
      <c r="N2507" s="55" t="s">
        <v>144</v>
      </c>
      <c r="O2507" s="55" t="s">
        <v>263</v>
      </c>
      <c r="P2507" s="55" t="s">
        <v>263</v>
      </c>
      <c r="Q2507" s="55" t="s">
        <v>350</v>
      </c>
      <c r="R2507" s="55">
        <v>5</v>
      </c>
      <c r="S2507" s="74"/>
      <c r="T2507" s="55" t="s">
        <v>4707</v>
      </c>
      <c r="U2507" s="73" t="s">
        <v>351</v>
      </c>
      <c r="V2507" s="74">
        <v>44502</v>
      </c>
      <c r="W2507" s="74">
        <v>44552</v>
      </c>
      <c r="X2507" s="55">
        <v>10186138</v>
      </c>
      <c r="Y2507" s="55" t="s">
        <v>132</v>
      </c>
      <c r="AB2507" s="55" t="s">
        <v>130</v>
      </c>
      <c r="AC2507" s="55" t="s">
        <v>132</v>
      </c>
    </row>
    <row r="2508" spans="1:29" ht="13" x14ac:dyDescent="0.15">
      <c r="A2508" s="72" t="str">
        <f t="shared" si="39"/>
        <v>Ofsted Social Care Provider Webpage</v>
      </c>
      <c r="B2508" s="55" t="s">
        <v>4708</v>
      </c>
      <c r="D2508" s="55" t="s">
        <v>373</v>
      </c>
      <c r="E2508" s="74">
        <v>38700</v>
      </c>
      <c r="F2508" s="55" t="s">
        <v>344</v>
      </c>
      <c r="G2508" s="55" t="s">
        <v>360</v>
      </c>
      <c r="H2508" s="55" t="s">
        <v>360</v>
      </c>
      <c r="I2508" s="55" t="s">
        <v>360</v>
      </c>
      <c r="J2508" s="55" t="s">
        <v>360</v>
      </c>
      <c r="K2508" s="55" t="s">
        <v>360</v>
      </c>
      <c r="L2508" s="55" t="s">
        <v>360</v>
      </c>
      <c r="M2508" s="55" t="s">
        <v>142</v>
      </c>
      <c r="N2508" s="55" t="s">
        <v>142</v>
      </c>
      <c r="O2508" s="55" t="s">
        <v>141</v>
      </c>
      <c r="P2508" s="55" t="s">
        <v>1226</v>
      </c>
      <c r="Q2508" s="55" t="s">
        <v>350</v>
      </c>
      <c r="R2508" s="55">
        <v>3</v>
      </c>
      <c r="S2508" s="74"/>
      <c r="T2508" s="55" t="s">
        <v>2811</v>
      </c>
      <c r="U2508" s="73" t="s">
        <v>351</v>
      </c>
      <c r="V2508" s="74">
        <v>44405</v>
      </c>
      <c r="W2508" s="74">
        <v>44446</v>
      </c>
      <c r="X2508" s="55">
        <v>10187091</v>
      </c>
      <c r="Y2508" s="55" t="s">
        <v>132</v>
      </c>
      <c r="AB2508" s="55" t="s">
        <v>132</v>
      </c>
      <c r="AC2508" s="55" t="s">
        <v>132</v>
      </c>
    </row>
    <row r="2509" spans="1:29" ht="13" x14ac:dyDescent="0.15">
      <c r="A2509" s="72" t="str">
        <f t="shared" si="39"/>
        <v>Ofsted Social Care Provider Webpage</v>
      </c>
      <c r="B2509" s="55" t="s">
        <v>4709</v>
      </c>
      <c r="D2509" s="55" t="s">
        <v>373</v>
      </c>
      <c r="E2509" s="74">
        <v>38670</v>
      </c>
      <c r="F2509" s="55" t="s">
        <v>344</v>
      </c>
      <c r="G2509" s="55" t="s">
        <v>360</v>
      </c>
      <c r="H2509" s="55" t="s">
        <v>360</v>
      </c>
      <c r="I2509" s="55" t="s">
        <v>360</v>
      </c>
      <c r="J2509" s="55" t="s">
        <v>360</v>
      </c>
      <c r="K2509" s="55" t="s">
        <v>360</v>
      </c>
      <c r="L2509" s="55" t="s">
        <v>360</v>
      </c>
      <c r="M2509" s="55" t="s">
        <v>129</v>
      </c>
      <c r="N2509" s="55" t="s">
        <v>129</v>
      </c>
      <c r="O2509" s="55" t="s">
        <v>280</v>
      </c>
      <c r="P2509" s="55" t="s">
        <v>1367</v>
      </c>
      <c r="Q2509" s="55" t="s">
        <v>380</v>
      </c>
      <c r="R2509" s="55">
        <v>13</v>
      </c>
      <c r="S2509" s="74"/>
      <c r="T2509" s="55" t="s">
        <v>2581</v>
      </c>
      <c r="U2509" s="73" t="s">
        <v>351</v>
      </c>
      <c r="V2509" s="74">
        <v>44572</v>
      </c>
      <c r="W2509" s="74">
        <v>44615</v>
      </c>
      <c r="X2509" s="55">
        <v>10186566</v>
      </c>
      <c r="Y2509" s="55" t="s">
        <v>132</v>
      </c>
      <c r="AB2509" s="55" t="s">
        <v>132</v>
      </c>
      <c r="AC2509" s="55" t="s">
        <v>130</v>
      </c>
    </row>
    <row r="2510" spans="1:29" ht="13" x14ac:dyDescent="0.15">
      <c r="A2510" s="72" t="str">
        <f t="shared" si="39"/>
        <v>Ofsted Social Care Provider Webpage</v>
      </c>
      <c r="B2510" s="55" t="s">
        <v>4710</v>
      </c>
      <c r="D2510" s="55" t="s">
        <v>373</v>
      </c>
      <c r="E2510" s="74">
        <v>38589</v>
      </c>
      <c r="F2510" s="55" t="s">
        <v>344</v>
      </c>
      <c r="G2510" s="55" t="s">
        <v>360</v>
      </c>
      <c r="H2510" s="55" t="s">
        <v>360</v>
      </c>
      <c r="I2510" s="55" t="s">
        <v>360</v>
      </c>
      <c r="J2510" s="55" t="s">
        <v>360</v>
      </c>
      <c r="K2510" s="55" t="s">
        <v>360</v>
      </c>
      <c r="L2510" s="55" t="s">
        <v>360</v>
      </c>
      <c r="M2510" s="55" t="s">
        <v>150</v>
      </c>
      <c r="N2510" s="55" t="s">
        <v>150</v>
      </c>
      <c r="O2510" s="55" t="s">
        <v>203</v>
      </c>
      <c r="P2510" s="55" t="s">
        <v>593</v>
      </c>
      <c r="Q2510" s="55" t="s">
        <v>350</v>
      </c>
      <c r="R2510" s="55">
        <v>6</v>
      </c>
      <c r="S2510" s="74"/>
      <c r="T2510" s="55" t="s">
        <v>2891</v>
      </c>
      <c r="U2510" s="73" t="s">
        <v>351</v>
      </c>
      <c r="V2510" s="74">
        <v>43900</v>
      </c>
      <c r="W2510" s="74">
        <v>43951</v>
      </c>
      <c r="X2510" s="55">
        <v>10095797</v>
      </c>
      <c r="Y2510" s="55" t="s">
        <v>132</v>
      </c>
      <c r="AB2510" s="55" t="s">
        <v>132</v>
      </c>
      <c r="AC2510" s="55" t="s">
        <v>130</v>
      </c>
    </row>
    <row r="2511" spans="1:29" ht="13" x14ac:dyDescent="0.15">
      <c r="A2511" s="72" t="str">
        <f t="shared" si="39"/>
        <v>Ofsted Social Care Provider Webpage</v>
      </c>
      <c r="B2511" s="55" t="s">
        <v>4711</v>
      </c>
      <c r="D2511" s="55" t="s">
        <v>373</v>
      </c>
      <c r="E2511" s="74">
        <v>38625</v>
      </c>
      <c r="F2511" s="55" t="s">
        <v>344</v>
      </c>
      <c r="G2511" s="55" t="s">
        <v>360</v>
      </c>
      <c r="H2511" s="55" t="s">
        <v>360</v>
      </c>
      <c r="I2511" s="55" t="s">
        <v>360</v>
      </c>
      <c r="J2511" s="55" t="s">
        <v>360</v>
      </c>
      <c r="K2511" s="55" t="s">
        <v>360</v>
      </c>
      <c r="L2511" s="55" t="s">
        <v>360</v>
      </c>
      <c r="M2511" s="55" t="s">
        <v>129</v>
      </c>
      <c r="N2511" s="55" t="s">
        <v>129</v>
      </c>
      <c r="O2511" s="55" t="s">
        <v>208</v>
      </c>
      <c r="P2511" s="55" t="s">
        <v>3178</v>
      </c>
      <c r="Q2511" s="55" t="s">
        <v>350</v>
      </c>
      <c r="R2511" s="55">
        <v>6</v>
      </c>
      <c r="S2511" s="74"/>
      <c r="T2511" s="55" t="s">
        <v>4712</v>
      </c>
      <c r="U2511" s="73" t="s">
        <v>351</v>
      </c>
      <c r="V2511" s="74">
        <v>44361</v>
      </c>
      <c r="W2511" s="74">
        <v>44399</v>
      </c>
      <c r="X2511" s="55">
        <v>10186470</v>
      </c>
      <c r="Y2511" s="55" t="s">
        <v>132</v>
      </c>
      <c r="AB2511" s="55" t="s">
        <v>132</v>
      </c>
      <c r="AC2511" s="55" t="s">
        <v>132</v>
      </c>
    </row>
    <row r="2512" spans="1:29" ht="13" x14ac:dyDescent="0.15">
      <c r="A2512" s="72" t="str">
        <f t="shared" si="39"/>
        <v>Ofsted Social Care Provider Webpage</v>
      </c>
      <c r="B2512" s="55" t="s">
        <v>4713</v>
      </c>
      <c r="D2512" s="55" t="s">
        <v>373</v>
      </c>
      <c r="E2512" s="74">
        <v>38658</v>
      </c>
      <c r="F2512" s="55" t="s">
        <v>344</v>
      </c>
      <c r="G2512" s="55" t="s">
        <v>360</v>
      </c>
      <c r="H2512" s="55" t="s">
        <v>360</v>
      </c>
      <c r="I2512" s="55" t="s">
        <v>360</v>
      </c>
      <c r="J2512" s="55" t="s">
        <v>360</v>
      </c>
      <c r="K2512" s="55" t="s">
        <v>360</v>
      </c>
      <c r="L2512" s="55" t="s">
        <v>360</v>
      </c>
      <c r="M2512" s="55" t="s">
        <v>378</v>
      </c>
      <c r="N2512" s="55" t="s">
        <v>134</v>
      </c>
      <c r="O2512" s="55" t="s">
        <v>151</v>
      </c>
      <c r="P2512" s="55" t="s">
        <v>862</v>
      </c>
      <c r="Q2512" s="55" t="s">
        <v>380</v>
      </c>
      <c r="R2512" s="55">
        <v>6</v>
      </c>
      <c r="S2512" s="74"/>
      <c r="T2512" s="55" t="s">
        <v>1220</v>
      </c>
      <c r="U2512" s="73" t="s">
        <v>351</v>
      </c>
      <c r="V2512" s="74">
        <v>44355</v>
      </c>
      <c r="W2512" s="74">
        <v>44385</v>
      </c>
      <c r="X2512" s="55">
        <v>10187242</v>
      </c>
      <c r="Y2512" s="55" t="s">
        <v>132</v>
      </c>
      <c r="AB2512" s="55" t="s">
        <v>132</v>
      </c>
      <c r="AC2512" s="55" t="s">
        <v>132</v>
      </c>
    </row>
    <row r="2513" spans="1:29" ht="13" x14ac:dyDescent="0.15">
      <c r="A2513" s="72" t="str">
        <f t="shared" si="39"/>
        <v>Ofsted Social Care Provider Webpage</v>
      </c>
      <c r="B2513" s="55" t="s">
        <v>4714</v>
      </c>
      <c r="D2513" s="55" t="s">
        <v>373</v>
      </c>
      <c r="E2513" s="74">
        <v>38649</v>
      </c>
      <c r="F2513" s="55" t="s">
        <v>344</v>
      </c>
      <c r="G2513" s="55" t="s">
        <v>360</v>
      </c>
      <c r="H2513" s="55" t="s">
        <v>360</v>
      </c>
      <c r="I2513" s="55" t="s">
        <v>360</v>
      </c>
      <c r="J2513" s="55" t="s">
        <v>360</v>
      </c>
      <c r="K2513" s="55" t="s">
        <v>360</v>
      </c>
      <c r="L2513" s="55" t="s">
        <v>360</v>
      </c>
      <c r="M2513" s="55" t="s">
        <v>172</v>
      </c>
      <c r="N2513" s="55" t="s">
        <v>172</v>
      </c>
      <c r="O2513" s="55" t="s">
        <v>173</v>
      </c>
      <c r="P2513" s="55" t="s">
        <v>1540</v>
      </c>
      <c r="Q2513" s="55" t="s">
        <v>380</v>
      </c>
      <c r="R2513" s="55">
        <v>4</v>
      </c>
      <c r="S2513" s="74"/>
      <c r="T2513" s="55" t="s">
        <v>1431</v>
      </c>
      <c r="U2513" s="73" t="s">
        <v>351</v>
      </c>
      <c r="V2513" s="74">
        <v>44586</v>
      </c>
      <c r="W2513" s="74">
        <v>44616</v>
      </c>
      <c r="X2513" s="55">
        <v>10187403</v>
      </c>
      <c r="Y2513" s="55" t="s">
        <v>132</v>
      </c>
      <c r="AB2513" s="55" t="s">
        <v>132</v>
      </c>
      <c r="AC2513" s="55" t="s">
        <v>132</v>
      </c>
    </row>
    <row r="2514" spans="1:29" ht="13" x14ac:dyDescent="0.15">
      <c r="A2514" s="72" t="str">
        <f t="shared" si="39"/>
        <v>Ofsted Social Care Provider Webpage</v>
      </c>
      <c r="B2514" s="55" t="s">
        <v>4715</v>
      </c>
      <c r="D2514" s="55" t="s">
        <v>389</v>
      </c>
      <c r="E2514" s="74">
        <v>38756</v>
      </c>
      <c r="F2514" s="55" t="s">
        <v>344</v>
      </c>
      <c r="G2514" s="55" t="s">
        <v>4716</v>
      </c>
      <c r="H2514" s="55" t="s">
        <v>4717</v>
      </c>
      <c r="I2514" s="55" t="s">
        <v>4718</v>
      </c>
      <c r="J2514" s="55" t="s">
        <v>4167</v>
      </c>
      <c r="L2514" s="55" t="s">
        <v>4094</v>
      </c>
      <c r="M2514" s="55" t="s">
        <v>150</v>
      </c>
      <c r="N2514" s="55" t="s">
        <v>150</v>
      </c>
      <c r="O2514" s="55" t="s">
        <v>221</v>
      </c>
      <c r="P2514" s="55" t="s">
        <v>349</v>
      </c>
      <c r="Q2514" s="55" t="s">
        <v>350</v>
      </c>
      <c r="R2514" s="55"/>
      <c r="S2514" s="74"/>
      <c r="T2514" s="55" t="s">
        <v>4717</v>
      </c>
      <c r="U2514" s="73" t="s">
        <v>351</v>
      </c>
      <c r="V2514" s="74">
        <v>43542</v>
      </c>
      <c r="W2514" s="74">
        <v>43717</v>
      </c>
      <c r="X2514" s="55">
        <v>10046665</v>
      </c>
      <c r="Y2514" s="55" t="s">
        <v>132</v>
      </c>
      <c r="AB2514" s="55" t="s">
        <v>132</v>
      </c>
      <c r="AC2514" s="55" t="s">
        <v>130</v>
      </c>
    </row>
    <row r="2515" spans="1:29" ht="13" x14ac:dyDescent="0.15">
      <c r="A2515" s="72" t="str">
        <f t="shared" si="39"/>
        <v>Ofsted Social Care Provider Webpage</v>
      </c>
      <c r="B2515" s="55" t="s">
        <v>4719</v>
      </c>
      <c r="D2515" s="55" t="s">
        <v>373</v>
      </c>
      <c r="E2515" s="74">
        <v>39045</v>
      </c>
      <c r="F2515" s="55" t="s">
        <v>344</v>
      </c>
      <c r="G2515" s="55" t="s">
        <v>360</v>
      </c>
      <c r="H2515" s="55" t="s">
        <v>360</v>
      </c>
      <c r="I2515" s="55" t="s">
        <v>360</v>
      </c>
      <c r="J2515" s="55" t="s">
        <v>360</v>
      </c>
      <c r="K2515" s="55" t="s">
        <v>360</v>
      </c>
      <c r="L2515" s="55" t="s">
        <v>360</v>
      </c>
      <c r="M2515" s="55" t="s">
        <v>142</v>
      </c>
      <c r="N2515" s="55" t="s">
        <v>142</v>
      </c>
      <c r="O2515" s="55" t="s">
        <v>262</v>
      </c>
      <c r="P2515" s="55" t="s">
        <v>523</v>
      </c>
      <c r="Q2515" s="55" t="s">
        <v>380</v>
      </c>
      <c r="R2515" s="55">
        <v>5</v>
      </c>
      <c r="S2515" s="74" t="s">
        <v>332</v>
      </c>
      <c r="T2515" s="55" t="s">
        <v>2996</v>
      </c>
      <c r="U2515" s="73" t="s">
        <v>351</v>
      </c>
      <c r="V2515" s="74">
        <v>44432</v>
      </c>
      <c r="W2515" s="74">
        <v>44467</v>
      </c>
      <c r="X2515" s="55">
        <v>10186929</v>
      </c>
      <c r="Y2515" s="55" t="s">
        <v>132</v>
      </c>
      <c r="AB2515" s="55" t="s">
        <v>132</v>
      </c>
      <c r="AC2515" s="55" t="s">
        <v>132</v>
      </c>
    </row>
    <row r="2516" spans="1:29" ht="13" x14ac:dyDescent="0.15">
      <c r="A2516" s="72" t="str">
        <f t="shared" si="39"/>
        <v>Ofsted Social Care Provider Webpage</v>
      </c>
      <c r="B2516" s="55" t="s">
        <v>4720</v>
      </c>
      <c r="D2516" s="55" t="s">
        <v>373</v>
      </c>
      <c r="E2516" s="74">
        <v>38700</v>
      </c>
      <c r="F2516" s="55" t="s">
        <v>344</v>
      </c>
      <c r="G2516" s="55" t="s">
        <v>360</v>
      </c>
      <c r="H2516" s="55" t="s">
        <v>360</v>
      </c>
      <c r="I2516" s="55" t="s">
        <v>360</v>
      </c>
      <c r="J2516" s="55" t="s">
        <v>360</v>
      </c>
      <c r="K2516" s="55" t="s">
        <v>360</v>
      </c>
      <c r="L2516" s="55" t="s">
        <v>360</v>
      </c>
      <c r="M2516" s="55" t="s">
        <v>150</v>
      </c>
      <c r="N2516" s="55" t="s">
        <v>150</v>
      </c>
      <c r="O2516" s="55" t="s">
        <v>203</v>
      </c>
      <c r="P2516" s="55" t="s">
        <v>419</v>
      </c>
      <c r="Q2516" s="55" t="s">
        <v>350</v>
      </c>
      <c r="R2516" s="55">
        <v>6</v>
      </c>
      <c r="S2516" s="74"/>
      <c r="T2516" s="55" t="s">
        <v>1861</v>
      </c>
      <c r="U2516" s="73" t="s">
        <v>351</v>
      </c>
      <c r="V2516" s="74">
        <v>44502</v>
      </c>
      <c r="W2516" s="74">
        <v>44552</v>
      </c>
      <c r="X2516" s="55">
        <v>10186697</v>
      </c>
      <c r="Y2516" s="55" t="s">
        <v>132</v>
      </c>
      <c r="AB2516" s="55" t="s">
        <v>132</v>
      </c>
      <c r="AC2516" s="55" t="s">
        <v>132</v>
      </c>
    </row>
    <row r="2517" spans="1:29" ht="13" x14ac:dyDescent="0.15">
      <c r="A2517" s="72" t="str">
        <f t="shared" si="39"/>
        <v>Ofsted Social Care Provider Webpage</v>
      </c>
      <c r="B2517" s="55" t="s">
        <v>4721</v>
      </c>
      <c r="D2517" s="55" t="s">
        <v>373</v>
      </c>
      <c r="E2517" s="74">
        <v>38771</v>
      </c>
      <c r="F2517" s="55" t="s">
        <v>344</v>
      </c>
      <c r="G2517" s="55" t="s">
        <v>360</v>
      </c>
      <c r="H2517" s="55" t="s">
        <v>360</v>
      </c>
      <c r="I2517" s="55" t="s">
        <v>360</v>
      </c>
      <c r="J2517" s="55" t="s">
        <v>360</v>
      </c>
      <c r="K2517" s="55" t="s">
        <v>360</v>
      </c>
      <c r="L2517" s="55" t="s">
        <v>360</v>
      </c>
      <c r="M2517" s="55" t="s">
        <v>172</v>
      </c>
      <c r="N2517" s="55" t="s">
        <v>172</v>
      </c>
      <c r="O2517" s="55" t="s">
        <v>171</v>
      </c>
      <c r="P2517" s="55" t="s">
        <v>895</v>
      </c>
      <c r="Q2517" s="55" t="s">
        <v>380</v>
      </c>
      <c r="R2517" s="55">
        <v>10</v>
      </c>
      <c r="S2517" s="74" t="s">
        <v>332</v>
      </c>
      <c r="T2517" s="55" t="s">
        <v>3360</v>
      </c>
      <c r="U2517" s="73" t="s">
        <v>351</v>
      </c>
      <c r="V2517" s="74">
        <v>44578</v>
      </c>
      <c r="W2517" s="74">
        <v>44613</v>
      </c>
      <c r="X2517" s="55">
        <v>10187313</v>
      </c>
      <c r="Y2517" s="55" t="s">
        <v>132</v>
      </c>
      <c r="AB2517" s="55" t="s">
        <v>132</v>
      </c>
      <c r="AC2517" s="55" t="s">
        <v>132</v>
      </c>
    </row>
    <row r="2518" spans="1:29" ht="13" x14ac:dyDescent="0.15">
      <c r="A2518" s="72" t="str">
        <f t="shared" si="39"/>
        <v>Ofsted Social Care Provider Webpage</v>
      </c>
      <c r="B2518" s="55" t="s">
        <v>4722</v>
      </c>
      <c r="D2518" s="55" t="s">
        <v>389</v>
      </c>
      <c r="E2518" s="74">
        <v>38628</v>
      </c>
      <c r="F2518" s="55" t="s">
        <v>344</v>
      </c>
      <c r="G2518" s="55" t="s">
        <v>4723</v>
      </c>
      <c r="H2518" s="55" t="s">
        <v>4724</v>
      </c>
      <c r="I2518" s="55" t="s">
        <v>4725</v>
      </c>
      <c r="J2518" s="55" t="s">
        <v>211</v>
      </c>
      <c r="K2518" s="55" t="s">
        <v>212</v>
      </c>
      <c r="L2518" s="55" t="s">
        <v>4726</v>
      </c>
      <c r="M2518" s="55" t="s">
        <v>172</v>
      </c>
      <c r="N2518" s="55" t="s">
        <v>172</v>
      </c>
      <c r="O2518" s="55" t="s">
        <v>212</v>
      </c>
      <c r="P2518" s="55" t="s">
        <v>547</v>
      </c>
      <c r="Q2518" s="55" t="s">
        <v>350</v>
      </c>
      <c r="R2518" s="55"/>
      <c r="S2518" s="74"/>
      <c r="T2518" s="55" t="s">
        <v>4727</v>
      </c>
      <c r="U2518" s="73" t="s">
        <v>351</v>
      </c>
      <c r="V2518" s="74">
        <v>44326</v>
      </c>
      <c r="W2518" s="74">
        <v>44358</v>
      </c>
      <c r="X2518" s="55">
        <v>10183339</v>
      </c>
      <c r="Y2518" s="55" t="s">
        <v>132</v>
      </c>
      <c r="AB2518" s="55" t="s">
        <v>132</v>
      </c>
      <c r="AC2518" s="55" t="s">
        <v>132</v>
      </c>
    </row>
    <row r="2519" spans="1:29" ht="13" x14ac:dyDescent="0.15">
      <c r="A2519" s="72" t="str">
        <f t="shared" si="39"/>
        <v>Ofsted Social Care Provider Webpage</v>
      </c>
      <c r="B2519" s="55" t="s">
        <v>4728</v>
      </c>
      <c r="D2519" s="55" t="s">
        <v>373</v>
      </c>
      <c r="E2519" s="74">
        <v>39030</v>
      </c>
      <c r="F2519" s="55" t="s">
        <v>344</v>
      </c>
      <c r="G2519" s="55" t="s">
        <v>360</v>
      </c>
      <c r="H2519" s="55" t="s">
        <v>360</v>
      </c>
      <c r="I2519" s="55" t="s">
        <v>360</v>
      </c>
      <c r="J2519" s="55" t="s">
        <v>360</v>
      </c>
      <c r="K2519" s="55" t="s">
        <v>360</v>
      </c>
      <c r="L2519" s="55" t="s">
        <v>360</v>
      </c>
      <c r="M2519" s="55" t="s">
        <v>144</v>
      </c>
      <c r="N2519" s="55" t="s">
        <v>144</v>
      </c>
      <c r="O2519" s="55" t="s">
        <v>290</v>
      </c>
      <c r="P2519" s="55" t="s">
        <v>603</v>
      </c>
      <c r="Q2519" s="55" t="s">
        <v>350</v>
      </c>
      <c r="R2519" s="55">
        <v>3</v>
      </c>
      <c r="S2519" s="74"/>
      <c r="T2519" s="55" t="s">
        <v>1342</v>
      </c>
      <c r="U2519" s="73" t="s">
        <v>351</v>
      </c>
      <c r="V2519" s="74">
        <v>44432</v>
      </c>
      <c r="W2519" s="74">
        <v>44475</v>
      </c>
      <c r="X2519" s="55">
        <v>10186110</v>
      </c>
      <c r="Y2519" s="55" t="s">
        <v>130</v>
      </c>
      <c r="AB2519" s="55" t="s">
        <v>130</v>
      </c>
      <c r="AC2519" s="55" t="s">
        <v>130</v>
      </c>
    </row>
    <row r="2520" spans="1:29" ht="13" x14ac:dyDescent="0.15">
      <c r="A2520" s="72" t="str">
        <f t="shared" si="39"/>
        <v>Ofsted Social Care Provider Webpage</v>
      </c>
      <c r="B2520" s="55" t="s">
        <v>4729</v>
      </c>
      <c r="D2520" s="55" t="s">
        <v>373</v>
      </c>
      <c r="E2520" s="74">
        <v>38650</v>
      </c>
      <c r="F2520" s="55" t="s">
        <v>344</v>
      </c>
      <c r="G2520" s="55" t="s">
        <v>360</v>
      </c>
      <c r="H2520" s="55" t="s">
        <v>360</v>
      </c>
      <c r="I2520" s="55" t="s">
        <v>360</v>
      </c>
      <c r="J2520" s="55" t="s">
        <v>360</v>
      </c>
      <c r="K2520" s="55" t="s">
        <v>360</v>
      </c>
      <c r="L2520" s="55" t="s">
        <v>360</v>
      </c>
      <c r="M2520" s="55" t="s">
        <v>144</v>
      </c>
      <c r="N2520" s="55" t="s">
        <v>144</v>
      </c>
      <c r="O2520" s="55" t="s">
        <v>290</v>
      </c>
      <c r="P2520" s="55" t="s">
        <v>1512</v>
      </c>
      <c r="Q2520" s="55" t="s">
        <v>350</v>
      </c>
      <c r="R2520" s="55">
        <v>3</v>
      </c>
      <c r="S2520" s="74"/>
      <c r="T2520" s="55" t="s">
        <v>4600</v>
      </c>
      <c r="U2520" s="73" t="s">
        <v>351</v>
      </c>
      <c r="V2520" s="74">
        <v>44601</v>
      </c>
      <c r="W2520" s="74">
        <v>44652</v>
      </c>
      <c r="X2520" s="55">
        <v>10186411</v>
      </c>
      <c r="Y2520" s="55" t="s">
        <v>130</v>
      </c>
      <c r="AB2520" s="55" t="s">
        <v>130</v>
      </c>
      <c r="AC2520" s="55" t="s">
        <v>130</v>
      </c>
    </row>
    <row r="2521" spans="1:29" ht="13" x14ac:dyDescent="0.15">
      <c r="A2521" s="72" t="str">
        <f t="shared" si="39"/>
        <v>Ofsted Social Care Provider Webpage</v>
      </c>
      <c r="B2521" s="55" t="s">
        <v>4730</v>
      </c>
      <c r="D2521" s="55" t="s">
        <v>373</v>
      </c>
      <c r="E2521" s="74">
        <v>38631</v>
      </c>
      <c r="F2521" s="55" t="s">
        <v>344</v>
      </c>
      <c r="G2521" s="55" t="s">
        <v>360</v>
      </c>
      <c r="H2521" s="55" t="s">
        <v>360</v>
      </c>
      <c r="I2521" s="55" t="s">
        <v>360</v>
      </c>
      <c r="J2521" s="55" t="s">
        <v>360</v>
      </c>
      <c r="K2521" s="55" t="s">
        <v>360</v>
      </c>
      <c r="L2521" s="55" t="s">
        <v>360</v>
      </c>
      <c r="M2521" s="55" t="s">
        <v>138</v>
      </c>
      <c r="N2521" s="55" t="s">
        <v>138</v>
      </c>
      <c r="O2521" s="55" t="s">
        <v>224</v>
      </c>
      <c r="P2521" s="55" t="s">
        <v>1294</v>
      </c>
      <c r="Q2521" s="55" t="s">
        <v>362</v>
      </c>
      <c r="R2521" s="55">
        <v>6</v>
      </c>
      <c r="S2521" s="74"/>
      <c r="T2521" s="55" t="s">
        <v>1119</v>
      </c>
      <c r="U2521" s="73" t="s">
        <v>351</v>
      </c>
      <c r="V2521" s="74">
        <v>44550</v>
      </c>
      <c r="W2521" s="74">
        <v>44589</v>
      </c>
      <c r="X2521" s="55">
        <v>10186408</v>
      </c>
      <c r="Y2521" s="55" t="s">
        <v>132</v>
      </c>
      <c r="AB2521" s="55" t="s">
        <v>132</v>
      </c>
      <c r="AC2521" s="55" t="s">
        <v>132</v>
      </c>
    </row>
    <row r="2522" spans="1:29" ht="13" x14ac:dyDescent="0.15">
      <c r="A2522" s="72" t="str">
        <f t="shared" si="39"/>
        <v>Ofsted Social Care Provider Webpage</v>
      </c>
      <c r="B2522" s="55" t="s">
        <v>4731</v>
      </c>
      <c r="D2522" s="55" t="s">
        <v>373</v>
      </c>
      <c r="E2522" s="74">
        <v>38721</v>
      </c>
      <c r="F2522" s="55" t="s">
        <v>344</v>
      </c>
      <c r="G2522" s="55" t="s">
        <v>360</v>
      </c>
      <c r="H2522" s="55" t="s">
        <v>360</v>
      </c>
      <c r="I2522" s="55" t="s">
        <v>360</v>
      </c>
      <c r="J2522" s="55" t="s">
        <v>360</v>
      </c>
      <c r="K2522" s="55" t="s">
        <v>360</v>
      </c>
      <c r="L2522" s="55" t="s">
        <v>360</v>
      </c>
      <c r="M2522" s="55" t="s">
        <v>142</v>
      </c>
      <c r="N2522" s="55" t="s">
        <v>142</v>
      </c>
      <c r="O2522" s="55" t="s">
        <v>141</v>
      </c>
      <c r="P2522" s="55" t="s">
        <v>864</v>
      </c>
      <c r="Q2522" s="55" t="s">
        <v>350</v>
      </c>
      <c r="R2522" s="55">
        <v>3</v>
      </c>
      <c r="S2522" s="74"/>
      <c r="T2522" s="55" t="s">
        <v>385</v>
      </c>
      <c r="U2522" s="73" t="s">
        <v>351</v>
      </c>
      <c r="V2522" s="74">
        <v>44369</v>
      </c>
      <c r="W2522" s="74">
        <v>44412</v>
      </c>
      <c r="X2522" s="55">
        <v>10186989</v>
      </c>
      <c r="Y2522" s="55" t="s">
        <v>130</v>
      </c>
      <c r="AB2522" s="55" t="s">
        <v>130</v>
      </c>
      <c r="AC2522" s="55" t="s">
        <v>146</v>
      </c>
    </row>
    <row r="2523" spans="1:29" ht="13" x14ac:dyDescent="0.15">
      <c r="A2523" s="72" t="str">
        <f t="shared" si="39"/>
        <v>Ofsted Social Care Provider Webpage</v>
      </c>
      <c r="B2523" s="55" t="s">
        <v>4732</v>
      </c>
      <c r="D2523" s="55" t="s">
        <v>373</v>
      </c>
      <c r="E2523" s="74">
        <v>38639</v>
      </c>
      <c r="F2523" s="55" t="s">
        <v>344</v>
      </c>
      <c r="G2523" s="55" t="s">
        <v>360</v>
      </c>
      <c r="H2523" s="55" t="s">
        <v>360</v>
      </c>
      <c r="I2523" s="55" t="s">
        <v>360</v>
      </c>
      <c r="J2523" s="55" t="s">
        <v>360</v>
      </c>
      <c r="K2523" s="55" t="s">
        <v>360</v>
      </c>
      <c r="L2523" s="55" t="s">
        <v>360</v>
      </c>
      <c r="M2523" s="55" t="s">
        <v>138</v>
      </c>
      <c r="N2523" s="55" t="s">
        <v>138</v>
      </c>
      <c r="O2523" s="55" t="s">
        <v>224</v>
      </c>
      <c r="P2523" s="55" t="s">
        <v>2271</v>
      </c>
      <c r="Q2523" s="55" t="s">
        <v>380</v>
      </c>
      <c r="R2523" s="55">
        <v>9</v>
      </c>
      <c r="S2523" s="74" t="s">
        <v>332</v>
      </c>
      <c r="T2523" s="55" t="s">
        <v>2272</v>
      </c>
      <c r="U2523" s="73" t="s">
        <v>351</v>
      </c>
      <c r="V2523" s="74">
        <v>44496</v>
      </c>
      <c r="W2523" s="74">
        <v>44526</v>
      </c>
      <c r="X2523" s="55">
        <v>10185800</v>
      </c>
      <c r="Y2523" s="55" t="s">
        <v>132</v>
      </c>
      <c r="AB2523" s="55" t="s">
        <v>132</v>
      </c>
      <c r="AC2523" s="55" t="s">
        <v>132</v>
      </c>
    </row>
    <row r="2524" spans="1:29" ht="13" x14ac:dyDescent="0.15">
      <c r="A2524" s="72" t="str">
        <f t="shared" si="39"/>
        <v>Ofsted Social Care Provider Webpage</v>
      </c>
      <c r="B2524" s="55" t="s">
        <v>4733</v>
      </c>
      <c r="D2524" s="55" t="s">
        <v>373</v>
      </c>
      <c r="E2524" s="74">
        <v>38769</v>
      </c>
      <c r="F2524" s="55" t="s">
        <v>344</v>
      </c>
      <c r="G2524" s="55" t="s">
        <v>360</v>
      </c>
      <c r="H2524" s="55" t="s">
        <v>360</v>
      </c>
      <c r="I2524" s="55" t="s">
        <v>360</v>
      </c>
      <c r="J2524" s="55" t="s">
        <v>360</v>
      </c>
      <c r="K2524" s="55" t="s">
        <v>360</v>
      </c>
      <c r="L2524" s="55" t="s">
        <v>360</v>
      </c>
      <c r="M2524" s="55" t="s">
        <v>378</v>
      </c>
      <c r="N2524" s="55" t="s">
        <v>134</v>
      </c>
      <c r="O2524" s="55" t="s">
        <v>251</v>
      </c>
      <c r="P2524" s="55" t="s">
        <v>3357</v>
      </c>
      <c r="Q2524" s="55" t="s">
        <v>350</v>
      </c>
      <c r="R2524" s="55">
        <v>4</v>
      </c>
      <c r="S2524" s="74"/>
      <c r="T2524" s="55" t="s">
        <v>2947</v>
      </c>
      <c r="U2524" s="73" t="s">
        <v>351</v>
      </c>
      <c r="V2524" s="74">
        <v>44405</v>
      </c>
      <c r="W2524" s="74">
        <v>44440</v>
      </c>
      <c r="X2524" s="55">
        <v>10186183</v>
      </c>
      <c r="Y2524" s="55" t="s">
        <v>132</v>
      </c>
      <c r="AB2524" s="55" t="s">
        <v>132</v>
      </c>
      <c r="AC2524" s="55" t="s">
        <v>132</v>
      </c>
    </row>
    <row r="2525" spans="1:29" ht="13" x14ac:dyDescent="0.15">
      <c r="A2525" s="72" t="str">
        <f t="shared" si="39"/>
        <v>Ofsted Social Care Provider Webpage</v>
      </c>
      <c r="B2525" s="55" t="s">
        <v>4734</v>
      </c>
      <c r="D2525" s="55" t="s">
        <v>373</v>
      </c>
      <c r="E2525" s="74">
        <v>38621</v>
      </c>
      <c r="F2525" s="55" t="s">
        <v>344</v>
      </c>
      <c r="G2525" s="55" t="s">
        <v>360</v>
      </c>
      <c r="H2525" s="55" t="s">
        <v>360</v>
      </c>
      <c r="I2525" s="55" t="s">
        <v>360</v>
      </c>
      <c r="J2525" s="55" t="s">
        <v>360</v>
      </c>
      <c r="K2525" s="55" t="s">
        <v>360</v>
      </c>
      <c r="L2525" s="55" t="s">
        <v>360</v>
      </c>
      <c r="M2525" s="55" t="s">
        <v>150</v>
      </c>
      <c r="N2525" s="55" t="s">
        <v>150</v>
      </c>
      <c r="O2525" s="55" t="s">
        <v>181</v>
      </c>
      <c r="P2525" s="55" t="s">
        <v>2066</v>
      </c>
      <c r="Q2525" s="55" t="s">
        <v>350</v>
      </c>
      <c r="R2525" s="55">
        <v>1</v>
      </c>
      <c r="S2525" s="74"/>
      <c r="T2525" s="55" t="s">
        <v>627</v>
      </c>
      <c r="U2525" s="73" t="s">
        <v>351</v>
      </c>
      <c r="V2525" s="74">
        <v>43788</v>
      </c>
      <c r="W2525" s="74">
        <v>43853</v>
      </c>
      <c r="X2525" s="55">
        <v>10095802</v>
      </c>
      <c r="Y2525" s="55" t="s">
        <v>132</v>
      </c>
      <c r="AB2525" s="55" t="s">
        <v>132</v>
      </c>
      <c r="AC2525" s="55" t="s">
        <v>132</v>
      </c>
    </row>
    <row r="2526" spans="1:29" ht="13" x14ac:dyDescent="0.15">
      <c r="A2526" s="72" t="str">
        <f t="shared" si="39"/>
        <v>Ofsted Social Care Provider Webpage</v>
      </c>
      <c r="B2526" s="55" t="s">
        <v>4735</v>
      </c>
      <c r="D2526" s="55" t="s">
        <v>373</v>
      </c>
      <c r="E2526" s="74">
        <v>38775</v>
      </c>
      <c r="F2526" s="55" t="s">
        <v>344</v>
      </c>
      <c r="G2526" s="55" t="s">
        <v>360</v>
      </c>
      <c r="H2526" s="55" t="s">
        <v>360</v>
      </c>
      <c r="I2526" s="55" t="s">
        <v>360</v>
      </c>
      <c r="J2526" s="55" t="s">
        <v>360</v>
      </c>
      <c r="K2526" s="55" t="s">
        <v>360</v>
      </c>
      <c r="L2526" s="55" t="s">
        <v>360</v>
      </c>
      <c r="M2526" s="55" t="s">
        <v>136</v>
      </c>
      <c r="N2526" s="55" t="s">
        <v>136</v>
      </c>
      <c r="O2526" s="55" t="s">
        <v>255</v>
      </c>
      <c r="P2526" s="55" t="s">
        <v>583</v>
      </c>
      <c r="Q2526" s="55" t="s">
        <v>380</v>
      </c>
      <c r="R2526" s="55">
        <v>2</v>
      </c>
      <c r="S2526" s="74"/>
      <c r="T2526" s="55" t="s">
        <v>3001</v>
      </c>
      <c r="U2526" s="73" t="s">
        <v>351</v>
      </c>
      <c r="V2526" s="74">
        <v>44538</v>
      </c>
      <c r="W2526" s="74">
        <v>44588</v>
      </c>
      <c r="X2526" s="55">
        <v>10187267</v>
      </c>
      <c r="Y2526" s="55" t="s">
        <v>132</v>
      </c>
      <c r="AB2526" s="55" t="s">
        <v>132</v>
      </c>
      <c r="AC2526" s="55" t="s">
        <v>132</v>
      </c>
    </row>
    <row r="2527" spans="1:29" ht="13" x14ac:dyDescent="0.15">
      <c r="A2527" s="72" t="str">
        <f t="shared" si="39"/>
        <v>Ofsted Social Care Provider Webpage</v>
      </c>
      <c r="B2527" s="55" t="s">
        <v>4736</v>
      </c>
      <c r="D2527" s="55" t="s">
        <v>373</v>
      </c>
      <c r="E2527" s="74">
        <v>38744</v>
      </c>
      <c r="F2527" s="55" t="s">
        <v>344</v>
      </c>
      <c r="G2527" s="55" t="s">
        <v>360</v>
      </c>
      <c r="H2527" s="55" t="s">
        <v>360</v>
      </c>
      <c r="I2527" s="55" t="s">
        <v>360</v>
      </c>
      <c r="J2527" s="55" t="s">
        <v>360</v>
      </c>
      <c r="K2527" s="55" t="s">
        <v>360</v>
      </c>
      <c r="L2527" s="55" t="s">
        <v>360</v>
      </c>
      <c r="M2527" s="55" t="s">
        <v>144</v>
      </c>
      <c r="N2527" s="55" t="s">
        <v>144</v>
      </c>
      <c r="O2527" s="55" t="s">
        <v>236</v>
      </c>
      <c r="P2527" s="55" t="s">
        <v>996</v>
      </c>
      <c r="Q2527" s="55" t="s">
        <v>350</v>
      </c>
      <c r="R2527" s="55">
        <v>3</v>
      </c>
      <c r="S2527" s="74"/>
      <c r="T2527" s="55" t="s">
        <v>613</v>
      </c>
      <c r="U2527" s="73" t="s">
        <v>351</v>
      </c>
      <c r="V2527" s="74">
        <v>44403</v>
      </c>
      <c r="W2527" s="74">
        <v>44432</v>
      </c>
      <c r="X2527" s="55">
        <v>10186392</v>
      </c>
      <c r="Y2527" s="55" t="s">
        <v>132</v>
      </c>
      <c r="AB2527" s="55" t="s">
        <v>132</v>
      </c>
      <c r="AC2527" s="55" t="s">
        <v>130</v>
      </c>
    </row>
    <row r="2528" spans="1:29" ht="13" x14ac:dyDescent="0.15">
      <c r="A2528" s="72" t="str">
        <f t="shared" si="39"/>
        <v>Ofsted Social Care Provider Webpage</v>
      </c>
      <c r="B2528" s="55" t="s">
        <v>4737</v>
      </c>
      <c r="D2528" s="55" t="s">
        <v>373</v>
      </c>
      <c r="E2528" s="74">
        <v>38868</v>
      </c>
      <c r="F2528" s="55" t="s">
        <v>344</v>
      </c>
      <c r="G2528" s="55" t="s">
        <v>360</v>
      </c>
      <c r="H2528" s="55" t="s">
        <v>360</v>
      </c>
      <c r="I2528" s="55" t="s">
        <v>360</v>
      </c>
      <c r="J2528" s="55" t="s">
        <v>360</v>
      </c>
      <c r="K2528" s="55" t="s">
        <v>360</v>
      </c>
      <c r="L2528" s="55" t="s">
        <v>360</v>
      </c>
      <c r="M2528" s="55" t="s">
        <v>144</v>
      </c>
      <c r="N2528" s="55" t="s">
        <v>144</v>
      </c>
      <c r="O2528" s="55" t="s">
        <v>209</v>
      </c>
      <c r="P2528" s="55" t="s">
        <v>650</v>
      </c>
      <c r="Q2528" s="55" t="s">
        <v>350</v>
      </c>
      <c r="R2528" s="55">
        <v>4</v>
      </c>
      <c r="S2528" s="74"/>
      <c r="T2528" s="55" t="s">
        <v>4738</v>
      </c>
      <c r="U2528" s="73" t="s">
        <v>351</v>
      </c>
      <c r="V2528" s="74">
        <v>43235</v>
      </c>
      <c r="W2528" s="74">
        <v>43258</v>
      </c>
      <c r="X2528" s="55">
        <v>10049886</v>
      </c>
      <c r="Y2528" s="55" t="s">
        <v>132</v>
      </c>
      <c r="AB2528" s="55" t="s">
        <v>132</v>
      </c>
      <c r="AC2528" s="55" t="s">
        <v>132</v>
      </c>
    </row>
    <row r="2529" spans="1:29" ht="13" x14ac:dyDescent="0.15">
      <c r="A2529" s="72" t="str">
        <f t="shared" si="39"/>
        <v>Ofsted Social Care Provider Webpage</v>
      </c>
      <c r="B2529" s="55" t="s">
        <v>4739</v>
      </c>
      <c r="D2529" s="55" t="s">
        <v>373</v>
      </c>
      <c r="E2529" s="74">
        <v>38698</v>
      </c>
      <c r="F2529" s="55" t="s">
        <v>344</v>
      </c>
      <c r="G2529" s="55" t="s">
        <v>360</v>
      </c>
      <c r="H2529" s="55" t="s">
        <v>360</v>
      </c>
      <c r="I2529" s="55" t="s">
        <v>360</v>
      </c>
      <c r="J2529" s="55" t="s">
        <v>360</v>
      </c>
      <c r="K2529" s="55" t="s">
        <v>360</v>
      </c>
      <c r="L2529" s="55" t="s">
        <v>360</v>
      </c>
      <c r="M2529" s="55" t="s">
        <v>378</v>
      </c>
      <c r="N2529" s="55" t="s">
        <v>134</v>
      </c>
      <c r="O2529" s="55" t="s">
        <v>210</v>
      </c>
      <c r="P2529" s="55" t="s">
        <v>1250</v>
      </c>
      <c r="Q2529" s="55" t="s">
        <v>380</v>
      </c>
      <c r="R2529" s="55">
        <v>6</v>
      </c>
      <c r="S2529" s="74"/>
      <c r="T2529" s="55" t="s">
        <v>543</v>
      </c>
      <c r="U2529" s="73" t="s">
        <v>351</v>
      </c>
      <c r="V2529" s="74">
        <v>44375</v>
      </c>
      <c r="W2529" s="74">
        <v>44406</v>
      </c>
      <c r="X2529" s="55">
        <v>10185064</v>
      </c>
      <c r="Y2529" s="55" t="s">
        <v>140</v>
      </c>
      <c r="AB2529" s="55" t="s">
        <v>140</v>
      </c>
      <c r="AC2529" s="55" t="s">
        <v>140</v>
      </c>
    </row>
    <row r="2530" spans="1:29" ht="13" x14ac:dyDescent="0.15">
      <c r="A2530" s="72" t="str">
        <f t="shared" si="39"/>
        <v>Ofsted Social Care Provider Webpage</v>
      </c>
      <c r="B2530" s="55" t="s">
        <v>4740</v>
      </c>
      <c r="D2530" s="55" t="s">
        <v>373</v>
      </c>
      <c r="E2530" s="74">
        <v>39003</v>
      </c>
      <c r="F2530" s="55" t="s">
        <v>344</v>
      </c>
      <c r="G2530" s="55" t="s">
        <v>360</v>
      </c>
      <c r="H2530" s="55" t="s">
        <v>360</v>
      </c>
      <c r="I2530" s="55" t="s">
        <v>360</v>
      </c>
      <c r="J2530" s="55" t="s">
        <v>360</v>
      </c>
      <c r="K2530" s="55" t="s">
        <v>360</v>
      </c>
      <c r="L2530" s="55" t="s">
        <v>360</v>
      </c>
      <c r="M2530" s="55" t="s">
        <v>378</v>
      </c>
      <c r="N2530" s="55" t="s">
        <v>170</v>
      </c>
      <c r="O2530" s="55" t="s">
        <v>233</v>
      </c>
      <c r="P2530" s="55" t="s">
        <v>2363</v>
      </c>
      <c r="Q2530" s="55" t="s">
        <v>350</v>
      </c>
      <c r="R2530" s="55">
        <v>4</v>
      </c>
      <c r="S2530" s="74"/>
      <c r="T2530" s="55" t="s">
        <v>385</v>
      </c>
      <c r="U2530" s="73" t="s">
        <v>351</v>
      </c>
      <c r="V2530" s="74">
        <v>44501</v>
      </c>
      <c r="W2530" s="74">
        <v>44538</v>
      </c>
      <c r="X2530" s="55">
        <v>10185592</v>
      </c>
      <c r="Y2530" s="55" t="s">
        <v>140</v>
      </c>
      <c r="AB2530" s="55" t="s">
        <v>140</v>
      </c>
      <c r="AC2530" s="55" t="s">
        <v>140</v>
      </c>
    </row>
    <row r="2531" spans="1:29" ht="13" x14ac:dyDescent="0.15">
      <c r="A2531" s="72" t="str">
        <f t="shared" si="39"/>
        <v>Ofsted Social Care Provider Webpage</v>
      </c>
      <c r="B2531" s="55" t="s">
        <v>4741</v>
      </c>
      <c r="D2531" s="55" t="s">
        <v>373</v>
      </c>
      <c r="E2531" s="74">
        <v>38856</v>
      </c>
      <c r="F2531" s="55" t="s">
        <v>344</v>
      </c>
      <c r="G2531" s="55" t="s">
        <v>360</v>
      </c>
      <c r="H2531" s="55" t="s">
        <v>360</v>
      </c>
      <c r="I2531" s="55" t="s">
        <v>360</v>
      </c>
      <c r="J2531" s="55" t="s">
        <v>360</v>
      </c>
      <c r="K2531" s="55" t="s">
        <v>360</v>
      </c>
      <c r="L2531" s="55" t="s">
        <v>360</v>
      </c>
      <c r="M2531" s="55" t="s">
        <v>150</v>
      </c>
      <c r="N2531" s="55" t="s">
        <v>150</v>
      </c>
      <c r="O2531" s="55" t="s">
        <v>203</v>
      </c>
      <c r="P2531" s="55" t="s">
        <v>1263</v>
      </c>
      <c r="Q2531" s="55" t="s">
        <v>350</v>
      </c>
      <c r="R2531" s="55">
        <v>5</v>
      </c>
      <c r="S2531" s="74"/>
      <c r="T2531" s="55" t="s">
        <v>4742</v>
      </c>
      <c r="U2531" s="73" t="s">
        <v>351</v>
      </c>
      <c r="V2531" s="74">
        <v>44342</v>
      </c>
      <c r="W2531" s="74">
        <v>44392</v>
      </c>
      <c r="X2531" s="55">
        <v>10185701</v>
      </c>
      <c r="Y2531" s="55" t="s">
        <v>132</v>
      </c>
      <c r="AB2531" s="55" t="s">
        <v>132</v>
      </c>
      <c r="AC2531" s="55" t="s">
        <v>132</v>
      </c>
    </row>
    <row r="2532" spans="1:29" ht="13" x14ac:dyDescent="0.15">
      <c r="A2532" s="72" t="str">
        <f t="shared" si="39"/>
        <v>Ofsted Social Care Provider Webpage</v>
      </c>
      <c r="B2532" s="55" t="s">
        <v>4743</v>
      </c>
      <c r="D2532" s="55" t="s">
        <v>373</v>
      </c>
      <c r="E2532" s="74">
        <v>38757</v>
      </c>
      <c r="F2532" s="55" t="s">
        <v>344</v>
      </c>
      <c r="G2532" s="55" t="s">
        <v>360</v>
      </c>
      <c r="H2532" s="55" t="s">
        <v>360</v>
      </c>
      <c r="I2532" s="55" t="s">
        <v>360</v>
      </c>
      <c r="J2532" s="55" t="s">
        <v>360</v>
      </c>
      <c r="K2532" s="55" t="s">
        <v>360</v>
      </c>
      <c r="L2532" s="55" t="s">
        <v>360</v>
      </c>
      <c r="M2532" s="55" t="s">
        <v>136</v>
      </c>
      <c r="N2532" s="55" t="s">
        <v>136</v>
      </c>
      <c r="O2532" s="55" t="s">
        <v>174</v>
      </c>
      <c r="P2532" s="55" t="s">
        <v>1010</v>
      </c>
      <c r="Q2532" s="55" t="s">
        <v>350</v>
      </c>
      <c r="R2532" s="55">
        <v>5</v>
      </c>
      <c r="S2532" s="74"/>
      <c r="T2532" s="55" t="s">
        <v>721</v>
      </c>
      <c r="U2532" s="73" t="s">
        <v>351</v>
      </c>
      <c r="V2532" s="74">
        <v>44446</v>
      </c>
      <c r="W2532" s="74">
        <v>44470</v>
      </c>
      <c r="X2532" s="55">
        <v>10186261</v>
      </c>
      <c r="Y2532" s="55" t="s">
        <v>130</v>
      </c>
      <c r="AB2532" s="55" t="s">
        <v>130</v>
      </c>
      <c r="AC2532" s="55" t="s">
        <v>130</v>
      </c>
    </row>
    <row r="2533" spans="1:29" ht="13" x14ac:dyDescent="0.15">
      <c r="A2533" s="72" t="str">
        <f t="shared" si="39"/>
        <v>Ofsted Social Care Provider Webpage</v>
      </c>
      <c r="B2533" s="55" t="s">
        <v>4744</v>
      </c>
      <c r="D2533" s="55" t="s">
        <v>373</v>
      </c>
      <c r="E2533" s="74">
        <v>38721</v>
      </c>
      <c r="F2533" s="55" t="s">
        <v>344</v>
      </c>
      <c r="G2533" s="55" t="s">
        <v>360</v>
      </c>
      <c r="H2533" s="55" t="s">
        <v>360</v>
      </c>
      <c r="I2533" s="55" t="s">
        <v>360</v>
      </c>
      <c r="J2533" s="55" t="s">
        <v>360</v>
      </c>
      <c r="K2533" s="55" t="s">
        <v>360</v>
      </c>
      <c r="L2533" s="55" t="s">
        <v>360</v>
      </c>
      <c r="M2533" s="55" t="s">
        <v>142</v>
      </c>
      <c r="N2533" s="55" t="s">
        <v>142</v>
      </c>
      <c r="O2533" s="55" t="s">
        <v>141</v>
      </c>
      <c r="P2533" s="55" t="s">
        <v>774</v>
      </c>
      <c r="Q2533" s="55" t="s">
        <v>350</v>
      </c>
      <c r="R2533" s="55">
        <v>3</v>
      </c>
      <c r="S2533" s="74"/>
      <c r="T2533" s="55" t="s">
        <v>385</v>
      </c>
      <c r="U2533" s="73" t="s">
        <v>351</v>
      </c>
      <c r="V2533" s="74">
        <v>44334</v>
      </c>
      <c r="W2533" s="74">
        <v>44375</v>
      </c>
      <c r="X2533" s="55">
        <v>10185424</v>
      </c>
      <c r="Y2533" s="55" t="s">
        <v>132</v>
      </c>
      <c r="AB2533" s="55" t="s">
        <v>132</v>
      </c>
      <c r="AC2533" s="55" t="s">
        <v>132</v>
      </c>
    </row>
    <row r="2534" spans="1:29" ht="13" x14ac:dyDescent="0.15">
      <c r="A2534" s="72" t="str">
        <f t="shared" si="39"/>
        <v>Ofsted Social Care Provider Webpage</v>
      </c>
      <c r="B2534" s="55" t="s">
        <v>4745</v>
      </c>
      <c r="D2534" s="55" t="s">
        <v>373</v>
      </c>
      <c r="E2534" s="74">
        <v>38889</v>
      </c>
      <c r="F2534" s="55" t="s">
        <v>344</v>
      </c>
      <c r="G2534" s="55" t="s">
        <v>360</v>
      </c>
      <c r="H2534" s="55" t="s">
        <v>360</v>
      </c>
      <c r="I2534" s="55" t="s">
        <v>360</v>
      </c>
      <c r="J2534" s="55" t="s">
        <v>360</v>
      </c>
      <c r="K2534" s="55" t="s">
        <v>360</v>
      </c>
      <c r="L2534" s="55" t="s">
        <v>360</v>
      </c>
      <c r="M2534" s="55" t="s">
        <v>150</v>
      </c>
      <c r="N2534" s="55" t="s">
        <v>150</v>
      </c>
      <c r="O2534" s="55" t="s">
        <v>203</v>
      </c>
      <c r="P2534" s="55" t="s">
        <v>800</v>
      </c>
      <c r="Q2534" s="55" t="s">
        <v>350</v>
      </c>
      <c r="R2534" s="55">
        <v>5</v>
      </c>
      <c r="S2534" s="74"/>
      <c r="T2534" s="55" t="s">
        <v>2891</v>
      </c>
      <c r="U2534" s="73" t="s">
        <v>351</v>
      </c>
      <c r="V2534" s="74">
        <v>44404</v>
      </c>
      <c r="W2534" s="74">
        <v>44449</v>
      </c>
      <c r="X2534" s="55">
        <v>10186270</v>
      </c>
      <c r="Y2534" s="55" t="s">
        <v>132</v>
      </c>
      <c r="AB2534" s="55" t="s">
        <v>132</v>
      </c>
      <c r="AC2534" s="55" t="s">
        <v>132</v>
      </c>
    </row>
    <row r="2535" spans="1:29" ht="13" x14ac:dyDescent="0.15">
      <c r="A2535" s="72" t="str">
        <f t="shared" si="39"/>
        <v>Ofsted Social Care Provider Webpage</v>
      </c>
      <c r="B2535" s="55" t="s">
        <v>4746</v>
      </c>
      <c r="D2535" s="55" t="s">
        <v>373</v>
      </c>
      <c r="E2535" s="74">
        <v>38754</v>
      </c>
      <c r="F2535" s="55" t="s">
        <v>344</v>
      </c>
      <c r="G2535" s="55" t="s">
        <v>360</v>
      </c>
      <c r="H2535" s="55" t="s">
        <v>360</v>
      </c>
      <c r="I2535" s="55" t="s">
        <v>360</v>
      </c>
      <c r="J2535" s="55" t="s">
        <v>360</v>
      </c>
      <c r="K2535" s="55" t="s">
        <v>360</v>
      </c>
      <c r="L2535" s="55" t="s">
        <v>360</v>
      </c>
      <c r="M2535" s="55" t="s">
        <v>142</v>
      </c>
      <c r="N2535" s="55" t="s">
        <v>142</v>
      </c>
      <c r="O2535" s="55" t="s">
        <v>141</v>
      </c>
      <c r="P2535" s="55" t="s">
        <v>641</v>
      </c>
      <c r="Q2535" s="55" t="s">
        <v>350</v>
      </c>
      <c r="R2535" s="55">
        <v>3</v>
      </c>
      <c r="S2535" s="74"/>
      <c r="T2535" s="55" t="s">
        <v>385</v>
      </c>
      <c r="U2535" s="73" t="s">
        <v>351</v>
      </c>
      <c r="V2535" s="74">
        <v>44543</v>
      </c>
      <c r="W2535" s="74">
        <v>44586</v>
      </c>
      <c r="X2535" s="55">
        <v>10185881</v>
      </c>
      <c r="Y2535" s="55" t="s">
        <v>140</v>
      </c>
      <c r="AB2535" s="55" t="s">
        <v>140</v>
      </c>
      <c r="AC2535" s="55" t="s">
        <v>140</v>
      </c>
    </row>
    <row r="2536" spans="1:29" ht="13" x14ac:dyDescent="0.15">
      <c r="A2536" s="72" t="str">
        <f t="shared" si="39"/>
        <v>Ofsted Social Care Provider Webpage</v>
      </c>
      <c r="B2536" s="55" t="s">
        <v>4747</v>
      </c>
      <c r="D2536" s="55" t="s">
        <v>373</v>
      </c>
      <c r="E2536" s="74">
        <v>38791</v>
      </c>
      <c r="F2536" s="55" t="s">
        <v>344</v>
      </c>
      <c r="G2536" s="55" t="s">
        <v>360</v>
      </c>
      <c r="H2536" s="55" t="s">
        <v>360</v>
      </c>
      <c r="I2536" s="55" t="s">
        <v>360</v>
      </c>
      <c r="J2536" s="55" t="s">
        <v>360</v>
      </c>
      <c r="K2536" s="55" t="s">
        <v>360</v>
      </c>
      <c r="L2536" s="55" t="s">
        <v>360</v>
      </c>
      <c r="M2536" s="55" t="s">
        <v>144</v>
      </c>
      <c r="N2536" s="55" t="s">
        <v>144</v>
      </c>
      <c r="O2536" s="55" t="s">
        <v>261</v>
      </c>
      <c r="P2536" s="55" t="s">
        <v>512</v>
      </c>
      <c r="Q2536" s="55" t="s">
        <v>350</v>
      </c>
      <c r="R2536" s="55">
        <v>5</v>
      </c>
      <c r="S2536" s="74"/>
      <c r="T2536" s="55" t="s">
        <v>4748</v>
      </c>
      <c r="U2536" s="73" t="s">
        <v>351</v>
      </c>
      <c r="V2536" s="74">
        <v>44398</v>
      </c>
      <c r="W2536" s="74">
        <v>44432</v>
      </c>
      <c r="X2536" s="55">
        <v>10185672</v>
      </c>
      <c r="Y2536" s="55" t="s">
        <v>132</v>
      </c>
      <c r="AB2536" s="55" t="s">
        <v>132</v>
      </c>
      <c r="AC2536" s="55" t="s">
        <v>132</v>
      </c>
    </row>
    <row r="2537" spans="1:29" ht="13" x14ac:dyDescent="0.15">
      <c r="A2537" s="72" t="str">
        <f t="shared" si="39"/>
        <v>Ofsted Social Care Provider Webpage</v>
      </c>
      <c r="B2537" s="55" t="s">
        <v>4749</v>
      </c>
      <c r="D2537" s="55" t="s">
        <v>373</v>
      </c>
      <c r="E2537" s="74">
        <v>38806</v>
      </c>
      <c r="F2537" s="55" t="s">
        <v>344</v>
      </c>
      <c r="G2537" s="55" t="s">
        <v>360</v>
      </c>
      <c r="H2537" s="55" t="s">
        <v>360</v>
      </c>
      <c r="I2537" s="55" t="s">
        <v>360</v>
      </c>
      <c r="J2537" s="55" t="s">
        <v>360</v>
      </c>
      <c r="K2537" s="55" t="s">
        <v>360</v>
      </c>
      <c r="L2537" s="55" t="s">
        <v>360</v>
      </c>
      <c r="M2537" s="55" t="s">
        <v>144</v>
      </c>
      <c r="N2537" s="55" t="s">
        <v>144</v>
      </c>
      <c r="O2537" s="55" t="s">
        <v>250</v>
      </c>
      <c r="P2537" s="55" t="s">
        <v>1372</v>
      </c>
      <c r="Q2537" s="55" t="s">
        <v>350</v>
      </c>
      <c r="R2537" s="55">
        <v>2</v>
      </c>
      <c r="S2537" s="74"/>
      <c r="T2537" s="55" t="s">
        <v>4534</v>
      </c>
      <c r="U2537" s="73" t="s">
        <v>351</v>
      </c>
      <c r="V2537" s="74">
        <v>44628</v>
      </c>
      <c r="W2537" s="74">
        <v>44677</v>
      </c>
      <c r="X2537" s="55">
        <v>10186512</v>
      </c>
      <c r="Y2537" s="55" t="s">
        <v>130</v>
      </c>
      <c r="AB2537" s="55" t="s">
        <v>130</v>
      </c>
      <c r="AC2537" s="55" t="s">
        <v>130</v>
      </c>
    </row>
    <row r="2538" spans="1:29" ht="13" x14ac:dyDescent="0.15">
      <c r="A2538" s="72" t="str">
        <f t="shared" si="39"/>
        <v>Ofsted Social Care Provider Webpage</v>
      </c>
      <c r="B2538" s="55" t="s">
        <v>4750</v>
      </c>
      <c r="D2538" s="55" t="s">
        <v>373</v>
      </c>
      <c r="E2538" s="74">
        <v>38687</v>
      </c>
      <c r="F2538" s="55" t="s">
        <v>344</v>
      </c>
      <c r="G2538" s="55" t="s">
        <v>360</v>
      </c>
      <c r="H2538" s="55" t="s">
        <v>360</v>
      </c>
      <c r="I2538" s="55" t="s">
        <v>360</v>
      </c>
      <c r="J2538" s="55" t="s">
        <v>360</v>
      </c>
      <c r="K2538" s="55" t="s">
        <v>360</v>
      </c>
      <c r="L2538" s="55" t="s">
        <v>360</v>
      </c>
      <c r="M2538" s="55" t="s">
        <v>136</v>
      </c>
      <c r="N2538" s="55" t="s">
        <v>136</v>
      </c>
      <c r="O2538" s="55" t="s">
        <v>154</v>
      </c>
      <c r="P2538" s="55" t="s">
        <v>1686</v>
      </c>
      <c r="Q2538" s="55" t="s">
        <v>350</v>
      </c>
      <c r="R2538" s="55">
        <v>3</v>
      </c>
      <c r="S2538" s="74"/>
      <c r="T2538" s="55" t="s">
        <v>914</v>
      </c>
      <c r="U2538" s="73" t="s">
        <v>351</v>
      </c>
      <c r="V2538" s="74">
        <v>44307</v>
      </c>
      <c r="W2538" s="74">
        <v>44336</v>
      </c>
      <c r="X2538" s="55">
        <v>10186072</v>
      </c>
      <c r="Y2538" s="55" t="s">
        <v>132</v>
      </c>
      <c r="AB2538" s="55" t="s">
        <v>132</v>
      </c>
      <c r="AC2538" s="55" t="s">
        <v>132</v>
      </c>
    </row>
    <row r="2539" spans="1:29" ht="13" x14ac:dyDescent="0.15">
      <c r="A2539" s="72" t="str">
        <f t="shared" si="39"/>
        <v>Ofsted Social Care Provider Webpage</v>
      </c>
      <c r="B2539" s="55" t="s">
        <v>4751</v>
      </c>
      <c r="D2539" s="55" t="s">
        <v>373</v>
      </c>
      <c r="E2539" s="74">
        <v>38764</v>
      </c>
      <c r="F2539" s="55" t="s">
        <v>344</v>
      </c>
      <c r="G2539" s="55" t="s">
        <v>360</v>
      </c>
      <c r="H2539" s="55" t="s">
        <v>360</v>
      </c>
      <c r="I2539" s="55" t="s">
        <v>360</v>
      </c>
      <c r="J2539" s="55" t="s">
        <v>360</v>
      </c>
      <c r="K2539" s="55" t="s">
        <v>360</v>
      </c>
      <c r="L2539" s="55" t="s">
        <v>360</v>
      </c>
      <c r="M2539" s="55" t="s">
        <v>150</v>
      </c>
      <c r="N2539" s="55" t="s">
        <v>150</v>
      </c>
      <c r="O2539" s="55" t="s">
        <v>190</v>
      </c>
      <c r="P2539" s="55" t="s">
        <v>936</v>
      </c>
      <c r="Q2539" s="55" t="s">
        <v>380</v>
      </c>
      <c r="R2539" s="55">
        <v>9</v>
      </c>
      <c r="S2539" s="74" t="s">
        <v>332</v>
      </c>
      <c r="T2539" s="55" t="s">
        <v>967</v>
      </c>
      <c r="U2539" s="73" t="s">
        <v>351</v>
      </c>
      <c r="V2539" s="74">
        <v>43565</v>
      </c>
      <c r="W2539" s="74">
        <v>43600</v>
      </c>
      <c r="X2539" s="55">
        <v>10095841</v>
      </c>
      <c r="Y2539" s="55" t="s">
        <v>130</v>
      </c>
      <c r="AB2539" s="55" t="s">
        <v>130</v>
      </c>
      <c r="AC2539" s="55" t="s">
        <v>130</v>
      </c>
    </row>
    <row r="2540" spans="1:29" ht="13" x14ac:dyDescent="0.15">
      <c r="A2540" s="72" t="str">
        <f t="shared" si="39"/>
        <v>Ofsted Social Care Provider Webpage</v>
      </c>
      <c r="B2540" s="55" t="s">
        <v>4752</v>
      </c>
      <c r="D2540" s="55" t="s">
        <v>373</v>
      </c>
      <c r="E2540" s="74">
        <v>38735</v>
      </c>
      <c r="F2540" s="55" t="s">
        <v>344</v>
      </c>
      <c r="G2540" s="55" t="s">
        <v>360</v>
      </c>
      <c r="H2540" s="55" t="s">
        <v>360</v>
      </c>
      <c r="I2540" s="55" t="s">
        <v>360</v>
      </c>
      <c r="J2540" s="55" t="s">
        <v>360</v>
      </c>
      <c r="K2540" s="55" t="s">
        <v>360</v>
      </c>
      <c r="L2540" s="55" t="s">
        <v>360</v>
      </c>
      <c r="M2540" s="55" t="s">
        <v>142</v>
      </c>
      <c r="N2540" s="55" t="s">
        <v>142</v>
      </c>
      <c r="O2540" s="55" t="s">
        <v>141</v>
      </c>
      <c r="P2540" s="55" t="s">
        <v>864</v>
      </c>
      <c r="Q2540" s="55" t="s">
        <v>350</v>
      </c>
      <c r="R2540" s="55">
        <v>3</v>
      </c>
      <c r="S2540" s="74"/>
      <c r="T2540" s="55" t="s">
        <v>385</v>
      </c>
      <c r="U2540" s="73" t="s">
        <v>351</v>
      </c>
      <c r="V2540" s="74">
        <v>44454</v>
      </c>
      <c r="W2540" s="74">
        <v>44508</v>
      </c>
      <c r="X2540" s="55">
        <v>10186414</v>
      </c>
      <c r="Y2540" s="55" t="s">
        <v>140</v>
      </c>
      <c r="AB2540" s="55" t="s">
        <v>140</v>
      </c>
      <c r="AC2540" s="55" t="s">
        <v>140</v>
      </c>
    </row>
    <row r="2541" spans="1:29" ht="13" x14ac:dyDescent="0.15">
      <c r="A2541" s="72" t="str">
        <f t="shared" si="39"/>
        <v>Ofsted Social Care Provider Webpage</v>
      </c>
      <c r="B2541" s="55" t="s">
        <v>4753</v>
      </c>
      <c r="D2541" s="55" t="s">
        <v>389</v>
      </c>
      <c r="E2541" s="74">
        <v>38807</v>
      </c>
      <c r="F2541" s="55" t="s">
        <v>344</v>
      </c>
      <c r="G2541" s="55" t="s">
        <v>4754</v>
      </c>
      <c r="H2541" s="55" t="s">
        <v>4755</v>
      </c>
      <c r="I2541" s="55" t="s">
        <v>354</v>
      </c>
      <c r="J2541" s="55" t="s">
        <v>4756</v>
      </c>
      <c r="K2541" s="55" t="s">
        <v>192</v>
      </c>
      <c r="L2541" s="55" t="s">
        <v>4757</v>
      </c>
      <c r="M2541" s="55" t="s">
        <v>129</v>
      </c>
      <c r="N2541" s="55" t="s">
        <v>129</v>
      </c>
      <c r="O2541" s="55" t="s">
        <v>192</v>
      </c>
      <c r="P2541" s="55" t="s">
        <v>718</v>
      </c>
      <c r="Q2541" s="55" t="s">
        <v>350</v>
      </c>
      <c r="R2541" s="55"/>
      <c r="S2541" s="74"/>
      <c r="T2541" s="55" t="s">
        <v>4758</v>
      </c>
      <c r="U2541" s="73" t="s">
        <v>351</v>
      </c>
      <c r="V2541" s="74">
        <v>43381</v>
      </c>
      <c r="W2541" s="74">
        <v>43417</v>
      </c>
      <c r="X2541" s="55">
        <v>10045666</v>
      </c>
      <c r="Y2541" s="55" t="s">
        <v>140</v>
      </c>
      <c r="AB2541" s="55" t="s">
        <v>140</v>
      </c>
      <c r="AC2541" s="55" t="s">
        <v>140</v>
      </c>
    </row>
    <row r="2542" spans="1:29" ht="13" x14ac:dyDescent="0.15">
      <c r="A2542" s="72" t="str">
        <f t="shared" si="39"/>
        <v>Ofsted Social Care Provider Webpage</v>
      </c>
      <c r="B2542" s="55" t="s">
        <v>4759</v>
      </c>
      <c r="D2542" s="55" t="s">
        <v>373</v>
      </c>
      <c r="E2542" s="74">
        <v>38777</v>
      </c>
      <c r="F2542" s="55" t="s">
        <v>344</v>
      </c>
      <c r="G2542" s="55" t="s">
        <v>360</v>
      </c>
      <c r="H2542" s="55" t="s">
        <v>360</v>
      </c>
      <c r="I2542" s="55" t="s">
        <v>360</v>
      </c>
      <c r="J2542" s="55" t="s">
        <v>360</v>
      </c>
      <c r="K2542" s="55" t="s">
        <v>360</v>
      </c>
      <c r="L2542" s="55" t="s">
        <v>360</v>
      </c>
      <c r="M2542" s="55" t="s">
        <v>144</v>
      </c>
      <c r="N2542" s="55" t="s">
        <v>144</v>
      </c>
      <c r="O2542" s="55" t="s">
        <v>209</v>
      </c>
      <c r="P2542" s="55" t="s">
        <v>474</v>
      </c>
      <c r="Q2542" s="55" t="s">
        <v>350</v>
      </c>
      <c r="R2542" s="55">
        <v>5</v>
      </c>
      <c r="S2542" s="74"/>
      <c r="T2542" s="55" t="s">
        <v>863</v>
      </c>
      <c r="U2542" s="73" t="s">
        <v>351</v>
      </c>
      <c r="V2542" s="74">
        <v>44593</v>
      </c>
      <c r="W2542" s="74">
        <v>44656</v>
      </c>
      <c r="X2542" s="55">
        <v>10185143</v>
      </c>
      <c r="Y2542" s="55" t="s">
        <v>132</v>
      </c>
      <c r="AB2542" s="55" t="s">
        <v>132</v>
      </c>
      <c r="AC2542" s="55" t="s">
        <v>132</v>
      </c>
    </row>
    <row r="2543" spans="1:29" ht="13" x14ac:dyDescent="0.15">
      <c r="A2543" s="72" t="str">
        <f t="shared" si="39"/>
        <v>Ofsted Social Care Provider Webpage</v>
      </c>
      <c r="B2543" s="55" t="s">
        <v>4760</v>
      </c>
      <c r="D2543" s="55" t="s">
        <v>373</v>
      </c>
      <c r="E2543" s="74">
        <v>38806</v>
      </c>
      <c r="F2543" s="55" t="s">
        <v>344</v>
      </c>
      <c r="G2543" s="55" t="s">
        <v>360</v>
      </c>
      <c r="H2543" s="55" t="s">
        <v>360</v>
      </c>
      <c r="I2543" s="55" t="s">
        <v>360</v>
      </c>
      <c r="J2543" s="55" t="s">
        <v>360</v>
      </c>
      <c r="K2543" s="55" t="s">
        <v>360</v>
      </c>
      <c r="L2543" s="55" t="s">
        <v>360</v>
      </c>
      <c r="M2543" s="55" t="s">
        <v>378</v>
      </c>
      <c r="N2543" s="55" t="s">
        <v>134</v>
      </c>
      <c r="O2543" s="55" t="s">
        <v>210</v>
      </c>
      <c r="P2543" s="55" t="s">
        <v>1989</v>
      </c>
      <c r="Q2543" s="55" t="s">
        <v>350</v>
      </c>
      <c r="R2543" s="55">
        <v>3</v>
      </c>
      <c r="S2543" s="74"/>
      <c r="T2543" s="55" t="s">
        <v>1251</v>
      </c>
      <c r="U2543" s="73" t="s">
        <v>351</v>
      </c>
      <c r="V2543" s="74">
        <v>44503</v>
      </c>
      <c r="W2543" s="74">
        <v>44538</v>
      </c>
      <c r="X2543" s="55">
        <v>10185407</v>
      </c>
      <c r="Y2543" s="55" t="s">
        <v>130</v>
      </c>
      <c r="AB2543" s="55" t="s">
        <v>130</v>
      </c>
      <c r="AC2543" s="55" t="s">
        <v>146</v>
      </c>
    </row>
    <row r="2544" spans="1:29" ht="13" x14ac:dyDescent="0.15">
      <c r="A2544" s="72" t="str">
        <f t="shared" si="39"/>
        <v>Ofsted Social Care Provider Webpage</v>
      </c>
      <c r="B2544" s="55" t="s">
        <v>4761</v>
      </c>
      <c r="D2544" s="55" t="s">
        <v>373</v>
      </c>
      <c r="E2544" s="74">
        <v>38769</v>
      </c>
      <c r="F2544" s="55" t="s">
        <v>344</v>
      </c>
      <c r="G2544" s="55" t="s">
        <v>360</v>
      </c>
      <c r="H2544" s="55" t="s">
        <v>360</v>
      </c>
      <c r="I2544" s="55" t="s">
        <v>360</v>
      </c>
      <c r="J2544" s="55" t="s">
        <v>360</v>
      </c>
      <c r="K2544" s="55" t="s">
        <v>360</v>
      </c>
      <c r="L2544" s="55" t="s">
        <v>360</v>
      </c>
      <c r="M2544" s="55" t="s">
        <v>150</v>
      </c>
      <c r="N2544" s="55" t="s">
        <v>150</v>
      </c>
      <c r="O2544" s="55" t="s">
        <v>285</v>
      </c>
      <c r="P2544" s="55" t="s">
        <v>2738</v>
      </c>
      <c r="Q2544" s="55" t="s">
        <v>350</v>
      </c>
      <c r="R2544" s="55">
        <v>6</v>
      </c>
      <c r="S2544" s="74"/>
      <c r="T2544" s="55" t="s">
        <v>4762</v>
      </c>
      <c r="U2544" s="73" t="s">
        <v>351</v>
      </c>
      <c r="V2544" s="74">
        <v>44433</v>
      </c>
      <c r="W2544" s="74">
        <v>44462</v>
      </c>
      <c r="X2544" s="55">
        <v>10187353</v>
      </c>
      <c r="Y2544" s="55" t="s">
        <v>132</v>
      </c>
      <c r="AB2544" s="55" t="s">
        <v>132</v>
      </c>
      <c r="AC2544" s="55" t="s">
        <v>130</v>
      </c>
    </row>
    <row r="2545" spans="1:29" ht="13" x14ac:dyDescent="0.15">
      <c r="A2545" s="72" t="str">
        <f t="shared" si="39"/>
        <v>Ofsted Social Care Provider Webpage</v>
      </c>
      <c r="B2545" s="55" t="s">
        <v>4763</v>
      </c>
      <c r="D2545" s="55" t="s">
        <v>373</v>
      </c>
      <c r="E2545" s="74">
        <v>38729</v>
      </c>
      <c r="F2545" s="55" t="s">
        <v>344</v>
      </c>
      <c r="G2545" s="55" t="s">
        <v>360</v>
      </c>
      <c r="H2545" s="55" t="s">
        <v>360</v>
      </c>
      <c r="I2545" s="55" t="s">
        <v>360</v>
      </c>
      <c r="J2545" s="55" t="s">
        <v>360</v>
      </c>
      <c r="K2545" s="55" t="s">
        <v>360</v>
      </c>
      <c r="L2545" s="55" t="s">
        <v>360</v>
      </c>
      <c r="M2545" s="55" t="s">
        <v>378</v>
      </c>
      <c r="N2545" s="55" t="s">
        <v>134</v>
      </c>
      <c r="O2545" s="55" t="s">
        <v>251</v>
      </c>
      <c r="P2545" s="55" t="s">
        <v>4655</v>
      </c>
      <c r="Q2545" s="55" t="s">
        <v>350</v>
      </c>
      <c r="R2545" s="55">
        <v>3</v>
      </c>
      <c r="S2545" s="74"/>
      <c r="T2545" s="55" t="s">
        <v>843</v>
      </c>
      <c r="U2545" s="73" t="s">
        <v>351</v>
      </c>
      <c r="V2545" s="74">
        <v>44419</v>
      </c>
      <c r="W2545" s="74">
        <v>44452</v>
      </c>
      <c r="X2545" s="55">
        <v>10187255</v>
      </c>
      <c r="Y2545" s="55" t="s">
        <v>132</v>
      </c>
      <c r="AB2545" s="55" t="s">
        <v>132</v>
      </c>
      <c r="AC2545" s="55" t="s">
        <v>132</v>
      </c>
    </row>
    <row r="2546" spans="1:29" ht="13" x14ac:dyDescent="0.15">
      <c r="A2546" s="72" t="str">
        <f t="shared" si="39"/>
        <v>Ofsted Social Care Provider Webpage</v>
      </c>
      <c r="B2546" s="55" t="s">
        <v>4764</v>
      </c>
      <c r="D2546" s="55" t="s">
        <v>373</v>
      </c>
      <c r="E2546" s="74">
        <v>38774</v>
      </c>
      <c r="F2546" s="55" t="s">
        <v>344</v>
      </c>
      <c r="G2546" s="55" t="s">
        <v>360</v>
      </c>
      <c r="H2546" s="55" t="s">
        <v>360</v>
      </c>
      <c r="I2546" s="55" t="s">
        <v>360</v>
      </c>
      <c r="J2546" s="55" t="s">
        <v>360</v>
      </c>
      <c r="K2546" s="55" t="s">
        <v>360</v>
      </c>
      <c r="L2546" s="55" t="s">
        <v>360</v>
      </c>
      <c r="M2546" s="55" t="s">
        <v>150</v>
      </c>
      <c r="N2546" s="55" t="s">
        <v>150</v>
      </c>
      <c r="O2546" s="55" t="s">
        <v>190</v>
      </c>
      <c r="P2546" s="55" t="s">
        <v>500</v>
      </c>
      <c r="Q2546" s="55" t="s">
        <v>350</v>
      </c>
      <c r="R2546" s="55">
        <v>5</v>
      </c>
      <c r="S2546" s="74"/>
      <c r="T2546" s="55" t="s">
        <v>456</v>
      </c>
      <c r="U2546" s="73" t="s">
        <v>351</v>
      </c>
      <c r="V2546" s="74">
        <v>44517</v>
      </c>
      <c r="W2546" s="74">
        <v>44609</v>
      </c>
      <c r="X2546" s="55">
        <v>10186330</v>
      </c>
      <c r="Y2546" s="55" t="s">
        <v>132</v>
      </c>
      <c r="AB2546" s="55" t="s">
        <v>132</v>
      </c>
      <c r="AC2546" s="55" t="s">
        <v>132</v>
      </c>
    </row>
    <row r="2547" spans="1:29" ht="13" x14ac:dyDescent="0.15">
      <c r="A2547" s="72" t="str">
        <f t="shared" si="39"/>
        <v>Ofsted Social Care Provider Webpage</v>
      </c>
      <c r="B2547" s="55" t="s">
        <v>4765</v>
      </c>
      <c r="D2547" s="55" t="s">
        <v>389</v>
      </c>
      <c r="E2547" s="74">
        <v>38727</v>
      </c>
      <c r="F2547" s="55" t="s">
        <v>344</v>
      </c>
      <c r="G2547" s="55" t="s">
        <v>4766</v>
      </c>
      <c r="H2547" s="55" t="s">
        <v>4767</v>
      </c>
      <c r="I2547" s="55" t="s">
        <v>4768</v>
      </c>
      <c r="J2547" s="55" t="s">
        <v>4769</v>
      </c>
      <c r="K2547" s="55" t="s">
        <v>2469</v>
      </c>
      <c r="L2547" s="55" t="s">
        <v>4770</v>
      </c>
      <c r="M2547" s="55" t="s">
        <v>144</v>
      </c>
      <c r="N2547" s="55" t="s">
        <v>144</v>
      </c>
      <c r="O2547" s="55" t="s">
        <v>162</v>
      </c>
      <c r="P2547" s="55" t="s">
        <v>1587</v>
      </c>
      <c r="Q2547" s="55" t="s">
        <v>350</v>
      </c>
      <c r="R2547" s="55"/>
      <c r="S2547" s="74"/>
      <c r="T2547" s="55" t="s">
        <v>4771</v>
      </c>
      <c r="U2547" s="73" t="s">
        <v>351</v>
      </c>
      <c r="V2547" s="74">
        <v>44368</v>
      </c>
      <c r="W2547" s="74">
        <v>44411</v>
      </c>
      <c r="X2547" s="55">
        <v>10183393</v>
      </c>
      <c r="Y2547" s="55" t="s">
        <v>132</v>
      </c>
      <c r="AB2547" s="55" t="s">
        <v>130</v>
      </c>
      <c r="AC2547" s="55" t="s">
        <v>130</v>
      </c>
    </row>
    <row r="2548" spans="1:29" ht="13" x14ac:dyDescent="0.15">
      <c r="A2548" s="72" t="str">
        <f t="shared" si="39"/>
        <v>Ofsted Social Care Provider Webpage</v>
      </c>
      <c r="B2548" s="55" t="s">
        <v>4772</v>
      </c>
      <c r="D2548" s="55" t="s">
        <v>451</v>
      </c>
      <c r="E2548" s="74">
        <v>38771</v>
      </c>
      <c r="F2548" s="55" t="s">
        <v>344</v>
      </c>
      <c r="G2548" s="55" t="s">
        <v>4773</v>
      </c>
      <c r="H2548" s="55" t="s">
        <v>4774</v>
      </c>
      <c r="I2548" s="55" t="s">
        <v>354</v>
      </c>
      <c r="J2548" s="55" t="s">
        <v>4775</v>
      </c>
      <c r="K2548" s="55" t="s">
        <v>683</v>
      </c>
      <c r="L2548" s="55" t="s">
        <v>4776</v>
      </c>
      <c r="M2548" s="55" t="s">
        <v>378</v>
      </c>
      <c r="N2548" s="55" t="s">
        <v>134</v>
      </c>
      <c r="O2548" s="55" t="s">
        <v>133</v>
      </c>
      <c r="P2548" s="55" t="s">
        <v>1804</v>
      </c>
      <c r="Q2548" s="55" t="s">
        <v>350</v>
      </c>
      <c r="R2548" s="55">
        <v>10</v>
      </c>
      <c r="S2548" s="74"/>
      <c r="T2548" s="55" t="s">
        <v>4777</v>
      </c>
      <c r="U2548" s="73" t="s">
        <v>351</v>
      </c>
      <c r="V2548" s="74">
        <v>44586</v>
      </c>
      <c r="W2548" s="74">
        <v>44624</v>
      </c>
      <c r="X2548" s="55">
        <v>10183447</v>
      </c>
      <c r="Y2548" s="55" t="s">
        <v>140</v>
      </c>
      <c r="AB2548" s="55" t="s">
        <v>140</v>
      </c>
      <c r="AC2548" s="55" t="s">
        <v>132</v>
      </c>
    </row>
    <row r="2549" spans="1:29" ht="13" x14ac:dyDescent="0.15">
      <c r="A2549" s="72" t="str">
        <f t="shared" si="39"/>
        <v>Ofsted Social Care Provider Webpage</v>
      </c>
      <c r="B2549" s="55" t="s">
        <v>4778</v>
      </c>
      <c r="D2549" s="55" t="s">
        <v>451</v>
      </c>
      <c r="E2549" s="74">
        <v>38758</v>
      </c>
      <c r="F2549" s="55" t="s">
        <v>344</v>
      </c>
      <c r="G2549" s="55" t="s">
        <v>4779</v>
      </c>
      <c r="H2549" s="55" t="s">
        <v>4780</v>
      </c>
      <c r="I2549" s="55" t="s">
        <v>4781</v>
      </c>
      <c r="J2549" s="55" t="s">
        <v>4782</v>
      </c>
      <c r="K2549" s="55" t="s">
        <v>255</v>
      </c>
      <c r="L2549" s="55" t="s">
        <v>4783</v>
      </c>
      <c r="M2549" s="55" t="s">
        <v>136</v>
      </c>
      <c r="N2549" s="55" t="s">
        <v>136</v>
      </c>
      <c r="O2549" s="55" t="s">
        <v>255</v>
      </c>
      <c r="P2549" s="55" t="s">
        <v>583</v>
      </c>
      <c r="Q2549" s="55" t="s">
        <v>350</v>
      </c>
      <c r="R2549" s="55">
        <v>6</v>
      </c>
      <c r="S2549" s="74"/>
      <c r="T2549" s="55" t="s">
        <v>4784</v>
      </c>
      <c r="U2549" s="73" t="s">
        <v>351</v>
      </c>
      <c r="V2549" s="74">
        <v>43271</v>
      </c>
      <c r="W2549" s="74">
        <v>43299</v>
      </c>
      <c r="X2549" s="55">
        <v>10045738</v>
      </c>
      <c r="Y2549" s="55" t="s">
        <v>132</v>
      </c>
      <c r="AB2549" s="55" t="s">
        <v>132</v>
      </c>
      <c r="AC2549" s="55" t="s">
        <v>132</v>
      </c>
    </row>
    <row r="2550" spans="1:29" ht="13" x14ac:dyDescent="0.15">
      <c r="A2550" s="72" t="str">
        <f t="shared" si="39"/>
        <v>Ofsted Social Care Provider Webpage</v>
      </c>
      <c r="B2550" s="55" t="s">
        <v>4785</v>
      </c>
      <c r="D2550" s="55" t="s">
        <v>373</v>
      </c>
      <c r="E2550" s="74">
        <v>38763</v>
      </c>
      <c r="F2550" s="55" t="s">
        <v>344</v>
      </c>
      <c r="G2550" s="55" t="s">
        <v>360</v>
      </c>
      <c r="H2550" s="55" t="s">
        <v>360</v>
      </c>
      <c r="I2550" s="55" t="s">
        <v>360</v>
      </c>
      <c r="J2550" s="55" t="s">
        <v>360</v>
      </c>
      <c r="K2550" s="55" t="s">
        <v>360</v>
      </c>
      <c r="L2550" s="55" t="s">
        <v>360</v>
      </c>
      <c r="M2550" s="55" t="s">
        <v>144</v>
      </c>
      <c r="N2550" s="55" t="s">
        <v>144</v>
      </c>
      <c r="O2550" s="55" t="s">
        <v>245</v>
      </c>
      <c r="P2550" s="55" t="s">
        <v>245</v>
      </c>
      <c r="Q2550" s="55" t="s">
        <v>350</v>
      </c>
      <c r="R2550" s="55">
        <v>3</v>
      </c>
      <c r="S2550" s="74"/>
      <c r="T2550" s="55" t="s">
        <v>613</v>
      </c>
      <c r="U2550" s="73" t="s">
        <v>351</v>
      </c>
      <c r="V2550" s="74">
        <v>44593</v>
      </c>
      <c r="W2550" s="74">
        <v>44623</v>
      </c>
      <c r="X2550" s="55">
        <v>10186394</v>
      </c>
      <c r="Y2550" s="55" t="s">
        <v>130</v>
      </c>
      <c r="AB2550" s="55" t="s">
        <v>130</v>
      </c>
      <c r="AC2550" s="55" t="s">
        <v>130</v>
      </c>
    </row>
    <row r="2551" spans="1:29" ht="13" x14ac:dyDescent="0.15">
      <c r="A2551" s="72" t="str">
        <f t="shared" si="39"/>
        <v>Ofsted Social Care Provider Webpage</v>
      </c>
      <c r="B2551" s="55" t="s">
        <v>4786</v>
      </c>
      <c r="D2551" s="55" t="s">
        <v>479</v>
      </c>
      <c r="E2551" s="74">
        <v>38916</v>
      </c>
      <c r="F2551" s="55" t="s">
        <v>344</v>
      </c>
      <c r="G2551" s="55" t="s">
        <v>360</v>
      </c>
      <c r="H2551" s="55" t="s">
        <v>360</v>
      </c>
      <c r="I2551" s="55" t="s">
        <v>360</v>
      </c>
      <c r="J2551" s="55" t="s">
        <v>360</v>
      </c>
      <c r="K2551" s="55" t="s">
        <v>360</v>
      </c>
      <c r="L2551" s="55" t="s">
        <v>360</v>
      </c>
      <c r="M2551" s="55" t="s">
        <v>378</v>
      </c>
      <c r="N2551" s="55" t="s">
        <v>134</v>
      </c>
      <c r="O2551" s="55" t="s">
        <v>226</v>
      </c>
      <c r="P2551" s="55" t="s">
        <v>1889</v>
      </c>
      <c r="Q2551" s="55" t="s">
        <v>350</v>
      </c>
      <c r="R2551" s="55">
        <v>26</v>
      </c>
      <c r="S2551" s="74"/>
      <c r="T2551" s="55" t="s">
        <v>4787</v>
      </c>
      <c r="U2551" s="73" t="s">
        <v>351</v>
      </c>
      <c r="V2551" s="74">
        <v>44601</v>
      </c>
      <c r="W2551" s="74">
        <v>44655</v>
      </c>
      <c r="X2551" s="55">
        <v>10186612</v>
      </c>
      <c r="Y2551" s="55" t="s">
        <v>146</v>
      </c>
      <c r="AB2551" s="55" t="s">
        <v>146</v>
      </c>
      <c r="AC2551" s="55" t="s">
        <v>146</v>
      </c>
    </row>
    <row r="2552" spans="1:29" ht="13" x14ac:dyDescent="0.15">
      <c r="A2552" s="72" t="str">
        <f t="shared" si="39"/>
        <v>Ofsted Social Care Provider Webpage</v>
      </c>
      <c r="B2552" s="55" t="s">
        <v>4788</v>
      </c>
      <c r="D2552" s="55" t="s">
        <v>373</v>
      </c>
      <c r="E2552" s="74">
        <v>38806</v>
      </c>
      <c r="F2552" s="55" t="s">
        <v>344</v>
      </c>
      <c r="G2552" s="55" t="s">
        <v>360</v>
      </c>
      <c r="H2552" s="55" t="s">
        <v>360</v>
      </c>
      <c r="I2552" s="55" t="s">
        <v>360</v>
      </c>
      <c r="J2552" s="55" t="s">
        <v>360</v>
      </c>
      <c r="K2552" s="55" t="s">
        <v>360</v>
      </c>
      <c r="L2552" s="55" t="s">
        <v>360</v>
      </c>
      <c r="M2552" s="55" t="s">
        <v>378</v>
      </c>
      <c r="N2552" s="55" t="s">
        <v>134</v>
      </c>
      <c r="O2552" s="55" t="s">
        <v>251</v>
      </c>
      <c r="P2552" s="55" t="s">
        <v>3363</v>
      </c>
      <c r="Q2552" s="55" t="s">
        <v>380</v>
      </c>
      <c r="R2552" s="55">
        <v>6</v>
      </c>
      <c r="S2552" s="74" t="s">
        <v>332</v>
      </c>
      <c r="T2552" s="55" t="s">
        <v>3358</v>
      </c>
      <c r="U2552" s="73" t="s">
        <v>351</v>
      </c>
      <c r="V2552" s="74">
        <v>44495</v>
      </c>
      <c r="W2552" s="74">
        <v>44540</v>
      </c>
      <c r="X2552" s="55">
        <v>10186472</v>
      </c>
      <c r="Y2552" s="55" t="s">
        <v>130</v>
      </c>
      <c r="AB2552" s="55" t="s">
        <v>130</v>
      </c>
      <c r="AC2552" s="55" t="s">
        <v>146</v>
      </c>
    </row>
    <row r="2553" spans="1:29" ht="13" x14ac:dyDescent="0.15">
      <c r="A2553" s="72" t="str">
        <f t="shared" si="39"/>
        <v>Ofsted Social Care Provider Webpage</v>
      </c>
      <c r="B2553" s="55" t="s">
        <v>4789</v>
      </c>
      <c r="D2553" s="55" t="s">
        <v>389</v>
      </c>
      <c r="E2553" s="74">
        <v>38742</v>
      </c>
      <c r="F2553" s="55" t="s">
        <v>344</v>
      </c>
      <c r="G2553" s="55" t="s">
        <v>4790</v>
      </c>
      <c r="H2553" s="55" t="s">
        <v>4791</v>
      </c>
      <c r="I2553" s="55" t="s">
        <v>4792</v>
      </c>
      <c r="J2553" s="55" t="s">
        <v>236</v>
      </c>
      <c r="L2553" s="55" t="s">
        <v>4793</v>
      </c>
      <c r="M2553" s="55" t="s">
        <v>144</v>
      </c>
      <c r="N2553" s="55" t="s">
        <v>144</v>
      </c>
      <c r="O2553" s="55" t="s">
        <v>236</v>
      </c>
      <c r="P2553" s="55" t="s">
        <v>996</v>
      </c>
      <c r="Q2553" s="55" t="s">
        <v>350</v>
      </c>
      <c r="R2553" s="55"/>
      <c r="S2553" s="74"/>
      <c r="T2553" s="55" t="s">
        <v>4794</v>
      </c>
      <c r="U2553" s="73" t="s">
        <v>351</v>
      </c>
      <c r="V2553" s="74">
        <v>43423</v>
      </c>
      <c r="W2553" s="74">
        <v>43446</v>
      </c>
      <c r="X2553" s="55">
        <v>10045956</v>
      </c>
      <c r="Y2553" s="55" t="s">
        <v>140</v>
      </c>
      <c r="AB2553" s="55" t="s">
        <v>140</v>
      </c>
      <c r="AC2553" s="55" t="s">
        <v>140</v>
      </c>
    </row>
    <row r="2554" spans="1:29" ht="13" x14ac:dyDescent="0.15">
      <c r="A2554" s="72" t="str">
        <f t="shared" si="39"/>
        <v>Ofsted Social Care Provider Webpage</v>
      </c>
      <c r="B2554" s="55" t="s">
        <v>4795</v>
      </c>
      <c r="D2554" s="55" t="s">
        <v>693</v>
      </c>
      <c r="E2554" s="74">
        <v>38721</v>
      </c>
      <c r="F2554" s="55" t="s">
        <v>344</v>
      </c>
      <c r="G2554" s="55" t="s">
        <v>4796</v>
      </c>
      <c r="H2554" s="55" t="s">
        <v>4797</v>
      </c>
      <c r="I2554" s="55" t="s">
        <v>4798</v>
      </c>
      <c r="J2554" s="55" t="s">
        <v>639</v>
      </c>
      <c r="K2554" s="55" t="s">
        <v>268</v>
      </c>
      <c r="L2554" s="55" t="s">
        <v>4799</v>
      </c>
      <c r="M2554" s="55" t="s">
        <v>150</v>
      </c>
      <c r="N2554" s="55" t="s">
        <v>150</v>
      </c>
      <c r="O2554" s="55" t="s">
        <v>268</v>
      </c>
      <c r="P2554" s="55" t="s">
        <v>639</v>
      </c>
      <c r="Q2554" s="55" t="s">
        <v>362</v>
      </c>
      <c r="R2554" s="55">
        <v>93</v>
      </c>
      <c r="S2554" s="74"/>
      <c r="T2554" s="55" t="s">
        <v>4800</v>
      </c>
      <c r="U2554" s="73" t="s">
        <v>351</v>
      </c>
      <c r="V2554" s="74">
        <v>44467</v>
      </c>
      <c r="W2554" s="74">
        <v>44511</v>
      </c>
      <c r="X2554" s="55">
        <v>10183328</v>
      </c>
      <c r="Y2554" s="55" t="s">
        <v>140</v>
      </c>
      <c r="AB2554" s="55" t="s">
        <v>132</v>
      </c>
      <c r="AC2554" s="55" t="s">
        <v>140</v>
      </c>
    </row>
    <row r="2555" spans="1:29" ht="13" x14ac:dyDescent="0.15">
      <c r="A2555" s="72" t="str">
        <f t="shared" si="39"/>
        <v>Ofsted Social Care Provider Webpage</v>
      </c>
      <c r="B2555" s="55" t="s">
        <v>4801</v>
      </c>
      <c r="D2555" s="55" t="s">
        <v>373</v>
      </c>
      <c r="E2555" s="74">
        <v>38806</v>
      </c>
      <c r="F2555" s="55" t="s">
        <v>344</v>
      </c>
      <c r="G2555" s="55" t="s">
        <v>360</v>
      </c>
      <c r="H2555" s="55" t="s">
        <v>360</v>
      </c>
      <c r="I2555" s="55" t="s">
        <v>360</v>
      </c>
      <c r="J2555" s="55" t="s">
        <v>360</v>
      </c>
      <c r="K2555" s="55" t="s">
        <v>360</v>
      </c>
      <c r="L2555" s="55" t="s">
        <v>360</v>
      </c>
      <c r="M2555" s="55" t="s">
        <v>378</v>
      </c>
      <c r="N2555" s="55" t="s">
        <v>134</v>
      </c>
      <c r="O2555" s="55" t="s">
        <v>251</v>
      </c>
      <c r="P2555" s="55" t="s">
        <v>3363</v>
      </c>
      <c r="Q2555" s="55" t="s">
        <v>380</v>
      </c>
      <c r="R2555" s="55">
        <v>5</v>
      </c>
      <c r="S2555" s="74"/>
      <c r="T2555" s="55" t="s">
        <v>3358</v>
      </c>
      <c r="U2555" s="73" t="s">
        <v>351</v>
      </c>
      <c r="V2555" s="74">
        <v>44551</v>
      </c>
      <c r="W2555" s="74">
        <v>44600</v>
      </c>
      <c r="X2555" s="55">
        <v>10186323</v>
      </c>
      <c r="Y2555" s="55" t="s">
        <v>130</v>
      </c>
      <c r="AB2555" s="55" t="s">
        <v>130</v>
      </c>
      <c r="AC2555" s="55" t="s">
        <v>130</v>
      </c>
    </row>
    <row r="2556" spans="1:29" ht="13" x14ac:dyDescent="0.15">
      <c r="A2556" s="72" t="str">
        <f t="shared" si="39"/>
        <v>Ofsted Social Care Provider Webpage</v>
      </c>
      <c r="B2556" s="55" t="s">
        <v>4802</v>
      </c>
      <c r="D2556" s="55" t="s">
        <v>373</v>
      </c>
      <c r="E2556" s="74">
        <v>38754</v>
      </c>
      <c r="F2556" s="55" t="s">
        <v>344</v>
      </c>
      <c r="G2556" s="55" t="s">
        <v>360</v>
      </c>
      <c r="H2556" s="55" t="s">
        <v>360</v>
      </c>
      <c r="I2556" s="55" t="s">
        <v>360</v>
      </c>
      <c r="J2556" s="55" t="s">
        <v>360</v>
      </c>
      <c r="K2556" s="55" t="s">
        <v>360</v>
      </c>
      <c r="L2556" s="55" t="s">
        <v>360</v>
      </c>
      <c r="M2556" s="55" t="s">
        <v>378</v>
      </c>
      <c r="N2556" s="55" t="s">
        <v>134</v>
      </c>
      <c r="O2556" s="55" t="s">
        <v>277</v>
      </c>
      <c r="P2556" s="55" t="s">
        <v>277</v>
      </c>
      <c r="Q2556" s="55" t="s">
        <v>380</v>
      </c>
      <c r="R2556" s="55">
        <v>4</v>
      </c>
      <c r="S2556" s="74"/>
      <c r="T2556" s="55" t="s">
        <v>1575</v>
      </c>
      <c r="U2556" s="73" t="s">
        <v>351</v>
      </c>
      <c r="V2556" s="74">
        <v>44314</v>
      </c>
      <c r="W2556" s="74">
        <v>44354</v>
      </c>
      <c r="X2556" s="55">
        <v>10185557</v>
      </c>
      <c r="Y2556" s="55" t="s">
        <v>132</v>
      </c>
      <c r="AB2556" s="55" t="s">
        <v>132</v>
      </c>
      <c r="AC2556" s="55" t="s">
        <v>132</v>
      </c>
    </row>
    <row r="2557" spans="1:29" ht="13" x14ac:dyDescent="0.15">
      <c r="A2557" s="72" t="str">
        <f t="shared" si="39"/>
        <v>Ofsted Social Care Provider Webpage</v>
      </c>
      <c r="B2557" s="55" t="s">
        <v>4803</v>
      </c>
      <c r="D2557" s="55" t="s">
        <v>389</v>
      </c>
      <c r="E2557" s="74">
        <v>38805</v>
      </c>
      <c r="F2557" s="55" t="s">
        <v>344</v>
      </c>
      <c r="G2557" s="55" t="s">
        <v>4804</v>
      </c>
      <c r="H2557" s="55" t="s">
        <v>4805</v>
      </c>
      <c r="I2557" s="55" t="s">
        <v>4806</v>
      </c>
      <c r="J2557" s="55" t="s">
        <v>175</v>
      </c>
      <c r="L2557" s="55" t="s">
        <v>4807</v>
      </c>
      <c r="M2557" s="55" t="s">
        <v>378</v>
      </c>
      <c r="N2557" s="55" t="s">
        <v>134</v>
      </c>
      <c r="O2557" s="55" t="s">
        <v>175</v>
      </c>
      <c r="P2557" s="55" t="s">
        <v>678</v>
      </c>
      <c r="Q2557" s="55" t="s">
        <v>362</v>
      </c>
      <c r="R2557" s="55"/>
      <c r="S2557" s="74"/>
      <c r="T2557" s="55" t="s">
        <v>4808</v>
      </c>
      <c r="U2557" s="73" t="s">
        <v>351</v>
      </c>
      <c r="V2557" s="74">
        <v>43523</v>
      </c>
      <c r="W2557" s="74">
        <v>44053</v>
      </c>
      <c r="X2557" s="55">
        <v>10046913</v>
      </c>
      <c r="Y2557" s="55" t="s">
        <v>130</v>
      </c>
      <c r="AB2557" s="55" t="s">
        <v>130</v>
      </c>
      <c r="AC2557" s="55" t="s">
        <v>146</v>
      </c>
    </row>
    <row r="2558" spans="1:29" ht="13" x14ac:dyDescent="0.15">
      <c r="A2558" s="72" t="str">
        <f t="shared" si="39"/>
        <v>Ofsted Social Care Provider Webpage</v>
      </c>
      <c r="B2558" s="55" t="s">
        <v>4809</v>
      </c>
      <c r="D2558" s="55" t="s">
        <v>479</v>
      </c>
      <c r="E2558" s="74">
        <v>38825</v>
      </c>
      <c r="F2558" s="55" t="s">
        <v>344</v>
      </c>
      <c r="G2558" s="55" t="s">
        <v>360</v>
      </c>
      <c r="H2558" s="55" t="s">
        <v>360</v>
      </c>
      <c r="I2558" s="55" t="s">
        <v>360</v>
      </c>
      <c r="J2558" s="55" t="s">
        <v>360</v>
      </c>
      <c r="K2558" s="55" t="s">
        <v>360</v>
      </c>
      <c r="L2558" s="55" t="s">
        <v>360</v>
      </c>
      <c r="M2558" s="55" t="s">
        <v>144</v>
      </c>
      <c r="N2558" s="55" t="s">
        <v>144</v>
      </c>
      <c r="O2558" s="55" t="s">
        <v>168</v>
      </c>
      <c r="P2558" s="55" t="s">
        <v>834</v>
      </c>
      <c r="Q2558" s="55" t="s">
        <v>350</v>
      </c>
      <c r="R2558" s="55">
        <v>14</v>
      </c>
      <c r="S2558" s="74"/>
      <c r="T2558" s="55" t="s">
        <v>4810</v>
      </c>
      <c r="U2558" s="73" t="s">
        <v>351</v>
      </c>
      <c r="V2558" s="74">
        <v>44503</v>
      </c>
      <c r="W2558" s="74">
        <v>44547</v>
      </c>
      <c r="X2558" s="55">
        <v>10185397</v>
      </c>
      <c r="Y2558" s="55" t="s">
        <v>132</v>
      </c>
      <c r="AB2558" s="55" t="s">
        <v>132</v>
      </c>
      <c r="AC2558" s="55" t="s">
        <v>132</v>
      </c>
    </row>
    <row r="2559" spans="1:29" ht="13" x14ac:dyDescent="0.15">
      <c r="A2559" s="72" t="str">
        <f t="shared" si="39"/>
        <v>Ofsted Social Care Provider Webpage</v>
      </c>
      <c r="B2559" s="55" t="s">
        <v>4811</v>
      </c>
      <c r="D2559" s="55" t="s">
        <v>443</v>
      </c>
      <c r="E2559" s="74">
        <v>38891</v>
      </c>
      <c r="F2559" s="55" t="s">
        <v>344</v>
      </c>
      <c r="G2559" s="55" t="s">
        <v>4812</v>
      </c>
      <c r="H2559" s="55" t="s">
        <v>4813</v>
      </c>
      <c r="I2559" s="55" t="s">
        <v>4814</v>
      </c>
      <c r="J2559" s="55" t="s">
        <v>4815</v>
      </c>
      <c r="K2559" s="55" t="s">
        <v>268</v>
      </c>
      <c r="L2559" s="55" t="s">
        <v>4816</v>
      </c>
      <c r="M2559" s="55" t="s">
        <v>150</v>
      </c>
      <c r="N2559" s="55" t="s">
        <v>150</v>
      </c>
      <c r="O2559" s="55" t="s">
        <v>268</v>
      </c>
      <c r="P2559" s="55" t="s">
        <v>2659</v>
      </c>
      <c r="Q2559" s="55" t="s">
        <v>350</v>
      </c>
      <c r="R2559" s="55"/>
      <c r="S2559" s="74"/>
      <c r="U2559" s="73" t="s">
        <v>351</v>
      </c>
      <c r="V2559" s="74">
        <v>43171</v>
      </c>
      <c r="W2559" s="74">
        <v>43238</v>
      </c>
      <c r="X2559" s="55">
        <v>10011402</v>
      </c>
      <c r="Y2559" s="55" t="s">
        <v>140</v>
      </c>
      <c r="AB2559" s="55" t="s">
        <v>140</v>
      </c>
      <c r="AC2559" s="55" t="s">
        <v>140</v>
      </c>
    </row>
    <row r="2560" spans="1:29" ht="13" x14ac:dyDescent="0.15">
      <c r="A2560" s="72" t="str">
        <f t="shared" si="39"/>
        <v>Ofsted Social Care Provider Webpage</v>
      </c>
      <c r="B2560" s="55" t="s">
        <v>4817</v>
      </c>
      <c r="D2560" s="55" t="s">
        <v>479</v>
      </c>
      <c r="E2560" s="74">
        <v>38820</v>
      </c>
      <c r="F2560" s="55" t="s">
        <v>344</v>
      </c>
      <c r="G2560" s="55" t="s">
        <v>360</v>
      </c>
      <c r="H2560" s="55" t="s">
        <v>360</v>
      </c>
      <c r="I2560" s="55" t="s">
        <v>360</v>
      </c>
      <c r="J2560" s="55" t="s">
        <v>360</v>
      </c>
      <c r="K2560" s="55" t="s">
        <v>360</v>
      </c>
      <c r="L2560" s="55" t="s">
        <v>360</v>
      </c>
      <c r="M2560" s="55" t="s">
        <v>150</v>
      </c>
      <c r="N2560" s="55" t="s">
        <v>150</v>
      </c>
      <c r="O2560" s="55" t="s">
        <v>190</v>
      </c>
      <c r="P2560" s="55" t="s">
        <v>749</v>
      </c>
      <c r="Q2560" s="55" t="s">
        <v>350</v>
      </c>
      <c r="R2560" s="55">
        <v>31</v>
      </c>
      <c r="S2560" s="74"/>
      <c r="T2560" s="55" t="s">
        <v>596</v>
      </c>
      <c r="U2560" s="73" t="s">
        <v>351</v>
      </c>
      <c r="V2560" s="74">
        <v>44368</v>
      </c>
      <c r="W2560" s="74">
        <v>44400</v>
      </c>
      <c r="X2560" s="55">
        <v>10185993</v>
      </c>
      <c r="Y2560" s="55" t="s">
        <v>140</v>
      </c>
      <c r="AB2560" s="55" t="s">
        <v>140</v>
      </c>
      <c r="AC2560" s="55" t="s">
        <v>132</v>
      </c>
    </row>
    <row r="2561" spans="1:29" ht="13" x14ac:dyDescent="0.15">
      <c r="A2561" s="72" t="str">
        <f t="shared" si="39"/>
        <v>Ofsted Social Care Provider Webpage</v>
      </c>
      <c r="B2561" s="55" t="s">
        <v>4818</v>
      </c>
      <c r="D2561" s="55" t="s">
        <v>373</v>
      </c>
      <c r="E2561" s="74">
        <v>38862</v>
      </c>
      <c r="F2561" s="55" t="s">
        <v>344</v>
      </c>
      <c r="G2561" s="55" t="s">
        <v>360</v>
      </c>
      <c r="H2561" s="55" t="s">
        <v>360</v>
      </c>
      <c r="I2561" s="55" t="s">
        <v>360</v>
      </c>
      <c r="J2561" s="55" t="s">
        <v>360</v>
      </c>
      <c r="K2561" s="55" t="s">
        <v>360</v>
      </c>
      <c r="L2561" s="55" t="s">
        <v>360</v>
      </c>
      <c r="M2561" s="55" t="s">
        <v>142</v>
      </c>
      <c r="N2561" s="55" t="s">
        <v>142</v>
      </c>
      <c r="O2561" s="55" t="s">
        <v>262</v>
      </c>
      <c r="P2561" s="55" t="s">
        <v>1215</v>
      </c>
      <c r="Q2561" s="55" t="s">
        <v>350</v>
      </c>
      <c r="R2561" s="55">
        <v>2</v>
      </c>
      <c r="S2561" s="74"/>
      <c r="T2561" s="55" t="s">
        <v>4819</v>
      </c>
      <c r="U2561" s="73" t="s">
        <v>351</v>
      </c>
      <c r="V2561" s="74">
        <v>44495</v>
      </c>
      <c r="W2561" s="74">
        <v>44532</v>
      </c>
      <c r="X2561" s="55">
        <v>10185175</v>
      </c>
      <c r="Y2561" s="55" t="s">
        <v>130</v>
      </c>
      <c r="AB2561" s="55" t="s">
        <v>130</v>
      </c>
      <c r="AC2561" s="55" t="s">
        <v>130</v>
      </c>
    </row>
    <row r="2562" spans="1:29" ht="13" x14ac:dyDescent="0.15">
      <c r="A2562" s="72" t="str">
        <f t="shared" si="39"/>
        <v>Ofsted Social Care Provider Webpage</v>
      </c>
      <c r="B2562" s="55" t="s">
        <v>4820</v>
      </c>
      <c r="D2562" s="55" t="s">
        <v>373</v>
      </c>
      <c r="E2562" s="74">
        <v>38947</v>
      </c>
      <c r="F2562" s="55" t="s">
        <v>344</v>
      </c>
      <c r="G2562" s="55" t="s">
        <v>360</v>
      </c>
      <c r="H2562" s="55" t="s">
        <v>360</v>
      </c>
      <c r="I2562" s="55" t="s">
        <v>360</v>
      </c>
      <c r="J2562" s="55" t="s">
        <v>360</v>
      </c>
      <c r="K2562" s="55" t="s">
        <v>360</v>
      </c>
      <c r="L2562" s="55" t="s">
        <v>360</v>
      </c>
      <c r="M2562" s="55" t="s">
        <v>144</v>
      </c>
      <c r="N2562" s="55" t="s">
        <v>144</v>
      </c>
      <c r="O2562" s="55" t="s">
        <v>215</v>
      </c>
      <c r="P2562" s="55" t="s">
        <v>1207</v>
      </c>
      <c r="Q2562" s="55" t="s">
        <v>350</v>
      </c>
      <c r="R2562" s="55">
        <v>4</v>
      </c>
      <c r="S2562" s="74"/>
      <c r="U2562" s="73" t="s">
        <v>351</v>
      </c>
      <c r="V2562" s="74">
        <v>43886</v>
      </c>
      <c r="W2562" s="74">
        <v>43922</v>
      </c>
      <c r="X2562" s="55">
        <v>10095880</v>
      </c>
      <c r="Y2562" s="55" t="s">
        <v>140</v>
      </c>
      <c r="AB2562" s="55" t="s">
        <v>140</v>
      </c>
      <c r="AC2562" s="55" t="s">
        <v>140</v>
      </c>
    </row>
    <row r="2563" spans="1:29" ht="13" x14ac:dyDescent="0.15">
      <c r="A2563" s="72" t="str">
        <f t="shared" si="39"/>
        <v>Ofsted Social Care Provider Webpage</v>
      </c>
      <c r="B2563" s="55" t="s">
        <v>4821</v>
      </c>
      <c r="D2563" s="55" t="s">
        <v>373</v>
      </c>
      <c r="E2563" s="74">
        <v>38867</v>
      </c>
      <c r="F2563" s="55" t="s">
        <v>344</v>
      </c>
      <c r="G2563" s="55" t="s">
        <v>360</v>
      </c>
      <c r="H2563" s="55" t="s">
        <v>360</v>
      </c>
      <c r="I2563" s="55" t="s">
        <v>360</v>
      </c>
      <c r="J2563" s="55" t="s">
        <v>360</v>
      </c>
      <c r="K2563" s="55" t="s">
        <v>360</v>
      </c>
      <c r="L2563" s="55" t="s">
        <v>360</v>
      </c>
      <c r="M2563" s="55" t="s">
        <v>142</v>
      </c>
      <c r="N2563" s="55" t="s">
        <v>142</v>
      </c>
      <c r="O2563" s="55" t="s">
        <v>262</v>
      </c>
      <c r="P2563" s="55" t="s">
        <v>618</v>
      </c>
      <c r="Q2563" s="55" t="s">
        <v>350</v>
      </c>
      <c r="R2563" s="55">
        <v>2</v>
      </c>
      <c r="S2563" s="74"/>
      <c r="T2563" s="55" t="s">
        <v>4819</v>
      </c>
      <c r="U2563" s="73" t="s">
        <v>351</v>
      </c>
      <c r="V2563" s="74">
        <v>44313</v>
      </c>
      <c r="W2563" s="74">
        <v>44335</v>
      </c>
      <c r="X2563" s="55">
        <v>10186395</v>
      </c>
      <c r="Y2563" s="55" t="s">
        <v>132</v>
      </c>
      <c r="AB2563" s="55" t="s">
        <v>132</v>
      </c>
      <c r="AC2563" s="55" t="s">
        <v>132</v>
      </c>
    </row>
    <row r="2564" spans="1:29" ht="13" x14ac:dyDescent="0.15">
      <c r="A2564" s="72" t="str">
        <f t="shared" si="39"/>
        <v>Ofsted Social Care Provider Webpage</v>
      </c>
      <c r="B2564" s="55" t="s">
        <v>4822</v>
      </c>
      <c r="D2564" s="55" t="s">
        <v>443</v>
      </c>
      <c r="E2564" s="74">
        <v>38887</v>
      </c>
      <c r="F2564" s="55" t="s">
        <v>344</v>
      </c>
      <c r="G2564" s="55" t="s">
        <v>4823</v>
      </c>
      <c r="H2564" s="55" t="s">
        <v>4805</v>
      </c>
      <c r="I2564" s="55" t="s">
        <v>4806</v>
      </c>
      <c r="J2564" s="55" t="s">
        <v>175</v>
      </c>
      <c r="L2564" s="55" t="s">
        <v>4807</v>
      </c>
      <c r="M2564" s="55" t="s">
        <v>378</v>
      </c>
      <c r="N2564" s="55" t="s">
        <v>134</v>
      </c>
      <c r="O2564" s="55" t="s">
        <v>175</v>
      </c>
      <c r="P2564" s="55" t="s">
        <v>678</v>
      </c>
      <c r="Q2564" s="55" t="s">
        <v>362</v>
      </c>
      <c r="R2564" s="55"/>
      <c r="S2564" s="74"/>
      <c r="T2564" s="55" t="s">
        <v>4808</v>
      </c>
      <c r="U2564" s="73" t="s">
        <v>351</v>
      </c>
      <c r="V2564" s="74">
        <v>43544</v>
      </c>
      <c r="W2564" s="74">
        <v>43636</v>
      </c>
      <c r="X2564" s="55">
        <v>10046716</v>
      </c>
      <c r="Y2564" s="55" t="s">
        <v>132</v>
      </c>
      <c r="AB2564" s="55" t="s">
        <v>132</v>
      </c>
      <c r="AC2564" s="55" t="s">
        <v>132</v>
      </c>
    </row>
    <row r="2565" spans="1:29" ht="13" x14ac:dyDescent="0.15">
      <c r="A2565" s="72" t="str">
        <f t="shared" si="39"/>
        <v>Ofsted Social Care Provider Webpage</v>
      </c>
      <c r="B2565" s="55" t="s">
        <v>4824</v>
      </c>
      <c r="D2565" s="55" t="s">
        <v>443</v>
      </c>
      <c r="E2565" s="74">
        <v>38832</v>
      </c>
      <c r="F2565" s="55" t="s">
        <v>344</v>
      </c>
      <c r="G2565" s="55" t="s">
        <v>4825</v>
      </c>
      <c r="H2565" s="55" t="s">
        <v>4826</v>
      </c>
      <c r="I2565" s="55" t="s">
        <v>4827</v>
      </c>
      <c r="J2565" s="55" t="s">
        <v>4828</v>
      </c>
      <c r="L2565" s="55" t="s">
        <v>4829</v>
      </c>
      <c r="M2565" s="55" t="s">
        <v>378</v>
      </c>
      <c r="N2565" s="55" t="s">
        <v>134</v>
      </c>
      <c r="O2565" s="55" t="s">
        <v>210</v>
      </c>
      <c r="P2565" s="55" t="s">
        <v>624</v>
      </c>
      <c r="Q2565" s="55" t="s">
        <v>362</v>
      </c>
      <c r="R2565" s="55"/>
      <c r="S2565" s="74"/>
      <c r="T2565" s="55" t="s">
        <v>4830</v>
      </c>
      <c r="U2565" s="73" t="s">
        <v>351</v>
      </c>
      <c r="V2565" s="74">
        <v>43074</v>
      </c>
      <c r="W2565" s="74">
        <v>43104</v>
      </c>
      <c r="X2565" s="55">
        <v>10026905</v>
      </c>
      <c r="Y2565" s="55" t="s">
        <v>140</v>
      </c>
      <c r="AB2565" s="55" t="s">
        <v>140</v>
      </c>
      <c r="AC2565" s="55" t="s">
        <v>140</v>
      </c>
    </row>
    <row r="2566" spans="1:29" ht="13" x14ac:dyDescent="0.15">
      <c r="A2566" s="72" t="str">
        <f t="shared" ref="A2566:A2629" si="40">HYPERLINK(_xlfn.CONCAT("http://reports.ofsted.gov.uk/inspection-reports/find-inspection-report/provider/CARE/",B2566),"Ofsted Social Care Provider Webpage")</f>
        <v>Ofsted Social Care Provider Webpage</v>
      </c>
      <c r="B2566" s="55" t="s">
        <v>4831</v>
      </c>
      <c r="D2566" s="55" t="s">
        <v>373</v>
      </c>
      <c r="E2566" s="74">
        <v>38845</v>
      </c>
      <c r="F2566" s="55" t="s">
        <v>344</v>
      </c>
      <c r="G2566" s="55" t="s">
        <v>360</v>
      </c>
      <c r="H2566" s="55" t="s">
        <v>360</v>
      </c>
      <c r="I2566" s="55" t="s">
        <v>360</v>
      </c>
      <c r="J2566" s="55" t="s">
        <v>360</v>
      </c>
      <c r="K2566" s="55" t="s">
        <v>360</v>
      </c>
      <c r="L2566" s="55" t="s">
        <v>360</v>
      </c>
      <c r="M2566" s="55" t="s">
        <v>136</v>
      </c>
      <c r="N2566" s="55" t="s">
        <v>136</v>
      </c>
      <c r="O2566" s="55" t="s">
        <v>154</v>
      </c>
      <c r="P2566" s="55" t="s">
        <v>1818</v>
      </c>
      <c r="Q2566" s="55" t="s">
        <v>380</v>
      </c>
      <c r="R2566" s="55">
        <v>5</v>
      </c>
      <c r="S2566" s="74" t="s">
        <v>332</v>
      </c>
      <c r="T2566" s="55" t="s">
        <v>1687</v>
      </c>
      <c r="U2566" s="73" t="s">
        <v>351</v>
      </c>
      <c r="V2566" s="74">
        <v>44419</v>
      </c>
      <c r="W2566" s="74">
        <v>44461</v>
      </c>
      <c r="X2566" s="55">
        <v>10186490</v>
      </c>
      <c r="Y2566" s="55" t="s">
        <v>130</v>
      </c>
      <c r="AB2566" s="55" t="s">
        <v>130</v>
      </c>
      <c r="AC2566" s="55" t="s">
        <v>130</v>
      </c>
    </row>
    <row r="2567" spans="1:29" ht="13" x14ac:dyDescent="0.15">
      <c r="A2567" s="72" t="str">
        <f t="shared" si="40"/>
        <v>Ofsted Social Care Provider Webpage</v>
      </c>
      <c r="B2567" s="55" t="s">
        <v>4832</v>
      </c>
      <c r="D2567" s="55" t="s">
        <v>443</v>
      </c>
      <c r="E2567" s="74">
        <v>38772</v>
      </c>
      <c r="F2567" s="55" t="s">
        <v>344</v>
      </c>
      <c r="G2567" s="55" t="s">
        <v>4833</v>
      </c>
      <c r="H2567" s="55" t="s">
        <v>4834</v>
      </c>
      <c r="I2567" s="55" t="s">
        <v>4835</v>
      </c>
      <c r="J2567" s="55" t="s">
        <v>129</v>
      </c>
      <c r="L2567" s="55" t="s">
        <v>4836</v>
      </c>
      <c r="M2567" s="55" t="s">
        <v>129</v>
      </c>
      <c r="N2567" s="55" t="s">
        <v>129</v>
      </c>
      <c r="O2567" s="55" t="s">
        <v>201</v>
      </c>
      <c r="P2567" s="55" t="s">
        <v>431</v>
      </c>
      <c r="Q2567" s="55" t="s">
        <v>362</v>
      </c>
      <c r="R2567" s="55"/>
      <c r="S2567" s="74"/>
      <c r="T2567" s="55" t="s">
        <v>4837</v>
      </c>
      <c r="U2567" s="73" t="s">
        <v>351</v>
      </c>
      <c r="V2567" s="74">
        <v>43207</v>
      </c>
      <c r="W2567" s="74">
        <v>43230</v>
      </c>
      <c r="X2567" s="55">
        <v>10046714</v>
      </c>
      <c r="Y2567" s="55" t="s">
        <v>132</v>
      </c>
      <c r="AB2567" s="55" t="s">
        <v>132</v>
      </c>
      <c r="AC2567" s="55" t="s">
        <v>132</v>
      </c>
    </row>
    <row r="2568" spans="1:29" ht="13" x14ac:dyDescent="0.15">
      <c r="A2568" s="72" t="str">
        <f t="shared" si="40"/>
        <v>Ofsted Social Care Provider Webpage</v>
      </c>
      <c r="B2568" s="55" t="s">
        <v>4838</v>
      </c>
      <c r="D2568" s="55" t="s">
        <v>451</v>
      </c>
      <c r="E2568" s="74">
        <v>38846</v>
      </c>
      <c r="F2568" s="55" t="s">
        <v>344</v>
      </c>
      <c r="G2568" s="55" t="s">
        <v>4839</v>
      </c>
      <c r="H2568" s="55" t="s">
        <v>4840</v>
      </c>
      <c r="I2568" s="55" t="s">
        <v>4841</v>
      </c>
      <c r="J2568" s="55" t="s">
        <v>2578</v>
      </c>
      <c r="L2568" s="55" t="s">
        <v>4842</v>
      </c>
      <c r="M2568" s="55" t="s">
        <v>129</v>
      </c>
      <c r="N2568" s="55" t="s">
        <v>129</v>
      </c>
      <c r="O2568" s="55" t="s">
        <v>279</v>
      </c>
      <c r="P2568" s="55" t="s">
        <v>2499</v>
      </c>
      <c r="Q2568" s="55" t="s">
        <v>350</v>
      </c>
      <c r="R2568" s="55">
        <v>6</v>
      </c>
      <c r="S2568" s="74"/>
      <c r="T2568" s="55" t="s">
        <v>1129</v>
      </c>
      <c r="U2568" s="73" t="s">
        <v>351</v>
      </c>
      <c r="V2568" s="74">
        <v>43431</v>
      </c>
      <c r="W2568" s="74">
        <v>43475</v>
      </c>
      <c r="X2568" s="55">
        <v>10045739</v>
      </c>
      <c r="Y2568" s="55" t="s">
        <v>132</v>
      </c>
      <c r="AB2568" s="55" t="s">
        <v>132</v>
      </c>
      <c r="AC2568" s="55" t="s">
        <v>132</v>
      </c>
    </row>
    <row r="2569" spans="1:29" ht="13" x14ac:dyDescent="0.15">
      <c r="A2569" s="72" t="str">
        <f t="shared" si="40"/>
        <v>Ofsted Social Care Provider Webpage</v>
      </c>
      <c r="B2569" s="55" t="s">
        <v>4843</v>
      </c>
      <c r="D2569" s="55" t="s">
        <v>389</v>
      </c>
      <c r="E2569" s="74">
        <v>38926</v>
      </c>
      <c r="F2569" s="55" t="s">
        <v>344</v>
      </c>
      <c r="G2569" s="55" t="s">
        <v>1109</v>
      </c>
      <c r="H2569" s="55" t="s">
        <v>1109</v>
      </c>
      <c r="I2569" s="55" t="s">
        <v>4844</v>
      </c>
      <c r="J2569" s="55" t="s">
        <v>4845</v>
      </c>
      <c r="K2569" s="55" t="s">
        <v>156</v>
      </c>
      <c r="L2569" s="55" t="s">
        <v>4846</v>
      </c>
      <c r="M2569" s="55" t="s">
        <v>150</v>
      </c>
      <c r="N2569" s="55" t="s">
        <v>150</v>
      </c>
      <c r="O2569" s="55" t="s">
        <v>156</v>
      </c>
      <c r="P2569" s="55" t="s">
        <v>2870</v>
      </c>
      <c r="Q2569" s="55" t="s">
        <v>350</v>
      </c>
      <c r="R2569" s="55"/>
      <c r="S2569" s="74"/>
      <c r="T2569" s="55" t="s">
        <v>1004</v>
      </c>
      <c r="U2569" s="73" t="s">
        <v>351</v>
      </c>
      <c r="V2569" s="74">
        <v>43374</v>
      </c>
      <c r="W2569" s="74">
        <v>43431</v>
      </c>
      <c r="X2569" s="55">
        <v>10045677</v>
      </c>
      <c r="Y2569" s="55" t="s">
        <v>132</v>
      </c>
      <c r="AB2569" s="55" t="s">
        <v>132</v>
      </c>
      <c r="AC2569" s="55" t="s">
        <v>132</v>
      </c>
    </row>
    <row r="2570" spans="1:29" ht="13" x14ac:dyDescent="0.15">
      <c r="A2570" s="72" t="str">
        <f t="shared" si="40"/>
        <v>Ofsted Social Care Provider Webpage</v>
      </c>
      <c r="B2570" s="55" t="s">
        <v>4847</v>
      </c>
      <c r="D2570" s="55" t="s">
        <v>443</v>
      </c>
      <c r="E2570" s="74">
        <v>38846</v>
      </c>
      <c r="F2570" s="55" t="s">
        <v>344</v>
      </c>
      <c r="G2570" s="55" t="s">
        <v>4848</v>
      </c>
      <c r="H2570" s="55" t="s">
        <v>4849</v>
      </c>
      <c r="I2570" s="55" t="s">
        <v>354</v>
      </c>
      <c r="J2570" s="55" t="s">
        <v>4850</v>
      </c>
      <c r="L2570" s="55" t="s">
        <v>4851</v>
      </c>
      <c r="M2570" s="55" t="s">
        <v>150</v>
      </c>
      <c r="N2570" s="55" t="s">
        <v>150</v>
      </c>
      <c r="O2570" s="55" t="s">
        <v>153</v>
      </c>
      <c r="P2570" s="55" t="s">
        <v>829</v>
      </c>
      <c r="Q2570" s="55" t="s">
        <v>350</v>
      </c>
      <c r="R2570" s="55"/>
      <c r="S2570" s="74"/>
      <c r="U2570" s="73" t="s">
        <v>351</v>
      </c>
      <c r="V2570" s="74">
        <v>43172</v>
      </c>
      <c r="W2570" s="74">
        <v>43207</v>
      </c>
      <c r="X2570" s="55">
        <v>10026906</v>
      </c>
      <c r="Y2570" s="55" t="s">
        <v>140</v>
      </c>
      <c r="AB2570" s="55" t="s">
        <v>132</v>
      </c>
      <c r="AC2570" s="55" t="s">
        <v>132</v>
      </c>
    </row>
    <row r="2571" spans="1:29" ht="13" x14ac:dyDescent="0.15">
      <c r="A2571" s="72" t="str">
        <f t="shared" si="40"/>
        <v>Ofsted Social Care Provider Webpage</v>
      </c>
      <c r="B2571" s="55" t="s">
        <v>4852</v>
      </c>
      <c r="D2571" s="55" t="s">
        <v>389</v>
      </c>
      <c r="E2571" s="74">
        <v>38854</v>
      </c>
      <c r="F2571" s="55" t="s">
        <v>344</v>
      </c>
      <c r="G2571" s="55" t="s">
        <v>4853</v>
      </c>
      <c r="H2571" s="55" t="s">
        <v>4854</v>
      </c>
      <c r="I2571" s="55" t="s">
        <v>4855</v>
      </c>
      <c r="J2571" s="55" t="s">
        <v>4670</v>
      </c>
      <c r="K2571" s="55" t="s">
        <v>1746</v>
      </c>
      <c r="L2571" s="55" t="s">
        <v>4856</v>
      </c>
      <c r="M2571" s="55" t="s">
        <v>129</v>
      </c>
      <c r="N2571" s="55" t="s">
        <v>129</v>
      </c>
      <c r="O2571" s="55" t="s">
        <v>182</v>
      </c>
      <c r="P2571" s="55" t="s">
        <v>4857</v>
      </c>
      <c r="Q2571" s="55" t="s">
        <v>350</v>
      </c>
      <c r="R2571" s="55"/>
      <c r="S2571" s="74"/>
      <c r="T2571" s="55" t="s">
        <v>1109</v>
      </c>
      <c r="U2571" s="73" t="s">
        <v>351</v>
      </c>
      <c r="V2571" s="74">
        <v>43521</v>
      </c>
      <c r="W2571" s="74">
        <v>43556</v>
      </c>
      <c r="X2571" s="55">
        <v>10068005</v>
      </c>
      <c r="Y2571" s="55" t="s">
        <v>140</v>
      </c>
      <c r="AB2571" s="55" t="s">
        <v>140</v>
      </c>
      <c r="AC2571" s="55" t="s">
        <v>140</v>
      </c>
    </row>
    <row r="2572" spans="1:29" ht="13" x14ac:dyDescent="0.15">
      <c r="A2572" s="72" t="str">
        <f t="shared" si="40"/>
        <v>Ofsted Social Care Provider Webpage</v>
      </c>
      <c r="B2572" s="55" t="s">
        <v>4858</v>
      </c>
      <c r="D2572" s="55" t="s">
        <v>373</v>
      </c>
      <c r="E2572" s="74">
        <v>38890</v>
      </c>
      <c r="F2572" s="55" t="s">
        <v>344</v>
      </c>
      <c r="G2572" s="55" t="s">
        <v>360</v>
      </c>
      <c r="H2572" s="55" t="s">
        <v>360</v>
      </c>
      <c r="I2572" s="55" t="s">
        <v>360</v>
      </c>
      <c r="J2572" s="55" t="s">
        <v>360</v>
      </c>
      <c r="K2572" s="55" t="s">
        <v>360</v>
      </c>
      <c r="L2572" s="55" t="s">
        <v>360</v>
      </c>
      <c r="M2572" s="55" t="s">
        <v>136</v>
      </c>
      <c r="N2572" s="55" t="s">
        <v>136</v>
      </c>
      <c r="O2572" s="55" t="s">
        <v>256</v>
      </c>
      <c r="P2572" s="55" t="s">
        <v>590</v>
      </c>
      <c r="Q2572" s="55" t="s">
        <v>350</v>
      </c>
      <c r="R2572" s="55">
        <v>3</v>
      </c>
      <c r="S2572" s="74"/>
      <c r="T2572" s="55" t="s">
        <v>1365</v>
      </c>
      <c r="U2572" s="73" t="s">
        <v>351</v>
      </c>
      <c r="V2572" s="74">
        <v>44600</v>
      </c>
      <c r="W2572" s="74">
        <v>44652</v>
      </c>
      <c r="X2572" s="55">
        <v>10185802</v>
      </c>
      <c r="Y2572" s="55" t="s">
        <v>132</v>
      </c>
      <c r="AB2572" s="55" t="s">
        <v>132</v>
      </c>
      <c r="AC2572" s="55" t="s">
        <v>132</v>
      </c>
    </row>
    <row r="2573" spans="1:29" ht="13" x14ac:dyDescent="0.15">
      <c r="A2573" s="72" t="str">
        <f t="shared" si="40"/>
        <v>Ofsted Social Care Provider Webpage</v>
      </c>
      <c r="B2573" s="55" t="s">
        <v>4859</v>
      </c>
      <c r="D2573" s="55" t="s">
        <v>443</v>
      </c>
      <c r="E2573" s="74">
        <v>38922</v>
      </c>
      <c r="F2573" s="55" t="s">
        <v>344</v>
      </c>
      <c r="G2573" s="55" t="s">
        <v>4860</v>
      </c>
      <c r="H2573" s="55" t="s">
        <v>2028</v>
      </c>
      <c r="I2573" s="55" t="s">
        <v>2029</v>
      </c>
      <c r="J2573" s="55" t="s">
        <v>2030</v>
      </c>
      <c r="K2573" s="55" t="s">
        <v>174</v>
      </c>
      <c r="L2573" s="55" t="s">
        <v>2031</v>
      </c>
      <c r="M2573" s="55" t="s">
        <v>136</v>
      </c>
      <c r="N2573" s="55" t="s">
        <v>136</v>
      </c>
      <c r="O2573" s="55" t="s">
        <v>174</v>
      </c>
      <c r="P2573" s="55" t="s">
        <v>982</v>
      </c>
      <c r="Q2573" s="55" t="s">
        <v>350</v>
      </c>
      <c r="R2573" s="55"/>
      <c r="S2573" s="74"/>
      <c r="T2573" s="55" t="s">
        <v>4861</v>
      </c>
      <c r="U2573" s="73" t="s">
        <v>351</v>
      </c>
      <c r="V2573" s="74">
        <v>43208</v>
      </c>
      <c r="W2573" s="74">
        <v>43237</v>
      </c>
      <c r="X2573" s="55">
        <v>10046718</v>
      </c>
      <c r="Y2573" s="55" t="s">
        <v>140</v>
      </c>
      <c r="AB2573" s="55" t="s">
        <v>140</v>
      </c>
      <c r="AC2573" s="55" t="s">
        <v>140</v>
      </c>
    </row>
    <row r="2574" spans="1:29" ht="13" x14ac:dyDescent="0.15">
      <c r="A2574" s="72" t="str">
        <f t="shared" si="40"/>
        <v>Ofsted Social Care Provider Webpage</v>
      </c>
      <c r="B2574" s="55" t="s">
        <v>4862</v>
      </c>
      <c r="D2574" s="55" t="s">
        <v>373</v>
      </c>
      <c r="E2574" s="74">
        <v>38882</v>
      </c>
      <c r="F2574" s="55" t="s">
        <v>344</v>
      </c>
      <c r="G2574" s="55" t="s">
        <v>360</v>
      </c>
      <c r="H2574" s="55" t="s">
        <v>360</v>
      </c>
      <c r="I2574" s="55" t="s">
        <v>360</v>
      </c>
      <c r="J2574" s="55" t="s">
        <v>360</v>
      </c>
      <c r="K2574" s="55" t="s">
        <v>360</v>
      </c>
      <c r="L2574" s="55" t="s">
        <v>360</v>
      </c>
      <c r="M2574" s="55" t="s">
        <v>150</v>
      </c>
      <c r="N2574" s="55" t="s">
        <v>150</v>
      </c>
      <c r="O2574" s="55" t="s">
        <v>285</v>
      </c>
      <c r="P2574" s="55" t="s">
        <v>2001</v>
      </c>
      <c r="Q2574" s="55" t="s">
        <v>380</v>
      </c>
      <c r="R2574" s="55">
        <v>10</v>
      </c>
      <c r="S2574" s="74"/>
      <c r="T2574" s="55" t="s">
        <v>2238</v>
      </c>
      <c r="U2574" s="73" t="s">
        <v>351</v>
      </c>
      <c r="V2574" s="74">
        <v>43003</v>
      </c>
      <c r="W2574" s="74">
        <v>43041</v>
      </c>
      <c r="X2574" s="55">
        <v>10027656</v>
      </c>
      <c r="Y2574" s="55" t="s">
        <v>132</v>
      </c>
      <c r="AB2574" s="55" t="s">
        <v>132</v>
      </c>
      <c r="AC2574" s="55" t="s">
        <v>132</v>
      </c>
    </row>
    <row r="2575" spans="1:29" ht="13" x14ac:dyDescent="0.15">
      <c r="A2575" s="72" t="str">
        <f t="shared" si="40"/>
        <v>Ofsted Social Care Provider Webpage</v>
      </c>
      <c r="B2575" s="55" t="s">
        <v>4863</v>
      </c>
      <c r="D2575" s="55" t="s">
        <v>373</v>
      </c>
      <c r="E2575" s="74">
        <v>38981</v>
      </c>
      <c r="F2575" s="55" t="s">
        <v>344</v>
      </c>
      <c r="G2575" s="55" t="s">
        <v>360</v>
      </c>
      <c r="H2575" s="55" t="s">
        <v>360</v>
      </c>
      <c r="I2575" s="55" t="s">
        <v>360</v>
      </c>
      <c r="J2575" s="55" t="s">
        <v>360</v>
      </c>
      <c r="K2575" s="55" t="s">
        <v>360</v>
      </c>
      <c r="L2575" s="55" t="s">
        <v>360</v>
      </c>
      <c r="M2575" s="55" t="s">
        <v>150</v>
      </c>
      <c r="N2575" s="55" t="s">
        <v>150</v>
      </c>
      <c r="O2575" s="55" t="s">
        <v>156</v>
      </c>
      <c r="P2575" s="55" t="s">
        <v>1277</v>
      </c>
      <c r="Q2575" s="55" t="s">
        <v>350</v>
      </c>
      <c r="R2575" s="55">
        <v>4</v>
      </c>
      <c r="S2575" s="74"/>
      <c r="T2575" s="55" t="s">
        <v>762</v>
      </c>
      <c r="U2575" s="73" t="s">
        <v>351</v>
      </c>
      <c r="V2575" s="74">
        <v>44417</v>
      </c>
      <c r="W2575" s="74">
        <v>44505</v>
      </c>
      <c r="X2575" s="55">
        <v>10186127</v>
      </c>
      <c r="Y2575" s="55" t="s">
        <v>146</v>
      </c>
      <c r="AB2575" s="55" t="s">
        <v>146</v>
      </c>
      <c r="AC2575" s="55" t="s">
        <v>146</v>
      </c>
    </row>
    <row r="2576" spans="1:29" ht="13" x14ac:dyDescent="0.15">
      <c r="A2576" s="72" t="str">
        <f t="shared" si="40"/>
        <v>Ofsted Social Care Provider Webpage</v>
      </c>
      <c r="B2576" s="55" t="s">
        <v>4864</v>
      </c>
      <c r="D2576" s="55" t="s">
        <v>373</v>
      </c>
      <c r="E2576" s="74">
        <v>38926</v>
      </c>
      <c r="F2576" s="55" t="s">
        <v>344</v>
      </c>
      <c r="G2576" s="55" t="s">
        <v>360</v>
      </c>
      <c r="H2576" s="55" t="s">
        <v>360</v>
      </c>
      <c r="I2576" s="55" t="s">
        <v>360</v>
      </c>
      <c r="J2576" s="55" t="s">
        <v>360</v>
      </c>
      <c r="K2576" s="55" t="s">
        <v>360</v>
      </c>
      <c r="L2576" s="55" t="s">
        <v>360</v>
      </c>
      <c r="M2576" s="55" t="s">
        <v>144</v>
      </c>
      <c r="N2576" s="55" t="s">
        <v>144</v>
      </c>
      <c r="O2576" s="55" t="s">
        <v>290</v>
      </c>
      <c r="P2576" s="55" t="s">
        <v>1099</v>
      </c>
      <c r="Q2576" s="55" t="s">
        <v>350</v>
      </c>
      <c r="R2576" s="55">
        <v>4</v>
      </c>
      <c r="S2576" s="74"/>
      <c r="T2576" s="55" t="s">
        <v>4600</v>
      </c>
      <c r="U2576" s="73" t="s">
        <v>351</v>
      </c>
      <c r="V2576" s="74">
        <v>44369</v>
      </c>
      <c r="W2576" s="74">
        <v>44403</v>
      </c>
      <c r="X2576" s="55">
        <v>10186410</v>
      </c>
      <c r="Y2576" s="55" t="s">
        <v>132</v>
      </c>
      <c r="AB2576" s="55" t="s">
        <v>132</v>
      </c>
      <c r="AC2576" s="55" t="s">
        <v>132</v>
      </c>
    </row>
    <row r="2577" spans="1:29" ht="13" x14ac:dyDescent="0.15">
      <c r="A2577" s="72" t="str">
        <f t="shared" si="40"/>
        <v>Ofsted Social Care Provider Webpage</v>
      </c>
      <c r="B2577" s="55" t="s">
        <v>4865</v>
      </c>
      <c r="D2577" s="55" t="s">
        <v>389</v>
      </c>
      <c r="E2577" s="74">
        <v>38867</v>
      </c>
      <c r="F2577" s="55" t="s">
        <v>344</v>
      </c>
      <c r="G2577" s="55" t="s">
        <v>4866</v>
      </c>
      <c r="H2577" s="55" t="s">
        <v>4867</v>
      </c>
      <c r="I2577" s="55" t="s">
        <v>4868</v>
      </c>
      <c r="J2577" s="55" t="s">
        <v>263</v>
      </c>
      <c r="K2577" s="55" t="s">
        <v>2469</v>
      </c>
      <c r="L2577" s="55" t="s">
        <v>4869</v>
      </c>
      <c r="M2577" s="55" t="s">
        <v>144</v>
      </c>
      <c r="N2577" s="55" t="s">
        <v>144</v>
      </c>
      <c r="O2577" s="55" t="s">
        <v>263</v>
      </c>
      <c r="P2577" s="55" t="s">
        <v>263</v>
      </c>
      <c r="Q2577" s="55" t="s">
        <v>350</v>
      </c>
      <c r="R2577" s="55"/>
      <c r="S2577" s="74"/>
      <c r="T2577" s="55" t="s">
        <v>2077</v>
      </c>
      <c r="U2577" s="73" t="s">
        <v>351</v>
      </c>
      <c r="V2577" s="74">
        <v>44501</v>
      </c>
      <c r="W2577" s="74">
        <v>44547</v>
      </c>
      <c r="X2577" s="55">
        <v>10183397</v>
      </c>
      <c r="Y2577" s="55" t="s">
        <v>140</v>
      </c>
      <c r="AB2577" s="55" t="s">
        <v>140</v>
      </c>
      <c r="AC2577" s="55" t="s">
        <v>140</v>
      </c>
    </row>
    <row r="2578" spans="1:29" ht="13" x14ac:dyDescent="0.15">
      <c r="A2578" s="72" t="str">
        <f t="shared" si="40"/>
        <v>Ofsted Social Care Provider Webpage</v>
      </c>
      <c r="B2578" s="55" t="s">
        <v>4870</v>
      </c>
      <c r="D2578" s="55" t="s">
        <v>443</v>
      </c>
      <c r="E2578" s="74">
        <v>39014</v>
      </c>
      <c r="F2578" s="55" t="s">
        <v>344</v>
      </c>
      <c r="G2578" s="55" t="s">
        <v>4871</v>
      </c>
      <c r="H2578" s="55" t="s">
        <v>3145</v>
      </c>
      <c r="I2578" s="55" t="s">
        <v>3146</v>
      </c>
      <c r="J2578" s="55" t="s">
        <v>3147</v>
      </c>
      <c r="L2578" s="55" t="s">
        <v>3148</v>
      </c>
      <c r="M2578" s="55" t="s">
        <v>378</v>
      </c>
      <c r="N2578" s="55" t="s">
        <v>170</v>
      </c>
      <c r="O2578" s="55" t="s">
        <v>222</v>
      </c>
      <c r="P2578" s="55" t="s">
        <v>2188</v>
      </c>
      <c r="Q2578" s="55" t="s">
        <v>362</v>
      </c>
      <c r="R2578" s="55"/>
      <c r="S2578" s="74"/>
      <c r="T2578" s="55" t="s">
        <v>3132</v>
      </c>
      <c r="U2578" s="73" t="s">
        <v>351</v>
      </c>
      <c r="V2578" s="74">
        <v>43235</v>
      </c>
      <c r="W2578" s="74">
        <v>43262</v>
      </c>
      <c r="X2578" s="55">
        <v>10046724</v>
      </c>
      <c r="Y2578" s="55" t="s">
        <v>132</v>
      </c>
      <c r="AB2578" s="55" t="s">
        <v>132</v>
      </c>
      <c r="AC2578" s="55" t="s">
        <v>132</v>
      </c>
    </row>
    <row r="2579" spans="1:29" ht="13" x14ac:dyDescent="0.15">
      <c r="A2579" s="72" t="str">
        <f t="shared" si="40"/>
        <v>Ofsted Social Care Provider Webpage</v>
      </c>
      <c r="B2579" s="55" t="s">
        <v>4872</v>
      </c>
      <c r="D2579" s="55" t="s">
        <v>373</v>
      </c>
      <c r="E2579" s="74">
        <v>38946</v>
      </c>
      <c r="F2579" s="55" t="s">
        <v>344</v>
      </c>
      <c r="G2579" s="55" t="s">
        <v>360</v>
      </c>
      <c r="H2579" s="55" t="s">
        <v>360</v>
      </c>
      <c r="I2579" s="55" t="s">
        <v>360</v>
      </c>
      <c r="J2579" s="55" t="s">
        <v>360</v>
      </c>
      <c r="K2579" s="55" t="s">
        <v>360</v>
      </c>
      <c r="L2579" s="55" t="s">
        <v>360</v>
      </c>
      <c r="M2579" s="55" t="s">
        <v>129</v>
      </c>
      <c r="N2579" s="55" t="s">
        <v>129</v>
      </c>
      <c r="O2579" s="55" t="s">
        <v>128</v>
      </c>
      <c r="P2579" s="55" t="s">
        <v>1467</v>
      </c>
      <c r="Q2579" s="55" t="s">
        <v>350</v>
      </c>
      <c r="R2579" s="55">
        <v>7</v>
      </c>
      <c r="S2579" s="74"/>
      <c r="U2579" s="73" t="s">
        <v>351</v>
      </c>
      <c r="V2579" s="74">
        <v>44412</v>
      </c>
      <c r="W2579" s="74">
        <v>44448</v>
      </c>
      <c r="X2579" s="55">
        <v>10186236</v>
      </c>
      <c r="Y2579" s="55" t="s">
        <v>132</v>
      </c>
      <c r="AB2579" s="55" t="s">
        <v>132</v>
      </c>
      <c r="AC2579" s="55" t="s">
        <v>132</v>
      </c>
    </row>
    <row r="2580" spans="1:29" ht="13" x14ac:dyDescent="0.15">
      <c r="A2580" s="72" t="str">
        <f t="shared" si="40"/>
        <v>Ofsted Social Care Provider Webpage</v>
      </c>
      <c r="B2580" s="55" t="s">
        <v>4873</v>
      </c>
      <c r="D2580" s="55" t="s">
        <v>373</v>
      </c>
      <c r="E2580" s="74">
        <v>38896</v>
      </c>
      <c r="F2580" s="55" t="s">
        <v>344</v>
      </c>
      <c r="G2580" s="55" t="s">
        <v>360</v>
      </c>
      <c r="H2580" s="55" t="s">
        <v>360</v>
      </c>
      <c r="I2580" s="55" t="s">
        <v>360</v>
      </c>
      <c r="J2580" s="55" t="s">
        <v>360</v>
      </c>
      <c r="K2580" s="55" t="s">
        <v>360</v>
      </c>
      <c r="L2580" s="55" t="s">
        <v>360</v>
      </c>
      <c r="M2580" s="55" t="s">
        <v>142</v>
      </c>
      <c r="N2580" s="55" t="s">
        <v>142</v>
      </c>
      <c r="O2580" s="55" t="s">
        <v>262</v>
      </c>
      <c r="P2580" s="55" t="s">
        <v>488</v>
      </c>
      <c r="Q2580" s="55" t="s">
        <v>350</v>
      </c>
      <c r="R2580" s="55">
        <v>2</v>
      </c>
      <c r="S2580" s="74"/>
      <c r="T2580" s="55" t="s">
        <v>1430</v>
      </c>
      <c r="U2580" s="73" t="s">
        <v>351</v>
      </c>
      <c r="V2580" s="74">
        <v>44390</v>
      </c>
      <c r="W2580" s="74">
        <v>44420</v>
      </c>
      <c r="X2580" s="55">
        <v>10185908</v>
      </c>
      <c r="Y2580" s="55" t="s">
        <v>132</v>
      </c>
      <c r="AB2580" s="55" t="s">
        <v>132</v>
      </c>
      <c r="AC2580" s="55" t="s">
        <v>132</v>
      </c>
    </row>
    <row r="2581" spans="1:29" ht="13" x14ac:dyDescent="0.15">
      <c r="A2581" s="72" t="str">
        <f t="shared" si="40"/>
        <v>Ofsted Social Care Provider Webpage</v>
      </c>
      <c r="B2581" s="55" t="s">
        <v>4874</v>
      </c>
      <c r="D2581" s="55" t="s">
        <v>373</v>
      </c>
      <c r="E2581" s="74">
        <v>39015</v>
      </c>
      <c r="F2581" s="55" t="s">
        <v>344</v>
      </c>
      <c r="G2581" s="55" t="s">
        <v>360</v>
      </c>
      <c r="H2581" s="55" t="s">
        <v>360</v>
      </c>
      <c r="I2581" s="55" t="s">
        <v>360</v>
      </c>
      <c r="J2581" s="55" t="s">
        <v>360</v>
      </c>
      <c r="K2581" s="55" t="s">
        <v>360</v>
      </c>
      <c r="L2581" s="55" t="s">
        <v>360</v>
      </c>
      <c r="M2581" s="55" t="s">
        <v>378</v>
      </c>
      <c r="N2581" s="55" t="s">
        <v>134</v>
      </c>
      <c r="O2581" s="55" t="s">
        <v>133</v>
      </c>
      <c r="P2581" s="55" t="s">
        <v>1804</v>
      </c>
      <c r="Q2581" s="55" t="s">
        <v>350</v>
      </c>
      <c r="R2581" s="55">
        <v>3</v>
      </c>
      <c r="S2581" s="74"/>
      <c r="T2581" s="55" t="s">
        <v>462</v>
      </c>
      <c r="U2581" s="73" t="s">
        <v>351</v>
      </c>
      <c r="V2581" s="74">
        <v>44459</v>
      </c>
      <c r="W2581" s="74">
        <v>44491</v>
      </c>
      <c r="X2581" s="55">
        <v>10186147</v>
      </c>
      <c r="Y2581" s="55" t="s">
        <v>132</v>
      </c>
      <c r="AB2581" s="55" t="s">
        <v>132</v>
      </c>
      <c r="AC2581" s="55" t="s">
        <v>132</v>
      </c>
    </row>
    <row r="2582" spans="1:29" ht="13" x14ac:dyDescent="0.15">
      <c r="A2582" s="72" t="str">
        <f t="shared" si="40"/>
        <v>Ofsted Social Care Provider Webpage</v>
      </c>
      <c r="B2582" s="55" t="s">
        <v>4875</v>
      </c>
      <c r="D2582" s="55" t="s">
        <v>373</v>
      </c>
      <c r="E2582" s="74">
        <v>38950</v>
      </c>
      <c r="F2582" s="55" t="s">
        <v>344</v>
      </c>
      <c r="G2582" s="55" t="s">
        <v>360</v>
      </c>
      <c r="H2582" s="55" t="s">
        <v>360</v>
      </c>
      <c r="I2582" s="55" t="s">
        <v>360</v>
      </c>
      <c r="J2582" s="55" t="s">
        <v>360</v>
      </c>
      <c r="K2582" s="55" t="s">
        <v>360</v>
      </c>
      <c r="L2582" s="55" t="s">
        <v>360</v>
      </c>
      <c r="M2582" s="55" t="s">
        <v>150</v>
      </c>
      <c r="N2582" s="55" t="s">
        <v>150</v>
      </c>
      <c r="O2582" s="55" t="s">
        <v>203</v>
      </c>
      <c r="P2582" s="55" t="s">
        <v>593</v>
      </c>
      <c r="Q2582" s="55" t="s">
        <v>350</v>
      </c>
      <c r="R2582" s="55">
        <v>4</v>
      </c>
      <c r="S2582" s="74"/>
      <c r="T2582" s="55" t="s">
        <v>2070</v>
      </c>
      <c r="U2582" s="73" t="s">
        <v>351</v>
      </c>
      <c r="V2582" s="74">
        <v>44341</v>
      </c>
      <c r="W2582" s="74">
        <v>44397</v>
      </c>
      <c r="X2582" s="55">
        <v>10186595</v>
      </c>
      <c r="Y2582" s="55" t="s">
        <v>140</v>
      </c>
      <c r="AB2582" s="55" t="s">
        <v>132</v>
      </c>
      <c r="AC2582" s="55" t="s">
        <v>140</v>
      </c>
    </row>
    <row r="2583" spans="1:29" ht="13" x14ac:dyDescent="0.15">
      <c r="A2583" s="72" t="str">
        <f t="shared" si="40"/>
        <v>Ofsted Social Care Provider Webpage</v>
      </c>
      <c r="B2583" s="55" t="s">
        <v>4876</v>
      </c>
      <c r="D2583" s="55" t="s">
        <v>373</v>
      </c>
      <c r="E2583" s="74">
        <v>38926</v>
      </c>
      <c r="F2583" s="55" t="s">
        <v>344</v>
      </c>
      <c r="G2583" s="55" t="s">
        <v>360</v>
      </c>
      <c r="H2583" s="55" t="s">
        <v>360</v>
      </c>
      <c r="I2583" s="55" t="s">
        <v>360</v>
      </c>
      <c r="J2583" s="55" t="s">
        <v>360</v>
      </c>
      <c r="K2583" s="55" t="s">
        <v>360</v>
      </c>
      <c r="L2583" s="55" t="s">
        <v>360</v>
      </c>
      <c r="M2583" s="55" t="s">
        <v>144</v>
      </c>
      <c r="N2583" s="55" t="s">
        <v>144</v>
      </c>
      <c r="O2583" s="55" t="s">
        <v>236</v>
      </c>
      <c r="P2583" s="55" t="s">
        <v>2088</v>
      </c>
      <c r="Q2583" s="55" t="s">
        <v>350</v>
      </c>
      <c r="R2583" s="55">
        <v>7</v>
      </c>
      <c r="S2583" s="74"/>
      <c r="T2583" s="55" t="s">
        <v>385</v>
      </c>
      <c r="U2583" s="73" t="s">
        <v>351</v>
      </c>
      <c r="V2583" s="74">
        <v>44418</v>
      </c>
      <c r="W2583" s="74">
        <v>44453</v>
      </c>
      <c r="X2583" s="55">
        <v>10194816</v>
      </c>
      <c r="Y2583" s="55" t="s">
        <v>132</v>
      </c>
      <c r="AB2583" s="55" t="s">
        <v>132</v>
      </c>
      <c r="AC2583" s="55" t="s">
        <v>132</v>
      </c>
    </row>
    <row r="2584" spans="1:29" ht="13" x14ac:dyDescent="0.15">
      <c r="A2584" s="72" t="str">
        <f t="shared" si="40"/>
        <v>Ofsted Social Care Provider Webpage</v>
      </c>
      <c r="B2584" s="55" t="s">
        <v>4877</v>
      </c>
      <c r="D2584" s="55" t="s">
        <v>373</v>
      </c>
      <c r="E2584" s="74">
        <v>38910</v>
      </c>
      <c r="F2584" s="55" t="s">
        <v>344</v>
      </c>
      <c r="G2584" s="55" t="s">
        <v>360</v>
      </c>
      <c r="H2584" s="55" t="s">
        <v>360</v>
      </c>
      <c r="I2584" s="55" t="s">
        <v>360</v>
      </c>
      <c r="J2584" s="55" t="s">
        <v>360</v>
      </c>
      <c r="K2584" s="55" t="s">
        <v>360</v>
      </c>
      <c r="L2584" s="55" t="s">
        <v>360</v>
      </c>
      <c r="M2584" s="55" t="s">
        <v>378</v>
      </c>
      <c r="N2584" s="55" t="s">
        <v>170</v>
      </c>
      <c r="O2584" s="55" t="s">
        <v>169</v>
      </c>
      <c r="P2584" s="55" t="s">
        <v>169</v>
      </c>
      <c r="Q2584" s="55" t="s">
        <v>380</v>
      </c>
      <c r="R2584" s="55">
        <v>3</v>
      </c>
      <c r="S2584" s="74"/>
      <c r="T2584" s="55" t="s">
        <v>3544</v>
      </c>
      <c r="U2584" s="73" t="s">
        <v>351</v>
      </c>
      <c r="V2584" s="74">
        <v>44370</v>
      </c>
      <c r="W2584" s="74">
        <v>44407</v>
      </c>
      <c r="X2584" s="55">
        <v>10185835</v>
      </c>
      <c r="Y2584" s="55" t="s">
        <v>130</v>
      </c>
      <c r="AB2584" s="55" t="s">
        <v>130</v>
      </c>
      <c r="AC2584" s="55" t="s">
        <v>130</v>
      </c>
    </row>
    <row r="2585" spans="1:29" ht="13" x14ac:dyDescent="0.15">
      <c r="A2585" s="72" t="str">
        <f t="shared" si="40"/>
        <v>Ofsted Social Care Provider Webpage</v>
      </c>
      <c r="B2585" s="55" t="s">
        <v>4878</v>
      </c>
      <c r="D2585" s="55" t="s">
        <v>373</v>
      </c>
      <c r="E2585" s="74">
        <v>38929</v>
      </c>
      <c r="F2585" s="55" t="s">
        <v>344</v>
      </c>
      <c r="G2585" s="55" t="s">
        <v>360</v>
      </c>
      <c r="H2585" s="55" t="s">
        <v>360</v>
      </c>
      <c r="I2585" s="55" t="s">
        <v>360</v>
      </c>
      <c r="J2585" s="55" t="s">
        <v>360</v>
      </c>
      <c r="K2585" s="55" t="s">
        <v>360</v>
      </c>
      <c r="L2585" s="55" t="s">
        <v>360</v>
      </c>
      <c r="M2585" s="55" t="s">
        <v>142</v>
      </c>
      <c r="N2585" s="55" t="s">
        <v>142</v>
      </c>
      <c r="O2585" s="55" t="s">
        <v>252</v>
      </c>
      <c r="P2585" s="55" t="s">
        <v>386</v>
      </c>
      <c r="Q2585" s="55" t="s">
        <v>350</v>
      </c>
      <c r="R2585" s="55">
        <v>7</v>
      </c>
      <c r="S2585" s="74"/>
      <c r="T2585" s="55" t="s">
        <v>1014</v>
      </c>
      <c r="U2585" s="73" t="s">
        <v>351</v>
      </c>
      <c r="V2585" s="74">
        <v>44418</v>
      </c>
      <c r="W2585" s="74">
        <v>44448</v>
      </c>
      <c r="X2585" s="55">
        <v>10185313</v>
      </c>
      <c r="Y2585" s="55" t="s">
        <v>132</v>
      </c>
      <c r="AB2585" s="55" t="s">
        <v>132</v>
      </c>
      <c r="AC2585" s="55" t="s">
        <v>132</v>
      </c>
    </row>
    <row r="2586" spans="1:29" ht="13" x14ac:dyDescent="0.15">
      <c r="A2586" s="72" t="str">
        <f t="shared" si="40"/>
        <v>Ofsted Social Care Provider Webpage</v>
      </c>
      <c r="B2586" s="55" t="s">
        <v>4879</v>
      </c>
      <c r="D2586" s="55" t="s">
        <v>373</v>
      </c>
      <c r="E2586" s="74">
        <v>38952</v>
      </c>
      <c r="F2586" s="55" t="s">
        <v>344</v>
      </c>
      <c r="G2586" s="55" t="s">
        <v>360</v>
      </c>
      <c r="H2586" s="55" t="s">
        <v>360</v>
      </c>
      <c r="I2586" s="55" t="s">
        <v>360</v>
      </c>
      <c r="J2586" s="55" t="s">
        <v>360</v>
      </c>
      <c r="K2586" s="55" t="s">
        <v>360</v>
      </c>
      <c r="L2586" s="55" t="s">
        <v>360</v>
      </c>
      <c r="M2586" s="55" t="s">
        <v>150</v>
      </c>
      <c r="N2586" s="55" t="s">
        <v>150</v>
      </c>
      <c r="O2586" s="55" t="s">
        <v>190</v>
      </c>
      <c r="P2586" s="55" t="s">
        <v>749</v>
      </c>
      <c r="Q2586" s="55" t="s">
        <v>350</v>
      </c>
      <c r="R2586" s="55">
        <v>1</v>
      </c>
      <c r="S2586" s="74"/>
      <c r="T2586" s="55" t="s">
        <v>888</v>
      </c>
      <c r="U2586" s="73" t="s">
        <v>351</v>
      </c>
      <c r="V2586" s="74">
        <v>44481</v>
      </c>
      <c r="W2586" s="74">
        <v>44524</v>
      </c>
      <c r="X2586" s="55">
        <v>10186273</v>
      </c>
      <c r="Y2586" s="55" t="s">
        <v>140</v>
      </c>
      <c r="AB2586" s="55" t="s">
        <v>132</v>
      </c>
      <c r="AC2586" s="55" t="s">
        <v>140</v>
      </c>
    </row>
    <row r="2587" spans="1:29" ht="13" x14ac:dyDescent="0.15">
      <c r="A2587" s="72" t="str">
        <f t="shared" si="40"/>
        <v>Ofsted Social Care Provider Webpage</v>
      </c>
      <c r="B2587" s="55" t="s">
        <v>4880</v>
      </c>
      <c r="D2587" s="55" t="s">
        <v>373</v>
      </c>
      <c r="E2587" s="74">
        <v>38975</v>
      </c>
      <c r="F2587" s="55" t="s">
        <v>344</v>
      </c>
      <c r="G2587" s="55" t="s">
        <v>360</v>
      </c>
      <c r="H2587" s="55" t="s">
        <v>360</v>
      </c>
      <c r="I2587" s="55" t="s">
        <v>360</v>
      </c>
      <c r="J2587" s="55" t="s">
        <v>360</v>
      </c>
      <c r="K2587" s="55" t="s">
        <v>360</v>
      </c>
      <c r="L2587" s="55" t="s">
        <v>360</v>
      </c>
      <c r="M2587" s="55" t="s">
        <v>138</v>
      </c>
      <c r="N2587" s="55" t="s">
        <v>138</v>
      </c>
      <c r="O2587" s="55" t="s">
        <v>224</v>
      </c>
      <c r="P2587" s="55" t="s">
        <v>1123</v>
      </c>
      <c r="Q2587" s="55" t="s">
        <v>380</v>
      </c>
      <c r="R2587" s="55">
        <v>2</v>
      </c>
      <c r="S2587" s="74"/>
      <c r="T2587" s="55" t="s">
        <v>2272</v>
      </c>
      <c r="U2587" s="73" t="s">
        <v>351</v>
      </c>
      <c r="V2587" s="74">
        <v>44439</v>
      </c>
      <c r="W2587" s="74">
        <v>44463</v>
      </c>
      <c r="X2587" s="55">
        <v>10187479</v>
      </c>
      <c r="Y2587" s="55" t="s">
        <v>132</v>
      </c>
      <c r="AB2587" s="55" t="s">
        <v>132</v>
      </c>
      <c r="AC2587" s="55" t="s">
        <v>132</v>
      </c>
    </row>
    <row r="2588" spans="1:29" ht="13" x14ac:dyDescent="0.15">
      <c r="A2588" s="72" t="str">
        <f t="shared" si="40"/>
        <v>Ofsted Social Care Provider Webpage</v>
      </c>
      <c r="B2588" s="55" t="s">
        <v>4881</v>
      </c>
      <c r="D2588" s="55" t="s">
        <v>373</v>
      </c>
      <c r="E2588" s="74">
        <v>38954</v>
      </c>
      <c r="F2588" s="55" t="s">
        <v>344</v>
      </c>
      <c r="G2588" s="55" t="s">
        <v>360</v>
      </c>
      <c r="H2588" s="55" t="s">
        <v>360</v>
      </c>
      <c r="I2588" s="55" t="s">
        <v>360</v>
      </c>
      <c r="J2588" s="55" t="s">
        <v>360</v>
      </c>
      <c r="K2588" s="55" t="s">
        <v>360</v>
      </c>
      <c r="L2588" s="55" t="s">
        <v>360</v>
      </c>
      <c r="M2588" s="55" t="s">
        <v>150</v>
      </c>
      <c r="N2588" s="55" t="s">
        <v>150</v>
      </c>
      <c r="O2588" s="55" t="s">
        <v>181</v>
      </c>
      <c r="P2588" s="55" t="s">
        <v>937</v>
      </c>
      <c r="Q2588" s="55" t="s">
        <v>380</v>
      </c>
      <c r="R2588" s="55">
        <v>4</v>
      </c>
      <c r="S2588" s="74"/>
      <c r="T2588" s="55" t="s">
        <v>3026</v>
      </c>
      <c r="U2588" s="73" t="s">
        <v>351</v>
      </c>
      <c r="V2588" s="74">
        <v>44370</v>
      </c>
      <c r="W2588" s="74">
        <v>44431</v>
      </c>
      <c r="X2588" s="55">
        <v>10186053</v>
      </c>
      <c r="Y2588" s="55" t="s">
        <v>140</v>
      </c>
      <c r="AB2588" s="55" t="s">
        <v>140</v>
      </c>
      <c r="AC2588" s="55" t="s">
        <v>132</v>
      </c>
    </row>
    <row r="2589" spans="1:29" ht="13" x14ac:dyDescent="0.15">
      <c r="A2589" s="72" t="str">
        <f t="shared" si="40"/>
        <v>Ofsted Social Care Provider Webpage</v>
      </c>
      <c r="B2589" s="55" t="s">
        <v>4882</v>
      </c>
      <c r="D2589" s="55" t="s">
        <v>373</v>
      </c>
      <c r="E2589" s="74">
        <v>39001</v>
      </c>
      <c r="F2589" s="55" t="s">
        <v>344</v>
      </c>
      <c r="G2589" s="55" t="s">
        <v>360</v>
      </c>
      <c r="H2589" s="55" t="s">
        <v>360</v>
      </c>
      <c r="I2589" s="55" t="s">
        <v>360</v>
      </c>
      <c r="J2589" s="55" t="s">
        <v>360</v>
      </c>
      <c r="K2589" s="55" t="s">
        <v>360</v>
      </c>
      <c r="L2589" s="55" t="s">
        <v>360</v>
      </c>
      <c r="M2589" s="55" t="s">
        <v>144</v>
      </c>
      <c r="N2589" s="55" t="s">
        <v>144</v>
      </c>
      <c r="O2589" s="55" t="s">
        <v>261</v>
      </c>
      <c r="P2589" s="55" t="s">
        <v>512</v>
      </c>
      <c r="Q2589" s="55" t="s">
        <v>350</v>
      </c>
      <c r="R2589" s="55">
        <v>1</v>
      </c>
      <c r="S2589" s="74"/>
      <c r="T2589" s="55" t="s">
        <v>4505</v>
      </c>
      <c r="U2589" s="73" t="s">
        <v>351</v>
      </c>
      <c r="V2589" s="74">
        <v>44593</v>
      </c>
      <c r="W2589" s="74">
        <v>44648</v>
      </c>
      <c r="X2589" s="55">
        <v>10185339</v>
      </c>
      <c r="Y2589" s="55" t="s">
        <v>130</v>
      </c>
      <c r="AB2589" s="55" t="s">
        <v>130</v>
      </c>
      <c r="AC2589" s="55" t="s">
        <v>130</v>
      </c>
    </row>
    <row r="2590" spans="1:29" ht="13" x14ac:dyDescent="0.15">
      <c r="A2590" s="72" t="str">
        <f t="shared" si="40"/>
        <v>Ofsted Social Care Provider Webpage</v>
      </c>
      <c r="B2590" s="55" t="s">
        <v>4883</v>
      </c>
      <c r="D2590" s="55" t="s">
        <v>373</v>
      </c>
      <c r="E2590" s="74">
        <v>38953</v>
      </c>
      <c r="F2590" s="55" t="s">
        <v>344</v>
      </c>
      <c r="G2590" s="55" t="s">
        <v>360</v>
      </c>
      <c r="H2590" s="55" t="s">
        <v>360</v>
      </c>
      <c r="I2590" s="55" t="s">
        <v>360</v>
      </c>
      <c r="J2590" s="55" t="s">
        <v>360</v>
      </c>
      <c r="K2590" s="55" t="s">
        <v>360</v>
      </c>
      <c r="L2590" s="55" t="s">
        <v>360</v>
      </c>
      <c r="M2590" s="55" t="s">
        <v>378</v>
      </c>
      <c r="N2590" s="55" t="s">
        <v>170</v>
      </c>
      <c r="O2590" s="55" t="s">
        <v>231</v>
      </c>
      <c r="P2590" s="55" t="s">
        <v>231</v>
      </c>
      <c r="Q2590" s="55" t="s">
        <v>380</v>
      </c>
      <c r="R2590" s="55">
        <v>6</v>
      </c>
      <c r="S2590" s="74"/>
      <c r="T2590" s="55" t="s">
        <v>1945</v>
      </c>
      <c r="U2590" s="73" t="s">
        <v>351</v>
      </c>
      <c r="V2590" s="74">
        <v>44579</v>
      </c>
      <c r="W2590" s="74">
        <v>44610</v>
      </c>
      <c r="X2590" s="55">
        <v>10187100</v>
      </c>
      <c r="Y2590" s="55" t="s">
        <v>132</v>
      </c>
      <c r="AB2590" s="55" t="s">
        <v>132</v>
      </c>
      <c r="AC2590" s="55" t="s">
        <v>132</v>
      </c>
    </row>
    <row r="2591" spans="1:29" ht="13" x14ac:dyDescent="0.15">
      <c r="A2591" s="72" t="str">
        <f t="shared" si="40"/>
        <v>Ofsted Social Care Provider Webpage</v>
      </c>
      <c r="B2591" s="55" t="s">
        <v>4884</v>
      </c>
      <c r="D2591" s="55" t="s">
        <v>373</v>
      </c>
      <c r="E2591" s="74">
        <v>39015</v>
      </c>
      <c r="F2591" s="55" t="s">
        <v>344</v>
      </c>
      <c r="G2591" s="55" t="s">
        <v>360</v>
      </c>
      <c r="H2591" s="55" t="s">
        <v>360</v>
      </c>
      <c r="I2591" s="55" t="s">
        <v>360</v>
      </c>
      <c r="J2591" s="55" t="s">
        <v>360</v>
      </c>
      <c r="K2591" s="55" t="s">
        <v>360</v>
      </c>
      <c r="L2591" s="55" t="s">
        <v>360</v>
      </c>
      <c r="M2591" s="55" t="s">
        <v>142</v>
      </c>
      <c r="N2591" s="55" t="s">
        <v>142</v>
      </c>
      <c r="O2591" s="55" t="s">
        <v>262</v>
      </c>
      <c r="P2591" s="55" t="s">
        <v>916</v>
      </c>
      <c r="Q2591" s="55" t="s">
        <v>350</v>
      </c>
      <c r="R2591" s="55">
        <v>4</v>
      </c>
      <c r="S2591" s="74"/>
      <c r="T2591" s="55" t="s">
        <v>4885</v>
      </c>
      <c r="U2591" s="73" t="s">
        <v>351</v>
      </c>
      <c r="V2591" s="74">
        <v>44404</v>
      </c>
      <c r="W2591" s="74">
        <v>44459</v>
      </c>
      <c r="X2591" s="55">
        <v>10186305</v>
      </c>
      <c r="Y2591" s="55" t="s">
        <v>130</v>
      </c>
      <c r="AB2591" s="55" t="s">
        <v>130</v>
      </c>
      <c r="AC2591" s="55" t="s">
        <v>130</v>
      </c>
    </row>
    <row r="2592" spans="1:29" ht="13" x14ac:dyDescent="0.15">
      <c r="A2592" s="72" t="str">
        <f t="shared" si="40"/>
        <v>Ofsted Social Care Provider Webpage</v>
      </c>
      <c r="B2592" s="55" t="s">
        <v>4886</v>
      </c>
      <c r="D2592" s="55" t="s">
        <v>373</v>
      </c>
      <c r="E2592" s="74">
        <v>39021</v>
      </c>
      <c r="F2592" s="55" t="s">
        <v>344</v>
      </c>
      <c r="G2592" s="55" t="s">
        <v>360</v>
      </c>
      <c r="H2592" s="55" t="s">
        <v>360</v>
      </c>
      <c r="I2592" s="55" t="s">
        <v>360</v>
      </c>
      <c r="J2592" s="55" t="s">
        <v>360</v>
      </c>
      <c r="K2592" s="55" t="s">
        <v>360</v>
      </c>
      <c r="L2592" s="55" t="s">
        <v>360</v>
      </c>
      <c r="M2592" s="55" t="s">
        <v>150</v>
      </c>
      <c r="N2592" s="55" t="s">
        <v>150</v>
      </c>
      <c r="O2592" s="55" t="s">
        <v>285</v>
      </c>
      <c r="P2592" s="55" t="s">
        <v>796</v>
      </c>
      <c r="Q2592" s="55" t="s">
        <v>350</v>
      </c>
      <c r="R2592" s="55">
        <v>10</v>
      </c>
      <c r="S2592" s="74"/>
      <c r="T2592" s="55" t="s">
        <v>2654</v>
      </c>
      <c r="U2592" s="73" t="s">
        <v>351</v>
      </c>
      <c r="V2592" s="74">
        <v>44321</v>
      </c>
      <c r="W2592" s="74">
        <v>44377</v>
      </c>
      <c r="X2592" s="55">
        <v>10186619</v>
      </c>
      <c r="Y2592" s="55" t="s">
        <v>132</v>
      </c>
      <c r="AB2592" s="55" t="s">
        <v>132</v>
      </c>
      <c r="AC2592" s="55" t="s">
        <v>132</v>
      </c>
    </row>
    <row r="2593" spans="1:29" ht="13" x14ac:dyDescent="0.15">
      <c r="A2593" s="72" t="str">
        <f t="shared" si="40"/>
        <v>Ofsted Social Care Provider Webpage</v>
      </c>
      <c r="B2593" s="55" t="s">
        <v>4887</v>
      </c>
      <c r="D2593" s="55" t="s">
        <v>479</v>
      </c>
      <c r="E2593" s="74">
        <v>39038</v>
      </c>
      <c r="F2593" s="55" t="s">
        <v>344</v>
      </c>
      <c r="G2593" s="55" t="s">
        <v>360</v>
      </c>
      <c r="H2593" s="55" t="s">
        <v>360</v>
      </c>
      <c r="I2593" s="55" t="s">
        <v>360</v>
      </c>
      <c r="J2593" s="55" t="s">
        <v>360</v>
      </c>
      <c r="K2593" s="55" t="s">
        <v>360</v>
      </c>
      <c r="L2593" s="55" t="s">
        <v>360</v>
      </c>
      <c r="M2593" s="55" t="s">
        <v>142</v>
      </c>
      <c r="N2593" s="55" t="s">
        <v>142</v>
      </c>
      <c r="O2593" s="55" t="s">
        <v>282</v>
      </c>
      <c r="P2593" s="55" t="s">
        <v>3266</v>
      </c>
      <c r="Q2593" s="55" t="s">
        <v>350</v>
      </c>
      <c r="R2593" s="55">
        <v>6</v>
      </c>
      <c r="S2593" s="74"/>
      <c r="T2593" s="55" t="s">
        <v>481</v>
      </c>
      <c r="U2593" s="73" t="s">
        <v>351</v>
      </c>
      <c r="V2593" s="74">
        <v>44510</v>
      </c>
      <c r="W2593" s="74">
        <v>44574</v>
      </c>
      <c r="X2593" s="55">
        <v>10187443</v>
      </c>
      <c r="Y2593" s="55" t="s">
        <v>130</v>
      </c>
      <c r="AB2593" s="55" t="s">
        <v>130</v>
      </c>
      <c r="AC2593" s="55" t="s">
        <v>146</v>
      </c>
    </row>
    <row r="2594" spans="1:29" ht="13" x14ac:dyDescent="0.15">
      <c r="A2594" s="72" t="str">
        <f t="shared" si="40"/>
        <v>Ofsted Social Care Provider Webpage</v>
      </c>
      <c r="B2594" s="55" t="s">
        <v>4888</v>
      </c>
      <c r="D2594" s="55" t="s">
        <v>389</v>
      </c>
      <c r="E2594" s="74">
        <v>39049</v>
      </c>
      <c r="F2594" s="55" t="s">
        <v>344</v>
      </c>
      <c r="G2594" s="55" t="s">
        <v>4889</v>
      </c>
      <c r="H2594" s="55" t="s">
        <v>3123</v>
      </c>
      <c r="I2594" s="55" t="s">
        <v>4890</v>
      </c>
      <c r="J2594" s="55" t="s">
        <v>4828</v>
      </c>
      <c r="L2594" s="55" t="s">
        <v>4257</v>
      </c>
      <c r="M2594" s="55" t="s">
        <v>378</v>
      </c>
      <c r="N2594" s="55" t="s">
        <v>134</v>
      </c>
      <c r="O2594" s="55" t="s">
        <v>210</v>
      </c>
      <c r="P2594" s="55" t="s">
        <v>1250</v>
      </c>
      <c r="Q2594" s="55" t="s">
        <v>362</v>
      </c>
      <c r="R2594" s="55"/>
      <c r="S2594" s="74"/>
      <c r="T2594" s="55" t="s">
        <v>1884</v>
      </c>
      <c r="U2594" s="73" t="s">
        <v>351</v>
      </c>
      <c r="V2594" s="74">
        <v>43276</v>
      </c>
      <c r="W2594" s="74">
        <v>43312</v>
      </c>
      <c r="X2594" s="55">
        <v>10045665</v>
      </c>
      <c r="Y2594" s="55" t="s">
        <v>132</v>
      </c>
      <c r="AB2594" s="55" t="s">
        <v>132</v>
      </c>
      <c r="AC2594" s="55" t="s">
        <v>130</v>
      </c>
    </row>
    <row r="2595" spans="1:29" ht="13" x14ac:dyDescent="0.15">
      <c r="A2595" s="72" t="str">
        <f t="shared" si="40"/>
        <v>Ofsted Social Care Provider Webpage</v>
      </c>
      <c r="B2595" s="55" t="s">
        <v>4891</v>
      </c>
      <c r="D2595" s="55" t="s">
        <v>389</v>
      </c>
      <c r="E2595" s="74">
        <v>39087</v>
      </c>
      <c r="F2595" s="55" t="s">
        <v>344</v>
      </c>
      <c r="G2595" s="55" t="s">
        <v>4892</v>
      </c>
      <c r="H2595" s="55" t="s">
        <v>4893</v>
      </c>
      <c r="I2595" s="55" t="s">
        <v>4894</v>
      </c>
      <c r="J2595" s="55" t="s">
        <v>4895</v>
      </c>
      <c r="L2595" s="55" t="s">
        <v>4896</v>
      </c>
      <c r="M2595" s="55" t="s">
        <v>142</v>
      </c>
      <c r="N2595" s="55" t="s">
        <v>142</v>
      </c>
      <c r="O2595" s="55" t="s">
        <v>282</v>
      </c>
      <c r="P2595" s="55" t="s">
        <v>3219</v>
      </c>
      <c r="Q2595" s="55" t="s">
        <v>350</v>
      </c>
      <c r="R2595" s="55"/>
      <c r="S2595" s="74"/>
      <c r="T2595" s="55" t="s">
        <v>4897</v>
      </c>
      <c r="U2595" s="73" t="s">
        <v>351</v>
      </c>
      <c r="V2595" s="74">
        <v>44599</v>
      </c>
      <c r="W2595" s="74">
        <v>44651</v>
      </c>
      <c r="X2595" s="55">
        <v>10183424</v>
      </c>
      <c r="Y2595" s="55" t="s">
        <v>132</v>
      </c>
      <c r="AB2595" s="55" t="s">
        <v>132</v>
      </c>
      <c r="AC2595" s="55" t="s">
        <v>130</v>
      </c>
    </row>
    <row r="2596" spans="1:29" ht="13" x14ac:dyDescent="0.15">
      <c r="A2596" s="72" t="str">
        <f t="shared" si="40"/>
        <v>Ofsted Social Care Provider Webpage</v>
      </c>
      <c r="B2596" s="55" t="s">
        <v>4898</v>
      </c>
      <c r="D2596" s="55" t="s">
        <v>373</v>
      </c>
      <c r="E2596" s="74">
        <v>38995</v>
      </c>
      <c r="F2596" s="55" t="s">
        <v>344</v>
      </c>
      <c r="G2596" s="55" t="s">
        <v>360</v>
      </c>
      <c r="H2596" s="55" t="s">
        <v>360</v>
      </c>
      <c r="I2596" s="55" t="s">
        <v>360</v>
      </c>
      <c r="J2596" s="55" t="s">
        <v>360</v>
      </c>
      <c r="K2596" s="55" t="s">
        <v>360</v>
      </c>
      <c r="L2596" s="55" t="s">
        <v>360</v>
      </c>
      <c r="M2596" s="55" t="s">
        <v>150</v>
      </c>
      <c r="N2596" s="55" t="s">
        <v>150</v>
      </c>
      <c r="O2596" s="55" t="s">
        <v>203</v>
      </c>
      <c r="P2596" s="55" t="s">
        <v>632</v>
      </c>
      <c r="Q2596" s="55" t="s">
        <v>380</v>
      </c>
      <c r="R2596" s="55">
        <v>6</v>
      </c>
      <c r="S2596" s="74" t="s">
        <v>332</v>
      </c>
      <c r="T2596" s="55" t="s">
        <v>1547</v>
      </c>
      <c r="U2596" s="73" t="s">
        <v>351</v>
      </c>
      <c r="V2596" s="74">
        <v>43900</v>
      </c>
      <c r="W2596" s="74">
        <v>43930</v>
      </c>
      <c r="X2596" s="55">
        <v>10095888</v>
      </c>
      <c r="Y2596" s="55" t="s">
        <v>140</v>
      </c>
      <c r="AB2596" s="55" t="s">
        <v>140</v>
      </c>
      <c r="AC2596" s="55" t="s">
        <v>140</v>
      </c>
    </row>
    <row r="2597" spans="1:29" ht="13" x14ac:dyDescent="0.15">
      <c r="A2597" s="72" t="str">
        <f t="shared" si="40"/>
        <v>Ofsted Social Care Provider Webpage</v>
      </c>
      <c r="B2597" s="55" t="s">
        <v>4899</v>
      </c>
      <c r="D2597" s="55" t="s">
        <v>373</v>
      </c>
      <c r="E2597" s="74">
        <v>39071</v>
      </c>
      <c r="F2597" s="55" t="s">
        <v>344</v>
      </c>
      <c r="G2597" s="55" t="s">
        <v>360</v>
      </c>
      <c r="H2597" s="55" t="s">
        <v>360</v>
      </c>
      <c r="I2597" s="55" t="s">
        <v>360</v>
      </c>
      <c r="J2597" s="55" t="s">
        <v>360</v>
      </c>
      <c r="K2597" s="55" t="s">
        <v>360</v>
      </c>
      <c r="L2597" s="55" t="s">
        <v>360</v>
      </c>
      <c r="M2597" s="55" t="s">
        <v>150</v>
      </c>
      <c r="N2597" s="55" t="s">
        <v>150</v>
      </c>
      <c r="O2597" s="55" t="s">
        <v>181</v>
      </c>
      <c r="P2597" s="55" t="s">
        <v>1142</v>
      </c>
      <c r="Q2597" s="55" t="s">
        <v>350</v>
      </c>
      <c r="R2597" s="55">
        <v>16</v>
      </c>
      <c r="S2597" s="74"/>
      <c r="T2597" s="55" t="s">
        <v>4900</v>
      </c>
      <c r="U2597" s="73" t="s">
        <v>351</v>
      </c>
      <c r="V2597" s="74">
        <v>44453</v>
      </c>
      <c r="W2597" s="74">
        <v>44498</v>
      </c>
      <c r="X2597" s="55">
        <v>10186365</v>
      </c>
      <c r="Y2597" s="55" t="s">
        <v>132</v>
      </c>
      <c r="AB2597" s="55" t="s">
        <v>132</v>
      </c>
      <c r="AC2597" s="55" t="s">
        <v>130</v>
      </c>
    </row>
    <row r="2598" spans="1:29" ht="13" x14ac:dyDescent="0.15">
      <c r="A2598" s="72" t="str">
        <f t="shared" si="40"/>
        <v>Ofsted Social Care Provider Webpage</v>
      </c>
      <c r="B2598" s="55" t="s">
        <v>4901</v>
      </c>
      <c r="D2598" s="55" t="s">
        <v>373</v>
      </c>
      <c r="E2598" s="74">
        <v>39126</v>
      </c>
      <c r="F2598" s="55" t="s">
        <v>344</v>
      </c>
      <c r="G2598" s="55" t="s">
        <v>360</v>
      </c>
      <c r="H2598" s="55" t="s">
        <v>360</v>
      </c>
      <c r="I2598" s="55" t="s">
        <v>360</v>
      </c>
      <c r="J2598" s="55" t="s">
        <v>360</v>
      </c>
      <c r="K2598" s="55" t="s">
        <v>360</v>
      </c>
      <c r="L2598" s="55" t="s">
        <v>360</v>
      </c>
      <c r="M2598" s="55" t="s">
        <v>378</v>
      </c>
      <c r="N2598" s="55" t="s">
        <v>134</v>
      </c>
      <c r="O2598" s="55" t="s">
        <v>133</v>
      </c>
      <c r="P2598" s="55" t="s">
        <v>1804</v>
      </c>
      <c r="Q2598" s="55" t="s">
        <v>350</v>
      </c>
      <c r="R2598" s="55">
        <v>5</v>
      </c>
      <c r="S2598" s="74"/>
      <c r="T2598" s="55" t="s">
        <v>1505</v>
      </c>
      <c r="U2598" s="73" t="s">
        <v>351</v>
      </c>
      <c r="V2598" s="74">
        <v>43788</v>
      </c>
      <c r="W2598" s="74">
        <v>43829</v>
      </c>
      <c r="X2598" s="55">
        <v>10095906</v>
      </c>
      <c r="Y2598" s="55" t="s">
        <v>132</v>
      </c>
      <c r="AB2598" s="55" t="s">
        <v>132</v>
      </c>
      <c r="AC2598" s="55" t="s">
        <v>132</v>
      </c>
    </row>
    <row r="2599" spans="1:29" ht="13" x14ac:dyDescent="0.15">
      <c r="A2599" s="72" t="str">
        <f t="shared" si="40"/>
        <v>Ofsted Social Care Provider Webpage</v>
      </c>
      <c r="B2599" s="55" t="s">
        <v>4902</v>
      </c>
      <c r="D2599" s="55" t="s">
        <v>373</v>
      </c>
      <c r="E2599" s="74">
        <v>39080</v>
      </c>
      <c r="F2599" s="55" t="s">
        <v>344</v>
      </c>
      <c r="G2599" s="55" t="s">
        <v>360</v>
      </c>
      <c r="H2599" s="55" t="s">
        <v>360</v>
      </c>
      <c r="I2599" s="55" t="s">
        <v>360</v>
      </c>
      <c r="J2599" s="55" t="s">
        <v>360</v>
      </c>
      <c r="K2599" s="55" t="s">
        <v>360</v>
      </c>
      <c r="L2599" s="55" t="s">
        <v>360</v>
      </c>
      <c r="M2599" s="55" t="s">
        <v>129</v>
      </c>
      <c r="N2599" s="55" t="s">
        <v>129</v>
      </c>
      <c r="O2599" s="55" t="s">
        <v>197</v>
      </c>
      <c r="P2599" s="55" t="s">
        <v>3056</v>
      </c>
      <c r="Q2599" s="55" t="s">
        <v>380</v>
      </c>
      <c r="R2599" s="55">
        <v>9</v>
      </c>
      <c r="S2599" s="74"/>
      <c r="T2599" s="55" t="s">
        <v>1354</v>
      </c>
      <c r="U2599" s="73" t="s">
        <v>351</v>
      </c>
      <c r="V2599" s="74">
        <v>44538</v>
      </c>
      <c r="W2599" s="74">
        <v>44587</v>
      </c>
      <c r="X2599" s="55">
        <v>10186406</v>
      </c>
      <c r="Y2599" s="55" t="s">
        <v>130</v>
      </c>
      <c r="AB2599" s="55" t="s">
        <v>130</v>
      </c>
      <c r="AC2599" s="55" t="s">
        <v>146</v>
      </c>
    </row>
    <row r="2600" spans="1:29" ht="13" x14ac:dyDescent="0.15">
      <c r="A2600" s="72" t="str">
        <f t="shared" si="40"/>
        <v>Ofsted Social Care Provider Webpage</v>
      </c>
      <c r="B2600" s="55" t="s">
        <v>4903</v>
      </c>
      <c r="D2600" s="55" t="s">
        <v>373</v>
      </c>
      <c r="E2600" s="74">
        <v>39042</v>
      </c>
      <c r="F2600" s="55" t="s">
        <v>344</v>
      </c>
      <c r="G2600" s="55" t="s">
        <v>360</v>
      </c>
      <c r="H2600" s="55" t="s">
        <v>360</v>
      </c>
      <c r="I2600" s="55" t="s">
        <v>360</v>
      </c>
      <c r="J2600" s="55" t="s">
        <v>360</v>
      </c>
      <c r="K2600" s="55" t="s">
        <v>360</v>
      </c>
      <c r="L2600" s="55" t="s">
        <v>360</v>
      </c>
      <c r="M2600" s="55" t="s">
        <v>150</v>
      </c>
      <c r="N2600" s="55" t="s">
        <v>150</v>
      </c>
      <c r="O2600" s="55" t="s">
        <v>203</v>
      </c>
      <c r="P2600" s="55" t="s">
        <v>2078</v>
      </c>
      <c r="Q2600" s="55" t="s">
        <v>350</v>
      </c>
      <c r="R2600" s="55">
        <v>4</v>
      </c>
      <c r="S2600" s="74"/>
      <c r="T2600" s="55" t="s">
        <v>2891</v>
      </c>
      <c r="U2600" s="73" t="s">
        <v>351</v>
      </c>
      <c r="V2600" s="74">
        <v>44327</v>
      </c>
      <c r="W2600" s="74">
        <v>44384</v>
      </c>
      <c r="X2600" s="55">
        <v>10186011</v>
      </c>
      <c r="Y2600" s="55" t="s">
        <v>132</v>
      </c>
      <c r="AB2600" s="55" t="s">
        <v>132</v>
      </c>
      <c r="AC2600" s="55" t="s">
        <v>132</v>
      </c>
    </row>
    <row r="2601" spans="1:29" ht="13" x14ac:dyDescent="0.15">
      <c r="A2601" s="72" t="str">
        <f t="shared" si="40"/>
        <v>Ofsted Social Care Provider Webpage</v>
      </c>
      <c r="B2601" s="55" t="s">
        <v>4904</v>
      </c>
      <c r="D2601" s="55" t="s">
        <v>373</v>
      </c>
      <c r="E2601" s="74">
        <v>39030</v>
      </c>
      <c r="F2601" s="55" t="s">
        <v>344</v>
      </c>
      <c r="G2601" s="55" t="s">
        <v>360</v>
      </c>
      <c r="H2601" s="55" t="s">
        <v>360</v>
      </c>
      <c r="I2601" s="55" t="s">
        <v>360</v>
      </c>
      <c r="J2601" s="55" t="s">
        <v>360</v>
      </c>
      <c r="K2601" s="55" t="s">
        <v>360</v>
      </c>
      <c r="L2601" s="55" t="s">
        <v>360</v>
      </c>
      <c r="M2601" s="55" t="s">
        <v>150</v>
      </c>
      <c r="N2601" s="55" t="s">
        <v>150</v>
      </c>
      <c r="O2601" s="55" t="s">
        <v>268</v>
      </c>
      <c r="P2601" s="55" t="s">
        <v>2682</v>
      </c>
      <c r="Q2601" s="55" t="s">
        <v>380</v>
      </c>
      <c r="R2601" s="55">
        <v>4</v>
      </c>
      <c r="S2601" s="74"/>
      <c r="T2601" s="55" t="s">
        <v>640</v>
      </c>
      <c r="U2601" s="73" t="s">
        <v>351</v>
      </c>
      <c r="V2601" s="74">
        <v>44433</v>
      </c>
      <c r="W2601" s="74">
        <v>44473</v>
      </c>
      <c r="X2601" s="55">
        <v>10187610</v>
      </c>
      <c r="Y2601" s="55" t="s">
        <v>132</v>
      </c>
      <c r="AB2601" s="55" t="s">
        <v>132</v>
      </c>
      <c r="AC2601" s="55" t="s">
        <v>130</v>
      </c>
    </row>
    <row r="2602" spans="1:29" ht="13" x14ac:dyDescent="0.15">
      <c r="A2602" s="72" t="str">
        <f t="shared" si="40"/>
        <v>Ofsted Social Care Provider Webpage</v>
      </c>
      <c r="B2602" s="55" t="s">
        <v>4905</v>
      </c>
      <c r="D2602" s="55" t="s">
        <v>443</v>
      </c>
      <c r="E2602" s="74">
        <v>39129</v>
      </c>
      <c r="F2602" s="55" t="s">
        <v>344</v>
      </c>
      <c r="G2602" s="55" t="s">
        <v>4906</v>
      </c>
      <c r="H2602" s="55" t="s">
        <v>4907</v>
      </c>
      <c r="I2602" s="55" t="s">
        <v>4908</v>
      </c>
      <c r="J2602" s="55" t="s">
        <v>710</v>
      </c>
      <c r="L2602" s="55" t="s">
        <v>4909</v>
      </c>
      <c r="M2602" s="55" t="s">
        <v>378</v>
      </c>
      <c r="N2602" s="55" t="s">
        <v>134</v>
      </c>
      <c r="O2602" s="55" t="s">
        <v>206</v>
      </c>
      <c r="P2602" s="55" t="s">
        <v>750</v>
      </c>
      <c r="Q2602" s="55" t="s">
        <v>350</v>
      </c>
      <c r="R2602" s="55"/>
      <c r="S2602" s="74"/>
      <c r="T2602" s="55" t="s">
        <v>4910</v>
      </c>
      <c r="U2602" s="73" t="s">
        <v>351</v>
      </c>
      <c r="V2602" s="74">
        <v>43011</v>
      </c>
      <c r="W2602" s="74">
        <v>43047</v>
      </c>
      <c r="X2602" s="55">
        <v>10011192</v>
      </c>
      <c r="Y2602" s="55" t="s">
        <v>140</v>
      </c>
      <c r="AB2602" s="55" t="s">
        <v>132</v>
      </c>
      <c r="AC2602" s="55" t="s">
        <v>132</v>
      </c>
    </row>
    <row r="2603" spans="1:29" ht="13" x14ac:dyDescent="0.15">
      <c r="A2603" s="72" t="str">
        <f t="shared" si="40"/>
        <v>Ofsted Social Care Provider Webpage</v>
      </c>
      <c r="B2603" s="55" t="s">
        <v>4911</v>
      </c>
      <c r="D2603" s="55" t="s">
        <v>373</v>
      </c>
      <c r="E2603" s="74">
        <v>39114</v>
      </c>
      <c r="F2603" s="55" t="s">
        <v>344</v>
      </c>
      <c r="G2603" s="55" t="s">
        <v>360</v>
      </c>
      <c r="H2603" s="55" t="s">
        <v>360</v>
      </c>
      <c r="I2603" s="55" t="s">
        <v>360</v>
      </c>
      <c r="J2603" s="55" t="s">
        <v>360</v>
      </c>
      <c r="K2603" s="55" t="s">
        <v>360</v>
      </c>
      <c r="L2603" s="55" t="s">
        <v>360</v>
      </c>
      <c r="M2603" s="55" t="s">
        <v>138</v>
      </c>
      <c r="N2603" s="55" t="s">
        <v>138</v>
      </c>
      <c r="O2603" s="55" t="s">
        <v>183</v>
      </c>
      <c r="P2603" s="55" t="s">
        <v>576</v>
      </c>
      <c r="Q2603" s="55" t="s">
        <v>380</v>
      </c>
      <c r="R2603" s="55">
        <v>8</v>
      </c>
      <c r="S2603" s="74" t="s">
        <v>332</v>
      </c>
      <c r="T2603" s="55" t="s">
        <v>1795</v>
      </c>
      <c r="U2603" s="73" t="s">
        <v>351</v>
      </c>
      <c r="V2603" s="74">
        <v>44305</v>
      </c>
      <c r="W2603" s="74">
        <v>44327</v>
      </c>
      <c r="X2603" s="55">
        <v>10187277</v>
      </c>
      <c r="Y2603" s="55" t="s">
        <v>132</v>
      </c>
      <c r="AB2603" s="55" t="s">
        <v>132</v>
      </c>
      <c r="AC2603" s="55" t="s">
        <v>132</v>
      </c>
    </row>
    <row r="2604" spans="1:29" ht="13" x14ac:dyDescent="0.15">
      <c r="A2604" s="72" t="str">
        <f t="shared" si="40"/>
        <v>Ofsted Social Care Provider Webpage</v>
      </c>
      <c r="B2604" s="55" t="s">
        <v>4912</v>
      </c>
      <c r="D2604" s="55" t="s">
        <v>373</v>
      </c>
      <c r="E2604" s="74">
        <v>39042</v>
      </c>
      <c r="F2604" s="55" t="s">
        <v>344</v>
      </c>
      <c r="G2604" s="55" t="s">
        <v>360</v>
      </c>
      <c r="H2604" s="55" t="s">
        <v>360</v>
      </c>
      <c r="I2604" s="55" t="s">
        <v>360</v>
      </c>
      <c r="J2604" s="55" t="s">
        <v>360</v>
      </c>
      <c r="K2604" s="55" t="s">
        <v>360</v>
      </c>
      <c r="L2604" s="55" t="s">
        <v>360</v>
      </c>
      <c r="M2604" s="55" t="s">
        <v>138</v>
      </c>
      <c r="N2604" s="55" t="s">
        <v>138</v>
      </c>
      <c r="O2604" s="55" t="s">
        <v>224</v>
      </c>
      <c r="P2604" s="55" t="s">
        <v>1530</v>
      </c>
      <c r="Q2604" s="55" t="s">
        <v>380</v>
      </c>
      <c r="R2604" s="55">
        <v>2</v>
      </c>
      <c r="S2604" s="74"/>
      <c r="T2604" s="55" t="s">
        <v>2272</v>
      </c>
      <c r="U2604" s="73" t="s">
        <v>351</v>
      </c>
      <c r="V2604" s="74">
        <v>44475</v>
      </c>
      <c r="W2604" s="74">
        <v>44496</v>
      </c>
      <c r="X2604" s="55">
        <v>10187473</v>
      </c>
      <c r="Y2604" s="55" t="s">
        <v>132</v>
      </c>
      <c r="AB2604" s="55" t="s">
        <v>132</v>
      </c>
      <c r="AC2604" s="55" t="s">
        <v>132</v>
      </c>
    </row>
    <row r="2605" spans="1:29" ht="13" x14ac:dyDescent="0.15">
      <c r="A2605" s="72" t="str">
        <f t="shared" si="40"/>
        <v>Ofsted Social Care Provider Webpage</v>
      </c>
      <c r="B2605" s="55" t="s">
        <v>4913</v>
      </c>
      <c r="D2605" s="55" t="s">
        <v>373</v>
      </c>
      <c r="E2605" s="74">
        <v>39097</v>
      </c>
      <c r="F2605" s="55" t="s">
        <v>344</v>
      </c>
      <c r="G2605" s="55" t="s">
        <v>360</v>
      </c>
      <c r="H2605" s="55" t="s">
        <v>360</v>
      </c>
      <c r="I2605" s="55" t="s">
        <v>360</v>
      </c>
      <c r="J2605" s="55" t="s">
        <v>360</v>
      </c>
      <c r="K2605" s="55" t="s">
        <v>360</v>
      </c>
      <c r="L2605" s="55" t="s">
        <v>360</v>
      </c>
      <c r="M2605" s="55" t="s">
        <v>138</v>
      </c>
      <c r="N2605" s="55" t="s">
        <v>138</v>
      </c>
      <c r="O2605" s="55" t="s">
        <v>159</v>
      </c>
      <c r="P2605" s="55" t="s">
        <v>1025</v>
      </c>
      <c r="Q2605" s="55" t="s">
        <v>350</v>
      </c>
      <c r="R2605" s="55">
        <v>4</v>
      </c>
      <c r="S2605" s="74"/>
      <c r="T2605" s="55" t="s">
        <v>4914</v>
      </c>
      <c r="U2605" s="73" t="s">
        <v>351</v>
      </c>
      <c r="V2605" s="74">
        <v>44326</v>
      </c>
      <c r="W2605" s="74">
        <v>44344</v>
      </c>
      <c r="X2605" s="55">
        <v>10187144</v>
      </c>
      <c r="Y2605" s="55" t="s">
        <v>132</v>
      </c>
      <c r="AB2605" s="55" t="s">
        <v>132</v>
      </c>
      <c r="AC2605" s="55" t="s">
        <v>132</v>
      </c>
    </row>
    <row r="2606" spans="1:29" ht="13" x14ac:dyDescent="0.15">
      <c r="A2606" s="72" t="str">
        <f t="shared" si="40"/>
        <v>Ofsted Social Care Provider Webpage</v>
      </c>
      <c r="B2606" s="55" t="s">
        <v>4915</v>
      </c>
      <c r="D2606" s="55" t="s">
        <v>373</v>
      </c>
      <c r="E2606" s="74">
        <v>39132</v>
      </c>
      <c r="F2606" s="55" t="s">
        <v>344</v>
      </c>
      <c r="G2606" s="55" t="s">
        <v>360</v>
      </c>
      <c r="H2606" s="55" t="s">
        <v>360</v>
      </c>
      <c r="I2606" s="55" t="s">
        <v>360</v>
      </c>
      <c r="J2606" s="55" t="s">
        <v>360</v>
      </c>
      <c r="K2606" s="55" t="s">
        <v>360</v>
      </c>
      <c r="L2606" s="55" t="s">
        <v>360</v>
      </c>
      <c r="M2606" s="55" t="s">
        <v>150</v>
      </c>
      <c r="N2606" s="55" t="s">
        <v>150</v>
      </c>
      <c r="O2606" s="55" t="s">
        <v>237</v>
      </c>
      <c r="P2606" s="55" t="s">
        <v>404</v>
      </c>
      <c r="Q2606" s="55" t="s">
        <v>362</v>
      </c>
      <c r="R2606" s="55">
        <v>7</v>
      </c>
      <c r="S2606" s="74" t="s">
        <v>332</v>
      </c>
      <c r="T2606" s="55" t="s">
        <v>1884</v>
      </c>
      <c r="U2606" s="73" t="s">
        <v>351</v>
      </c>
      <c r="V2606" s="74">
        <v>44508</v>
      </c>
      <c r="W2606" s="74">
        <v>44610</v>
      </c>
      <c r="X2606" s="55">
        <v>10187452</v>
      </c>
      <c r="Y2606" s="55" t="s">
        <v>132</v>
      </c>
      <c r="AB2606" s="55" t="s">
        <v>132</v>
      </c>
      <c r="AC2606" s="55" t="s">
        <v>132</v>
      </c>
    </row>
    <row r="2607" spans="1:29" ht="13" x14ac:dyDescent="0.15">
      <c r="A2607" s="72" t="str">
        <f t="shared" si="40"/>
        <v>Ofsted Social Care Provider Webpage</v>
      </c>
      <c r="B2607" s="55" t="s">
        <v>4916</v>
      </c>
      <c r="D2607" s="55" t="s">
        <v>373</v>
      </c>
      <c r="E2607" s="74">
        <v>39143</v>
      </c>
      <c r="F2607" s="55" t="s">
        <v>344</v>
      </c>
      <c r="G2607" s="55" t="s">
        <v>360</v>
      </c>
      <c r="H2607" s="55" t="s">
        <v>360</v>
      </c>
      <c r="I2607" s="55" t="s">
        <v>360</v>
      </c>
      <c r="J2607" s="55" t="s">
        <v>360</v>
      </c>
      <c r="K2607" s="55" t="s">
        <v>360</v>
      </c>
      <c r="L2607" s="55" t="s">
        <v>360</v>
      </c>
      <c r="M2607" s="55" t="s">
        <v>144</v>
      </c>
      <c r="N2607" s="55" t="s">
        <v>144</v>
      </c>
      <c r="O2607" s="55" t="s">
        <v>271</v>
      </c>
      <c r="P2607" s="55" t="s">
        <v>1122</v>
      </c>
      <c r="Q2607" s="55" t="s">
        <v>350</v>
      </c>
      <c r="R2607" s="55">
        <v>5</v>
      </c>
      <c r="S2607" s="74"/>
      <c r="T2607" s="55" t="s">
        <v>4917</v>
      </c>
      <c r="U2607" s="73" t="s">
        <v>351</v>
      </c>
      <c r="V2607" s="74">
        <v>43698</v>
      </c>
      <c r="W2607" s="74">
        <v>43717</v>
      </c>
      <c r="X2607" s="55">
        <v>10095908</v>
      </c>
      <c r="Y2607" s="55" t="s">
        <v>132</v>
      </c>
      <c r="AB2607" s="55" t="s">
        <v>132</v>
      </c>
      <c r="AC2607" s="55" t="s">
        <v>132</v>
      </c>
    </row>
    <row r="2608" spans="1:29" ht="13" x14ac:dyDescent="0.15">
      <c r="A2608" s="72" t="str">
        <f t="shared" si="40"/>
        <v>Ofsted Social Care Provider Webpage</v>
      </c>
      <c r="B2608" s="55" t="s">
        <v>4918</v>
      </c>
      <c r="D2608" s="55" t="s">
        <v>373</v>
      </c>
      <c r="E2608" s="74">
        <v>39125</v>
      </c>
      <c r="F2608" s="55" t="s">
        <v>344</v>
      </c>
      <c r="G2608" s="55" t="s">
        <v>360</v>
      </c>
      <c r="H2608" s="55" t="s">
        <v>360</v>
      </c>
      <c r="I2608" s="55" t="s">
        <v>360</v>
      </c>
      <c r="J2608" s="55" t="s">
        <v>360</v>
      </c>
      <c r="K2608" s="55" t="s">
        <v>360</v>
      </c>
      <c r="L2608" s="55" t="s">
        <v>360</v>
      </c>
      <c r="M2608" s="55" t="s">
        <v>138</v>
      </c>
      <c r="N2608" s="55" t="s">
        <v>138</v>
      </c>
      <c r="O2608" s="55" t="s">
        <v>266</v>
      </c>
      <c r="P2608" s="55" t="s">
        <v>1622</v>
      </c>
      <c r="Q2608" s="55" t="s">
        <v>350</v>
      </c>
      <c r="R2608" s="55">
        <v>6</v>
      </c>
      <c r="S2608" s="74"/>
      <c r="T2608" s="55" t="s">
        <v>1225</v>
      </c>
      <c r="U2608" s="73" t="s">
        <v>351</v>
      </c>
      <c r="V2608" s="74">
        <v>44573</v>
      </c>
      <c r="W2608" s="74">
        <v>44603</v>
      </c>
      <c r="X2608" s="55">
        <v>10186088</v>
      </c>
      <c r="Y2608" s="55" t="s">
        <v>132</v>
      </c>
      <c r="AB2608" s="55" t="s">
        <v>132</v>
      </c>
      <c r="AC2608" s="55" t="s">
        <v>132</v>
      </c>
    </row>
    <row r="2609" spans="1:29" ht="13" x14ac:dyDescent="0.15">
      <c r="A2609" s="72" t="str">
        <f t="shared" si="40"/>
        <v>Ofsted Social Care Provider Webpage</v>
      </c>
      <c r="B2609" s="55" t="s">
        <v>4919</v>
      </c>
      <c r="D2609" s="55" t="s">
        <v>373</v>
      </c>
      <c r="E2609" s="74">
        <v>39147</v>
      </c>
      <c r="F2609" s="55" t="s">
        <v>344</v>
      </c>
      <c r="G2609" s="55" t="s">
        <v>360</v>
      </c>
      <c r="H2609" s="55" t="s">
        <v>360</v>
      </c>
      <c r="I2609" s="55" t="s">
        <v>360</v>
      </c>
      <c r="J2609" s="55" t="s">
        <v>360</v>
      </c>
      <c r="K2609" s="55" t="s">
        <v>360</v>
      </c>
      <c r="L2609" s="55" t="s">
        <v>360</v>
      </c>
      <c r="M2609" s="55" t="s">
        <v>144</v>
      </c>
      <c r="N2609" s="55" t="s">
        <v>144</v>
      </c>
      <c r="O2609" s="55" t="s">
        <v>157</v>
      </c>
      <c r="P2609" s="55" t="s">
        <v>1092</v>
      </c>
      <c r="Q2609" s="55" t="s">
        <v>350</v>
      </c>
      <c r="R2609" s="55">
        <v>3</v>
      </c>
      <c r="S2609" s="74"/>
      <c r="T2609" s="55" t="s">
        <v>613</v>
      </c>
      <c r="U2609" s="73" t="s">
        <v>351</v>
      </c>
      <c r="V2609" s="74">
        <v>43600</v>
      </c>
      <c r="W2609" s="74">
        <v>43627</v>
      </c>
      <c r="X2609" s="55">
        <v>10095909</v>
      </c>
      <c r="Y2609" s="55" t="s">
        <v>140</v>
      </c>
      <c r="AB2609" s="55" t="s">
        <v>140</v>
      </c>
      <c r="AC2609" s="55" t="s">
        <v>140</v>
      </c>
    </row>
    <row r="2610" spans="1:29" ht="13" x14ac:dyDescent="0.15">
      <c r="A2610" s="72" t="str">
        <f t="shared" si="40"/>
        <v>Ofsted Social Care Provider Webpage</v>
      </c>
      <c r="B2610" s="55" t="s">
        <v>4920</v>
      </c>
      <c r="C2610" s="55">
        <v>134938</v>
      </c>
      <c r="D2610" s="55" t="s">
        <v>413</v>
      </c>
      <c r="E2610" s="74">
        <v>39086</v>
      </c>
      <c r="F2610" s="55" t="s">
        <v>344</v>
      </c>
      <c r="G2610" s="55" t="s">
        <v>4921</v>
      </c>
      <c r="H2610" s="55" t="s">
        <v>4922</v>
      </c>
      <c r="I2610" s="55" t="s">
        <v>4923</v>
      </c>
      <c r="J2610" s="55" t="s">
        <v>4924</v>
      </c>
      <c r="K2610" s="55" t="s">
        <v>247</v>
      </c>
      <c r="L2610" s="55" t="s">
        <v>4925</v>
      </c>
      <c r="M2610" s="55" t="s">
        <v>172</v>
      </c>
      <c r="N2610" s="55" t="s">
        <v>172</v>
      </c>
      <c r="O2610" s="55" t="s">
        <v>247</v>
      </c>
      <c r="P2610" s="55" t="s">
        <v>798</v>
      </c>
      <c r="Q2610" s="55" t="s">
        <v>350</v>
      </c>
      <c r="R2610" s="55">
        <v>70</v>
      </c>
      <c r="S2610" s="74"/>
      <c r="T2610" s="55" t="s">
        <v>4926</v>
      </c>
      <c r="U2610" s="73" t="s">
        <v>351</v>
      </c>
      <c r="V2610" s="74">
        <v>44523</v>
      </c>
      <c r="W2610" s="74">
        <v>44588</v>
      </c>
      <c r="X2610" s="55">
        <v>10183466</v>
      </c>
      <c r="Y2610" s="55" t="s">
        <v>140</v>
      </c>
      <c r="AB2610" s="55" t="s">
        <v>140</v>
      </c>
      <c r="AC2610" s="55" t="s">
        <v>140</v>
      </c>
    </row>
    <row r="2611" spans="1:29" ht="13" x14ac:dyDescent="0.15">
      <c r="A2611" s="72" t="str">
        <f t="shared" si="40"/>
        <v>Ofsted Social Care Provider Webpage</v>
      </c>
      <c r="B2611" s="55" t="s">
        <v>4927</v>
      </c>
      <c r="D2611" s="55" t="s">
        <v>373</v>
      </c>
      <c r="E2611" s="74">
        <v>39122</v>
      </c>
      <c r="F2611" s="55" t="s">
        <v>344</v>
      </c>
      <c r="G2611" s="55" t="s">
        <v>360</v>
      </c>
      <c r="H2611" s="55" t="s">
        <v>360</v>
      </c>
      <c r="I2611" s="55" t="s">
        <v>360</v>
      </c>
      <c r="J2611" s="55" t="s">
        <v>360</v>
      </c>
      <c r="K2611" s="55" t="s">
        <v>360</v>
      </c>
      <c r="L2611" s="55" t="s">
        <v>360</v>
      </c>
      <c r="M2611" s="55" t="s">
        <v>378</v>
      </c>
      <c r="N2611" s="55" t="s">
        <v>134</v>
      </c>
      <c r="O2611" s="55" t="s">
        <v>158</v>
      </c>
      <c r="P2611" s="55" t="s">
        <v>912</v>
      </c>
      <c r="Q2611" s="55" t="s">
        <v>350</v>
      </c>
      <c r="R2611" s="55">
        <v>2</v>
      </c>
      <c r="S2611" s="74"/>
      <c r="T2611" s="55" t="s">
        <v>711</v>
      </c>
      <c r="U2611" s="73" t="s">
        <v>351</v>
      </c>
      <c r="V2611" s="74">
        <v>44628</v>
      </c>
      <c r="W2611" s="74">
        <v>44677</v>
      </c>
      <c r="X2611" s="55">
        <v>10185669</v>
      </c>
      <c r="Y2611" s="55" t="s">
        <v>132</v>
      </c>
      <c r="AB2611" s="55" t="s">
        <v>132</v>
      </c>
      <c r="AC2611" s="55" t="s">
        <v>132</v>
      </c>
    </row>
    <row r="2612" spans="1:29" ht="13" x14ac:dyDescent="0.15">
      <c r="A2612" s="72" t="str">
        <f t="shared" si="40"/>
        <v>Ofsted Social Care Provider Webpage</v>
      </c>
      <c r="B2612" s="55" t="s">
        <v>4928</v>
      </c>
      <c r="D2612" s="55" t="s">
        <v>389</v>
      </c>
      <c r="E2612" s="74">
        <v>39112</v>
      </c>
      <c r="F2612" s="55" t="s">
        <v>344</v>
      </c>
      <c r="G2612" s="55" t="s">
        <v>4929</v>
      </c>
      <c r="H2612" s="55" t="s">
        <v>4930</v>
      </c>
      <c r="I2612" s="55" t="s">
        <v>4931</v>
      </c>
      <c r="J2612" s="55" t="s">
        <v>236</v>
      </c>
      <c r="L2612" s="55" t="s">
        <v>4932</v>
      </c>
      <c r="M2612" s="55" t="s">
        <v>144</v>
      </c>
      <c r="N2612" s="55" t="s">
        <v>144</v>
      </c>
      <c r="O2612" s="55" t="s">
        <v>236</v>
      </c>
      <c r="P2612" s="55" t="s">
        <v>2088</v>
      </c>
      <c r="Q2612" s="55" t="s">
        <v>350</v>
      </c>
      <c r="R2612" s="55"/>
      <c r="S2612" s="74"/>
      <c r="T2612" s="55" t="s">
        <v>4929</v>
      </c>
      <c r="U2612" s="73" t="s">
        <v>351</v>
      </c>
      <c r="V2612" s="74">
        <v>44571</v>
      </c>
      <c r="W2612" s="74">
        <v>44614</v>
      </c>
      <c r="X2612" s="55">
        <v>10183400</v>
      </c>
      <c r="Y2612" s="55" t="s">
        <v>132</v>
      </c>
      <c r="AB2612" s="55" t="s">
        <v>132</v>
      </c>
      <c r="AC2612" s="55" t="s">
        <v>132</v>
      </c>
    </row>
    <row r="2613" spans="1:29" ht="13" x14ac:dyDescent="0.15">
      <c r="A2613" s="72" t="str">
        <f t="shared" si="40"/>
        <v>Ofsted Social Care Provider Webpage</v>
      </c>
      <c r="B2613" s="55" t="s">
        <v>4933</v>
      </c>
      <c r="D2613" s="55" t="s">
        <v>479</v>
      </c>
      <c r="E2613" s="74">
        <v>39157</v>
      </c>
      <c r="F2613" s="55" t="s">
        <v>344</v>
      </c>
      <c r="G2613" s="55" t="s">
        <v>360</v>
      </c>
      <c r="H2613" s="55" t="s">
        <v>360</v>
      </c>
      <c r="I2613" s="55" t="s">
        <v>360</v>
      </c>
      <c r="J2613" s="55" t="s">
        <v>360</v>
      </c>
      <c r="K2613" s="55" t="s">
        <v>360</v>
      </c>
      <c r="L2613" s="55" t="s">
        <v>360</v>
      </c>
      <c r="M2613" s="55" t="s">
        <v>150</v>
      </c>
      <c r="N2613" s="55" t="s">
        <v>150</v>
      </c>
      <c r="O2613" s="55" t="s">
        <v>283</v>
      </c>
      <c r="P2613" s="55" t="s">
        <v>1333</v>
      </c>
      <c r="Q2613" s="55" t="s">
        <v>362</v>
      </c>
      <c r="R2613" s="55">
        <v>67</v>
      </c>
      <c r="S2613" s="74"/>
      <c r="T2613" s="55" t="s">
        <v>4934</v>
      </c>
      <c r="U2613" s="73" t="s">
        <v>351</v>
      </c>
      <c r="V2613" s="74">
        <v>44390</v>
      </c>
      <c r="W2613" s="74">
        <v>44441</v>
      </c>
      <c r="X2613" s="55">
        <v>10186772</v>
      </c>
      <c r="Y2613" s="55" t="s">
        <v>132</v>
      </c>
      <c r="AB2613" s="55" t="s">
        <v>132</v>
      </c>
      <c r="AC2613" s="55" t="s">
        <v>132</v>
      </c>
    </row>
    <row r="2614" spans="1:29" ht="13" x14ac:dyDescent="0.15">
      <c r="A2614" s="72" t="str">
        <f t="shared" si="40"/>
        <v>Ofsted Social Care Provider Webpage</v>
      </c>
      <c r="B2614" s="55" t="s">
        <v>4935</v>
      </c>
      <c r="D2614" s="55" t="s">
        <v>389</v>
      </c>
      <c r="E2614" s="74">
        <v>39128</v>
      </c>
      <c r="F2614" s="55" t="s">
        <v>344</v>
      </c>
      <c r="G2614" s="55" t="s">
        <v>4936</v>
      </c>
      <c r="H2614" s="55" t="s">
        <v>4937</v>
      </c>
      <c r="I2614" s="55" t="s">
        <v>4938</v>
      </c>
      <c r="J2614" s="55" t="s">
        <v>4371</v>
      </c>
      <c r="K2614" s="55" t="s">
        <v>196</v>
      </c>
      <c r="L2614" s="55" t="s">
        <v>4939</v>
      </c>
      <c r="M2614" s="55" t="s">
        <v>138</v>
      </c>
      <c r="N2614" s="55" t="s">
        <v>138</v>
      </c>
      <c r="O2614" s="55" t="s">
        <v>196</v>
      </c>
      <c r="P2614" s="55" t="s">
        <v>4371</v>
      </c>
      <c r="Q2614" s="55" t="s">
        <v>362</v>
      </c>
      <c r="R2614" s="55"/>
      <c r="S2614" s="74"/>
      <c r="T2614" s="55" t="s">
        <v>432</v>
      </c>
      <c r="U2614" s="73" t="s">
        <v>351</v>
      </c>
      <c r="V2614" s="74">
        <v>44389</v>
      </c>
      <c r="W2614" s="74">
        <v>44420</v>
      </c>
      <c r="X2614" s="55">
        <v>10183348</v>
      </c>
      <c r="Y2614" s="55" t="s">
        <v>132</v>
      </c>
      <c r="AB2614" s="55" t="s">
        <v>132</v>
      </c>
      <c r="AC2614" s="55" t="s">
        <v>130</v>
      </c>
    </row>
    <row r="2615" spans="1:29" ht="13" x14ac:dyDescent="0.15">
      <c r="A2615" s="72" t="str">
        <f t="shared" si="40"/>
        <v>Ofsted Social Care Provider Webpage</v>
      </c>
      <c r="B2615" s="55" t="s">
        <v>4940</v>
      </c>
      <c r="D2615" s="55" t="s">
        <v>373</v>
      </c>
      <c r="E2615" s="74">
        <v>39153</v>
      </c>
      <c r="F2615" s="55" t="s">
        <v>344</v>
      </c>
      <c r="G2615" s="55" t="s">
        <v>360</v>
      </c>
      <c r="H2615" s="55" t="s">
        <v>360</v>
      </c>
      <c r="I2615" s="55" t="s">
        <v>360</v>
      </c>
      <c r="J2615" s="55" t="s">
        <v>360</v>
      </c>
      <c r="K2615" s="55" t="s">
        <v>360</v>
      </c>
      <c r="L2615" s="55" t="s">
        <v>360</v>
      </c>
      <c r="M2615" s="55" t="s">
        <v>150</v>
      </c>
      <c r="N2615" s="55" t="s">
        <v>150</v>
      </c>
      <c r="O2615" s="55" t="s">
        <v>181</v>
      </c>
      <c r="P2615" s="55" t="s">
        <v>1142</v>
      </c>
      <c r="Q2615" s="55" t="s">
        <v>350</v>
      </c>
      <c r="R2615" s="55">
        <v>3</v>
      </c>
      <c r="S2615" s="74"/>
      <c r="T2615" s="55" t="s">
        <v>627</v>
      </c>
      <c r="U2615" s="73" t="s">
        <v>351</v>
      </c>
      <c r="V2615" s="74">
        <v>44594</v>
      </c>
      <c r="W2615" s="74">
        <v>44644</v>
      </c>
      <c r="X2615" s="55">
        <v>10185882</v>
      </c>
      <c r="Y2615" s="55" t="s">
        <v>140</v>
      </c>
      <c r="AB2615" s="55" t="s">
        <v>140</v>
      </c>
      <c r="AC2615" s="55" t="s">
        <v>140</v>
      </c>
    </row>
    <row r="2616" spans="1:29" ht="13" x14ac:dyDescent="0.15">
      <c r="A2616" s="72" t="str">
        <f t="shared" si="40"/>
        <v>Ofsted Social Care Provider Webpage</v>
      </c>
      <c r="B2616" s="55" t="s">
        <v>4941</v>
      </c>
      <c r="D2616" s="55" t="s">
        <v>373</v>
      </c>
      <c r="E2616" s="74">
        <v>39153</v>
      </c>
      <c r="F2616" s="55" t="s">
        <v>344</v>
      </c>
      <c r="G2616" s="55" t="s">
        <v>360</v>
      </c>
      <c r="H2616" s="55" t="s">
        <v>360</v>
      </c>
      <c r="I2616" s="55" t="s">
        <v>360</v>
      </c>
      <c r="J2616" s="55" t="s">
        <v>360</v>
      </c>
      <c r="K2616" s="55" t="s">
        <v>360</v>
      </c>
      <c r="L2616" s="55" t="s">
        <v>360</v>
      </c>
      <c r="M2616" s="55" t="s">
        <v>378</v>
      </c>
      <c r="N2616" s="55" t="s">
        <v>134</v>
      </c>
      <c r="O2616" s="55" t="s">
        <v>225</v>
      </c>
      <c r="P2616" s="55" t="s">
        <v>1667</v>
      </c>
      <c r="Q2616" s="55" t="s">
        <v>380</v>
      </c>
      <c r="R2616" s="55">
        <v>1</v>
      </c>
      <c r="S2616" s="74"/>
      <c r="T2616" s="55" t="s">
        <v>1668</v>
      </c>
      <c r="U2616" s="73" t="s">
        <v>351</v>
      </c>
      <c r="V2616" s="74">
        <v>44489</v>
      </c>
      <c r="W2616" s="74">
        <v>44537</v>
      </c>
      <c r="X2616" s="55">
        <v>10204755</v>
      </c>
      <c r="Y2616" s="55" t="s">
        <v>130</v>
      </c>
      <c r="AB2616" s="55" t="s">
        <v>130</v>
      </c>
      <c r="AC2616" s="55" t="s">
        <v>130</v>
      </c>
    </row>
    <row r="2617" spans="1:29" ht="13" x14ac:dyDescent="0.15">
      <c r="A2617" s="72" t="str">
        <f t="shared" si="40"/>
        <v>Ofsted Social Care Provider Webpage</v>
      </c>
      <c r="B2617" s="55" t="s">
        <v>4942</v>
      </c>
      <c r="D2617" s="55" t="s">
        <v>373</v>
      </c>
      <c r="E2617" s="74">
        <v>39247</v>
      </c>
      <c r="F2617" s="55" t="s">
        <v>344</v>
      </c>
      <c r="G2617" s="55" t="s">
        <v>360</v>
      </c>
      <c r="H2617" s="55" t="s">
        <v>360</v>
      </c>
      <c r="I2617" s="55" t="s">
        <v>360</v>
      </c>
      <c r="J2617" s="55" t="s">
        <v>360</v>
      </c>
      <c r="K2617" s="55" t="s">
        <v>360</v>
      </c>
      <c r="L2617" s="55" t="s">
        <v>360</v>
      </c>
      <c r="M2617" s="55" t="s">
        <v>378</v>
      </c>
      <c r="N2617" s="55" t="s">
        <v>134</v>
      </c>
      <c r="O2617" s="55" t="s">
        <v>277</v>
      </c>
      <c r="P2617" s="55" t="s">
        <v>277</v>
      </c>
      <c r="Q2617" s="55" t="s">
        <v>350</v>
      </c>
      <c r="R2617" s="55">
        <v>2</v>
      </c>
      <c r="S2617" s="74"/>
      <c r="T2617" s="55" t="s">
        <v>2448</v>
      </c>
      <c r="U2617" s="73" t="s">
        <v>351</v>
      </c>
      <c r="V2617" s="74">
        <v>44335</v>
      </c>
      <c r="W2617" s="74">
        <v>44368</v>
      </c>
      <c r="X2617" s="55">
        <v>10185585</v>
      </c>
      <c r="Y2617" s="55" t="s">
        <v>132</v>
      </c>
      <c r="AB2617" s="55" t="s">
        <v>132</v>
      </c>
      <c r="AC2617" s="55" t="s">
        <v>132</v>
      </c>
    </row>
    <row r="2618" spans="1:29" ht="13" x14ac:dyDescent="0.15">
      <c r="A2618" s="72" t="str">
        <f t="shared" si="40"/>
        <v>Ofsted Social Care Provider Webpage</v>
      </c>
      <c r="B2618" s="55" t="s">
        <v>4943</v>
      </c>
      <c r="D2618" s="55" t="s">
        <v>373</v>
      </c>
      <c r="E2618" s="74">
        <v>39265</v>
      </c>
      <c r="F2618" s="55" t="s">
        <v>344</v>
      </c>
      <c r="G2618" s="55" t="s">
        <v>360</v>
      </c>
      <c r="H2618" s="55" t="s">
        <v>360</v>
      </c>
      <c r="I2618" s="55" t="s">
        <v>360</v>
      </c>
      <c r="J2618" s="55" t="s">
        <v>360</v>
      </c>
      <c r="K2618" s="55" t="s">
        <v>360</v>
      </c>
      <c r="L2618" s="55" t="s">
        <v>360</v>
      </c>
      <c r="M2618" s="55" t="s">
        <v>378</v>
      </c>
      <c r="N2618" s="55" t="s">
        <v>134</v>
      </c>
      <c r="O2618" s="55" t="s">
        <v>133</v>
      </c>
      <c r="P2618" s="55" t="s">
        <v>1804</v>
      </c>
      <c r="Q2618" s="55" t="s">
        <v>350</v>
      </c>
      <c r="R2618" s="55">
        <v>2</v>
      </c>
      <c r="S2618" s="74"/>
      <c r="T2618" s="55" t="s">
        <v>2448</v>
      </c>
      <c r="U2618" s="73" t="s">
        <v>351</v>
      </c>
      <c r="V2618" s="74">
        <v>44544</v>
      </c>
      <c r="W2618" s="74">
        <v>44589</v>
      </c>
      <c r="X2618" s="55">
        <v>10186116</v>
      </c>
      <c r="Y2618" s="55" t="s">
        <v>132</v>
      </c>
      <c r="AB2618" s="55" t="s">
        <v>132</v>
      </c>
      <c r="AC2618" s="55" t="s">
        <v>132</v>
      </c>
    </row>
    <row r="2619" spans="1:29" ht="13" x14ac:dyDescent="0.15">
      <c r="A2619" s="72" t="str">
        <f t="shared" si="40"/>
        <v>Ofsted Social Care Provider Webpage</v>
      </c>
      <c r="B2619" s="55" t="s">
        <v>4944</v>
      </c>
      <c r="D2619" s="55" t="s">
        <v>373</v>
      </c>
      <c r="E2619" s="74">
        <v>39374</v>
      </c>
      <c r="F2619" s="55" t="s">
        <v>344</v>
      </c>
      <c r="G2619" s="55" t="s">
        <v>360</v>
      </c>
      <c r="H2619" s="55" t="s">
        <v>360</v>
      </c>
      <c r="I2619" s="55" t="s">
        <v>360</v>
      </c>
      <c r="J2619" s="55" t="s">
        <v>360</v>
      </c>
      <c r="K2619" s="55" t="s">
        <v>360</v>
      </c>
      <c r="L2619" s="55" t="s">
        <v>360</v>
      </c>
      <c r="M2619" s="55" t="s">
        <v>142</v>
      </c>
      <c r="N2619" s="55" t="s">
        <v>142</v>
      </c>
      <c r="O2619" s="55" t="s">
        <v>265</v>
      </c>
      <c r="P2619" s="55" t="s">
        <v>540</v>
      </c>
      <c r="Q2619" s="55" t="s">
        <v>350</v>
      </c>
      <c r="R2619" s="55">
        <v>2</v>
      </c>
      <c r="S2619" s="74"/>
      <c r="T2619" s="55" t="s">
        <v>1505</v>
      </c>
      <c r="U2619" s="73" t="s">
        <v>351</v>
      </c>
      <c r="V2619" s="74">
        <v>44586</v>
      </c>
      <c r="W2619" s="74">
        <v>44673</v>
      </c>
      <c r="X2619" s="55">
        <v>10186585</v>
      </c>
      <c r="Y2619" s="55" t="s">
        <v>132</v>
      </c>
      <c r="AB2619" s="55" t="s">
        <v>132</v>
      </c>
      <c r="AC2619" s="55" t="s">
        <v>130</v>
      </c>
    </row>
    <row r="2620" spans="1:29" ht="13" x14ac:dyDescent="0.15">
      <c r="A2620" s="72" t="str">
        <f t="shared" si="40"/>
        <v>Ofsted Social Care Provider Webpage</v>
      </c>
      <c r="B2620" s="55" t="s">
        <v>4945</v>
      </c>
      <c r="D2620" s="55" t="s">
        <v>373</v>
      </c>
      <c r="E2620" s="74">
        <v>39266</v>
      </c>
      <c r="F2620" s="55" t="s">
        <v>344</v>
      </c>
      <c r="G2620" s="55" t="s">
        <v>360</v>
      </c>
      <c r="H2620" s="55" t="s">
        <v>360</v>
      </c>
      <c r="I2620" s="55" t="s">
        <v>360</v>
      </c>
      <c r="J2620" s="55" t="s">
        <v>360</v>
      </c>
      <c r="K2620" s="55" t="s">
        <v>360</v>
      </c>
      <c r="L2620" s="55" t="s">
        <v>360</v>
      </c>
      <c r="M2620" s="55" t="s">
        <v>142</v>
      </c>
      <c r="N2620" s="55" t="s">
        <v>142</v>
      </c>
      <c r="O2620" s="55" t="s">
        <v>262</v>
      </c>
      <c r="P2620" s="55" t="s">
        <v>618</v>
      </c>
      <c r="Q2620" s="55" t="s">
        <v>350</v>
      </c>
      <c r="R2620" s="55">
        <v>3</v>
      </c>
      <c r="S2620" s="74"/>
      <c r="T2620" s="55" t="s">
        <v>4819</v>
      </c>
      <c r="U2620" s="73" t="s">
        <v>351</v>
      </c>
      <c r="V2620" s="74">
        <v>44299</v>
      </c>
      <c r="W2620" s="74">
        <v>44336</v>
      </c>
      <c r="X2620" s="55">
        <v>10187672</v>
      </c>
      <c r="Y2620" s="55" t="s">
        <v>132</v>
      </c>
      <c r="AB2620" s="55" t="s">
        <v>132</v>
      </c>
      <c r="AC2620" s="55" t="s">
        <v>130</v>
      </c>
    </row>
    <row r="2621" spans="1:29" ht="13" x14ac:dyDescent="0.15">
      <c r="A2621" s="72" t="str">
        <f t="shared" si="40"/>
        <v>Ofsted Social Care Provider Webpage</v>
      </c>
      <c r="B2621" s="55" t="s">
        <v>4946</v>
      </c>
      <c r="D2621" s="55" t="s">
        <v>373</v>
      </c>
      <c r="E2621" s="74">
        <v>39519</v>
      </c>
      <c r="F2621" s="55" t="s">
        <v>344</v>
      </c>
      <c r="G2621" s="55" t="s">
        <v>360</v>
      </c>
      <c r="H2621" s="55" t="s">
        <v>360</v>
      </c>
      <c r="I2621" s="55" t="s">
        <v>360</v>
      </c>
      <c r="J2621" s="55" t="s">
        <v>360</v>
      </c>
      <c r="K2621" s="55" t="s">
        <v>360</v>
      </c>
      <c r="L2621" s="55" t="s">
        <v>360</v>
      </c>
      <c r="M2621" s="55" t="s">
        <v>142</v>
      </c>
      <c r="N2621" s="55" t="s">
        <v>142</v>
      </c>
      <c r="O2621" s="55" t="s">
        <v>292</v>
      </c>
      <c r="P2621" s="55" t="s">
        <v>1052</v>
      </c>
      <c r="Q2621" s="55" t="s">
        <v>350</v>
      </c>
      <c r="R2621" s="55">
        <v>2</v>
      </c>
      <c r="S2621" s="74"/>
      <c r="T2621" s="55" t="s">
        <v>4947</v>
      </c>
      <c r="U2621" s="73" t="s">
        <v>351</v>
      </c>
      <c r="V2621" s="74">
        <v>44629</v>
      </c>
      <c r="W2621" s="74">
        <v>44670</v>
      </c>
      <c r="X2621" s="55">
        <v>10185625</v>
      </c>
      <c r="Y2621" s="55" t="s">
        <v>132</v>
      </c>
      <c r="AB2621" s="55" t="s">
        <v>132</v>
      </c>
      <c r="AC2621" s="55" t="s">
        <v>132</v>
      </c>
    </row>
    <row r="2622" spans="1:29" ht="13" x14ac:dyDescent="0.15">
      <c r="A2622" s="72" t="str">
        <f t="shared" si="40"/>
        <v>Ofsted Social Care Provider Webpage</v>
      </c>
      <c r="B2622" s="55" t="s">
        <v>4948</v>
      </c>
      <c r="D2622" s="55" t="s">
        <v>373</v>
      </c>
      <c r="E2622" s="74">
        <v>39329</v>
      </c>
      <c r="F2622" s="55" t="s">
        <v>344</v>
      </c>
      <c r="G2622" s="55" t="s">
        <v>360</v>
      </c>
      <c r="H2622" s="55" t="s">
        <v>360</v>
      </c>
      <c r="I2622" s="55" t="s">
        <v>360</v>
      </c>
      <c r="J2622" s="55" t="s">
        <v>360</v>
      </c>
      <c r="K2622" s="55" t="s">
        <v>360</v>
      </c>
      <c r="L2622" s="55" t="s">
        <v>360</v>
      </c>
      <c r="M2622" s="55" t="s">
        <v>378</v>
      </c>
      <c r="N2622" s="55" t="s">
        <v>134</v>
      </c>
      <c r="O2622" s="55" t="s">
        <v>133</v>
      </c>
      <c r="P2622" s="55" t="s">
        <v>2789</v>
      </c>
      <c r="Q2622" s="55" t="s">
        <v>350</v>
      </c>
      <c r="R2622" s="55">
        <v>4</v>
      </c>
      <c r="S2622" s="74"/>
      <c r="T2622" s="55" t="s">
        <v>1251</v>
      </c>
      <c r="U2622" s="73" t="s">
        <v>351</v>
      </c>
      <c r="V2622" s="74">
        <v>44594</v>
      </c>
      <c r="W2622" s="74">
        <v>44636</v>
      </c>
      <c r="X2622" s="55">
        <v>10185113</v>
      </c>
      <c r="Y2622" s="55" t="s">
        <v>140</v>
      </c>
      <c r="AB2622" s="55" t="s">
        <v>140</v>
      </c>
      <c r="AC2622" s="55" t="s">
        <v>140</v>
      </c>
    </row>
    <row r="2623" spans="1:29" ht="13" x14ac:dyDescent="0.15">
      <c r="A2623" s="72" t="str">
        <f t="shared" si="40"/>
        <v>Ofsted Social Care Provider Webpage</v>
      </c>
      <c r="B2623" s="55" t="s">
        <v>4949</v>
      </c>
      <c r="D2623" s="55" t="s">
        <v>373</v>
      </c>
      <c r="E2623" s="74">
        <v>39272</v>
      </c>
      <c r="F2623" s="55" t="s">
        <v>344</v>
      </c>
      <c r="G2623" s="55" t="s">
        <v>360</v>
      </c>
      <c r="H2623" s="55" t="s">
        <v>360</v>
      </c>
      <c r="I2623" s="55" t="s">
        <v>360</v>
      </c>
      <c r="J2623" s="55" t="s">
        <v>360</v>
      </c>
      <c r="K2623" s="55" t="s">
        <v>360</v>
      </c>
      <c r="L2623" s="55" t="s">
        <v>360</v>
      </c>
      <c r="M2623" s="55" t="s">
        <v>144</v>
      </c>
      <c r="N2623" s="55" t="s">
        <v>144</v>
      </c>
      <c r="O2623" s="55" t="s">
        <v>236</v>
      </c>
      <c r="P2623" s="55" t="s">
        <v>996</v>
      </c>
      <c r="Q2623" s="55" t="s">
        <v>350</v>
      </c>
      <c r="R2623" s="55">
        <v>4</v>
      </c>
      <c r="S2623" s="74"/>
      <c r="T2623" s="55" t="s">
        <v>4468</v>
      </c>
      <c r="U2623" s="73" t="s">
        <v>351</v>
      </c>
      <c r="V2623" s="74">
        <v>44594</v>
      </c>
      <c r="W2623" s="74">
        <v>44637</v>
      </c>
      <c r="X2623" s="55">
        <v>10185531</v>
      </c>
      <c r="Y2623" s="55" t="s">
        <v>132</v>
      </c>
      <c r="AB2623" s="55" t="s">
        <v>130</v>
      </c>
      <c r="AC2623" s="55" t="s">
        <v>130</v>
      </c>
    </row>
    <row r="2624" spans="1:29" ht="13" x14ac:dyDescent="0.15">
      <c r="A2624" s="72" t="str">
        <f t="shared" si="40"/>
        <v>Ofsted Social Care Provider Webpage</v>
      </c>
      <c r="B2624" s="55" t="s">
        <v>4950</v>
      </c>
      <c r="D2624" s="55" t="s">
        <v>373</v>
      </c>
      <c r="E2624" s="74">
        <v>39168</v>
      </c>
      <c r="F2624" s="55" t="s">
        <v>344</v>
      </c>
      <c r="G2624" s="55" t="s">
        <v>360</v>
      </c>
      <c r="H2624" s="55" t="s">
        <v>360</v>
      </c>
      <c r="I2624" s="55" t="s">
        <v>360</v>
      </c>
      <c r="J2624" s="55" t="s">
        <v>360</v>
      </c>
      <c r="K2624" s="55" t="s">
        <v>360</v>
      </c>
      <c r="L2624" s="55" t="s">
        <v>360</v>
      </c>
      <c r="M2624" s="55" t="s">
        <v>144</v>
      </c>
      <c r="N2624" s="55" t="s">
        <v>144</v>
      </c>
      <c r="O2624" s="55" t="s">
        <v>157</v>
      </c>
      <c r="P2624" s="55" t="s">
        <v>1092</v>
      </c>
      <c r="Q2624" s="55" t="s">
        <v>350</v>
      </c>
      <c r="R2624" s="55">
        <v>2</v>
      </c>
      <c r="S2624" s="74"/>
      <c r="T2624" s="55" t="s">
        <v>711</v>
      </c>
      <c r="U2624" s="73" t="s">
        <v>351</v>
      </c>
      <c r="V2624" s="74">
        <v>44586</v>
      </c>
      <c r="W2624" s="74">
        <v>44620</v>
      </c>
      <c r="X2624" s="55">
        <v>10187533</v>
      </c>
      <c r="Y2624" s="55" t="s">
        <v>132</v>
      </c>
      <c r="AB2624" s="55" t="s">
        <v>132</v>
      </c>
      <c r="AC2624" s="55" t="s">
        <v>140</v>
      </c>
    </row>
    <row r="2625" spans="1:29" ht="13" x14ac:dyDescent="0.15">
      <c r="A2625" s="72" t="str">
        <f t="shared" si="40"/>
        <v>Ofsted Social Care Provider Webpage</v>
      </c>
      <c r="B2625" s="55" t="s">
        <v>4951</v>
      </c>
      <c r="D2625" s="55" t="s">
        <v>373</v>
      </c>
      <c r="E2625" s="74">
        <v>39309</v>
      </c>
      <c r="F2625" s="55" t="s">
        <v>344</v>
      </c>
      <c r="G2625" s="55" t="s">
        <v>360</v>
      </c>
      <c r="H2625" s="55" t="s">
        <v>360</v>
      </c>
      <c r="I2625" s="55" t="s">
        <v>360</v>
      </c>
      <c r="J2625" s="55" t="s">
        <v>360</v>
      </c>
      <c r="K2625" s="55" t="s">
        <v>360</v>
      </c>
      <c r="L2625" s="55" t="s">
        <v>360</v>
      </c>
      <c r="M2625" s="55" t="s">
        <v>378</v>
      </c>
      <c r="N2625" s="55" t="s">
        <v>134</v>
      </c>
      <c r="O2625" s="55" t="s">
        <v>251</v>
      </c>
      <c r="P2625" s="55" t="s">
        <v>3357</v>
      </c>
      <c r="Q2625" s="55" t="s">
        <v>380</v>
      </c>
      <c r="R2625" s="55">
        <v>5</v>
      </c>
      <c r="S2625" s="74"/>
      <c r="T2625" s="55" t="s">
        <v>3358</v>
      </c>
      <c r="U2625" s="73" t="s">
        <v>351</v>
      </c>
      <c r="V2625" s="74">
        <v>44524</v>
      </c>
      <c r="W2625" s="74">
        <v>44575</v>
      </c>
      <c r="X2625" s="55">
        <v>10187068</v>
      </c>
      <c r="Y2625" s="55" t="s">
        <v>130</v>
      </c>
      <c r="AB2625" s="55" t="s">
        <v>130</v>
      </c>
      <c r="AC2625" s="55" t="s">
        <v>130</v>
      </c>
    </row>
    <row r="2626" spans="1:29" ht="13" x14ac:dyDescent="0.15">
      <c r="A2626" s="72" t="str">
        <f t="shared" si="40"/>
        <v>Ofsted Social Care Provider Webpage</v>
      </c>
      <c r="B2626" s="55" t="s">
        <v>4952</v>
      </c>
      <c r="D2626" s="55" t="s">
        <v>373</v>
      </c>
      <c r="E2626" s="74">
        <v>39265</v>
      </c>
      <c r="F2626" s="55" t="s">
        <v>344</v>
      </c>
      <c r="G2626" s="55" t="s">
        <v>360</v>
      </c>
      <c r="H2626" s="55" t="s">
        <v>360</v>
      </c>
      <c r="I2626" s="55" t="s">
        <v>360</v>
      </c>
      <c r="J2626" s="55" t="s">
        <v>360</v>
      </c>
      <c r="K2626" s="55" t="s">
        <v>360</v>
      </c>
      <c r="L2626" s="55" t="s">
        <v>360</v>
      </c>
      <c r="M2626" s="55" t="s">
        <v>144</v>
      </c>
      <c r="N2626" s="55" t="s">
        <v>144</v>
      </c>
      <c r="O2626" s="55" t="s">
        <v>168</v>
      </c>
      <c r="P2626" s="55" t="s">
        <v>913</v>
      </c>
      <c r="Q2626" s="55" t="s">
        <v>350</v>
      </c>
      <c r="R2626" s="55">
        <v>9</v>
      </c>
      <c r="S2626" s="74"/>
      <c r="T2626" s="55" t="s">
        <v>2358</v>
      </c>
      <c r="U2626" s="73" t="s">
        <v>351</v>
      </c>
      <c r="V2626" s="74">
        <v>44566</v>
      </c>
      <c r="W2626" s="74">
        <v>44613</v>
      </c>
      <c r="X2626" s="55">
        <v>10186173</v>
      </c>
      <c r="Y2626" s="55" t="s">
        <v>140</v>
      </c>
      <c r="AB2626" s="55" t="s">
        <v>140</v>
      </c>
      <c r="AC2626" s="55" t="s">
        <v>132</v>
      </c>
    </row>
    <row r="2627" spans="1:29" ht="13" x14ac:dyDescent="0.15">
      <c r="A2627" s="72" t="str">
        <f t="shared" si="40"/>
        <v>Ofsted Social Care Provider Webpage</v>
      </c>
      <c r="B2627" s="55" t="s">
        <v>4953</v>
      </c>
      <c r="D2627" s="55" t="s">
        <v>373</v>
      </c>
      <c r="E2627" s="74">
        <v>39169</v>
      </c>
      <c r="F2627" s="55" t="s">
        <v>344</v>
      </c>
      <c r="G2627" s="55" t="s">
        <v>360</v>
      </c>
      <c r="H2627" s="55" t="s">
        <v>360</v>
      </c>
      <c r="I2627" s="55" t="s">
        <v>360</v>
      </c>
      <c r="J2627" s="55" t="s">
        <v>360</v>
      </c>
      <c r="K2627" s="55" t="s">
        <v>360</v>
      </c>
      <c r="L2627" s="55" t="s">
        <v>360</v>
      </c>
      <c r="M2627" s="55" t="s">
        <v>144</v>
      </c>
      <c r="N2627" s="55" t="s">
        <v>144</v>
      </c>
      <c r="O2627" s="55" t="s">
        <v>207</v>
      </c>
      <c r="P2627" s="55" t="s">
        <v>207</v>
      </c>
      <c r="Q2627" s="55" t="s">
        <v>350</v>
      </c>
      <c r="R2627" s="55">
        <v>3</v>
      </c>
      <c r="S2627" s="74"/>
      <c r="T2627" s="55" t="s">
        <v>2947</v>
      </c>
      <c r="U2627" s="73" t="s">
        <v>351</v>
      </c>
      <c r="V2627" s="74">
        <v>44468</v>
      </c>
      <c r="W2627" s="74">
        <v>44547</v>
      </c>
      <c r="X2627" s="55">
        <v>10199100</v>
      </c>
      <c r="Y2627" s="55" t="s">
        <v>130</v>
      </c>
      <c r="AB2627" s="55" t="s">
        <v>130</v>
      </c>
      <c r="AC2627" s="55" t="s">
        <v>130</v>
      </c>
    </row>
    <row r="2628" spans="1:29" ht="13" x14ac:dyDescent="0.15">
      <c r="A2628" s="72" t="str">
        <f t="shared" si="40"/>
        <v>Ofsted Social Care Provider Webpage</v>
      </c>
      <c r="B2628" s="55" t="s">
        <v>4954</v>
      </c>
      <c r="D2628" s="55" t="s">
        <v>373</v>
      </c>
      <c r="E2628" s="74">
        <v>39169</v>
      </c>
      <c r="F2628" s="55" t="s">
        <v>344</v>
      </c>
      <c r="G2628" s="55" t="s">
        <v>360</v>
      </c>
      <c r="H2628" s="55" t="s">
        <v>360</v>
      </c>
      <c r="I2628" s="55" t="s">
        <v>360</v>
      </c>
      <c r="J2628" s="55" t="s">
        <v>360</v>
      </c>
      <c r="K2628" s="55" t="s">
        <v>360</v>
      </c>
      <c r="L2628" s="55" t="s">
        <v>360</v>
      </c>
      <c r="M2628" s="55" t="s">
        <v>378</v>
      </c>
      <c r="N2628" s="55" t="s">
        <v>134</v>
      </c>
      <c r="O2628" s="55" t="s">
        <v>206</v>
      </c>
      <c r="P2628" s="55" t="s">
        <v>710</v>
      </c>
      <c r="Q2628" s="55" t="s">
        <v>380</v>
      </c>
      <c r="R2628" s="55">
        <v>6</v>
      </c>
      <c r="S2628" s="74"/>
      <c r="T2628" s="55" t="s">
        <v>3113</v>
      </c>
      <c r="U2628" s="73" t="s">
        <v>351</v>
      </c>
      <c r="V2628" s="74">
        <v>44417</v>
      </c>
      <c r="W2628" s="74">
        <v>44473</v>
      </c>
      <c r="X2628" s="55">
        <v>10185520</v>
      </c>
      <c r="Y2628" s="55" t="s">
        <v>130</v>
      </c>
      <c r="AB2628" s="55" t="s">
        <v>130</v>
      </c>
      <c r="AC2628" s="55" t="s">
        <v>130</v>
      </c>
    </row>
    <row r="2629" spans="1:29" ht="13" x14ac:dyDescent="0.15">
      <c r="A2629" s="72" t="str">
        <f t="shared" si="40"/>
        <v>Ofsted Social Care Provider Webpage</v>
      </c>
      <c r="B2629" s="55" t="s">
        <v>4955</v>
      </c>
      <c r="D2629" s="55" t="s">
        <v>373</v>
      </c>
      <c r="E2629" s="74">
        <v>39246</v>
      </c>
      <c r="F2629" s="55" t="s">
        <v>344</v>
      </c>
      <c r="G2629" s="55" t="s">
        <v>360</v>
      </c>
      <c r="H2629" s="55" t="s">
        <v>360</v>
      </c>
      <c r="I2629" s="55" t="s">
        <v>360</v>
      </c>
      <c r="J2629" s="55" t="s">
        <v>360</v>
      </c>
      <c r="K2629" s="55" t="s">
        <v>360</v>
      </c>
      <c r="L2629" s="55" t="s">
        <v>360</v>
      </c>
      <c r="M2629" s="55" t="s">
        <v>172</v>
      </c>
      <c r="N2629" s="55" t="s">
        <v>172</v>
      </c>
      <c r="O2629" s="55" t="s">
        <v>234</v>
      </c>
      <c r="P2629" s="55" t="s">
        <v>965</v>
      </c>
      <c r="Q2629" s="55" t="s">
        <v>350</v>
      </c>
      <c r="R2629" s="55">
        <v>4</v>
      </c>
      <c r="S2629" s="74"/>
      <c r="T2629" s="55" t="s">
        <v>1105</v>
      </c>
      <c r="U2629" s="73" t="s">
        <v>351</v>
      </c>
      <c r="V2629" s="74">
        <v>44627</v>
      </c>
      <c r="W2629" s="74">
        <v>44665</v>
      </c>
      <c r="X2629" s="55">
        <v>10185576</v>
      </c>
      <c r="Y2629" s="55" t="s">
        <v>140</v>
      </c>
      <c r="AB2629" s="55" t="s">
        <v>140</v>
      </c>
      <c r="AC2629" s="55" t="s">
        <v>132</v>
      </c>
    </row>
    <row r="2630" spans="1:29" ht="13" x14ac:dyDescent="0.15">
      <c r="A2630" s="72" t="str">
        <f t="shared" ref="A2630:A2693" si="41">HYPERLINK(_xlfn.CONCAT("http://reports.ofsted.gov.uk/inspection-reports/find-inspection-report/provider/CARE/",B2630),"Ofsted Social Care Provider Webpage")</f>
        <v>Ofsted Social Care Provider Webpage</v>
      </c>
      <c r="B2630" s="55" t="s">
        <v>4956</v>
      </c>
      <c r="D2630" s="55" t="s">
        <v>373</v>
      </c>
      <c r="E2630" s="74">
        <v>39168</v>
      </c>
      <c r="F2630" s="55" t="s">
        <v>344</v>
      </c>
      <c r="G2630" s="55" t="s">
        <v>360</v>
      </c>
      <c r="H2630" s="55" t="s">
        <v>360</v>
      </c>
      <c r="I2630" s="55" t="s">
        <v>360</v>
      </c>
      <c r="J2630" s="55" t="s">
        <v>360</v>
      </c>
      <c r="K2630" s="55" t="s">
        <v>360</v>
      </c>
      <c r="L2630" s="55" t="s">
        <v>360</v>
      </c>
      <c r="M2630" s="55" t="s">
        <v>144</v>
      </c>
      <c r="N2630" s="55" t="s">
        <v>144</v>
      </c>
      <c r="O2630" s="55" t="s">
        <v>263</v>
      </c>
      <c r="P2630" s="55" t="s">
        <v>1120</v>
      </c>
      <c r="Q2630" s="55" t="s">
        <v>350</v>
      </c>
      <c r="R2630" s="55">
        <v>3</v>
      </c>
      <c r="S2630" s="74"/>
      <c r="T2630" s="55" t="s">
        <v>1107</v>
      </c>
      <c r="U2630" s="73" t="s">
        <v>351</v>
      </c>
      <c r="V2630" s="74">
        <v>44411</v>
      </c>
      <c r="W2630" s="74">
        <v>44446</v>
      </c>
      <c r="X2630" s="55">
        <v>10187181</v>
      </c>
      <c r="Y2630" s="55" t="s">
        <v>132</v>
      </c>
      <c r="AB2630" s="55" t="s">
        <v>132</v>
      </c>
      <c r="AC2630" s="55" t="s">
        <v>132</v>
      </c>
    </row>
    <row r="2631" spans="1:29" ht="13" x14ac:dyDescent="0.15">
      <c r="A2631" s="72" t="str">
        <f t="shared" si="41"/>
        <v>Ofsted Social Care Provider Webpage</v>
      </c>
      <c r="B2631" s="55" t="s">
        <v>4957</v>
      </c>
      <c r="D2631" s="55" t="s">
        <v>373</v>
      </c>
      <c r="E2631" s="74">
        <v>39503</v>
      </c>
      <c r="F2631" s="55" t="s">
        <v>344</v>
      </c>
      <c r="G2631" s="55" t="s">
        <v>360</v>
      </c>
      <c r="H2631" s="55" t="s">
        <v>360</v>
      </c>
      <c r="I2631" s="55" t="s">
        <v>360</v>
      </c>
      <c r="J2631" s="55" t="s">
        <v>360</v>
      </c>
      <c r="K2631" s="55" t="s">
        <v>360</v>
      </c>
      <c r="L2631" s="55" t="s">
        <v>360</v>
      </c>
      <c r="M2631" s="55" t="s">
        <v>144</v>
      </c>
      <c r="N2631" s="55" t="s">
        <v>144</v>
      </c>
      <c r="O2631" s="55" t="s">
        <v>143</v>
      </c>
      <c r="P2631" s="55" t="s">
        <v>650</v>
      </c>
      <c r="Q2631" s="55" t="s">
        <v>350</v>
      </c>
      <c r="R2631" s="55">
        <v>4</v>
      </c>
      <c r="S2631" s="74"/>
      <c r="T2631" s="55" t="s">
        <v>4958</v>
      </c>
      <c r="U2631" s="73" t="s">
        <v>351</v>
      </c>
      <c r="V2631" s="74">
        <v>44460</v>
      </c>
      <c r="W2631" s="74">
        <v>44503</v>
      </c>
      <c r="X2631" s="55">
        <v>10187616</v>
      </c>
      <c r="Y2631" s="55" t="s">
        <v>140</v>
      </c>
      <c r="AB2631" s="55" t="s">
        <v>140</v>
      </c>
      <c r="AC2631" s="55" t="s">
        <v>140</v>
      </c>
    </row>
    <row r="2632" spans="1:29" ht="13" x14ac:dyDescent="0.15">
      <c r="A2632" s="72" t="str">
        <f t="shared" si="41"/>
        <v>Ofsted Social Care Provider Webpage</v>
      </c>
      <c r="B2632" s="55" t="s">
        <v>4959</v>
      </c>
      <c r="D2632" s="55" t="s">
        <v>373</v>
      </c>
      <c r="E2632" s="74">
        <v>39314</v>
      </c>
      <c r="F2632" s="55" t="s">
        <v>344</v>
      </c>
      <c r="G2632" s="55" t="s">
        <v>360</v>
      </c>
      <c r="H2632" s="55" t="s">
        <v>360</v>
      </c>
      <c r="I2632" s="55" t="s">
        <v>360</v>
      </c>
      <c r="J2632" s="55" t="s">
        <v>360</v>
      </c>
      <c r="K2632" s="55" t="s">
        <v>360</v>
      </c>
      <c r="L2632" s="55" t="s">
        <v>360</v>
      </c>
      <c r="M2632" s="55" t="s">
        <v>144</v>
      </c>
      <c r="N2632" s="55" t="s">
        <v>144</v>
      </c>
      <c r="O2632" s="55" t="s">
        <v>245</v>
      </c>
      <c r="P2632" s="55" t="s">
        <v>245</v>
      </c>
      <c r="Q2632" s="55" t="s">
        <v>350</v>
      </c>
      <c r="R2632" s="55">
        <v>1</v>
      </c>
      <c r="S2632" s="74"/>
      <c r="T2632" s="55" t="s">
        <v>711</v>
      </c>
      <c r="U2632" s="73" t="s">
        <v>351</v>
      </c>
      <c r="V2632" s="74">
        <v>44340</v>
      </c>
      <c r="W2632" s="74">
        <v>44379</v>
      </c>
      <c r="X2632" s="55">
        <v>10186132</v>
      </c>
      <c r="Y2632" s="55" t="s">
        <v>140</v>
      </c>
      <c r="AB2632" s="55" t="s">
        <v>140</v>
      </c>
      <c r="AC2632" s="55" t="s">
        <v>140</v>
      </c>
    </row>
    <row r="2633" spans="1:29" ht="13" x14ac:dyDescent="0.15">
      <c r="A2633" s="72" t="str">
        <f t="shared" si="41"/>
        <v>Ofsted Social Care Provider Webpage</v>
      </c>
      <c r="B2633" s="55" t="s">
        <v>4960</v>
      </c>
      <c r="D2633" s="55" t="s">
        <v>389</v>
      </c>
      <c r="E2633" s="74">
        <v>39314</v>
      </c>
      <c r="F2633" s="55" t="s">
        <v>344</v>
      </c>
      <c r="G2633" s="55" t="s">
        <v>4961</v>
      </c>
      <c r="H2633" s="55" t="s">
        <v>4961</v>
      </c>
      <c r="I2633" s="55" t="s">
        <v>4962</v>
      </c>
      <c r="J2633" s="55" t="s">
        <v>4963</v>
      </c>
      <c r="K2633" s="55" t="s">
        <v>195</v>
      </c>
      <c r="L2633" s="55" t="s">
        <v>4964</v>
      </c>
      <c r="M2633" s="55" t="s">
        <v>142</v>
      </c>
      <c r="N2633" s="55" t="s">
        <v>142</v>
      </c>
      <c r="O2633" s="55" t="s">
        <v>195</v>
      </c>
      <c r="P2633" s="55" t="s">
        <v>518</v>
      </c>
      <c r="Q2633" s="55" t="s">
        <v>350</v>
      </c>
      <c r="R2633" s="55"/>
      <c r="S2633" s="74"/>
      <c r="T2633" s="55" t="s">
        <v>4961</v>
      </c>
      <c r="U2633" s="73" t="s">
        <v>351</v>
      </c>
      <c r="V2633" s="74">
        <v>44592</v>
      </c>
      <c r="W2633" s="74">
        <v>44641</v>
      </c>
      <c r="X2633" s="55">
        <v>10183435</v>
      </c>
      <c r="Y2633" s="55" t="s">
        <v>132</v>
      </c>
      <c r="AB2633" s="55" t="s">
        <v>132</v>
      </c>
      <c r="AC2633" s="55" t="s">
        <v>132</v>
      </c>
    </row>
    <row r="2634" spans="1:29" ht="13" x14ac:dyDescent="0.15">
      <c r="A2634" s="72" t="str">
        <f t="shared" si="41"/>
        <v>Ofsted Social Care Provider Webpage</v>
      </c>
      <c r="B2634" s="55" t="s">
        <v>4965</v>
      </c>
      <c r="D2634" s="55" t="s">
        <v>373</v>
      </c>
      <c r="E2634" s="74">
        <v>39283</v>
      </c>
      <c r="F2634" s="55" t="s">
        <v>344</v>
      </c>
      <c r="G2634" s="55" t="s">
        <v>360</v>
      </c>
      <c r="H2634" s="55" t="s">
        <v>360</v>
      </c>
      <c r="I2634" s="55" t="s">
        <v>360</v>
      </c>
      <c r="J2634" s="55" t="s">
        <v>360</v>
      </c>
      <c r="K2634" s="55" t="s">
        <v>360</v>
      </c>
      <c r="L2634" s="55" t="s">
        <v>360</v>
      </c>
      <c r="M2634" s="55" t="s">
        <v>144</v>
      </c>
      <c r="N2634" s="55" t="s">
        <v>144</v>
      </c>
      <c r="O2634" s="55" t="s">
        <v>271</v>
      </c>
      <c r="P2634" s="55" t="s">
        <v>870</v>
      </c>
      <c r="Q2634" s="55" t="s">
        <v>380</v>
      </c>
      <c r="R2634" s="55">
        <v>3</v>
      </c>
      <c r="S2634" s="74"/>
      <c r="T2634" s="55" t="s">
        <v>1121</v>
      </c>
      <c r="U2634" s="73" t="s">
        <v>351</v>
      </c>
      <c r="V2634" s="74">
        <v>44600</v>
      </c>
      <c r="W2634" s="74">
        <v>44643</v>
      </c>
      <c r="X2634" s="55">
        <v>10185499</v>
      </c>
      <c r="Y2634" s="55" t="s">
        <v>130</v>
      </c>
      <c r="AB2634" s="55" t="s">
        <v>130</v>
      </c>
      <c r="AC2634" s="55" t="s">
        <v>146</v>
      </c>
    </row>
    <row r="2635" spans="1:29" ht="13" x14ac:dyDescent="0.15">
      <c r="A2635" s="72" t="str">
        <f t="shared" si="41"/>
        <v>Ofsted Social Care Provider Webpage</v>
      </c>
      <c r="B2635" s="55" t="s">
        <v>4966</v>
      </c>
      <c r="D2635" s="55" t="s">
        <v>373</v>
      </c>
      <c r="E2635" s="74">
        <v>39328</v>
      </c>
      <c r="F2635" s="55" t="s">
        <v>344</v>
      </c>
      <c r="G2635" s="55" t="s">
        <v>360</v>
      </c>
      <c r="H2635" s="55" t="s">
        <v>360</v>
      </c>
      <c r="I2635" s="55" t="s">
        <v>360</v>
      </c>
      <c r="J2635" s="55" t="s">
        <v>360</v>
      </c>
      <c r="K2635" s="55" t="s">
        <v>360</v>
      </c>
      <c r="L2635" s="55" t="s">
        <v>360</v>
      </c>
      <c r="M2635" s="55" t="s">
        <v>150</v>
      </c>
      <c r="N2635" s="55" t="s">
        <v>150</v>
      </c>
      <c r="O2635" s="55" t="s">
        <v>203</v>
      </c>
      <c r="P2635" s="55" t="s">
        <v>800</v>
      </c>
      <c r="Q2635" s="55" t="s">
        <v>350</v>
      </c>
      <c r="R2635" s="55">
        <v>4</v>
      </c>
      <c r="S2635" s="74"/>
      <c r="T2635" s="55" t="s">
        <v>564</v>
      </c>
      <c r="U2635" s="73" t="s">
        <v>351</v>
      </c>
      <c r="V2635" s="74">
        <v>44571</v>
      </c>
      <c r="W2635" s="74">
        <v>44616</v>
      </c>
      <c r="X2635" s="55">
        <v>10186596</v>
      </c>
      <c r="Y2635" s="55" t="s">
        <v>132</v>
      </c>
      <c r="AB2635" s="55" t="s">
        <v>130</v>
      </c>
      <c r="AC2635" s="55" t="s">
        <v>130</v>
      </c>
    </row>
    <row r="2636" spans="1:29" ht="13" x14ac:dyDescent="0.15">
      <c r="A2636" s="72" t="str">
        <f t="shared" si="41"/>
        <v>Ofsted Social Care Provider Webpage</v>
      </c>
      <c r="B2636" s="55" t="s">
        <v>4967</v>
      </c>
      <c r="D2636" s="55" t="s">
        <v>479</v>
      </c>
      <c r="E2636" s="74">
        <v>39955</v>
      </c>
      <c r="F2636" s="55" t="s">
        <v>344</v>
      </c>
      <c r="G2636" s="55" t="s">
        <v>360</v>
      </c>
      <c r="H2636" s="55" t="s">
        <v>360</v>
      </c>
      <c r="I2636" s="55" t="s">
        <v>360</v>
      </c>
      <c r="J2636" s="55" t="s">
        <v>360</v>
      </c>
      <c r="K2636" s="55" t="s">
        <v>360</v>
      </c>
      <c r="L2636" s="55" t="s">
        <v>360</v>
      </c>
      <c r="M2636" s="55" t="s">
        <v>172</v>
      </c>
      <c r="N2636" s="55" t="s">
        <v>172</v>
      </c>
      <c r="O2636" s="55" t="s">
        <v>173</v>
      </c>
      <c r="P2636" s="55" t="s">
        <v>1258</v>
      </c>
      <c r="Q2636" s="55" t="s">
        <v>350</v>
      </c>
      <c r="R2636" s="55">
        <v>32</v>
      </c>
      <c r="S2636" s="74"/>
      <c r="T2636" s="55" t="s">
        <v>4968</v>
      </c>
      <c r="U2636" s="73" t="s">
        <v>351</v>
      </c>
      <c r="V2636" s="74">
        <v>44383</v>
      </c>
      <c r="W2636" s="74">
        <v>44406</v>
      </c>
      <c r="X2636" s="55">
        <v>10185054</v>
      </c>
      <c r="Y2636" s="55" t="s">
        <v>132</v>
      </c>
      <c r="AB2636" s="55" t="s">
        <v>132</v>
      </c>
      <c r="AC2636" s="55" t="s">
        <v>132</v>
      </c>
    </row>
    <row r="2637" spans="1:29" ht="13" x14ac:dyDescent="0.15">
      <c r="A2637" s="72" t="str">
        <f t="shared" si="41"/>
        <v>Ofsted Social Care Provider Webpage</v>
      </c>
      <c r="B2637" s="55" t="s">
        <v>4969</v>
      </c>
      <c r="D2637" s="55" t="s">
        <v>373</v>
      </c>
      <c r="E2637" s="74">
        <v>39167</v>
      </c>
      <c r="F2637" s="55" t="s">
        <v>344</v>
      </c>
      <c r="G2637" s="55" t="s">
        <v>360</v>
      </c>
      <c r="H2637" s="55" t="s">
        <v>360</v>
      </c>
      <c r="I2637" s="55" t="s">
        <v>360</v>
      </c>
      <c r="J2637" s="55" t="s">
        <v>360</v>
      </c>
      <c r="K2637" s="55" t="s">
        <v>360</v>
      </c>
      <c r="L2637" s="55" t="s">
        <v>360</v>
      </c>
      <c r="M2637" s="55" t="s">
        <v>378</v>
      </c>
      <c r="N2637" s="55" t="s">
        <v>134</v>
      </c>
      <c r="O2637" s="55" t="s">
        <v>158</v>
      </c>
      <c r="P2637" s="55" t="s">
        <v>912</v>
      </c>
      <c r="Q2637" s="55" t="s">
        <v>350</v>
      </c>
      <c r="R2637" s="55">
        <v>1</v>
      </c>
      <c r="S2637" s="74"/>
      <c r="T2637" s="55" t="s">
        <v>711</v>
      </c>
      <c r="U2637" s="73" t="s">
        <v>351</v>
      </c>
      <c r="V2637" s="74">
        <v>44440</v>
      </c>
      <c r="W2637" s="74">
        <v>44469</v>
      </c>
      <c r="X2637" s="55">
        <v>10186933</v>
      </c>
      <c r="Y2637" s="55" t="s">
        <v>132</v>
      </c>
      <c r="AB2637" s="55" t="s">
        <v>132</v>
      </c>
      <c r="AC2637" s="55" t="s">
        <v>130</v>
      </c>
    </row>
    <row r="2638" spans="1:29" ht="13" x14ac:dyDescent="0.15">
      <c r="A2638" s="72" t="str">
        <f t="shared" si="41"/>
        <v>Ofsted Social Care Provider Webpage</v>
      </c>
      <c r="B2638" s="55" t="s">
        <v>4970</v>
      </c>
      <c r="D2638" s="55" t="s">
        <v>373</v>
      </c>
      <c r="E2638" s="74">
        <v>39267</v>
      </c>
      <c r="F2638" s="55" t="s">
        <v>344</v>
      </c>
      <c r="G2638" s="55" t="s">
        <v>360</v>
      </c>
      <c r="H2638" s="55" t="s">
        <v>360</v>
      </c>
      <c r="I2638" s="55" t="s">
        <v>360</v>
      </c>
      <c r="J2638" s="55" t="s">
        <v>360</v>
      </c>
      <c r="K2638" s="55" t="s">
        <v>360</v>
      </c>
      <c r="L2638" s="55" t="s">
        <v>360</v>
      </c>
      <c r="M2638" s="55" t="s">
        <v>142</v>
      </c>
      <c r="N2638" s="55" t="s">
        <v>142</v>
      </c>
      <c r="O2638" s="55" t="s">
        <v>265</v>
      </c>
      <c r="P2638" s="55" t="s">
        <v>1066</v>
      </c>
      <c r="Q2638" s="55" t="s">
        <v>350</v>
      </c>
      <c r="R2638" s="55">
        <v>1</v>
      </c>
      <c r="S2638" s="74"/>
      <c r="T2638" s="55" t="s">
        <v>1446</v>
      </c>
      <c r="U2638" s="73" t="s">
        <v>351</v>
      </c>
      <c r="V2638" s="74">
        <v>44369</v>
      </c>
      <c r="W2638" s="74">
        <v>44406</v>
      </c>
      <c r="X2638" s="55">
        <v>10187000</v>
      </c>
      <c r="Y2638" s="55" t="s">
        <v>132</v>
      </c>
      <c r="AB2638" s="55" t="s">
        <v>132</v>
      </c>
      <c r="AC2638" s="55" t="s">
        <v>132</v>
      </c>
    </row>
    <row r="2639" spans="1:29" ht="13" x14ac:dyDescent="0.15">
      <c r="A2639" s="72" t="str">
        <f t="shared" si="41"/>
        <v>Ofsted Social Care Provider Webpage</v>
      </c>
      <c r="B2639" s="55" t="s">
        <v>4971</v>
      </c>
      <c r="D2639" s="55" t="s">
        <v>389</v>
      </c>
      <c r="E2639" s="74">
        <v>39360</v>
      </c>
      <c r="F2639" s="55" t="s">
        <v>344</v>
      </c>
      <c r="G2639" s="55" t="s">
        <v>3372</v>
      </c>
      <c r="H2639" s="55" t="s">
        <v>3066</v>
      </c>
      <c r="I2639" s="55" t="s">
        <v>4972</v>
      </c>
      <c r="J2639" s="55" t="s">
        <v>4828</v>
      </c>
      <c r="L2639" s="55" t="s">
        <v>4257</v>
      </c>
      <c r="M2639" s="55" t="s">
        <v>378</v>
      </c>
      <c r="N2639" s="55" t="s">
        <v>134</v>
      </c>
      <c r="O2639" s="55" t="s">
        <v>210</v>
      </c>
      <c r="P2639" s="55" t="s">
        <v>1250</v>
      </c>
      <c r="Q2639" s="55" t="s">
        <v>350</v>
      </c>
      <c r="R2639" s="55"/>
      <c r="S2639" s="74"/>
      <c r="T2639" s="55" t="s">
        <v>3372</v>
      </c>
      <c r="U2639" s="73" t="s">
        <v>351</v>
      </c>
      <c r="V2639" s="74">
        <v>43269</v>
      </c>
      <c r="W2639" s="74">
        <v>43299</v>
      </c>
      <c r="X2639" s="55">
        <v>10046661</v>
      </c>
      <c r="Y2639" s="55" t="s">
        <v>132</v>
      </c>
      <c r="AB2639" s="55" t="s">
        <v>132</v>
      </c>
      <c r="AC2639" s="55" t="s">
        <v>132</v>
      </c>
    </row>
    <row r="2640" spans="1:29" ht="13" x14ac:dyDescent="0.15">
      <c r="A2640" s="72" t="str">
        <f t="shared" si="41"/>
        <v>Ofsted Social Care Provider Webpage</v>
      </c>
      <c r="B2640" s="55" t="s">
        <v>4973</v>
      </c>
      <c r="D2640" s="55" t="s">
        <v>443</v>
      </c>
      <c r="E2640" s="74">
        <v>39169</v>
      </c>
      <c r="F2640" s="55" t="s">
        <v>344</v>
      </c>
      <c r="G2640" s="55" t="s">
        <v>4974</v>
      </c>
      <c r="H2640" s="55" t="s">
        <v>4975</v>
      </c>
      <c r="I2640" s="55" t="s">
        <v>354</v>
      </c>
      <c r="J2640" s="55" t="s">
        <v>2578</v>
      </c>
      <c r="L2640" s="55" t="s">
        <v>4976</v>
      </c>
      <c r="M2640" s="55" t="s">
        <v>129</v>
      </c>
      <c r="N2640" s="55" t="s">
        <v>129</v>
      </c>
      <c r="O2640" s="55" t="s">
        <v>191</v>
      </c>
      <c r="P2640" s="55" t="s">
        <v>1224</v>
      </c>
      <c r="Q2640" s="55" t="s">
        <v>350</v>
      </c>
      <c r="R2640" s="55"/>
      <c r="S2640" s="74"/>
      <c r="U2640" s="73" t="s">
        <v>351</v>
      </c>
      <c r="V2640" s="74">
        <v>43697</v>
      </c>
      <c r="W2640" s="74">
        <v>43726</v>
      </c>
      <c r="X2640" s="55">
        <v>10092924</v>
      </c>
      <c r="Y2640" s="55" t="s">
        <v>132</v>
      </c>
      <c r="AB2640" s="55" t="s">
        <v>132</v>
      </c>
      <c r="AC2640" s="55" t="s">
        <v>132</v>
      </c>
    </row>
    <row r="2641" spans="1:29" ht="13" x14ac:dyDescent="0.15">
      <c r="A2641" s="72" t="str">
        <f t="shared" si="41"/>
        <v>Ofsted Social Care Provider Webpage</v>
      </c>
      <c r="B2641" s="55" t="s">
        <v>4977</v>
      </c>
      <c r="D2641" s="55" t="s">
        <v>373</v>
      </c>
      <c r="E2641" s="74">
        <v>39171</v>
      </c>
      <c r="F2641" s="55" t="s">
        <v>344</v>
      </c>
      <c r="G2641" s="55" t="s">
        <v>360</v>
      </c>
      <c r="H2641" s="55" t="s">
        <v>360</v>
      </c>
      <c r="I2641" s="55" t="s">
        <v>360</v>
      </c>
      <c r="J2641" s="55" t="s">
        <v>360</v>
      </c>
      <c r="K2641" s="55" t="s">
        <v>360</v>
      </c>
      <c r="L2641" s="55" t="s">
        <v>360</v>
      </c>
      <c r="M2641" s="55" t="s">
        <v>142</v>
      </c>
      <c r="N2641" s="55" t="s">
        <v>142</v>
      </c>
      <c r="O2641" s="55" t="s">
        <v>292</v>
      </c>
      <c r="P2641" s="55" t="s">
        <v>1162</v>
      </c>
      <c r="Q2641" s="55" t="s">
        <v>350</v>
      </c>
      <c r="R2641" s="55">
        <v>4</v>
      </c>
      <c r="S2641" s="74"/>
      <c r="T2641" s="55" t="s">
        <v>385</v>
      </c>
      <c r="U2641" s="73" t="s">
        <v>351</v>
      </c>
      <c r="V2641" s="74">
        <v>44342</v>
      </c>
      <c r="W2641" s="74">
        <v>44378</v>
      </c>
      <c r="X2641" s="55">
        <v>10187034</v>
      </c>
      <c r="Y2641" s="55" t="s">
        <v>132</v>
      </c>
      <c r="AB2641" s="55" t="s">
        <v>132</v>
      </c>
      <c r="AC2641" s="55" t="s">
        <v>132</v>
      </c>
    </row>
    <row r="2642" spans="1:29" ht="13" x14ac:dyDescent="0.15">
      <c r="A2642" s="72" t="str">
        <f t="shared" si="41"/>
        <v>Ofsted Social Care Provider Webpage</v>
      </c>
      <c r="B2642" s="55" t="s">
        <v>4978</v>
      </c>
      <c r="D2642" s="55" t="s">
        <v>373</v>
      </c>
      <c r="E2642" s="74">
        <v>39311</v>
      </c>
      <c r="F2642" s="55" t="s">
        <v>344</v>
      </c>
      <c r="G2642" s="55" t="s">
        <v>360</v>
      </c>
      <c r="H2642" s="55" t="s">
        <v>360</v>
      </c>
      <c r="I2642" s="55" t="s">
        <v>360</v>
      </c>
      <c r="J2642" s="55" t="s">
        <v>360</v>
      </c>
      <c r="K2642" s="55" t="s">
        <v>360</v>
      </c>
      <c r="L2642" s="55" t="s">
        <v>360</v>
      </c>
      <c r="M2642" s="55" t="s">
        <v>150</v>
      </c>
      <c r="N2642" s="55" t="s">
        <v>150</v>
      </c>
      <c r="O2642" s="55" t="s">
        <v>285</v>
      </c>
      <c r="P2642" s="55" t="s">
        <v>565</v>
      </c>
      <c r="Q2642" s="55" t="s">
        <v>350</v>
      </c>
      <c r="R2642" s="55">
        <v>3</v>
      </c>
      <c r="S2642" s="74"/>
      <c r="T2642" s="55" t="s">
        <v>931</v>
      </c>
      <c r="U2642" s="73" t="s">
        <v>351</v>
      </c>
      <c r="V2642" s="74">
        <v>44614</v>
      </c>
      <c r="W2642" s="74">
        <v>44662</v>
      </c>
      <c r="X2642" s="55">
        <v>10186161</v>
      </c>
      <c r="Y2642" s="55" t="s">
        <v>132</v>
      </c>
      <c r="AB2642" s="55" t="s">
        <v>132</v>
      </c>
      <c r="AC2642" s="55" t="s">
        <v>132</v>
      </c>
    </row>
    <row r="2643" spans="1:29" ht="13" x14ac:dyDescent="0.15">
      <c r="A2643" s="72" t="str">
        <f t="shared" si="41"/>
        <v>Ofsted Social Care Provider Webpage</v>
      </c>
      <c r="B2643" s="55" t="s">
        <v>4979</v>
      </c>
      <c r="D2643" s="55" t="s">
        <v>373</v>
      </c>
      <c r="E2643" s="74">
        <v>39330</v>
      </c>
      <c r="F2643" s="55" t="s">
        <v>344</v>
      </c>
      <c r="G2643" s="55" t="s">
        <v>360</v>
      </c>
      <c r="H2643" s="55" t="s">
        <v>360</v>
      </c>
      <c r="I2643" s="55" t="s">
        <v>360</v>
      </c>
      <c r="J2643" s="55" t="s">
        <v>360</v>
      </c>
      <c r="K2643" s="55" t="s">
        <v>360</v>
      </c>
      <c r="L2643" s="55" t="s">
        <v>360</v>
      </c>
      <c r="M2643" s="55" t="s">
        <v>144</v>
      </c>
      <c r="N2643" s="55" t="s">
        <v>144</v>
      </c>
      <c r="O2643" s="55" t="s">
        <v>209</v>
      </c>
      <c r="P2643" s="55" t="s">
        <v>561</v>
      </c>
      <c r="Q2643" s="55" t="s">
        <v>380</v>
      </c>
      <c r="R2643" s="55">
        <v>6</v>
      </c>
      <c r="S2643" s="74"/>
      <c r="T2643" s="55" t="s">
        <v>657</v>
      </c>
      <c r="U2643" s="73" t="s">
        <v>351</v>
      </c>
      <c r="V2643" s="74">
        <v>44509</v>
      </c>
      <c r="W2643" s="74">
        <v>44547</v>
      </c>
      <c r="X2643" s="55">
        <v>10185478</v>
      </c>
      <c r="Y2643" s="55" t="s">
        <v>132</v>
      </c>
      <c r="AB2643" s="55" t="s">
        <v>132</v>
      </c>
      <c r="AC2643" s="55" t="s">
        <v>132</v>
      </c>
    </row>
    <row r="2644" spans="1:29" ht="13" x14ac:dyDescent="0.15">
      <c r="A2644" s="72" t="str">
        <f t="shared" si="41"/>
        <v>Ofsted Social Care Provider Webpage</v>
      </c>
      <c r="B2644" s="55" t="s">
        <v>4980</v>
      </c>
      <c r="D2644" s="55" t="s">
        <v>373</v>
      </c>
      <c r="E2644" s="74">
        <v>39318</v>
      </c>
      <c r="F2644" s="55" t="s">
        <v>344</v>
      </c>
      <c r="G2644" s="55" t="s">
        <v>360</v>
      </c>
      <c r="H2644" s="55" t="s">
        <v>360</v>
      </c>
      <c r="I2644" s="55" t="s">
        <v>360</v>
      </c>
      <c r="J2644" s="55" t="s">
        <v>360</v>
      </c>
      <c r="K2644" s="55" t="s">
        <v>360</v>
      </c>
      <c r="L2644" s="55" t="s">
        <v>360</v>
      </c>
      <c r="M2644" s="55" t="s">
        <v>142</v>
      </c>
      <c r="N2644" s="55" t="s">
        <v>142</v>
      </c>
      <c r="O2644" s="55" t="s">
        <v>292</v>
      </c>
      <c r="P2644" s="55" t="s">
        <v>1052</v>
      </c>
      <c r="Q2644" s="55" t="s">
        <v>350</v>
      </c>
      <c r="R2644" s="55">
        <v>5</v>
      </c>
      <c r="S2644" s="74"/>
      <c r="T2644" s="55" t="s">
        <v>385</v>
      </c>
      <c r="U2644" s="73" t="s">
        <v>351</v>
      </c>
      <c r="V2644" s="74">
        <v>44369</v>
      </c>
      <c r="W2644" s="74">
        <v>44392</v>
      </c>
      <c r="X2644" s="55">
        <v>10185366</v>
      </c>
      <c r="Y2644" s="55" t="s">
        <v>132</v>
      </c>
      <c r="AB2644" s="55" t="s">
        <v>132</v>
      </c>
      <c r="AC2644" s="55" t="s">
        <v>132</v>
      </c>
    </row>
    <row r="2645" spans="1:29" ht="13" x14ac:dyDescent="0.15">
      <c r="A2645" s="72" t="str">
        <f t="shared" si="41"/>
        <v>Ofsted Social Care Provider Webpage</v>
      </c>
      <c r="B2645" s="55" t="s">
        <v>4981</v>
      </c>
      <c r="D2645" s="55" t="s">
        <v>389</v>
      </c>
      <c r="E2645" s="74">
        <v>39363</v>
      </c>
      <c r="F2645" s="55" t="s">
        <v>344</v>
      </c>
      <c r="G2645" s="55" t="s">
        <v>4982</v>
      </c>
      <c r="H2645" s="55" t="s">
        <v>4983</v>
      </c>
      <c r="I2645" s="55" t="s">
        <v>4984</v>
      </c>
      <c r="J2645" s="55" t="s">
        <v>4985</v>
      </c>
      <c r="K2645" s="55" t="s">
        <v>288</v>
      </c>
      <c r="L2645" s="55" t="s">
        <v>4986</v>
      </c>
      <c r="M2645" s="55" t="s">
        <v>136</v>
      </c>
      <c r="N2645" s="55" t="s">
        <v>136</v>
      </c>
      <c r="O2645" s="55" t="s">
        <v>288</v>
      </c>
      <c r="P2645" s="55" t="s">
        <v>1388</v>
      </c>
      <c r="Q2645" s="55" t="s">
        <v>350</v>
      </c>
      <c r="R2645" s="55"/>
      <c r="S2645" s="74"/>
      <c r="T2645" s="55" t="s">
        <v>4987</v>
      </c>
      <c r="U2645" s="73" t="s">
        <v>351</v>
      </c>
      <c r="V2645" s="74">
        <v>43486</v>
      </c>
      <c r="W2645" s="74">
        <v>43511</v>
      </c>
      <c r="X2645" s="55">
        <v>10045679</v>
      </c>
      <c r="Y2645" s="55" t="s">
        <v>132</v>
      </c>
      <c r="AB2645" s="55" t="s">
        <v>132</v>
      </c>
      <c r="AC2645" s="55" t="s">
        <v>132</v>
      </c>
    </row>
    <row r="2646" spans="1:29" ht="13" x14ac:dyDescent="0.15">
      <c r="A2646" s="72" t="str">
        <f t="shared" si="41"/>
        <v>Ofsted Social Care Provider Webpage</v>
      </c>
      <c r="B2646" s="55" t="s">
        <v>4988</v>
      </c>
      <c r="D2646" s="55" t="s">
        <v>389</v>
      </c>
      <c r="E2646" s="74">
        <v>39164</v>
      </c>
      <c r="F2646" s="55" t="s">
        <v>344</v>
      </c>
      <c r="G2646" s="55" t="s">
        <v>4989</v>
      </c>
      <c r="H2646" s="55" t="s">
        <v>4990</v>
      </c>
      <c r="I2646" s="55" t="s">
        <v>4991</v>
      </c>
      <c r="J2646" s="55" t="s">
        <v>1060</v>
      </c>
      <c r="L2646" s="55" t="s">
        <v>4992</v>
      </c>
      <c r="M2646" s="55" t="s">
        <v>142</v>
      </c>
      <c r="N2646" s="55" t="s">
        <v>142</v>
      </c>
      <c r="O2646" s="55" t="s">
        <v>293</v>
      </c>
      <c r="P2646" s="55" t="s">
        <v>1060</v>
      </c>
      <c r="Q2646" s="55" t="s">
        <v>350</v>
      </c>
      <c r="R2646" s="55"/>
      <c r="S2646" s="74"/>
      <c r="T2646" s="55" t="s">
        <v>4993</v>
      </c>
      <c r="U2646" s="73" t="s">
        <v>351</v>
      </c>
      <c r="V2646" s="74">
        <v>43563</v>
      </c>
      <c r="W2646" s="74">
        <v>43609</v>
      </c>
      <c r="X2646" s="55">
        <v>10093248</v>
      </c>
      <c r="Y2646" s="55" t="s">
        <v>140</v>
      </c>
      <c r="AB2646" s="55" t="s">
        <v>140</v>
      </c>
      <c r="AC2646" s="55" t="s">
        <v>140</v>
      </c>
    </row>
    <row r="2647" spans="1:29" ht="13" x14ac:dyDescent="0.15">
      <c r="A2647" s="72" t="str">
        <f t="shared" si="41"/>
        <v>Ofsted Social Care Provider Webpage</v>
      </c>
      <c r="B2647" s="55" t="s">
        <v>4994</v>
      </c>
      <c r="D2647" s="55" t="s">
        <v>373</v>
      </c>
      <c r="E2647" s="74">
        <v>39352</v>
      </c>
      <c r="F2647" s="55" t="s">
        <v>344</v>
      </c>
      <c r="G2647" s="55" t="s">
        <v>360</v>
      </c>
      <c r="H2647" s="55" t="s">
        <v>360</v>
      </c>
      <c r="I2647" s="55" t="s">
        <v>360</v>
      </c>
      <c r="J2647" s="55" t="s">
        <v>360</v>
      </c>
      <c r="K2647" s="55" t="s">
        <v>360</v>
      </c>
      <c r="L2647" s="55" t="s">
        <v>360</v>
      </c>
      <c r="M2647" s="55" t="s">
        <v>144</v>
      </c>
      <c r="N2647" s="55" t="s">
        <v>144</v>
      </c>
      <c r="O2647" s="55" t="s">
        <v>143</v>
      </c>
      <c r="P2647" s="55" t="s">
        <v>2439</v>
      </c>
      <c r="Q2647" s="55" t="s">
        <v>380</v>
      </c>
      <c r="R2647" s="55">
        <v>5</v>
      </c>
      <c r="S2647" s="74"/>
      <c r="T2647" s="55" t="s">
        <v>3746</v>
      </c>
      <c r="U2647" s="73" t="s">
        <v>351</v>
      </c>
      <c r="V2647" s="74">
        <v>44543</v>
      </c>
      <c r="W2647" s="74">
        <v>44593</v>
      </c>
      <c r="X2647" s="55">
        <v>10186311</v>
      </c>
      <c r="Y2647" s="55" t="s">
        <v>130</v>
      </c>
      <c r="AB2647" s="55" t="s">
        <v>130</v>
      </c>
      <c r="AC2647" s="55" t="s">
        <v>130</v>
      </c>
    </row>
    <row r="2648" spans="1:29" ht="13" x14ac:dyDescent="0.15">
      <c r="A2648" s="72" t="str">
        <f t="shared" si="41"/>
        <v>Ofsted Social Care Provider Webpage</v>
      </c>
      <c r="B2648" s="55" t="s">
        <v>4995</v>
      </c>
      <c r="D2648" s="55" t="s">
        <v>373</v>
      </c>
      <c r="E2648" s="74">
        <v>39388</v>
      </c>
      <c r="F2648" s="55" t="s">
        <v>344</v>
      </c>
      <c r="G2648" s="55" t="s">
        <v>360</v>
      </c>
      <c r="H2648" s="55" t="s">
        <v>360</v>
      </c>
      <c r="I2648" s="55" t="s">
        <v>360</v>
      </c>
      <c r="J2648" s="55" t="s">
        <v>360</v>
      </c>
      <c r="K2648" s="55" t="s">
        <v>360</v>
      </c>
      <c r="L2648" s="55" t="s">
        <v>360</v>
      </c>
      <c r="M2648" s="55" t="s">
        <v>150</v>
      </c>
      <c r="N2648" s="55" t="s">
        <v>150</v>
      </c>
      <c r="O2648" s="55" t="s">
        <v>203</v>
      </c>
      <c r="P2648" s="55" t="s">
        <v>3559</v>
      </c>
      <c r="Q2648" s="55" t="s">
        <v>350</v>
      </c>
      <c r="R2648" s="55">
        <v>5</v>
      </c>
      <c r="S2648" s="74"/>
      <c r="T2648" s="55" t="s">
        <v>4996</v>
      </c>
      <c r="U2648" s="73" t="s">
        <v>351</v>
      </c>
      <c r="V2648" s="74">
        <v>44517</v>
      </c>
      <c r="W2648" s="74">
        <v>44580</v>
      </c>
      <c r="X2648" s="55">
        <v>10186239</v>
      </c>
      <c r="Y2648" s="55" t="s">
        <v>132</v>
      </c>
      <c r="AB2648" s="55" t="s">
        <v>132</v>
      </c>
      <c r="AC2648" s="55" t="s">
        <v>130</v>
      </c>
    </row>
    <row r="2649" spans="1:29" ht="13" x14ac:dyDescent="0.15">
      <c r="A2649" s="72" t="str">
        <f t="shared" si="41"/>
        <v>Ofsted Social Care Provider Webpage</v>
      </c>
      <c r="B2649" s="55" t="s">
        <v>4997</v>
      </c>
      <c r="D2649" s="55" t="s">
        <v>373</v>
      </c>
      <c r="E2649" s="74">
        <v>39316</v>
      </c>
      <c r="F2649" s="55" t="s">
        <v>344</v>
      </c>
      <c r="G2649" s="55" t="s">
        <v>360</v>
      </c>
      <c r="H2649" s="55" t="s">
        <v>360</v>
      </c>
      <c r="I2649" s="55" t="s">
        <v>360</v>
      </c>
      <c r="J2649" s="55" t="s">
        <v>360</v>
      </c>
      <c r="K2649" s="55" t="s">
        <v>360</v>
      </c>
      <c r="L2649" s="55" t="s">
        <v>360</v>
      </c>
      <c r="M2649" s="55" t="s">
        <v>142</v>
      </c>
      <c r="N2649" s="55" t="s">
        <v>142</v>
      </c>
      <c r="O2649" s="55" t="s">
        <v>252</v>
      </c>
      <c r="P2649" s="55" t="s">
        <v>503</v>
      </c>
      <c r="Q2649" s="55" t="s">
        <v>350</v>
      </c>
      <c r="R2649" s="55">
        <v>8</v>
      </c>
      <c r="S2649" s="74"/>
      <c r="T2649" s="55" t="s">
        <v>4998</v>
      </c>
      <c r="U2649" s="73" t="s">
        <v>351</v>
      </c>
      <c r="V2649" s="74">
        <v>44495</v>
      </c>
      <c r="W2649" s="74">
        <v>44538</v>
      </c>
      <c r="X2649" s="55">
        <v>10206352</v>
      </c>
      <c r="Y2649" s="55" t="s">
        <v>130</v>
      </c>
      <c r="AB2649" s="55" t="s">
        <v>130</v>
      </c>
      <c r="AC2649" s="55" t="s">
        <v>130</v>
      </c>
    </row>
    <row r="2650" spans="1:29" ht="13" x14ac:dyDescent="0.15">
      <c r="A2650" s="72" t="str">
        <f t="shared" si="41"/>
        <v>Ofsted Social Care Provider Webpage</v>
      </c>
      <c r="B2650" s="55" t="s">
        <v>4999</v>
      </c>
      <c r="D2650" s="55" t="s">
        <v>373</v>
      </c>
      <c r="E2650" s="74">
        <v>39360</v>
      </c>
      <c r="F2650" s="55" t="s">
        <v>344</v>
      </c>
      <c r="G2650" s="55" t="s">
        <v>360</v>
      </c>
      <c r="H2650" s="55" t="s">
        <v>360</v>
      </c>
      <c r="I2650" s="55" t="s">
        <v>360</v>
      </c>
      <c r="J2650" s="55" t="s">
        <v>360</v>
      </c>
      <c r="K2650" s="55" t="s">
        <v>360</v>
      </c>
      <c r="L2650" s="55" t="s">
        <v>360</v>
      </c>
      <c r="M2650" s="55" t="s">
        <v>138</v>
      </c>
      <c r="N2650" s="55" t="s">
        <v>138</v>
      </c>
      <c r="O2650" s="55" t="s">
        <v>224</v>
      </c>
      <c r="P2650" s="55" t="s">
        <v>1552</v>
      </c>
      <c r="Q2650" s="55" t="s">
        <v>350</v>
      </c>
      <c r="R2650" s="55">
        <v>5</v>
      </c>
      <c r="S2650" s="74"/>
      <c r="T2650" s="55" t="s">
        <v>1124</v>
      </c>
      <c r="U2650" s="73" t="s">
        <v>351</v>
      </c>
      <c r="V2650" s="74">
        <v>44425</v>
      </c>
      <c r="W2650" s="74">
        <v>44455</v>
      </c>
      <c r="X2650" s="55">
        <v>10185501</v>
      </c>
      <c r="Y2650" s="55" t="s">
        <v>140</v>
      </c>
      <c r="AB2650" s="55" t="s">
        <v>140</v>
      </c>
      <c r="AC2650" s="55" t="s">
        <v>140</v>
      </c>
    </row>
    <row r="2651" spans="1:29" ht="13" x14ac:dyDescent="0.15">
      <c r="A2651" s="72" t="str">
        <f t="shared" si="41"/>
        <v>Ofsted Social Care Provider Webpage</v>
      </c>
      <c r="B2651" s="55" t="s">
        <v>5000</v>
      </c>
      <c r="D2651" s="55" t="s">
        <v>373</v>
      </c>
      <c r="E2651" s="74">
        <v>39360</v>
      </c>
      <c r="F2651" s="55" t="s">
        <v>344</v>
      </c>
      <c r="G2651" s="55" t="s">
        <v>360</v>
      </c>
      <c r="H2651" s="55" t="s">
        <v>360</v>
      </c>
      <c r="I2651" s="55" t="s">
        <v>360</v>
      </c>
      <c r="J2651" s="55" t="s">
        <v>360</v>
      </c>
      <c r="K2651" s="55" t="s">
        <v>360</v>
      </c>
      <c r="L2651" s="55" t="s">
        <v>360</v>
      </c>
      <c r="M2651" s="55" t="s">
        <v>136</v>
      </c>
      <c r="N2651" s="55" t="s">
        <v>136</v>
      </c>
      <c r="O2651" s="55" t="s">
        <v>165</v>
      </c>
      <c r="P2651" s="55" t="s">
        <v>699</v>
      </c>
      <c r="Q2651" s="55" t="s">
        <v>380</v>
      </c>
      <c r="R2651" s="55">
        <v>6</v>
      </c>
      <c r="S2651" s="74"/>
      <c r="T2651" s="55" t="s">
        <v>2120</v>
      </c>
      <c r="U2651" s="73" t="s">
        <v>351</v>
      </c>
      <c r="V2651" s="74">
        <v>44607</v>
      </c>
      <c r="W2651" s="74">
        <v>44656</v>
      </c>
      <c r="X2651" s="55">
        <v>10186681</v>
      </c>
      <c r="Y2651" s="55" t="s">
        <v>132</v>
      </c>
      <c r="AB2651" s="55" t="s">
        <v>132</v>
      </c>
      <c r="AC2651" s="55" t="s">
        <v>132</v>
      </c>
    </row>
    <row r="2652" spans="1:29" ht="13" x14ac:dyDescent="0.15">
      <c r="A2652" s="72" t="str">
        <f t="shared" si="41"/>
        <v>Ofsted Social Care Provider Webpage</v>
      </c>
      <c r="B2652" s="55" t="s">
        <v>5001</v>
      </c>
      <c r="D2652" s="55" t="s">
        <v>373</v>
      </c>
      <c r="E2652" s="74">
        <v>39344</v>
      </c>
      <c r="F2652" s="55" t="s">
        <v>344</v>
      </c>
      <c r="G2652" s="55" t="s">
        <v>360</v>
      </c>
      <c r="H2652" s="55" t="s">
        <v>360</v>
      </c>
      <c r="I2652" s="55" t="s">
        <v>360</v>
      </c>
      <c r="J2652" s="55" t="s">
        <v>360</v>
      </c>
      <c r="K2652" s="55" t="s">
        <v>360</v>
      </c>
      <c r="L2652" s="55" t="s">
        <v>360</v>
      </c>
      <c r="M2652" s="55" t="s">
        <v>144</v>
      </c>
      <c r="N2652" s="55" t="s">
        <v>144</v>
      </c>
      <c r="O2652" s="55" t="s">
        <v>245</v>
      </c>
      <c r="P2652" s="55" t="s">
        <v>1796</v>
      </c>
      <c r="Q2652" s="55" t="s">
        <v>350</v>
      </c>
      <c r="R2652" s="55">
        <v>3</v>
      </c>
      <c r="S2652" s="74"/>
      <c r="T2652" s="55" t="s">
        <v>613</v>
      </c>
      <c r="U2652" s="73" t="s">
        <v>351</v>
      </c>
      <c r="V2652" s="74">
        <v>44600</v>
      </c>
      <c r="W2652" s="74">
        <v>44638</v>
      </c>
      <c r="X2652" s="55">
        <v>10185200</v>
      </c>
      <c r="Y2652" s="55" t="s">
        <v>132</v>
      </c>
      <c r="AB2652" s="55" t="s">
        <v>130</v>
      </c>
      <c r="AC2652" s="55" t="s">
        <v>132</v>
      </c>
    </row>
    <row r="2653" spans="1:29" ht="13" x14ac:dyDescent="0.15">
      <c r="A2653" s="72" t="str">
        <f t="shared" si="41"/>
        <v>Ofsted Social Care Provider Webpage</v>
      </c>
      <c r="B2653" s="55" t="s">
        <v>5002</v>
      </c>
      <c r="D2653" s="55" t="s">
        <v>373</v>
      </c>
      <c r="E2653" s="74">
        <v>39405</v>
      </c>
      <c r="F2653" s="55" t="s">
        <v>344</v>
      </c>
      <c r="G2653" s="55" t="s">
        <v>360</v>
      </c>
      <c r="H2653" s="55" t="s">
        <v>360</v>
      </c>
      <c r="I2653" s="55" t="s">
        <v>360</v>
      </c>
      <c r="J2653" s="55" t="s">
        <v>360</v>
      </c>
      <c r="K2653" s="55" t="s">
        <v>360</v>
      </c>
      <c r="L2653" s="55" t="s">
        <v>360</v>
      </c>
      <c r="M2653" s="55" t="s">
        <v>142</v>
      </c>
      <c r="N2653" s="55" t="s">
        <v>142</v>
      </c>
      <c r="O2653" s="55" t="s">
        <v>252</v>
      </c>
      <c r="P2653" s="55" t="s">
        <v>388</v>
      </c>
      <c r="Q2653" s="55" t="s">
        <v>350</v>
      </c>
      <c r="R2653" s="55">
        <v>2</v>
      </c>
      <c r="S2653" s="74"/>
      <c r="T2653" s="55" t="s">
        <v>1182</v>
      </c>
      <c r="U2653" s="73" t="s">
        <v>351</v>
      </c>
      <c r="V2653" s="74">
        <v>44509</v>
      </c>
      <c r="W2653" s="74">
        <v>44588</v>
      </c>
      <c r="X2653" s="55">
        <v>10185583</v>
      </c>
      <c r="Y2653" s="55" t="s">
        <v>140</v>
      </c>
      <c r="AB2653" s="55" t="s">
        <v>140</v>
      </c>
      <c r="AC2653" s="55" t="s">
        <v>140</v>
      </c>
    </row>
    <row r="2654" spans="1:29" ht="13" x14ac:dyDescent="0.15">
      <c r="A2654" s="72" t="str">
        <f t="shared" si="41"/>
        <v>Ofsted Social Care Provider Webpage</v>
      </c>
      <c r="B2654" s="55" t="s">
        <v>5003</v>
      </c>
      <c r="D2654" s="55" t="s">
        <v>373</v>
      </c>
      <c r="E2654" s="74">
        <v>39464</v>
      </c>
      <c r="F2654" s="55" t="s">
        <v>344</v>
      </c>
      <c r="G2654" s="55" t="s">
        <v>360</v>
      </c>
      <c r="H2654" s="55" t="s">
        <v>360</v>
      </c>
      <c r="I2654" s="55" t="s">
        <v>360</v>
      </c>
      <c r="J2654" s="55" t="s">
        <v>360</v>
      </c>
      <c r="K2654" s="55" t="s">
        <v>360</v>
      </c>
      <c r="L2654" s="55" t="s">
        <v>360</v>
      </c>
      <c r="M2654" s="55" t="s">
        <v>142</v>
      </c>
      <c r="N2654" s="55" t="s">
        <v>142</v>
      </c>
      <c r="O2654" s="55" t="s">
        <v>265</v>
      </c>
      <c r="P2654" s="55" t="s">
        <v>540</v>
      </c>
      <c r="Q2654" s="55" t="s">
        <v>350</v>
      </c>
      <c r="R2654" s="55">
        <v>3</v>
      </c>
      <c r="S2654" s="74"/>
      <c r="T2654" s="55" t="s">
        <v>910</v>
      </c>
      <c r="U2654" s="73" t="s">
        <v>351</v>
      </c>
      <c r="V2654" s="74">
        <v>44327</v>
      </c>
      <c r="W2654" s="74">
        <v>44355</v>
      </c>
      <c r="X2654" s="55">
        <v>10186899</v>
      </c>
      <c r="Y2654" s="55" t="s">
        <v>132</v>
      </c>
      <c r="AB2654" s="55" t="s">
        <v>132</v>
      </c>
      <c r="AC2654" s="55" t="s">
        <v>132</v>
      </c>
    </row>
    <row r="2655" spans="1:29" ht="13" x14ac:dyDescent="0.15">
      <c r="A2655" s="72" t="str">
        <f t="shared" si="41"/>
        <v>Ofsted Social Care Provider Webpage</v>
      </c>
      <c r="B2655" s="55" t="s">
        <v>5004</v>
      </c>
      <c r="D2655" s="55" t="s">
        <v>373</v>
      </c>
      <c r="E2655" s="74">
        <v>39414</v>
      </c>
      <c r="F2655" s="55" t="s">
        <v>344</v>
      </c>
      <c r="G2655" s="55" t="s">
        <v>360</v>
      </c>
      <c r="H2655" s="55" t="s">
        <v>360</v>
      </c>
      <c r="I2655" s="55" t="s">
        <v>360</v>
      </c>
      <c r="J2655" s="55" t="s">
        <v>360</v>
      </c>
      <c r="K2655" s="55" t="s">
        <v>360</v>
      </c>
      <c r="L2655" s="55" t="s">
        <v>360</v>
      </c>
      <c r="M2655" s="55" t="s">
        <v>136</v>
      </c>
      <c r="N2655" s="55" t="s">
        <v>136</v>
      </c>
      <c r="O2655" s="55" t="s">
        <v>176</v>
      </c>
      <c r="P2655" s="55" t="s">
        <v>526</v>
      </c>
      <c r="Q2655" s="55" t="s">
        <v>350</v>
      </c>
      <c r="R2655" s="55">
        <v>1</v>
      </c>
      <c r="S2655" s="74"/>
      <c r="T2655" s="55" t="s">
        <v>2197</v>
      </c>
      <c r="U2655" s="73" t="s">
        <v>351</v>
      </c>
      <c r="V2655" s="74">
        <v>43585</v>
      </c>
      <c r="W2655" s="74">
        <v>43605</v>
      </c>
      <c r="X2655" s="55">
        <v>10095956</v>
      </c>
      <c r="Y2655" s="55" t="s">
        <v>132</v>
      </c>
      <c r="AB2655" s="55" t="s">
        <v>132</v>
      </c>
      <c r="AC2655" s="55" t="s">
        <v>132</v>
      </c>
    </row>
    <row r="2656" spans="1:29" ht="13" x14ac:dyDescent="0.15">
      <c r="A2656" s="72" t="str">
        <f t="shared" si="41"/>
        <v>Ofsted Social Care Provider Webpage</v>
      </c>
      <c r="B2656" s="55" t="s">
        <v>5005</v>
      </c>
      <c r="C2656" s="55">
        <v>135419</v>
      </c>
      <c r="D2656" s="55" t="s">
        <v>413</v>
      </c>
      <c r="E2656" s="74">
        <v>39324</v>
      </c>
      <c r="F2656" s="55" t="s">
        <v>344</v>
      </c>
      <c r="G2656" s="55" t="s">
        <v>5006</v>
      </c>
      <c r="H2656" s="55" t="s">
        <v>5007</v>
      </c>
      <c r="I2656" s="55" t="s">
        <v>5008</v>
      </c>
      <c r="J2656" s="55" t="s">
        <v>5009</v>
      </c>
      <c r="K2656" s="55" t="s">
        <v>268</v>
      </c>
      <c r="L2656" s="55" t="s">
        <v>5010</v>
      </c>
      <c r="M2656" s="55" t="s">
        <v>150</v>
      </c>
      <c r="N2656" s="55" t="s">
        <v>150</v>
      </c>
      <c r="O2656" s="55" t="s">
        <v>268</v>
      </c>
      <c r="P2656" s="55" t="s">
        <v>2653</v>
      </c>
      <c r="Q2656" s="55" t="s">
        <v>350</v>
      </c>
      <c r="R2656" s="55">
        <v>15</v>
      </c>
      <c r="S2656" s="74"/>
      <c r="T2656" s="55" t="s">
        <v>450</v>
      </c>
      <c r="U2656" s="73" t="s">
        <v>351</v>
      </c>
      <c r="V2656" s="74">
        <v>44530</v>
      </c>
      <c r="W2656" s="74">
        <v>44581</v>
      </c>
      <c r="X2656" s="55">
        <v>10183474</v>
      </c>
      <c r="Y2656" s="55" t="s">
        <v>132</v>
      </c>
      <c r="AB2656" s="55" t="s">
        <v>132</v>
      </c>
      <c r="AC2656" s="55" t="s">
        <v>132</v>
      </c>
    </row>
    <row r="2657" spans="1:29" ht="13" x14ac:dyDescent="0.15">
      <c r="A2657" s="72" t="str">
        <f t="shared" si="41"/>
        <v>Ofsted Social Care Provider Webpage</v>
      </c>
      <c r="B2657" s="55" t="s">
        <v>5011</v>
      </c>
      <c r="D2657" s="55" t="s">
        <v>373</v>
      </c>
      <c r="E2657" s="74">
        <v>39456</v>
      </c>
      <c r="F2657" s="55" t="s">
        <v>344</v>
      </c>
      <c r="G2657" s="55" t="s">
        <v>360</v>
      </c>
      <c r="H2657" s="55" t="s">
        <v>360</v>
      </c>
      <c r="I2657" s="55" t="s">
        <v>360</v>
      </c>
      <c r="J2657" s="55" t="s">
        <v>360</v>
      </c>
      <c r="K2657" s="55" t="s">
        <v>360</v>
      </c>
      <c r="L2657" s="55" t="s">
        <v>360</v>
      </c>
      <c r="M2657" s="55" t="s">
        <v>150</v>
      </c>
      <c r="N2657" s="55" t="s">
        <v>150</v>
      </c>
      <c r="O2657" s="55" t="s">
        <v>190</v>
      </c>
      <c r="P2657" s="55" t="s">
        <v>749</v>
      </c>
      <c r="Q2657" s="55" t="s">
        <v>350</v>
      </c>
      <c r="R2657" s="55">
        <v>3</v>
      </c>
      <c r="S2657" s="74"/>
      <c r="T2657" s="55" t="s">
        <v>888</v>
      </c>
      <c r="U2657" s="73" t="s">
        <v>351</v>
      </c>
      <c r="V2657" s="74">
        <v>44600</v>
      </c>
      <c r="W2657" s="74">
        <v>44659</v>
      </c>
      <c r="X2657" s="55">
        <v>10185209</v>
      </c>
      <c r="Y2657" s="55" t="s">
        <v>132</v>
      </c>
      <c r="AB2657" s="55" t="s">
        <v>132</v>
      </c>
      <c r="AC2657" s="55" t="s">
        <v>132</v>
      </c>
    </row>
    <row r="2658" spans="1:29" ht="13" x14ac:dyDescent="0.15">
      <c r="A2658" s="72" t="str">
        <f t="shared" si="41"/>
        <v>Ofsted Social Care Provider Webpage</v>
      </c>
      <c r="B2658" s="55" t="s">
        <v>5012</v>
      </c>
      <c r="D2658" s="55" t="s">
        <v>373</v>
      </c>
      <c r="E2658" s="74">
        <v>39332</v>
      </c>
      <c r="F2658" s="55" t="s">
        <v>344</v>
      </c>
      <c r="G2658" s="55" t="s">
        <v>360</v>
      </c>
      <c r="H2658" s="55" t="s">
        <v>360</v>
      </c>
      <c r="I2658" s="55" t="s">
        <v>360</v>
      </c>
      <c r="J2658" s="55" t="s">
        <v>360</v>
      </c>
      <c r="K2658" s="55" t="s">
        <v>360</v>
      </c>
      <c r="L2658" s="55" t="s">
        <v>360</v>
      </c>
      <c r="M2658" s="55" t="s">
        <v>172</v>
      </c>
      <c r="N2658" s="55" t="s">
        <v>172</v>
      </c>
      <c r="O2658" s="55" t="s">
        <v>235</v>
      </c>
      <c r="P2658" s="55" t="s">
        <v>855</v>
      </c>
      <c r="Q2658" s="55" t="s">
        <v>350</v>
      </c>
      <c r="R2658" s="55">
        <v>4</v>
      </c>
      <c r="S2658" s="74"/>
      <c r="T2658" s="55" t="s">
        <v>789</v>
      </c>
      <c r="U2658" s="73" t="s">
        <v>351</v>
      </c>
      <c r="V2658" s="74">
        <v>44433</v>
      </c>
      <c r="W2658" s="74">
        <v>44466</v>
      </c>
      <c r="X2658" s="55">
        <v>10187340</v>
      </c>
      <c r="Y2658" s="55" t="s">
        <v>132</v>
      </c>
      <c r="AB2658" s="55" t="s">
        <v>132</v>
      </c>
      <c r="AC2658" s="55" t="s">
        <v>132</v>
      </c>
    </row>
    <row r="2659" spans="1:29" ht="13" x14ac:dyDescent="0.15">
      <c r="A2659" s="72" t="str">
        <f t="shared" si="41"/>
        <v>Ofsted Social Care Provider Webpage</v>
      </c>
      <c r="B2659" s="55" t="s">
        <v>5013</v>
      </c>
      <c r="D2659" s="55" t="s">
        <v>373</v>
      </c>
      <c r="E2659" s="74">
        <v>39335</v>
      </c>
      <c r="F2659" s="55" t="s">
        <v>344</v>
      </c>
      <c r="G2659" s="55" t="s">
        <v>360</v>
      </c>
      <c r="H2659" s="55" t="s">
        <v>360</v>
      </c>
      <c r="I2659" s="55" t="s">
        <v>360</v>
      </c>
      <c r="J2659" s="55" t="s">
        <v>360</v>
      </c>
      <c r="K2659" s="55" t="s">
        <v>360</v>
      </c>
      <c r="L2659" s="55" t="s">
        <v>360</v>
      </c>
      <c r="M2659" s="55" t="s">
        <v>136</v>
      </c>
      <c r="N2659" s="55" t="s">
        <v>136</v>
      </c>
      <c r="O2659" s="55" t="s">
        <v>255</v>
      </c>
      <c r="P2659" s="55" t="s">
        <v>583</v>
      </c>
      <c r="Q2659" s="55" t="s">
        <v>350</v>
      </c>
      <c r="R2659" s="55">
        <v>3</v>
      </c>
      <c r="S2659" s="74"/>
      <c r="T2659" s="55" t="s">
        <v>789</v>
      </c>
      <c r="U2659" s="73" t="s">
        <v>351</v>
      </c>
      <c r="V2659" s="74">
        <v>44307</v>
      </c>
      <c r="W2659" s="74">
        <v>44333</v>
      </c>
      <c r="X2659" s="55">
        <v>10187042</v>
      </c>
      <c r="Y2659" s="55" t="s">
        <v>132</v>
      </c>
      <c r="AB2659" s="55" t="s">
        <v>132</v>
      </c>
      <c r="AC2659" s="55" t="s">
        <v>132</v>
      </c>
    </row>
    <row r="2660" spans="1:29" ht="13" x14ac:dyDescent="0.15">
      <c r="A2660" s="72" t="str">
        <f t="shared" si="41"/>
        <v>Ofsted Social Care Provider Webpage</v>
      </c>
      <c r="B2660" s="55" t="s">
        <v>5014</v>
      </c>
      <c r="D2660" s="55" t="s">
        <v>373</v>
      </c>
      <c r="E2660" s="74">
        <v>39476</v>
      </c>
      <c r="F2660" s="55" t="s">
        <v>344</v>
      </c>
      <c r="G2660" s="55" t="s">
        <v>360</v>
      </c>
      <c r="H2660" s="55" t="s">
        <v>360</v>
      </c>
      <c r="I2660" s="55" t="s">
        <v>360</v>
      </c>
      <c r="J2660" s="55" t="s">
        <v>360</v>
      </c>
      <c r="K2660" s="55" t="s">
        <v>360</v>
      </c>
      <c r="L2660" s="55" t="s">
        <v>360</v>
      </c>
      <c r="M2660" s="55" t="s">
        <v>144</v>
      </c>
      <c r="N2660" s="55" t="s">
        <v>144</v>
      </c>
      <c r="O2660" s="55" t="s">
        <v>145</v>
      </c>
      <c r="P2660" s="55" t="s">
        <v>484</v>
      </c>
      <c r="Q2660" s="55" t="s">
        <v>350</v>
      </c>
      <c r="R2660" s="55">
        <v>4</v>
      </c>
      <c r="S2660" s="74"/>
      <c r="T2660" s="55" t="s">
        <v>485</v>
      </c>
      <c r="U2660" s="73" t="s">
        <v>351</v>
      </c>
      <c r="V2660" s="74">
        <v>44572</v>
      </c>
      <c r="W2660" s="74">
        <v>44599</v>
      </c>
      <c r="X2660" s="55">
        <v>10185559</v>
      </c>
      <c r="Y2660" s="55" t="s">
        <v>140</v>
      </c>
      <c r="AB2660" s="55" t="s">
        <v>140</v>
      </c>
      <c r="AC2660" s="55" t="s">
        <v>140</v>
      </c>
    </row>
    <row r="2661" spans="1:29" ht="13" x14ac:dyDescent="0.15">
      <c r="A2661" s="72" t="str">
        <f t="shared" si="41"/>
        <v>Ofsted Social Care Provider Webpage</v>
      </c>
      <c r="B2661" s="55" t="s">
        <v>5015</v>
      </c>
      <c r="D2661" s="55" t="s">
        <v>373</v>
      </c>
      <c r="E2661" s="74">
        <v>39365</v>
      </c>
      <c r="F2661" s="55" t="s">
        <v>344</v>
      </c>
      <c r="G2661" s="55" t="s">
        <v>360</v>
      </c>
      <c r="H2661" s="55" t="s">
        <v>360</v>
      </c>
      <c r="I2661" s="55" t="s">
        <v>360</v>
      </c>
      <c r="J2661" s="55" t="s">
        <v>360</v>
      </c>
      <c r="K2661" s="55" t="s">
        <v>360</v>
      </c>
      <c r="L2661" s="55" t="s">
        <v>360</v>
      </c>
      <c r="M2661" s="55" t="s">
        <v>172</v>
      </c>
      <c r="N2661" s="55" t="s">
        <v>172</v>
      </c>
      <c r="O2661" s="55" t="s">
        <v>214</v>
      </c>
      <c r="P2661" s="55" t="s">
        <v>790</v>
      </c>
      <c r="Q2661" s="55" t="s">
        <v>350</v>
      </c>
      <c r="R2661" s="55">
        <v>4</v>
      </c>
      <c r="S2661" s="74"/>
      <c r="T2661" s="55" t="s">
        <v>789</v>
      </c>
      <c r="U2661" s="73" t="s">
        <v>351</v>
      </c>
      <c r="V2661" s="74">
        <v>44503</v>
      </c>
      <c r="W2661" s="74">
        <v>44533</v>
      </c>
      <c r="X2661" s="55">
        <v>10186852</v>
      </c>
      <c r="Y2661" s="55" t="s">
        <v>132</v>
      </c>
      <c r="AB2661" s="55" t="s">
        <v>130</v>
      </c>
      <c r="AC2661" s="55" t="s">
        <v>132</v>
      </c>
    </row>
    <row r="2662" spans="1:29" ht="13" x14ac:dyDescent="0.15">
      <c r="A2662" s="72" t="str">
        <f t="shared" si="41"/>
        <v>Ofsted Social Care Provider Webpage</v>
      </c>
      <c r="B2662" s="55" t="s">
        <v>5016</v>
      </c>
      <c r="D2662" s="55" t="s">
        <v>373</v>
      </c>
      <c r="E2662" s="74">
        <v>39335</v>
      </c>
      <c r="F2662" s="55" t="s">
        <v>344</v>
      </c>
      <c r="G2662" s="55" t="s">
        <v>360</v>
      </c>
      <c r="H2662" s="55" t="s">
        <v>360</v>
      </c>
      <c r="I2662" s="55" t="s">
        <v>360</v>
      </c>
      <c r="J2662" s="55" t="s">
        <v>360</v>
      </c>
      <c r="K2662" s="55" t="s">
        <v>360</v>
      </c>
      <c r="L2662" s="55" t="s">
        <v>360</v>
      </c>
      <c r="M2662" s="55" t="s">
        <v>172</v>
      </c>
      <c r="N2662" s="55" t="s">
        <v>172</v>
      </c>
      <c r="O2662" s="55" t="s">
        <v>214</v>
      </c>
      <c r="P2662" s="55" t="s">
        <v>790</v>
      </c>
      <c r="Q2662" s="55" t="s">
        <v>350</v>
      </c>
      <c r="R2662" s="55">
        <v>3</v>
      </c>
      <c r="S2662" s="74"/>
      <c r="T2662" s="55" t="s">
        <v>789</v>
      </c>
      <c r="U2662" s="73" t="s">
        <v>351</v>
      </c>
      <c r="V2662" s="74">
        <v>44517</v>
      </c>
      <c r="W2662" s="74">
        <v>44560</v>
      </c>
      <c r="X2662" s="55">
        <v>10186341</v>
      </c>
      <c r="Y2662" s="55" t="s">
        <v>132</v>
      </c>
      <c r="AB2662" s="55" t="s">
        <v>132</v>
      </c>
      <c r="AC2662" s="55" t="s">
        <v>140</v>
      </c>
    </row>
    <row r="2663" spans="1:29" ht="13" x14ac:dyDescent="0.15">
      <c r="A2663" s="72" t="str">
        <f t="shared" si="41"/>
        <v>Ofsted Social Care Provider Webpage</v>
      </c>
      <c r="B2663" s="55" t="s">
        <v>5017</v>
      </c>
      <c r="D2663" s="55" t="s">
        <v>389</v>
      </c>
      <c r="E2663" s="74">
        <v>39472</v>
      </c>
      <c r="F2663" s="55" t="s">
        <v>344</v>
      </c>
      <c r="G2663" s="55" t="s">
        <v>5018</v>
      </c>
      <c r="H2663" s="55" t="s">
        <v>5019</v>
      </c>
      <c r="I2663" s="55" t="s">
        <v>5020</v>
      </c>
      <c r="J2663" s="55" t="s">
        <v>1038</v>
      </c>
      <c r="L2663" s="55" t="s">
        <v>5021</v>
      </c>
      <c r="M2663" s="55" t="s">
        <v>150</v>
      </c>
      <c r="N2663" s="55" t="s">
        <v>150</v>
      </c>
      <c r="O2663" s="55" t="s">
        <v>203</v>
      </c>
      <c r="P2663" s="55" t="s">
        <v>1038</v>
      </c>
      <c r="Q2663" s="55" t="s">
        <v>350</v>
      </c>
      <c r="R2663" s="55"/>
      <c r="S2663" s="74"/>
      <c r="T2663" s="55" t="s">
        <v>5022</v>
      </c>
      <c r="U2663" s="73" t="s">
        <v>351</v>
      </c>
      <c r="V2663" s="74">
        <v>43479</v>
      </c>
      <c r="W2663" s="74">
        <v>43504</v>
      </c>
      <c r="X2663" s="55">
        <v>10045979</v>
      </c>
      <c r="Y2663" s="55" t="s">
        <v>132</v>
      </c>
      <c r="AB2663" s="55" t="s">
        <v>132</v>
      </c>
      <c r="AC2663" s="55" t="s">
        <v>132</v>
      </c>
    </row>
    <row r="2664" spans="1:29" ht="13" x14ac:dyDescent="0.15">
      <c r="A2664" s="72" t="str">
        <f t="shared" si="41"/>
        <v>Ofsted Social Care Provider Webpage</v>
      </c>
      <c r="B2664" s="55" t="s">
        <v>5023</v>
      </c>
      <c r="D2664" s="55" t="s">
        <v>373</v>
      </c>
      <c r="E2664" s="74">
        <v>39472</v>
      </c>
      <c r="F2664" s="55" t="s">
        <v>344</v>
      </c>
      <c r="G2664" s="55" t="s">
        <v>360</v>
      </c>
      <c r="H2664" s="55" t="s">
        <v>360</v>
      </c>
      <c r="I2664" s="55" t="s">
        <v>360</v>
      </c>
      <c r="J2664" s="55" t="s">
        <v>360</v>
      </c>
      <c r="K2664" s="55" t="s">
        <v>360</v>
      </c>
      <c r="L2664" s="55" t="s">
        <v>360</v>
      </c>
      <c r="M2664" s="55" t="s">
        <v>378</v>
      </c>
      <c r="N2664" s="55" t="s">
        <v>134</v>
      </c>
      <c r="O2664" s="55" t="s">
        <v>133</v>
      </c>
      <c r="P2664" s="55" t="s">
        <v>2789</v>
      </c>
      <c r="Q2664" s="55" t="s">
        <v>350</v>
      </c>
      <c r="R2664" s="55">
        <v>3</v>
      </c>
      <c r="S2664" s="74"/>
      <c r="T2664" s="55" t="s">
        <v>2811</v>
      </c>
      <c r="U2664" s="73" t="s">
        <v>351</v>
      </c>
      <c r="V2664" s="74">
        <v>44370</v>
      </c>
      <c r="W2664" s="74">
        <v>44405</v>
      </c>
      <c r="X2664" s="55">
        <v>10185573</v>
      </c>
      <c r="Y2664" s="55" t="s">
        <v>132</v>
      </c>
      <c r="AB2664" s="55" t="s">
        <v>132</v>
      </c>
      <c r="AC2664" s="55" t="s">
        <v>130</v>
      </c>
    </row>
    <row r="2665" spans="1:29" ht="13" x14ac:dyDescent="0.15">
      <c r="A2665" s="72" t="str">
        <f t="shared" si="41"/>
        <v>Ofsted Social Care Provider Webpage</v>
      </c>
      <c r="B2665" s="55" t="s">
        <v>5024</v>
      </c>
      <c r="D2665" s="55" t="s">
        <v>373</v>
      </c>
      <c r="E2665" s="74">
        <v>39423</v>
      </c>
      <c r="F2665" s="55" t="s">
        <v>344</v>
      </c>
      <c r="G2665" s="55" t="s">
        <v>360</v>
      </c>
      <c r="H2665" s="55" t="s">
        <v>360</v>
      </c>
      <c r="I2665" s="55" t="s">
        <v>360</v>
      </c>
      <c r="J2665" s="55" t="s">
        <v>360</v>
      </c>
      <c r="K2665" s="55" t="s">
        <v>360</v>
      </c>
      <c r="L2665" s="55" t="s">
        <v>360</v>
      </c>
      <c r="M2665" s="55" t="s">
        <v>150</v>
      </c>
      <c r="N2665" s="55" t="s">
        <v>150</v>
      </c>
      <c r="O2665" s="55" t="s">
        <v>285</v>
      </c>
      <c r="P2665" s="55" t="s">
        <v>1810</v>
      </c>
      <c r="Q2665" s="55" t="s">
        <v>350</v>
      </c>
      <c r="R2665" s="55">
        <v>2</v>
      </c>
      <c r="S2665" s="74"/>
      <c r="T2665" s="55" t="s">
        <v>931</v>
      </c>
      <c r="U2665" s="73" t="s">
        <v>351</v>
      </c>
      <c r="V2665" s="74">
        <v>44594</v>
      </c>
      <c r="W2665" s="74">
        <v>44637</v>
      </c>
      <c r="X2665" s="55">
        <v>10186333</v>
      </c>
      <c r="Y2665" s="55" t="s">
        <v>132</v>
      </c>
      <c r="AB2665" s="55" t="s">
        <v>132</v>
      </c>
      <c r="AC2665" s="55" t="s">
        <v>132</v>
      </c>
    </row>
    <row r="2666" spans="1:29" ht="13" x14ac:dyDescent="0.15">
      <c r="A2666" s="72" t="str">
        <f t="shared" si="41"/>
        <v>Ofsted Social Care Provider Webpage</v>
      </c>
      <c r="B2666" s="55" t="s">
        <v>5025</v>
      </c>
      <c r="D2666" s="55" t="s">
        <v>373</v>
      </c>
      <c r="E2666" s="74">
        <v>39524</v>
      </c>
      <c r="F2666" s="55" t="s">
        <v>344</v>
      </c>
      <c r="G2666" s="55" t="s">
        <v>360</v>
      </c>
      <c r="H2666" s="55" t="s">
        <v>360</v>
      </c>
      <c r="I2666" s="55" t="s">
        <v>360</v>
      </c>
      <c r="J2666" s="55" t="s">
        <v>360</v>
      </c>
      <c r="K2666" s="55" t="s">
        <v>360</v>
      </c>
      <c r="L2666" s="55" t="s">
        <v>360</v>
      </c>
      <c r="M2666" s="55" t="s">
        <v>142</v>
      </c>
      <c r="N2666" s="55" t="s">
        <v>142</v>
      </c>
      <c r="O2666" s="55" t="s">
        <v>141</v>
      </c>
      <c r="P2666" s="55" t="s">
        <v>641</v>
      </c>
      <c r="Q2666" s="55" t="s">
        <v>350</v>
      </c>
      <c r="R2666" s="55">
        <v>3</v>
      </c>
      <c r="S2666" s="74"/>
      <c r="T2666" s="55" t="s">
        <v>1261</v>
      </c>
      <c r="U2666" s="73" t="s">
        <v>351</v>
      </c>
      <c r="V2666" s="74">
        <v>44334</v>
      </c>
      <c r="W2666" s="74">
        <v>44368</v>
      </c>
      <c r="X2666" s="55">
        <v>10185657</v>
      </c>
      <c r="Y2666" s="55" t="s">
        <v>130</v>
      </c>
      <c r="AB2666" s="55" t="s">
        <v>130</v>
      </c>
      <c r="AC2666" s="55" t="s">
        <v>130</v>
      </c>
    </row>
    <row r="2667" spans="1:29" ht="13" x14ac:dyDescent="0.15">
      <c r="A2667" s="72" t="str">
        <f t="shared" si="41"/>
        <v>Ofsted Social Care Provider Webpage</v>
      </c>
      <c r="B2667" s="55" t="s">
        <v>5026</v>
      </c>
      <c r="D2667" s="55" t="s">
        <v>373</v>
      </c>
      <c r="E2667" s="74">
        <v>39470</v>
      </c>
      <c r="F2667" s="55" t="s">
        <v>344</v>
      </c>
      <c r="G2667" s="55" t="s">
        <v>360</v>
      </c>
      <c r="H2667" s="55" t="s">
        <v>360</v>
      </c>
      <c r="I2667" s="55" t="s">
        <v>360</v>
      </c>
      <c r="J2667" s="55" t="s">
        <v>360</v>
      </c>
      <c r="K2667" s="55" t="s">
        <v>360</v>
      </c>
      <c r="L2667" s="55" t="s">
        <v>360</v>
      </c>
      <c r="M2667" s="55" t="s">
        <v>144</v>
      </c>
      <c r="N2667" s="55" t="s">
        <v>144</v>
      </c>
      <c r="O2667" s="55" t="s">
        <v>163</v>
      </c>
      <c r="P2667" s="55" t="s">
        <v>1997</v>
      </c>
      <c r="Q2667" s="55" t="s">
        <v>350</v>
      </c>
      <c r="R2667" s="55">
        <v>4</v>
      </c>
      <c r="S2667" s="74"/>
      <c r="T2667" s="55" t="s">
        <v>4738</v>
      </c>
      <c r="U2667" s="73" t="s">
        <v>351</v>
      </c>
      <c r="V2667" s="74">
        <v>44622</v>
      </c>
      <c r="W2667" s="74">
        <v>44673</v>
      </c>
      <c r="X2667" s="55">
        <v>10185898</v>
      </c>
      <c r="Y2667" s="55" t="s">
        <v>132</v>
      </c>
      <c r="AB2667" s="55" t="s">
        <v>132</v>
      </c>
      <c r="AC2667" s="55" t="s">
        <v>132</v>
      </c>
    </row>
    <row r="2668" spans="1:29" ht="13" x14ac:dyDescent="0.15">
      <c r="A2668" s="72" t="str">
        <f t="shared" si="41"/>
        <v>Ofsted Social Care Provider Webpage</v>
      </c>
      <c r="B2668" s="55" t="s">
        <v>5027</v>
      </c>
      <c r="D2668" s="55" t="s">
        <v>373</v>
      </c>
      <c r="E2668" s="74">
        <v>39454</v>
      </c>
      <c r="F2668" s="55" t="s">
        <v>344</v>
      </c>
      <c r="G2668" s="55" t="s">
        <v>360</v>
      </c>
      <c r="H2668" s="55" t="s">
        <v>360</v>
      </c>
      <c r="I2668" s="55" t="s">
        <v>360</v>
      </c>
      <c r="J2668" s="55" t="s">
        <v>360</v>
      </c>
      <c r="K2668" s="55" t="s">
        <v>360</v>
      </c>
      <c r="L2668" s="55" t="s">
        <v>360</v>
      </c>
      <c r="M2668" s="55" t="s">
        <v>142</v>
      </c>
      <c r="N2668" s="55" t="s">
        <v>142</v>
      </c>
      <c r="O2668" s="55" t="s">
        <v>252</v>
      </c>
      <c r="P2668" s="55" t="s">
        <v>386</v>
      </c>
      <c r="Q2668" s="55" t="s">
        <v>350</v>
      </c>
      <c r="R2668" s="55">
        <v>3</v>
      </c>
      <c r="S2668" s="74"/>
      <c r="T2668" s="55" t="s">
        <v>504</v>
      </c>
      <c r="U2668" s="73" t="s">
        <v>351</v>
      </c>
      <c r="V2668" s="74">
        <v>44453</v>
      </c>
      <c r="W2668" s="74">
        <v>44494</v>
      </c>
      <c r="X2668" s="55">
        <v>10185646</v>
      </c>
      <c r="Y2668" s="55" t="s">
        <v>132</v>
      </c>
      <c r="AB2668" s="55" t="s">
        <v>132</v>
      </c>
      <c r="AC2668" s="55" t="s">
        <v>130</v>
      </c>
    </row>
    <row r="2669" spans="1:29" ht="13" x14ac:dyDescent="0.15">
      <c r="A2669" s="72" t="str">
        <f t="shared" si="41"/>
        <v>Ofsted Social Care Provider Webpage</v>
      </c>
      <c r="B2669" s="55" t="s">
        <v>5028</v>
      </c>
      <c r="D2669" s="55" t="s">
        <v>373</v>
      </c>
      <c r="E2669" s="74">
        <v>39454</v>
      </c>
      <c r="F2669" s="55" t="s">
        <v>344</v>
      </c>
      <c r="G2669" s="55" t="s">
        <v>360</v>
      </c>
      <c r="H2669" s="55" t="s">
        <v>360</v>
      </c>
      <c r="I2669" s="55" t="s">
        <v>360</v>
      </c>
      <c r="J2669" s="55" t="s">
        <v>360</v>
      </c>
      <c r="K2669" s="55" t="s">
        <v>360</v>
      </c>
      <c r="L2669" s="55" t="s">
        <v>360</v>
      </c>
      <c r="M2669" s="55" t="s">
        <v>142</v>
      </c>
      <c r="N2669" s="55" t="s">
        <v>142</v>
      </c>
      <c r="O2669" s="55" t="s">
        <v>252</v>
      </c>
      <c r="P2669" s="55" t="s">
        <v>388</v>
      </c>
      <c r="Q2669" s="55" t="s">
        <v>350</v>
      </c>
      <c r="R2669" s="55">
        <v>2</v>
      </c>
      <c r="S2669" s="74"/>
      <c r="T2669" s="55" t="s">
        <v>504</v>
      </c>
      <c r="U2669" s="73" t="s">
        <v>351</v>
      </c>
      <c r="V2669" s="74">
        <v>44509</v>
      </c>
      <c r="W2669" s="74">
        <v>44560</v>
      </c>
      <c r="X2669" s="55">
        <v>10187211</v>
      </c>
      <c r="Y2669" s="55" t="s">
        <v>140</v>
      </c>
      <c r="AB2669" s="55" t="s">
        <v>140</v>
      </c>
      <c r="AC2669" s="55" t="s">
        <v>140</v>
      </c>
    </row>
    <row r="2670" spans="1:29" ht="13" x14ac:dyDescent="0.15">
      <c r="A2670" s="72" t="str">
        <f t="shared" si="41"/>
        <v>Ofsted Social Care Provider Webpage</v>
      </c>
      <c r="B2670" s="55" t="s">
        <v>5029</v>
      </c>
      <c r="D2670" s="55" t="s">
        <v>373</v>
      </c>
      <c r="E2670" s="74">
        <v>39454</v>
      </c>
      <c r="F2670" s="55" t="s">
        <v>344</v>
      </c>
      <c r="G2670" s="55" t="s">
        <v>360</v>
      </c>
      <c r="H2670" s="55" t="s">
        <v>360</v>
      </c>
      <c r="I2670" s="55" t="s">
        <v>360</v>
      </c>
      <c r="J2670" s="55" t="s">
        <v>360</v>
      </c>
      <c r="K2670" s="55" t="s">
        <v>360</v>
      </c>
      <c r="L2670" s="55" t="s">
        <v>360</v>
      </c>
      <c r="M2670" s="55" t="s">
        <v>142</v>
      </c>
      <c r="N2670" s="55" t="s">
        <v>142</v>
      </c>
      <c r="O2670" s="55" t="s">
        <v>252</v>
      </c>
      <c r="P2670" s="55" t="s">
        <v>503</v>
      </c>
      <c r="Q2670" s="55" t="s">
        <v>350</v>
      </c>
      <c r="R2670" s="55">
        <v>3</v>
      </c>
      <c r="S2670" s="74"/>
      <c r="T2670" s="55" t="s">
        <v>504</v>
      </c>
      <c r="U2670" s="73" t="s">
        <v>351</v>
      </c>
      <c r="V2670" s="74">
        <v>44356</v>
      </c>
      <c r="W2670" s="74">
        <v>44386</v>
      </c>
      <c r="X2670" s="55">
        <v>10186265</v>
      </c>
      <c r="Y2670" s="55" t="s">
        <v>132</v>
      </c>
      <c r="AB2670" s="55" t="s">
        <v>132</v>
      </c>
      <c r="AC2670" s="55" t="s">
        <v>132</v>
      </c>
    </row>
    <row r="2671" spans="1:29" ht="13" x14ac:dyDescent="0.15">
      <c r="A2671" s="72" t="str">
        <f t="shared" si="41"/>
        <v>Ofsted Social Care Provider Webpage</v>
      </c>
      <c r="B2671" s="55" t="s">
        <v>5030</v>
      </c>
      <c r="D2671" s="55" t="s">
        <v>373</v>
      </c>
      <c r="E2671" s="74">
        <v>39436</v>
      </c>
      <c r="F2671" s="55" t="s">
        <v>344</v>
      </c>
      <c r="G2671" s="55" t="s">
        <v>360</v>
      </c>
      <c r="H2671" s="55" t="s">
        <v>360</v>
      </c>
      <c r="I2671" s="55" t="s">
        <v>360</v>
      </c>
      <c r="J2671" s="55" t="s">
        <v>360</v>
      </c>
      <c r="K2671" s="55" t="s">
        <v>360</v>
      </c>
      <c r="L2671" s="55" t="s">
        <v>360</v>
      </c>
      <c r="M2671" s="55" t="s">
        <v>142</v>
      </c>
      <c r="N2671" s="55" t="s">
        <v>142</v>
      </c>
      <c r="O2671" s="55" t="s">
        <v>262</v>
      </c>
      <c r="P2671" s="55" t="s">
        <v>523</v>
      </c>
      <c r="Q2671" s="55" t="s">
        <v>350</v>
      </c>
      <c r="R2671" s="55">
        <v>3</v>
      </c>
      <c r="S2671" s="74"/>
      <c r="T2671" s="55" t="s">
        <v>504</v>
      </c>
      <c r="U2671" s="73" t="s">
        <v>351</v>
      </c>
      <c r="V2671" s="74">
        <v>44397</v>
      </c>
      <c r="W2671" s="74">
        <v>44445</v>
      </c>
      <c r="X2671" s="55">
        <v>10185224</v>
      </c>
      <c r="Y2671" s="55" t="s">
        <v>140</v>
      </c>
      <c r="AB2671" s="55" t="s">
        <v>140</v>
      </c>
      <c r="AC2671" s="55" t="s">
        <v>140</v>
      </c>
    </row>
    <row r="2672" spans="1:29" ht="13" x14ac:dyDescent="0.15">
      <c r="A2672" s="72" t="str">
        <f t="shared" si="41"/>
        <v>Ofsted Social Care Provider Webpage</v>
      </c>
      <c r="B2672" s="55" t="s">
        <v>5031</v>
      </c>
      <c r="D2672" s="55" t="s">
        <v>373</v>
      </c>
      <c r="E2672" s="74">
        <v>39454</v>
      </c>
      <c r="F2672" s="55" t="s">
        <v>344</v>
      </c>
      <c r="G2672" s="55" t="s">
        <v>360</v>
      </c>
      <c r="H2672" s="55" t="s">
        <v>360</v>
      </c>
      <c r="I2672" s="55" t="s">
        <v>360</v>
      </c>
      <c r="J2672" s="55" t="s">
        <v>360</v>
      </c>
      <c r="K2672" s="55" t="s">
        <v>360</v>
      </c>
      <c r="L2672" s="55" t="s">
        <v>360</v>
      </c>
      <c r="M2672" s="55" t="s">
        <v>142</v>
      </c>
      <c r="N2672" s="55" t="s">
        <v>142</v>
      </c>
      <c r="O2672" s="55" t="s">
        <v>252</v>
      </c>
      <c r="P2672" s="55" t="s">
        <v>388</v>
      </c>
      <c r="Q2672" s="55" t="s">
        <v>350</v>
      </c>
      <c r="R2672" s="55">
        <v>3</v>
      </c>
      <c r="S2672" s="74"/>
      <c r="T2672" s="55" t="s">
        <v>504</v>
      </c>
      <c r="U2672" s="73" t="s">
        <v>351</v>
      </c>
      <c r="V2672" s="74">
        <v>44489</v>
      </c>
      <c r="W2672" s="74">
        <v>44543</v>
      </c>
      <c r="X2672" s="55">
        <v>10185213</v>
      </c>
      <c r="Y2672" s="55" t="s">
        <v>130</v>
      </c>
      <c r="AB2672" s="55" t="s">
        <v>130</v>
      </c>
      <c r="AC2672" s="55" t="s">
        <v>130</v>
      </c>
    </row>
    <row r="2673" spans="1:29" ht="13" x14ac:dyDescent="0.15">
      <c r="A2673" s="72" t="str">
        <f t="shared" si="41"/>
        <v>Ofsted Social Care Provider Webpage</v>
      </c>
      <c r="B2673" s="55" t="s">
        <v>5032</v>
      </c>
      <c r="D2673" s="55" t="s">
        <v>373</v>
      </c>
      <c r="E2673" s="74">
        <v>39454</v>
      </c>
      <c r="F2673" s="55" t="s">
        <v>344</v>
      </c>
      <c r="G2673" s="55" t="s">
        <v>360</v>
      </c>
      <c r="H2673" s="55" t="s">
        <v>360</v>
      </c>
      <c r="I2673" s="55" t="s">
        <v>360</v>
      </c>
      <c r="J2673" s="55" t="s">
        <v>360</v>
      </c>
      <c r="K2673" s="55" t="s">
        <v>360</v>
      </c>
      <c r="L2673" s="55" t="s">
        <v>360</v>
      </c>
      <c r="M2673" s="55" t="s">
        <v>142</v>
      </c>
      <c r="N2673" s="55" t="s">
        <v>142</v>
      </c>
      <c r="O2673" s="55" t="s">
        <v>252</v>
      </c>
      <c r="P2673" s="55" t="s">
        <v>388</v>
      </c>
      <c r="Q2673" s="55" t="s">
        <v>350</v>
      </c>
      <c r="R2673" s="55">
        <v>1</v>
      </c>
      <c r="S2673" s="74"/>
      <c r="T2673" s="55" t="s">
        <v>504</v>
      </c>
      <c r="U2673" s="73" t="s">
        <v>351</v>
      </c>
      <c r="V2673" s="74">
        <v>44544</v>
      </c>
      <c r="W2673" s="74">
        <v>44593</v>
      </c>
      <c r="X2673" s="55">
        <v>10186922</v>
      </c>
      <c r="Y2673" s="55" t="s">
        <v>130</v>
      </c>
      <c r="AB2673" s="55" t="s">
        <v>130</v>
      </c>
      <c r="AC2673" s="55" t="s">
        <v>130</v>
      </c>
    </row>
    <row r="2674" spans="1:29" ht="13" x14ac:dyDescent="0.15">
      <c r="A2674" s="72" t="str">
        <f t="shared" si="41"/>
        <v>Ofsted Social Care Provider Webpage</v>
      </c>
      <c r="B2674" s="55" t="s">
        <v>5033</v>
      </c>
      <c r="D2674" s="55" t="s">
        <v>373</v>
      </c>
      <c r="E2674" s="74">
        <v>39484</v>
      </c>
      <c r="F2674" s="55" t="s">
        <v>344</v>
      </c>
      <c r="G2674" s="55" t="s">
        <v>360</v>
      </c>
      <c r="H2674" s="55" t="s">
        <v>360</v>
      </c>
      <c r="I2674" s="55" t="s">
        <v>360</v>
      </c>
      <c r="J2674" s="55" t="s">
        <v>360</v>
      </c>
      <c r="K2674" s="55" t="s">
        <v>360</v>
      </c>
      <c r="L2674" s="55" t="s">
        <v>360</v>
      </c>
      <c r="M2674" s="55" t="s">
        <v>144</v>
      </c>
      <c r="N2674" s="55" t="s">
        <v>144</v>
      </c>
      <c r="O2674" s="55" t="s">
        <v>271</v>
      </c>
      <c r="P2674" s="55" t="s">
        <v>870</v>
      </c>
      <c r="Q2674" s="55" t="s">
        <v>350</v>
      </c>
      <c r="R2674" s="55">
        <v>4</v>
      </c>
      <c r="S2674" s="74"/>
      <c r="T2674" s="55" t="s">
        <v>5034</v>
      </c>
      <c r="U2674" s="73" t="s">
        <v>351</v>
      </c>
      <c r="V2674" s="74">
        <v>44601</v>
      </c>
      <c r="W2674" s="74">
        <v>44651</v>
      </c>
      <c r="X2674" s="55">
        <v>10186931</v>
      </c>
      <c r="Y2674" s="55" t="s">
        <v>140</v>
      </c>
      <c r="AB2674" s="55" t="s">
        <v>132</v>
      </c>
      <c r="AC2674" s="55" t="s">
        <v>140</v>
      </c>
    </row>
    <row r="2675" spans="1:29" ht="13" x14ac:dyDescent="0.15">
      <c r="A2675" s="72" t="str">
        <f t="shared" si="41"/>
        <v>Ofsted Social Care Provider Webpage</v>
      </c>
      <c r="B2675" s="55" t="s">
        <v>5035</v>
      </c>
      <c r="D2675" s="55" t="s">
        <v>389</v>
      </c>
      <c r="E2675" s="74">
        <v>39503</v>
      </c>
      <c r="F2675" s="55" t="s">
        <v>344</v>
      </c>
      <c r="G2675" s="55" t="s">
        <v>5036</v>
      </c>
      <c r="H2675" s="55" t="s">
        <v>5037</v>
      </c>
      <c r="I2675" s="55" t="s">
        <v>5038</v>
      </c>
      <c r="J2675" s="55" t="s">
        <v>234</v>
      </c>
      <c r="K2675" s="55" t="s">
        <v>235</v>
      </c>
      <c r="L2675" s="55" t="s">
        <v>5039</v>
      </c>
      <c r="M2675" s="55" t="s">
        <v>172</v>
      </c>
      <c r="N2675" s="55" t="s">
        <v>172</v>
      </c>
      <c r="O2675" s="55" t="s">
        <v>234</v>
      </c>
      <c r="P2675" s="55" t="s">
        <v>369</v>
      </c>
      <c r="Q2675" s="55" t="s">
        <v>350</v>
      </c>
      <c r="R2675" s="55"/>
      <c r="S2675" s="74"/>
      <c r="T2675" s="55" t="s">
        <v>5040</v>
      </c>
      <c r="U2675" s="73" t="s">
        <v>351</v>
      </c>
      <c r="V2675" s="74">
        <v>43500</v>
      </c>
      <c r="W2675" s="74">
        <v>43522</v>
      </c>
      <c r="X2675" s="55">
        <v>10045615</v>
      </c>
      <c r="Y2675" s="55" t="s">
        <v>132</v>
      </c>
      <c r="AB2675" s="55" t="s">
        <v>132</v>
      </c>
      <c r="AC2675" s="55" t="s">
        <v>130</v>
      </c>
    </row>
    <row r="2676" spans="1:29" ht="13" x14ac:dyDescent="0.15">
      <c r="A2676" s="72" t="str">
        <f t="shared" si="41"/>
        <v>Ofsted Social Care Provider Webpage</v>
      </c>
      <c r="B2676" s="55" t="s">
        <v>5041</v>
      </c>
      <c r="D2676" s="55" t="s">
        <v>373</v>
      </c>
      <c r="E2676" s="74">
        <v>39472</v>
      </c>
      <c r="F2676" s="55" t="s">
        <v>344</v>
      </c>
      <c r="G2676" s="55" t="s">
        <v>360</v>
      </c>
      <c r="H2676" s="55" t="s">
        <v>360</v>
      </c>
      <c r="I2676" s="55" t="s">
        <v>360</v>
      </c>
      <c r="J2676" s="55" t="s">
        <v>360</v>
      </c>
      <c r="K2676" s="55" t="s">
        <v>360</v>
      </c>
      <c r="L2676" s="55" t="s">
        <v>360</v>
      </c>
      <c r="M2676" s="55" t="s">
        <v>142</v>
      </c>
      <c r="N2676" s="55" t="s">
        <v>142</v>
      </c>
      <c r="O2676" s="55" t="s">
        <v>265</v>
      </c>
      <c r="P2676" s="55" t="s">
        <v>1215</v>
      </c>
      <c r="Q2676" s="55" t="s">
        <v>350</v>
      </c>
      <c r="R2676" s="55">
        <v>3</v>
      </c>
      <c r="S2676" s="74"/>
      <c r="T2676" s="55" t="s">
        <v>1446</v>
      </c>
      <c r="U2676" s="73" t="s">
        <v>351</v>
      </c>
      <c r="V2676" s="74">
        <v>44447</v>
      </c>
      <c r="W2676" s="74">
        <v>44477</v>
      </c>
      <c r="X2676" s="55">
        <v>10185486</v>
      </c>
      <c r="Y2676" s="55" t="s">
        <v>132</v>
      </c>
      <c r="AB2676" s="55" t="s">
        <v>132</v>
      </c>
      <c r="AC2676" s="55" t="s">
        <v>132</v>
      </c>
    </row>
    <row r="2677" spans="1:29" ht="13" x14ac:dyDescent="0.15">
      <c r="A2677" s="72" t="str">
        <f t="shared" si="41"/>
        <v>Ofsted Social Care Provider Webpage</v>
      </c>
      <c r="B2677" s="55" t="s">
        <v>5042</v>
      </c>
      <c r="D2677" s="55" t="s">
        <v>451</v>
      </c>
      <c r="E2677" s="74">
        <v>39617</v>
      </c>
      <c r="F2677" s="55" t="s">
        <v>344</v>
      </c>
      <c r="G2677" s="55" t="s">
        <v>5043</v>
      </c>
      <c r="H2677" s="55" t="s">
        <v>5044</v>
      </c>
      <c r="I2677" s="55" t="s">
        <v>5045</v>
      </c>
      <c r="J2677" s="55" t="s">
        <v>3411</v>
      </c>
      <c r="K2677" s="55" t="s">
        <v>203</v>
      </c>
      <c r="L2677" s="55" t="s">
        <v>5046</v>
      </c>
      <c r="M2677" s="55" t="s">
        <v>150</v>
      </c>
      <c r="N2677" s="55" t="s">
        <v>150</v>
      </c>
      <c r="O2677" s="55" t="s">
        <v>203</v>
      </c>
      <c r="P2677" s="55" t="s">
        <v>563</v>
      </c>
      <c r="Q2677" s="55" t="s">
        <v>350</v>
      </c>
      <c r="R2677" s="55">
        <v>13</v>
      </c>
      <c r="S2677" s="74"/>
      <c r="T2677" s="55" t="s">
        <v>5047</v>
      </c>
      <c r="U2677" s="73" t="s">
        <v>351</v>
      </c>
      <c r="V2677" s="74">
        <v>44502</v>
      </c>
      <c r="W2677" s="74">
        <v>44593</v>
      </c>
      <c r="X2677" s="55">
        <v>10183450</v>
      </c>
      <c r="Y2677" s="55" t="s">
        <v>132</v>
      </c>
      <c r="AB2677" s="55" t="s">
        <v>132</v>
      </c>
      <c r="AC2677" s="55" t="s">
        <v>132</v>
      </c>
    </row>
    <row r="2678" spans="1:29" ht="13" x14ac:dyDescent="0.15">
      <c r="A2678" s="72" t="str">
        <f t="shared" si="41"/>
        <v>Ofsted Social Care Provider Webpage</v>
      </c>
      <c r="B2678" s="55" t="s">
        <v>5048</v>
      </c>
      <c r="D2678" s="55" t="s">
        <v>373</v>
      </c>
      <c r="E2678" s="74">
        <v>39469</v>
      </c>
      <c r="F2678" s="55" t="s">
        <v>344</v>
      </c>
      <c r="G2678" s="55" t="s">
        <v>360</v>
      </c>
      <c r="H2678" s="55" t="s">
        <v>360</v>
      </c>
      <c r="I2678" s="55" t="s">
        <v>360</v>
      </c>
      <c r="J2678" s="55" t="s">
        <v>360</v>
      </c>
      <c r="K2678" s="55" t="s">
        <v>360</v>
      </c>
      <c r="L2678" s="55" t="s">
        <v>360</v>
      </c>
      <c r="M2678" s="55" t="s">
        <v>378</v>
      </c>
      <c r="N2678" s="55" t="s">
        <v>134</v>
      </c>
      <c r="O2678" s="55" t="s">
        <v>225</v>
      </c>
      <c r="P2678" s="55" t="s">
        <v>1667</v>
      </c>
      <c r="Q2678" s="55" t="s">
        <v>380</v>
      </c>
      <c r="R2678" s="55">
        <v>2</v>
      </c>
      <c r="S2678" s="74"/>
      <c r="T2678" s="55" t="s">
        <v>1668</v>
      </c>
      <c r="U2678" s="73" t="s">
        <v>351</v>
      </c>
      <c r="V2678" s="74">
        <v>44538</v>
      </c>
      <c r="W2678" s="74">
        <v>44587</v>
      </c>
      <c r="X2678" s="55">
        <v>10187531</v>
      </c>
      <c r="Y2678" s="55" t="s">
        <v>132</v>
      </c>
      <c r="AB2678" s="55" t="s">
        <v>132</v>
      </c>
      <c r="AC2678" s="55" t="s">
        <v>132</v>
      </c>
    </row>
    <row r="2679" spans="1:29" ht="13" x14ac:dyDescent="0.15">
      <c r="A2679" s="72" t="str">
        <f t="shared" si="41"/>
        <v>Ofsted Social Care Provider Webpage</v>
      </c>
      <c r="B2679" s="55" t="s">
        <v>5049</v>
      </c>
      <c r="D2679" s="55" t="s">
        <v>389</v>
      </c>
      <c r="E2679" s="74">
        <v>39546</v>
      </c>
      <c r="F2679" s="55" t="s">
        <v>344</v>
      </c>
      <c r="G2679" s="55" t="s">
        <v>5050</v>
      </c>
      <c r="H2679" s="55" t="s">
        <v>5051</v>
      </c>
      <c r="I2679" s="55" t="s">
        <v>5052</v>
      </c>
      <c r="J2679" s="55" t="s">
        <v>5053</v>
      </c>
      <c r="K2679" s="55" t="s">
        <v>174</v>
      </c>
      <c r="L2679" s="55" t="s">
        <v>5054</v>
      </c>
      <c r="M2679" s="55" t="s">
        <v>136</v>
      </c>
      <c r="N2679" s="55" t="s">
        <v>136</v>
      </c>
      <c r="O2679" s="55" t="s">
        <v>174</v>
      </c>
      <c r="P2679" s="55" t="s">
        <v>1526</v>
      </c>
      <c r="Q2679" s="55" t="s">
        <v>350</v>
      </c>
      <c r="R2679" s="55"/>
      <c r="S2679" s="74"/>
      <c r="T2679" s="55" t="s">
        <v>5055</v>
      </c>
      <c r="U2679" s="73" t="s">
        <v>351</v>
      </c>
      <c r="V2679" s="74">
        <v>43451</v>
      </c>
      <c r="W2679" s="74">
        <v>43476</v>
      </c>
      <c r="X2679" s="55">
        <v>10046912</v>
      </c>
      <c r="Y2679" s="55" t="s">
        <v>132</v>
      </c>
      <c r="AB2679" s="55" t="s">
        <v>132</v>
      </c>
      <c r="AC2679" s="55" t="s">
        <v>140</v>
      </c>
    </row>
    <row r="2680" spans="1:29" ht="13" x14ac:dyDescent="0.15">
      <c r="A2680" s="72" t="str">
        <f t="shared" si="41"/>
        <v>Ofsted Social Care Provider Webpage</v>
      </c>
      <c r="B2680" s="55" t="s">
        <v>5056</v>
      </c>
      <c r="D2680" s="55" t="s">
        <v>373</v>
      </c>
      <c r="E2680" s="74">
        <v>39426</v>
      </c>
      <c r="F2680" s="55" t="s">
        <v>344</v>
      </c>
      <c r="G2680" s="55" t="s">
        <v>360</v>
      </c>
      <c r="H2680" s="55" t="s">
        <v>360</v>
      </c>
      <c r="I2680" s="55" t="s">
        <v>360</v>
      </c>
      <c r="J2680" s="55" t="s">
        <v>360</v>
      </c>
      <c r="K2680" s="55" t="s">
        <v>360</v>
      </c>
      <c r="L2680" s="55" t="s">
        <v>360</v>
      </c>
      <c r="M2680" s="55" t="s">
        <v>136</v>
      </c>
      <c r="N2680" s="55" t="s">
        <v>136</v>
      </c>
      <c r="O2680" s="55" t="s">
        <v>174</v>
      </c>
      <c r="P2680" s="55" t="s">
        <v>857</v>
      </c>
      <c r="Q2680" s="55" t="s">
        <v>350</v>
      </c>
      <c r="R2680" s="55">
        <v>2</v>
      </c>
      <c r="S2680" s="74"/>
      <c r="T2680" s="55" t="s">
        <v>721</v>
      </c>
      <c r="U2680" s="73" t="s">
        <v>351</v>
      </c>
      <c r="V2680" s="74">
        <v>44453</v>
      </c>
      <c r="W2680" s="74">
        <v>44481</v>
      </c>
      <c r="X2680" s="55">
        <v>10198860</v>
      </c>
      <c r="Y2680" s="55" t="s">
        <v>130</v>
      </c>
      <c r="AB2680" s="55" t="s">
        <v>130</v>
      </c>
      <c r="AC2680" s="55" t="s">
        <v>130</v>
      </c>
    </row>
    <row r="2681" spans="1:29" ht="13" x14ac:dyDescent="0.15">
      <c r="A2681" s="72" t="str">
        <f t="shared" si="41"/>
        <v>Ofsted Social Care Provider Webpage</v>
      </c>
      <c r="B2681" s="55" t="s">
        <v>5057</v>
      </c>
      <c r="D2681" s="55" t="s">
        <v>373</v>
      </c>
      <c r="E2681" s="74">
        <v>39472</v>
      </c>
      <c r="F2681" s="55" t="s">
        <v>344</v>
      </c>
      <c r="G2681" s="55" t="s">
        <v>360</v>
      </c>
      <c r="H2681" s="55" t="s">
        <v>360</v>
      </c>
      <c r="I2681" s="55" t="s">
        <v>360</v>
      </c>
      <c r="J2681" s="55" t="s">
        <v>360</v>
      </c>
      <c r="K2681" s="55" t="s">
        <v>360</v>
      </c>
      <c r="L2681" s="55" t="s">
        <v>360</v>
      </c>
      <c r="M2681" s="55" t="s">
        <v>150</v>
      </c>
      <c r="N2681" s="55" t="s">
        <v>150</v>
      </c>
      <c r="O2681" s="55" t="s">
        <v>203</v>
      </c>
      <c r="P2681" s="55" t="s">
        <v>1263</v>
      </c>
      <c r="Q2681" s="55" t="s">
        <v>350</v>
      </c>
      <c r="R2681" s="55">
        <v>3</v>
      </c>
      <c r="S2681" s="74"/>
      <c r="T2681" s="55" t="s">
        <v>2070</v>
      </c>
      <c r="U2681" s="73" t="s">
        <v>351</v>
      </c>
      <c r="V2681" s="74">
        <v>44481</v>
      </c>
      <c r="W2681" s="74">
        <v>44526</v>
      </c>
      <c r="X2681" s="55">
        <v>10185325</v>
      </c>
      <c r="Y2681" s="55" t="s">
        <v>140</v>
      </c>
      <c r="AB2681" s="55" t="s">
        <v>140</v>
      </c>
      <c r="AC2681" s="55" t="s">
        <v>140</v>
      </c>
    </row>
    <row r="2682" spans="1:29" ht="13" x14ac:dyDescent="0.15">
      <c r="A2682" s="72" t="str">
        <f t="shared" si="41"/>
        <v>Ofsted Social Care Provider Webpage</v>
      </c>
      <c r="B2682" s="55" t="s">
        <v>5058</v>
      </c>
      <c r="D2682" s="55" t="s">
        <v>373</v>
      </c>
      <c r="E2682" s="74">
        <v>39479</v>
      </c>
      <c r="F2682" s="55" t="s">
        <v>344</v>
      </c>
      <c r="G2682" s="55" t="s">
        <v>360</v>
      </c>
      <c r="H2682" s="55" t="s">
        <v>360</v>
      </c>
      <c r="I2682" s="55" t="s">
        <v>360</v>
      </c>
      <c r="J2682" s="55" t="s">
        <v>360</v>
      </c>
      <c r="K2682" s="55" t="s">
        <v>360</v>
      </c>
      <c r="L2682" s="55" t="s">
        <v>360</v>
      </c>
      <c r="M2682" s="55" t="s">
        <v>150</v>
      </c>
      <c r="N2682" s="55" t="s">
        <v>150</v>
      </c>
      <c r="O2682" s="55" t="s">
        <v>203</v>
      </c>
      <c r="P2682" s="55" t="s">
        <v>800</v>
      </c>
      <c r="Q2682" s="55" t="s">
        <v>380</v>
      </c>
      <c r="R2682" s="55">
        <v>6</v>
      </c>
      <c r="S2682" s="74" t="s">
        <v>332</v>
      </c>
      <c r="T2682" s="55" t="s">
        <v>1547</v>
      </c>
      <c r="U2682" s="73" t="s">
        <v>351</v>
      </c>
      <c r="V2682" s="74">
        <v>44532</v>
      </c>
      <c r="W2682" s="74">
        <v>44607</v>
      </c>
      <c r="X2682" s="55">
        <v>10187568</v>
      </c>
      <c r="Y2682" s="55" t="s">
        <v>130</v>
      </c>
      <c r="AB2682" s="55" t="s">
        <v>130</v>
      </c>
      <c r="AC2682" s="55" t="s">
        <v>130</v>
      </c>
    </row>
    <row r="2683" spans="1:29" ht="13" x14ac:dyDescent="0.15">
      <c r="A2683" s="72" t="str">
        <f t="shared" si="41"/>
        <v>Ofsted Social Care Provider Webpage</v>
      </c>
      <c r="B2683" s="55" t="s">
        <v>5059</v>
      </c>
      <c r="D2683" s="55" t="s">
        <v>443</v>
      </c>
      <c r="E2683" s="74">
        <v>39905</v>
      </c>
      <c r="F2683" s="55" t="s">
        <v>344</v>
      </c>
      <c r="G2683" s="55" t="s">
        <v>5060</v>
      </c>
      <c r="H2683" s="55" t="s">
        <v>5061</v>
      </c>
      <c r="I2683" s="55" t="s">
        <v>5062</v>
      </c>
      <c r="J2683" s="55" t="s">
        <v>211</v>
      </c>
      <c r="L2683" s="55" t="s">
        <v>5063</v>
      </c>
      <c r="M2683" s="55" t="s">
        <v>172</v>
      </c>
      <c r="N2683" s="55" t="s">
        <v>172</v>
      </c>
      <c r="O2683" s="55" t="s">
        <v>211</v>
      </c>
      <c r="P2683" s="55" t="s">
        <v>2228</v>
      </c>
      <c r="Q2683" s="55" t="s">
        <v>350</v>
      </c>
      <c r="R2683" s="55"/>
      <c r="S2683" s="74"/>
      <c r="T2683" s="55" t="s">
        <v>5061</v>
      </c>
      <c r="U2683" s="73" t="s">
        <v>351</v>
      </c>
      <c r="V2683" s="74">
        <v>43892</v>
      </c>
      <c r="W2683" s="74">
        <v>43906</v>
      </c>
      <c r="X2683" s="55">
        <v>10115601</v>
      </c>
      <c r="Y2683" s="55" t="s">
        <v>132</v>
      </c>
      <c r="AB2683" s="55" t="s">
        <v>132</v>
      </c>
      <c r="AC2683" s="55" t="s">
        <v>132</v>
      </c>
    </row>
    <row r="2684" spans="1:29" ht="13" x14ac:dyDescent="0.15">
      <c r="A2684" s="72" t="str">
        <f t="shared" si="41"/>
        <v>Ofsted Social Care Provider Webpage</v>
      </c>
      <c r="B2684" s="55" t="s">
        <v>5064</v>
      </c>
      <c r="D2684" s="55" t="s">
        <v>373</v>
      </c>
      <c r="E2684" s="74">
        <v>39539</v>
      </c>
      <c r="F2684" s="55" t="s">
        <v>344</v>
      </c>
      <c r="G2684" s="55" t="s">
        <v>360</v>
      </c>
      <c r="H2684" s="55" t="s">
        <v>360</v>
      </c>
      <c r="I2684" s="55" t="s">
        <v>360</v>
      </c>
      <c r="J2684" s="55" t="s">
        <v>360</v>
      </c>
      <c r="K2684" s="55" t="s">
        <v>360</v>
      </c>
      <c r="L2684" s="55" t="s">
        <v>360</v>
      </c>
      <c r="M2684" s="55" t="s">
        <v>142</v>
      </c>
      <c r="N2684" s="55" t="s">
        <v>142</v>
      </c>
      <c r="O2684" s="55" t="s">
        <v>265</v>
      </c>
      <c r="P2684" s="55" t="s">
        <v>540</v>
      </c>
      <c r="Q2684" s="55" t="s">
        <v>380</v>
      </c>
      <c r="R2684" s="55">
        <v>2</v>
      </c>
      <c r="S2684" s="74"/>
      <c r="T2684" s="55" t="s">
        <v>1067</v>
      </c>
      <c r="U2684" s="73" t="s">
        <v>351</v>
      </c>
      <c r="V2684" s="74">
        <v>44474</v>
      </c>
      <c r="W2684" s="74">
        <v>44502</v>
      </c>
      <c r="X2684" s="55">
        <v>10185558</v>
      </c>
      <c r="Y2684" s="55" t="s">
        <v>132</v>
      </c>
      <c r="AB2684" s="55" t="s">
        <v>130</v>
      </c>
      <c r="AC2684" s="55" t="s">
        <v>132</v>
      </c>
    </row>
    <row r="2685" spans="1:29" ht="13" x14ac:dyDescent="0.15">
      <c r="A2685" s="72" t="str">
        <f t="shared" si="41"/>
        <v>Ofsted Social Care Provider Webpage</v>
      </c>
      <c r="B2685" s="55" t="s">
        <v>5065</v>
      </c>
      <c r="D2685" s="55" t="s">
        <v>373</v>
      </c>
      <c r="E2685" s="74">
        <v>39539</v>
      </c>
      <c r="F2685" s="55" t="s">
        <v>344</v>
      </c>
      <c r="G2685" s="55" t="s">
        <v>360</v>
      </c>
      <c r="H2685" s="55" t="s">
        <v>360</v>
      </c>
      <c r="I2685" s="55" t="s">
        <v>360</v>
      </c>
      <c r="J2685" s="55" t="s">
        <v>360</v>
      </c>
      <c r="K2685" s="55" t="s">
        <v>360</v>
      </c>
      <c r="L2685" s="55" t="s">
        <v>360</v>
      </c>
      <c r="M2685" s="55" t="s">
        <v>142</v>
      </c>
      <c r="N2685" s="55" t="s">
        <v>142</v>
      </c>
      <c r="O2685" s="55" t="s">
        <v>265</v>
      </c>
      <c r="P2685" s="55" t="s">
        <v>540</v>
      </c>
      <c r="Q2685" s="55" t="s">
        <v>380</v>
      </c>
      <c r="R2685" s="55">
        <v>2</v>
      </c>
      <c r="S2685" s="74"/>
      <c r="T2685" s="55" t="s">
        <v>1067</v>
      </c>
      <c r="U2685" s="73" t="s">
        <v>351</v>
      </c>
      <c r="V2685" s="74">
        <v>44460</v>
      </c>
      <c r="W2685" s="74">
        <v>44498</v>
      </c>
      <c r="X2685" s="55">
        <v>10185286</v>
      </c>
      <c r="Y2685" s="55" t="s">
        <v>132</v>
      </c>
      <c r="AB2685" s="55" t="s">
        <v>132</v>
      </c>
      <c r="AC2685" s="55" t="s">
        <v>132</v>
      </c>
    </row>
    <row r="2686" spans="1:29" ht="13" x14ac:dyDescent="0.15">
      <c r="A2686" s="72" t="str">
        <f t="shared" si="41"/>
        <v>Ofsted Social Care Provider Webpage</v>
      </c>
      <c r="B2686" s="55" t="s">
        <v>5066</v>
      </c>
      <c r="D2686" s="55" t="s">
        <v>373</v>
      </c>
      <c r="E2686" s="74">
        <v>39617</v>
      </c>
      <c r="F2686" s="55" t="s">
        <v>344</v>
      </c>
      <c r="G2686" s="55" t="s">
        <v>360</v>
      </c>
      <c r="H2686" s="55" t="s">
        <v>360</v>
      </c>
      <c r="I2686" s="55" t="s">
        <v>360</v>
      </c>
      <c r="J2686" s="55" t="s">
        <v>360</v>
      </c>
      <c r="K2686" s="55" t="s">
        <v>360</v>
      </c>
      <c r="L2686" s="55" t="s">
        <v>360</v>
      </c>
      <c r="M2686" s="55" t="s">
        <v>144</v>
      </c>
      <c r="N2686" s="55" t="s">
        <v>144</v>
      </c>
      <c r="O2686" s="55" t="s">
        <v>147</v>
      </c>
      <c r="P2686" s="55" t="s">
        <v>387</v>
      </c>
      <c r="Q2686" s="55" t="s">
        <v>380</v>
      </c>
      <c r="R2686" s="55">
        <v>5</v>
      </c>
      <c r="S2686" s="74"/>
      <c r="T2686" s="55" t="s">
        <v>3771</v>
      </c>
      <c r="U2686" s="73" t="s">
        <v>351</v>
      </c>
      <c r="V2686" s="74">
        <v>44531</v>
      </c>
      <c r="W2686" s="74">
        <v>44579</v>
      </c>
      <c r="X2686" s="55">
        <v>10185471</v>
      </c>
      <c r="Y2686" s="55" t="s">
        <v>132</v>
      </c>
      <c r="AB2686" s="55" t="s">
        <v>132</v>
      </c>
      <c r="AC2686" s="55" t="s">
        <v>132</v>
      </c>
    </row>
    <row r="2687" spans="1:29" ht="13" x14ac:dyDescent="0.15">
      <c r="A2687" s="72" t="str">
        <f t="shared" si="41"/>
        <v>Ofsted Social Care Provider Webpage</v>
      </c>
      <c r="B2687" s="55" t="s">
        <v>5067</v>
      </c>
      <c r="D2687" s="55" t="s">
        <v>373</v>
      </c>
      <c r="E2687" s="74">
        <v>39570</v>
      </c>
      <c r="F2687" s="55" t="s">
        <v>344</v>
      </c>
      <c r="G2687" s="55" t="s">
        <v>360</v>
      </c>
      <c r="H2687" s="55" t="s">
        <v>360</v>
      </c>
      <c r="I2687" s="55" t="s">
        <v>360</v>
      </c>
      <c r="J2687" s="55" t="s">
        <v>360</v>
      </c>
      <c r="K2687" s="55" t="s">
        <v>360</v>
      </c>
      <c r="L2687" s="55" t="s">
        <v>360</v>
      </c>
      <c r="M2687" s="55" t="s">
        <v>150</v>
      </c>
      <c r="N2687" s="55" t="s">
        <v>150</v>
      </c>
      <c r="O2687" s="55" t="s">
        <v>268</v>
      </c>
      <c r="P2687" s="55" t="s">
        <v>2682</v>
      </c>
      <c r="Q2687" s="55" t="s">
        <v>380</v>
      </c>
      <c r="R2687" s="55">
        <v>20</v>
      </c>
      <c r="S2687" s="74"/>
      <c r="T2687" s="55" t="s">
        <v>640</v>
      </c>
      <c r="U2687" s="73" t="s">
        <v>351</v>
      </c>
      <c r="V2687" s="74">
        <v>44299</v>
      </c>
      <c r="W2687" s="74">
        <v>44344</v>
      </c>
      <c r="X2687" s="55">
        <v>10186887</v>
      </c>
      <c r="Y2687" s="55" t="s">
        <v>130</v>
      </c>
      <c r="AB2687" s="55" t="s">
        <v>130</v>
      </c>
      <c r="AC2687" s="55" t="s">
        <v>130</v>
      </c>
    </row>
    <row r="2688" spans="1:29" ht="13" x14ac:dyDescent="0.15">
      <c r="A2688" s="72" t="str">
        <f t="shared" si="41"/>
        <v>Ofsted Social Care Provider Webpage</v>
      </c>
      <c r="B2688" s="55" t="s">
        <v>5068</v>
      </c>
      <c r="D2688" s="55" t="s">
        <v>373</v>
      </c>
      <c r="E2688" s="74">
        <v>39493</v>
      </c>
      <c r="F2688" s="55" t="s">
        <v>344</v>
      </c>
      <c r="G2688" s="55" t="s">
        <v>360</v>
      </c>
      <c r="H2688" s="55" t="s">
        <v>360</v>
      </c>
      <c r="I2688" s="55" t="s">
        <v>360</v>
      </c>
      <c r="J2688" s="55" t="s">
        <v>360</v>
      </c>
      <c r="K2688" s="55" t="s">
        <v>360</v>
      </c>
      <c r="L2688" s="55" t="s">
        <v>360</v>
      </c>
      <c r="M2688" s="55" t="s">
        <v>172</v>
      </c>
      <c r="N2688" s="55" t="s">
        <v>172</v>
      </c>
      <c r="O2688" s="55" t="s">
        <v>214</v>
      </c>
      <c r="P2688" s="55" t="s">
        <v>790</v>
      </c>
      <c r="Q2688" s="55" t="s">
        <v>350</v>
      </c>
      <c r="R2688" s="55">
        <v>3</v>
      </c>
      <c r="S2688" s="74"/>
      <c r="T2688" s="55" t="s">
        <v>843</v>
      </c>
      <c r="U2688" s="73" t="s">
        <v>351</v>
      </c>
      <c r="V2688" s="74">
        <v>44341</v>
      </c>
      <c r="W2688" s="74">
        <v>44376</v>
      </c>
      <c r="X2688" s="55">
        <v>10187459</v>
      </c>
      <c r="Y2688" s="55" t="s">
        <v>130</v>
      </c>
      <c r="AB2688" s="55" t="s">
        <v>130</v>
      </c>
      <c r="AC2688" s="55" t="s">
        <v>130</v>
      </c>
    </row>
    <row r="2689" spans="1:29" ht="13" x14ac:dyDescent="0.15">
      <c r="A2689" s="72" t="str">
        <f t="shared" si="41"/>
        <v>Ofsted Social Care Provider Webpage</v>
      </c>
      <c r="B2689" s="55" t="s">
        <v>5069</v>
      </c>
      <c r="D2689" s="55" t="s">
        <v>373</v>
      </c>
      <c r="E2689" s="74">
        <v>39493</v>
      </c>
      <c r="F2689" s="55" t="s">
        <v>344</v>
      </c>
      <c r="G2689" s="55" t="s">
        <v>360</v>
      </c>
      <c r="H2689" s="55" t="s">
        <v>360</v>
      </c>
      <c r="I2689" s="55" t="s">
        <v>360</v>
      </c>
      <c r="J2689" s="55" t="s">
        <v>360</v>
      </c>
      <c r="K2689" s="55" t="s">
        <v>360</v>
      </c>
      <c r="L2689" s="55" t="s">
        <v>360</v>
      </c>
      <c r="M2689" s="55" t="s">
        <v>138</v>
      </c>
      <c r="N2689" s="55" t="s">
        <v>138</v>
      </c>
      <c r="O2689" s="55" t="s">
        <v>159</v>
      </c>
      <c r="P2689" s="55" t="s">
        <v>1025</v>
      </c>
      <c r="Q2689" s="55" t="s">
        <v>350</v>
      </c>
      <c r="R2689" s="55">
        <v>3</v>
      </c>
      <c r="S2689" s="74"/>
      <c r="T2689" s="55" t="s">
        <v>843</v>
      </c>
      <c r="U2689" s="73" t="s">
        <v>351</v>
      </c>
      <c r="V2689" s="74">
        <v>44530</v>
      </c>
      <c r="W2689" s="74">
        <v>44572</v>
      </c>
      <c r="X2689" s="55">
        <v>10186426</v>
      </c>
      <c r="Y2689" s="55" t="s">
        <v>132</v>
      </c>
      <c r="AB2689" s="55" t="s">
        <v>132</v>
      </c>
      <c r="AC2689" s="55" t="s">
        <v>132</v>
      </c>
    </row>
    <row r="2690" spans="1:29" ht="13" x14ac:dyDescent="0.15">
      <c r="A2690" s="72" t="str">
        <f t="shared" si="41"/>
        <v>Ofsted Social Care Provider Webpage</v>
      </c>
      <c r="B2690" s="55" t="s">
        <v>5070</v>
      </c>
      <c r="D2690" s="55" t="s">
        <v>373</v>
      </c>
      <c r="E2690" s="74">
        <v>39493</v>
      </c>
      <c r="F2690" s="55" t="s">
        <v>344</v>
      </c>
      <c r="G2690" s="55" t="s">
        <v>360</v>
      </c>
      <c r="H2690" s="55" t="s">
        <v>360</v>
      </c>
      <c r="I2690" s="55" t="s">
        <v>360</v>
      </c>
      <c r="J2690" s="55" t="s">
        <v>360</v>
      </c>
      <c r="K2690" s="55" t="s">
        <v>360</v>
      </c>
      <c r="L2690" s="55" t="s">
        <v>360</v>
      </c>
      <c r="M2690" s="55" t="s">
        <v>138</v>
      </c>
      <c r="N2690" s="55" t="s">
        <v>138</v>
      </c>
      <c r="O2690" s="55" t="s">
        <v>224</v>
      </c>
      <c r="P2690" s="55" t="s">
        <v>1872</v>
      </c>
      <c r="Q2690" s="55" t="s">
        <v>350</v>
      </c>
      <c r="R2690" s="55">
        <v>3</v>
      </c>
      <c r="S2690" s="74"/>
      <c r="T2690" s="55" t="s">
        <v>843</v>
      </c>
      <c r="U2690" s="73" t="s">
        <v>351</v>
      </c>
      <c r="V2690" s="74">
        <v>44368</v>
      </c>
      <c r="W2690" s="74">
        <v>44397</v>
      </c>
      <c r="X2690" s="55">
        <v>10185697</v>
      </c>
      <c r="Y2690" s="55" t="s">
        <v>132</v>
      </c>
      <c r="AB2690" s="55" t="s">
        <v>132</v>
      </c>
      <c r="AC2690" s="55" t="s">
        <v>132</v>
      </c>
    </row>
    <row r="2691" spans="1:29" ht="13" x14ac:dyDescent="0.15">
      <c r="A2691" s="72" t="str">
        <f t="shared" si="41"/>
        <v>Ofsted Social Care Provider Webpage</v>
      </c>
      <c r="B2691" s="55" t="s">
        <v>5071</v>
      </c>
      <c r="D2691" s="55" t="s">
        <v>373</v>
      </c>
      <c r="E2691" s="74">
        <v>39493</v>
      </c>
      <c r="F2691" s="55" t="s">
        <v>344</v>
      </c>
      <c r="G2691" s="55" t="s">
        <v>360</v>
      </c>
      <c r="H2691" s="55" t="s">
        <v>360</v>
      </c>
      <c r="I2691" s="55" t="s">
        <v>360</v>
      </c>
      <c r="J2691" s="55" t="s">
        <v>360</v>
      </c>
      <c r="K2691" s="55" t="s">
        <v>360</v>
      </c>
      <c r="L2691" s="55" t="s">
        <v>360</v>
      </c>
      <c r="M2691" s="55" t="s">
        <v>172</v>
      </c>
      <c r="N2691" s="55" t="s">
        <v>172</v>
      </c>
      <c r="O2691" s="55" t="s">
        <v>214</v>
      </c>
      <c r="P2691" s="55" t="s">
        <v>790</v>
      </c>
      <c r="Q2691" s="55" t="s">
        <v>350</v>
      </c>
      <c r="R2691" s="55">
        <v>4</v>
      </c>
      <c r="S2691" s="74"/>
      <c r="T2691" s="55" t="s">
        <v>843</v>
      </c>
      <c r="U2691" s="73" t="s">
        <v>351</v>
      </c>
      <c r="V2691" s="74">
        <v>44405</v>
      </c>
      <c r="W2691" s="74">
        <v>44449</v>
      </c>
      <c r="X2691" s="55">
        <v>10186895</v>
      </c>
      <c r="Y2691" s="55" t="s">
        <v>132</v>
      </c>
      <c r="AB2691" s="55" t="s">
        <v>132</v>
      </c>
      <c r="AC2691" s="55" t="s">
        <v>132</v>
      </c>
    </row>
    <row r="2692" spans="1:29" ht="13" x14ac:dyDescent="0.15">
      <c r="A2692" s="72" t="str">
        <f t="shared" si="41"/>
        <v>Ofsted Social Care Provider Webpage</v>
      </c>
      <c r="B2692" s="55" t="s">
        <v>5072</v>
      </c>
      <c r="D2692" s="55" t="s">
        <v>373</v>
      </c>
      <c r="E2692" s="74">
        <v>39615</v>
      </c>
      <c r="F2692" s="55" t="s">
        <v>344</v>
      </c>
      <c r="G2692" s="55" t="s">
        <v>360</v>
      </c>
      <c r="H2692" s="55" t="s">
        <v>360</v>
      </c>
      <c r="I2692" s="55" t="s">
        <v>360</v>
      </c>
      <c r="J2692" s="55" t="s">
        <v>360</v>
      </c>
      <c r="K2692" s="55" t="s">
        <v>360</v>
      </c>
      <c r="L2692" s="55" t="s">
        <v>360</v>
      </c>
      <c r="M2692" s="55" t="s">
        <v>142</v>
      </c>
      <c r="N2692" s="55" t="s">
        <v>142</v>
      </c>
      <c r="O2692" s="55" t="s">
        <v>252</v>
      </c>
      <c r="P2692" s="55" t="s">
        <v>388</v>
      </c>
      <c r="Q2692" s="55" t="s">
        <v>380</v>
      </c>
      <c r="R2692" s="55">
        <v>5</v>
      </c>
      <c r="S2692" s="74"/>
      <c r="T2692" s="55" t="s">
        <v>1542</v>
      </c>
      <c r="U2692" s="73" t="s">
        <v>351</v>
      </c>
      <c r="V2692" s="74">
        <v>44614</v>
      </c>
      <c r="W2692" s="74">
        <v>44652</v>
      </c>
      <c r="X2692" s="55">
        <v>10185451</v>
      </c>
      <c r="Y2692" s="55" t="s">
        <v>132</v>
      </c>
      <c r="AB2692" s="55" t="s">
        <v>132</v>
      </c>
      <c r="AC2692" s="55" t="s">
        <v>132</v>
      </c>
    </row>
    <row r="2693" spans="1:29" ht="13" x14ac:dyDescent="0.15">
      <c r="A2693" s="72" t="str">
        <f t="shared" si="41"/>
        <v>Ofsted Social Care Provider Webpage</v>
      </c>
      <c r="B2693" s="55" t="s">
        <v>5073</v>
      </c>
      <c r="D2693" s="55" t="s">
        <v>373</v>
      </c>
      <c r="E2693" s="74">
        <v>39612</v>
      </c>
      <c r="F2693" s="55" t="s">
        <v>344</v>
      </c>
      <c r="G2693" s="55" t="s">
        <v>360</v>
      </c>
      <c r="H2693" s="55" t="s">
        <v>360</v>
      </c>
      <c r="I2693" s="55" t="s">
        <v>360</v>
      </c>
      <c r="J2693" s="55" t="s">
        <v>360</v>
      </c>
      <c r="K2693" s="55" t="s">
        <v>360</v>
      </c>
      <c r="L2693" s="55" t="s">
        <v>360</v>
      </c>
      <c r="M2693" s="55" t="s">
        <v>144</v>
      </c>
      <c r="N2693" s="55" t="s">
        <v>144</v>
      </c>
      <c r="O2693" s="55" t="s">
        <v>245</v>
      </c>
      <c r="P2693" s="55" t="s">
        <v>1796</v>
      </c>
      <c r="Q2693" s="55" t="s">
        <v>350</v>
      </c>
      <c r="R2693" s="55">
        <v>3</v>
      </c>
      <c r="S2693" s="74"/>
      <c r="T2693" s="55" t="s">
        <v>613</v>
      </c>
      <c r="U2693" s="73" t="s">
        <v>351</v>
      </c>
      <c r="V2693" s="74">
        <v>44501</v>
      </c>
      <c r="W2693" s="74">
        <v>44538</v>
      </c>
      <c r="X2693" s="55">
        <v>10185047</v>
      </c>
      <c r="Y2693" s="55" t="s">
        <v>132</v>
      </c>
      <c r="AB2693" s="55" t="s">
        <v>132</v>
      </c>
      <c r="AC2693" s="55" t="s">
        <v>132</v>
      </c>
    </row>
    <row r="2694" spans="1:29" ht="13" x14ac:dyDescent="0.15">
      <c r="A2694" s="72" t="str">
        <f t="shared" ref="A2694:A2757" si="42">HYPERLINK(_xlfn.CONCAT("http://reports.ofsted.gov.uk/inspection-reports/find-inspection-report/provider/CARE/",B2694),"Ofsted Social Care Provider Webpage")</f>
        <v>Ofsted Social Care Provider Webpage</v>
      </c>
      <c r="B2694" s="55" t="s">
        <v>5074</v>
      </c>
      <c r="D2694" s="55" t="s">
        <v>479</v>
      </c>
      <c r="E2694" s="74">
        <v>40039</v>
      </c>
      <c r="F2694" s="55" t="s">
        <v>344</v>
      </c>
      <c r="G2694" s="55" t="s">
        <v>360</v>
      </c>
      <c r="H2694" s="55" t="s">
        <v>360</v>
      </c>
      <c r="I2694" s="55" t="s">
        <v>360</v>
      </c>
      <c r="J2694" s="55" t="s">
        <v>360</v>
      </c>
      <c r="K2694" s="55" t="s">
        <v>360</v>
      </c>
      <c r="L2694" s="55" t="s">
        <v>360</v>
      </c>
      <c r="M2694" s="55" t="s">
        <v>172</v>
      </c>
      <c r="N2694" s="55" t="s">
        <v>172</v>
      </c>
      <c r="O2694" s="55" t="s">
        <v>173</v>
      </c>
      <c r="P2694" s="55" t="s">
        <v>1069</v>
      </c>
      <c r="Q2694" s="55" t="s">
        <v>350</v>
      </c>
      <c r="R2694" s="55">
        <v>55</v>
      </c>
      <c r="S2694" s="74"/>
      <c r="T2694" s="55" t="s">
        <v>4968</v>
      </c>
      <c r="U2694" s="73" t="s">
        <v>351</v>
      </c>
      <c r="V2694" s="74">
        <v>44425</v>
      </c>
      <c r="W2694" s="74">
        <v>44461</v>
      </c>
      <c r="X2694" s="55">
        <v>10185071</v>
      </c>
      <c r="Y2694" s="55" t="s">
        <v>140</v>
      </c>
      <c r="AB2694" s="55" t="s">
        <v>140</v>
      </c>
      <c r="AC2694" s="55" t="s">
        <v>140</v>
      </c>
    </row>
    <row r="2695" spans="1:29" ht="13" x14ac:dyDescent="0.15">
      <c r="A2695" s="72" t="str">
        <f t="shared" si="42"/>
        <v>Ofsted Social Care Provider Webpage</v>
      </c>
      <c r="B2695" s="55" t="s">
        <v>5075</v>
      </c>
      <c r="D2695" s="55" t="s">
        <v>373</v>
      </c>
      <c r="E2695" s="74">
        <v>39618</v>
      </c>
      <c r="F2695" s="55" t="s">
        <v>344</v>
      </c>
      <c r="G2695" s="55" t="s">
        <v>360</v>
      </c>
      <c r="H2695" s="55" t="s">
        <v>360</v>
      </c>
      <c r="I2695" s="55" t="s">
        <v>360</v>
      </c>
      <c r="J2695" s="55" t="s">
        <v>360</v>
      </c>
      <c r="K2695" s="55" t="s">
        <v>360</v>
      </c>
      <c r="L2695" s="55" t="s">
        <v>360</v>
      </c>
      <c r="M2695" s="55" t="s">
        <v>144</v>
      </c>
      <c r="N2695" s="55" t="s">
        <v>144</v>
      </c>
      <c r="O2695" s="55" t="s">
        <v>143</v>
      </c>
      <c r="P2695" s="55" t="s">
        <v>2439</v>
      </c>
      <c r="Q2695" s="55" t="s">
        <v>380</v>
      </c>
      <c r="R2695" s="55">
        <v>5</v>
      </c>
      <c r="S2695" s="74" t="s">
        <v>332</v>
      </c>
      <c r="T2695" s="55" t="s">
        <v>3746</v>
      </c>
      <c r="U2695" s="73" t="s">
        <v>351</v>
      </c>
      <c r="V2695" s="74">
        <v>44530</v>
      </c>
      <c r="W2695" s="74">
        <v>44575</v>
      </c>
      <c r="X2695" s="55">
        <v>10185130</v>
      </c>
      <c r="Y2695" s="55" t="s">
        <v>140</v>
      </c>
      <c r="AB2695" s="55" t="s">
        <v>140</v>
      </c>
      <c r="AC2695" s="55" t="s">
        <v>140</v>
      </c>
    </row>
    <row r="2696" spans="1:29" ht="13" x14ac:dyDescent="0.15">
      <c r="A2696" s="72" t="str">
        <f t="shared" si="42"/>
        <v>Ofsted Social Care Provider Webpage</v>
      </c>
      <c r="B2696" s="55" t="s">
        <v>5076</v>
      </c>
      <c r="D2696" s="55" t="s">
        <v>373</v>
      </c>
      <c r="E2696" s="74">
        <v>39643</v>
      </c>
      <c r="F2696" s="55" t="s">
        <v>344</v>
      </c>
      <c r="G2696" s="55" t="s">
        <v>360</v>
      </c>
      <c r="H2696" s="55" t="s">
        <v>360</v>
      </c>
      <c r="I2696" s="55" t="s">
        <v>360</v>
      </c>
      <c r="J2696" s="55" t="s">
        <v>360</v>
      </c>
      <c r="K2696" s="55" t="s">
        <v>360</v>
      </c>
      <c r="L2696" s="55" t="s">
        <v>360</v>
      </c>
      <c r="M2696" s="55" t="s">
        <v>142</v>
      </c>
      <c r="N2696" s="55" t="s">
        <v>142</v>
      </c>
      <c r="O2696" s="55" t="s">
        <v>252</v>
      </c>
      <c r="P2696" s="55" t="s">
        <v>388</v>
      </c>
      <c r="Q2696" s="55" t="s">
        <v>350</v>
      </c>
      <c r="R2696" s="55">
        <v>3</v>
      </c>
      <c r="S2696" s="74"/>
      <c r="T2696" s="55" t="s">
        <v>1260</v>
      </c>
      <c r="U2696" s="73" t="s">
        <v>351</v>
      </c>
      <c r="V2696" s="74">
        <v>44496</v>
      </c>
      <c r="W2696" s="74">
        <v>44539</v>
      </c>
      <c r="X2696" s="55">
        <v>10186259</v>
      </c>
      <c r="Y2696" s="55" t="s">
        <v>132</v>
      </c>
      <c r="AB2696" s="55" t="s">
        <v>132</v>
      </c>
      <c r="AC2696" s="55" t="s">
        <v>132</v>
      </c>
    </row>
    <row r="2697" spans="1:29" ht="13" x14ac:dyDescent="0.15">
      <c r="A2697" s="72" t="str">
        <f t="shared" si="42"/>
        <v>Ofsted Social Care Provider Webpage</v>
      </c>
      <c r="B2697" s="55" t="s">
        <v>5077</v>
      </c>
      <c r="D2697" s="55" t="s">
        <v>373</v>
      </c>
      <c r="E2697" s="74">
        <v>39631</v>
      </c>
      <c r="F2697" s="55" t="s">
        <v>344</v>
      </c>
      <c r="G2697" s="55" t="s">
        <v>360</v>
      </c>
      <c r="H2697" s="55" t="s">
        <v>360</v>
      </c>
      <c r="I2697" s="55" t="s">
        <v>360</v>
      </c>
      <c r="J2697" s="55" t="s">
        <v>360</v>
      </c>
      <c r="K2697" s="55" t="s">
        <v>360</v>
      </c>
      <c r="L2697" s="55" t="s">
        <v>360</v>
      </c>
      <c r="M2697" s="55" t="s">
        <v>142</v>
      </c>
      <c r="N2697" s="55" t="s">
        <v>142</v>
      </c>
      <c r="O2697" s="55" t="s">
        <v>252</v>
      </c>
      <c r="P2697" s="55" t="s">
        <v>388</v>
      </c>
      <c r="Q2697" s="55" t="s">
        <v>350</v>
      </c>
      <c r="R2697" s="55">
        <v>2</v>
      </c>
      <c r="S2697" s="74"/>
      <c r="T2697" s="55" t="s">
        <v>1260</v>
      </c>
      <c r="U2697" s="73" t="s">
        <v>351</v>
      </c>
      <c r="V2697" s="74">
        <v>44516</v>
      </c>
      <c r="W2697" s="74">
        <v>44565</v>
      </c>
      <c r="X2697" s="55">
        <v>10187441</v>
      </c>
      <c r="Y2697" s="55" t="s">
        <v>130</v>
      </c>
      <c r="AB2697" s="55" t="s">
        <v>130</v>
      </c>
      <c r="AC2697" s="55" t="s">
        <v>130</v>
      </c>
    </row>
    <row r="2698" spans="1:29" ht="13" x14ac:dyDescent="0.15">
      <c r="A2698" s="72" t="str">
        <f t="shared" si="42"/>
        <v>Ofsted Social Care Provider Webpage</v>
      </c>
      <c r="B2698" s="55" t="s">
        <v>5078</v>
      </c>
      <c r="D2698" s="55" t="s">
        <v>373</v>
      </c>
      <c r="E2698" s="74">
        <v>39631</v>
      </c>
      <c r="F2698" s="55" t="s">
        <v>344</v>
      </c>
      <c r="G2698" s="55" t="s">
        <v>360</v>
      </c>
      <c r="H2698" s="55" t="s">
        <v>360</v>
      </c>
      <c r="I2698" s="55" t="s">
        <v>360</v>
      </c>
      <c r="J2698" s="55" t="s">
        <v>360</v>
      </c>
      <c r="K2698" s="55" t="s">
        <v>360</v>
      </c>
      <c r="L2698" s="55" t="s">
        <v>360</v>
      </c>
      <c r="M2698" s="55" t="s">
        <v>142</v>
      </c>
      <c r="N2698" s="55" t="s">
        <v>142</v>
      </c>
      <c r="O2698" s="55" t="s">
        <v>252</v>
      </c>
      <c r="P2698" s="55" t="s">
        <v>388</v>
      </c>
      <c r="Q2698" s="55" t="s">
        <v>350</v>
      </c>
      <c r="R2698" s="55">
        <v>3</v>
      </c>
      <c r="S2698" s="74"/>
      <c r="T2698" s="55" t="s">
        <v>1260</v>
      </c>
      <c r="U2698" s="73" t="s">
        <v>351</v>
      </c>
      <c r="V2698" s="74">
        <v>44502</v>
      </c>
      <c r="W2698" s="74">
        <v>44539</v>
      </c>
      <c r="X2698" s="55">
        <v>10186547</v>
      </c>
      <c r="Y2698" s="55" t="s">
        <v>132</v>
      </c>
      <c r="AB2698" s="55" t="s">
        <v>132</v>
      </c>
      <c r="AC2698" s="55" t="s">
        <v>132</v>
      </c>
    </row>
    <row r="2699" spans="1:29" ht="13" x14ac:dyDescent="0.15">
      <c r="A2699" s="72" t="str">
        <f t="shared" si="42"/>
        <v>Ofsted Social Care Provider Webpage</v>
      </c>
      <c r="B2699" s="55" t="s">
        <v>5079</v>
      </c>
      <c r="D2699" s="55" t="s">
        <v>373</v>
      </c>
      <c r="E2699" s="74">
        <v>39643</v>
      </c>
      <c r="F2699" s="55" t="s">
        <v>344</v>
      </c>
      <c r="G2699" s="55" t="s">
        <v>360</v>
      </c>
      <c r="H2699" s="55" t="s">
        <v>360</v>
      </c>
      <c r="I2699" s="55" t="s">
        <v>360</v>
      </c>
      <c r="J2699" s="55" t="s">
        <v>360</v>
      </c>
      <c r="K2699" s="55" t="s">
        <v>360</v>
      </c>
      <c r="L2699" s="55" t="s">
        <v>360</v>
      </c>
      <c r="M2699" s="55" t="s">
        <v>142</v>
      </c>
      <c r="N2699" s="55" t="s">
        <v>142</v>
      </c>
      <c r="O2699" s="55" t="s">
        <v>272</v>
      </c>
      <c r="P2699" s="55" t="s">
        <v>653</v>
      </c>
      <c r="Q2699" s="55" t="s">
        <v>350</v>
      </c>
      <c r="R2699" s="55">
        <v>3</v>
      </c>
      <c r="S2699" s="74"/>
      <c r="T2699" s="55" t="s">
        <v>1260</v>
      </c>
      <c r="U2699" s="73" t="s">
        <v>351</v>
      </c>
      <c r="V2699" s="74">
        <v>44474</v>
      </c>
      <c r="W2699" s="74">
        <v>44519</v>
      </c>
      <c r="X2699" s="55">
        <v>10185155</v>
      </c>
      <c r="Y2699" s="55" t="s">
        <v>132</v>
      </c>
      <c r="AB2699" s="55" t="s">
        <v>130</v>
      </c>
      <c r="AC2699" s="55" t="s">
        <v>132</v>
      </c>
    </row>
    <row r="2700" spans="1:29" ht="13" x14ac:dyDescent="0.15">
      <c r="A2700" s="72" t="str">
        <f t="shared" si="42"/>
        <v>Ofsted Social Care Provider Webpage</v>
      </c>
      <c r="B2700" s="55" t="s">
        <v>5080</v>
      </c>
      <c r="D2700" s="55" t="s">
        <v>373</v>
      </c>
      <c r="E2700" s="74">
        <v>39631</v>
      </c>
      <c r="F2700" s="55" t="s">
        <v>344</v>
      </c>
      <c r="G2700" s="55" t="s">
        <v>360</v>
      </c>
      <c r="H2700" s="55" t="s">
        <v>360</v>
      </c>
      <c r="I2700" s="55" t="s">
        <v>360</v>
      </c>
      <c r="J2700" s="55" t="s">
        <v>360</v>
      </c>
      <c r="K2700" s="55" t="s">
        <v>360</v>
      </c>
      <c r="L2700" s="55" t="s">
        <v>360</v>
      </c>
      <c r="M2700" s="55" t="s">
        <v>142</v>
      </c>
      <c r="N2700" s="55" t="s">
        <v>142</v>
      </c>
      <c r="O2700" s="55" t="s">
        <v>272</v>
      </c>
      <c r="P2700" s="55" t="s">
        <v>1291</v>
      </c>
      <c r="Q2700" s="55" t="s">
        <v>350</v>
      </c>
      <c r="R2700" s="55">
        <v>4</v>
      </c>
      <c r="S2700" s="74"/>
      <c r="T2700" s="55" t="s">
        <v>1260</v>
      </c>
      <c r="U2700" s="73" t="s">
        <v>351</v>
      </c>
      <c r="V2700" s="74">
        <v>44431</v>
      </c>
      <c r="W2700" s="74">
        <v>44468</v>
      </c>
      <c r="X2700" s="55">
        <v>10186797</v>
      </c>
      <c r="Y2700" s="55" t="s">
        <v>132</v>
      </c>
      <c r="AB2700" s="55" t="s">
        <v>132</v>
      </c>
      <c r="AC2700" s="55" t="s">
        <v>130</v>
      </c>
    </row>
    <row r="2701" spans="1:29" ht="13" x14ac:dyDescent="0.15">
      <c r="A2701" s="72" t="str">
        <f t="shared" si="42"/>
        <v>Ofsted Social Care Provider Webpage</v>
      </c>
      <c r="B2701" s="55" t="s">
        <v>5081</v>
      </c>
      <c r="D2701" s="55" t="s">
        <v>373</v>
      </c>
      <c r="E2701" s="74">
        <v>39658</v>
      </c>
      <c r="F2701" s="55" t="s">
        <v>344</v>
      </c>
      <c r="G2701" s="55" t="s">
        <v>360</v>
      </c>
      <c r="H2701" s="55" t="s">
        <v>360</v>
      </c>
      <c r="I2701" s="55" t="s">
        <v>360</v>
      </c>
      <c r="J2701" s="55" t="s">
        <v>360</v>
      </c>
      <c r="K2701" s="55" t="s">
        <v>360</v>
      </c>
      <c r="L2701" s="55" t="s">
        <v>360</v>
      </c>
      <c r="M2701" s="55" t="s">
        <v>142</v>
      </c>
      <c r="N2701" s="55" t="s">
        <v>142</v>
      </c>
      <c r="O2701" s="55" t="s">
        <v>252</v>
      </c>
      <c r="P2701" s="55" t="s">
        <v>386</v>
      </c>
      <c r="Q2701" s="55" t="s">
        <v>350</v>
      </c>
      <c r="R2701" s="55">
        <v>1</v>
      </c>
      <c r="S2701" s="74"/>
      <c r="T2701" s="55" t="s">
        <v>1260</v>
      </c>
      <c r="U2701" s="73" t="s">
        <v>351</v>
      </c>
      <c r="V2701" s="74">
        <v>44621</v>
      </c>
      <c r="W2701" s="74">
        <v>44665</v>
      </c>
      <c r="X2701" s="55">
        <v>10187527</v>
      </c>
      <c r="Y2701" s="55" t="s">
        <v>132</v>
      </c>
      <c r="AB2701" s="55" t="s">
        <v>132</v>
      </c>
      <c r="AC2701" s="55" t="s">
        <v>132</v>
      </c>
    </row>
    <row r="2702" spans="1:29" ht="13" x14ac:dyDescent="0.15">
      <c r="A2702" s="72" t="str">
        <f t="shared" si="42"/>
        <v>Ofsted Social Care Provider Webpage</v>
      </c>
      <c r="B2702" s="55" t="s">
        <v>5082</v>
      </c>
      <c r="D2702" s="55" t="s">
        <v>373</v>
      </c>
      <c r="E2702" s="74">
        <v>39525</v>
      </c>
      <c r="F2702" s="55" t="s">
        <v>344</v>
      </c>
      <c r="G2702" s="55" t="s">
        <v>360</v>
      </c>
      <c r="H2702" s="55" t="s">
        <v>360</v>
      </c>
      <c r="I2702" s="55" t="s">
        <v>360</v>
      </c>
      <c r="J2702" s="55" t="s">
        <v>360</v>
      </c>
      <c r="K2702" s="55" t="s">
        <v>360</v>
      </c>
      <c r="L2702" s="55" t="s">
        <v>360</v>
      </c>
      <c r="M2702" s="55" t="s">
        <v>144</v>
      </c>
      <c r="N2702" s="55" t="s">
        <v>144</v>
      </c>
      <c r="O2702" s="55" t="s">
        <v>147</v>
      </c>
      <c r="P2702" s="55" t="s">
        <v>674</v>
      </c>
      <c r="Q2702" s="55" t="s">
        <v>362</v>
      </c>
      <c r="R2702" s="55">
        <v>4</v>
      </c>
      <c r="S2702" s="74"/>
      <c r="T2702" s="55" t="s">
        <v>675</v>
      </c>
      <c r="U2702" s="73" t="s">
        <v>351</v>
      </c>
      <c r="V2702" s="74">
        <v>44342</v>
      </c>
      <c r="W2702" s="74">
        <v>44382</v>
      </c>
      <c r="X2702" s="55">
        <v>10185909</v>
      </c>
      <c r="Y2702" s="55" t="s">
        <v>130</v>
      </c>
      <c r="AB2702" s="55" t="s">
        <v>130</v>
      </c>
      <c r="AC2702" s="55" t="s">
        <v>130</v>
      </c>
    </row>
    <row r="2703" spans="1:29" ht="13" x14ac:dyDescent="0.15">
      <c r="A2703" s="72" t="str">
        <f t="shared" si="42"/>
        <v>Ofsted Social Care Provider Webpage</v>
      </c>
      <c r="B2703" s="55" t="s">
        <v>5083</v>
      </c>
      <c r="D2703" s="55" t="s">
        <v>373</v>
      </c>
      <c r="E2703" s="74">
        <v>39527</v>
      </c>
      <c r="F2703" s="55" t="s">
        <v>344</v>
      </c>
      <c r="G2703" s="55" t="s">
        <v>360</v>
      </c>
      <c r="H2703" s="55" t="s">
        <v>360</v>
      </c>
      <c r="I2703" s="55" t="s">
        <v>360</v>
      </c>
      <c r="J2703" s="55" t="s">
        <v>360</v>
      </c>
      <c r="K2703" s="55" t="s">
        <v>360</v>
      </c>
      <c r="L2703" s="55" t="s">
        <v>360</v>
      </c>
      <c r="M2703" s="55" t="s">
        <v>150</v>
      </c>
      <c r="N2703" s="55" t="s">
        <v>150</v>
      </c>
      <c r="O2703" s="55" t="s">
        <v>181</v>
      </c>
      <c r="P2703" s="55" t="s">
        <v>429</v>
      </c>
      <c r="Q2703" s="55" t="s">
        <v>380</v>
      </c>
      <c r="R2703" s="55">
        <v>4</v>
      </c>
      <c r="S2703" s="74"/>
      <c r="T2703" s="55" t="s">
        <v>3026</v>
      </c>
      <c r="U2703" s="73" t="s">
        <v>351</v>
      </c>
      <c r="V2703" s="74">
        <v>44341</v>
      </c>
      <c r="W2703" s="74">
        <v>44392</v>
      </c>
      <c r="X2703" s="55">
        <v>10185937</v>
      </c>
      <c r="Y2703" s="55" t="s">
        <v>132</v>
      </c>
      <c r="AB2703" s="55" t="s">
        <v>132</v>
      </c>
      <c r="AC2703" s="55" t="s">
        <v>130</v>
      </c>
    </row>
    <row r="2704" spans="1:29" ht="13" x14ac:dyDescent="0.15">
      <c r="A2704" s="72" t="str">
        <f t="shared" si="42"/>
        <v>Ofsted Social Care Provider Webpage</v>
      </c>
      <c r="B2704" s="55" t="s">
        <v>5084</v>
      </c>
      <c r="D2704" s="55" t="s">
        <v>373</v>
      </c>
      <c r="E2704" s="74">
        <v>39527</v>
      </c>
      <c r="F2704" s="55" t="s">
        <v>344</v>
      </c>
      <c r="G2704" s="55" t="s">
        <v>360</v>
      </c>
      <c r="H2704" s="55" t="s">
        <v>360</v>
      </c>
      <c r="I2704" s="55" t="s">
        <v>360</v>
      </c>
      <c r="J2704" s="55" t="s">
        <v>360</v>
      </c>
      <c r="K2704" s="55" t="s">
        <v>360</v>
      </c>
      <c r="L2704" s="55" t="s">
        <v>360</v>
      </c>
      <c r="M2704" s="55" t="s">
        <v>150</v>
      </c>
      <c r="N2704" s="55" t="s">
        <v>150</v>
      </c>
      <c r="O2704" s="55" t="s">
        <v>181</v>
      </c>
      <c r="P2704" s="55" t="s">
        <v>2066</v>
      </c>
      <c r="Q2704" s="55" t="s">
        <v>380</v>
      </c>
      <c r="R2704" s="55">
        <v>4</v>
      </c>
      <c r="S2704" s="74"/>
      <c r="T2704" s="55" t="s">
        <v>3026</v>
      </c>
      <c r="U2704" s="73" t="s">
        <v>351</v>
      </c>
      <c r="V2704" s="74">
        <v>44342</v>
      </c>
      <c r="W2704" s="74">
        <v>44397</v>
      </c>
      <c r="X2704" s="55">
        <v>10185348</v>
      </c>
      <c r="Y2704" s="55" t="s">
        <v>140</v>
      </c>
      <c r="AB2704" s="55" t="s">
        <v>132</v>
      </c>
      <c r="AC2704" s="55" t="s">
        <v>140</v>
      </c>
    </row>
    <row r="2705" spans="1:29" ht="13" x14ac:dyDescent="0.15">
      <c r="A2705" s="72" t="str">
        <f t="shared" si="42"/>
        <v>Ofsted Social Care Provider Webpage</v>
      </c>
      <c r="B2705" s="55" t="s">
        <v>5085</v>
      </c>
      <c r="D2705" s="55" t="s">
        <v>373</v>
      </c>
      <c r="E2705" s="74">
        <v>39646</v>
      </c>
      <c r="F2705" s="55" t="s">
        <v>344</v>
      </c>
      <c r="G2705" s="55" t="s">
        <v>360</v>
      </c>
      <c r="H2705" s="55" t="s">
        <v>360</v>
      </c>
      <c r="I2705" s="55" t="s">
        <v>360</v>
      </c>
      <c r="J2705" s="55" t="s">
        <v>360</v>
      </c>
      <c r="K2705" s="55" t="s">
        <v>360</v>
      </c>
      <c r="L2705" s="55" t="s">
        <v>360</v>
      </c>
      <c r="M2705" s="55" t="s">
        <v>142</v>
      </c>
      <c r="N2705" s="55" t="s">
        <v>142</v>
      </c>
      <c r="O2705" s="55" t="s">
        <v>249</v>
      </c>
      <c r="P2705" s="55" t="s">
        <v>1318</v>
      </c>
      <c r="Q2705" s="55" t="s">
        <v>350</v>
      </c>
      <c r="R2705" s="55">
        <v>3</v>
      </c>
      <c r="S2705" s="74"/>
      <c r="T2705" s="55" t="s">
        <v>843</v>
      </c>
      <c r="U2705" s="73" t="s">
        <v>351</v>
      </c>
      <c r="V2705" s="74">
        <v>44391</v>
      </c>
      <c r="W2705" s="74">
        <v>44432</v>
      </c>
      <c r="X2705" s="55">
        <v>10186157</v>
      </c>
      <c r="Y2705" s="55" t="s">
        <v>132</v>
      </c>
      <c r="AB2705" s="55" t="s">
        <v>132</v>
      </c>
      <c r="AC2705" s="55" t="s">
        <v>130</v>
      </c>
    </row>
    <row r="2706" spans="1:29" ht="13" x14ac:dyDescent="0.15">
      <c r="A2706" s="72" t="str">
        <f t="shared" si="42"/>
        <v>Ofsted Social Care Provider Webpage</v>
      </c>
      <c r="B2706" s="55" t="s">
        <v>5086</v>
      </c>
      <c r="D2706" s="55" t="s">
        <v>373</v>
      </c>
      <c r="E2706" s="74">
        <v>39602</v>
      </c>
      <c r="F2706" s="55" t="s">
        <v>344</v>
      </c>
      <c r="G2706" s="55" t="s">
        <v>360</v>
      </c>
      <c r="H2706" s="55" t="s">
        <v>360</v>
      </c>
      <c r="I2706" s="55" t="s">
        <v>360</v>
      </c>
      <c r="J2706" s="55" t="s">
        <v>360</v>
      </c>
      <c r="K2706" s="55" t="s">
        <v>360</v>
      </c>
      <c r="L2706" s="55" t="s">
        <v>360</v>
      </c>
      <c r="M2706" s="55" t="s">
        <v>172</v>
      </c>
      <c r="N2706" s="55" t="s">
        <v>172</v>
      </c>
      <c r="O2706" s="55" t="s">
        <v>234</v>
      </c>
      <c r="P2706" s="55" t="s">
        <v>965</v>
      </c>
      <c r="Q2706" s="55" t="s">
        <v>350</v>
      </c>
      <c r="R2706" s="55">
        <v>4</v>
      </c>
      <c r="S2706" s="74"/>
      <c r="T2706" s="55" t="s">
        <v>1105</v>
      </c>
      <c r="U2706" s="73" t="s">
        <v>351</v>
      </c>
      <c r="V2706" s="74">
        <v>44390</v>
      </c>
      <c r="W2706" s="74">
        <v>44421</v>
      </c>
      <c r="X2706" s="55">
        <v>10186758</v>
      </c>
      <c r="Y2706" s="55" t="s">
        <v>140</v>
      </c>
      <c r="AB2706" s="55" t="s">
        <v>132</v>
      </c>
      <c r="AC2706" s="55" t="s">
        <v>140</v>
      </c>
    </row>
    <row r="2707" spans="1:29" ht="13" x14ac:dyDescent="0.15">
      <c r="A2707" s="72" t="str">
        <f t="shared" si="42"/>
        <v>Ofsted Social Care Provider Webpage</v>
      </c>
      <c r="B2707" s="55" t="s">
        <v>5087</v>
      </c>
      <c r="D2707" s="55" t="s">
        <v>373</v>
      </c>
      <c r="E2707" s="74">
        <v>39597</v>
      </c>
      <c r="F2707" s="55" t="s">
        <v>344</v>
      </c>
      <c r="G2707" s="55" t="s">
        <v>360</v>
      </c>
      <c r="H2707" s="55" t="s">
        <v>360</v>
      </c>
      <c r="I2707" s="55" t="s">
        <v>360</v>
      </c>
      <c r="J2707" s="55" t="s">
        <v>360</v>
      </c>
      <c r="K2707" s="55" t="s">
        <v>360</v>
      </c>
      <c r="L2707" s="55" t="s">
        <v>360</v>
      </c>
      <c r="M2707" s="55" t="s">
        <v>142</v>
      </c>
      <c r="N2707" s="55" t="s">
        <v>142</v>
      </c>
      <c r="O2707" s="55" t="s">
        <v>262</v>
      </c>
      <c r="P2707" s="55" t="s">
        <v>488</v>
      </c>
      <c r="Q2707" s="55" t="s">
        <v>380</v>
      </c>
      <c r="R2707" s="55">
        <v>6</v>
      </c>
      <c r="S2707" s="74" t="s">
        <v>332</v>
      </c>
      <c r="T2707" s="55" t="s">
        <v>2996</v>
      </c>
      <c r="U2707" s="73" t="s">
        <v>351</v>
      </c>
      <c r="V2707" s="74">
        <v>43872</v>
      </c>
      <c r="W2707" s="74">
        <v>43903</v>
      </c>
      <c r="X2707" s="55">
        <v>10096000</v>
      </c>
      <c r="Y2707" s="55" t="s">
        <v>140</v>
      </c>
      <c r="AB2707" s="55" t="s">
        <v>132</v>
      </c>
      <c r="AC2707" s="55" t="s">
        <v>140</v>
      </c>
    </row>
    <row r="2708" spans="1:29" ht="13" x14ac:dyDescent="0.15">
      <c r="A2708" s="72" t="str">
        <f t="shared" si="42"/>
        <v>Ofsted Social Care Provider Webpage</v>
      </c>
      <c r="B2708" s="55" t="s">
        <v>5088</v>
      </c>
      <c r="D2708" s="55" t="s">
        <v>389</v>
      </c>
      <c r="E2708" s="74">
        <v>40015</v>
      </c>
      <c r="F2708" s="55" t="s">
        <v>344</v>
      </c>
      <c r="G2708" s="55" t="s">
        <v>5089</v>
      </c>
      <c r="H2708" s="55" t="s">
        <v>5090</v>
      </c>
      <c r="I2708" s="55" t="s">
        <v>354</v>
      </c>
      <c r="J2708" s="55" t="s">
        <v>5091</v>
      </c>
      <c r="K2708" s="55" t="s">
        <v>203</v>
      </c>
      <c r="L2708" s="55" t="s">
        <v>5092</v>
      </c>
      <c r="M2708" s="55" t="s">
        <v>150</v>
      </c>
      <c r="N2708" s="55" t="s">
        <v>150</v>
      </c>
      <c r="O2708" s="55" t="s">
        <v>203</v>
      </c>
      <c r="P2708" s="55" t="s">
        <v>800</v>
      </c>
      <c r="Q2708" s="55" t="s">
        <v>350</v>
      </c>
      <c r="R2708" s="55"/>
      <c r="S2708" s="74"/>
      <c r="T2708" s="55" t="s">
        <v>5093</v>
      </c>
      <c r="U2708" s="73" t="s">
        <v>351</v>
      </c>
      <c r="V2708" s="74">
        <v>44354</v>
      </c>
      <c r="W2708" s="74">
        <v>44446</v>
      </c>
      <c r="X2708" s="55">
        <v>10189192</v>
      </c>
      <c r="Y2708" s="55" t="s">
        <v>146</v>
      </c>
      <c r="AB2708" s="55" t="s">
        <v>146</v>
      </c>
      <c r="AC2708" s="55" t="s">
        <v>146</v>
      </c>
    </row>
    <row r="2709" spans="1:29" ht="13" x14ac:dyDescent="0.15">
      <c r="A2709" s="72" t="str">
        <f t="shared" si="42"/>
        <v>Ofsted Social Care Provider Webpage</v>
      </c>
      <c r="B2709" s="55" t="s">
        <v>5094</v>
      </c>
      <c r="D2709" s="55" t="s">
        <v>373</v>
      </c>
      <c r="E2709" s="74">
        <v>39580</v>
      </c>
      <c r="F2709" s="55" t="s">
        <v>344</v>
      </c>
      <c r="G2709" s="55" t="s">
        <v>360</v>
      </c>
      <c r="H2709" s="55" t="s">
        <v>360</v>
      </c>
      <c r="I2709" s="55" t="s">
        <v>360</v>
      </c>
      <c r="J2709" s="55" t="s">
        <v>360</v>
      </c>
      <c r="K2709" s="55" t="s">
        <v>360</v>
      </c>
      <c r="L2709" s="55" t="s">
        <v>360</v>
      </c>
      <c r="M2709" s="55" t="s">
        <v>142</v>
      </c>
      <c r="N2709" s="55" t="s">
        <v>142</v>
      </c>
      <c r="O2709" s="55" t="s">
        <v>262</v>
      </c>
      <c r="P2709" s="55" t="s">
        <v>850</v>
      </c>
      <c r="Q2709" s="55" t="s">
        <v>350</v>
      </c>
      <c r="R2709" s="55">
        <v>6</v>
      </c>
      <c r="S2709" s="74"/>
      <c r="T2709" s="55" t="s">
        <v>751</v>
      </c>
      <c r="U2709" s="73" t="s">
        <v>351</v>
      </c>
      <c r="V2709" s="74">
        <v>44489</v>
      </c>
      <c r="W2709" s="74">
        <v>44543</v>
      </c>
      <c r="X2709" s="55">
        <v>10187315</v>
      </c>
      <c r="Y2709" s="55" t="s">
        <v>132</v>
      </c>
      <c r="AB2709" s="55" t="s">
        <v>130</v>
      </c>
      <c r="AC2709" s="55" t="s">
        <v>132</v>
      </c>
    </row>
    <row r="2710" spans="1:29" ht="13" x14ac:dyDescent="0.15">
      <c r="A2710" s="72" t="str">
        <f t="shared" si="42"/>
        <v>Ofsted Social Care Provider Webpage</v>
      </c>
      <c r="B2710" s="55" t="s">
        <v>5095</v>
      </c>
      <c r="D2710" s="55" t="s">
        <v>373</v>
      </c>
      <c r="E2710" s="74">
        <v>39625</v>
      </c>
      <c r="F2710" s="55" t="s">
        <v>344</v>
      </c>
      <c r="G2710" s="55" t="s">
        <v>360</v>
      </c>
      <c r="H2710" s="55" t="s">
        <v>360</v>
      </c>
      <c r="I2710" s="55" t="s">
        <v>360</v>
      </c>
      <c r="J2710" s="55" t="s">
        <v>360</v>
      </c>
      <c r="K2710" s="55" t="s">
        <v>360</v>
      </c>
      <c r="L2710" s="55" t="s">
        <v>360</v>
      </c>
      <c r="M2710" s="55" t="s">
        <v>142</v>
      </c>
      <c r="N2710" s="55" t="s">
        <v>142</v>
      </c>
      <c r="O2710" s="55" t="s">
        <v>252</v>
      </c>
      <c r="P2710" s="55" t="s">
        <v>503</v>
      </c>
      <c r="Q2710" s="55" t="s">
        <v>350</v>
      </c>
      <c r="R2710" s="55">
        <v>2</v>
      </c>
      <c r="S2710" s="74"/>
      <c r="T2710" s="55" t="s">
        <v>504</v>
      </c>
      <c r="U2710" s="73" t="s">
        <v>351</v>
      </c>
      <c r="V2710" s="74">
        <v>44566</v>
      </c>
      <c r="W2710" s="74">
        <v>44606</v>
      </c>
      <c r="X2710" s="55">
        <v>10185324</v>
      </c>
      <c r="Y2710" s="55" t="s">
        <v>140</v>
      </c>
      <c r="AB2710" s="55" t="s">
        <v>140</v>
      </c>
      <c r="AC2710" s="55" t="s">
        <v>132</v>
      </c>
    </row>
    <row r="2711" spans="1:29" ht="13" x14ac:dyDescent="0.15">
      <c r="A2711" s="72" t="str">
        <f t="shared" si="42"/>
        <v>Ofsted Social Care Provider Webpage</v>
      </c>
      <c r="B2711" s="55" t="s">
        <v>5096</v>
      </c>
      <c r="D2711" s="55" t="s">
        <v>389</v>
      </c>
      <c r="E2711" s="74">
        <v>39659</v>
      </c>
      <c r="F2711" s="55" t="s">
        <v>344</v>
      </c>
      <c r="G2711" s="55" t="s">
        <v>5097</v>
      </c>
      <c r="H2711" s="55" t="s">
        <v>5098</v>
      </c>
      <c r="I2711" s="55" t="s">
        <v>5099</v>
      </c>
      <c r="J2711" s="55" t="s">
        <v>236</v>
      </c>
      <c r="L2711" s="55" t="s">
        <v>4932</v>
      </c>
      <c r="M2711" s="55" t="s">
        <v>144</v>
      </c>
      <c r="N2711" s="55" t="s">
        <v>144</v>
      </c>
      <c r="O2711" s="55" t="s">
        <v>236</v>
      </c>
      <c r="P2711" s="55" t="s">
        <v>2088</v>
      </c>
      <c r="Q2711" s="55" t="s">
        <v>350</v>
      </c>
      <c r="R2711" s="55"/>
      <c r="S2711" s="74"/>
      <c r="T2711" s="55" t="s">
        <v>5100</v>
      </c>
      <c r="U2711" s="73" t="s">
        <v>351</v>
      </c>
      <c r="V2711" s="74">
        <v>44452</v>
      </c>
      <c r="W2711" s="74">
        <v>44487</v>
      </c>
      <c r="X2711" s="55">
        <v>10183395</v>
      </c>
      <c r="Y2711" s="55" t="s">
        <v>132</v>
      </c>
      <c r="AB2711" s="55" t="s">
        <v>132</v>
      </c>
      <c r="AC2711" s="55" t="s">
        <v>130</v>
      </c>
    </row>
    <row r="2712" spans="1:29" ht="13" x14ac:dyDescent="0.15">
      <c r="A2712" s="72" t="str">
        <f t="shared" si="42"/>
        <v>Ofsted Social Care Provider Webpage</v>
      </c>
      <c r="B2712" s="55" t="s">
        <v>5101</v>
      </c>
      <c r="D2712" s="55" t="s">
        <v>373</v>
      </c>
      <c r="E2712" s="74">
        <v>39639</v>
      </c>
      <c r="F2712" s="55" t="s">
        <v>344</v>
      </c>
      <c r="G2712" s="55" t="s">
        <v>360</v>
      </c>
      <c r="H2712" s="55" t="s">
        <v>360</v>
      </c>
      <c r="I2712" s="55" t="s">
        <v>360</v>
      </c>
      <c r="J2712" s="55" t="s">
        <v>360</v>
      </c>
      <c r="K2712" s="55" t="s">
        <v>360</v>
      </c>
      <c r="L2712" s="55" t="s">
        <v>360</v>
      </c>
      <c r="M2712" s="55" t="s">
        <v>129</v>
      </c>
      <c r="N2712" s="55" t="s">
        <v>129</v>
      </c>
      <c r="O2712" s="55" t="s">
        <v>213</v>
      </c>
      <c r="P2712" s="55" t="s">
        <v>1160</v>
      </c>
      <c r="Q2712" s="55" t="s">
        <v>350</v>
      </c>
      <c r="R2712" s="55">
        <v>6</v>
      </c>
      <c r="S2712" s="74"/>
      <c r="T2712" s="55" t="s">
        <v>3508</v>
      </c>
      <c r="U2712" s="73" t="s">
        <v>351</v>
      </c>
      <c r="V2712" s="74">
        <v>44306</v>
      </c>
      <c r="W2712" s="74">
        <v>44343</v>
      </c>
      <c r="X2712" s="55">
        <v>10186021</v>
      </c>
      <c r="Y2712" s="55" t="s">
        <v>132</v>
      </c>
      <c r="AB2712" s="55" t="s">
        <v>132</v>
      </c>
      <c r="AC2712" s="55" t="s">
        <v>132</v>
      </c>
    </row>
    <row r="2713" spans="1:29" ht="13" x14ac:dyDescent="0.15">
      <c r="A2713" s="72" t="str">
        <f t="shared" si="42"/>
        <v>Ofsted Social Care Provider Webpage</v>
      </c>
      <c r="B2713" s="55" t="s">
        <v>5102</v>
      </c>
      <c r="D2713" s="55" t="s">
        <v>373</v>
      </c>
      <c r="E2713" s="74">
        <v>39637</v>
      </c>
      <c r="F2713" s="55" t="s">
        <v>344</v>
      </c>
      <c r="G2713" s="55" t="s">
        <v>360</v>
      </c>
      <c r="H2713" s="55" t="s">
        <v>360</v>
      </c>
      <c r="I2713" s="55" t="s">
        <v>360</v>
      </c>
      <c r="J2713" s="55" t="s">
        <v>360</v>
      </c>
      <c r="K2713" s="55" t="s">
        <v>360</v>
      </c>
      <c r="L2713" s="55" t="s">
        <v>360</v>
      </c>
      <c r="M2713" s="55" t="s">
        <v>142</v>
      </c>
      <c r="N2713" s="55" t="s">
        <v>142</v>
      </c>
      <c r="O2713" s="55" t="s">
        <v>141</v>
      </c>
      <c r="P2713" s="55" t="s">
        <v>641</v>
      </c>
      <c r="Q2713" s="55" t="s">
        <v>350</v>
      </c>
      <c r="R2713" s="55">
        <v>3</v>
      </c>
      <c r="S2713" s="74"/>
      <c r="T2713" s="55" t="s">
        <v>2811</v>
      </c>
      <c r="U2713" s="73" t="s">
        <v>351</v>
      </c>
      <c r="V2713" s="74">
        <v>44621</v>
      </c>
      <c r="W2713" s="74">
        <v>44659</v>
      </c>
      <c r="X2713" s="55">
        <v>10185920</v>
      </c>
      <c r="Y2713" s="55" t="s">
        <v>132</v>
      </c>
      <c r="AB2713" s="55" t="s">
        <v>132</v>
      </c>
      <c r="AC2713" s="55" t="s">
        <v>132</v>
      </c>
    </row>
    <row r="2714" spans="1:29" ht="13" x14ac:dyDescent="0.15">
      <c r="A2714" s="72" t="str">
        <f t="shared" si="42"/>
        <v>Ofsted Social Care Provider Webpage</v>
      </c>
      <c r="B2714" s="55" t="s">
        <v>5103</v>
      </c>
      <c r="C2714" s="55">
        <v>130733</v>
      </c>
      <c r="D2714" s="55" t="s">
        <v>693</v>
      </c>
      <c r="E2714" s="74">
        <v>39172</v>
      </c>
      <c r="F2714" s="55" t="s">
        <v>344</v>
      </c>
      <c r="G2714" s="55" t="s">
        <v>5104</v>
      </c>
      <c r="H2714" s="55" t="s">
        <v>5105</v>
      </c>
      <c r="I2714" s="55" t="s">
        <v>354</v>
      </c>
      <c r="J2714" s="55" t="s">
        <v>5106</v>
      </c>
      <c r="K2714" s="55" t="s">
        <v>5107</v>
      </c>
      <c r="L2714" s="55" t="s">
        <v>5108</v>
      </c>
      <c r="M2714" s="55" t="s">
        <v>150</v>
      </c>
      <c r="N2714" s="55" t="s">
        <v>150</v>
      </c>
      <c r="O2714" s="55" t="s">
        <v>203</v>
      </c>
      <c r="P2714" s="55" t="s">
        <v>5109</v>
      </c>
      <c r="Q2714" s="55" t="s">
        <v>350</v>
      </c>
      <c r="R2714" s="55">
        <v>110</v>
      </c>
      <c r="S2714" s="74"/>
      <c r="T2714" s="55" t="s">
        <v>5110</v>
      </c>
      <c r="U2714" s="73" t="s">
        <v>351</v>
      </c>
      <c r="V2714" s="74">
        <v>43053</v>
      </c>
      <c r="W2714" s="74">
        <v>43089</v>
      </c>
      <c r="X2714" s="55">
        <v>10029241</v>
      </c>
      <c r="Y2714" s="55" t="s">
        <v>140</v>
      </c>
      <c r="AB2714" s="55" t="s">
        <v>140</v>
      </c>
      <c r="AC2714" s="55" t="s">
        <v>140</v>
      </c>
    </row>
    <row r="2715" spans="1:29" ht="13" x14ac:dyDescent="0.15">
      <c r="A2715" s="72" t="str">
        <f t="shared" si="42"/>
        <v>Ofsted Social Care Provider Webpage</v>
      </c>
      <c r="B2715" s="55" t="s">
        <v>5111</v>
      </c>
      <c r="D2715" s="55" t="s">
        <v>373</v>
      </c>
      <c r="E2715" s="74">
        <v>39736</v>
      </c>
      <c r="F2715" s="55" t="s">
        <v>344</v>
      </c>
      <c r="G2715" s="55" t="s">
        <v>360</v>
      </c>
      <c r="H2715" s="55" t="s">
        <v>360</v>
      </c>
      <c r="I2715" s="55" t="s">
        <v>360</v>
      </c>
      <c r="J2715" s="55" t="s">
        <v>360</v>
      </c>
      <c r="K2715" s="55" t="s">
        <v>360</v>
      </c>
      <c r="L2715" s="55" t="s">
        <v>360</v>
      </c>
      <c r="M2715" s="55" t="s">
        <v>142</v>
      </c>
      <c r="N2715" s="55" t="s">
        <v>142</v>
      </c>
      <c r="O2715" s="55" t="s">
        <v>262</v>
      </c>
      <c r="P2715" s="55" t="s">
        <v>692</v>
      </c>
      <c r="Q2715" s="55" t="s">
        <v>380</v>
      </c>
      <c r="R2715" s="55">
        <v>6</v>
      </c>
      <c r="S2715" s="74"/>
      <c r="T2715" s="55" t="s">
        <v>3963</v>
      </c>
      <c r="U2715" s="73" t="s">
        <v>351</v>
      </c>
      <c r="V2715" s="74">
        <v>44335</v>
      </c>
      <c r="W2715" s="74">
        <v>44382</v>
      </c>
      <c r="X2715" s="55">
        <v>10187440</v>
      </c>
      <c r="Y2715" s="55" t="s">
        <v>130</v>
      </c>
      <c r="AB2715" s="55" t="s">
        <v>130</v>
      </c>
      <c r="AC2715" s="55" t="s">
        <v>130</v>
      </c>
    </row>
    <row r="2716" spans="1:29" ht="13" x14ac:dyDescent="0.15">
      <c r="A2716" s="72" t="str">
        <f t="shared" si="42"/>
        <v>Ofsted Social Care Provider Webpage</v>
      </c>
      <c r="B2716" s="55" t="s">
        <v>5112</v>
      </c>
      <c r="D2716" s="55" t="s">
        <v>373</v>
      </c>
      <c r="E2716" s="74">
        <v>39700</v>
      </c>
      <c r="F2716" s="55" t="s">
        <v>344</v>
      </c>
      <c r="G2716" s="55" t="s">
        <v>360</v>
      </c>
      <c r="H2716" s="55" t="s">
        <v>360</v>
      </c>
      <c r="I2716" s="55" t="s">
        <v>360</v>
      </c>
      <c r="J2716" s="55" t="s">
        <v>360</v>
      </c>
      <c r="K2716" s="55" t="s">
        <v>360</v>
      </c>
      <c r="L2716" s="55" t="s">
        <v>360</v>
      </c>
      <c r="M2716" s="55" t="s">
        <v>142</v>
      </c>
      <c r="N2716" s="55" t="s">
        <v>142</v>
      </c>
      <c r="O2716" s="55" t="s">
        <v>262</v>
      </c>
      <c r="P2716" s="55" t="s">
        <v>618</v>
      </c>
      <c r="Q2716" s="55" t="s">
        <v>350</v>
      </c>
      <c r="R2716" s="55">
        <v>2</v>
      </c>
      <c r="S2716" s="74"/>
      <c r="T2716" s="55" t="s">
        <v>541</v>
      </c>
      <c r="U2716" s="73" t="s">
        <v>351</v>
      </c>
      <c r="V2716" s="74">
        <v>44538</v>
      </c>
      <c r="W2716" s="74">
        <v>44586</v>
      </c>
      <c r="X2716" s="55">
        <v>10185114</v>
      </c>
      <c r="Y2716" s="55" t="s">
        <v>146</v>
      </c>
      <c r="AB2716" s="55" t="s">
        <v>146</v>
      </c>
      <c r="AC2716" s="55" t="s">
        <v>146</v>
      </c>
    </row>
    <row r="2717" spans="1:29" ht="13" x14ac:dyDescent="0.15">
      <c r="A2717" s="72" t="str">
        <f t="shared" si="42"/>
        <v>Ofsted Social Care Provider Webpage</v>
      </c>
      <c r="B2717" s="55" t="s">
        <v>5113</v>
      </c>
      <c r="D2717" s="55" t="s">
        <v>373</v>
      </c>
      <c r="E2717" s="74">
        <v>39675</v>
      </c>
      <c r="F2717" s="55" t="s">
        <v>344</v>
      </c>
      <c r="G2717" s="55" t="s">
        <v>360</v>
      </c>
      <c r="H2717" s="55" t="s">
        <v>360</v>
      </c>
      <c r="I2717" s="55" t="s">
        <v>360</v>
      </c>
      <c r="J2717" s="55" t="s">
        <v>360</v>
      </c>
      <c r="K2717" s="55" t="s">
        <v>360</v>
      </c>
      <c r="L2717" s="55" t="s">
        <v>360</v>
      </c>
      <c r="M2717" s="55" t="s">
        <v>142</v>
      </c>
      <c r="N2717" s="55" t="s">
        <v>142</v>
      </c>
      <c r="O2717" s="55" t="s">
        <v>262</v>
      </c>
      <c r="P2717" s="55" t="s">
        <v>618</v>
      </c>
      <c r="Q2717" s="55" t="s">
        <v>350</v>
      </c>
      <c r="R2717" s="55">
        <v>2</v>
      </c>
      <c r="S2717" s="74"/>
      <c r="T2717" s="55" t="s">
        <v>541</v>
      </c>
      <c r="U2717" s="73" t="s">
        <v>351</v>
      </c>
      <c r="V2717" s="74">
        <v>44530</v>
      </c>
      <c r="W2717" s="74">
        <v>44586</v>
      </c>
      <c r="X2717" s="55">
        <v>10186710</v>
      </c>
      <c r="Y2717" s="55" t="s">
        <v>146</v>
      </c>
      <c r="AB2717" s="55" t="s">
        <v>146</v>
      </c>
      <c r="AC2717" s="55" t="s">
        <v>146</v>
      </c>
    </row>
    <row r="2718" spans="1:29" ht="13" x14ac:dyDescent="0.15">
      <c r="A2718" s="72" t="str">
        <f t="shared" si="42"/>
        <v>Ofsted Social Care Provider Webpage</v>
      </c>
      <c r="B2718" s="55" t="s">
        <v>5114</v>
      </c>
      <c r="D2718" s="55" t="s">
        <v>373</v>
      </c>
      <c r="E2718" s="74">
        <v>39647</v>
      </c>
      <c r="F2718" s="55" t="s">
        <v>344</v>
      </c>
      <c r="G2718" s="55" t="s">
        <v>360</v>
      </c>
      <c r="H2718" s="55" t="s">
        <v>360</v>
      </c>
      <c r="I2718" s="55" t="s">
        <v>360</v>
      </c>
      <c r="J2718" s="55" t="s">
        <v>360</v>
      </c>
      <c r="K2718" s="55" t="s">
        <v>360</v>
      </c>
      <c r="L2718" s="55" t="s">
        <v>360</v>
      </c>
      <c r="M2718" s="55" t="s">
        <v>144</v>
      </c>
      <c r="N2718" s="55" t="s">
        <v>144</v>
      </c>
      <c r="O2718" s="55" t="s">
        <v>245</v>
      </c>
      <c r="P2718" s="55" t="s">
        <v>245</v>
      </c>
      <c r="Q2718" s="55" t="s">
        <v>350</v>
      </c>
      <c r="R2718" s="55">
        <v>2</v>
      </c>
      <c r="S2718" s="74"/>
      <c r="T2718" s="55" t="s">
        <v>711</v>
      </c>
      <c r="U2718" s="73" t="s">
        <v>351</v>
      </c>
      <c r="V2718" s="74">
        <v>44566</v>
      </c>
      <c r="W2718" s="74">
        <v>44606</v>
      </c>
      <c r="X2718" s="55">
        <v>10186079</v>
      </c>
      <c r="Y2718" s="55" t="s">
        <v>140</v>
      </c>
      <c r="AB2718" s="55" t="s">
        <v>140</v>
      </c>
      <c r="AC2718" s="55" t="s">
        <v>140</v>
      </c>
    </row>
    <row r="2719" spans="1:29" ht="13" x14ac:dyDescent="0.15">
      <c r="A2719" s="72" t="str">
        <f t="shared" si="42"/>
        <v>Ofsted Social Care Provider Webpage</v>
      </c>
      <c r="B2719" s="55" t="s">
        <v>5115</v>
      </c>
      <c r="D2719" s="55" t="s">
        <v>373</v>
      </c>
      <c r="E2719" s="74">
        <v>39671</v>
      </c>
      <c r="F2719" s="55" t="s">
        <v>344</v>
      </c>
      <c r="G2719" s="55" t="s">
        <v>360</v>
      </c>
      <c r="H2719" s="55" t="s">
        <v>360</v>
      </c>
      <c r="I2719" s="55" t="s">
        <v>360</v>
      </c>
      <c r="J2719" s="55" t="s">
        <v>360</v>
      </c>
      <c r="K2719" s="55" t="s">
        <v>360</v>
      </c>
      <c r="L2719" s="55" t="s">
        <v>360</v>
      </c>
      <c r="M2719" s="55" t="s">
        <v>138</v>
      </c>
      <c r="N2719" s="55" t="s">
        <v>138</v>
      </c>
      <c r="O2719" s="55" t="s">
        <v>161</v>
      </c>
      <c r="P2719" s="55" t="s">
        <v>822</v>
      </c>
      <c r="Q2719" s="55" t="s">
        <v>350</v>
      </c>
      <c r="R2719" s="55">
        <v>3</v>
      </c>
      <c r="S2719" s="74"/>
      <c r="T2719" s="55" t="s">
        <v>4819</v>
      </c>
      <c r="U2719" s="73" t="s">
        <v>351</v>
      </c>
      <c r="V2719" s="74">
        <v>44510</v>
      </c>
      <c r="W2719" s="74">
        <v>44544</v>
      </c>
      <c r="X2719" s="55">
        <v>10186826</v>
      </c>
      <c r="Y2719" s="55" t="s">
        <v>132</v>
      </c>
      <c r="AB2719" s="55" t="s">
        <v>132</v>
      </c>
      <c r="AC2719" s="55" t="s">
        <v>130</v>
      </c>
    </row>
    <row r="2720" spans="1:29" ht="13" x14ac:dyDescent="0.15">
      <c r="A2720" s="72" t="str">
        <f t="shared" si="42"/>
        <v>Ofsted Social Care Provider Webpage</v>
      </c>
      <c r="B2720" s="55" t="s">
        <v>5116</v>
      </c>
      <c r="D2720" s="55" t="s">
        <v>373</v>
      </c>
      <c r="E2720" s="74">
        <v>39659</v>
      </c>
      <c r="F2720" s="55" t="s">
        <v>344</v>
      </c>
      <c r="G2720" s="55" t="s">
        <v>360</v>
      </c>
      <c r="H2720" s="55" t="s">
        <v>360</v>
      </c>
      <c r="I2720" s="55" t="s">
        <v>360</v>
      </c>
      <c r="J2720" s="55" t="s">
        <v>360</v>
      </c>
      <c r="K2720" s="55" t="s">
        <v>360</v>
      </c>
      <c r="L2720" s="55" t="s">
        <v>360</v>
      </c>
      <c r="M2720" s="55" t="s">
        <v>142</v>
      </c>
      <c r="N2720" s="55" t="s">
        <v>142</v>
      </c>
      <c r="O2720" s="55" t="s">
        <v>272</v>
      </c>
      <c r="P2720" s="55" t="s">
        <v>653</v>
      </c>
      <c r="Q2720" s="55" t="s">
        <v>350</v>
      </c>
      <c r="R2720" s="55">
        <v>5</v>
      </c>
      <c r="S2720" s="74"/>
      <c r="T2720" s="55" t="s">
        <v>654</v>
      </c>
      <c r="U2720" s="73" t="s">
        <v>351</v>
      </c>
      <c r="V2720" s="74">
        <v>44398</v>
      </c>
      <c r="W2720" s="74">
        <v>44455</v>
      </c>
      <c r="X2720" s="55">
        <v>10185517</v>
      </c>
      <c r="Y2720" s="55" t="s">
        <v>130</v>
      </c>
      <c r="AB2720" s="55" t="s">
        <v>132</v>
      </c>
      <c r="AC2720" s="55" t="s">
        <v>130</v>
      </c>
    </row>
    <row r="2721" spans="1:29" ht="13" x14ac:dyDescent="0.15">
      <c r="A2721" s="72" t="str">
        <f t="shared" si="42"/>
        <v>Ofsted Social Care Provider Webpage</v>
      </c>
      <c r="B2721" s="55" t="s">
        <v>5117</v>
      </c>
      <c r="D2721" s="55" t="s">
        <v>373</v>
      </c>
      <c r="E2721" s="74">
        <v>39673</v>
      </c>
      <c r="F2721" s="55" t="s">
        <v>344</v>
      </c>
      <c r="G2721" s="55" t="s">
        <v>360</v>
      </c>
      <c r="H2721" s="55" t="s">
        <v>360</v>
      </c>
      <c r="I2721" s="55" t="s">
        <v>360</v>
      </c>
      <c r="J2721" s="55" t="s">
        <v>360</v>
      </c>
      <c r="K2721" s="55" t="s">
        <v>360</v>
      </c>
      <c r="L2721" s="55" t="s">
        <v>360</v>
      </c>
      <c r="M2721" s="55" t="s">
        <v>138</v>
      </c>
      <c r="N2721" s="55" t="s">
        <v>138</v>
      </c>
      <c r="O2721" s="55" t="s">
        <v>196</v>
      </c>
      <c r="P2721" s="55" t="s">
        <v>4371</v>
      </c>
      <c r="Q2721" s="55" t="s">
        <v>380</v>
      </c>
      <c r="R2721" s="55">
        <v>7</v>
      </c>
      <c r="S2721" s="74"/>
      <c r="T2721" s="55" t="s">
        <v>2082</v>
      </c>
      <c r="U2721" s="73" t="s">
        <v>351</v>
      </c>
      <c r="V2721" s="74">
        <v>44405</v>
      </c>
      <c r="W2721" s="74">
        <v>44428</v>
      </c>
      <c r="X2721" s="55">
        <v>10186970</v>
      </c>
      <c r="Y2721" s="55" t="s">
        <v>132</v>
      </c>
      <c r="AB2721" s="55" t="s">
        <v>132</v>
      </c>
      <c r="AC2721" s="55" t="s">
        <v>132</v>
      </c>
    </row>
    <row r="2722" spans="1:29" ht="13" x14ac:dyDescent="0.15">
      <c r="A2722" s="72" t="str">
        <f t="shared" si="42"/>
        <v>Ofsted Social Care Provider Webpage</v>
      </c>
      <c r="B2722" s="55" t="s">
        <v>5118</v>
      </c>
      <c r="D2722" s="55" t="s">
        <v>373</v>
      </c>
      <c r="E2722" s="74">
        <v>39647</v>
      </c>
      <c r="F2722" s="55" t="s">
        <v>344</v>
      </c>
      <c r="G2722" s="55" t="s">
        <v>360</v>
      </c>
      <c r="H2722" s="55" t="s">
        <v>360</v>
      </c>
      <c r="I2722" s="55" t="s">
        <v>360</v>
      </c>
      <c r="J2722" s="55" t="s">
        <v>360</v>
      </c>
      <c r="K2722" s="55" t="s">
        <v>360</v>
      </c>
      <c r="L2722" s="55" t="s">
        <v>360</v>
      </c>
      <c r="M2722" s="55" t="s">
        <v>378</v>
      </c>
      <c r="N2722" s="55" t="s">
        <v>134</v>
      </c>
      <c r="O2722" s="55" t="s">
        <v>277</v>
      </c>
      <c r="P2722" s="55" t="s">
        <v>1362</v>
      </c>
      <c r="Q2722" s="55" t="s">
        <v>350</v>
      </c>
      <c r="R2722" s="55">
        <v>4</v>
      </c>
      <c r="S2722" s="74"/>
      <c r="T2722" s="55" t="s">
        <v>1251</v>
      </c>
      <c r="U2722" s="73" t="s">
        <v>351</v>
      </c>
      <c r="V2722" s="74">
        <v>44571</v>
      </c>
      <c r="W2722" s="74">
        <v>44615</v>
      </c>
      <c r="X2722" s="55">
        <v>10186120</v>
      </c>
      <c r="Y2722" s="55" t="s">
        <v>132</v>
      </c>
      <c r="AB2722" s="55" t="s">
        <v>132</v>
      </c>
      <c r="AC2722" s="55" t="s">
        <v>132</v>
      </c>
    </row>
    <row r="2723" spans="1:29" ht="13" x14ac:dyDescent="0.15">
      <c r="A2723" s="72" t="str">
        <f t="shared" si="42"/>
        <v>Ofsted Social Care Provider Webpage</v>
      </c>
      <c r="B2723" s="55" t="s">
        <v>5119</v>
      </c>
      <c r="D2723" s="55" t="s">
        <v>373</v>
      </c>
      <c r="E2723" s="74">
        <v>39702</v>
      </c>
      <c r="F2723" s="55" t="s">
        <v>344</v>
      </c>
      <c r="G2723" s="55" t="s">
        <v>360</v>
      </c>
      <c r="H2723" s="55" t="s">
        <v>360</v>
      </c>
      <c r="I2723" s="55" t="s">
        <v>360</v>
      </c>
      <c r="J2723" s="55" t="s">
        <v>360</v>
      </c>
      <c r="K2723" s="55" t="s">
        <v>360</v>
      </c>
      <c r="L2723" s="55" t="s">
        <v>360</v>
      </c>
      <c r="M2723" s="55" t="s">
        <v>138</v>
      </c>
      <c r="N2723" s="55" t="s">
        <v>138</v>
      </c>
      <c r="O2723" s="55" t="s">
        <v>224</v>
      </c>
      <c r="P2723" s="55" t="s">
        <v>374</v>
      </c>
      <c r="Q2723" s="55" t="s">
        <v>350</v>
      </c>
      <c r="R2723" s="55">
        <v>4</v>
      </c>
      <c r="S2723" s="74"/>
      <c r="T2723" s="55" t="s">
        <v>2811</v>
      </c>
      <c r="U2723" s="73" t="s">
        <v>351</v>
      </c>
      <c r="V2723" s="74">
        <v>44515</v>
      </c>
      <c r="W2723" s="74">
        <v>44546</v>
      </c>
      <c r="X2723" s="55">
        <v>10187101</v>
      </c>
      <c r="Y2723" s="55" t="s">
        <v>132</v>
      </c>
      <c r="AB2723" s="55" t="s">
        <v>132</v>
      </c>
      <c r="AC2723" s="55" t="s">
        <v>132</v>
      </c>
    </row>
    <row r="2724" spans="1:29" ht="13" x14ac:dyDescent="0.15">
      <c r="A2724" s="72" t="str">
        <f t="shared" si="42"/>
        <v>Ofsted Social Care Provider Webpage</v>
      </c>
      <c r="B2724" s="55" t="s">
        <v>5120</v>
      </c>
      <c r="D2724" s="55" t="s">
        <v>373</v>
      </c>
      <c r="E2724" s="74">
        <v>39962</v>
      </c>
      <c r="F2724" s="55" t="s">
        <v>344</v>
      </c>
      <c r="G2724" s="55" t="s">
        <v>360</v>
      </c>
      <c r="H2724" s="55" t="s">
        <v>360</v>
      </c>
      <c r="I2724" s="55" t="s">
        <v>360</v>
      </c>
      <c r="J2724" s="55" t="s">
        <v>360</v>
      </c>
      <c r="K2724" s="55" t="s">
        <v>360</v>
      </c>
      <c r="L2724" s="55" t="s">
        <v>360</v>
      </c>
      <c r="M2724" s="55" t="s">
        <v>378</v>
      </c>
      <c r="N2724" s="55" t="s">
        <v>134</v>
      </c>
      <c r="O2724" s="55" t="s">
        <v>225</v>
      </c>
      <c r="P2724" s="55" t="s">
        <v>1667</v>
      </c>
      <c r="Q2724" s="55" t="s">
        <v>380</v>
      </c>
      <c r="R2724" s="55">
        <v>3</v>
      </c>
      <c r="S2724" s="74"/>
      <c r="T2724" s="55" t="s">
        <v>1668</v>
      </c>
      <c r="U2724" s="73" t="s">
        <v>351</v>
      </c>
      <c r="V2724" s="74">
        <v>44503</v>
      </c>
      <c r="W2724" s="74">
        <v>44551</v>
      </c>
      <c r="X2724" s="55">
        <v>10185959</v>
      </c>
      <c r="Y2724" s="55" t="s">
        <v>146</v>
      </c>
      <c r="AB2724" s="55" t="s">
        <v>146</v>
      </c>
      <c r="AC2724" s="55" t="s">
        <v>146</v>
      </c>
    </row>
    <row r="2725" spans="1:29" ht="13" x14ac:dyDescent="0.15">
      <c r="A2725" s="72" t="str">
        <f t="shared" si="42"/>
        <v>Ofsted Social Care Provider Webpage</v>
      </c>
      <c r="B2725" s="55" t="s">
        <v>5121</v>
      </c>
      <c r="D2725" s="55" t="s">
        <v>373</v>
      </c>
      <c r="E2725" s="74">
        <v>39695</v>
      </c>
      <c r="F2725" s="55" t="s">
        <v>344</v>
      </c>
      <c r="G2725" s="55" t="s">
        <v>360</v>
      </c>
      <c r="H2725" s="55" t="s">
        <v>360</v>
      </c>
      <c r="I2725" s="55" t="s">
        <v>360</v>
      </c>
      <c r="J2725" s="55" t="s">
        <v>360</v>
      </c>
      <c r="K2725" s="55" t="s">
        <v>360</v>
      </c>
      <c r="L2725" s="55" t="s">
        <v>360</v>
      </c>
      <c r="M2725" s="55" t="s">
        <v>142</v>
      </c>
      <c r="N2725" s="55" t="s">
        <v>142</v>
      </c>
      <c r="O2725" s="55" t="s">
        <v>265</v>
      </c>
      <c r="P2725" s="55" t="s">
        <v>1066</v>
      </c>
      <c r="Q2725" s="55" t="s">
        <v>380</v>
      </c>
      <c r="R2725" s="55">
        <v>2</v>
      </c>
      <c r="S2725" s="74"/>
      <c r="T2725" s="55" t="s">
        <v>1067</v>
      </c>
      <c r="U2725" s="73" t="s">
        <v>351</v>
      </c>
      <c r="V2725" s="74">
        <v>44348</v>
      </c>
      <c r="W2725" s="74">
        <v>44378</v>
      </c>
      <c r="X2725" s="55">
        <v>10185361</v>
      </c>
      <c r="Y2725" s="55" t="s">
        <v>132</v>
      </c>
      <c r="AB2725" s="55" t="s">
        <v>130</v>
      </c>
      <c r="AC2725" s="55" t="s">
        <v>132</v>
      </c>
    </row>
    <row r="2726" spans="1:29" ht="13" x14ac:dyDescent="0.15">
      <c r="A2726" s="72" t="str">
        <f t="shared" si="42"/>
        <v>Ofsted Social Care Provider Webpage</v>
      </c>
      <c r="B2726" s="55" t="s">
        <v>5122</v>
      </c>
      <c r="D2726" s="55" t="s">
        <v>373</v>
      </c>
      <c r="E2726" s="74">
        <v>39695</v>
      </c>
      <c r="F2726" s="55" t="s">
        <v>344</v>
      </c>
      <c r="G2726" s="55" t="s">
        <v>360</v>
      </c>
      <c r="H2726" s="55" t="s">
        <v>360</v>
      </c>
      <c r="I2726" s="55" t="s">
        <v>360</v>
      </c>
      <c r="J2726" s="55" t="s">
        <v>360</v>
      </c>
      <c r="K2726" s="55" t="s">
        <v>360</v>
      </c>
      <c r="L2726" s="55" t="s">
        <v>360</v>
      </c>
      <c r="M2726" s="55" t="s">
        <v>142</v>
      </c>
      <c r="N2726" s="55" t="s">
        <v>142</v>
      </c>
      <c r="O2726" s="55" t="s">
        <v>265</v>
      </c>
      <c r="P2726" s="55" t="s">
        <v>540</v>
      </c>
      <c r="Q2726" s="55" t="s">
        <v>380</v>
      </c>
      <c r="R2726" s="55">
        <v>2</v>
      </c>
      <c r="S2726" s="74"/>
      <c r="T2726" s="55" t="s">
        <v>1067</v>
      </c>
      <c r="U2726" s="73" t="s">
        <v>351</v>
      </c>
      <c r="V2726" s="74">
        <v>44439</v>
      </c>
      <c r="W2726" s="74">
        <v>44469</v>
      </c>
      <c r="X2726" s="55">
        <v>10187186</v>
      </c>
      <c r="Y2726" s="55" t="s">
        <v>132</v>
      </c>
      <c r="AB2726" s="55" t="s">
        <v>132</v>
      </c>
      <c r="AC2726" s="55" t="s">
        <v>132</v>
      </c>
    </row>
    <row r="2727" spans="1:29" ht="13" x14ac:dyDescent="0.15">
      <c r="A2727" s="72" t="str">
        <f t="shared" si="42"/>
        <v>Ofsted Social Care Provider Webpage</v>
      </c>
      <c r="B2727" s="55" t="s">
        <v>5123</v>
      </c>
      <c r="D2727" s="55" t="s">
        <v>373</v>
      </c>
      <c r="E2727" s="74">
        <v>39710</v>
      </c>
      <c r="F2727" s="55" t="s">
        <v>344</v>
      </c>
      <c r="G2727" s="55" t="s">
        <v>360</v>
      </c>
      <c r="H2727" s="55" t="s">
        <v>360</v>
      </c>
      <c r="I2727" s="55" t="s">
        <v>360</v>
      </c>
      <c r="J2727" s="55" t="s">
        <v>360</v>
      </c>
      <c r="K2727" s="55" t="s">
        <v>360</v>
      </c>
      <c r="L2727" s="55" t="s">
        <v>360</v>
      </c>
      <c r="M2727" s="55" t="s">
        <v>144</v>
      </c>
      <c r="N2727" s="55" t="s">
        <v>144</v>
      </c>
      <c r="O2727" s="55" t="s">
        <v>217</v>
      </c>
      <c r="P2727" s="55" t="s">
        <v>397</v>
      </c>
      <c r="Q2727" s="55" t="s">
        <v>350</v>
      </c>
      <c r="R2727" s="55">
        <v>4</v>
      </c>
      <c r="S2727" s="74"/>
      <c r="T2727" s="55" t="s">
        <v>1107</v>
      </c>
      <c r="U2727" s="73" t="s">
        <v>351</v>
      </c>
      <c r="V2727" s="74">
        <v>44446</v>
      </c>
      <c r="W2727" s="74">
        <v>44476</v>
      </c>
      <c r="X2727" s="55">
        <v>10186601</v>
      </c>
      <c r="Y2727" s="55" t="s">
        <v>132</v>
      </c>
      <c r="AB2727" s="55" t="s">
        <v>132</v>
      </c>
      <c r="AC2727" s="55" t="s">
        <v>132</v>
      </c>
    </row>
    <row r="2728" spans="1:29" ht="13" x14ac:dyDescent="0.15">
      <c r="A2728" s="72" t="str">
        <f t="shared" si="42"/>
        <v>Ofsted Social Care Provider Webpage</v>
      </c>
      <c r="B2728" s="55" t="s">
        <v>5124</v>
      </c>
      <c r="D2728" s="55" t="s">
        <v>373</v>
      </c>
      <c r="E2728" s="74">
        <v>39727</v>
      </c>
      <c r="F2728" s="55" t="s">
        <v>344</v>
      </c>
      <c r="G2728" s="55" t="s">
        <v>360</v>
      </c>
      <c r="H2728" s="55" t="s">
        <v>360</v>
      </c>
      <c r="I2728" s="55" t="s">
        <v>360</v>
      </c>
      <c r="J2728" s="55" t="s">
        <v>360</v>
      </c>
      <c r="K2728" s="55" t="s">
        <v>360</v>
      </c>
      <c r="L2728" s="55" t="s">
        <v>360</v>
      </c>
      <c r="M2728" s="55" t="s">
        <v>172</v>
      </c>
      <c r="N2728" s="55" t="s">
        <v>172</v>
      </c>
      <c r="O2728" s="55" t="s">
        <v>235</v>
      </c>
      <c r="P2728" s="55" t="s">
        <v>1396</v>
      </c>
      <c r="Q2728" s="55" t="s">
        <v>350</v>
      </c>
      <c r="R2728" s="55">
        <v>3</v>
      </c>
      <c r="S2728" s="74"/>
      <c r="T2728" s="55" t="s">
        <v>5125</v>
      </c>
      <c r="U2728" s="73" t="s">
        <v>351</v>
      </c>
      <c r="V2728" s="74">
        <v>44566</v>
      </c>
      <c r="W2728" s="74">
        <v>44634</v>
      </c>
      <c r="X2728" s="55">
        <v>10186177</v>
      </c>
      <c r="Y2728" s="55" t="s">
        <v>132</v>
      </c>
      <c r="AB2728" s="55" t="s">
        <v>132</v>
      </c>
      <c r="AC2728" s="55" t="s">
        <v>132</v>
      </c>
    </row>
    <row r="2729" spans="1:29" ht="13" x14ac:dyDescent="0.15">
      <c r="A2729" s="72" t="str">
        <f t="shared" si="42"/>
        <v>Ofsted Social Care Provider Webpage</v>
      </c>
      <c r="B2729" s="55" t="s">
        <v>5126</v>
      </c>
      <c r="D2729" s="55" t="s">
        <v>373</v>
      </c>
      <c r="E2729" s="74">
        <v>39721</v>
      </c>
      <c r="F2729" s="55" t="s">
        <v>344</v>
      </c>
      <c r="G2729" s="55" t="s">
        <v>360</v>
      </c>
      <c r="H2729" s="55" t="s">
        <v>360</v>
      </c>
      <c r="I2729" s="55" t="s">
        <v>360</v>
      </c>
      <c r="J2729" s="55" t="s">
        <v>360</v>
      </c>
      <c r="K2729" s="55" t="s">
        <v>360</v>
      </c>
      <c r="L2729" s="55" t="s">
        <v>360</v>
      </c>
      <c r="M2729" s="55" t="s">
        <v>144</v>
      </c>
      <c r="N2729" s="55" t="s">
        <v>144</v>
      </c>
      <c r="O2729" s="55" t="s">
        <v>215</v>
      </c>
      <c r="P2729" s="55" t="s">
        <v>1008</v>
      </c>
      <c r="Q2729" s="55" t="s">
        <v>350</v>
      </c>
      <c r="R2729" s="55">
        <v>4</v>
      </c>
      <c r="S2729" s="74"/>
      <c r="T2729" s="55" t="s">
        <v>1441</v>
      </c>
      <c r="U2729" s="73" t="s">
        <v>351</v>
      </c>
      <c r="V2729" s="74">
        <v>43873</v>
      </c>
      <c r="W2729" s="74">
        <v>43889</v>
      </c>
      <c r="X2729" s="55">
        <v>10096038</v>
      </c>
      <c r="Y2729" s="55" t="s">
        <v>132</v>
      </c>
      <c r="AB2729" s="55" t="s">
        <v>132</v>
      </c>
      <c r="AC2729" s="55" t="s">
        <v>132</v>
      </c>
    </row>
    <row r="2730" spans="1:29" ht="13" x14ac:dyDescent="0.15">
      <c r="A2730" s="72" t="str">
        <f t="shared" si="42"/>
        <v>Ofsted Social Care Provider Webpage</v>
      </c>
      <c r="B2730" s="55" t="s">
        <v>5127</v>
      </c>
      <c r="D2730" s="55" t="s">
        <v>373</v>
      </c>
      <c r="E2730" s="74">
        <v>39694</v>
      </c>
      <c r="F2730" s="55" t="s">
        <v>344</v>
      </c>
      <c r="G2730" s="55" t="s">
        <v>360</v>
      </c>
      <c r="H2730" s="55" t="s">
        <v>360</v>
      </c>
      <c r="I2730" s="55" t="s">
        <v>360</v>
      </c>
      <c r="J2730" s="55" t="s">
        <v>360</v>
      </c>
      <c r="K2730" s="55" t="s">
        <v>360</v>
      </c>
      <c r="L2730" s="55" t="s">
        <v>360</v>
      </c>
      <c r="M2730" s="55" t="s">
        <v>138</v>
      </c>
      <c r="N2730" s="55" t="s">
        <v>138</v>
      </c>
      <c r="O2730" s="55" t="s">
        <v>196</v>
      </c>
      <c r="P2730" s="55" t="s">
        <v>2347</v>
      </c>
      <c r="Q2730" s="55" t="s">
        <v>380</v>
      </c>
      <c r="R2730" s="55">
        <v>5</v>
      </c>
      <c r="S2730" s="74"/>
      <c r="T2730" s="55" t="s">
        <v>2082</v>
      </c>
      <c r="U2730" s="73" t="s">
        <v>351</v>
      </c>
      <c r="V2730" s="74">
        <v>44545</v>
      </c>
      <c r="W2730" s="74">
        <v>44588</v>
      </c>
      <c r="X2730" s="55">
        <v>10187129</v>
      </c>
      <c r="Y2730" s="55" t="s">
        <v>132</v>
      </c>
      <c r="AB2730" s="55" t="s">
        <v>140</v>
      </c>
      <c r="AC2730" s="55" t="s">
        <v>132</v>
      </c>
    </row>
    <row r="2731" spans="1:29" ht="13" x14ac:dyDescent="0.15">
      <c r="A2731" s="72" t="str">
        <f t="shared" si="42"/>
        <v>Ofsted Social Care Provider Webpage</v>
      </c>
      <c r="B2731" s="55" t="s">
        <v>5128</v>
      </c>
      <c r="D2731" s="55" t="s">
        <v>373</v>
      </c>
      <c r="E2731" s="74">
        <v>39744</v>
      </c>
      <c r="F2731" s="55" t="s">
        <v>344</v>
      </c>
      <c r="G2731" s="55" t="s">
        <v>360</v>
      </c>
      <c r="H2731" s="55" t="s">
        <v>360</v>
      </c>
      <c r="I2731" s="55" t="s">
        <v>360</v>
      </c>
      <c r="J2731" s="55" t="s">
        <v>360</v>
      </c>
      <c r="K2731" s="55" t="s">
        <v>360</v>
      </c>
      <c r="L2731" s="55" t="s">
        <v>360</v>
      </c>
      <c r="M2731" s="55" t="s">
        <v>378</v>
      </c>
      <c r="N2731" s="55" t="s">
        <v>170</v>
      </c>
      <c r="O2731" s="55" t="s">
        <v>222</v>
      </c>
      <c r="P2731" s="55" t="s">
        <v>2188</v>
      </c>
      <c r="Q2731" s="55" t="s">
        <v>350</v>
      </c>
      <c r="R2731" s="55">
        <v>5</v>
      </c>
      <c r="S2731" s="74"/>
      <c r="T2731" s="55" t="s">
        <v>5129</v>
      </c>
      <c r="U2731" s="73" t="s">
        <v>351</v>
      </c>
      <c r="V2731" s="74">
        <v>44369</v>
      </c>
      <c r="W2731" s="74">
        <v>44397</v>
      </c>
      <c r="X2731" s="55">
        <v>10186539</v>
      </c>
      <c r="Y2731" s="55" t="s">
        <v>132</v>
      </c>
      <c r="AB2731" s="55" t="s">
        <v>132</v>
      </c>
      <c r="AC2731" s="55" t="s">
        <v>132</v>
      </c>
    </row>
    <row r="2732" spans="1:29" ht="13" x14ac:dyDescent="0.15">
      <c r="A2732" s="72" t="str">
        <f t="shared" si="42"/>
        <v>Ofsted Social Care Provider Webpage</v>
      </c>
      <c r="B2732" s="55" t="s">
        <v>5130</v>
      </c>
      <c r="D2732" s="55" t="s">
        <v>373</v>
      </c>
      <c r="E2732" s="74">
        <v>39769</v>
      </c>
      <c r="F2732" s="55" t="s">
        <v>344</v>
      </c>
      <c r="G2732" s="55" t="s">
        <v>360</v>
      </c>
      <c r="H2732" s="55" t="s">
        <v>360</v>
      </c>
      <c r="I2732" s="55" t="s">
        <v>360</v>
      </c>
      <c r="J2732" s="55" t="s">
        <v>360</v>
      </c>
      <c r="K2732" s="55" t="s">
        <v>360</v>
      </c>
      <c r="L2732" s="55" t="s">
        <v>360</v>
      </c>
      <c r="M2732" s="55" t="s">
        <v>142</v>
      </c>
      <c r="N2732" s="55" t="s">
        <v>142</v>
      </c>
      <c r="O2732" s="55" t="s">
        <v>252</v>
      </c>
      <c r="P2732" s="55" t="s">
        <v>388</v>
      </c>
      <c r="Q2732" s="55" t="s">
        <v>380</v>
      </c>
      <c r="R2732" s="55">
        <v>5</v>
      </c>
      <c r="S2732" s="74"/>
      <c r="T2732" s="55" t="s">
        <v>1542</v>
      </c>
      <c r="U2732" s="73" t="s">
        <v>351</v>
      </c>
      <c r="V2732" s="74">
        <v>44314</v>
      </c>
      <c r="W2732" s="74">
        <v>44355</v>
      </c>
      <c r="X2732" s="55">
        <v>10185926</v>
      </c>
      <c r="Y2732" s="55" t="s">
        <v>130</v>
      </c>
      <c r="AB2732" s="55" t="s">
        <v>130</v>
      </c>
      <c r="AC2732" s="55" t="s">
        <v>146</v>
      </c>
    </row>
    <row r="2733" spans="1:29" ht="13" x14ac:dyDescent="0.15">
      <c r="A2733" s="72" t="str">
        <f t="shared" si="42"/>
        <v>Ofsted Social Care Provider Webpage</v>
      </c>
      <c r="B2733" s="55" t="s">
        <v>5131</v>
      </c>
      <c r="D2733" s="55" t="s">
        <v>373</v>
      </c>
      <c r="E2733" s="74">
        <v>39674</v>
      </c>
      <c r="F2733" s="55" t="s">
        <v>344</v>
      </c>
      <c r="G2733" s="55" t="s">
        <v>360</v>
      </c>
      <c r="H2733" s="55" t="s">
        <v>360</v>
      </c>
      <c r="I2733" s="55" t="s">
        <v>360</v>
      </c>
      <c r="J2733" s="55" t="s">
        <v>360</v>
      </c>
      <c r="K2733" s="55" t="s">
        <v>360</v>
      </c>
      <c r="L2733" s="55" t="s">
        <v>360</v>
      </c>
      <c r="M2733" s="55" t="s">
        <v>172</v>
      </c>
      <c r="N2733" s="55" t="s">
        <v>172</v>
      </c>
      <c r="O2733" s="55" t="s">
        <v>235</v>
      </c>
      <c r="P2733" s="55" t="s">
        <v>494</v>
      </c>
      <c r="Q2733" s="55" t="s">
        <v>350</v>
      </c>
      <c r="R2733" s="55">
        <v>5</v>
      </c>
      <c r="S2733" s="74"/>
      <c r="T2733" s="55" t="s">
        <v>1105</v>
      </c>
      <c r="U2733" s="73" t="s">
        <v>351</v>
      </c>
      <c r="V2733" s="74">
        <v>44334</v>
      </c>
      <c r="W2733" s="74">
        <v>44384</v>
      </c>
      <c r="X2733" s="55">
        <v>10187334</v>
      </c>
      <c r="Y2733" s="55" t="s">
        <v>140</v>
      </c>
      <c r="AB2733" s="55" t="s">
        <v>140</v>
      </c>
      <c r="AC2733" s="55" t="s">
        <v>140</v>
      </c>
    </row>
    <row r="2734" spans="1:29" ht="13" x14ac:dyDescent="0.15">
      <c r="A2734" s="72" t="str">
        <f t="shared" si="42"/>
        <v>Ofsted Social Care Provider Webpage</v>
      </c>
      <c r="B2734" s="55" t="s">
        <v>5132</v>
      </c>
      <c r="D2734" s="55" t="s">
        <v>389</v>
      </c>
      <c r="E2734" s="74">
        <v>39756</v>
      </c>
      <c r="F2734" s="55" t="s">
        <v>344</v>
      </c>
      <c r="G2734" s="55" t="s">
        <v>5133</v>
      </c>
      <c r="H2734" s="55" t="s">
        <v>5134</v>
      </c>
      <c r="I2734" s="55" t="s">
        <v>5135</v>
      </c>
      <c r="J2734" s="55" t="s">
        <v>285</v>
      </c>
      <c r="L2734" s="55" t="s">
        <v>5136</v>
      </c>
      <c r="M2734" s="55" t="s">
        <v>150</v>
      </c>
      <c r="N2734" s="55" t="s">
        <v>150</v>
      </c>
      <c r="O2734" s="55" t="s">
        <v>285</v>
      </c>
      <c r="P2734" s="55" t="s">
        <v>1810</v>
      </c>
      <c r="Q2734" s="55" t="s">
        <v>350</v>
      </c>
      <c r="R2734" s="55"/>
      <c r="S2734" s="74"/>
      <c r="T2734" s="55" t="s">
        <v>1004</v>
      </c>
      <c r="U2734" s="73" t="s">
        <v>351</v>
      </c>
      <c r="V2734" s="74">
        <v>43423</v>
      </c>
      <c r="W2734" s="74">
        <v>43446</v>
      </c>
      <c r="X2734" s="55">
        <v>10030584</v>
      </c>
      <c r="Y2734" s="55" t="s">
        <v>132</v>
      </c>
      <c r="AB2734" s="55" t="s">
        <v>132</v>
      </c>
      <c r="AC2734" s="55" t="s">
        <v>132</v>
      </c>
    </row>
    <row r="2735" spans="1:29" ht="13" x14ac:dyDescent="0.15">
      <c r="A2735" s="72" t="str">
        <f t="shared" si="42"/>
        <v>Ofsted Social Care Provider Webpage</v>
      </c>
      <c r="B2735" s="55" t="s">
        <v>5137</v>
      </c>
      <c r="D2735" s="55" t="s">
        <v>389</v>
      </c>
      <c r="E2735" s="74">
        <v>39787</v>
      </c>
      <c r="F2735" s="55" t="s">
        <v>344</v>
      </c>
      <c r="G2735" s="55" t="s">
        <v>5138</v>
      </c>
      <c r="H2735" s="55" t="s">
        <v>5139</v>
      </c>
      <c r="I2735" s="55" t="s">
        <v>5140</v>
      </c>
      <c r="J2735" s="55" t="s">
        <v>3548</v>
      </c>
      <c r="K2735" s="55" t="s">
        <v>1402</v>
      </c>
      <c r="L2735" s="55" t="s">
        <v>5141</v>
      </c>
      <c r="M2735" s="55" t="s">
        <v>150</v>
      </c>
      <c r="N2735" s="55" t="s">
        <v>150</v>
      </c>
      <c r="O2735" s="55" t="s">
        <v>149</v>
      </c>
      <c r="P2735" s="55" t="s">
        <v>3548</v>
      </c>
      <c r="Q2735" s="55" t="s">
        <v>350</v>
      </c>
      <c r="R2735" s="55"/>
      <c r="S2735" s="74"/>
      <c r="T2735" s="55" t="s">
        <v>5142</v>
      </c>
      <c r="U2735" s="73" t="s">
        <v>351</v>
      </c>
      <c r="V2735" s="74">
        <v>44494</v>
      </c>
      <c r="W2735" s="74">
        <v>44547</v>
      </c>
      <c r="X2735" s="55">
        <v>10183412</v>
      </c>
      <c r="Y2735" s="55" t="s">
        <v>140</v>
      </c>
      <c r="AB2735" s="55" t="s">
        <v>132</v>
      </c>
      <c r="AC2735" s="55" t="s">
        <v>140</v>
      </c>
    </row>
    <row r="2736" spans="1:29" ht="13" x14ac:dyDescent="0.15">
      <c r="A2736" s="72" t="str">
        <f t="shared" si="42"/>
        <v>Ofsted Social Care Provider Webpage</v>
      </c>
      <c r="B2736" s="55" t="s">
        <v>5143</v>
      </c>
      <c r="D2736" s="55" t="s">
        <v>373</v>
      </c>
      <c r="E2736" s="74">
        <v>39805</v>
      </c>
      <c r="F2736" s="55" t="s">
        <v>344</v>
      </c>
      <c r="G2736" s="55" t="s">
        <v>360</v>
      </c>
      <c r="H2736" s="55" t="s">
        <v>360</v>
      </c>
      <c r="I2736" s="55" t="s">
        <v>360</v>
      </c>
      <c r="J2736" s="55" t="s">
        <v>360</v>
      </c>
      <c r="K2736" s="55" t="s">
        <v>360</v>
      </c>
      <c r="L2736" s="55" t="s">
        <v>360</v>
      </c>
      <c r="M2736" s="55" t="s">
        <v>142</v>
      </c>
      <c r="N2736" s="55" t="s">
        <v>142</v>
      </c>
      <c r="O2736" s="55" t="s">
        <v>293</v>
      </c>
      <c r="P2736" s="55" t="s">
        <v>1422</v>
      </c>
      <c r="Q2736" s="55" t="s">
        <v>350</v>
      </c>
      <c r="R2736" s="55">
        <v>4</v>
      </c>
      <c r="S2736" s="74"/>
      <c r="T2736" s="55" t="s">
        <v>4531</v>
      </c>
      <c r="U2736" s="73" t="s">
        <v>351</v>
      </c>
      <c r="V2736" s="74">
        <v>44566</v>
      </c>
      <c r="W2736" s="74">
        <v>44608</v>
      </c>
      <c r="X2736" s="55">
        <v>10210096</v>
      </c>
      <c r="Y2736" s="55" t="s">
        <v>130</v>
      </c>
      <c r="AB2736" s="55" t="s">
        <v>130</v>
      </c>
      <c r="AC2736" s="55" t="s">
        <v>146</v>
      </c>
    </row>
    <row r="2737" spans="1:29" ht="13" x14ac:dyDescent="0.15">
      <c r="A2737" s="72" t="str">
        <f t="shared" si="42"/>
        <v>Ofsted Social Care Provider Webpage</v>
      </c>
      <c r="B2737" s="55" t="s">
        <v>5144</v>
      </c>
      <c r="D2737" s="55" t="s">
        <v>373</v>
      </c>
      <c r="E2737" s="74">
        <v>39757</v>
      </c>
      <c r="F2737" s="55" t="s">
        <v>344</v>
      </c>
      <c r="G2737" s="55" t="s">
        <v>360</v>
      </c>
      <c r="H2737" s="55" t="s">
        <v>360</v>
      </c>
      <c r="I2737" s="55" t="s">
        <v>360</v>
      </c>
      <c r="J2737" s="55" t="s">
        <v>360</v>
      </c>
      <c r="K2737" s="55" t="s">
        <v>360</v>
      </c>
      <c r="L2737" s="55" t="s">
        <v>360</v>
      </c>
      <c r="M2737" s="55" t="s">
        <v>138</v>
      </c>
      <c r="N2737" s="55" t="s">
        <v>138</v>
      </c>
      <c r="O2737" s="55" t="s">
        <v>183</v>
      </c>
      <c r="P2737" s="55" t="s">
        <v>1500</v>
      </c>
      <c r="Q2737" s="55" t="s">
        <v>350</v>
      </c>
      <c r="R2737" s="55">
        <v>4</v>
      </c>
      <c r="S2737" s="74"/>
      <c r="T2737" s="55" t="s">
        <v>997</v>
      </c>
      <c r="U2737" s="73" t="s">
        <v>351</v>
      </c>
      <c r="V2737" s="74">
        <v>44580</v>
      </c>
      <c r="W2737" s="74">
        <v>44607</v>
      </c>
      <c r="X2737" s="55">
        <v>10187379</v>
      </c>
      <c r="Y2737" s="55" t="s">
        <v>132</v>
      </c>
      <c r="AB2737" s="55" t="s">
        <v>132</v>
      </c>
      <c r="AC2737" s="55" t="s">
        <v>132</v>
      </c>
    </row>
    <row r="2738" spans="1:29" ht="13" x14ac:dyDescent="0.15">
      <c r="A2738" s="72" t="str">
        <f t="shared" si="42"/>
        <v>Ofsted Social Care Provider Webpage</v>
      </c>
      <c r="B2738" s="55" t="s">
        <v>5145</v>
      </c>
      <c r="D2738" s="55" t="s">
        <v>468</v>
      </c>
      <c r="E2738" s="74">
        <v>39696</v>
      </c>
      <c r="F2738" s="55" t="s">
        <v>344</v>
      </c>
      <c r="G2738" s="55" t="s">
        <v>5146</v>
      </c>
      <c r="H2738" s="55" t="s">
        <v>3396</v>
      </c>
      <c r="I2738" s="55" t="s">
        <v>5147</v>
      </c>
      <c r="J2738" s="55" t="s">
        <v>5148</v>
      </c>
      <c r="K2738" s="55" t="s">
        <v>156</v>
      </c>
      <c r="L2738" s="55" t="s">
        <v>5149</v>
      </c>
      <c r="M2738" s="55" t="s">
        <v>150</v>
      </c>
      <c r="N2738" s="55" t="s">
        <v>150</v>
      </c>
      <c r="O2738" s="55" t="s">
        <v>221</v>
      </c>
      <c r="P2738" s="55" t="s">
        <v>4169</v>
      </c>
      <c r="Q2738" s="55" t="s">
        <v>362</v>
      </c>
      <c r="R2738" s="55"/>
      <c r="S2738" s="74"/>
      <c r="T2738" s="55" t="s">
        <v>5146</v>
      </c>
      <c r="U2738" s="73" t="s">
        <v>351</v>
      </c>
      <c r="V2738" s="74">
        <v>43529</v>
      </c>
      <c r="W2738" s="74">
        <v>43592</v>
      </c>
      <c r="X2738" s="55">
        <v>10048507</v>
      </c>
      <c r="Y2738" s="55" t="s">
        <v>140</v>
      </c>
      <c r="AB2738" s="55" t="s">
        <v>140</v>
      </c>
      <c r="AC2738" s="55" t="s">
        <v>140</v>
      </c>
    </row>
    <row r="2739" spans="1:29" ht="13" x14ac:dyDescent="0.15">
      <c r="A2739" s="72" t="str">
        <f t="shared" si="42"/>
        <v>Ofsted Social Care Provider Webpage</v>
      </c>
      <c r="B2739" s="55" t="s">
        <v>5150</v>
      </c>
      <c r="D2739" s="55" t="s">
        <v>389</v>
      </c>
      <c r="E2739" s="74">
        <v>39773</v>
      </c>
      <c r="F2739" s="55" t="s">
        <v>344</v>
      </c>
      <c r="G2739" s="55" t="s">
        <v>4716</v>
      </c>
      <c r="H2739" s="55" t="s">
        <v>5151</v>
      </c>
      <c r="I2739" s="55" t="s">
        <v>5152</v>
      </c>
      <c r="J2739" s="55" t="s">
        <v>2404</v>
      </c>
      <c r="L2739" s="55" t="s">
        <v>5153</v>
      </c>
      <c r="M2739" s="55" t="s">
        <v>172</v>
      </c>
      <c r="N2739" s="55" t="s">
        <v>172</v>
      </c>
      <c r="O2739" s="55" t="s">
        <v>173</v>
      </c>
      <c r="P2739" s="55" t="s">
        <v>860</v>
      </c>
      <c r="Q2739" s="55" t="s">
        <v>350</v>
      </c>
      <c r="R2739" s="55"/>
      <c r="S2739" s="74"/>
      <c r="T2739" s="55" t="s">
        <v>4717</v>
      </c>
      <c r="U2739" s="73" t="s">
        <v>351</v>
      </c>
      <c r="V2739" s="74">
        <v>43304</v>
      </c>
      <c r="W2739" s="74">
        <v>43333</v>
      </c>
      <c r="X2739" s="55">
        <v>10045668</v>
      </c>
      <c r="Y2739" s="55" t="s">
        <v>140</v>
      </c>
      <c r="AB2739" s="55" t="s">
        <v>132</v>
      </c>
      <c r="AC2739" s="55" t="s">
        <v>140</v>
      </c>
    </row>
    <row r="2740" spans="1:29" ht="13" x14ac:dyDescent="0.15">
      <c r="A2740" s="72" t="str">
        <f t="shared" si="42"/>
        <v>Ofsted Social Care Provider Webpage</v>
      </c>
      <c r="B2740" s="55" t="s">
        <v>5154</v>
      </c>
      <c r="D2740" s="55" t="s">
        <v>373</v>
      </c>
      <c r="E2740" s="74">
        <v>39758</v>
      </c>
      <c r="F2740" s="55" t="s">
        <v>344</v>
      </c>
      <c r="G2740" s="55" t="s">
        <v>360</v>
      </c>
      <c r="H2740" s="55" t="s">
        <v>360</v>
      </c>
      <c r="I2740" s="55" t="s">
        <v>360</v>
      </c>
      <c r="J2740" s="55" t="s">
        <v>360</v>
      </c>
      <c r="K2740" s="55" t="s">
        <v>360</v>
      </c>
      <c r="L2740" s="55" t="s">
        <v>360</v>
      </c>
      <c r="M2740" s="55" t="s">
        <v>150</v>
      </c>
      <c r="N2740" s="55" t="s">
        <v>150</v>
      </c>
      <c r="O2740" s="55" t="s">
        <v>203</v>
      </c>
      <c r="P2740" s="55" t="s">
        <v>593</v>
      </c>
      <c r="Q2740" s="55" t="s">
        <v>350</v>
      </c>
      <c r="R2740" s="55">
        <v>4</v>
      </c>
      <c r="S2740" s="74"/>
      <c r="T2740" s="55" t="s">
        <v>2070</v>
      </c>
      <c r="U2740" s="73" t="s">
        <v>351</v>
      </c>
      <c r="V2740" s="74">
        <v>43760</v>
      </c>
      <c r="W2740" s="74">
        <v>43796</v>
      </c>
      <c r="X2740" s="55">
        <v>10096049</v>
      </c>
      <c r="Y2740" s="55" t="s">
        <v>132</v>
      </c>
      <c r="AB2740" s="55" t="s">
        <v>132</v>
      </c>
      <c r="AC2740" s="55" t="s">
        <v>132</v>
      </c>
    </row>
    <row r="2741" spans="1:29" ht="13" x14ac:dyDescent="0.15">
      <c r="A2741" s="72" t="str">
        <f t="shared" si="42"/>
        <v>Ofsted Social Care Provider Webpage</v>
      </c>
      <c r="B2741" s="55" t="s">
        <v>5155</v>
      </c>
      <c r="D2741" s="55" t="s">
        <v>373</v>
      </c>
      <c r="E2741" s="74">
        <v>39772</v>
      </c>
      <c r="F2741" s="55" t="s">
        <v>344</v>
      </c>
      <c r="G2741" s="55" t="s">
        <v>360</v>
      </c>
      <c r="H2741" s="55" t="s">
        <v>360</v>
      </c>
      <c r="I2741" s="55" t="s">
        <v>360</v>
      </c>
      <c r="J2741" s="55" t="s">
        <v>360</v>
      </c>
      <c r="K2741" s="55" t="s">
        <v>360</v>
      </c>
      <c r="L2741" s="55" t="s">
        <v>360</v>
      </c>
      <c r="M2741" s="55" t="s">
        <v>378</v>
      </c>
      <c r="N2741" s="55" t="s">
        <v>134</v>
      </c>
      <c r="O2741" s="55" t="s">
        <v>204</v>
      </c>
      <c r="P2741" s="55" t="s">
        <v>929</v>
      </c>
      <c r="Q2741" s="55" t="s">
        <v>350</v>
      </c>
      <c r="R2741" s="55">
        <v>5</v>
      </c>
      <c r="S2741" s="74"/>
      <c r="T2741" s="55" t="s">
        <v>5156</v>
      </c>
      <c r="U2741" s="73" t="s">
        <v>351</v>
      </c>
      <c r="V2741" s="74">
        <v>44392</v>
      </c>
      <c r="W2741" s="74">
        <v>44426</v>
      </c>
      <c r="X2741" s="55">
        <v>10187019</v>
      </c>
      <c r="Y2741" s="55" t="s">
        <v>132</v>
      </c>
      <c r="AB2741" s="55" t="s">
        <v>132</v>
      </c>
      <c r="AC2741" s="55" t="s">
        <v>130</v>
      </c>
    </row>
    <row r="2742" spans="1:29" ht="13" x14ac:dyDescent="0.15">
      <c r="A2742" s="72" t="str">
        <f t="shared" si="42"/>
        <v>Ofsted Social Care Provider Webpage</v>
      </c>
      <c r="B2742" s="55" t="s">
        <v>5157</v>
      </c>
      <c r="D2742" s="55" t="s">
        <v>373</v>
      </c>
      <c r="E2742" s="74">
        <v>39786</v>
      </c>
      <c r="F2742" s="55" t="s">
        <v>344</v>
      </c>
      <c r="G2742" s="55" t="s">
        <v>360</v>
      </c>
      <c r="H2742" s="55" t="s">
        <v>360</v>
      </c>
      <c r="I2742" s="55" t="s">
        <v>360</v>
      </c>
      <c r="J2742" s="55" t="s">
        <v>360</v>
      </c>
      <c r="K2742" s="55" t="s">
        <v>360</v>
      </c>
      <c r="L2742" s="55" t="s">
        <v>360</v>
      </c>
      <c r="M2742" s="55" t="s">
        <v>150</v>
      </c>
      <c r="N2742" s="55" t="s">
        <v>150</v>
      </c>
      <c r="O2742" s="55" t="s">
        <v>190</v>
      </c>
      <c r="P2742" s="55" t="s">
        <v>500</v>
      </c>
      <c r="Q2742" s="55" t="s">
        <v>350</v>
      </c>
      <c r="R2742" s="55">
        <v>3</v>
      </c>
      <c r="S2742" s="74"/>
      <c r="T2742" s="55" t="s">
        <v>456</v>
      </c>
      <c r="U2742" s="73" t="s">
        <v>351</v>
      </c>
      <c r="V2742" s="74">
        <v>44454</v>
      </c>
      <c r="W2742" s="74">
        <v>44495</v>
      </c>
      <c r="X2742" s="55">
        <v>10186753</v>
      </c>
      <c r="Y2742" s="55" t="s">
        <v>132</v>
      </c>
      <c r="AB2742" s="55" t="s">
        <v>132</v>
      </c>
      <c r="AC2742" s="55" t="s">
        <v>132</v>
      </c>
    </row>
    <row r="2743" spans="1:29" ht="13" x14ac:dyDescent="0.15">
      <c r="A2743" s="72" t="str">
        <f t="shared" si="42"/>
        <v>Ofsted Social Care Provider Webpage</v>
      </c>
      <c r="B2743" s="55" t="s">
        <v>5158</v>
      </c>
      <c r="D2743" s="55" t="s">
        <v>373</v>
      </c>
      <c r="E2743" s="74">
        <v>39787</v>
      </c>
      <c r="F2743" s="55" t="s">
        <v>344</v>
      </c>
      <c r="G2743" s="55" t="s">
        <v>360</v>
      </c>
      <c r="H2743" s="55" t="s">
        <v>360</v>
      </c>
      <c r="I2743" s="55" t="s">
        <v>360</v>
      </c>
      <c r="J2743" s="55" t="s">
        <v>360</v>
      </c>
      <c r="K2743" s="55" t="s">
        <v>360</v>
      </c>
      <c r="L2743" s="55" t="s">
        <v>360</v>
      </c>
      <c r="M2743" s="55" t="s">
        <v>144</v>
      </c>
      <c r="N2743" s="55" t="s">
        <v>144</v>
      </c>
      <c r="O2743" s="55" t="s">
        <v>168</v>
      </c>
      <c r="P2743" s="55" t="s">
        <v>834</v>
      </c>
      <c r="Q2743" s="55" t="s">
        <v>350</v>
      </c>
      <c r="R2743" s="55">
        <v>5</v>
      </c>
      <c r="S2743" s="74"/>
      <c r="T2743" s="55" t="s">
        <v>3072</v>
      </c>
      <c r="U2743" s="73" t="s">
        <v>351</v>
      </c>
      <c r="V2743" s="74">
        <v>44336</v>
      </c>
      <c r="W2743" s="74">
        <v>44369</v>
      </c>
      <c r="X2743" s="55">
        <v>10187541</v>
      </c>
      <c r="Y2743" s="55" t="s">
        <v>132</v>
      </c>
      <c r="AB2743" s="55" t="s">
        <v>140</v>
      </c>
      <c r="AC2743" s="55" t="s">
        <v>132</v>
      </c>
    </row>
    <row r="2744" spans="1:29" ht="13" x14ac:dyDescent="0.15">
      <c r="A2744" s="72" t="str">
        <f t="shared" si="42"/>
        <v>Ofsted Social Care Provider Webpage</v>
      </c>
      <c r="B2744" s="55" t="s">
        <v>5159</v>
      </c>
      <c r="D2744" s="55" t="s">
        <v>468</v>
      </c>
      <c r="E2744" s="74">
        <v>39759</v>
      </c>
      <c r="F2744" s="55" t="s">
        <v>344</v>
      </c>
      <c r="G2744" s="55" t="s">
        <v>5160</v>
      </c>
      <c r="H2744" s="55" t="s">
        <v>5161</v>
      </c>
      <c r="I2744" s="55" t="s">
        <v>354</v>
      </c>
      <c r="J2744" s="55" t="s">
        <v>131</v>
      </c>
      <c r="L2744" s="55" t="s">
        <v>5162</v>
      </c>
      <c r="M2744" s="55" t="s">
        <v>129</v>
      </c>
      <c r="N2744" s="55" t="s">
        <v>129</v>
      </c>
      <c r="O2744" s="55" t="s">
        <v>182</v>
      </c>
      <c r="P2744" s="55" t="s">
        <v>4857</v>
      </c>
      <c r="Q2744" s="55" t="s">
        <v>362</v>
      </c>
      <c r="R2744" s="55"/>
      <c r="S2744" s="74"/>
      <c r="T2744" s="55" t="s">
        <v>5160</v>
      </c>
      <c r="U2744" s="73" t="s">
        <v>351</v>
      </c>
      <c r="V2744" s="74">
        <v>43857</v>
      </c>
      <c r="W2744" s="74">
        <v>43893</v>
      </c>
      <c r="X2744" s="55">
        <v>10093317</v>
      </c>
      <c r="Y2744" s="55" t="s">
        <v>140</v>
      </c>
      <c r="AB2744" s="55" t="s">
        <v>140</v>
      </c>
      <c r="AC2744" s="55" t="s">
        <v>140</v>
      </c>
    </row>
    <row r="2745" spans="1:29" ht="13" x14ac:dyDescent="0.15">
      <c r="A2745" s="72" t="str">
        <f t="shared" si="42"/>
        <v>Ofsted Social Care Provider Webpage</v>
      </c>
      <c r="B2745" s="55" t="s">
        <v>5163</v>
      </c>
      <c r="D2745" s="55" t="s">
        <v>373</v>
      </c>
      <c r="E2745" s="74">
        <v>39812</v>
      </c>
      <c r="F2745" s="55" t="s">
        <v>344</v>
      </c>
      <c r="G2745" s="55" t="s">
        <v>360</v>
      </c>
      <c r="H2745" s="55" t="s">
        <v>360</v>
      </c>
      <c r="I2745" s="55" t="s">
        <v>360</v>
      </c>
      <c r="J2745" s="55" t="s">
        <v>360</v>
      </c>
      <c r="K2745" s="55" t="s">
        <v>360</v>
      </c>
      <c r="L2745" s="55" t="s">
        <v>360</v>
      </c>
      <c r="M2745" s="55" t="s">
        <v>378</v>
      </c>
      <c r="N2745" s="55" t="s">
        <v>134</v>
      </c>
      <c r="O2745" s="55" t="s">
        <v>133</v>
      </c>
      <c r="P2745" s="55" t="s">
        <v>1804</v>
      </c>
      <c r="Q2745" s="55" t="s">
        <v>350</v>
      </c>
      <c r="R2745" s="55">
        <v>2</v>
      </c>
      <c r="S2745" s="74"/>
      <c r="T2745" s="55" t="s">
        <v>5164</v>
      </c>
      <c r="U2745" s="73" t="s">
        <v>351</v>
      </c>
      <c r="V2745" s="74">
        <v>44614</v>
      </c>
      <c r="W2745" s="74">
        <v>44655</v>
      </c>
      <c r="X2745" s="55">
        <v>10185872</v>
      </c>
      <c r="Y2745" s="55" t="s">
        <v>132</v>
      </c>
      <c r="AB2745" s="55" t="s">
        <v>132</v>
      </c>
      <c r="AC2745" s="55" t="s">
        <v>132</v>
      </c>
    </row>
    <row r="2746" spans="1:29" ht="13" x14ac:dyDescent="0.15">
      <c r="A2746" s="72" t="str">
        <f t="shared" si="42"/>
        <v>Ofsted Social Care Provider Webpage</v>
      </c>
      <c r="B2746" s="55" t="s">
        <v>5165</v>
      </c>
      <c r="D2746" s="55" t="s">
        <v>373</v>
      </c>
      <c r="E2746" s="74">
        <v>39799</v>
      </c>
      <c r="F2746" s="55" t="s">
        <v>344</v>
      </c>
      <c r="G2746" s="55" t="s">
        <v>360</v>
      </c>
      <c r="H2746" s="55" t="s">
        <v>360</v>
      </c>
      <c r="I2746" s="55" t="s">
        <v>360</v>
      </c>
      <c r="J2746" s="55" t="s">
        <v>360</v>
      </c>
      <c r="K2746" s="55" t="s">
        <v>360</v>
      </c>
      <c r="L2746" s="55" t="s">
        <v>360</v>
      </c>
      <c r="M2746" s="55" t="s">
        <v>129</v>
      </c>
      <c r="N2746" s="55" t="s">
        <v>129</v>
      </c>
      <c r="O2746" s="55" t="s">
        <v>186</v>
      </c>
      <c r="P2746" s="55" t="s">
        <v>2125</v>
      </c>
      <c r="Q2746" s="55" t="s">
        <v>350</v>
      </c>
      <c r="R2746" s="55">
        <v>4</v>
      </c>
      <c r="S2746" s="74"/>
      <c r="T2746" s="55" t="s">
        <v>2906</v>
      </c>
      <c r="U2746" s="73" t="s">
        <v>351</v>
      </c>
      <c r="V2746" s="74">
        <v>44405</v>
      </c>
      <c r="W2746" s="74">
        <v>44447</v>
      </c>
      <c r="X2746" s="55">
        <v>10185467</v>
      </c>
      <c r="Y2746" s="55" t="s">
        <v>132</v>
      </c>
      <c r="AB2746" s="55" t="s">
        <v>132</v>
      </c>
      <c r="AC2746" s="55" t="s">
        <v>132</v>
      </c>
    </row>
    <row r="2747" spans="1:29" ht="13" x14ac:dyDescent="0.15">
      <c r="A2747" s="72" t="str">
        <f t="shared" si="42"/>
        <v>Ofsted Social Care Provider Webpage</v>
      </c>
      <c r="B2747" s="55" t="s">
        <v>5166</v>
      </c>
      <c r="D2747" s="55" t="s">
        <v>373</v>
      </c>
      <c r="E2747" s="74">
        <v>39797</v>
      </c>
      <c r="F2747" s="55" t="s">
        <v>344</v>
      </c>
      <c r="G2747" s="55" t="s">
        <v>360</v>
      </c>
      <c r="H2747" s="55" t="s">
        <v>360</v>
      </c>
      <c r="I2747" s="55" t="s">
        <v>360</v>
      </c>
      <c r="J2747" s="55" t="s">
        <v>360</v>
      </c>
      <c r="K2747" s="55" t="s">
        <v>360</v>
      </c>
      <c r="L2747" s="55" t="s">
        <v>360</v>
      </c>
      <c r="M2747" s="55" t="s">
        <v>138</v>
      </c>
      <c r="N2747" s="55" t="s">
        <v>138</v>
      </c>
      <c r="O2747" s="55" t="s">
        <v>266</v>
      </c>
      <c r="P2747" s="55" t="s">
        <v>449</v>
      </c>
      <c r="Q2747" s="55" t="s">
        <v>350</v>
      </c>
      <c r="R2747" s="55">
        <v>6</v>
      </c>
      <c r="S2747" s="74"/>
      <c r="T2747" s="55" t="s">
        <v>5167</v>
      </c>
      <c r="U2747" s="73" t="s">
        <v>351</v>
      </c>
      <c r="V2747" s="74">
        <v>44594</v>
      </c>
      <c r="W2747" s="74">
        <v>44630</v>
      </c>
      <c r="X2747" s="55">
        <v>10185252</v>
      </c>
      <c r="Y2747" s="55" t="s">
        <v>132</v>
      </c>
      <c r="AB2747" s="55" t="s">
        <v>132</v>
      </c>
      <c r="AC2747" s="55" t="s">
        <v>132</v>
      </c>
    </row>
    <row r="2748" spans="1:29" ht="13" x14ac:dyDescent="0.15">
      <c r="A2748" s="72" t="str">
        <f t="shared" si="42"/>
        <v>Ofsted Social Care Provider Webpage</v>
      </c>
      <c r="B2748" s="55" t="s">
        <v>5168</v>
      </c>
      <c r="D2748" s="55" t="s">
        <v>373</v>
      </c>
      <c r="E2748" s="74">
        <v>39738</v>
      </c>
      <c r="F2748" s="55" t="s">
        <v>344</v>
      </c>
      <c r="G2748" s="55" t="s">
        <v>360</v>
      </c>
      <c r="H2748" s="55" t="s">
        <v>360</v>
      </c>
      <c r="I2748" s="55" t="s">
        <v>360</v>
      </c>
      <c r="J2748" s="55" t="s">
        <v>360</v>
      </c>
      <c r="K2748" s="55" t="s">
        <v>360</v>
      </c>
      <c r="L2748" s="55" t="s">
        <v>360</v>
      </c>
      <c r="M2748" s="55" t="s">
        <v>136</v>
      </c>
      <c r="N2748" s="55" t="s">
        <v>136</v>
      </c>
      <c r="O2748" s="55" t="s">
        <v>255</v>
      </c>
      <c r="P2748" s="55" t="s">
        <v>583</v>
      </c>
      <c r="Q2748" s="55" t="s">
        <v>350</v>
      </c>
      <c r="R2748" s="55">
        <v>3</v>
      </c>
      <c r="S2748" s="74"/>
      <c r="T2748" s="55" t="s">
        <v>5169</v>
      </c>
      <c r="U2748" s="73" t="s">
        <v>351</v>
      </c>
      <c r="V2748" s="74">
        <v>44586</v>
      </c>
      <c r="W2748" s="74">
        <v>44638</v>
      </c>
      <c r="X2748" s="55">
        <v>10185507</v>
      </c>
      <c r="Y2748" s="55" t="s">
        <v>132</v>
      </c>
      <c r="AB2748" s="55" t="s">
        <v>132</v>
      </c>
      <c r="AC2748" s="55" t="s">
        <v>132</v>
      </c>
    </row>
    <row r="2749" spans="1:29" ht="13" x14ac:dyDescent="0.15">
      <c r="A2749" s="72" t="str">
        <f t="shared" si="42"/>
        <v>Ofsted Social Care Provider Webpage</v>
      </c>
      <c r="B2749" s="55" t="s">
        <v>5170</v>
      </c>
      <c r="D2749" s="55" t="s">
        <v>373</v>
      </c>
      <c r="E2749" s="74">
        <v>39738</v>
      </c>
      <c r="F2749" s="55" t="s">
        <v>344</v>
      </c>
      <c r="G2749" s="55" t="s">
        <v>360</v>
      </c>
      <c r="H2749" s="55" t="s">
        <v>360</v>
      </c>
      <c r="I2749" s="55" t="s">
        <v>360</v>
      </c>
      <c r="J2749" s="55" t="s">
        <v>360</v>
      </c>
      <c r="K2749" s="55" t="s">
        <v>360</v>
      </c>
      <c r="L2749" s="55" t="s">
        <v>360</v>
      </c>
      <c r="M2749" s="55" t="s">
        <v>136</v>
      </c>
      <c r="N2749" s="55" t="s">
        <v>136</v>
      </c>
      <c r="O2749" s="55" t="s">
        <v>255</v>
      </c>
      <c r="P2749" s="55" t="s">
        <v>757</v>
      </c>
      <c r="Q2749" s="55" t="s">
        <v>350</v>
      </c>
      <c r="R2749" s="55">
        <v>2</v>
      </c>
      <c r="S2749" s="74"/>
      <c r="T2749" s="55" t="s">
        <v>5169</v>
      </c>
      <c r="U2749" s="73" t="s">
        <v>351</v>
      </c>
      <c r="V2749" s="74">
        <v>44523</v>
      </c>
      <c r="W2749" s="74">
        <v>44575</v>
      </c>
      <c r="X2749" s="55">
        <v>10203862</v>
      </c>
      <c r="Y2749" s="55" t="s">
        <v>130</v>
      </c>
      <c r="AB2749" s="55" t="s">
        <v>130</v>
      </c>
      <c r="AC2749" s="55" t="s">
        <v>130</v>
      </c>
    </row>
    <row r="2750" spans="1:29" ht="13" x14ac:dyDescent="0.15">
      <c r="A2750" s="72" t="str">
        <f t="shared" si="42"/>
        <v>Ofsted Social Care Provider Webpage</v>
      </c>
      <c r="B2750" s="55" t="s">
        <v>5171</v>
      </c>
      <c r="D2750" s="55" t="s">
        <v>373</v>
      </c>
      <c r="E2750" s="74">
        <v>39805</v>
      </c>
      <c r="F2750" s="55" t="s">
        <v>344</v>
      </c>
      <c r="G2750" s="55" t="s">
        <v>360</v>
      </c>
      <c r="H2750" s="55" t="s">
        <v>360</v>
      </c>
      <c r="I2750" s="55" t="s">
        <v>360</v>
      </c>
      <c r="J2750" s="55" t="s">
        <v>360</v>
      </c>
      <c r="K2750" s="55" t="s">
        <v>360</v>
      </c>
      <c r="L2750" s="55" t="s">
        <v>360</v>
      </c>
      <c r="M2750" s="55" t="s">
        <v>144</v>
      </c>
      <c r="N2750" s="55" t="s">
        <v>144</v>
      </c>
      <c r="O2750" s="55" t="s">
        <v>281</v>
      </c>
      <c r="P2750" s="55" t="s">
        <v>725</v>
      </c>
      <c r="Q2750" s="55" t="s">
        <v>350</v>
      </c>
      <c r="R2750" s="55">
        <v>3</v>
      </c>
      <c r="S2750" s="74"/>
      <c r="T2750" s="55" t="s">
        <v>1365</v>
      </c>
      <c r="U2750" s="73" t="s">
        <v>351</v>
      </c>
      <c r="V2750" s="74">
        <v>43873</v>
      </c>
      <c r="W2750" s="74">
        <v>43889</v>
      </c>
      <c r="X2750" s="55">
        <v>10096061</v>
      </c>
      <c r="Y2750" s="55" t="s">
        <v>130</v>
      </c>
      <c r="AB2750" s="55" t="s">
        <v>130</v>
      </c>
      <c r="AC2750" s="55" t="s">
        <v>130</v>
      </c>
    </row>
    <row r="2751" spans="1:29" ht="13" x14ac:dyDescent="0.15">
      <c r="A2751" s="72" t="str">
        <f t="shared" si="42"/>
        <v>Ofsted Social Care Provider Webpage</v>
      </c>
      <c r="B2751" s="55" t="s">
        <v>5172</v>
      </c>
      <c r="D2751" s="55" t="s">
        <v>373</v>
      </c>
      <c r="E2751" s="74">
        <v>39975</v>
      </c>
      <c r="F2751" s="55" t="s">
        <v>344</v>
      </c>
      <c r="G2751" s="55" t="s">
        <v>360</v>
      </c>
      <c r="H2751" s="55" t="s">
        <v>360</v>
      </c>
      <c r="I2751" s="55" t="s">
        <v>360</v>
      </c>
      <c r="J2751" s="55" t="s">
        <v>360</v>
      </c>
      <c r="K2751" s="55" t="s">
        <v>360</v>
      </c>
      <c r="L2751" s="55" t="s">
        <v>360</v>
      </c>
      <c r="M2751" s="55" t="s">
        <v>144</v>
      </c>
      <c r="N2751" s="55" t="s">
        <v>144</v>
      </c>
      <c r="O2751" s="55" t="s">
        <v>188</v>
      </c>
      <c r="P2751" s="55" t="s">
        <v>188</v>
      </c>
      <c r="Q2751" s="55" t="s">
        <v>350</v>
      </c>
      <c r="R2751" s="55">
        <v>3</v>
      </c>
      <c r="S2751" s="74"/>
      <c r="T2751" s="55" t="s">
        <v>1365</v>
      </c>
      <c r="U2751" s="73" t="s">
        <v>351</v>
      </c>
      <c r="V2751" s="74">
        <v>44468</v>
      </c>
      <c r="W2751" s="74">
        <v>44503</v>
      </c>
      <c r="X2751" s="55">
        <v>10185698</v>
      </c>
      <c r="Y2751" s="55" t="s">
        <v>132</v>
      </c>
      <c r="AB2751" s="55" t="s">
        <v>132</v>
      </c>
      <c r="AC2751" s="55" t="s">
        <v>132</v>
      </c>
    </row>
    <row r="2752" spans="1:29" ht="13" x14ac:dyDescent="0.15">
      <c r="A2752" s="72" t="str">
        <f t="shared" si="42"/>
        <v>Ofsted Social Care Provider Webpage</v>
      </c>
      <c r="B2752" s="55" t="s">
        <v>5173</v>
      </c>
      <c r="D2752" s="55" t="s">
        <v>373</v>
      </c>
      <c r="E2752" s="74">
        <v>39828</v>
      </c>
      <c r="F2752" s="55" t="s">
        <v>344</v>
      </c>
      <c r="G2752" s="55" t="s">
        <v>360</v>
      </c>
      <c r="H2752" s="55" t="s">
        <v>360</v>
      </c>
      <c r="I2752" s="55" t="s">
        <v>360</v>
      </c>
      <c r="J2752" s="55" t="s">
        <v>360</v>
      </c>
      <c r="K2752" s="55" t="s">
        <v>360</v>
      </c>
      <c r="L2752" s="55" t="s">
        <v>360</v>
      </c>
      <c r="M2752" s="55" t="s">
        <v>144</v>
      </c>
      <c r="N2752" s="55" t="s">
        <v>144</v>
      </c>
      <c r="O2752" s="55" t="s">
        <v>281</v>
      </c>
      <c r="P2752" s="55" t="s">
        <v>725</v>
      </c>
      <c r="Q2752" s="55" t="s">
        <v>350</v>
      </c>
      <c r="R2752" s="55">
        <v>3</v>
      </c>
      <c r="S2752" s="74"/>
      <c r="T2752" s="55" t="s">
        <v>1365</v>
      </c>
      <c r="U2752" s="73" t="s">
        <v>351</v>
      </c>
      <c r="V2752" s="74">
        <v>44306</v>
      </c>
      <c r="W2752" s="74">
        <v>44349</v>
      </c>
      <c r="X2752" s="55">
        <v>10185972</v>
      </c>
      <c r="Y2752" s="55" t="s">
        <v>132</v>
      </c>
      <c r="AB2752" s="55" t="s">
        <v>132</v>
      </c>
      <c r="AC2752" s="55" t="s">
        <v>132</v>
      </c>
    </row>
    <row r="2753" spans="1:29" ht="13" x14ac:dyDescent="0.15">
      <c r="A2753" s="72" t="str">
        <f t="shared" si="42"/>
        <v>Ofsted Social Care Provider Webpage</v>
      </c>
      <c r="B2753" s="55" t="s">
        <v>5174</v>
      </c>
      <c r="D2753" s="55" t="s">
        <v>389</v>
      </c>
      <c r="E2753" s="74">
        <v>39811</v>
      </c>
      <c r="F2753" s="55" t="s">
        <v>344</v>
      </c>
      <c r="G2753" s="55" t="s">
        <v>5175</v>
      </c>
      <c r="H2753" s="55" t="s">
        <v>5176</v>
      </c>
      <c r="I2753" s="55" t="s">
        <v>354</v>
      </c>
      <c r="J2753" s="55" t="s">
        <v>2578</v>
      </c>
      <c r="L2753" s="55" t="s">
        <v>5177</v>
      </c>
      <c r="M2753" s="55" t="s">
        <v>129</v>
      </c>
      <c r="N2753" s="55" t="s">
        <v>129</v>
      </c>
      <c r="O2753" s="55" t="s">
        <v>167</v>
      </c>
      <c r="P2753" s="55" t="s">
        <v>866</v>
      </c>
      <c r="Q2753" s="55" t="s">
        <v>350</v>
      </c>
      <c r="R2753" s="55"/>
      <c r="S2753" s="74"/>
      <c r="T2753" s="55" t="s">
        <v>867</v>
      </c>
      <c r="U2753" s="73" t="s">
        <v>351</v>
      </c>
      <c r="V2753" s="74">
        <v>43304</v>
      </c>
      <c r="W2753" s="74">
        <v>43346</v>
      </c>
      <c r="X2753" s="55">
        <v>10045657</v>
      </c>
      <c r="Y2753" s="55" t="s">
        <v>130</v>
      </c>
      <c r="AB2753" s="55" t="s">
        <v>130</v>
      </c>
      <c r="AC2753" s="55" t="s">
        <v>146</v>
      </c>
    </row>
    <row r="2754" spans="1:29" ht="13" x14ac:dyDescent="0.15">
      <c r="A2754" s="72" t="str">
        <f t="shared" si="42"/>
        <v>Ofsted Social Care Provider Webpage</v>
      </c>
      <c r="B2754" s="55" t="s">
        <v>5178</v>
      </c>
      <c r="D2754" s="55" t="s">
        <v>373</v>
      </c>
      <c r="E2754" s="74">
        <v>39826</v>
      </c>
      <c r="F2754" s="55" t="s">
        <v>344</v>
      </c>
      <c r="G2754" s="55" t="s">
        <v>360</v>
      </c>
      <c r="H2754" s="55" t="s">
        <v>360</v>
      </c>
      <c r="I2754" s="55" t="s">
        <v>360</v>
      </c>
      <c r="J2754" s="55" t="s">
        <v>360</v>
      </c>
      <c r="K2754" s="55" t="s">
        <v>360</v>
      </c>
      <c r="L2754" s="55" t="s">
        <v>360</v>
      </c>
      <c r="M2754" s="55" t="s">
        <v>144</v>
      </c>
      <c r="N2754" s="55" t="s">
        <v>144</v>
      </c>
      <c r="O2754" s="55" t="s">
        <v>261</v>
      </c>
      <c r="P2754" s="55" t="s">
        <v>792</v>
      </c>
      <c r="Q2754" s="55" t="s">
        <v>350</v>
      </c>
      <c r="R2754" s="55">
        <v>1</v>
      </c>
      <c r="S2754" s="74"/>
      <c r="T2754" s="55" t="s">
        <v>4505</v>
      </c>
      <c r="U2754" s="73" t="s">
        <v>351</v>
      </c>
      <c r="V2754" s="74">
        <v>44447</v>
      </c>
      <c r="W2754" s="74">
        <v>44495</v>
      </c>
      <c r="X2754" s="55">
        <v>10187024</v>
      </c>
      <c r="Y2754" s="55" t="s">
        <v>130</v>
      </c>
      <c r="AB2754" s="55" t="s">
        <v>130</v>
      </c>
      <c r="AC2754" s="55" t="s">
        <v>130</v>
      </c>
    </row>
    <row r="2755" spans="1:29" ht="13" x14ac:dyDescent="0.15">
      <c r="A2755" s="72" t="str">
        <f t="shared" si="42"/>
        <v>Ofsted Social Care Provider Webpage</v>
      </c>
      <c r="B2755" s="55" t="s">
        <v>5179</v>
      </c>
      <c r="D2755" s="55" t="s">
        <v>373</v>
      </c>
      <c r="E2755" s="74">
        <v>39890</v>
      </c>
      <c r="F2755" s="55" t="s">
        <v>344</v>
      </c>
      <c r="G2755" s="55" t="s">
        <v>360</v>
      </c>
      <c r="H2755" s="55" t="s">
        <v>360</v>
      </c>
      <c r="I2755" s="55" t="s">
        <v>360</v>
      </c>
      <c r="J2755" s="55" t="s">
        <v>360</v>
      </c>
      <c r="K2755" s="55" t="s">
        <v>360</v>
      </c>
      <c r="L2755" s="55" t="s">
        <v>360</v>
      </c>
      <c r="M2755" s="55" t="s">
        <v>144</v>
      </c>
      <c r="N2755" s="55" t="s">
        <v>144</v>
      </c>
      <c r="O2755" s="55" t="s">
        <v>263</v>
      </c>
      <c r="P2755" s="55" t="s">
        <v>263</v>
      </c>
      <c r="Q2755" s="55" t="s">
        <v>350</v>
      </c>
      <c r="R2755" s="55">
        <v>2</v>
      </c>
      <c r="S2755" s="74"/>
      <c r="T2755" s="55" t="s">
        <v>1093</v>
      </c>
      <c r="U2755" s="73" t="s">
        <v>351</v>
      </c>
      <c r="V2755" s="74">
        <v>44574</v>
      </c>
      <c r="W2755" s="74">
        <v>44602</v>
      </c>
      <c r="X2755" s="55">
        <v>10185739</v>
      </c>
      <c r="Y2755" s="55" t="s">
        <v>132</v>
      </c>
      <c r="AB2755" s="55" t="s">
        <v>132</v>
      </c>
      <c r="AC2755" s="55" t="s">
        <v>130</v>
      </c>
    </row>
    <row r="2756" spans="1:29" ht="13" x14ac:dyDescent="0.15">
      <c r="A2756" s="72" t="str">
        <f t="shared" si="42"/>
        <v>Ofsted Social Care Provider Webpage</v>
      </c>
      <c r="B2756" s="55" t="s">
        <v>5180</v>
      </c>
      <c r="D2756" s="55" t="s">
        <v>373</v>
      </c>
      <c r="E2756" s="74">
        <v>39783</v>
      </c>
      <c r="F2756" s="55" t="s">
        <v>344</v>
      </c>
      <c r="G2756" s="55" t="s">
        <v>360</v>
      </c>
      <c r="H2756" s="55" t="s">
        <v>360</v>
      </c>
      <c r="I2756" s="55" t="s">
        <v>360</v>
      </c>
      <c r="J2756" s="55" t="s">
        <v>360</v>
      </c>
      <c r="K2756" s="55" t="s">
        <v>360</v>
      </c>
      <c r="L2756" s="55" t="s">
        <v>360</v>
      </c>
      <c r="M2756" s="55" t="s">
        <v>144</v>
      </c>
      <c r="N2756" s="55" t="s">
        <v>144</v>
      </c>
      <c r="O2756" s="55" t="s">
        <v>276</v>
      </c>
      <c r="P2756" s="55" t="s">
        <v>3052</v>
      </c>
      <c r="Q2756" s="55" t="s">
        <v>350</v>
      </c>
      <c r="R2756" s="55">
        <v>5</v>
      </c>
      <c r="S2756" s="74"/>
      <c r="T2756" s="55" t="s">
        <v>5181</v>
      </c>
      <c r="U2756" s="73" t="s">
        <v>351</v>
      </c>
      <c r="V2756" s="74">
        <v>44537</v>
      </c>
      <c r="W2756" s="74">
        <v>44582</v>
      </c>
      <c r="X2756" s="55">
        <v>10185694</v>
      </c>
      <c r="Y2756" s="55" t="s">
        <v>130</v>
      </c>
      <c r="AB2756" s="55" t="s">
        <v>130</v>
      </c>
      <c r="AC2756" s="55" t="s">
        <v>130</v>
      </c>
    </row>
    <row r="2757" spans="1:29" ht="13" x14ac:dyDescent="0.15">
      <c r="A2757" s="72" t="str">
        <f t="shared" si="42"/>
        <v>Ofsted Social Care Provider Webpage</v>
      </c>
      <c r="B2757" s="55" t="s">
        <v>5182</v>
      </c>
      <c r="D2757" s="55" t="s">
        <v>373</v>
      </c>
      <c r="E2757" s="74">
        <v>39871</v>
      </c>
      <c r="F2757" s="55" t="s">
        <v>344</v>
      </c>
      <c r="G2757" s="55" t="s">
        <v>360</v>
      </c>
      <c r="H2757" s="55" t="s">
        <v>360</v>
      </c>
      <c r="I2757" s="55" t="s">
        <v>360</v>
      </c>
      <c r="J2757" s="55" t="s">
        <v>360</v>
      </c>
      <c r="K2757" s="55" t="s">
        <v>360</v>
      </c>
      <c r="L2757" s="55" t="s">
        <v>360</v>
      </c>
      <c r="M2757" s="55" t="s">
        <v>144</v>
      </c>
      <c r="N2757" s="55" t="s">
        <v>144</v>
      </c>
      <c r="O2757" s="55" t="s">
        <v>236</v>
      </c>
      <c r="P2757" s="55" t="s">
        <v>996</v>
      </c>
      <c r="Q2757" s="55" t="s">
        <v>380</v>
      </c>
      <c r="R2757" s="55">
        <v>7</v>
      </c>
      <c r="S2757" s="74" t="s">
        <v>332</v>
      </c>
      <c r="T2757" s="55" t="s">
        <v>3314</v>
      </c>
      <c r="U2757" s="73" t="s">
        <v>351</v>
      </c>
      <c r="V2757" s="74">
        <v>44538</v>
      </c>
      <c r="W2757" s="74">
        <v>44587</v>
      </c>
      <c r="X2757" s="55">
        <v>10185470</v>
      </c>
      <c r="Y2757" s="55" t="s">
        <v>132</v>
      </c>
      <c r="AB2757" s="55" t="s">
        <v>132</v>
      </c>
      <c r="AC2757" s="55" t="s">
        <v>132</v>
      </c>
    </row>
    <row r="2758" spans="1:29" ht="13" x14ac:dyDescent="0.15">
      <c r="A2758" s="72" t="str">
        <f t="shared" ref="A2758:A2821" si="43">HYPERLINK(_xlfn.CONCAT("http://reports.ofsted.gov.uk/inspection-reports/find-inspection-report/provider/CARE/",B2758),"Ofsted Social Care Provider Webpage")</f>
        <v>Ofsted Social Care Provider Webpage</v>
      </c>
      <c r="B2758" s="55" t="s">
        <v>5183</v>
      </c>
      <c r="D2758" s="55" t="s">
        <v>373</v>
      </c>
      <c r="E2758" s="74">
        <v>39891</v>
      </c>
      <c r="F2758" s="55" t="s">
        <v>344</v>
      </c>
      <c r="G2758" s="55" t="s">
        <v>360</v>
      </c>
      <c r="H2758" s="55" t="s">
        <v>360</v>
      </c>
      <c r="I2758" s="55" t="s">
        <v>360</v>
      </c>
      <c r="J2758" s="55" t="s">
        <v>360</v>
      </c>
      <c r="K2758" s="55" t="s">
        <v>360</v>
      </c>
      <c r="L2758" s="55" t="s">
        <v>360</v>
      </c>
      <c r="M2758" s="55" t="s">
        <v>129</v>
      </c>
      <c r="N2758" s="55" t="s">
        <v>129</v>
      </c>
      <c r="O2758" s="55" t="s">
        <v>139</v>
      </c>
      <c r="P2758" s="55" t="s">
        <v>1153</v>
      </c>
      <c r="Q2758" s="55" t="s">
        <v>350</v>
      </c>
      <c r="R2758" s="55">
        <v>6</v>
      </c>
      <c r="S2758" s="74"/>
      <c r="T2758" s="55" t="s">
        <v>2906</v>
      </c>
      <c r="U2758" s="73" t="s">
        <v>351</v>
      </c>
      <c r="V2758" s="74">
        <v>44384</v>
      </c>
      <c r="W2758" s="74">
        <v>44433</v>
      </c>
      <c r="X2758" s="55">
        <v>10185894</v>
      </c>
      <c r="Y2758" s="55" t="s">
        <v>130</v>
      </c>
      <c r="AB2758" s="55" t="s">
        <v>130</v>
      </c>
      <c r="AC2758" s="55" t="s">
        <v>130</v>
      </c>
    </row>
    <row r="2759" spans="1:29" ht="13" x14ac:dyDescent="0.15">
      <c r="A2759" s="72" t="str">
        <f t="shared" si="43"/>
        <v>Ofsted Social Care Provider Webpage</v>
      </c>
      <c r="B2759" s="55" t="s">
        <v>5184</v>
      </c>
      <c r="D2759" s="55" t="s">
        <v>443</v>
      </c>
      <c r="E2759" s="74">
        <v>39793</v>
      </c>
      <c r="F2759" s="55" t="s">
        <v>344</v>
      </c>
      <c r="G2759" s="55" t="s">
        <v>5185</v>
      </c>
      <c r="H2759" s="55" t="s">
        <v>5186</v>
      </c>
      <c r="I2759" s="55" t="s">
        <v>354</v>
      </c>
      <c r="J2759" s="55" t="s">
        <v>5187</v>
      </c>
      <c r="L2759" s="55" t="s">
        <v>5188</v>
      </c>
      <c r="M2759" s="55" t="s">
        <v>378</v>
      </c>
      <c r="N2759" s="55" t="s">
        <v>134</v>
      </c>
      <c r="O2759" s="55" t="s">
        <v>251</v>
      </c>
      <c r="P2759" s="55" t="s">
        <v>1709</v>
      </c>
      <c r="Q2759" s="55" t="s">
        <v>362</v>
      </c>
      <c r="R2759" s="55"/>
      <c r="S2759" s="74"/>
      <c r="T2759" s="55" t="s">
        <v>5189</v>
      </c>
      <c r="U2759" s="73" t="s">
        <v>351</v>
      </c>
      <c r="V2759" s="74">
        <v>43767</v>
      </c>
      <c r="W2759" s="74">
        <v>43808</v>
      </c>
      <c r="X2759" s="55">
        <v>10092925</v>
      </c>
      <c r="Y2759" s="55" t="s">
        <v>140</v>
      </c>
      <c r="AB2759" s="55" t="s">
        <v>140</v>
      </c>
      <c r="AC2759" s="55" t="s">
        <v>140</v>
      </c>
    </row>
    <row r="2760" spans="1:29" ht="13" x14ac:dyDescent="0.15">
      <c r="A2760" s="72" t="str">
        <f t="shared" si="43"/>
        <v>Ofsted Social Care Provider Webpage</v>
      </c>
      <c r="B2760" s="55" t="s">
        <v>5190</v>
      </c>
      <c r="D2760" s="55" t="s">
        <v>373</v>
      </c>
      <c r="E2760" s="74">
        <v>39780</v>
      </c>
      <c r="F2760" s="55" t="s">
        <v>344</v>
      </c>
      <c r="G2760" s="55" t="s">
        <v>360</v>
      </c>
      <c r="H2760" s="55" t="s">
        <v>360</v>
      </c>
      <c r="I2760" s="55" t="s">
        <v>360</v>
      </c>
      <c r="J2760" s="55" t="s">
        <v>360</v>
      </c>
      <c r="K2760" s="55" t="s">
        <v>360</v>
      </c>
      <c r="L2760" s="55" t="s">
        <v>360</v>
      </c>
      <c r="M2760" s="55" t="s">
        <v>142</v>
      </c>
      <c r="N2760" s="55" t="s">
        <v>142</v>
      </c>
      <c r="O2760" s="55" t="s">
        <v>265</v>
      </c>
      <c r="P2760" s="55" t="s">
        <v>1066</v>
      </c>
      <c r="Q2760" s="55" t="s">
        <v>380</v>
      </c>
      <c r="R2760" s="55">
        <v>2</v>
      </c>
      <c r="S2760" s="74"/>
      <c r="T2760" s="55" t="s">
        <v>1067</v>
      </c>
      <c r="U2760" s="73" t="s">
        <v>351</v>
      </c>
      <c r="V2760" s="74">
        <v>44446</v>
      </c>
      <c r="W2760" s="74">
        <v>44494</v>
      </c>
      <c r="X2760" s="55">
        <v>10187141</v>
      </c>
      <c r="Y2760" s="55" t="s">
        <v>132</v>
      </c>
      <c r="AB2760" s="55" t="s">
        <v>132</v>
      </c>
      <c r="AC2760" s="55" t="s">
        <v>132</v>
      </c>
    </row>
    <row r="2761" spans="1:29" ht="13" x14ac:dyDescent="0.15">
      <c r="A2761" s="72" t="str">
        <f t="shared" si="43"/>
        <v>Ofsted Social Care Provider Webpage</v>
      </c>
      <c r="B2761" s="55" t="s">
        <v>5191</v>
      </c>
      <c r="D2761" s="55" t="s">
        <v>389</v>
      </c>
      <c r="E2761" s="74">
        <v>39868</v>
      </c>
      <c r="F2761" s="55" t="s">
        <v>344</v>
      </c>
      <c r="G2761" s="55" t="s">
        <v>5192</v>
      </c>
      <c r="H2761" s="55" t="s">
        <v>5193</v>
      </c>
      <c r="I2761" s="55" t="s">
        <v>5194</v>
      </c>
      <c r="J2761" s="55" t="s">
        <v>129</v>
      </c>
      <c r="L2761" s="55" t="s">
        <v>5195</v>
      </c>
      <c r="M2761" s="55" t="s">
        <v>129</v>
      </c>
      <c r="N2761" s="55" t="s">
        <v>129</v>
      </c>
      <c r="O2761" s="55" t="s">
        <v>155</v>
      </c>
      <c r="P2761" s="55" t="s">
        <v>410</v>
      </c>
      <c r="Q2761" s="55" t="s">
        <v>350</v>
      </c>
      <c r="R2761" s="55"/>
      <c r="S2761" s="74"/>
      <c r="T2761" s="55" t="s">
        <v>5196</v>
      </c>
      <c r="U2761" s="73" t="s">
        <v>351</v>
      </c>
      <c r="V2761" s="74">
        <v>43311</v>
      </c>
      <c r="W2761" s="74">
        <v>43343</v>
      </c>
      <c r="X2761" s="55">
        <v>10045653</v>
      </c>
      <c r="Y2761" s="55" t="s">
        <v>132</v>
      </c>
      <c r="AB2761" s="55" t="s">
        <v>132</v>
      </c>
      <c r="AC2761" s="55" t="s">
        <v>132</v>
      </c>
    </row>
    <row r="2762" spans="1:29" ht="13" x14ac:dyDescent="0.15">
      <c r="A2762" s="72" t="str">
        <f t="shared" si="43"/>
        <v>Ofsted Social Care Provider Webpage</v>
      </c>
      <c r="B2762" s="55" t="s">
        <v>5197</v>
      </c>
      <c r="D2762" s="55" t="s">
        <v>373</v>
      </c>
      <c r="E2762" s="74">
        <v>39843</v>
      </c>
      <c r="F2762" s="55" t="s">
        <v>344</v>
      </c>
      <c r="G2762" s="55" t="s">
        <v>360</v>
      </c>
      <c r="H2762" s="55" t="s">
        <v>360</v>
      </c>
      <c r="I2762" s="55" t="s">
        <v>360</v>
      </c>
      <c r="J2762" s="55" t="s">
        <v>360</v>
      </c>
      <c r="K2762" s="55" t="s">
        <v>360</v>
      </c>
      <c r="L2762" s="55" t="s">
        <v>360</v>
      </c>
      <c r="M2762" s="55" t="s">
        <v>142</v>
      </c>
      <c r="N2762" s="55" t="s">
        <v>142</v>
      </c>
      <c r="O2762" s="55" t="s">
        <v>249</v>
      </c>
      <c r="P2762" s="55" t="s">
        <v>1318</v>
      </c>
      <c r="Q2762" s="55" t="s">
        <v>350</v>
      </c>
      <c r="R2762" s="55">
        <v>2</v>
      </c>
      <c r="S2762" s="74"/>
      <c r="T2762" s="55" t="s">
        <v>385</v>
      </c>
      <c r="U2762" s="73" t="s">
        <v>351</v>
      </c>
      <c r="V2762" s="74">
        <v>44453</v>
      </c>
      <c r="W2762" s="74">
        <v>44494</v>
      </c>
      <c r="X2762" s="55">
        <v>10185962</v>
      </c>
      <c r="Y2762" s="55" t="s">
        <v>132</v>
      </c>
      <c r="AB2762" s="55" t="s">
        <v>132</v>
      </c>
      <c r="AC2762" s="55" t="s">
        <v>132</v>
      </c>
    </row>
    <row r="2763" spans="1:29" ht="13" x14ac:dyDescent="0.15">
      <c r="A2763" s="72" t="str">
        <f t="shared" si="43"/>
        <v>Ofsted Social Care Provider Webpage</v>
      </c>
      <c r="B2763" s="55" t="s">
        <v>5198</v>
      </c>
      <c r="D2763" s="55" t="s">
        <v>373</v>
      </c>
      <c r="E2763" s="74">
        <v>39861</v>
      </c>
      <c r="F2763" s="55" t="s">
        <v>344</v>
      </c>
      <c r="G2763" s="55" t="s">
        <v>360</v>
      </c>
      <c r="H2763" s="55" t="s">
        <v>360</v>
      </c>
      <c r="I2763" s="55" t="s">
        <v>360</v>
      </c>
      <c r="J2763" s="55" t="s">
        <v>360</v>
      </c>
      <c r="K2763" s="55" t="s">
        <v>360</v>
      </c>
      <c r="L2763" s="55" t="s">
        <v>360</v>
      </c>
      <c r="M2763" s="55" t="s">
        <v>150</v>
      </c>
      <c r="N2763" s="55" t="s">
        <v>150</v>
      </c>
      <c r="O2763" s="55" t="s">
        <v>258</v>
      </c>
      <c r="P2763" s="55" t="s">
        <v>2220</v>
      </c>
      <c r="Q2763" s="55" t="s">
        <v>350</v>
      </c>
      <c r="R2763" s="55">
        <v>7</v>
      </c>
      <c r="S2763" s="74"/>
      <c r="T2763" s="55" t="s">
        <v>900</v>
      </c>
      <c r="U2763" s="73" t="s">
        <v>351</v>
      </c>
      <c r="V2763" s="74">
        <v>44581</v>
      </c>
      <c r="W2763" s="74">
        <v>44620</v>
      </c>
      <c r="X2763" s="55">
        <v>10185823</v>
      </c>
      <c r="Y2763" s="55" t="s">
        <v>132</v>
      </c>
      <c r="AB2763" s="55" t="s">
        <v>132</v>
      </c>
      <c r="AC2763" s="55" t="s">
        <v>132</v>
      </c>
    </row>
    <row r="2764" spans="1:29" ht="13" x14ac:dyDescent="0.15">
      <c r="A2764" s="72" t="str">
        <f t="shared" si="43"/>
        <v>Ofsted Social Care Provider Webpage</v>
      </c>
      <c r="B2764" s="55" t="s">
        <v>5199</v>
      </c>
      <c r="D2764" s="55" t="s">
        <v>373</v>
      </c>
      <c r="E2764" s="74">
        <v>39847</v>
      </c>
      <c r="F2764" s="55" t="s">
        <v>344</v>
      </c>
      <c r="G2764" s="55" t="s">
        <v>360</v>
      </c>
      <c r="H2764" s="55" t="s">
        <v>360</v>
      </c>
      <c r="I2764" s="55" t="s">
        <v>360</v>
      </c>
      <c r="J2764" s="55" t="s">
        <v>360</v>
      </c>
      <c r="K2764" s="55" t="s">
        <v>360</v>
      </c>
      <c r="L2764" s="55" t="s">
        <v>360</v>
      </c>
      <c r="M2764" s="55" t="s">
        <v>150</v>
      </c>
      <c r="N2764" s="55" t="s">
        <v>150</v>
      </c>
      <c r="O2764" s="55" t="s">
        <v>258</v>
      </c>
      <c r="P2764" s="55" t="s">
        <v>2220</v>
      </c>
      <c r="Q2764" s="55" t="s">
        <v>350</v>
      </c>
      <c r="R2764" s="55">
        <v>5</v>
      </c>
      <c r="S2764" s="74"/>
      <c r="T2764" s="55" t="s">
        <v>900</v>
      </c>
      <c r="U2764" s="73" t="s">
        <v>351</v>
      </c>
      <c r="V2764" s="74">
        <v>44474</v>
      </c>
      <c r="W2764" s="74">
        <v>44511</v>
      </c>
      <c r="X2764" s="55">
        <v>10185080</v>
      </c>
      <c r="Y2764" s="55" t="s">
        <v>132</v>
      </c>
      <c r="AB2764" s="55" t="s">
        <v>132</v>
      </c>
      <c r="AC2764" s="55" t="s">
        <v>132</v>
      </c>
    </row>
    <row r="2765" spans="1:29" ht="13" x14ac:dyDescent="0.15">
      <c r="A2765" s="72" t="str">
        <f t="shared" si="43"/>
        <v>Ofsted Social Care Provider Webpage</v>
      </c>
      <c r="B2765" s="55" t="s">
        <v>5200</v>
      </c>
      <c r="D2765" s="55" t="s">
        <v>373</v>
      </c>
      <c r="E2765" s="74">
        <v>39861</v>
      </c>
      <c r="F2765" s="55" t="s">
        <v>344</v>
      </c>
      <c r="G2765" s="55" t="s">
        <v>360</v>
      </c>
      <c r="H2765" s="55" t="s">
        <v>360</v>
      </c>
      <c r="I2765" s="55" t="s">
        <v>360</v>
      </c>
      <c r="J2765" s="55" t="s">
        <v>360</v>
      </c>
      <c r="K2765" s="55" t="s">
        <v>360</v>
      </c>
      <c r="L2765" s="55" t="s">
        <v>360</v>
      </c>
      <c r="M2765" s="55" t="s">
        <v>150</v>
      </c>
      <c r="N2765" s="55" t="s">
        <v>150</v>
      </c>
      <c r="O2765" s="55" t="s">
        <v>258</v>
      </c>
      <c r="P2765" s="55" t="s">
        <v>2220</v>
      </c>
      <c r="Q2765" s="55" t="s">
        <v>350</v>
      </c>
      <c r="R2765" s="55">
        <v>6</v>
      </c>
      <c r="S2765" s="74"/>
      <c r="T2765" s="55" t="s">
        <v>900</v>
      </c>
      <c r="U2765" s="73" t="s">
        <v>351</v>
      </c>
      <c r="V2765" s="74">
        <v>44587</v>
      </c>
      <c r="W2765" s="74">
        <v>44631</v>
      </c>
      <c r="X2765" s="55">
        <v>10187406</v>
      </c>
      <c r="Y2765" s="55" t="s">
        <v>140</v>
      </c>
      <c r="AB2765" s="55" t="s">
        <v>140</v>
      </c>
      <c r="AC2765" s="55" t="s">
        <v>140</v>
      </c>
    </row>
    <row r="2766" spans="1:29" ht="13" x14ac:dyDescent="0.15">
      <c r="A2766" s="72" t="str">
        <f t="shared" si="43"/>
        <v>Ofsted Social Care Provider Webpage</v>
      </c>
      <c r="B2766" s="55" t="s">
        <v>5201</v>
      </c>
      <c r="D2766" s="55" t="s">
        <v>373</v>
      </c>
      <c r="E2766" s="74">
        <v>39849</v>
      </c>
      <c r="F2766" s="55" t="s">
        <v>344</v>
      </c>
      <c r="G2766" s="55" t="s">
        <v>360</v>
      </c>
      <c r="H2766" s="55" t="s">
        <v>360</v>
      </c>
      <c r="I2766" s="55" t="s">
        <v>360</v>
      </c>
      <c r="J2766" s="55" t="s">
        <v>360</v>
      </c>
      <c r="K2766" s="55" t="s">
        <v>360</v>
      </c>
      <c r="L2766" s="55" t="s">
        <v>360</v>
      </c>
      <c r="M2766" s="55" t="s">
        <v>150</v>
      </c>
      <c r="N2766" s="55" t="s">
        <v>150</v>
      </c>
      <c r="O2766" s="55" t="s">
        <v>258</v>
      </c>
      <c r="P2766" s="55" t="s">
        <v>455</v>
      </c>
      <c r="Q2766" s="55" t="s">
        <v>350</v>
      </c>
      <c r="R2766" s="55">
        <v>3</v>
      </c>
      <c r="S2766" s="74"/>
      <c r="T2766" s="55" t="s">
        <v>900</v>
      </c>
      <c r="U2766" s="73" t="s">
        <v>351</v>
      </c>
      <c r="V2766" s="74">
        <v>44377</v>
      </c>
      <c r="W2766" s="74">
        <v>44439</v>
      </c>
      <c r="X2766" s="55">
        <v>10185404</v>
      </c>
      <c r="Y2766" s="55" t="s">
        <v>140</v>
      </c>
      <c r="AB2766" s="55" t="s">
        <v>140</v>
      </c>
      <c r="AC2766" s="55" t="s">
        <v>132</v>
      </c>
    </row>
    <row r="2767" spans="1:29" ht="13" x14ac:dyDescent="0.15">
      <c r="A2767" s="72" t="str">
        <f t="shared" si="43"/>
        <v>Ofsted Social Care Provider Webpage</v>
      </c>
      <c r="B2767" s="55" t="s">
        <v>5202</v>
      </c>
      <c r="D2767" s="55" t="s">
        <v>373</v>
      </c>
      <c r="E2767" s="74">
        <v>39840</v>
      </c>
      <c r="F2767" s="55" t="s">
        <v>344</v>
      </c>
      <c r="G2767" s="55" t="s">
        <v>360</v>
      </c>
      <c r="H2767" s="55" t="s">
        <v>360</v>
      </c>
      <c r="I2767" s="55" t="s">
        <v>360</v>
      </c>
      <c r="J2767" s="55" t="s">
        <v>360</v>
      </c>
      <c r="K2767" s="55" t="s">
        <v>360</v>
      </c>
      <c r="L2767" s="55" t="s">
        <v>360</v>
      </c>
      <c r="M2767" s="55" t="s">
        <v>138</v>
      </c>
      <c r="N2767" s="55" t="s">
        <v>138</v>
      </c>
      <c r="O2767" s="55" t="s">
        <v>137</v>
      </c>
      <c r="P2767" s="55" t="s">
        <v>137</v>
      </c>
      <c r="Q2767" s="55" t="s">
        <v>350</v>
      </c>
      <c r="R2767" s="55">
        <v>3</v>
      </c>
      <c r="S2767" s="74"/>
      <c r="T2767" s="55" t="s">
        <v>4819</v>
      </c>
      <c r="U2767" s="73" t="s">
        <v>351</v>
      </c>
      <c r="V2767" s="74">
        <v>44398</v>
      </c>
      <c r="W2767" s="74">
        <v>44431</v>
      </c>
      <c r="X2767" s="55">
        <v>10187543</v>
      </c>
      <c r="Y2767" s="55" t="s">
        <v>132</v>
      </c>
      <c r="AB2767" s="55" t="s">
        <v>132</v>
      </c>
      <c r="AC2767" s="55" t="s">
        <v>132</v>
      </c>
    </row>
    <row r="2768" spans="1:29" ht="13" x14ac:dyDescent="0.15">
      <c r="A2768" s="72" t="str">
        <f t="shared" si="43"/>
        <v>Ofsted Social Care Provider Webpage</v>
      </c>
      <c r="B2768" s="55" t="s">
        <v>5203</v>
      </c>
      <c r="D2768" s="55" t="s">
        <v>389</v>
      </c>
      <c r="E2768" s="74">
        <v>39839</v>
      </c>
      <c r="F2768" s="55" t="s">
        <v>344</v>
      </c>
      <c r="G2768" s="55" t="s">
        <v>5204</v>
      </c>
      <c r="H2768" s="55" t="s">
        <v>5205</v>
      </c>
      <c r="I2768" s="55" t="s">
        <v>5206</v>
      </c>
      <c r="J2768" s="55" t="s">
        <v>3017</v>
      </c>
      <c r="L2768" s="55" t="s">
        <v>5207</v>
      </c>
      <c r="M2768" s="55" t="s">
        <v>136</v>
      </c>
      <c r="N2768" s="55" t="s">
        <v>136</v>
      </c>
      <c r="O2768" s="55" t="s">
        <v>154</v>
      </c>
      <c r="P2768" s="55" t="s">
        <v>4109</v>
      </c>
      <c r="Q2768" s="55" t="s">
        <v>350</v>
      </c>
      <c r="R2768" s="55"/>
      <c r="S2768" s="74"/>
      <c r="T2768" s="55" t="s">
        <v>5208</v>
      </c>
      <c r="U2768" s="73" t="s">
        <v>351</v>
      </c>
      <c r="V2768" s="74">
        <v>43283</v>
      </c>
      <c r="W2768" s="74">
        <v>43311</v>
      </c>
      <c r="X2768" s="55">
        <v>10045659</v>
      </c>
      <c r="Y2768" s="55" t="s">
        <v>140</v>
      </c>
      <c r="AB2768" s="55" t="s">
        <v>140</v>
      </c>
      <c r="AC2768" s="55" t="s">
        <v>140</v>
      </c>
    </row>
    <row r="2769" spans="1:29" ht="13" x14ac:dyDescent="0.15">
      <c r="A2769" s="72" t="str">
        <f t="shared" si="43"/>
        <v>Ofsted Social Care Provider Webpage</v>
      </c>
      <c r="B2769" s="55" t="s">
        <v>5209</v>
      </c>
      <c r="D2769" s="55" t="s">
        <v>373</v>
      </c>
      <c r="E2769" s="74">
        <v>39855</v>
      </c>
      <c r="F2769" s="55" t="s">
        <v>344</v>
      </c>
      <c r="G2769" s="55" t="s">
        <v>360</v>
      </c>
      <c r="H2769" s="55" t="s">
        <v>360</v>
      </c>
      <c r="I2769" s="55" t="s">
        <v>360</v>
      </c>
      <c r="J2769" s="55" t="s">
        <v>360</v>
      </c>
      <c r="K2769" s="55" t="s">
        <v>360</v>
      </c>
      <c r="L2769" s="55" t="s">
        <v>360</v>
      </c>
      <c r="M2769" s="55" t="s">
        <v>129</v>
      </c>
      <c r="N2769" s="55" t="s">
        <v>129</v>
      </c>
      <c r="O2769" s="55" t="s">
        <v>275</v>
      </c>
      <c r="P2769" s="55" t="s">
        <v>2310</v>
      </c>
      <c r="Q2769" s="55" t="s">
        <v>350</v>
      </c>
      <c r="R2769" s="55">
        <v>8</v>
      </c>
      <c r="S2769" s="74" t="s">
        <v>332</v>
      </c>
      <c r="T2769" s="55" t="s">
        <v>5210</v>
      </c>
      <c r="U2769" s="73" t="s">
        <v>351</v>
      </c>
      <c r="V2769" s="74">
        <v>44532</v>
      </c>
      <c r="W2769" s="74">
        <v>44585</v>
      </c>
      <c r="X2769" s="55">
        <v>10185602</v>
      </c>
      <c r="Y2769" s="55" t="s">
        <v>140</v>
      </c>
      <c r="AB2769" s="55" t="s">
        <v>132</v>
      </c>
      <c r="AC2769" s="55" t="s">
        <v>140</v>
      </c>
    </row>
    <row r="2770" spans="1:29" ht="13" x14ac:dyDescent="0.15">
      <c r="A2770" s="72" t="str">
        <f t="shared" si="43"/>
        <v>Ofsted Social Care Provider Webpage</v>
      </c>
      <c r="B2770" s="55" t="s">
        <v>5211</v>
      </c>
      <c r="D2770" s="55" t="s">
        <v>373</v>
      </c>
      <c r="E2770" s="74">
        <v>39944</v>
      </c>
      <c r="F2770" s="55" t="s">
        <v>344</v>
      </c>
      <c r="G2770" s="55" t="s">
        <v>360</v>
      </c>
      <c r="H2770" s="55" t="s">
        <v>360</v>
      </c>
      <c r="I2770" s="55" t="s">
        <v>360</v>
      </c>
      <c r="J2770" s="55" t="s">
        <v>360</v>
      </c>
      <c r="K2770" s="55" t="s">
        <v>360</v>
      </c>
      <c r="L2770" s="55" t="s">
        <v>360</v>
      </c>
      <c r="M2770" s="55" t="s">
        <v>144</v>
      </c>
      <c r="N2770" s="55" t="s">
        <v>144</v>
      </c>
      <c r="O2770" s="55" t="s">
        <v>147</v>
      </c>
      <c r="P2770" s="55" t="s">
        <v>387</v>
      </c>
      <c r="Q2770" s="55" t="s">
        <v>350</v>
      </c>
      <c r="R2770" s="55">
        <v>5</v>
      </c>
      <c r="S2770" s="74"/>
      <c r="T2770" s="55" t="s">
        <v>656</v>
      </c>
      <c r="U2770" s="73" t="s">
        <v>351</v>
      </c>
      <c r="V2770" s="74">
        <v>44488</v>
      </c>
      <c r="W2770" s="74">
        <v>44559</v>
      </c>
      <c r="X2770" s="55">
        <v>10186028</v>
      </c>
      <c r="Y2770" s="55" t="s">
        <v>130</v>
      </c>
      <c r="AB2770" s="55" t="s">
        <v>130</v>
      </c>
      <c r="AC2770" s="55" t="s">
        <v>130</v>
      </c>
    </row>
    <row r="2771" spans="1:29" ht="13" x14ac:dyDescent="0.15">
      <c r="A2771" s="72" t="str">
        <f t="shared" si="43"/>
        <v>Ofsted Social Care Provider Webpage</v>
      </c>
      <c r="B2771" s="55" t="s">
        <v>5212</v>
      </c>
      <c r="D2771" s="55" t="s">
        <v>373</v>
      </c>
      <c r="E2771" s="74">
        <v>39847</v>
      </c>
      <c r="F2771" s="55" t="s">
        <v>344</v>
      </c>
      <c r="G2771" s="55" t="s">
        <v>360</v>
      </c>
      <c r="H2771" s="55" t="s">
        <v>360</v>
      </c>
      <c r="I2771" s="55" t="s">
        <v>360</v>
      </c>
      <c r="J2771" s="55" t="s">
        <v>360</v>
      </c>
      <c r="K2771" s="55" t="s">
        <v>360</v>
      </c>
      <c r="L2771" s="55" t="s">
        <v>360</v>
      </c>
      <c r="M2771" s="55" t="s">
        <v>142</v>
      </c>
      <c r="N2771" s="55" t="s">
        <v>142</v>
      </c>
      <c r="O2771" s="55" t="s">
        <v>252</v>
      </c>
      <c r="P2771" s="55" t="s">
        <v>503</v>
      </c>
      <c r="Q2771" s="55" t="s">
        <v>350</v>
      </c>
      <c r="R2771" s="55">
        <v>1</v>
      </c>
      <c r="S2771" s="74"/>
      <c r="T2771" s="55" t="s">
        <v>504</v>
      </c>
      <c r="U2771" s="73" t="s">
        <v>351</v>
      </c>
      <c r="V2771" s="74">
        <v>44516</v>
      </c>
      <c r="W2771" s="74">
        <v>44565</v>
      </c>
      <c r="X2771" s="55">
        <v>10186287</v>
      </c>
      <c r="Y2771" s="55" t="s">
        <v>140</v>
      </c>
      <c r="AB2771" s="55" t="s">
        <v>140</v>
      </c>
      <c r="AC2771" s="55" t="s">
        <v>140</v>
      </c>
    </row>
    <row r="2772" spans="1:29" ht="13" x14ac:dyDescent="0.15">
      <c r="A2772" s="72" t="str">
        <f t="shared" si="43"/>
        <v>Ofsted Social Care Provider Webpage</v>
      </c>
      <c r="B2772" s="55" t="s">
        <v>5213</v>
      </c>
      <c r="D2772" s="55" t="s">
        <v>373</v>
      </c>
      <c r="E2772" s="74">
        <v>39994</v>
      </c>
      <c r="F2772" s="55" t="s">
        <v>344</v>
      </c>
      <c r="G2772" s="55" t="s">
        <v>360</v>
      </c>
      <c r="H2772" s="55" t="s">
        <v>360</v>
      </c>
      <c r="I2772" s="55" t="s">
        <v>360</v>
      </c>
      <c r="J2772" s="55" t="s">
        <v>360</v>
      </c>
      <c r="K2772" s="55" t="s">
        <v>360</v>
      </c>
      <c r="L2772" s="55" t="s">
        <v>360</v>
      </c>
      <c r="M2772" s="55" t="s">
        <v>150</v>
      </c>
      <c r="N2772" s="55" t="s">
        <v>150</v>
      </c>
      <c r="O2772" s="55" t="s">
        <v>203</v>
      </c>
      <c r="P2772" s="55" t="s">
        <v>800</v>
      </c>
      <c r="Q2772" s="55" t="s">
        <v>350</v>
      </c>
      <c r="R2772" s="55">
        <v>3</v>
      </c>
      <c r="S2772" s="74"/>
      <c r="T2772" s="55" t="s">
        <v>5214</v>
      </c>
      <c r="U2772" s="73" t="s">
        <v>351</v>
      </c>
      <c r="V2772" s="74">
        <v>44405</v>
      </c>
      <c r="W2772" s="74">
        <v>44452</v>
      </c>
      <c r="X2772" s="55">
        <v>10186250</v>
      </c>
      <c r="Y2772" s="55" t="s">
        <v>132</v>
      </c>
      <c r="AB2772" s="55" t="s">
        <v>132</v>
      </c>
      <c r="AC2772" s="55" t="s">
        <v>132</v>
      </c>
    </row>
    <row r="2773" spans="1:29" ht="13" x14ac:dyDescent="0.15">
      <c r="A2773" s="72" t="str">
        <f t="shared" si="43"/>
        <v>Ofsted Social Care Provider Webpage</v>
      </c>
      <c r="B2773" s="55" t="s">
        <v>5215</v>
      </c>
      <c r="D2773" s="55" t="s">
        <v>373</v>
      </c>
      <c r="E2773" s="74">
        <v>40309</v>
      </c>
      <c r="F2773" s="55" t="s">
        <v>344</v>
      </c>
      <c r="G2773" s="55" t="s">
        <v>360</v>
      </c>
      <c r="H2773" s="55" t="s">
        <v>360</v>
      </c>
      <c r="I2773" s="55" t="s">
        <v>360</v>
      </c>
      <c r="J2773" s="55" t="s">
        <v>360</v>
      </c>
      <c r="K2773" s="55" t="s">
        <v>360</v>
      </c>
      <c r="L2773" s="55" t="s">
        <v>360</v>
      </c>
      <c r="M2773" s="55" t="s">
        <v>150</v>
      </c>
      <c r="N2773" s="55" t="s">
        <v>150</v>
      </c>
      <c r="O2773" s="55" t="s">
        <v>203</v>
      </c>
      <c r="P2773" s="55" t="s">
        <v>800</v>
      </c>
      <c r="Q2773" s="55" t="s">
        <v>350</v>
      </c>
      <c r="R2773" s="55">
        <v>2</v>
      </c>
      <c r="S2773" s="74"/>
      <c r="T2773" s="55" t="s">
        <v>5214</v>
      </c>
      <c r="U2773" s="73" t="s">
        <v>351</v>
      </c>
      <c r="V2773" s="74">
        <v>44580</v>
      </c>
      <c r="W2773" s="74">
        <v>44634</v>
      </c>
      <c r="X2773" s="55">
        <v>10187637</v>
      </c>
      <c r="Y2773" s="55" t="s">
        <v>132</v>
      </c>
      <c r="AB2773" s="55" t="s">
        <v>132</v>
      </c>
      <c r="AC2773" s="55" t="s">
        <v>130</v>
      </c>
    </row>
    <row r="2774" spans="1:29" ht="13" x14ac:dyDescent="0.15">
      <c r="A2774" s="72" t="str">
        <f t="shared" si="43"/>
        <v>Ofsted Social Care Provider Webpage</v>
      </c>
      <c r="B2774" s="55" t="s">
        <v>5216</v>
      </c>
      <c r="D2774" s="55" t="s">
        <v>373</v>
      </c>
      <c r="E2774" s="74">
        <v>39843</v>
      </c>
      <c r="F2774" s="55" t="s">
        <v>344</v>
      </c>
      <c r="G2774" s="55" t="s">
        <v>360</v>
      </c>
      <c r="H2774" s="55" t="s">
        <v>360</v>
      </c>
      <c r="I2774" s="55" t="s">
        <v>360</v>
      </c>
      <c r="J2774" s="55" t="s">
        <v>360</v>
      </c>
      <c r="K2774" s="55" t="s">
        <v>360</v>
      </c>
      <c r="L2774" s="55" t="s">
        <v>360</v>
      </c>
      <c r="M2774" s="55" t="s">
        <v>172</v>
      </c>
      <c r="N2774" s="55" t="s">
        <v>172</v>
      </c>
      <c r="O2774" s="55" t="s">
        <v>235</v>
      </c>
      <c r="P2774" s="55" t="s">
        <v>494</v>
      </c>
      <c r="Q2774" s="55" t="s">
        <v>350</v>
      </c>
      <c r="R2774" s="55">
        <v>3</v>
      </c>
      <c r="S2774" s="74"/>
      <c r="T2774" s="55" t="s">
        <v>1105</v>
      </c>
      <c r="U2774" s="73" t="s">
        <v>351</v>
      </c>
      <c r="V2774" s="74">
        <v>44362</v>
      </c>
      <c r="W2774" s="74">
        <v>44396</v>
      </c>
      <c r="X2774" s="55">
        <v>10187611</v>
      </c>
      <c r="Y2774" s="55" t="s">
        <v>132</v>
      </c>
      <c r="AB2774" s="55" t="s">
        <v>132</v>
      </c>
      <c r="AC2774" s="55" t="s">
        <v>132</v>
      </c>
    </row>
    <row r="2775" spans="1:29" ht="13" x14ac:dyDescent="0.15">
      <c r="A2775" s="72" t="str">
        <f t="shared" si="43"/>
        <v>Ofsted Social Care Provider Webpage</v>
      </c>
      <c r="B2775" s="55" t="s">
        <v>5217</v>
      </c>
      <c r="D2775" s="55" t="s">
        <v>373</v>
      </c>
      <c r="E2775" s="74">
        <v>39899</v>
      </c>
      <c r="F2775" s="55" t="s">
        <v>344</v>
      </c>
      <c r="G2775" s="55" t="s">
        <v>360</v>
      </c>
      <c r="H2775" s="55" t="s">
        <v>360</v>
      </c>
      <c r="I2775" s="55" t="s">
        <v>360</v>
      </c>
      <c r="J2775" s="55" t="s">
        <v>360</v>
      </c>
      <c r="K2775" s="55" t="s">
        <v>360</v>
      </c>
      <c r="L2775" s="55" t="s">
        <v>360</v>
      </c>
      <c r="M2775" s="55" t="s">
        <v>378</v>
      </c>
      <c r="N2775" s="55" t="s">
        <v>134</v>
      </c>
      <c r="O2775" s="55" t="s">
        <v>175</v>
      </c>
      <c r="P2775" s="55" t="s">
        <v>932</v>
      </c>
      <c r="Q2775" s="55" t="s">
        <v>350</v>
      </c>
      <c r="R2775" s="55">
        <v>3</v>
      </c>
      <c r="S2775" s="74"/>
      <c r="T2775" s="55" t="s">
        <v>933</v>
      </c>
      <c r="U2775" s="73" t="s">
        <v>351</v>
      </c>
      <c r="V2775" s="74">
        <v>44440</v>
      </c>
      <c r="W2775" s="74">
        <v>44475</v>
      </c>
      <c r="X2775" s="55">
        <v>10187135</v>
      </c>
      <c r="Y2775" s="55" t="s">
        <v>140</v>
      </c>
      <c r="AB2775" s="55" t="s">
        <v>140</v>
      </c>
      <c r="AC2775" s="55" t="s">
        <v>140</v>
      </c>
    </row>
    <row r="2776" spans="1:29" ht="13" x14ac:dyDescent="0.15">
      <c r="A2776" s="72" t="str">
        <f t="shared" si="43"/>
        <v>Ofsted Social Care Provider Webpage</v>
      </c>
      <c r="B2776" s="55" t="s">
        <v>5218</v>
      </c>
      <c r="D2776" s="55" t="s">
        <v>373</v>
      </c>
      <c r="E2776" s="74">
        <v>39932</v>
      </c>
      <c r="F2776" s="55" t="s">
        <v>344</v>
      </c>
      <c r="G2776" s="55" t="s">
        <v>360</v>
      </c>
      <c r="H2776" s="55" t="s">
        <v>360</v>
      </c>
      <c r="I2776" s="55" t="s">
        <v>360</v>
      </c>
      <c r="J2776" s="55" t="s">
        <v>360</v>
      </c>
      <c r="K2776" s="55" t="s">
        <v>360</v>
      </c>
      <c r="L2776" s="55" t="s">
        <v>360</v>
      </c>
      <c r="M2776" s="55" t="s">
        <v>142</v>
      </c>
      <c r="N2776" s="55" t="s">
        <v>142</v>
      </c>
      <c r="O2776" s="55" t="s">
        <v>292</v>
      </c>
      <c r="P2776" s="55" t="s">
        <v>1052</v>
      </c>
      <c r="Q2776" s="55" t="s">
        <v>350</v>
      </c>
      <c r="R2776" s="55">
        <v>4</v>
      </c>
      <c r="S2776" s="74"/>
      <c r="T2776" s="55" t="s">
        <v>1505</v>
      </c>
      <c r="U2776" s="73" t="s">
        <v>351</v>
      </c>
      <c r="V2776" s="74">
        <v>44377</v>
      </c>
      <c r="W2776" s="74">
        <v>44412</v>
      </c>
      <c r="X2776" s="55">
        <v>10186101</v>
      </c>
      <c r="Y2776" s="55" t="s">
        <v>132</v>
      </c>
      <c r="AB2776" s="55" t="s">
        <v>132</v>
      </c>
      <c r="AC2776" s="55" t="s">
        <v>132</v>
      </c>
    </row>
    <row r="2777" spans="1:29" ht="13" x14ac:dyDescent="0.15">
      <c r="A2777" s="72" t="str">
        <f t="shared" si="43"/>
        <v>Ofsted Social Care Provider Webpage</v>
      </c>
      <c r="B2777" s="55" t="s">
        <v>5219</v>
      </c>
      <c r="D2777" s="55" t="s">
        <v>373</v>
      </c>
      <c r="E2777" s="74">
        <v>39903</v>
      </c>
      <c r="F2777" s="55" t="s">
        <v>344</v>
      </c>
      <c r="G2777" s="55" t="s">
        <v>360</v>
      </c>
      <c r="H2777" s="55" t="s">
        <v>360</v>
      </c>
      <c r="I2777" s="55" t="s">
        <v>360</v>
      </c>
      <c r="J2777" s="55" t="s">
        <v>360</v>
      </c>
      <c r="K2777" s="55" t="s">
        <v>360</v>
      </c>
      <c r="L2777" s="55" t="s">
        <v>360</v>
      </c>
      <c r="M2777" s="55" t="s">
        <v>144</v>
      </c>
      <c r="N2777" s="55" t="s">
        <v>144</v>
      </c>
      <c r="O2777" s="55" t="s">
        <v>245</v>
      </c>
      <c r="P2777" s="55" t="s">
        <v>245</v>
      </c>
      <c r="Q2777" s="55" t="s">
        <v>350</v>
      </c>
      <c r="R2777" s="55">
        <v>3</v>
      </c>
      <c r="S2777" s="74"/>
      <c r="T2777" s="55" t="s">
        <v>613</v>
      </c>
      <c r="U2777" s="73" t="s">
        <v>351</v>
      </c>
      <c r="V2777" s="74">
        <v>43809</v>
      </c>
      <c r="W2777" s="74">
        <v>43839</v>
      </c>
      <c r="X2777" s="55">
        <v>10096085</v>
      </c>
      <c r="Y2777" s="55" t="s">
        <v>132</v>
      </c>
      <c r="AB2777" s="55" t="s">
        <v>132</v>
      </c>
      <c r="AC2777" s="55" t="s">
        <v>132</v>
      </c>
    </row>
    <row r="2778" spans="1:29" ht="13" x14ac:dyDescent="0.15">
      <c r="A2778" s="72" t="str">
        <f t="shared" si="43"/>
        <v>Ofsted Social Care Provider Webpage</v>
      </c>
      <c r="B2778" s="55" t="s">
        <v>5220</v>
      </c>
      <c r="D2778" s="55" t="s">
        <v>373</v>
      </c>
      <c r="E2778" s="74">
        <v>39925</v>
      </c>
      <c r="F2778" s="55" t="s">
        <v>344</v>
      </c>
      <c r="G2778" s="55" t="s">
        <v>360</v>
      </c>
      <c r="H2778" s="55" t="s">
        <v>360</v>
      </c>
      <c r="I2778" s="55" t="s">
        <v>360</v>
      </c>
      <c r="J2778" s="55" t="s">
        <v>360</v>
      </c>
      <c r="K2778" s="55" t="s">
        <v>360</v>
      </c>
      <c r="L2778" s="55" t="s">
        <v>360</v>
      </c>
      <c r="M2778" s="55" t="s">
        <v>378</v>
      </c>
      <c r="N2778" s="55" t="s">
        <v>170</v>
      </c>
      <c r="O2778" s="55" t="s">
        <v>169</v>
      </c>
      <c r="P2778" s="55" t="s">
        <v>169</v>
      </c>
      <c r="Q2778" s="55" t="s">
        <v>350</v>
      </c>
      <c r="R2778" s="55">
        <v>5</v>
      </c>
      <c r="S2778" s="74"/>
      <c r="T2778" s="55" t="s">
        <v>5221</v>
      </c>
      <c r="U2778" s="73" t="s">
        <v>351</v>
      </c>
      <c r="V2778" s="74">
        <v>44515</v>
      </c>
      <c r="W2778" s="74">
        <v>44544</v>
      </c>
      <c r="X2778" s="55">
        <v>10185217</v>
      </c>
      <c r="Y2778" s="55" t="s">
        <v>132</v>
      </c>
      <c r="AB2778" s="55" t="s">
        <v>132</v>
      </c>
      <c r="AC2778" s="55" t="s">
        <v>132</v>
      </c>
    </row>
    <row r="2779" spans="1:29" ht="13" x14ac:dyDescent="0.15">
      <c r="A2779" s="72" t="str">
        <f t="shared" si="43"/>
        <v>Ofsted Social Care Provider Webpage</v>
      </c>
      <c r="B2779" s="55" t="s">
        <v>5222</v>
      </c>
      <c r="D2779" s="55" t="s">
        <v>389</v>
      </c>
      <c r="E2779" s="74">
        <v>39895</v>
      </c>
      <c r="F2779" s="55" t="s">
        <v>344</v>
      </c>
      <c r="G2779" s="55" t="s">
        <v>5223</v>
      </c>
      <c r="H2779" s="55" t="s">
        <v>5224</v>
      </c>
      <c r="I2779" s="55" t="s">
        <v>5225</v>
      </c>
      <c r="J2779" s="55" t="s">
        <v>5226</v>
      </c>
      <c r="L2779" s="55" t="s">
        <v>5227</v>
      </c>
      <c r="M2779" s="55" t="s">
        <v>150</v>
      </c>
      <c r="N2779" s="55" t="s">
        <v>150</v>
      </c>
      <c r="O2779" s="55" t="s">
        <v>253</v>
      </c>
      <c r="P2779" s="55" t="s">
        <v>253</v>
      </c>
      <c r="Q2779" s="55" t="s">
        <v>362</v>
      </c>
      <c r="R2779" s="55"/>
      <c r="S2779" s="74"/>
      <c r="T2779" s="55" t="s">
        <v>5228</v>
      </c>
      <c r="U2779" s="73" t="s">
        <v>351</v>
      </c>
      <c r="V2779" s="74">
        <v>43542</v>
      </c>
      <c r="W2779" s="74">
        <v>43570</v>
      </c>
      <c r="X2779" s="55">
        <v>10030580</v>
      </c>
      <c r="Y2779" s="55" t="s">
        <v>132</v>
      </c>
      <c r="AB2779" s="55" t="s">
        <v>132</v>
      </c>
      <c r="AC2779" s="55" t="s">
        <v>132</v>
      </c>
    </row>
    <row r="2780" spans="1:29" ht="13" x14ac:dyDescent="0.15">
      <c r="A2780" s="72" t="str">
        <f t="shared" si="43"/>
        <v>Ofsted Social Care Provider Webpage</v>
      </c>
      <c r="B2780" s="55" t="s">
        <v>5229</v>
      </c>
      <c r="D2780" s="55" t="s">
        <v>373</v>
      </c>
      <c r="E2780" s="74">
        <v>39904</v>
      </c>
      <c r="F2780" s="55" t="s">
        <v>344</v>
      </c>
      <c r="G2780" s="55" t="s">
        <v>360</v>
      </c>
      <c r="H2780" s="55" t="s">
        <v>360</v>
      </c>
      <c r="I2780" s="55" t="s">
        <v>360</v>
      </c>
      <c r="J2780" s="55" t="s">
        <v>360</v>
      </c>
      <c r="K2780" s="55" t="s">
        <v>360</v>
      </c>
      <c r="L2780" s="55" t="s">
        <v>360</v>
      </c>
      <c r="M2780" s="55" t="s">
        <v>150</v>
      </c>
      <c r="N2780" s="55" t="s">
        <v>150</v>
      </c>
      <c r="O2780" s="55" t="s">
        <v>285</v>
      </c>
      <c r="P2780" s="55" t="s">
        <v>565</v>
      </c>
      <c r="Q2780" s="55" t="s">
        <v>350</v>
      </c>
      <c r="R2780" s="55">
        <v>4</v>
      </c>
      <c r="S2780" s="74"/>
      <c r="T2780" s="55" t="s">
        <v>931</v>
      </c>
      <c r="U2780" s="73" t="s">
        <v>351</v>
      </c>
      <c r="V2780" s="74">
        <v>43586</v>
      </c>
      <c r="W2780" s="74">
        <v>43622</v>
      </c>
      <c r="X2780" s="55">
        <v>10096086</v>
      </c>
      <c r="Y2780" s="55" t="s">
        <v>132</v>
      </c>
      <c r="AB2780" s="55" t="s">
        <v>132</v>
      </c>
      <c r="AC2780" s="55" t="s">
        <v>132</v>
      </c>
    </row>
    <row r="2781" spans="1:29" ht="13" x14ac:dyDescent="0.15">
      <c r="A2781" s="72" t="str">
        <f t="shared" si="43"/>
        <v>Ofsted Social Care Provider Webpage</v>
      </c>
      <c r="B2781" s="55" t="s">
        <v>5230</v>
      </c>
      <c r="D2781" s="55" t="s">
        <v>373</v>
      </c>
      <c r="E2781" s="74">
        <v>39960</v>
      </c>
      <c r="F2781" s="55" t="s">
        <v>344</v>
      </c>
      <c r="G2781" s="55" t="s">
        <v>360</v>
      </c>
      <c r="H2781" s="55" t="s">
        <v>360</v>
      </c>
      <c r="I2781" s="55" t="s">
        <v>360</v>
      </c>
      <c r="J2781" s="55" t="s">
        <v>360</v>
      </c>
      <c r="K2781" s="55" t="s">
        <v>360</v>
      </c>
      <c r="L2781" s="55" t="s">
        <v>360</v>
      </c>
      <c r="M2781" s="55" t="s">
        <v>150</v>
      </c>
      <c r="N2781" s="55" t="s">
        <v>150</v>
      </c>
      <c r="O2781" s="55" t="s">
        <v>221</v>
      </c>
      <c r="P2781" s="55" t="s">
        <v>349</v>
      </c>
      <c r="Q2781" s="55" t="s">
        <v>350</v>
      </c>
      <c r="R2781" s="55">
        <v>4</v>
      </c>
      <c r="S2781" s="74"/>
      <c r="T2781" s="55" t="s">
        <v>762</v>
      </c>
      <c r="U2781" s="73" t="s">
        <v>351</v>
      </c>
      <c r="V2781" s="74">
        <v>44321</v>
      </c>
      <c r="W2781" s="74">
        <v>44363</v>
      </c>
      <c r="X2781" s="55">
        <v>10185568</v>
      </c>
      <c r="Y2781" s="55" t="s">
        <v>132</v>
      </c>
      <c r="AB2781" s="55" t="s">
        <v>132</v>
      </c>
      <c r="AC2781" s="55" t="s">
        <v>130</v>
      </c>
    </row>
    <row r="2782" spans="1:29" ht="13" x14ac:dyDescent="0.15">
      <c r="A2782" s="72" t="str">
        <f t="shared" si="43"/>
        <v>Ofsted Social Care Provider Webpage</v>
      </c>
      <c r="B2782" s="55" t="s">
        <v>5231</v>
      </c>
      <c r="D2782" s="55" t="s">
        <v>373</v>
      </c>
      <c r="E2782" s="74">
        <v>39902</v>
      </c>
      <c r="F2782" s="55" t="s">
        <v>344</v>
      </c>
      <c r="G2782" s="55" t="s">
        <v>360</v>
      </c>
      <c r="H2782" s="55" t="s">
        <v>360</v>
      </c>
      <c r="I2782" s="55" t="s">
        <v>360</v>
      </c>
      <c r="J2782" s="55" t="s">
        <v>360</v>
      </c>
      <c r="K2782" s="55" t="s">
        <v>360</v>
      </c>
      <c r="L2782" s="55" t="s">
        <v>360</v>
      </c>
      <c r="M2782" s="55" t="s">
        <v>138</v>
      </c>
      <c r="N2782" s="55" t="s">
        <v>138</v>
      </c>
      <c r="O2782" s="55" t="s">
        <v>161</v>
      </c>
      <c r="P2782" s="55" t="s">
        <v>643</v>
      </c>
      <c r="Q2782" s="55" t="s">
        <v>380</v>
      </c>
      <c r="R2782" s="55">
        <v>8</v>
      </c>
      <c r="S2782" s="74"/>
      <c r="T2782" s="55" t="s">
        <v>1474</v>
      </c>
      <c r="U2782" s="73" t="s">
        <v>351</v>
      </c>
      <c r="V2782" s="74">
        <v>44343</v>
      </c>
      <c r="W2782" s="74">
        <v>44370</v>
      </c>
      <c r="X2782" s="55">
        <v>10186372</v>
      </c>
      <c r="Y2782" s="55" t="s">
        <v>132</v>
      </c>
      <c r="AB2782" s="55" t="s">
        <v>132</v>
      </c>
      <c r="AC2782" s="55" t="s">
        <v>132</v>
      </c>
    </row>
    <row r="2783" spans="1:29" ht="13" x14ac:dyDescent="0.15">
      <c r="A2783" s="72" t="str">
        <f t="shared" si="43"/>
        <v>Ofsted Social Care Provider Webpage</v>
      </c>
      <c r="B2783" s="55" t="s">
        <v>5232</v>
      </c>
      <c r="D2783" s="55" t="s">
        <v>373</v>
      </c>
      <c r="E2783" s="74">
        <v>39902</v>
      </c>
      <c r="F2783" s="55" t="s">
        <v>344</v>
      </c>
      <c r="G2783" s="55" t="s">
        <v>360</v>
      </c>
      <c r="H2783" s="55" t="s">
        <v>360</v>
      </c>
      <c r="I2783" s="55" t="s">
        <v>360</v>
      </c>
      <c r="J2783" s="55" t="s">
        <v>360</v>
      </c>
      <c r="K2783" s="55" t="s">
        <v>360</v>
      </c>
      <c r="L2783" s="55" t="s">
        <v>360</v>
      </c>
      <c r="M2783" s="55" t="s">
        <v>138</v>
      </c>
      <c r="N2783" s="55" t="s">
        <v>138</v>
      </c>
      <c r="O2783" s="55" t="s">
        <v>161</v>
      </c>
      <c r="P2783" s="55" t="s">
        <v>761</v>
      </c>
      <c r="Q2783" s="55" t="s">
        <v>380</v>
      </c>
      <c r="R2783" s="55">
        <v>4</v>
      </c>
      <c r="S2783" s="74" t="s">
        <v>332</v>
      </c>
      <c r="T2783" s="55" t="s">
        <v>1474</v>
      </c>
      <c r="U2783" s="73" t="s">
        <v>351</v>
      </c>
      <c r="V2783" s="74">
        <v>44383</v>
      </c>
      <c r="W2783" s="74">
        <v>44411</v>
      </c>
      <c r="X2783" s="55">
        <v>10186162</v>
      </c>
      <c r="Y2783" s="55" t="s">
        <v>132</v>
      </c>
      <c r="AB2783" s="55" t="s">
        <v>132</v>
      </c>
      <c r="AC2783" s="55" t="s">
        <v>140</v>
      </c>
    </row>
    <row r="2784" spans="1:29" ht="13" x14ac:dyDescent="0.15">
      <c r="A2784" s="72" t="str">
        <f t="shared" si="43"/>
        <v>Ofsted Social Care Provider Webpage</v>
      </c>
      <c r="B2784" s="55" t="s">
        <v>5233</v>
      </c>
      <c r="D2784" s="55" t="s">
        <v>373</v>
      </c>
      <c r="E2784" s="74">
        <v>39969</v>
      </c>
      <c r="F2784" s="55" t="s">
        <v>344</v>
      </c>
      <c r="G2784" s="55" t="s">
        <v>360</v>
      </c>
      <c r="H2784" s="55" t="s">
        <v>360</v>
      </c>
      <c r="I2784" s="55" t="s">
        <v>360</v>
      </c>
      <c r="J2784" s="55" t="s">
        <v>360</v>
      </c>
      <c r="K2784" s="55" t="s">
        <v>360</v>
      </c>
      <c r="L2784" s="55" t="s">
        <v>360</v>
      </c>
      <c r="M2784" s="55" t="s">
        <v>378</v>
      </c>
      <c r="N2784" s="55" t="s">
        <v>134</v>
      </c>
      <c r="O2784" s="55" t="s">
        <v>251</v>
      </c>
      <c r="P2784" s="55" t="s">
        <v>1709</v>
      </c>
      <c r="Q2784" s="55" t="s">
        <v>350</v>
      </c>
      <c r="R2784" s="55">
        <v>3</v>
      </c>
      <c r="S2784" s="74"/>
      <c r="T2784" s="55" t="s">
        <v>1105</v>
      </c>
      <c r="U2784" s="73" t="s">
        <v>351</v>
      </c>
      <c r="V2784" s="74">
        <v>44530</v>
      </c>
      <c r="W2784" s="74">
        <v>44575</v>
      </c>
      <c r="X2784" s="55">
        <v>10185326</v>
      </c>
      <c r="Y2784" s="55" t="s">
        <v>132</v>
      </c>
      <c r="AB2784" s="55" t="s">
        <v>132</v>
      </c>
      <c r="AC2784" s="55" t="s">
        <v>132</v>
      </c>
    </row>
    <row r="2785" spans="1:29" ht="13" x14ac:dyDescent="0.15">
      <c r="A2785" s="72" t="str">
        <f t="shared" si="43"/>
        <v>Ofsted Social Care Provider Webpage</v>
      </c>
      <c r="B2785" s="55" t="s">
        <v>5234</v>
      </c>
      <c r="D2785" s="55" t="s">
        <v>373</v>
      </c>
      <c r="E2785" s="74">
        <v>39932</v>
      </c>
      <c r="F2785" s="55" t="s">
        <v>344</v>
      </c>
      <c r="G2785" s="55" t="s">
        <v>360</v>
      </c>
      <c r="H2785" s="55" t="s">
        <v>360</v>
      </c>
      <c r="I2785" s="55" t="s">
        <v>360</v>
      </c>
      <c r="J2785" s="55" t="s">
        <v>360</v>
      </c>
      <c r="K2785" s="55" t="s">
        <v>360</v>
      </c>
      <c r="L2785" s="55" t="s">
        <v>360</v>
      </c>
      <c r="M2785" s="55" t="s">
        <v>136</v>
      </c>
      <c r="N2785" s="55" t="s">
        <v>136</v>
      </c>
      <c r="O2785" s="55" t="s">
        <v>705</v>
      </c>
      <c r="P2785" s="55" t="s">
        <v>706</v>
      </c>
      <c r="Q2785" s="55" t="s">
        <v>350</v>
      </c>
      <c r="R2785" s="55">
        <v>2</v>
      </c>
      <c r="S2785" s="74"/>
      <c r="T2785" s="55" t="s">
        <v>456</v>
      </c>
      <c r="U2785" s="73" t="s">
        <v>351</v>
      </c>
      <c r="V2785" s="74">
        <v>44419</v>
      </c>
      <c r="W2785" s="74">
        <v>44460</v>
      </c>
      <c r="X2785" s="55">
        <v>10186649</v>
      </c>
      <c r="Y2785" s="55" t="s">
        <v>130</v>
      </c>
      <c r="AB2785" s="55" t="s">
        <v>130</v>
      </c>
      <c r="AC2785" s="55" t="s">
        <v>130</v>
      </c>
    </row>
    <row r="2786" spans="1:29" ht="13" x14ac:dyDescent="0.15">
      <c r="A2786" s="72" t="str">
        <f t="shared" si="43"/>
        <v>Ofsted Social Care Provider Webpage</v>
      </c>
      <c r="B2786" s="55" t="s">
        <v>5235</v>
      </c>
      <c r="D2786" s="55" t="s">
        <v>443</v>
      </c>
      <c r="E2786" s="74">
        <v>39920</v>
      </c>
      <c r="F2786" s="55" t="s">
        <v>344</v>
      </c>
      <c r="G2786" s="55" t="s">
        <v>5236</v>
      </c>
      <c r="H2786" s="55" t="s">
        <v>5237</v>
      </c>
      <c r="I2786" s="55" t="s">
        <v>354</v>
      </c>
      <c r="J2786" s="55" t="s">
        <v>5238</v>
      </c>
      <c r="K2786" s="55" t="s">
        <v>285</v>
      </c>
      <c r="L2786" s="55" t="s">
        <v>5239</v>
      </c>
      <c r="M2786" s="55" t="s">
        <v>150</v>
      </c>
      <c r="N2786" s="55" t="s">
        <v>150</v>
      </c>
      <c r="O2786" s="55" t="s">
        <v>285</v>
      </c>
      <c r="P2786" s="55" t="s">
        <v>1902</v>
      </c>
      <c r="Q2786" s="55" t="s">
        <v>350</v>
      </c>
      <c r="R2786" s="55"/>
      <c r="S2786" s="74"/>
      <c r="U2786" s="73" t="s">
        <v>351</v>
      </c>
      <c r="V2786" s="74">
        <v>43885</v>
      </c>
      <c r="W2786" s="74">
        <v>43900</v>
      </c>
      <c r="X2786" s="55">
        <v>10092926</v>
      </c>
      <c r="Y2786" s="55" t="s">
        <v>140</v>
      </c>
      <c r="AB2786" s="55" t="s">
        <v>140</v>
      </c>
      <c r="AC2786" s="55" t="s">
        <v>140</v>
      </c>
    </row>
    <row r="2787" spans="1:29" ht="13" x14ac:dyDescent="0.15">
      <c r="A2787" s="72" t="str">
        <f t="shared" si="43"/>
        <v>Ofsted Social Care Provider Webpage</v>
      </c>
      <c r="B2787" s="55" t="s">
        <v>5240</v>
      </c>
      <c r="D2787" s="55" t="s">
        <v>479</v>
      </c>
      <c r="E2787" s="74">
        <v>40001</v>
      </c>
      <c r="F2787" s="55" t="s">
        <v>344</v>
      </c>
      <c r="G2787" s="55" t="s">
        <v>360</v>
      </c>
      <c r="H2787" s="55" t="s">
        <v>360</v>
      </c>
      <c r="I2787" s="55" t="s">
        <v>360</v>
      </c>
      <c r="J2787" s="55" t="s">
        <v>360</v>
      </c>
      <c r="K2787" s="55" t="s">
        <v>360</v>
      </c>
      <c r="L2787" s="55" t="s">
        <v>360</v>
      </c>
      <c r="M2787" s="55" t="s">
        <v>142</v>
      </c>
      <c r="N2787" s="55" t="s">
        <v>142</v>
      </c>
      <c r="O2787" s="55" t="s">
        <v>262</v>
      </c>
      <c r="P2787" s="55" t="s">
        <v>1859</v>
      </c>
      <c r="Q2787" s="55" t="s">
        <v>350</v>
      </c>
      <c r="R2787" s="55">
        <v>12</v>
      </c>
      <c r="S2787" s="74"/>
      <c r="T2787" s="55" t="s">
        <v>450</v>
      </c>
      <c r="U2787" s="73" t="s">
        <v>351</v>
      </c>
      <c r="V2787" s="74">
        <v>44509</v>
      </c>
      <c r="W2787" s="74">
        <v>44559</v>
      </c>
      <c r="X2787" s="55">
        <v>10187170</v>
      </c>
      <c r="Y2787" s="55" t="s">
        <v>140</v>
      </c>
      <c r="AB2787" s="55" t="s">
        <v>140</v>
      </c>
      <c r="AC2787" s="55" t="s">
        <v>140</v>
      </c>
    </row>
    <row r="2788" spans="1:29" ht="13" x14ac:dyDescent="0.15">
      <c r="A2788" s="72" t="str">
        <f t="shared" si="43"/>
        <v>Ofsted Social Care Provider Webpage</v>
      </c>
      <c r="B2788" s="55" t="s">
        <v>5241</v>
      </c>
      <c r="D2788" s="55" t="s">
        <v>373</v>
      </c>
      <c r="E2788" s="74">
        <v>39995</v>
      </c>
      <c r="F2788" s="55" t="s">
        <v>344</v>
      </c>
      <c r="G2788" s="55" t="s">
        <v>360</v>
      </c>
      <c r="H2788" s="55" t="s">
        <v>360</v>
      </c>
      <c r="I2788" s="55" t="s">
        <v>360</v>
      </c>
      <c r="J2788" s="55" t="s">
        <v>360</v>
      </c>
      <c r="K2788" s="55" t="s">
        <v>360</v>
      </c>
      <c r="L2788" s="55" t="s">
        <v>360</v>
      </c>
      <c r="M2788" s="55" t="s">
        <v>378</v>
      </c>
      <c r="N2788" s="55" t="s">
        <v>170</v>
      </c>
      <c r="O2788" s="55" t="s">
        <v>169</v>
      </c>
      <c r="P2788" s="55" t="s">
        <v>169</v>
      </c>
      <c r="Q2788" s="55" t="s">
        <v>362</v>
      </c>
      <c r="R2788" s="55">
        <v>6</v>
      </c>
      <c r="S2788" s="74"/>
      <c r="T2788" s="55" t="s">
        <v>3132</v>
      </c>
      <c r="U2788" s="73" t="s">
        <v>351</v>
      </c>
      <c r="V2788" s="74">
        <v>44399</v>
      </c>
      <c r="W2788" s="74">
        <v>44434</v>
      </c>
      <c r="X2788" s="55">
        <v>10185181</v>
      </c>
      <c r="Y2788" s="55" t="s">
        <v>132</v>
      </c>
      <c r="AB2788" s="55" t="s">
        <v>132</v>
      </c>
      <c r="AC2788" s="55" t="s">
        <v>132</v>
      </c>
    </row>
    <row r="2789" spans="1:29" ht="13" x14ac:dyDescent="0.15">
      <c r="A2789" s="72" t="str">
        <f t="shared" si="43"/>
        <v>Ofsted Social Care Provider Webpage</v>
      </c>
      <c r="B2789" s="55" t="s">
        <v>5242</v>
      </c>
      <c r="D2789" s="55" t="s">
        <v>373</v>
      </c>
      <c r="E2789" s="74">
        <v>39927</v>
      </c>
      <c r="F2789" s="55" t="s">
        <v>344</v>
      </c>
      <c r="G2789" s="55" t="s">
        <v>360</v>
      </c>
      <c r="H2789" s="55" t="s">
        <v>360</v>
      </c>
      <c r="I2789" s="55" t="s">
        <v>360</v>
      </c>
      <c r="J2789" s="55" t="s">
        <v>360</v>
      </c>
      <c r="K2789" s="55" t="s">
        <v>360</v>
      </c>
      <c r="L2789" s="55" t="s">
        <v>360</v>
      </c>
      <c r="M2789" s="55" t="s">
        <v>142</v>
      </c>
      <c r="N2789" s="55" t="s">
        <v>142</v>
      </c>
      <c r="O2789" s="55" t="s">
        <v>141</v>
      </c>
      <c r="P2789" s="55" t="s">
        <v>795</v>
      </c>
      <c r="Q2789" s="55" t="s">
        <v>350</v>
      </c>
      <c r="R2789" s="55">
        <v>4</v>
      </c>
      <c r="S2789" s="74"/>
      <c r="T2789" s="55" t="s">
        <v>960</v>
      </c>
      <c r="U2789" s="73" t="s">
        <v>351</v>
      </c>
      <c r="V2789" s="74">
        <v>44385</v>
      </c>
      <c r="W2789" s="74">
        <v>44424</v>
      </c>
      <c r="X2789" s="55">
        <v>10186982</v>
      </c>
      <c r="Y2789" s="55" t="s">
        <v>132</v>
      </c>
      <c r="AB2789" s="55" t="s">
        <v>132</v>
      </c>
      <c r="AC2789" s="55" t="s">
        <v>132</v>
      </c>
    </row>
    <row r="2790" spans="1:29" ht="13" x14ac:dyDescent="0.15">
      <c r="A2790" s="72" t="str">
        <f t="shared" si="43"/>
        <v>Ofsted Social Care Provider Webpage</v>
      </c>
      <c r="B2790" s="55" t="s">
        <v>5243</v>
      </c>
      <c r="D2790" s="55" t="s">
        <v>373</v>
      </c>
      <c r="E2790" s="74">
        <v>39990</v>
      </c>
      <c r="F2790" s="55" t="s">
        <v>344</v>
      </c>
      <c r="G2790" s="55" t="s">
        <v>360</v>
      </c>
      <c r="H2790" s="55" t="s">
        <v>360</v>
      </c>
      <c r="I2790" s="55" t="s">
        <v>360</v>
      </c>
      <c r="J2790" s="55" t="s">
        <v>360</v>
      </c>
      <c r="K2790" s="55" t="s">
        <v>360</v>
      </c>
      <c r="L2790" s="55" t="s">
        <v>360</v>
      </c>
      <c r="M2790" s="55" t="s">
        <v>378</v>
      </c>
      <c r="N2790" s="55" t="s">
        <v>170</v>
      </c>
      <c r="O2790" s="55" t="s">
        <v>178</v>
      </c>
      <c r="P2790" s="55" t="s">
        <v>1450</v>
      </c>
      <c r="Q2790" s="55" t="s">
        <v>350</v>
      </c>
      <c r="R2790" s="55">
        <v>3</v>
      </c>
      <c r="S2790" s="74"/>
      <c r="T2790" s="55" t="s">
        <v>5244</v>
      </c>
      <c r="U2790" s="73" t="s">
        <v>351</v>
      </c>
      <c r="V2790" s="74">
        <v>44369</v>
      </c>
      <c r="W2790" s="74">
        <v>44398</v>
      </c>
      <c r="X2790" s="55">
        <v>10185624</v>
      </c>
      <c r="Y2790" s="55" t="s">
        <v>132</v>
      </c>
      <c r="AB2790" s="55" t="s">
        <v>132</v>
      </c>
      <c r="AC2790" s="55" t="s">
        <v>132</v>
      </c>
    </row>
    <row r="2791" spans="1:29" ht="13" x14ac:dyDescent="0.15">
      <c r="A2791" s="72" t="str">
        <f t="shared" si="43"/>
        <v>Ofsted Social Care Provider Webpage</v>
      </c>
      <c r="B2791" s="55" t="s">
        <v>5245</v>
      </c>
      <c r="D2791" s="55" t="s">
        <v>373</v>
      </c>
      <c r="E2791" s="74">
        <v>39946</v>
      </c>
      <c r="F2791" s="55" t="s">
        <v>344</v>
      </c>
      <c r="G2791" s="55" t="s">
        <v>360</v>
      </c>
      <c r="H2791" s="55" t="s">
        <v>360</v>
      </c>
      <c r="I2791" s="55" t="s">
        <v>360</v>
      </c>
      <c r="J2791" s="55" t="s">
        <v>360</v>
      </c>
      <c r="K2791" s="55" t="s">
        <v>360</v>
      </c>
      <c r="L2791" s="55" t="s">
        <v>360</v>
      </c>
      <c r="M2791" s="55" t="s">
        <v>172</v>
      </c>
      <c r="N2791" s="55" t="s">
        <v>172</v>
      </c>
      <c r="O2791" s="55" t="s">
        <v>235</v>
      </c>
      <c r="P2791" s="55" t="s">
        <v>494</v>
      </c>
      <c r="Q2791" s="55" t="s">
        <v>350</v>
      </c>
      <c r="R2791" s="55">
        <v>3</v>
      </c>
      <c r="S2791" s="74"/>
      <c r="T2791" s="55" t="s">
        <v>5246</v>
      </c>
      <c r="U2791" s="73" t="s">
        <v>351</v>
      </c>
      <c r="V2791" s="74">
        <v>44530</v>
      </c>
      <c r="W2791" s="74">
        <v>44565</v>
      </c>
      <c r="X2791" s="55">
        <v>10185285</v>
      </c>
      <c r="Y2791" s="55" t="s">
        <v>132</v>
      </c>
      <c r="AB2791" s="55" t="s">
        <v>132</v>
      </c>
      <c r="AC2791" s="55" t="s">
        <v>132</v>
      </c>
    </row>
    <row r="2792" spans="1:29" ht="13" x14ac:dyDescent="0.15">
      <c r="A2792" s="72" t="str">
        <f t="shared" si="43"/>
        <v>Ofsted Social Care Provider Webpage</v>
      </c>
      <c r="B2792" s="55" t="s">
        <v>5247</v>
      </c>
      <c r="D2792" s="55" t="s">
        <v>373</v>
      </c>
      <c r="E2792" s="74">
        <v>39983</v>
      </c>
      <c r="F2792" s="55" t="s">
        <v>344</v>
      </c>
      <c r="G2792" s="55" t="s">
        <v>360</v>
      </c>
      <c r="H2792" s="55" t="s">
        <v>360</v>
      </c>
      <c r="I2792" s="55" t="s">
        <v>360</v>
      </c>
      <c r="J2792" s="55" t="s">
        <v>360</v>
      </c>
      <c r="K2792" s="55" t="s">
        <v>360</v>
      </c>
      <c r="L2792" s="55" t="s">
        <v>360</v>
      </c>
      <c r="M2792" s="55" t="s">
        <v>150</v>
      </c>
      <c r="N2792" s="55" t="s">
        <v>150</v>
      </c>
      <c r="O2792" s="55" t="s">
        <v>190</v>
      </c>
      <c r="P2792" s="55" t="s">
        <v>897</v>
      </c>
      <c r="Q2792" s="55" t="s">
        <v>350</v>
      </c>
      <c r="R2792" s="55">
        <v>5</v>
      </c>
      <c r="S2792" s="74"/>
      <c r="T2792" s="55" t="s">
        <v>450</v>
      </c>
      <c r="U2792" s="73" t="s">
        <v>351</v>
      </c>
      <c r="V2792" s="74">
        <v>43711</v>
      </c>
      <c r="W2792" s="74">
        <v>43735</v>
      </c>
      <c r="X2792" s="55">
        <v>10096105</v>
      </c>
      <c r="Y2792" s="55" t="s">
        <v>140</v>
      </c>
      <c r="AB2792" s="55" t="s">
        <v>140</v>
      </c>
      <c r="AC2792" s="55" t="s">
        <v>132</v>
      </c>
    </row>
    <row r="2793" spans="1:29" ht="13" x14ac:dyDescent="0.15">
      <c r="A2793" s="72" t="str">
        <f t="shared" si="43"/>
        <v>Ofsted Social Care Provider Webpage</v>
      </c>
      <c r="B2793" s="55" t="s">
        <v>5248</v>
      </c>
      <c r="D2793" s="55" t="s">
        <v>373</v>
      </c>
      <c r="E2793" s="74">
        <v>39962</v>
      </c>
      <c r="F2793" s="55" t="s">
        <v>344</v>
      </c>
      <c r="G2793" s="55" t="s">
        <v>360</v>
      </c>
      <c r="H2793" s="55" t="s">
        <v>360</v>
      </c>
      <c r="I2793" s="55" t="s">
        <v>360</v>
      </c>
      <c r="J2793" s="55" t="s">
        <v>360</v>
      </c>
      <c r="K2793" s="55" t="s">
        <v>360</v>
      </c>
      <c r="L2793" s="55" t="s">
        <v>360</v>
      </c>
      <c r="M2793" s="55" t="s">
        <v>138</v>
      </c>
      <c r="N2793" s="55" t="s">
        <v>138</v>
      </c>
      <c r="O2793" s="55" t="s">
        <v>183</v>
      </c>
      <c r="P2793" s="55" t="s">
        <v>2051</v>
      </c>
      <c r="Q2793" s="55" t="s">
        <v>350</v>
      </c>
      <c r="R2793" s="55">
        <v>4</v>
      </c>
      <c r="S2793" s="74"/>
      <c r="T2793" s="55" t="s">
        <v>585</v>
      </c>
      <c r="U2793" s="73" t="s">
        <v>351</v>
      </c>
      <c r="V2793" s="74">
        <v>44544</v>
      </c>
      <c r="W2793" s="74">
        <v>44588</v>
      </c>
      <c r="X2793" s="55">
        <v>10186095</v>
      </c>
      <c r="Y2793" s="55" t="s">
        <v>132</v>
      </c>
      <c r="AB2793" s="55" t="s">
        <v>132</v>
      </c>
      <c r="AC2793" s="55" t="s">
        <v>130</v>
      </c>
    </row>
    <row r="2794" spans="1:29" ht="13" x14ac:dyDescent="0.15">
      <c r="A2794" s="72" t="str">
        <f t="shared" si="43"/>
        <v>Ofsted Social Care Provider Webpage</v>
      </c>
      <c r="B2794" s="55" t="s">
        <v>5249</v>
      </c>
      <c r="D2794" s="55" t="s">
        <v>373</v>
      </c>
      <c r="E2794" s="74">
        <v>39987</v>
      </c>
      <c r="F2794" s="55" t="s">
        <v>344</v>
      </c>
      <c r="G2794" s="55" t="s">
        <v>360</v>
      </c>
      <c r="H2794" s="55" t="s">
        <v>360</v>
      </c>
      <c r="I2794" s="55" t="s">
        <v>360</v>
      </c>
      <c r="J2794" s="55" t="s">
        <v>360</v>
      </c>
      <c r="K2794" s="55" t="s">
        <v>360</v>
      </c>
      <c r="L2794" s="55" t="s">
        <v>360</v>
      </c>
      <c r="M2794" s="55" t="s">
        <v>378</v>
      </c>
      <c r="N2794" s="55" t="s">
        <v>134</v>
      </c>
      <c r="O2794" s="55" t="s">
        <v>225</v>
      </c>
      <c r="P2794" s="55" t="s">
        <v>1667</v>
      </c>
      <c r="Q2794" s="55" t="s">
        <v>380</v>
      </c>
      <c r="R2794" s="55">
        <v>4</v>
      </c>
      <c r="S2794" s="74"/>
      <c r="T2794" s="55" t="s">
        <v>1668</v>
      </c>
      <c r="U2794" s="73" t="s">
        <v>351</v>
      </c>
      <c r="V2794" s="74">
        <v>44468</v>
      </c>
      <c r="W2794" s="74">
        <v>44510</v>
      </c>
      <c r="X2794" s="55">
        <v>10186909</v>
      </c>
      <c r="Y2794" s="55" t="s">
        <v>130</v>
      </c>
      <c r="AB2794" s="55" t="s">
        <v>130</v>
      </c>
      <c r="AC2794" s="55" t="s">
        <v>130</v>
      </c>
    </row>
    <row r="2795" spans="1:29" ht="13" x14ac:dyDescent="0.15">
      <c r="A2795" s="72" t="str">
        <f t="shared" si="43"/>
        <v>Ofsted Social Care Provider Webpage</v>
      </c>
      <c r="B2795" s="55" t="s">
        <v>5250</v>
      </c>
      <c r="D2795" s="55" t="s">
        <v>373</v>
      </c>
      <c r="E2795" s="74">
        <v>39946</v>
      </c>
      <c r="F2795" s="55" t="s">
        <v>344</v>
      </c>
      <c r="G2795" s="55" t="s">
        <v>360</v>
      </c>
      <c r="H2795" s="55" t="s">
        <v>360</v>
      </c>
      <c r="I2795" s="55" t="s">
        <v>360</v>
      </c>
      <c r="J2795" s="55" t="s">
        <v>360</v>
      </c>
      <c r="K2795" s="55" t="s">
        <v>360</v>
      </c>
      <c r="L2795" s="55" t="s">
        <v>360</v>
      </c>
      <c r="M2795" s="55" t="s">
        <v>144</v>
      </c>
      <c r="N2795" s="55" t="s">
        <v>144</v>
      </c>
      <c r="O2795" s="55" t="s">
        <v>248</v>
      </c>
      <c r="P2795" s="55" t="s">
        <v>492</v>
      </c>
      <c r="Q2795" s="55" t="s">
        <v>380</v>
      </c>
      <c r="R2795" s="55">
        <v>5</v>
      </c>
      <c r="S2795" s="74"/>
      <c r="T2795" s="55" t="s">
        <v>3749</v>
      </c>
      <c r="U2795" s="73" t="s">
        <v>351</v>
      </c>
      <c r="V2795" s="74">
        <v>44362</v>
      </c>
      <c r="W2795" s="74">
        <v>44392</v>
      </c>
      <c r="X2795" s="55">
        <v>10186491</v>
      </c>
      <c r="Y2795" s="55" t="s">
        <v>130</v>
      </c>
      <c r="AB2795" s="55" t="s">
        <v>130</v>
      </c>
      <c r="AC2795" s="55" t="s">
        <v>130</v>
      </c>
    </row>
    <row r="2796" spans="1:29" ht="13" x14ac:dyDescent="0.15">
      <c r="A2796" s="72" t="str">
        <f t="shared" si="43"/>
        <v>Ofsted Social Care Provider Webpage</v>
      </c>
      <c r="B2796" s="55" t="s">
        <v>5251</v>
      </c>
      <c r="D2796" s="55" t="s">
        <v>373</v>
      </c>
      <c r="E2796" s="74">
        <v>39972</v>
      </c>
      <c r="F2796" s="55" t="s">
        <v>344</v>
      </c>
      <c r="G2796" s="55" t="s">
        <v>360</v>
      </c>
      <c r="H2796" s="55" t="s">
        <v>360</v>
      </c>
      <c r="I2796" s="55" t="s">
        <v>360</v>
      </c>
      <c r="J2796" s="55" t="s">
        <v>360</v>
      </c>
      <c r="K2796" s="55" t="s">
        <v>360</v>
      </c>
      <c r="L2796" s="55" t="s">
        <v>360</v>
      </c>
      <c r="M2796" s="55" t="s">
        <v>144</v>
      </c>
      <c r="N2796" s="55" t="s">
        <v>144</v>
      </c>
      <c r="O2796" s="55" t="s">
        <v>263</v>
      </c>
      <c r="P2796" s="55" t="s">
        <v>263</v>
      </c>
      <c r="Q2796" s="55" t="s">
        <v>350</v>
      </c>
      <c r="R2796" s="55">
        <v>3</v>
      </c>
      <c r="S2796" s="74"/>
      <c r="T2796" s="55" t="s">
        <v>5252</v>
      </c>
      <c r="U2796" s="73" t="s">
        <v>351</v>
      </c>
      <c r="V2796" s="74">
        <v>44628</v>
      </c>
      <c r="W2796" s="74">
        <v>44671</v>
      </c>
      <c r="X2796" s="55">
        <v>10185291</v>
      </c>
      <c r="Y2796" s="55" t="s">
        <v>132</v>
      </c>
      <c r="AB2796" s="55" t="s">
        <v>132</v>
      </c>
      <c r="AC2796" s="55" t="s">
        <v>132</v>
      </c>
    </row>
    <row r="2797" spans="1:29" ht="13" x14ac:dyDescent="0.15">
      <c r="A2797" s="72" t="str">
        <f t="shared" si="43"/>
        <v>Ofsted Social Care Provider Webpage</v>
      </c>
      <c r="B2797" s="55" t="s">
        <v>5253</v>
      </c>
      <c r="D2797" s="55" t="s">
        <v>373</v>
      </c>
      <c r="E2797" s="74">
        <v>39969</v>
      </c>
      <c r="F2797" s="55" t="s">
        <v>344</v>
      </c>
      <c r="G2797" s="55" t="s">
        <v>360</v>
      </c>
      <c r="H2797" s="55" t="s">
        <v>360</v>
      </c>
      <c r="I2797" s="55" t="s">
        <v>360</v>
      </c>
      <c r="J2797" s="55" t="s">
        <v>360</v>
      </c>
      <c r="K2797" s="55" t="s">
        <v>360</v>
      </c>
      <c r="L2797" s="55" t="s">
        <v>360</v>
      </c>
      <c r="M2797" s="55" t="s">
        <v>144</v>
      </c>
      <c r="N2797" s="55" t="s">
        <v>144</v>
      </c>
      <c r="O2797" s="55" t="s">
        <v>263</v>
      </c>
      <c r="P2797" s="55" t="s">
        <v>263</v>
      </c>
      <c r="Q2797" s="55" t="s">
        <v>350</v>
      </c>
      <c r="R2797" s="55">
        <v>3</v>
      </c>
      <c r="S2797" s="74"/>
      <c r="T2797" s="55" t="s">
        <v>5252</v>
      </c>
      <c r="U2797" s="73" t="s">
        <v>351</v>
      </c>
      <c r="V2797" s="74">
        <v>43858</v>
      </c>
      <c r="W2797" s="74">
        <v>43882</v>
      </c>
      <c r="X2797" s="55">
        <v>10096101</v>
      </c>
      <c r="Y2797" s="55" t="s">
        <v>130</v>
      </c>
      <c r="AB2797" s="55" t="s">
        <v>132</v>
      </c>
      <c r="AC2797" s="55" t="s">
        <v>130</v>
      </c>
    </row>
    <row r="2798" spans="1:29" ht="13" x14ac:dyDescent="0.15">
      <c r="A2798" s="72" t="str">
        <f t="shared" si="43"/>
        <v>Ofsted Social Care Provider Webpage</v>
      </c>
      <c r="B2798" s="55" t="s">
        <v>5254</v>
      </c>
      <c r="D2798" s="55" t="s">
        <v>468</v>
      </c>
      <c r="E2798" s="74">
        <v>39945</v>
      </c>
      <c r="F2798" s="55" t="s">
        <v>344</v>
      </c>
      <c r="G2798" s="55" t="s">
        <v>5255</v>
      </c>
      <c r="H2798" s="55" t="s">
        <v>5256</v>
      </c>
      <c r="I2798" s="55" t="s">
        <v>5257</v>
      </c>
      <c r="J2798" s="55" t="s">
        <v>5258</v>
      </c>
      <c r="K2798" s="55" t="s">
        <v>2753</v>
      </c>
      <c r="L2798" s="55" t="s">
        <v>1047</v>
      </c>
      <c r="M2798" s="55" t="s">
        <v>142</v>
      </c>
      <c r="N2798" s="55" t="s">
        <v>142</v>
      </c>
      <c r="O2798" s="55" t="s">
        <v>254</v>
      </c>
      <c r="P2798" s="55" t="s">
        <v>1048</v>
      </c>
      <c r="Q2798" s="55" t="s">
        <v>362</v>
      </c>
      <c r="R2798" s="55"/>
      <c r="S2798" s="74"/>
      <c r="T2798" s="55" t="s">
        <v>5259</v>
      </c>
      <c r="U2798" s="73" t="s">
        <v>351</v>
      </c>
      <c r="V2798" s="74">
        <v>44494</v>
      </c>
      <c r="W2798" s="74">
        <v>44543</v>
      </c>
      <c r="X2798" s="55">
        <v>10183462</v>
      </c>
      <c r="Y2798" s="55" t="s">
        <v>140</v>
      </c>
      <c r="AB2798" s="55" t="s">
        <v>132</v>
      </c>
      <c r="AC2798" s="55" t="s">
        <v>140</v>
      </c>
    </row>
    <row r="2799" spans="1:29" ht="13" x14ac:dyDescent="0.15">
      <c r="A2799" s="72" t="str">
        <f t="shared" si="43"/>
        <v>Ofsted Social Care Provider Webpage</v>
      </c>
      <c r="B2799" s="55" t="s">
        <v>5260</v>
      </c>
      <c r="D2799" s="55" t="s">
        <v>373</v>
      </c>
      <c r="E2799" s="74">
        <v>39994</v>
      </c>
      <c r="F2799" s="55" t="s">
        <v>344</v>
      </c>
      <c r="G2799" s="55" t="s">
        <v>360</v>
      </c>
      <c r="H2799" s="55" t="s">
        <v>360</v>
      </c>
      <c r="I2799" s="55" t="s">
        <v>360</v>
      </c>
      <c r="J2799" s="55" t="s">
        <v>360</v>
      </c>
      <c r="K2799" s="55" t="s">
        <v>360</v>
      </c>
      <c r="L2799" s="55" t="s">
        <v>360</v>
      </c>
      <c r="M2799" s="55" t="s">
        <v>142</v>
      </c>
      <c r="N2799" s="55" t="s">
        <v>142</v>
      </c>
      <c r="O2799" s="55" t="s">
        <v>262</v>
      </c>
      <c r="P2799" s="55" t="s">
        <v>488</v>
      </c>
      <c r="Q2799" s="55" t="s">
        <v>350</v>
      </c>
      <c r="R2799" s="55">
        <v>2</v>
      </c>
      <c r="S2799" s="74"/>
      <c r="T2799" s="55" t="s">
        <v>1430</v>
      </c>
      <c r="U2799" s="73" t="s">
        <v>351</v>
      </c>
      <c r="V2799" s="74">
        <v>43719</v>
      </c>
      <c r="W2799" s="74">
        <v>43753</v>
      </c>
      <c r="X2799" s="55">
        <v>10096111</v>
      </c>
      <c r="Y2799" s="55" t="s">
        <v>132</v>
      </c>
      <c r="AB2799" s="55" t="s">
        <v>132</v>
      </c>
      <c r="AC2799" s="55" t="s">
        <v>132</v>
      </c>
    </row>
    <row r="2800" spans="1:29" ht="13" x14ac:dyDescent="0.15">
      <c r="A2800" s="72" t="str">
        <f t="shared" si="43"/>
        <v>Ofsted Social Care Provider Webpage</v>
      </c>
      <c r="B2800" s="55" t="s">
        <v>5261</v>
      </c>
      <c r="D2800" s="55" t="s">
        <v>373</v>
      </c>
      <c r="E2800" s="74">
        <v>39988</v>
      </c>
      <c r="F2800" s="55" t="s">
        <v>344</v>
      </c>
      <c r="G2800" s="55" t="s">
        <v>360</v>
      </c>
      <c r="H2800" s="55" t="s">
        <v>360</v>
      </c>
      <c r="I2800" s="55" t="s">
        <v>360</v>
      </c>
      <c r="J2800" s="55" t="s">
        <v>360</v>
      </c>
      <c r="K2800" s="55" t="s">
        <v>360</v>
      </c>
      <c r="L2800" s="55" t="s">
        <v>360</v>
      </c>
      <c r="M2800" s="55" t="s">
        <v>378</v>
      </c>
      <c r="N2800" s="55" t="s">
        <v>170</v>
      </c>
      <c r="O2800" s="55" t="s">
        <v>222</v>
      </c>
      <c r="P2800" s="55" t="s">
        <v>2188</v>
      </c>
      <c r="Q2800" s="55" t="s">
        <v>350</v>
      </c>
      <c r="R2800" s="55">
        <v>6</v>
      </c>
      <c r="S2800" s="74"/>
      <c r="T2800" s="55" t="s">
        <v>1528</v>
      </c>
      <c r="U2800" s="73" t="s">
        <v>351</v>
      </c>
      <c r="V2800" s="74">
        <v>44466</v>
      </c>
      <c r="W2800" s="74">
        <v>44501</v>
      </c>
      <c r="X2800" s="55">
        <v>10185480</v>
      </c>
      <c r="Y2800" s="55" t="s">
        <v>132</v>
      </c>
      <c r="AB2800" s="55" t="s">
        <v>132</v>
      </c>
      <c r="AC2800" s="55" t="s">
        <v>132</v>
      </c>
    </row>
    <row r="2801" spans="1:29" ht="13" x14ac:dyDescent="0.15">
      <c r="A2801" s="72" t="str">
        <f t="shared" si="43"/>
        <v>Ofsted Social Care Provider Webpage</v>
      </c>
      <c r="B2801" s="55" t="s">
        <v>5262</v>
      </c>
      <c r="D2801" s="55" t="s">
        <v>373</v>
      </c>
      <c r="E2801" s="74">
        <v>40018</v>
      </c>
      <c r="F2801" s="55" t="s">
        <v>344</v>
      </c>
      <c r="G2801" s="55" t="s">
        <v>360</v>
      </c>
      <c r="H2801" s="55" t="s">
        <v>360</v>
      </c>
      <c r="I2801" s="55" t="s">
        <v>360</v>
      </c>
      <c r="J2801" s="55" t="s">
        <v>360</v>
      </c>
      <c r="K2801" s="55" t="s">
        <v>360</v>
      </c>
      <c r="L2801" s="55" t="s">
        <v>360</v>
      </c>
      <c r="M2801" s="55" t="s">
        <v>150</v>
      </c>
      <c r="N2801" s="55" t="s">
        <v>150</v>
      </c>
      <c r="O2801" s="55" t="s">
        <v>199</v>
      </c>
      <c r="P2801" s="55" t="s">
        <v>199</v>
      </c>
      <c r="Q2801" s="55" t="s">
        <v>380</v>
      </c>
      <c r="R2801" s="55">
        <v>10</v>
      </c>
      <c r="S2801" s="74"/>
      <c r="T2801" s="55" t="s">
        <v>5263</v>
      </c>
      <c r="U2801" s="73" t="s">
        <v>351</v>
      </c>
      <c r="V2801" s="74">
        <v>43768</v>
      </c>
      <c r="W2801" s="74">
        <v>43815</v>
      </c>
      <c r="X2801" s="55">
        <v>10096127</v>
      </c>
      <c r="Y2801" s="55" t="s">
        <v>132</v>
      </c>
      <c r="AB2801" s="55" t="s">
        <v>132</v>
      </c>
      <c r="AC2801" s="55" t="s">
        <v>130</v>
      </c>
    </row>
    <row r="2802" spans="1:29" ht="13" x14ac:dyDescent="0.15">
      <c r="A2802" s="72" t="str">
        <f t="shared" si="43"/>
        <v>Ofsted Social Care Provider Webpage</v>
      </c>
      <c r="B2802" s="55" t="s">
        <v>5264</v>
      </c>
      <c r="D2802" s="55" t="s">
        <v>373</v>
      </c>
      <c r="E2802" s="74">
        <v>40015</v>
      </c>
      <c r="F2802" s="55" t="s">
        <v>344</v>
      </c>
      <c r="G2802" s="55" t="s">
        <v>360</v>
      </c>
      <c r="H2802" s="55" t="s">
        <v>360</v>
      </c>
      <c r="I2802" s="55" t="s">
        <v>360</v>
      </c>
      <c r="J2802" s="55" t="s">
        <v>360</v>
      </c>
      <c r="K2802" s="55" t="s">
        <v>360</v>
      </c>
      <c r="L2802" s="55" t="s">
        <v>360</v>
      </c>
      <c r="M2802" s="55" t="s">
        <v>144</v>
      </c>
      <c r="N2802" s="55" t="s">
        <v>144</v>
      </c>
      <c r="O2802" s="55" t="s">
        <v>271</v>
      </c>
      <c r="P2802" s="55" t="s">
        <v>1120</v>
      </c>
      <c r="Q2802" s="55" t="s">
        <v>350</v>
      </c>
      <c r="R2802" s="55">
        <v>6</v>
      </c>
      <c r="S2802" s="74"/>
      <c r="T2802" s="73" t="s">
        <v>5265</v>
      </c>
      <c r="U2802" s="73" t="s">
        <v>351</v>
      </c>
      <c r="V2802" s="74">
        <v>44418</v>
      </c>
      <c r="W2802" s="74">
        <v>44446</v>
      </c>
      <c r="X2802" s="55">
        <v>10185156</v>
      </c>
      <c r="Y2802" s="55" t="s">
        <v>132</v>
      </c>
      <c r="AB2802" s="55" t="s">
        <v>132</v>
      </c>
      <c r="AC2802" s="55" t="s">
        <v>132</v>
      </c>
    </row>
    <row r="2803" spans="1:29" ht="13" x14ac:dyDescent="0.15">
      <c r="A2803" s="72" t="str">
        <f t="shared" si="43"/>
        <v>Ofsted Social Care Provider Webpage</v>
      </c>
      <c r="B2803" s="55" t="s">
        <v>5266</v>
      </c>
      <c r="D2803" s="55" t="s">
        <v>373</v>
      </c>
      <c r="E2803" s="74">
        <v>39997</v>
      </c>
      <c r="F2803" s="55" t="s">
        <v>344</v>
      </c>
      <c r="G2803" s="55" t="s">
        <v>360</v>
      </c>
      <c r="H2803" s="55" t="s">
        <v>360</v>
      </c>
      <c r="I2803" s="55" t="s">
        <v>360</v>
      </c>
      <c r="J2803" s="55" t="s">
        <v>360</v>
      </c>
      <c r="K2803" s="55" t="s">
        <v>360</v>
      </c>
      <c r="L2803" s="55" t="s">
        <v>360</v>
      </c>
      <c r="M2803" s="55" t="s">
        <v>172</v>
      </c>
      <c r="N2803" s="55" t="s">
        <v>172</v>
      </c>
      <c r="O2803" s="55" t="s">
        <v>284</v>
      </c>
      <c r="P2803" s="55" t="s">
        <v>985</v>
      </c>
      <c r="Q2803" s="55" t="s">
        <v>350</v>
      </c>
      <c r="R2803" s="55">
        <v>5</v>
      </c>
      <c r="S2803" s="55"/>
      <c r="T2803" s="55" t="s">
        <v>5267</v>
      </c>
      <c r="U2803" s="73" t="s">
        <v>351</v>
      </c>
      <c r="V2803" s="74">
        <v>44622</v>
      </c>
      <c r="W2803" s="74">
        <v>44663</v>
      </c>
      <c r="X2803" s="55">
        <v>10187168</v>
      </c>
      <c r="Y2803" s="55" t="s">
        <v>132</v>
      </c>
      <c r="AB2803" s="55" t="s">
        <v>132</v>
      </c>
      <c r="AC2803" s="55" t="s">
        <v>132</v>
      </c>
    </row>
    <row r="2804" spans="1:29" ht="13" x14ac:dyDescent="0.15">
      <c r="A2804" s="72" t="str">
        <f t="shared" si="43"/>
        <v>Ofsted Social Care Provider Webpage</v>
      </c>
      <c r="B2804" s="55" t="s">
        <v>5268</v>
      </c>
      <c r="D2804" s="55" t="s">
        <v>373</v>
      </c>
      <c r="E2804" s="74">
        <v>39994</v>
      </c>
      <c r="F2804" s="55" t="s">
        <v>344</v>
      </c>
      <c r="G2804" s="55" t="s">
        <v>360</v>
      </c>
      <c r="H2804" s="55" t="s">
        <v>360</v>
      </c>
      <c r="I2804" s="55" t="s">
        <v>360</v>
      </c>
      <c r="J2804" s="55" t="s">
        <v>360</v>
      </c>
      <c r="K2804" s="55" t="s">
        <v>360</v>
      </c>
      <c r="L2804" s="55" t="s">
        <v>360</v>
      </c>
      <c r="M2804" s="55" t="s">
        <v>142</v>
      </c>
      <c r="N2804" s="55" t="s">
        <v>142</v>
      </c>
      <c r="O2804" s="55" t="s">
        <v>141</v>
      </c>
      <c r="P2804" s="55" t="s">
        <v>795</v>
      </c>
      <c r="Q2804" s="55" t="s">
        <v>350</v>
      </c>
      <c r="R2804" s="55">
        <v>2</v>
      </c>
      <c r="S2804" s="55"/>
      <c r="T2804" s="55" t="s">
        <v>385</v>
      </c>
      <c r="U2804" s="73" t="s">
        <v>351</v>
      </c>
      <c r="V2804" s="74">
        <v>44355</v>
      </c>
      <c r="W2804" s="74">
        <v>44379</v>
      </c>
      <c r="X2804" s="55">
        <v>10185931</v>
      </c>
      <c r="Y2804" s="55" t="s">
        <v>132</v>
      </c>
      <c r="AB2804" s="55" t="s">
        <v>132</v>
      </c>
      <c r="AC2804" s="55" t="s">
        <v>132</v>
      </c>
    </row>
    <row r="2805" spans="1:29" ht="13" x14ac:dyDescent="0.15">
      <c r="A2805" s="72" t="str">
        <f t="shared" si="43"/>
        <v>Ofsted Social Care Provider Webpage</v>
      </c>
      <c r="B2805" s="55" t="s">
        <v>5269</v>
      </c>
      <c r="D2805" s="55" t="s">
        <v>389</v>
      </c>
      <c r="E2805" s="74">
        <v>40116</v>
      </c>
      <c r="F2805" s="55" t="s">
        <v>344</v>
      </c>
      <c r="G2805" s="55" t="s">
        <v>5270</v>
      </c>
      <c r="H2805" s="55" t="s">
        <v>5271</v>
      </c>
      <c r="I2805" s="55" t="s">
        <v>5272</v>
      </c>
      <c r="J2805" s="55" t="s">
        <v>5273</v>
      </c>
      <c r="K2805" s="55" t="s">
        <v>209</v>
      </c>
      <c r="L2805" s="55" t="s">
        <v>5274</v>
      </c>
      <c r="M2805" s="55" t="s">
        <v>144</v>
      </c>
      <c r="N2805" s="55" t="s">
        <v>144</v>
      </c>
      <c r="O2805" s="55" t="s">
        <v>209</v>
      </c>
      <c r="P2805" s="55" t="s">
        <v>544</v>
      </c>
      <c r="Q2805" s="55" t="s">
        <v>350</v>
      </c>
      <c r="R2805" s="55"/>
      <c r="S2805" s="55"/>
      <c r="T2805" s="55" t="s">
        <v>5270</v>
      </c>
      <c r="U2805" s="73" t="s">
        <v>351</v>
      </c>
      <c r="V2805" s="74">
        <v>43598</v>
      </c>
      <c r="W2805" s="74">
        <v>43634</v>
      </c>
      <c r="X2805" s="55">
        <v>10093250</v>
      </c>
      <c r="Y2805" s="55" t="s">
        <v>132</v>
      </c>
      <c r="AB2805" s="55" t="s">
        <v>132</v>
      </c>
      <c r="AC2805" s="55" t="s">
        <v>132</v>
      </c>
    </row>
    <row r="2806" spans="1:29" ht="13" x14ac:dyDescent="0.15">
      <c r="A2806" s="72" t="str">
        <f t="shared" si="43"/>
        <v>Ofsted Social Care Provider Webpage</v>
      </c>
      <c r="B2806" s="55" t="s">
        <v>5275</v>
      </c>
      <c r="D2806" s="55" t="s">
        <v>373</v>
      </c>
      <c r="E2806" s="74">
        <v>39989</v>
      </c>
      <c r="F2806" s="55" t="s">
        <v>344</v>
      </c>
      <c r="G2806" s="55" t="s">
        <v>360</v>
      </c>
      <c r="H2806" s="55" t="s">
        <v>360</v>
      </c>
      <c r="I2806" s="55" t="s">
        <v>360</v>
      </c>
      <c r="J2806" s="55" t="s">
        <v>360</v>
      </c>
      <c r="K2806" s="55" t="s">
        <v>360</v>
      </c>
      <c r="L2806" s="55" t="s">
        <v>360</v>
      </c>
      <c r="M2806" s="55" t="s">
        <v>142</v>
      </c>
      <c r="N2806" s="55" t="s">
        <v>142</v>
      </c>
      <c r="O2806" s="55" t="s">
        <v>252</v>
      </c>
      <c r="P2806" s="55" t="s">
        <v>388</v>
      </c>
      <c r="Q2806" s="55" t="s">
        <v>350</v>
      </c>
      <c r="R2806" s="55">
        <v>1</v>
      </c>
      <c r="S2806" s="55"/>
      <c r="T2806" s="55" t="s">
        <v>504</v>
      </c>
      <c r="U2806" s="73" t="s">
        <v>351</v>
      </c>
      <c r="V2806" s="74">
        <v>44607</v>
      </c>
      <c r="W2806" s="74">
        <v>44650</v>
      </c>
      <c r="X2806" s="55">
        <v>10187433</v>
      </c>
      <c r="Y2806" s="55" t="s">
        <v>132</v>
      </c>
      <c r="AB2806" s="55" t="s">
        <v>132</v>
      </c>
      <c r="AC2806" s="55" t="s">
        <v>140</v>
      </c>
    </row>
    <row r="2807" spans="1:29" ht="13" x14ac:dyDescent="0.15">
      <c r="A2807" s="72" t="str">
        <f t="shared" si="43"/>
        <v>Ofsted Social Care Provider Webpage</v>
      </c>
      <c r="B2807" s="55" t="s">
        <v>5276</v>
      </c>
      <c r="D2807" s="55" t="s">
        <v>479</v>
      </c>
      <c r="E2807" s="74">
        <v>40009</v>
      </c>
      <c r="F2807" s="55" t="s">
        <v>344</v>
      </c>
      <c r="G2807" s="55" t="s">
        <v>360</v>
      </c>
      <c r="H2807" s="55" t="s">
        <v>360</v>
      </c>
      <c r="I2807" s="55" t="s">
        <v>360</v>
      </c>
      <c r="J2807" s="55" t="s">
        <v>360</v>
      </c>
      <c r="K2807" s="55" t="s">
        <v>360</v>
      </c>
      <c r="L2807" s="55" t="s">
        <v>360</v>
      </c>
      <c r="M2807" s="55" t="s">
        <v>150</v>
      </c>
      <c r="N2807" s="55" t="s">
        <v>150</v>
      </c>
      <c r="O2807" s="55" t="s">
        <v>181</v>
      </c>
      <c r="P2807" s="55" t="s">
        <v>937</v>
      </c>
      <c r="Q2807" s="55" t="s">
        <v>362</v>
      </c>
      <c r="R2807" s="55">
        <v>27</v>
      </c>
      <c r="S2807" s="55"/>
      <c r="T2807" s="55" t="s">
        <v>5277</v>
      </c>
      <c r="U2807" s="73" t="s">
        <v>351</v>
      </c>
      <c r="V2807" s="74">
        <v>44460</v>
      </c>
      <c r="W2807" s="74">
        <v>44497</v>
      </c>
      <c r="X2807" s="55">
        <v>10185435</v>
      </c>
      <c r="Y2807" s="55" t="s">
        <v>132</v>
      </c>
      <c r="AB2807" s="55" t="s">
        <v>130</v>
      </c>
      <c r="AC2807" s="55" t="s">
        <v>132</v>
      </c>
    </row>
    <row r="2808" spans="1:29" ht="13" x14ac:dyDescent="0.15">
      <c r="A2808" s="72" t="str">
        <f t="shared" si="43"/>
        <v>Ofsted Social Care Provider Webpage</v>
      </c>
      <c r="B2808" s="55" t="s">
        <v>5278</v>
      </c>
      <c r="D2808" s="55" t="s">
        <v>373</v>
      </c>
      <c r="E2808" s="74">
        <v>39995</v>
      </c>
      <c r="F2808" s="55" t="s">
        <v>344</v>
      </c>
      <c r="G2808" s="55" t="s">
        <v>360</v>
      </c>
      <c r="H2808" s="55" t="s">
        <v>360</v>
      </c>
      <c r="I2808" s="55" t="s">
        <v>360</v>
      </c>
      <c r="J2808" s="55" t="s">
        <v>360</v>
      </c>
      <c r="K2808" s="55" t="s">
        <v>360</v>
      </c>
      <c r="L2808" s="55" t="s">
        <v>360</v>
      </c>
      <c r="M2808" s="55" t="s">
        <v>142</v>
      </c>
      <c r="N2808" s="55" t="s">
        <v>142</v>
      </c>
      <c r="O2808" s="55" t="s">
        <v>272</v>
      </c>
      <c r="P2808" s="55" t="s">
        <v>653</v>
      </c>
      <c r="Q2808" s="55" t="s">
        <v>350</v>
      </c>
      <c r="R2808" s="55">
        <v>3</v>
      </c>
      <c r="S2808" s="55"/>
      <c r="T2808" s="55" t="s">
        <v>1260</v>
      </c>
      <c r="U2808" s="73" t="s">
        <v>351</v>
      </c>
      <c r="V2808" s="74">
        <v>44544</v>
      </c>
      <c r="W2808" s="74">
        <v>44589</v>
      </c>
      <c r="X2808" s="55">
        <v>10185395</v>
      </c>
      <c r="Y2808" s="55" t="s">
        <v>130</v>
      </c>
      <c r="AB2808" s="55" t="s">
        <v>130</v>
      </c>
      <c r="AC2808" s="55" t="s">
        <v>130</v>
      </c>
    </row>
    <row r="2809" spans="1:29" ht="13" x14ac:dyDescent="0.15">
      <c r="A2809" s="72" t="str">
        <f t="shared" si="43"/>
        <v>Ofsted Social Care Provider Webpage</v>
      </c>
      <c r="B2809" s="55" t="s">
        <v>5279</v>
      </c>
      <c r="D2809" s="55" t="s">
        <v>373</v>
      </c>
      <c r="E2809" s="74">
        <v>40024</v>
      </c>
      <c r="F2809" s="55" t="s">
        <v>344</v>
      </c>
      <c r="G2809" s="55" t="s">
        <v>360</v>
      </c>
      <c r="H2809" s="55" t="s">
        <v>360</v>
      </c>
      <c r="I2809" s="55" t="s">
        <v>360</v>
      </c>
      <c r="J2809" s="55" t="s">
        <v>360</v>
      </c>
      <c r="K2809" s="55" t="s">
        <v>360</v>
      </c>
      <c r="L2809" s="55" t="s">
        <v>360</v>
      </c>
      <c r="M2809" s="55" t="s">
        <v>144</v>
      </c>
      <c r="N2809" s="55" t="s">
        <v>144</v>
      </c>
      <c r="O2809" s="55" t="s">
        <v>163</v>
      </c>
      <c r="P2809" s="55" t="s">
        <v>614</v>
      </c>
      <c r="Q2809" s="55" t="s">
        <v>350</v>
      </c>
      <c r="R2809" s="55">
        <v>4</v>
      </c>
      <c r="S2809" s="55"/>
      <c r="T2809" s="55" t="s">
        <v>4738</v>
      </c>
      <c r="U2809" s="73" t="s">
        <v>351</v>
      </c>
      <c r="V2809" s="74">
        <v>43734</v>
      </c>
      <c r="W2809" s="74">
        <v>43762</v>
      </c>
      <c r="X2809" s="55">
        <v>10096128</v>
      </c>
      <c r="Y2809" s="55" t="s">
        <v>132</v>
      </c>
      <c r="AB2809" s="55" t="s">
        <v>132</v>
      </c>
      <c r="AC2809" s="55" t="s">
        <v>140</v>
      </c>
    </row>
    <row r="2810" spans="1:29" ht="13" x14ac:dyDescent="0.15">
      <c r="A2810" s="72" t="str">
        <f t="shared" si="43"/>
        <v>Ofsted Social Care Provider Webpage</v>
      </c>
      <c r="B2810" s="55" t="s">
        <v>5280</v>
      </c>
      <c r="D2810" s="55" t="s">
        <v>443</v>
      </c>
      <c r="E2810" s="74">
        <v>40000</v>
      </c>
      <c r="F2810" s="55" t="s">
        <v>344</v>
      </c>
      <c r="G2810" s="55" t="s">
        <v>5281</v>
      </c>
      <c r="H2810" s="55" t="s">
        <v>5282</v>
      </c>
      <c r="I2810" s="55" t="s">
        <v>5283</v>
      </c>
      <c r="J2810" s="55" t="s">
        <v>5284</v>
      </c>
      <c r="K2810" s="55" t="s">
        <v>141</v>
      </c>
      <c r="L2810" s="55" t="s">
        <v>3265</v>
      </c>
      <c r="M2810" s="55" t="s">
        <v>142</v>
      </c>
      <c r="N2810" s="55" t="s">
        <v>142</v>
      </c>
      <c r="O2810" s="55" t="s">
        <v>282</v>
      </c>
      <c r="P2810" s="55" t="s">
        <v>3266</v>
      </c>
      <c r="Q2810" s="55" t="s">
        <v>362</v>
      </c>
      <c r="R2810" s="55"/>
      <c r="S2810" s="55"/>
      <c r="T2810" s="55" t="s">
        <v>3263</v>
      </c>
      <c r="U2810" s="73" t="s">
        <v>351</v>
      </c>
      <c r="V2810" s="74">
        <v>44601</v>
      </c>
      <c r="W2810" s="74">
        <v>44641</v>
      </c>
      <c r="X2810" s="55">
        <v>10183304</v>
      </c>
      <c r="Y2810" s="55" t="s">
        <v>140</v>
      </c>
      <c r="AB2810" s="55" t="s">
        <v>140</v>
      </c>
      <c r="AC2810" s="55" t="s">
        <v>140</v>
      </c>
    </row>
    <row r="2811" spans="1:29" ht="13" x14ac:dyDescent="0.15">
      <c r="A2811" s="72" t="str">
        <f t="shared" si="43"/>
        <v>Ofsted Social Care Provider Webpage</v>
      </c>
      <c r="B2811" s="55" t="s">
        <v>5285</v>
      </c>
      <c r="D2811" s="55" t="s">
        <v>373</v>
      </c>
      <c r="E2811" s="74">
        <v>40058</v>
      </c>
      <c r="F2811" s="55" t="s">
        <v>344</v>
      </c>
      <c r="G2811" s="55" t="s">
        <v>360</v>
      </c>
      <c r="H2811" s="55" t="s">
        <v>360</v>
      </c>
      <c r="I2811" s="55" t="s">
        <v>360</v>
      </c>
      <c r="J2811" s="55" t="s">
        <v>360</v>
      </c>
      <c r="K2811" s="55" t="s">
        <v>360</v>
      </c>
      <c r="L2811" s="55" t="s">
        <v>360</v>
      </c>
      <c r="M2811" s="55" t="s">
        <v>172</v>
      </c>
      <c r="N2811" s="55" t="s">
        <v>172</v>
      </c>
      <c r="O2811" s="55" t="s">
        <v>171</v>
      </c>
      <c r="P2811" s="55" t="s">
        <v>895</v>
      </c>
      <c r="Q2811" s="55" t="s">
        <v>380</v>
      </c>
      <c r="R2811" s="55">
        <v>5</v>
      </c>
      <c r="S2811" s="55"/>
      <c r="T2811" s="55" t="s">
        <v>3360</v>
      </c>
      <c r="U2811" s="73" t="s">
        <v>351</v>
      </c>
      <c r="V2811" s="74">
        <v>44335</v>
      </c>
      <c r="W2811" s="74">
        <v>44371</v>
      </c>
      <c r="X2811" s="55">
        <v>10186995</v>
      </c>
      <c r="Y2811" s="55" t="s">
        <v>132</v>
      </c>
      <c r="AB2811" s="55" t="s">
        <v>132</v>
      </c>
      <c r="AC2811" s="55" t="s">
        <v>132</v>
      </c>
    </row>
    <row r="2812" spans="1:29" ht="13" x14ac:dyDescent="0.15">
      <c r="A2812" s="72" t="str">
        <f t="shared" si="43"/>
        <v>Ofsted Social Care Provider Webpage</v>
      </c>
      <c r="B2812" s="55" t="s">
        <v>5286</v>
      </c>
      <c r="D2812" s="55" t="s">
        <v>373</v>
      </c>
      <c r="E2812" s="74">
        <v>40053</v>
      </c>
      <c r="F2812" s="55" t="s">
        <v>344</v>
      </c>
      <c r="G2812" s="55" t="s">
        <v>360</v>
      </c>
      <c r="H2812" s="55" t="s">
        <v>360</v>
      </c>
      <c r="I2812" s="55" t="s">
        <v>360</v>
      </c>
      <c r="J2812" s="55" t="s">
        <v>360</v>
      </c>
      <c r="K2812" s="55" t="s">
        <v>360</v>
      </c>
      <c r="L2812" s="55" t="s">
        <v>360</v>
      </c>
      <c r="M2812" s="55" t="s">
        <v>144</v>
      </c>
      <c r="N2812" s="55" t="s">
        <v>144</v>
      </c>
      <c r="O2812" s="55" t="s">
        <v>147</v>
      </c>
      <c r="P2812" s="55" t="s">
        <v>674</v>
      </c>
      <c r="Q2812" s="55" t="s">
        <v>362</v>
      </c>
      <c r="R2812" s="55">
        <v>4</v>
      </c>
      <c r="S2812" s="55"/>
      <c r="T2812" s="55" t="s">
        <v>675</v>
      </c>
      <c r="U2812" s="73" t="s">
        <v>351</v>
      </c>
      <c r="V2812" s="74">
        <v>44452</v>
      </c>
      <c r="W2812" s="74">
        <v>44491</v>
      </c>
      <c r="X2812" s="55">
        <v>10185589</v>
      </c>
      <c r="Y2812" s="55" t="s">
        <v>130</v>
      </c>
      <c r="AB2812" s="55" t="s">
        <v>130</v>
      </c>
      <c r="AC2812" s="55" t="s">
        <v>130</v>
      </c>
    </row>
    <row r="2813" spans="1:29" ht="13" x14ac:dyDescent="0.15">
      <c r="A2813" s="72" t="str">
        <f t="shared" si="43"/>
        <v>Ofsted Social Care Provider Webpage</v>
      </c>
      <c r="B2813" s="55" t="s">
        <v>5287</v>
      </c>
      <c r="D2813" s="55" t="s">
        <v>389</v>
      </c>
      <c r="E2813" s="74">
        <v>40087</v>
      </c>
      <c r="F2813" s="55" t="s">
        <v>344</v>
      </c>
      <c r="G2813" s="55" t="s">
        <v>5288</v>
      </c>
      <c r="H2813" s="55" t="s">
        <v>5289</v>
      </c>
      <c r="I2813" s="55" t="s">
        <v>5290</v>
      </c>
      <c r="J2813" s="55" t="s">
        <v>5291</v>
      </c>
      <c r="K2813" s="55" t="s">
        <v>190</v>
      </c>
      <c r="L2813" s="55" t="s">
        <v>5292</v>
      </c>
      <c r="M2813" s="55" t="s">
        <v>150</v>
      </c>
      <c r="N2813" s="55" t="s">
        <v>150</v>
      </c>
      <c r="O2813" s="55" t="s">
        <v>190</v>
      </c>
      <c r="P2813" s="55" t="s">
        <v>1703</v>
      </c>
      <c r="Q2813" s="55" t="s">
        <v>350</v>
      </c>
      <c r="R2813" s="55"/>
      <c r="S2813" s="55"/>
      <c r="T2813" s="55" t="s">
        <v>5293</v>
      </c>
      <c r="U2813" s="73" t="s">
        <v>351</v>
      </c>
      <c r="V2813" s="74">
        <v>44480</v>
      </c>
      <c r="W2813" s="74">
        <v>44537</v>
      </c>
      <c r="X2813" s="55">
        <v>10183413</v>
      </c>
      <c r="Y2813" s="55" t="s">
        <v>130</v>
      </c>
      <c r="AB2813" s="55" t="s">
        <v>130</v>
      </c>
      <c r="AC2813" s="55" t="s">
        <v>130</v>
      </c>
    </row>
    <row r="2814" spans="1:29" ht="13" x14ac:dyDescent="0.15">
      <c r="A2814" s="72" t="str">
        <f t="shared" si="43"/>
        <v>Ofsted Social Care Provider Webpage</v>
      </c>
      <c r="B2814" s="55" t="s">
        <v>5294</v>
      </c>
      <c r="D2814" s="55" t="s">
        <v>373</v>
      </c>
      <c r="E2814" s="74">
        <v>40024</v>
      </c>
      <c r="F2814" s="55" t="s">
        <v>344</v>
      </c>
      <c r="G2814" s="55" t="s">
        <v>360</v>
      </c>
      <c r="H2814" s="55" t="s">
        <v>360</v>
      </c>
      <c r="I2814" s="55" t="s">
        <v>360</v>
      </c>
      <c r="J2814" s="55" t="s">
        <v>360</v>
      </c>
      <c r="K2814" s="55" t="s">
        <v>360</v>
      </c>
      <c r="L2814" s="55" t="s">
        <v>360</v>
      </c>
      <c r="M2814" s="55" t="s">
        <v>142</v>
      </c>
      <c r="N2814" s="55" t="s">
        <v>142</v>
      </c>
      <c r="O2814" s="55" t="s">
        <v>272</v>
      </c>
      <c r="P2814" s="55" t="s">
        <v>1291</v>
      </c>
      <c r="Q2814" s="55" t="s">
        <v>350</v>
      </c>
      <c r="R2814" s="55">
        <v>2</v>
      </c>
      <c r="S2814" s="55"/>
      <c r="T2814" s="55" t="s">
        <v>654</v>
      </c>
      <c r="U2814" s="73" t="s">
        <v>351</v>
      </c>
      <c r="V2814" s="74">
        <v>44384</v>
      </c>
      <c r="W2814" s="74">
        <v>44439</v>
      </c>
      <c r="X2814" s="55">
        <v>10187290</v>
      </c>
      <c r="Y2814" s="55" t="s">
        <v>130</v>
      </c>
      <c r="AB2814" s="55" t="s">
        <v>130</v>
      </c>
      <c r="AC2814" s="55" t="s">
        <v>146</v>
      </c>
    </row>
    <row r="2815" spans="1:29" ht="13" x14ac:dyDescent="0.15">
      <c r="A2815" s="72" t="str">
        <f t="shared" si="43"/>
        <v>Ofsted Social Care Provider Webpage</v>
      </c>
      <c r="B2815" s="55" t="s">
        <v>5295</v>
      </c>
      <c r="D2815" s="55" t="s">
        <v>373</v>
      </c>
      <c r="E2815" s="74">
        <v>40106</v>
      </c>
      <c r="F2815" s="55" t="s">
        <v>344</v>
      </c>
      <c r="G2815" s="55" t="s">
        <v>360</v>
      </c>
      <c r="H2815" s="55" t="s">
        <v>360</v>
      </c>
      <c r="I2815" s="55" t="s">
        <v>360</v>
      </c>
      <c r="J2815" s="55" t="s">
        <v>360</v>
      </c>
      <c r="K2815" s="55" t="s">
        <v>360</v>
      </c>
      <c r="L2815" s="55" t="s">
        <v>360</v>
      </c>
      <c r="M2815" s="55" t="s">
        <v>144</v>
      </c>
      <c r="N2815" s="55" t="s">
        <v>144</v>
      </c>
      <c r="O2815" s="55" t="s">
        <v>163</v>
      </c>
      <c r="P2815" s="55" t="s">
        <v>1587</v>
      </c>
      <c r="Q2815" s="55" t="s">
        <v>350</v>
      </c>
      <c r="R2815" s="55">
        <v>2</v>
      </c>
      <c r="S2815" s="55"/>
      <c r="T2815" s="55" t="s">
        <v>5181</v>
      </c>
      <c r="U2815" s="73" t="s">
        <v>351</v>
      </c>
      <c r="V2815" s="74">
        <v>44614</v>
      </c>
      <c r="W2815" s="74">
        <v>44658</v>
      </c>
      <c r="X2815" s="55">
        <v>10186569</v>
      </c>
      <c r="Y2815" s="55" t="s">
        <v>130</v>
      </c>
      <c r="AB2815" s="55" t="s">
        <v>130</v>
      </c>
      <c r="AC2815" s="55" t="s">
        <v>146</v>
      </c>
    </row>
    <row r="2816" spans="1:29" ht="13" x14ac:dyDescent="0.15">
      <c r="A2816" s="72" t="str">
        <f t="shared" si="43"/>
        <v>Ofsted Social Care Provider Webpage</v>
      </c>
      <c r="B2816" s="55" t="s">
        <v>5296</v>
      </c>
      <c r="D2816" s="55" t="s">
        <v>373</v>
      </c>
      <c r="E2816" s="74">
        <v>40050</v>
      </c>
      <c r="F2816" s="55" t="s">
        <v>344</v>
      </c>
      <c r="G2816" s="55" t="s">
        <v>360</v>
      </c>
      <c r="H2816" s="55" t="s">
        <v>360</v>
      </c>
      <c r="I2816" s="55" t="s">
        <v>360</v>
      </c>
      <c r="J2816" s="55" t="s">
        <v>360</v>
      </c>
      <c r="K2816" s="55" t="s">
        <v>360</v>
      </c>
      <c r="L2816" s="55" t="s">
        <v>360</v>
      </c>
      <c r="M2816" s="55" t="s">
        <v>144</v>
      </c>
      <c r="N2816" s="55" t="s">
        <v>144</v>
      </c>
      <c r="O2816" s="55" t="s">
        <v>168</v>
      </c>
      <c r="P2816" s="55" t="s">
        <v>913</v>
      </c>
      <c r="Q2816" s="55" t="s">
        <v>350</v>
      </c>
      <c r="R2816" s="55">
        <v>5</v>
      </c>
      <c r="S2816" s="55"/>
      <c r="T2816" s="55" t="s">
        <v>2358</v>
      </c>
      <c r="U2816" s="73" t="s">
        <v>351</v>
      </c>
      <c r="V2816" s="74">
        <v>44328</v>
      </c>
      <c r="W2816" s="74">
        <v>44368</v>
      </c>
      <c r="X2816" s="55">
        <v>10187594</v>
      </c>
      <c r="Y2816" s="55" t="s">
        <v>132</v>
      </c>
      <c r="AB2816" s="55" t="s">
        <v>132</v>
      </c>
      <c r="AC2816" s="55" t="s">
        <v>132</v>
      </c>
    </row>
    <row r="2817" spans="1:29" ht="13" x14ac:dyDescent="0.15">
      <c r="A2817" s="72" t="str">
        <f t="shared" si="43"/>
        <v>Ofsted Social Care Provider Webpage</v>
      </c>
      <c r="B2817" s="55" t="s">
        <v>5297</v>
      </c>
      <c r="D2817" s="55" t="s">
        <v>373</v>
      </c>
      <c r="E2817" s="74">
        <v>40015</v>
      </c>
      <c r="F2817" s="55" t="s">
        <v>344</v>
      </c>
      <c r="G2817" s="55" t="s">
        <v>360</v>
      </c>
      <c r="H2817" s="55" t="s">
        <v>360</v>
      </c>
      <c r="I2817" s="55" t="s">
        <v>360</v>
      </c>
      <c r="J2817" s="55" t="s">
        <v>360</v>
      </c>
      <c r="K2817" s="55" t="s">
        <v>360</v>
      </c>
      <c r="L2817" s="55" t="s">
        <v>360</v>
      </c>
      <c r="M2817" s="55" t="s">
        <v>142</v>
      </c>
      <c r="N2817" s="55" t="s">
        <v>142</v>
      </c>
      <c r="O2817" s="55" t="s">
        <v>272</v>
      </c>
      <c r="P2817" s="55" t="s">
        <v>1291</v>
      </c>
      <c r="Q2817" s="55" t="s">
        <v>350</v>
      </c>
      <c r="R2817" s="55">
        <v>4</v>
      </c>
      <c r="S2817" s="55"/>
      <c r="T2817" s="55" t="s">
        <v>1253</v>
      </c>
      <c r="U2817" s="73" t="s">
        <v>351</v>
      </c>
      <c r="V2817" s="74">
        <v>44412</v>
      </c>
      <c r="W2817" s="74">
        <v>44459</v>
      </c>
      <c r="X2817" s="55">
        <v>10187082</v>
      </c>
      <c r="Y2817" s="55" t="s">
        <v>132</v>
      </c>
      <c r="AB2817" s="55" t="s">
        <v>130</v>
      </c>
      <c r="AC2817" s="55" t="s">
        <v>132</v>
      </c>
    </row>
    <row r="2818" spans="1:29" ht="13" x14ac:dyDescent="0.15">
      <c r="A2818" s="72" t="str">
        <f t="shared" si="43"/>
        <v>Ofsted Social Care Provider Webpage</v>
      </c>
      <c r="B2818" s="55" t="s">
        <v>5298</v>
      </c>
      <c r="D2818" s="55" t="s">
        <v>373</v>
      </c>
      <c r="E2818" s="74">
        <v>40015</v>
      </c>
      <c r="F2818" s="55" t="s">
        <v>344</v>
      </c>
      <c r="G2818" s="55" t="s">
        <v>360</v>
      </c>
      <c r="H2818" s="55" t="s">
        <v>360</v>
      </c>
      <c r="I2818" s="55" t="s">
        <v>360</v>
      </c>
      <c r="J2818" s="55" t="s">
        <v>360</v>
      </c>
      <c r="K2818" s="55" t="s">
        <v>360</v>
      </c>
      <c r="L2818" s="55" t="s">
        <v>360</v>
      </c>
      <c r="M2818" s="55" t="s">
        <v>142</v>
      </c>
      <c r="N2818" s="55" t="s">
        <v>142</v>
      </c>
      <c r="O2818" s="55" t="s">
        <v>272</v>
      </c>
      <c r="P2818" s="55" t="s">
        <v>653</v>
      </c>
      <c r="Q2818" s="55" t="s">
        <v>350</v>
      </c>
      <c r="R2818" s="55">
        <v>4</v>
      </c>
      <c r="S2818" s="55"/>
      <c r="T2818" s="55" t="s">
        <v>1253</v>
      </c>
      <c r="U2818" s="73" t="s">
        <v>351</v>
      </c>
      <c r="V2818" s="74">
        <v>44461</v>
      </c>
      <c r="W2818" s="74">
        <v>44518</v>
      </c>
      <c r="X2818" s="55">
        <v>10187145</v>
      </c>
      <c r="Y2818" s="55" t="s">
        <v>132</v>
      </c>
      <c r="AB2818" s="55" t="s">
        <v>132</v>
      </c>
      <c r="AC2818" s="55" t="s">
        <v>132</v>
      </c>
    </row>
    <row r="2819" spans="1:29" ht="13" x14ac:dyDescent="0.15">
      <c r="A2819" s="72" t="str">
        <f t="shared" si="43"/>
        <v>Ofsted Social Care Provider Webpage</v>
      </c>
      <c r="B2819" s="55" t="s">
        <v>5299</v>
      </c>
      <c r="D2819" s="55" t="s">
        <v>389</v>
      </c>
      <c r="E2819" s="74">
        <v>40007</v>
      </c>
      <c r="F2819" s="55" t="s">
        <v>344</v>
      </c>
      <c r="G2819" s="55" t="s">
        <v>5300</v>
      </c>
      <c r="H2819" s="55" t="s">
        <v>5301</v>
      </c>
      <c r="I2819" s="55" t="s">
        <v>354</v>
      </c>
      <c r="J2819" s="55" t="s">
        <v>5302</v>
      </c>
      <c r="K2819" s="55" t="s">
        <v>252</v>
      </c>
      <c r="L2819" s="55" t="s">
        <v>5303</v>
      </c>
      <c r="M2819" s="55" t="s">
        <v>142</v>
      </c>
      <c r="N2819" s="55" t="s">
        <v>142</v>
      </c>
      <c r="O2819" s="55" t="s">
        <v>262</v>
      </c>
      <c r="P2819" s="55" t="s">
        <v>523</v>
      </c>
      <c r="Q2819" s="55" t="s">
        <v>350</v>
      </c>
      <c r="R2819" s="55"/>
      <c r="S2819" s="55"/>
      <c r="T2819" s="55" t="s">
        <v>1253</v>
      </c>
      <c r="U2819" s="73" t="s">
        <v>351</v>
      </c>
      <c r="V2819" s="74">
        <v>44487</v>
      </c>
      <c r="W2819" s="74">
        <v>44538</v>
      </c>
      <c r="X2819" s="55">
        <v>10183432</v>
      </c>
      <c r="Y2819" s="55" t="s">
        <v>132</v>
      </c>
      <c r="AB2819" s="55" t="s">
        <v>132</v>
      </c>
      <c r="AC2819" s="55" t="s">
        <v>130</v>
      </c>
    </row>
    <row r="2820" spans="1:29" ht="13" x14ac:dyDescent="0.15">
      <c r="A2820" s="72" t="str">
        <f t="shared" si="43"/>
        <v>Ofsted Social Care Provider Webpage</v>
      </c>
      <c r="B2820" s="55" t="s">
        <v>5304</v>
      </c>
      <c r="D2820" s="55" t="s">
        <v>373</v>
      </c>
      <c r="E2820" s="74">
        <v>40015</v>
      </c>
      <c r="F2820" s="55" t="s">
        <v>344</v>
      </c>
      <c r="G2820" s="55" t="s">
        <v>360</v>
      </c>
      <c r="H2820" s="55" t="s">
        <v>360</v>
      </c>
      <c r="I2820" s="55" t="s">
        <v>360</v>
      </c>
      <c r="J2820" s="55" t="s">
        <v>360</v>
      </c>
      <c r="K2820" s="55" t="s">
        <v>360</v>
      </c>
      <c r="L2820" s="55" t="s">
        <v>360</v>
      </c>
      <c r="M2820" s="55" t="s">
        <v>142</v>
      </c>
      <c r="N2820" s="55" t="s">
        <v>142</v>
      </c>
      <c r="O2820" s="55" t="s">
        <v>252</v>
      </c>
      <c r="P2820" s="55" t="s">
        <v>653</v>
      </c>
      <c r="Q2820" s="55" t="s">
        <v>350</v>
      </c>
      <c r="R2820" s="55">
        <v>3</v>
      </c>
      <c r="S2820" s="55"/>
      <c r="T2820" s="55" t="s">
        <v>1253</v>
      </c>
      <c r="U2820" s="73" t="s">
        <v>351</v>
      </c>
      <c r="V2820" s="74">
        <v>44425</v>
      </c>
      <c r="W2820" s="74">
        <v>44463</v>
      </c>
      <c r="X2820" s="55">
        <v>10187312</v>
      </c>
      <c r="Y2820" s="55" t="s">
        <v>132</v>
      </c>
      <c r="AB2820" s="55" t="s">
        <v>130</v>
      </c>
      <c r="AC2820" s="55" t="s">
        <v>132</v>
      </c>
    </row>
    <row r="2821" spans="1:29" ht="13" x14ac:dyDescent="0.15">
      <c r="A2821" s="72" t="str">
        <f t="shared" si="43"/>
        <v>Ofsted Social Care Provider Webpage</v>
      </c>
      <c r="B2821" s="55" t="s">
        <v>5305</v>
      </c>
      <c r="D2821" s="55" t="s">
        <v>373</v>
      </c>
      <c r="E2821" s="74">
        <v>40015</v>
      </c>
      <c r="F2821" s="55" t="s">
        <v>344</v>
      </c>
      <c r="G2821" s="55" t="s">
        <v>360</v>
      </c>
      <c r="H2821" s="55" t="s">
        <v>360</v>
      </c>
      <c r="I2821" s="55" t="s">
        <v>360</v>
      </c>
      <c r="J2821" s="55" t="s">
        <v>360</v>
      </c>
      <c r="K2821" s="55" t="s">
        <v>360</v>
      </c>
      <c r="L2821" s="55" t="s">
        <v>360</v>
      </c>
      <c r="M2821" s="55" t="s">
        <v>142</v>
      </c>
      <c r="N2821" s="55" t="s">
        <v>142</v>
      </c>
      <c r="O2821" s="55" t="s">
        <v>252</v>
      </c>
      <c r="P2821" s="55" t="s">
        <v>503</v>
      </c>
      <c r="Q2821" s="55" t="s">
        <v>350</v>
      </c>
      <c r="R2821" s="55">
        <v>3</v>
      </c>
      <c r="S2821" s="55"/>
      <c r="T2821" s="55" t="s">
        <v>1253</v>
      </c>
      <c r="U2821" s="73" t="s">
        <v>351</v>
      </c>
      <c r="V2821" s="74">
        <v>44397</v>
      </c>
      <c r="W2821" s="74">
        <v>44454</v>
      </c>
      <c r="X2821" s="55">
        <v>10185925</v>
      </c>
      <c r="Y2821" s="55" t="s">
        <v>132</v>
      </c>
      <c r="AB2821" s="55" t="s">
        <v>132</v>
      </c>
      <c r="AC2821" s="55" t="s">
        <v>132</v>
      </c>
    </row>
    <row r="2822" spans="1:29" ht="13" x14ac:dyDescent="0.15">
      <c r="A2822" s="72" t="str">
        <f t="shared" ref="A2822:A2885" si="44">HYPERLINK(_xlfn.CONCAT("http://reports.ofsted.gov.uk/inspection-reports/find-inspection-report/provider/CARE/",B2822),"Ofsted Social Care Provider Webpage")</f>
        <v>Ofsted Social Care Provider Webpage</v>
      </c>
      <c r="B2822" s="55" t="s">
        <v>5306</v>
      </c>
      <c r="D2822" s="55" t="s">
        <v>373</v>
      </c>
      <c r="E2822" s="74">
        <v>40015</v>
      </c>
      <c r="F2822" s="55" t="s">
        <v>344</v>
      </c>
      <c r="G2822" s="55" t="s">
        <v>360</v>
      </c>
      <c r="H2822" s="55" t="s">
        <v>360</v>
      </c>
      <c r="I2822" s="55" t="s">
        <v>360</v>
      </c>
      <c r="J2822" s="55" t="s">
        <v>360</v>
      </c>
      <c r="K2822" s="55" t="s">
        <v>360</v>
      </c>
      <c r="L2822" s="55" t="s">
        <v>360</v>
      </c>
      <c r="M2822" s="55" t="s">
        <v>142</v>
      </c>
      <c r="N2822" s="55" t="s">
        <v>142</v>
      </c>
      <c r="O2822" s="55" t="s">
        <v>272</v>
      </c>
      <c r="P2822" s="55" t="s">
        <v>653</v>
      </c>
      <c r="Q2822" s="55" t="s">
        <v>350</v>
      </c>
      <c r="R2822" s="55">
        <v>5</v>
      </c>
      <c r="S2822" s="55"/>
      <c r="T2822" s="55" t="s">
        <v>1253</v>
      </c>
      <c r="U2822" s="73" t="s">
        <v>351</v>
      </c>
      <c r="V2822" s="74">
        <v>44376</v>
      </c>
      <c r="W2822" s="74">
        <v>44435</v>
      </c>
      <c r="X2822" s="55">
        <v>10185208</v>
      </c>
      <c r="Y2822" s="55" t="s">
        <v>132</v>
      </c>
      <c r="AB2822" s="55" t="s">
        <v>132</v>
      </c>
      <c r="AC2822" s="55" t="s">
        <v>132</v>
      </c>
    </row>
    <row r="2823" spans="1:29" ht="13" x14ac:dyDescent="0.15">
      <c r="A2823" s="72" t="str">
        <f t="shared" si="44"/>
        <v>Ofsted Social Care Provider Webpage</v>
      </c>
      <c r="B2823" s="55" t="s">
        <v>5307</v>
      </c>
      <c r="D2823" s="55" t="s">
        <v>373</v>
      </c>
      <c r="E2823" s="74">
        <v>40015</v>
      </c>
      <c r="F2823" s="55" t="s">
        <v>344</v>
      </c>
      <c r="G2823" s="55" t="s">
        <v>360</v>
      </c>
      <c r="H2823" s="55" t="s">
        <v>360</v>
      </c>
      <c r="I2823" s="55" t="s">
        <v>360</v>
      </c>
      <c r="J2823" s="55" t="s">
        <v>360</v>
      </c>
      <c r="K2823" s="55" t="s">
        <v>360</v>
      </c>
      <c r="L2823" s="55" t="s">
        <v>360</v>
      </c>
      <c r="M2823" s="55" t="s">
        <v>142</v>
      </c>
      <c r="N2823" s="55" t="s">
        <v>142</v>
      </c>
      <c r="O2823" s="55" t="s">
        <v>262</v>
      </c>
      <c r="P2823" s="55" t="s">
        <v>523</v>
      </c>
      <c r="Q2823" s="55" t="s">
        <v>350</v>
      </c>
      <c r="R2823" s="55">
        <v>5</v>
      </c>
      <c r="S2823" s="55"/>
      <c r="T2823" s="55" t="s">
        <v>1253</v>
      </c>
      <c r="U2823" s="73" t="s">
        <v>351</v>
      </c>
      <c r="V2823" s="74">
        <v>44361</v>
      </c>
      <c r="W2823" s="74">
        <v>44405</v>
      </c>
      <c r="X2823" s="55">
        <v>10187453</v>
      </c>
      <c r="Y2823" s="55" t="s">
        <v>132</v>
      </c>
      <c r="AB2823" s="55" t="s">
        <v>132</v>
      </c>
      <c r="AC2823" s="55" t="s">
        <v>130</v>
      </c>
    </row>
    <row r="2824" spans="1:29" ht="13" x14ac:dyDescent="0.15">
      <c r="A2824" s="72" t="str">
        <f t="shared" si="44"/>
        <v>Ofsted Social Care Provider Webpage</v>
      </c>
      <c r="B2824" s="55" t="s">
        <v>5308</v>
      </c>
      <c r="D2824" s="55" t="s">
        <v>373</v>
      </c>
      <c r="E2824" s="74">
        <v>40014</v>
      </c>
      <c r="F2824" s="55" t="s">
        <v>344</v>
      </c>
      <c r="G2824" s="55" t="s">
        <v>360</v>
      </c>
      <c r="H2824" s="55" t="s">
        <v>360</v>
      </c>
      <c r="I2824" s="55" t="s">
        <v>360</v>
      </c>
      <c r="J2824" s="55" t="s">
        <v>360</v>
      </c>
      <c r="K2824" s="55" t="s">
        <v>360</v>
      </c>
      <c r="L2824" s="55" t="s">
        <v>360</v>
      </c>
      <c r="M2824" s="55" t="s">
        <v>142</v>
      </c>
      <c r="N2824" s="55" t="s">
        <v>142</v>
      </c>
      <c r="O2824" s="55" t="s">
        <v>262</v>
      </c>
      <c r="P2824" s="55" t="s">
        <v>692</v>
      </c>
      <c r="Q2824" s="55" t="s">
        <v>350</v>
      </c>
      <c r="R2824" s="55">
        <v>4</v>
      </c>
      <c r="S2824" s="55"/>
      <c r="T2824" s="55" t="s">
        <v>1253</v>
      </c>
      <c r="U2824" s="73" t="s">
        <v>351</v>
      </c>
      <c r="V2824" s="74">
        <v>44426</v>
      </c>
      <c r="W2824" s="74">
        <v>44463</v>
      </c>
      <c r="X2824" s="55">
        <v>10185132</v>
      </c>
      <c r="Y2824" s="55" t="s">
        <v>140</v>
      </c>
      <c r="AB2824" s="55" t="s">
        <v>140</v>
      </c>
      <c r="AC2824" s="55" t="s">
        <v>140</v>
      </c>
    </row>
    <row r="2825" spans="1:29" ht="13" x14ac:dyDescent="0.15">
      <c r="A2825" s="72" t="str">
        <f t="shared" si="44"/>
        <v>Ofsted Social Care Provider Webpage</v>
      </c>
      <c r="B2825" s="55" t="s">
        <v>5309</v>
      </c>
      <c r="D2825" s="55" t="s">
        <v>389</v>
      </c>
      <c r="E2825" s="74">
        <v>40067</v>
      </c>
      <c r="F2825" s="55" t="s">
        <v>344</v>
      </c>
      <c r="G2825" s="55" t="s">
        <v>5310</v>
      </c>
      <c r="H2825" s="55" t="s">
        <v>5311</v>
      </c>
      <c r="I2825" s="55" t="s">
        <v>354</v>
      </c>
      <c r="J2825" s="55" t="s">
        <v>216</v>
      </c>
      <c r="L2825" s="55" t="s">
        <v>5312</v>
      </c>
      <c r="M2825" s="55" t="s">
        <v>138</v>
      </c>
      <c r="N2825" s="55" t="s">
        <v>138</v>
      </c>
      <c r="O2825" s="55" t="s">
        <v>216</v>
      </c>
      <c r="P2825" s="55" t="s">
        <v>1968</v>
      </c>
      <c r="Q2825" s="55" t="s">
        <v>350</v>
      </c>
      <c r="R2825" s="55"/>
      <c r="S2825" s="55"/>
      <c r="T2825" s="55" t="s">
        <v>5313</v>
      </c>
      <c r="U2825" s="73" t="s">
        <v>351</v>
      </c>
      <c r="V2825" s="74">
        <v>43500</v>
      </c>
      <c r="W2825" s="74">
        <v>43525</v>
      </c>
      <c r="X2825" s="55">
        <v>10045718</v>
      </c>
      <c r="Y2825" s="55" t="s">
        <v>132</v>
      </c>
      <c r="AB2825" s="55" t="s">
        <v>132</v>
      </c>
      <c r="AC2825" s="55" t="s">
        <v>132</v>
      </c>
    </row>
    <row r="2826" spans="1:29" ht="13" x14ac:dyDescent="0.15">
      <c r="A2826" s="72" t="str">
        <f t="shared" si="44"/>
        <v>Ofsted Social Care Provider Webpage</v>
      </c>
      <c r="B2826" s="55" t="s">
        <v>5314</v>
      </c>
      <c r="D2826" s="55" t="s">
        <v>451</v>
      </c>
      <c r="E2826" s="74">
        <v>40095</v>
      </c>
      <c r="F2826" s="55" t="s">
        <v>344</v>
      </c>
      <c r="G2826" s="55" t="s">
        <v>5315</v>
      </c>
      <c r="H2826" s="55" t="s">
        <v>5316</v>
      </c>
      <c r="I2826" s="55" t="s">
        <v>354</v>
      </c>
      <c r="J2826" s="55" t="s">
        <v>2910</v>
      </c>
      <c r="K2826" s="55" t="s">
        <v>266</v>
      </c>
      <c r="L2826" s="55" t="s">
        <v>5317</v>
      </c>
      <c r="M2826" s="55" t="s">
        <v>138</v>
      </c>
      <c r="N2826" s="55" t="s">
        <v>138</v>
      </c>
      <c r="O2826" s="55" t="s">
        <v>266</v>
      </c>
      <c r="P2826" s="55" t="s">
        <v>2912</v>
      </c>
      <c r="Q2826" s="55" t="s">
        <v>362</v>
      </c>
      <c r="R2826" s="55">
        <v>4</v>
      </c>
      <c r="S2826" s="55"/>
      <c r="T2826" s="55" t="s">
        <v>557</v>
      </c>
      <c r="U2826" s="73" t="s">
        <v>351</v>
      </c>
      <c r="V2826" s="74">
        <v>44594</v>
      </c>
      <c r="W2826" s="74">
        <v>44630</v>
      </c>
      <c r="X2826" s="55">
        <v>10183441</v>
      </c>
      <c r="Y2826" s="55" t="s">
        <v>132</v>
      </c>
      <c r="AB2826" s="55" t="s">
        <v>132</v>
      </c>
      <c r="AC2826" s="55" t="s">
        <v>132</v>
      </c>
    </row>
    <row r="2827" spans="1:29" ht="13" x14ac:dyDescent="0.15">
      <c r="A2827" s="72" t="str">
        <f t="shared" si="44"/>
        <v>Ofsted Social Care Provider Webpage</v>
      </c>
      <c r="B2827" s="55" t="s">
        <v>5318</v>
      </c>
      <c r="D2827" s="55" t="s">
        <v>373</v>
      </c>
      <c r="E2827" s="74">
        <v>40036</v>
      </c>
      <c r="F2827" s="55" t="s">
        <v>344</v>
      </c>
      <c r="G2827" s="55" t="s">
        <v>360</v>
      </c>
      <c r="H2827" s="55" t="s">
        <v>360</v>
      </c>
      <c r="I2827" s="55" t="s">
        <v>360</v>
      </c>
      <c r="J2827" s="55" t="s">
        <v>360</v>
      </c>
      <c r="K2827" s="55" t="s">
        <v>360</v>
      </c>
      <c r="L2827" s="55" t="s">
        <v>360</v>
      </c>
      <c r="M2827" s="55" t="s">
        <v>150</v>
      </c>
      <c r="N2827" s="55" t="s">
        <v>150</v>
      </c>
      <c r="O2827" s="55" t="s">
        <v>285</v>
      </c>
      <c r="P2827" s="55" t="s">
        <v>2001</v>
      </c>
      <c r="Q2827" s="55" t="s">
        <v>380</v>
      </c>
      <c r="R2827" s="55">
        <v>3</v>
      </c>
      <c r="S2827" s="55"/>
      <c r="T2827" s="55" t="s">
        <v>2238</v>
      </c>
      <c r="U2827" s="73" t="s">
        <v>351</v>
      </c>
      <c r="V2827" s="74">
        <v>42971</v>
      </c>
      <c r="W2827" s="74">
        <v>42996</v>
      </c>
      <c r="X2827" s="55">
        <v>10027950</v>
      </c>
      <c r="Y2827" s="55" t="s">
        <v>132</v>
      </c>
      <c r="AB2827" s="55" t="s">
        <v>132</v>
      </c>
      <c r="AC2827" s="55" t="s">
        <v>130</v>
      </c>
    </row>
    <row r="2828" spans="1:29" ht="13" x14ac:dyDescent="0.15">
      <c r="A2828" s="72" t="str">
        <f t="shared" si="44"/>
        <v>Ofsted Social Care Provider Webpage</v>
      </c>
      <c r="B2828" s="55" t="s">
        <v>5319</v>
      </c>
      <c r="D2828" s="55" t="s">
        <v>373</v>
      </c>
      <c r="E2828" s="74">
        <v>40416</v>
      </c>
      <c r="F2828" s="55" t="s">
        <v>344</v>
      </c>
      <c r="G2828" s="55" t="s">
        <v>360</v>
      </c>
      <c r="H2828" s="55" t="s">
        <v>360</v>
      </c>
      <c r="I2828" s="55" t="s">
        <v>360</v>
      </c>
      <c r="J2828" s="55" t="s">
        <v>360</v>
      </c>
      <c r="K2828" s="55" t="s">
        <v>360</v>
      </c>
      <c r="L2828" s="55" t="s">
        <v>360</v>
      </c>
      <c r="M2828" s="55" t="s">
        <v>378</v>
      </c>
      <c r="N2828" s="55" t="s">
        <v>134</v>
      </c>
      <c r="O2828" s="55" t="s">
        <v>175</v>
      </c>
      <c r="P2828" s="55" t="s">
        <v>932</v>
      </c>
      <c r="Q2828" s="55" t="s">
        <v>350</v>
      </c>
      <c r="R2828" s="55">
        <v>2</v>
      </c>
      <c r="S2828" s="55"/>
      <c r="T2828" s="55" t="s">
        <v>933</v>
      </c>
      <c r="U2828" s="73" t="s">
        <v>351</v>
      </c>
      <c r="V2828" s="74">
        <v>44418</v>
      </c>
      <c r="W2828" s="74">
        <v>44449</v>
      </c>
      <c r="X2828" s="55">
        <v>10185055</v>
      </c>
      <c r="Y2828" s="55" t="s">
        <v>132</v>
      </c>
      <c r="AB2828" s="55" t="s">
        <v>132</v>
      </c>
      <c r="AC2828" s="55" t="s">
        <v>130</v>
      </c>
    </row>
    <row r="2829" spans="1:29" ht="13" x14ac:dyDescent="0.15">
      <c r="A2829" s="72" t="str">
        <f t="shared" si="44"/>
        <v>Ofsted Social Care Provider Webpage</v>
      </c>
      <c r="B2829" s="55" t="s">
        <v>5320</v>
      </c>
      <c r="D2829" s="55" t="s">
        <v>373</v>
      </c>
      <c r="E2829" s="74">
        <v>40066</v>
      </c>
      <c r="F2829" s="55" t="s">
        <v>344</v>
      </c>
      <c r="G2829" s="55" t="s">
        <v>360</v>
      </c>
      <c r="H2829" s="55" t="s">
        <v>360</v>
      </c>
      <c r="I2829" s="55" t="s">
        <v>360</v>
      </c>
      <c r="J2829" s="55" t="s">
        <v>360</v>
      </c>
      <c r="K2829" s="55" t="s">
        <v>360</v>
      </c>
      <c r="L2829" s="55" t="s">
        <v>360</v>
      </c>
      <c r="M2829" s="55" t="s">
        <v>150</v>
      </c>
      <c r="N2829" s="55" t="s">
        <v>150</v>
      </c>
      <c r="O2829" s="55" t="s">
        <v>199</v>
      </c>
      <c r="P2829" s="55" t="s">
        <v>199</v>
      </c>
      <c r="Q2829" s="55" t="s">
        <v>350</v>
      </c>
      <c r="R2829" s="55">
        <v>4</v>
      </c>
      <c r="S2829" s="55"/>
      <c r="T2829" s="55" t="s">
        <v>833</v>
      </c>
      <c r="U2829" s="73" t="s">
        <v>351</v>
      </c>
      <c r="V2829" s="74">
        <v>44504</v>
      </c>
      <c r="W2829" s="74">
        <v>44559</v>
      </c>
      <c r="X2829" s="55">
        <v>10186093</v>
      </c>
      <c r="Y2829" s="55" t="s">
        <v>132</v>
      </c>
      <c r="AB2829" s="55" t="s">
        <v>132</v>
      </c>
      <c r="AC2829" s="55" t="s">
        <v>132</v>
      </c>
    </row>
    <row r="2830" spans="1:29" ht="13" x14ac:dyDescent="0.15">
      <c r="A2830" s="72" t="str">
        <f t="shared" si="44"/>
        <v>Ofsted Social Care Provider Webpage</v>
      </c>
      <c r="B2830" s="55" t="s">
        <v>5321</v>
      </c>
      <c r="D2830" s="55" t="s">
        <v>373</v>
      </c>
      <c r="E2830" s="74">
        <v>40077</v>
      </c>
      <c r="F2830" s="55" t="s">
        <v>344</v>
      </c>
      <c r="G2830" s="55" t="s">
        <v>360</v>
      </c>
      <c r="H2830" s="55" t="s">
        <v>360</v>
      </c>
      <c r="I2830" s="55" t="s">
        <v>360</v>
      </c>
      <c r="J2830" s="55" t="s">
        <v>360</v>
      </c>
      <c r="K2830" s="55" t="s">
        <v>360</v>
      </c>
      <c r="L2830" s="55" t="s">
        <v>360</v>
      </c>
      <c r="M2830" s="55" t="s">
        <v>138</v>
      </c>
      <c r="N2830" s="55" t="s">
        <v>138</v>
      </c>
      <c r="O2830" s="55" t="s">
        <v>196</v>
      </c>
      <c r="P2830" s="55" t="s">
        <v>4371</v>
      </c>
      <c r="Q2830" s="55" t="s">
        <v>380</v>
      </c>
      <c r="R2830" s="55">
        <v>5</v>
      </c>
      <c r="S2830" s="55"/>
      <c r="T2830" s="55" t="s">
        <v>2082</v>
      </c>
      <c r="U2830" s="73" t="s">
        <v>351</v>
      </c>
      <c r="V2830" s="74">
        <v>44600</v>
      </c>
      <c r="W2830" s="74">
        <v>44641</v>
      </c>
      <c r="X2830" s="55">
        <v>10187295</v>
      </c>
      <c r="Y2830" s="55" t="s">
        <v>132</v>
      </c>
      <c r="AB2830" s="55" t="s">
        <v>132</v>
      </c>
      <c r="AC2830" s="55" t="s">
        <v>130</v>
      </c>
    </row>
    <row r="2831" spans="1:29" ht="13" x14ac:dyDescent="0.15">
      <c r="A2831" s="72" t="str">
        <f t="shared" si="44"/>
        <v>Ofsted Social Care Provider Webpage</v>
      </c>
      <c r="B2831" s="55" t="s">
        <v>5322</v>
      </c>
      <c r="D2831" s="55" t="s">
        <v>373</v>
      </c>
      <c r="E2831" s="74">
        <v>40116</v>
      </c>
      <c r="F2831" s="55" t="s">
        <v>344</v>
      </c>
      <c r="G2831" s="55" t="s">
        <v>360</v>
      </c>
      <c r="H2831" s="55" t="s">
        <v>360</v>
      </c>
      <c r="I2831" s="55" t="s">
        <v>360</v>
      </c>
      <c r="J2831" s="55" t="s">
        <v>360</v>
      </c>
      <c r="K2831" s="55" t="s">
        <v>360</v>
      </c>
      <c r="L2831" s="55" t="s">
        <v>360</v>
      </c>
      <c r="M2831" s="55" t="s">
        <v>144</v>
      </c>
      <c r="N2831" s="55" t="s">
        <v>144</v>
      </c>
      <c r="O2831" s="55" t="s">
        <v>263</v>
      </c>
      <c r="P2831" s="55" t="s">
        <v>263</v>
      </c>
      <c r="Q2831" s="55" t="s">
        <v>350</v>
      </c>
      <c r="R2831" s="55">
        <v>3</v>
      </c>
      <c r="S2831" s="55"/>
      <c r="T2831" s="55" t="s">
        <v>1107</v>
      </c>
      <c r="U2831" s="73" t="s">
        <v>351</v>
      </c>
      <c r="V2831" s="74">
        <v>43846</v>
      </c>
      <c r="W2831" s="74">
        <v>43873</v>
      </c>
      <c r="X2831" s="55">
        <v>10096144</v>
      </c>
      <c r="Y2831" s="55" t="s">
        <v>132</v>
      </c>
      <c r="AB2831" s="55" t="s">
        <v>140</v>
      </c>
      <c r="AC2831" s="55" t="s">
        <v>140</v>
      </c>
    </row>
    <row r="2832" spans="1:29" ht="13" x14ac:dyDescent="0.15">
      <c r="A2832" s="72" t="str">
        <f t="shared" si="44"/>
        <v>Ofsted Social Care Provider Webpage</v>
      </c>
      <c r="B2832" s="55" t="s">
        <v>5323</v>
      </c>
      <c r="C2832" s="55">
        <v>135901</v>
      </c>
      <c r="D2832" s="55" t="s">
        <v>398</v>
      </c>
      <c r="E2832" s="74">
        <v>40014</v>
      </c>
      <c r="F2832" s="55" t="s">
        <v>344</v>
      </c>
      <c r="G2832" s="55" t="s">
        <v>5324</v>
      </c>
      <c r="H2832" s="55" t="s">
        <v>5325</v>
      </c>
      <c r="I2832" s="55" t="s">
        <v>5326</v>
      </c>
      <c r="J2832" s="55" t="s">
        <v>129</v>
      </c>
      <c r="K2832" s="55" t="s">
        <v>2578</v>
      </c>
      <c r="L2832" s="55" t="s">
        <v>5327</v>
      </c>
      <c r="M2832" s="55" t="s">
        <v>129</v>
      </c>
      <c r="N2832" s="55" t="s">
        <v>129</v>
      </c>
      <c r="O2832" s="55" t="s">
        <v>213</v>
      </c>
      <c r="P2832" s="55" t="s">
        <v>1160</v>
      </c>
      <c r="Q2832" s="55" t="s">
        <v>362</v>
      </c>
      <c r="R2832" s="55">
        <v>47</v>
      </c>
      <c r="S2832" s="55"/>
      <c r="T2832" s="55" t="s">
        <v>5328</v>
      </c>
      <c r="U2832" s="73" t="s">
        <v>351</v>
      </c>
      <c r="V2832" s="74">
        <v>43752</v>
      </c>
      <c r="W2832" s="74">
        <v>43774</v>
      </c>
      <c r="X2832" s="55">
        <v>10092966</v>
      </c>
      <c r="Y2832" s="55" t="s">
        <v>132</v>
      </c>
      <c r="AB2832" s="55" t="s">
        <v>132</v>
      </c>
      <c r="AC2832" s="55" t="s">
        <v>132</v>
      </c>
    </row>
    <row r="2833" spans="1:29" ht="13" x14ac:dyDescent="0.15">
      <c r="A2833" s="72" t="str">
        <f t="shared" si="44"/>
        <v>Ofsted Social Care Provider Webpage</v>
      </c>
      <c r="B2833" s="55" t="s">
        <v>5329</v>
      </c>
      <c r="D2833" s="55" t="s">
        <v>373</v>
      </c>
      <c r="E2833" s="74">
        <v>40081</v>
      </c>
      <c r="F2833" s="55" t="s">
        <v>344</v>
      </c>
      <c r="G2833" s="55" t="s">
        <v>360</v>
      </c>
      <c r="H2833" s="55" t="s">
        <v>360</v>
      </c>
      <c r="I2833" s="55" t="s">
        <v>360</v>
      </c>
      <c r="J2833" s="55" t="s">
        <v>360</v>
      </c>
      <c r="K2833" s="55" t="s">
        <v>360</v>
      </c>
      <c r="L2833" s="55" t="s">
        <v>360</v>
      </c>
      <c r="M2833" s="55" t="s">
        <v>144</v>
      </c>
      <c r="N2833" s="55" t="s">
        <v>144</v>
      </c>
      <c r="O2833" s="55" t="s">
        <v>209</v>
      </c>
      <c r="P2833" s="55" t="s">
        <v>650</v>
      </c>
      <c r="Q2833" s="55" t="s">
        <v>350</v>
      </c>
      <c r="R2833" s="55">
        <v>4</v>
      </c>
      <c r="S2833" s="55"/>
      <c r="T2833" s="55" t="s">
        <v>5330</v>
      </c>
      <c r="U2833" s="73" t="s">
        <v>351</v>
      </c>
      <c r="V2833" s="74">
        <v>44572</v>
      </c>
      <c r="W2833" s="74">
        <v>44614</v>
      </c>
      <c r="X2833" s="55">
        <v>10185474</v>
      </c>
      <c r="Y2833" s="55" t="s">
        <v>132</v>
      </c>
      <c r="AB2833" s="55" t="s">
        <v>132</v>
      </c>
      <c r="AC2833" s="55" t="s">
        <v>130</v>
      </c>
    </row>
    <row r="2834" spans="1:29" ht="13" x14ac:dyDescent="0.15">
      <c r="A2834" s="72" t="str">
        <f t="shared" si="44"/>
        <v>Ofsted Social Care Provider Webpage</v>
      </c>
      <c r="B2834" s="55" t="s">
        <v>5331</v>
      </c>
      <c r="D2834" s="55" t="s">
        <v>373</v>
      </c>
      <c r="E2834" s="74">
        <v>40199</v>
      </c>
      <c r="F2834" s="55" t="s">
        <v>344</v>
      </c>
      <c r="G2834" s="55" t="s">
        <v>360</v>
      </c>
      <c r="H2834" s="55" t="s">
        <v>360</v>
      </c>
      <c r="I2834" s="55" t="s">
        <v>360</v>
      </c>
      <c r="J2834" s="55" t="s">
        <v>360</v>
      </c>
      <c r="K2834" s="55" t="s">
        <v>360</v>
      </c>
      <c r="L2834" s="55" t="s">
        <v>360</v>
      </c>
      <c r="M2834" s="55" t="s">
        <v>138</v>
      </c>
      <c r="N2834" s="55" t="s">
        <v>138</v>
      </c>
      <c r="O2834" s="55" t="s">
        <v>224</v>
      </c>
      <c r="P2834" s="55" t="s">
        <v>1872</v>
      </c>
      <c r="Q2834" s="55" t="s">
        <v>362</v>
      </c>
      <c r="R2834" s="55">
        <v>6</v>
      </c>
      <c r="S2834" s="55"/>
      <c r="T2834" s="55" t="s">
        <v>557</v>
      </c>
      <c r="U2834" s="73" t="s">
        <v>351</v>
      </c>
      <c r="V2834" s="74">
        <v>44572</v>
      </c>
      <c r="W2834" s="74">
        <v>44594</v>
      </c>
      <c r="X2834" s="55">
        <v>10186457</v>
      </c>
      <c r="Y2834" s="55" t="s">
        <v>132</v>
      </c>
      <c r="AB2834" s="55" t="s">
        <v>132</v>
      </c>
      <c r="AC2834" s="55" t="s">
        <v>132</v>
      </c>
    </row>
    <row r="2835" spans="1:29" ht="13" x14ac:dyDescent="0.15">
      <c r="A2835" s="72" t="str">
        <f t="shared" si="44"/>
        <v>Ofsted Social Care Provider Webpage</v>
      </c>
      <c r="B2835" s="55" t="s">
        <v>5332</v>
      </c>
      <c r="D2835" s="55" t="s">
        <v>389</v>
      </c>
      <c r="E2835" s="74">
        <v>40098</v>
      </c>
      <c r="F2835" s="55" t="s">
        <v>344</v>
      </c>
      <c r="G2835" s="55" t="s">
        <v>5333</v>
      </c>
      <c r="H2835" s="55" t="s">
        <v>3396</v>
      </c>
      <c r="I2835" s="55" t="s">
        <v>5334</v>
      </c>
      <c r="J2835" s="55" t="s">
        <v>4670</v>
      </c>
      <c r="K2835" s="55" t="s">
        <v>1746</v>
      </c>
      <c r="L2835" s="55" t="s">
        <v>5335</v>
      </c>
      <c r="M2835" s="55" t="s">
        <v>129</v>
      </c>
      <c r="N2835" s="55" t="s">
        <v>129</v>
      </c>
      <c r="O2835" s="55" t="s">
        <v>182</v>
      </c>
      <c r="P2835" s="55" t="s">
        <v>1660</v>
      </c>
      <c r="Q2835" s="55" t="s">
        <v>350</v>
      </c>
      <c r="R2835" s="55"/>
      <c r="S2835" s="55"/>
      <c r="T2835" s="55" t="s">
        <v>5333</v>
      </c>
      <c r="U2835" s="73" t="s">
        <v>351</v>
      </c>
      <c r="V2835" s="74">
        <v>43122</v>
      </c>
      <c r="W2835" s="74">
        <v>43157</v>
      </c>
      <c r="X2835" s="55">
        <v>10030552</v>
      </c>
      <c r="Y2835" s="55" t="s">
        <v>132</v>
      </c>
      <c r="AB2835" s="55" t="s">
        <v>132</v>
      </c>
      <c r="AC2835" s="55" t="s">
        <v>132</v>
      </c>
    </row>
    <row r="2836" spans="1:29" ht="13" x14ac:dyDescent="0.15">
      <c r="A2836" s="72" t="str">
        <f t="shared" si="44"/>
        <v>Ofsted Social Care Provider Webpage</v>
      </c>
      <c r="B2836" s="55" t="s">
        <v>5336</v>
      </c>
      <c r="D2836" s="55" t="s">
        <v>479</v>
      </c>
      <c r="E2836" s="74">
        <v>40253</v>
      </c>
      <c r="F2836" s="55" t="s">
        <v>344</v>
      </c>
      <c r="G2836" s="55" t="s">
        <v>360</v>
      </c>
      <c r="H2836" s="55" t="s">
        <v>360</v>
      </c>
      <c r="I2836" s="55" t="s">
        <v>360</v>
      </c>
      <c r="J2836" s="55" t="s">
        <v>360</v>
      </c>
      <c r="K2836" s="55" t="s">
        <v>360</v>
      </c>
      <c r="L2836" s="55" t="s">
        <v>360</v>
      </c>
      <c r="M2836" s="55" t="s">
        <v>142</v>
      </c>
      <c r="N2836" s="55" t="s">
        <v>142</v>
      </c>
      <c r="O2836" s="55" t="s">
        <v>262</v>
      </c>
      <c r="P2836" s="55" t="s">
        <v>523</v>
      </c>
      <c r="Q2836" s="55" t="s">
        <v>350</v>
      </c>
      <c r="R2836" s="55">
        <v>23</v>
      </c>
      <c r="S2836" s="55"/>
      <c r="T2836" s="55" t="s">
        <v>450</v>
      </c>
      <c r="U2836" s="73" t="s">
        <v>351</v>
      </c>
      <c r="V2836" s="74">
        <v>43803</v>
      </c>
      <c r="W2836" s="74">
        <v>43838</v>
      </c>
      <c r="X2836" s="55">
        <v>10096344</v>
      </c>
      <c r="Y2836" s="55" t="s">
        <v>132</v>
      </c>
      <c r="AB2836" s="55" t="s">
        <v>132</v>
      </c>
      <c r="AC2836" s="55" t="s">
        <v>130</v>
      </c>
    </row>
    <row r="2837" spans="1:29" ht="13" x14ac:dyDescent="0.15">
      <c r="A2837" s="72" t="str">
        <f t="shared" si="44"/>
        <v>Ofsted Social Care Provider Webpage</v>
      </c>
      <c r="B2837" s="55" t="s">
        <v>5337</v>
      </c>
      <c r="D2837" s="55" t="s">
        <v>373</v>
      </c>
      <c r="E2837" s="74">
        <v>40225</v>
      </c>
      <c r="F2837" s="55" t="s">
        <v>728</v>
      </c>
      <c r="G2837" s="55" t="s">
        <v>360</v>
      </c>
      <c r="H2837" s="55" t="s">
        <v>360</v>
      </c>
      <c r="I2837" s="55" t="s">
        <v>360</v>
      </c>
      <c r="J2837" s="55" t="s">
        <v>360</v>
      </c>
      <c r="K2837" s="55" t="s">
        <v>360</v>
      </c>
      <c r="L2837" s="55" t="s">
        <v>360</v>
      </c>
      <c r="M2837" s="55" t="s">
        <v>150</v>
      </c>
      <c r="N2837" s="55" t="s">
        <v>150</v>
      </c>
      <c r="O2837" s="55" t="s">
        <v>203</v>
      </c>
      <c r="P2837" s="55" t="s">
        <v>1835</v>
      </c>
      <c r="Q2837" s="55" t="s">
        <v>350</v>
      </c>
      <c r="R2837" s="55">
        <v>4</v>
      </c>
      <c r="S2837" s="55"/>
      <c r="T2837" s="55" t="s">
        <v>564</v>
      </c>
      <c r="U2837" s="73" t="s">
        <v>351</v>
      </c>
      <c r="V2837" s="74">
        <v>43683</v>
      </c>
      <c r="W2837" s="74">
        <v>43740</v>
      </c>
      <c r="X2837" s="55">
        <v>10096336</v>
      </c>
      <c r="Y2837" s="55" t="s">
        <v>132</v>
      </c>
      <c r="AB2837" s="55" t="s">
        <v>132</v>
      </c>
      <c r="AC2837" s="55" t="s">
        <v>132</v>
      </c>
    </row>
    <row r="2838" spans="1:29" ht="13" x14ac:dyDescent="0.15">
      <c r="A2838" s="72" t="str">
        <f t="shared" si="44"/>
        <v>Ofsted Social Care Provider Webpage</v>
      </c>
      <c r="B2838" s="55" t="s">
        <v>5338</v>
      </c>
      <c r="D2838" s="55" t="s">
        <v>373</v>
      </c>
      <c r="E2838" s="74">
        <v>40097</v>
      </c>
      <c r="F2838" s="55" t="s">
        <v>344</v>
      </c>
      <c r="G2838" s="55" t="s">
        <v>360</v>
      </c>
      <c r="H2838" s="55" t="s">
        <v>360</v>
      </c>
      <c r="I2838" s="55" t="s">
        <v>360</v>
      </c>
      <c r="J2838" s="55" t="s">
        <v>360</v>
      </c>
      <c r="K2838" s="55" t="s">
        <v>360</v>
      </c>
      <c r="L2838" s="55" t="s">
        <v>360</v>
      </c>
      <c r="M2838" s="55" t="s">
        <v>150</v>
      </c>
      <c r="N2838" s="55" t="s">
        <v>150</v>
      </c>
      <c r="O2838" s="55" t="s">
        <v>190</v>
      </c>
      <c r="P2838" s="55" t="s">
        <v>749</v>
      </c>
      <c r="Q2838" s="55" t="s">
        <v>350</v>
      </c>
      <c r="R2838" s="55">
        <v>4</v>
      </c>
      <c r="S2838" s="55"/>
      <c r="T2838" s="55" t="s">
        <v>888</v>
      </c>
      <c r="U2838" s="73" t="s">
        <v>351</v>
      </c>
      <c r="V2838" s="74">
        <v>43621</v>
      </c>
      <c r="W2838" s="74">
        <v>43707</v>
      </c>
      <c r="X2838" s="55">
        <v>10096141</v>
      </c>
      <c r="Y2838" s="55" t="s">
        <v>132</v>
      </c>
      <c r="AB2838" s="55" t="s">
        <v>132</v>
      </c>
      <c r="AC2838" s="55" t="s">
        <v>130</v>
      </c>
    </row>
    <row r="2839" spans="1:29" ht="13" x14ac:dyDescent="0.15">
      <c r="A2839" s="72" t="str">
        <f t="shared" si="44"/>
        <v>Ofsted Social Care Provider Webpage</v>
      </c>
      <c r="B2839" s="55" t="s">
        <v>5339</v>
      </c>
      <c r="D2839" s="55" t="s">
        <v>389</v>
      </c>
      <c r="E2839" s="74">
        <v>40150</v>
      </c>
      <c r="F2839" s="55" t="s">
        <v>344</v>
      </c>
      <c r="G2839" s="55" t="s">
        <v>3255</v>
      </c>
      <c r="H2839" s="55" t="s">
        <v>621</v>
      </c>
      <c r="I2839" s="55" t="s">
        <v>5340</v>
      </c>
      <c r="J2839" s="55" t="s">
        <v>5341</v>
      </c>
      <c r="K2839" s="55" t="s">
        <v>3368</v>
      </c>
      <c r="L2839" s="55" t="s">
        <v>5342</v>
      </c>
      <c r="M2839" s="55" t="s">
        <v>378</v>
      </c>
      <c r="N2839" s="55" t="s">
        <v>170</v>
      </c>
      <c r="O2839" s="55" t="s">
        <v>178</v>
      </c>
      <c r="P2839" s="55" t="s">
        <v>1450</v>
      </c>
      <c r="Q2839" s="55" t="s">
        <v>362</v>
      </c>
      <c r="R2839" s="55"/>
      <c r="S2839" s="55"/>
      <c r="T2839" s="55" t="s">
        <v>3255</v>
      </c>
      <c r="U2839" s="73" t="s">
        <v>351</v>
      </c>
      <c r="V2839" s="74">
        <v>44494</v>
      </c>
      <c r="W2839" s="74">
        <v>44533</v>
      </c>
      <c r="X2839" s="55">
        <v>10183376</v>
      </c>
      <c r="Y2839" s="55" t="s">
        <v>140</v>
      </c>
      <c r="AB2839" s="55" t="s">
        <v>140</v>
      </c>
      <c r="AC2839" s="55" t="s">
        <v>132</v>
      </c>
    </row>
    <row r="2840" spans="1:29" ht="13" x14ac:dyDescent="0.15">
      <c r="A2840" s="72" t="str">
        <f t="shared" si="44"/>
        <v>Ofsted Social Care Provider Webpage</v>
      </c>
      <c r="B2840" s="55" t="s">
        <v>5343</v>
      </c>
      <c r="D2840" s="55" t="s">
        <v>479</v>
      </c>
      <c r="E2840" s="74">
        <v>40165</v>
      </c>
      <c r="F2840" s="55" t="s">
        <v>344</v>
      </c>
      <c r="G2840" s="55" t="s">
        <v>360</v>
      </c>
      <c r="H2840" s="55" t="s">
        <v>360</v>
      </c>
      <c r="I2840" s="55" t="s">
        <v>360</v>
      </c>
      <c r="J2840" s="55" t="s">
        <v>360</v>
      </c>
      <c r="K2840" s="55" t="s">
        <v>360</v>
      </c>
      <c r="L2840" s="55" t="s">
        <v>360</v>
      </c>
      <c r="M2840" s="55" t="s">
        <v>172</v>
      </c>
      <c r="N2840" s="55" t="s">
        <v>172</v>
      </c>
      <c r="O2840" s="55" t="s">
        <v>235</v>
      </c>
      <c r="P2840" s="55" t="s">
        <v>2338</v>
      </c>
      <c r="Q2840" s="55" t="s">
        <v>350</v>
      </c>
      <c r="R2840" s="55">
        <v>54</v>
      </c>
      <c r="S2840" s="55"/>
      <c r="T2840" s="55" t="s">
        <v>4119</v>
      </c>
      <c r="U2840" s="73" t="s">
        <v>351</v>
      </c>
      <c r="V2840" s="74">
        <v>44537</v>
      </c>
      <c r="W2840" s="74">
        <v>44580</v>
      </c>
      <c r="X2840" s="55">
        <v>10209958</v>
      </c>
      <c r="Y2840" s="55" t="s">
        <v>130</v>
      </c>
      <c r="AB2840" s="55" t="s">
        <v>130</v>
      </c>
      <c r="AC2840" s="55" t="s">
        <v>130</v>
      </c>
    </row>
    <row r="2841" spans="1:29" ht="13" x14ac:dyDescent="0.15">
      <c r="A2841" s="72" t="str">
        <f t="shared" si="44"/>
        <v>Ofsted Social Care Provider Webpage</v>
      </c>
      <c r="B2841" s="55" t="s">
        <v>5344</v>
      </c>
      <c r="D2841" s="55" t="s">
        <v>373</v>
      </c>
      <c r="E2841" s="74">
        <v>40148</v>
      </c>
      <c r="F2841" s="55" t="s">
        <v>344</v>
      </c>
      <c r="G2841" s="55" t="s">
        <v>360</v>
      </c>
      <c r="H2841" s="55" t="s">
        <v>360</v>
      </c>
      <c r="I2841" s="55" t="s">
        <v>360</v>
      </c>
      <c r="J2841" s="55" t="s">
        <v>360</v>
      </c>
      <c r="K2841" s="55" t="s">
        <v>360</v>
      </c>
      <c r="L2841" s="55" t="s">
        <v>360</v>
      </c>
      <c r="M2841" s="55" t="s">
        <v>142</v>
      </c>
      <c r="N2841" s="55" t="s">
        <v>142</v>
      </c>
      <c r="O2841" s="55" t="s">
        <v>195</v>
      </c>
      <c r="P2841" s="55" t="s">
        <v>747</v>
      </c>
      <c r="Q2841" s="55" t="s">
        <v>350</v>
      </c>
      <c r="R2841" s="55">
        <v>5</v>
      </c>
      <c r="S2841" s="55"/>
      <c r="T2841" s="55" t="s">
        <v>450</v>
      </c>
      <c r="U2841" s="73" t="s">
        <v>351</v>
      </c>
      <c r="V2841" s="74">
        <v>44363</v>
      </c>
      <c r="W2841" s="74">
        <v>44404</v>
      </c>
      <c r="X2841" s="55">
        <v>10185887</v>
      </c>
      <c r="Y2841" s="55" t="s">
        <v>130</v>
      </c>
      <c r="AB2841" s="55" t="s">
        <v>130</v>
      </c>
      <c r="AC2841" s="55" t="s">
        <v>130</v>
      </c>
    </row>
    <row r="2842" spans="1:29" ht="13" x14ac:dyDescent="0.15">
      <c r="A2842" s="72" t="str">
        <f t="shared" si="44"/>
        <v>Ofsted Social Care Provider Webpage</v>
      </c>
      <c r="B2842" s="55" t="s">
        <v>5345</v>
      </c>
      <c r="D2842" s="55" t="s">
        <v>373</v>
      </c>
      <c r="E2842" s="74">
        <v>40148</v>
      </c>
      <c r="F2842" s="55" t="s">
        <v>344</v>
      </c>
      <c r="G2842" s="55" t="s">
        <v>360</v>
      </c>
      <c r="H2842" s="55" t="s">
        <v>360</v>
      </c>
      <c r="I2842" s="55" t="s">
        <v>360</v>
      </c>
      <c r="J2842" s="55" t="s">
        <v>360</v>
      </c>
      <c r="K2842" s="55" t="s">
        <v>360</v>
      </c>
      <c r="L2842" s="55" t="s">
        <v>360</v>
      </c>
      <c r="M2842" s="55" t="s">
        <v>142</v>
      </c>
      <c r="N2842" s="55" t="s">
        <v>142</v>
      </c>
      <c r="O2842" s="55" t="s">
        <v>195</v>
      </c>
      <c r="P2842" s="55" t="s">
        <v>518</v>
      </c>
      <c r="Q2842" s="55" t="s">
        <v>350</v>
      </c>
      <c r="R2842" s="55">
        <v>3</v>
      </c>
      <c r="S2842" s="55"/>
      <c r="T2842" s="55" t="s">
        <v>450</v>
      </c>
      <c r="U2842" s="73" t="s">
        <v>351</v>
      </c>
      <c r="V2842" s="74">
        <v>44488</v>
      </c>
      <c r="W2842" s="74">
        <v>44537</v>
      </c>
      <c r="X2842" s="55">
        <v>10185688</v>
      </c>
      <c r="Y2842" s="55" t="s">
        <v>132</v>
      </c>
      <c r="AB2842" s="55" t="s">
        <v>132</v>
      </c>
      <c r="AC2842" s="55" t="s">
        <v>132</v>
      </c>
    </row>
    <row r="2843" spans="1:29" ht="13" x14ac:dyDescent="0.15">
      <c r="A2843" s="72" t="str">
        <f t="shared" si="44"/>
        <v>Ofsted Social Care Provider Webpage</v>
      </c>
      <c r="B2843" s="55" t="s">
        <v>5346</v>
      </c>
      <c r="D2843" s="55" t="s">
        <v>373</v>
      </c>
      <c r="E2843" s="74">
        <v>40148</v>
      </c>
      <c r="F2843" s="55" t="s">
        <v>344</v>
      </c>
      <c r="G2843" s="55" t="s">
        <v>360</v>
      </c>
      <c r="H2843" s="55" t="s">
        <v>360</v>
      </c>
      <c r="I2843" s="55" t="s">
        <v>360</v>
      </c>
      <c r="J2843" s="55" t="s">
        <v>360</v>
      </c>
      <c r="K2843" s="55" t="s">
        <v>360</v>
      </c>
      <c r="L2843" s="55" t="s">
        <v>360</v>
      </c>
      <c r="M2843" s="55" t="s">
        <v>142</v>
      </c>
      <c r="N2843" s="55" t="s">
        <v>142</v>
      </c>
      <c r="O2843" s="55" t="s">
        <v>195</v>
      </c>
      <c r="P2843" s="55" t="s">
        <v>747</v>
      </c>
      <c r="Q2843" s="55" t="s">
        <v>350</v>
      </c>
      <c r="R2843" s="55">
        <v>5</v>
      </c>
      <c r="S2843" s="55"/>
      <c r="T2843" s="55" t="s">
        <v>450</v>
      </c>
      <c r="U2843" s="73" t="s">
        <v>351</v>
      </c>
      <c r="V2843" s="74">
        <v>44403</v>
      </c>
      <c r="W2843" s="74">
        <v>44446</v>
      </c>
      <c r="X2843" s="55">
        <v>10185850</v>
      </c>
      <c r="Y2843" s="55" t="s">
        <v>132</v>
      </c>
      <c r="AB2843" s="55" t="s">
        <v>132</v>
      </c>
      <c r="AC2843" s="55" t="s">
        <v>132</v>
      </c>
    </row>
    <row r="2844" spans="1:29" ht="13" x14ac:dyDescent="0.15">
      <c r="A2844" s="72" t="str">
        <f t="shared" si="44"/>
        <v>Ofsted Social Care Provider Webpage</v>
      </c>
      <c r="B2844" s="55" t="s">
        <v>5347</v>
      </c>
      <c r="D2844" s="55" t="s">
        <v>389</v>
      </c>
      <c r="E2844" s="74">
        <v>40142</v>
      </c>
      <c r="F2844" s="55" t="s">
        <v>344</v>
      </c>
      <c r="G2844" s="55" t="s">
        <v>5348</v>
      </c>
      <c r="H2844" s="55" t="s">
        <v>5349</v>
      </c>
      <c r="I2844" s="55" t="s">
        <v>354</v>
      </c>
      <c r="J2844" s="55" t="s">
        <v>5350</v>
      </c>
      <c r="K2844" s="55" t="s">
        <v>1746</v>
      </c>
      <c r="L2844" s="55" t="s">
        <v>5351</v>
      </c>
      <c r="M2844" s="55" t="s">
        <v>129</v>
      </c>
      <c r="N2844" s="55" t="s">
        <v>129</v>
      </c>
      <c r="O2844" s="55" t="s">
        <v>198</v>
      </c>
      <c r="P2844" s="55" t="s">
        <v>1287</v>
      </c>
      <c r="Q2844" s="55" t="s">
        <v>350</v>
      </c>
      <c r="R2844" s="55"/>
      <c r="S2844" s="55"/>
      <c r="T2844" s="55" t="s">
        <v>5352</v>
      </c>
      <c r="U2844" s="73" t="s">
        <v>351</v>
      </c>
      <c r="V2844" s="74">
        <v>43164</v>
      </c>
      <c r="W2844" s="74">
        <v>43199</v>
      </c>
      <c r="X2844" s="55">
        <v>10038134</v>
      </c>
      <c r="Y2844" s="55" t="s">
        <v>132</v>
      </c>
      <c r="AB2844" s="55" t="s">
        <v>132</v>
      </c>
      <c r="AC2844" s="55" t="s">
        <v>132</v>
      </c>
    </row>
    <row r="2845" spans="1:29" ht="13" x14ac:dyDescent="0.15">
      <c r="A2845" s="72" t="str">
        <f t="shared" si="44"/>
        <v>Ofsted Social Care Provider Webpage</v>
      </c>
      <c r="B2845" s="55" t="s">
        <v>5353</v>
      </c>
      <c r="D2845" s="55" t="s">
        <v>373</v>
      </c>
      <c r="E2845" s="74">
        <v>40169</v>
      </c>
      <c r="F2845" s="55" t="s">
        <v>344</v>
      </c>
      <c r="G2845" s="55" t="s">
        <v>360</v>
      </c>
      <c r="H2845" s="55" t="s">
        <v>360</v>
      </c>
      <c r="I2845" s="55" t="s">
        <v>360</v>
      </c>
      <c r="J2845" s="55" t="s">
        <v>360</v>
      </c>
      <c r="K2845" s="55" t="s">
        <v>360</v>
      </c>
      <c r="L2845" s="55" t="s">
        <v>360</v>
      </c>
      <c r="M2845" s="55" t="s">
        <v>136</v>
      </c>
      <c r="N2845" s="55" t="s">
        <v>136</v>
      </c>
      <c r="O2845" s="55" t="s">
        <v>174</v>
      </c>
      <c r="P2845" s="55" t="s">
        <v>1010</v>
      </c>
      <c r="Q2845" s="55" t="s">
        <v>350</v>
      </c>
      <c r="R2845" s="55">
        <v>3</v>
      </c>
      <c r="S2845" s="55"/>
      <c r="T2845" s="55" t="s">
        <v>721</v>
      </c>
      <c r="U2845" s="73" t="s">
        <v>351</v>
      </c>
      <c r="V2845" s="74">
        <v>44418</v>
      </c>
      <c r="W2845" s="74">
        <v>44453</v>
      </c>
      <c r="X2845" s="55">
        <v>10186631</v>
      </c>
      <c r="Y2845" s="55" t="s">
        <v>132</v>
      </c>
      <c r="AB2845" s="55" t="s">
        <v>132</v>
      </c>
      <c r="AC2845" s="55" t="s">
        <v>132</v>
      </c>
    </row>
    <row r="2846" spans="1:29" ht="13" x14ac:dyDescent="0.15">
      <c r="A2846" s="72" t="str">
        <f t="shared" si="44"/>
        <v>Ofsted Social Care Provider Webpage</v>
      </c>
      <c r="B2846" s="55" t="s">
        <v>5354</v>
      </c>
      <c r="D2846" s="55" t="s">
        <v>373</v>
      </c>
      <c r="E2846" s="74">
        <v>40155</v>
      </c>
      <c r="F2846" s="55" t="s">
        <v>344</v>
      </c>
      <c r="G2846" s="55" t="s">
        <v>360</v>
      </c>
      <c r="H2846" s="55" t="s">
        <v>360</v>
      </c>
      <c r="I2846" s="55" t="s">
        <v>360</v>
      </c>
      <c r="J2846" s="55" t="s">
        <v>360</v>
      </c>
      <c r="K2846" s="55" t="s">
        <v>360</v>
      </c>
      <c r="L2846" s="55" t="s">
        <v>360</v>
      </c>
      <c r="M2846" s="55" t="s">
        <v>144</v>
      </c>
      <c r="N2846" s="55" t="s">
        <v>144</v>
      </c>
      <c r="O2846" s="55" t="s">
        <v>209</v>
      </c>
      <c r="P2846" s="55" t="s">
        <v>1858</v>
      </c>
      <c r="Q2846" s="55" t="s">
        <v>350</v>
      </c>
      <c r="R2846" s="55">
        <v>5</v>
      </c>
      <c r="S2846" s="55"/>
      <c r="T2846" s="55" t="s">
        <v>5355</v>
      </c>
      <c r="U2846" s="73" t="s">
        <v>351</v>
      </c>
      <c r="V2846" s="74">
        <v>44307</v>
      </c>
      <c r="W2846" s="74">
        <v>44355</v>
      </c>
      <c r="X2846" s="55">
        <v>10187654</v>
      </c>
      <c r="Y2846" s="55" t="s">
        <v>132</v>
      </c>
      <c r="AB2846" s="55" t="s">
        <v>132</v>
      </c>
      <c r="AC2846" s="55" t="s">
        <v>132</v>
      </c>
    </row>
    <row r="2847" spans="1:29" ht="13" x14ac:dyDescent="0.15">
      <c r="A2847" s="72" t="str">
        <f t="shared" si="44"/>
        <v>Ofsted Social Care Provider Webpage</v>
      </c>
      <c r="B2847" s="55" t="s">
        <v>5356</v>
      </c>
      <c r="D2847" s="55" t="s">
        <v>373</v>
      </c>
      <c r="E2847" s="74">
        <v>40192</v>
      </c>
      <c r="F2847" s="55" t="s">
        <v>344</v>
      </c>
      <c r="G2847" s="55" t="s">
        <v>360</v>
      </c>
      <c r="H2847" s="55" t="s">
        <v>360</v>
      </c>
      <c r="I2847" s="55" t="s">
        <v>360</v>
      </c>
      <c r="J2847" s="55" t="s">
        <v>360</v>
      </c>
      <c r="K2847" s="55" t="s">
        <v>360</v>
      </c>
      <c r="L2847" s="55" t="s">
        <v>360</v>
      </c>
      <c r="M2847" s="55" t="s">
        <v>144</v>
      </c>
      <c r="N2847" s="55" t="s">
        <v>144</v>
      </c>
      <c r="O2847" s="55" t="s">
        <v>245</v>
      </c>
      <c r="P2847" s="55" t="s">
        <v>245</v>
      </c>
      <c r="Q2847" s="55" t="s">
        <v>350</v>
      </c>
      <c r="R2847" s="55">
        <v>2</v>
      </c>
      <c r="S2847" s="55"/>
      <c r="T2847" s="55" t="s">
        <v>5357</v>
      </c>
      <c r="U2847" s="73" t="s">
        <v>351</v>
      </c>
      <c r="V2847" s="74">
        <v>44440</v>
      </c>
      <c r="W2847" s="74">
        <v>44463</v>
      </c>
      <c r="X2847" s="55">
        <v>10186135</v>
      </c>
      <c r="Y2847" s="55" t="s">
        <v>132</v>
      </c>
      <c r="AB2847" s="55" t="s">
        <v>132</v>
      </c>
      <c r="AC2847" s="55" t="s">
        <v>132</v>
      </c>
    </row>
    <row r="2848" spans="1:29" ht="13" x14ac:dyDescent="0.15">
      <c r="A2848" s="72" t="str">
        <f t="shared" si="44"/>
        <v>Ofsted Social Care Provider Webpage</v>
      </c>
      <c r="B2848" s="55" t="s">
        <v>5358</v>
      </c>
      <c r="D2848" s="55" t="s">
        <v>373</v>
      </c>
      <c r="E2848" s="74">
        <v>40309</v>
      </c>
      <c r="F2848" s="55" t="s">
        <v>344</v>
      </c>
      <c r="G2848" s="55" t="s">
        <v>360</v>
      </c>
      <c r="H2848" s="55" t="s">
        <v>360</v>
      </c>
      <c r="I2848" s="55" t="s">
        <v>360</v>
      </c>
      <c r="J2848" s="55" t="s">
        <v>360</v>
      </c>
      <c r="K2848" s="55" t="s">
        <v>360</v>
      </c>
      <c r="L2848" s="55" t="s">
        <v>360</v>
      </c>
      <c r="M2848" s="55" t="s">
        <v>378</v>
      </c>
      <c r="N2848" s="55" t="s">
        <v>170</v>
      </c>
      <c r="O2848" s="55" t="s">
        <v>222</v>
      </c>
      <c r="P2848" s="55" t="s">
        <v>3131</v>
      </c>
      <c r="Q2848" s="55" t="s">
        <v>350</v>
      </c>
      <c r="R2848" s="55">
        <v>3</v>
      </c>
      <c r="S2848" s="55"/>
      <c r="T2848" s="55" t="s">
        <v>677</v>
      </c>
      <c r="U2848" s="73" t="s">
        <v>351</v>
      </c>
      <c r="V2848" s="74">
        <v>44531</v>
      </c>
      <c r="W2848" s="74">
        <v>44578</v>
      </c>
      <c r="X2848" s="55">
        <v>10187194</v>
      </c>
      <c r="Y2848" s="55" t="s">
        <v>132</v>
      </c>
      <c r="AB2848" s="55" t="s">
        <v>132</v>
      </c>
      <c r="AC2848" s="55" t="s">
        <v>132</v>
      </c>
    </row>
    <row r="2849" spans="1:29" ht="13" x14ac:dyDescent="0.15">
      <c r="A2849" s="72" t="str">
        <f t="shared" si="44"/>
        <v>Ofsted Social Care Provider Webpage</v>
      </c>
      <c r="B2849" s="55" t="s">
        <v>5359</v>
      </c>
      <c r="D2849" s="55" t="s">
        <v>373</v>
      </c>
      <c r="E2849" s="74">
        <v>40421</v>
      </c>
      <c r="F2849" s="55" t="s">
        <v>344</v>
      </c>
      <c r="G2849" s="55" t="s">
        <v>360</v>
      </c>
      <c r="H2849" s="55" t="s">
        <v>360</v>
      </c>
      <c r="I2849" s="55" t="s">
        <v>360</v>
      </c>
      <c r="J2849" s="55" t="s">
        <v>360</v>
      </c>
      <c r="K2849" s="55" t="s">
        <v>360</v>
      </c>
      <c r="L2849" s="55" t="s">
        <v>360</v>
      </c>
      <c r="M2849" s="55" t="s">
        <v>142</v>
      </c>
      <c r="N2849" s="55" t="s">
        <v>142</v>
      </c>
      <c r="O2849" s="55" t="s">
        <v>293</v>
      </c>
      <c r="P2849" s="55" t="s">
        <v>1422</v>
      </c>
      <c r="Q2849" s="55" t="s">
        <v>350</v>
      </c>
      <c r="R2849" s="55">
        <v>4</v>
      </c>
      <c r="S2849" s="55"/>
      <c r="T2849" s="55" t="s">
        <v>654</v>
      </c>
      <c r="U2849" s="73" t="s">
        <v>351</v>
      </c>
      <c r="V2849" s="74">
        <v>44447</v>
      </c>
      <c r="W2849" s="74">
        <v>44501</v>
      </c>
      <c r="X2849" s="55">
        <v>10185185</v>
      </c>
      <c r="Y2849" s="55" t="s">
        <v>132</v>
      </c>
      <c r="AB2849" s="55" t="s">
        <v>132</v>
      </c>
      <c r="AC2849" s="55" t="s">
        <v>132</v>
      </c>
    </row>
    <row r="2850" spans="1:29" ht="13" x14ac:dyDescent="0.15">
      <c r="A2850" s="72" t="str">
        <f t="shared" si="44"/>
        <v>Ofsted Social Care Provider Webpage</v>
      </c>
      <c r="B2850" s="55" t="s">
        <v>5360</v>
      </c>
      <c r="D2850" s="55" t="s">
        <v>373</v>
      </c>
      <c r="E2850" s="74">
        <v>40211</v>
      </c>
      <c r="F2850" s="55" t="s">
        <v>344</v>
      </c>
      <c r="G2850" s="55" t="s">
        <v>360</v>
      </c>
      <c r="H2850" s="55" t="s">
        <v>360</v>
      </c>
      <c r="I2850" s="55" t="s">
        <v>360</v>
      </c>
      <c r="J2850" s="55" t="s">
        <v>360</v>
      </c>
      <c r="K2850" s="55" t="s">
        <v>360</v>
      </c>
      <c r="L2850" s="55" t="s">
        <v>360</v>
      </c>
      <c r="M2850" s="55" t="s">
        <v>150</v>
      </c>
      <c r="N2850" s="55" t="s">
        <v>150</v>
      </c>
      <c r="O2850" s="55" t="s">
        <v>203</v>
      </c>
      <c r="P2850" s="55" t="s">
        <v>3559</v>
      </c>
      <c r="Q2850" s="55" t="s">
        <v>380</v>
      </c>
      <c r="R2850" s="55">
        <v>6</v>
      </c>
      <c r="S2850" s="55" t="s">
        <v>332</v>
      </c>
      <c r="T2850" s="55" t="s">
        <v>1547</v>
      </c>
      <c r="U2850" s="73" t="s">
        <v>351</v>
      </c>
      <c r="V2850" s="74">
        <v>44538</v>
      </c>
      <c r="W2850" s="74">
        <v>44592</v>
      </c>
      <c r="X2850" s="55">
        <v>10187415</v>
      </c>
      <c r="Y2850" s="55" t="s">
        <v>132</v>
      </c>
      <c r="AB2850" s="55" t="s">
        <v>132</v>
      </c>
      <c r="AC2850" s="55" t="s">
        <v>130</v>
      </c>
    </row>
    <row r="2851" spans="1:29" ht="13" x14ac:dyDescent="0.15">
      <c r="A2851" s="72" t="str">
        <f t="shared" si="44"/>
        <v>Ofsted Social Care Provider Webpage</v>
      </c>
      <c r="B2851" s="55" t="s">
        <v>5361</v>
      </c>
      <c r="D2851" s="55" t="s">
        <v>373</v>
      </c>
      <c r="E2851" s="74">
        <v>40318</v>
      </c>
      <c r="F2851" s="55" t="s">
        <v>344</v>
      </c>
      <c r="G2851" s="55" t="s">
        <v>360</v>
      </c>
      <c r="H2851" s="55" t="s">
        <v>360</v>
      </c>
      <c r="I2851" s="55" t="s">
        <v>360</v>
      </c>
      <c r="J2851" s="55" t="s">
        <v>360</v>
      </c>
      <c r="K2851" s="55" t="s">
        <v>360</v>
      </c>
      <c r="L2851" s="55" t="s">
        <v>360</v>
      </c>
      <c r="M2851" s="55" t="s">
        <v>378</v>
      </c>
      <c r="N2851" s="55" t="s">
        <v>134</v>
      </c>
      <c r="O2851" s="55" t="s">
        <v>210</v>
      </c>
      <c r="P2851" s="55" t="s">
        <v>1250</v>
      </c>
      <c r="Q2851" s="55" t="s">
        <v>350</v>
      </c>
      <c r="R2851" s="55">
        <v>4</v>
      </c>
      <c r="S2851" s="55"/>
      <c r="T2851" s="55" t="s">
        <v>1505</v>
      </c>
      <c r="U2851" s="73" t="s">
        <v>351</v>
      </c>
      <c r="V2851" s="74">
        <v>44389</v>
      </c>
      <c r="W2851" s="74">
        <v>44426</v>
      </c>
      <c r="X2851" s="55">
        <v>10187354</v>
      </c>
      <c r="Y2851" s="55" t="s">
        <v>132</v>
      </c>
      <c r="AB2851" s="55" t="s">
        <v>132</v>
      </c>
      <c r="AC2851" s="55" t="s">
        <v>132</v>
      </c>
    </row>
    <row r="2852" spans="1:29" ht="13" x14ac:dyDescent="0.15">
      <c r="A2852" s="72" t="str">
        <f t="shared" si="44"/>
        <v>Ofsted Social Care Provider Webpage</v>
      </c>
      <c r="B2852" s="55" t="s">
        <v>5362</v>
      </c>
      <c r="D2852" s="55" t="s">
        <v>373</v>
      </c>
      <c r="E2852" s="74">
        <v>40162</v>
      </c>
      <c r="F2852" s="55" t="s">
        <v>344</v>
      </c>
      <c r="G2852" s="55" t="s">
        <v>360</v>
      </c>
      <c r="H2852" s="55" t="s">
        <v>360</v>
      </c>
      <c r="I2852" s="55" t="s">
        <v>360</v>
      </c>
      <c r="J2852" s="55" t="s">
        <v>360</v>
      </c>
      <c r="K2852" s="55" t="s">
        <v>360</v>
      </c>
      <c r="L2852" s="55" t="s">
        <v>360</v>
      </c>
      <c r="M2852" s="55" t="s">
        <v>142</v>
      </c>
      <c r="N2852" s="55" t="s">
        <v>142</v>
      </c>
      <c r="O2852" s="55" t="s">
        <v>265</v>
      </c>
      <c r="P2852" s="55" t="s">
        <v>1066</v>
      </c>
      <c r="Q2852" s="55" t="s">
        <v>380</v>
      </c>
      <c r="R2852" s="55">
        <v>2</v>
      </c>
      <c r="S2852" s="55"/>
      <c r="T2852" s="55" t="s">
        <v>1067</v>
      </c>
      <c r="U2852" s="73" t="s">
        <v>351</v>
      </c>
      <c r="V2852" s="74">
        <v>44334</v>
      </c>
      <c r="W2852" s="74">
        <v>44361</v>
      </c>
      <c r="X2852" s="55">
        <v>10185563</v>
      </c>
      <c r="Y2852" s="55" t="s">
        <v>132</v>
      </c>
      <c r="AB2852" s="55" t="s">
        <v>132</v>
      </c>
      <c r="AC2852" s="55" t="s">
        <v>132</v>
      </c>
    </row>
    <row r="2853" spans="1:29" ht="13" x14ac:dyDescent="0.15">
      <c r="A2853" s="72" t="str">
        <f t="shared" si="44"/>
        <v>Ofsted Social Care Provider Webpage</v>
      </c>
      <c r="B2853" s="55" t="s">
        <v>5363</v>
      </c>
      <c r="D2853" s="55" t="s">
        <v>373</v>
      </c>
      <c r="E2853" s="74">
        <v>40289</v>
      </c>
      <c r="F2853" s="55" t="s">
        <v>344</v>
      </c>
      <c r="G2853" s="55" t="s">
        <v>360</v>
      </c>
      <c r="H2853" s="55" t="s">
        <v>360</v>
      </c>
      <c r="I2853" s="55" t="s">
        <v>360</v>
      </c>
      <c r="J2853" s="55" t="s">
        <v>360</v>
      </c>
      <c r="K2853" s="55" t="s">
        <v>360</v>
      </c>
      <c r="L2853" s="55" t="s">
        <v>360</v>
      </c>
      <c r="M2853" s="55" t="s">
        <v>150</v>
      </c>
      <c r="N2853" s="55" t="s">
        <v>150</v>
      </c>
      <c r="O2853" s="55" t="s">
        <v>203</v>
      </c>
      <c r="P2853" s="55" t="s">
        <v>800</v>
      </c>
      <c r="Q2853" s="55" t="s">
        <v>350</v>
      </c>
      <c r="R2853" s="55">
        <v>5</v>
      </c>
      <c r="S2853" s="55"/>
      <c r="T2853" s="55" t="s">
        <v>2341</v>
      </c>
      <c r="U2853" s="73" t="s">
        <v>351</v>
      </c>
      <c r="V2853" s="74">
        <v>44382</v>
      </c>
      <c r="W2853" s="74">
        <v>44439</v>
      </c>
      <c r="X2853" s="55">
        <v>10186878</v>
      </c>
      <c r="Y2853" s="55" t="s">
        <v>132</v>
      </c>
      <c r="AB2853" s="55" t="s">
        <v>132</v>
      </c>
      <c r="AC2853" s="55" t="s">
        <v>132</v>
      </c>
    </row>
    <row r="2854" spans="1:29" ht="13" x14ac:dyDescent="0.15">
      <c r="A2854" s="72" t="str">
        <f t="shared" si="44"/>
        <v>Ofsted Social Care Provider Webpage</v>
      </c>
      <c r="B2854" s="55" t="s">
        <v>5364</v>
      </c>
      <c r="D2854" s="55" t="s">
        <v>479</v>
      </c>
      <c r="E2854" s="74">
        <v>40150</v>
      </c>
      <c r="F2854" s="55" t="s">
        <v>344</v>
      </c>
      <c r="G2854" s="55" t="s">
        <v>360</v>
      </c>
      <c r="H2854" s="55" t="s">
        <v>360</v>
      </c>
      <c r="I2854" s="55" t="s">
        <v>360</v>
      </c>
      <c r="J2854" s="55" t="s">
        <v>360</v>
      </c>
      <c r="K2854" s="55" t="s">
        <v>360</v>
      </c>
      <c r="L2854" s="55" t="s">
        <v>360</v>
      </c>
      <c r="M2854" s="55" t="s">
        <v>172</v>
      </c>
      <c r="N2854" s="55" t="s">
        <v>172</v>
      </c>
      <c r="O2854" s="55" t="s">
        <v>173</v>
      </c>
      <c r="P2854" s="55" t="s">
        <v>1258</v>
      </c>
      <c r="Q2854" s="55" t="s">
        <v>350</v>
      </c>
      <c r="R2854" s="55">
        <v>24</v>
      </c>
      <c r="S2854" s="55"/>
      <c r="T2854" s="55" t="s">
        <v>4968</v>
      </c>
      <c r="U2854" s="73" t="s">
        <v>351</v>
      </c>
      <c r="V2854" s="74">
        <v>44537</v>
      </c>
      <c r="W2854" s="74">
        <v>44580</v>
      </c>
      <c r="X2854" s="55">
        <v>10185058</v>
      </c>
      <c r="Y2854" s="55" t="s">
        <v>132</v>
      </c>
      <c r="AB2854" s="55" t="s">
        <v>132</v>
      </c>
      <c r="AC2854" s="55" t="s">
        <v>132</v>
      </c>
    </row>
    <row r="2855" spans="1:29" ht="13" x14ac:dyDescent="0.15">
      <c r="A2855" s="72" t="str">
        <f t="shared" si="44"/>
        <v>Ofsted Social Care Provider Webpage</v>
      </c>
      <c r="B2855" s="55" t="s">
        <v>5365</v>
      </c>
      <c r="D2855" s="55" t="s">
        <v>373</v>
      </c>
      <c r="E2855" s="74">
        <v>40200</v>
      </c>
      <c r="F2855" s="55" t="s">
        <v>344</v>
      </c>
      <c r="G2855" s="55" t="s">
        <v>360</v>
      </c>
      <c r="H2855" s="55" t="s">
        <v>360</v>
      </c>
      <c r="I2855" s="55" t="s">
        <v>360</v>
      </c>
      <c r="J2855" s="55" t="s">
        <v>360</v>
      </c>
      <c r="K2855" s="55" t="s">
        <v>360</v>
      </c>
      <c r="L2855" s="55" t="s">
        <v>360</v>
      </c>
      <c r="M2855" s="55" t="s">
        <v>142</v>
      </c>
      <c r="N2855" s="55" t="s">
        <v>142</v>
      </c>
      <c r="O2855" s="55" t="s">
        <v>262</v>
      </c>
      <c r="P2855" s="55" t="s">
        <v>488</v>
      </c>
      <c r="Q2855" s="55" t="s">
        <v>350</v>
      </c>
      <c r="R2855" s="55">
        <v>2</v>
      </c>
      <c r="S2855" s="55"/>
      <c r="T2855" s="55" t="s">
        <v>5366</v>
      </c>
      <c r="U2855" s="73" t="s">
        <v>351</v>
      </c>
      <c r="V2855" s="74">
        <v>44335</v>
      </c>
      <c r="W2855" s="74">
        <v>44396</v>
      </c>
      <c r="X2855" s="55">
        <v>10187238</v>
      </c>
      <c r="Y2855" s="55" t="s">
        <v>130</v>
      </c>
      <c r="AB2855" s="55" t="s">
        <v>130</v>
      </c>
      <c r="AC2855" s="55" t="s">
        <v>130</v>
      </c>
    </row>
    <row r="2856" spans="1:29" ht="13" x14ac:dyDescent="0.15">
      <c r="A2856" s="72" t="str">
        <f t="shared" si="44"/>
        <v>Ofsted Social Care Provider Webpage</v>
      </c>
      <c r="B2856" s="55" t="s">
        <v>5367</v>
      </c>
      <c r="D2856" s="55" t="s">
        <v>373</v>
      </c>
      <c r="E2856" s="74">
        <v>40396</v>
      </c>
      <c r="F2856" s="55" t="s">
        <v>344</v>
      </c>
      <c r="G2856" s="55" t="s">
        <v>360</v>
      </c>
      <c r="H2856" s="55" t="s">
        <v>360</v>
      </c>
      <c r="I2856" s="55" t="s">
        <v>360</v>
      </c>
      <c r="J2856" s="55" t="s">
        <v>360</v>
      </c>
      <c r="K2856" s="55" t="s">
        <v>360</v>
      </c>
      <c r="L2856" s="55" t="s">
        <v>360</v>
      </c>
      <c r="M2856" s="55" t="s">
        <v>142</v>
      </c>
      <c r="N2856" s="55" t="s">
        <v>142</v>
      </c>
      <c r="O2856" s="55" t="s">
        <v>249</v>
      </c>
      <c r="P2856" s="55" t="s">
        <v>1181</v>
      </c>
      <c r="Q2856" s="55" t="s">
        <v>362</v>
      </c>
      <c r="R2856" s="55">
        <v>4</v>
      </c>
      <c r="S2856" s="55"/>
      <c r="T2856" s="55" t="s">
        <v>432</v>
      </c>
      <c r="U2856" s="73" t="s">
        <v>351</v>
      </c>
      <c r="V2856" s="74">
        <v>43775</v>
      </c>
      <c r="W2856" s="74">
        <v>43803</v>
      </c>
      <c r="X2856" s="55">
        <v>10096397</v>
      </c>
      <c r="Y2856" s="55" t="s">
        <v>132</v>
      </c>
      <c r="AB2856" s="55" t="s">
        <v>132</v>
      </c>
      <c r="AC2856" s="55" t="s">
        <v>132</v>
      </c>
    </row>
    <row r="2857" spans="1:29" ht="13" x14ac:dyDescent="0.15">
      <c r="A2857" s="72" t="str">
        <f t="shared" si="44"/>
        <v>Ofsted Social Care Provider Webpage</v>
      </c>
      <c r="B2857" s="55" t="s">
        <v>5368</v>
      </c>
      <c r="D2857" s="55" t="s">
        <v>373</v>
      </c>
      <c r="E2857" s="74">
        <v>40189</v>
      </c>
      <c r="F2857" s="55" t="s">
        <v>344</v>
      </c>
      <c r="G2857" s="55" t="s">
        <v>360</v>
      </c>
      <c r="H2857" s="55" t="s">
        <v>360</v>
      </c>
      <c r="I2857" s="55" t="s">
        <v>360</v>
      </c>
      <c r="J2857" s="55" t="s">
        <v>360</v>
      </c>
      <c r="K2857" s="55" t="s">
        <v>360</v>
      </c>
      <c r="L2857" s="55" t="s">
        <v>360</v>
      </c>
      <c r="M2857" s="55" t="s">
        <v>378</v>
      </c>
      <c r="N2857" s="55" t="s">
        <v>170</v>
      </c>
      <c r="O2857" s="55" t="s">
        <v>267</v>
      </c>
      <c r="P2857" s="55" t="s">
        <v>477</v>
      </c>
      <c r="Q2857" s="55" t="s">
        <v>362</v>
      </c>
      <c r="R2857" s="55">
        <v>4</v>
      </c>
      <c r="S2857" s="55"/>
      <c r="T2857" s="55" t="s">
        <v>5369</v>
      </c>
      <c r="U2857" s="73" t="s">
        <v>351</v>
      </c>
      <c r="V2857" s="74">
        <v>44340</v>
      </c>
      <c r="W2857" s="74">
        <v>44372</v>
      </c>
      <c r="X2857" s="55">
        <v>10185308</v>
      </c>
      <c r="Y2857" s="55" t="s">
        <v>130</v>
      </c>
      <c r="AB2857" s="55" t="s">
        <v>130</v>
      </c>
      <c r="AC2857" s="55" t="s">
        <v>130</v>
      </c>
    </row>
    <row r="2858" spans="1:29" ht="13" x14ac:dyDescent="0.15">
      <c r="A2858" s="72" t="str">
        <f t="shared" si="44"/>
        <v>Ofsted Social Care Provider Webpage</v>
      </c>
      <c r="B2858" s="55" t="s">
        <v>5370</v>
      </c>
      <c r="D2858" s="55" t="s">
        <v>373</v>
      </c>
      <c r="E2858" s="74">
        <v>40288</v>
      </c>
      <c r="F2858" s="55" t="s">
        <v>344</v>
      </c>
      <c r="G2858" s="55" t="s">
        <v>360</v>
      </c>
      <c r="H2858" s="55" t="s">
        <v>360</v>
      </c>
      <c r="I2858" s="55" t="s">
        <v>360</v>
      </c>
      <c r="J2858" s="55" t="s">
        <v>360</v>
      </c>
      <c r="K2858" s="55" t="s">
        <v>360</v>
      </c>
      <c r="L2858" s="55" t="s">
        <v>360</v>
      </c>
      <c r="M2858" s="55" t="s">
        <v>144</v>
      </c>
      <c r="N2858" s="55" t="s">
        <v>144</v>
      </c>
      <c r="O2858" s="55" t="s">
        <v>207</v>
      </c>
      <c r="P2858" s="55" t="s">
        <v>207</v>
      </c>
      <c r="Q2858" s="55" t="s">
        <v>350</v>
      </c>
      <c r="R2858" s="55">
        <v>1</v>
      </c>
      <c r="S2858" s="55"/>
      <c r="T2858" s="55" t="s">
        <v>2947</v>
      </c>
      <c r="U2858" s="73" t="s">
        <v>351</v>
      </c>
      <c r="V2858" s="74">
        <v>44607</v>
      </c>
      <c r="W2858" s="74">
        <v>44648</v>
      </c>
      <c r="X2858" s="55">
        <v>10186208</v>
      </c>
      <c r="Y2858" s="55" t="s">
        <v>146</v>
      </c>
      <c r="AB2858" s="55" t="s">
        <v>146</v>
      </c>
      <c r="AC2858" s="55" t="s">
        <v>146</v>
      </c>
    </row>
    <row r="2859" spans="1:29" ht="13" x14ac:dyDescent="0.15">
      <c r="A2859" s="72" t="str">
        <f t="shared" si="44"/>
        <v>Ofsted Social Care Provider Webpage</v>
      </c>
      <c r="B2859" s="55" t="s">
        <v>5371</v>
      </c>
      <c r="D2859" s="55" t="s">
        <v>389</v>
      </c>
      <c r="E2859" s="74">
        <v>40275</v>
      </c>
      <c r="F2859" s="55" t="s">
        <v>344</v>
      </c>
      <c r="G2859" s="55" t="s">
        <v>5372</v>
      </c>
      <c r="H2859" s="55" t="s">
        <v>5373</v>
      </c>
      <c r="I2859" s="55" t="s">
        <v>5374</v>
      </c>
      <c r="J2859" s="55" t="s">
        <v>5375</v>
      </c>
      <c r="K2859" s="55" t="s">
        <v>2374</v>
      </c>
      <c r="L2859" s="55" t="s">
        <v>5376</v>
      </c>
      <c r="M2859" s="55" t="s">
        <v>378</v>
      </c>
      <c r="N2859" s="55" t="s">
        <v>134</v>
      </c>
      <c r="O2859" s="55" t="s">
        <v>151</v>
      </c>
      <c r="P2859" s="55" t="s">
        <v>1778</v>
      </c>
      <c r="Q2859" s="55" t="s">
        <v>350</v>
      </c>
      <c r="R2859" s="55"/>
      <c r="S2859" s="55"/>
      <c r="T2859" s="55" t="s">
        <v>5372</v>
      </c>
      <c r="U2859" s="73" t="s">
        <v>351</v>
      </c>
      <c r="V2859" s="74">
        <v>44592</v>
      </c>
      <c r="W2859" s="74">
        <v>44637</v>
      </c>
      <c r="X2859" s="55">
        <v>10183384</v>
      </c>
      <c r="Y2859" s="55" t="s">
        <v>132</v>
      </c>
      <c r="AB2859" s="55" t="s">
        <v>132</v>
      </c>
      <c r="AC2859" s="55" t="s">
        <v>132</v>
      </c>
    </row>
    <row r="2860" spans="1:29" ht="13" x14ac:dyDescent="0.15">
      <c r="A2860" s="72" t="str">
        <f t="shared" si="44"/>
        <v>Ofsted Social Care Provider Webpage</v>
      </c>
      <c r="B2860" s="55" t="s">
        <v>5377</v>
      </c>
      <c r="D2860" s="55" t="s">
        <v>373</v>
      </c>
      <c r="E2860" s="74">
        <v>40189</v>
      </c>
      <c r="F2860" s="55" t="s">
        <v>344</v>
      </c>
      <c r="G2860" s="55" t="s">
        <v>360</v>
      </c>
      <c r="H2860" s="55" t="s">
        <v>360</v>
      </c>
      <c r="I2860" s="55" t="s">
        <v>360</v>
      </c>
      <c r="J2860" s="55" t="s">
        <v>360</v>
      </c>
      <c r="K2860" s="55" t="s">
        <v>360</v>
      </c>
      <c r="L2860" s="55" t="s">
        <v>360</v>
      </c>
      <c r="M2860" s="55" t="s">
        <v>142</v>
      </c>
      <c r="N2860" s="55" t="s">
        <v>142</v>
      </c>
      <c r="O2860" s="55" t="s">
        <v>249</v>
      </c>
      <c r="P2860" s="55" t="s">
        <v>1318</v>
      </c>
      <c r="Q2860" s="55" t="s">
        <v>350</v>
      </c>
      <c r="R2860" s="55">
        <v>3</v>
      </c>
      <c r="S2860" s="55"/>
      <c r="T2860" s="55" t="s">
        <v>385</v>
      </c>
      <c r="U2860" s="73" t="s">
        <v>351</v>
      </c>
      <c r="V2860" s="74">
        <v>44334</v>
      </c>
      <c r="W2860" s="74">
        <v>44363</v>
      </c>
      <c r="X2860" s="55">
        <v>10185242</v>
      </c>
      <c r="Y2860" s="55" t="s">
        <v>132</v>
      </c>
      <c r="AB2860" s="55" t="s">
        <v>132</v>
      </c>
      <c r="AC2860" s="55" t="s">
        <v>130</v>
      </c>
    </row>
    <row r="2861" spans="1:29" ht="13" x14ac:dyDescent="0.15">
      <c r="A2861" s="72" t="str">
        <f t="shared" si="44"/>
        <v>Ofsted Social Care Provider Webpage</v>
      </c>
      <c r="B2861" s="55" t="s">
        <v>5378</v>
      </c>
      <c r="D2861" s="55" t="s">
        <v>373</v>
      </c>
      <c r="E2861" s="74">
        <v>40238</v>
      </c>
      <c r="F2861" s="55" t="s">
        <v>344</v>
      </c>
      <c r="G2861" s="55" t="s">
        <v>360</v>
      </c>
      <c r="H2861" s="55" t="s">
        <v>360</v>
      </c>
      <c r="I2861" s="55" t="s">
        <v>360</v>
      </c>
      <c r="J2861" s="55" t="s">
        <v>360</v>
      </c>
      <c r="K2861" s="55" t="s">
        <v>360</v>
      </c>
      <c r="L2861" s="55" t="s">
        <v>360</v>
      </c>
      <c r="M2861" s="55" t="s">
        <v>150</v>
      </c>
      <c r="N2861" s="55" t="s">
        <v>150</v>
      </c>
      <c r="O2861" s="55" t="s">
        <v>268</v>
      </c>
      <c r="P2861" s="55" t="s">
        <v>2666</v>
      </c>
      <c r="Q2861" s="55" t="s">
        <v>380</v>
      </c>
      <c r="R2861" s="55">
        <v>6</v>
      </c>
      <c r="S2861" s="55" t="s">
        <v>332</v>
      </c>
      <c r="T2861" s="55" t="s">
        <v>640</v>
      </c>
      <c r="U2861" s="73" t="s">
        <v>351</v>
      </c>
      <c r="V2861" s="74">
        <v>44390</v>
      </c>
      <c r="W2861" s="74">
        <v>44460</v>
      </c>
      <c r="X2861" s="55">
        <v>10185131</v>
      </c>
      <c r="Y2861" s="55" t="s">
        <v>140</v>
      </c>
      <c r="AB2861" s="55" t="s">
        <v>140</v>
      </c>
      <c r="AC2861" s="55" t="s">
        <v>140</v>
      </c>
    </row>
    <row r="2862" spans="1:29" ht="13" x14ac:dyDescent="0.15">
      <c r="A2862" s="72" t="str">
        <f t="shared" si="44"/>
        <v>Ofsted Social Care Provider Webpage</v>
      </c>
      <c r="B2862" s="55" t="s">
        <v>5379</v>
      </c>
      <c r="D2862" s="55" t="s">
        <v>373</v>
      </c>
      <c r="E2862" s="74">
        <v>40193</v>
      </c>
      <c r="F2862" s="55" t="s">
        <v>344</v>
      </c>
      <c r="G2862" s="55" t="s">
        <v>360</v>
      </c>
      <c r="H2862" s="55" t="s">
        <v>360</v>
      </c>
      <c r="I2862" s="55" t="s">
        <v>360</v>
      </c>
      <c r="J2862" s="55" t="s">
        <v>360</v>
      </c>
      <c r="K2862" s="55" t="s">
        <v>360</v>
      </c>
      <c r="L2862" s="55" t="s">
        <v>360</v>
      </c>
      <c r="M2862" s="55" t="s">
        <v>142</v>
      </c>
      <c r="N2862" s="55" t="s">
        <v>142</v>
      </c>
      <c r="O2862" s="55" t="s">
        <v>272</v>
      </c>
      <c r="P2862" s="55" t="s">
        <v>1291</v>
      </c>
      <c r="Q2862" s="55" t="s">
        <v>350</v>
      </c>
      <c r="R2862" s="55">
        <v>2</v>
      </c>
      <c r="S2862" s="55"/>
      <c r="T2862" s="55" t="s">
        <v>504</v>
      </c>
      <c r="U2862" s="73" t="s">
        <v>351</v>
      </c>
      <c r="V2862" s="74">
        <v>44390</v>
      </c>
      <c r="W2862" s="74">
        <v>44435</v>
      </c>
      <c r="X2862" s="55">
        <v>10187166</v>
      </c>
      <c r="Y2862" s="55" t="s">
        <v>140</v>
      </c>
      <c r="AB2862" s="55" t="s">
        <v>140</v>
      </c>
      <c r="AC2862" s="55" t="s">
        <v>140</v>
      </c>
    </row>
    <row r="2863" spans="1:29" ht="13" x14ac:dyDescent="0.15">
      <c r="A2863" s="72" t="str">
        <f t="shared" si="44"/>
        <v>Ofsted Social Care Provider Webpage</v>
      </c>
      <c r="B2863" s="55" t="s">
        <v>5380</v>
      </c>
      <c r="D2863" s="55" t="s">
        <v>373</v>
      </c>
      <c r="E2863" s="74">
        <v>40275</v>
      </c>
      <c r="F2863" s="55" t="s">
        <v>344</v>
      </c>
      <c r="G2863" s="55" t="s">
        <v>360</v>
      </c>
      <c r="H2863" s="55" t="s">
        <v>360</v>
      </c>
      <c r="I2863" s="55" t="s">
        <v>360</v>
      </c>
      <c r="J2863" s="55" t="s">
        <v>360</v>
      </c>
      <c r="K2863" s="55" t="s">
        <v>360</v>
      </c>
      <c r="L2863" s="55" t="s">
        <v>360</v>
      </c>
      <c r="M2863" s="55" t="s">
        <v>172</v>
      </c>
      <c r="N2863" s="55" t="s">
        <v>172</v>
      </c>
      <c r="O2863" s="55" t="s">
        <v>235</v>
      </c>
      <c r="P2863" s="55" t="s">
        <v>948</v>
      </c>
      <c r="Q2863" s="55" t="s">
        <v>350</v>
      </c>
      <c r="R2863" s="55">
        <v>5</v>
      </c>
      <c r="S2863" s="55"/>
      <c r="T2863" s="55" t="s">
        <v>1105</v>
      </c>
      <c r="U2863" s="73" t="s">
        <v>351</v>
      </c>
      <c r="V2863" s="74">
        <v>44480</v>
      </c>
      <c r="W2863" s="74">
        <v>44519</v>
      </c>
      <c r="X2863" s="55">
        <v>10186433</v>
      </c>
      <c r="Y2863" s="55" t="s">
        <v>140</v>
      </c>
      <c r="AB2863" s="55" t="s">
        <v>132</v>
      </c>
      <c r="AC2863" s="55" t="s">
        <v>140</v>
      </c>
    </row>
    <row r="2864" spans="1:29" ht="13" x14ac:dyDescent="0.15">
      <c r="A2864" s="72" t="str">
        <f t="shared" si="44"/>
        <v>Ofsted Social Care Provider Webpage</v>
      </c>
      <c r="B2864" s="55" t="s">
        <v>5381</v>
      </c>
      <c r="D2864" s="55" t="s">
        <v>389</v>
      </c>
      <c r="E2864" s="74">
        <v>40315</v>
      </c>
      <c r="F2864" s="55" t="s">
        <v>344</v>
      </c>
      <c r="G2864" s="55" t="s">
        <v>5382</v>
      </c>
      <c r="H2864" s="55" t="s">
        <v>5383</v>
      </c>
      <c r="I2864" s="55" t="s">
        <v>5384</v>
      </c>
      <c r="J2864" s="55" t="s">
        <v>551</v>
      </c>
      <c r="L2864" s="55" t="s">
        <v>5385</v>
      </c>
      <c r="M2864" s="55" t="s">
        <v>129</v>
      </c>
      <c r="N2864" s="55" t="s">
        <v>129</v>
      </c>
      <c r="O2864" s="55" t="s">
        <v>167</v>
      </c>
      <c r="P2864" s="55" t="s">
        <v>866</v>
      </c>
      <c r="Q2864" s="55" t="s">
        <v>350</v>
      </c>
      <c r="R2864" s="55"/>
      <c r="S2864" s="55"/>
      <c r="T2864" s="55" t="s">
        <v>5386</v>
      </c>
      <c r="U2864" s="73" t="s">
        <v>351</v>
      </c>
      <c r="V2864" s="74">
        <v>43234</v>
      </c>
      <c r="W2864" s="74">
        <v>43257</v>
      </c>
      <c r="X2864" s="55">
        <v>10046823</v>
      </c>
      <c r="Y2864" s="55" t="s">
        <v>132</v>
      </c>
      <c r="AB2864" s="55" t="s">
        <v>132</v>
      </c>
      <c r="AC2864" s="55" t="s">
        <v>132</v>
      </c>
    </row>
    <row r="2865" spans="1:29" ht="13" x14ac:dyDescent="0.15">
      <c r="A2865" s="72" t="str">
        <f t="shared" si="44"/>
        <v>Ofsted Social Care Provider Webpage</v>
      </c>
      <c r="B2865" s="55" t="s">
        <v>5387</v>
      </c>
      <c r="D2865" s="55" t="s">
        <v>373</v>
      </c>
      <c r="E2865" s="74">
        <v>40211</v>
      </c>
      <c r="F2865" s="55" t="s">
        <v>344</v>
      </c>
      <c r="G2865" s="55" t="s">
        <v>360</v>
      </c>
      <c r="H2865" s="55" t="s">
        <v>360</v>
      </c>
      <c r="I2865" s="55" t="s">
        <v>360</v>
      </c>
      <c r="J2865" s="55" t="s">
        <v>360</v>
      </c>
      <c r="K2865" s="55" t="s">
        <v>360</v>
      </c>
      <c r="L2865" s="55" t="s">
        <v>360</v>
      </c>
      <c r="M2865" s="55" t="s">
        <v>378</v>
      </c>
      <c r="N2865" s="55" t="s">
        <v>134</v>
      </c>
      <c r="O2865" s="55" t="s">
        <v>210</v>
      </c>
      <c r="P2865" s="55" t="s">
        <v>1250</v>
      </c>
      <c r="Q2865" s="55" t="s">
        <v>380</v>
      </c>
      <c r="R2865" s="55">
        <v>12</v>
      </c>
      <c r="S2865" s="55" t="s">
        <v>332</v>
      </c>
      <c r="T2865" s="55" t="s">
        <v>543</v>
      </c>
      <c r="U2865" s="73" t="s">
        <v>351</v>
      </c>
      <c r="V2865" s="74">
        <v>44368</v>
      </c>
      <c r="W2865" s="74">
        <v>44405</v>
      </c>
      <c r="X2865" s="55">
        <v>10186787</v>
      </c>
      <c r="Y2865" s="55" t="s">
        <v>140</v>
      </c>
      <c r="AB2865" s="55" t="s">
        <v>140</v>
      </c>
      <c r="AC2865" s="55" t="s">
        <v>140</v>
      </c>
    </row>
    <row r="2866" spans="1:29" ht="13" x14ac:dyDescent="0.15">
      <c r="A2866" s="72" t="str">
        <f t="shared" si="44"/>
        <v>Ofsted Social Care Provider Webpage</v>
      </c>
      <c r="B2866" s="55" t="s">
        <v>5388</v>
      </c>
      <c r="D2866" s="55" t="s">
        <v>373</v>
      </c>
      <c r="E2866" s="74">
        <v>40261</v>
      </c>
      <c r="F2866" s="55" t="s">
        <v>344</v>
      </c>
      <c r="G2866" s="55" t="s">
        <v>360</v>
      </c>
      <c r="H2866" s="55" t="s">
        <v>360</v>
      </c>
      <c r="I2866" s="55" t="s">
        <v>360</v>
      </c>
      <c r="J2866" s="55" t="s">
        <v>360</v>
      </c>
      <c r="K2866" s="55" t="s">
        <v>360</v>
      </c>
      <c r="L2866" s="55" t="s">
        <v>360</v>
      </c>
      <c r="M2866" s="55" t="s">
        <v>144</v>
      </c>
      <c r="N2866" s="55" t="s">
        <v>144</v>
      </c>
      <c r="O2866" s="55" t="s">
        <v>261</v>
      </c>
      <c r="P2866" s="55" t="s">
        <v>512</v>
      </c>
      <c r="Q2866" s="55" t="s">
        <v>350</v>
      </c>
      <c r="R2866" s="55">
        <v>5</v>
      </c>
      <c r="S2866" s="55"/>
      <c r="T2866" s="55" t="s">
        <v>923</v>
      </c>
      <c r="U2866" s="73" t="s">
        <v>351</v>
      </c>
      <c r="V2866" s="74">
        <v>44530</v>
      </c>
      <c r="W2866" s="74">
        <v>44566</v>
      </c>
      <c r="X2866" s="55">
        <v>10206358</v>
      </c>
      <c r="Y2866" s="55" t="s">
        <v>130</v>
      </c>
      <c r="AB2866" s="55" t="s">
        <v>130</v>
      </c>
      <c r="AC2866" s="55" t="s">
        <v>130</v>
      </c>
    </row>
    <row r="2867" spans="1:29" ht="13" x14ac:dyDescent="0.15">
      <c r="A2867" s="72" t="str">
        <f t="shared" si="44"/>
        <v>Ofsted Social Care Provider Webpage</v>
      </c>
      <c r="B2867" s="55" t="s">
        <v>5389</v>
      </c>
      <c r="D2867" s="55" t="s">
        <v>373</v>
      </c>
      <c r="E2867" s="74">
        <v>40227</v>
      </c>
      <c r="F2867" s="55" t="s">
        <v>344</v>
      </c>
      <c r="G2867" s="55" t="s">
        <v>360</v>
      </c>
      <c r="H2867" s="55" t="s">
        <v>360</v>
      </c>
      <c r="I2867" s="55" t="s">
        <v>360</v>
      </c>
      <c r="J2867" s="55" t="s">
        <v>360</v>
      </c>
      <c r="K2867" s="55" t="s">
        <v>360</v>
      </c>
      <c r="L2867" s="55" t="s">
        <v>360</v>
      </c>
      <c r="M2867" s="55" t="s">
        <v>129</v>
      </c>
      <c r="N2867" s="55" t="s">
        <v>129</v>
      </c>
      <c r="O2867" s="55" t="s">
        <v>279</v>
      </c>
      <c r="P2867" s="55" t="s">
        <v>2499</v>
      </c>
      <c r="Q2867" s="55" t="s">
        <v>350</v>
      </c>
      <c r="R2867" s="55">
        <v>3</v>
      </c>
      <c r="S2867" s="55"/>
      <c r="T2867" s="55" t="s">
        <v>5390</v>
      </c>
      <c r="U2867" s="73" t="s">
        <v>351</v>
      </c>
      <c r="V2867" s="74">
        <v>44502</v>
      </c>
      <c r="W2867" s="74">
        <v>44538</v>
      </c>
      <c r="X2867" s="55">
        <v>10187575</v>
      </c>
      <c r="Y2867" s="55" t="s">
        <v>132</v>
      </c>
      <c r="AB2867" s="55" t="s">
        <v>132</v>
      </c>
      <c r="AC2867" s="55" t="s">
        <v>132</v>
      </c>
    </row>
    <row r="2868" spans="1:29" ht="13" x14ac:dyDescent="0.15">
      <c r="A2868" s="72" t="str">
        <f t="shared" si="44"/>
        <v>Ofsted Social Care Provider Webpage</v>
      </c>
      <c r="B2868" s="55" t="s">
        <v>5391</v>
      </c>
      <c r="D2868" s="55" t="s">
        <v>389</v>
      </c>
      <c r="E2868" s="74">
        <v>40254</v>
      </c>
      <c r="F2868" s="55" t="s">
        <v>344</v>
      </c>
      <c r="G2868" s="55" t="s">
        <v>5392</v>
      </c>
      <c r="H2868" s="55" t="s">
        <v>4114</v>
      </c>
      <c r="I2868" s="55" t="s">
        <v>5393</v>
      </c>
      <c r="J2868" s="55" t="s">
        <v>1768</v>
      </c>
      <c r="L2868" s="55" t="s">
        <v>5394</v>
      </c>
      <c r="M2868" s="55" t="s">
        <v>138</v>
      </c>
      <c r="N2868" s="55" t="s">
        <v>138</v>
      </c>
      <c r="O2868" s="55" t="s">
        <v>224</v>
      </c>
      <c r="P2868" s="55" t="s">
        <v>1123</v>
      </c>
      <c r="Q2868" s="55" t="s">
        <v>350</v>
      </c>
      <c r="R2868" s="55"/>
      <c r="S2868" s="55"/>
      <c r="T2868" s="55" t="s">
        <v>5395</v>
      </c>
      <c r="U2868" s="73" t="s">
        <v>351</v>
      </c>
      <c r="V2868" s="74">
        <v>44312</v>
      </c>
      <c r="W2868" s="74">
        <v>44349</v>
      </c>
      <c r="X2868" s="55">
        <v>10183349</v>
      </c>
      <c r="Y2868" s="55" t="s">
        <v>132</v>
      </c>
      <c r="AB2868" s="55" t="s">
        <v>132</v>
      </c>
      <c r="AC2868" s="55" t="s">
        <v>132</v>
      </c>
    </row>
    <row r="2869" spans="1:29" ht="13" x14ac:dyDescent="0.15">
      <c r="A2869" s="72" t="str">
        <f t="shared" si="44"/>
        <v>Ofsted Social Care Provider Webpage</v>
      </c>
      <c r="B2869" s="55" t="s">
        <v>5396</v>
      </c>
      <c r="D2869" s="55" t="s">
        <v>373</v>
      </c>
      <c r="E2869" s="74">
        <v>40268</v>
      </c>
      <c r="F2869" s="55" t="s">
        <v>344</v>
      </c>
      <c r="G2869" s="55" t="s">
        <v>360</v>
      </c>
      <c r="H2869" s="55" t="s">
        <v>360</v>
      </c>
      <c r="I2869" s="55" t="s">
        <v>360</v>
      </c>
      <c r="J2869" s="55" t="s">
        <v>360</v>
      </c>
      <c r="K2869" s="55" t="s">
        <v>360</v>
      </c>
      <c r="L2869" s="55" t="s">
        <v>360</v>
      </c>
      <c r="M2869" s="55" t="s">
        <v>144</v>
      </c>
      <c r="N2869" s="55" t="s">
        <v>144</v>
      </c>
      <c r="O2869" s="55" t="s">
        <v>263</v>
      </c>
      <c r="P2869" s="55" t="s">
        <v>1211</v>
      </c>
      <c r="Q2869" s="55" t="s">
        <v>350</v>
      </c>
      <c r="R2869" s="55">
        <v>4</v>
      </c>
      <c r="S2869" s="55"/>
      <c r="T2869" s="55" t="s">
        <v>2359</v>
      </c>
      <c r="U2869" s="73" t="s">
        <v>351</v>
      </c>
      <c r="V2869" s="74">
        <v>44545</v>
      </c>
      <c r="W2869" s="74">
        <v>44593</v>
      </c>
      <c r="X2869" s="55">
        <v>10185477</v>
      </c>
      <c r="Y2869" s="55" t="s">
        <v>132</v>
      </c>
      <c r="AB2869" s="55" t="s">
        <v>132</v>
      </c>
      <c r="AC2869" s="55" t="s">
        <v>132</v>
      </c>
    </row>
    <row r="2870" spans="1:29" ht="13" x14ac:dyDescent="0.15">
      <c r="A2870" s="72" t="str">
        <f t="shared" si="44"/>
        <v>Ofsted Social Care Provider Webpage</v>
      </c>
      <c r="B2870" s="55" t="s">
        <v>5397</v>
      </c>
      <c r="D2870" s="55" t="s">
        <v>373</v>
      </c>
      <c r="E2870" s="74">
        <v>40290</v>
      </c>
      <c r="F2870" s="55" t="s">
        <v>344</v>
      </c>
      <c r="G2870" s="55" t="s">
        <v>360</v>
      </c>
      <c r="H2870" s="55" t="s">
        <v>360</v>
      </c>
      <c r="I2870" s="55" t="s">
        <v>360</v>
      </c>
      <c r="J2870" s="55" t="s">
        <v>360</v>
      </c>
      <c r="K2870" s="55" t="s">
        <v>360</v>
      </c>
      <c r="L2870" s="55" t="s">
        <v>360</v>
      </c>
      <c r="M2870" s="55" t="s">
        <v>136</v>
      </c>
      <c r="N2870" s="55" t="s">
        <v>136</v>
      </c>
      <c r="O2870" s="55" t="s">
        <v>288</v>
      </c>
      <c r="P2870" s="55" t="s">
        <v>1388</v>
      </c>
      <c r="Q2870" s="55" t="s">
        <v>350</v>
      </c>
      <c r="R2870" s="55">
        <v>4</v>
      </c>
      <c r="S2870" s="55"/>
      <c r="T2870" s="55" t="s">
        <v>832</v>
      </c>
      <c r="U2870" s="73" t="s">
        <v>351</v>
      </c>
      <c r="V2870" s="74">
        <v>44313</v>
      </c>
      <c r="W2870" s="74">
        <v>44341</v>
      </c>
      <c r="X2870" s="55">
        <v>10186140</v>
      </c>
      <c r="Y2870" s="55" t="s">
        <v>130</v>
      </c>
      <c r="AB2870" s="55" t="s">
        <v>132</v>
      </c>
      <c r="AC2870" s="55" t="s">
        <v>130</v>
      </c>
    </row>
    <row r="2871" spans="1:29" ht="13" x14ac:dyDescent="0.15">
      <c r="A2871" s="72" t="str">
        <f t="shared" si="44"/>
        <v>Ofsted Social Care Provider Webpage</v>
      </c>
      <c r="B2871" s="55" t="s">
        <v>5398</v>
      </c>
      <c r="D2871" s="55" t="s">
        <v>373</v>
      </c>
      <c r="E2871" s="74">
        <v>40241</v>
      </c>
      <c r="F2871" s="55" t="s">
        <v>344</v>
      </c>
      <c r="G2871" s="55" t="s">
        <v>360</v>
      </c>
      <c r="H2871" s="55" t="s">
        <v>360</v>
      </c>
      <c r="I2871" s="55" t="s">
        <v>360</v>
      </c>
      <c r="J2871" s="55" t="s">
        <v>360</v>
      </c>
      <c r="K2871" s="55" t="s">
        <v>360</v>
      </c>
      <c r="L2871" s="55" t="s">
        <v>360</v>
      </c>
      <c r="M2871" s="55" t="s">
        <v>136</v>
      </c>
      <c r="N2871" s="55" t="s">
        <v>136</v>
      </c>
      <c r="O2871" s="55" t="s">
        <v>174</v>
      </c>
      <c r="P2871" s="55" t="s">
        <v>982</v>
      </c>
      <c r="Q2871" s="55" t="s">
        <v>350</v>
      </c>
      <c r="R2871" s="55">
        <v>4</v>
      </c>
      <c r="S2871" s="55"/>
      <c r="T2871" s="55" t="s">
        <v>5399</v>
      </c>
      <c r="U2871" s="73" t="s">
        <v>351</v>
      </c>
      <c r="V2871" s="74">
        <v>44342</v>
      </c>
      <c r="W2871" s="74">
        <v>44372</v>
      </c>
      <c r="X2871" s="55">
        <v>10187621</v>
      </c>
      <c r="Y2871" s="55" t="s">
        <v>132</v>
      </c>
      <c r="AB2871" s="55" t="s">
        <v>132</v>
      </c>
      <c r="AC2871" s="55" t="s">
        <v>132</v>
      </c>
    </row>
    <row r="2872" spans="1:29" ht="13" x14ac:dyDescent="0.15">
      <c r="A2872" s="72" t="str">
        <f t="shared" si="44"/>
        <v>Ofsted Social Care Provider Webpage</v>
      </c>
      <c r="B2872" s="55" t="s">
        <v>5400</v>
      </c>
      <c r="D2872" s="55" t="s">
        <v>373</v>
      </c>
      <c r="E2872" s="74">
        <v>40261</v>
      </c>
      <c r="F2872" s="55" t="s">
        <v>344</v>
      </c>
      <c r="G2872" s="55" t="s">
        <v>360</v>
      </c>
      <c r="H2872" s="55" t="s">
        <v>360</v>
      </c>
      <c r="I2872" s="55" t="s">
        <v>360</v>
      </c>
      <c r="J2872" s="55" t="s">
        <v>360</v>
      </c>
      <c r="K2872" s="55" t="s">
        <v>360</v>
      </c>
      <c r="L2872" s="55" t="s">
        <v>360</v>
      </c>
      <c r="M2872" s="55" t="s">
        <v>150</v>
      </c>
      <c r="N2872" s="55" t="s">
        <v>150</v>
      </c>
      <c r="O2872" s="55" t="s">
        <v>258</v>
      </c>
      <c r="P2872" s="55" t="s">
        <v>455</v>
      </c>
      <c r="Q2872" s="55" t="s">
        <v>350</v>
      </c>
      <c r="R2872" s="55">
        <v>5</v>
      </c>
      <c r="S2872" s="55"/>
      <c r="T2872" s="55" t="s">
        <v>450</v>
      </c>
      <c r="U2872" s="73" t="s">
        <v>351</v>
      </c>
      <c r="V2872" s="74">
        <v>44321</v>
      </c>
      <c r="W2872" s="74">
        <v>44363</v>
      </c>
      <c r="X2872" s="55">
        <v>10185683</v>
      </c>
      <c r="Y2872" s="55" t="s">
        <v>132</v>
      </c>
      <c r="AB2872" s="55" t="s">
        <v>132</v>
      </c>
      <c r="AC2872" s="55" t="s">
        <v>130</v>
      </c>
    </row>
    <row r="2873" spans="1:29" ht="13" x14ac:dyDescent="0.15">
      <c r="A2873" s="72" t="str">
        <f t="shared" si="44"/>
        <v>Ofsted Social Care Provider Webpage</v>
      </c>
      <c r="B2873" s="55" t="s">
        <v>5401</v>
      </c>
      <c r="D2873" s="55" t="s">
        <v>373</v>
      </c>
      <c r="E2873" s="74">
        <v>40261</v>
      </c>
      <c r="F2873" s="55" t="s">
        <v>344</v>
      </c>
      <c r="G2873" s="55" t="s">
        <v>360</v>
      </c>
      <c r="H2873" s="55" t="s">
        <v>360</v>
      </c>
      <c r="I2873" s="55" t="s">
        <v>360</v>
      </c>
      <c r="J2873" s="55" t="s">
        <v>360</v>
      </c>
      <c r="K2873" s="55" t="s">
        <v>360</v>
      </c>
      <c r="L2873" s="55" t="s">
        <v>360</v>
      </c>
      <c r="M2873" s="55" t="s">
        <v>150</v>
      </c>
      <c r="N2873" s="55" t="s">
        <v>150</v>
      </c>
      <c r="O2873" s="55" t="s">
        <v>258</v>
      </c>
      <c r="P2873" s="55" t="s">
        <v>455</v>
      </c>
      <c r="Q2873" s="55" t="s">
        <v>350</v>
      </c>
      <c r="R2873" s="55">
        <v>6</v>
      </c>
      <c r="S2873" s="55"/>
      <c r="T2873" s="55" t="s">
        <v>450</v>
      </c>
      <c r="U2873" s="73" t="s">
        <v>351</v>
      </c>
      <c r="V2873" s="74">
        <v>44411</v>
      </c>
      <c r="W2873" s="74">
        <v>44479</v>
      </c>
      <c r="X2873" s="55">
        <v>10185994</v>
      </c>
      <c r="Y2873" s="55" t="s">
        <v>132</v>
      </c>
      <c r="AB2873" s="55" t="s">
        <v>132</v>
      </c>
      <c r="AC2873" s="55" t="s">
        <v>132</v>
      </c>
    </row>
    <row r="2874" spans="1:29" ht="13" x14ac:dyDescent="0.15">
      <c r="A2874" s="72" t="str">
        <f t="shared" si="44"/>
        <v>Ofsted Social Care Provider Webpage</v>
      </c>
      <c r="B2874" s="55" t="s">
        <v>5402</v>
      </c>
      <c r="D2874" s="55" t="s">
        <v>373</v>
      </c>
      <c r="E2874" s="74">
        <v>40261</v>
      </c>
      <c r="F2874" s="55" t="s">
        <v>344</v>
      </c>
      <c r="G2874" s="55" t="s">
        <v>360</v>
      </c>
      <c r="H2874" s="55" t="s">
        <v>360</v>
      </c>
      <c r="I2874" s="55" t="s">
        <v>360</v>
      </c>
      <c r="J2874" s="55" t="s">
        <v>360</v>
      </c>
      <c r="K2874" s="55" t="s">
        <v>360</v>
      </c>
      <c r="L2874" s="55" t="s">
        <v>360</v>
      </c>
      <c r="M2874" s="55" t="s">
        <v>150</v>
      </c>
      <c r="N2874" s="55" t="s">
        <v>150</v>
      </c>
      <c r="O2874" s="55" t="s">
        <v>258</v>
      </c>
      <c r="P2874" s="55" t="s">
        <v>455</v>
      </c>
      <c r="Q2874" s="55" t="s">
        <v>350</v>
      </c>
      <c r="R2874" s="55">
        <v>5</v>
      </c>
      <c r="S2874" s="55"/>
      <c r="T2874" s="55" t="s">
        <v>450</v>
      </c>
      <c r="U2874" s="73" t="s">
        <v>351</v>
      </c>
      <c r="V2874" s="74">
        <v>44517</v>
      </c>
      <c r="W2874" s="74">
        <v>44588</v>
      </c>
      <c r="X2874" s="55">
        <v>10187513</v>
      </c>
      <c r="Y2874" s="55" t="s">
        <v>132</v>
      </c>
      <c r="AB2874" s="55" t="s">
        <v>132</v>
      </c>
      <c r="AC2874" s="55" t="s">
        <v>132</v>
      </c>
    </row>
    <row r="2875" spans="1:29" ht="13" x14ac:dyDescent="0.15">
      <c r="A2875" s="72" t="str">
        <f t="shared" si="44"/>
        <v>Ofsted Social Care Provider Webpage</v>
      </c>
      <c r="B2875" s="55" t="s">
        <v>5403</v>
      </c>
      <c r="D2875" s="55" t="s">
        <v>373</v>
      </c>
      <c r="E2875" s="74">
        <v>40416</v>
      </c>
      <c r="F2875" s="55" t="s">
        <v>344</v>
      </c>
      <c r="G2875" s="55" t="s">
        <v>360</v>
      </c>
      <c r="H2875" s="55" t="s">
        <v>360</v>
      </c>
      <c r="I2875" s="55" t="s">
        <v>360</v>
      </c>
      <c r="J2875" s="55" t="s">
        <v>360</v>
      </c>
      <c r="K2875" s="55" t="s">
        <v>360</v>
      </c>
      <c r="L2875" s="55" t="s">
        <v>360</v>
      </c>
      <c r="M2875" s="55" t="s">
        <v>142</v>
      </c>
      <c r="N2875" s="55" t="s">
        <v>142</v>
      </c>
      <c r="O2875" s="55" t="s">
        <v>293</v>
      </c>
      <c r="P2875" s="55" t="s">
        <v>984</v>
      </c>
      <c r="Q2875" s="55" t="s">
        <v>350</v>
      </c>
      <c r="R2875" s="55">
        <v>10</v>
      </c>
      <c r="S2875" s="55"/>
      <c r="T2875" s="55" t="s">
        <v>5404</v>
      </c>
      <c r="U2875" s="73" t="s">
        <v>351</v>
      </c>
      <c r="V2875" s="74">
        <v>44411</v>
      </c>
      <c r="W2875" s="74">
        <v>44459</v>
      </c>
      <c r="X2875" s="55">
        <v>10186636</v>
      </c>
      <c r="Y2875" s="55" t="s">
        <v>130</v>
      </c>
      <c r="AB2875" s="55" t="s">
        <v>130</v>
      </c>
      <c r="AC2875" s="55" t="s">
        <v>146</v>
      </c>
    </row>
    <row r="2876" spans="1:29" ht="13" x14ac:dyDescent="0.15">
      <c r="A2876" s="72" t="str">
        <f t="shared" si="44"/>
        <v>Ofsted Social Care Provider Webpage</v>
      </c>
      <c r="B2876" s="55" t="s">
        <v>5405</v>
      </c>
      <c r="D2876" s="55" t="s">
        <v>373</v>
      </c>
      <c r="E2876" s="74">
        <v>40287</v>
      </c>
      <c r="F2876" s="55" t="s">
        <v>344</v>
      </c>
      <c r="G2876" s="55" t="s">
        <v>360</v>
      </c>
      <c r="H2876" s="55" t="s">
        <v>360</v>
      </c>
      <c r="I2876" s="55" t="s">
        <v>360</v>
      </c>
      <c r="J2876" s="55" t="s">
        <v>360</v>
      </c>
      <c r="K2876" s="55" t="s">
        <v>360</v>
      </c>
      <c r="L2876" s="55" t="s">
        <v>360</v>
      </c>
      <c r="M2876" s="55" t="s">
        <v>142</v>
      </c>
      <c r="N2876" s="55" t="s">
        <v>142</v>
      </c>
      <c r="O2876" s="55" t="s">
        <v>252</v>
      </c>
      <c r="P2876" s="55" t="s">
        <v>386</v>
      </c>
      <c r="Q2876" s="55" t="s">
        <v>350</v>
      </c>
      <c r="R2876" s="55">
        <v>4</v>
      </c>
      <c r="S2876" s="55"/>
      <c r="T2876" s="55" t="s">
        <v>5406</v>
      </c>
      <c r="U2876" s="73" t="s">
        <v>351</v>
      </c>
      <c r="V2876" s="74">
        <v>44613</v>
      </c>
      <c r="W2876" s="74">
        <v>44655</v>
      </c>
      <c r="X2876" s="55">
        <v>10187217</v>
      </c>
      <c r="Y2876" s="55" t="s">
        <v>132</v>
      </c>
      <c r="AB2876" s="55" t="s">
        <v>132</v>
      </c>
      <c r="AC2876" s="55" t="s">
        <v>132</v>
      </c>
    </row>
    <row r="2877" spans="1:29" ht="13" x14ac:dyDescent="0.15">
      <c r="A2877" s="72" t="str">
        <f t="shared" si="44"/>
        <v>Ofsted Social Care Provider Webpage</v>
      </c>
      <c r="B2877" s="55" t="s">
        <v>5407</v>
      </c>
      <c r="D2877" s="55" t="s">
        <v>451</v>
      </c>
      <c r="E2877" s="74">
        <v>40246</v>
      </c>
      <c r="F2877" s="55" t="s">
        <v>344</v>
      </c>
      <c r="G2877" s="55" t="s">
        <v>5408</v>
      </c>
      <c r="H2877" s="55" t="s">
        <v>5409</v>
      </c>
      <c r="I2877" s="55" t="s">
        <v>354</v>
      </c>
      <c r="J2877" s="55" t="s">
        <v>581</v>
      </c>
      <c r="K2877" s="55" t="s">
        <v>255</v>
      </c>
      <c r="L2877" s="55" t="s">
        <v>5410</v>
      </c>
      <c r="M2877" s="55" t="s">
        <v>136</v>
      </c>
      <c r="N2877" s="55" t="s">
        <v>136</v>
      </c>
      <c r="O2877" s="55" t="s">
        <v>255</v>
      </c>
      <c r="P2877" s="55" t="s">
        <v>583</v>
      </c>
      <c r="Q2877" s="55" t="s">
        <v>350</v>
      </c>
      <c r="R2877" s="55">
        <v>5</v>
      </c>
      <c r="S2877" s="55"/>
      <c r="T2877" s="55" t="s">
        <v>4784</v>
      </c>
      <c r="U2877" s="73" t="s">
        <v>351</v>
      </c>
      <c r="V2877" s="74">
        <v>43535</v>
      </c>
      <c r="W2877" s="74">
        <v>43563</v>
      </c>
      <c r="X2877" s="55">
        <v>10086475</v>
      </c>
      <c r="Y2877" s="55" t="s">
        <v>140</v>
      </c>
      <c r="AB2877" s="55" t="s">
        <v>132</v>
      </c>
      <c r="AC2877" s="55" t="s">
        <v>140</v>
      </c>
    </row>
    <row r="2878" spans="1:29" ht="13" x14ac:dyDescent="0.15">
      <c r="A2878" s="72" t="str">
        <f t="shared" si="44"/>
        <v>Ofsted Social Care Provider Webpage</v>
      </c>
      <c r="B2878" s="55" t="s">
        <v>5411</v>
      </c>
      <c r="D2878" s="55" t="s">
        <v>373</v>
      </c>
      <c r="E2878" s="74">
        <v>40234</v>
      </c>
      <c r="F2878" s="55" t="s">
        <v>344</v>
      </c>
      <c r="G2878" s="55" t="s">
        <v>360</v>
      </c>
      <c r="H2878" s="55" t="s">
        <v>360</v>
      </c>
      <c r="I2878" s="55" t="s">
        <v>360</v>
      </c>
      <c r="J2878" s="55" t="s">
        <v>360</v>
      </c>
      <c r="K2878" s="55" t="s">
        <v>360</v>
      </c>
      <c r="L2878" s="55" t="s">
        <v>360</v>
      </c>
      <c r="M2878" s="55" t="s">
        <v>136</v>
      </c>
      <c r="N2878" s="55" t="s">
        <v>136</v>
      </c>
      <c r="O2878" s="55" t="s">
        <v>174</v>
      </c>
      <c r="P2878" s="55" t="s">
        <v>982</v>
      </c>
      <c r="Q2878" s="55" t="s">
        <v>350</v>
      </c>
      <c r="R2878" s="55">
        <v>2</v>
      </c>
      <c r="S2878" s="55"/>
      <c r="T2878" s="55" t="s">
        <v>721</v>
      </c>
      <c r="U2878" s="73" t="s">
        <v>351</v>
      </c>
      <c r="V2878" s="74">
        <v>44370</v>
      </c>
      <c r="W2878" s="74">
        <v>44404</v>
      </c>
      <c r="X2878" s="55">
        <v>10185297</v>
      </c>
      <c r="Y2878" s="55" t="s">
        <v>140</v>
      </c>
      <c r="AB2878" s="55" t="s">
        <v>140</v>
      </c>
      <c r="AC2878" s="55" t="s">
        <v>140</v>
      </c>
    </row>
    <row r="2879" spans="1:29" ht="13" x14ac:dyDescent="0.15">
      <c r="A2879" s="72" t="str">
        <f t="shared" si="44"/>
        <v>Ofsted Social Care Provider Webpage</v>
      </c>
      <c r="B2879" s="55" t="s">
        <v>5412</v>
      </c>
      <c r="D2879" s="55" t="s">
        <v>373</v>
      </c>
      <c r="E2879" s="74">
        <v>40248</v>
      </c>
      <c r="F2879" s="55" t="s">
        <v>344</v>
      </c>
      <c r="G2879" s="55" t="s">
        <v>360</v>
      </c>
      <c r="H2879" s="55" t="s">
        <v>360</v>
      </c>
      <c r="I2879" s="55" t="s">
        <v>360</v>
      </c>
      <c r="J2879" s="55" t="s">
        <v>360</v>
      </c>
      <c r="K2879" s="55" t="s">
        <v>360</v>
      </c>
      <c r="L2879" s="55" t="s">
        <v>360</v>
      </c>
      <c r="M2879" s="55" t="s">
        <v>142</v>
      </c>
      <c r="N2879" s="55" t="s">
        <v>142</v>
      </c>
      <c r="O2879" s="55" t="s">
        <v>265</v>
      </c>
      <c r="P2879" s="55" t="s">
        <v>540</v>
      </c>
      <c r="Q2879" s="55" t="s">
        <v>380</v>
      </c>
      <c r="R2879" s="55">
        <v>2</v>
      </c>
      <c r="S2879" s="55"/>
      <c r="T2879" s="55" t="s">
        <v>1067</v>
      </c>
      <c r="U2879" s="73" t="s">
        <v>351</v>
      </c>
      <c r="V2879" s="74">
        <v>44369</v>
      </c>
      <c r="W2879" s="74">
        <v>44392</v>
      </c>
      <c r="X2879" s="55">
        <v>10186851</v>
      </c>
      <c r="Y2879" s="55" t="s">
        <v>132</v>
      </c>
      <c r="AB2879" s="55" t="s">
        <v>132</v>
      </c>
      <c r="AC2879" s="55" t="s">
        <v>132</v>
      </c>
    </row>
    <row r="2880" spans="1:29" ht="13" x14ac:dyDescent="0.15">
      <c r="A2880" s="72" t="str">
        <f t="shared" si="44"/>
        <v>Ofsted Social Care Provider Webpage</v>
      </c>
      <c r="B2880" s="55" t="s">
        <v>5413</v>
      </c>
      <c r="D2880" s="55" t="s">
        <v>373</v>
      </c>
      <c r="E2880" s="74">
        <v>40280</v>
      </c>
      <c r="F2880" s="55" t="s">
        <v>344</v>
      </c>
      <c r="G2880" s="55" t="s">
        <v>360</v>
      </c>
      <c r="H2880" s="55" t="s">
        <v>360</v>
      </c>
      <c r="I2880" s="55" t="s">
        <v>360</v>
      </c>
      <c r="J2880" s="55" t="s">
        <v>360</v>
      </c>
      <c r="K2880" s="55" t="s">
        <v>360</v>
      </c>
      <c r="L2880" s="55" t="s">
        <v>360</v>
      </c>
      <c r="M2880" s="55" t="s">
        <v>144</v>
      </c>
      <c r="N2880" s="55" t="s">
        <v>144</v>
      </c>
      <c r="O2880" s="55" t="s">
        <v>162</v>
      </c>
      <c r="P2880" s="55" t="s">
        <v>686</v>
      </c>
      <c r="Q2880" s="55" t="s">
        <v>350</v>
      </c>
      <c r="R2880" s="55">
        <v>3</v>
      </c>
      <c r="S2880" s="55"/>
      <c r="T2880" s="55" t="s">
        <v>4819</v>
      </c>
      <c r="U2880" s="73" t="s">
        <v>351</v>
      </c>
      <c r="V2880" s="74">
        <v>44440</v>
      </c>
      <c r="W2880" s="74">
        <v>44475</v>
      </c>
      <c r="X2880" s="55">
        <v>10185377</v>
      </c>
      <c r="Y2880" s="55" t="s">
        <v>132</v>
      </c>
      <c r="AB2880" s="55" t="s">
        <v>132</v>
      </c>
      <c r="AC2880" s="55" t="s">
        <v>132</v>
      </c>
    </row>
    <row r="2881" spans="1:29" ht="13" x14ac:dyDescent="0.15">
      <c r="A2881" s="72" t="str">
        <f t="shared" si="44"/>
        <v>Ofsted Social Care Provider Webpage</v>
      </c>
      <c r="B2881" s="55" t="s">
        <v>5414</v>
      </c>
      <c r="D2881" s="55" t="s">
        <v>373</v>
      </c>
      <c r="E2881" s="74">
        <v>40332</v>
      </c>
      <c r="F2881" s="55" t="s">
        <v>344</v>
      </c>
      <c r="G2881" s="55" t="s">
        <v>360</v>
      </c>
      <c r="H2881" s="55" t="s">
        <v>360</v>
      </c>
      <c r="I2881" s="55" t="s">
        <v>360</v>
      </c>
      <c r="J2881" s="55" t="s">
        <v>360</v>
      </c>
      <c r="K2881" s="55" t="s">
        <v>360</v>
      </c>
      <c r="L2881" s="55" t="s">
        <v>360</v>
      </c>
      <c r="M2881" s="55" t="s">
        <v>150</v>
      </c>
      <c r="N2881" s="55" t="s">
        <v>150</v>
      </c>
      <c r="O2881" s="55" t="s">
        <v>203</v>
      </c>
      <c r="P2881" s="55" t="s">
        <v>593</v>
      </c>
      <c r="Q2881" s="55" t="s">
        <v>350</v>
      </c>
      <c r="R2881" s="55">
        <v>3</v>
      </c>
      <c r="S2881" s="55"/>
      <c r="T2881" s="55" t="s">
        <v>5415</v>
      </c>
      <c r="U2881" s="73" t="s">
        <v>351</v>
      </c>
      <c r="V2881" s="74">
        <v>43732</v>
      </c>
      <c r="W2881" s="74">
        <v>43766</v>
      </c>
      <c r="X2881" s="55">
        <v>10096370</v>
      </c>
      <c r="Y2881" s="55" t="s">
        <v>132</v>
      </c>
      <c r="AB2881" s="55" t="s">
        <v>132</v>
      </c>
      <c r="AC2881" s="55" t="s">
        <v>132</v>
      </c>
    </row>
    <row r="2882" spans="1:29" ht="13" x14ac:dyDescent="0.15">
      <c r="A2882" s="72" t="str">
        <f t="shared" si="44"/>
        <v>Ofsted Social Care Provider Webpage</v>
      </c>
      <c r="B2882" s="55" t="s">
        <v>5416</v>
      </c>
      <c r="D2882" s="55" t="s">
        <v>389</v>
      </c>
      <c r="E2882" s="74">
        <v>40352</v>
      </c>
      <c r="F2882" s="55" t="s">
        <v>344</v>
      </c>
      <c r="G2882" s="55" t="s">
        <v>5417</v>
      </c>
      <c r="H2882" s="55" t="s">
        <v>5418</v>
      </c>
      <c r="I2882" s="55" t="s">
        <v>5419</v>
      </c>
      <c r="J2882" s="55" t="s">
        <v>5420</v>
      </c>
      <c r="K2882" s="55" t="s">
        <v>5421</v>
      </c>
      <c r="L2882" s="55" t="s">
        <v>5422</v>
      </c>
      <c r="M2882" s="55" t="s">
        <v>144</v>
      </c>
      <c r="N2882" s="55" t="s">
        <v>144</v>
      </c>
      <c r="O2882" s="55" t="s">
        <v>163</v>
      </c>
      <c r="P2882" s="55" t="s">
        <v>614</v>
      </c>
      <c r="Q2882" s="55" t="s">
        <v>350</v>
      </c>
      <c r="R2882" s="55"/>
      <c r="S2882" s="55"/>
      <c r="T2882" s="55" t="s">
        <v>5423</v>
      </c>
      <c r="U2882" s="73" t="s">
        <v>351</v>
      </c>
      <c r="V2882" s="74">
        <v>44529</v>
      </c>
      <c r="W2882" s="74">
        <v>44580</v>
      </c>
      <c r="X2882" s="55">
        <v>10183396</v>
      </c>
      <c r="Y2882" s="55" t="s">
        <v>132</v>
      </c>
      <c r="AB2882" s="55" t="s">
        <v>132</v>
      </c>
      <c r="AC2882" s="55" t="s">
        <v>130</v>
      </c>
    </row>
    <row r="2883" spans="1:29" ht="13" x14ac:dyDescent="0.15">
      <c r="A2883" s="72" t="str">
        <f t="shared" si="44"/>
        <v>Ofsted Social Care Provider Webpage</v>
      </c>
      <c r="B2883" s="55" t="s">
        <v>5424</v>
      </c>
      <c r="D2883" s="55" t="s">
        <v>373</v>
      </c>
      <c r="E2883" s="74">
        <v>40318</v>
      </c>
      <c r="F2883" s="55" t="s">
        <v>344</v>
      </c>
      <c r="G2883" s="55" t="s">
        <v>360</v>
      </c>
      <c r="H2883" s="55" t="s">
        <v>360</v>
      </c>
      <c r="I2883" s="55" t="s">
        <v>360</v>
      </c>
      <c r="J2883" s="55" t="s">
        <v>360</v>
      </c>
      <c r="K2883" s="55" t="s">
        <v>360</v>
      </c>
      <c r="L2883" s="55" t="s">
        <v>360</v>
      </c>
      <c r="M2883" s="55" t="s">
        <v>150</v>
      </c>
      <c r="N2883" s="55" t="s">
        <v>150</v>
      </c>
      <c r="O2883" s="55" t="s">
        <v>190</v>
      </c>
      <c r="P2883" s="55" t="s">
        <v>936</v>
      </c>
      <c r="Q2883" s="55" t="s">
        <v>350</v>
      </c>
      <c r="R2883" s="55">
        <v>7</v>
      </c>
      <c r="S2883" s="55"/>
      <c r="T2883" s="55" t="s">
        <v>450</v>
      </c>
      <c r="U2883" s="73" t="s">
        <v>351</v>
      </c>
      <c r="V2883" s="74">
        <v>44446</v>
      </c>
      <c r="W2883" s="74">
        <v>44475</v>
      </c>
      <c r="X2883" s="55">
        <v>10186246</v>
      </c>
      <c r="Y2883" s="55" t="s">
        <v>132</v>
      </c>
      <c r="AB2883" s="55" t="s">
        <v>132</v>
      </c>
      <c r="AC2883" s="55" t="s">
        <v>132</v>
      </c>
    </row>
    <row r="2884" spans="1:29" ht="13" x14ac:dyDescent="0.15">
      <c r="A2884" s="72" t="str">
        <f t="shared" si="44"/>
        <v>Ofsted Social Care Provider Webpage</v>
      </c>
      <c r="B2884" s="55" t="s">
        <v>5425</v>
      </c>
      <c r="D2884" s="55" t="s">
        <v>373</v>
      </c>
      <c r="E2884" s="74">
        <v>40330</v>
      </c>
      <c r="F2884" s="55" t="s">
        <v>344</v>
      </c>
      <c r="G2884" s="55" t="s">
        <v>360</v>
      </c>
      <c r="H2884" s="55" t="s">
        <v>360</v>
      </c>
      <c r="I2884" s="55" t="s">
        <v>360</v>
      </c>
      <c r="J2884" s="55" t="s">
        <v>360</v>
      </c>
      <c r="K2884" s="55" t="s">
        <v>360</v>
      </c>
      <c r="L2884" s="55" t="s">
        <v>360</v>
      </c>
      <c r="M2884" s="55" t="s">
        <v>378</v>
      </c>
      <c r="N2884" s="55" t="s">
        <v>170</v>
      </c>
      <c r="O2884" s="55" t="s">
        <v>243</v>
      </c>
      <c r="P2884" s="55" t="s">
        <v>1222</v>
      </c>
      <c r="Q2884" s="55" t="s">
        <v>350</v>
      </c>
      <c r="R2884" s="55">
        <v>4</v>
      </c>
      <c r="S2884" s="55"/>
      <c r="T2884" s="55" t="s">
        <v>5426</v>
      </c>
      <c r="U2884" s="73" t="s">
        <v>351</v>
      </c>
      <c r="V2884" s="74">
        <v>44609</v>
      </c>
      <c r="W2884" s="74">
        <v>44652</v>
      </c>
      <c r="X2884" s="55">
        <v>10185982</v>
      </c>
      <c r="Y2884" s="55" t="s">
        <v>132</v>
      </c>
      <c r="AB2884" s="55" t="s">
        <v>132</v>
      </c>
      <c r="AC2884" s="55" t="s">
        <v>132</v>
      </c>
    </row>
    <row r="2885" spans="1:29" ht="13" x14ac:dyDescent="0.15">
      <c r="A2885" s="72" t="str">
        <f t="shared" si="44"/>
        <v>Ofsted Social Care Provider Webpage</v>
      </c>
      <c r="B2885" s="55" t="s">
        <v>5427</v>
      </c>
      <c r="D2885" s="55" t="s">
        <v>373</v>
      </c>
      <c r="E2885" s="74">
        <v>40298</v>
      </c>
      <c r="F2885" s="55" t="s">
        <v>344</v>
      </c>
      <c r="G2885" s="55" t="s">
        <v>360</v>
      </c>
      <c r="H2885" s="55" t="s">
        <v>360</v>
      </c>
      <c r="I2885" s="55" t="s">
        <v>360</v>
      </c>
      <c r="J2885" s="55" t="s">
        <v>360</v>
      </c>
      <c r="K2885" s="55" t="s">
        <v>360</v>
      </c>
      <c r="L2885" s="55" t="s">
        <v>360</v>
      </c>
      <c r="M2885" s="55" t="s">
        <v>138</v>
      </c>
      <c r="N2885" s="55" t="s">
        <v>138</v>
      </c>
      <c r="O2885" s="55" t="s">
        <v>266</v>
      </c>
      <c r="P2885" s="55" t="s">
        <v>449</v>
      </c>
      <c r="Q2885" s="55" t="s">
        <v>350</v>
      </c>
      <c r="R2885" s="55">
        <v>6</v>
      </c>
      <c r="S2885" s="55"/>
      <c r="T2885" s="55" t="s">
        <v>1527</v>
      </c>
      <c r="U2885" s="73" t="s">
        <v>351</v>
      </c>
      <c r="V2885" s="74">
        <v>44593</v>
      </c>
      <c r="W2885" s="74">
        <v>44621</v>
      </c>
      <c r="X2885" s="55">
        <v>10186227</v>
      </c>
      <c r="Y2885" s="55" t="s">
        <v>140</v>
      </c>
      <c r="AB2885" s="55" t="s">
        <v>140</v>
      </c>
      <c r="AC2885" s="55" t="s">
        <v>140</v>
      </c>
    </row>
    <row r="2886" spans="1:29" ht="13" x14ac:dyDescent="0.15">
      <c r="A2886" s="72" t="str">
        <f t="shared" ref="A2886:A2949" si="45">HYPERLINK(_xlfn.CONCAT("http://reports.ofsted.gov.uk/inspection-reports/find-inspection-report/provider/CARE/",B2886),"Ofsted Social Care Provider Webpage")</f>
        <v>Ofsted Social Care Provider Webpage</v>
      </c>
      <c r="B2886" s="55" t="s">
        <v>5428</v>
      </c>
      <c r="D2886" s="55" t="s">
        <v>389</v>
      </c>
      <c r="E2886" s="74">
        <v>40359</v>
      </c>
      <c r="F2886" s="55" t="s">
        <v>344</v>
      </c>
      <c r="G2886" s="55" t="s">
        <v>5429</v>
      </c>
      <c r="H2886" s="55" t="s">
        <v>5430</v>
      </c>
      <c r="I2886" s="55" t="s">
        <v>354</v>
      </c>
      <c r="J2886" s="55" t="s">
        <v>5431</v>
      </c>
      <c r="K2886" s="55" t="s">
        <v>282</v>
      </c>
      <c r="L2886" s="55" t="s">
        <v>5432</v>
      </c>
      <c r="M2886" s="55" t="s">
        <v>142</v>
      </c>
      <c r="N2886" s="55" t="s">
        <v>142</v>
      </c>
      <c r="O2886" s="55" t="s">
        <v>282</v>
      </c>
      <c r="P2886" s="55" t="s">
        <v>3266</v>
      </c>
      <c r="Q2886" s="55" t="s">
        <v>350</v>
      </c>
      <c r="R2886" s="55"/>
      <c r="S2886" s="55"/>
      <c r="T2886" s="55" t="s">
        <v>5433</v>
      </c>
      <c r="U2886" s="73" t="s">
        <v>351</v>
      </c>
      <c r="V2886" s="74">
        <v>44305</v>
      </c>
      <c r="W2886" s="74">
        <v>44343</v>
      </c>
      <c r="X2886" s="55">
        <v>10183425</v>
      </c>
      <c r="Y2886" s="55" t="s">
        <v>130</v>
      </c>
      <c r="AB2886" s="55" t="s">
        <v>130</v>
      </c>
      <c r="AC2886" s="55" t="s">
        <v>146</v>
      </c>
    </row>
    <row r="2887" spans="1:29" ht="13" x14ac:dyDescent="0.15">
      <c r="A2887" s="72" t="str">
        <f t="shared" si="45"/>
        <v>Ofsted Social Care Provider Webpage</v>
      </c>
      <c r="B2887" s="55" t="s">
        <v>5434</v>
      </c>
      <c r="D2887" s="55" t="s">
        <v>373</v>
      </c>
      <c r="E2887" s="74">
        <v>40268</v>
      </c>
      <c r="F2887" s="55" t="s">
        <v>344</v>
      </c>
      <c r="G2887" s="55" t="s">
        <v>360</v>
      </c>
      <c r="H2887" s="55" t="s">
        <v>360</v>
      </c>
      <c r="I2887" s="55" t="s">
        <v>360</v>
      </c>
      <c r="J2887" s="55" t="s">
        <v>360</v>
      </c>
      <c r="K2887" s="55" t="s">
        <v>360</v>
      </c>
      <c r="L2887" s="55" t="s">
        <v>360</v>
      </c>
      <c r="M2887" s="55" t="s">
        <v>138</v>
      </c>
      <c r="N2887" s="55" t="s">
        <v>138</v>
      </c>
      <c r="O2887" s="55" t="s">
        <v>137</v>
      </c>
      <c r="P2887" s="55" t="s">
        <v>137</v>
      </c>
      <c r="Q2887" s="55" t="s">
        <v>380</v>
      </c>
      <c r="R2887" s="55">
        <v>5</v>
      </c>
      <c r="S2887" s="55"/>
      <c r="T2887" s="55" t="s">
        <v>5435</v>
      </c>
      <c r="U2887" s="73" t="s">
        <v>351</v>
      </c>
      <c r="V2887" s="74">
        <v>44397</v>
      </c>
      <c r="W2887" s="74">
        <v>44426</v>
      </c>
      <c r="X2887" s="55">
        <v>10187080</v>
      </c>
      <c r="Y2887" s="55" t="s">
        <v>132</v>
      </c>
      <c r="AB2887" s="55" t="s">
        <v>132</v>
      </c>
      <c r="AC2887" s="55" t="s">
        <v>132</v>
      </c>
    </row>
    <row r="2888" spans="1:29" ht="13" x14ac:dyDescent="0.15">
      <c r="A2888" s="72" t="str">
        <f t="shared" si="45"/>
        <v>Ofsted Social Care Provider Webpage</v>
      </c>
      <c r="B2888" s="55" t="s">
        <v>5436</v>
      </c>
      <c r="D2888" s="55" t="s">
        <v>373</v>
      </c>
      <c r="E2888" s="74">
        <v>40268</v>
      </c>
      <c r="F2888" s="55" t="s">
        <v>344</v>
      </c>
      <c r="G2888" s="55" t="s">
        <v>360</v>
      </c>
      <c r="H2888" s="55" t="s">
        <v>360</v>
      </c>
      <c r="I2888" s="55" t="s">
        <v>360</v>
      </c>
      <c r="J2888" s="55" t="s">
        <v>360</v>
      </c>
      <c r="K2888" s="55" t="s">
        <v>360</v>
      </c>
      <c r="L2888" s="55" t="s">
        <v>360</v>
      </c>
      <c r="M2888" s="55" t="s">
        <v>138</v>
      </c>
      <c r="N2888" s="55" t="s">
        <v>138</v>
      </c>
      <c r="O2888" s="55" t="s">
        <v>137</v>
      </c>
      <c r="P2888" s="55" t="s">
        <v>137</v>
      </c>
      <c r="Q2888" s="55" t="s">
        <v>380</v>
      </c>
      <c r="R2888" s="55">
        <v>7</v>
      </c>
      <c r="S2888" s="55" t="s">
        <v>332</v>
      </c>
      <c r="T2888" s="55" t="s">
        <v>5435</v>
      </c>
      <c r="U2888" s="73" t="s">
        <v>351</v>
      </c>
      <c r="V2888" s="74">
        <v>44370</v>
      </c>
      <c r="W2888" s="74">
        <v>44399</v>
      </c>
      <c r="X2888" s="55">
        <v>10185798</v>
      </c>
      <c r="Y2888" s="55" t="s">
        <v>132</v>
      </c>
      <c r="AB2888" s="55" t="s">
        <v>132</v>
      </c>
      <c r="AC2888" s="55" t="s">
        <v>132</v>
      </c>
    </row>
    <row r="2889" spans="1:29" ht="13" x14ac:dyDescent="0.15">
      <c r="A2889" s="72" t="str">
        <f t="shared" si="45"/>
        <v>Ofsted Social Care Provider Webpage</v>
      </c>
      <c r="B2889" s="55" t="s">
        <v>5437</v>
      </c>
      <c r="D2889" s="55" t="s">
        <v>373</v>
      </c>
      <c r="E2889" s="74">
        <v>40350</v>
      </c>
      <c r="F2889" s="55" t="s">
        <v>344</v>
      </c>
      <c r="G2889" s="55" t="s">
        <v>360</v>
      </c>
      <c r="H2889" s="55" t="s">
        <v>360</v>
      </c>
      <c r="I2889" s="55" t="s">
        <v>360</v>
      </c>
      <c r="J2889" s="55" t="s">
        <v>360</v>
      </c>
      <c r="K2889" s="55" t="s">
        <v>360</v>
      </c>
      <c r="L2889" s="55" t="s">
        <v>360</v>
      </c>
      <c r="M2889" s="55" t="s">
        <v>144</v>
      </c>
      <c r="N2889" s="55" t="s">
        <v>144</v>
      </c>
      <c r="O2889" s="55" t="s">
        <v>207</v>
      </c>
      <c r="P2889" s="55" t="s">
        <v>207</v>
      </c>
      <c r="Q2889" s="55" t="s">
        <v>362</v>
      </c>
      <c r="R2889" s="55">
        <v>4</v>
      </c>
      <c r="S2889" s="55"/>
      <c r="T2889" s="55" t="s">
        <v>5438</v>
      </c>
      <c r="U2889" s="73" t="s">
        <v>351</v>
      </c>
      <c r="V2889" s="74">
        <v>44489</v>
      </c>
      <c r="W2889" s="74">
        <v>44559</v>
      </c>
      <c r="X2889" s="55">
        <v>10209370</v>
      </c>
      <c r="Y2889" s="55" t="s">
        <v>146</v>
      </c>
      <c r="AB2889" s="55" t="s">
        <v>146</v>
      </c>
      <c r="AC2889" s="55" t="s">
        <v>146</v>
      </c>
    </row>
    <row r="2890" spans="1:29" ht="13" x14ac:dyDescent="0.15">
      <c r="A2890" s="72" t="str">
        <f t="shared" si="45"/>
        <v>Ofsted Social Care Provider Webpage</v>
      </c>
      <c r="B2890" s="55" t="s">
        <v>5439</v>
      </c>
      <c r="D2890" s="55" t="s">
        <v>373</v>
      </c>
      <c r="E2890" s="74">
        <v>40336</v>
      </c>
      <c r="F2890" s="55" t="s">
        <v>344</v>
      </c>
      <c r="G2890" s="55" t="s">
        <v>360</v>
      </c>
      <c r="H2890" s="55" t="s">
        <v>360</v>
      </c>
      <c r="I2890" s="55" t="s">
        <v>360</v>
      </c>
      <c r="J2890" s="55" t="s">
        <v>360</v>
      </c>
      <c r="K2890" s="55" t="s">
        <v>360</v>
      </c>
      <c r="L2890" s="55" t="s">
        <v>360</v>
      </c>
      <c r="M2890" s="55" t="s">
        <v>129</v>
      </c>
      <c r="N2890" s="55" t="s">
        <v>129</v>
      </c>
      <c r="O2890" s="55" t="s">
        <v>198</v>
      </c>
      <c r="P2890" s="55" t="s">
        <v>4550</v>
      </c>
      <c r="Q2890" s="55" t="s">
        <v>350</v>
      </c>
      <c r="R2890" s="55">
        <v>4</v>
      </c>
      <c r="S2890" s="55"/>
      <c r="T2890" s="55" t="s">
        <v>5440</v>
      </c>
      <c r="U2890" s="73" t="s">
        <v>351</v>
      </c>
      <c r="V2890" s="74">
        <v>44489</v>
      </c>
      <c r="W2890" s="74">
        <v>44524</v>
      </c>
      <c r="X2890" s="55">
        <v>10187505</v>
      </c>
      <c r="Y2890" s="55" t="s">
        <v>132</v>
      </c>
      <c r="AB2890" s="55" t="s">
        <v>132</v>
      </c>
      <c r="AC2890" s="55" t="s">
        <v>132</v>
      </c>
    </row>
    <row r="2891" spans="1:29" ht="13" x14ac:dyDescent="0.15">
      <c r="A2891" s="72" t="str">
        <f t="shared" si="45"/>
        <v>Ofsted Social Care Provider Webpage</v>
      </c>
      <c r="B2891" s="55" t="s">
        <v>5441</v>
      </c>
      <c r="D2891" s="55" t="s">
        <v>373</v>
      </c>
      <c r="E2891" s="74">
        <v>40378</v>
      </c>
      <c r="F2891" s="55" t="s">
        <v>344</v>
      </c>
      <c r="G2891" s="55" t="s">
        <v>360</v>
      </c>
      <c r="H2891" s="55" t="s">
        <v>360</v>
      </c>
      <c r="I2891" s="55" t="s">
        <v>360</v>
      </c>
      <c r="J2891" s="55" t="s">
        <v>360</v>
      </c>
      <c r="K2891" s="55" t="s">
        <v>360</v>
      </c>
      <c r="L2891" s="55" t="s">
        <v>360</v>
      </c>
      <c r="M2891" s="55" t="s">
        <v>142</v>
      </c>
      <c r="N2891" s="55" t="s">
        <v>142</v>
      </c>
      <c r="O2891" s="55" t="s">
        <v>141</v>
      </c>
      <c r="P2891" s="55" t="s">
        <v>573</v>
      </c>
      <c r="Q2891" s="55" t="s">
        <v>350</v>
      </c>
      <c r="R2891" s="55">
        <v>3</v>
      </c>
      <c r="S2891" s="55"/>
      <c r="T2891" s="55" t="s">
        <v>727</v>
      </c>
      <c r="U2891" s="73" t="s">
        <v>351</v>
      </c>
      <c r="V2891" s="74">
        <v>44536</v>
      </c>
      <c r="W2891" s="74">
        <v>44595</v>
      </c>
      <c r="X2891" s="55">
        <v>10185423</v>
      </c>
      <c r="Y2891" s="55" t="s">
        <v>130</v>
      </c>
      <c r="AB2891" s="55" t="s">
        <v>130</v>
      </c>
      <c r="AC2891" s="55" t="s">
        <v>130</v>
      </c>
    </row>
    <row r="2892" spans="1:29" ht="13" x14ac:dyDescent="0.15">
      <c r="A2892" s="72" t="str">
        <f t="shared" si="45"/>
        <v>Ofsted Social Care Provider Webpage</v>
      </c>
      <c r="B2892" s="55" t="s">
        <v>5442</v>
      </c>
      <c r="D2892" s="55" t="s">
        <v>373</v>
      </c>
      <c r="E2892" s="74">
        <v>40358</v>
      </c>
      <c r="F2892" s="55" t="s">
        <v>344</v>
      </c>
      <c r="G2892" s="55" t="s">
        <v>360</v>
      </c>
      <c r="H2892" s="55" t="s">
        <v>360</v>
      </c>
      <c r="I2892" s="55" t="s">
        <v>360</v>
      </c>
      <c r="J2892" s="55" t="s">
        <v>360</v>
      </c>
      <c r="K2892" s="55" t="s">
        <v>360</v>
      </c>
      <c r="L2892" s="55" t="s">
        <v>360</v>
      </c>
      <c r="M2892" s="55" t="s">
        <v>142</v>
      </c>
      <c r="N2892" s="55" t="s">
        <v>142</v>
      </c>
      <c r="O2892" s="55" t="s">
        <v>141</v>
      </c>
      <c r="P2892" s="55" t="s">
        <v>1226</v>
      </c>
      <c r="Q2892" s="55" t="s">
        <v>350</v>
      </c>
      <c r="R2892" s="55">
        <v>3</v>
      </c>
      <c r="S2892" s="55"/>
      <c r="T2892" s="55" t="s">
        <v>727</v>
      </c>
      <c r="U2892" s="73" t="s">
        <v>351</v>
      </c>
      <c r="V2892" s="74">
        <v>44607</v>
      </c>
      <c r="W2892" s="74">
        <v>44651</v>
      </c>
      <c r="X2892" s="55">
        <v>10187064</v>
      </c>
      <c r="Y2892" s="55" t="s">
        <v>132</v>
      </c>
      <c r="AB2892" s="55" t="s">
        <v>132</v>
      </c>
      <c r="AC2892" s="55" t="s">
        <v>132</v>
      </c>
    </row>
    <row r="2893" spans="1:29" ht="13" x14ac:dyDescent="0.15">
      <c r="A2893" s="72" t="str">
        <f t="shared" si="45"/>
        <v>Ofsted Social Care Provider Webpage</v>
      </c>
      <c r="B2893" s="55" t="s">
        <v>5443</v>
      </c>
      <c r="D2893" s="55" t="s">
        <v>373</v>
      </c>
      <c r="E2893" s="74">
        <v>40358</v>
      </c>
      <c r="F2893" s="55" t="s">
        <v>344</v>
      </c>
      <c r="G2893" s="55" t="s">
        <v>360</v>
      </c>
      <c r="H2893" s="55" t="s">
        <v>360</v>
      </c>
      <c r="I2893" s="55" t="s">
        <v>360</v>
      </c>
      <c r="J2893" s="55" t="s">
        <v>360</v>
      </c>
      <c r="K2893" s="55" t="s">
        <v>360</v>
      </c>
      <c r="L2893" s="55" t="s">
        <v>360</v>
      </c>
      <c r="M2893" s="55" t="s">
        <v>142</v>
      </c>
      <c r="N2893" s="55" t="s">
        <v>142</v>
      </c>
      <c r="O2893" s="55" t="s">
        <v>141</v>
      </c>
      <c r="P2893" s="55" t="s">
        <v>573</v>
      </c>
      <c r="Q2893" s="55" t="s">
        <v>350</v>
      </c>
      <c r="R2893" s="55">
        <v>3</v>
      </c>
      <c r="S2893" s="55"/>
      <c r="T2893" s="55" t="s">
        <v>727</v>
      </c>
      <c r="U2893" s="73" t="s">
        <v>351</v>
      </c>
      <c r="V2893" s="74">
        <v>44614</v>
      </c>
      <c r="W2893" s="74">
        <v>44651</v>
      </c>
      <c r="X2893" s="55">
        <v>10186165</v>
      </c>
      <c r="Y2893" s="55" t="s">
        <v>132</v>
      </c>
      <c r="AB2893" s="55" t="s">
        <v>130</v>
      </c>
      <c r="AC2893" s="55" t="s">
        <v>132</v>
      </c>
    </row>
    <row r="2894" spans="1:29" ht="13" x14ac:dyDescent="0.15">
      <c r="A2894" s="72" t="str">
        <f t="shared" si="45"/>
        <v>Ofsted Social Care Provider Webpage</v>
      </c>
      <c r="B2894" s="55" t="s">
        <v>5444</v>
      </c>
      <c r="D2894" s="55" t="s">
        <v>373</v>
      </c>
      <c r="E2894" s="74">
        <v>40387</v>
      </c>
      <c r="F2894" s="55" t="s">
        <v>344</v>
      </c>
      <c r="G2894" s="55" t="s">
        <v>360</v>
      </c>
      <c r="H2894" s="55" t="s">
        <v>360</v>
      </c>
      <c r="I2894" s="55" t="s">
        <v>360</v>
      </c>
      <c r="J2894" s="55" t="s">
        <v>360</v>
      </c>
      <c r="K2894" s="55" t="s">
        <v>360</v>
      </c>
      <c r="L2894" s="55" t="s">
        <v>360</v>
      </c>
      <c r="M2894" s="55" t="s">
        <v>142</v>
      </c>
      <c r="N2894" s="55" t="s">
        <v>142</v>
      </c>
      <c r="O2894" s="55" t="s">
        <v>141</v>
      </c>
      <c r="P2894" s="55" t="s">
        <v>573</v>
      </c>
      <c r="Q2894" s="55" t="s">
        <v>350</v>
      </c>
      <c r="R2894" s="55">
        <v>2</v>
      </c>
      <c r="S2894" s="55"/>
      <c r="T2894" s="55" t="s">
        <v>727</v>
      </c>
      <c r="U2894" s="73" t="s">
        <v>351</v>
      </c>
      <c r="V2894" s="74">
        <v>44391</v>
      </c>
      <c r="W2894" s="74">
        <v>44418</v>
      </c>
      <c r="X2894" s="55">
        <v>10185998</v>
      </c>
      <c r="Y2894" s="55" t="s">
        <v>132</v>
      </c>
      <c r="AB2894" s="55" t="s">
        <v>132</v>
      </c>
      <c r="AC2894" s="55" t="s">
        <v>132</v>
      </c>
    </row>
    <row r="2895" spans="1:29" ht="13" x14ac:dyDescent="0.15">
      <c r="A2895" s="72" t="str">
        <f t="shared" si="45"/>
        <v>Ofsted Social Care Provider Webpage</v>
      </c>
      <c r="B2895" s="55" t="s">
        <v>5445</v>
      </c>
      <c r="D2895" s="55" t="s">
        <v>373</v>
      </c>
      <c r="E2895" s="74">
        <v>40336</v>
      </c>
      <c r="F2895" s="55" t="s">
        <v>344</v>
      </c>
      <c r="G2895" s="55" t="s">
        <v>360</v>
      </c>
      <c r="H2895" s="55" t="s">
        <v>360</v>
      </c>
      <c r="I2895" s="55" t="s">
        <v>360</v>
      </c>
      <c r="J2895" s="55" t="s">
        <v>360</v>
      </c>
      <c r="K2895" s="55" t="s">
        <v>360</v>
      </c>
      <c r="L2895" s="55" t="s">
        <v>360</v>
      </c>
      <c r="M2895" s="55" t="s">
        <v>144</v>
      </c>
      <c r="N2895" s="55" t="s">
        <v>144</v>
      </c>
      <c r="O2895" s="55" t="s">
        <v>245</v>
      </c>
      <c r="P2895" s="55" t="s">
        <v>1796</v>
      </c>
      <c r="Q2895" s="55" t="s">
        <v>350</v>
      </c>
      <c r="R2895" s="55">
        <v>3</v>
      </c>
      <c r="S2895" s="55"/>
      <c r="T2895" s="55" t="s">
        <v>613</v>
      </c>
      <c r="U2895" s="73" t="s">
        <v>351</v>
      </c>
      <c r="V2895" s="74">
        <v>44593</v>
      </c>
      <c r="W2895" s="74">
        <v>44622</v>
      </c>
      <c r="X2895" s="55">
        <v>10185044</v>
      </c>
      <c r="Y2895" s="55" t="s">
        <v>130</v>
      </c>
      <c r="AB2895" s="55" t="s">
        <v>130</v>
      </c>
      <c r="AC2895" s="55" t="s">
        <v>132</v>
      </c>
    </row>
    <row r="2896" spans="1:29" ht="13" x14ac:dyDescent="0.15">
      <c r="A2896" s="72" t="str">
        <f t="shared" si="45"/>
        <v>Ofsted Social Care Provider Webpage</v>
      </c>
      <c r="B2896" s="55" t="s">
        <v>5446</v>
      </c>
      <c r="D2896" s="55" t="s">
        <v>373</v>
      </c>
      <c r="E2896" s="74">
        <v>40385</v>
      </c>
      <c r="F2896" s="55" t="s">
        <v>344</v>
      </c>
      <c r="G2896" s="55" t="s">
        <v>360</v>
      </c>
      <c r="H2896" s="55" t="s">
        <v>360</v>
      </c>
      <c r="I2896" s="55" t="s">
        <v>360</v>
      </c>
      <c r="J2896" s="55" t="s">
        <v>360</v>
      </c>
      <c r="K2896" s="55" t="s">
        <v>360</v>
      </c>
      <c r="L2896" s="55" t="s">
        <v>360</v>
      </c>
      <c r="M2896" s="55" t="s">
        <v>144</v>
      </c>
      <c r="N2896" s="55" t="s">
        <v>144</v>
      </c>
      <c r="O2896" s="55" t="s">
        <v>209</v>
      </c>
      <c r="P2896" s="55" t="s">
        <v>650</v>
      </c>
      <c r="Q2896" s="55" t="s">
        <v>350</v>
      </c>
      <c r="R2896" s="55">
        <v>3</v>
      </c>
      <c r="S2896" s="55"/>
      <c r="T2896" s="55" t="s">
        <v>4468</v>
      </c>
      <c r="U2896" s="73" t="s">
        <v>351</v>
      </c>
      <c r="V2896" s="74">
        <v>44369</v>
      </c>
      <c r="W2896" s="74">
        <v>44407</v>
      </c>
      <c r="X2896" s="55">
        <v>10186497</v>
      </c>
      <c r="Y2896" s="55" t="s">
        <v>130</v>
      </c>
      <c r="AB2896" s="55" t="s">
        <v>130</v>
      </c>
      <c r="AC2896" s="55" t="s">
        <v>130</v>
      </c>
    </row>
    <row r="2897" spans="1:29" ht="13" x14ac:dyDescent="0.15">
      <c r="A2897" s="72" t="str">
        <f t="shared" si="45"/>
        <v>Ofsted Social Care Provider Webpage</v>
      </c>
      <c r="B2897" s="55" t="s">
        <v>5447</v>
      </c>
      <c r="D2897" s="55" t="s">
        <v>373</v>
      </c>
      <c r="E2897" s="74">
        <v>40336</v>
      </c>
      <c r="F2897" s="55" t="s">
        <v>344</v>
      </c>
      <c r="G2897" s="55" t="s">
        <v>360</v>
      </c>
      <c r="H2897" s="55" t="s">
        <v>360</v>
      </c>
      <c r="I2897" s="55" t="s">
        <v>360</v>
      </c>
      <c r="J2897" s="55" t="s">
        <v>360</v>
      </c>
      <c r="K2897" s="55" t="s">
        <v>360</v>
      </c>
      <c r="L2897" s="55" t="s">
        <v>360</v>
      </c>
      <c r="M2897" s="55" t="s">
        <v>142</v>
      </c>
      <c r="N2897" s="55" t="s">
        <v>142</v>
      </c>
      <c r="O2897" s="55" t="s">
        <v>265</v>
      </c>
      <c r="P2897" s="55" t="s">
        <v>1066</v>
      </c>
      <c r="Q2897" s="55" t="s">
        <v>350</v>
      </c>
      <c r="R2897" s="55">
        <v>1</v>
      </c>
      <c r="S2897" s="55"/>
      <c r="T2897" s="55" t="s">
        <v>910</v>
      </c>
      <c r="U2897" s="73" t="s">
        <v>351</v>
      </c>
      <c r="V2897" s="74">
        <v>44481</v>
      </c>
      <c r="W2897" s="74">
        <v>44509</v>
      </c>
      <c r="X2897" s="55">
        <v>10185775</v>
      </c>
      <c r="Y2897" s="55" t="s">
        <v>132</v>
      </c>
      <c r="AB2897" s="55" t="s">
        <v>132</v>
      </c>
      <c r="AC2897" s="55" t="s">
        <v>132</v>
      </c>
    </row>
    <row r="2898" spans="1:29" ht="13" x14ac:dyDescent="0.15">
      <c r="A2898" s="72" t="str">
        <f t="shared" si="45"/>
        <v>Ofsted Social Care Provider Webpage</v>
      </c>
      <c r="B2898" s="55" t="s">
        <v>5448</v>
      </c>
      <c r="D2898" s="55" t="s">
        <v>373</v>
      </c>
      <c r="E2898" s="74">
        <v>40332</v>
      </c>
      <c r="F2898" s="55" t="s">
        <v>344</v>
      </c>
      <c r="G2898" s="55" t="s">
        <v>360</v>
      </c>
      <c r="H2898" s="55" t="s">
        <v>360</v>
      </c>
      <c r="I2898" s="55" t="s">
        <v>360</v>
      </c>
      <c r="J2898" s="55" t="s">
        <v>360</v>
      </c>
      <c r="K2898" s="55" t="s">
        <v>360</v>
      </c>
      <c r="L2898" s="55" t="s">
        <v>360</v>
      </c>
      <c r="M2898" s="55" t="s">
        <v>142</v>
      </c>
      <c r="N2898" s="55" t="s">
        <v>142</v>
      </c>
      <c r="O2898" s="55" t="s">
        <v>252</v>
      </c>
      <c r="P2898" s="55" t="s">
        <v>386</v>
      </c>
      <c r="Q2898" s="55" t="s">
        <v>350</v>
      </c>
      <c r="R2898" s="55">
        <v>1</v>
      </c>
      <c r="S2898" s="55"/>
      <c r="T2898" s="55" t="s">
        <v>1260</v>
      </c>
      <c r="U2898" s="73" t="s">
        <v>351</v>
      </c>
      <c r="V2898" s="74">
        <v>44487</v>
      </c>
      <c r="W2898" s="74">
        <v>44519</v>
      </c>
      <c r="X2898" s="55">
        <v>10187224</v>
      </c>
      <c r="Y2898" s="55" t="s">
        <v>130</v>
      </c>
      <c r="AB2898" s="55" t="s">
        <v>130</v>
      </c>
      <c r="AC2898" s="55" t="s">
        <v>130</v>
      </c>
    </row>
    <row r="2899" spans="1:29" ht="13" x14ac:dyDescent="0.15">
      <c r="A2899" s="72" t="str">
        <f t="shared" si="45"/>
        <v>Ofsted Social Care Provider Webpage</v>
      </c>
      <c r="B2899" s="55" t="s">
        <v>5449</v>
      </c>
      <c r="C2899" s="55">
        <v>139686</v>
      </c>
      <c r="D2899" s="55" t="s">
        <v>398</v>
      </c>
      <c r="E2899" s="74">
        <v>40291</v>
      </c>
      <c r="F2899" s="55" t="s">
        <v>344</v>
      </c>
      <c r="G2899" s="55" t="s">
        <v>5450</v>
      </c>
      <c r="H2899" s="55" t="s">
        <v>5451</v>
      </c>
      <c r="I2899" s="55" t="s">
        <v>354</v>
      </c>
      <c r="J2899" s="55" t="s">
        <v>215</v>
      </c>
      <c r="K2899" s="55" t="s">
        <v>1339</v>
      </c>
      <c r="L2899" s="55" t="s">
        <v>5452</v>
      </c>
      <c r="M2899" s="55" t="s">
        <v>144</v>
      </c>
      <c r="N2899" s="55" t="s">
        <v>144</v>
      </c>
      <c r="O2899" s="55" t="s">
        <v>215</v>
      </c>
      <c r="P2899" s="55" t="s">
        <v>1207</v>
      </c>
      <c r="Q2899" s="55" t="s">
        <v>420</v>
      </c>
      <c r="R2899" s="55">
        <v>15</v>
      </c>
      <c r="S2899" s="55"/>
      <c r="T2899" s="55" t="s">
        <v>5453</v>
      </c>
      <c r="U2899" s="73" t="s">
        <v>351</v>
      </c>
      <c r="V2899" s="74">
        <v>43899</v>
      </c>
      <c r="W2899" s="74">
        <v>43920</v>
      </c>
      <c r="X2899" s="55">
        <v>10092967</v>
      </c>
      <c r="Y2899" s="55" t="s">
        <v>140</v>
      </c>
      <c r="AB2899" s="55" t="s">
        <v>140</v>
      </c>
      <c r="AC2899" s="55" t="s">
        <v>140</v>
      </c>
    </row>
    <row r="2900" spans="1:29" ht="13" x14ac:dyDescent="0.15">
      <c r="A2900" s="72" t="str">
        <f t="shared" si="45"/>
        <v>Ofsted Social Care Provider Webpage</v>
      </c>
      <c r="B2900" s="55" t="s">
        <v>5454</v>
      </c>
      <c r="D2900" s="55" t="s">
        <v>373</v>
      </c>
      <c r="E2900" s="74">
        <v>40346</v>
      </c>
      <c r="F2900" s="55" t="s">
        <v>344</v>
      </c>
      <c r="G2900" s="55" t="s">
        <v>360</v>
      </c>
      <c r="H2900" s="55" t="s">
        <v>360</v>
      </c>
      <c r="I2900" s="55" t="s">
        <v>360</v>
      </c>
      <c r="J2900" s="55" t="s">
        <v>360</v>
      </c>
      <c r="K2900" s="55" t="s">
        <v>360</v>
      </c>
      <c r="L2900" s="55" t="s">
        <v>360</v>
      </c>
      <c r="M2900" s="55" t="s">
        <v>150</v>
      </c>
      <c r="N2900" s="55" t="s">
        <v>150</v>
      </c>
      <c r="O2900" s="55" t="s">
        <v>291</v>
      </c>
      <c r="P2900" s="55" t="s">
        <v>1756</v>
      </c>
      <c r="Q2900" s="55" t="s">
        <v>350</v>
      </c>
      <c r="R2900" s="55">
        <v>3</v>
      </c>
      <c r="S2900" s="55"/>
      <c r="T2900" s="55" t="s">
        <v>755</v>
      </c>
      <c r="U2900" s="73" t="s">
        <v>351</v>
      </c>
      <c r="V2900" s="74">
        <v>44538</v>
      </c>
      <c r="W2900" s="74">
        <v>44601</v>
      </c>
      <c r="X2900" s="55">
        <v>10186743</v>
      </c>
      <c r="Y2900" s="55" t="s">
        <v>132</v>
      </c>
      <c r="AB2900" s="55" t="s">
        <v>132</v>
      </c>
      <c r="AC2900" s="55" t="s">
        <v>132</v>
      </c>
    </row>
    <row r="2901" spans="1:29" ht="13" x14ac:dyDescent="0.15">
      <c r="A2901" s="72" t="str">
        <f t="shared" si="45"/>
        <v>Ofsted Social Care Provider Webpage</v>
      </c>
      <c r="B2901" s="55" t="s">
        <v>5455</v>
      </c>
      <c r="D2901" s="55" t="s">
        <v>443</v>
      </c>
      <c r="E2901" s="74">
        <v>40387</v>
      </c>
      <c r="F2901" s="55" t="s">
        <v>344</v>
      </c>
      <c r="G2901" s="55" t="s">
        <v>5456</v>
      </c>
      <c r="H2901" s="55" t="s">
        <v>5457</v>
      </c>
      <c r="I2901" s="55" t="s">
        <v>5458</v>
      </c>
      <c r="J2901" s="55" t="s">
        <v>5459</v>
      </c>
      <c r="L2901" s="55" t="s">
        <v>5460</v>
      </c>
      <c r="M2901" s="55" t="s">
        <v>144</v>
      </c>
      <c r="N2901" s="55" t="s">
        <v>144</v>
      </c>
      <c r="O2901" s="55" t="s">
        <v>248</v>
      </c>
      <c r="P2901" s="55" t="s">
        <v>439</v>
      </c>
      <c r="Q2901" s="55" t="s">
        <v>362</v>
      </c>
      <c r="R2901" s="55"/>
      <c r="S2901" s="55"/>
      <c r="T2901" s="55" t="s">
        <v>5457</v>
      </c>
      <c r="U2901" s="73" t="s">
        <v>351</v>
      </c>
      <c r="V2901" s="74">
        <v>44389</v>
      </c>
      <c r="W2901" s="74">
        <v>44428</v>
      </c>
      <c r="X2901" s="55">
        <v>10183297</v>
      </c>
      <c r="Y2901" s="55" t="s">
        <v>130</v>
      </c>
      <c r="AB2901" s="55" t="s">
        <v>130</v>
      </c>
      <c r="AC2901" s="55" t="s">
        <v>146</v>
      </c>
    </row>
    <row r="2902" spans="1:29" ht="13" x14ac:dyDescent="0.15">
      <c r="A2902" s="72" t="str">
        <f t="shared" si="45"/>
        <v>Ofsted Social Care Provider Webpage</v>
      </c>
      <c r="B2902" s="55" t="s">
        <v>5461</v>
      </c>
      <c r="D2902" s="55" t="s">
        <v>373</v>
      </c>
      <c r="E2902" s="74">
        <v>40346</v>
      </c>
      <c r="F2902" s="55" t="s">
        <v>344</v>
      </c>
      <c r="G2902" s="55" t="s">
        <v>360</v>
      </c>
      <c r="H2902" s="55" t="s">
        <v>360</v>
      </c>
      <c r="I2902" s="55" t="s">
        <v>360</v>
      </c>
      <c r="J2902" s="55" t="s">
        <v>360</v>
      </c>
      <c r="K2902" s="55" t="s">
        <v>360</v>
      </c>
      <c r="L2902" s="55" t="s">
        <v>360</v>
      </c>
      <c r="M2902" s="55" t="s">
        <v>144</v>
      </c>
      <c r="N2902" s="55" t="s">
        <v>144</v>
      </c>
      <c r="O2902" s="55" t="s">
        <v>287</v>
      </c>
      <c r="P2902" s="55" t="s">
        <v>1103</v>
      </c>
      <c r="Q2902" s="55" t="s">
        <v>350</v>
      </c>
      <c r="R2902" s="55">
        <v>2</v>
      </c>
      <c r="S2902" s="55"/>
      <c r="T2902" s="55" t="s">
        <v>513</v>
      </c>
      <c r="U2902" s="73" t="s">
        <v>351</v>
      </c>
      <c r="V2902" s="74">
        <v>44539</v>
      </c>
      <c r="W2902" s="74">
        <v>44603</v>
      </c>
      <c r="X2902" s="55">
        <v>10187316</v>
      </c>
      <c r="Y2902" s="55" t="s">
        <v>132</v>
      </c>
      <c r="AB2902" s="55" t="s">
        <v>132</v>
      </c>
      <c r="AC2902" s="55" t="s">
        <v>132</v>
      </c>
    </row>
    <row r="2903" spans="1:29" ht="13" x14ac:dyDescent="0.15">
      <c r="A2903" s="72" t="str">
        <f t="shared" si="45"/>
        <v>Ofsted Social Care Provider Webpage</v>
      </c>
      <c r="B2903" s="55" t="s">
        <v>5462</v>
      </c>
      <c r="D2903" s="55" t="s">
        <v>373</v>
      </c>
      <c r="E2903" s="74">
        <v>40570</v>
      </c>
      <c r="F2903" s="55" t="s">
        <v>344</v>
      </c>
      <c r="G2903" s="55" t="s">
        <v>360</v>
      </c>
      <c r="H2903" s="55" t="s">
        <v>360</v>
      </c>
      <c r="I2903" s="55" t="s">
        <v>360</v>
      </c>
      <c r="J2903" s="55" t="s">
        <v>360</v>
      </c>
      <c r="K2903" s="55" t="s">
        <v>360</v>
      </c>
      <c r="L2903" s="55" t="s">
        <v>360</v>
      </c>
      <c r="M2903" s="55" t="s">
        <v>129</v>
      </c>
      <c r="N2903" s="55" t="s">
        <v>129</v>
      </c>
      <c r="O2903" s="55" t="s">
        <v>242</v>
      </c>
      <c r="P2903" s="55" t="s">
        <v>1192</v>
      </c>
      <c r="Q2903" s="55" t="s">
        <v>350</v>
      </c>
      <c r="R2903" s="55">
        <v>4</v>
      </c>
      <c r="S2903" s="55"/>
      <c r="T2903" s="55" t="s">
        <v>5463</v>
      </c>
      <c r="U2903" s="73" t="s">
        <v>351</v>
      </c>
      <c r="V2903" s="74">
        <v>43802</v>
      </c>
      <c r="W2903" s="74">
        <v>43829</v>
      </c>
      <c r="X2903" s="55">
        <v>10096438</v>
      </c>
      <c r="Y2903" s="55" t="s">
        <v>132</v>
      </c>
      <c r="AB2903" s="55" t="s">
        <v>132</v>
      </c>
      <c r="AC2903" s="55" t="s">
        <v>130</v>
      </c>
    </row>
    <row r="2904" spans="1:29" ht="13" x14ac:dyDescent="0.15">
      <c r="A2904" s="72" t="str">
        <f t="shared" si="45"/>
        <v>Ofsted Social Care Provider Webpage</v>
      </c>
      <c r="B2904" s="55" t="s">
        <v>5464</v>
      </c>
      <c r="D2904" s="55" t="s">
        <v>373</v>
      </c>
      <c r="E2904" s="74">
        <v>40377</v>
      </c>
      <c r="F2904" s="55" t="s">
        <v>344</v>
      </c>
      <c r="G2904" s="55" t="s">
        <v>360</v>
      </c>
      <c r="H2904" s="55" t="s">
        <v>360</v>
      </c>
      <c r="I2904" s="55" t="s">
        <v>360</v>
      </c>
      <c r="J2904" s="55" t="s">
        <v>360</v>
      </c>
      <c r="K2904" s="55" t="s">
        <v>360</v>
      </c>
      <c r="L2904" s="55" t="s">
        <v>360</v>
      </c>
      <c r="M2904" s="55" t="s">
        <v>142</v>
      </c>
      <c r="N2904" s="55" t="s">
        <v>142</v>
      </c>
      <c r="O2904" s="55" t="s">
        <v>141</v>
      </c>
      <c r="P2904" s="55" t="s">
        <v>1226</v>
      </c>
      <c r="Q2904" s="55" t="s">
        <v>350</v>
      </c>
      <c r="R2904" s="55">
        <v>4</v>
      </c>
      <c r="S2904" s="55"/>
      <c r="T2904" s="55" t="s">
        <v>385</v>
      </c>
      <c r="U2904" s="73" t="s">
        <v>351</v>
      </c>
      <c r="V2904" s="74">
        <v>44432</v>
      </c>
      <c r="W2904" s="74">
        <v>44477</v>
      </c>
      <c r="X2904" s="55">
        <v>10185856</v>
      </c>
      <c r="Y2904" s="55" t="s">
        <v>132</v>
      </c>
      <c r="AB2904" s="55" t="s">
        <v>132</v>
      </c>
      <c r="AC2904" s="55" t="s">
        <v>132</v>
      </c>
    </row>
    <row r="2905" spans="1:29" ht="13" x14ac:dyDescent="0.15">
      <c r="A2905" s="72" t="str">
        <f t="shared" si="45"/>
        <v>Ofsted Social Care Provider Webpage</v>
      </c>
      <c r="B2905" s="55" t="s">
        <v>5465</v>
      </c>
      <c r="D2905" s="55" t="s">
        <v>373</v>
      </c>
      <c r="E2905" s="74">
        <v>40497</v>
      </c>
      <c r="F2905" s="55" t="s">
        <v>344</v>
      </c>
      <c r="G2905" s="55" t="s">
        <v>360</v>
      </c>
      <c r="H2905" s="55" t="s">
        <v>360</v>
      </c>
      <c r="I2905" s="55" t="s">
        <v>360</v>
      </c>
      <c r="J2905" s="55" t="s">
        <v>360</v>
      </c>
      <c r="K2905" s="55" t="s">
        <v>360</v>
      </c>
      <c r="L2905" s="55" t="s">
        <v>360</v>
      </c>
      <c r="M2905" s="55" t="s">
        <v>150</v>
      </c>
      <c r="N2905" s="55" t="s">
        <v>150</v>
      </c>
      <c r="O2905" s="55" t="s">
        <v>181</v>
      </c>
      <c r="P2905" s="55" t="s">
        <v>626</v>
      </c>
      <c r="Q2905" s="55" t="s">
        <v>350</v>
      </c>
      <c r="R2905" s="55">
        <v>4</v>
      </c>
      <c r="S2905" s="55"/>
      <c r="T2905" s="55" t="s">
        <v>5466</v>
      </c>
      <c r="U2905" s="73" t="s">
        <v>351</v>
      </c>
      <c r="V2905" s="74">
        <v>44307</v>
      </c>
      <c r="W2905" s="74">
        <v>44355</v>
      </c>
      <c r="X2905" s="55">
        <v>10187008</v>
      </c>
      <c r="Y2905" s="55" t="s">
        <v>140</v>
      </c>
      <c r="AB2905" s="55" t="s">
        <v>132</v>
      </c>
      <c r="AC2905" s="55" t="s">
        <v>140</v>
      </c>
    </row>
    <row r="2906" spans="1:29" ht="13" x14ac:dyDescent="0.15">
      <c r="A2906" s="72" t="str">
        <f t="shared" si="45"/>
        <v>Ofsted Social Care Provider Webpage</v>
      </c>
      <c r="B2906" s="55" t="s">
        <v>5467</v>
      </c>
      <c r="D2906" s="55" t="s">
        <v>373</v>
      </c>
      <c r="E2906" s="74">
        <v>40354</v>
      </c>
      <c r="F2906" s="55" t="s">
        <v>344</v>
      </c>
      <c r="G2906" s="55" t="s">
        <v>360</v>
      </c>
      <c r="H2906" s="55" t="s">
        <v>360</v>
      </c>
      <c r="I2906" s="55" t="s">
        <v>360</v>
      </c>
      <c r="J2906" s="55" t="s">
        <v>360</v>
      </c>
      <c r="K2906" s="55" t="s">
        <v>360</v>
      </c>
      <c r="L2906" s="55" t="s">
        <v>360</v>
      </c>
      <c r="M2906" s="55" t="s">
        <v>142</v>
      </c>
      <c r="N2906" s="55" t="s">
        <v>142</v>
      </c>
      <c r="O2906" s="55" t="s">
        <v>262</v>
      </c>
      <c r="P2906" s="55" t="s">
        <v>618</v>
      </c>
      <c r="Q2906" s="55" t="s">
        <v>350</v>
      </c>
      <c r="R2906" s="55">
        <v>3</v>
      </c>
      <c r="S2906" s="55"/>
      <c r="T2906" s="55" t="s">
        <v>917</v>
      </c>
      <c r="U2906" s="73" t="s">
        <v>351</v>
      </c>
      <c r="V2906" s="74">
        <v>44460</v>
      </c>
      <c r="W2906" s="74">
        <v>44509</v>
      </c>
      <c r="X2906" s="55">
        <v>10186006</v>
      </c>
      <c r="Y2906" s="55" t="s">
        <v>140</v>
      </c>
      <c r="AB2906" s="55" t="s">
        <v>140</v>
      </c>
      <c r="AC2906" s="55" t="s">
        <v>140</v>
      </c>
    </row>
    <row r="2907" spans="1:29" ht="13" x14ac:dyDescent="0.15">
      <c r="A2907" s="72" t="str">
        <f t="shared" si="45"/>
        <v>Ofsted Social Care Provider Webpage</v>
      </c>
      <c r="B2907" s="55" t="s">
        <v>5468</v>
      </c>
      <c r="D2907" s="55" t="s">
        <v>373</v>
      </c>
      <c r="E2907" s="74">
        <v>40424</v>
      </c>
      <c r="F2907" s="55" t="s">
        <v>344</v>
      </c>
      <c r="G2907" s="55" t="s">
        <v>360</v>
      </c>
      <c r="H2907" s="55" t="s">
        <v>360</v>
      </c>
      <c r="I2907" s="55" t="s">
        <v>360</v>
      </c>
      <c r="J2907" s="55" t="s">
        <v>360</v>
      </c>
      <c r="K2907" s="55" t="s">
        <v>360</v>
      </c>
      <c r="L2907" s="55" t="s">
        <v>360</v>
      </c>
      <c r="M2907" s="55" t="s">
        <v>150</v>
      </c>
      <c r="N2907" s="55" t="s">
        <v>150</v>
      </c>
      <c r="O2907" s="55" t="s">
        <v>190</v>
      </c>
      <c r="P2907" s="55" t="s">
        <v>889</v>
      </c>
      <c r="Q2907" s="55" t="s">
        <v>350</v>
      </c>
      <c r="R2907" s="55">
        <v>4</v>
      </c>
      <c r="S2907" s="55"/>
      <c r="T2907" s="55" t="s">
        <v>900</v>
      </c>
      <c r="U2907" s="73" t="s">
        <v>351</v>
      </c>
      <c r="V2907" s="74">
        <v>44327</v>
      </c>
      <c r="W2907" s="74">
        <v>44372</v>
      </c>
      <c r="X2907" s="55">
        <v>10186711</v>
      </c>
      <c r="Y2907" s="55" t="s">
        <v>132</v>
      </c>
      <c r="AB2907" s="55" t="s">
        <v>132</v>
      </c>
      <c r="AC2907" s="55" t="s">
        <v>130</v>
      </c>
    </row>
    <row r="2908" spans="1:29" ht="13" x14ac:dyDescent="0.15">
      <c r="A2908" s="72" t="str">
        <f t="shared" si="45"/>
        <v>Ofsted Social Care Provider Webpage</v>
      </c>
      <c r="B2908" s="55" t="s">
        <v>5469</v>
      </c>
      <c r="D2908" s="55" t="s">
        <v>451</v>
      </c>
      <c r="E2908" s="74">
        <v>40373</v>
      </c>
      <c r="F2908" s="55" t="s">
        <v>344</v>
      </c>
      <c r="G2908" s="55" t="s">
        <v>5470</v>
      </c>
      <c r="H2908" s="55" t="s">
        <v>5470</v>
      </c>
      <c r="I2908" s="55" t="s">
        <v>5471</v>
      </c>
      <c r="J2908" s="55" t="s">
        <v>2753</v>
      </c>
      <c r="L2908" s="55" t="s">
        <v>5472</v>
      </c>
      <c r="M2908" s="55" t="s">
        <v>142</v>
      </c>
      <c r="N2908" s="55" t="s">
        <v>142</v>
      </c>
      <c r="O2908" s="55" t="s">
        <v>141</v>
      </c>
      <c r="P2908" s="55" t="s">
        <v>660</v>
      </c>
      <c r="Q2908" s="55" t="s">
        <v>362</v>
      </c>
      <c r="R2908" s="55">
        <v>10</v>
      </c>
      <c r="S2908" s="55"/>
      <c r="T2908" s="55" t="s">
        <v>4083</v>
      </c>
      <c r="U2908" s="73" t="s">
        <v>351</v>
      </c>
      <c r="V2908" s="74">
        <v>44467</v>
      </c>
      <c r="W2908" s="74">
        <v>44512</v>
      </c>
      <c r="X2908" s="55">
        <v>10183451</v>
      </c>
      <c r="Y2908" s="55" t="s">
        <v>130</v>
      </c>
      <c r="AB2908" s="55" t="s">
        <v>130</v>
      </c>
      <c r="AC2908" s="55" t="s">
        <v>130</v>
      </c>
    </row>
    <row r="2909" spans="1:29" ht="13" x14ac:dyDescent="0.15">
      <c r="A2909" s="72" t="str">
        <f t="shared" si="45"/>
        <v>Ofsted Social Care Provider Webpage</v>
      </c>
      <c r="B2909" s="55" t="s">
        <v>5473</v>
      </c>
      <c r="D2909" s="55" t="s">
        <v>373</v>
      </c>
      <c r="E2909" s="74">
        <v>40365</v>
      </c>
      <c r="F2909" s="55" t="s">
        <v>344</v>
      </c>
      <c r="G2909" s="55" t="s">
        <v>360</v>
      </c>
      <c r="H2909" s="55" t="s">
        <v>360</v>
      </c>
      <c r="I2909" s="55" t="s">
        <v>360</v>
      </c>
      <c r="J2909" s="55" t="s">
        <v>360</v>
      </c>
      <c r="K2909" s="55" t="s">
        <v>360</v>
      </c>
      <c r="L2909" s="55" t="s">
        <v>360</v>
      </c>
      <c r="M2909" s="55" t="s">
        <v>144</v>
      </c>
      <c r="N2909" s="55" t="s">
        <v>144</v>
      </c>
      <c r="O2909" s="55" t="s">
        <v>248</v>
      </c>
      <c r="P2909" s="55" t="s">
        <v>439</v>
      </c>
      <c r="Q2909" s="55" t="s">
        <v>350</v>
      </c>
      <c r="R2909" s="55">
        <v>3</v>
      </c>
      <c r="S2909" s="55"/>
      <c r="T2909" s="55" t="s">
        <v>1107</v>
      </c>
      <c r="U2909" s="73" t="s">
        <v>351</v>
      </c>
      <c r="V2909" s="74">
        <v>44425</v>
      </c>
      <c r="W2909" s="74">
        <v>44448</v>
      </c>
      <c r="X2909" s="55">
        <v>10186306</v>
      </c>
      <c r="Y2909" s="55" t="s">
        <v>132</v>
      </c>
      <c r="AB2909" s="55" t="s">
        <v>132</v>
      </c>
      <c r="AC2909" s="55" t="s">
        <v>132</v>
      </c>
    </row>
    <row r="2910" spans="1:29" ht="13" x14ac:dyDescent="0.15">
      <c r="A2910" s="72" t="str">
        <f t="shared" si="45"/>
        <v>Ofsted Social Care Provider Webpage</v>
      </c>
      <c r="B2910" s="55" t="s">
        <v>5474</v>
      </c>
      <c r="D2910" s="55" t="s">
        <v>373</v>
      </c>
      <c r="E2910" s="74">
        <v>40393</v>
      </c>
      <c r="F2910" s="55" t="s">
        <v>344</v>
      </c>
      <c r="G2910" s="55" t="s">
        <v>360</v>
      </c>
      <c r="H2910" s="55" t="s">
        <v>360</v>
      </c>
      <c r="I2910" s="55" t="s">
        <v>360</v>
      </c>
      <c r="J2910" s="55" t="s">
        <v>360</v>
      </c>
      <c r="K2910" s="55" t="s">
        <v>360</v>
      </c>
      <c r="L2910" s="55" t="s">
        <v>360</v>
      </c>
      <c r="M2910" s="55" t="s">
        <v>138</v>
      </c>
      <c r="N2910" s="55" t="s">
        <v>138</v>
      </c>
      <c r="O2910" s="55" t="s">
        <v>137</v>
      </c>
      <c r="P2910" s="55" t="s">
        <v>643</v>
      </c>
      <c r="Q2910" s="55" t="s">
        <v>350</v>
      </c>
      <c r="R2910" s="55">
        <v>4</v>
      </c>
      <c r="S2910" s="55"/>
      <c r="T2910" s="55" t="s">
        <v>762</v>
      </c>
      <c r="U2910" s="73" t="s">
        <v>351</v>
      </c>
      <c r="V2910" s="74">
        <v>44587</v>
      </c>
      <c r="W2910" s="74">
        <v>44617</v>
      </c>
      <c r="X2910" s="55">
        <v>10187027</v>
      </c>
      <c r="Y2910" s="55" t="s">
        <v>132</v>
      </c>
      <c r="AB2910" s="55" t="s">
        <v>132</v>
      </c>
      <c r="AC2910" s="55" t="s">
        <v>130</v>
      </c>
    </row>
    <row r="2911" spans="1:29" ht="13" x14ac:dyDescent="0.15">
      <c r="A2911" s="72" t="str">
        <f t="shared" si="45"/>
        <v>Ofsted Social Care Provider Webpage</v>
      </c>
      <c r="B2911" s="55" t="s">
        <v>5475</v>
      </c>
      <c r="D2911" s="55" t="s">
        <v>373</v>
      </c>
      <c r="E2911" s="74">
        <v>40367</v>
      </c>
      <c r="F2911" s="55" t="s">
        <v>344</v>
      </c>
      <c r="G2911" s="55" t="s">
        <v>360</v>
      </c>
      <c r="H2911" s="55" t="s">
        <v>360</v>
      </c>
      <c r="I2911" s="55" t="s">
        <v>360</v>
      </c>
      <c r="J2911" s="55" t="s">
        <v>360</v>
      </c>
      <c r="K2911" s="55" t="s">
        <v>360</v>
      </c>
      <c r="L2911" s="55" t="s">
        <v>360</v>
      </c>
      <c r="M2911" s="55" t="s">
        <v>144</v>
      </c>
      <c r="N2911" s="55" t="s">
        <v>144</v>
      </c>
      <c r="O2911" s="55" t="s">
        <v>209</v>
      </c>
      <c r="P2911" s="55" t="s">
        <v>534</v>
      </c>
      <c r="Q2911" s="55" t="s">
        <v>350</v>
      </c>
      <c r="R2911" s="55">
        <v>4</v>
      </c>
      <c r="S2911" s="55"/>
      <c r="T2911" s="55" t="s">
        <v>5476</v>
      </c>
      <c r="U2911" s="73" t="s">
        <v>351</v>
      </c>
      <c r="V2911" s="74">
        <v>44614</v>
      </c>
      <c r="W2911" s="74">
        <v>44658</v>
      </c>
      <c r="X2911" s="55">
        <v>10185550</v>
      </c>
      <c r="Y2911" s="55" t="s">
        <v>130</v>
      </c>
      <c r="AB2911" s="55" t="s">
        <v>130</v>
      </c>
      <c r="AC2911" s="55" t="s">
        <v>130</v>
      </c>
    </row>
    <row r="2912" spans="1:29" ht="13" x14ac:dyDescent="0.15">
      <c r="A2912" s="72" t="str">
        <f t="shared" si="45"/>
        <v>Ofsted Social Care Provider Webpage</v>
      </c>
      <c r="B2912" s="55" t="s">
        <v>5477</v>
      </c>
      <c r="D2912" s="55" t="s">
        <v>373</v>
      </c>
      <c r="E2912" s="74">
        <v>40367</v>
      </c>
      <c r="F2912" s="55" t="s">
        <v>344</v>
      </c>
      <c r="G2912" s="55" t="s">
        <v>360</v>
      </c>
      <c r="H2912" s="55" t="s">
        <v>360</v>
      </c>
      <c r="I2912" s="55" t="s">
        <v>360</v>
      </c>
      <c r="J2912" s="55" t="s">
        <v>360</v>
      </c>
      <c r="K2912" s="55" t="s">
        <v>360</v>
      </c>
      <c r="L2912" s="55" t="s">
        <v>360</v>
      </c>
      <c r="M2912" s="55" t="s">
        <v>144</v>
      </c>
      <c r="N2912" s="55" t="s">
        <v>144</v>
      </c>
      <c r="O2912" s="55" t="s">
        <v>209</v>
      </c>
      <c r="P2912" s="55" t="s">
        <v>736</v>
      </c>
      <c r="Q2912" s="55" t="s">
        <v>350</v>
      </c>
      <c r="R2912" s="55">
        <v>4</v>
      </c>
      <c r="S2912" s="55"/>
      <c r="T2912" s="55" t="s">
        <v>5476</v>
      </c>
      <c r="U2912" s="73" t="s">
        <v>351</v>
      </c>
      <c r="V2912" s="74">
        <v>44586</v>
      </c>
      <c r="W2912" s="74">
        <v>44637</v>
      </c>
      <c r="X2912" s="55">
        <v>10185792</v>
      </c>
      <c r="Y2912" s="55" t="s">
        <v>132</v>
      </c>
      <c r="AB2912" s="55" t="s">
        <v>132</v>
      </c>
      <c r="AC2912" s="55" t="s">
        <v>132</v>
      </c>
    </row>
    <row r="2913" spans="1:29" ht="13" x14ac:dyDescent="0.15">
      <c r="A2913" s="72" t="str">
        <f t="shared" si="45"/>
        <v>Ofsted Social Care Provider Webpage</v>
      </c>
      <c r="B2913" s="55" t="s">
        <v>5478</v>
      </c>
      <c r="D2913" s="55" t="s">
        <v>373</v>
      </c>
      <c r="E2913" s="74">
        <v>40352</v>
      </c>
      <c r="F2913" s="55" t="s">
        <v>344</v>
      </c>
      <c r="G2913" s="55" t="s">
        <v>360</v>
      </c>
      <c r="H2913" s="55" t="s">
        <v>360</v>
      </c>
      <c r="I2913" s="55" t="s">
        <v>360</v>
      </c>
      <c r="J2913" s="55" t="s">
        <v>360</v>
      </c>
      <c r="K2913" s="55" t="s">
        <v>360</v>
      </c>
      <c r="L2913" s="55" t="s">
        <v>360</v>
      </c>
      <c r="M2913" s="55" t="s">
        <v>150</v>
      </c>
      <c r="N2913" s="55" t="s">
        <v>150</v>
      </c>
      <c r="O2913" s="55" t="s">
        <v>203</v>
      </c>
      <c r="P2913" s="55" t="s">
        <v>853</v>
      </c>
      <c r="Q2913" s="55" t="s">
        <v>350</v>
      </c>
      <c r="R2913" s="55">
        <v>3</v>
      </c>
      <c r="S2913" s="55"/>
      <c r="T2913" s="55" t="s">
        <v>2741</v>
      </c>
      <c r="U2913" s="73" t="s">
        <v>351</v>
      </c>
      <c r="V2913" s="74">
        <v>44545</v>
      </c>
      <c r="W2913" s="74">
        <v>44608</v>
      </c>
      <c r="X2913" s="55">
        <v>10186018</v>
      </c>
      <c r="Y2913" s="55" t="s">
        <v>140</v>
      </c>
      <c r="AB2913" s="55" t="s">
        <v>140</v>
      </c>
      <c r="AC2913" s="55" t="s">
        <v>140</v>
      </c>
    </row>
    <row r="2914" spans="1:29" ht="13" x14ac:dyDescent="0.15">
      <c r="A2914" s="72" t="str">
        <f t="shared" si="45"/>
        <v>Ofsted Social Care Provider Webpage</v>
      </c>
      <c r="B2914" s="55" t="s">
        <v>5479</v>
      </c>
      <c r="D2914" s="55" t="s">
        <v>373</v>
      </c>
      <c r="E2914" s="74">
        <v>40463</v>
      </c>
      <c r="F2914" s="55" t="s">
        <v>344</v>
      </c>
      <c r="G2914" s="55" t="s">
        <v>360</v>
      </c>
      <c r="H2914" s="55" t="s">
        <v>360</v>
      </c>
      <c r="I2914" s="55" t="s">
        <v>360</v>
      </c>
      <c r="J2914" s="55" t="s">
        <v>360</v>
      </c>
      <c r="K2914" s="55" t="s">
        <v>360</v>
      </c>
      <c r="L2914" s="55" t="s">
        <v>360</v>
      </c>
      <c r="M2914" s="55" t="s">
        <v>144</v>
      </c>
      <c r="N2914" s="55" t="s">
        <v>144</v>
      </c>
      <c r="O2914" s="55" t="s">
        <v>261</v>
      </c>
      <c r="P2914" s="55" t="s">
        <v>512</v>
      </c>
      <c r="Q2914" s="55" t="s">
        <v>350</v>
      </c>
      <c r="R2914" s="55">
        <v>1</v>
      </c>
      <c r="S2914" s="55"/>
      <c r="T2914" s="55" t="s">
        <v>5480</v>
      </c>
      <c r="U2914" s="73" t="s">
        <v>351</v>
      </c>
      <c r="V2914" s="74">
        <v>44517</v>
      </c>
      <c r="W2914" s="74">
        <v>44567</v>
      </c>
      <c r="X2914" s="55">
        <v>10186482</v>
      </c>
      <c r="Y2914" s="55" t="s">
        <v>130</v>
      </c>
      <c r="AB2914" s="55" t="s">
        <v>130</v>
      </c>
      <c r="AC2914" s="55" t="s">
        <v>130</v>
      </c>
    </row>
    <row r="2915" spans="1:29" ht="13" x14ac:dyDescent="0.15">
      <c r="A2915" s="72" t="str">
        <f t="shared" si="45"/>
        <v>Ofsted Social Care Provider Webpage</v>
      </c>
      <c r="B2915" s="55" t="s">
        <v>5481</v>
      </c>
      <c r="D2915" s="55" t="s">
        <v>389</v>
      </c>
      <c r="E2915" s="74">
        <v>40360</v>
      </c>
      <c r="F2915" s="55" t="s">
        <v>344</v>
      </c>
      <c r="G2915" s="55" t="s">
        <v>5482</v>
      </c>
      <c r="H2915" s="55" t="s">
        <v>5483</v>
      </c>
      <c r="I2915" s="55" t="s">
        <v>3921</v>
      </c>
      <c r="J2915" s="55" t="s">
        <v>4252</v>
      </c>
      <c r="K2915" s="55" t="s">
        <v>3368</v>
      </c>
      <c r="L2915" s="55" t="s">
        <v>3923</v>
      </c>
      <c r="M2915" s="55" t="s">
        <v>378</v>
      </c>
      <c r="N2915" s="55" t="s">
        <v>170</v>
      </c>
      <c r="O2915" s="55" t="s">
        <v>178</v>
      </c>
      <c r="P2915" s="55" t="s">
        <v>905</v>
      </c>
      <c r="Q2915" s="55" t="s">
        <v>350</v>
      </c>
      <c r="R2915" s="55"/>
      <c r="S2915" s="55"/>
      <c r="T2915" s="55" t="s">
        <v>5484</v>
      </c>
      <c r="U2915" s="73" t="s">
        <v>351</v>
      </c>
      <c r="V2915" s="74">
        <v>44599</v>
      </c>
      <c r="W2915" s="74">
        <v>44643</v>
      </c>
      <c r="X2915" s="55">
        <v>10183378</v>
      </c>
      <c r="Y2915" s="55" t="s">
        <v>140</v>
      </c>
      <c r="AB2915" s="55" t="s">
        <v>132</v>
      </c>
      <c r="AC2915" s="55" t="s">
        <v>140</v>
      </c>
    </row>
    <row r="2916" spans="1:29" ht="13" x14ac:dyDescent="0.15">
      <c r="A2916" s="72" t="str">
        <f t="shared" si="45"/>
        <v>Ofsted Social Care Provider Webpage</v>
      </c>
      <c r="B2916" s="55" t="s">
        <v>5485</v>
      </c>
      <c r="D2916" s="55" t="s">
        <v>373</v>
      </c>
      <c r="E2916" s="74">
        <v>40423</v>
      </c>
      <c r="F2916" s="55" t="s">
        <v>344</v>
      </c>
      <c r="G2916" s="55" t="s">
        <v>360</v>
      </c>
      <c r="H2916" s="55" t="s">
        <v>360</v>
      </c>
      <c r="I2916" s="55" t="s">
        <v>360</v>
      </c>
      <c r="J2916" s="55" t="s">
        <v>360</v>
      </c>
      <c r="K2916" s="55" t="s">
        <v>360</v>
      </c>
      <c r="L2916" s="55" t="s">
        <v>360</v>
      </c>
      <c r="M2916" s="55" t="s">
        <v>144</v>
      </c>
      <c r="N2916" s="55" t="s">
        <v>144</v>
      </c>
      <c r="O2916" s="55" t="s">
        <v>245</v>
      </c>
      <c r="P2916" s="55" t="s">
        <v>1796</v>
      </c>
      <c r="Q2916" s="55" t="s">
        <v>350</v>
      </c>
      <c r="R2916" s="55">
        <v>2</v>
      </c>
      <c r="S2916" s="55"/>
      <c r="T2916" s="55" t="s">
        <v>5357</v>
      </c>
      <c r="U2916" s="73" t="s">
        <v>351</v>
      </c>
      <c r="V2916" s="74">
        <v>44425</v>
      </c>
      <c r="W2916" s="74">
        <v>44453</v>
      </c>
      <c r="X2916" s="55">
        <v>10186149</v>
      </c>
      <c r="Y2916" s="55" t="s">
        <v>132</v>
      </c>
      <c r="AB2916" s="55" t="s">
        <v>132</v>
      </c>
      <c r="AC2916" s="55" t="s">
        <v>132</v>
      </c>
    </row>
    <row r="2917" spans="1:29" ht="13" x14ac:dyDescent="0.15">
      <c r="A2917" s="72" t="str">
        <f t="shared" si="45"/>
        <v>Ofsted Social Care Provider Webpage</v>
      </c>
      <c r="B2917" s="55" t="s">
        <v>5486</v>
      </c>
      <c r="D2917" s="55" t="s">
        <v>373</v>
      </c>
      <c r="E2917" s="74">
        <v>40451</v>
      </c>
      <c r="F2917" s="55" t="s">
        <v>344</v>
      </c>
      <c r="G2917" s="55" t="s">
        <v>360</v>
      </c>
      <c r="H2917" s="55" t="s">
        <v>360</v>
      </c>
      <c r="I2917" s="55" t="s">
        <v>360</v>
      </c>
      <c r="J2917" s="55" t="s">
        <v>360</v>
      </c>
      <c r="K2917" s="55" t="s">
        <v>360</v>
      </c>
      <c r="L2917" s="55" t="s">
        <v>360</v>
      </c>
      <c r="M2917" s="55" t="s">
        <v>144</v>
      </c>
      <c r="N2917" s="55" t="s">
        <v>144</v>
      </c>
      <c r="O2917" s="55" t="s">
        <v>248</v>
      </c>
      <c r="P2917" s="55" t="s">
        <v>492</v>
      </c>
      <c r="Q2917" s="55" t="s">
        <v>362</v>
      </c>
      <c r="R2917" s="55">
        <v>5</v>
      </c>
      <c r="S2917" s="55"/>
      <c r="T2917" s="55" t="s">
        <v>2551</v>
      </c>
      <c r="U2917" s="73" t="s">
        <v>351</v>
      </c>
      <c r="V2917" s="74">
        <v>44628</v>
      </c>
      <c r="W2917" s="74">
        <v>44670</v>
      </c>
      <c r="X2917" s="55">
        <v>10185895</v>
      </c>
      <c r="Y2917" s="55" t="s">
        <v>132</v>
      </c>
      <c r="AB2917" s="55" t="s">
        <v>132</v>
      </c>
      <c r="AC2917" s="55" t="s">
        <v>132</v>
      </c>
    </row>
    <row r="2918" spans="1:29" ht="13" x14ac:dyDescent="0.15">
      <c r="A2918" s="72" t="str">
        <f t="shared" si="45"/>
        <v>Ofsted Social Care Provider Webpage</v>
      </c>
      <c r="B2918" s="55" t="s">
        <v>5487</v>
      </c>
      <c r="D2918" s="55" t="s">
        <v>479</v>
      </c>
      <c r="E2918" s="74">
        <v>40575</v>
      </c>
      <c r="F2918" s="55" t="s">
        <v>344</v>
      </c>
      <c r="G2918" s="55" t="s">
        <v>360</v>
      </c>
      <c r="H2918" s="55" t="s">
        <v>360</v>
      </c>
      <c r="I2918" s="55" t="s">
        <v>360</v>
      </c>
      <c r="J2918" s="55" t="s">
        <v>360</v>
      </c>
      <c r="K2918" s="55" t="s">
        <v>360</v>
      </c>
      <c r="L2918" s="55" t="s">
        <v>360</v>
      </c>
      <c r="M2918" s="55" t="s">
        <v>150</v>
      </c>
      <c r="N2918" s="55" t="s">
        <v>150</v>
      </c>
      <c r="O2918" s="55" t="s">
        <v>181</v>
      </c>
      <c r="P2918" s="55" t="s">
        <v>937</v>
      </c>
      <c r="Q2918" s="55" t="s">
        <v>350</v>
      </c>
      <c r="R2918" s="55">
        <v>11</v>
      </c>
      <c r="S2918" s="55"/>
      <c r="T2918" s="55" t="s">
        <v>5488</v>
      </c>
      <c r="U2918" s="73" t="s">
        <v>351</v>
      </c>
      <c r="V2918" s="74">
        <v>44573</v>
      </c>
      <c r="W2918" s="74">
        <v>44610</v>
      </c>
      <c r="X2918" s="55">
        <v>10186645</v>
      </c>
      <c r="Y2918" s="55" t="s">
        <v>132</v>
      </c>
      <c r="AB2918" s="55" t="s">
        <v>132</v>
      </c>
      <c r="AC2918" s="55" t="s">
        <v>132</v>
      </c>
    </row>
    <row r="2919" spans="1:29" ht="13" x14ac:dyDescent="0.15">
      <c r="A2919" s="72" t="str">
        <f t="shared" si="45"/>
        <v>Ofsted Social Care Provider Webpage</v>
      </c>
      <c r="B2919" s="55" t="s">
        <v>5489</v>
      </c>
      <c r="D2919" s="55" t="s">
        <v>373</v>
      </c>
      <c r="E2919" s="74">
        <v>40413</v>
      </c>
      <c r="F2919" s="55" t="s">
        <v>344</v>
      </c>
      <c r="G2919" s="55" t="s">
        <v>360</v>
      </c>
      <c r="H2919" s="55" t="s">
        <v>360</v>
      </c>
      <c r="I2919" s="55" t="s">
        <v>360</v>
      </c>
      <c r="J2919" s="55" t="s">
        <v>360</v>
      </c>
      <c r="K2919" s="55" t="s">
        <v>360</v>
      </c>
      <c r="L2919" s="55" t="s">
        <v>360</v>
      </c>
      <c r="M2919" s="55" t="s">
        <v>172</v>
      </c>
      <c r="N2919" s="55" t="s">
        <v>172</v>
      </c>
      <c r="O2919" s="55" t="s">
        <v>234</v>
      </c>
      <c r="P2919" s="55" t="s">
        <v>369</v>
      </c>
      <c r="Q2919" s="55" t="s">
        <v>350</v>
      </c>
      <c r="R2919" s="55">
        <v>4</v>
      </c>
      <c r="S2919" s="55"/>
      <c r="T2919" s="55" t="s">
        <v>668</v>
      </c>
      <c r="U2919" s="73" t="s">
        <v>351</v>
      </c>
      <c r="V2919" s="74">
        <v>44488</v>
      </c>
      <c r="W2919" s="74">
        <v>44525</v>
      </c>
      <c r="X2919" s="55">
        <v>10186035</v>
      </c>
      <c r="Y2919" s="55" t="s">
        <v>132</v>
      </c>
      <c r="AB2919" s="55" t="s">
        <v>132</v>
      </c>
      <c r="AC2919" s="55" t="s">
        <v>132</v>
      </c>
    </row>
    <row r="2920" spans="1:29" ht="13" x14ac:dyDescent="0.15">
      <c r="A2920" s="72" t="str">
        <f t="shared" si="45"/>
        <v>Ofsted Social Care Provider Webpage</v>
      </c>
      <c r="B2920" s="55" t="s">
        <v>5490</v>
      </c>
      <c r="D2920" s="55" t="s">
        <v>373</v>
      </c>
      <c r="E2920" s="74">
        <v>40396</v>
      </c>
      <c r="F2920" s="55" t="s">
        <v>344</v>
      </c>
      <c r="G2920" s="55" t="s">
        <v>360</v>
      </c>
      <c r="H2920" s="55" t="s">
        <v>360</v>
      </c>
      <c r="I2920" s="55" t="s">
        <v>360</v>
      </c>
      <c r="J2920" s="55" t="s">
        <v>360</v>
      </c>
      <c r="K2920" s="55" t="s">
        <v>360</v>
      </c>
      <c r="L2920" s="55" t="s">
        <v>360</v>
      </c>
      <c r="M2920" s="55" t="s">
        <v>142</v>
      </c>
      <c r="N2920" s="55" t="s">
        <v>142</v>
      </c>
      <c r="O2920" s="55" t="s">
        <v>166</v>
      </c>
      <c r="P2920" s="55" t="s">
        <v>1152</v>
      </c>
      <c r="Q2920" s="55" t="s">
        <v>380</v>
      </c>
      <c r="R2920" s="55">
        <v>4</v>
      </c>
      <c r="S2920" s="55"/>
      <c r="T2920" s="55" t="s">
        <v>1302</v>
      </c>
      <c r="U2920" s="73" t="s">
        <v>351</v>
      </c>
      <c r="V2920" s="74">
        <v>43691</v>
      </c>
      <c r="W2920" s="74">
        <v>43714</v>
      </c>
      <c r="X2920" s="55">
        <v>10096398</v>
      </c>
      <c r="Y2920" s="55" t="s">
        <v>132</v>
      </c>
      <c r="AB2920" s="55" t="s">
        <v>132</v>
      </c>
      <c r="AC2920" s="55" t="s">
        <v>130</v>
      </c>
    </row>
    <row r="2921" spans="1:29" ht="13" x14ac:dyDescent="0.15">
      <c r="A2921" s="72" t="str">
        <f t="shared" si="45"/>
        <v>Ofsted Social Care Provider Webpage</v>
      </c>
      <c r="B2921" s="55" t="s">
        <v>5491</v>
      </c>
      <c r="D2921" s="55" t="s">
        <v>373</v>
      </c>
      <c r="E2921" s="74">
        <v>40387</v>
      </c>
      <c r="F2921" s="55" t="s">
        <v>344</v>
      </c>
      <c r="G2921" s="55" t="s">
        <v>360</v>
      </c>
      <c r="H2921" s="55" t="s">
        <v>360</v>
      </c>
      <c r="I2921" s="55" t="s">
        <v>360</v>
      </c>
      <c r="J2921" s="55" t="s">
        <v>360</v>
      </c>
      <c r="K2921" s="55" t="s">
        <v>360</v>
      </c>
      <c r="L2921" s="55" t="s">
        <v>360</v>
      </c>
      <c r="M2921" s="55" t="s">
        <v>172</v>
      </c>
      <c r="N2921" s="55" t="s">
        <v>172</v>
      </c>
      <c r="O2921" s="55" t="s">
        <v>173</v>
      </c>
      <c r="P2921" s="55" t="s">
        <v>1258</v>
      </c>
      <c r="Q2921" s="55" t="s">
        <v>350</v>
      </c>
      <c r="R2921" s="55">
        <v>3</v>
      </c>
      <c r="S2921" s="55"/>
      <c r="T2921" s="55" t="s">
        <v>861</v>
      </c>
      <c r="U2921" s="73" t="s">
        <v>351</v>
      </c>
      <c r="V2921" s="74">
        <v>44628</v>
      </c>
      <c r="W2921" s="74">
        <v>44663</v>
      </c>
      <c r="X2921" s="55">
        <v>10187454</v>
      </c>
      <c r="Y2921" s="55" t="s">
        <v>140</v>
      </c>
      <c r="AB2921" s="55" t="s">
        <v>140</v>
      </c>
      <c r="AC2921" s="55" t="s">
        <v>140</v>
      </c>
    </row>
    <row r="2922" spans="1:29" ht="13" x14ac:dyDescent="0.15">
      <c r="A2922" s="72" t="str">
        <f t="shared" si="45"/>
        <v>Ofsted Social Care Provider Webpage</v>
      </c>
      <c r="B2922" s="55" t="s">
        <v>5492</v>
      </c>
      <c r="D2922" s="55" t="s">
        <v>373</v>
      </c>
      <c r="E2922" s="74">
        <v>40497</v>
      </c>
      <c r="F2922" s="55" t="s">
        <v>344</v>
      </c>
      <c r="G2922" s="55" t="s">
        <v>360</v>
      </c>
      <c r="H2922" s="55" t="s">
        <v>360</v>
      </c>
      <c r="I2922" s="55" t="s">
        <v>360</v>
      </c>
      <c r="J2922" s="55" t="s">
        <v>360</v>
      </c>
      <c r="K2922" s="55" t="s">
        <v>360</v>
      </c>
      <c r="L2922" s="55" t="s">
        <v>360</v>
      </c>
      <c r="M2922" s="55" t="s">
        <v>150</v>
      </c>
      <c r="N2922" s="55" t="s">
        <v>150</v>
      </c>
      <c r="O2922" s="55" t="s">
        <v>221</v>
      </c>
      <c r="P2922" s="55" t="s">
        <v>4169</v>
      </c>
      <c r="Q2922" s="55" t="s">
        <v>350</v>
      </c>
      <c r="R2922" s="55">
        <v>4</v>
      </c>
      <c r="S2922" s="55"/>
      <c r="T2922" s="55" t="s">
        <v>762</v>
      </c>
      <c r="U2922" s="73" t="s">
        <v>351</v>
      </c>
      <c r="V2922" s="74">
        <v>44440</v>
      </c>
      <c r="W2922" s="74">
        <v>44502</v>
      </c>
      <c r="X2922" s="55">
        <v>10187332</v>
      </c>
      <c r="Y2922" s="55" t="s">
        <v>132</v>
      </c>
      <c r="AB2922" s="55" t="s">
        <v>132</v>
      </c>
      <c r="AC2922" s="55" t="s">
        <v>130</v>
      </c>
    </row>
    <row r="2923" spans="1:29" ht="13" x14ac:dyDescent="0.15">
      <c r="A2923" s="72" t="str">
        <f t="shared" si="45"/>
        <v>Ofsted Social Care Provider Webpage</v>
      </c>
      <c r="B2923" s="55" t="s">
        <v>5493</v>
      </c>
      <c r="D2923" s="55" t="s">
        <v>373</v>
      </c>
      <c r="E2923" s="74">
        <v>40371</v>
      </c>
      <c r="F2923" s="55" t="s">
        <v>344</v>
      </c>
      <c r="G2923" s="55" t="s">
        <v>360</v>
      </c>
      <c r="H2923" s="55" t="s">
        <v>360</v>
      </c>
      <c r="I2923" s="55" t="s">
        <v>360</v>
      </c>
      <c r="J2923" s="55" t="s">
        <v>360</v>
      </c>
      <c r="K2923" s="55" t="s">
        <v>360</v>
      </c>
      <c r="L2923" s="55" t="s">
        <v>360</v>
      </c>
      <c r="M2923" s="55" t="s">
        <v>142</v>
      </c>
      <c r="N2923" s="55" t="s">
        <v>142</v>
      </c>
      <c r="O2923" s="55" t="s">
        <v>262</v>
      </c>
      <c r="P2923" s="55" t="s">
        <v>949</v>
      </c>
      <c r="Q2923" s="55" t="s">
        <v>380</v>
      </c>
      <c r="R2923" s="55">
        <v>6</v>
      </c>
      <c r="S2923" s="55" t="s">
        <v>332</v>
      </c>
      <c r="T2923" s="55" t="s">
        <v>2996</v>
      </c>
      <c r="U2923" s="73" t="s">
        <v>351</v>
      </c>
      <c r="V2923" s="74">
        <v>44531</v>
      </c>
      <c r="W2923" s="74">
        <v>44586</v>
      </c>
      <c r="X2923" s="55">
        <v>10185929</v>
      </c>
      <c r="Y2923" s="55" t="s">
        <v>132</v>
      </c>
      <c r="AB2923" s="55" t="s">
        <v>132</v>
      </c>
      <c r="AC2923" s="55" t="s">
        <v>132</v>
      </c>
    </row>
    <row r="2924" spans="1:29" ht="13" x14ac:dyDescent="0.15">
      <c r="A2924" s="72" t="str">
        <f t="shared" si="45"/>
        <v>Ofsted Social Care Provider Webpage</v>
      </c>
      <c r="B2924" s="55" t="s">
        <v>5494</v>
      </c>
      <c r="D2924" s="55" t="s">
        <v>373</v>
      </c>
      <c r="E2924" s="74">
        <v>40433</v>
      </c>
      <c r="F2924" s="55" t="s">
        <v>344</v>
      </c>
      <c r="G2924" s="55" t="s">
        <v>360</v>
      </c>
      <c r="H2924" s="55" t="s">
        <v>360</v>
      </c>
      <c r="I2924" s="55" t="s">
        <v>360</v>
      </c>
      <c r="J2924" s="55" t="s">
        <v>360</v>
      </c>
      <c r="K2924" s="55" t="s">
        <v>360</v>
      </c>
      <c r="L2924" s="55" t="s">
        <v>360</v>
      </c>
      <c r="M2924" s="55" t="s">
        <v>142</v>
      </c>
      <c r="N2924" s="55" t="s">
        <v>142</v>
      </c>
      <c r="O2924" s="55" t="s">
        <v>262</v>
      </c>
      <c r="P2924" s="55" t="s">
        <v>916</v>
      </c>
      <c r="Q2924" s="55" t="s">
        <v>350</v>
      </c>
      <c r="R2924" s="55">
        <v>4</v>
      </c>
      <c r="S2924" s="55"/>
      <c r="T2924" s="55" t="s">
        <v>1253</v>
      </c>
      <c r="U2924" s="73" t="s">
        <v>351</v>
      </c>
      <c r="V2924" s="74">
        <v>44391</v>
      </c>
      <c r="W2924" s="74">
        <v>44421</v>
      </c>
      <c r="X2924" s="55">
        <v>10186507</v>
      </c>
      <c r="Y2924" s="55" t="s">
        <v>132</v>
      </c>
      <c r="AB2924" s="55" t="s">
        <v>132</v>
      </c>
      <c r="AC2924" s="55" t="s">
        <v>132</v>
      </c>
    </row>
    <row r="2925" spans="1:29" ht="13" x14ac:dyDescent="0.15">
      <c r="A2925" s="72" t="str">
        <f t="shared" si="45"/>
        <v>Ofsted Social Care Provider Webpage</v>
      </c>
      <c r="B2925" s="55" t="s">
        <v>5495</v>
      </c>
      <c r="D2925" s="55" t="s">
        <v>373</v>
      </c>
      <c r="E2925" s="74">
        <v>40464</v>
      </c>
      <c r="F2925" s="55" t="s">
        <v>344</v>
      </c>
      <c r="G2925" s="55" t="s">
        <v>360</v>
      </c>
      <c r="H2925" s="55" t="s">
        <v>360</v>
      </c>
      <c r="I2925" s="55" t="s">
        <v>360</v>
      </c>
      <c r="J2925" s="55" t="s">
        <v>360</v>
      </c>
      <c r="K2925" s="55" t="s">
        <v>360</v>
      </c>
      <c r="L2925" s="55" t="s">
        <v>360</v>
      </c>
      <c r="M2925" s="55" t="s">
        <v>136</v>
      </c>
      <c r="N2925" s="55" t="s">
        <v>136</v>
      </c>
      <c r="O2925" s="55" t="s">
        <v>185</v>
      </c>
      <c r="P2925" s="55" t="s">
        <v>898</v>
      </c>
      <c r="Q2925" s="55" t="s">
        <v>380</v>
      </c>
      <c r="R2925" s="55">
        <v>6</v>
      </c>
      <c r="S2925" s="55" t="s">
        <v>332</v>
      </c>
      <c r="T2925" s="55" t="s">
        <v>5496</v>
      </c>
      <c r="U2925" s="73" t="s">
        <v>351</v>
      </c>
      <c r="V2925" s="74">
        <v>44517</v>
      </c>
      <c r="W2925" s="74">
        <v>44559</v>
      </c>
      <c r="X2925" s="55">
        <v>10185917</v>
      </c>
      <c r="Y2925" s="55" t="s">
        <v>132</v>
      </c>
      <c r="AB2925" s="55" t="s">
        <v>132</v>
      </c>
      <c r="AC2925" s="55" t="s">
        <v>132</v>
      </c>
    </row>
    <row r="2926" spans="1:29" ht="13" x14ac:dyDescent="0.15">
      <c r="A2926" s="72" t="str">
        <f t="shared" si="45"/>
        <v>Ofsted Social Care Provider Webpage</v>
      </c>
      <c r="B2926" s="55" t="s">
        <v>5497</v>
      </c>
      <c r="D2926" s="55" t="s">
        <v>373</v>
      </c>
      <c r="E2926" s="74">
        <v>40449</v>
      </c>
      <c r="F2926" s="55" t="s">
        <v>344</v>
      </c>
      <c r="G2926" s="55" t="s">
        <v>360</v>
      </c>
      <c r="H2926" s="55" t="s">
        <v>360</v>
      </c>
      <c r="I2926" s="55" t="s">
        <v>360</v>
      </c>
      <c r="J2926" s="55" t="s">
        <v>360</v>
      </c>
      <c r="K2926" s="55" t="s">
        <v>360</v>
      </c>
      <c r="L2926" s="55" t="s">
        <v>360</v>
      </c>
      <c r="M2926" s="55" t="s">
        <v>144</v>
      </c>
      <c r="N2926" s="55" t="s">
        <v>144</v>
      </c>
      <c r="O2926" s="55" t="s">
        <v>145</v>
      </c>
      <c r="P2926" s="55" t="s">
        <v>525</v>
      </c>
      <c r="Q2926" s="55" t="s">
        <v>350</v>
      </c>
      <c r="R2926" s="55">
        <v>3</v>
      </c>
      <c r="S2926" s="55"/>
      <c r="T2926" s="55" t="s">
        <v>385</v>
      </c>
      <c r="U2926" s="73" t="s">
        <v>351</v>
      </c>
      <c r="V2926" s="74">
        <v>44580</v>
      </c>
      <c r="W2926" s="74">
        <v>44610</v>
      </c>
      <c r="X2926" s="55">
        <v>10185648</v>
      </c>
      <c r="Y2926" s="55" t="s">
        <v>132</v>
      </c>
      <c r="AB2926" s="55" t="s">
        <v>132</v>
      </c>
      <c r="AC2926" s="55" t="s">
        <v>132</v>
      </c>
    </row>
    <row r="2927" spans="1:29" ht="13" x14ac:dyDescent="0.15">
      <c r="A2927" s="72" t="str">
        <f t="shared" si="45"/>
        <v>Ofsted Social Care Provider Webpage</v>
      </c>
      <c r="B2927" s="55" t="s">
        <v>5498</v>
      </c>
      <c r="D2927" s="55" t="s">
        <v>373</v>
      </c>
      <c r="E2927" s="74">
        <v>40485</v>
      </c>
      <c r="F2927" s="55" t="s">
        <v>344</v>
      </c>
      <c r="G2927" s="55" t="s">
        <v>360</v>
      </c>
      <c r="H2927" s="55" t="s">
        <v>360</v>
      </c>
      <c r="I2927" s="55" t="s">
        <v>360</v>
      </c>
      <c r="J2927" s="55" t="s">
        <v>360</v>
      </c>
      <c r="K2927" s="55" t="s">
        <v>360</v>
      </c>
      <c r="L2927" s="55" t="s">
        <v>360</v>
      </c>
      <c r="M2927" s="55" t="s">
        <v>378</v>
      </c>
      <c r="N2927" s="55" t="s">
        <v>170</v>
      </c>
      <c r="O2927" s="55" t="s">
        <v>267</v>
      </c>
      <c r="P2927" s="55" t="s">
        <v>477</v>
      </c>
      <c r="Q2927" s="55" t="s">
        <v>362</v>
      </c>
      <c r="R2927" s="55">
        <v>5</v>
      </c>
      <c r="S2927" s="55"/>
      <c r="T2927" s="55" t="s">
        <v>5369</v>
      </c>
      <c r="U2927" s="73" t="s">
        <v>351</v>
      </c>
      <c r="V2927" s="74">
        <v>44565</v>
      </c>
      <c r="W2927" s="74">
        <v>44596</v>
      </c>
      <c r="X2927" s="55">
        <v>10185246</v>
      </c>
      <c r="Y2927" s="55" t="s">
        <v>132</v>
      </c>
      <c r="AB2927" s="55" t="s">
        <v>132</v>
      </c>
      <c r="AC2927" s="55" t="s">
        <v>132</v>
      </c>
    </row>
    <row r="2928" spans="1:29" ht="13" x14ac:dyDescent="0.15">
      <c r="A2928" s="72" t="str">
        <f t="shared" si="45"/>
        <v>Ofsted Social Care Provider Webpage</v>
      </c>
      <c r="B2928" s="55" t="s">
        <v>5499</v>
      </c>
      <c r="D2928" s="55" t="s">
        <v>373</v>
      </c>
      <c r="E2928" s="74">
        <v>40448</v>
      </c>
      <c r="F2928" s="55" t="s">
        <v>344</v>
      </c>
      <c r="G2928" s="55" t="s">
        <v>360</v>
      </c>
      <c r="H2928" s="55" t="s">
        <v>360</v>
      </c>
      <c r="I2928" s="55" t="s">
        <v>360</v>
      </c>
      <c r="J2928" s="55" t="s">
        <v>360</v>
      </c>
      <c r="K2928" s="55" t="s">
        <v>360</v>
      </c>
      <c r="L2928" s="55" t="s">
        <v>360</v>
      </c>
      <c r="M2928" s="55" t="s">
        <v>144</v>
      </c>
      <c r="N2928" s="55" t="s">
        <v>144</v>
      </c>
      <c r="O2928" s="55" t="s">
        <v>245</v>
      </c>
      <c r="P2928" s="55" t="s">
        <v>1796</v>
      </c>
      <c r="Q2928" s="55" t="s">
        <v>350</v>
      </c>
      <c r="R2928" s="55">
        <v>2</v>
      </c>
      <c r="S2928" s="55"/>
      <c r="T2928" s="55" t="s">
        <v>711</v>
      </c>
      <c r="U2928" s="73" t="s">
        <v>351</v>
      </c>
      <c r="V2928" s="74">
        <v>44545</v>
      </c>
      <c r="W2928" s="74">
        <v>44592</v>
      </c>
      <c r="X2928" s="55">
        <v>10186461</v>
      </c>
      <c r="Y2928" s="55" t="s">
        <v>132</v>
      </c>
      <c r="AB2928" s="55" t="s">
        <v>132</v>
      </c>
      <c r="AC2928" s="55" t="s">
        <v>132</v>
      </c>
    </row>
    <row r="2929" spans="1:29" ht="13" x14ac:dyDescent="0.15">
      <c r="A2929" s="72" t="str">
        <f t="shared" si="45"/>
        <v>Ofsted Social Care Provider Webpage</v>
      </c>
      <c r="B2929" s="55" t="s">
        <v>5500</v>
      </c>
      <c r="D2929" s="55" t="s">
        <v>389</v>
      </c>
      <c r="E2929" s="74">
        <v>40497</v>
      </c>
      <c r="F2929" s="55" t="s">
        <v>344</v>
      </c>
      <c r="G2929" s="55" t="s">
        <v>5501</v>
      </c>
      <c r="H2929" s="55" t="s">
        <v>5502</v>
      </c>
      <c r="I2929" s="55" t="s">
        <v>5503</v>
      </c>
      <c r="J2929" s="55" t="s">
        <v>4030</v>
      </c>
      <c r="K2929" s="55" t="s">
        <v>293</v>
      </c>
      <c r="L2929" s="55" t="s">
        <v>4031</v>
      </c>
      <c r="M2929" s="55" t="s">
        <v>142</v>
      </c>
      <c r="N2929" s="55" t="s">
        <v>142</v>
      </c>
      <c r="O2929" s="55" t="s">
        <v>293</v>
      </c>
      <c r="P2929" s="55" t="s">
        <v>1641</v>
      </c>
      <c r="Q2929" s="55" t="s">
        <v>350</v>
      </c>
      <c r="R2929" s="55"/>
      <c r="S2929" s="55"/>
      <c r="T2929" s="55" t="s">
        <v>5504</v>
      </c>
      <c r="U2929" s="73" t="s">
        <v>351</v>
      </c>
      <c r="V2929" s="74">
        <v>44592</v>
      </c>
      <c r="W2929" s="74">
        <v>44641</v>
      </c>
      <c r="X2929" s="55">
        <v>10183434</v>
      </c>
      <c r="Y2929" s="55" t="s">
        <v>132</v>
      </c>
      <c r="AB2929" s="55" t="s">
        <v>132</v>
      </c>
      <c r="AC2929" s="55" t="s">
        <v>132</v>
      </c>
    </row>
    <row r="2930" spans="1:29" ht="13" x14ac:dyDescent="0.15">
      <c r="A2930" s="72" t="str">
        <f t="shared" si="45"/>
        <v>Ofsted Social Care Provider Webpage</v>
      </c>
      <c r="B2930" s="55" t="s">
        <v>5505</v>
      </c>
      <c r="D2930" s="55" t="s">
        <v>373</v>
      </c>
      <c r="E2930" s="74">
        <v>40534</v>
      </c>
      <c r="F2930" s="55" t="s">
        <v>344</v>
      </c>
      <c r="G2930" s="55" t="s">
        <v>360</v>
      </c>
      <c r="H2930" s="55" t="s">
        <v>360</v>
      </c>
      <c r="I2930" s="55" t="s">
        <v>360</v>
      </c>
      <c r="J2930" s="55" t="s">
        <v>360</v>
      </c>
      <c r="K2930" s="55" t="s">
        <v>360</v>
      </c>
      <c r="L2930" s="55" t="s">
        <v>360</v>
      </c>
      <c r="M2930" s="55" t="s">
        <v>144</v>
      </c>
      <c r="N2930" s="55" t="s">
        <v>144</v>
      </c>
      <c r="O2930" s="55" t="s">
        <v>209</v>
      </c>
      <c r="P2930" s="55" t="s">
        <v>364</v>
      </c>
      <c r="Q2930" s="55" t="s">
        <v>350</v>
      </c>
      <c r="R2930" s="55">
        <v>4</v>
      </c>
      <c r="S2930" s="55"/>
      <c r="T2930" s="55" t="s">
        <v>1539</v>
      </c>
      <c r="U2930" s="73" t="s">
        <v>351</v>
      </c>
      <c r="V2930" s="74">
        <v>43739</v>
      </c>
      <c r="W2930" s="74">
        <v>43774</v>
      </c>
      <c r="X2930" s="55">
        <v>10096433</v>
      </c>
      <c r="Y2930" s="55" t="s">
        <v>132</v>
      </c>
      <c r="AB2930" s="55" t="s">
        <v>132</v>
      </c>
      <c r="AC2930" s="55" t="s">
        <v>132</v>
      </c>
    </row>
    <row r="2931" spans="1:29" ht="13" x14ac:dyDescent="0.15">
      <c r="A2931" s="72" t="str">
        <f t="shared" si="45"/>
        <v>Ofsted Social Care Provider Webpage</v>
      </c>
      <c r="B2931" s="55" t="s">
        <v>5506</v>
      </c>
      <c r="D2931" s="55" t="s">
        <v>389</v>
      </c>
      <c r="E2931" s="74">
        <v>40592</v>
      </c>
      <c r="F2931" s="55" t="s">
        <v>344</v>
      </c>
      <c r="G2931" s="55" t="s">
        <v>5507</v>
      </c>
      <c r="H2931" s="55" t="s">
        <v>5508</v>
      </c>
      <c r="I2931" s="55" t="s">
        <v>354</v>
      </c>
      <c r="J2931" s="55" t="s">
        <v>242</v>
      </c>
      <c r="K2931" s="55" t="s">
        <v>1650</v>
      </c>
      <c r="L2931" s="55" t="s">
        <v>5509</v>
      </c>
      <c r="M2931" s="55" t="s">
        <v>129</v>
      </c>
      <c r="N2931" s="55" t="s">
        <v>129</v>
      </c>
      <c r="O2931" s="55" t="s">
        <v>242</v>
      </c>
      <c r="P2931" s="55" t="s">
        <v>1192</v>
      </c>
      <c r="Q2931" s="55" t="s">
        <v>350</v>
      </c>
      <c r="R2931" s="55"/>
      <c r="S2931" s="55"/>
      <c r="T2931" s="55" t="s">
        <v>5507</v>
      </c>
      <c r="U2931" s="73" t="s">
        <v>351</v>
      </c>
      <c r="V2931" s="74">
        <v>43493</v>
      </c>
      <c r="W2931" s="74">
        <v>43524</v>
      </c>
      <c r="X2931" s="55">
        <v>10045670</v>
      </c>
      <c r="Y2931" s="55" t="s">
        <v>132</v>
      </c>
      <c r="AB2931" s="55" t="s">
        <v>132</v>
      </c>
      <c r="AC2931" s="55" t="s">
        <v>132</v>
      </c>
    </row>
    <row r="2932" spans="1:29" ht="13" x14ac:dyDescent="0.15">
      <c r="A2932" s="72" t="str">
        <f t="shared" si="45"/>
        <v>Ofsted Social Care Provider Webpage</v>
      </c>
      <c r="B2932" s="55" t="s">
        <v>5510</v>
      </c>
      <c r="D2932" s="55" t="s">
        <v>373</v>
      </c>
      <c r="E2932" s="74">
        <v>40554</v>
      </c>
      <c r="F2932" s="55" t="s">
        <v>344</v>
      </c>
      <c r="G2932" s="55" t="s">
        <v>360</v>
      </c>
      <c r="H2932" s="55" t="s">
        <v>360</v>
      </c>
      <c r="I2932" s="55" t="s">
        <v>360</v>
      </c>
      <c r="J2932" s="55" t="s">
        <v>360</v>
      </c>
      <c r="K2932" s="55" t="s">
        <v>360</v>
      </c>
      <c r="L2932" s="55" t="s">
        <v>360</v>
      </c>
      <c r="M2932" s="55" t="s">
        <v>144</v>
      </c>
      <c r="N2932" s="55" t="s">
        <v>144</v>
      </c>
      <c r="O2932" s="55" t="s">
        <v>245</v>
      </c>
      <c r="P2932" s="55" t="s">
        <v>245</v>
      </c>
      <c r="Q2932" s="55" t="s">
        <v>350</v>
      </c>
      <c r="R2932" s="55">
        <v>3</v>
      </c>
      <c r="S2932" s="55"/>
      <c r="T2932" s="55" t="s">
        <v>613</v>
      </c>
      <c r="U2932" s="73" t="s">
        <v>351</v>
      </c>
      <c r="V2932" s="74">
        <v>44586</v>
      </c>
      <c r="W2932" s="74">
        <v>44622</v>
      </c>
      <c r="X2932" s="55">
        <v>10186452</v>
      </c>
      <c r="Y2932" s="55" t="s">
        <v>132</v>
      </c>
      <c r="AB2932" s="55" t="s">
        <v>132</v>
      </c>
      <c r="AC2932" s="55" t="s">
        <v>132</v>
      </c>
    </row>
    <row r="2933" spans="1:29" ht="13" x14ac:dyDescent="0.15">
      <c r="A2933" s="72" t="str">
        <f t="shared" si="45"/>
        <v>Ofsted Social Care Provider Webpage</v>
      </c>
      <c r="B2933" s="55" t="s">
        <v>5511</v>
      </c>
      <c r="D2933" s="55" t="s">
        <v>373</v>
      </c>
      <c r="E2933" s="74">
        <v>40396</v>
      </c>
      <c r="F2933" s="55" t="s">
        <v>344</v>
      </c>
      <c r="G2933" s="55" t="s">
        <v>360</v>
      </c>
      <c r="H2933" s="55" t="s">
        <v>360</v>
      </c>
      <c r="I2933" s="55" t="s">
        <v>360</v>
      </c>
      <c r="J2933" s="55" t="s">
        <v>360</v>
      </c>
      <c r="K2933" s="55" t="s">
        <v>360</v>
      </c>
      <c r="L2933" s="55" t="s">
        <v>360</v>
      </c>
      <c r="M2933" s="55" t="s">
        <v>144</v>
      </c>
      <c r="N2933" s="55" t="s">
        <v>144</v>
      </c>
      <c r="O2933" s="55" t="s">
        <v>168</v>
      </c>
      <c r="P2933" s="55" t="s">
        <v>708</v>
      </c>
      <c r="Q2933" s="55" t="s">
        <v>350</v>
      </c>
      <c r="R2933" s="55">
        <v>5</v>
      </c>
      <c r="S2933" s="55"/>
      <c r="T2933" s="55" t="s">
        <v>2358</v>
      </c>
      <c r="U2933" s="73" t="s">
        <v>351</v>
      </c>
      <c r="V2933" s="74">
        <v>44354</v>
      </c>
      <c r="W2933" s="74">
        <v>44393</v>
      </c>
      <c r="X2933" s="55">
        <v>10187467</v>
      </c>
      <c r="Y2933" s="55" t="s">
        <v>132</v>
      </c>
      <c r="AB2933" s="55" t="s">
        <v>132</v>
      </c>
      <c r="AC2933" s="55" t="s">
        <v>132</v>
      </c>
    </row>
    <row r="2934" spans="1:29" ht="13" x14ac:dyDescent="0.15">
      <c r="A2934" s="72" t="str">
        <f t="shared" si="45"/>
        <v>Ofsted Social Care Provider Webpage</v>
      </c>
      <c r="B2934" s="55" t="s">
        <v>5512</v>
      </c>
      <c r="D2934" s="55" t="s">
        <v>373</v>
      </c>
      <c r="E2934" s="74">
        <v>40532</v>
      </c>
      <c r="F2934" s="55" t="s">
        <v>344</v>
      </c>
      <c r="G2934" s="55" t="s">
        <v>360</v>
      </c>
      <c r="H2934" s="55" t="s">
        <v>360</v>
      </c>
      <c r="I2934" s="55" t="s">
        <v>360</v>
      </c>
      <c r="J2934" s="55" t="s">
        <v>360</v>
      </c>
      <c r="K2934" s="55" t="s">
        <v>360</v>
      </c>
      <c r="L2934" s="55" t="s">
        <v>360</v>
      </c>
      <c r="M2934" s="55" t="s">
        <v>150</v>
      </c>
      <c r="N2934" s="55" t="s">
        <v>150</v>
      </c>
      <c r="O2934" s="55" t="s">
        <v>203</v>
      </c>
      <c r="P2934" s="55" t="s">
        <v>1263</v>
      </c>
      <c r="Q2934" s="55" t="s">
        <v>350</v>
      </c>
      <c r="R2934" s="55">
        <v>7</v>
      </c>
      <c r="S2934" s="55"/>
      <c r="T2934" s="55" t="s">
        <v>483</v>
      </c>
      <c r="U2934" s="73" t="s">
        <v>351</v>
      </c>
      <c r="V2934" s="74">
        <v>44593</v>
      </c>
      <c r="W2934" s="74">
        <v>44645</v>
      </c>
      <c r="X2934" s="55">
        <v>10186550</v>
      </c>
      <c r="Y2934" s="55" t="s">
        <v>140</v>
      </c>
      <c r="AB2934" s="55" t="s">
        <v>140</v>
      </c>
      <c r="AC2934" s="55" t="s">
        <v>140</v>
      </c>
    </row>
    <row r="2935" spans="1:29" ht="13" x14ac:dyDescent="0.15">
      <c r="A2935" s="72" t="str">
        <f t="shared" si="45"/>
        <v>Ofsted Social Care Provider Webpage</v>
      </c>
      <c r="B2935" s="55" t="s">
        <v>5513</v>
      </c>
      <c r="D2935" s="55" t="s">
        <v>373</v>
      </c>
      <c r="E2935" s="74">
        <v>40515</v>
      </c>
      <c r="F2935" s="55" t="s">
        <v>344</v>
      </c>
      <c r="G2935" s="55" t="s">
        <v>360</v>
      </c>
      <c r="H2935" s="55" t="s">
        <v>360</v>
      </c>
      <c r="I2935" s="55" t="s">
        <v>360</v>
      </c>
      <c r="J2935" s="55" t="s">
        <v>360</v>
      </c>
      <c r="K2935" s="55" t="s">
        <v>360</v>
      </c>
      <c r="L2935" s="55" t="s">
        <v>360</v>
      </c>
      <c r="M2935" s="55" t="s">
        <v>378</v>
      </c>
      <c r="N2935" s="55" t="s">
        <v>170</v>
      </c>
      <c r="O2935" s="55" t="s">
        <v>178</v>
      </c>
      <c r="P2935" s="55" t="s">
        <v>1374</v>
      </c>
      <c r="Q2935" s="55" t="s">
        <v>350</v>
      </c>
      <c r="R2935" s="55">
        <v>4</v>
      </c>
      <c r="S2935" s="55"/>
      <c r="T2935" s="55" t="s">
        <v>644</v>
      </c>
      <c r="U2935" s="73" t="s">
        <v>351</v>
      </c>
      <c r="V2935" s="74">
        <v>44453</v>
      </c>
      <c r="W2935" s="74">
        <v>44491</v>
      </c>
      <c r="X2935" s="55">
        <v>10185629</v>
      </c>
      <c r="Y2935" s="55" t="s">
        <v>130</v>
      </c>
      <c r="AB2935" s="55" t="s">
        <v>132</v>
      </c>
      <c r="AC2935" s="55" t="s">
        <v>130</v>
      </c>
    </row>
    <row r="2936" spans="1:29" ht="13" x14ac:dyDescent="0.15">
      <c r="A2936" s="72" t="str">
        <f t="shared" si="45"/>
        <v>Ofsted Social Care Provider Webpage</v>
      </c>
      <c r="B2936" s="55" t="s">
        <v>5514</v>
      </c>
      <c r="D2936" s="55" t="s">
        <v>373</v>
      </c>
      <c r="E2936" s="74">
        <v>40473</v>
      </c>
      <c r="F2936" s="55" t="s">
        <v>344</v>
      </c>
      <c r="G2936" s="55" t="s">
        <v>360</v>
      </c>
      <c r="H2936" s="55" t="s">
        <v>360</v>
      </c>
      <c r="I2936" s="55" t="s">
        <v>360</v>
      </c>
      <c r="J2936" s="55" t="s">
        <v>360</v>
      </c>
      <c r="K2936" s="55" t="s">
        <v>360</v>
      </c>
      <c r="L2936" s="55" t="s">
        <v>360</v>
      </c>
      <c r="M2936" s="55" t="s">
        <v>150</v>
      </c>
      <c r="N2936" s="55" t="s">
        <v>150</v>
      </c>
      <c r="O2936" s="55" t="s">
        <v>283</v>
      </c>
      <c r="P2936" s="55" t="s">
        <v>291</v>
      </c>
      <c r="Q2936" s="55" t="s">
        <v>350</v>
      </c>
      <c r="R2936" s="55">
        <v>5</v>
      </c>
      <c r="S2936" s="55"/>
      <c r="T2936" s="55" t="s">
        <v>755</v>
      </c>
      <c r="U2936" s="73" t="s">
        <v>351</v>
      </c>
      <c r="V2936" s="74">
        <v>44566</v>
      </c>
      <c r="W2936" s="74">
        <v>44600</v>
      </c>
      <c r="X2936" s="55">
        <v>10186126</v>
      </c>
      <c r="Y2936" s="55" t="s">
        <v>132</v>
      </c>
      <c r="AB2936" s="55" t="s">
        <v>132</v>
      </c>
      <c r="AC2936" s="55" t="s">
        <v>140</v>
      </c>
    </row>
    <row r="2937" spans="1:29" ht="13" x14ac:dyDescent="0.15">
      <c r="A2937" s="72" t="str">
        <f t="shared" si="45"/>
        <v>Ofsted Social Care Provider Webpage</v>
      </c>
      <c r="B2937" s="55" t="s">
        <v>5515</v>
      </c>
      <c r="D2937" s="55" t="s">
        <v>389</v>
      </c>
      <c r="E2937" s="74">
        <v>40560</v>
      </c>
      <c r="F2937" s="55" t="s">
        <v>344</v>
      </c>
      <c r="G2937" s="55" t="s">
        <v>5516</v>
      </c>
      <c r="H2937" s="55" t="s">
        <v>5517</v>
      </c>
      <c r="I2937" s="55" t="s">
        <v>5518</v>
      </c>
      <c r="J2937" s="55" t="s">
        <v>5519</v>
      </c>
      <c r="K2937" s="55" t="s">
        <v>195</v>
      </c>
      <c r="L2937" s="55" t="s">
        <v>5520</v>
      </c>
      <c r="M2937" s="55" t="s">
        <v>142</v>
      </c>
      <c r="N2937" s="55" t="s">
        <v>142</v>
      </c>
      <c r="O2937" s="55" t="s">
        <v>195</v>
      </c>
      <c r="P2937" s="55" t="s">
        <v>518</v>
      </c>
      <c r="Q2937" s="55" t="s">
        <v>350</v>
      </c>
      <c r="R2937" s="55"/>
      <c r="S2937" s="55"/>
      <c r="T2937" s="55" t="s">
        <v>5521</v>
      </c>
      <c r="U2937" s="73" t="s">
        <v>351</v>
      </c>
      <c r="V2937" s="74">
        <v>44417</v>
      </c>
      <c r="W2937" s="74">
        <v>44463</v>
      </c>
      <c r="X2937" s="55">
        <v>10183276</v>
      </c>
      <c r="Y2937" s="55" t="s">
        <v>146</v>
      </c>
      <c r="AB2937" s="55" t="s">
        <v>146</v>
      </c>
      <c r="AC2937" s="55" t="s">
        <v>146</v>
      </c>
    </row>
    <row r="2938" spans="1:29" ht="13" x14ac:dyDescent="0.15">
      <c r="A2938" s="72" t="str">
        <f t="shared" si="45"/>
        <v>Ofsted Social Care Provider Webpage</v>
      </c>
      <c r="B2938" s="55" t="s">
        <v>5522</v>
      </c>
      <c r="D2938" s="55" t="s">
        <v>389</v>
      </c>
      <c r="E2938" s="74">
        <v>40437</v>
      </c>
      <c r="F2938" s="55" t="s">
        <v>344</v>
      </c>
      <c r="G2938" s="55" t="s">
        <v>5523</v>
      </c>
      <c r="H2938" s="55" t="s">
        <v>5524</v>
      </c>
      <c r="I2938" s="55" t="s">
        <v>5525</v>
      </c>
      <c r="J2938" s="55" t="s">
        <v>5526</v>
      </c>
      <c r="K2938" s="55" t="s">
        <v>183</v>
      </c>
      <c r="L2938" s="55" t="s">
        <v>5527</v>
      </c>
      <c r="M2938" s="55" t="s">
        <v>138</v>
      </c>
      <c r="N2938" s="55" t="s">
        <v>138</v>
      </c>
      <c r="O2938" s="55" t="s">
        <v>259</v>
      </c>
      <c r="P2938" s="55" t="s">
        <v>637</v>
      </c>
      <c r="Q2938" s="55" t="s">
        <v>350</v>
      </c>
      <c r="R2938" s="55"/>
      <c r="S2938" s="55"/>
      <c r="T2938" s="55" t="s">
        <v>5528</v>
      </c>
      <c r="U2938" s="73" t="s">
        <v>351</v>
      </c>
      <c r="V2938" s="74">
        <v>43486</v>
      </c>
      <c r="W2938" s="74">
        <v>43523</v>
      </c>
      <c r="X2938" s="55">
        <v>10070536</v>
      </c>
      <c r="Y2938" s="55" t="s">
        <v>140</v>
      </c>
      <c r="AB2938" s="55" t="s">
        <v>140</v>
      </c>
      <c r="AC2938" s="55" t="s">
        <v>132</v>
      </c>
    </row>
    <row r="2939" spans="1:29" ht="13" x14ac:dyDescent="0.15">
      <c r="A2939" s="72" t="str">
        <f t="shared" si="45"/>
        <v>Ofsted Social Care Provider Webpage</v>
      </c>
      <c r="B2939" s="55" t="s">
        <v>5529</v>
      </c>
      <c r="D2939" s="55" t="s">
        <v>373</v>
      </c>
      <c r="E2939" s="74">
        <v>40484</v>
      </c>
      <c r="F2939" s="55" t="s">
        <v>344</v>
      </c>
      <c r="G2939" s="55" t="s">
        <v>360</v>
      </c>
      <c r="H2939" s="55" t="s">
        <v>360</v>
      </c>
      <c r="I2939" s="55" t="s">
        <v>360</v>
      </c>
      <c r="J2939" s="55" t="s">
        <v>360</v>
      </c>
      <c r="K2939" s="55" t="s">
        <v>360</v>
      </c>
      <c r="L2939" s="55" t="s">
        <v>360</v>
      </c>
      <c r="M2939" s="55" t="s">
        <v>378</v>
      </c>
      <c r="N2939" s="55" t="s">
        <v>134</v>
      </c>
      <c r="O2939" s="55" t="s">
        <v>210</v>
      </c>
      <c r="P2939" s="55" t="s">
        <v>1989</v>
      </c>
      <c r="Q2939" s="55" t="s">
        <v>350</v>
      </c>
      <c r="R2939" s="55">
        <v>4</v>
      </c>
      <c r="S2939" s="55"/>
      <c r="T2939" s="55" t="s">
        <v>1251</v>
      </c>
      <c r="U2939" s="73" t="s">
        <v>351</v>
      </c>
      <c r="V2939" s="74">
        <v>44306</v>
      </c>
      <c r="W2939" s="74">
        <v>44336</v>
      </c>
      <c r="X2939" s="55">
        <v>10186117</v>
      </c>
      <c r="Y2939" s="55" t="s">
        <v>132</v>
      </c>
      <c r="AB2939" s="55" t="s">
        <v>132</v>
      </c>
      <c r="AC2939" s="55" t="s">
        <v>132</v>
      </c>
    </row>
    <row r="2940" spans="1:29" ht="13" x14ac:dyDescent="0.15">
      <c r="A2940" s="72" t="str">
        <f t="shared" si="45"/>
        <v>Ofsted Social Care Provider Webpage</v>
      </c>
      <c r="B2940" s="55" t="s">
        <v>5530</v>
      </c>
      <c r="D2940" s="55" t="s">
        <v>389</v>
      </c>
      <c r="E2940" s="74">
        <v>40529</v>
      </c>
      <c r="F2940" s="55" t="s">
        <v>344</v>
      </c>
      <c r="G2940" s="55" t="s">
        <v>5531</v>
      </c>
      <c r="H2940" s="55" t="s">
        <v>5383</v>
      </c>
      <c r="I2940" s="55" t="s">
        <v>5532</v>
      </c>
      <c r="J2940" s="55" t="s">
        <v>5533</v>
      </c>
      <c r="K2940" s="55" t="s">
        <v>167</v>
      </c>
      <c r="L2940" s="55" t="s">
        <v>5385</v>
      </c>
      <c r="M2940" s="55" t="s">
        <v>129</v>
      </c>
      <c r="N2940" s="55" t="s">
        <v>129</v>
      </c>
      <c r="O2940" s="55" t="s">
        <v>167</v>
      </c>
      <c r="P2940" s="55" t="s">
        <v>866</v>
      </c>
      <c r="Q2940" s="55" t="s">
        <v>350</v>
      </c>
      <c r="R2940" s="55"/>
      <c r="S2940" s="55"/>
      <c r="T2940" s="55" t="s">
        <v>5534</v>
      </c>
      <c r="U2940" s="73" t="s">
        <v>351</v>
      </c>
      <c r="V2940" s="74">
        <v>43647</v>
      </c>
      <c r="W2940" s="74">
        <v>43675</v>
      </c>
      <c r="X2940" s="55">
        <v>10093301</v>
      </c>
      <c r="Y2940" s="55" t="s">
        <v>132</v>
      </c>
      <c r="AB2940" s="55" t="s">
        <v>132</v>
      </c>
      <c r="AC2940" s="55" t="s">
        <v>130</v>
      </c>
    </row>
    <row r="2941" spans="1:29" ht="13" x14ac:dyDescent="0.15">
      <c r="A2941" s="72" t="str">
        <f t="shared" si="45"/>
        <v>Ofsted Social Care Provider Webpage</v>
      </c>
      <c r="B2941" s="55" t="s">
        <v>5535</v>
      </c>
      <c r="D2941" s="55" t="s">
        <v>373</v>
      </c>
      <c r="E2941" s="74">
        <v>40595</v>
      </c>
      <c r="F2941" s="55" t="s">
        <v>344</v>
      </c>
      <c r="G2941" s="55" t="s">
        <v>360</v>
      </c>
      <c r="H2941" s="55" t="s">
        <v>360</v>
      </c>
      <c r="I2941" s="55" t="s">
        <v>360</v>
      </c>
      <c r="J2941" s="55" t="s">
        <v>360</v>
      </c>
      <c r="K2941" s="55" t="s">
        <v>360</v>
      </c>
      <c r="L2941" s="55" t="s">
        <v>360</v>
      </c>
      <c r="M2941" s="55" t="s">
        <v>378</v>
      </c>
      <c r="N2941" s="55" t="s">
        <v>170</v>
      </c>
      <c r="O2941" s="55" t="s">
        <v>178</v>
      </c>
      <c r="P2941" s="55" t="s">
        <v>1450</v>
      </c>
      <c r="Q2941" s="55" t="s">
        <v>350</v>
      </c>
      <c r="R2941" s="55">
        <v>3</v>
      </c>
      <c r="S2941" s="55"/>
      <c r="T2941" s="55" t="s">
        <v>2367</v>
      </c>
      <c r="U2941" s="73" t="s">
        <v>351</v>
      </c>
      <c r="V2941" s="74">
        <v>44608</v>
      </c>
      <c r="W2941" s="74">
        <v>44655</v>
      </c>
      <c r="X2941" s="55">
        <v>10186040</v>
      </c>
      <c r="Y2941" s="55" t="s">
        <v>132</v>
      </c>
      <c r="AB2941" s="55" t="s">
        <v>132</v>
      </c>
      <c r="AC2941" s="55" t="s">
        <v>130</v>
      </c>
    </row>
    <row r="2942" spans="1:29" ht="13" x14ac:dyDescent="0.15">
      <c r="A2942" s="72" t="str">
        <f t="shared" si="45"/>
        <v>Ofsted Social Care Provider Webpage</v>
      </c>
      <c r="B2942" s="55" t="s">
        <v>5536</v>
      </c>
      <c r="D2942" s="55" t="s">
        <v>373</v>
      </c>
      <c r="E2942" s="74">
        <v>40500</v>
      </c>
      <c r="F2942" s="55" t="s">
        <v>344</v>
      </c>
      <c r="G2942" s="55" t="s">
        <v>360</v>
      </c>
      <c r="H2942" s="55" t="s">
        <v>360</v>
      </c>
      <c r="I2942" s="55" t="s">
        <v>360</v>
      </c>
      <c r="J2942" s="55" t="s">
        <v>360</v>
      </c>
      <c r="K2942" s="55" t="s">
        <v>360</v>
      </c>
      <c r="L2942" s="55" t="s">
        <v>360</v>
      </c>
      <c r="M2942" s="55" t="s">
        <v>142</v>
      </c>
      <c r="N2942" s="55" t="s">
        <v>142</v>
      </c>
      <c r="O2942" s="55" t="s">
        <v>141</v>
      </c>
      <c r="P2942" s="55" t="s">
        <v>795</v>
      </c>
      <c r="Q2942" s="55" t="s">
        <v>350</v>
      </c>
      <c r="R2942" s="55">
        <v>2</v>
      </c>
      <c r="S2942" s="55"/>
      <c r="T2942" s="55" t="s">
        <v>1913</v>
      </c>
      <c r="U2942" s="73" t="s">
        <v>351</v>
      </c>
      <c r="V2942" s="74">
        <v>44488</v>
      </c>
      <c r="W2942" s="74">
        <v>44529</v>
      </c>
      <c r="X2942" s="55">
        <v>10186900</v>
      </c>
      <c r="Y2942" s="55" t="s">
        <v>132</v>
      </c>
      <c r="AB2942" s="55" t="s">
        <v>132</v>
      </c>
      <c r="AC2942" s="55" t="s">
        <v>132</v>
      </c>
    </row>
    <row r="2943" spans="1:29" ht="13" x14ac:dyDescent="0.15">
      <c r="A2943" s="72" t="str">
        <f t="shared" si="45"/>
        <v>Ofsted Social Care Provider Webpage</v>
      </c>
      <c r="B2943" s="55" t="s">
        <v>5537</v>
      </c>
      <c r="D2943" s="55" t="s">
        <v>373</v>
      </c>
      <c r="E2943" s="74">
        <v>40484</v>
      </c>
      <c r="F2943" s="55" t="s">
        <v>344</v>
      </c>
      <c r="G2943" s="55" t="s">
        <v>360</v>
      </c>
      <c r="H2943" s="55" t="s">
        <v>360</v>
      </c>
      <c r="I2943" s="55" t="s">
        <v>360</v>
      </c>
      <c r="J2943" s="55" t="s">
        <v>360</v>
      </c>
      <c r="K2943" s="55" t="s">
        <v>360</v>
      </c>
      <c r="L2943" s="55" t="s">
        <v>360</v>
      </c>
      <c r="M2943" s="55" t="s">
        <v>142</v>
      </c>
      <c r="N2943" s="55" t="s">
        <v>142</v>
      </c>
      <c r="O2943" s="55" t="s">
        <v>141</v>
      </c>
      <c r="P2943" s="55" t="s">
        <v>573</v>
      </c>
      <c r="Q2943" s="55" t="s">
        <v>350</v>
      </c>
      <c r="R2943" s="55">
        <v>4</v>
      </c>
      <c r="S2943" s="55"/>
      <c r="T2943" s="55" t="s">
        <v>1913</v>
      </c>
      <c r="U2943" s="73" t="s">
        <v>351</v>
      </c>
      <c r="V2943" s="74">
        <v>44383</v>
      </c>
      <c r="W2943" s="74">
        <v>44419</v>
      </c>
      <c r="X2943" s="55">
        <v>10186640</v>
      </c>
      <c r="Y2943" s="55" t="s">
        <v>130</v>
      </c>
      <c r="AB2943" s="55" t="s">
        <v>130</v>
      </c>
      <c r="AC2943" s="55" t="s">
        <v>130</v>
      </c>
    </row>
    <row r="2944" spans="1:29" ht="13" x14ac:dyDescent="0.15">
      <c r="A2944" s="72" t="str">
        <f t="shared" si="45"/>
        <v>Ofsted Social Care Provider Webpage</v>
      </c>
      <c r="B2944" s="55" t="s">
        <v>5538</v>
      </c>
      <c r="D2944" s="55" t="s">
        <v>373</v>
      </c>
      <c r="E2944" s="74">
        <v>40500</v>
      </c>
      <c r="F2944" s="55" t="s">
        <v>344</v>
      </c>
      <c r="G2944" s="55" t="s">
        <v>360</v>
      </c>
      <c r="H2944" s="55" t="s">
        <v>360</v>
      </c>
      <c r="I2944" s="55" t="s">
        <v>360</v>
      </c>
      <c r="J2944" s="55" t="s">
        <v>360</v>
      </c>
      <c r="K2944" s="55" t="s">
        <v>360</v>
      </c>
      <c r="L2944" s="55" t="s">
        <v>360</v>
      </c>
      <c r="M2944" s="55" t="s">
        <v>129</v>
      </c>
      <c r="N2944" s="55" t="s">
        <v>129</v>
      </c>
      <c r="O2944" s="55" t="s">
        <v>155</v>
      </c>
      <c r="P2944" s="55" t="s">
        <v>482</v>
      </c>
      <c r="Q2944" s="55" t="s">
        <v>350</v>
      </c>
      <c r="R2944" s="55">
        <v>4</v>
      </c>
      <c r="S2944" s="55"/>
      <c r="T2944" s="55" t="s">
        <v>2741</v>
      </c>
      <c r="U2944" s="73" t="s">
        <v>351</v>
      </c>
      <c r="V2944" s="74">
        <v>44546</v>
      </c>
      <c r="W2944" s="74">
        <v>44595</v>
      </c>
      <c r="X2944" s="55">
        <v>10186387</v>
      </c>
      <c r="Y2944" s="55" t="s">
        <v>132</v>
      </c>
      <c r="AB2944" s="55" t="s">
        <v>132</v>
      </c>
      <c r="AC2944" s="55" t="s">
        <v>132</v>
      </c>
    </row>
    <row r="2945" spans="1:29" ht="13" x14ac:dyDescent="0.15">
      <c r="A2945" s="72" t="str">
        <f t="shared" si="45"/>
        <v>Ofsted Social Care Provider Webpage</v>
      </c>
      <c r="B2945" s="55" t="s">
        <v>5539</v>
      </c>
      <c r="D2945" s="55" t="s">
        <v>373</v>
      </c>
      <c r="E2945" s="74">
        <v>40469</v>
      </c>
      <c r="F2945" s="55" t="s">
        <v>344</v>
      </c>
      <c r="G2945" s="55" t="s">
        <v>360</v>
      </c>
      <c r="H2945" s="55" t="s">
        <v>360</v>
      </c>
      <c r="I2945" s="55" t="s">
        <v>360</v>
      </c>
      <c r="J2945" s="55" t="s">
        <v>360</v>
      </c>
      <c r="K2945" s="55" t="s">
        <v>360</v>
      </c>
      <c r="L2945" s="55" t="s">
        <v>360</v>
      </c>
      <c r="M2945" s="55" t="s">
        <v>172</v>
      </c>
      <c r="N2945" s="55" t="s">
        <v>172</v>
      </c>
      <c r="O2945" s="55" t="s">
        <v>214</v>
      </c>
      <c r="P2945" s="55" t="s">
        <v>790</v>
      </c>
      <c r="Q2945" s="55" t="s">
        <v>350</v>
      </c>
      <c r="R2945" s="55">
        <v>4</v>
      </c>
      <c r="S2945" s="55"/>
      <c r="T2945" s="55" t="s">
        <v>791</v>
      </c>
      <c r="U2945" s="73" t="s">
        <v>351</v>
      </c>
      <c r="V2945" s="74">
        <v>44578</v>
      </c>
      <c r="W2945" s="74">
        <v>44615</v>
      </c>
      <c r="X2945" s="55">
        <v>10185440</v>
      </c>
      <c r="Y2945" s="55" t="s">
        <v>132</v>
      </c>
      <c r="AB2945" s="55" t="s">
        <v>130</v>
      </c>
      <c r="AC2945" s="55" t="s">
        <v>130</v>
      </c>
    </row>
    <row r="2946" spans="1:29" ht="13" x14ac:dyDescent="0.15">
      <c r="A2946" s="72" t="str">
        <f t="shared" si="45"/>
        <v>Ofsted Social Care Provider Webpage</v>
      </c>
      <c r="B2946" s="55" t="s">
        <v>5540</v>
      </c>
      <c r="D2946" s="55" t="s">
        <v>373</v>
      </c>
      <c r="E2946" s="74">
        <v>40494</v>
      </c>
      <c r="F2946" s="55" t="s">
        <v>344</v>
      </c>
      <c r="G2946" s="55" t="s">
        <v>360</v>
      </c>
      <c r="H2946" s="55" t="s">
        <v>360</v>
      </c>
      <c r="I2946" s="55" t="s">
        <v>360</v>
      </c>
      <c r="J2946" s="55" t="s">
        <v>360</v>
      </c>
      <c r="K2946" s="55" t="s">
        <v>360</v>
      </c>
      <c r="L2946" s="55" t="s">
        <v>360</v>
      </c>
      <c r="M2946" s="55" t="s">
        <v>144</v>
      </c>
      <c r="N2946" s="55" t="s">
        <v>144</v>
      </c>
      <c r="O2946" s="55" t="s">
        <v>163</v>
      </c>
      <c r="P2946" s="55" t="s">
        <v>472</v>
      </c>
      <c r="Q2946" s="55" t="s">
        <v>350</v>
      </c>
      <c r="R2946" s="55">
        <v>4</v>
      </c>
      <c r="S2946" s="55"/>
      <c r="T2946" s="55" t="s">
        <v>4600</v>
      </c>
      <c r="U2946" s="73" t="s">
        <v>351</v>
      </c>
      <c r="V2946" s="74">
        <v>44497</v>
      </c>
      <c r="W2946" s="74">
        <v>44531</v>
      </c>
      <c r="X2946" s="55">
        <v>10187521</v>
      </c>
      <c r="Y2946" s="55" t="s">
        <v>146</v>
      </c>
      <c r="AB2946" s="55" t="s">
        <v>146</v>
      </c>
      <c r="AC2946" s="55" t="s">
        <v>146</v>
      </c>
    </row>
    <row r="2947" spans="1:29" ht="13" x14ac:dyDescent="0.15">
      <c r="A2947" s="72" t="str">
        <f t="shared" si="45"/>
        <v>Ofsted Social Care Provider Webpage</v>
      </c>
      <c r="B2947" s="55" t="s">
        <v>5541</v>
      </c>
      <c r="D2947" s="55" t="s">
        <v>373</v>
      </c>
      <c r="E2947" s="74">
        <v>40534</v>
      </c>
      <c r="F2947" s="55" t="s">
        <v>344</v>
      </c>
      <c r="G2947" s="55" t="s">
        <v>360</v>
      </c>
      <c r="H2947" s="55" t="s">
        <v>360</v>
      </c>
      <c r="I2947" s="55" t="s">
        <v>360</v>
      </c>
      <c r="J2947" s="55" t="s">
        <v>360</v>
      </c>
      <c r="K2947" s="55" t="s">
        <v>360</v>
      </c>
      <c r="L2947" s="55" t="s">
        <v>360</v>
      </c>
      <c r="M2947" s="55" t="s">
        <v>144</v>
      </c>
      <c r="N2947" s="55" t="s">
        <v>144</v>
      </c>
      <c r="O2947" s="55" t="s">
        <v>157</v>
      </c>
      <c r="P2947" s="55" t="s">
        <v>1092</v>
      </c>
      <c r="Q2947" s="55" t="s">
        <v>350</v>
      </c>
      <c r="R2947" s="55">
        <v>4</v>
      </c>
      <c r="S2947" s="55"/>
      <c r="T2947" s="55" t="s">
        <v>4738</v>
      </c>
      <c r="U2947" s="73" t="s">
        <v>351</v>
      </c>
      <c r="V2947" s="74">
        <v>44543</v>
      </c>
      <c r="W2947" s="74">
        <v>44588</v>
      </c>
      <c r="X2947" s="55">
        <v>10185851</v>
      </c>
      <c r="Y2947" s="55" t="s">
        <v>132</v>
      </c>
      <c r="AB2947" s="55" t="s">
        <v>132</v>
      </c>
      <c r="AC2947" s="55" t="s">
        <v>132</v>
      </c>
    </row>
    <row r="2948" spans="1:29" ht="13" x14ac:dyDescent="0.15">
      <c r="A2948" s="72" t="str">
        <f t="shared" si="45"/>
        <v>Ofsted Social Care Provider Webpage</v>
      </c>
      <c r="B2948" s="55" t="s">
        <v>5542</v>
      </c>
      <c r="D2948" s="55" t="s">
        <v>373</v>
      </c>
      <c r="E2948" s="74">
        <v>40716</v>
      </c>
      <c r="F2948" s="55" t="s">
        <v>344</v>
      </c>
      <c r="G2948" s="55" t="s">
        <v>360</v>
      </c>
      <c r="H2948" s="55" t="s">
        <v>360</v>
      </c>
      <c r="I2948" s="55" t="s">
        <v>360</v>
      </c>
      <c r="J2948" s="55" t="s">
        <v>360</v>
      </c>
      <c r="K2948" s="55" t="s">
        <v>360</v>
      </c>
      <c r="L2948" s="55" t="s">
        <v>360</v>
      </c>
      <c r="M2948" s="55" t="s">
        <v>136</v>
      </c>
      <c r="N2948" s="55" t="s">
        <v>136</v>
      </c>
      <c r="O2948" s="55" t="s">
        <v>288</v>
      </c>
      <c r="P2948" s="55" t="s">
        <v>1037</v>
      </c>
      <c r="Q2948" s="55" t="s">
        <v>350</v>
      </c>
      <c r="R2948" s="55">
        <v>3</v>
      </c>
      <c r="S2948" s="55"/>
      <c r="T2948" s="55" t="s">
        <v>1051</v>
      </c>
      <c r="U2948" s="73" t="s">
        <v>351</v>
      </c>
      <c r="V2948" s="74">
        <v>44530</v>
      </c>
      <c r="W2948" s="74">
        <v>44586</v>
      </c>
      <c r="X2948" s="55">
        <v>10185347</v>
      </c>
      <c r="Y2948" s="55" t="s">
        <v>130</v>
      </c>
      <c r="AB2948" s="55" t="s">
        <v>132</v>
      </c>
      <c r="AC2948" s="55" t="s">
        <v>132</v>
      </c>
    </row>
    <row r="2949" spans="1:29" ht="13" x14ac:dyDescent="0.15">
      <c r="A2949" s="72" t="str">
        <f t="shared" si="45"/>
        <v>Ofsted Social Care Provider Webpage</v>
      </c>
      <c r="B2949" s="55" t="s">
        <v>5543</v>
      </c>
      <c r="D2949" s="55" t="s">
        <v>389</v>
      </c>
      <c r="E2949" s="74">
        <v>40554</v>
      </c>
      <c r="F2949" s="55" t="s">
        <v>344</v>
      </c>
      <c r="G2949" s="55" t="s">
        <v>5544</v>
      </c>
      <c r="H2949" s="55" t="s">
        <v>5545</v>
      </c>
      <c r="I2949" s="55" t="s">
        <v>5546</v>
      </c>
      <c r="J2949" s="55" t="s">
        <v>1038</v>
      </c>
      <c r="K2949" s="55" t="s">
        <v>203</v>
      </c>
      <c r="L2949" s="55" t="s">
        <v>5547</v>
      </c>
      <c r="M2949" s="55" t="s">
        <v>150</v>
      </c>
      <c r="N2949" s="55" t="s">
        <v>150</v>
      </c>
      <c r="O2949" s="55" t="s">
        <v>203</v>
      </c>
      <c r="P2949" s="55" t="s">
        <v>1268</v>
      </c>
      <c r="Q2949" s="55" t="s">
        <v>362</v>
      </c>
      <c r="R2949" s="55"/>
      <c r="S2949" s="55"/>
      <c r="T2949" s="55" t="s">
        <v>856</v>
      </c>
      <c r="U2949" s="73" t="s">
        <v>351</v>
      </c>
      <c r="V2949" s="74">
        <v>43486</v>
      </c>
      <c r="W2949" s="74">
        <v>43507</v>
      </c>
      <c r="X2949" s="55">
        <v>10046674</v>
      </c>
      <c r="Y2949" s="55" t="s">
        <v>140</v>
      </c>
      <c r="AB2949" s="55" t="s">
        <v>132</v>
      </c>
      <c r="AC2949" s="55" t="s">
        <v>140</v>
      </c>
    </row>
    <row r="2950" spans="1:29" ht="13" x14ac:dyDescent="0.15">
      <c r="A2950" s="72" t="str">
        <f t="shared" ref="A2950:A3013" si="46">HYPERLINK(_xlfn.CONCAT("http://reports.ofsted.gov.uk/inspection-reports/find-inspection-report/provider/CARE/",B2950),"Ofsted Social Care Provider Webpage")</f>
        <v>Ofsted Social Care Provider Webpage</v>
      </c>
      <c r="B2950" s="55" t="s">
        <v>5548</v>
      </c>
      <c r="D2950" s="55" t="s">
        <v>373</v>
      </c>
      <c r="E2950" s="74">
        <v>40532</v>
      </c>
      <c r="F2950" s="55" t="s">
        <v>344</v>
      </c>
      <c r="G2950" s="55" t="s">
        <v>360</v>
      </c>
      <c r="H2950" s="55" t="s">
        <v>360</v>
      </c>
      <c r="I2950" s="55" t="s">
        <v>360</v>
      </c>
      <c r="J2950" s="55" t="s">
        <v>360</v>
      </c>
      <c r="K2950" s="55" t="s">
        <v>360</v>
      </c>
      <c r="L2950" s="55" t="s">
        <v>360</v>
      </c>
      <c r="M2950" s="55" t="s">
        <v>142</v>
      </c>
      <c r="N2950" s="55" t="s">
        <v>142</v>
      </c>
      <c r="O2950" s="55" t="s">
        <v>262</v>
      </c>
      <c r="P2950" s="55" t="s">
        <v>618</v>
      </c>
      <c r="Q2950" s="55" t="s">
        <v>350</v>
      </c>
      <c r="R2950" s="55">
        <v>4</v>
      </c>
      <c r="S2950" s="55"/>
      <c r="T2950" s="55" t="s">
        <v>5406</v>
      </c>
      <c r="U2950" s="73" t="s">
        <v>351</v>
      </c>
      <c r="V2950" s="74">
        <v>44622</v>
      </c>
      <c r="W2950" s="74">
        <v>44672</v>
      </c>
      <c r="X2950" s="55">
        <v>10187600</v>
      </c>
      <c r="Y2950" s="55" t="s">
        <v>132</v>
      </c>
      <c r="AB2950" s="55" t="s">
        <v>132</v>
      </c>
      <c r="AC2950" s="55" t="s">
        <v>132</v>
      </c>
    </row>
    <row r="2951" spans="1:29" ht="13" x14ac:dyDescent="0.15">
      <c r="A2951" s="72" t="str">
        <f t="shared" si="46"/>
        <v>Ofsted Social Care Provider Webpage</v>
      </c>
      <c r="B2951" s="55" t="s">
        <v>5549</v>
      </c>
      <c r="D2951" s="55" t="s">
        <v>373</v>
      </c>
      <c r="E2951" s="74">
        <v>40577</v>
      </c>
      <c r="F2951" s="55" t="s">
        <v>344</v>
      </c>
      <c r="G2951" s="55" t="s">
        <v>360</v>
      </c>
      <c r="H2951" s="55" t="s">
        <v>360</v>
      </c>
      <c r="I2951" s="55" t="s">
        <v>360</v>
      </c>
      <c r="J2951" s="55" t="s">
        <v>360</v>
      </c>
      <c r="K2951" s="55" t="s">
        <v>360</v>
      </c>
      <c r="L2951" s="55" t="s">
        <v>360</v>
      </c>
      <c r="M2951" s="55" t="s">
        <v>150</v>
      </c>
      <c r="N2951" s="55" t="s">
        <v>150</v>
      </c>
      <c r="O2951" s="55" t="s">
        <v>156</v>
      </c>
      <c r="P2951" s="55" t="s">
        <v>1576</v>
      </c>
      <c r="Q2951" s="55" t="s">
        <v>350</v>
      </c>
      <c r="R2951" s="55">
        <v>4</v>
      </c>
      <c r="S2951" s="55"/>
      <c r="T2951" s="55" t="s">
        <v>843</v>
      </c>
      <c r="U2951" s="73" t="s">
        <v>351</v>
      </c>
      <c r="V2951" s="74">
        <v>44467</v>
      </c>
      <c r="W2951" s="74">
        <v>44503</v>
      </c>
      <c r="X2951" s="55">
        <v>10185699</v>
      </c>
      <c r="Y2951" s="55" t="s">
        <v>132</v>
      </c>
      <c r="AB2951" s="55" t="s">
        <v>132</v>
      </c>
      <c r="AC2951" s="55" t="s">
        <v>140</v>
      </c>
    </row>
    <row r="2952" spans="1:29" ht="13" x14ac:dyDescent="0.15">
      <c r="A2952" s="72" t="str">
        <f t="shared" si="46"/>
        <v>Ofsted Social Care Provider Webpage</v>
      </c>
      <c r="B2952" s="55" t="s">
        <v>5550</v>
      </c>
      <c r="D2952" s="55" t="s">
        <v>373</v>
      </c>
      <c r="E2952" s="74">
        <v>40549</v>
      </c>
      <c r="F2952" s="55" t="s">
        <v>344</v>
      </c>
      <c r="G2952" s="55" t="s">
        <v>360</v>
      </c>
      <c r="H2952" s="55" t="s">
        <v>360</v>
      </c>
      <c r="I2952" s="55" t="s">
        <v>360</v>
      </c>
      <c r="J2952" s="55" t="s">
        <v>360</v>
      </c>
      <c r="K2952" s="55" t="s">
        <v>360</v>
      </c>
      <c r="L2952" s="55" t="s">
        <v>360</v>
      </c>
      <c r="M2952" s="55" t="s">
        <v>144</v>
      </c>
      <c r="N2952" s="55" t="s">
        <v>144</v>
      </c>
      <c r="O2952" s="55" t="s">
        <v>209</v>
      </c>
      <c r="P2952" s="55" t="s">
        <v>364</v>
      </c>
      <c r="Q2952" s="55" t="s">
        <v>350</v>
      </c>
      <c r="R2952" s="55">
        <v>4</v>
      </c>
      <c r="S2952" s="55"/>
      <c r="T2952" s="55" t="s">
        <v>5551</v>
      </c>
      <c r="U2952" s="73" t="s">
        <v>351</v>
      </c>
      <c r="V2952" s="74">
        <v>44356</v>
      </c>
      <c r="W2952" s="74">
        <v>44398</v>
      </c>
      <c r="X2952" s="55">
        <v>10185265</v>
      </c>
      <c r="Y2952" s="55" t="s">
        <v>130</v>
      </c>
      <c r="AB2952" s="55" t="s">
        <v>130</v>
      </c>
      <c r="AC2952" s="55" t="s">
        <v>130</v>
      </c>
    </row>
    <row r="2953" spans="1:29" ht="13" x14ac:dyDescent="0.15">
      <c r="A2953" s="72" t="str">
        <f t="shared" si="46"/>
        <v>Ofsted Social Care Provider Webpage</v>
      </c>
      <c r="B2953" s="55" t="s">
        <v>5552</v>
      </c>
      <c r="D2953" s="55" t="s">
        <v>373</v>
      </c>
      <c r="E2953" s="74">
        <v>40497</v>
      </c>
      <c r="F2953" s="55" t="s">
        <v>344</v>
      </c>
      <c r="G2953" s="55" t="s">
        <v>360</v>
      </c>
      <c r="H2953" s="55" t="s">
        <v>360</v>
      </c>
      <c r="I2953" s="55" t="s">
        <v>360</v>
      </c>
      <c r="J2953" s="55" t="s">
        <v>360</v>
      </c>
      <c r="K2953" s="55" t="s">
        <v>360</v>
      </c>
      <c r="L2953" s="55" t="s">
        <v>360</v>
      </c>
      <c r="M2953" s="55" t="s">
        <v>138</v>
      </c>
      <c r="N2953" s="55" t="s">
        <v>138</v>
      </c>
      <c r="O2953" s="55" t="s">
        <v>161</v>
      </c>
      <c r="P2953" s="55" t="s">
        <v>643</v>
      </c>
      <c r="Q2953" s="55" t="s">
        <v>350</v>
      </c>
      <c r="R2953" s="55">
        <v>3</v>
      </c>
      <c r="S2953" s="55"/>
      <c r="T2953" s="55" t="s">
        <v>4819</v>
      </c>
      <c r="U2953" s="73" t="s">
        <v>351</v>
      </c>
      <c r="V2953" s="74">
        <v>44341</v>
      </c>
      <c r="W2953" s="74">
        <v>44372</v>
      </c>
      <c r="X2953" s="55">
        <v>10185610</v>
      </c>
      <c r="Y2953" s="55" t="s">
        <v>132</v>
      </c>
      <c r="AB2953" s="55" t="s">
        <v>132</v>
      </c>
      <c r="AC2953" s="55" t="s">
        <v>132</v>
      </c>
    </row>
    <row r="2954" spans="1:29" ht="13" x14ac:dyDescent="0.15">
      <c r="A2954" s="72" t="str">
        <f t="shared" si="46"/>
        <v>Ofsted Social Care Provider Webpage</v>
      </c>
      <c r="B2954" s="55" t="s">
        <v>5553</v>
      </c>
      <c r="D2954" s="55" t="s">
        <v>373</v>
      </c>
      <c r="E2954" s="74">
        <v>40567</v>
      </c>
      <c r="F2954" s="55" t="s">
        <v>344</v>
      </c>
      <c r="G2954" s="55" t="s">
        <v>360</v>
      </c>
      <c r="H2954" s="55" t="s">
        <v>360</v>
      </c>
      <c r="I2954" s="55" t="s">
        <v>360</v>
      </c>
      <c r="J2954" s="55" t="s">
        <v>360</v>
      </c>
      <c r="K2954" s="55" t="s">
        <v>360</v>
      </c>
      <c r="L2954" s="55" t="s">
        <v>360</v>
      </c>
      <c r="M2954" s="55" t="s">
        <v>138</v>
      </c>
      <c r="N2954" s="55" t="s">
        <v>138</v>
      </c>
      <c r="O2954" s="55" t="s">
        <v>196</v>
      </c>
      <c r="P2954" s="55" t="s">
        <v>1506</v>
      </c>
      <c r="Q2954" s="55" t="s">
        <v>380</v>
      </c>
      <c r="R2954" s="55">
        <v>4</v>
      </c>
      <c r="S2954" s="55"/>
      <c r="T2954" s="55" t="s">
        <v>2082</v>
      </c>
      <c r="U2954" s="73" t="s">
        <v>351</v>
      </c>
      <c r="V2954" s="74">
        <v>44445</v>
      </c>
      <c r="W2954" s="74">
        <v>44469</v>
      </c>
      <c r="X2954" s="55">
        <v>10187253</v>
      </c>
      <c r="Y2954" s="55" t="s">
        <v>132</v>
      </c>
      <c r="AB2954" s="55" t="s">
        <v>132</v>
      </c>
      <c r="AC2954" s="55" t="s">
        <v>140</v>
      </c>
    </row>
    <row r="2955" spans="1:29" ht="13" x14ac:dyDescent="0.15">
      <c r="A2955" s="72" t="str">
        <f t="shared" si="46"/>
        <v>Ofsted Social Care Provider Webpage</v>
      </c>
      <c r="B2955" s="55" t="s">
        <v>5554</v>
      </c>
      <c r="D2955" s="55" t="s">
        <v>373</v>
      </c>
      <c r="E2955" s="74">
        <v>40603</v>
      </c>
      <c r="F2955" s="55" t="s">
        <v>344</v>
      </c>
      <c r="G2955" s="55" t="s">
        <v>360</v>
      </c>
      <c r="H2955" s="55" t="s">
        <v>360</v>
      </c>
      <c r="I2955" s="55" t="s">
        <v>360</v>
      </c>
      <c r="J2955" s="55" t="s">
        <v>360</v>
      </c>
      <c r="K2955" s="55" t="s">
        <v>360</v>
      </c>
      <c r="L2955" s="55" t="s">
        <v>360</v>
      </c>
      <c r="M2955" s="55" t="s">
        <v>378</v>
      </c>
      <c r="N2955" s="55" t="s">
        <v>134</v>
      </c>
      <c r="O2955" s="55" t="s">
        <v>133</v>
      </c>
      <c r="P2955" s="55" t="s">
        <v>2789</v>
      </c>
      <c r="Q2955" s="55" t="s">
        <v>380</v>
      </c>
      <c r="R2955" s="55">
        <v>10</v>
      </c>
      <c r="S2955" s="55" t="s">
        <v>332</v>
      </c>
      <c r="T2955" s="55" t="s">
        <v>5555</v>
      </c>
      <c r="U2955" s="73" t="s">
        <v>351</v>
      </c>
      <c r="V2955" s="74">
        <v>44467</v>
      </c>
      <c r="W2955" s="74">
        <v>44508</v>
      </c>
      <c r="X2955" s="55">
        <v>10186510</v>
      </c>
      <c r="Y2955" s="55" t="s">
        <v>132</v>
      </c>
      <c r="AB2955" s="55" t="s">
        <v>132</v>
      </c>
      <c r="AC2955" s="55" t="s">
        <v>132</v>
      </c>
    </row>
    <row r="2956" spans="1:29" ht="13" x14ac:dyDescent="0.15">
      <c r="A2956" s="72" t="str">
        <f t="shared" si="46"/>
        <v>Ofsted Social Care Provider Webpage</v>
      </c>
      <c r="B2956" s="55" t="s">
        <v>5556</v>
      </c>
      <c r="D2956" s="55" t="s">
        <v>373</v>
      </c>
      <c r="E2956" s="74">
        <v>40533</v>
      </c>
      <c r="F2956" s="55" t="s">
        <v>344</v>
      </c>
      <c r="G2956" s="55" t="s">
        <v>360</v>
      </c>
      <c r="H2956" s="55" t="s">
        <v>360</v>
      </c>
      <c r="I2956" s="55" t="s">
        <v>360</v>
      </c>
      <c r="J2956" s="55" t="s">
        <v>360</v>
      </c>
      <c r="K2956" s="55" t="s">
        <v>360</v>
      </c>
      <c r="L2956" s="55" t="s">
        <v>360</v>
      </c>
      <c r="M2956" s="55" t="s">
        <v>144</v>
      </c>
      <c r="N2956" s="55" t="s">
        <v>144</v>
      </c>
      <c r="O2956" s="55" t="s">
        <v>261</v>
      </c>
      <c r="P2956" s="55" t="s">
        <v>512</v>
      </c>
      <c r="Q2956" s="55" t="s">
        <v>350</v>
      </c>
      <c r="R2956" s="55">
        <v>2</v>
      </c>
      <c r="S2956" s="55"/>
      <c r="T2956" s="55" t="s">
        <v>513</v>
      </c>
      <c r="U2956" s="73" t="s">
        <v>351</v>
      </c>
      <c r="V2956" s="74">
        <v>44600</v>
      </c>
      <c r="W2956" s="74">
        <v>44644</v>
      </c>
      <c r="X2956" s="55">
        <v>10185711</v>
      </c>
      <c r="Y2956" s="55" t="s">
        <v>132</v>
      </c>
      <c r="AB2956" s="55" t="s">
        <v>132</v>
      </c>
      <c r="AC2956" s="55" t="s">
        <v>132</v>
      </c>
    </row>
    <row r="2957" spans="1:29" ht="13" x14ac:dyDescent="0.15">
      <c r="A2957" s="72" t="str">
        <f t="shared" si="46"/>
        <v>Ofsted Social Care Provider Webpage</v>
      </c>
      <c r="B2957" s="55" t="s">
        <v>5557</v>
      </c>
      <c r="D2957" s="55" t="s">
        <v>389</v>
      </c>
      <c r="E2957" s="74">
        <v>40624</v>
      </c>
      <c r="F2957" s="55" t="s">
        <v>344</v>
      </c>
      <c r="G2957" s="55" t="s">
        <v>5558</v>
      </c>
      <c r="H2957" s="55" t="s">
        <v>5559</v>
      </c>
      <c r="I2957" s="55" t="s">
        <v>5560</v>
      </c>
      <c r="J2957" s="55" t="s">
        <v>4584</v>
      </c>
      <c r="K2957" s="55" t="s">
        <v>190</v>
      </c>
      <c r="L2957" s="55" t="s">
        <v>5561</v>
      </c>
      <c r="M2957" s="55" t="s">
        <v>150</v>
      </c>
      <c r="N2957" s="55" t="s">
        <v>150</v>
      </c>
      <c r="O2957" s="55" t="s">
        <v>190</v>
      </c>
      <c r="P2957" s="55" t="s">
        <v>966</v>
      </c>
      <c r="Q2957" s="55" t="s">
        <v>350</v>
      </c>
      <c r="R2957" s="55"/>
      <c r="S2957" s="55"/>
      <c r="T2957" s="55" t="s">
        <v>3110</v>
      </c>
      <c r="U2957" s="73" t="s">
        <v>351</v>
      </c>
      <c r="V2957" s="74">
        <v>43514</v>
      </c>
      <c r="W2957" s="74">
        <v>43563</v>
      </c>
      <c r="X2957" s="55">
        <v>10070688</v>
      </c>
      <c r="Y2957" s="55" t="s">
        <v>140</v>
      </c>
      <c r="AB2957" s="55" t="s">
        <v>140</v>
      </c>
      <c r="AC2957" s="55" t="s">
        <v>140</v>
      </c>
    </row>
    <row r="2958" spans="1:29" ht="13" x14ac:dyDescent="0.15">
      <c r="A2958" s="72" t="str">
        <f t="shared" si="46"/>
        <v>Ofsted Social Care Provider Webpage</v>
      </c>
      <c r="B2958" s="55" t="s">
        <v>5562</v>
      </c>
      <c r="D2958" s="55" t="s">
        <v>373</v>
      </c>
      <c r="E2958" s="74">
        <v>40571</v>
      </c>
      <c r="F2958" s="55" t="s">
        <v>344</v>
      </c>
      <c r="G2958" s="55" t="s">
        <v>360</v>
      </c>
      <c r="H2958" s="55" t="s">
        <v>360</v>
      </c>
      <c r="I2958" s="55" t="s">
        <v>360</v>
      </c>
      <c r="J2958" s="55" t="s">
        <v>360</v>
      </c>
      <c r="K2958" s="55" t="s">
        <v>360</v>
      </c>
      <c r="L2958" s="55" t="s">
        <v>360</v>
      </c>
      <c r="M2958" s="55" t="s">
        <v>378</v>
      </c>
      <c r="N2958" s="55" t="s">
        <v>170</v>
      </c>
      <c r="O2958" s="55" t="s">
        <v>178</v>
      </c>
      <c r="P2958" s="55" t="s">
        <v>1450</v>
      </c>
      <c r="Q2958" s="55" t="s">
        <v>350</v>
      </c>
      <c r="R2958" s="55">
        <v>8</v>
      </c>
      <c r="S2958" s="55"/>
      <c r="T2958" s="55" t="s">
        <v>843</v>
      </c>
      <c r="U2958" s="73" t="s">
        <v>351</v>
      </c>
      <c r="V2958" s="74">
        <v>44354</v>
      </c>
      <c r="W2958" s="74">
        <v>44397</v>
      </c>
      <c r="X2958" s="55">
        <v>10185976</v>
      </c>
      <c r="Y2958" s="55" t="s">
        <v>132</v>
      </c>
      <c r="AB2958" s="55" t="s">
        <v>132</v>
      </c>
      <c r="AC2958" s="55" t="s">
        <v>132</v>
      </c>
    </row>
    <row r="2959" spans="1:29" ht="13" x14ac:dyDescent="0.15">
      <c r="A2959" s="72" t="str">
        <f t="shared" si="46"/>
        <v>Ofsted Social Care Provider Webpage</v>
      </c>
      <c r="B2959" s="55" t="s">
        <v>5563</v>
      </c>
      <c r="D2959" s="55" t="s">
        <v>373</v>
      </c>
      <c r="E2959" s="74">
        <v>40639</v>
      </c>
      <c r="F2959" s="55" t="s">
        <v>344</v>
      </c>
      <c r="G2959" s="55" t="s">
        <v>360</v>
      </c>
      <c r="H2959" s="55" t="s">
        <v>360</v>
      </c>
      <c r="I2959" s="55" t="s">
        <v>360</v>
      </c>
      <c r="J2959" s="55" t="s">
        <v>360</v>
      </c>
      <c r="K2959" s="55" t="s">
        <v>360</v>
      </c>
      <c r="L2959" s="55" t="s">
        <v>360</v>
      </c>
      <c r="M2959" s="55" t="s">
        <v>378</v>
      </c>
      <c r="N2959" s="55" t="s">
        <v>134</v>
      </c>
      <c r="O2959" s="55" t="s">
        <v>206</v>
      </c>
      <c r="P2959" s="55" t="s">
        <v>750</v>
      </c>
      <c r="Q2959" s="55" t="s">
        <v>362</v>
      </c>
      <c r="R2959" s="55">
        <v>5</v>
      </c>
      <c r="S2959" s="55"/>
      <c r="T2959" s="55" t="s">
        <v>5564</v>
      </c>
      <c r="U2959" s="73" t="s">
        <v>351</v>
      </c>
      <c r="V2959" s="74">
        <v>43900</v>
      </c>
      <c r="W2959" s="74">
        <v>43945</v>
      </c>
      <c r="X2959" s="55">
        <v>10096460</v>
      </c>
      <c r="Y2959" s="55" t="s">
        <v>132</v>
      </c>
      <c r="AB2959" s="55" t="s">
        <v>132</v>
      </c>
      <c r="AC2959" s="55" t="s">
        <v>130</v>
      </c>
    </row>
    <row r="2960" spans="1:29" ht="13" x14ac:dyDescent="0.15">
      <c r="A2960" s="72" t="str">
        <f t="shared" si="46"/>
        <v>Ofsted Social Care Provider Webpage</v>
      </c>
      <c r="B2960" s="55" t="s">
        <v>5565</v>
      </c>
      <c r="D2960" s="55" t="s">
        <v>373</v>
      </c>
      <c r="E2960" s="74">
        <v>40627</v>
      </c>
      <c r="F2960" s="55" t="s">
        <v>344</v>
      </c>
      <c r="G2960" s="55" t="s">
        <v>360</v>
      </c>
      <c r="H2960" s="55" t="s">
        <v>360</v>
      </c>
      <c r="I2960" s="55" t="s">
        <v>360</v>
      </c>
      <c r="J2960" s="55" t="s">
        <v>360</v>
      </c>
      <c r="K2960" s="55" t="s">
        <v>360</v>
      </c>
      <c r="L2960" s="55" t="s">
        <v>360</v>
      </c>
      <c r="M2960" s="55" t="s">
        <v>138</v>
      </c>
      <c r="N2960" s="55" t="s">
        <v>138</v>
      </c>
      <c r="O2960" s="55" t="s">
        <v>183</v>
      </c>
      <c r="P2960" s="55" t="s">
        <v>508</v>
      </c>
      <c r="Q2960" s="55" t="s">
        <v>350</v>
      </c>
      <c r="R2960" s="55">
        <v>4</v>
      </c>
      <c r="S2960" s="55"/>
      <c r="T2960" s="55" t="s">
        <v>2222</v>
      </c>
      <c r="U2960" s="73" t="s">
        <v>351</v>
      </c>
      <c r="V2960" s="74">
        <v>44516</v>
      </c>
      <c r="W2960" s="74">
        <v>44546</v>
      </c>
      <c r="X2960" s="55">
        <v>10187582</v>
      </c>
      <c r="Y2960" s="55" t="s">
        <v>132</v>
      </c>
      <c r="AB2960" s="55" t="s">
        <v>132</v>
      </c>
      <c r="AC2960" s="55" t="s">
        <v>132</v>
      </c>
    </row>
    <row r="2961" spans="1:29" ht="13" x14ac:dyDescent="0.15">
      <c r="A2961" s="72" t="str">
        <f t="shared" si="46"/>
        <v>Ofsted Social Care Provider Webpage</v>
      </c>
      <c r="B2961" s="55" t="s">
        <v>5566</v>
      </c>
      <c r="D2961" s="55" t="s">
        <v>373</v>
      </c>
      <c r="E2961" s="74">
        <v>40592</v>
      </c>
      <c r="F2961" s="55" t="s">
        <v>344</v>
      </c>
      <c r="G2961" s="55" t="s">
        <v>360</v>
      </c>
      <c r="H2961" s="55" t="s">
        <v>360</v>
      </c>
      <c r="I2961" s="55" t="s">
        <v>360</v>
      </c>
      <c r="J2961" s="55" t="s">
        <v>360</v>
      </c>
      <c r="K2961" s="55" t="s">
        <v>360</v>
      </c>
      <c r="L2961" s="55" t="s">
        <v>360</v>
      </c>
      <c r="M2961" s="55" t="s">
        <v>144</v>
      </c>
      <c r="N2961" s="55" t="s">
        <v>144</v>
      </c>
      <c r="O2961" s="55" t="s">
        <v>250</v>
      </c>
      <c r="P2961" s="55" t="s">
        <v>1372</v>
      </c>
      <c r="Q2961" s="55" t="s">
        <v>350</v>
      </c>
      <c r="R2961" s="55">
        <v>3</v>
      </c>
      <c r="S2961" s="55"/>
      <c r="T2961" s="55" t="s">
        <v>1414</v>
      </c>
      <c r="U2961" s="73" t="s">
        <v>351</v>
      </c>
      <c r="V2961" s="74">
        <v>44594</v>
      </c>
      <c r="W2961" s="74">
        <v>44643</v>
      </c>
      <c r="X2961" s="55">
        <v>10185644</v>
      </c>
      <c r="Y2961" s="55" t="s">
        <v>132</v>
      </c>
      <c r="AB2961" s="55" t="s">
        <v>132</v>
      </c>
      <c r="AC2961" s="55" t="s">
        <v>130</v>
      </c>
    </row>
    <row r="2962" spans="1:29" ht="13" x14ac:dyDescent="0.15">
      <c r="A2962" s="72" t="str">
        <f t="shared" si="46"/>
        <v>Ofsted Social Care Provider Webpage</v>
      </c>
      <c r="B2962" s="55" t="s">
        <v>5567</v>
      </c>
      <c r="D2962" s="55" t="s">
        <v>373</v>
      </c>
      <c r="E2962" s="74">
        <v>40717</v>
      </c>
      <c r="F2962" s="55" t="s">
        <v>344</v>
      </c>
      <c r="G2962" s="55" t="s">
        <v>360</v>
      </c>
      <c r="H2962" s="55" t="s">
        <v>360</v>
      </c>
      <c r="I2962" s="55" t="s">
        <v>360</v>
      </c>
      <c r="J2962" s="55" t="s">
        <v>360</v>
      </c>
      <c r="K2962" s="55" t="s">
        <v>360</v>
      </c>
      <c r="L2962" s="55" t="s">
        <v>360</v>
      </c>
      <c r="M2962" s="55" t="s">
        <v>129</v>
      </c>
      <c r="N2962" s="55" t="s">
        <v>129</v>
      </c>
      <c r="O2962" s="55" t="s">
        <v>205</v>
      </c>
      <c r="P2962" s="55" t="s">
        <v>1312</v>
      </c>
      <c r="Q2962" s="55" t="s">
        <v>350</v>
      </c>
      <c r="R2962" s="55">
        <v>7</v>
      </c>
      <c r="S2962" s="55"/>
      <c r="T2962" s="55" t="s">
        <v>5568</v>
      </c>
      <c r="U2962" s="73" t="s">
        <v>351</v>
      </c>
      <c r="V2962" s="74">
        <v>44473</v>
      </c>
      <c r="W2962" s="74">
        <v>44503</v>
      </c>
      <c r="X2962" s="55">
        <v>10187260</v>
      </c>
      <c r="Y2962" s="55" t="s">
        <v>140</v>
      </c>
      <c r="AB2962" s="55" t="s">
        <v>140</v>
      </c>
      <c r="AC2962" s="55" t="s">
        <v>140</v>
      </c>
    </row>
    <row r="2963" spans="1:29" ht="13" x14ac:dyDescent="0.15">
      <c r="A2963" s="72" t="str">
        <f t="shared" si="46"/>
        <v>Ofsted Social Care Provider Webpage</v>
      </c>
      <c r="B2963" s="55" t="s">
        <v>5569</v>
      </c>
      <c r="D2963" s="55" t="s">
        <v>373</v>
      </c>
      <c r="E2963" s="74">
        <v>40641</v>
      </c>
      <c r="F2963" s="55" t="s">
        <v>344</v>
      </c>
      <c r="G2963" s="55" t="s">
        <v>360</v>
      </c>
      <c r="H2963" s="55" t="s">
        <v>360</v>
      </c>
      <c r="I2963" s="55" t="s">
        <v>360</v>
      </c>
      <c r="J2963" s="55" t="s">
        <v>360</v>
      </c>
      <c r="K2963" s="55" t="s">
        <v>360</v>
      </c>
      <c r="L2963" s="55" t="s">
        <v>360</v>
      </c>
      <c r="M2963" s="55" t="s">
        <v>142</v>
      </c>
      <c r="N2963" s="55" t="s">
        <v>142</v>
      </c>
      <c r="O2963" s="55" t="s">
        <v>141</v>
      </c>
      <c r="P2963" s="55" t="s">
        <v>612</v>
      </c>
      <c r="Q2963" s="55" t="s">
        <v>350</v>
      </c>
      <c r="R2963" s="55">
        <v>3</v>
      </c>
      <c r="S2963" s="55"/>
      <c r="T2963" s="55" t="s">
        <v>1377</v>
      </c>
      <c r="U2963" s="73" t="s">
        <v>351</v>
      </c>
      <c r="V2963" s="74">
        <v>44397</v>
      </c>
      <c r="W2963" s="74">
        <v>44446</v>
      </c>
      <c r="X2963" s="55">
        <v>10185065</v>
      </c>
      <c r="Y2963" s="55" t="s">
        <v>132</v>
      </c>
      <c r="AB2963" s="55" t="s">
        <v>132</v>
      </c>
      <c r="AC2963" s="55" t="s">
        <v>132</v>
      </c>
    </row>
    <row r="2964" spans="1:29" ht="13" x14ac:dyDescent="0.15">
      <c r="A2964" s="72" t="str">
        <f t="shared" si="46"/>
        <v>Ofsted Social Care Provider Webpage</v>
      </c>
      <c r="B2964" s="55" t="s">
        <v>5570</v>
      </c>
      <c r="D2964" s="55" t="s">
        <v>479</v>
      </c>
      <c r="E2964" s="74">
        <v>40850</v>
      </c>
      <c r="F2964" s="55" t="s">
        <v>344</v>
      </c>
      <c r="G2964" s="55" t="s">
        <v>360</v>
      </c>
      <c r="H2964" s="55" t="s">
        <v>360</v>
      </c>
      <c r="I2964" s="55" t="s">
        <v>360</v>
      </c>
      <c r="J2964" s="55" t="s">
        <v>360</v>
      </c>
      <c r="K2964" s="55" t="s">
        <v>360</v>
      </c>
      <c r="L2964" s="55" t="s">
        <v>360</v>
      </c>
      <c r="M2964" s="55" t="s">
        <v>378</v>
      </c>
      <c r="N2964" s="55" t="s">
        <v>134</v>
      </c>
      <c r="O2964" s="55" t="s">
        <v>251</v>
      </c>
      <c r="P2964" s="55" t="s">
        <v>1709</v>
      </c>
      <c r="Q2964" s="55" t="s">
        <v>362</v>
      </c>
      <c r="R2964" s="55">
        <v>5</v>
      </c>
      <c r="S2964" s="55"/>
      <c r="T2964" s="55" t="s">
        <v>5571</v>
      </c>
      <c r="U2964" s="73" t="s">
        <v>351</v>
      </c>
      <c r="V2964" s="74">
        <v>44616</v>
      </c>
      <c r="W2964" s="74">
        <v>44659</v>
      </c>
      <c r="X2964" s="55">
        <v>10185314</v>
      </c>
      <c r="Y2964" s="55" t="s">
        <v>132</v>
      </c>
      <c r="AB2964" s="55" t="s">
        <v>132</v>
      </c>
      <c r="AC2964" s="55" t="s">
        <v>132</v>
      </c>
    </row>
    <row r="2965" spans="1:29" ht="13" x14ac:dyDescent="0.15">
      <c r="A2965" s="72" t="str">
        <f t="shared" si="46"/>
        <v>Ofsted Social Care Provider Webpage</v>
      </c>
      <c r="B2965" s="55" t="s">
        <v>5572</v>
      </c>
      <c r="D2965" s="55" t="s">
        <v>373</v>
      </c>
      <c r="E2965" s="74">
        <v>40603</v>
      </c>
      <c r="F2965" s="55" t="s">
        <v>344</v>
      </c>
      <c r="G2965" s="55" t="s">
        <v>360</v>
      </c>
      <c r="H2965" s="55" t="s">
        <v>360</v>
      </c>
      <c r="I2965" s="55" t="s">
        <v>360</v>
      </c>
      <c r="J2965" s="55" t="s">
        <v>360</v>
      </c>
      <c r="K2965" s="55" t="s">
        <v>360</v>
      </c>
      <c r="L2965" s="55" t="s">
        <v>360</v>
      </c>
      <c r="M2965" s="55" t="s">
        <v>129</v>
      </c>
      <c r="N2965" s="55" t="s">
        <v>129</v>
      </c>
      <c r="O2965" s="55" t="s">
        <v>128</v>
      </c>
      <c r="P2965" s="55" t="s">
        <v>1201</v>
      </c>
      <c r="Q2965" s="55" t="s">
        <v>350</v>
      </c>
      <c r="R2965" s="55">
        <v>5</v>
      </c>
      <c r="S2965" s="55"/>
      <c r="T2965" s="55" t="s">
        <v>5573</v>
      </c>
      <c r="U2965" s="73" t="s">
        <v>351</v>
      </c>
      <c r="V2965" s="74">
        <v>44420</v>
      </c>
      <c r="W2965" s="74">
        <v>44455</v>
      </c>
      <c r="X2965" s="55">
        <v>10187015</v>
      </c>
      <c r="Y2965" s="55" t="s">
        <v>132</v>
      </c>
      <c r="AB2965" s="55" t="s">
        <v>132</v>
      </c>
      <c r="AC2965" s="55" t="s">
        <v>132</v>
      </c>
    </row>
    <row r="2966" spans="1:29" ht="13" x14ac:dyDescent="0.15">
      <c r="A2966" s="72" t="str">
        <f t="shared" si="46"/>
        <v>Ofsted Social Care Provider Webpage</v>
      </c>
      <c r="B2966" s="55" t="s">
        <v>5574</v>
      </c>
      <c r="D2966" s="55" t="s">
        <v>373</v>
      </c>
      <c r="E2966" s="74">
        <v>40616</v>
      </c>
      <c r="F2966" s="55" t="s">
        <v>344</v>
      </c>
      <c r="G2966" s="55" t="s">
        <v>360</v>
      </c>
      <c r="H2966" s="55" t="s">
        <v>360</v>
      </c>
      <c r="I2966" s="55" t="s">
        <v>360</v>
      </c>
      <c r="J2966" s="55" t="s">
        <v>360</v>
      </c>
      <c r="K2966" s="55" t="s">
        <v>360</v>
      </c>
      <c r="L2966" s="55" t="s">
        <v>360</v>
      </c>
      <c r="M2966" s="55" t="s">
        <v>150</v>
      </c>
      <c r="N2966" s="55" t="s">
        <v>150</v>
      </c>
      <c r="O2966" s="55" t="s">
        <v>156</v>
      </c>
      <c r="P2966" s="55" t="s">
        <v>1217</v>
      </c>
      <c r="Q2966" s="55" t="s">
        <v>362</v>
      </c>
      <c r="R2966" s="55">
        <v>14</v>
      </c>
      <c r="S2966" s="55" t="s">
        <v>332</v>
      </c>
      <c r="T2966" s="55" t="s">
        <v>367</v>
      </c>
      <c r="U2966" s="73" t="s">
        <v>351</v>
      </c>
      <c r="V2966" s="74">
        <v>44425</v>
      </c>
      <c r="W2966" s="74">
        <v>44456</v>
      </c>
      <c r="X2966" s="55">
        <v>10186407</v>
      </c>
      <c r="Y2966" s="55" t="s">
        <v>132</v>
      </c>
      <c r="AB2966" s="55" t="s">
        <v>132</v>
      </c>
      <c r="AC2966" s="55" t="s">
        <v>132</v>
      </c>
    </row>
    <row r="2967" spans="1:29" ht="13" x14ac:dyDescent="0.15">
      <c r="A2967" s="72" t="str">
        <f t="shared" si="46"/>
        <v>Ofsted Social Care Provider Webpage</v>
      </c>
      <c r="B2967" s="55" t="s">
        <v>5575</v>
      </c>
      <c r="D2967" s="55" t="s">
        <v>373</v>
      </c>
      <c r="E2967" s="74">
        <v>40641</v>
      </c>
      <c r="F2967" s="55" t="s">
        <v>344</v>
      </c>
      <c r="G2967" s="55" t="s">
        <v>360</v>
      </c>
      <c r="H2967" s="55" t="s">
        <v>360</v>
      </c>
      <c r="I2967" s="55" t="s">
        <v>360</v>
      </c>
      <c r="J2967" s="55" t="s">
        <v>360</v>
      </c>
      <c r="K2967" s="55" t="s">
        <v>360</v>
      </c>
      <c r="L2967" s="55" t="s">
        <v>360</v>
      </c>
      <c r="M2967" s="55" t="s">
        <v>150</v>
      </c>
      <c r="N2967" s="55" t="s">
        <v>150</v>
      </c>
      <c r="O2967" s="55" t="s">
        <v>156</v>
      </c>
      <c r="P2967" s="55" t="s">
        <v>1277</v>
      </c>
      <c r="Q2967" s="55" t="s">
        <v>362</v>
      </c>
      <c r="R2967" s="55">
        <v>8</v>
      </c>
      <c r="S2967" s="55" t="s">
        <v>332</v>
      </c>
      <c r="T2967" s="55" t="s">
        <v>367</v>
      </c>
      <c r="U2967" s="73" t="s">
        <v>351</v>
      </c>
      <c r="V2967" s="74">
        <v>44349</v>
      </c>
      <c r="W2967" s="74">
        <v>44414</v>
      </c>
      <c r="X2967" s="55">
        <v>10187226</v>
      </c>
      <c r="Y2967" s="55" t="s">
        <v>140</v>
      </c>
      <c r="AB2967" s="55" t="s">
        <v>132</v>
      </c>
      <c r="AC2967" s="55" t="s">
        <v>132</v>
      </c>
    </row>
    <row r="2968" spans="1:29" ht="13" x14ac:dyDescent="0.15">
      <c r="A2968" s="72" t="str">
        <f t="shared" si="46"/>
        <v>Ofsted Social Care Provider Webpage</v>
      </c>
      <c r="B2968" s="55" t="s">
        <v>5576</v>
      </c>
      <c r="D2968" s="55" t="s">
        <v>373</v>
      </c>
      <c r="E2968" s="74">
        <v>40612</v>
      </c>
      <c r="F2968" s="55" t="s">
        <v>344</v>
      </c>
      <c r="G2968" s="55" t="s">
        <v>360</v>
      </c>
      <c r="H2968" s="55" t="s">
        <v>360</v>
      </c>
      <c r="I2968" s="55" t="s">
        <v>360</v>
      </c>
      <c r="J2968" s="55" t="s">
        <v>360</v>
      </c>
      <c r="K2968" s="55" t="s">
        <v>360</v>
      </c>
      <c r="L2968" s="55" t="s">
        <v>360</v>
      </c>
      <c r="M2968" s="55" t="s">
        <v>378</v>
      </c>
      <c r="N2968" s="55" t="s">
        <v>134</v>
      </c>
      <c r="O2968" s="55" t="s">
        <v>151</v>
      </c>
      <c r="P2968" s="55" t="s">
        <v>1778</v>
      </c>
      <c r="Q2968" s="55" t="s">
        <v>350</v>
      </c>
      <c r="R2968" s="55">
        <v>6</v>
      </c>
      <c r="S2968" s="55"/>
      <c r="T2968" s="55" t="s">
        <v>385</v>
      </c>
      <c r="U2968" s="73" t="s">
        <v>351</v>
      </c>
      <c r="V2968" s="74">
        <v>44615</v>
      </c>
      <c r="W2968" s="74">
        <v>44659</v>
      </c>
      <c r="X2968" s="55">
        <v>10223323</v>
      </c>
      <c r="Y2968" s="55" t="s">
        <v>146</v>
      </c>
      <c r="AB2968" s="55" t="s">
        <v>146</v>
      </c>
      <c r="AC2968" s="55" t="s">
        <v>146</v>
      </c>
    </row>
    <row r="2969" spans="1:29" ht="13" x14ac:dyDescent="0.15">
      <c r="A2969" s="72" t="str">
        <f t="shared" si="46"/>
        <v>Ofsted Social Care Provider Webpage</v>
      </c>
      <c r="B2969" s="55" t="s">
        <v>5577</v>
      </c>
      <c r="D2969" s="55" t="s">
        <v>373</v>
      </c>
      <c r="E2969" s="74">
        <v>40576</v>
      </c>
      <c r="F2969" s="55" t="s">
        <v>344</v>
      </c>
      <c r="G2969" s="55" t="s">
        <v>360</v>
      </c>
      <c r="H2969" s="55" t="s">
        <v>360</v>
      </c>
      <c r="I2969" s="55" t="s">
        <v>360</v>
      </c>
      <c r="J2969" s="55" t="s">
        <v>360</v>
      </c>
      <c r="K2969" s="55" t="s">
        <v>360</v>
      </c>
      <c r="L2969" s="55" t="s">
        <v>360</v>
      </c>
      <c r="M2969" s="55" t="s">
        <v>138</v>
      </c>
      <c r="N2969" s="55" t="s">
        <v>138</v>
      </c>
      <c r="O2969" s="55" t="s">
        <v>224</v>
      </c>
      <c r="P2969" s="55" t="s">
        <v>1675</v>
      </c>
      <c r="Q2969" s="55" t="s">
        <v>362</v>
      </c>
      <c r="R2969" s="55">
        <v>4</v>
      </c>
      <c r="S2969" s="55"/>
      <c r="T2969" s="55" t="s">
        <v>557</v>
      </c>
      <c r="U2969" s="73" t="s">
        <v>351</v>
      </c>
      <c r="V2969" s="74">
        <v>44433</v>
      </c>
      <c r="W2969" s="74">
        <v>44461</v>
      </c>
      <c r="X2969" s="55">
        <v>10187412</v>
      </c>
      <c r="Y2969" s="55" t="s">
        <v>140</v>
      </c>
      <c r="AB2969" s="55" t="s">
        <v>140</v>
      </c>
      <c r="AC2969" s="55" t="s">
        <v>140</v>
      </c>
    </row>
    <row r="2970" spans="1:29" ht="13" x14ac:dyDescent="0.15">
      <c r="A2970" s="72" t="str">
        <f t="shared" si="46"/>
        <v>Ofsted Social Care Provider Webpage</v>
      </c>
      <c r="B2970" s="55" t="s">
        <v>5578</v>
      </c>
      <c r="D2970" s="55" t="s">
        <v>373</v>
      </c>
      <c r="E2970" s="74">
        <v>40590</v>
      </c>
      <c r="F2970" s="55" t="s">
        <v>344</v>
      </c>
      <c r="G2970" s="55" t="s">
        <v>360</v>
      </c>
      <c r="H2970" s="55" t="s">
        <v>360</v>
      </c>
      <c r="I2970" s="55" t="s">
        <v>360</v>
      </c>
      <c r="J2970" s="55" t="s">
        <v>360</v>
      </c>
      <c r="K2970" s="55" t="s">
        <v>360</v>
      </c>
      <c r="L2970" s="55" t="s">
        <v>360</v>
      </c>
      <c r="M2970" s="55" t="s">
        <v>172</v>
      </c>
      <c r="N2970" s="55" t="s">
        <v>172</v>
      </c>
      <c r="O2970" s="55" t="s">
        <v>234</v>
      </c>
      <c r="P2970" s="55" t="s">
        <v>965</v>
      </c>
      <c r="Q2970" s="55" t="s">
        <v>380</v>
      </c>
      <c r="R2970" s="55">
        <v>2</v>
      </c>
      <c r="S2970" s="55"/>
      <c r="T2970" s="55" t="s">
        <v>1271</v>
      </c>
      <c r="U2970" s="73" t="s">
        <v>351</v>
      </c>
      <c r="V2970" s="74">
        <v>44599</v>
      </c>
      <c r="W2970" s="74">
        <v>44642</v>
      </c>
      <c r="X2970" s="55">
        <v>10186803</v>
      </c>
      <c r="Y2970" s="55" t="s">
        <v>132</v>
      </c>
      <c r="AB2970" s="55" t="s">
        <v>132</v>
      </c>
      <c r="AC2970" s="55" t="s">
        <v>130</v>
      </c>
    </row>
    <row r="2971" spans="1:29" ht="13" x14ac:dyDescent="0.15">
      <c r="A2971" s="72" t="str">
        <f t="shared" si="46"/>
        <v>Ofsted Social Care Provider Webpage</v>
      </c>
      <c r="B2971" s="55" t="s">
        <v>5579</v>
      </c>
      <c r="D2971" s="55" t="s">
        <v>373</v>
      </c>
      <c r="E2971" s="74">
        <v>40590</v>
      </c>
      <c r="F2971" s="55" t="s">
        <v>344</v>
      </c>
      <c r="G2971" s="55" t="s">
        <v>360</v>
      </c>
      <c r="H2971" s="55" t="s">
        <v>360</v>
      </c>
      <c r="I2971" s="55" t="s">
        <v>360</v>
      </c>
      <c r="J2971" s="55" t="s">
        <v>360</v>
      </c>
      <c r="K2971" s="55" t="s">
        <v>360</v>
      </c>
      <c r="L2971" s="55" t="s">
        <v>360</v>
      </c>
      <c r="M2971" s="55" t="s">
        <v>172</v>
      </c>
      <c r="N2971" s="55" t="s">
        <v>172</v>
      </c>
      <c r="O2971" s="55" t="s">
        <v>234</v>
      </c>
      <c r="P2971" s="55" t="s">
        <v>369</v>
      </c>
      <c r="Q2971" s="55" t="s">
        <v>380</v>
      </c>
      <c r="R2971" s="55">
        <v>2</v>
      </c>
      <c r="S2971" s="55"/>
      <c r="T2971" s="55" t="s">
        <v>1271</v>
      </c>
      <c r="U2971" s="73" t="s">
        <v>351</v>
      </c>
      <c r="V2971" s="74">
        <v>44327</v>
      </c>
      <c r="W2971" s="74">
        <v>44355</v>
      </c>
      <c r="X2971" s="55">
        <v>10186535</v>
      </c>
      <c r="Y2971" s="55" t="s">
        <v>132</v>
      </c>
      <c r="AB2971" s="55" t="s">
        <v>132</v>
      </c>
      <c r="AC2971" s="55" t="s">
        <v>132</v>
      </c>
    </row>
    <row r="2972" spans="1:29" ht="13" x14ac:dyDescent="0.15">
      <c r="A2972" s="72" t="str">
        <f t="shared" si="46"/>
        <v>Ofsted Social Care Provider Webpage</v>
      </c>
      <c r="B2972" s="55" t="s">
        <v>5580</v>
      </c>
      <c r="D2972" s="55" t="s">
        <v>373</v>
      </c>
      <c r="E2972" s="74">
        <v>40590</v>
      </c>
      <c r="F2972" s="55" t="s">
        <v>344</v>
      </c>
      <c r="G2972" s="55" t="s">
        <v>360</v>
      </c>
      <c r="H2972" s="55" t="s">
        <v>360</v>
      </c>
      <c r="I2972" s="55" t="s">
        <v>360</v>
      </c>
      <c r="J2972" s="55" t="s">
        <v>360</v>
      </c>
      <c r="K2972" s="55" t="s">
        <v>360</v>
      </c>
      <c r="L2972" s="55" t="s">
        <v>360</v>
      </c>
      <c r="M2972" s="55" t="s">
        <v>172</v>
      </c>
      <c r="N2972" s="55" t="s">
        <v>172</v>
      </c>
      <c r="O2972" s="55" t="s">
        <v>234</v>
      </c>
      <c r="P2972" s="55" t="s">
        <v>369</v>
      </c>
      <c r="Q2972" s="55" t="s">
        <v>380</v>
      </c>
      <c r="R2972" s="55">
        <v>2</v>
      </c>
      <c r="S2972" s="55"/>
      <c r="T2972" s="55" t="s">
        <v>1271</v>
      </c>
      <c r="U2972" s="73" t="s">
        <v>351</v>
      </c>
      <c r="V2972" s="74">
        <v>44432</v>
      </c>
      <c r="W2972" s="74">
        <v>44462</v>
      </c>
      <c r="X2972" s="55">
        <v>10186988</v>
      </c>
      <c r="Y2972" s="55" t="s">
        <v>132</v>
      </c>
      <c r="AB2972" s="55" t="s">
        <v>132</v>
      </c>
      <c r="AC2972" s="55" t="s">
        <v>132</v>
      </c>
    </row>
    <row r="2973" spans="1:29" ht="13" x14ac:dyDescent="0.15">
      <c r="A2973" s="72" t="str">
        <f t="shared" si="46"/>
        <v>Ofsted Social Care Provider Webpage</v>
      </c>
      <c r="B2973" s="55" t="s">
        <v>5581</v>
      </c>
      <c r="D2973" s="55" t="s">
        <v>373</v>
      </c>
      <c r="E2973" s="74">
        <v>40634</v>
      </c>
      <c r="F2973" s="55" t="s">
        <v>344</v>
      </c>
      <c r="G2973" s="55" t="s">
        <v>360</v>
      </c>
      <c r="H2973" s="55" t="s">
        <v>360</v>
      </c>
      <c r="I2973" s="55" t="s">
        <v>360</v>
      </c>
      <c r="J2973" s="55" t="s">
        <v>360</v>
      </c>
      <c r="K2973" s="55" t="s">
        <v>360</v>
      </c>
      <c r="L2973" s="55" t="s">
        <v>360</v>
      </c>
      <c r="M2973" s="55" t="s">
        <v>378</v>
      </c>
      <c r="N2973" s="55" t="s">
        <v>134</v>
      </c>
      <c r="O2973" s="55" t="s">
        <v>206</v>
      </c>
      <c r="P2973" s="55" t="s">
        <v>710</v>
      </c>
      <c r="Q2973" s="55" t="s">
        <v>350</v>
      </c>
      <c r="R2973" s="55">
        <v>3</v>
      </c>
      <c r="S2973" s="55"/>
      <c r="T2973" s="55" t="s">
        <v>1237</v>
      </c>
      <c r="U2973" s="73" t="s">
        <v>351</v>
      </c>
      <c r="V2973" s="74">
        <v>43628</v>
      </c>
      <c r="W2973" s="74">
        <v>43654</v>
      </c>
      <c r="X2973" s="55">
        <v>10096457</v>
      </c>
      <c r="Y2973" s="55" t="s">
        <v>132</v>
      </c>
      <c r="AB2973" s="55" t="s">
        <v>132</v>
      </c>
      <c r="AC2973" s="55" t="s">
        <v>132</v>
      </c>
    </row>
    <row r="2974" spans="1:29" ht="13" x14ac:dyDescent="0.15">
      <c r="A2974" s="72" t="str">
        <f t="shared" si="46"/>
        <v>Ofsted Social Care Provider Webpage</v>
      </c>
      <c r="B2974" s="55" t="s">
        <v>5582</v>
      </c>
      <c r="D2974" s="55" t="s">
        <v>373</v>
      </c>
      <c r="E2974" s="74">
        <v>40637</v>
      </c>
      <c r="F2974" s="55" t="s">
        <v>344</v>
      </c>
      <c r="G2974" s="55" t="s">
        <v>360</v>
      </c>
      <c r="H2974" s="55" t="s">
        <v>360</v>
      </c>
      <c r="I2974" s="55" t="s">
        <v>360</v>
      </c>
      <c r="J2974" s="55" t="s">
        <v>360</v>
      </c>
      <c r="K2974" s="55" t="s">
        <v>360</v>
      </c>
      <c r="L2974" s="55" t="s">
        <v>360</v>
      </c>
      <c r="M2974" s="55" t="s">
        <v>142</v>
      </c>
      <c r="N2974" s="55" t="s">
        <v>142</v>
      </c>
      <c r="O2974" s="55" t="s">
        <v>141</v>
      </c>
      <c r="P2974" s="55" t="s">
        <v>1231</v>
      </c>
      <c r="Q2974" s="55" t="s">
        <v>350</v>
      </c>
      <c r="R2974" s="55">
        <v>6</v>
      </c>
      <c r="S2974" s="55"/>
      <c r="T2974" s="55" t="s">
        <v>385</v>
      </c>
      <c r="U2974" s="73" t="s">
        <v>351</v>
      </c>
      <c r="V2974" s="74">
        <v>44531</v>
      </c>
      <c r="W2974" s="74">
        <v>44579</v>
      </c>
      <c r="X2974" s="55">
        <v>10186366</v>
      </c>
      <c r="Y2974" s="55" t="s">
        <v>132</v>
      </c>
      <c r="AB2974" s="55" t="s">
        <v>132</v>
      </c>
      <c r="AC2974" s="55" t="s">
        <v>132</v>
      </c>
    </row>
    <row r="2975" spans="1:29" ht="13" x14ac:dyDescent="0.15">
      <c r="A2975" s="72" t="str">
        <f t="shared" si="46"/>
        <v>Ofsted Social Care Provider Webpage</v>
      </c>
      <c r="B2975" s="55" t="s">
        <v>5583</v>
      </c>
      <c r="D2975" s="55" t="s">
        <v>373</v>
      </c>
      <c r="E2975" s="74">
        <v>40659</v>
      </c>
      <c r="F2975" s="55" t="s">
        <v>344</v>
      </c>
      <c r="G2975" s="55" t="s">
        <v>360</v>
      </c>
      <c r="H2975" s="55" t="s">
        <v>360</v>
      </c>
      <c r="I2975" s="55" t="s">
        <v>360</v>
      </c>
      <c r="J2975" s="55" t="s">
        <v>360</v>
      </c>
      <c r="K2975" s="55" t="s">
        <v>360</v>
      </c>
      <c r="L2975" s="55" t="s">
        <v>360</v>
      </c>
      <c r="M2975" s="55" t="s">
        <v>138</v>
      </c>
      <c r="N2975" s="55" t="s">
        <v>138</v>
      </c>
      <c r="O2975" s="55" t="s">
        <v>224</v>
      </c>
      <c r="P2975" s="55" t="s">
        <v>1552</v>
      </c>
      <c r="Q2975" s="55" t="s">
        <v>350</v>
      </c>
      <c r="R2975" s="55">
        <v>7</v>
      </c>
      <c r="S2975" s="55"/>
      <c r="T2975" s="55" t="s">
        <v>1124</v>
      </c>
      <c r="U2975" s="73" t="s">
        <v>351</v>
      </c>
      <c r="V2975" s="74">
        <v>44356</v>
      </c>
      <c r="W2975" s="74">
        <v>44386</v>
      </c>
      <c r="X2975" s="55">
        <v>10187302</v>
      </c>
      <c r="Y2975" s="55" t="s">
        <v>140</v>
      </c>
      <c r="AB2975" s="55" t="s">
        <v>140</v>
      </c>
      <c r="AC2975" s="55" t="s">
        <v>132</v>
      </c>
    </row>
    <row r="2976" spans="1:29" ht="13" x14ac:dyDescent="0.15">
      <c r="A2976" s="72" t="str">
        <f t="shared" si="46"/>
        <v>Ofsted Social Care Provider Webpage</v>
      </c>
      <c r="B2976" s="55" t="s">
        <v>5584</v>
      </c>
      <c r="D2976" s="55" t="s">
        <v>373</v>
      </c>
      <c r="E2976" s="74">
        <v>40980</v>
      </c>
      <c r="F2976" s="55" t="s">
        <v>344</v>
      </c>
      <c r="G2976" s="55" t="s">
        <v>360</v>
      </c>
      <c r="H2976" s="55" t="s">
        <v>360</v>
      </c>
      <c r="I2976" s="55" t="s">
        <v>360</v>
      </c>
      <c r="J2976" s="55" t="s">
        <v>360</v>
      </c>
      <c r="K2976" s="55" t="s">
        <v>360</v>
      </c>
      <c r="L2976" s="55" t="s">
        <v>360</v>
      </c>
      <c r="M2976" s="55" t="s">
        <v>150</v>
      </c>
      <c r="N2976" s="55" t="s">
        <v>150</v>
      </c>
      <c r="O2976" s="55" t="s">
        <v>203</v>
      </c>
      <c r="P2976" s="55" t="s">
        <v>1268</v>
      </c>
      <c r="Q2976" s="55" t="s">
        <v>350</v>
      </c>
      <c r="R2976" s="55">
        <v>6</v>
      </c>
      <c r="S2976" s="55"/>
      <c r="T2976" s="55" t="s">
        <v>2873</v>
      </c>
      <c r="U2976" s="73" t="s">
        <v>351</v>
      </c>
      <c r="V2976" s="74">
        <v>44495</v>
      </c>
      <c r="W2976" s="74">
        <v>44580</v>
      </c>
      <c r="X2976" s="55">
        <v>10187146</v>
      </c>
      <c r="Y2976" s="55" t="s">
        <v>132</v>
      </c>
      <c r="AB2976" s="55" t="s">
        <v>132</v>
      </c>
      <c r="AC2976" s="55" t="s">
        <v>132</v>
      </c>
    </row>
    <row r="2977" spans="1:29" ht="13" x14ac:dyDescent="0.15">
      <c r="A2977" s="72" t="str">
        <f t="shared" si="46"/>
        <v>Ofsted Social Care Provider Webpage</v>
      </c>
      <c r="B2977" s="55" t="s">
        <v>5585</v>
      </c>
      <c r="D2977" s="55" t="s">
        <v>389</v>
      </c>
      <c r="E2977" s="74">
        <v>40630</v>
      </c>
      <c r="F2977" s="55" t="s">
        <v>344</v>
      </c>
      <c r="G2977" s="55" t="s">
        <v>3286</v>
      </c>
      <c r="H2977" s="55" t="s">
        <v>5586</v>
      </c>
      <c r="I2977" s="55" t="s">
        <v>354</v>
      </c>
      <c r="J2977" s="55" t="s">
        <v>4086</v>
      </c>
      <c r="L2977" s="55" t="s">
        <v>5587</v>
      </c>
      <c r="M2977" s="55" t="s">
        <v>142</v>
      </c>
      <c r="N2977" s="55" t="s">
        <v>142</v>
      </c>
      <c r="O2977" s="55" t="s">
        <v>166</v>
      </c>
      <c r="P2977" s="55" t="s">
        <v>1301</v>
      </c>
      <c r="Q2977" s="55" t="s">
        <v>350</v>
      </c>
      <c r="R2977" s="55"/>
      <c r="S2977" s="55"/>
      <c r="T2977" s="55" t="s">
        <v>3290</v>
      </c>
      <c r="U2977" s="73" t="s">
        <v>351</v>
      </c>
      <c r="V2977" s="74">
        <v>42912</v>
      </c>
      <c r="W2977" s="74">
        <v>42936</v>
      </c>
      <c r="X2977" s="55">
        <v>10021624</v>
      </c>
      <c r="Y2977" s="55" t="s">
        <v>132</v>
      </c>
      <c r="AB2977" s="55" t="s">
        <v>132</v>
      </c>
      <c r="AC2977" s="55" t="s">
        <v>132</v>
      </c>
    </row>
    <row r="2978" spans="1:29" ht="13" x14ac:dyDescent="0.15">
      <c r="A2978" s="72" t="str">
        <f t="shared" si="46"/>
        <v>Ofsted Social Care Provider Webpage</v>
      </c>
      <c r="B2978" s="55" t="s">
        <v>5588</v>
      </c>
      <c r="D2978" s="55" t="s">
        <v>373</v>
      </c>
      <c r="E2978" s="74">
        <v>40592</v>
      </c>
      <c r="F2978" s="55" t="s">
        <v>344</v>
      </c>
      <c r="G2978" s="55" t="s">
        <v>360</v>
      </c>
      <c r="H2978" s="55" t="s">
        <v>360</v>
      </c>
      <c r="I2978" s="55" t="s">
        <v>360</v>
      </c>
      <c r="J2978" s="55" t="s">
        <v>360</v>
      </c>
      <c r="K2978" s="55" t="s">
        <v>360</v>
      </c>
      <c r="L2978" s="55" t="s">
        <v>360</v>
      </c>
      <c r="M2978" s="55" t="s">
        <v>138</v>
      </c>
      <c r="N2978" s="55" t="s">
        <v>138</v>
      </c>
      <c r="O2978" s="55" t="s">
        <v>196</v>
      </c>
      <c r="P2978" s="55" t="s">
        <v>4371</v>
      </c>
      <c r="Q2978" s="55" t="s">
        <v>350</v>
      </c>
      <c r="R2978" s="55">
        <v>4</v>
      </c>
      <c r="S2978" s="55"/>
      <c r="T2978" s="55" t="s">
        <v>2906</v>
      </c>
      <c r="U2978" s="73" t="s">
        <v>351</v>
      </c>
      <c r="V2978" s="74">
        <v>44475</v>
      </c>
      <c r="W2978" s="74">
        <v>44503</v>
      </c>
      <c r="X2978" s="55">
        <v>10185123</v>
      </c>
      <c r="Y2978" s="55" t="s">
        <v>132</v>
      </c>
      <c r="AB2978" s="55" t="s">
        <v>132</v>
      </c>
      <c r="AC2978" s="55" t="s">
        <v>132</v>
      </c>
    </row>
    <row r="2979" spans="1:29" ht="13" x14ac:dyDescent="0.15">
      <c r="A2979" s="72" t="str">
        <f t="shared" si="46"/>
        <v>Ofsted Social Care Provider Webpage</v>
      </c>
      <c r="B2979" s="55" t="s">
        <v>5589</v>
      </c>
      <c r="C2979" s="55">
        <v>136047</v>
      </c>
      <c r="D2979" s="55" t="s">
        <v>413</v>
      </c>
      <c r="E2979" s="74">
        <v>40577</v>
      </c>
      <c r="F2979" s="55" t="s">
        <v>344</v>
      </c>
      <c r="G2979" s="55" t="s">
        <v>5590</v>
      </c>
      <c r="H2979" s="55" t="s">
        <v>5591</v>
      </c>
      <c r="I2979" s="55" t="s">
        <v>5592</v>
      </c>
      <c r="J2979" s="55" t="s">
        <v>1073</v>
      </c>
      <c r="L2979" s="55" t="s">
        <v>5593</v>
      </c>
      <c r="M2979" s="55" t="s">
        <v>138</v>
      </c>
      <c r="N2979" s="55" t="s">
        <v>138</v>
      </c>
      <c r="O2979" s="55" t="s">
        <v>159</v>
      </c>
      <c r="P2979" s="55" t="s">
        <v>633</v>
      </c>
      <c r="Q2979" s="55" t="s">
        <v>350</v>
      </c>
      <c r="R2979" s="55">
        <v>14</v>
      </c>
      <c r="S2979" s="55"/>
      <c r="T2979" s="55" t="s">
        <v>5594</v>
      </c>
      <c r="U2979" s="73" t="s">
        <v>351</v>
      </c>
      <c r="V2979" s="74">
        <v>44634</v>
      </c>
      <c r="W2979" s="74">
        <v>44680</v>
      </c>
      <c r="X2979" s="55">
        <v>10183496</v>
      </c>
      <c r="Y2979" s="55" t="s">
        <v>140</v>
      </c>
      <c r="AB2979" s="55" t="s">
        <v>140</v>
      </c>
      <c r="AC2979" s="55" t="s">
        <v>140</v>
      </c>
    </row>
    <row r="2980" spans="1:29" ht="13" x14ac:dyDescent="0.15">
      <c r="A2980" s="72" t="str">
        <f t="shared" si="46"/>
        <v>Ofsted Social Care Provider Webpage</v>
      </c>
      <c r="B2980" s="55" t="s">
        <v>5595</v>
      </c>
      <c r="D2980" s="55" t="s">
        <v>373</v>
      </c>
      <c r="E2980" s="74">
        <v>40632</v>
      </c>
      <c r="F2980" s="55" t="s">
        <v>344</v>
      </c>
      <c r="G2980" s="55" t="s">
        <v>360</v>
      </c>
      <c r="H2980" s="55" t="s">
        <v>360</v>
      </c>
      <c r="I2980" s="55" t="s">
        <v>360</v>
      </c>
      <c r="J2980" s="55" t="s">
        <v>360</v>
      </c>
      <c r="K2980" s="55" t="s">
        <v>360</v>
      </c>
      <c r="L2980" s="55" t="s">
        <v>360</v>
      </c>
      <c r="M2980" s="55" t="s">
        <v>150</v>
      </c>
      <c r="N2980" s="55" t="s">
        <v>150</v>
      </c>
      <c r="O2980" s="55" t="s">
        <v>203</v>
      </c>
      <c r="P2980" s="55" t="s">
        <v>1835</v>
      </c>
      <c r="Q2980" s="55" t="s">
        <v>362</v>
      </c>
      <c r="R2980" s="55">
        <v>10</v>
      </c>
      <c r="S2980" s="55"/>
      <c r="T2980" s="55" t="s">
        <v>5596</v>
      </c>
      <c r="U2980" s="73" t="s">
        <v>351</v>
      </c>
      <c r="V2980" s="74">
        <v>44299</v>
      </c>
      <c r="W2980" s="74">
        <v>44349</v>
      </c>
      <c r="X2980" s="55">
        <v>10185767</v>
      </c>
      <c r="Y2980" s="55" t="s">
        <v>132</v>
      </c>
      <c r="AB2980" s="55" t="s">
        <v>132</v>
      </c>
      <c r="AC2980" s="55" t="s">
        <v>132</v>
      </c>
    </row>
    <row r="2981" spans="1:29" ht="13" x14ac:dyDescent="0.15">
      <c r="A2981" s="72" t="str">
        <f t="shared" si="46"/>
        <v>Ofsted Social Care Provider Webpage</v>
      </c>
      <c r="B2981" s="55" t="s">
        <v>5597</v>
      </c>
      <c r="D2981" s="55" t="s">
        <v>373</v>
      </c>
      <c r="E2981" s="74">
        <v>40661</v>
      </c>
      <c r="F2981" s="55" t="s">
        <v>344</v>
      </c>
      <c r="G2981" s="55" t="s">
        <v>360</v>
      </c>
      <c r="H2981" s="55" t="s">
        <v>360</v>
      </c>
      <c r="I2981" s="55" t="s">
        <v>360</v>
      </c>
      <c r="J2981" s="55" t="s">
        <v>360</v>
      </c>
      <c r="K2981" s="55" t="s">
        <v>360</v>
      </c>
      <c r="L2981" s="55" t="s">
        <v>360</v>
      </c>
      <c r="M2981" s="55" t="s">
        <v>142</v>
      </c>
      <c r="N2981" s="55" t="s">
        <v>142</v>
      </c>
      <c r="O2981" s="55" t="s">
        <v>262</v>
      </c>
      <c r="P2981" s="55" t="s">
        <v>488</v>
      </c>
      <c r="Q2981" s="55" t="s">
        <v>350</v>
      </c>
      <c r="R2981" s="55">
        <v>3</v>
      </c>
      <c r="S2981" s="55"/>
      <c r="T2981" s="55" t="s">
        <v>5366</v>
      </c>
      <c r="U2981" s="73" t="s">
        <v>351</v>
      </c>
      <c r="V2981" s="74">
        <v>44481</v>
      </c>
      <c r="W2981" s="74">
        <v>44524</v>
      </c>
      <c r="X2981" s="55">
        <v>10186751</v>
      </c>
      <c r="Y2981" s="55" t="s">
        <v>130</v>
      </c>
      <c r="AB2981" s="55" t="s">
        <v>130</v>
      </c>
      <c r="AC2981" s="55" t="s">
        <v>130</v>
      </c>
    </row>
    <row r="2982" spans="1:29" ht="13" x14ac:dyDescent="0.15">
      <c r="A2982" s="72" t="str">
        <f t="shared" si="46"/>
        <v>Ofsted Social Care Provider Webpage</v>
      </c>
      <c r="B2982" s="55" t="s">
        <v>5598</v>
      </c>
      <c r="D2982" s="55" t="s">
        <v>373</v>
      </c>
      <c r="E2982" s="74">
        <v>40697</v>
      </c>
      <c r="F2982" s="55" t="s">
        <v>344</v>
      </c>
      <c r="G2982" s="55" t="s">
        <v>360</v>
      </c>
      <c r="H2982" s="55" t="s">
        <v>360</v>
      </c>
      <c r="I2982" s="55" t="s">
        <v>360</v>
      </c>
      <c r="J2982" s="55" t="s">
        <v>360</v>
      </c>
      <c r="K2982" s="55" t="s">
        <v>360</v>
      </c>
      <c r="L2982" s="55" t="s">
        <v>360</v>
      </c>
      <c r="M2982" s="55" t="s">
        <v>144</v>
      </c>
      <c r="N2982" s="55" t="s">
        <v>144</v>
      </c>
      <c r="O2982" s="55" t="s">
        <v>250</v>
      </c>
      <c r="P2982" s="55" t="s">
        <v>759</v>
      </c>
      <c r="Q2982" s="55" t="s">
        <v>362</v>
      </c>
      <c r="R2982" s="55">
        <v>7</v>
      </c>
      <c r="S2982" s="55"/>
      <c r="T2982" s="55" t="s">
        <v>5599</v>
      </c>
      <c r="U2982" s="73" t="s">
        <v>351</v>
      </c>
      <c r="V2982" s="74">
        <v>44495</v>
      </c>
      <c r="W2982" s="74">
        <v>44524</v>
      </c>
      <c r="X2982" s="55">
        <v>10196705</v>
      </c>
      <c r="Y2982" s="55" t="s">
        <v>132</v>
      </c>
      <c r="AB2982" s="55" t="s">
        <v>132</v>
      </c>
      <c r="AC2982" s="55" t="s">
        <v>132</v>
      </c>
    </row>
    <row r="2983" spans="1:29" ht="13" x14ac:dyDescent="0.15">
      <c r="A2983" s="72" t="str">
        <f t="shared" si="46"/>
        <v>Ofsted Social Care Provider Webpage</v>
      </c>
      <c r="B2983" s="55" t="s">
        <v>5600</v>
      </c>
      <c r="D2983" s="55" t="s">
        <v>373</v>
      </c>
      <c r="E2983" s="74">
        <v>40639</v>
      </c>
      <c r="F2983" s="55" t="s">
        <v>344</v>
      </c>
      <c r="G2983" s="55" t="s">
        <v>360</v>
      </c>
      <c r="H2983" s="55" t="s">
        <v>360</v>
      </c>
      <c r="I2983" s="55" t="s">
        <v>360</v>
      </c>
      <c r="J2983" s="55" t="s">
        <v>360</v>
      </c>
      <c r="K2983" s="55" t="s">
        <v>360</v>
      </c>
      <c r="L2983" s="55" t="s">
        <v>360</v>
      </c>
      <c r="M2983" s="55" t="s">
        <v>138</v>
      </c>
      <c r="N2983" s="55" t="s">
        <v>138</v>
      </c>
      <c r="O2983" s="55" t="s">
        <v>196</v>
      </c>
      <c r="P2983" s="55" t="s">
        <v>1368</v>
      </c>
      <c r="Q2983" s="55" t="s">
        <v>362</v>
      </c>
      <c r="R2983" s="55">
        <v>6</v>
      </c>
      <c r="S2983" s="55" t="s">
        <v>332</v>
      </c>
      <c r="T2983" s="55" t="s">
        <v>367</v>
      </c>
      <c r="U2983" s="73" t="s">
        <v>351</v>
      </c>
      <c r="V2983" s="74">
        <v>44538</v>
      </c>
      <c r="W2983" s="74">
        <v>44585</v>
      </c>
      <c r="X2983" s="55">
        <v>10185072</v>
      </c>
      <c r="Y2983" s="55" t="s">
        <v>132</v>
      </c>
      <c r="AB2983" s="55" t="s">
        <v>132</v>
      </c>
      <c r="AC2983" s="55" t="s">
        <v>132</v>
      </c>
    </row>
    <row r="2984" spans="1:29" ht="13" x14ac:dyDescent="0.15">
      <c r="A2984" s="72" t="str">
        <f t="shared" si="46"/>
        <v>Ofsted Social Care Provider Webpage</v>
      </c>
      <c r="B2984" s="55" t="s">
        <v>5601</v>
      </c>
      <c r="D2984" s="55" t="s">
        <v>373</v>
      </c>
      <c r="E2984" s="74">
        <v>40635</v>
      </c>
      <c r="F2984" s="55" t="s">
        <v>344</v>
      </c>
      <c r="G2984" s="55" t="s">
        <v>360</v>
      </c>
      <c r="H2984" s="55" t="s">
        <v>360</v>
      </c>
      <c r="I2984" s="55" t="s">
        <v>360</v>
      </c>
      <c r="J2984" s="55" t="s">
        <v>360</v>
      </c>
      <c r="K2984" s="55" t="s">
        <v>360</v>
      </c>
      <c r="L2984" s="55" t="s">
        <v>360</v>
      </c>
      <c r="M2984" s="55" t="s">
        <v>142</v>
      </c>
      <c r="N2984" s="55" t="s">
        <v>142</v>
      </c>
      <c r="O2984" s="55" t="s">
        <v>265</v>
      </c>
      <c r="P2984" s="55" t="s">
        <v>540</v>
      </c>
      <c r="Q2984" s="55" t="s">
        <v>350</v>
      </c>
      <c r="R2984" s="55">
        <v>2</v>
      </c>
      <c r="S2984" s="55"/>
      <c r="T2984" s="55" t="s">
        <v>917</v>
      </c>
      <c r="U2984" s="73" t="s">
        <v>351</v>
      </c>
      <c r="V2984" s="74">
        <v>44573</v>
      </c>
      <c r="W2984" s="74">
        <v>44610</v>
      </c>
      <c r="X2984" s="55">
        <v>10186570</v>
      </c>
      <c r="Y2984" s="55" t="s">
        <v>132</v>
      </c>
      <c r="AB2984" s="55" t="s">
        <v>132</v>
      </c>
      <c r="AC2984" s="55" t="s">
        <v>132</v>
      </c>
    </row>
    <row r="2985" spans="1:29" ht="13" x14ac:dyDescent="0.15">
      <c r="A2985" s="72" t="str">
        <f t="shared" si="46"/>
        <v>Ofsted Social Care Provider Webpage</v>
      </c>
      <c r="B2985" s="55" t="s">
        <v>5602</v>
      </c>
      <c r="D2985" s="55" t="s">
        <v>373</v>
      </c>
      <c r="E2985" s="74">
        <v>40791</v>
      </c>
      <c r="F2985" s="55" t="s">
        <v>344</v>
      </c>
      <c r="G2985" s="55" t="s">
        <v>360</v>
      </c>
      <c r="H2985" s="55" t="s">
        <v>360</v>
      </c>
      <c r="I2985" s="55" t="s">
        <v>360</v>
      </c>
      <c r="J2985" s="55" t="s">
        <v>360</v>
      </c>
      <c r="K2985" s="55" t="s">
        <v>360</v>
      </c>
      <c r="L2985" s="55" t="s">
        <v>360</v>
      </c>
      <c r="M2985" s="55" t="s">
        <v>150</v>
      </c>
      <c r="N2985" s="55" t="s">
        <v>150</v>
      </c>
      <c r="O2985" s="55" t="s">
        <v>268</v>
      </c>
      <c r="P2985" s="55" t="s">
        <v>1943</v>
      </c>
      <c r="Q2985" s="55" t="s">
        <v>350</v>
      </c>
      <c r="R2985" s="55">
        <v>3</v>
      </c>
      <c r="S2985" s="55"/>
      <c r="T2985" s="55" t="s">
        <v>931</v>
      </c>
      <c r="U2985" s="73" t="s">
        <v>351</v>
      </c>
      <c r="V2985" s="74">
        <v>44369</v>
      </c>
      <c r="W2985" s="74">
        <v>44404</v>
      </c>
      <c r="X2985" s="55">
        <v>10186634</v>
      </c>
      <c r="Y2985" s="55" t="s">
        <v>132</v>
      </c>
      <c r="AB2985" s="55" t="s">
        <v>132</v>
      </c>
      <c r="AC2985" s="55" t="s">
        <v>132</v>
      </c>
    </row>
    <row r="2986" spans="1:29" ht="13" x14ac:dyDescent="0.15">
      <c r="A2986" s="72" t="str">
        <f t="shared" si="46"/>
        <v>Ofsted Social Care Provider Webpage</v>
      </c>
      <c r="B2986" s="55" t="s">
        <v>5603</v>
      </c>
      <c r="D2986" s="55" t="s">
        <v>373</v>
      </c>
      <c r="E2986" s="74">
        <v>40707</v>
      </c>
      <c r="F2986" s="55" t="s">
        <v>344</v>
      </c>
      <c r="G2986" s="55" t="s">
        <v>360</v>
      </c>
      <c r="H2986" s="55" t="s">
        <v>360</v>
      </c>
      <c r="I2986" s="55" t="s">
        <v>360</v>
      </c>
      <c r="J2986" s="55" t="s">
        <v>360</v>
      </c>
      <c r="K2986" s="55" t="s">
        <v>360</v>
      </c>
      <c r="L2986" s="55" t="s">
        <v>360</v>
      </c>
      <c r="M2986" s="55" t="s">
        <v>142</v>
      </c>
      <c r="N2986" s="55" t="s">
        <v>142</v>
      </c>
      <c r="O2986" s="55" t="s">
        <v>272</v>
      </c>
      <c r="P2986" s="55" t="s">
        <v>653</v>
      </c>
      <c r="Q2986" s="55" t="s">
        <v>350</v>
      </c>
      <c r="R2986" s="55">
        <v>6</v>
      </c>
      <c r="S2986" s="55"/>
      <c r="T2986" s="55" t="s">
        <v>751</v>
      </c>
      <c r="U2986" s="73" t="s">
        <v>351</v>
      </c>
      <c r="V2986" s="74">
        <v>44537</v>
      </c>
      <c r="W2986" s="74">
        <v>44592</v>
      </c>
      <c r="X2986" s="55">
        <v>10186749</v>
      </c>
      <c r="Y2986" s="55" t="s">
        <v>130</v>
      </c>
      <c r="AB2986" s="55" t="s">
        <v>130</v>
      </c>
      <c r="AC2986" s="55" t="s">
        <v>130</v>
      </c>
    </row>
    <row r="2987" spans="1:29" ht="13" x14ac:dyDescent="0.15">
      <c r="A2987" s="72" t="str">
        <f t="shared" si="46"/>
        <v>Ofsted Social Care Provider Webpage</v>
      </c>
      <c r="B2987" s="55" t="s">
        <v>5604</v>
      </c>
      <c r="D2987" s="55" t="s">
        <v>373</v>
      </c>
      <c r="E2987" s="74">
        <v>40673</v>
      </c>
      <c r="F2987" s="55" t="s">
        <v>344</v>
      </c>
      <c r="G2987" s="55" t="s">
        <v>360</v>
      </c>
      <c r="H2987" s="55" t="s">
        <v>360</v>
      </c>
      <c r="I2987" s="55" t="s">
        <v>360</v>
      </c>
      <c r="J2987" s="55" t="s">
        <v>360</v>
      </c>
      <c r="K2987" s="55" t="s">
        <v>360</v>
      </c>
      <c r="L2987" s="55" t="s">
        <v>360</v>
      </c>
      <c r="M2987" s="55" t="s">
        <v>172</v>
      </c>
      <c r="N2987" s="55" t="s">
        <v>172</v>
      </c>
      <c r="O2987" s="55" t="s">
        <v>173</v>
      </c>
      <c r="P2987" s="55" t="s">
        <v>1540</v>
      </c>
      <c r="Q2987" s="55" t="s">
        <v>350</v>
      </c>
      <c r="R2987" s="55">
        <v>6</v>
      </c>
      <c r="S2987" s="55"/>
      <c r="T2987" s="55" t="s">
        <v>1713</v>
      </c>
      <c r="U2987" s="73" t="s">
        <v>351</v>
      </c>
      <c r="V2987" s="74">
        <v>44622</v>
      </c>
      <c r="W2987" s="74">
        <v>44665</v>
      </c>
      <c r="X2987" s="55">
        <v>10187209</v>
      </c>
      <c r="Y2987" s="55" t="s">
        <v>140</v>
      </c>
      <c r="AB2987" s="55" t="s">
        <v>140</v>
      </c>
      <c r="AC2987" s="55" t="s">
        <v>140</v>
      </c>
    </row>
    <row r="2988" spans="1:29" ht="13" x14ac:dyDescent="0.15">
      <c r="A2988" s="72" t="str">
        <f t="shared" si="46"/>
        <v>Ofsted Social Care Provider Webpage</v>
      </c>
      <c r="B2988" s="55" t="s">
        <v>5605</v>
      </c>
      <c r="D2988" s="55" t="s">
        <v>373</v>
      </c>
      <c r="E2988" s="74">
        <v>40682</v>
      </c>
      <c r="F2988" s="55" t="s">
        <v>344</v>
      </c>
      <c r="G2988" s="55" t="s">
        <v>360</v>
      </c>
      <c r="H2988" s="55" t="s">
        <v>360</v>
      </c>
      <c r="I2988" s="55" t="s">
        <v>360</v>
      </c>
      <c r="J2988" s="55" t="s">
        <v>360</v>
      </c>
      <c r="K2988" s="55" t="s">
        <v>360</v>
      </c>
      <c r="L2988" s="55" t="s">
        <v>360</v>
      </c>
      <c r="M2988" s="55" t="s">
        <v>172</v>
      </c>
      <c r="N2988" s="55" t="s">
        <v>172</v>
      </c>
      <c r="O2988" s="55" t="s">
        <v>234</v>
      </c>
      <c r="P2988" s="55" t="s">
        <v>965</v>
      </c>
      <c r="Q2988" s="55" t="s">
        <v>380</v>
      </c>
      <c r="R2988" s="55">
        <v>3</v>
      </c>
      <c r="S2988" s="55"/>
      <c r="T2988" s="55" t="s">
        <v>1271</v>
      </c>
      <c r="U2988" s="73" t="s">
        <v>351</v>
      </c>
      <c r="V2988" s="74">
        <v>44621</v>
      </c>
      <c r="W2988" s="74">
        <v>44659</v>
      </c>
      <c r="X2988" s="55">
        <v>10186005</v>
      </c>
      <c r="Y2988" s="55" t="s">
        <v>132</v>
      </c>
      <c r="AB2988" s="55" t="s">
        <v>132</v>
      </c>
      <c r="AC2988" s="55" t="s">
        <v>132</v>
      </c>
    </row>
    <row r="2989" spans="1:29" ht="13" x14ac:dyDescent="0.15">
      <c r="A2989" s="72" t="str">
        <f t="shared" si="46"/>
        <v>Ofsted Social Care Provider Webpage</v>
      </c>
      <c r="B2989" s="55" t="s">
        <v>5606</v>
      </c>
      <c r="D2989" s="55" t="s">
        <v>373</v>
      </c>
      <c r="E2989" s="74">
        <v>40668</v>
      </c>
      <c r="F2989" s="55" t="s">
        <v>344</v>
      </c>
      <c r="G2989" s="55" t="s">
        <v>360</v>
      </c>
      <c r="H2989" s="55" t="s">
        <v>360</v>
      </c>
      <c r="I2989" s="55" t="s">
        <v>360</v>
      </c>
      <c r="J2989" s="55" t="s">
        <v>360</v>
      </c>
      <c r="K2989" s="55" t="s">
        <v>360</v>
      </c>
      <c r="L2989" s="55" t="s">
        <v>360</v>
      </c>
      <c r="M2989" s="55" t="s">
        <v>138</v>
      </c>
      <c r="N2989" s="55" t="s">
        <v>138</v>
      </c>
      <c r="O2989" s="55" t="s">
        <v>266</v>
      </c>
      <c r="P2989" s="55" t="s">
        <v>4472</v>
      </c>
      <c r="Q2989" s="55" t="s">
        <v>350</v>
      </c>
      <c r="R2989" s="55">
        <v>3</v>
      </c>
      <c r="S2989" s="55"/>
      <c r="T2989" s="55" t="s">
        <v>5607</v>
      </c>
      <c r="U2989" s="73" t="s">
        <v>351</v>
      </c>
      <c r="V2989" s="74">
        <v>44354</v>
      </c>
      <c r="W2989" s="74">
        <v>44377</v>
      </c>
      <c r="X2989" s="55">
        <v>10187644</v>
      </c>
      <c r="Y2989" s="55" t="s">
        <v>132</v>
      </c>
      <c r="AB2989" s="55" t="s">
        <v>132</v>
      </c>
      <c r="AC2989" s="55" t="s">
        <v>130</v>
      </c>
    </row>
    <row r="2990" spans="1:29" ht="13" x14ac:dyDescent="0.15">
      <c r="A2990" s="72" t="str">
        <f t="shared" si="46"/>
        <v>Ofsted Social Care Provider Webpage</v>
      </c>
      <c r="B2990" s="55" t="s">
        <v>5608</v>
      </c>
      <c r="D2990" s="55" t="s">
        <v>373</v>
      </c>
      <c r="E2990" s="74">
        <v>40660</v>
      </c>
      <c r="F2990" s="55" t="s">
        <v>344</v>
      </c>
      <c r="G2990" s="55" t="s">
        <v>360</v>
      </c>
      <c r="H2990" s="55" t="s">
        <v>360</v>
      </c>
      <c r="I2990" s="55" t="s">
        <v>360</v>
      </c>
      <c r="J2990" s="55" t="s">
        <v>360</v>
      </c>
      <c r="K2990" s="55" t="s">
        <v>360</v>
      </c>
      <c r="L2990" s="55" t="s">
        <v>360</v>
      </c>
      <c r="M2990" s="55" t="s">
        <v>378</v>
      </c>
      <c r="N2990" s="55" t="s">
        <v>134</v>
      </c>
      <c r="O2990" s="55" t="s">
        <v>277</v>
      </c>
      <c r="P2990" s="55" t="s">
        <v>461</v>
      </c>
      <c r="Q2990" s="55" t="s">
        <v>380</v>
      </c>
      <c r="R2990" s="55">
        <v>7</v>
      </c>
      <c r="S2990" s="55" t="s">
        <v>332</v>
      </c>
      <c r="T2990" s="55" t="s">
        <v>1575</v>
      </c>
      <c r="U2990" s="73" t="s">
        <v>351</v>
      </c>
      <c r="V2990" s="74">
        <v>43795</v>
      </c>
      <c r="W2990" s="74">
        <v>43840</v>
      </c>
      <c r="X2990" s="55">
        <v>10096465</v>
      </c>
      <c r="Y2990" s="55" t="s">
        <v>140</v>
      </c>
      <c r="AB2990" s="55" t="s">
        <v>140</v>
      </c>
      <c r="AC2990" s="55" t="s">
        <v>132</v>
      </c>
    </row>
    <row r="2991" spans="1:29" ht="13" x14ac:dyDescent="0.15">
      <c r="A2991" s="72" t="str">
        <f t="shared" si="46"/>
        <v>Ofsted Social Care Provider Webpage</v>
      </c>
      <c r="B2991" s="55" t="s">
        <v>5609</v>
      </c>
      <c r="D2991" s="55" t="s">
        <v>373</v>
      </c>
      <c r="E2991" s="74">
        <v>40717</v>
      </c>
      <c r="F2991" s="55" t="s">
        <v>344</v>
      </c>
      <c r="G2991" s="55" t="s">
        <v>360</v>
      </c>
      <c r="H2991" s="55" t="s">
        <v>360</v>
      </c>
      <c r="I2991" s="55" t="s">
        <v>360</v>
      </c>
      <c r="J2991" s="55" t="s">
        <v>360</v>
      </c>
      <c r="K2991" s="55" t="s">
        <v>360</v>
      </c>
      <c r="L2991" s="55" t="s">
        <v>360</v>
      </c>
      <c r="M2991" s="55" t="s">
        <v>144</v>
      </c>
      <c r="N2991" s="55" t="s">
        <v>144</v>
      </c>
      <c r="O2991" s="55" t="s">
        <v>248</v>
      </c>
      <c r="P2991" s="55" t="s">
        <v>397</v>
      </c>
      <c r="Q2991" s="55" t="s">
        <v>350</v>
      </c>
      <c r="R2991" s="55">
        <v>5</v>
      </c>
      <c r="S2991" s="55"/>
      <c r="T2991" s="55" t="s">
        <v>656</v>
      </c>
      <c r="U2991" s="73" t="s">
        <v>351</v>
      </c>
      <c r="V2991" s="74">
        <v>44461</v>
      </c>
      <c r="W2991" s="74">
        <v>44491</v>
      </c>
      <c r="X2991" s="55">
        <v>10186541</v>
      </c>
      <c r="Y2991" s="55" t="s">
        <v>140</v>
      </c>
      <c r="AB2991" s="55" t="s">
        <v>140</v>
      </c>
      <c r="AC2991" s="55" t="s">
        <v>140</v>
      </c>
    </row>
    <row r="2992" spans="1:29" ht="13" x14ac:dyDescent="0.15">
      <c r="A2992" s="72" t="str">
        <f t="shared" si="46"/>
        <v>Ofsted Social Care Provider Webpage</v>
      </c>
      <c r="B2992" s="55" t="s">
        <v>5610</v>
      </c>
      <c r="D2992" s="55" t="s">
        <v>373</v>
      </c>
      <c r="E2992" s="74">
        <v>40724</v>
      </c>
      <c r="F2992" s="55" t="s">
        <v>344</v>
      </c>
      <c r="G2992" s="55" t="s">
        <v>360</v>
      </c>
      <c r="H2992" s="55" t="s">
        <v>360</v>
      </c>
      <c r="I2992" s="55" t="s">
        <v>360</v>
      </c>
      <c r="J2992" s="55" t="s">
        <v>360</v>
      </c>
      <c r="K2992" s="55" t="s">
        <v>360</v>
      </c>
      <c r="L2992" s="55" t="s">
        <v>360</v>
      </c>
      <c r="M2992" s="55" t="s">
        <v>378</v>
      </c>
      <c r="N2992" s="55" t="s">
        <v>134</v>
      </c>
      <c r="O2992" s="55" t="s">
        <v>251</v>
      </c>
      <c r="P2992" s="55" t="s">
        <v>4655</v>
      </c>
      <c r="Q2992" s="55" t="s">
        <v>350</v>
      </c>
      <c r="R2992" s="55">
        <v>4</v>
      </c>
      <c r="S2992" s="55"/>
      <c r="T2992" s="55" t="s">
        <v>1105</v>
      </c>
      <c r="U2992" s="73" t="s">
        <v>351</v>
      </c>
      <c r="V2992" s="74">
        <v>44580</v>
      </c>
      <c r="W2992" s="74">
        <v>44627</v>
      </c>
      <c r="X2992" s="55">
        <v>10185427</v>
      </c>
      <c r="Y2992" s="55" t="s">
        <v>132</v>
      </c>
      <c r="AB2992" s="55" t="s">
        <v>132</v>
      </c>
      <c r="AC2992" s="55" t="s">
        <v>132</v>
      </c>
    </row>
    <row r="2993" spans="1:29" ht="13" x14ac:dyDescent="0.15">
      <c r="A2993" s="72" t="str">
        <f t="shared" si="46"/>
        <v>Ofsted Social Care Provider Webpage</v>
      </c>
      <c r="B2993" s="55" t="s">
        <v>5611</v>
      </c>
      <c r="D2993" s="55" t="s">
        <v>373</v>
      </c>
      <c r="E2993" s="74">
        <v>40711</v>
      </c>
      <c r="F2993" s="55" t="s">
        <v>344</v>
      </c>
      <c r="G2993" s="55" t="s">
        <v>360</v>
      </c>
      <c r="H2993" s="55" t="s">
        <v>360</v>
      </c>
      <c r="I2993" s="55" t="s">
        <v>360</v>
      </c>
      <c r="J2993" s="55" t="s">
        <v>360</v>
      </c>
      <c r="K2993" s="55" t="s">
        <v>360</v>
      </c>
      <c r="L2993" s="55" t="s">
        <v>360</v>
      </c>
      <c r="M2993" s="55" t="s">
        <v>378</v>
      </c>
      <c r="N2993" s="55" t="s">
        <v>134</v>
      </c>
      <c r="O2993" s="55" t="s">
        <v>210</v>
      </c>
      <c r="P2993" s="55" t="s">
        <v>3120</v>
      </c>
      <c r="Q2993" s="55" t="s">
        <v>350</v>
      </c>
      <c r="R2993" s="55">
        <v>3</v>
      </c>
      <c r="S2993" s="55"/>
      <c r="T2993" s="55" t="s">
        <v>385</v>
      </c>
      <c r="U2993" s="73" t="s">
        <v>351</v>
      </c>
      <c r="V2993" s="74">
        <v>44305</v>
      </c>
      <c r="W2993" s="74">
        <v>44342</v>
      </c>
      <c r="X2993" s="55">
        <v>10186174</v>
      </c>
      <c r="Y2993" s="55" t="s">
        <v>132</v>
      </c>
      <c r="AB2993" s="55" t="s">
        <v>132</v>
      </c>
      <c r="AC2993" s="55" t="s">
        <v>132</v>
      </c>
    </row>
    <row r="2994" spans="1:29" ht="13" x14ac:dyDescent="0.15">
      <c r="A2994" s="72" t="str">
        <f t="shared" si="46"/>
        <v>Ofsted Social Care Provider Webpage</v>
      </c>
      <c r="B2994" s="55" t="s">
        <v>5612</v>
      </c>
      <c r="D2994" s="55" t="s">
        <v>373</v>
      </c>
      <c r="E2994" s="74">
        <v>40781</v>
      </c>
      <c r="F2994" s="55" t="s">
        <v>344</v>
      </c>
      <c r="G2994" s="55" t="s">
        <v>360</v>
      </c>
      <c r="H2994" s="55" t="s">
        <v>360</v>
      </c>
      <c r="I2994" s="55" t="s">
        <v>360</v>
      </c>
      <c r="J2994" s="55" t="s">
        <v>360</v>
      </c>
      <c r="K2994" s="55" t="s">
        <v>360</v>
      </c>
      <c r="L2994" s="55" t="s">
        <v>360</v>
      </c>
      <c r="M2994" s="55" t="s">
        <v>136</v>
      </c>
      <c r="N2994" s="55" t="s">
        <v>136</v>
      </c>
      <c r="O2994" s="55" t="s">
        <v>165</v>
      </c>
      <c r="P2994" s="55" t="s">
        <v>1269</v>
      </c>
      <c r="Q2994" s="55" t="s">
        <v>851</v>
      </c>
      <c r="R2994" s="55">
        <v>2</v>
      </c>
      <c r="S2994" s="55" t="s">
        <v>332</v>
      </c>
      <c r="T2994" s="55" t="s">
        <v>5613</v>
      </c>
      <c r="U2994" s="73" t="s">
        <v>351</v>
      </c>
      <c r="V2994" s="74">
        <v>44495</v>
      </c>
      <c r="W2994" s="74">
        <v>44526</v>
      </c>
      <c r="X2994" s="55">
        <v>10185893</v>
      </c>
      <c r="Y2994" s="55" t="s">
        <v>132</v>
      </c>
      <c r="AB2994" s="55" t="s">
        <v>132</v>
      </c>
      <c r="AC2994" s="55" t="s">
        <v>132</v>
      </c>
    </row>
    <row r="2995" spans="1:29" ht="13" x14ac:dyDescent="0.15">
      <c r="A2995" s="72" t="str">
        <f t="shared" si="46"/>
        <v>Ofsted Social Care Provider Webpage</v>
      </c>
      <c r="B2995" s="55" t="s">
        <v>5614</v>
      </c>
      <c r="D2995" s="55" t="s">
        <v>373</v>
      </c>
      <c r="E2995" s="74">
        <v>40696</v>
      </c>
      <c r="F2995" s="55" t="s">
        <v>344</v>
      </c>
      <c r="G2995" s="55" t="s">
        <v>360</v>
      </c>
      <c r="H2995" s="55" t="s">
        <v>360</v>
      </c>
      <c r="I2995" s="55" t="s">
        <v>360</v>
      </c>
      <c r="J2995" s="55" t="s">
        <v>360</v>
      </c>
      <c r="K2995" s="55" t="s">
        <v>360</v>
      </c>
      <c r="L2995" s="55" t="s">
        <v>360</v>
      </c>
      <c r="M2995" s="55" t="s">
        <v>150</v>
      </c>
      <c r="N2995" s="55" t="s">
        <v>150</v>
      </c>
      <c r="O2995" s="55" t="s">
        <v>156</v>
      </c>
      <c r="P2995" s="55" t="s">
        <v>1576</v>
      </c>
      <c r="Q2995" s="55" t="s">
        <v>350</v>
      </c>
      <c r="R2995" s="55">
        <v>3</v>
      </c>
      <c r="S2995" s="55"/>
      <c r="T2995" s="55" t="s">
        <v>843</v>
      </c>
      <c r="U2995" s="73" t="s">
        <v>351</v>
      </c>
      <c r="V2995" s="74">
        <v>44579</v>
      </c>
      <c r="W2995" s="74">
        <v>44620</v>
      </c>
      <c r="X2995" s="55">
        <v>10186605</v>
      </c>
      <c r="Y2995" s="55" t="s">
        <v>132</v>
      </c>
      <c r="AB2995" s="55" t="s">
        <v>132</v>
      </c>
      <c r="AC2995" s="55" t="s">
        <v>140</v>
      </c>
    </row>
    <row r="2996" spans="1:29" ht="13" x14ac:dyDescent="0.15">
      <c r="A2996" s="72" t="str">
        <f t="shared" si="46"/>
        <v>Ofsted Social Care Provider Webpage</v>
      </c>
      <c r="B2996" s="55" t="s">
        <v>5615</v>
      </c>
      <c r="D2996" s="55" t="s">
        <v>373</v>
      </c>
      <c r="E2996" s="74">
        <v>40708</v>
      </c>
      <c r="F2996" s="55" t="s">
        <v>344</v>
      </c>
      <c r="G2996" s="55" t="s">
        <v>360</v>
      </c>
      <c r="H2996" s="55" t="s">
        <v>360</v>
      </c>
      <c r="I2996" s="55" t="s">
        <v>360</v>
      </c>
      <c r="J2996" s="55" t="s">
        <v>360</v>
      </c>
      <c r="K2996" s="55" t="s">
        <v>360</v>
      </c>
      <c r="L2996" s="55" t="s">
        <v>360</v>
      </c>
      <c r="M2996" s="55" t="s">
        <v>138</v>
      </c>
      <c r="N2996" s="55" t="s">
        <v>138</v>
      </c>
      <c r="O2996" s="55" t="s">
        <v>137</v>
      </c>
      <c r="P2996" s="55" t="s">
        <v>137</v>
      </c>
      <c r="Q2996" s="55" t="s">
        <v>350</v>
      </c>
      <c r="R2996" s="55">
        <v>4</v>
      </c>
      <c r="S2996" s="55"/>
      <c r="T2996" s="55" t="s">
        <v>644</v>
      </c>
      <c r="U2996" s="73" t="s">
        <v>351</v>
      </c>
      <c r="V2996" s="74">
        <v>44384</v>
      </c>
      <c r="W2996" s="74">
        <v>44410</v>
      </c>
      <c r="X2996" s="55">
        <v>10186620</v>
      </c>
      <c r="Y2996" s="55" t="s">
        <v>132</v>
      </c>
      <c r="AB2996" s="55" t="s">
        <v>132</v>
      </c>
      <c r="AC2996" s="55" t="s">
        <v>132</v>
      </c>
    </row>
    <row r="2997" spans="1:29" ht="13" x14ac:dyDescent="0.15">
      <c r="A2997" s="72" t="str">
        <f t="shared" si="46"/>
        <v>Ofsted Social Care Provider Webpage</v>
      </c>
      <c r="B2997" s="55" t="s">
        <v>5616</v>
      </c>
      <c r="D2997" s="55" t="s">
        <v>373</v>
      </c>
      <c r="E2997" s="74">
        <v>41000</v>
      </c>
      <c r="F2997" s="55" t="s">
        <v>344</v>
      </c>
      <c r="G2997" s="55" t="s">
        <v>360</v>
      </c>
      <c r="H2997" s="55" t="s">
        <v>360</v>
      </c>
      <c r="I2997" s="55" t="s">
        <v>360</v>
      </c>
      <c r="J2997" s="55" t="s">
        <v>360</v>
      </c>
      <c r="K2997" s="55" t="s">
        <v>360</v>
      </c>
      <c r="L2997" s="55" t="s">
        <v>360</v>
      </c>
      <c r="M2997" s="55" t="s">
        <v>136</v>
      </c>
      <c r="N2997" s="55" t="s">
        <v>136</v>
      </c>
      <c r="O2997" s="55" t="s">
        <v>165</v>
      </c>
      <c r="P2997" s="55" t="s">
        <v>748</v>
      </c>
      <c r="Q2997" s="55" t="s">
        <v>851</v>
      </c>
      <c r="R2997" s="55">
        <v>4</v>
      </c>
      <c r="S2997" s="55" t="s">
        <v>332</v>
      </c>
      <c r="T2997" s="55" t="s">
        <v>5613</v>
      </c>
      <c r="U2997" s="73" t="s">
        <v>351</v>
      </c>
      <c r="V2997" s="74">
        <v>44306</v>
      </c>
      <c r="W2997" s="74">
        <v>44329</v>
      </c>
      <c r="X2997" s="55">
        <v>10186213</v>
      </c>
      <c r="Y2997" s="55" t="s">
        <v>132</v>
      </c>
      <c r="AB2997" s="55" t="s">
        <v>132</v>
      </c>
      <c r="AC2997" s="55" t="s">
        <v>140</v>
      </c>
    </row>
    <row r="2998" spans="1:29" ht="13" x14ac:dyDescent="0.15">
      <c r="A2998" s="72" t="str">
        <f t="shared" si="46"/>
        <v>Ofsted Social Care Provider Webpage</v>
      </c>
      <c r="B2998" s="55" t="s">
        <v>5617</v>
      </c>
      <c r="D2998" s="55" t="s">
        <v>451</v>
      </c>
      <c r="E2998" s="74">
        <v>40808</v>
      </c>
      <c r="F2998" s="55" t="s">
        <v>344</v>
      </c>
      <c r="G2998" s="55" t="s">
        <v>5618</v>
      </c>
      <c r="H2998" s="55" t="s">
        <v>5619</v>
      </c>
      <c r="I2998" s="55" t="s">
        <v>5620</v>
      </c>
      <c r="J2998" s="55" t="s">
        <v>5621</v>
      </c>
      <c r="K2998" s="55" t="s">
        <v>203</v>
      </c>
      <c r="L2998" s="55" t="s">
        <v>5622</v>
      </c>
      <c r="M2998" s="55" t="s">
        <v>150</v>
      </c>
      <c r="N2998" s="55" t="s">
        <v>150</v>
      </c>
      <c r="O2998" s="55" t="s">
        <v>203</v>
      </c>
      <c r="P2998" s="55" t="s">
        <v>800</v>
      </c>
      <c r="Q2998" s="55" t="s">
        <v>350</v>
      </c>
      <c r="R2998" s="55">
        <v>5</v>
      </c>
      <c r="S2998" s="55"/>
      <c r="T2998" s="55" t="s">
        <v>5623</v>
      </c>
      <c r="U2998" s="73" t="s">
        <v>351</v>
      </c>
      <c r="V2998" s="74">
        <v>43495</v>
      </c>
      <c r="W2998" s="74">
        <v>43524</v>
      </c>
      <c r="X2998" s="55">
        <v>10045742</v>
      </c>
      <c r="Y2998" s="55" t="s">
        <v>140</v>
      </c>
      <c r="AB2998" s="55" t="s">
        <v>132</v>
      </c>
      <c r="AC2998" s="55" t="s">
        <v>132</v>
      </c>
    </row>
    <row r="2999" spans="1:29" ht="13" x14ac:dyDescent="0.15">
      <c r="A2999" s="72" t="str">
        <f t="shared" si="46"/>
        <v>Ofsted Social Care Provider Webpage</v>
      </c>
      <c r="B2999" s="55" t="s">
        <v>5624</v>
      </c>
      <c r="D2999" s="55" t="s">
        <v>373</v>
      </c>
      <c r="E2999" s="74">
        <v>40660</v>
      </c>
      <c r="F2999" s="55" t="s">
        <v>344</v>
      </c>
      <c r="G2999" s="55" t="s">
        <v>360</v>
      </c>
      <c r="H2999" s="55" t="s">
        <v>360</v>
      </c>
      <c r="I2999" s="55" t="s">
        <v>360</v>
      </c>
      <c r="J2999" s="55" t="s">
        <v>360</v>
      </c>
      <c r="K2999" s="55" t="s">
        <v>360</v>
      </c>
      <c r="L2999" s="55" t="s">
        <v>360</v>
      </c>
      <c r="M2999" s="55" t="s">
        <v>138</v>
      </c>
      <c r="N2999" s="55" t="s">
        <v>138</v>
      </c>
      <c r="O2999" s="55" t="s">
        <v>266</v>
      </c>
      <c r="P2999" s="55" t="s">
        <v>1622</v>
      </c>
      <c r="Q2999" s="55" t="s">
        <v>350</v>
      </c>
      <c r="R2999" s="55">
        <v>4</v>
      </c>
      <c r="S2999" s="55"/>
      <c r="T2999" s="55" t="s">
        <v>1553</v>
      </c>
      <c r="U2999" s="73" t="s">
        <v>351</v>
      </c>
      <c r="V2999" s="74">
        <v>44536</v>
      </c>
      <c r="W2999" s="74">
        <v>44572</v>
      </c>
      <c r="X2999" s="55">
        <v>10186375</v>
      </c>
      <c r="Y2999" s="55" t="s">
        <v>132</v>
      </c>
      <c r="AB2999" s="55" t="s">
        <v>132</v>
      </c>
      <c r="AC2999" s="55" t="s">
        <v>132</v>
      </c>
    </row>
    <row r="3000" spans="1:29" ht="13" x14ac:dyDescent="0.15">
      <c r="A3000" s="72" t="str">
        <f t="shared" si="46"/>
        <v>Ofsted Social Care Provider Webpage</v>
      </c>
      <c r="B3000" s="55" t="s">
        <v>5625</v>
      </c>
      <c r="D3000" s="55" t="s">
        <v>373</v>
      </c>
      <c r="E3000" s="74">
        <v>40746</v>
      </c>
      <c r="F3000" s="55" t="s">
        <v>344</v>
      </c>
      <c r="G3000" s="55" t="s">
        <v>360</v>
      </c>
      <c r="H3000" s="55" t="s">
        <v>360</v>
      </c>
      <c r="I3000" s="55" t="s">
        <v>360</v>
      </c>
      <c r="J3000" s="55" t="s">
        <v>360</v>
      </c>
      <c r="K3000" s="55" t="s">
        <v>360</v>
      </c>
      <c r="L3000" s="55" t="s">
        <v>360</v>
      </c>
      <c r="M3000" s="55" t="s">
        <v>138</v>
      </c>
      <c r="N3000" s="55" t="s">
        <v>138</v>
      </c>
      <c r="O3000" s="55" t="s">
        <v>266</v>
      </c>
      <c r="P3000" s="55" t="s">
        <v>1622</v>
      </c>
      <c r="Q3000" s="55" t="s">
        <v>350</v>
      </c>
      <c r="R3000" s="55">
        <v>4</v>
      </c>
      <c r="S3000" s="55"/>
      <c r="T3000" s="55" t="s">
        <v>1553</v>
      </c>
      <c r="U3000" s="73" t="s">
        <v>351</v>
      </c>
      <c r="V3000" s="74">
        <v>44532</v>
      </c>
      <c r="W3000" s="74">
        <v>44571</v>
      </c>
      <c r="X3000" s="55">
        <v>10185941</v>
      </c>
      <c r="Y3000" s="55" t="s">
        <v>132</v>
      </c>
      <c r="AB3000" s="55" t="s">
        <v>132</v>
      </c>
      <c r="AC3000" s="55" t="s">
        <v>132</v>
      </c>
    </row>
    <row r="3001" spans="1:29" ht="13" x14ac:dyDescent="0.15">
      <c r="A3001" s="72" t="str">
        <f t="shared" si="46"/>
        <v>Ofsted Social Care Provider Webpage</v>
      </c>
      <c r="B3001" s="55" t="s">
        <v>5626</v>
      </c>
      <c r="D3001" s="55" t="s">
        <v>373</v>
      </c>
      <c r="E3001" s="74">
        <v>40746</v>
      </c>
      <c r="F3001" s="55" t="s">
        <v>344</v>
      </c>
      <c r="G3001" s="55" t="s">
        <v>360</v>
      </c>
      <c r="H3001" s="55" t="s">
        <v>360</v>
      </c>
      <c r="I3001" s="55" t="s">
        <v>360</v>
      </c>
      <c r="J3001" s="55" t="s">
        <v>360</v>
      </c>
      <c r="K3001" s="55" t="s">
        <v>360</v>
      </c>
      <c r="L3001" s="55" t="s">
        <v>360</v>
      </c>
      <c r="M3001" s="55" t="s">
        <v>142</v>
      </c>
      <c r="N3001" s="55" t="s">
        <v>142</v>
      </c>
      <c r="O3001" s="55" t="s">
        <v>282</v>
      </c>
      <c r="P3001" s="55" t="s">
        <v>3266</v>
      </c>
      <c r="Q3001" s="55" t="s">
        <v>350</v>
      </c>
      <c r="R3001" s="55">
        <v>4</v>
      </c>
      <c r="S3001" s="55"/>
      <c r="T3001" s="55" t="s">
        <v>4531</v>
      </c>
      <c r="U3001" s="73" t="s">
        <v>351</v>
      </c>
      <c r="V3001" s="74">
        <v>44334</v>
      </c>
      <c r="W3001" s="74">
        <v>44418</v>
      </c>
      <c r="X3001" s="55">
        <v>10187190</v>
      </c>
      <c r="Y3001" s="55" t="s">
        <v>130</v>
      </c>
      <c r="AB3001" s="55" t="s">
        <v>130</v>
      </c>
      <c r="AC3001" s="55" t="s">
        <v>130</v>
      </c>
    </row>
    <row r="3002" spans="1:29" ht="13" x14ac:dyDescent="0.15">
      <c r="A3002" s="72" t="str">
        <f t="shared" si="46"/>
        <v>Ofsted Social Care Provider Webpage</v>
      </c>
      <c r="B3002" s="55" t="s">
        <v>5627</v>
      </c>
      <c r="D3002" s="55" t="s">
        <v>373</v>
      </c>
      <c r="E3002" s="74">
        <v>40746</v>
      </c>
      <c r="F3002" s="55" t="s">
        <v>344</v>
      </c>
      <c r="G3002" s="55" t="s">
        <v>360</v>
      </c>
      <c r="H3002" s="55" t="s">
        <v>360</v>
      </c>
      <c r="I3002" s="55" t="s">
        <v>360</v>
      </c>
      <c r="J3002" s="55" t="s">
        <v>360</v>
      </c>
      <c r="K3002" s="55" t="s">
        <v>360</v>
      </c>
      <c r="L3002" s="55" t="s">
        <v>360</v>
      </c>
      <c r="M3002" s="55" t="s">
        <v>378</v>
      </c>
      <c r="N3002" s="55" t="s">
        <v>170</v>
      </c>
      <c r="O3002" s="55" t="s">
        <v>178</v>
      </c>
      <c r="P3002" s="55" t="s">
        <v>1374</v>
      </c>
      <c r="Q3002" s="55" t="s">
        <v>350</v>
      </c>
      <c r="R3002" s="55">
        <v>4</v>
      </c>
      <c r="S3002" s="55"/>
      <c r="T3002" s="55" t="s">
        <v>5628</v>
      </c>
      <c r="U3002" s="73" t="s">
        <v>351</v>
      </c>
      <c r="V3002" s="74">
        <v>44447</v>
      </c>
      <c r="W3002" s="74">
        <v>44491</v>
      </c>
      <c r="X3002" s="55">
        <v>10185871</v>
      </c>
      <c r="Y3002" s="55" t="s">
        <v>132</v>
      </c>
      <c r="AB3002" s="55" t="s">
        <v>132</v>
      </c>
      <c r="AC3002" s="55" t="s">
        <v>130</v>
      </c>
    </row>
    <row r="3003" spans="1:29" ht="13" x14ac:dyDescent="0.15">
      <c r="A3003" s="72" t="str">
        <f t="shared" si="46"/>
        <v>Ofsted Social Care Provider Webpage</v>
      </c>
      <c r="B3003" s="55" t="s">
        <v>5629</v>
      </c>
      <c r="D3003" s="55" t="s">
        <v>373</v>
      </c>
      <c r="E3003" s="74">
        <v>40696</v>
      </c>
      <c r="F3003" s="55" t="s">
        <v>344</v>
      </c>
      <c r="G3003" s="55" t="s">
        <v>360</v>
      </c>
      <c r="H3003" s="55" t="s">
        <v>360</v>
      </c>
      <c r="I3003" s="55" t="s">
        <v>360</v>
      </c>
      <c r="J3003" s="55" t="s">
        <v>360</v>
      </c>
      <c r="K3003" s="55" t="s">
        <v>360</v>
      </c>
      <c r="L3003" s="55" t="s">
        <v>360</v>
      </c>
      <c r="M3003" s="55" t="s">
        <v>138</v>
      </c>
      <c r="N3003" s="55" t="s">
        <v>138</v>
      </c>
      <c r="O3003" s="55" t="s">
        <v>266</v>
      </c>
      <c r="P3003" s="55" t="s">
        <v>934</v>
      </c>
      <c r="Q3003" s="55" t="s">
        <v>380</v>
      </c>
      <c r="R3003" s="55">
        <v>7</v>
      </c>
      <c r="S3003" s="55"/>
      <c r="T3003" s="55" t="s">
        <v>3510</v>
      </c>
      <c r="U3003" s="73" t="s">
        <v>351</v>
      </c>
      <c r="V3003" s="74">
        <v>44375</v>
      </c>
      <c r="W3003" s="74">
        <v>44400</v>
      </c>
      <c r="X3003" s="55">
        <v>10185101</v>
      </c>
      <c r="Y3003" s="55" t="s">
        <v>130</v>
      </c>
      <c r="AB3003" s="55" t="s">
        <v>130</v>
      </c>
      <c r="AC3003" s="55" t="s">
        <v>130</v>
      </c>
    </row>
    <row r="3004" spans="1:29" ht="13" x14ac:dyDescent="0.15">
      <c r="A3004" s="72" t="str">
        <f t="shared" si="46"/>
        <v>Ofsted Social Care Provider Webpage</v>
      </c>
      <c r="B3004" s="55" t="s">
        <v>5630</v>
      </c>
      <c r="D3004" s="55" t="s">
        <v>373</v>
      </c>
      <c r="E3004" s="74">
        <v>40709</v>
      </c>
      <c r="F3004" s="55" t="s">
        <v>344</v>
      </c>
      <c r="G3004" s="55" t="s">
        <v>360</v>
      </c>
      <c r="H3004" s="55" t="s">
        <v>360</v>
      </c>
      <c r="I3004" s="55" t="s">
        <v>360</v>
      </c>
      <c r="J3004" s="55" t="s">
        <v>360</v>
      </c>
      <c r="K3004" s="55" t="s">
        <v>360</v>
      </c>
      <c r="L3004" s="55" t="s">
        <v>360</v>
      </c>
      <c r="M3004" s="55" t="s">
        <v>144</v>
      </c>
      <c r="N3004" s="55" t="s">
        <v>144</v>
      </c>
      <c r="O3004" s="55" t="s">
        <v>271</v>
      </c>
      <c r="P3004" s="55" t="s">
        <v>1120</v>
      </c>
      <c r="Q3004" s="55" t="s">
        <v>350</v>
      </c>
      <c r="R3004" s="55">
        <v>5</v>
      </c>
      <c r="S3004" s="55"/>
      <c r="T3004" s="55" t="s">
        <v>385</v>
      </c>
      <c r="U3004" s="73" t="s">
        <v>351</v>
      </c>
      <c r="V3004" s="74">
        <v>44538</v>
      </c>
      <c r="W3004" s="74">
        <v>44586</v>
      </c>
      <c r="X3004" s="55">
        <v>10186248</v>
      </c>
      <c r="Y3004" s="55" t="s">
        <v>132</v>
      </c>
      <c r="AB3004" s="55" t="s">
        <v>132</v>
      </c>
      <c r="AC3004" s="55" t="s">
        <v>130</v>
      </c>
    </row>
    <row r="3005" spans="1:29" ht="13" x14ac:dyDescent="0.15">
      <c r="A3005" s="72" t="str">
        <f t="shared" si="46"/>
        <v>Ofsted Social Care Provider Webpage</v>
      </c>
      <c r="B3005" s="55" t="s">
        <v>5631</v>
      </c>
      <c r="D3005" s="55" t="s">
        <v>373</v>
      </c>
      <c r="E3005" s="74">
        <v>40764</v>
      </c>
      <c r="F3005" s="55" t="s">
        <v>344</v>
      </c>
      <c r="G3005" s="55" t="s">
        <v>360</v>
      </c>
      <c r="H3005" s="55" t="s">
        <v>360</v>
      </c>
      <c r="I3005" s="55" t="s">
        <v>360</v>
      </c>
      <c r="J3005" s="55" t="s">
        <v>360</v>
      </c>
      <c r="K3005" s="55" t="s">
        <v>360</v>
      </c>
      <c r="L3005" s="55" t="s">
        <v>360</v>
      </c>
      <c r="M3005" s="55" t="s">
        <v>129</v>
      </c>
      <c r="N3005" s="55" t="s">
        <v>129</v>
      </c>
      <c r="O3005" s="55" t="s">
        <v>128</v>
      </c>
      <c r="P3005" s="55" t="s">
        <v>1467</v>
      </c>
      <c r="Q3005" s="55" t="s">
        <v>350</v>
      </c>
      <c r="R3005" s="55">
        <v>5</v>
      </c>
      <c r="S3005" s="55"/>
      <c r="T3005" s="55" t="s">
        <v>1532</v>
      </c>
      <c r="U3005" s="73" t="s">
        <v>351</v>
      </c>
      <c r="V3005" s="74">
        <v>44509</v>
      </c>
      <c r="W3005" s="74">
        <v>44547</v>
      </c>
      <c r="X3005" s="55">
        <v>10187349</v>
      </c>
      <c r="Y3005" s="55" t="s">
        <v>132</v>
      </c>
      <c r="AB3005" s="55" t="s">
        <v>132</v>
      </c>
      <c r="AC3005" s="55" t="s">
        <v>132</v>
      </c>
    </row>
    <row r="3006" spans="1:29" ht="13" x14ac:dyDescent="0.15">
      <c r="A3006" s="72" t="str">
        <f t="shared" si="46"/>
        <v>Ofsted Social Care Provider Webpage</v>
      </c>
      <c r="B3006" s="55" t="s">
        <v>5632</v>
      </c>
      <c r="D3006" s="55" t="s">
        <v>373</v>
      </c>
      <c r="E3006" s="74">
        <v>40731</v>
      </c>
      <c r="F3006" s="55" t="s">
        <v>344</v>
      </c>
      <c r="G3006" s="55" t="s">
        <v>360</v>
      </c>
      <c r="H3006" s="55" t="s">
        <v>360</v>
      </c>
      <c r="I3006" s="55" t="s">
        <v>360</v>
      </c>
      <c r="J3006" s="55" t="s">
        <v>360</v>
      </c>
      <c r="K3006" s="55" t="s">
        <v>360</v>
      </c>
      <c r="L3006" s="55" t="s">
        <v>360</v>
      </c>
      <c r="M3006" s="55" t="s">
        <v>172</v>
      </c>
      <c r="N3006" s="55" t="s">
        <v>172</v>
      </c>
      <c r="O3006" s="55" t="s">
        <v>284</v>
      </c>
      <c r="P3006" s="55" t="s">
        <v>357</v>
      </c>
      <c r="Q3006" s="55" t="s">
        <v>350</v>
      </c>
      <c r="R3006" s="55">
        <v>4</v>
      </c>
      <c r="S3006" s="55"/>
      <c r="T3006" s="55" t="s">
        <v>791</v>
      </c>
      <c r="U3006" s="73" t="s">
        <v>351</v>
      </c>
      <c r="V3006" s="74">
        <v>44495</v>
      </c>
      <c r="W3006" s="74">
        <v>44523</v>
      </c>
      <c r="X3006" s="55">
        <v>10187363</v>
      </c>
      <c r="Y3006" s="55" t="s">
        <v>132</v>
      </c>
      <c r="AB3006" s="55" t="s">
        <v>132</v>
      </c>
      <c r="AC3006" s="55" t="s">
        <v>132</v>
      </c>
    </row>
    <row r="3007" spans="1:29" ht="13" x14ac:dyDescent="0.15">
      <c r="A3007" s="72" t="str">
        <f t="shared" si="46"/>
        <v>Ofsted Social Care Provider Webpage</v>
      </c>
      <c r="B3007" s="55" t="s">
        <v>5633</v>
      </c>
      <c r="D3007" s="55" t="s">
        <v>389</v>
      </c>
      <c r="E3007" s="74">
        <v>40780</v>
      </c>
      <c r="F3007" s="55" t="s">
        <v>344</v>
      </c>
      <c r="G3007" s="55" t="s">
        <v>5634</v>
      </c>
      <c r="H3007" s="55" t="s">
        <v>5635</v>
      </c>
      <c r="I3007" s="55" t="s">
        <v>5636</v>
      </c>
      <c r="J3007" s="55" t="s">
        <v>1768</v>
      </c>
      <c r="K3007" s="55" t="s">
        <v>224</v>
      </c>
      <c r="L3007" s="55" t="s">
        <v>5637</v>
      </c>
      <c r="M3007" s="55" t="s">
        <v>138</v>
      </c>
      <c r="N3007" s="55" t="s">
        <v>138</v>
      </c>
      <c r="O3007" s="55" t="s">
        <v>224</v>
      </c>
      <c r="P3007" s="55" t="s">
        <v>2271</v>
      </c>
      <c r="Q3007" s="55" t="s">
        <v>362</v>
      </c>
      <c r="R3007" s="55"/>
      <c r="S3007" s="55"/>
      <c r="T3007" s="55" t="s">
        <v>557</v>
      </c>
      <c r="U3007" s="73" t="s">
        <v>351</v>
      </c>
      <c r="V3007" s="74">
        <v>44326</v>
      </c>
      <c r="W3007" s="74">
        <v>44356</v>
      </c>
      <c r="X3007" s="55">
        <v>10183260</v>
      </c>
      <c r="Y3007" s="55" t="s">
        <v>132</v>
      </c>
      <c r="AB3007" s="55" t="s">
        <v>132</v>
      </c>
      <c r="AC3007" s="55" t="s">
        <v>132</v>
      </c>
    </row>
    <row r="3008" spans="1:29" ht="13" x14ac:dyDescent="0.15">
      <c r="A3008" s="72" t="str">
        <f t="shared" si="46"/>
        <v>Ofsted Social Care Provider Webpage</v>
      </c>
      <c r="B3008" s="55" t="s">
        <v>5638</v>
      </c>
      <c r="D3008" s="55" t="s">
        <v>373</v>
      </c>
      <c r="E3008" s="74">
        <v>40750</v>
      </c>
      <c r="F3008" s="55" t="s">
        <v>344</v>
      </c>
      <c r="G3008" s="55" t="s">
        <v>360</v>
      </c>
      <c r="H3008" s="55" t="s">
        <v>360</v>
      </c>
      <c r="I3008" s="55" t="s">
        <v>360</v>
      </c>
      <c r="J3008" s="55" t="s">
        <v>360</v>
      </c>
      <c r="K3008" s="55" t="s">
        <v>360</v>
      </c>
      <c r="L3008" s="55" t="s">
        <v>360</v>
      </c>
      <c r="M3008" s="55" t="s">
        <v>144</v>
      </c>
      <c r="N3008" s="55" t="s">
        <v>144</v>
      </c>
      <c r="O3008" s="55" t="s">
        <v>250</v>
      </c>
      <c r="P3008" s="55" t="s">
        <v>361</v>
      </c>
      <c r="Q3008" s="55" t="s">
        <v>350</v>
      </c>
      <c r="R3008" s="55">
        <v>4</v>
      </c>
      <c r="S3008" s="55"/>
      <c r="T3008" s="55" t="s">
        <v>1296</v>
      </c>
      <c r="U3008" s="73" t="s">
        <v>351</v>
      </c>
      <c r="V3008" s="74">
        <v>44412</v>
      </c>
      <c r="W3008" s="74">
        <v>44468</v>
      </c>
      <c r="X3008" s="55">
        <v>10186630</v>
      </c>
      <c r="Y3008" s="55" t="s">
        <v>132</v>
      </c>
      <c r="AB3008" s="55" t="s">
        <v>132</v>
      </c>
      <c r="AC3008" s="55" t="s">
        <v>132</v>
      </c>
    </row>
    <row r="3009" spans="1:29" ht="13" x14ac:dyDescent="0.15">
      <c r="A3009" s="72" t="str">
        <f t="shared" si="46"/>
        <v>Ofsted Social Care Provider Webpage</v>
      </c>
      <c r="B3009" s="55" t="s">
        <v>5639</v>
      </c>
      <c r="D3009" s="55" t="s">
        <v>373</v>
      </c>
      <c r="E3009" s="74">
        <v>40787</v>
      </c>
      <c r="F3009" s="55" t="s">
        <v>344</v>
      </c>
      <c r="G3009" s="55" t="s">
        <v>360</v>
      </c>
      <c r="H3009" s="55" t="s">
        <v>360</v>
      </c>
      <c r="I3009" s="55" t="s">
        <v>360</v>
      </c>
      <c r="J3009" s="55" t="s">
        <v>360</v>
      </c>
      <c r="K3009" s="55" t="s">
        <v>360</v>
      </c>
      <c r="L3009" s="55" t="s">
        <v>360</v>
      </c>
      <c r="M3009" s="55" t="s">
        <v>138</v>
      </c>
      <c r="N3009" s="55" t="s">
        <v>138</v>
      </c>
      <c r="O3009" s="55" t="s">
        <v>224</v>
      </c>
      <c r="P3009" s="55" t="s">
        <v>374</v>
      </c>
      <c r="Q3009" s="55" t="s">
        <v>350</v>
      </c>
      <c r="R3009" s="55">
        <v>6</v>
      </c>
      <c r="S3009" s="55"/>
      <c r="T3009" s="55" t="s">
        <v>375</v>
      </c>
      <c r="U3009" s="73" t="s">
        <v>351</v>
      </c>
      <c r="V3009" s="74">
        <v>44355</v>
      </c>
      <c r="W3009" s="74">
        <v>44382</v>
      </c>
      <c r="X3009" s="55">
        <v>10186514</v>
      </c>
      <c r="Y3009" s="55" t="s">
        <v>132</v>
      </c>
      <c r="AB3009" s="55" t="s">
        <v>132</v>
      </c>
      <c r="AC3009" s="55" t="s">
        <v>132</v>
      </c>
    </row>
    <row r="3010" spans="1:29" ht="13" x14ac:dyDescent="0.15">
      <c r="A3010" s="72" t="str">
        <f t="shared" si="46"/>
        <v>Ofsted Social Care Provider Webpage</v>
      </c>
      <c r="B3010" s="55" t="s">
        <v>5640</v>
      </c>
      <c r="D3010" s="55" t="s">
        <v>373</v>
      </c>
      <c r="E3010" s="74">
        <v>40694</v>
      </c>
      <c r="F3010" s="55" t="s">
        <v>344</v>
      </c>
      <c r="G3010" s="55" t="s">
        <v>360</v>
      </c>
      <c r="H3010" s="55" t="s">
        <v>360</v>
      </c>
      <c r="I3010" s="55" t="s">
        <v>360</v>
      </c>
      <c r="J3010" s="55" t="s">
        <v>360</v>
      </c>
      <c r="K3010" s="55" t="s">
        <v>360</v>
      </c>
      <c r="L3010" s="55" t="s">
        <v>360</v>
      </c>
      <c r="M3010" s="55" t="s">
        <v>142</v>
      </c>
      <c r="N3010" s="55" t="s">
        <v>142</v>
      </c>
      <c r="O3010" s="55" t="s">
        <v>262</v>
      </c>
      <c r="P3010" s="55" t="s">
        <v>488</v>
      </c>
      <c r="Q3010" s="55" t="s">
        <v>350</v>
      </c>
      <c r="R3010" s="55">
        <v>2</v>
      </c>
      <c r="S3010" s="55"/>
      <c r="T3010" s="55" t="s">
        <v>1430</v>
      </c>
      <c r="U3010" s="73" t="s">
        <v>351</v>
      </c>
      <c r="V3010" s="74">
        <v>44572</v>
      </c>
      <c r="W3010" s="74">
        <v>44620</v>
      </c>
      <c r="X3010" s="55">
        <v>10186440</v>
      </c>
      <c r="Y3010" s="55" t="s">
        <v>130</v>
      </c>
      <c r="AB3010" s="55" t="s">
        <v>130</v>
      </c>
      <c r="AC3010" s="55" t="s">
        <v>146</v>
      </c>
    </row>
    <row r="3011" spans="1:29" ht="13" x14ac:dyDescent="0.15">
      <c r="A3011" s="72" t="str">
        <f t="shared" si="46"/>
        <v>Ofsted Social Care Provider Webpage</v>
      </c>
      <c r="B3011" s="55" t="s">
        <v>5641</v>
      </c>
      <c r="D3011" s="55" t="s">
        <v>373</v>
      </c>
      <c r="E3011" s="74">
        <v>40704</v>
      </c>
      <c r="F3011" s="55" t="s">
        <v>344</v>
      </c>
      <c r="G3011" s="55" t="s">
        <v>360</v>
      </c>
      <c r="H3011" s="55" t="s">
        <v>360</v>
      </c>
      <c r="I3011" s="55" t="s">
        <v>360</v>
      </c>
      <c r="J3011" s="55" t="s">
        <v>360</v>
      </c>
      <c r="K3011" s="55" t="s">
        <v>360</v>
      </c>
      <c r="L3011" s="55" t="s">
        <v>360</v>
      </c>
      <c r="M3011" s="55" t="s">
        <v>378</v>
      </c>
      <c r="N3011" s="55" t="s">
        <v>134</v>
      </c>
      <c r="O3011" s="55" t="s">
        <v>151</v>
      </c>
      <c r="P3011" s="55" t="s">
        <v>862</v>
      </c>
      <c r="Q3011" s="55" t="s">
        <v>380</v>
      </c>
      <c r="R3011" s="55">
        <v>10</v>
      </c>
      <c r="S3011" s="55" t="s">
        <v>332</v>
      </c>
      <c r="T3011" s="55" t="s">
        <v>1220</v>
      </c>
      <c r="U3011" s="73" t="s">
        <v>351</v>
      </c>
      <c r="V3011" s="74">
        <v>44418</v>
      </c>
      <c r="W3011" s="74">
        <v>44449</v>
      </c>
      <c r="X3011" s="55">
        <v>10187477</v>
      </c>
      <c r="Y3011" s="55" t="s">
        <v>130</v>
      </c>
      <c r="AB3011" s="55" t="s">
        <v>130</v>
      </c>
      <c r="AC3011" s="55" t="s">
        <v>130</v>
      </c>
    </row>
    <row r="3012" spans="1:29" ht="13" x14ac:dyDescent="0.15">
      <c r="A3012" s="72" t="str">
        <f t="shared" si="46"/>
        <v>Ofsted Social Care Provider Webpage</v>
      </c>
      <c r="B3012" s="55" t="s">
        <v>5642</v>
      </c>
      <c r="D3012" s="55" t="s">
        <v>373</v>
      </c>
      <c r="E3012" s="74">
        <v>40757</v>
      </c>
      <c r="F3012" s="55" t="s">
        <v>344</v>
      </c>
      <c r="G3012" s="55" t="s">
        <v>360</v>
      </c>
      <c r="H3012" s="55" t="s">
        <v>360</v>
      </c>
      <c r="I3012" s="55" t="s">
        <v>360</v>
      </c>
      <c r="J3012" s="55" t="s">
        <v>360</v>
      </c>
      <c r="K3012" s="55" t="s">
        <v>360</v>
      </c>
      <c r="L3012" s="55" t="s">
        <v>360</v>
      </c>
      <c r="M3012" s="55" t="s">
        <v>172</v>
      </c>
      <c r="N3012" s="55" t="s">
        <v>172</v>
      </c>
      <c r="O3012" s="55" t="s">
        <v>234</v>
      </c>
      <c r="P3012" s="55" t="s">
        <v>965</v>
      </c>
      <c r="Q3012" s="55" t="s">
        <v>350</v>
      </c>
      <c r="R3012" s="55">
        <v>3</v>
      </c>
      <c r="S3012" s="55"/>
      <c r="T3012" s="55" t="s">
        <v>5246</v>
      </c>
      <c r="U3012" s="73" t="s">
        <v>351</v>
      </c>
      <c r="V3012" s="74">
        <v>44466</v>
      </c>
      <c r="W3012" s="74">
        <v>44498</v>
      </c>
      <c r="X3012" s="55">
        <v>10187049</v>
      </c>
      <c r="Y3012" s="55" t="s">
        <v>130</v>
      </c>
      <c r="AB3012" s="55" t="s">
        <v>130</v>
      </c>
      <c r="AC3012" s="55" t="s">
        <v>130</v>
      </c>
    </row>
    <row r="3013" spans="1:29" ht="13" x14ac:dyDescent="0.15">
      <c r="A3013" s="72" t="str">
        <f t="shared" si="46"/>
        <v>Ofsted Social Care Provider Webpage</v>
      </c>
      <c r="B3013" s="55" t="s">
        <v>5643</v>
      </c>
      <c r="D3013" s="55" t="s">
        <v>373</v>
      </c>
      <c r="E3013" s="74">
        <v>40752</v>
      </c>
      <c r="F3013" s="55" t="s">
        <v>344</v>
      </c>
      <c r="G3013" s="55" t="s">
        <v>360</v>
      </c>
      <c r="H3013" s="55" t="s">
        <v>360</v>
      </c>
      <c r="I3013" s="55" t="s">
        <v>360</v>
      </c>
      <c r="J3013" s="55" t="s">
        <v>360</v>
      </c>
      <c r="K3013" s="55" t="s">
        <v>360</v>
      </c>
      <c r="L3013" s="55" t="s">
        <v>360</v>
      </c>
      <c r="M3013" s="55" t="s">
        <v>150</v>
      </c>
      <c r="N3013" s="55" t="s">
        <v>150</v>
      </c>
      <c r="O3013" s="55" t="s">
        <v>149</v>
      </c>
      <c r="P3013" s="55" t="s">
        <v>3548</v>
      </c>
      <c r="Q3013" s="55" t="s">
        <v>350</v>
      </c>
      <c r="R3013" s="55">
        <v>4</v>
      </c>
      <c r="S3013" s="55"/>
      <c r="T3013" s="55" t="s">
        <v>5644</v>
      </c>
      <c r="U3013" s="73" t="s">
        <v>351</v>
      </c>
      <c r="V3013" s="74">
        <v>44313</v>
      </c>
      <c r="W3013" s="74">
        <v>44342</v>
      </c>
      <c r="X3013" s="55">
        <v>10185903</v>
      </c>
      <c r="Y3013" s="55" t="s">
        <v>140</v>
      </c>
      <c r="AB3013" s="55" t="s">
        <v>140</v>
      </c>
      <c r="AC3013" s="55" t="s">
        <v>140</v>
      </c>
    </row>
    <row r="3014" spans="1:29" ht="13" x14ac:dyDescent="0.15">
      <c r="A3014" s="72" t="str">
        <f t="shared" ref="A3014:A3077" si="47">HYPERLINK(_xlfn.CONCAT("http://reports.ofsted.gov.uk/inspection-reports/find-inspection-report/provider/CARE/",B3014),"Ofsted Social Care Provider Webpage")</f>
        <v>Ofsted Social Care Provider Webpage</v>
      </c>
      <c r="B3014" s="55" t="s">
        <v>5645</v>
      </c>
      <c r="D3014" s="55" t="s">
        <v>373</v>
      </c>
      <c r="E3014" s="74">
        <v>40752</v>
      </c>
      <c r="F3014" s="55" t="s">
        <v>344</v>
      </c>
      <c r="G3014" s="55" t="s">
        <v>360</v>
      </c>
      <c r="H3014" s="55" t="s">
        <v>360</v>
      </c>
      <c r="I3014" s="55" t="s">
        <v>360</v>
      </c>
      <c r="J3014" s="55" t="s">
        <v>360</v>
      </c>
      <c r="K3014" s="55" t="s">
        <v>360</v>
      </c>
      <c r="L3014" s="55" t="s">
        <v>360</v>
      </c>
      <c r="M3014" s="55" t="s">
        <v>150</v>
      </c>
      <c r="N3014" s="55" t="s">
        <v>150</v>
      </c>
      <c r="O3014" s="55" t="s">
        <v>149</v>
      </c>
      <c r="P3014" s="55" t="s">
        <v>3548</v>
      </c>
      <c r="Q3014" s="55" t="s">
        <v>350</v>
      </c>
      <c r="R3014" s="55">
        <v>4</v>
      </c>
      <c r="S3014" s="55"/>
      <c r="T3014" s="55" t="s">
        <v>5644</v>
      </c>
      <c r="U3014" s="73" t="s">
        <v>351</v>
      </c>
      <c r="V3014" s="74">
        <v>44468</v>
      </c>
      <c r="W3014" s="74">
        <v>44511</v>
      </c>
      <c r="X3014" s="55">
        <v>10185999</v>
      </c>
      <c r="Y3014" s="55" t="s">
        <v>140</v>
      </c>
      <c r="AB3014" s="55" t="s">
        <v>140</v>
      </c>
      <c r="AC3014" s="55" t="s">
        <v>140</v>
      </c>
    </row>
    <row r="3015" spans="1:29" ht="13" x14ac:dyDescent="0.15">
      <c r="A3015" s="72" t="str">
        <f t="shared" si="47"/>
        <v>Ofsted Social Care Provider Webpage</v>
      </c>
      <c r="B3015" s="55" t="s">
        <v>5646</v>
      </c>
      <c r="D3015" s="55" t="s">
        <v>373</v>
      </c>
      <c r="E3015" s="74">
        <v>40752</v>
      </c>
      <c r="F3015" s="55" t="s">
        <v>344</v>
      </c>
      <c r="G3015" s="55" t="s">
        <v>360</v>
      </c>
      <c r="H3015" s="55" t="s">
        <v>360</v>
      </c>
      <c r="I3015" s="55" t="s">
        <v>360</v>
      </c>
      <c r="J3015" s="55" t="s">
        <v>360</v>
      </c>
      <c r="K3015" s="55" t="s">
        <v>360</v>
      </c>
      <c r="L3015" s="55" t="s">
        <v>360</v>
      </c>
      <c r="M3015" s="55" t="s">
        <v>150</v>
      </c>
      <c r="N3015" s="55" t="s">
        <v>150</v>
      </c>
      <c r="O3015" s="55" t="s">
        <v>149</v>
      </c>
      <c r="P3015" s="55" t="s">
        <v>3548</v>
      </c>
      <c r="Q3015" s="55" t="s">
        <v>350</v>
      </c>
      <c r="R3015" s="55">
        <v>4</v>
      </c>
      <c r="S3015" s="55"/>
      <c r="T3015" s="55" t="s">
        <v>5644</v>
      </c>
      <c r="U3015" s="73" t="s">
        <v>351</v>
      </c>
      <c r="V3015" s="74">
        <v>44327</v>
      </c>
      <c r="W3015" s="74">
        <v>44382</v>
      </c>
      <c r="X3015" s="55">
        <v>10186924</v>
      </c>
      <c r="Y3015" s="55" t="s">
        <v>140</v>
      </c>
      <c r="AB3015" s="55" t="s">
        <v>140</v>
      </c>
      <c r="AC3015" s="55" t="s">
        <v>140</v>
      </c>
    </row>
    <row r="3016" spans="1:29" ht="13" x14ac:dyDescent="0.15">
      <c r="A3016" s="72" t="str">
        <f t="shared" si="47"/>
        <v>Ofsted Social Care Provider Webpage</v>
      </c>
      <c r="B3016" s="55" t="s">
        <v>5647</v>
      </c>
      <c r="D3016" s="55" t="s">
        <v>373</v>
      </c>
      <c r="E3016" s="74">
        <v>40752</v>
      </c>
      <c r="F3016" s="55" t="s">
        <v>344</v>
      </c>
      <c r="G3016" s="55" t="s">
        <v>360</v>
      </c>
      <c r="H3016" s="55" t="s">
        <v>360</v>
      </c>
      <c r="I3016" s="55" t="s">
        <v>360</v>
      </c>
      <c r="J3016" s="55" t="s">
        <v>360</v>
      </c>
      <c r="K3016" s="55" t="s">
        <v>360</v>
      </c>
      <c r="L3016" s="55" t="s">
        <v>360</v>
      </c>
      <c r="M3016" s="55" t="s">
        <v>150</v>
      </c>
      <c r="N3016" s="55" t="s">
        <v>150</v>
      </c>
      <c r="O3016" s="55" t="s">
        <v>149</v>
      </c>
      <c r="P3016" s="55" t="s">
        <v>3548</v>
      </c>
      <c r="Q3016" s="55" t="s">
        <v>350</v>
      </c>
      <c r="R3016" s="55">
        <v>4</v>
      </c>
      <c r="S3016" s="55"/>
      <c r="T3016" s="55" t="s">
        <v>5644</v>
      </c>
      <c r="U3016" s="73" t="s">
        <v>351</v>
      </c>
      <c r="V3016" s="74">
        <v>44355</v>
      </c>
      <c r="W3016" s="74">
        <v>44403</v>
      </c>
      <c r="X3016" s="55">
        <v>10186530</v>
      </c>
      <c r="Y3016" s="55" t="s">
        <v>140</v>
      </c>
      <c r="AB3016" s="55" t="s">
        <v>140</v>
      </c>
      <c r="AC3016" s="55" t="s">
        <v>140</v>
      </c>
    </row>
    <row r="3017" spans="1:29" ht="13" x14ac:dyDescent="0.15">
      <c r="A3017" s="72" t="str">
        <f t="shared" si="47"/>
        <v>Ofsted Social Care Provider Webpage</v>
      </c>
      <c r="B3017" s="55" t="s">
        <v>5648</v>
      </c>
      <c r="D3017" s="55" t="s">
        <v>373</v>
      </c>
      <c r="E3017" s="74">
        <v>40752</v>
      </c>
      <c r="F3017" s="55" t="s">
        <v>344</v>
      </c>
      <c r="G3017" s="55" t="s">
        <v>360</v>
      </c>
      <c r="H3017" s="55" t="s">
        <v>360</v>
      </c>
      <c r="I3017" s="55" t="s">
        <v>360</v>
      </c>
      <c r="J3017" s="55" t="s">
        <v>360</v>
      </c>
      <c r="K3017" s="55" t="s">
        <v>360</v>
      </c>
      <c r="L3017" s="55" t="s">
        <v>360</v>
      </c>
      <c r="M3017" s="55" t="s">
        <v>150</v>
      </c>
      <c r="N3017" s="55" t="s">
        <v>150</v>
      </c>
      <c r="O3017" s="55" t="s">
        <v>291</v>
      </c>
      <c r="P3017" s="55" t="s">
        <v>486</v>
      </c>
      <c r="Q3017" s="55" t="s">
        <v>350</v>
      </c>
      <c r="R3017" s="55">
        <v>4</v>
      </c>
      <c r="S3017" s="55"/>
      <c r="T3017" s="55" t="s">
        <v>5644</v>
      </c>
      <c r="U3017" s="73" t="s">
        <v>351</v>
      </c>
      <c r="V3017" s="74">
        <v>43600</v>
      </c>
      <c r="W3017" s="74">
        <v>43637</v>
      </c>
      <c r="X3017" s="55">
        <v>10096504</v>
      </c>
      <c r="Y3017" s="55" t="s">
        <v>132</v>
      </c>
      <c r="AB3017" s="55" t="s">
        <v>132</v>
      </c>
      <c r="AC3017" s="55" t="s">
        <v>130</v>
      </c>
    </row>
    <row r="3018" spans="1:29" ht="13" x14ac:dyDescent="0.15">
      <c r="A3018" s="72" t="str">
        <f t="shared" si="47"/>
        <v>Ofsted Social Care Provider Webpage</v>
      </c>
      <c r="B3018" s="55" t="s">
        <v>5649</v>
      </c>
      <c r="D3018" s="55" t="s">
        <v>373</v>
      </c>
      <c r="E3018" s="74">
        <v>40764</v>
      </c>
      <c r="F3018" s="55" t="s">
        <v>344</v>
      </c>
      <c r="G3018" s="55" t="s">
        <v>360</v>
      </c>
      <c r="H3018" s="55" t="s">
        <v>360</v>
      </c>
      <c r="I3018" s="55" t="s">
        <v>360</v>
      </c>
      <c r="J3018" s="55" t="s">
        <v>360</v>
      </c>
      <c r="K3018" s="55" t="s">
        <v>360</v>
      </c>
      <c r="L3018" s="55" t="s">
        <v>360</v>
      </c>
      <c r="M3018" s="55" t="s">
        <v>144</v>
      </c>
      <c r="N3018" s="55" t="s">
        <v>144</v>
      </c>
      <c r="O3018" s="55" t="s">
        <v>207</v>
      </c>
      <c r="P3018" s="55" t="s">
        <v>207</v>
      </c>
      <c r="Q3018" s="55" t="s">
        <v>350</v>
      </c>
      <c r="R3018" s="55">
        <v>3</v>
      </c>
      <c r="S3018" s="55"/>
      <c r="T3018" s="55" t="s">
        <v>4534</v>
      </c>
      <c r="U3018" s="73" t="s">
        <v>351</v>
      </c>
      <c r="V3018" s="74">
        <v>43474</v>
      </c>
      <c r="W3018" s="74">
        <v>43524</v>
      </c>
      <c r="X3018" s="55">
        <v>10050362</v>
      </c>
      <c r="Y3018" s="55" t="s">
        <v>132</v>
      </c>
      <c r="AB3018" s="55" t="s">
        <v>132</v>
      </c>
      <c r="AC3018" s="55" t="s">
        <v>130</v>
      </c>
    </row>
    <row r="3019" spans="1:29" ht="13" x14ac:dyDescent="0.15">
      <c r="A3019" s="72" t="str">
        <f t="shared" si="47"/>
        <v>Ofsted Social Care Provider Webpage</v>
      </c>
      <c r="B3019" s="55" t="s">
        <v>5650</v>
      </c>
      <c r="D3019" s="55" t="s">
        <v>443</v>
      </c>
      <c r="E3019" s="74">
        <v>40885</v>
      </c>
      <c r="F3019" s="55" t="s">
        <v>344</v>
      </c>
      <c r="G3019" s="55" t="s">
        <v>5651</v>
      </c>
      <c r="H3019" s="55" t="s">
        <v>5652</v>
      </c>
      <c r="I3019" s="55" t="s">
        <v>354</v>
      </c>
      <c r="J3019" s="55" t="s">
        <v>5653</v>
      </c>
      <c r="L3019" s="55" t="s">
        <v>5654</v>
      </c>
      <c r="M3019" s="55" t="s">
        <v>144</v>
      </c>
      <c r="N3019" s="55" t="s">
        <v>144</v>
      </c>
      <c r="O3019" s="55" t="s">
        <v>168</v>
      </c>
      <c r="P3019" s="55" t="s">
        <v>834</v>
      </c>
      <c r="Q3019" s="55" t="s">
        <v>350</v>
      </c>
      <c r="R3019" s="55"/>
      <c r="S3019" s="55"/>
      <c r="T3019" s="55" t="s">
        <v>5655</v>
      </c>
      <c r="U3019" s="73" t="s">
        <v>351</v>
      </c>
      <c r="V3019" s="74">
        <v>43291</v>
      </c>
      <c r="W3019" s="74">
        <v>43315</v>
      </c>
      <c r="X3019" s="55">
        <v>10046719</v>
      </c>
      <c r="Y3019" s="55" t="s">
        <v>132</v>
      </c>
      <c r="AB3019" s="55" t="s">
        <v>132</v>
      </c>
      <c r="AC3019" s="55" t="s">
        <v>132</v>
      </c>
    </row>
    <row r="3020" spans="1:29" ht="13" x14ac:dyDescent="0.15">
      <c r="A3020" s="72" t="str">
        <f t="shared" si="47"/>
        <v>Ofsted Social Care Provider Webpage</v>
      </c>
      <c r="B3020" s="55" t="s">
        <v>5656</v>
      </c>
      <c r="D3020" s="55" t="s">
        <v>373</v>
      </c>
      <c r="E3020" s="74">
        <v>40780</v>
      </c>
      <c r="F3020" s="55" t="s">
        <v>344</v>
      </c>
      <c r="G3020" s="55" t="s">
        <v>360</v>
      </c>
      <c r="H3020" s="55" t="s">
        <v>360</v>
      </c>
      <c r="I3020" s="55" t="s">
        <v>360</v>
      </c>
      <c r="J3020" s="55" t="s">
        <v>360</v>
      </c>
      <c r="K3020" s="55" t="s">
        <v>360</v>
      </c>
      <c r="L3020" s="55" t="s">
        <v>360</v>
      </c>
      <c r="M3020" s="55" t="s">
        <v>138</v>
      </c>
      <c r="N3020" s="55" t="s">
        <v>138</v>
      </c>
      <c r="O3020" s="55" t="s">
        <v>196</v>
      </c>
      <c r="P3020" s="55" t="s">
        <v>5657</v>
      </c>
      <c r="Q3020" s="55" t="s">
        <v>362</v>
      </c>
      <c r="R3020" s="55">
        <v>8</v>
      </c>
      <c r="S3020" s="55" t="s">
        <v>332</v>
      </c>
      <c r="T3020" s="55" t="s">
        <v>367</v>
      </c>
      <c r="U3020" s="73" t="s">
        <v>351</v>
      </c>
      <c r="V3020" s="74">
        <v>44385</v>
      </c>
      <c r="W3020" s="74">
        <v>44413</v>
      </c>
      <c r="X3020" s="55">
        <v>10186955</v>
      </c>
      <c r="Y3020" s="55" t="s">
        <v>132</v>
      </c>
      <c r="AB3020" s="55" t="s">
        <v>132</v>
      </c>
      <c r="AC3020" s="55" t="s">
        <v>132</v>
      </c>
    </row>
    <row r="3021" spans="1:29" ht="13" x14ac:dyDescent="0.15">
      <c r="A3021" s="72" t="str">
        <f t="shared" si="47"/>
        <v>Ofsted Social Care Provider Webpage</v>
      </c>
      <c r="B3021" s="55" t="s">
        <v>5658</v>
      </c>
      <c r="D3021" s="55" t="s">
        <v>373</v>
      </c>
      <c r="E3021" s="74">
        <v>40794</v>
      </c>
      <c r="F3021" s="55" t="s">
        <v>344</v>
      </c>
      <c r="G3021" s="55" t="s">
        <v>360</v>
      </c>
      <c r="H3021" s="55" t="s">
        <v>360</v>
      </c>
      <c r="I3021" s="55" t="s">
        <v>360</v>
      </c>
      <c r="J3021" s="55" t="s">
        <v>360</v>
      </c>
      <c r="K3021" s="55" t="s">
        <v>360</v>
      </c>
      <c r="L3021" s="55" t="s">
        <v>360</v>
      </c>
      <c r="M3021" s="55" t="s">
        <v>136</v>
      </c>
      <c r="N3021" s="55" t="s">
        <v>136</v>
      </c>
      <c r="O3021" s="55" t="s">
        <v>165</v>
      </c>
      <c r="P3021" s="55" t="s">
        <v>1269</v>
      </c>
      <c r="Q3021" s="55" t="s">
        <v>851</v>
      </c>
      <c r="R3021" s="55">
        <v>2</v>
      </c>
      <c r="S3021" s="55" t="s">
        <v>332</v>
      </c>
      <c r="T3021" s="55" t="s">
        <v>5613</v>
      </c>
      <c r="U3021" s="73" t="s">
        <v>351</v>
      </c>
      <c r="V3021" s="74">
        <v>44517</v>
      </c>
      <c r="W3021" s="74">
        <v>44566</v>
      </c>
      <c r="X3021" s="55">
        <v>10186865</v>
      </c>
      <c r="Y3021" s="55" t="s">
        <v>132</v>
      </c>
      <c r="AB3021" s="55" t="s">
        <v>132</v>
      </c>
      <c r="AC3021" s="55" t="s">
        <v>132</v>
      </c>
    </row>
    <row r="3022" spans="1:29" ht="13" x14ac:dyDescent="0.15">
      <c r="A3022" s="72" t="str">
        <f t="shared" si="47"/>
        <v>Ofsted Social Care Provider Webpage</v>
      </c>
      <c r="B3022" s="55" t="s">
        <v>5659</v>
      </c>
      <c r="D3022" s="55" t="s">
        <v>373</v>
      </c>
      <c r="E3022" s="74">
        <v>40816</v>
      </c>
      <c r="F3022" s="55" t="s">
        <v>344</v>
      </c>
      <c r="G3022" s="55" t="s">
        <v>360</v>
      </c>
      <c r="H3022" s="55" t="s">
        <v>360</v>
      </c>
      <c r="I3022" s="55" t="s">
        <v>360</v>
      </c>
      <c r="J3022" s="55" t="s">
        <v>360</v>
      </c>
      <c r="K3022" s="55" t="s">
        <v>360</v>
      </c>
      <c r="L3022" s="55" t="s">
        <v>360</v>
      </c>
      <c r="M3022" s="55" t="s">
        <v>144</v>
      </c>
      <c r="N3022" s="55" t="s">
        <v>144</v>
      </c>
      <c r="O3022" s="55" t="s">
        <v>209</v>
      </c>
      <c r="P3022" s="55" t="s">
        <v>364</v>
      </c>
      <c r="Q3022" s="55" t="s">
        <v>350</v>
      </c>
      <c r="R3022" s="55">
        <v>5</v>
      </c>
      <c r="S3022" s="55"/>
      <c r="T3022" s="55" t="s">
        <v>1279</v>
      </c>
      <c r="U3022" s="73" t="s">
        <v>351</v>
      </c>
      <c r="V3022" s="74">
        <v>44461</v>
      </c>
      <c r="W3022" s="74">
        <v>44495</v>
      </c>
      <c r="X3022" s="55">
        <v>10186063</v>
      </c>
      <c r="Y3022" s="55" t="s">
        <v>130</v>
      </c>
      <c r="AB3022" s="55" t="s">
        <v>130</v>
      </c>
      <c r="AC3022" s="55" t="s">
        <v>130</v>
      </c>
    </row>
    <row r="3023" spans="1:29" ht="13" x14ac:dyDescent="0.15">
      <c r="A3023" s="72" t="str">
        <f t="shared" si="47"/>
        <v>Ofsted Social Care Provider Webpage</v>
      </c>
      <c r="B3023" s="55" t="s">
        <v>5660</v>
      </c>
      <c r="D3023" s="55" t="s">
        <v>373</v>
      </c>
      <c r="E3023" s="74">
        <v>40956</v>
      </c>
      <c r="F3023" s="55" t="s">
        <v>344</v>
      </c>
      <c r="G3023" s="55" t="s">
        <v>360</v>
      </c>
      <c r="H3023" s="55" t="s">
        <v>360</v>
      </c>
      <c r="I3023" s="55" t="s">
        <v>360</v>
      </c>
      <c r="J3023" s="55" t="s">
        <v>360</v>
      </c>
      <c r="K3023" s="55" t="s">
        <v>360</v>
      </c>
      <c r="L3023" s="55" t="s">
        <v>360</v>
      </c>
      <c r="M3023" s="55" t="s">
        <v>378</v>
      </c>
      <c r="N3023" s="55" t="s">
        <v>170</v>
      </c>
      <c r="O3023" s="55" t="s">
        <v>222</v>
      </c>
      <c r="P3023" s="55" t="s">
        <v>3131</v>
      </c>
      <c r="Q3023" s="55" t="s">
        <v>362</v>
      </c>
      <c r="R3023" s="55">
        <v>7</v>
      </c>
      <c r="S3023" s="55"/>
      <c r="T3023" s="55" t="s">
        <v>5661</v>
      </c>
      <c r="U3023" s="73" t="s">
        <v>351</v>
      </c>
      <c r="V3023" s="74">
        <v>44334</v>
      </c>
      <c r="W3023" s="74">
        <v>44368</v>
      </c>
      <c r="X3023" s="55">
        <v>10185433</v>
      </c>
      <c r="Y3023" s="55" t="s">
        <v>132</v>
      </c>
      <c r="AB3023" s="55" t="s">
        <v>132</v>
      </c>
      <c r="AC3023" s="55" t="s">
        <v>132</v>
      </c>
    </row>
    <row r="3024" spans="1:29" ht="13" x14ac:dyDescent="0.15">
      <c r="A3024" s="72" t="str">
        <f t="shared" si="47"/>
        <v>Ofsted Social Care Provider Webpage</v>
      </c>
      <c r="B3024" s="55" t="s">
        <v>5662</v>
      </c>
      <c r="D3024" s="55" t="s">
        <v>373</v>
      </c>
      <c r="E3024" s="74">
        <v>40751</v>
      </c>
      <c r="F3024" s="55" t="s">
        <v>344</v>
      </c>
      <c r="G3024" s="55" t="s">
        <v>360</v>
      </c>
      <c r="H3024" s="55" t="s">
        <v>360</v>
      </c>
      <c r="I3024" s="55" t="s">
        <v>360</v>
      </c>
      <c r="J3024" s="55" t="s">
        <v>360</v>
      </c>
      <c r="K3024" s="55" t="s">
        <v>360</v>
      </c>
      <c r="L3024" s="55" t="s">
        <v>360</v>
      </c>
      <c r="M3024" s="55" t="s">
        <v>142</v>
      </c>
      <c r="N3024" s="55" t="s">
        <v>142</v>
      </c>
      <c r="O3024" s="55" t="s">
        <v>141</v>
      </c>
      <c r="P3024" s="55" t="s">
        <v>2048</v>
      </c>
      <c r="Q3024" s="55" t="s">
        <v>350</v>
      </c>
      <c r="R3024" s="55">
        <v>4</v>
      </c>
      <c r="S3024" s="55"/>
      <c r="T3024" s="55" t="s">
        <v>1261</v>
      </c>
      <c r="U3024" s="73" t="s">
        <v>351</v>
      </c>
      <c r="V3024" s="74">
        <v>44482</v>
      </c>
      <c r="W3024" s="74">
        <v>44512</v>
      </c>
      <c r="X3024" s="55">
        <v>10185255</v>
      </c>
      <c r="Y3024" s="55" t="s">
        <v>132</v>
      </c>
      <c r="AB3024" s="55" t="s">
        <v>132</v>
      </c>
      <c r="AC3024" s="55" t="s">
        <v>132</v>
      </c>
    </row>
    <row r="3025" spans="1:29" ht="13" x14ac:dyDescent="0.15">
      <c r="A3025" s="72" t="str">
        <f t="shared" si="47"/>
        <v>Ofsted Social Care Provider Webpage</v>
      </c>
      <c r="B3025" s="55" t="s">
        <v>5663</v>
      </c>
      <c r="D3025" s="55" t="s">
        <v>373</v>
      </c>
      <c r="E3025" s="74">
        <v>40765</v>
      </c>
      <c r="F3025" s="55" t="s">
        <v>344</v>
      </c>
      <c r="G3025" s="55" t="s">
        <v>360</v>
      </c>
      <c r="H3025" s="55" t="s">
        <v>360</v>
      </c>
      <c r="I3025" s="55" t="s">
        <v>360</v>
      </c>
      <c r="J3025" s="55" t="s">
        <v>360</v>
      </c>
      <c r="K3025" s="55" t="s">
        <v>360</v>
      </c>
      <c r="L3025" s="55" t="s">
        <v>360</v>
      </c>
      <c r="M3025" s="55" t="s">
        <v>136</v>
      </c>
      <c r="N3025" s="55" t="s">
        <v>136</v>
      </c>
      <c r="O3025" s="55" t="s">
        <v>174</v>
      </c>
      <c r="P3025" s="55" t="s">
        <v>857</v>
      </c>
      <c r="Q3025" s="55" t="s">
        <v>350</v>
      </c>
      <c r="R3025" s="55">
        <v>3</v>
      </c>
      <c r="S3025" s="55"/>
      <c r="T3025" s="55" t="s">
        <v>900</v>
      </c>
      <c r="U3025" s="73" t="s">
        <v>351</v>
      </c>
      <c r="V3025" s="74">
        <v>44453</v>
      </c>
      <c r="W3025" s="74">
        <v>44494</v>
      </c>
      <c r="X3025" s="55">
        <v>10185832</v>
      </c>
      <c r="Y3025" s="55" t="s">
        <v>140</v>
      </c>
      <c r="AB3025" s="55" t="s">
        <v>140</v>
      </c>
      <c r="AC3025" s="55" t="s">
        <v>140</v>
      </c>
    </row>
    <row r="3026" spans="1:29" ht="13" x14ac:dyDescent="0.15">
      <c r="A3026" s="72" t="str">
        <f t="shared" si="47"/>
        <v>Ofsted Social Care Provider Webpage</v>
      </c>
      <c r="B3026" s="55" t="s">
        <v>5664</v>
      </c>
      <c r="D3026" s="55" t="s">
        <v>373</v>
      </c>
      <c r="E3026" s="74">
        <v>40745</v>
      </c>
      <c r="F3026" s="55" t="s">
        <v>344</v>
      </c>
      <c r="G3026" s="55" t="s">
        <v>360</v>
      </c>
      <c r="H3026" s="55" t="s">
        <v>360</v>
      </c>
      <c r="I3026" s="55" t="s">
        <v>360</v>
      </c>
      <c r="J3026" s="55" t="s">
        <v>360</v>
      </c>
      <c r="K3026" s="55" t="s">
        <v>360</v>
      </c>
      <c r="L3026" s="55" t="s">
        <v>360</v>
      </c>
      <c r="M3026" s="55" t="s">
        <v>172</v>
      </c>
      <c r="N3026" s="55" t="s">
        <v>172</v>
      </c>
      <c r="O3026" s="55" t="s">
        <v>173</v>
      </c>
      <c r="P3026" s="55" t="s">
        <v>1540</v>
      </c>
      <c r="Q3026" s="55" t="s">
        <v>350</v>
      </c>
      <c r="R3026" s="55">
        <v>4</v>
      </c>
      <c r="S3026" s="55"/>
      <c r="T3026" s="55" t="s">
        <v>517</v>
      </c>
      <c r="U3026" s="73" t="s">
        <v>351</v>
      </c>
      <c r="V3026" s="74">
        <v>44440</v>
      </c>
      <c r="W3026" s="74">
        <v>44476</v>
      </c>
      <c r="X3026" s="55">
        <v>10187323</v>
      </c>
      <c r="Y3026" s="55" t="s">
        <v>132</v>
      </c>
      <c r="AB3026" s="55" t="s">
        <v>132</v>
      </c>
      <c r="AC3026" s="55" t="s">
        <v>132</v>
      </c>
    </row>
    <row r="3027" spans="1:29" ht="13" x14ac:dyDescent="0.15">
      <c r="A3027" s="72" t="str">
        <f t="shared" si="47"/>
        <v>Ofsted Social Care Provider Webpage</v>
      </c>
      <c r="B3027" s="55" t="s">
        <v>5665</v>
      </c>
      <c r="D3027" s="55" t="s">
        <v>373</v>
      </c>
      <c r="E3027" s="74">
        <v>40791</v>
      </c>
      <c r="F3027" s="55" t="s">
        <v>344</v>
      </c>
      <c r="G3027" s="55" t="s">
        <v>360</v>
      </c>
      <c r="H3027" s="55" t="s">
        <v>360</v>
      </c>
      <c r="I3027" s="55" t="s">
        <v>360</v>
      </c>
      <c r="J3027" s="55" t="s">
        <v>360</v>
      </c>
      <c r="K3027" s="55" t="s">
        <v>360</v>
      </c>
      <c r="L3027" s="55" t="s">
        <v>360</v>
      </c>
      <c r="M3027" s="55" t="s">
        <v>378</v>
      </c>
      <c r="N3027" s="55" t="s">
        <v>170</v>
      </c>
      <c r="O3027" s="55" t="s">
        <v>267</v>
      </c>
      <c r="P3027" s="55" t="s">
        <v>477</v>
      </c>
      <c r="Q3027" s="55" t="s">
        <v>362</v>
      </c>
      <c r="R3027" s="55">
        <v>6</v>
      </c>
      <c r="S3027" s="55"/>
      <c r="T3027" s="55" t="s">
        <v>3132</v>
      </c>
      <c r="U3027" s="73" t="s">
        <v>351</v>
      </c>
      <c r="V3027" s="74">
        <v>44474</v>
      </c>
      <c r="W3027" s="74">
        <v>44516</v>
      </c>
      <c r="X3027" s="55">
        <v>10185183</v>
      </c>
      <c r="Y3027" s="55" t="s">
        <v>132</v>
      </c>
      <c r="AB3027" s="55" t="s">
        <v>132</v>
      </c>
      <c r="AC3027" s="55" t="s">
        <v>140</v>
      </c>
    </row>
    <row r="3028" spans="1:29" ht="13" x14ac:dyDescent="0.15">
      <c r="A3028" s="72" t="str">
        <f t="shared" si="47"/>
        <v>Ofsted Social Care Provider Webpage</v>
      </c>
      <c r="B3028" s="55" t="s">
        <v>5666</v>
      </c>
      <c r="D3028" s="55" t="s">
        <v>373</v>
      </c>
      <c r="E3028" s="74">
        <v>40777</v>
      </c>
      <c r="F3028" s="55" t="s">
        <v>344</v>
      </c>
      <c r="G3028" s="55" t="s">
        <v>360</v>
      </c>
      <c r="H3028" s="55" t="s">
        <v>360</v>
      </c>
      <c r="I3028" s="55" t="s">
        <v>360</v>
      </c>
      <c r="J3028" s="55" t="s">
        <v>360</v>
      </c>
      <c r="K3028" s="55" t="s">
        <v>360</v>
      </c>
      <c r="L3028" s="55" t="s">
        <v>360</v>
      </c>
      <c r="M3028" s="55" t="s">
        <v>142</v>
      </c>
      <c r="N3028" s="55" t="s">
        <v>142</v>
      </c>
      <c r="O3028" s="55" t="s">
        <v>293</v>
      </c>
      <c r="P3028" s="55" t="s">
        <v>1136</v>
      </c>
      <c r="Q3028" s="55" t="s">
        <v>350</v>
      </c>
      <c r="R3028" s="55">
        <v>2</v>
      </c>
      <c r="S3028" s="55"/>
      <c r="T3028" s="55" t="s">
        <v>1281</v>
      </c>
      <c r="U3028" s="73" t="s">
        <v>351</v>
      </c>
      <c r="V3028" s="74">
        <v>44404</v>
      </c>
      <c r="W3028" s="74">
        <v>44446</v>
      </c>
      <c r="X3028" s="55">
        <v>10185725</v>
      </c>
      <c r="Y3028" s="55" t="s">
        <v>132</v>
      </c>
      <c r="AB3028" s="55" t="s">
        <v>132</v>
      </c>
      <c r="AC3028" s="55" t="s">
        <v>132</v>
      </c>
    </row>
    <row r="3029" spans="1:29" ht="13" x14ac:dyDescent="0.15">
      <c r="A3029" s="72" t="str">
        <f t="shared" si="47"/>
        <v>Ofsted Social Care Provider Webpage</v>
      </c>
      <c r="B3029" s="55" t="s">
        <v>5667</v>
      </c>
      <c r="D3029" s="55" t="s">
        <v>373</v>
      </c>
      <c r="E3029" s="74">
        <v>40900</v>
      </c>
      <c r="F3029" s="55" t="s">
        <v>344</v>
      </c>
      <c r="G3029" s="55" t="s">
        <v>360</v>
      </c>
      <c r="H3029" s="55" t="s">
        <v>360</v>
      </c>
      <c r="I3029" s="55" t="s">
        <v>360</v>
      </c>
      <c r="J3029" s="55" t="s">
        <v>360</v>
      </c>
      <c r="K3029" s="55" t="s">
        <v>360</v>
      </c>
      <c r="L3029" s="55" t="s">
        <v>360</v>
      </c>
      <c r="M3029" s="55" t="s">
        <v>150</v>
      </c>
      <c r="N3029" s="55" t="s">
        <v>150</v>
      </c>
      <c r="O3029" s="55" t="s">
        <v>203</v>
      </c>
      <c r="P3029" s="55" t="s">
        <v>593</v>
      </c>
      <c r="Q3029" s="55" t="s">
        <v>350</v>
      </c>
      <c r="R3029" s="55">
        <v>4</v>
      </c>
      <c r="S3029" s="55"/>
      <c r="T3029" s="55" t="s">
        <v>5415</v>
      </c>
      <c r="U3029" s="73" t="s">
        <v>351</v>
      </c>
      <c r="V3029" s="74">
        <v>43655</v>
      </c>
      <c r="W3029" s="74">
        <v>43693</v>
      </c>
      <c r="X3029" s="55">
        <v>10096538</v>
      </c>
      <c r="Y3029" s="55" t="s">
        <v>140</v>
      </c>
      <c r="AB3029" s="55" t="s">
        <v>140</v>
      </c>
      <c r="AC3029" s="55" t="s">
        <v>132</v>
      </c>
    </row>
    <row r="3030" spans="1:29" ht="13" x14ac:dyDescent="0.15">
      <c r="A3030" s="72" t="str">
        <f t="shared" si="47"/>
        <v>Ofsted Social Care Provider Webpage</v>
      </c>
      <c r="B3030" s="55" t="s">
        <v>5668</v>
      </c>
      <c r="D3030" s="55" t="s">
        <v>373</v>
      </c>
      <c r="E3030" s="74">
        <v>40800</v>
      </c>
      <c r="F3030" s="55" t="s">
        <v>344</v>
      </c>
      <c r="G3030" s="55" t="s">
        <v>360</v>
      </c>
      <c r="H3030" s="55" t="s">
        <v>360</v>
      </c>
      <c r="I3030" s="55" t="s">
        <v>360</v>
      </c>
      <c r="J3030" s="55" t="s">
        <v>360</v>
      </c>
      <c r="K3030" s="55" t="s">
        <v>360</v>
      </c>
      <c r="L3030" s="55" t="s">
        <v>360</v>
      </c>
      <c r="M3030" s="55" t="s">
        <v>142</v>
      </c>
      <c r="N3030" s="55" t="s">
        <v>142</v>
      </c>
      <c r="O3030" s="55" t="s">
        <v>262</v>
      </c>
      <c r="P3030" s="55" t="s">
        <v>916</v>
      </c>
      <c r="Q3030" s="55" t="s">
        <v>350</v>
      </c>
      <c r="R3030" s="55">
        <v>4</v>
      </c>
      <c r="S3030" s="55"/>
      <c r="T3030" s="55" t="s">
        <v>5406</v>
      </c>
      <c r="U3030" s="73" t="s">
        <v>351</v>
      </c>
      <c r="V3030" s="74">
        <v>44630</v>
      </c>
      <c r="W3030" s="74">
        <v>44679</v>
      </c>
      <c r="X3030" s="55">
        <v>10187030</v>
      </c>
      <c r="Y3030" s="55" t="s">
        <v>132</v>
      </c>
      <c r="AB3030" s="55" t="s">
        <v>132</v>
      </c>
      <c r="AC3030" s="55" t="s">
        <v>132</v>
      </c>
    </row>
    <row r="3031" spans="1:29" ht="13" x14ac:dyDescent="0.15">
      <c r="A3031" s="72" t="str">
        <f t="shared" si="47"/>
        <v>Ofsted Social Care Provider Webpage</v>
      </c>
      <c r="B3031" s="55" t="s">
        <v>5669</v>
      </c>
      <c r="D3031" s="55" t="s">
        <v>373</v>
      </c>
      <c r="E3031" s="74">
        <v>40779</v>
      </c>
      <c r="F3031" s="55" t="s">
        <v>344</v>
      </c>
      <c r="G3031" s="55" t="s">
        <v>360</v>
      </c>
      <c r="H3031" s="55" t="s">
        <v>360</v>
      </c>
      <c r="I3031" s="55" t="s">
        <v>360</v>
      </c>
      <c r="J3031" s="55" t="s">
        <v>360</v>
      </c>
      <c r="K3031" s="55" t="s">
        <v>360</v>
      </c>
      <c r="L3031" s="55" t="s">
        <v>360</v>
      </c>
      <c r="M3031" s="55" t="s">
        <v>150</v>
      </c>
      <c r="N3031" s="55" t="s">
        <v>150</v>
      </c>
      <c r="O3031" s="55" t="s">
        <v>181</v>
      </c>
      <c r="P3031" s="55" t="s">
        <v>937</v>
      </c>
      <c r="Q3031" s="55" t="s">
        <v>350</v>
      </c>
      <c r="R3031" s="55">
        <v>2</v>
      </c>
      <c r="S3031" s="55"/>
      <c r="T3031" s="55" t="s">
        <v>5670</v>
      </c>
      <c r="U3031" s="73" t="s">
        <v>351</v>
      </c>
      <c r="V3031" s="74">
        <v>43878</v>
      </c>
      <c r="W3031" s="74">
        <v>43902</v>
      </c>
      <c r="X3031" s="55">
        <v>10096511</v>
      </c>
      <c r="Y3031" s="55" t="s">
        <v>132</v>
      </c>
      <c r="AB3031" s="55" t="s">
        <v>132</v>
      </c>
      <c r="AC3031" s="55" t="s">
        <v>130</v>
      </c>
    </row>
    <row r="3032" spans="1:29" ht="13" x14ac:dyDescent="0.15">
      <c r="A3032" s="72" t="str">
        <f t="shared" si="47"/>
        <v>Ofsted Social Care Provider Webpage</v>
      </c>
      <c r="B3032" s="55" t="s">
        <v>5671</v>
      </c>
      <c r="D3032" s="55" t="s">
        <v>373</v>
      </c>
      <c r="E3032" s="74">
        <v>40801</v>
      </c>
      <c r="F3032" s="55" t="s">
        <v>344</v>
      </c>
      <c r="G3032" s="55" t="s">
        <v>360</v>
      </c>
      <c r="H3032" s="55" t="s">
        <v>360</v>
      </c>
      <c r="I3032" s="55" t="s">
        <v>360</v>
      </c>
      <c r="J3032" s="55" t="s">
        <v>360</v>
      </c>
      <c r="K3032" s="55" t="s">
        <v>360</v>
      </c>
      <c r="L3032" s="55" t="s">
        <v>360</v>
      </c>
      <c r="M3032" s="55" t="s">
        <v>172</v>
      </c>
      <c r="N3032" s="55" t="s">
        <v>172</v>
      </c>
      <c r="O3032" s="55" t="s">
        <v>212</v>
      </c>
      <c r="P3032" s="55" t="s">
        <v>842</v>
      </c>
      <c r="Q3032" s="55" t="s">
        <v>350</v>
      </c>
      <c r="R3032" s="55">
        <v>3</v>
      </c>
      <c r="S3032" s="55"/>
      <c r="T3032" s="55" t="s">
        <v>385</v>
      </c>
      <c r="U3032" s="73" t="s">
        <v>351</v>
      </c>
      <c r="V3032" s="74">
        <v>44460</v>
      </c>
      <c r="W3032" s="74">
        <v>44488</v>
      </c>
      <c r="X3032" s="55">
        <v>10185706</v>
      </c>
      <c r="Y3032" s="55" t="s">
        <v>132</v>
      </c>
      <c r="AB3032" s="55" t="s">
        <v>132</v>
      </c>
      <c r="AC3032" s="55" t="s">
        <v>140</v>
      </c>
    </row>
    <row r="3033" spans="1:29" ht="13" x14ac:dyDescent="0.15">
      <c r="A3033" s="72" t="str">
        <f t="shared" si="47"/>
        <v>Ofsted Social Care Provider Webpage</v>
      </c>
      <c r="B3033" s="55" t="s">
        <v>5672</v>
      </c>
      <c r="D3033" s="55" t="s">
        <v>468</v>
      </c>
      <c r="E3033" s="74">
        <v>40906</v>
      </c>
      <c r="F3033" s="55" t="s">
        <v>344</v>
      </c>
      <c r="G3033" s="55" t="s">
        <v>5673</v>
      </c>
      <c r="H3033" s="55" t="s">
        <v>5673</v>
      </c>
      <c r="I3033" s="55" t="s">
        <v>5674</v>
      </c>
      <c r="J3033" s="55" t="s">
        <v>5675</v>
      </c>
      <c r="K3033" s="55" t="s">
        <v>154</v>
      </c>
      <c r="L3033" s="55" t="s">
        <v>5676</v>
      </c>
      <c r="M3033" s="55" t="s">
        <v>136</v>
      </c>
      <c r="N3033" s="55" t="s">
        <v>136</v>
      </c>
      <c r="O3033" s="55" t="s">
        <v>154</v>
      </c>
      <c r="P3033" s="55" t="s">
        <v>2290</v>
      </c>
      <c r="Q3033" s="55" t="s">
        <v>362</v>
      </c>
      <c r="R3033" s="55"/>
      <c r="S3033" s="55"/>
      <c r="T3033" s="55" t="s">
        <v>1884</v>
      </c>
      <c r="U3033" s="73" t="s">
        <v>351</v>
      </c>
      <c r="V3033" s="74">
        <v>42390</v>
      </c>
      <c r="W3033" s="74">
        <v>42422</v>
      </c>
      <c r="X3033" s="55">
        <v>2459054</v>
      </c>
      <c r="Y3033" s="55" t="s">
        <v>132</v>
      </c>
      <c r="AB3033" s="55" t="s">
        <v>132</v>
      </c>
      <c r="AC3033" s="55" t="s">
        <v>132</v>
      </c>
    </row>
    <row r="3034" spans="1:29" ht="13" x14ac:dyDescent="0.15">
      <c r="A3034" s="72" t="str">
        <f t="shared" si="47"/>
        <v>Ofsted Social Care Provider Webpage</v>
      </c>
      <c r="B3034" s="55" t="s">
        <v>5677</v>
      </c>
      <c r="D3034" s="55" t="s">
        <v>373</v>
      </c>
      <c r="E3034" s="74">
        <v>41234</v>
      </c>
      <c r="F3034" s="55" t="s">
        <v>344</v>
      </c>
      <c r="G3034" s="55" t="s">
        <v>360</v>
      </c>
      <c r="H3034" s="55" t="s">
        <v>360</v>
      </c>
      <c r="I3034" s="55" t="s">
        <v>360</v>
      </c>
      <c r="J3034" s="55" t="s">
        <v>360</v>
      </c>
      <c r="K3034" s="55" t="s">
        <v>360</v>
      </c>
      <c r="L3034" s="55" t="s">
        <v>360</v>
      </c>
      <c r="M3034" s="55" t="s">
        <v>150</v>
      </c>
      <c r="N3034" s="55" t="s">
        <v>150</v>
      </c>
      <c r="O3034" s="55" t="s">
        <v>203</v>
      </c>
      <c r="P3034" s="55" t="s">
        <v>419</v>
      </c>
      <c r="Q3034" s="55" t="s">
        <v>362</v>
      </c>
      <c r="R3034" s="55">
        <v>6</v>
      </c>
      <c r="S3034" s="55" t="s">
        <v>332</v>
      </c>
      <c r="T3034" s="55" t="s">
        <v>5678</v>
      </c>
      <c r="U3034" s="73" t="s">
        <v>351</v>
      </c>
      <c r="V3034" s="74">
        <v>44334</v>
      </c>
      <c r="W3034" s="74">
        <v>44386</v>
      </c>
      <c r="X3034" s="55">
        <v>10187184</v>
      </c>
      <c r="Y3034" s="55" t="s">
        <v>132</v>
      </c>
      <c r="AB3034" s="55" t="s">
        <v>130</v>
      </c>
      <c r="AC3034" s="55" t="s">
        <v>132</v>
      </c>
    </row>
    <row r="3035" spans="1:29" ht="13" x14ac:dyDescent="0.15">
      <c r="A3035" s="72" t="str">
        <f t="shared" si="47"/>
        <v>Ofsted Social Care Provider Webpage</v>
      </c>
      <c r="B3035" s="55" t="s">
        <v>5679</v>
      </c>
      <c r="D3035" s="55" t="s">
        <v>479</v>
      </c>
      <c r="E3035" s="74">
        <v>40801</v>
      </c>
      <c r="F3035" s="55" t="s">
        <v>344</v>
      </c>
      <c r="G3035" s="55" t="s">
        <v>360</v>
      </c>
      <c r="H3035" s="55" t="s">
        <v>360</v>
      </c>
      <c r="I3035" s="55" t="s">
        <v>360</v>
      </c>
      <c r="J3035" s="55" t="s">
        <v>360</v>
      </c>
      <c r="K3035" s="55" t="s">
        <v>360</v>
      </c>
      <c r="L3035" s="55" t="s">
        <v>360</v>
      </c>
      <c r="M3035" s="55" t="s">
        <v>138</v>
      </c>
      <c r="N3035" s="55" t="s">
        <v>138</v>
      </c>
      <c r="O3035" s="55" t="s">
        <v>224</v>
      </c>
      <c r="P3035" s="55" t="s">
        <v>374</v>
      </c>
      <c r="Q3035" s="55" t="s">
        <v>350</v>
      </c>
      <c r="R3035" s="55">
        <v>14</v>
      </c>
      <c r="S3035" s="55"/>
      <c r="T3035" s="55" t="s">
        <v>2161</v>
      </c>
      <c r="U3035" s="73" t="s">
        <v>351</v>
      </c>
      <c r="V3035" s="74">
        <v>44467</v>
      </c>
      <c r="W3035" s="74">
        <v>44525</v>
      </c>
      <c r="X3035" s="55">
        <v>10185067</v>
      </c>
      <c r="Y3035" s="55" t="s">
        <v>130</v>
      </c>
      <c r="AB3035" s="55" t="s">
        <v>130</v>
      </c>
      <c r="AC3035" s="55" t="s">
        <v>130</v>
      </c>
    </row>
    <row r="3036" spans="1:29" ht="13" x14ac:dyDescent="0.15">
      <c r="A3036" s="72" t="str">
        <f t="shared" si="47"/>
        <v>Ofsted Social Care Provider Webpage</v>
      </c>
      <c r="B3036" s="55" t="s">
        <v>5680</v>
      </c>
      <c r="D3036" s="55" t="s">
        <v>451</v>
      </c>
      <c r="E3036" s="74">
        <v>40856</v>
      </c>
      <c r="F3036" s="55" t="s">
        <v>344</v>
      </c>
      <c r="G3036" s="55" t="s">
        <v>5681</v>
      </c>
      <c r="H3036" s="55" t="s">
        <v>5682</v>
      </c>
      <c r="I3036" s="55" t="s">
        <v>354</v>
      </c>
      <c r="J3036" s="55" t="s">
        <v>5683</v>
      </c>
      <c r="K3036" s="55" t="s">
        <v>4326</v>
      </c>
      <c r="L3036" s="55" t="s">
        <v>5684</v>
      </c>
      <c r="M3036" s="55" t="s">
        <v>378</v>
      </c>
      <c r="N3036" s="55" t="s">
        <v>134</v>
      </c>
      <c r="O3036" s="55" t="s">
        <v>180</v>
      </c>
      <c r="P3036" s="55" t="s">
        <v>1483</v>
      </c>
      <c r="Q3036" s="55" t="s">
        <v>350</v>
      </c>
      <c r="R3036" s="55">
        <v>4</v>
      </c>
      <c r="S3036" s="55"/>
      <c r="T3036" s="55" t="s">
        <v>5685</v>
      </c>
      <c r="U3036" s="73" t="s">
        <v>351</v>
      </c>
      <c r="V3036" s="74">
        <v>43627</v>
      </c>
      <c r="W3036" s="74">
        <v>43662</v>
      </c>
      <c r="X3036" s="55">
        <v>10092985</v>
      </c>
      <c r="Y3036" s="55" t="s">
        <v>140</v>
      </c>
      <c r="AB3036" s="55" t="s">
        <v>132</v>
      </c>
      <c r="AC3036" s="55" t="s">
        <v>132</v>
      </c>
    </row>
    <row r="3037" spans="1:29" ht="13" x14ac:dyDescent="0.15">
      <c r="A3037" s="72" t="str">
        <f t="shared" si="47"/>
        <v>Ofsted Social Care Provider Webpage</v>
      </c>
      <c r="B3037" s="55" t="s">
        <v>5686</v>
      </c>
      <c r="D3037" s="55" t="s">
        <v>373</v>
      </c>
      <c r="E3037" s="74">
        <v>40840</v>
      </c>
      <c r="F3037" s="55" t="s">
        <v>344</v>
      </c>
      <c r="G3037" s="55" t="s">
        <v>360</v>
      </c>
      <c r="H3037" s="55" t="s">
        <v>360</v>
      </c>
      <c r="I3037" s="55" t="s">
        <v>360</v>
      </c>
      <c r="J3037" s="55" t="s">
        <v>360</v>
      </c>
      <c r="K3037" s="55" t="s">
        <v>360</v>
      </c>
      <c r="L3037" s="55" t="s">
        <v>360</v>
      </c>
      <c r="M3037" s="55" t="s">
        <v>172</v>
      </c>
      <c r="N3037" s="55" t="s">
        <v>172</v>
      </c>
      <c r="O3037" s="55" t="s">
        <v>212</v>
      </c>
      <c r="P3037" s="55" t="s">
        <v>714</v>
      </c>
      <c r="Q3037" s="55" t="s">
        <v>350</v>
      </c>
      <c r="R3037" s="55">
        <v>6</v>
      </c>
      <c r="S3037" s="55"/>
      <c r="T3037" s="55" t="s">
        <v>385</v>
      </c>
      <c r="U3037" s="73" t="s">
        <v>351</v>
      </c>
      <c r="V3037" s="74">
        <v>44313</v>
      </c>
      <c r="W3037" s="74">
        <v>44356</v>
      </c>
      <c r="X3037" s="55">
        <v>10185323</v>
      </c>
      <c r="Y3037" s="55" t="s">
        <v>130</v>
      </c>
      <c r="AB3037" s="55" t="s">
        <v>130</v>
      </c>
      <c r="AC3037" s="55" t="s">
        <v>130</v>
      </c>
    </row>
    <row r="3038" spans="1:29" ht="13" x14ac:dyDescent="0.15">
      <c r="A3038" s="72" t="str">
        <f t="shared" si="47"/>
        <v>Ofsted Social Care Provider Webpage</v>
      </c>
      <c r="B3038" s="55" t="s">
        <v>5687</v>
      </c>
      <c r="D3038" s="55" t="s">
        <v>373</v>
      </c>
      <c r="E3038" s="74">
        <v>40802</v>
      </c>
      <c r="F3038" s="55" t="s">
        <v>344</v>
      </c>
      <c r="G3038" s="55" t="s">
        <v>360</v>
      </c>
      <c r="H3038" s="55" t="s">
        <v>360</v>
      </c>
      <c r="I3038" s="55" t="s">
        <v>360</v>
      </c>
      <c r="J3038" s="55" t="s">
        <v>360</v>
      </c>
      <c r="K3038" s="55" t="s">
        <v>360</v>
      </c>
      <c r="L3038" s="55" t="s">
        <v>360</v>
      </c>
      <c r="M3038" s="55" t="s">
        <v>172</v>
      </c>
      <c r="N3038" s="55" t="s">
        <v>172</v>
      </c>
      <c r="O3038" s="55" t="s">
        <v>214</v>
      </c>
      <c r="P3038" s="55" t="s">
        <v>1345</v>
      </c>
      <c r="Q3038" s="55" t="s">
        <v>350</v>
      </c>
      <c r="R3038" s="55">
        <v>6</v>
      </c>
      <c r="S3038" s="55"/>
      <c r="T3038" s="55" t="s">
        <v>5688</v>
      </c>
      <c r="U3038" s="73" t="s">
        <v>351</v>
      </c>
      <c r="V3038" s="74">
        <v>44636</v>
      </c>
      <c r="W3038" s="74">
        <v>44679</v>
      </c>
      <c r="X3038" s="55">
        <v>10187072</v>
      </c>
      <c r="Y3038" s="55" t="s">
        <v>132</v>
      </c>
      <c r="AB3038" s="55" t="s">
        <v>132</v>
      </c>
      <c r="AC3038" s="55" t="s">
        <v>132</v>
      </c>
    </row>
    <row r="3039" spans="1:29" ht="13" x14ac:dyDescent="0.15">
      <c r="A3039" s="72" t="str">
        <f t="shared" si="47"/>
        <v>Ofsted Social Care Provider Webpage</v>
      </c>
      <c r="B3039" s="55" t="s">
        <v>5689</v>
      </c>
      <c r="D3039" s="55" t="s">
        <v>373</v>
      </c>
      <c r="E3039" s="74">
        <v>40822</v>
      </c>
      <c r="F3039" s="55" t="s">
        <v>344</v>
      </c>
      <c r="G3039" s="55" t="s">
        <v>360</v>
      </c>
      <c r="H3039" s="55" t="s">
        <v>360</v>
      </c>
      <c r="I3039" s="55" t="s">
        <v>360</v>
      </c>
      <c r="J3039" s="55" t="s">
        <v>360</v>
      </c>
      <c r="K3039" s="55" t="s">
        <v>360</v>
      </c>
      <c r="L3039" s="55" t="s">
        <v>360</v>
      </c>
      <c r="M3039" s="55" t="s">
        <v>172</v>
      </c>
      <c r="N3039" s="55" t="s">
        <v>172</v>
      </c>
      <c r="O3039" s="55" t="s">
        <v>173</v>
      </c>
      <c r="P3039" s="55" t="s">
        <v>1305</v>
      </c>
      <c r="Q3039" s="55" t="s">
        <v>350</v>
      </c>
      <c r="R3039" s="55">
        <v>3</v>
      </c>
      <c r="S3039" s="55"/>
      <c r="T3039" s="55" t="s">
        <v>861</v>
      </c>
      <c r="U3039" s="73" t="s">
        <v>351</v>
      </c>
      <c r="V3039" s="74">
        <v>44607</v>
      </c>
      <c r="W3039" s="74">
        <v>44650</v>
      </c>
      <c r="X3039" s="55">
        <v>10185606</v>
      </c>
      <c r="Y3039" s="55" t="s">
        <v>132</v>
      </c>
      <c r="AB3039" s="55" t="s">
        <v>132</v>
      </c>
      <c r="AC3039" s="55" t="s">
        <v>132</v>
      </c>
    </row>
    <row r="3040" spans="1:29" ht="13" x14ac:dyDescent="0.15">
      <c r="A3040" s="72" t="str">
        <f t="shared" si="47"/>
        <v>Ofsted Social Care Provider Webpage</v>
      </c>
      <c r="B3040" s="55" t="s">
        <v>5690</v>
      </c>
      <c r="D3040" s="55" t="s">
        <v>373</v>
      </c>
      <c r="E3040" s="74">
        <v>40941</v>
      </c>
      <c r="F3040" s="55" t="s">
        <v>344</v>
      </c>
      <c r="G3040" s="55" t="s">
        <v>360</v>
      </c>
      <c r="H3040" s="55" t="s">
        <v>360</v>
      </c>
      <c r="I3040" s="55" t="s">
        <v>360</v>
      </c>
      <c r="J3040" s="55" t="s">
        <v>360</v>
      </c>
      <c r="K3040" s="55" t="s">
        <v>360</v>
      </c>
      <c r="L3040" s="55" t="s">
        <v>360</v>
      </c>
      <c r="M3040" s="55" t="s">
        <v>144</v>
      </c>
      <c r="N3040" s="55" t="s">
        <v>144</v>
      </c>
      <c r="O3040" s="55" t="s">
        <v>263</v>
      </c>
      <c r="P3040" s="55" t="s">
        <v>1211</v>
      </c>
      <c r="Q3040" s="55" t="s">
        <v>350</v>
      </c>
      <c r="R3040" s="55">
        <v>5</v>
      </c>
      <c r="S3040" s="55"/>
      <c r="T3040" s="55" t="s">
        <v>2359</v>
      </c>
      <c r="U3040" s="73" t="s">
        <v>351</v>
      </c>
      <c r="V3040" s="74">
        <v>44419</v>
      </c>
      <c r="W3040" s="74">
        <v>44456</v>
      </c>
      <c r="X3040" s="55">
        <v>10185476</v>
      </c>
      <c r="Y3040" s="55" t="s">
        <v>132</v>
      </c>
      <c r="AB3040" s="55" t="s">
        <v>132</v>
      </c>
      <c r="AC3040" s="55" t="s">
        <v>132</v>
      </c>
    </row>
    <row r="3041" spans="1:29" ht="13" x14ac:dyDescent="0.15">
      <c r="A3041" s="72" t="str">
        <f t="shared" si="47"/>
        <v>Ofsted Social Care Provider Webpage</v>
      </c>
      <c r="B3041" s="55" t="s">
        <v>5691</v>
      </c>
      <c r="D3041" s="55" t="s">
        <v>373</v>
      </c>
      <c r="E3041" s="74">
        <v>40959</v>
      </c>
      <c r="F3041" s="55" t="s">
        <v>344</v>
      </c>
      <c r="G3041" s="55" t="s">
        <v>360</v>
      </c>
      <c r="H3041" s="55" t="s">
        <v>360</v>
      </c>
      <c r="I3041" s="55" t="s">
        <v>360</v>
      </c>
      <c r="J3041" s="55" t="s">
        <v>360</v>
      </c>
      <c r="K3041" s="55" t="s">
        <v>360</v>
      </c>
      <c r="L3041" s="55" t="s">
        <v>360</v>
      </c>
      <c r="M3041" s="55" t="s">
        <v>172</v>
      </c>
      <c r="N3041" s="55" t="s">
        <v>172</v>
      </c>
      <c r="O3041" s="55" t="s">
        <v>234</v>
      </c>
      <c r="P3041" s="55" t="s">
        <v>369</v>
      </c>
      <c r="Q3041" s="55" t="s">
        <v>350</v>
      </c>
      <c r="R3041" s="55">
        <v>3</v>
      </c>
      <c r="S3041" s="55"/>
      <c r="T3041" s="55" t="s">
        <v>5692</v>
      </c>
      <c r="U3041" s="73" t="s">
        <v>351</v>
      </c>
      <c r="V3041" s="74">
        <v>44566</v>
      </c>
      <c r="W3041" s="74">
        <v>44599</v>
      </c>
      <c r="X3041" s="55">
        <v>10185310</v>
      </c>
      <c r="Y3041" s="55" t="s">
        <v>132</v>
      </c>
      <c r="AB3041" s="55" t="s">
        <v>132</v>
      </c>
      <c r="AC3041" s="55" t="s">
        <v>132</v>
      </c>
    </row>
    <row r="3042" spans="1:29" ht="13" x14ac:dyDescent="0.15">
      <c r="A3042" s="72" t="str">
        <f t="shared" si="47"/>
        <v>Ofsted Social Care Provider Webpage</v>
      </c>
      <c r="B3042" s="55" t="s">
        <v>5693</v>
      </c>
      <c r="D3042" s="55" t="s">
        <v>373</v>
      </c>
      <c r="E3042" s="74">
        <v>40856</v>
      </c>
      <c r="F3042" s="55" t="s">
        <v>344</v>
      </c>
      <c r="G3042" s="55" t="s">
        <v>360</v>
      </c>
      <c r="H3042" s="55" t="s">
        <v>360</v>
      </c>
      <c r="I3042" s="55" t="s">
        <v>360</v>
      </c>
      <c r="J3042" s="55" t="s">
        <v>360</v>
      </c>
      <c r="K3042" s="55" t="s">
        <v>360</v>
      </c>
      <c r="L3042" s="55" t="s">
        <v>360</v>
      </c>
      <c r="M3042" s="55" t="s">
        <v>172</v>
      </c>
      <c r="N3042" s="55" t="s">
        <v>172</v>
      </c>
      <c r="O3042" s="55" t="s">
        <v>173</v>
      </c>
      <c r="P3042" s="55" t="s">
        <v>860</v>
      </c>
      <c r="Q3042" s="55" t="s">
        <v>380</v>
      </c>
      <c r="R3042" s="55">
        <v>6</v>
      </c>
      <c r="S3042" s="55" t="s">
        <v>332</v>
      </c>
      <c r="T3042" s="55" t="s">
        <v>1431</v>
      </c>
      <c r="U3042" s="73" t="s">
        <v>351</v>
      </c>
      <c r="V3042" s="74">
        <v>44481</v>
      </c>
      <c r="W3042" s="74">
        <v>44515</v>
      </c>
      <c r="X3042" s="55">
        <v>10187251</v>
      </c>
      <c r="Y3042" s="55" t="s">
        <v>132</v>
      </c>
      <c r="AB3042" s="55" t="s">
        <v>132</v>
      </c>
      <c r="AC3042" s="55" t="s">
        <v>132</v>
      </c>
    </row>
    <row r="3043" spans="1:29" ht="13" x14ac:dyDescent="0.15">
      <c r="A3043" s="72" t="str">
        <f t="shared" si="47"/>
        <v>Ofsted Social Care Provider Webpage</v>
      </c>
      <c r="B3043" s="55" t="s">
        <v>5694</v>
      </c>
      <c r="D3043" s="55" t="s">
        <v>373</v>
      </c>
      <c r="E3043" s="74">
        <v>40833</v>
      </c>
      <c r="F3043" s="55" t="s">
        <v>344</v>
      </c>
      <c r="G3043" s="55" t="s">
        <v>360</v>
      </c>
      <c r="H3043" s="55" t="s">
        <v>360</v>
      </c>
      <c r="I3043" s="55" t="s">
        <v>360</v>
      </c>
      <c r="J3043" s="55" t="s">
        <v>360</v>
      </c>
      <c r="K3043" s="55" t="s">
        <v>360</v>
      </c>
      <c r="L3043" s="55" t="s">
        <v>360</v>
      </c>
      <c r="M3043" s="55" t="s">
        <v>142</v>
      </c>
      <c r="N3043" s="55" t="s">
        <v>142</v>
      </c>
      <c r="O3043" s="55" t="s">
        <v>262</v>
      </c>
      <c r="P3043" s="55" t="s">
        <v>916</v>
      </c>
      <c r="Q3043" s="55" t="s">
        <v>350</v>
      </c>
      <c r="R3043" s="55">
        <v>3</v>
      </c>
      <c r="S3043" s="55"/>
      <c r="T3043" s="55" t="s">
        <v>1253</v>
      </c>
      <c r="U3043" s="73" t="s">
        <v>351</v>
      </c>
      <c r="V3043" s="74">
        <v>44363</v>
      </c>
      <c r="W3043" s="74">
        <v>44393</v>
      </c>
      <c r="X3043" s="55">
        <v>10187256</v>
      </c>
      <c r="Y3043" s="55" t="s">
        <v>132</v>
      </c>
      <c r="AB3043" s="55" t="s">
        <v>132</v>
      </c>
      <c r="AC3043" s="55" t="s">
        <v>132</v>
      </c>
    </row>
    <row r="3044" spans="1:29" ht="13" x14ac:dyDescent="0.15">
      <c r="A3044" s="72" t="str">
        <f t="shared" si="47"/>
        <v>Ofsted Social Care Provider Webpage</v>
      </c>
      <c r="B3044" s="55" t="s">
        <v>5695</v>
      </c>
      <c r="D3044" s="55" t="s">
        <v>373</v>
      </c>
      <c r="E3044" s="74">
        <v>40814</v>
      </c>
      <c r="F3044" s="55" t="s">
        <v>344</v>
      </c>
      <c r="G3044" s="55" t="s">
        <v>360</v>
      </c>
      <c r="H3044" s="55" t="s">
        <v>360</v>
      </c>
      <c r="I3044" s="55" t="s">
        <v>360</v>
      </c>
      <c r="J3044" s="55" t="s">
        <v>360</v>
      </c>
      <c r="K3044" s="55" t="s">
        <v>360</v>
      </c>
      <c r="L3044" s="55" t="s">
        <v>360</v>
      </c>
      <c r="M3044" s="55" t="s">
        <v>136</v>
      </c>
      <c r="N3044" s="55" t="s">
        <v>136</v>
      </c>
      <c r="O3044" s="55" t="s">
        <v>270</v>
      </c>
      <c r="P3044" s="55" t="s">
        <v>1752</v>
      </c>
      <c r="Q3044" s="55" t="s">
        <v>350</v>
      </c>
      <c r="R3044" s="55">
        <v>5</v>
      </c>
      <c r="S3044" s="55"/>
      <c r="T3044" s="55" t="s">
        <v>5696</v>
      </c>
      <c r="U3044" s="73" t="s">
        <v>351</v>
      </c>
      <c r="V3044" s="74">
        <v>44306</v>
      </c>
      <c r="W3044" s="74">
        <v>44340</v>
      </c>
      <c r="X3044" s="55">
        <v>10185388</v>
      </c>
      <c r="Y3044" s="55" t="s">
        <v>132</v>
      </c>
      <c r="AB3044" s="55" t="s">
        <v>130</v>
      </c>
      <c r="AC3044" s="55" t="s">
        <v>132</v>
      </c>
    </row>
    <row r="3045" spans="1:29" ht="13" x14ac:dyDescent="0.15">
      <c r="A3045" s="72" t="str">
        <f t="shared" si="47"/>
        <v>Ofsted Social Care Provider Webpage</v>
      </c>
      <c r="B3045" s="55" t="s">
        <v>5697</v>
      </c>
      <c r="D3045" s="55" t="s">
        <v>373</v>
      </c>
      <c r="E3045" s="74">
        <v>40889</v>
      </c>
      <c r="F3045" s="55" t="s">
        <v>344</v>
      </c>
      <c r="G3045" s="55" t="s">
        <v>360</v>
      </c>
      <c r="H3045" s="55" t="s">
        <v>360</v>
      </c>
      <c r="I3045" s="55" t="s">
        <v>360</v>
      </c>
      <c r="J3045" s="55" t="s">
        <v>360</v>
      </c>
      <c r="K3045" s="55" t="s">
        <v>360</v>
      </c>
      <c r="L3045" s="55" t="s">
        <v>360</v>
      </c>
      <c r="M3045" s="55" t="s">
        <v>378</v>
      </c>
      <c r="N3045" s="55" t="s">
        <v>134</v>
      </c>
      <c r="O3045" s="55" t="s">
        <v>151</v>
      </c>
      <c r="P3045" s="55" t="s">
        <v>3141</v>
      </c>
      <c r="Q3045" s="55" t="s">
        <v>350</v>
      </c>
      <c r="R3045" s="55">
        <v>8</v>
      </c>
      <c r="S3045" s="55"/>
      <c r="T3045" s="55" t="s">
        <v>385</v>
      </c>
      <c r="U3045" s="73" t="s">
        <v>351</v>
      </c>
      <c r="V3045" s="74">
        <v>43879</v>
      </c>
      <c r="W3045" s="74">
        <v>43907</v>
      </c>
      <c r="X3045" s="55">
        <v>10096536</v>
      </c>
      <c r="Y3045" s="55" t="s">
        <v>132</v>
      </c>
      <c r="AB3045" s="55" t="s">
        <v>132</v>
      </c>
      <c r="AC3045" s="55" t="s">
        <v>132</v>
      </c>
    </row>
    <row r="3046" spans="1:29" ht="13" x14ac:dyDescent="0.15">
      <c r="A3046" s="72" t="str">
        <f t="shared" si="47"/>
        <v>Ofsted Social Care Provider Webpage</v>
      </c>
      <c r="B3046" s="55" t="s">
        <v>5698</v>
      </c>
      <c r="D3046" s="55" t="s">
        <v>373</v>
      </c>
      <c r="E3046" s="74">
        <v>40963</v>
      </c>
      <c r="F3046" s="55" t="s">
        <v>344</v>
      </c>
      <c r="G3046" s="55" t="s">
        <v>360</v>
      </c>
      <c r="H3046" s="55" t="s">
        <v>360</v>
      </c>
      <c r="I3046" s="55" t="s">
        <v>360</v>
      </c>
      <c r="J3046" s="55" t="s">
        <v>360</v>
      </c>
      <c r="K3046" s="55" t="s">
        <v>360</v>
      </c>
      <c r="L3046" s="55" t="s">
        <v>360</v>
      </c>
      <c r="M3046" s="55" t="s">
        <v>142</v>
      </c>
      <c r="N3046" s="55" t="s">
        <v>142</v>
      </c>
      <c r="O3046" s="55" t="s">
        <v>249</v>
      </c>
      <c r="P3046" s="55" t="s">
        <v>1406</v>
      </c>
      <c r="Q3046" s="55" t="s">
        <v>350</v>
      </c>
      <c r="R3046" s="55">
        <v>3</v>
      </c>
      <c r="S3046" s="55"/>
      <c r="T3046" s="55" t="s">
        <v>1164</v>
      </c>
      <c r="U3046" s="73" t="s">
        <v>2053</v>
      </c>
      <c r="V3046" s="74">
        <v>44609</v>
      </c>
      <c r="W3046" s="74">
        <v>44651</v>
      </c>
      <c r="X3046" s="55">
        <v>10219618</v>
      </c>
      <c r="Y3046" s="55" t="s">
        <v>130</v>
      </c>
    </row>
    <row r="3047" spans="1:29" ht="13" x14ac:dyDescent="0.15">
      <c r="A3047" s="72" t="str">
        <f t="shared" si="47"/>
        <v>Ofsted Social Care Provider Webpage</v>
      </c>
      <c r="B3047" s="55" t="s">
        <v>5699</v>
      </c>
      <c r="D3047" s="55" t="s">
        <v>373</v>
      </c>
      <c r="E3047" s="74">
        <v>40947</v>
      </c>
      <c r="F3047" s="55" t="s">
        <v>344</v>
      </c>
      <c r="G3047" s="55" t="s">
        <v>360</v>
      </c>
      <c r="H3047" s="55" t="s">
        <v>360</v>
      </c>
      <c r="I3047" s="55" t="s">
        <v>360</v>
      </c>
      <c r="J3047" s="55" t="s">
        <v>360</v>
      </c>
      <c r="K3047" s="55" t="s">
        <v>360</v>
      </c>
      <c r="L3047" s="55" t="s">
        <v>360</v>
      </c>
      <c r="M3047" s="55" t="s">
        <v>378</v>
      </c>
      <c r="N3047" s="55" t="s">
        <v>134</v>
      </c>
      <c r="O3047" s="55" t="s">
        <v>210</v>
      </c>
      <c r="P3047" s="55" t="s">
        <v>1250</v>
      </c>
      <c r="Q3047" s="55" t="s">
        <v>350</v>
      </c>
      <c r="R3047" s="55">
        <v>4</v>
      </c>
      <c r="S3047" s="55"/>
      <c r="T3047" s="55" t="s">
        <v>1505</v>
      </c>
      <c r="U3047" s="73" t="s">
        <v>351</v>
      </c>
      <c r="V3047" s="74">
        <v>44510</v>
      </c>
      <c r="W3047" s="74">
        <v>44547</v>
      </c>
      <c r="X3047" s="55">
        <v>10186961</v>
      </c>
      <c r="Y3047" s="55" t="s">
        <v>132</v>
      </c>
      <c r="AB3047" s="55" t="s">
        <v>132</v>
      </c>
      <c r="AC3047" s="55" t="s">
        <v>132</v>
      </c>
    </row>
    <row r="3048" spans="1:29" ht="13" x14ac:dyDescent="0.15">
      <c r="A3048" s="72" t="str">
        <f t="shared" si="47"/>
        <v>Ofsted Social Care Provider Webpage</v>
      </c>
      <c r="B3048" s="55" t="s">
        <v>5700</v>
      </c>
      <c r="D3048" s="55" t="s">
        <v>373</v>
      </c>
      <c r="E3048" s="74">
        <v>40911</v>
      </c>
      <c r="F3048" s="55" t="s">
        <v>344</v>
      </c>
      <c r="G3048" s="55" t="s">
        <v>360</v>
      </c>
      <c r="H3048" s="55" t="s">
        <v>360</v>
      </c>
      <c r="I3048" s="55" t="s">
        <v>360</v>
      </c>
      <c r="J3048" s="55" t="s">
        <v>360</v>
      </c>
      <c r="K3048" s="55" t="s">
        <v>360</v>
      </c>
      <c r="L3048" s="55" t="s">
        <v>360</v>
      </c>
      <c r="M3048" s="55" t="s">
        <v>172</v>
      </c>
      <c r="N3048" s="55" t="s">
        <v>172</v>
      </c>
      <c r="O3048" s="55" t="s">
        <v>212</v>
      </c>
      <c r="P3048" s="55" t="s">
        <v>514</v>
      </c>
      <c r="Q3048" s="55" t="s">
        <v>350</v>
      </c>
      <c r="R3048" s="55">
        <v>3</v>
      </c>
      <c r="S3048" s="55"/>
      <c r="T3048" s="55" t="s">
        <v>1424</v>
      </c>
      <c r="U3048" s="73" t="s">
        <v>351</v>
      </c>
      <c r="V3048" s="74">
        <v>44417</v>
      </c>
      <c r="W3048" s="74">
        <v>44446</v>
      </c>
      <c r="X3048" s="55">
        <v>10185921</v>
      </c>
      <c r="Y3048" s="55" t="s">
        <v>132</v>
      </c>
      <c r="AB3048" s="55" t="s">
        <v>132</v>
      </c>
      <c r="AC3048" s="55" t="s">
        <v>132</v>
      </c>
    </row>
    <row r="3049" spans="1:29" ht="13" x14ac:dyDescent="0.15">
      <c r="A3049" s="72" t="str">
        <f t="shared" si="47"/>
        <v>Ofsted Social Care Provider Webpage</v>
      </c>
      <c r="B3049" s="55" t="s">
        <v>5701</v>
      </c>
      <c r="D3049" s="55" t="s">
        <v>389</v>
      </c>
      <c r="E3049" s="74">
        <v>40884</v>
      </c>
      <c r="F3049" s="55" t="s">
        <v>344</v>
      </c>
      <c r="G3049" s="55" t="s">
        <v>5702</v>
      </c>
      <c r="H3049" s="55" t="s">
        <v>5703</v>
      </c>
      <c r="I3049" s="55" t="s">
        <v>5704</v>
      </c>
      <c r="J3049" s="55" t="s">
        <v>2770</v>
      </c>
      <c r="L3049" s="55" t="s">
        <v>5705</v>
      </c>
      <c r="M3049" s="55" t="s">
        <v>138</v>
      </c>
      <c r="N3049" s="55" t="s">
        <v>138</v>
      </c>
      <c r="O3049" s="55" t="s">
        <v>266</v>
      </c>
      <c r="P3049" s="55" t="s">
        <v>1622</v>
      </c>
      <c r="Q3049" s="55" t="s">
        <v>350</v>
      </c>
      <c r="R3049" s="55"/>
      <c r="S3049" s="55"/>
      <c r="T3049" s="55" t="s">
        <v>5706</v>
      </c>
      <c r="U3049" s="73" t="s">
        <v>351</v>
      </c>
      <c r="V3049" s="74">
        <v>43297</v>
      </c>
      <c r="W3049" s="74">
        <v>43325</v>
      </c>
      <c r="X3049" s="55">
        <v>10045658</v>
      </c>
      <c r="Y3049" s="55" t="s">
        <v>132</v>
      </c>
      <c r="AB3049" s="55" t="s">
        <v>132</v>
      </c>
      <c r="AC3049" s="55" t="s">
        <v>130</v>
      </c>
    </row>
    <row r="3050" spans="1:29" ht="13" x14ac:dyDescent="0.15">
      <c r="A3050" s="72" t="str">
        <f t="shared" si="47"/>
        <v>Ofsted Social Care Provider Webpage</v>
      </c>
      <c r="B3050" s="55" t="s">
        <v>5707</v>
      </c>
      <c r="D3050" s="55" t="s">
        <v>373</v>
      </c>
      <c r="E3050" s="74">
        <v>40907</v>
      </c>
      <c r="F3050" s="55" t="s">
        <v>344</v>
      </c>
      <c r="G3050" s="55" t="s">
        <v>360</v>
      </c>
      <c r="H3050" s="55" t="s">
        <v>360</v>
      </c>
      <c r="I3050" s="55" t="s">
        <v>360</v>
      </c>
      <c r="J3050" s="55" t="s">
        <v>360</v>
      </c>
      <c r="K3050" s="55" t="s">
        <v>360</v>
      </c>
      <c r="L3050" s="55" t="s">
        <v>360</v>
      </c>
      <c r="M3050" s="55" t="s">
        <v>142</v>
      </c>
      <c r="N3050" s="55" t="s">
        <v>142</v>
      </c>
      <c r="O3050" s="55" t="s">
        <v>272</v>
      </c>
      <c r="P3050" s="55" t="s">
        <v>653</v>
      </c>
      <c r="Q3050" s="55" t="s">
        <v>350</v>
      </c>
      <c r="R3050" s="55">
        <v>2</v>
      </c>
      <c r="S3050" s="55"/>
      <c r="T3050" s="55" t="s">
        <v>5708</v>
      </c>
      <c r="U3050" s="73" t="s">
        <v>351</v>
      </c>
      <c r="V3050" s="74">
        <v>44566</v>
      </c>
      <c r="W3050" s="74">
        <v>44603</v>
      </c>
      <c r="X3050" s="55">
        <v>10187081</v>
      </c>
      <c r="Y3050" s="55" t="s">
        <v>132</v>
      </c>
      <c r="AB3050" s="55" t="s">
        <v>132</v>
      </c>
      <c r="AC3050" s="55" t="s">
        <v>132</v>
      </c>
    </row>
    <row r="3051" spans="1:29" ht="13" x14ac:dyDescent="0.15">
      <c r="A3051" s="72" t="str">
        <f t="shared" si="47"/>
        <v>Ofsted Social Care Provider Webpage</v>
      </c>
      <c r="B3051" s="55" t="s">
        <v>5709</v>
      </c>
      <c r="D3051" s="55" t="s">
        <v>389</v>
      </c>
      <c r="E3051" s="74">
        <v>40927</v>
      </c>
      <c r="F3051" s="55" t="s">
        <v>344</v>
      </c>
      <c r="G3051" s="55" t="s">
        <v>5710</v>
      </c>
      <c r="H3051" s="55" t="s">
        <v>5711</v>
      </c>
      <c r="I3051" s="55" t="s">
        <v>5712</v>
      </c>
      <c r="J3051" s="55" t="s">
        <v>234</v>
      </c>
      <c r="L3051" s="55" t="s">
        <v>5713</v>
      </c>
      <c r="M3051" s="55" t="s">
        <v>172</v>
      </c>
      <c r="N3051" s="55" t="s">
        <v>172</v>
      </c>
      <c r="O3051" s="55" t="s">
        <v>234</v>
      </c>
      <c r="P3051" s="55" t="s">
        <v>369</v>
      </c>
      <c r="Q3051" s="55" t="s">
        <v>350</v>
      </c>
      <c r="R3051" s="55"/>
      <c r="S3051" s="55"/>
      <c r="T3051" s="55" t="s">
        <v>5714</v>
      </c>
      <c r="U3051" s="73" t="s">
        <v>351</v>
      </c>
      <c r="V3051" s="74">
        <v>43325</v>
      </c>
      <c r="W3051" s="74">
        <v>43350</v>
      </c>
      <c r="X3051" s="55">
        <v>10045617</v>
      </c>
      <c r="Y3051" s="55" t="s">
        <v>132</v>
      </c>
      <c r="AB3051" s="55" t="s">
        <v>132</v>
      </c>
      <c r="AC3051" s="55" t="s">
        <v>132</v>
      </c>
    </row>
    <row r="3052" spans="1:29" ht="13" x14ac:dyDescent="0.15">
      <c r="A3052" s="72" t="str">
        <f t="shared" si="47"/>
        <v>Ofsted Social Care Provider Webpage</v>
      </c>
      <c r="B3052" s="55" t="s">
        <v>5715</v>
      </c>
      <c r="D3052" s="55" t="s">
        <v>373</v>
      </c>
      <c r="E3052" s="74">
        <v>40848</v>
      </c>
      <c r="F3052" s="55" t="s">
        <v>344</v>
      </c>
      <c r="G3052" s="55" t="s">
        <v>360</v>
      </c>
      <c r="H3052" s="55" t="s">
        <v>360</v>
      </c>
      <c r="I3052" s="55" t="s">
        <v>360</v>
      </c>
      <c r="J3052" s="55" t="s">
        <v>360</v>
      </c>
      <c r="K3052" s="55" t="s">
        <v>360</v>
      </c>
      <c r="L3052" s="55" t="s">
        <v>360</v>
      </c>
      <c r="M3052" s="55" t="s">
        <v>150</v>
      </c>
      <c r="N3052" s="55" t="s">
        <v>150</v>
      </c>
      <c r="O3052" s="55" t="s">
        <v>289</v>
      </c>
      <c r="P3052" s="55" t="s">
        <v>1756</v>
      </c>
      <c r="Q3052" s="55" t="s">
        <v>350</v>
      </c>
      <c r="R3052" s="55">
        <v>2</v>
      </c>
      <c r="S3052" s="55"/>
      <c r="T3052" s="55" t="s">
        <v>843</v>
      </c>
      <c r="U3052" s="73" t="s">
        <v>351</v>
      </c>
      <c r="V3052" s="74">
        <v>44468</v>
      </c>
      <c r="W3052" s="74">
        <v>44503</v>
      </c>
      <c r="X3052" s="55">
        <v>10186080</v>
      </c>
      <c r="Y3052" s="55" t="s">
        <v>132</v>
      </c>
      <c r="AB3052" s="55" t="s">
        <v>132</v>
      </c>
      <c r="AC3052" s="55" t="s">
        <v>132</v>
      </c>
    </row>
    <row r="3053" spans="1:29" ht="13" x14ac:dyDescent="0.15">
      <c r="A3053" s="72" t="str">
        <f t="shared" si="47"/>
        <v>Ofsted Social Care Provider Webpage</v>
      </c>
      <c r="B3053" s="55" t="s">
        <v>5716</v>
      </c>
      <c r="D3053" s="55" t="s">
        <v>373</v>
      </c>
      <c r="E3053" s="74">
        <v>40891</v>
      </c>
      <c r="F3053" s="55" t="s">
        <v>344</v>
      </c>
      <c r="G3053" s="55" t="s">
        <v>360</v>
      </c>
      <c r="H3053" s="55" t="s">
        <v>360</v>
      </c>
      <c r="I3053" s="55" t="s">
        <v>360</v>
      </c>
      <c r="J3053" s="55" t="s">
        <v>360</v>
      </c>
      <c r="K3053" s="55" t="s">
        <v>360</v>
      </c>
      <c r="L3053" s="55" t="s">
        <v>360</v>
      </c>
      <c r="M3053" s="55" t="s">
        <v>150</v>
      </c>
      <c r="N3053" s="55" t="s">
        <v>150</v>
      </c>
      <c r="O3053" s="55" t="s">
        <v>203</v>
      </c>
      <c r="P3053" s="55" t="s">
        <v>1263</v>
      </c>
      <c r="Q3053" s="55" t="s">
        <v>350</v>
      </c>
      <c r="R3053" s="55">
        <v>3</v>
      </c>
      <c r="S3053" s="55"/>
      <c r="T3053" s="55" t="s">
        <v>564</v>
      </c>
      <c r="U3053" s="73" t="s">
        <v>351</v>
      </c>
      <c r="V3053" s="74">
        <v>44440</v>
      </c>
      <c r="W3053" s="74">
        <v>44494</v>
      </c>
      <c r="X3053" s="55">
        <v>10186469</v>
      </c>
      <c r="Y3053" s="55" t="s">
        <v>132</v>
      </c>
      <c r="AB3053" s="55" t="s">
        <v>132</v>
      </c>
      <c r="AC3053" s="55" t="s">
        <v>132</v>
      </c>
    </row>
    <row r="3054" spans="1:29" ht="13" x14ac:dyDescent="0.15">
      <c r="A3054" s="72" t="str">
        <f t="shared" si="47"/>
        <v>Ofsted Social Care Provider Webpage</v>
      </c>
      <c r="B3054" s="55" t="s">
        <v>5717</v>
      </c>
      <c r="D3054" s="55" t="s">
        <v>373</v>
      </c>
      <c r="E3054" s="74">
        <v>40879</v>
      </c>
      <c r="F3054" s="55" t="s">
        <v>344</v>
      </c>
      <c r="G3054" s="55" t="s">
        <v>360</v>
      </c>
      <c r="H3054" s="55" t="s">
        <v>360</v>
      </c>
      <c r="I3054" s="55" t="s">
        <v>360</v>
      </c>
      <c r="J3054" s="55" t="s">
        <v>360</v>
      </c>
      <c r="K3054" s="55" t="s">
        <v>360</v>
      </c>
      <c r="L3054" s="55" t="s">
        <v>360</v>
      </c>
      <c r="M3054" s="55" t="s">
        <v>138</v>
      </c>
      <c r="N3054" s="55" t="s">
        <v>138</v>
      </c>
      <c r="O3054" s="55" t="s">
        <v>259</v>
      </c>
      <c r="P3054" s="55" t="s">
        <v>1914</v>
      </c>
      <c r="Q3054" s="55" t="s">
        <v>350</v>
      </c>
      <c r="R3054" s="55">
        <v>6</v>
      </c>
      <c r="S3054" s="55"/>
      <c r="T3054" s="55" t="s">
        <v>585</v>
      </c>
      <c r="U3054" s="73" t="s">
        <v>351</v>
      </c>
      <c r="V3054" s="74">
        <v>44481</v>
      </c>
      <c r="W3054" s="74">
        <v>44512</v>
      </c>
      <c r="X3054" s="55">
        <v>10186598</v>
      </c>
      <c r="Y3054" s="55" t="s">
        <v>132</v>
      </c>
      <c r="AB3054" s="55" t="s">
        <v>132</v>
      </c>
      <c r="AC3054" s="55" t="s">
        <v>132</v>
      </c>
    </row>
    <row r="3055" spans="1:29" ht="13" x14ac:dyDescent="0.15">
      <c r="A3055" s="72" t="str">
        <f t="shared" si="47"/>
        <v>Ofsted Social Care Provider Webpage</v>
      </c>
      <c r="B3055" s="55" t="s">
        <v>5718</v>
      </c>
      <c r="D3055" s="55" t="s">
        <v>373</v>
      </c>
      <c r="E3055" s="74">
        <v>40924</v>
      </c>
      <c r="F3055" s="55" t="s">
        <v>344</v>
      </c>
      <c r="G3055" s="55" t="s">
        <v>360</v>
      </c>
      <c r="H3055" s="55" t="s">
        <v>360</v>
      </c>
      <c r="I3055" s="55" t="s">
        <v>360</v>
      </c>
      <c r="J3055" s="55" t="s">
        <v>360</v>
      </c>
      <c r="K3055" s="55" t="s">
        <v>360</v>
      </c>
      <c r="L3055" s="55" t="s">
        <v>360</v>
      </c>
      <c r="M3055" s="55" t="s">
        <v>144</v>
      </c>
      <c r="N3055" s="55" t="s">
        <v>144</v>
      </c>
      <c r="O3055" s="55" t="s">
        <v>276</v>
      </c>
      <c r="P3055" s="55" t="s">
        <v>1562</v>
      </c>
      <c r="Q3055" s="55" t="s">
        <v>350</v>
      </c>
      <c r="R3055" s="55">
        <v>2</v>
      </c>
      <c r="S3055" s="55"/>
      <c r="T3055" s="55" t="s">
        <v>619</v>
      </c>
      <c r="U3055" s="73" t="s">
        <v>351</v>
      </c>
      <c r="V3055" s="74">
        <v>43794</v>
      </c>
      <c r="W3055" s="74">
        <v>43815</v>
      </c>
      <c r="X3055" s="55">
        <v>10096543</v>
      </c>
      <c r="Y3055" s="55" t="s">
        <v>140</v>
      </c>
      <c r="AB3055" s="55" t="s">
        <v>140</v>
      </c>
      <c r="AC3055" s="55" t="s">
        <v>140</v>
      </c>
    </row>
    <row r="3056" spans="1:29" ht="13" x14ac:dyDescent="0.15">
      <c r="A3056" s="72" t="str">
        <f t="shared" si="47"/>
        <v>Ofsted Social Care Provider Webpage</v>
      </c>
      <c r="B3056" s="55" t="s">
        <v>5719</v>
      </c>
      <c r="D3056" s="55" t="s">
        <v>373</v>
      </c>
      <c r="E3056" s="74">
        <v>40940</v>
      </c>
      <c r="F3056" s="55" t="s">
        <v>344</v>
      </c>
      <c r="G3056" s="55" t="s">
        <v>360</v>
      </c>
      <c r="H3056" s="55" t="s">
        <v>360</v>
      </c>
      <c r="I3056" s="55" t="s">
        <v>360</v>
      </c>
      <c r="J3056" s="55" t="s">
        <v>360</v>
      </c>
      <c r="K3056" s="55" t="s">
        <v>360</v>
      </c>
      <c r="L3056" s="55" t="s">
        <v>360</v>
      </c>
      <c r="M3056" s="55" t="s">
        <v>138</v>
      </c>
      <c r="N3056" s="55" t="s">
        <v>138</v>
      </c>
      <c r="O3056" s="55" t="s">
        <v>159</v>
      </c>
      <c r="P3056" s="55" t="s">
        <v>1025</v>
      </c>
      <c r="Q3056" s="55" t="s">
        <v>362</v>
      </c>
      <c r="R3056" s="55">
        <v>4</v>
      </c>
      <c r="S3056" s="55"/>
      <c r="T3056" s="55" t="s">
        <v>557</v>
      </c>
      <c r="U3056" s="73" t="s">
        <v>351</v>
      </c>
      <c r="V3056" s="74">
        <v>44315</v>
      </c>
      <c r="W3056" s="74">
        <v>44341</v>
      </c>
      <c r="X3056" s="55">
        <v>10185385</v>
      </c>
      <c r="Y3056" s="55" t="s">
        <v>130</v>
      </c>
      <c r="AB3056" s="55" t="s">
        <v>130</v>
      </c>
      <c r="AC3056" s="55" t="s">
        <v>146</v>
      </c>
    </row>
    <row r="3057" spans="1:29" ht="13" x14ac:dyDescent="0.15">
      <c r="A3057" s="72" t="str">
        <f t="shared" si="47"/>
        <v>Ofsted Social Care Provider Webpage</v>
      </c>
      <c r="B3057" s="55" t="s">
        <v>5720</v>
      </c>
      <c r="D3057" s="55" t="s">
        <v>373</v>
      </c>
      <c r="E3057" s="74">
        <v>40959</v>
      </c>
      <c r="F3057" s="55" t="s">
        <v>344</v>
      </c>
      <c r="G3057" s="55" t="s">
        <v>360</v>
      </c>
      <c r="H3057" s="55" t="s">
        <v>360</v>
      </c>
      <c r="I3057" s="55" t="s">
        <v>360</v>
      </c>
      <c r="J3057" s="55" t="s">
        <v>360</v>
      </c>
      <c r="K3057" s="55" t="s">
        <v>360</v>
      </c>
      <c r="L3057" s="55" t="s">
        <v>360</v>
      </c>
      <c r="M3057" s="55" t="s">
        <v>150</v>
      </c>
      <c r="N3057" s="55" t="s">
        <v>150</v>
      </c>
      <c r="O3057" s="55" t="s">
        <v>203</v>
      </c>
      <c r="P3057" s="55" t="s">
        <v>2078</v>
      </c>
      <c r="Q3057" s="55" t="s">
        <v>380</v>
      </c>
      <c r="R3057" s="55">
        <v>4</v>
      </c>
      <c r="S3057" s="55" t="s">
        <v>332</v>
      </c>
      <c r="T3057" s="55" t="s">
        <v>1547</v>
      </c>
      <c r="U3057" s="73" t="s">
        <v>351</v>
      </c>
      <c r="V3057" s="74">
        <v>44532</v>
      </c>
      <c r="W3057" s="74">
        <v>44589</v>
      </c>
      <c r="X3057" s="55">
        <v>10185287</v>
      </c>
      <c r="Y3057" s="55" t="s">
        <v>132</v>
      </c>
      <c r="AB3057" s="55" t="s">
        <v>132</v>
      </c>
      <c r="AC3057" s="55" t="s">
        <v>130</v>
      </c>
    </row>
    <row r="3058" spans="1:29" ht="13" x14ac:dyDescent="0.15">
      <c r="A3058" s="72" t="str">
        <f t="shared" si="47"/>
        <v>Ofsted Social Care Provider Webpage</v>
      </c>
      <c r="B3058" s="55" t="s">
        <v>5721</v>
      </c>
      <c r="D3058" s="55" t="s">
        <v>373</v>
      </c>
      <c r="E3058" s="74">
        <v>40886</v>
      </c>
      <c r="F3058" s="55" t="s">
        <v>344</v>
      </c>
      <c r="G3058" s="55" t="s">
        <v>360</v>
      </c>
      <c r="H3058" s="55" t="s">
        <v>360</v>
      </c>
      <c r="I3058" s="55" t="s">
        <v>360</v>
      </c>
      <c r="J3058" s="55" t="s">
        <v>360</v>
      </c>
      <c r="K3058" s="55" t="s">
        <v>360</v>
      </c>
      <c r="L3058" s="55" t="s">
        <v>360</v>
      </c>
      <c r="M3058" s="55" t="s">
        <v>378</v>
      </c>
      <c r="N3058" s="55" t="s">
        <v>134</v>
      </c>
      <c r="O3058" s="55" t="s">
        <v>232</v>
      </c>
      <c r="P3058" s="55" t="s">
        <v>412</v>
      </c>
      <c r="Q3058" s="55" t="s">
        <v>350</v>
      </c>
      <c r="R3058" s="55">
        <v>5</v>
      </c>
      <c r="S3058" s="55"/>
      <c r="T3058" s="55" t="s">
        <v>1251</v>
      </c>
      <c r="U3058" s="73" t="s">
        <v>351</v>
      </c>
      <c r="V3058" s="74">
        <v>44581</v>
      </c>
      <c r="W3058" s="74">
        <v>44630</v>
      </c>
      <c r="X3058" s="55">
        <v>10186879</v>
      </c>
      <c r="Y3058" s="55" t="s">
        <v>130</v>
      </c>
      <c r="AB3058" s="55" t="s">
        <v>130</v>
      </c>
      <c r="AC3058" s="55" t="s">
        <v>130</v>
      </c>
    </row>
    <row r="3059" spans="1:29" ht="13" x14ac:dyDescent="0.15">
      <c r="A3059" s="72" t="str">
        <f t="shared" si="47"/>
        <v>Ofsted Social Care Provider Webpage</v>
      </c>
      <c r="B3059" s="55" t="s">
        <v>5722</v>
      </c>
      <c r="D3059" s="55" t="s">
        <v>451</v>
      </c>
      <c r="E3059" s="74">
        <v>40947</v>
      </c>
      <c r="F3059" s="55" t="s">
        <v>344</v>
      </c>
      <c r="G3059" s="55" t="s">
        <v>5723</v>
      </c>
      <c r="H3059" s="55" t="s">
        <v>5724</v>
      </c>
      <c r="I3059" s="55" t="s">
        <v>5725</v>
      </c>
      <c r="J3059" s="55" t="s">
        <v>2578</v>
      </c>
      <c r="L3059" s="55" t="s">
        <v>5726</v>
      </c>
      <c r="M3059" s="55" t="s">
        <v>129</v>
      </c>
      <c r="N3059" s="55" t="s">
        <v>129</v>
      </c>
      <c r="O3059" s="55" t="s">
        <v>131</v>
      </c>
      <c r="P3059" s="55" t="s">
        <v>1721</v>
      </c>
      <c r="Q3059" s="55" t="s">
        <v>350</v>
      </c>
      <c r="R3059" s="55">
        <v>3</v>
      </c>
      <c r="S3059" s="55"/>
      <c r="T3059" s="55" t="s">
        <v>5727</v>
      </c>
      <c r="U3059" s="73" t="s">
        <v>351</v>
      </c>
      <c r="V3059" s="74">
        <v>43264</v>
      </c>
      <c r="W3059" s="74">
        <v>43301</v>
      </c>
      <c r="X3059" s="55">
        <v>10045743</v>
      </c>
      <c r="Y3059" s="55" t="s">
        <v>132</v>
      </c>
      <c r="AB3059" s="55" t="s">
        <v>132</v>
      </c>
      <c r="AC3059" s="55" t="s">
        <v>132</v>
      </c>
    </row>
    <row r="3060" spans="1:29" ht="13" x14ac:dyDescent="0.15">
      <c r="A3060" s="72" t="str">
        <f t="shared" si="47"/>
        <v>Ofsted Social Care Provider Webpage</v>
      </c>
      <c r="B3060" s="55" t="s">
        <v>5728</v>
      </c>
      <c r="D3060" s="55" t="s">
        <v>373</v>
      </c>
      <c r="E3060" s="74">
        <v>40939</v>
      </c>
      <c r="F3060" s="55" t="s">
        <v>344</v>
      </c>
      <c r="G3060" s="55" t="s">
        <v>360</v>
      </c>
      <c r="H3060" s="55" t="s">
        <v>360</v>
      </c>
      <c r="I3060" s="55" t="s">
        <v>360</v>
      </c>
      <c r="J3060" s="55" t="s">
        <v>360</v>
      </c>
      <c r="K3060" s="55" t="s">
        <v>360</v>
      </c>
      <c r="L3060" s="55" t="s">
        <v>360</v>
      </c>
      <c r="M3060" s="55" t="s">
        <v>172</v>
      </c>
      <c r="N3060" s="55" t="s">
        <v>172</v>
      </c>
      <c r="O3060" s="55" t="s">
        <v>173</v>
      </c>
      <c r="P3060" s="55" t="s">
        <v>1540</v>
      </c>
      <c r="Q3060" s="55" t="s">
        <v>380</v>
      </c>
      <c r="R3060" s="55">
        <v>6</v>
      </c>
      <c r="S3060" s="55"/>
      <c r="T3060" s="55" t="s">
        <v>1431</v>
      </c>
      <c r="U3060" s="73" t="s">
        <v>351</v>
      </c>
      <c r="V3060" s="74">
        <v>44566</v>
      </c>
      <c r="W3060" s="74">
        <v>44595</v>
      </c>
      <c r="X3060" s="55">
        <v>10187388</v>
      </c>
      <c r="Y3060" s="55" t="s">
        <v>140</v>
      </c>
      <c r="AB3060" s="55" t="s">
        <v>140</v>
      </c>
      <c r="AC3060" s="55" t="s">
        <v>140</v>
      </c>
    </row>
    <row r="3061" spans="1:29" ht="13" x14ac:dyDescent="0.15">
      <c r="A3061" s="72" t="str">
        <f t="shared" si="47"/>
        <v>Ofsted Social Care Provider Webpage</v>
      </c>
      <c r="B3061" s="55" t="s">
        <v>5729</v>
      </c>
      <c r="D3061" s="55" t="s">
        <v>373</v>
      </c>
      <c r="E3061" s="74">
        <v>41051</v>
      </c>
      <c r="F3061" s="55" t="s">
        <v>344</v>
      </c>
      <c r="G3061" s="55" t="s">
        <v>360</v>
      </c>
      <c r="H3061" s="55" t="s">
        <v>360</v>
      </c>
      <c r="I3061" s="55" t="s">
        <v>360</v>
      </c>
      <c r="J3061" s="55" t="s">
        <v>360</v>
      </c>
      <c r="K3061" s="55" t="s">
        <v>360</v>
      </c>
      <c r="L3061" s="55" t="s">
        <v>360</v>
      </c>
      <c r="M3061" s="55" t="s">
        <v>144</v>
      </c>
      <c r="N3061" s="55" t="s">
        <v>144</v>
      </c>
      <c r="O3061" s="55" t="s">
        <v>168</v>
      </c>
      <c r="P3061" s="55" t="s">
        <v>913</v>
      </c>
      <c r="Q3061" s="55" t="s">
        <v>350</v>
      </c>
      <c r="R3061" s="55">
        <v>1</v>
      </c>
      <c r="S3061" s="55"/>
      <c r="T3061" s="55" t="s">
        <v>709</v>
      </c>
      <c r="U3061" s="73" t="s">
        <v>351</v>
      </c>
      <c r="V3061" s="74">
        <v>44628</v>
      </c>
      <c r="W3061" s="74">
        <v>44677</v>
      </c>
      <c r="X3061" s="55">
        <v>10185025</v>
      </c>
      <c r="Y3061" s="55" t="s">
        <v>132</v>
      </c>
      <c r="AB3061" s="55" t="s">
        <v>132</v>
      </c>
      <c r="AC3061" s="55" t="s">
        <v>130</v>
      </c>
    </row>
    <row r="3062" spans="1:29" ht="13" x14ac:dyDescent="0.15">
      <c r="A3062" s="72" t="str">
        <f t="shared" si="47"/>
        <v>Ofsted Social Care Provider Webpage</v>
      </c>
      <c r="B3062" s="55" t="s">
        <v>5730</v>
      </c>
      <c r="D3062" s="55" t="s">
        <v>451</v>
      </c>
      <c r="E3062" s="74">
        <v>40953</v>
      </c>
      <c r="F3062" s="55" t="s">
        <v>344</v>
      </c>
      <c r="G3062" s="55" t="s">
        <v>5731</v>
      </c>
      <c r="H3062" s="55" t="s">
        <v>5732</v>
      </c>
      <c r="I3062" s="55" t="s">
        <v>5733</v>
      </c>
      <c r="J3062" s="55" t="s">
        <v>5734</v>
      </c>
      <c r="K3062" s="55" t="s">
        <v>209</v>
      </c>
      <c r="L3062" s="55" t="s">
        <v>5735</v>
      </c>
      <c r="M3062" s="55" t="s">
        <v>144</v>
      </c>
      <c r="N3062" s="55" t="s">
        <v>144</v>
      </c>
      <c r="O3062" s="55" t="s">
        <v>209</v>
      </c>
      <c r="P3062" s="55" t="s">
        <v>545</v>
      </c>
      <c r="Q3062" s="55" t="s">
        <v>350</v>
      </c>
      <c r="R3062" s="55">
        <v>3</v>
      </c>
      <c r="S3062" s="55"/>
      <c r="T3062" s="55" t="s">
        <v>5736</v>
      </c>
      <c r="U3062" s="73" t="s">
        <v>351</v>
      </c>
      <c r="V3062" s="74">
        <v>43263</v>
      </c>
      <c r="W3062" s="74">
        <v>43284</v>
      </c>
      <c r="X3062" s="55">
        <v>10045744</v>
      </c>
      <c r="Y3062" s="55" t="s">
        <v>132</v>
      </c>
      <c r="AB3062" s="55" t="s">
        <v>132</v>
      </c>
      <c r="AC3062" s="55" t="s">
        <v>132</v>
      </c>
    </row>
    <row r="3063" spans="1:29" ht="13" x14ac:dyDescent="0.15">
      <c r="A3063" s="72" t="str">
        <f t="shared" si="47"/>
        <v>Ofsted Social Care Provider Webpage</v>
      </c>
      <c r="B3063" s="55" t="s">
        <v>5737</v>
      </c>
      <c r="D3063" s="55" t="s">
        <v>389</v>
      </c>
      <c r="E3063" s="74">
        <v>40889</v>
      </c>
      <c r="F3063" s="55" t="s">
        <v>344</v>
      </c>
      <c r="G3063" s="55" t="s">
        <v>5738</v>
      </c>
      <c r="H3063" s="55" t="s">
        <v>3186</v>
      </c>
      <c r="I3063" s="55" t="s">
        <v>5739</v>
      </c>
      <c r="J3063" s="55" t="s">
        <v>523</v>
      </c>
      <c r="L3063" s="55" t="s">
        <v>5740</v>
      </c>
      <c r="M3063" s="55" t="s">
        <v>142</v>
      </c>
      <c r="N3063" s="55" t="s">
        <v>142</v>
      </c>
      <c r="O3063" s="55" t="s">
        <v>262</v>
      </c>
      <c r="P3063" s="55" t="s">
        <v>916</v>
      </c>
      <c r="Q3063" s="55" t="s">
        <v>350</v>
      </c>
      <c r="R3063" s="55"/>
      <c r="S3063" s="55"/>
      <c r="T3063" s="55" t="s">
        <v>5741</v>
      </c>
      <c r="U3063" s="73" t="s">
        <v>351</v>
      </c>
      <c r="V3063" s="74">
        <v>44474</v>
      </c>
      <c r="W3063" s="74">
        <v>44502</v>
      </c>
      <c r="X3063" s="55">
        <v>10183426</v>
      </c>
      <c r="Y3063" s="55" t="s">
        <v>132</v>
      </c>
      <c r="AB3063" s="55" t="s">
        <v>132</v>
      </c>
      <c r="AC3063" s="55" t="s">
        <v>130</v>
      </c>
    </row>
    <row r="3064" spans="1:29" ht="13" x14ac:dyDescent="0.15">
      <c r="A3064" s="72" t="str">
        <f t="shared" si="47"/>
        <v>Ofsted Social Care Provider Webpage</v>
      </c>
      <c r="B3064" s="55" t="s">
        <v>5742</v>
      </c>
      <c r="D3064" s="55" t="s">
        <v>373</v>
      </c>
      <c r="E3064" s="74">
        <v>40912</v>
      </c>
      <c r="F3064" s="55" t="s">
        <v>344</v>
      </c>
      <c r="G3064" s="55" t="s">
        <v>360</v>
      </c>
      <c r="H3064" s="55" t="s">
        <v>360</v>
      </c>
      <c r="I3064" s="55" t="s">
        <v>360</v>
      </c>
      <c r="J3064" s="55" t="s">
        <v>360</v>
      </c>
      <c r="K3064" s="55" t="s">
        <v>360</v>
      </c>
      <c r="L3064" s="55" t="s">
        <v>360</v>
      </c>
      <c r="M3064" s="55" t="s">
        <v>144</v>
      </c>
      <c r="N3064" s="55" t="s">
        <v>144</v>
      </c>
      <c r="O3064" s="55" t="s">
        <v>209</v>
      </c>
      <c r="P3064" s="55" t="s">
        <v>534</v>
      </c>
      <c r="Q3064" s="55" t="s">
        <v>380</v>
      </c>
      <c r="R3064" s="55">
        <v>6</v>
      </c>
      <c r="S3064" s="55"/>
      <c r="T3064" s="55" t="s">
        <v>657</v>
      </c>
      <c r="U3064" s="73" t="s">
        <v>351</v>
      </c>
      <c r="V3064" s="74">
        <v>44530</v>
      </c>
      <c r="W3064" s="74">
        <v>44574</v>
      </c>
      <c r="X3064" s="55">
        <v>10185641</v>
      </c>
      <c r="Y3064" s="55" t="s">
        <v>140</v>
      </c>
      <c r="AB3064" s="55" t="s">
        <v>140</v>
      </c>
      <c r="AC3064" s="55" t="s">
        <v>140</v>
      </c>
    </row>
    <row r="3065" spans="1:29" ht="13" x14ac:dyDescent="0.15">
      <c r="A3065" s="72" t="str">
        <f t="shared" si="47"/>
        <v>Ofsted Social Care Provider Webpage</v>
      </c>
      <c r="B3065" s="55" t="s">
        <v>5743</v>
      </c>
      <c r="D3065" s="55" t="s">
        <v>373</v>
      </c>
      <c r="E3065" s="74">
        <v>40921</v>
      </c>
      <c r="F3065" s="55" t="s">
        <v>344</v>
      </c>
      <c r="G3065" s="55" t="s">
        <v>360</v>
      </c>
      <c r="H3065" s="55" t="s">
        <v>360</v>
      </c>
      <c r="I3065" s="55" t="s">
        <v>360</v>
      </c>
      <c r="J3065" s="55" t="s">
        <v>360</v>
      </c>
      <c r="K3065" s="55" t="s">
        <v>360</v>
      </c>
      <c r="L3065" s="55" t="s">
        <v>360</v>
      </c>
      <c r="M3065" s="55" t="s">
        <v>142</v>
      </c>
      <c r="N3065" s="55" t="s">
        <v>142</v>
      </c>
      <c r="O3065" s="55" t="s">
        <v>252</v>
      </c>
      <c r="P3065" s="55" t="s">
        <v>386</v>
      </c>
      <c r="Q3065" s="55" t="s">
        <v>350</v>
      </c>
      <c r="R3065" s="55">
        <v>3</v>
      </c>
      <c r="S3065" s="55"/>
      <c r="T3065" s="55" t="s">
        <v>1260</v>
      </c>
      <c r="U3065" s="73" t="s">
        <v>351</v>
      </c>
      <c r="V3065" s="74">
        <v>44516</v>
      </c>
      <c r="W3065" s="74">
        <v>44547</v>
      </c>
      <c r="X3065" s="55">
        <v>10186764</v>
      </c>
      <c r="Y3065" s="55" t="s">
        <v>132</v>
      </c>
      <c r="AB3065" s="55" t="s">
        <v>132</v>
      </c>
      <c r="AC3065" s="55" t="s">
        <v>132</v>
      </c>
    </row>
    <row r="3066" spans="1:29" ht="13" x14ac:dyDescent="0.15">
      <c r="A3066" s="72" t="str">
        <f t="shared" si="47"/>
        <v>Ofsted Social Care Provider Webpage</v>
      </c>
      <c r="B3066" s="55" t="s">
        <v>5744</v>
      </c>
      <c r="D3066" s="55" t="s">
        <v>373</v>
      </c>
      <c r="E3066" s="74">
        <v>40941</v>
      </c>
      <c r="F3066" s="55" t="s">
        <v>344</v>
      </c>
      <c r="G3066" s="55" t="s">
        <v>360</v>
      </c>
      <c r="H3066" s="55" t="s">
        <v>360</v>
      </c>
      <c r="I3066" s="55" t="s">
        <v>360</v>
      </c>
      <c r="J3066" s="55" t="s">
        <v>360</v>
      </c>
      <c r="K3066" s="55" t="s">
        <v>360</v>
      </c>
      <c r="L3066" s="55" t="s">
        <v>360</v>
      </c>
      <c r="M3066" s="55" t="s">
        <v>144</v>
      </c>
      <c r="N3066" s="55" t="s">
        <v>144</v>
      </c>
      <c r="O3066" s="55" t="s">
        <v>261</v>
      </c>
      <c r="P3066" s="55" t="s">
        <v>792</v>
      </c>
      <c r="Q3066" s="55" t="s">
        <v>350</v>
      </c>
      <c r="R3066" s="55">
        <v>2</v>
      </c>
      <c r="S3066" s="55"/>
      <c r="T3066" s="55" t="s">
        <v>513</v>
      </c>
      <c r="U3066" s="73" t="s">
        <v>351</v>
      </c>
      <c r="V3066" s="74">
        <v>44601</v>
      </c>
      <c r="W3066" s="74">
        <v>44655</v>
      </c>
      <c r="X3066" s="55">
        <v>10187113</v>
      </c>
      <c r="Y3066" s="55" t="s">
        <v>146</v>
      </c>
      <c r="AB3066" s="55" t="s">
        <v>146</v>
      </c>
      <c r="AC3066" s="55" t="s">
        <v>146</v>
      </c>
    </row>
    <row r="3067" spans="1:29" ht="13" x14ac:dyDescent="0.15">
      <c r="A3067" s="72" t="str">
        <f t="shared" si="47"/>
        <v>Ofsted Social Care Provider Webpage</v>
      </c>
      <c r="B3067" s="55" t="s">
        <v>5745</v>
      </c>
      <c r="D3067" s="55" t="s">
        <v>443</v>
      </c>
      <c r="E3067" s="74">
        <v>40949</v>
      </c>
      <c r="F3067" s="55" t="s">
        <v>344</v>
      </c>
      <c r="G3067" s="55" t="s">
        <v>5746</v>
      </c>
      <c r="H3067" s="55" t="s">
        <v>5747</v>
      </c>
      <c r="I3067" s="55" t="s">
        <v>354</v>
      </c>
      <c r="J3067" s="55" t="s">
        <v>129</v>
      </c>
      <c r="L3067" s="55" t="s">
        <v>5748</v>
      </c>
      <c r="M3067" s="55" t="s">
        <v>129</v>
      </c>
      <c r="N3067" s="55" t="s">
        <v>129</v>
      </c>
      <c r="O3067" s="55" t="s">
        <v>202</v>
      </c>
      <c r="P3067" s="55" t="s">
        <v>5749</v>
      </c>
      <c r="Q3067" s="55" t="s">
        <v>362</v>
      </c>
      <c r="R3067" s="55"/>
      <c r="S3067" s="55"/>
      <c r="T3067" s="55" t="s">
        <v>5750</v>
      </c>
      <c r="U3067" s="73" t="s">
        <v>351</v>
      </c>
      <c r="V3067" s="74">
        <v>43361</v>
      </c>
      <c r="W3067" s="74">
        <v>43392</v>
      </c>
      <c r="X3067" s="55">
        <v>10046720</v>
      </c>
      <c r="Y3067" s="55" t="s">
        <v>140</v>
      </c>
      <c r="AB3067" s="55" t="s">
        <v>140</v>
      </c>
      <c r="AC3067" s="55" t="s">
        <v>140</v>
      </c>
    </row>
    <row r="3068" spans="1:29" ht="13" x14ac:dyDescent="0.15">
      <c r="A3068" s="72" t="str">
        <f t="shared" si="47"/>
        <v>Ofsted Social Care Provider Webpage</v>
      </c>
      <c r="B3068" s="55" t="s">
        <v>5751</v>
      </c>
      <c r="D3068" s="55" t="s">
        <v>373</v>
      </c>
      <c r="E3068" s="74">
        <v>40941</v>
      </c>
      <c r="F3068" s="55" t="s">
        <v>344</v>
      </c>
      <c r="G3068" s="55" t="s">
        <v>360</v>
      </c>
      <c r="H3068" s="55" t="s">
        <v>360</v>
      </c>
      <c r="I3068" s="55" t="s">
        <v>360</v>
      </c>
      <c r="J3068" s="55" t="s">
        <v>360</v>
      </c>
      <c r="K3068" s="55" t="s">
        <v>360</v>
      </c>
      <c r="L3068" s="55" t="s">
        <v>360</v>
      </c>
      <c r="M3068" s="55" t="s">
        <v>172</v>
      </c>
      <c r="N3068" s="55" t="s">
        <v>172</v>
      </c>
      <c r="O3068" s="55" t="s">
        <v>173</v>
      </c>
      <c r="P3068" s="55" t="s">
        <v>1540</v>
      </c>
      <c r="Q3068" s="55" t="s">
        <v>380</v>
      </c>
      <c r="R3068" s="55">
        <v>6</v>
      </c>
      <c r="S3068" s="55"/>
      <c r="T3068" s="55" t="s">
        <v>1431</v>
      </c>
      <c r="U3068" s="73" t="s">
        <v>351</v>
      </c>
      <c r="V3068" s="74">
        <v>44600</v>
      </c>
      <c r="W3068" s="74">
        <v>44641</v>
      </c>
      <c r="X3068" s="55">
        <v>10186198</v>
      </c>
      <c r="Y3068" s="55" t="s">
        <v>140</v>
      </c>
      <c r="AB3068" s="55" t="s">
        <v>140</v>
      </c>
      <c r="AC3068" s="55" t="s">
        <v>140</v>
      </c>
    </row>
    <row r="3069" spans="1:29" ht="13" x14ac:dyDescent="0.15">
      <c r="A3069" s="72" t="str">
        <f t="shared" si="47"/>
        <v>Ofsted Social Care Provider Webpage</v>
      </c>
      <c r="B3069" s="55" t="s">
        <v>5752</v>
      </c>
      <c r="D3069" s="55" t="s">
        <v>373</v>
      </c>
      <c r="E3069" s="74">
        <v>40976</v>
      </c>
      <c r="F3069" s="55" t="s">
        <v>344</v>
      </c>
      <c r="G3069" s="55" t="s">
        <v>360</v>
      </c>
      <c r="H3069" s="55" t="s">
        <v>360</v>
      </c>
      <c r="I3069" s="55" t="s">
        <v>360</v>
      </c>
      <c r="J3069" s="55" t="s">
        <v>360</v>
      </c>
      <c r="K3069" s="55" t="s">
        <v>360</v>
      </c>
      <c r="L3069" s="55" t="s">
        <v>360</v>
      </c>
      <c r="M3069" s="55" t="s">
        <v>142</v>
      </c>
      <c r="N3069" s="55" t="s">
        <v>142</v>
      </c>
      <c r="O3069" s="55" t="s">
        <v>293</v>
      </c>
      <c r="P3069" s="55" t="s">
        <v>984</v>
      </c>
      <c r="Q3069" s="55" t="s">
        <v>350</v>
      </c>
      <c r="R3069" s="55">
        <v>3</v>
      </c>
      <c r="S3069" s="55"/>
      <c r="T3069" s="55" t="s">
        <v>450</v>
      </c>
      <c r="U3069" s="73" t="s">
        <v>351</v>
      </c>
      <c r="V3069" s="74">
        <v>44307</v>
      </c>
      <c r="W3069" s="74">
        <v>44337</v>
      </c>
      <c r="X3069" s="55">
        <v>10187437</v>
      </c>
      <c r="Y3069" s="55" t="s">
        <v>132</v>
      </c>
      <c r="AB3069" s="55" t="s">
        <v>132</v>
      </c>
      <c r="AC3069" s="55" t="s">
        <v>132</v>
      </c>
    </row>
    <row r="3070" spans="1:29" ht="13" x14ac:dyDescent="0.15">
      <c r="A3070" s="72" t="str">
        <f t="shared" si="47"/>
        <v>Ofsted Social Care Provider Webpage</v>
      </c>
      <c r="B3070" s="55" t="s">
        <v>5753</v>
      </c>
      <c r="D3070" s="55" t="s">
        <v>373</v>
      </c>
      <c r="E3070" s="74">
        <v>40942</v>
      </c>
      <c r="F3070" s="55" t="s">
        <v>344</v>
      </c>
      <c r="G3070" s="55" t="s">
        <v>360</v>
      </c>
      <c r="H3070" s="55" t="s">
        <v>360</v>
      </c>
      <c r="I3070" s="55" t="s">
        <v>360</v>
      </c>
      <c r="J3070" s="55" t="s">
        <v>360</v>
      </c>
      <c r="K3070" s="55" t="s">
        <v>360</v>
      </c>
      <c r="L3070" s="55" t="s">
        <v>360</v>
      </c>
      <c r="M3070" s="55" t="s">
        <v>378</v>
      </c>
      <c r="N3070" s="55" t="s">
        <v>134</v>
      </c>
      <c r="O3070" s="55" t="s">
        <v>225</v>
      </c>
      <c r="P3070" s="55" t="s">
        <v>1667</v>
      </c>
      <c r="Q3070" s="55" t="s">
        <v>380</v>
      </c>
      <c r="R3070" s="55">
        <v>5</v>
      </c>
      <c r="S3070" s="55"/>
      <c r="T3070" s="55" t="s">
        <v>1668</v>
      </c>
      <c r="U3070" s="73" t="s">
        <v>351</v>
      </c>
      <c r="V3070" s="74">
        <v>44481</v>
      </c>
      <c r="W3070" s="74">
        <v>44522</v>
      </c>
      <c r="X3070" s="55">
        <v>10185027</v>
      </c>
      <c r="Y3070" s="55" t="s">
        <v>132</v>
      </c>
      <c r="AB3070" s="55" t="s">
        <v>132</v>
      </c>
      <c r="AC3070" s="55" t="s">
        <v>132</v>
      </c>
    </row>
    <row r="3071" spans="1:29" ht="13" x14ac:dyDescent="0.15">
      <c r="A3071" s="72" t="str">
        <f t="shared" si="47"/>
        <v>Ofsted Social Care Provider Webpage</v>
      </c>
      <c r="B3071" s="55" t="s">
        <v>5754</v>
      </c>
      <c r="D3071" s="55" t="s">
        <v>373</v>
      </c>
      <c r="E3071" s="74">
        <v>41009</v>
      </c>
      <c r="F3071" s="55" t="s">
        <v>344</v>
      </c>
      <c r="G3071" s="55" t="s">
        <v>360</v>
      </c>
      <c r="H3071" s="55" t="s">
        <v>360</v>
      </c>
      <c r="I3071" s="55" t="s">
        <v>360</v>
      </c>
      <c r="J3071" s="55" t="s">
        <v>360</v>
      </c>
      <c r="K3071" s="55" t="s">
        <v>360</v>
      </c>
      <c r="L3071" s="55" t="s">
        <v>360</v>
      </c>
      <c r="M3071" s="55" t="s">
        <v>144</v>
      </c>
      <c r="N3071" s="55" t="s">
        <v>144</v>
      </c>
      <c r="O3071" s="55" t="s">
        <v>209</v>
      </c>
      <c r="P3071" s="55" t="s">
        <v>650</v>
      </c>
      <c r="Q3071" s="55" t="s">
        <v>350</v>
      </c>
      <c r="R3071" s="55">
        <v>4</v>
      </c>
      <c r="S3071" s="55"/>
      <c r="T3071" s="55" t="s">
        <v>2574</v>
      </c>
      <c r="U3071" s="73" t="s">
        <v>351</v>
      </c>
      <c r="V3071" s="74">
        <v>44425</v>
      </c>
      <c r="W3071" s="74">
        <v>44469</v>
      </c>
      <c r="X3071" s="55">
        <v>10186176</v>
      </c>
      <c r="Y3071" s="55" t="s">
        <v>130</v>
      </c>
      <c r="AB3071" s="55" t="s">
        <v>130</v>
      </c>
      <c r="AC3071" s="55" t="s">
        <v>130</v>
      </c>
    </row>
    <row r="3072" spans="1:29" ht="13" x14ac:dyDescent="0.15">
      <c r="A3072" s="72" t="str">
        <f t="shared" si="47"/>
        <v>Ofsted Social Care Provider Webpage</v>
      </c>
      <c r="B3072" s="55" t="s">
        <v>5755</v>
      </c>
      <c r="D3072" s="55" t="s">
        <v>373</v>
      </c>
      <c r="E3072" s="74">
        <v>41119</v>
      </c>
      <c r="F3072" s="55" t="s">
        <v>344</v>
      </c>
      <c r="G3072" s="55" t="s">
        <v>360</v>
      </c>
      <c r="H3072" s="55" t="s">
        <v>360</v>
      </c>
      <c r="I3072" s="55" t="s">
        <v>360</v>
      </c>
      <c r="J3072" s="55" t="s">
        <v>360</v>
      </c>
      <c r="K3072" s="55" t="s">
        <v>360</v>
      </c>
      <c r="L3072" s="55" t="s">
        <v>360</v>
      </c>
      <c r="M3072" s="55" t="s">
        <v>172</v>
      </c>
      <c r="N3072" s="55" t="s">
        <v>172</v>
      </c>
      <c r="O3072" s="55" t="s">
        <v>235</v>
      </c>
      <c r="P3072" s="55" t="s">
        <v>494</v>
      </c>
      <c r="Q3072" s="55" t="s">
        <v>362</v>
      </c>
      <c r="R3072" s="55">
        <v>3</v>
      </c>
      <c r="S3072" s="55"/>
      <c r="T3072" s="55" t="s">
        <v>5756</v>
      </c>
      <c r="U3072" s="73" t="s">
        <v>351</v>
      </c>
      <c r="V3072" s="74">
        <v>44516</v>
      </c>
      <c r="W3072" s="74">
        <v>44559</v>
      </c>
      <c r="X3072" s="55">
        <v>10187040</v>
      </c>
      <c r="Y3072" s="55" t="s">
        <v>132</v>
      </c>
      <c r="AB3072" s="55" t="s">
        <v>132</v>
      </c>
      <c r="AC3072" s="55" t="s">
        <v>132</v>
      </c>
    </row>
    <row r="3073" spans="1:29" ht="13" x14ac:dyDescent="0.15">
      <c r="A3073" s="72" t="str">
        <f t="shared" si="47"/>
        <v>Ofsted Social Care Provider Webpage</v>
      </c>
      <c r="B3073" s="55" t="s">
        <v>5757</v>
      </c>
      <c r="D3073" s="55" t="s">
        <v>389</v>
      </c>
      <c r="E3073" s="74">
        <v>41040</v>
      </c>
      <c r="F3073" s="55" t="s">
        <v>344</v>
      </c>
      <c r="G3073" s="55" t="s">
        <v>5758</v>
      </c>
      <c r="H3073" s="55" t="s">
        <v>5759</v>
      </c>
      <c r="I3073" s="55" t="s">
        <v>5760</v>
      </c>
      <c r="J3073" s="55" t="s">
        <v>5761</v>
      </c>
      <c r="K3073" s="55" t="s">
        <v>1746</v>
      </c>
      <c r="L3073" s="55" t="s">
        <v>5762</v>
      </c>
      <c r="M3073" s="55" t="s">
        <v>129</v>
      </c>
      <c r="N3073" s="55" t="s">
        <v>129</v>
      </c>
      <c r="O3073" s="55" t="s">
        <v>152</v>
      </c>
      <c r="P3073" s="55" t="s">
        <v>1130</v>
      </c>
      <c r="Q3073" s="55" t="s">
        <v>350</v>
      </c>
      <c r="R3073" s="55"/>
      <c r="S3073" s="55"/>
      <c r="T3073" s="55" t="s">
        <v>5763</v>
      </c>
      <c r="U3073" s="73" t="s">
        <v>351</v>
      </c>
      <c r="V3073" s="74">
        <v>43682</v>
      </c>
      <c r="W3073" s="74">
        <v>43717</v>
      </c>
      <c r="X3073" s="55">
        <v>10093302</v>
      </c>
      <c r="Y3073" s="55" t="s">
        <v>132</v>
      </c>
      <c r="AB3073" s="55" t="s">
        <v>132</v>
      </c>
      <c r="AC3073" s="55" t="s">
        <v>130</v>
      </c>
    </row>
    <row r="3074" spans="1:29" ht="13" x14ac:dyDescent="0.15">
      <c r="A3074" s="72" t="str">
        <f t="shared" si="47"/>
        <v>Ofsted Social Care Provider Webpage</v>
      </c>
      <c r="B3074" s="55" t="s">
        <v>5764</v>
      </c>
      <c r="D3074" s="55" t="s">
        <v>373</v>
      </c>
      <c r="E3074" s="74">
        <v>40983</v>
      </c>
      <c r="F3074" s="55" t="s">
        <v>344</v>
      </c>
      <c r="G3074" s="55" t="s">
        <v>360</v>
      </c>
      <c r="H3074" s="55" t="s">
        <v>360</v>
      </c>
      <c r="I3074" s="55" t="s">
        <v>360</v>
      </c>
      <c r="J3074" s="55" t="s">
        <v>360</v>
      </c>
      <c r="K3074" s="55" t="s">
        <v>360</v>
      </c>
      <c r="L3074" s="55" t="s">
        <v>360</v>
      </c>
      <c r="M3074" s="55" t="s">
        <v>144</v>
      </c>
      <c r="N3074" s="55" t="s">
        <v>144</v>
      </c>
      <c r="O3074" s="55" t="s">
        <v>209</v>
      </c>
      <c r="P3074" s="55" t="s">
        <v>1858</v>
      </c>
      <c r="Q3074" s="55" t="s">
        <v>350</v>
      </c>
      <c r="R3074" s="55">
        <v>5</v>
      </c>
      <c r="S3074" s="55"/>
      <c r="T3074" s="55" t="s">
        <v>863</v>
      </c>
      <c r="U3074" s="73" t="s">
        <v>351</v>
      </c>
      <c r="V3074" s="74">
        <v>43864</v>
      </c>
      <c r="W3074" s="74">
        <v>43888</v>
      </c>
      <c r="X3074" s="55">
        <v>10096562</v>
      </c>
      <c r="Y3074" s="55" t="s">
        <v>132</v>
      </c>
      <c r="AB3074" s="55" t="s">
        <v>132</v>
      </c>
      <c r="AC3074" s="55" t="s">
        <v>132</v>
      </c>
    </row>
    <row r="3075" spans="1:29" ht="13" x14ac:dyDescent="0.15">
      <c r="A3075" s="72" t="str">
        <f t="shared" si="47"/>
        <v>Ofsted Social Care Provider Webpage</v>
      </c>
      <c r="B3075" s="55" t="s">
        <v>5765</v>
      </c>
      <c r="D3075" s="55" t="s">
        <v>373</v>
      </c>
      <c r="E3075" s="74">
        <v>40983</v>
      </c>
      <c r="F3075" s="55" t="s">
        <v>344</v>
      </c>
      <c r="G3075" s="55" t="s">
        <v>360</v>
      </c>
      <c r="H3075" s="55" t="s">
        <v>360</v>
      </c>
      <c r="I3075" s="55" t="s">
        <v>360</v>
      </c>
      <c r="J3075" s="55" t="s">
        <v>360</v>
      </c>
      <c r="K3075" s="55" t="s">
        <v>360</v>
      </c>
      <c r="L3075" s="55" t="s">
        <v>360</v>
      </c>
      <c r="M3075" s="55" t="s">
        <v>144</v>
      </c>
      <c r="N3075" s="55" t="s">
        <v>144</v>
      </c>
      <c r="O3075" s="55" t="s">
        <v>209</v>
      </c>
      <c r="P3075" s="55" t="s">
        <v>545</v>
      </c>
      <c r="Q3075" s="55" t="s">
        <v>350</v>
      </c>
      <c r="R3075" s="55">
        <v>2</v>
      </c>
      <c r="S3075" s="55"/>
      <c r="T3075" s="55" t="s">
        <v>863</v>
      </c>
      <c r="U3075" s="73" t="s">
        <v>351</v>
      </c>
      <c r="V3075" s="74">
        <v>43844</v>
      </c>
      <c r="W3075" s="74">
        <v>43882</v>
      </c>
      <c r="X3075" s="55">
        <v>10096751</v>
      </c>
      <c r="Y3075" s="55" t="s">
        <v>132</v>
      </c>
      <c r="AB3075" s="55" t="s">
        <v>132</v>
      </c>
      <c r="AC3075" s="55" t="s">
        <v>130</v>
      </c>
    </row>
    <row r="3076" spans="1:29" ht="13" x14ac:dyDescent="0.15">
      <c r="A3076" s="72" t="str">
        <f t="shared" si="47"/>
        <v>Ofsted Social Care Provider Webpage</v>
      </c>
      <c r="B3076" s="55" t="s">
        <v>5766</v>
      </c>
      <c r="D3076" s="55" t="s">
        <v>389</v>
      </c>
      <c r="E3076" s="74">
        <v>40984</v>
      </c>
      <c r="F3076" s="55" t="s">
        <v>344</v>
      </c>
      <c r="G3076" s="55" t="s">
        <v>5767</v>
      </c>
      <c r="H3076" s="55" t="s">
        <v>5768</v>
      </c>
      <c r="I3076" s="55" t="s">
        <v>5769</v>
      </c>
      <c r="J3076" s="55" t="s">
        <v>5770</v>
      </c>
      <c r="K3076" s="55" t="s">
        <v>176</v>
      </c>
      <c r="L3076" s="55" t="s">
        <v>5771</v>
      </c>
      <c r="M3076" s="55" t="s">
        <v>136</v>
      </c>
      <c r="N3076" s="55" t="s">
        <v>136</v>
      </c>
      <c r="O3076" s="55" t="s">
        <v>176</v>
      </c>
      <c r="P3076" s="55" t="s">
        <v>1832</v>
      </c>
      <c r="Q3076" s="55" t="s">
        <v>350</v>
      </c>
      <c r="R3076" s="55"/>
      <c r="S3076" s="55"/>
      <c r="T3076" s="55" t="s">
        <v>5767</v>
      </c>
      <c r="U3076" s="73" t="s">
        <v>351</v>
      </c>
      <c r="V3076" s="74">
        <v>44459</v>
      </c>
      <c r="W3076" s="74">
        <v>44498</v>
      </c>
      <c r="X3076" s="55">
        <v>10183423</v>
      </c>
      <c r="Y3076" s="55" t="s">
        <v>132</v>
      </c>
      <c r="AB3076" s="55" t="s">
        <v>132</v>
      </c>
      <c r="AC3076" s="55" t="s">
        <v>130</v>
      </c>
    </row>
    <row r="3077" spans="1:29" ht="13" x14ac:dyDescent="0.15">
      <c r="A3077" s="72" t="str">
        <f t="shared" si="47"/>
        <v>Ofsted Social Care Provider Webpage</v>
      </c>
      <c r="B3077" s="55" t="s">
        <v>5772</v>
      </c>
      <c r="D3077" s="55" t="s">
        <v>389</v>
      </c>
      <c r="E3077" s="74">
        <v>40983</v>
      </c>
      <c r="F3077" s="55" t="s">
        <v>344</v>
      </c>
      <c r="G3077" s="55" t="s">
        <v>5773</v>
      </c>
      <c r="H3077" s="55" t="s">
        <v>5774</v>
      </c>
      <c r="I3077" s="55" t="s">
        <v>5775</v>
      </c>
      <c r="J3077" s="55" t="s">
        <v>1768</v>
      </c>
      <c r="K3077" s="55" t="s">
        <v>224</v>
      </c>
      <c r="L3077" s="55" t="s">
        <v>5776</v>
      </c>
      <c r="M3077" s="55" t="s">
        <v>138</v>
      </c>
      <c r="N3077" s="55" t="s">
        <v>138</v>
      </c>
      <c r="O3077" s="55" t="s">
        <v>224</v>
      </c>
      <c r="P3077" s="55" t="s">
        <v>1530</v>
      </c>
      <c r="Q3077" s="55" t="s">
        <v>350</v>
      </c>
      <c r="R3077" s="55"/>
      <c r="S3077" s="55"/>
      <c r="T3077" s="55" t="s">
        <v>4591</v>
      </c>
      <c r="U3077" s="73" t="s">
        <v>351</v>
      </c>
      <c r="V3077" s="74">
        <v>44333</v>
      </c>
      <c r="W3077" s="74">
        <v>44365</v>
      </c>
      <c r="X3077" s="55">
        <v>10183350</v>
      </c>
      <c r="Y3077" s="55" t="s">
        <v>132</v>
      </c>
      <c r="AB3077" s="55" t="s">
        <v>132</v>
      </c>
      <c r="AC3077" s="55" t="s">
        <v>130</v>
      </c>
    </row>
    <row r="3078" spans="1:29" ht="13" x14ac:dyDescent="0.15">
      <c r="A3078" s="72" t="str">
        <f t="shared" ref="A3078:A3141" si="48">HYPERLINK(_xlfn.CONCAT("http://reports.ofsted.gov.uk/inspection-reports/find-inspection-report/provider/CARE/",B3078),"Ofsted Social Care Provider Webpage")</f>
        <v>Ofsted Social Care Provider Webpage</v>
      </c>
      <c r="B3078" s="55" t="s">
        <v>5777</v>
      </c>
      <c r="D3078" s="55" t="s">
        <v>373</v>
      </c>
      <c r="E3078" s="74">
        <v>40987</v>
      </c>
      <c r="F3078" s="55" t="s">
        <v>344</v>
      </c>
      <c r="G3078" s="55" t="s">
        <v>360</v>
      </c>
      <c r="H3078" s="55" t="s">
        <v>360</v>
      </c>
      <c r="I3078" s="55" t="s">
        <v>360</v>
      </c>
      <c r="J3078" s="55" t="s">
        <v>360</v>
      </c>
      <c r="K3078" s="55" t="s">
        <v>360</v>
      </c>
      <c r="L3078" s="55" t="s">
        <v>360</v>
      </c>
      <c r="M3078" s="55" t="s">
        <v>144</v>
      </c>
      <c r="N3078" s="55" t="s">
        <v>144</v>
      </c>
      <c r="O3078" s="55" t="s">
        <v>281</v>
      </c>
      <c r="P3078" s="55" t="s">
        <v>725</v>
      </c>
      <c r="Q3078" s="55" t="s">
        <v>380</v>
      </c>
      <c r="R3078" s="55">
        <v>3</v>
      </c>
      <c r="S3078" s="55" t="s">
        <v>332</v>
      </c>
      <c r="T3078" s="55" t="s">
        <v>2081</v>
      </c>
      <c r="U3078" s="73" t="s">
        <v>351</v>
      </c>
      <c r="V3078" s="74">
        <v>44404</v>
      </c>
      <c r="W3078" s="74">
        <v>44449</v>
      </c>
      <c r="X3078" s="55">
        <v>10187506</v>
      </c>
      <c r="Y3078" s="55" t="s">
        <v>140</v>
      </c>
      <c r="AB3078" s="55" t="s">
        <v>140</v>
      </c>
      <c r="AC3078" s="55" t="s">
        <v>140</v>
      </c>
    </row>
    <row r="3079" spans="1:29" ht="13" x14ac:dyDescent="0.15">
      <c r="A3079" s="72" t="str">
        <f t="shared" si="48"/>
        <v>Ofsted Social Care Provider Webpage</v>
      </c>
      <c r="B3079" s="55" t="s">
        <v>5778</v>
      </c>
      <c r="D3079" s="55" t="s">
        <v>373</v>
      </c>
      <c r="E3079" s="74">
        <v>40973</v>
      </c>
      <c r="F3079" s="55" t="s">
        <v>344</v>
      </c>
      <c r="G3079" s="55" t="s">
        <v>360</v>
      </c>
      <c r="H3079" s="55" t="s">
        <v>360</v>
      </c>
      <c r="I3079" s="55" t="s">
        <v>360</v>
      </c>
      <c r="J3079" s="55" t="s">
        <v>360</v>
      </c>
      <c r="K3079" s="55" t="s">
        <v>360</v>
      </c>
      <c r="L3079" s="55" t="s">
        <v>360</v>
      </c>
      <c r="M3079" s="55" t="s">
        <v>144</v>
      </c>
      <c r="N3079" s="55" t="s">
        <v>144</v>
      </c>
      <c r="O3079" s="55" t="s">
        <v>281</v>
      </c>
      <c r="P3079" s="55" t="s">
        <v>725</v>
      </c>
      <c r="Q3079" s="55" t="s">
        <v>380</v>
      </c>
      <c r="R3079" s="55">
        <v>2</v>
      </c>
      <c r="S3079" s="55"/>
      <c r="T3079" s="55" t="s">
        <v>2081</v>
      </c>
      <c r="U3079" s="73" t="s">
        <v>351</v>
      </c>
      <c r="V3079" s="74">
        <v>43761</v>
      </c>
      <c r="W3079" s="74">
        <v>43817</v>
      </c>
      <c r="X3079" s="55">
        <v>10096558</v>
      </c>
      <c r="Y3079" s="55" t="s">
        <v>140</v>
      </c>
      <c r="AB3079" s="55" t="s">
        <v>140</v>
      </c>
      <c r="AC3079" s="55" t="s">
        <v>140</v>
      </c>
    </row>
    <row r="3080" spans="1:29" ht="13" x14ac:dyDescent="0.15">
      <c r="A3080" s="72" t="str">
        <f t="shared" si="48"/>
        <v>Ofsted Social Care Provider Webpage</v>
      </c>
      <c r="B3080" s="55" t="s">
        <v>5779</v>
      </c>
      <c r="D3080" s="55" t="s">
        <v>389</v>
      </c>
      <c r="E3080" s="74">
        <v>40945</v>
      </c>
      <c r="F3080" s="55" t="s">
        <v>344</v>
      </c>
      <c r="G3080" s="55" t="s">
        <v>5780</v>
      </c>
      <c r="H3080" s="55" t="s">
        <v>5781</v>
      </c>
      <c r="I3080" s="55" t="s">
        <v>5782</v>
      </c>
      <c r="J3080" s="55" t="s">
        <v>5783</v>
      </c>
      <c r="K3080" s="55" t="s">
        <v>293</v>
      </c>
      <c r="L3080" s="55" t="s">
        <v>5784</v>
      </c>
      <c r="M3080" s="55" t="s">
        <v>142</v>
      </c>
      <c r="N3080" s="55" t="s">
        <v>142</v>
      </c>
      <c r="O3080" s="55" t="s">
        <v>293</v>
      </c>
      <c r="P3080" s="55" t="s">
        <v>1136</v>
      </c>
      <c r="Q3080" s="55" t="s">
        <v>350</v>
      </c>
      <c r="R3080" s="55"/>
      <c r="S3080" s="55"/>
      <c r="T3080" s="55" t="s">
        <v>5785</v>
      </c>
      <c r="U3080" s="73" t="s">
        <v>351</v>
      </c>
      <c r="V3080" s="74">
        <v>43528</v>
      </c>
      <c r="W3080" s="74">
        <v>43580</v>
      </c>
      <c r="X3080" s="55">
        <v>10045717</v>
      </c>
      <c r="Y3080" s="55" t="s">
        <v>132</v>
      </c>
      <c r="AB3080" s="55" t="s">
        <v>132</v>
      </c>
      <c r="AC3080" s="55" t="s">
        <v>132</v>
      </c>
    </row>
    <row r="3081" spans="1:29" ht="13" x14ac:dyDescent="0.15">
      <c r="A3081" s="72" t="str">
        <f t="shared" si="48"/>
        <v>Ofsted Social Care Provider Webpage</v>
      </c>
      <c r="B3081" s="55" t="s">
        <v>5786</v>
      </c>
      <c r="D3081" s="55" t="s">
        <v>373</v>
      </c>
      <c r="E3081" s="74">
        <v>40977</v>
      </c>
      <c r="F3081" s="55" t="s">
        <v>344</v>
      </c>
      <c r="G3081" s="55" t="s">
        <v>360</v>
      </c>
      <c r="H3081" s="55" t="s">
        <v>360</v>
      </c>
      <c r="I3081" s="55" t="s">
        <v>360</v>
      </c>
      <c r="J3081" s="55" t="s">
        <v>360</v>
      </c>
      <c r="K3081" s="55" t="s">
        <v>360</v>
      </c>
      <c r="L3081" s="55" t="s">
        <v>360</v>
      </c>
      <c r="M3081" s="55" t="s">
        <v>144</v>
      </c>
      <c r="N3081" s="55" t="s">
        <v>144</v>
      </c>
      <c r="O3081" s="55" t="s">
        <v>245</v>
      </c>
      <c r="P3081" s="55" t="s">
        <v>245</v>
      </c>
      <c r="Q3081" s="55" t="s">
        <v>350</v>
      </c>
      <c r="R3081" s="55">
        <v>3</v>
      </c>
      <c r="S3081" s="55"/>
      <c r="T3081" s="55" t="s">
        <v>613</v>
      </c>
      <c r="U3081" s="73" t="s">
        <v>351</v>
      </c>
      <c r="V3081" s="74">
        <v>44571</v>
      </c>
      <c r="W3081" s="74">
        <v>44600</v>
      </c>
      <c r="X3081" s="55">
        <v>10187071</v>
      </c>
      <c r="Y3081" s="55" t="s">
        <v>132</v>
      </c>
      <c r="AB3081" s="55" t="s">
        <v>132</v>
      </c>
      <c r="AC3081" s="55" t="s">
        <v>132</v>
      </c>
    </row>
    <row r="3082" spans="1:29" ht="13" x14ac:dyDescent="0.15">
      <c r="A3082" s="72" t="str">
        <f t="shared" si="48"/>
        <v>Ofsted Social Care Provider Webpage</v>
      </c>
      <c r="B3082" s="55" t="s">
        <v>5787</v>
      </c>
      <c r="D3082" s="55" t="s">
        <v>373</v>
      </c>
      <c r="E3082" s="74">
        <v>40983</v>
      </c>
      <c r="F3082" s="55" t="s">
        <v>344</v>
      </c>
      <c r="G3082" s="55" t="s">
        <v>360</v>
      </c>
      <c r="H3082" s="55" t="s">
        <v>360</v>
      </c>
      <c r="I3082" s="55" t="s">
        <v>360</v>
      </c>
      <c r="J3082" s="55" t="s">
        <v>360</v>
      </c>
      <c r="K3082" s="55" t="s">
        <v>360</v>
      </c>
      <c r="L3082" s="55" t="s">
        <v>360</v>
      </c>
      <c r="M3082" s="55" t="s">
        <v>378</v>
      </c>
      <c r="N3082" s="55" t="s">
        <v>170</v>
      </c>
      <c r="O3082" s="55" t="s">
        <v>264</v>
      </c>
      <c r="P3082" s="55" t="s">
        <v>437</v>
      </c>
      <c r="Q3082" s="55" t="s">
        <v>380</v>
      </c>
      <c r="R3082" s="55">
        <v>4</v>
      </c>
      <c r="S3082" s="55"/>
      <c r="T3082" s="55" t="s">
        <v>1696</v>
      </c>
      <c r="U3082" s="73" t="s">
        <v>351</v>
      </c>
      <c r="V3082" s="74">
        <v>43719</v>
      </c>
      <c r="W3082" s="74">
        <v>43740</v>
      </c>
      <c r="X3082" s="55">
        <v>10096752</v>
      </c>
      <c r="Y3082" s="55" t="s">
        <v>140</v>
      </c>
      <c r="AB3082" s="55" t="s">
        <v>140</v>
      </c>
      <c r="AC3082" s="55" t="s">
        <v>140</v>
      </c>
    </row>
    <row r="3083" spans="1:29" ht="13" x14ac:dyDescent="0.15">
      <c r="A3083" s="72" t="str">
        <f t="shared" si="48"/>
        <v>Ofsted Social Care Provider Webpage</v>
      </c>
      <c r="B3083" s="55" t="s">
        <v>5788</v>
      </c>
      <c r="D3083" s="55" t="s">
        <v>373</v>
      </c>
      <c r="E3083" s="74">
        <v>41050</v>
      </c>
      <c r="F3083" s="55" t="s">
        <v>344</v>
      </c>
      <c r="G3083" s="55" t="s">
        <v>360</v>
      </c>
      <c r="H3083" s="55" t="s">
        <v>360</v>
      </c>
      <c r="I3083" s="55" t="s">
        <v>360</v>
      </c>
      <c r="J3083" s="55" t="s">
        <v>360</v>
      </c>
      <c r="K3083" s="55" t="s">
        <v>360</v>
      </c>
      <c r="L3083" s="55" t="s">
        <v>360</v>
      </c>
      <c r="M3083" s="55" t="s">
        <v>138</v>
      </c>
      <c r="N3083" s="55" t="s">
        <v>138</v>
      </c>
      <c r="O3083" s="55" t="s">
        <v>266</v>
      </c>
      <c r="P3083" s="55" t="s">
        <v>4472</v>
      </c>
      <c r="Q3083" s="55" t="s">
        <v>350</v>
      </c>
      <c r="R3083" s="55">
        <v>6</v>
      </c>
      <c r="S3083" s="55"/>
      <c r="T3083" s="55" t="s">
        <v>5607</v>
      </c>
      <c r="U3083" s="73" t="s">
        <v>351</v>
      </c>
      <c r="V3083" s="74">
        <v>44356</v>
      </c>
      <c r="W3083" s="74">
        <v>44389</v>
      </c>
      <c r="X3083" s="55">
        <v>10187377</v>
      </c>
      <c r="Y3083" s="55" t="s">
        <v>132</v>
      </c>
      <c r="AB3083" s="55" t="s">
        <v>132</v>
      </c>
      <c r="AC3083" s="55" t="s">
        <v>132</v>
      </c>
    </row>
    <row r="3084" spans="1:29" ht="13" x14ac:dyDescent="0.15">
      <c r="A3084" s="72" t="str">
        <f t="shared" si="48"/>
        <v>Ofsted Social Care Provider Webpage</v>
      </c>
      <c r="B3084" s="55" t="s">
        <v>5789</v>
      </c>
      <c r="D3084" s="55" t="s">
        <v>373</v>
      </c>
      <c r="E3084" s="74">
        <v>40949</v>
      </c>
      <c r="F3084" s="55" t="s">
        <v>344</v>
      </c>
      <c r="G3084" s="55" t="s">
        <v>360</v>
      </c>
      <c r="H3084" s="55" t="s">
        <v>360</v>
      </c>
      <c r="I3084" s="55" t="s">
        <v>360</v>
      </c>
      <c r="J3084" s="55" t="s">
        <v>360</v>
      </c>
      <c r="K3084" s="55" t="s">
        <v>360</v>
      </c>
      <c r="L3084" s="55" t="s">
        <v>360</v>
      </c>
      <c r="M3084" s="55" t="s">
        <v>129</v>
      </c>
      <c r="N3084" s="55" t="s">
        <v>129</v>
      </c>
      <c r="O3084" s="55" t="s">
        <v>189</v>
      </c>
      <c r="P3084" s="55" t="s">
        <v>1199</v>
      </c>
      <c r="Q3084" s="55" t="s">
        <v>380</v>
      </c>
      <c r="R3084" s="55">
        <v>7</v>
      </c>
      <c r="S3084" s="55"/>
      <c r="T3084" s="55" t="s">
        <v>5790</v>
      </c>
      <c r="U3084" s="73" t="s">
        <v>351</v>
      </c>
      <c r="V3084" s="74">
        <v>43725</v>
      </c>
      <c r="W3084" s="74">
        <v>43747</v>
      </c>
      <c r="X3084" s="55">
        <v>10115184</v>
      </c>
      <c r="Y3084" s="55" t="s">
        <v>130</v>
      </c>
      <c r="AB3084" s="55" t="s">
        <v>130</v>
      </c>
      <c r="AC3084" s="55" t="s">
        <v>130</v>
      </c>
    </row>
    <row r="3085" spans="1:29" ht="13" x14ac:dyDescent="0.15">
      <c r="A3085" s="72" t="str">
        <f t="shared" si="48"/>
        <v>Ofsted Social Care Provider Webpage</v>
      </c>
      <c r="B3085" s="55" t="s">
        <v>5791</v>
      </c>
      <c r="D3085" s="55" t="s">
        <v>373</v>
      </c>
      <c r="E3085" s="74">
        <v>41134</v>
      </c>
      <c r="F3085" s="55" t="s">
        <v>344</v>
      </c>
      <c r="G3085" s="55" t="s">
        <v>360</v>
      </c>
      <c r="H3085" s="55" t="s">
        <v>360</v>
      </c>
      <c r="I3085" s="55" t="s">
        <v>360</v>
      </c>
      <c r="J3085" s="55" t="s">
        <v>360</v>
      </c>
      <c r="K3085" s="55" t="s">
        <v>360</v>
      </c>
      <c r="L3085" s="55" t="s">
        <v>360</v>
      </c>
      <c r="M3085" s="55" t="s">
        <v>142</v>
      </c>
      <c r="N3085" s="55" t="s">
        <v>142</v>
      </c>
      <c r="O3085" s="55" t="s">
        <v>252</v>
      </c>
      <c r="P3085" s="55" t="s">
        <v>386</v>
      </c>
      <c r="Q3085" s="55" t="s">
        <v>350</v>
      </c>
      <c r="R3085" s="55">
        <v>4</v>
      </c>
      <c r="S3085" s="55"/>
      <c r="T3085" s="55" t="s">
        <v>1805</v>
      </c>
      <c r="U3085" s="73" t="s">
        <v>351</v>
      </c>
      <c r="V3085" s="74">
        <v>44467</v>
      </c>
      <c r="W3085" s="74">
        <v>44522</v>
      </c>
      <c r="X3085" s="55">
        <v>10186724</v>
      </c>
      <c r="Y3085" s="55" t="s">
        <v>132</v>
      </c>
      <c r="AB3085" s="55" t="s">
        <v>132</v>
      </c>
      <c r="AC3085" s="55" t="s">
        <v>130</v>
      </c>
    </row>
    <row r="3086" spans="1:29" ht="13" x14ac:dyDescent="0.15">
      <c r="A3086" s="72" t="str">
        <f t="shared" si="48"/>
        <v>Ofsted Social Care Provider Webpage</v>
      </c>
      <c r="B3086" s="55" t="s">
        <v>5792</v>
      </c>
      <c r="D3086" s="55" t="s">
        <v>373</v>
      </c>
      <c r="E3086" s="74">
        <v>41038</v>
      </c>
      <c r="F3086" s="55" t="s">
        <v>344</v>
      </c>
      <c r="G3086" s="55" t="s">
        <v>360</v>
      </c>
      <c r="H3086" s="55" t="s">
        <v>360</v>
      </c>
      <c r="I3086" s="55" t="s">
        <v>360</v>
      </c>
      <c r="J3086" s="55" t="s">
        <v>360</v>
      </c>
      <c r="K3086" s="55" t="s">
        <v>360</v>
      </c>
      <c r="L3086" s="55" t="s">
        <v>360</v>
      </c>
      <c r="M3086" s="55" t="s">
        <v>144</v>
      </c>
      <c r="N3086" s="55" t="s">
        <v>144</v>
      </c>
      <c r="O3086" s="55" t="s">
        <v>168</v>
      </c>
      <c r="P3086" s="55" t="s">
        <v>834</v>
      </c>
      <c r="Q3086" s="55" t="s">
        <v>350</v>
      </c>
      <c r="R3086" s="55">
        <v>3</v>
      </c>
      <c r="S3086" s="55"/>
      <c r="T3086" s="55" t="s">
        <v>5551</v>
      </c>
      <c r="U3086" s="73" t="s">
        <v>351</v>
      </c>
      <c r="V3086" s="74">
        <v>44531</v>
      </c>
      <c r="W3086" s="74">
        <v>44594</v>
      </c>
      <c r="X3086" s="55">
        <v>10187029</v>
      </c>
      <c r="Y3086" s="55" t="s">
        <v>132</v>
      </c>
      <c r="AB3086" s="55" t="s">
        <v>132</v>
      </c>
      <c r="AC3086" s="55" t="s">
        <v>132</v>
      </c>
    </row>
    <row r="3087" spans="1:29" ht="13" x14ac:dyDescent="0.15">
      <c r="A3087" s="72" t="str">
        <f t="shared" si="48"/>
        <v>Ofsted Social Care Provider Webpage</v>
      </c>
      <c r="B3087" s="55" t="s">
        <v>5793</v>
      </c>
      <c r="D3087" s="55" t="s">
        <v>389</v>
      </c>
      <c r="E3087" s="74">
        <v>41039</v>
      </c>
      <c r="F3087" s="55" t="s">
        <v>344</v>
      </c>
      <c r="G3087" s="55" t="s">
        <v>5794</v>
      </c>
      <c r="H3087" s="55" t="s">
        <v>5795</v>
      </c>
      <c r="I3087" s="55" t="s">
        <v>5796</v>
      </c>
      <c r="J3087" s="55" t="s">
        <v>5797</v>
      </c>
      <c r="K3087" s="55" t="s">
        <v>2469</v>
      </c>
      <c r="L3087" s="55" t="s">
        <v>5798</v>
      </c>
      <c r="M3087" s="55" t="s">
        <v>144</v>
      </c>
      <c r="N3087" s="55" t="s">
        <v>144</v>
      </c>
      <c r="O3087" s="55" t="s">
        <v>162</v>
      </c>
      <c r="P3087" s="55" t="s">
        <v>1587</v>
      </c>
      <c r="Q3087" s="55" t="s">
        <v>350</v>
      </c>
      <c r="R3087" s="55"/>
      <c r="S3087" s="55"/>
      <c r="T3087" s="55" t="s">
        <v>5794</v>
      </c>
      <c r="U3087" s="73" t="s">
        <v>351</v>
      </c>
      <c r="V3087" s="74">
        <v>43899</v>
      </c>
      <c r="W3087" s="74">
        <v>43937</v>
      </c>
      <c r="X3087" s="55">
        <v>10093253</v>
      </c>
      <c r="Y3087" s="55" t="s">
        <v>132</v>
      </c>
      <c r="AB3087" s="55" t="s">
        <v>130</v>
      </c>
      <c r="AC3087" s="55" t="s">
        <v>132</v>
      </c>
    </row>
    <row r="3088" spans="1:29" ht="13" x14ac:dyDescent="0.15">
      <c r="A3088" s="72" t="str">
        <f t="shared" si="48"/>
        <v>Ofsted Social Care Provider Webpage</v>
      </c>
      <c r="B3088" s="55" t="s">
        <v>5799</v>
      </c>
      <c r="D3088" s="55" t="s">
        <v>373</v>
      </c>
      <c r="E3088" s="74">
        <v>41032</v>
      </c>
      <c r="F3088" s="55" t="s">
        <v>344</v>
      </c>
      <c r="G3088" s="55" t="s">
        <v>360</v>
      </c>
      <c r="H3088" s="55" t="s">
        <v>360</v>
      </c>
      <c r="I3088" s="55" t="s">
        <v>360</v>
      </c>
      <c r="J3088" s="55" t="s">
        <v>360</v>
      </c>
      <c r="K3088" s="55" t="s">
        <v>360</v>
      </c>
      <c r="L3088" s="55" t="s">
        <v>360</v>
      </c>
      <c r="M3088" s="55" t="s">
        <v>144</v>
      </c>
      <c r="N3088" s="55" t="s">
        <v>144</v>
      </c>
      <c r="O3088" s="55" t="s">
        <v>209</v>
      </c>
      <c r="P3088" s="55" t="s">
        <v>555</v>
      </c>
      <c r="Q3088" s="55" t="s">
        <v>350</v>
      </c>
      <c r="R3088" s="55">
        <v>8</v>
      </c>
      <c r="S3088" s="55"/>
      <c r="T3088" s="55" t="s">
        <v>5476</v>
      </c>
      <c r="U3088" s="73" t="s">
        <v>351</v>
      </c>
      <c r="V3088" s="74">
        <v>44628</v>
      </c>
      <c r="W3088" s="74">
        <v>44676</v>
      </c>
      <c r="X3088" s="55">
        <v>10186966</v>
      </c>
      <c r="Y3088" s="55" t="s">
        <v>132</v>
      </c>
      <c r="AB3088" s="55" t="s">
        <v>132</v>
      </c>
      <c r="AC3088" s="55" t="s">
        <v>132</v>
      </c>
    </row>
    <row r="3089" spans="1:29" ht="13" x14ac:dyDescent="0.15">
      <c r="A3089" s="72" t="str">
        <f t="shared" si="48"/>
        <v>Ofsted Social Care Provider Webpage</v>
      </c>
      <c r="B3089" s="55" t="s">
        <v>5800</v>
      </c>
      <c r="D3089" s="55" t="s">
        <v>373</v>
      </c>
      <c r="E3089" s="74">
        <v>40984</v>
      </c>
      <c r="F3089" s="55" t="s">
        <v>344</v>
      </c>
      <c r="G3089" s="55" t="s">
        <v>360</v>
      </c>
      <c r="H3089" s="55" t="s">
        <v>360</v>
      </c>
      <c r="I3089" s="55" t="s">
        <v>360</v>
      </c>
      <c r="J3089" s="55" t="s">
        <v>360</v>
      </c>
      <c r="K3089" s="55" t="s">
        <v>360</v>
      </c>
      <c r="L3089" s="55" t="s">
        <v>360</v>
      </c>
      <c r="M3089" s="55" t="s">
        <v>138</v>
      </c>
      <c r="N3089" s="55" t="s">
        <v>138</v>
      </c>
      <c r="O3089" s="55" t="s">
        <v>196</v>
      </c>
      <c r="P3089" s="55" t="s">
        <v>5801</v>
      </c>
      <c r="Q3089" s="55" t="s">
        <v>380</v>
      </c>
      <c r="R3089" s="55">
        <v>4</v>
      </c>
      <c r="S3089" s="55"/>
      <c r="T3089" s="55" t="s">
        <v>2082</v>
      </c>
      <c r="U3089" s="73" t="s">
        <v>351</v>
      </c>
      <c r="V3089" s="74">
        <v>44607</v>
      </c>
      <c r="W3089" s="74">
        <v>44648</v>
      </c>
      <c r="X3089" s="55">
        <v>10186384</v>
      </c>
      <c r="Y3089" s="55" t="s">
        <v>132</v>
      </c>
      <c r="AB3089" s="55" t="s">
        <v>132</v>
      </c>
      <c r="AC3089" s="55" t="s">
        <v>132</v>
      </c>
    </row>
    <row r="3090" spans="1:29" ht="13" x14ac:dyDescent="0.15">
      <c r="A3090" s="72" t="str">
        <f t="shared" si="48"/>
        <v>Ofsted Social Care Provider Webpage</v>
      </c>
      <c r="B3090" s="55" t="s">
        <v>5802</v>
      </c>
      <c r="D3090" s="55" t="s">
        <v>373</v>
      </c>
      <c r="E3090" s="74">
        <v>41093</v>
      </c>
      <c r="F3090" s="55" t="s">
        <v>344</v>
      </c>
      <c r="G3090" s="55" t="s">
        <v>360</v>
      </c>
      <c r="H3090" s="55" t="s">
        <v>360</v>
      </c>
      <c r="I3090" s="55" t="s">
        <v>360</v>
      </c>
      <c r="J3090" s="55" t="s">
        <v>360</v>
      </c>
      <c r="K3090" s="55" t="s">
        <v>360</v>
      </c>
      <c r="L3090" s="55" t="s">
        <v>360</v>
      </c>
      <c r="M3090" s="55" t="s">
        <v>378</v>
      </c>
      <c r="N3090" s="55" t="s">
        <v>134</v>
      </c>
      <c r="O3090" s="55" t="s">
        <v>232</v>
      </c>
      <c r="P3090" s="55" t="s">
        <v>491</v>
      </c>
      <c r="Q3090" s="55" t="s">
        <v>350</v>
      </c>
      <c r="R3090" s="55">
        <v>4</v>
      </c>
      <c r="S3090" s="55"/>
      <c r="T3090" s="55" t="s">
        <v>2367</v>
      </c>
      <c r="U3090" s="73" t="s">
        <v>351</v>
      </c>
      <c r="V3090" s="74">
        <v>44566</v>
      </c>
      <c r="W3090" s="74">
        <v>44616</v>
      </c>
      <c r="X3090" s="55">
        <v>10187274</v>
      </c>
      <c r="Y3090" s="55" t="s">
        <v>132</v>
      </c>
      <c r="AB3090" s="55" t="s">
        <v>132</v>
      </c>
      <c r="AC3090" s="55" t="s">
        <v>140</v>
      </c>
    </row>
    <row r="3091" spans="1:29" ht="13" x14ac:dyDescent="0.15">
      <c r="A3091" s="72" t="str">
        <f t="shared" si="48"/>
        <v>Ofsted Social Care Provider Webpage</v>
      </c>
      <c r="B3091" s="55" t="s">
        <v>5803</v>
      </c>
      <c r="D3091" s="55" t="s">
        <v>373</v>
      </c>
      <c r="E3091" s="74">
        <v>41096</v>
      </c>
      <c r="F3091" s="55" t="s">
        <v>344</v>
      </c>
      <c r="G3091" s="55" t="s">
        <v>360</v>
      </c>
      <c r="H3091" s="55" t="s">
        <v>360</v>
      </c>
      <c r="I3091" s="55" t="s">
        <v>360</v>
      </c>
      <c r="J3091" s="55" t="s">
        <v>360</v>
      </c>
      <c r="K3091" s="55" t="s">
        <v>360</v>
      </c>
      <c r="L3091" s="55" t="s">
        <v>360</v>
      </c>
      <c r="M3091" s="55" t="s">
        <v>144</v>
      </c>
      <c r="N3091" s="55" t="s">
        <v>144</v>
      </c>
      <c r="O3091" s="55" t="s">
        <v>215</v>
      </c>
      <c r="P3091" s="55" t="s">
        <v>655</v>
      </c>
      <c r="Q3091" s="55" t="s">
        <v>362</v>
      </c>
      <c r="R3091" s="55">
        <v>1</v>
      </c>
      <c r="S3091" s="55"/>
      <c r="T3091" s="55" t="s">
        <v>5438</v>
      </c>
      <c r="U3091" s="73" t="s">
        <v>351</v>
      </c>
      <c r="V3091" s="74">
        <v>44453</v>
      </c>
      <c r="W3091" s="74">
        <v>44495</v>
      </c>
      <c r="X3091" s="55">
        <v>10186500</v>
      </c>
      <c r="Y3091" s="55" t="s">
        <v>130</v>
      </c>
      <c r="AB3091" s="55" t="s">
        <v>130</v>
      </c>
      <c r="AC3091" s="55" t="s">
        <v>130</v>
      </c>
    </row>
    <row r="3092" spans="1:29" ht="13" x14ac:dyDescent="0.15">
      <c r="A3092" s="72" t="str">
        <f t="shared" si="48"/>
        <v>Ofsted Social Care Provider Webpage</v>
      </c>
      <c r="B3092" s="55" t="s">
        <v>5804</v>
      </c>
      <c r="D3092" s="55" t="s">
        <v>373</v>
      </c>
      <c r="E3092" s="74">
        <v>41026</v>
      </c>
      <c r="F3092" s="55" t="s">
        <v>344</v>
      </c>
      <c r="G3092" s="55" t="s">
        <v>360</v>
      </c>
      <c r="H3092" s="55" t="s">
        <v>360</v>
      </c>
      <c r="I3092" s="55" t="s">
        <v>360</v>
      </c>
      <c r="J3092" s="55" t="s">
        <v>360</v>
      </c>
      <c r="K3092" s="55" t="s">
        <v>360</v>
      </c>
      <c r="L3092" s="55" t="s">
        <v>360</v>
      </c>
      <c r="M3092" s="55" t="s">
        <v>172</v>
      </c>
      <c r="N3092" s="55" t="s">
        <v>172</v>
      </c>
      <c r="O3092" s="55" t="s">
        <v>234</v>
      </c>
      <c r="P3092" s="55" t="s">
        <v>457</v>
      </c>
      <c r="Q3092" s="55" t="s">
        <v>362</v>
      </c>
      <c r="R3092" s="55">
        <v>3</v>
      </c>
      <c r="S3092" s="55"/>
      <c r="T3092" s="55" t="s">
        <v>458</v>
      </c>
      <c r="U3092" s="73" t="s">
        <v>351</v>
      </c>
      <c r="V3092" s="74">
        <v>44614</v>
      </c>
      <c r="W3092" s="74">
        <v>44656</v>
      </c>
      <c r="X3092" s="55">
        <v>10186850</v>
      </c>
      <c r="Y3092" s="55" t="s">
        <v>130</v>
      </c>
      <c r="AB3092" s="55" t="s">
        <v>130</v>
      </c>
      <c r="AC3092" s="55" t="s">
        <v>130</v>
      </c>
    </row>
    <row r="3093" spans="1:29" ht="13" x14ac:dyDescent="0.15">
      <c r="A3093" s="72" t="str">
        <f t="shared" si="48"/>
        <v>Ofsted Social Care Provider Webpage</v>
      </c>
      <c r="B3093" s="55" t="s">
        <v>5805</v>
      </c>
      <c r="D3093" s="55" t="s">
        <v>373</v>
      </c>
      <c r="E3093" s="74">
        <v>41039</v>
      </c>
      <c r="F3093" s="55" t="s">
        <v>344</v>
      </c>
      <c r="G3093" s="55" t="s">
        <v>360</v>
      </c>
      <c r="H3093" s="55" t="s">
        <v>360</v>
      </c>
      <c r="I3093" s="55" t="s">
        <v>360</v>
      </c>
      <c r="J3093" s="55" t="s">
        <v>360</v>
      </c>
      <c r="K3093" s="55" t="s">
        <v>360</v>
      </c>
      <c r="L3093" s="55" t="s">
        <v>360</v>
      </c>
      <c r="M3093" s="55" t="s">
        <v>142</v>
      </c>
      <c r="N3093" s="55" t="s">
        <v>142</v>
      </c>
      <c r="O3093" s="55" t="s">
        <v>262</v>
      </c>
      <c r="P3093" s="55" t="s">
        <v>618</v>
      </c>
      <c r="Q3093" s="55" t="s">
        <v>350</v>
      </c>
      <c r="R3093" s="55">
        <v>15</v>
      </c>
      <c r="S3093" s="55"/>
      <c r="T3093" s="55" t="s">
        <v>5806</v>
      </c>
      <c r="U3093" s="73" t="s">
        <v>351</v>
      </c>
      <c r="V3093" s="74">
        <v>44522</v>
      </c>
      <c r="W3093" s="74">
        <v>44579</v>
      </c>
      <c r="X3093" s="55">
        <v>10186060</v>
      </c>
      <c r="Y3093" s="55" t="s">
        <v>130</v>
      </c>
      <c r="AB3093" s="55" t="s">
        <v>130</v>
      </c>
      <c r="AC3093" s="55" t="s">
        <v>130</v>
      </c>
    </row>
    <row r="3094" spans="1:29" ht="13" x14ac:dyDescent="0.15">
      <c r="A3094" s="72" t="str">
        <f t="shared" si="48"/>
        <v>Ofsted Social Care Provider Webpage</v>
      </c>
      <c r="B3094" s="55" t="s">
        <v>5807</v>
      </c>
      <c r="D3094" s="55" t="s">
        <v>373</v>
      </c>
      <c r="E3094" s="74">
        <v>41187</v>
      </c>
      <c r="F3094" s="55" t="s">
        <v>344</v>
      </c>
      <c r="G3094" s="55" t="s">
        <v>360</v>
      </c>
      <c r="H3094" s="55" t="s">
        <v>360</v>
      </c>
      <c r="I3094" s="55" t="s">
        <v>360</v>
      </c>
      <c r="J3094" s="55" t="s">
        <v>360</v>
      </c>
      <c r="K3094" s="55" t="s">
        <v>360</v>
      </c>
      <c r="L3094" s="55" t="s">
        <v>360</v>
      </c>
      <c r="M3094" s="55" t="s">
        <v>144</v>
      </c>
      <c r="N3094" s="55" t="s">
        <v>144</v>
      </c>
      <c r="O3094" s="55" t="s">
        <v>168</v>
      </c>
      <c r="P3094" s="55" t="s">
        <v>913</v>
      </c>
      <c r="Q3094" s="55" t="s">
        <v>362</v>
      </c>
      <c r="R3094" s="55">
        <v>4</v>
      </c>
      <c r="S3094" s="55" t="s">
        <v>332</v>
      </c>
      <c r="T3094" s="55" t="s">
        <v>5808</v>
      </c>
      <c r="U3094" s="73" t="s">
        <v>351</v>
      </c>
      <c r="V3094" s="74">
        <v>43881</v>
      </c>
      <c r="W3094" s="74">
        <v>43942</v>
      </c>
      <c r="X3094" s="55">
        <v>10096791</v>
      </c>
      <c r="Y3094" s="55" t="s">
        <v>132</v>
      </c>
      <c r="AB3094" s="55" t="s">
        <v>132</v>
      </c>
      <c r="AC3094" s="55" t="s">
        <v>132</v>
      </c>
    </row>
    <row r="3095" spans="1:29" ht="13" x14ac:dyDescent="0.15">
      <c r="A3095" s="72" t="str">
        <f t="shared" si="48"/>
        <v>Ofsted Social Care Provider Webpage</v>
      </c>
      <c r="B3095" s="55" t="s">
        <v>5809</v>
      </c>
      <c r="D3095" s="55" t="s">
        <v>373</v>
      </c>
      <c r="E3095" s="74">
        <v>41103</v>
      </c>
      <c r="F3095" s="55" t="s">
        <v>344</v>
      </c>
      <c r="G3095" s="55" t="s">
        <v>360</v>
      </c>
      <c r="H3095" s="55" t="s">
        <v>360</v>
      </c>
      <c r="I3095" s="55" t="s">
        <v>360</v>
      </c>
      <c r="J3095" s="55" t="s">
        <v>360</v>
      </c>
      <c r="K3095" s="55" t="s">
        <v>360</v>
      </c>
      <c r="L3095" s="55" t="s">
        <v>360</v>
      </c>
      <c r="M3095" s="55" t="s">
        <v>142</v>
      </c>
      <c r="N3095" s="55" t="s">
        <v>142</v>
      </c>
      <c r="O3095" s="55" t="s">
        <v>141</v>
      </c>
      <c r="P3095" s="55" t="s">
        <v>1231</v>
      </c>
      <c r="Q3095" s="55" t="s">
        <v>350</v>
      </c>
      <c r="R3095" s="55">
        <v>3</v>
      </c>
      <c r="S3095" s="55"/>
      <c r="T3095" s="55" t="s">
        <v>1261</v>
      </c>
      <c r="U3095" s="73" t="s">
        <v>351</v>
      </c>
      <c r="V3095" s="74">
        <v>44440</v>
      </c>
      <c r="W3095" s="74">
        <v>44480</v>
      </c>
      <c r="X3095" s="55">
        <v>10195667</v>
      </c>
      <c r="Y3095" s="55" t="s">
        <v>132</v>
      </c>
      <c r="AB3095" s="55" t="s">
        <v>132</v>
      </c>
      <c r="AC3095" s="55" t="s">
        <v>132</v>
      </c>
    </row>
    <row r="3096" spans="1:29" ht="13" x14ac:dyDescent="0.15">
      <c r="A3096" s="72" t="str">
        <f t="shared" si="48"/>
        <v>Ofsted Social Care Provider Webpage</v>
      </c>
      <c r="B3096" s="55" t="s">
        <v>5810</v>
      </c>
      <c r="D3096" s="55" t="s">
        <v>373</v>
      </c>
      <c r="E3096" s="74">
        <v>41022</v>
      </c>
      <c r="F3096" s="55" t="s">
        <v>344</v>
      </c>
      <c r="G3096" s="55" t="s">
        <v>360</v>
      </c>
      <c r="H3096" s="55" t="s">
        <v>360</v>
      </c>
      <c r="I3096" s="55" t="s">
        <v>360</v>
      </c>
      <c r="J3096" s="55" t="s">
        <v>360</v>
      </c>
      <c r="K3096" s="55" t="s">
        <v>360</v>
      </c>
      <c r="L3096" s="55" t="s">
        <v>360</v>
      </c>
      <c r="M3096" s="55" t="s">
        <v>142</v>
      </c>
      <c r="N3096" s="55" t="s">
        <v>142</v>
      </c>
      <c r="O3096" s="55" t="s">
        <v>262</v>
      </c>
      <c r="P3096" s="55" t="s">
        <v>618</v>
      </c>
      <c r="Q3096" s="55" t="s">
        <v>350</v>
      </c>
      <c r="R3096" s="55">
        <v>3</v>
      </c>
      <c r="S3096" s="55"/>
      <c r="T3096" s="55" t="s">
        <v>1588</v>
      </c>
      <c r="U3096" s="73" t="s">
        <v>351</v>
      </c>
      <c r="V3096" s="74">
        <v>43669</v>
      </c>
      <c r="W3096" s="74">
        <v>43689</v>
      </c>
      <c r="X3096" s="55">
        <v>10096759</v>
      </c>
      <c r="Y3096" s="55" t="s">
        <v>132</v>
      </c>
      <c r="AB3096" s="55" t="s">
        <v>132</v>
      </c>
      <c r="AC3096" s="55" t="s">
        <v>132</v>
      </c>
    </row>
    <row r="3097" spans="1:29" ht="13" x14ac:dyDescent="0.15">
      <c r="A3097" s="72" t="str">
        <f t="shared" si="48"/>
        <v>Ofsted Social Care Provider Webpage</v>
      </c>
      <c r="B3097" s="55" t="s">
        <v>5811</v>
      </c>
      <c r="D3097" s="55" t="s">
        <v>373</v>
      </c>
      <c r="E3097" s="74">
        <v>41057</v>
      </c>
      <c r="F3097" s="55" t="s">
        <v>344</v>
      </c>
      <c r="G3097" s="55" t="s">
        <v>360</v>
      </c>
      <c r="H3097" s="55" t="s">
        <v>360</v>
      </c>
      <c r="I3097" s="55" t="s">
        <v>360</v>
      </c>
      <c r="J3097" s="55" t="s">
        <v>360</v>
      </c>
      <c r="K3097" s="55" t="s">
        <v>360</v>
      </c>
      <c r="L3097" s="55" t="s">
        <v>360</v>
      </c>
      <c r="M3097" s="55" t="s">
        <v>144</v>
      </c>
      <c r="N3097" s="55" t="s">
        <v>144</v>
      </c>
      <c r="O3097" s="55" t="s">
        <v>217</v>
      </c>
      <c r="P3097" s="55" t="s">
        <v>1969</v>
      </c>
      <c r="Q3097" s="55" t="s">
        <v>350</v>
      </c>
      <c r="R3097" s="55">
        <v>2</v>
      </c>
      <c r="S3097" s="55"/>
      <c r="T3097" s="55" t="s">
        <v>385</v>
      </c>
      <c r="U3097" s="73" t="s">
        <v>351</v>
      </c>
      <c r="V3097" s="74">
        <v>44329</v>
      </c>
      <c r="W3097" s="74">
        <v>44364</v>
      </c>
      <c r="X3097" s="55">
        <v>10185359</v>
      </c>
      <c r="Y3097" s="55" t="s">
        <v>130</v>
      </c>
      <c r="AB3097" s="55" t="s">
        <v>130</v>
      </c>
      <c r="AC3097" s="55" t="s">
        <v>130</v>
      </c>
    </row>
    <row r="3098" spans="1:29" ht="13" x14ac:dyDescent="0.15">
      <c r="A3098" s="72" t="str">
        <f t="shared" si="48"/>
        <v>Ofsted Social Care Provider Webpage</v>
      </c>
      <c r="B3098" s="55" t="s">
        <v>5812</v>
      </c>
      <c r="D3098" s="55" t="s">
        <v>451</v>
      </c>
      <c r="E3098" s="74">
        <v>41085</v>
      </c>
      <c r="F3098" s="55" t="s">
        <v>344</v>
      </c>
      <c r="G3098" s="55" t="s">
        <v>5813</v>
      </c>
      <c r="H3098" s="55" t="s">
        <v>5814</v>
      </c>
      <c r="I3098" s="55" t="s">
        <v>354</v>
      </c>
      <c r="J3098" s="55" t="s">
        <v>5815</v>
      </c>
      <c r="K3098" s="55" t="s">
        <v>129</v>
      </c>
      <c r="L3098" s="55" t="s">
        <v>5816</v>
      </c>
      <c r="M3098" s="55" t="s">
        <v>129</v>
      </c>
      <c r="N3098" s="55" t="s">
        <v>129</v>
      </c>
      <c r="O3098" s="55" t="s">
        <v>279</v>
      </c>
      <c r="P3098" s="55" t="s">
        <v>1078</v>
      </c>
      <c r="Q3098" s="55" t="s">
        <v>350</v>
      </c>
      <c r="R3098" s="55">
        <v>5</v>
      </c>
      <c r="S3098" s="55"/>
      <c r="T3098" s="55" t="s">
        <v>1129</v>
      </c>
      <c r="U3098" s="73" t="s">
        <v>351</v>
      </c>
      <c r="V3098" s="74">
        <v>43369</v>
      </c>
      <c r="W3098" s="74">
        <v>43410</v>
      </c>
      <c r="X3098" s="55">
        <v>10045746</v>
      </c>
      <c r="Y3098" s="55" t="s">
        <v>140</v>
      </c>
      <c r="AB3098" s="55" t="s">
        <v>132</v>
      </c>
      <c r="AC3098" s="55" t="s">
        <v>140</v>
      </c>
    </row>
    <row r="3099" spans="1:29" ht="13" x14ac:dyDescent="0.15">
      <c r="A3099" s="72" t="str">
        <f t="shared" si="48"/>
        <v>Ofsted Social Care Provider Webpage</v>
      </c>
      <c r="B3099" s="55" t="s">
        <v>5817</v>
      </c>
      <c r="D3099" s="55" t="s">
        <v>373</v>
      </c>
      <c r="E3099" s="74">
        <v>41057</v>
      </c>
      <c r="F3099" s="55" t="s">
        <v>344</v>
      </c>
      <c r="G3099" s="55" t="s">
        <v>360</v>
      </c>
      <c r="H3099" s="55" t="s">
        <v>360</v>
      </c>
      <c r="I3099" s="55" t="s">
        <v>360</v>
      </c>
      <c r="J3099" s="55" t="s">
        <v>360</v>
      </c>
      <c r="K3099" s="55" t="s">
        <v>360</v>
      </c>
      <c r="L3099" s="55" t="s">
        <v>360</v>
      </c>
      <c r="M3099" s="55" t="s">
        <v>378</v>
      </c>
      <c r="N3099" s="55" t="s">
        <v>170</v>
      </c>
      <c r="O3099" s="55" t="s">
        <v>267</v>
      </c>
      <c r="P3099" s="55" t="s">
        <v>477</v>
      </c>
      <c r="Q3099" s="55" t="s">
        <v>362</v>
      </c>
      <c r="R3099" s="55">
        <v>4</v>
      </c>
      <c r="S3099" s="55"/>
      <c r="T3099" s="55" t="s">
        <v>5369</v>
      </c>
      <c r="U3099" s="73" t="s">
        <v>351</v>
      </c>
      <c r="V3099" s="74">
        <v>44508</v>
      </c>
      <c r="W3099" s="74">
        <v>44543</v>
      </c>
      <c r="X3099" s="55">
        <v>10187458</v>
      </c>
      <c r="Y3099" s="55" t="s">
        <v>132</v>
      </c>
      <c r="AB3099" s="55" t="s">
        <v>132</v>
      </c>
      <c r="AC3099" s="55" t="s">
        <v>130</v>
      </c>
    </row>
    <row r="3100" spans="1:29" ht="13" x14ac:dyDescent="0.15">
      <c r="A3100" s="72" t="str">
        <f t="shared" si="48"/>
        <v>Ofsted Social Care Provider Webpage</v>
      </c>
      <c r="B3100" s="55" t="s">
        <v>5818</v>
      </c>
      <c r="D3100" s="55" t="s">
        <v>389</v>
      </c>
      <c r="E3100" s="74">
        <v>41060</v>
      </c>
      <c r="F3100" s="55" t="s">
        <v>344</v>
      </c>
      <c r="G3100" s="55" t="s">
        <v>5819</v>
      </c>
      <c r="H3100" s="55" t="s">
        <v>5820</v>
      </c>
      <c r="I3100" s="55" t="s">
        <v>5821</v>
      </c>
      <c r="J3100" s="55" t="s">
        <v>141</v>
      </c>
      <c r="L3100" s="55" t="s">
        <v>5822</v>
      </c>
      <c r="M3100" s="55" t="s">
        <v>142</v>
      </c>
      <c r="N3100" s="55" t="s">
        <v>142</v>
      </c>
      <c r="O3100" s="55" t="s">
        <v>141</v>
      </c>
      <c r="P3100" s="55" t="s">
        <v>573</v>
      </c>
      <c r="Q3100" s="55" t="s">
        <v>350</v>
      </c>
      <c r="R3100" s="55"/>
      <c r="S3100" s="55"/>
      <c r="T3100" s="55" t="s">
        <v>5823</v>
      </c>
      <c r="U3100" s="73" t="s">
        <v>351</v>
      </c>
      <c r="V3100" s="74">
        <v>43241</v>
      </c>
      <c r="W3100" s="74">
        <v>43276</v>
      </c>
      <c r="X3100" s="55">
        <v>10046829</v>
      </c>
      <c r="Y3100" s="55" t="s">
        <v>132</v>
      </c>
      <c r="AB3100" s="55" t="s">
        <v>130</v>
      </c>
      <c r="AC3100" s="55" t="s">
        <v>132</v>
      </c>
    </row>
    <row r="3101" spans="1:29" ht="13" x14ac:dyDescent="0.15">
      <c r="A3101" s="72" t="str">
        <f t="shared" si="48"/>
        <v>Ofsted Social Care Provider Webpage</v>
      </c>
      <c r="B3101" s="55" t="s">
        <v>5824</v>
      </c>
      <c r="D3101" s="55" t="s">
        <v>373</v>
      </c>
      <c r="E3101" s="74">
        <v>41100</v>
      </c>
      <c r="F3101" s="55" t="s">
        <v>344</v>
      </c>
      <c r="G3101" s="55" t="s">
        <v>360</v>
      </c>
      <c r="H3101" s="55" t="s">
        <v>360</v>
      </c>
      <c r="I3101" s="55" t="s">
        <v>360</v>
      </c>
      <c r="J3101" s="55" t="s">
        <v>360</v>
      </c>
      <c r="K3101" s="55" t="s">
        <v>360</v>
      </c>
      <c r="L3101" s="55" t="s">
        <v>360</v>
      </c>
      <c r="M3101" s="55" t="s">
        <v>142</v>
      </c>
      <c r="N3101" s="55" t="s">
        <v>142</v>
      </c>
      <c r="O3101" s="55" t="s">
        <v>262</v>
      </c>
      <c r="P3101" s="55" t="s">
        <v>692</v>
      </c>
      <c r="Q3101" s="55" t="s">
        <v>350</v>
      </c>
      <c r="R3101" s="55">
        <v>3</v>
      </c>
      <c r="S3101" s="55"/>
      <c r="T3101" s="55" t="s">
        <v>1988</v>
      </c>
      <c r="U3101" s="73" t="s">
        <v>351</v>
      </c>
      <c r="V3101" s="74">
        <v>44537</v>
      </c>
      <c r="W3101" s="74">
        <v>44592</v>
      </c>
      <c r="X3101" s="55">
        <v>10186578</v>
      </c>
      <c r="Y3101" s="55" t="s">
        <v>146</v>
      </c>
      <c r="AB3101" s="55" t="s">
        <v>146</v>
      </c>
      <c r="AC3101" s="55" t="s">
        <v>146</v>
      </c>
    </row>
    <row r="3102" spans="1:29" ht="13" x14ac:dyDescent="0.15">
      <c r="A3102" s="72" t="str">
        <f t="shared" si="48"/>
        <v>Ofsted Social Care Provider Webpage</v>
      </c>
      <c r="B3102" s="55" t="s">
        <v>5825</v>
      </c>
      <c r="D3102" s="55" t="s">
        <v>373</v>
      </c>
      <c r="E3102" s="74">
        <v>41200</v>
      </c>
      <c r="F3102" s="55" t="s">
        <v>344</v>
      </c>
      <c r="G3102" s="55" t="s">
        <v>360</v>
      </c>
      <c r="H3102" s="55" t="s">
        <v>360</v>
      </c>
      <c r="I3102" s="55" t="s">
        <v>360</v>
      </c>
      <c r="J3102" s="55" t="s">
        <v>360</v>
      </c>
      <c r="K3102" s="55" t="s">
        <v>360</v>
      </c>
      <c r="L3102" s="55" t="s">
        <v>360</v>
      </c>
      <c r="M3102" s="55" t="s">
        <v>142</v>
      </c>
      <c r="N3102" s="55" t="s">
        <v>142</v>
      </c>
      <c r="O3102" s="55" t="s">
        <v>262</v>
      </c>
      <c r="P3102" s="55" t="s">
        <v>916</v>
      </c>
      <c r="Q3102" s="55" t="s">
        <v>350</v>
      </c>
      <c r="R3102" s="55">
        <v>4</v>
      </c>
      <c r="S3102" s="55"/>
      <c r="T3102" s="55" t="s">
        <v>917</v>
      </c>
      <c r="U3102" s="73" t="s">
        <v>351</v>
      </c>
      <c r="V3102" s="74">
        <v>44530</v>
      </c>
      <c r="W3102" s="74">
        <v>44581</v>
      </c>
      <c r="X3102" s="55">
        <v>10186049</v>
      </c>
      <c r="Y3102" s="55" t="s">
        <v>132</v>
      </c>
      <c r="AB3102" s="55" t="s">
        <v>132</v>
      </c>
      <c r="AC3102" s="55" t="s">
        <v>132</v>
      </c>
    </row>
    <row r="3103" spans="1:29" ht="13" x14ac:dyDescent="0.15">
      <c r="A3103" s="72" t="str">
        <f t="shared" si="48"/>
        <v>Ofsted Social Care Provider Webpage</v>
      </c>
      <c r="B3103" s="55" t="s">
        <v>5826</v>
      </c>
      <c r="D3103" s="55" t="s">
        <v>373</v>
      </c>
      <c r="E3103" s="74">
        <v>41086</v>
      </c>
      <c r="F3103" s="55" t="s">
        <v>344</v>
      </c>
      <c r="G3103" s="55" t="s">
        <v>360</v>
      </c>
      <c r="H3103" s="55" t="s">
        <v>360</v>
      </c>
      <c r="I3103" s="55" t="s">
        <v>360</v>
      </c>
      <c r="J3103" s="55" t="s">
        <v>360</v>
      </c>
      <c r="K3103" s="55" t="s">
        <v>360</v>
      </c>
      <c r="L3103" s="55" t="s">
        <v>360</v>
      </c>
      <c r="M3103" s="55" t="s">
        <v>136</v>
      </c>
      <c r="N3103" s="55" t="s">
        <v>136</v>
      </c>
      <c r="O3103" s="55" t="s">
        <v>230</v>
      </c>
      <c r="P3103" s="55" t="s">
        <v>767</v>
      </c>
      <c r="Q3103" s="55" t="s">
        <v>350</v>
      </c>
      <c r="R3103" s="55">
        <v>3</v>
      </c>
      <c r="S3103" s="55"/>
      <c r="T3103" s="55" t="s">
        <v>914</v>
      </c>
      <c r="U3103" s="73" t="s">
        <v>351</v>
      </c>
      <c r="V3103" s="74">
        <v>44579</v>
      </c>
      <c r="W3103" s="74">
        <v>44617</v>
      </c>
      <c r="X3103" s="55">
        <v>10186508</v>
      </c>
      <c r="Y3103" s="55" t="s">
        <v>132</v>
      </c>
      <c r="AB3103" s="55" t="s">
        <v>132</v>
      </c>
      <c r="AC3103" s="55" t="s">
        <v>130</v>
      </c>
    </row>
    <row r="3104" spans="1:29" ht="13" x14ac:dyDescent="0.15">
      <c r="A3104" s="72" t="str">
        <f t="shared" si="48"/>
        <v>Ofsted Social Care Provider Webpage</v>
      </c>
      <c r="B3104" s="55" t="s">
        <v>5827</v>
      </c>
      <c r="D3104" s="55" t="s">
        <v>479</v>
      </c>
      <c r="E3104" s="74">
        <v>41117</v>
      </c>
      <c r="F3104" s="55" t="s">
        <v>344</v>
      </c>
      <c r="G3104" s="55" t="s">
        <v>360</v>
      </c>
      <c r="H3104" s="55" t="s">
        <v>360</v>
      </c>
      <c r="I3104" s="55" t="s">
        <v>360</v>
      </c>
      <c r="J3104" s="55" t="s">
        <v>360</v>
      </c>
      <c r="K3104" s="55" t="s">
        <v>360</v>
      </c>
      <c r="L3104" s="55" t="s">
        <v>360</v>
      </c>
      <c r="M3104" s="55" t="s">
        <v>142</v>
      </c>
      <c r="N3104" s="55" t="s">
        <v>142</v>
      </c>
      <c r="O3104" s="55" t="s">
        <v>252</v>
      </c>
      <c r="P3104" s="55" t="s">
        <v>653</v>
      </c>
      <c r="Q3104" s="55" t="s">
        <v>350</v>
      </c>
      <c r="R3104" s="55">
        <v>12</v>
      </c>
      <c r="S3104" s="55"/>
      <c r="T3104" s="55" t="s">
        <v>5828</v>
      </c>
      <c r="U3104" s="73" t="s">
        <v>351</v>
      </c>
      <c r="V3104" s="74">
        <v>44614</v>
      </c>
      <c r="W3104" s="74">
        <v>44662</v>
      </c>
      <c r="X3104" s="55">
        <v>10187299</v>
      </c>
      <c r="Y3104" s="55" t="s">
        <v>132</v>
      </c>
      <c r="AB3104" s="55" t="s">
        <v>132</v>
      </c>
      <c r="AC3104" s="55" t="s">
        <v>132</v>
      </c>
    </row>
    <row r="3105" spans="1:29" ht="13" x14ac:dyDescent="0.15">
      <c r="A3105" s="72" t="str">
        <f t="shared" si="48"/>
        <v>Ofsted Social Care Provider Webpage</v>
      </c>
      <c r="B3105" s="55" t="s">
        <v>5829</v>
      </c>
      <c r="D3105" s="55" t="s">
        <v>389</v>
      </c>
      <c r="E3105" s="74">
        <v>41124</v>
      </c>
      <c r="F3105" s="55" t="s">
        <v>344</v>
      </c>
      <c r="G3105" s="55" t="s">
        <v>5830</v>
      </c>
      <c r="H3105" s="55" t="s">
        <v>5831</v>
      </c>
      <c r="I3105" s="55" t="s">
        <v>5832</v>
      </c>
      <c r="J3105" s="55" t="s">
        <v>169</v>
      </c>
      <c r="L3105" s="55" t="s">
        <v>5833</v>
      </c>
      <c r="M3105" s="55" t="s">
        <v>378</v>
      </c>
      <c r="N3105" s="55" t="s">
        <v>170</v>
      </c>
      <c r="O3105" s="55" t="s">
        <v>169</v>
      </c>
      <c r="P3105" s="55" t="s">
        <v>169</v>
      </c>
      <c r="Q3105" s="55" t="s">
        <v>350</v>
      </c>
      <c r="R3105" s="55"/>
      <c r="S3105" s="55"/>
      <c r="T3105" s="55" t="s">
        <v>5834</v>
      </c>
      <c r="U3105" s="73" t="s">
        <v>351</v>
      </c>
      <c r="V3105" s="74">
        <v>44578</v>
      </c>
      <c r="W3105" s="74">
        <v>44613</v>
      </c>
      <c r="X3105" s="55">
        <v>10183381</v>
      </c>
      <c r="Y3105" s="55" t="s">
        <v>140</v>
      </c>
      <c r="AB3105" s="55" t="s">
        <v>132</v>
      </c>
      <c r="AC3105" s="55" t="s">
        <v>140</v>
      </c>
    </row>
    <row r="3106" spans="1:29" ht="13" x14ac:dyDescent="0.15">
      <c r="A3106" s="72" t="str">
        <f t="shared" si="48"/>
        <v>Ofsted Social Care Provider Webpage</v>
      </c>
      <c r="B3106" s="55" t="s">
        <v>5835</v>
      </c>
      <c r="D3106" s="55" t="s">
        <v>389</v>
      </c>
      <c r="E3106" s="74">
        <v>41095</v>
      </c>
      <c r="F3106" s="55" t="s">
        <v>344</v>
      </c>
      <c r="G3106" s="55" t="s">
        <v>5836</v>
      </c>
      <c r="H3106" s="55" t="s">
        <v>5837</v>
      </c>
      <c r="I3106" s="55" t="s">
        <v>1573</v>
      </c>
      <c r="J3106" s="55" t="s">
        <v>3559</v>
      </c>
      <c r="K3106" s="55" t="s">
        <v>203</v>
      </c>
      <c r="L3106" s="55" t="s">
        <v>5838</v>
      </c>
      <c r="M3106" s="55" t="s">
        <v>150</v>
      </c>
      <c r="N3106" s="55" t="s">
        <v>150</v>
      </c>
      <c r="O3106" s="55" t="s">
        <v>203</v>
      </c>
      <c r="P3106" s="55" t="s">
        <v>3559</v>
      </c>
      <c r="Q3106" s="55" t="s">
        <v>350</v>
      </c>
      <c r="R3106" s="55"/>
      <c r="S3106" s="55"/>
      <c r="T3106" s="55" t="s">
        <v>5839</v>
      </c>
      <c r="U3106" s="73" t="s">
        <v>351</v>
      </c>
      <c r="V3106" s="74">
        <v>44452</v>
      </c>
      <c r="W3106" s="74">
        <v>44491</v>
      </c>
      <c r="X3106" s="55">
        <v>10183416</v>
      </c>
      <c r="Y3106" s="55" t="s">
        <v>140</v>
      </c>
      <c r="AB3106" s="55" t="s">
        <v>140</v>
      </c>
      <c r="AC3106" s="55" t="s">
        <v>140</v>
      </c>
    </row>
    <row r="3107" spans="1:29" ht="13" x14ac:dyDescent="0.15">
      <c r="A3107" s="72" t="str">
        <f t="shared" si="48"/>
        <v>Ofsted Social Care Provider Webpage</v>
      </c>
      <c r="B3107" s="55" t="s">
        <v>5840</v>
      </c>
      <c r="D3107" s="55" t="s">
        <v>389</v>
      </c>
      <c r="E3107" s="74">
        <v>41199</v>
      </c>
      <c r="F3107" s="55" t="s">
        <v>344</v>
      </c>
      <c r="G3107" s="55" t="s">
        <v>5841</v>
      </c>
      <c r="H3107" s="55" t="s">
        <v>3192</v>
      </c>
      <c r="I3107" s="55" t="s">
        <v>3193</v>
      </c>
      <c r="J3107" s="55" t="s">
        <v>3194</v>
      </c>
      <c r="L3107" s="55" t="s">
        <v>3195</v>
      </c>
      <c r="M3107" s="55" t="s">
        <v>378</v>
      </c>
      <c r="N3107" s="55" t="s">
        <v>170</v>
      </c>
      <c r="O3107" s="55" t="s">
        <v>233</v>
      </c>
      <c r="P3107" s="55" t="s">
        <v>1376</v>
      </c>
      <c r="Q3107" s="55" t="s">
        <v>362</v>
      </c>
      <c r="R3107" s="55"/>
      <c r="S3107" s="55"/>
      <c r="T3107" s="55" t="s">
        <v>3196</v>
      </c>
      <c r="U3107" s="73" t="s">
        <v>351</v>
      </c>
      <c r="V3107" s="74">
        <v>44480</v>
      </c>
      <c r="W3107" s="74">
        <v>44596</v>
      </c>
      <c r="X3107" s="55">
        <v>10183382</v>
      </c>
      <c r="Y3107" s="55" t="s">
        <v>132</v>
      </c>
      <c r="AB3107" s="55" t="s">
        <v>132</v>
      </c>
      <c r="AC3107" s="55" t="s">
        <v>130</v>
      </c>
    </row>
    <row r="3108" spans="1:29" ht="13" x14ac:dyDescent="0.15">
      <c r="A3108" s="72" t="str">
        <f t="shared" si="48"/>
        <v>Ofsted Social Care Provider Webpage</v>
      </c>
      <c r="B3108" s="55" t="s">
        <v>5842</v>
      </c>
      <c r="D3108" s="55" t="s">
        <v>373</v>
      </c>
      <c r="E3108" s="74">
        <v>41260</v>
      </c>
      <c r="F3108" s="55" t="s">
        <v>344</v>
      </c>
      <c r="G3108" s="55" t="s">
        <v>360</v>
      </c>
      <c r="H3108" s="55" t="s">
        <v>360</v>
      </c>
      <c r="I3108" s="55" t="s">
        <v>360</v>
      </c>
      <c r="J3108" s="55" t="s">
        <v>360</v>
      </c>
      <c r="K3108" s="55" t="s">
        <v>360</v>
      </c>
      <c r="L3108" s="55" t="s">
        <v>360</v>
      </c>
      <c r="M3108" s="55" t="s">
        <v>129</v>
      </c>
      <c r="N3108" s="55" t="s">
        <v>129</v>
      </c>
      <c r="O3108" s="55" t="s">
        <v>152</v>
      </c>
      <c r="P3108" s="55" t="s">
        <v>1994</v>
      </c>
      <c r="Q3108" s="55" t="s">
        <v>350</v>
      </c>
      <c r="R3108" s="55">
        <v>4</v>
      </c>
      <c r="S3108" s="55"/>
      <c r="T3108" s="55" t="s">
        <v>5843</v>
      </c>
      <c r="U3108" s="73" t="s">
        <v>351</v>
      </c>
      <c r="V3108" s="74">
        <v>44517</v>
      </c>
      <c r="W3108" s="74">
        <v>44565</v>
      </c>
      <c r="X3108" s="55">
        <v>10185119</v>
      </c>
      <c r="Y3108" s="55" t="s">
        <v>132</v>
      </c>
      <c r="AB3108" s="55" t="s">
        <v>132</v>
      </c>
      <c r="AC3108" s="55" t="s">
        <v>130</v>
      </c>
    </row>
    <row r="3109" spans="1:29" ht="13" x14ac:dyDescent="0.15">
      <c r="A3109" s="72" t="str">
        <f t="shared" si="48"/>
        <v>Ofsted Social Care Provider Webpage</v>
      </c>
      <c r="B3109" s="55" t="s">
        <v>5844</v>
      </c>
      <c r="D3109" s="55" t="s">
        <v>389</v>
      </c>
      <c r="E3109" s="74">
        <v>41144</v>
      </c>
      <c r="F3109" s="55" t="s">
        <v>344</v>
      </c>
      <c r="G3109" s="55" t="s">
        <v>5845</v>
      </c>
      <c r="H3109" s="55" t="s">
        <v>5846</v>
      </c>
      <c r="I3109" s="55" t="s">
        <v>5847</v>
      </c>
      <c r="J3109" s="55" t="s">
        <v>129</v>
      </c>
      <c r="L3109" s="55" t="s">
        <v>5848</v>
      </c>
      <c r="M3109" s="55" t="s">
        <v>129</v>
      </c>
      <c r="N3109" s="55" t="s">
        <v>129</v>
      </c>
      <c r="O3109" s="55" t="s">
        <v>280</v>
      </c>
      <c r="P3109" s="55" t="s">
        <v>2580</v>
      </c>
      <c r="Q3109" s="55" t="s">
        <v>350</v>
      </c>
      <c r="R3109" s="55"/>
      <c r="S3109" s="55"/>
      <c r="T3109" s="55" t="s">
        <v>5849</v>
      </c>
      <c r="U3109" s="73" t="s">
        <v>351</v>
      </c>
      <c r="V3109" s="74">
        <v>43864</v>
      </c>
      <c r="W3109" s="74">
        <v>43889</v>
      </c>
      <c r="X3109" s="55">
        <v>10093254</v>
      </c>
      <c r="Y3109" s="55" t="s">
        <v>132</v>
      </c>
      <c r="AB3109" s="55" t="s">
        <v>130</v>
      </c>
      <c r="AC3109" s="55" t="s">
        <v>132</v>
      </c>
    </row>
    <row r="3110" spans="1:29" ht="13" x14ac:dyDescent="0.15">
      <c r="A3110" s="72" t="str">
        <f t="shared" si="48"/>
        <v>Ofsted Social Care Provider Webpage</v>
      </c>
      <c r="B3110" s="55" t="s">
        <v>5850</v>
      </c>
      <c r="D3110" s="55" t="s">
        <v>373</v>
      </c>
      <c r="E3110" s="74">
        <v>41066</v>
      </c>
      <c r="F3110" s="55" t="s">
        <v>344</v>
      </c>
      <c r="G3110" s="55" t="s">
        <v>360</v>
      </c>
      <c r="H3110" s="55" t="s">
        <v>360</v>
      </c>
      <c r="I3110" s="55" t="s">
        <v>360</v>
      </c>
      <c r="J3110" s="55" t="s">
        <v>360</v>
      </c>
      <c r="K3110" s="55" t="s">
        <v>360</v>
      </c>
      <c r="L3110" s="55" t="s">
        <v>360</v>
      </c>
      <c r="M3110" s="55" t="s">
        <v>150</v>
      </c>
      <c r="N3110" s="55" t="s">
        <v>150</v>
      </c>
      <c r="O3110" s="55" t="s">
        <v>203</v>
      </c>
      <c r="P3110" s="55" t="s">
        <v>593</v>
      </c>
      <c r="Q3110" s="55" t="s">
        <v>350</v>
      </c>
      <c r="R3110" s="55">
        <v>2</v>
      </c>
      <c r="S3110" s="55"/>
      <c r="T3110" s="55" t="s">
        <v>594</v>
      </c>
      <c r="U3110" s="73" t="s">
        <v>351</v>
      </c>
      <c r="V3110" s="74">
        <v>44376</v>
      </c>
      <c r="W3110" s="74">
        <v>44431</v>
      </c>
      <c r="X3110" s="55">
        <v>10186444</v>
      </c>
      <c r="Y3110" s="55" t="s">
        <v>132</v>
      </c>
      <c r="AB3110" s="55" t="s">
        <v>132</v>
      </c>
      <c r="AC3110" s="55" t="s">
        <v>130</v>
      </c>
    </row>
    <row r="3111" spans="1:29" ht="13" x14ac:dyDescent="0.15">
      <c r="A3111" s="72" t="str">
        <f t="shared" si="48"/>
        <v>Ofsted Social Care Provider Webpage</v>
      </c>
      <c r="B3111" s="55" t="s">
        <v>5851</v>
      </c>
      <c r="D3111" s="55" t="s">
        <v>373</v>
      </c>
      <c r="E3111" s="74">
        <v>41085</v>
      </c>
      <c r="F3111" s="55" t="s">
        <v>344</v>
      </c>
      <c r="G3111" s="55" t="s">
        <v>360</v>
      </c>
      <c r="H3111" s="55" t="s">
        <v>360</v>
      </c>
      <c r="I3111" s="55" t="s">
        <v>360</v>
      </c>
      <c r="J3111" s="55" t="s">
        <v>360</v>
      </c>
      <c r="K3111" s="55" t="s">
        <v>360</v>
      </c>
      <c r="L3111" s="55" t="s">
        <v>360</v>
      </c>
      <c r="M3111" s="55" t="s">
        <v>378</v>
      </c>
      <c r="N3111" s="55" t="s">
        <v>170</v>
      </c>
      <c r="O3111" s="55" t="s">
        <v>178</v>
      </c>
      <c r="P3111" s="55" t="s">
        <v>905</v>
      </c>
      <c r="Q3111" s="55" t="s">
        <v>380</v>
      </c>
      <c r="R3111" s="55">
        <v>4</v>
      </c>
      <c r="S3111" s="55"/>
      <c r="T3111" s="55" t="s">
        <v>2068</v>
      </c>
      <c r="U3111" s="73" t="s">
        <v>351</v>
      </c>
      <c r="V3111" s="74">
        <v>44320</v>
      </c>
      <c r="W3111" s="74">
        <v>44357</v>
      </c>
      <c r="X3111" s="55">
        <v>10186496</v>
      </c>
      <c r="Y3111" s="55" t="s">
        <v>130</v>
      </c>
      <c r="AB3111" s="55" t="s">
        <v>130</v>
      </c>
      <c r="AC3111" s="55" t="s">
        <v>130</v>
      </c>
    </row>
    <row r="3112" spans="1:29" ht="13" x14ac:dyDescent="0.15">
      <c r="A3112" s="72" t="str">
        <f t="shared" si="48"/>
        <v>Ofsted Social Care Provider Webpage</v>
      </c>
      <c r="B3112" s="55" t="s">
        <v>5852</v>
      </c>
      <c r="D3112" s="55" t="s">
        <v>373</v>
      </c>
      <c r="E3112" s="74">
        <v>41113</v>
      </c>
      <c r="F3112" s="55" t="s">
        <v>344</v>
      </c>
      <c r="G3112" s="55" t="s">
        <v>360</v>
      </c>
      <c r="H3112" s="55" t="s">
        <v>360</v>
      </c>
      <c r="I3112" s="55" t="s">
        <v>360</v>
      </c>
      <c r="J3112" s="55" t="s">
        <v>360</v>
      </c>
      <c r="K3112" s="55" t="s">
        <v>360</v>
      </c>
      <c r="L3112" s="55" t="s">
        <v>360</v>
      </c>
      <c r="M3112" s="55" t="s">
        <v>172</v>
      </c>
      <c r="N3112" s="55" t="s">
        <v>172</v>
      </c>
      <c r="O3112" s="55" t="s">
        <v>212</v>
      </c>
      <c r="P3112" s="55" t="s">
        <v>842</v>
      </c>
      <c r="Q3112" s="55" t="s">
        <v>350</v>
      </c>
      <c r="R3112" s="55">
        <v>3</v>
      </c>
      <c r="S3112" s="55"/>
      <c r="T3112" s="55" t="s">
        <v>5853</v>
      </c>
      <c r="U3112" s="73" t="s">
        <v>351</v>
      </c>
      <c r="V3112" s="74">
        <v>44326</v>
      </c>
      <c r="W3112" s="74">
        <v>44358</v>
      </c>
      <c r="X3112" s="55">
        <v>10186154</v>
      </c>
      <c r="Y3112" s="55" t="s">
        <v>132</v>
      </c>
      <c r="AB3112" s="55" t="s">
        <v>132</v>
      </c>
      <c r="AC3112" s="55" t="s">
        <v>132</v>
      </c>
    </row>
    <row r="3113" spans="1:29" ht="13" x14ac:dyDescent="0.15">
      <c r="A3113" s="72" t="str">
        <f t="shared" si="48"/>
        <v>Ofsted Social Care Provider Webpage</v>
      </c>
      <c r="B3113" s="55" t="s">
        <v>5854</v>
      </c>
      <c r="D3113" s="55" t="s">
        <v>373</v>
      </c>
      <c r="E3113" s="74">
        <v>41136</v>
      </c>
      <c r="F3113" s="55" t="s">
        <v>344</v>
      </c>
      <c r="G3113" s="55" t="s">
        <v>360</v>
      </c>
      <c r="H3113" s="55" t="s">
        <v>360</v>
      </c>
      <c r="I3113" s="55" t="s">
        <v>360</v>
      </c>
      <c r="J3113" s="55" t="s">
        <v>360</v>
      </c>
      <c r="K3113" s="55" t="s">
        <v>360</v>
      </c>
      <c r="L3113" s="55" t="s">
        <v>360</v>
      </c>
      <c r="M3113" s="55" t="s">
        <v>150</v>
      </c>
      <c r="N3113" s="55" t="s">
        <v>150</v>
      </c>
      <c r="O3113" s="55" t="s">
        <v>285</v>
      </c>
      <c r="P3113" s="55" t="s">
        <v>893</v>
      </c>
      <c r="Q3113" s="55" t="s">
        <v>350</v>
      </c>
      <c r="R3113" s="55">
        <v>4</v>
      </c>
      <c r="S3113" s="55"/>
      <c r="T3113" s="55" t="s">
        <v>894</v>
      </c>
      <c r="U3113" s="73" t="s">
        <v>351</v>
      </c>
      <c r="V3113" s="74">
        <v>44447</v>
      </c>
      <c r="W3113" s="74">
        <v>44480</v>
      </c>
      <c r="X3113" s="55">
        <v>10187121</v>
      </c>
      <c r="Y3113" s="55" t="s">
        <v>132</v>
      </c>
      <c r="AB3113" s="55" t="s">
        <v>132</v>
      </c>
      <c r="AC3113" s="55" t="s">
        <v>132</v>
      </c>
    </row>
    <row r="3114" spans="1:29" ht="13" x14ac:dyDescent="0.15">
      <c r="A3114" s="72" t="str">
        <f t="shared" si="48"/>
        <v>Ofsted Social Care Provider Webpage</v>
      </c>
      <c r="B3114" s="55" t="s">
        <v>5855</v>
      </c>
      <c r="D3114" s="55" t="s">
        <v>373</v>
      </c>
      <c r="E3114" s="74">
        <v>41103</v>
      </c>
      <c r="F3114" s="55" t="s">
        <v>344</v>
      </c>
      <c r="G3114" s="55" t="s">
        <v>360</v>
      </c>
      <c r="H3114" s="55" t="s">
        <v>360</v>
      </c>
      <c r="I3114" s="55" t="s">
        <v>360</v>
      </c>
      <c r="J3114" s="55" t="s">
        <v>360</v>
      </c>
      <c r="K3114" s="55" t="s">
        <v>360</v>
      </c>
      <c r="L3114" s="55" t="s">
        <v>360</v>
      </c>
      <c r="M3114" s="55" t="s">
        <v>142</v>
      </c>
      <c r="N3114" s="55" t="s">
        <v>142</v>
      </c>
      <c r="O3114" s="55" t="s">
        <v>252</v>
      </c>
      <c r="P3114" s="55" t="s">
        <v>386</v>
      </c>
      <c r="Q3114" s="55" t="s">
        <v>350</v>
      </c>
      <c r="R3114" s="55">
        <v>3</v>
      </c>
      <c r="S3114" s="55"/>
      <c r="T3114" s="55" t="s">
        <v>1260</v>
      </c>
      <c r="U3114" s="73" t="s">
        <v>351</v>
      </c>
      <c r="V3114" s="74">
        <v>44517</v>
      </c>
      <c r="W3114" s="74">
        <v>44559</v>
      </c>
      <c r="X3114" s="55">
        <v>10186349</v>
      </c>
      <c r="Y3114" s="55" t="s">
        <v>132</v>
      </c>
      <c r="AB3114" s="55" t="s">
        <v>132</v>
      </c>
      <c r="AC3114" s="55" t="s">
        <v>132</v>
      </c>
    </row>
    <row r="3115" spans="1:29" ht="13" x14ac:dyDescent="0.15">
      <c r="A3115" s="72" t="str">
        <f t="shared" si="48"/>
        <v>Ofsted Social Care Provider Webpage</v>
      </c>
      <c r="B3115" s="55" t="s">
        <v>5856</v>
      </c>
      <c r="D3115" s="55" t="s">
        <v>373</v>
      </c>
      <c r="E3115" s="74">
        <v>41270</v>
      </c>
      <c r="F3115" s="55" t="s">
        <v>344</v>
      </c>
      <c r="G3115" s="55" t="s">
        <v>360</v>
      </c>
      <c r="H3115" s="55" t="s">
        <v>360</v>
      </c>
      <c r="I3115" s="55" t="s">
        <v>360</v>
      </c>
      <c r="J3115" s="55" t="s">
        <v>360</v>
      </c>
      <c r="K3115" s="55" t="s">
        <v>360</v>
      </c>
      <c r="L3115" s="55" t="s">
        <v>360</v>
      </c>
      <c r="M3115" s="55" t="s">
        <v>150</v>
      </c>
      <c r="N3115" s="55" t="s">
        <v>150</v>
      </c>
      <c r="O3115" s="55" t="s">
        <v>190</v>
      </c>
      <c r="P3115" s="55" t="s">
        <v>897</v>
      </c>
      <c r="Q3115" s="55" t="s">
        <v>350</v>
      </c>
      <c r="R3115" s="55">
        <v>7</v>
      </c>
      <c r="S3115" s="55"/>
      <c r="T3115" s="55" t="s">
        <v>450</v>
      </c>
      <c r="U3115" s="73" t="s">
        <v>351</v>
      </c>
      <c r="V3115" s="74">
        <v>44439</v>
      </c>
      <c r="W3115" s="74">
        <v>44490</v>
      </c>
      <c r="X3115" s="55">
        <v>10185743</v>
      </c>
      <c r="Y3115" s="55" t="s">
        <v>130</v>
      </c>
      <c r="AB3115" s="55" t="s">
        <v>130</v>
      </c>
      <c r="AC3115" s="55" t="s">
        <v>130</v>
      </c>
    </row>
    <row r="3116" spans="1:29" ht="13" x14ac:dyDescent="0.15">
      <c r="A3116" s="72" t="str">
        <f t="shared" si="48"/>
        <v>Ofsted Social Care Provider Webpage</v>
      </c>
      <c r="B3116" s="55" t="s">
        <v>5857</v>
      </c>
      <c r="D3116" s="55" t="s">
        <v>373</v>
      </c>
      <c r="E3116" s="74">
        <v>41197</v>
      </c>
      <c r="F3116" s="55" t="s">
        <v>344</v>
      </c>
      <c r="G3116" s="55" t="s">
        <v>360</v>
      </c>
      <c r="H3116" s="55" t="s">
        <v>360</v>
      </c>
      <c r="I3116" s="55" t="s">
        <v>360</v>
      </c>
      <c r="J3116" s="55" t="s">
        <v>360</v>
      </c>
      <c r="K3116" s="55" t="s">
        <v>360</v>
      </c>
      <c r="L3116" s="55" t="s">
        <v>360</v>
      </c>
      <c r="M3116" s="55" t="s">
        <v>172</v>
      </c>
      <c r="N3116" s="55" t="s">
        <v>172</v>
      </c>
      <c r="O3116" s="55" t="s">
        <v>234</v>
      </c>
      <c r="P3116" s="55" t="s">
        <v>369</v>
      </c>
      <c r="Q3116" s="55" t="s">
        <v>350</v>
      </c>
      <c r="R3116" s="55">
        <v>3</v>
      </c>
      <c r="S3116" s="55"/>
      <c r="T3116" s="55" t="s">
        <v>668</v>
      </c>
      <c r="U3116" s="73" t="s">
        <v>351</v>
      </c>
      <c r="V3116" s="74">
        <v>44516</v>
      </c>
      <c r="W3116" s="74">
        <v>44559</v>
      </c>
      <c r="X3116" s="55">
        <v>10186502</v>
      </c>
      <c r="Y3116" s="55" t="s">
        <v>132</v>
      </c>
      <c r="AB3116" s="55" t="s">
        <v>132</v>
      </c>
      <c r="AC3116" s="55" t="s">
        <v>132</v>
      </c>
    </row>
    <row r="3117" spans="1:29" ht="13" x14ac:dyDescent="0.15">
      <c r="A3117" s="72" t="str">
        <f t="shared" si="48"/>
        <v>Ofsted Social Care Provider Webpage</v>
      </c>
      <c r="B3117" s="55" t="s">
        <v>5858</v>
      </c>
      <c r="D3117" s="55" t="s">
        <v>373</v>
      </c>
      <c r="E3117" s="74">
        <v>41122</v>
      </c>
      <c r="F3117" s="55" t="s">
        <v>344</v>
      </c>
      <c r="G3117" s="55" t="s">
        <v>360</v>
      </c>
      <c r="H3117" s="55" t="s">
        <v>360</v>
      </c>
      <c r="I3117" s="55" t="s">
        <v>360</v>
      </c>
      <c r="J3117" s="55" t="s">
        <v>360</v>
      </c>
      <c r="K3117" s="55" t="s">
        <v>360</v>
      </c>
      <c r="L3117" s="55" t="s">
        <v>360</v>
      </c>
      <c r="M3117" s="55" t="s">
        <v>138</v>
      </c>
      <c r="N3117" s="55" t="s">
        <v>138</v>
      </c>
      <c r="O3117" s="55" t="s">
        <v>224</v>
      </c>
      <c r="P3117" s="55" t="s">
        <v>2271</v>
      </c>
      <c r="Q3117" s="55" t="s">
        <v>380</v>
      </c>
      <c r="R3117" s="55">
        <v>6</v>
      </c>
      <c r="S3117" s="55"/>
      <c r="T3117" s="55" t="s">
        <v>2272</v>
      </c>
      <c r="U3117" s="73" t="s">
        <v>351</v>
      </c>
      <c r="V3117" s="74">
        <v>44404</v>
      </c>
      <c r="W3117" s="74">
        <v>44434</v>
      </c>
      <c r="X3117" s="55">
        <v>10187268</v>
      </c>
      <c r="Y3117" s="55" t="s">
        <v>130</v>
      </c>
      <c r="AB3117" s="55" t="s">
        <v>130</v>
      </c>
      <c r="AC3117" s="55" t="s">
        <v>130</v>
      </c>
    </row>
    <row r="3118" spans="1:29" ht="13" x14ac:dyDescent="0.15">
      <c r="A3118" s="72" t="str">
        <f t="shared" si="48"/>
        <v>Ofsted Social Care Provider Webpage</v>
      </c>
      <c r="B3118" s="55" t="s">
        <v>5859</v>
      </c>
      <c r="D3118" s="55" t="s">
        <v>389</v>
      </c>
      <c r="E3118" s="74">
        <v>41201</v>
      </c>
      <c r="F3118" s="55" t="s">
        <v>344</v>
      </c>
      <c r="G3118" s="55" t="s">
        <v>5860</v>
      </c>
      <c r="H3118" s="55" t="s">
        <v>5861</v>
      </c>
      <c r="I3118" s="55" t="s">
        <v>5862</v>
      </c>
      <c r="J3118" s="55" t="s">
        <v>1060</v>
      </c>
      <c r="K3118" s="55" t="s">
        <v>293</v>
      </c>
      <c r="L3118" s="55" t="s">
        <v>5863</v>
      </c>
      <c r="M3118" s="55" t="s">
        <v>142</v>
      </c>
      <c r="N3118" s="55" t="s">
        <v>142</v>
      </c>
      <c r="O3118" s="55" t="s">
        <v>293</v>
      </c>
      <c r="P3118" s="55" t="s">
        <v>1060</v>
      </c>
      <c r="Q3118" s="55" t="s">
        <v>350</v>
      </c>
      <c r="R3118" s="55"/>
      <c r="S3118" s="55"/>
      <c r="T3118" s="55" t="s">
        <v>4591</v>
      </c>
      <c r="U3118" s="73" t="s">
        <v>351</v>
      </c>
      <c r="V3118" s="74">
        <v>44522</v>
      </c>
      <c r="W3118" s="74">
        <v>44573</v>
      </c>
      <c r="X3118" s="55">
        <v>10183438</v>
      </c>
      <c r="Y3118" s="55" t="s">
        <v>132</v>
      </c>
      <c r="AB3118" s="55" t="s">
        <v>132</v>
      </c>
      <c r="AC3118" s="55" t="s">
        <v>132</v>
      </c>
    </row>
    <row r="3119" spans="1:29" ht="13" x14ac:dyDescent="0.15">
      <c r="A3119" s="72" t="str">
        <f t="shared" si="48"/>
        <v>Ofsted Social Care Provider Webpage</v>
      </c>
      <c r="B3119" s="55" t="s">
        <v>5864</v>
      </c>
      <c r="D3119" s="55" t="s">
        <v>373</v>
      </c>
      <c r="E3119" s="74">
        <v>41134</v>
      </c>
      <c r="F3119" s="55" t="s">
        <v>344</v>
      </c>
      <c r="G3119" s="55" t="s">
        <v>360</v>
      </c>
      <c r="H3119" s="55" t="s">
        <v>360</v>
      </c>
      <c r="I3119" s="55" t="s">
        <v>360</v>
      </c>
      <c r="J3119" s="55" t="s">
        <v>360</v>
      </c>
      <c r="K3119" s="55" t="s">
        <v>360</v>
      </c>
      <c r="L3119" s="55" t="s">
        <v>360</v>
      </c>
      <c r="M3119" s="55" t="s">
        <v>378</v>
      </c>
      <c r="N3119" s="55" t="s">
        <v>134</v>
      </c>
      <c r="O3119" s="55" t="s">
        <v>158</v>
      </c>
      <c r="P3119" s="55" t="s">
        <v>912</v>
      </c>
      <c r="Q3119" s="55" t="s">
        <v>350</v>
      </c>
      <c r="R3119" s="55">
        <v>2</v>
      </c>
      <c r="S3119" s="55"/>
      <c r="T3119" s="55" t="s">
        <v>711</v>
      </c>
      <c r="U3119" s="73" t="s">
        <v>351</v>
      </c>
      <c r="V3119" s="74">
        <v>44461</v>
      </c>
      <c r="W3119" s="74">
        <v>44497</v>
      </c>
      <c r="X3119" s="55">
        <v>10186249</v>
      </c>
      <c r="Y3119" s="55" t="s">
        <v>132</v>
      </c>
      <c r="AB3119" s="55" t="s">
        <v>132</v>
      </c>
      <c r="AC3119" s="55" t="s">
        <v>132</v>
      </c>
    </row>
    <row r="3120" spans="1:29" ht="13" x14ac:dyDescent="0.15">
      <c r="A3120" s="72" t="str">
        <f t="shared" si="48"/>
        <v>Ofsted Social Care Provider Webpage</v>
      </c>
      <c r="B3120" s="55" t="s">
        <v>5865</v>
      </c>
      <c r="D3120" s="55" t="s">
        <v>389</v>
      </c>
      <c r="E3120" s="74">
        <v>41121</v>
      </c>
      <c r="F3120" s="55" t="s">
        <v>344</v>
      </c>
      <c r="G3120" s="55" t="s">
        <v>5866</v>
      </c>
      <c r="H3120" s="55" t="s">
        <v>5867</v>
      </c>
      <c r="I3120" s="55" t="s">
        <v>5868</v>
      </c>
      <c r="J3120" s="55" t="s">
        <v>3540</v>
      </c>
      <c r="L3120" s="55" t="s">
        <v>5869</v>
      </c>
      <c r="M3120" s="55" t="s">
        <v>144</v>
      </c>
      <c r="N3120" s="55" t="s">
        <v>144</v>
      </c>
      <c r="O3120" s="55" t="s">
        <v>209</v>
      </c>
      <c r="P3120" s="55" t="s">
        <v>534</v>
      </c>
      <c r="Q3120" s="55" t="s">
        <v>350</v>
      </c>
      <c r="R3120" s="55"/>
      <c r="S3120" s="55"/>
      <c r="T3120" s="55" t="s">
        <v>5870</v>
      </c>
      <c r="U3120" s="73" t="s">
        <v>351</v>
      </c>
      <c r="V3120" s="74">
        <v>43360</v>
      </c>
      <c r="W3120" s="74">
        <v>43385</v>
      </c>
      <c r="X3120" s="55">
        <v>10046844</v>
      </c>
      <c r="Y3120" s="55" t="s">
        <v>132</v>
      </c>
      <c r="AB3120" s="55" t="s">
        <v>130</v>
      </c>
      <c r="AC3120" s="55" t="s">
        <v>132</v>
      </c>
    </row>
    <row r="3121" spans="1:29" ht="13" x14ac:dyDescent="0.15">
      <c r="A3121" s="72" t="str">
        <f t="shared" si="48"/>
        <v>Ofsted Social Care Provider Webpage</v>
      </c>
      <c r="B3121" s="55" t="s">
        <v>5871</v>
      </c>
      <c r="D3121" s="55" t="s">
        <v>373</v>
      </c>
      <c r="E3121" s="74">
        <v>41103</v>
      </c>
      <c r="F3121" s="55" t="s">
        <v>344</v>
      </c>
      <c r="G3121" s="55" t="s">
        <v>360</v>
      </c>
      <c r="H3121" s="55" t="s">
        <v>360</v>
      </c>
      <c r="I3121" s="55" t="s">
        <v>360</v>
      </c>
      <c r="J3121" s="55" t="s">
        <v>360</v>
      </c>
      <c r="K3121" s="55" t="s">
        <v>360</v>
      </c>
      <c r="L3121" s="55" t="s">
        <v>360</v>
      </c>
      <c r="M3121" s="55" t="s">
        <v>142</v>
      </c>
      <c r="N3121" s="55" t="s">
        <v>142</v>
      </c>
      <c r="O3121" s="55" t="s">
        <v>177</v>
      </c>
      <c r="P3121" s="55" t="s">
        <v>5872</v>
      </c>
      <c r="Q3121" s="55" t="s">
        <v>350</v>
      </c>
      <c r="R3121" s="55">
        <v>6</v>
      </c>
      <c r="S3121" s="55"/>
      <c r="T3121" s="55" t="s">
        <v>385</v>
      </c>
      <c r="U3121" s="73" t="s">
        <v>351</v>
      </c>
      <c r="V3121" s="74">
        <v>44573</v>
      </c>
      <c r="W3121" s="74">
        <v>44616</v>
      </c>
      <c r="X3121" s="55">
        <v>10185728</v>
      </c>
      <c r="Y3121" s="55" t="s">
        <v>130</v>
      </c>
      <c r="AB3121" s="55" t="s">
        <v>130</v>
      </c>
      <c r="AC3121" s="55" t="s">
        <v>146</v>
      </c>
    </row>
    <row r="3122" spans="1:29" ht="13" x14ac:dyDescent="0.15">
      <c r="A3122" s="72" t="str">
        <f t="shared" si="48"/>
        <v>Ofsted Social Care Provider Webpage</v>
      </c>
      <c r="B3122" s="55" t="s">
        <v>5873</v>
      </c>
      <c r="D3122" s="55" t="s">
        <v>373</v>
      </c>
      <c r="E3122" s="74">
        <v>41138</v>
      </c>
      <c r="F3122" s="55" t="s">
        <v>344</v>
      </c>
      <c r="G3122" s="55" t="s">
        <v>360</v>
      </c>
      <c r="H3122" s="55" t="s">
        <v>360</v>
      </c>
      <c r="I3122" s="55" t="s">
        <v>360</v>
      </c>
      <c r="J3122" s="55" t="s">
        <v>360</v>
      </c>
      <c r="K3122" s="55" t="s">
        <v>360</v>
      </c>
      <c r="L3122" s="55" t="s">
        <v>360</v>
      </c>
      <c r="M3122" s="55" t="s">
        <v>138</v>
      </c>
      <c r="N3122" s="55" t="s">
        <v>138</v>
      </c>
      <c r="O3122" s="55" t="s">
        <v>224</v>
      </c>
      <c r="P3122" s="55" t="s">
        <v>374</v>
      </c>
      <c r="Q3122" s="55" t="s">
        <v>350</v>
      </c>
      <c r="R3122" s="55">
        <v>4</v>
      </c>
      <c r="S3122" s="55"/>
      <c r="T3122" s="55" t="s">
        <v>791</v>
      </c>
      <c r="U3122" s="73" t="s">
        <v>351</v>
      </c>
      <c r="V3122" s="74">
        <v>44355</v>
      </c>
      <c r="W3122" s="74">
        <v>44384</v>
      </c>
      <c r="X3122" s="55">
        <v>10186992</v>
      </c>
      <c r="Y3122" s="55" t="s">
        <v>132</v>
      </c>
      <c r="AB3122" s="55" t="s">
        <v>132</v>
      </c>
      <c r="AC3122" s="55" t="s">
        <v>132</v>
      </c>
    </row>
    <row r="3123" spans="1:29" ht="13" x14ac:dyDescent="0.15">
      <c r="A3123" s="72" t="str">
        <f t="shared" si="48"/>
        <v>Ofsted Social Care Provider Webpage</v>
      </c>
      <c r="B3123" s="55" t="s">
        <v>5874</v>
      </c>
      <c r="D3123" s="55" t="s">
        <v>389</v>
      </c>
      <c r="E3123" s="74">
        <v>41122</v>
      </c>
      <c r="F3123" s="55" t="s">
        <v>344</v>
      </c>
      <c r="G3123" s="55" t="s">
        <v>5875</v>
      </c>
      <c r="H3123" s="55" t="s">
        <v>5876</v>
      </c>
      <c r="I3123" s="55" t="s">
        <v>5877</v>
      </c>
      <c r="J3123" s="55" t="s">
        <v>254</v>
      </c>
      <c r="L3123" s="55" t="s">
        <v>5878</v>
      </c>
      <c r="M3123" s="55" t="s">
        <v>142</v>
      </c>
      <c r="N3123" s="55" t="s">
        <v>142</v>
      </c>
      <c r="O3123" s="55" t="s">
        <v>254</v>
      </c>
      <c r="P3123" s="55" t="s">
        <v>1048</v>
      </c>
      <c r="Q3123" s="55" t="s">
        <v>350</v>
      </c>
      <c r="R3123" s="55"/>
      <c r="S3123" s="55"/>
      <c r="T3123" s="55" t="s">
        <v>5879</v>
      </c>
      <c r="U3123" s="73" t="s">
        <v>351</v>
      </c>
      <c r="V3123" s="74">
        <v>44599</v>
      </c>
      <c r="W3123" s="74">
        <v>44644</v>
      </c>
      <c r="X3123" s="55">
        <v>10183437</v>
      </c>
      <c r="Y3123" s="55" t="s">
        <v>140</v>
      </c>
      <c r="AB3123" s="55" t="s">
        <v>132</v>
      </c>
      <c r="AC3123" s="55" t="s">
        <v>140</v>
      </c>
    </row>
    <row r="3124" spans="1:29" ht="13" x14ac:dyDescent="0.15">
      <c r="A3124" s="72" t="str">
        <f t="shared" si="48"/>
        <v>Ofsted Social Care Provider Webpage</v>
      </c>
      <c r="B3124" s="55" t="s">
        <v>5880</v>
      </c>
      <c r="D3124" s="55" t="s">
        <v>373</v>
      </c>
      <c r="E3124" s="74">
        <v>41239</v>
      </c>
      <c r="F3124" s="55" t="s">
        <v>344</v>
      </c>
      <c r="G3124" s="55" t="s">
        <v>360</v>
      </c>
      <c r="H3124" s="55" t="s">
        <v>360</v>
      </c>
      <c r="I3124" s="55" t="s">
        <v>360</v>
      </c>
      <c r="J3124" s="55" t="s">
        <v>360</v>
      </c>
      <c r="K3124" s="55" t="s">
        <v>360</v>
      </c>
      <c r="L3124" s="55" t="s">
        <v>360</v>
      </c>
      <c r="M3124" s="55" t="s">
        <v>144</v>
      </c>
      <c r="N3124" s="55" t="s">
        <v>144</v>
      </c>
      <c r="O3124" s="55" t="s">
        <v>217</v>
      </c>
      <c r="P3124" s="55" t="s">
        <v>903</v>
      </c>
      <c r="Q3124" s="55" t="s">
        <v>350</v>
      </c>
      <c r="R3124" s="55">
        <v>2</v>
      </c>
      <c r="S3124" s="55"/>
      <c r="T3124" s="55" t="s">
        <v>385</v>
      </c>
      <c r="U3124" s="73" t="s">
        <v>351</v>
      </c>
      <c r="V3124" s="74">
        <v>44628</v>
      </c>
      <c r="W3124" s="74">
        <v>44665</v>
      </c>
      <c r="X3124" s="55">
        <v>10185309</v>
      </c>
      <c r="Y3124" s="55" t="s">
        <v>132</v>
      </c>
      <c r="AB3124" s="55" t="s">
        <v>132</v>
      </c>
      <c r="AC3124" s="55" t="s">
        <v>132</v>
      </c>
    </row>
    <row r="3125" spans="1:29" ht="13" x14ac:dyDescent="0.15">
      <c r="A3125" s="72" t="str">
        <f t="shared" si="48"/>
        <v>Ofsted Social Care Provider Webpage</v>
      </c>
      <c r="B3125" s="55" t="s">
        <v>5881</v>
      </c>
      <c r="D3125" s="55" t="s">
        <v>389</v>
      </c>
      <c r="E3125" s="74">
        <v>41199</v>
      </c>
      <c r="F3125" s="55" t="s">
        <v>344</v>
      </c>
      <c r="G3125" s="55" t="s">
        <v>5882</v>
      </c>
      <c r="H3125" s="55" t="s">
        <v>5883</v>
      </c>
      <c r="I3125" s="55" t="s">
        <v>5884</v>
      </c>
      <c r="J3125" s="55" t="s">
        <v>5885</v>
      </c>
      <c r="K3125" s="55" t="s">
        <v>129</v>
      </c>
      <c r="L3125" s="55" t="s">
        <v>5886</v>
      </c>
      <c r="M3125" s="55" t="s">
        <v>129</v>
      </c>
      <c r="N3125" s="55" t="s">
        <v>129</v>
      </c>
      <c r="O3125" s="55" t="s">
        <v>152</v>
      </c>
      <c r="P3125" s="55" t="s">
        <v>1994</v>
      </c>
      <c r="Q3125" s="55" t="s">
        <v>350</v>
      </c>
      <c r="R3125" s="55"/>
      <c r="S3125" s="55"/>
      <c r="T3125" s="55" t="s">
        <v>5887</v>
      </c>
      <c r="U3125" s="73" t="s">
        <v>351</v>
      </c>
      <c r="V3125" s="74">
        <v>44459</v>
      </c>
      <c r="W3125" s="74">
        <v>44501</v>
      </c>
      <c r="X3125" s="55">
        <v>10183263</v>
      </c>
      <c r="Y3125" s="55" t="s">
        <v>132</v>
      </c>
      <c r="AB3125" s="55" t="s">
        <v>132</v>
      </c>
      <c r="AC3125" s="55" t="s">
        <v>132</v>
      </c>
    </row>
    <row r="3126" spans="1:29" ht="13" x14ac:dyDescent="0.15">
      <c r="A3126" s="72" t="str">
        <f t="shared" si="48"/>
        <v>Ofsted Social Care Provider Webpage</v>
      </c>
      <c r="B3126" s="55" t="s">
        <v>5888</v>
      </c>
      <c r="D3126" s="55" t="s">
        <v>373</v>
      </c>
      <c r="E3126" s="74">
        <v>41246</v>
      </c>
      <c r="F3126" s="55" t="s">
        <v>344</v>
      </c>
      <c r="G3126" s="55" t="s">
        <v>360</v>
      </c>
      <c r="H3126" s="55" t="s">
        <v>360</v>
      </c>
      <c r="I3126" s="55" t="s">
        <v>360</v>
      </c>
      <c r="J3126" s="55" t="s">
        <v>360</v>
      </c>
      <c r="K3126" s="55" t="s">
        <v>360</v>
      </c>
      <c r="L3126" s="55" t="s">
        <v>360</v>
      </c>
      <c r="M3126" s="55" t="s">
        <v>138</v>
      </c>
      <c r="N3126" s="55" t="s">
        <v>138</v>
      </c>
      <c r="O3126" s="55" t="s">
        <v>159</v>
      </c>
      <c r="P3126" s="55" t="s">
        <v>1025</v>
      </c>
      <c r="Q3126" s="55" t="s">
        <v>350</v>
      </c>
      <c r="R3126" s="55">
        <v>3</v>
      </c>
      <c r="S3126" s="55"/>
      <c r="T3126" s="55" t="s">
        <v>1079</v>
      </c>
      <c r="U3126" s="73" t="s">
        <v>351</v>
      </c>
      <c r="V3126" s="74">
        <v>44397</v>
      </c>
      <c r="W3126" s="74">
        <v>44427</v>
      </c>
      <c r="X3126" s="55">
        <v>10187058</v>
      </c>
      <c r="Y3126" s="55" t="s">
        <v>132</v>
      </c>
      <c r="AB3126" s="55" t="s">
        <v>132</v>
      </c>
      <c r="AC3126" s="55" t="s">
        <v>132</v>
      </c>
    </row>
    <row r="3127" spans="1:29" ht="13" x14ac:dyDescent="0.15">
      <c r="A3127" s="72" t="str">
        <f t="shared" si="48"/>
        <v>Ofsted Social Care Provider Webpage</v>
      </c>
      <c r="B3127" s="55" t="s">
        <v>5889</v>
      </c>
      <c r="D3127" s="55" t="s">
        <v>479</v>
      </c>
      <c r="E3127" s="74">
        <v>41180</v>
      </c>
      <c r="F3127" s="55" t="s">
        <v>344</v>
      </c>
      <c r="G3127" s="55" t="s">
        <v>360</v>
      </c>
      <c r="H3127" s="55" t="s">
        <v>360</v>
      </c>
      <c r="I3127" s="55" t="s">
        <v>360</v>
      </c>
      <c r="J3127" s="55" t="s">
        <v>360</v>
      </c>
      <c r="K3127" s="55" t="s">
        <v>360</v>
      </c>
      <c r="L3127" s="55" t="s">
        <v>360</v>
      </c>
      <c r="M3127" s="55" t="s">
        <v>138</v>
      </c>
      <c r="N3127" s="55" t="s">
        <v>138</v>
      </c>
      <c r="O3127" s="55" t="s">
        <v>224</v>
      </c>
      <c r="P3127" s="55" t="s">
        <v>1675</v>
      </c>
      <c r="Q3127" s="55" t="s">
        <v>350</v>
      </c>
      <c r="R3127" s="55">
        <v>8</v>
      </c>
      <c r="S3127" s="55"/>
      <c r="T3127" s="55" t="s">
        <v>5890</v>
      </c>
      <c r="U3127" s="73" t="s">
        <v>351</v>
      </c>
      <c r="V3127" s="74">
        <v>44537</v>
      </c>
      <c r="W3127" s="74">
        <v>44582</v>
      </c>
      <c r="X3127" s="55">
        <v>10187432</v>
      </c>
      <c r="Y3127" s="55" t="s">
        <v>132</v>
      </c>
      <c r="AB3127" s="55" t="s">
        <v>132</v>
      </c>
      <c r="AC3127" s="55" t="s">
        <v>132</v>
      </c>
    </row>
    <row r="3128" spans="1:29" ht="13" x14ac:dyDescent="0.15">
      <c r="A3128" s="72" t="str">
        <f t="shared" si="48"/>
        <v>Ofsted Social Care Provider Webpage</v>
      </c>
      <c r="B3128" s="55" t="s">
        <v>5891</v>
      </c>
      <c r="D3128" s="55" t="s">
        <v>373</v>
      </c>
      <c r="E3128" s="74">
        <v>41181</v>
      </c>
      <c r="F3128" s="55" t="s">
        <v>344</v>
      </c>
      <c r="G3128" s="55" t="s">
        <v>360</v>
      </c>
      <c r="H3128" s="55" t="s">
        <v>360</v>
      </c>
      <c r="I3128" s="55" t="s">
        <v>360</v>
      </c>
      <c r="J3128" s="55" t="s">
        <v>360</v>
      </c>
      <c r="K3128" s="55" t="s">
        <v>360</v>
      </c>
      <c r="L3128" s="55" t="s">
        <v>360</v>
      </c>
      <c r="M3128" s="55" t="s">
        <v>136</v>
      </c>
      <c r="N3128" s="55" t="s">
        <v>136</v>
      </c>
      <c r="O3128" s="55" t="s">
        <v>256</v>
      </c>
      <c r="P3128" s="55" t="s">
        <v>5892</v>
      </c>
      <c r="Q3128" s="55" t="s">
        <v>350</v>
      </c>
      <c r="R3128" s="55">
        <v>3</v>
      </c>
      <c r="S3128" s="55"/>
      <c r="T3128" s="55" t="s">
        <v>1219</v>
      </c>
      <c r="U3128" s="73" t="s">
        <v>351</v>
      </c>
      <c r="V3128" s="74">
        <v>44418</v>
      </c>
      <c r="W3128" s="74">
        <v>44463</v>
      </c>
      <c r="X3128" s="55">
        <v>10186067</v>
      </c>
      <c r="Y3128" s="55" t="s">
        <v>132</v>
      </c>
      <c r="AB3128" s="55" t="s">
        <v>132</v>
      </c>
      <c r="AC3128" s="55" t="s">
        <v>132</v>
      </c>
    </row>
    <row r="3129" spans="1:29" ht="13" x14ac:dyDescent="0.15">
      <c r="A3129" s="72" t="str">
        <f t="shared" si="48"/>
        <v>Ofsted Social Care Provider Webpage</v>
      </c>
      <c r="B3129" s="55" t="s">
        <v>5893</v>
      </c>
      <c r="D3129" s="55" t="s">
        <v>451</v>
      </c>
      <c r="E3129" s="74">
        <v>41201</v>
      </c>
      <c r="F3129" s="55" t="s">
        <v>344</v>
      </c>
      <c r="G3129" s="55" t="s">
        <v>5894</v>
      </c>
      <c r="H3129" s="55" t="s">
        <v>5895</v>
      </c>
      <c r="I3129" s="55" t="s">
        <v>354</v>
      </c>
      <c r="J3129" s="55" t="s">
        <v>5896</v>
      </c>
      <c r="K3129" s="55" t="s">
        <v>183</v>
      </c>
      <c r="L3129" s="55" t="s">
        <v>5897</v>
      </c>
      <c r="M3129" s="55" t="s">
        <v>129</v>
      </c>
      <c r="N3129" s="55" t="s">
        <v>129</v>
      </c>
      <c r="O3129" s="55" t="s">
        <v>242</v>
      </c>
      <c r="P3129" s="55" t="s">
        <v>1519</v>
      </c>
      <c r="Q3129" s="55" t="s">
        <v>350</v>
      </c>
      <c r="R3129" s="55">
        <v>2</v>
      </c>
      <c r="S3129" s="55"/>
      <c r="T3129" s="55" t="s">
        <v>1022</v>
      </c>
      <c r="U3129" s="73" t="s">
        <v>351</v>
      </c>
      <c r="V3129" s="74">
        <v>43656</v>
      </c>
      <c r="W3129" s="74">
        <v>43677</v>
      </c>
      <c r="X3129" s="55">
        <v>10092987</v>
      </c>
      <c r="Y3129" s="55" t="s">
        <v>132</v>
      </c>
      <c r="AB3129" s="55" t="s">
        <v>132</v>
      </c>
      <c r="AC3129" s="55" t="s">
        <v>132</v>
      </c>
    </row>
    <row r="3130" spans="1:29" ht="13" x14ac:dyDescent="0.15">
      <c r="A3130" s="72" t="str">
        <f t="shared" si="48"/>
        <v>Ofsted Social Care Provider Webpage</v>
      </c>
      <c r="B3130" s="55" t="s">
        <v>5898</v>
      </c>
      <c r="D3130" s="55" t="s">
        <v>389</v>
      </c>
      <c r="E3130" s="74">
        <v>41240</v>
      </c>
      <c r="F3130" s="55" t="s">
        <v>344</v>
      </c>
      <c r="G3130" s="55" t="s">
        <v>5899</v>
      </c>
      <c r="H3130" s="55" t="s">
        <v>5900</v>
      </c>
      <c r="I3130" s="55" t="s">
        <v>5901</v>
      </c>
      <c r="J3130" s="55" t="s">
        <v>129</v>
      </c>
      <c r="L3130" s="55" t="s">
        <v>5902</v>
      </c>
      <c r="M3130" s="55" t="s">
        <v>129</v>
      </c>
      <c r="N3130" s="55" t="s">
        <v>129</v>
      </c>
      <c r="O3130" s="55" t="s">
        <v>223</v>
      </c>
      <c r="P3130" s="55" t="s">
        <v>712</v>
      </c>
      <c r="Q3130" s="55" t="s">
        <v>350</v>
      </c>
      <c r="R3130" s="55"/>
      <c r="S3130" s="55"/>
      <c r="T3130" s="55" t="s">
        <v>5903</v>
      </c>
      <c r="U3130" s="73" t="s">
        <v>351</v>
      </c>
      <c r="V3130" s="74">
        <v>43059</v>
      </c>
      <c r="W3130" s="74">
        <v>43098</v>
      </c>
      <c r="X3130" s="55">
        <v>10030562</v>
      </c>
      <c r="Y3130" s="55" t="s">
        <v>132</v>
      </c>
      <c r="AB3130" s="55" t="s">
        <v>132</v>
      </c>
      <c r="AC3130" s="55" t="s">
        <v>132</v>
      </c>
    </row>
    <row r="3131" spans="1:29" ht="13" x14ac:dyDescent="0.15">
      <c r="A3131" s="72" t="str">
        <f t="shared" si="48"/>
        <v>Ofsted Social Care Provider Webpage</v>
      </c>
      <c r="B3131" s="55" t="s">
        <v>5904</v>
      </c>
      <c r="D3131" s="55" t="s">
        <v>389</v>
      </c>
      <c r="E3131" s="74">
        <v>41222</v>
      </c>
      <c r="F3131" s="55" t="s">
        <v>344</v>
      </c>
      <c r="G3131" s="55" t="s">
        <v>5905</v>
      </c>
      <c r="H3131" s="55" t="s">
        <v>5906</v>
      </c>
      <c r="I3131" s="55" t="s">
        <v>5907</v>
      </c>
      <c r="J3131" s="55" t="s">
        <v>5783</v>
      </c>
      <c r="L3131" s="55" t="s">
        <v>5908</v>
      </c>
      <c r="M3131" s="55" t="s">
        <v>142</v>
      </c>
      <c r="N3131" s="55" t="s">
        <v>142</v>
      </c>
      <c r="O3131" s="55" t="s">
        <v>293</v>
      </c>
      <c r="P3131" s="55" t="s">
        <v>1136</v>
      </c>
      <c r="Q3131" s="55" t="s">
        <v>362</v>
      </c>
      <c r="R3131" s="55"/>
      <c r="S3131" s="55"/>
      <c r="T3131" s="55" t="s">
        <v>5909</v>
      </c>
      <c r="U3131" s="73" t="s">
        <v>351</v>
      </c>
      <c r="V3131" s="74">
        <v>44508</v>
      </c>
      <c r="W3131" s="74">
        <v>44547</v>
      </c>
      <c r="X3131" s="55">
        <v>10183429</v>
      </c>
      <c r="Y3131" s="55" t="s">
        <v>140</v>
      </c>
      <c r="AB3131" s="55" t="s">
        <v>132</v>
      </c>
      <c r="AC3131" s="55" t="s">
        <v>140</v>
      </c>
    </row>
    <row r="3132" spans="1:29" ht="13" x14ac:dyDescent="0.15">
      <c r="A3132" s="72" t="str">
        <f t="shared" si="48"/>
        <v>Ofsted Social Care Provider Webpage</v>
      </c>
      <c r="B3132" s="55" t="s">
        <v>5910</v>
      </c>
      <c r="D3132" s="55" t="s">
        <v>373</v>
      </c>
      <c r="E3132" s="74">
        <v>41388</v>
      </c>
      <c r="F3132" s="55" t="s">
        <v>344</v>
      </c>
      <c r="G3132" s="55" t="s">
        <v>360</v>
      </c>
      <c r="H3132" s="55" t="s">
        <v>360</v>
      </c>
      <c r="I3132" s="55" t="s">
        <v>360</v>
      </c>
      <c r="J3132" s="55" t="s">
        <v>360</v>
      </c>
      <c r="K3132" s="55" t="s">
        <v>360</v>
      </c>
      <c r="L3132" s="55" t="s">
        <v>360</v>
      </c>
      <c r="M3132" s="55" t="s">
        <v>378</v>
      </c>
      <c r="N3132" s="55" t="s">
        <v>170</v>
      </c>
      <c r="O3132" s="55" t="s">
        <v>178</v>
      </c>
      <c r="P3132" s="55" t="s">
        <v>1450</v>
      </c>
      <c r="Q3132" s="55" t="s">
        <v>350</v>
      </c>
      <c r="R3132" s="55">
        <v>4</v>
      </c>
      <c r="S3132" s="55"/>
      <c r="T3132" s="55" t="s">
        <v>1236</v>
      </c>
      <c r="U3132" s="73" t="s">
        <v>351</v>
      </c>
      <c r="V3132" s="74">
        <v>44418</v>
      </c>
      <c r="W3132" s="74">
        <v>44452</v>
      </c>
      <c r="X3132" s="55">
        <v>10185695</v>
      </c>
      <c r="Y3132" s="55" t="s">
        <v>130</v>
      </c>
      <c r="AB3132" s="55" t="s">
        <v>130</v>
      </c>
      <c r="AC3132" s="55" t="s">
        <v>130</v>
      </c>
    </row>
    <row r="3133" spans="1:29" ht="13" x14ac:dyDescent="0.15">
      <c r="A3133" s="72" t="str">
        <f t="shared" si="48"/>
        <v>Ofsted Social Care Provider Webpage</v>
      </c>
      <c r="B3133" s="55" t="s">
        <v>5911</v>
      </c>
      <c r="D3133" s="55" t="s">
        <v>373</v>
      </c>
      <c r="E3133" s="74">
        <v>41215</v>
      </c>
      <c r="F3133" s="55" t="s">
        <v>344</v>
      </c>
      <c r="G3133" s="55" t="s">
        <v>360</v>
      </c>
      <c r="H3133" s="55" t="s">
        <v>360</v>
      </c>
      <c r="I3133" s="55" t="s">
        <v>360</v>
      </c>
      <c r="J3133" s="55" t="s">
        <v>360</v>
      </c>
      <c r="K3133" s="55" t="s">
        <v>360</v>
      </c>
      <c r="L3133" s="55" t="s">
        <v>360</v>
      </c>
      <c r="M3133" s="55" t="s">
        <v>142</v>
      </c>
      <c r="N3133" s="55" t="s">
        <v>142</v>
      </c>
      <c r="O3133" s="55" t="s">
        <v>141</v>
      </c>
      <c r="P3133" s="55" t="s">
        <v>573</v>
      </c>
      <c r="Q3133" s="55" t="s">
        <v>350</v>
      </c>
      <c r="R3133" s="55">
        <v>4</v>
      </c>
      <c r="S3133" s="55"/>
      <c r="T3133" s="55" t="s">
        <v>1415</v>
      </c>
      <c r="U3133" s="73" t="s">
        <v>351</v>
      </c>
      <c r="V3133" s="74">
        <v>44516</v>
      </c>
      <c r="W3133" s="74">
        <v>44559</v>
      </c>
      <c r="X3133" s="55">
        <v>10206951</v>
      </c>
      <c r="Y3133" s="55" t="s">
        <v>130</v>
      </c>
      <c r="AB3133" s="55" t="s">
        <v>130</v>
      </c>
      <c r="AC3133" s="55" t="s">
        <v>146</v>
      </c>
    </row>
    <row r="3134" spans="1:29" ht="13" x14ac:dyDescent="0.15">
      <c r="A3134" s="72" t="str">
        <f t="shared" si="48"/>
        <v>Ofsted Social Care Provider Webpage</v>
      </c>
      <c r="B3134" s="55" t="s">
        <v>5912</v>
      </c>
      <c r="D3134" s="55" t="s">
        <v>373</v>
      </c>
      <c r="E3134" s="74">
        <v>41267</v>
      </c>
      <c r="F3134" s="55" t="s">
        <v>344</v>
      </c>
      <c r="G3134" s="55" t="s">
        <v>360</v>
      </c>
      <c r="H3134" s="55" t="s">
        <v>360</v>
      </c>
      <c r="I3134" s="55" t="s">
        <v>360</v>
      </c>
      <c r="J3134" s="55" t="s">
        <v>360</v>
      </c>
      <c r="K3134" s="55" t="s">
        <v>360</v>
      </c>
      <c r="L3134" s="55" t="s">
        <v>360</v>
      </c>
      <c r="M3134" s="55" t="s">
        <v>144</v>
      </c>
      <c r="N3134" s="55" t="s">
        <v>144</v>
      </c>
      <c r="O3134" s="55" t="s">
        <v>207</v>
      </c>
      <c r="P3134" s="55" t="s">
        <v>207</v>
      </c>
      <c r="Q3134" s="55" t="s">
        <v>350</v>
      </c>
      <c r="R3134" s="55">
        <v>5</v>
      </c>
      <c r="S3134" s="55"/>
      <c r="T3134" s="55" t="s">
        <v>729</v>
      </c>
      <c r="U3134" s="73" t="s">
        <v>351</v>
      </c>
      <c r="V3134" s="74">
        <v>43627</v>
      </c>
      <c r="W3134" s="74">
        <v>43648</v>
      </c>
      <c r="X3134" s="55">
        <v>10096825</v>
      </c>
      <c r="Y3134" s="55" t="s">
        <v>130</v>
      </c>
      <c r="AB3134" s="55" t="s">
        <v>130</v>
      </c>
      <c r="AC3134" s="55" t="s">
        <v>130</v>
      </c>
    </row>
    <row r="3135" spans="1:29" ht="13" x14ac:dyDescent="0.15">
      <c r="A3135" s="72" t="str">
        <f t="shared" si="48"/>
        <v>Ofsted Social Care Provider Webpage</v>
      </c>
      <c r="B3135" s="55" t="s">
        <v>5913</v>
      </c>
      <c r="D3135" s="55" t="s">
        <v>373</v>
      </c>
      <c r="E3135" s="74">
        <v>41305</v>
      </c>
      <c r="F3135" s="55" t="s">
        <v>344</v>
      </c>
      <c r="G3135" s="55" t="s">
        <v>360</v>
      </c>
      <c r="H3135" s="55" t="s">
        <v>360</v>
      </c>
      <c r="I3135" s="55" t="s">
        <v>360</v>
      </c>
      <c r="J3135" s="55" t="s">
        <v>360</v>
      </c>
      <c r="K3135" s="55" t="s">
        <v>360</v>
      </c>
      <c r="L3135" s="55" t="s">
        <v>360</v>
      </c>
      <c r="M3135" s="55" t="s">
        <v>144</v>
      </c>
      <c r="N3135" s="55" t="s">
        <v>144</v>
      </c>
      <c r="O3135" s="55" t="s">
        <v>261</v>
      </c>
      <c r="P3135" s="55" t="s">
        <v>792</v>
      </c>
      <c r="Q3135" s="55" t="s">
        <v>350</v>
      </c>
      <c r="R3135" s="55">
        <v>1</v>
      </c>
      <c r="S3135" s="55"/>
      <c r="T3135" s="55" t="s">
        <v>5480</v>
      </c>
      <c r="U3135" s="73" t="s">
        <v>351</v>
      </c>
      <c r="V3135" s="74">
        <v>44586</v>
      </c>
      <c r="W3135" s="74">
        <v>44627</v>
      </c>
      <c r="X3135" s="55">
        <v>10185782</v>
      </c>
      <c r="Y3135" s="55" t="s">
        <v>132</v>
      </c>
      <c r="AB3135" s="55" t="s">
        <v>132</v>
      </c>
      <c r="AC3135" s="55" t="s">
        <v>130</v>
      </c>
    </row>
    <row r="3136" spans="1:29" ht="13" x14ac:dyDescent="0.15">
      <c r="A3136" s="72" t="str">
        <f t="shared" si="48"/>
        <v>Ofsted Social Care Provider Webpage</v>
      </c>
      <c r="B3136" s="55" t="s">
        <v>5914</v>
      </c>
      <c r="D3136" s="55" t="s">
        <v>373</v>
      </c>
      <c r="E3136" s="74">
        <v>41256</v>
      </c>
      <c r="F3136" s="55" t="s">
        <v>344</v>
      </c>
      <c r="G3136" s="55" t="s">
        <v>360</v>
      </c>
      <c r="H3136" s="55" t="s">
        <v>360</v>
      </c>
      <c r="I3136" s="55" t="s">
        <v>360</v>
      </c>
      <c r="J3136" s="55" t="s">
        <v>360</v>
      </c>
      <c r="K3136" s="55" t="s">
        <v>360</v>
      </c>
      <c r="L3136" s="55" t="s">
        <v>360</v>
      </c>
      <c r="M3136" s="55" t="s">
        <v>378</v>
      </c>
      <c r="N3136" s="55" t="s">
        <v>170</v>
      </c>
      <c r="O3136" s="55" t="s">
        <v>220</v>
      </c>
      <c r="P3136" s="55" t="s">
        <v>1222</v>
      </c>
      <c r="Q3136" s="55" t="s">
        <v>350</v>
      </c>
      <c r="R3136" s="55">
        <v>4</v>
      </c>
      <c r="S3136" s="55"/>
      <c r="T3136" s="55" t="s">
        <v>385</v>
      </c>
      <c r="U3136" s="73" t="s">
        <v>351</v>
      </c>
      <c r="V3136" s="74">
        <v>44616</v>
      </c>
      <c r="W3136" s="74">
        <v>44658</v>
      </c>
      <c r="X3136" s="55">
        <v>10187035</v>
      </c>
      <c r="Y3136" s="55" t="s">
        <v>132</v>
      </c>
      <c r="AB3136" s="55" t="s">
        <v>132</v>
      </c>
      <c r="AC3136" s="55" t="s">
        <v>132</v>
      </c>
    </row>
    <row r="3137" spans="1:29" ht="13" x14ac:dyDescent="0.15">
      <c r="A3137" s="72" t="str">
        <f t="shared" si="48"/>
        <v>Ofsted Social Care Provider Webpage</v>
      </c>
      <c r="B3137" s="55" t="s">
        <v>5915</v>
      </c>
      <c r="D3137" s="55" t="s">
        <v>373</v>
      </c>
      <c r="E3137" s="74">
        <v>41215</v>
      </c>
      <c r="F3137" s="55" t="s">
        <v>344</v>
      </c>
      <c r="G3137" s="55" t="s">
        <v>360</v>
      </c>
      <c r="H3137" s="55" t="s">
        <v>360</v>
      </c>
      <c r="I3137" s="55" t="s">
        <v>360</v>
      </c>
      <c r="J3137" s="55" t="s">
        <v>360</v>
      </c>
      <c r="K3137" s="55" t="s">
        <v>360</v>
      </c>
      <c r="L3137" s="55" t="s">
        <v>360</v>
      </c>
      <c r="M3137" s="55" t="s">
        <v>150</v>
      </c>
      <c r="N3137" s="55" t="s">
        <v>150</v>
      </c>
      <c r="O3137" s="55" t="s">
        <v>203</v>
      </c>
      <c r="P3137" s="55" t="s">
        <v>1038</v>
      </c>
      <c r="Q3137" s="55" t="s">
        <v>362</v>
      </c>
      <c r="R3137" s="55">
        <v>8</v>
      </c>
      <c r="S3137" s="55"/>
      <c r="T3137" s="55" t="s">
        <v>1119</v>
      </c>
      <c r="U3137" s="73" t="s">
        <v>351</v>
      </c>
      <c r="V3137" s="74">
        <v>44321</v>
      </c>
      <c r="W3137" s="74">
        <v>44378</v>
      </c>
      <c r="X3137" s="55">
        <v>10185821</v>
      </c>
      <c r="Y3137" s="55" t="s">
        <v>130</v>
      </c>
      <c r="AB3137" s="55" t="s">
        <v>130</v>
      </c>
      <c r="AC3137" s="55" t="s">
        <v>130</v>
      </c>
    </row>
    <row r="3138" spans="1:29" ht="13" x14ac:dyDescent="0.15">
      <c r="A3138" s="72" t="str">
        <f t="shared" si="48"/>
        <v>Ofsted Social Care Provider Webpage</v>
      </c>
      <c r="B3138" s="55" t="s">
        <v>5916</v>
      </c>
      <c r="D3138" s="55" t="s">
        <v>373</v>
      </c>
      <c r="E3138" s="74">
        <v>41228</v>
      </c>
      <c r="F3138" s="55" t="s">
        <v>344</v>
      </c>
      <c r="G3138" s="55" t="s">
        <v>360</v>
      </c>
      <c r="H3138" s="55" t="s">
        <v>360</v>
      </c>
      <c r="I3138" s="55" t="s">
        <v>360</v>
      </c>
      <c r="J3138" s="55" t="s">
        <v>360</v>
      </c>
      <c r="K3138" s="55" t="s">
        <v>360</v>
      </c>
      <c r="L3138" s="55" t="s">
        <v>360</v>
      </c>
      <c r="M3138" s="55" t="s">
        <v>378</v>
      </c>
      <c r="N3138" s="55" t="s">
        <v>134</v>
      </c>
      <c r="O3138" s="55" t="s">
        <v>133</v>
      </c>
      <c r="P3138" s="55" t="s">
        <v>1804</v>
      </c>
      <c r="Q3138" s="55" t="s">
        <v>380</v>
      </c>
      <c r="R3138" s="55">
        <v>5</v>
      </c>
      <c r="S3138" s="55"/>
      <c r="T3138" s="55" t="s">
        <v>5555</v>
      </c>
      <c r="U3138" s="73" t="s">
        <v>351</v>
      </c>
      <c r="V3138" s="74">
        <v>44502</v>
      </c>
      <c r="W3138" s="74">
        <v>44537</v>
      </c>
      <c r="X3138" s="55">
        <v>10206921</v>
      </c>
      <c r="Y3138" s="55" t="s">
        <v>132</v>
      </c>
      <c r="AB3138" s="55" t="s">
        <v>132</v>
      </c>
      <c r="AC3138" s="55" t="s">
        <v>132</v>
      </c>
    </row>
    <row r="3139" spans="1:29" ht="13" x14ac:dyDescent="0.15">
      <c r="A3139" s="72" t="str">
        <f t="shared" si="48"/>
        <v>Ofsted Social Care Provider Webpage</v>
      </c>
      <c r="B3139" s="55" t="s">
        <v>5917</v>
      </c>
      <c r="D3139" s="55" t="s">
        <v>389</v>
      </c>
      <c r="E3139" s="74">
        <v>41298</v>
      </c>
      <c r="F3139" s="55" t="s">
        <v>344</v>
      </c>
      <c r="G3139" s="55" t="s">
        <v>5918</v>
      </c>
      <c r="H3139" s="55" t="s">
        <v>5919</v>
      </c>
      <c r="I3139" s="55" t="s">
        <v>5920</v>
      </c>
      <c r="J3139" s="55" t="s">
        <v>3559</v>
      </c>
      <c r="L3139" s="55" t="s">
        <v>5921</v>
      </c>
      <c r="M3139" s="55" t="s">
        <v>150</v>
      </c>
      <c r="N3139" s="55" t="s">
        <v>150</v>
      </c>
      <c r="O3139" s="55" t="s">
        <v>203</v>
      </c>
      <c r="P3139" s="55" t="s">
        <v>3559</v>
      </c>
      <c r="Q3139" s="55" t="s">
        <v>350</v>
      </c>
      <c r="R3139" s="55"/>
      <c r="S3139" s="55"/>
      <c r="T3139" s="55" t="s">
        <v>5922</v>
      </c>
      <c r="U3139" s="73" t="s">
        <v>351</v>
      </c>
      <c r="V3139" s="74">
        <v>43171</v>
      </c>
      <c r="W3139" s="74">
        <v>43200</v>
      </c>
      <c r="X3139" s="55">
        <v>10038146</v>
      </c>
      <c r="Y3139" s="55" t="s">
        <v>132</v>
      </c>
      <c r="AB3139" s="55" t="s">
        <v>132</v>
      </c>
      <c r="AC3139" s="55" t="s">
        <v>130</v>
      </c>
    </row>
    <row r="3140" spans="1:29" ht="13" x14ac:dyDescent="0.15">
      <c r="A3140" s="72" t="str">
        <f t="shared" si="48"/>
        <v>Ofsted Social Care Provider Webpage</v>
      </c>
      <c r="B3140" s="55" t="s">
        <v>5923</v>
      </c>
      <c r="D3140" s="55" t="s">
        <v>373</v>
      </c>
      <c r="E3140" s="74">
        <v>41225</v>
      </c>
      <c r="F3140" s="55" t="s">
        <v>344</v>
      </c>
      <c r="G3140" s="55" t="s">
        <v>360</v>
      </c>
      <c r="H3140" s="55" t="s">
        <v>360</v>
      </c>
      <c r="I3140" s="55" t="s">
        <v>360</v>
      </c>
      <c r="J3140" s="55" t="s">
        <v>360</v>
      </c>
      <c r="K3140" s="55" t="s">
        <v>360</v>
      </c>
      <c r="L3140" s="55" t="s">
        <v>360</v>
      </c>
      <c r="M3140" s="55" t="s">
        <v>142</v>
      </c>
      <c r="N3140" s="55" t="s">
        <v>142</v>
      </c>
      <c r="O3140" s="55" t="s">
        <v>252</v>
      </c>
      <c r="P3140" s="55" t="s">
        <v>386</v>
      </c>
      <c r="Q3140" s="55" t="s">
        <v>350</v>
      </c>
      <c r="R3140" s="55">
        <v>4</v>
      </c>
      <c r="S3140" s="55"/>
      <c r="T3140" s="55" t="s">
        <v>385</v>
      </c>
      <c r="U3140" s="73" t="s">
        <v>351</v>
      </c>
      <c r="V3140" s="74">
        <v>44475</v>
      </c>
      <c r="W3140" s="74">
        <v>44523</v>
      </c>
      <c r="X3140" s="55">
        <v>10186920</v>
      </c>
      <c r="Y3140" s="55" t="s">
        <v>140</v>
      </c>
      <c r="AB3140" s="55" t="s">
        <v>132</v>
      </c>
      <c r="AC3140" s="55" t="s">
        <v>140</v>
      </c>
    </row>
    <row r="3141" spans="1:29" ht="13" x14ac:dyDescent="0.15">
      <c r="A3141" s="72" t="str">
        <f t="shared" si="48"/>
        <v>Ofsted Social Care Provider Webpage</v>
      </c>
      <c r="B3141" s="55" t="s">
        <v>5924</v>
      </c>
      <c r="D3141" s="55" t="s">
        <v>373</v>
      </c>
      <c r="E3141" s="74">
        <v>41190</v>
      </c>
      <c r="F3141" s="55" t="s">
        <v>344</v>
      </c>
      <c r="G3141" s="55" t="s">
        <v>360</v>
      </c>
      <c r="H3141" s="55" t="s">
        <v>360</v>
      </c>
      <c r="I3141" s="55" t="s">
        <v>360</v>
      </c>
      <c r="J3141" s="55" t="s">
        <v>360</v>
      </c>
      <c r="K3141" s="55" t="s">
        <v>360</v>
      </c>
      <c r="L3141" s="55" t="s">
        <v>360</v>
      </c>
      <c r="M3141" s="55" t="s">
        <v>136</v>
      </c>
      <c r="N3141" s="55" t="s">
        <v>136</v>
      </c>
      <c r="O3141" s="55" t="s">
        <v>256</v>
      </c>
      <c r="P3141" s="55" t="s">
        <v>5892</v>
      </c>
      <c r="Q3141" s="55" t="s">
        <v>362</v>
      </c>
      <c r="R3141" s="55">
        <v>7</v>
      </c>
      <c r="S3141" s="55" t="s">
        <v>332</v>
      </c>
      <c r="T3141" s="55" t="s">
        <v>659</v>
      </c>
      <c r="U3141" s="73" t="s">
        <v>351</v>
      </c>
      <c r="V3141" s="74">
        <v>44327</v>
      </c>
      <c r="W3141" s="74">
        <v>44362</v>
      </c>
      <c r="X3141" s="55">
        <v>10186152</v>
      </c>
      <c r="Y3141" s="55" t="s">
        <v>132</v>
      </c>
      <c r="AB3141" s="55" t="s">
        <v>132</v>
      </c>
      <c r="AC3141" s="55" t="s">
        <v>132</v>
      </c>
    </row>
    <row r="3142" spans="1:29" ht="13" x14ac:dyDescent="0.15">
      <c r="A3142" s="72" t="str">
        <f t="shared" ref="A3142:A3205" si="49">HYPERLINK(_xlfn.CONCAT("http://reports.ofsted.gov.uk/inspection-reports/find-inspection-report/provider/CARE/",B3142),"Ofsted Social Care Provider Webpage")</f>
        <v>Ofsted Social Care Provider Webpage</v>
      </c>
      <c r="B3142" s="55" t="s">
        <v>5925</v>
      </c>
      <c r="D3142" s="55" t="s">
        <v>373</v>
      </c>
      <c r="E3142" s="74">
        <v>41235</v>
      </c>
      <c r="F3142" s="55" t="s">
        <v>344</v>
      </c>
      <c r="G3142" s="55" t="s">
        <v>360</v>
      </c>
      <c r="H3142" s="55" t="s">
        <v>360</v>
      </c>
      <c r="I3142" s="55" t="s">
        <v>360</v>
      </c>
      <c r="J3142" s="55" t="s">
        <v>360</v>
      </c>
      <c r="K3142" s="55" t="s">
        <v>360</v>
      </c>
      <c r="L3142" s="55" t="s">
        <v>360</v>
      </c>
      <c r="M3142" s="55" t="s">
        <v>142</v>
      </c>
      <c r="N3142" s="55" t="s">
        <v>142</v>
      </c>
      <c r="O3142" s="55" t="s">
        <v>262</v>
      </c>
      <c r="P3142" s="55" t="s">
        <v>618</v>
      </c>
      <c r="Q3142" s="55" t="s">
        <v>350</v>
      </c>
      <c r="R3142" s="55">
        <v>8</v>
      </c>
      <c r="S3142" s="55"/>
      <c r="T3142" s="55" t="s">
        <v>1505</v>
      </c>
      <c r="U3142" s="73" t="s">
        <v>351</v>
      </c>
      <c r="V3142" s="74">
        <v>44545</v>
      </c>
      <c r="W3142" s="74">
        <v>44594</v>
      </c>
      <c r="X3142" s="55">
        <v>10185679</v>
      </c>
      <c r="Y3142" s="55" t="s">
        <v>132</v>
      </c>
      <c r="AB3142" s="55" t="s">
        <v>132</v>
      </c>
      <c r="AC3142" s="55" t="s">
        <v>132</v>
      </c>
    </row>
    <row r="3143" spans="1:29" ht="13" x14ac:dyDescent="0.15">
      <c r="A3143" s="72" t="str">
        <f t="shared" si="49"/>
        <v>Ofsted Social Care Provider Webpage</v>
      </c>
      <c r="B3143" s="55" t="s">
        <v>5926</v>
      </c>
      <c r="D3143" s="55" t="s">
        <v>373</v>
      </c>
      <c r="E3143" s="74">
        <v>41236</v>
      </c>
      <c r="F3143" s="55" t="s">
        <v>344</v>
      </c>
      <c r="G3143" s="55" t="s">
        <v>360</v>
      </c>
      <c r="H3143" s="55" t="s">
        <v>360</v>
      </c>
      <c r="I3143" s="55" t="s">
        <v>360</v>
      </c>
      <c r="J3143" s="55" t="s">
        <v>360</v>
      </c>
      <c r="K3143" s="55" t="s">
        <v>360</v>
      </c>
      <c r="L3143" s="55" t="s">
        <v>360</v>
      </c>
      <c r="M3143" s="55" t="s">
        <v>136</v>
      </c>
      <c r="N3143" s="55" t="s">
        <v>136</v>
      </c>
      <c r="O3143" s="55" t="s">
        <v>239</v>
      </c>
      <c r="P3143" s="55" t="s">
        <v>3555</v>
      </c>
      <c r="Q3143" s="55" t="s">
        <v>380</v>
      </c>
      <c r="R3143" s="55">
        <v>6</v>
      </c>
      <c r="S3143" s="55" t="s">
        <v>332</v>
      </c>
      <c r="T3143" s="55" t="s">
        <v>5927</v>
      </c>
      <c r="U3143" s="73" t="s">
        <v>351</v>
      </c>
      <c r="V3143" s="74">
        <v>44454</v>
      </c>
      <c r="W3143" s="74">
        <v>44508</v>
      </c>
      <c r="X3143" s="55">
        <v>10185614</v>
      </c>
      <c r="Y3143" s="55" t="s">
        <v>130</v>
      </c>
      <c r="AB3143" s="55" t="s">
        <v>132</v>
      </c>
      <c r="AC3143" s="55" t="s">
        <v>132</v>
      </c>
    </row>
    <row r="3144" spans="1:29" ht="13" x14ac:dyDescent="0.15">
      <c r="A3144" s="72" t="str">
        <f t="shared" si="49"/>
        <v>Ofsted Social Care Provider Webpage</v>
      </c>
      <c r="B3144" s="55" t="s">
        <v>5928</v>
      </c>
      <c r="D3144" s="55" t="s">
        <v>373</v>
      </c>
      <c r="E3144" s="74">
        <v>41233</v>
      </c>
      <c r="F3144" s="55" t="s">
        <v>344</v>
      </c>
      <c r="G3144" s="55" t="s">
        <v>360</v>
      </c>
      <c r="H3144" s="55" t="s">
        <v>360</v>
      </c>
      <c r="I3144" s="55" t="s">
        <v>360</v>
      </c>
      <c r="J3144" s="55" t="s">
        <v>360</v>
      </c>
      <c r="K3144" s="55" t="s">
        <v>360</v>
      </c>
      <c r="L3144" s="55" t="s">
        <v>360</v>
      </c>
      <c r="M3144" s="55" t="s">
        <v>172</v>
      </c>
      <c r="N3144" s="55" t="s">
        <v>172</v>
      </c>
      <c r="O3144" s="55" t="s">
        <v>235</v>
      </c>
      <c r="P3144" s="55" t="s">
        <v>855</v>
      </c>
      <c r="Q3144" s="55" t="s">
        <v>350</v>
      </c>
      <c r="R3144" s="55">
        <v>5</v>
      </c>
      <c r="S3144" s="55"/>
      <c r="T3144" s="55" t="s">
        <v>442</v>
      </c>
      <c r="U3144" s="73" t="s">
        <v>351</v>
      </c>
      <c r="V3144" s="74">
        <v>44530</v>
      </c>
      <c r="W3144" s="74">
        <v>44571</v>
      </c>
      <c r="X3144" s="55">
        <v>10186257</v>
      </c>
      <c r="Y3144" s="55" t="s">
        <v>132</v>
      </c>
      <c r="AB3144" s="55" t="s">
        <v>132</v>
      </c>
      <c r="AC3144" s="55" t="s">
        <v>132</v>
      </c>
    </row>
    <row r="3145" spans="1:29" ht="13" x14ac:dyDescent="0.15">
      <c r="A3145" s="72" t="str">
        <f t="shared" si="49"/>
        <v>Ofsted Social Care Provider Webpage</v>
      </c>
      <c r="B3145" s="55" t="s">
        <v>5929</v>
      </c>
      <c r="D3145" s="55" t="s">
        <v>373</v>
      </c>
      <c r="E3145" s="74">
        <v>41201</v>
      </c>
      <c r="F3145" s="55" t="s">
        <v>344</v>
      </c>
      <c r="G3145" s="55" t="s">
        <v>360</v>
      </c>
      <c r="H3145" s="55" t="s">
        <v>360</v>
      </c>
      <c r="I3145" s="55" t="s">
        <v>360</v>
      </c>
      <c r="J3145" s="55" t="s">
        <v>360</v>
      </c>
      <c r="K3145" s="55" t="s">
        <v>360</v>
      </c>
      <c r="L3145" s="55" t="s">
        <v>360</v>
      </c>
      <c r="M3145" s="55" t="s">
        <v>138</v>
      </c>
      <c r="N3145" s="55" t="s">
        <v>138</v>
      </c>
      <c r="O3145" s="55" t="s">
        <v>161</v>
      </c>
      <c r="P3145" s="55" t="s">
        <v>822</v>
      </c>
      <c r="Q3145" s="55" t="s">
        <v>350</v>
      </c>
      <c r="R3145" s="55">
        <v>3</v>
      </c>
      <c r="S3145" s="55"/>
      <c r="T3145" s="55" t="s">
        <v>4819</v>
      </c>
      <c r="U3145" s="73" t="s">
        <v>351</v>
      </c>
      <c r="V3145" s="74">
        <v>44572</v>
      </c>
      <c r="W3145" s="74">
        <v>44601</v>
      </c>
      <c r="X3145" s="55">
        <v>10186156</v>
      </c>
      <c r="Y3145" s="55" t="s">
        <v>132</v>
      </c>
      <c r="AB3145" s="55" t="s">
        <v>132</v>
      </c>
      <c r="AC3145" s="55" t="s">
        <v>132</v>
      </c>
    </row>
    <row r="3146" spans="1:29" ht="13" x14ac:dyDescent="0.15">
      <c r="A3146" s="72" t="str">
        <f t="shared" si="49"/>
        <v>Ofsted Social Care Provider Webpage</v>
      </c>
      <c r="B3146" s="55" t="s">
        <v>5930</v>
      </c>
      <c r="D3146" s="55" t="s">
        <v>373</v>
      </c>
      <c r="E3146" s="74">
        <v>41344</v>
      </c>
      <c r="F3146" s="55" t="s">
        <v>344</v>
      </c>
      <c r="G3146" s="55" t="s">
        <v>360</v>
      </c>
      <c r="H3146" s="55" t="s">
        <v>360</v>
      </c>
      <c r="I3146" s="55" t="s">
        <v>360</v>
      </c>
      <c r="J3146" s="55" t="s">
        <v>360</v>
      </c>
      <c r="K3146" s="55" t="s">
        <v>360</v>
      </c>
      <c r="L3146" s="55" t="s">
        <v>360</v>
      </c>
      <c r="M3146" s="55" t="s">
        <v>378</v>
      </c>
      <c r="N3146" s="55" t="s">
        <v>170</v>
      </c>
      <c r="O3146" s="55" t="s">
        <v>220</v>
      </c>
      <c r="P3146" s="55" t="s">
        <v>1222</v>
      </c>
      <c r="Q3146" s="55" t="s">
        <v>350</v>
      </c>
      <c r="R3146" s="55">
        <v>8</v>
      </c>
      <c r="S3146" s="55"/>
      <c r="T3146" s="55" t="s">
        <v>1946</v>
      </c>
      <c r="U3146" s="73" t="s">
        <v>351</v>
      </c>
      <c r="V3146" s="74">
        <v>44580</v>
      </c>
      <c r="W3146" s="74">
        <v>44624</v>
      </c>
      <c r="X3146" s="55">
        <v>10186051</v>
      </c>
      <c r="Y3146" s="55" t="s">
        <v>130</v>
      </c>
      <c r="AB3146" s="55" t="s">
        <v>130</v>
      </c>
      <c r="AC3146" s="55" t="s">
        <v>130</v>
      </c>
    </row>
    <row r="3147" spans="1:29" ht="13" x14ac:dyDescent="0.15">
      <c r="A3147" s="72" t="str">
        <f t="shared" si="49"/>
        <v>Ofsted Social Care Provider Webpage</v>
      </c>
      <c r="B3147" s="55" t="s">
        <v>5931</v>
      </c>
      <c r="D3147" s="55" t="s">
        <v>373</v>
      </c>
      <c r="E3147" s="74">
        <v>41262</v>
      </c>
      <c r="F3147" s="55" t="s">
        <v>344</v>
      </c>
      <c r="G3147" s="55" t="s">
        <v>360</v>
      </c>
      <c r="H3147" s="55" t="s">
        <v>360</v>
      </c>
      <c r="I3147" s="55" t="s">
        <v>360</v>
      </c>
      <c r="J3147" s="55" t="s">
        <v>360</v>
      </c>
      <c r="K3147" s="55" t="s">
        <v>360</v>
      </c>
      <c r="L3147" s="55" t="s">
        <v>360</v>
      </c>
      <c r="M3147" s="55" t="s">
        <v>136</v>
      </c>
      <c r="N3147" s="55" t="s">
        <v>136</v>
      </c>
      <c r="O3147" s="55" t="s">
        <v>174</v>
      </c>
      <c r="P3147" s="55" t="s">
        <v>982</v>
      </c>
      <c r="Q3147" s="55" t="s">
        <v>350</v>
      </c>
      <c r="R3147" s="55">
        <v>4</v>
      </c>
      <c r="S3147" s="55"/>
      <c r="T3147" s="55" t="s">
        <v>5932</v>
      </c>
      <c r="U3147" s="73" t="s">
        <v>351</v>
      </c>
      <c r="V3147" s="74">
        <v>44328</v>
      </c>
      <c r="W3147" s="74">
        <v>44362</v>
      </c>
      <c r="X3147" s="55">
        <v>10185981</v>
      </c>
      <c r="Y3147" s="55" t="s">
        <v>140</v>
      </c>
      <c r="AB3147" s="55" t="s">
        <v>140</v>
      </c>
      <c r="AC3147" s="55" t="s">
        <v>140</v>
      </c>
    </row>
    <row r="3148" spans="1:29" ht="13" x14ac:dyDescent="0.15">
      <c r="A3148" s="72" t="str">
        <f t="shared" si="49"/>
        <v>Ofsted Social Care Provider Webpage</v>
      </c>
      <c r="B3148" s="55" t="s">
        <v>5933</v>
      </c>
      <c r="D3148" s="55" t="s">
        <v>373</v>
      </c>
      <c r="E3148" s="74">
        <v>41213</v>
      </c>
      <c r="F3148" s="55" t="s">
        <v>344</v>
      </c>
      <c r="G3148" s="55" t="s">
        <v>360</v>
      </c>
      <c r="H3148" s="55" t="s">
        <v>360</v>
      </c>
      <c r="I3148" s="55" t="s">
        <v>360</v>
      </c>
      <c r="J3148" s="55" t="s">
        <v>360</v>
      </c>
      <c r="K3148" s="55" t="s">
        <v>360</v>
      </c>
      <c r="L3148" s="55" t="s">
        <v>360</v>
      </c>
      <c r="M3148" s="55" t="s">
        <v>144</v>
      </c>
      <c r="N3148" s="55" t="s">
        <v>144</v>
      </c>
      <c r="O3148" s="55" t="s">
        <v>281</v>
      </c>
      <c r="P3148" s="55" t="s">
        <v>556</v>
      </c>
      <c r="Q3148" s="55" t="s">
        <v>350</v>
      </c>
      <c r="R3148" s="55">
        <v>6</v>
      </c>
      <c r="S3148" s="55"/>
      <c r="T3148" s="55" t="s">
        <v>1885</v>
      </c>
      <c r="U3148" s="73" t="s">
        <v>351</v>
      </c>
      <c r="V3148" s="74">
        <v>44523</v>
      </c>
      <c r="W3148" s="74">
        <v>44566</v>
      </c>
      <c r="X3148" s="55">
        <v>10187449</v>
      </c>
      <c r="Y3148" s="55" t="s">
        <v>132</v>
      </c>
      <c r="AB3148" s="55" t="s">
        <v>130</v>
      </c>
      <c r="AC3148" s="55" t="s">
        <v>130</v>
      </c>
    </row>
    <row r="3149" spans="1:29" ht="13" x14ac:dyDescent="0.15">
      <c r="A3149" s="72" t="str">
        <f t="shared" si="49"/>
        <v>Ofsted Social Care Provider Webpage</v>
      </c>
      <c r="B3149" s="55" t="s">
        <v>5934</v>
      </c>
      <c r="D3149" s="55" t="s">
        <v>373</v>
      </c>
      <c r="E3149" s="74">
        <v>41213</v>
      </c>
      <c r="F3149" s="55" t="s">
        <v>344</v>
      </c>
      <c r="G3149" s="55" t="s">
        <v>360</v>
      </c>
      <c r="H3149" s="55" t="s">
        <v>360</v>
      </c>
      <c r="I3149" s="55" t="s">
        <v>360</v>
      </c>
      <c r="J3149" s="55" t="s">
        <v>360</v>
      </c>
      <c r="K3149" s="55" t="s">
        <v>360</v>
      </c>
      <c r="L3149" s="55" t="s">
        <v>360</v>
      </c>
      <c r="M3149" s="55" t="s">
        <v>144</v>
      </c>
      <c r="N3149" s="55" t="s">
        <v>144</v>
      </c>
      <c r="O3149" s="55" t="s">
        <v>281</v>
      </c>
      <c r="P3149" s="55" t="s">
        <v>556</v>
      </c>
      <c r="Q3149" s="55" t="s">
        <v>350</v>
      </c>
      <c r="R3149" s="55">
        <v>4</v>
      </c>
      <c r="S3149" s="55"/>
      <c r="T3149" s="55" t="s">
        <v>1885</v>
      </c>
      <c r="U3149" s="73" t="s">
        <v>351</v>
      </c>
      <c r="V3149" s="74">
        <v>44635</v>
      </c>
      <c r="W3149" s="74">
        <v>44677</v>
      </c>
      <c r="X3149" s="55">
        <v>10187218</v>
      </c>
      <c r="Y3149" s="55" t="s">
        <v>132</v>
      </c>
      <c r="AB3149" s="55" t="s">
        <v>132</v>
      </c>
      <c r="AC3149" s="55" t="s">
        <v>132</v>
      </c>
    </row>
    <row r="3150" spans="1:29" ht="13" x14ac:dyDescent="0.15">
      <c r="A3150" s="72" t="str">
        <f t="shared" si="49"/>
        <v>Ofsted Social Care Provider Webpage</v>
      </c>
      <c r="B3150" s="55" t="s">
        <v>5935</v>
      </c>
      <c r="D3150" s="55" t="s">
        <v>389</v>
      </c>
      <c r="E3150" s="74">
        <v>41240</v>
      </c>
      <c r="F3150" s="55" t="s">
        <v>344</v>
      </c>
      <c r="G3150" s="55" t="s">
        <v>5936</v>
      </c>
      <c r="H3150" s="55" t="s">
        <v>5937</v>
      </c>
      <c r="I3150" s="55" t="s">
        <v>5938</v>
      </c>
      <c r="J3150" s="55" t="s">
        <v>251</v>
      </c>
      <c r="L3150" s="55" t="s">
        <v>5188</v>
      </c>
      <c r="M3150" s="55" t="s">
        <v>378</v>
      </c>
      <c r="N3150" s="55" t="s">
        <v>134</v>
      </c>
      <c r="O3150" s="55" t="s">
        <v>251</v>
      </c>
      <c r="P3150" s="55" t="s">
        <v>1709</v>
      </c>
      <c r="Q3150" s="55" t="s">
        <v>350</v>
      </c>
      <c r="R3150" s="55"/>
      <c r="S3150" s="55"/>
      <c r="T3150" s="55" t="s">
        <v>5936</v>
      </c>
      <c r="U3150" s="73" t="s">
        <v>351</v>
      </c>
      <c r="V3150" s="74">
        <v>44340</v>
      </c>
      <c r="W3150" s="74">
        <v>44398</v>
      </c>
      <c r="X3150" s="55">
        <v>10183268</v>
      </c>
      <c r="Y3150" s="55" t="s">
        <v>132</v>
      </c>
      <c r="AB3150" s="55" t="s">
        <v>132</v>
      </c>
      <c r="AC3150" s="55" t="s">
        <v>132</v>
      </c>
    </row>
    <row r="3151" spans="1:29" ht="13" x14ac:dyDescent="0.15">
      <c r="A3151" s="72" t="str">
        <f t="shared" si="49"/>
        <v>Ofsted Social Care Provider Webpage</v>
      </c>
      <c r="B3151" s="55" t="s">
        <v>5939</v>
      </c>
      <c r="D3151" s="55" t="s">
        <v>373</v>
      </c>
      <c r="E3151" s="74">
        <v>41235</v>
      </c>
      <c r="F3151" s="55" t="s">
        <v>344</v>
      </c>
      <c r="G3151" s="55" t="s">
        <v>360</v>
      </c>
      <c r="H3151" s="55" t="s">
        <v>360</v>
      </c>
      <c r="I3151" s="55" t="s">
        <v>360</v>
      </c>
      <c r="J3151" s="55" t="s">
        <v>360</v>
      </c>
      <c r="K3151" s="55" t="s">
        <v>360</v>
      </c>
      <c r="L3151" s="55" t="s">
        <v>360</v>
      </c>
      <c r="M3151" s="55" t="s">
        <v>144</v>
      </c>
      <c r="N3151" s="55" t="s">
        <v>144</v>
      </c>
      <c r="O3151" s="55" t="s">
        <v>209</v>
      </c>
      <c r="P3151" s="55" t="s">
        <v>534</v>
      </c>
      <c r="Q3151" s="55" t="s">
        <v>350</v>
      </c>
      <c r="R3151" s="55">
        <v>4</v>
      </c>
      <c r="S3151" s="55"/>
      <c r="T3151" s="55" t="s">
        <v>778</v>
      </c>
      <c r="U3151" s="73" t="s">
        <v>351</v>
      </c>
      <c r="V3151" s="74">
        <v>44474</v>
      </c>
      <c r="W3151" s="74">
        <v>44518</v>
      </c>
      <c r="X3151" s="55">
        <v>10185083</v>
      </c>
      <c r="Y3151" s="55" t="s">
        <v>132</v>
      </c>
      <c r="AB3151" s="55" t="s">
        <v>132</v>
      </c>
      <c r="AC3151" s="55" t="s">
        <v>132</v>
      </c>
    </row>
    <row r="3152" spans="1:29" ht="13" x14ac:dyDescent="0.15">
      <c r="A3152" s="72" t="str">
        <f t="shared" si="49"/>
        <v>Ofsted Social Care Provider Webpage</v>
      </c>
      <c r="B3152" s="55" t="s">
        <v>5940</v>
      </c>
      <c r="D3152" s="55" t="s">
        <v>373</v>
      </c>
      <c r="E3152" s="74">
        <v>41325</v>
      </c>
      <c r="F3152" s="55" t="s">
        <v>344</v>
      </c>
      <c r="G3152" s="55" t="s">
        <v>360</v>
      </c>
      <c r="H3152" s="55" t="s">
        <v>360</v>
      </c>
      <c r="I3152" s="55" t="s">
        <v>360</v>
      </c>
      <c r="J3152" s="55" t="s">
        <v>360</v>
      </c>
      <c r="K3152" s="55" t="s">
        <v>360</v>
      </c>
      <c r="L3152" s="55" t="s">
        <v>360</v>
      </c>
      <c r="M3152" s="55" t="s">
        <v>138</v>
      </c>
      <c r="N3152" s="55" t="s">
        <v>138</v>
      </c>
      <c r="O3152" s="55" t="s">
        <v>224</v>
      </c>
      <c r="P3152" s="55" t="s">
        <v>374</v>
      </c>
      <c r="Q3152" s="55" t="s">
        <v>350</v>
      </c>
      <c r="R3152" s="55">
        <v>4</v>
      </c>
      <c r="S3152" s="55"/>
      <c r="T3152" s="55" t="s">
        <v>385</v>
      </c>
      <c r="U3152" s="73" t="s">
        <v>351</v>
      </c>
      <c r="V3152" s="74">
        <v>44510</v>
      </c>
      <c r="W3152" s="74">
        <v>44546</v>
      </c>
      <c r="X3152" s="55">
        <v>10187083</v>
      </c>
      <c r="Y3152" s="55" t="s">
        <v>132</v>
      </c>
      <c r="AB3152" s="55" t="s">
        <v>132</v>
      </c>
      <c r="AC3152" s="55" t="s">
        <v>132</v>
      </c>
    </row>
    <row r="3153" spans="1:29" ht="13" x14ac:dyDescent="0.15">
      <c r="A3153" s="72" t="str">
        <f t="shared" si="49"/>
        <v>Ofsted Social Care Provider Webpage</v>
      </c>
      <c r="B3153" s="55" t="s">
        <v>5941</v>
      </c>
      <c r="D3153" s="55" t="s">
        <v>373</v>
      </c>
      <c r="E3153" s="74">
        <v>41332</v>
      </c>
      <c r="F3153" s="55" t="s">
        <v>344</v>
      </c>
      <c r="G3153" s="55" t="s">
        <v>360</v>
      </c>
      <c r="H3153" s="55" t="s">
        <v>360</v>
      </c>
      <c r="I3153" s="55" t="s">
        <v>360</v>
      </c>
      <c r="J3153" s="55" t="s">
        <v>360</v>
      </c>
      <c r="K3153" s="55" t="s">
        <v>360</v>
      </c>
      <c r="L3153" s="55" t="s">
        <v>360</v>
      </c>
      <c r="M3153" s="55" t="s">
        <v>172</v>
      </c>
      <c r="N3153" s="55" t="s">
        <v>172</v>
      </c>
      <c r="O3153" s="55" t="s">
        <v>214</v>
      </c>
      <c r="P3153" s="55" t="s">
        <v>790</v>
      </c>
      <c r="Q3153" s="55" t="s">
        <v>350</v>
      </c>
      <c r="R3153" s="55">
        <v>2</v>
      </c>
      <c r="S3153" s="55"/>
      <c r="T3153" s="55" t="s">
        <v>385</v>
      </c>
      <c r="U3153" s="73" t="s">
        <v>351</v>
      </c>
      <c r="V3153" s="74">
        <v>44369</v>
      </c>
      <c r="W3153" s="74">
        <v>44398</v>
      </c>
      <c r="X3153" s="55">
        <v>10186942</v>
      </c>
      <c r="Y3153" s="55" t="s">
        <v>132</v>
      </c>
      <c r="AB3153" s="55" t="s">
        <v>132</v>
      </c>
      <c r="AC3153" s="55" t="s">
        <v>132</v>
      </c>
    </row>
    <row r="3154" spans="1:29" ht="13" x14ac:dyDescent="0.15">
      <c r="A3154" s="72" t="str">
        <f t="shared" si="49"/>
        <v>Ofsted Social Care Provider Webpage</v>
      </c>
      <c r="B3154" s="55" t="s">
        <v>5942</v>
      </c>
      <c r="D3154" s="55" t="s">
        <v>373</v>
      </c>
      <c r="E3154" s="74">
        <v>41325</v>
      </c>
      <c r="F3154" s="55" t="s">
        <v>344</v>
      </c>
      <c r="G3154" s="55" t="s">
        <v>360</v>
      </c>
      <c r="H3154" s="55" t="s">
        <v>360</v>
      </c>
      <c r="I3154" s="55" t="s">
        <v>360</v>
      </c>
      <c r="J3154" s="55" t="s">
        <v>360</v>
      </c>
      <c r="K3154" s="55" t="s">
        <v>360</v>
      </c>
      <c r="L3154" s="55" t="s">
        <v>360</v>
      </c>
      <c r="M3154" s="55" t="s">
        <v>144</v>
      </c>
      <c r="N3154" s="55" t="s">
        <v>144</v>
      </c>
      <c r="O3154" s="55" t="s">
        <v>245</v>
      </c>
      <c r="P3154" s="55" t="s">
        <v>245</v>
      </c>
      <c r="Q3154" s="55" t="s">
        <v>350</v>
      </c>
      <c r="R3154" s="55">
        <v>1</v>
      </c>
      <c r="S3154" s="55"/>
      <c r="T3154" s="55" t="s">
        <v>385</v>
      </c>
      <c r="U3154" s="73" t="s">
        <v>351</v>
      </c>
      <c r="V3154" s="74">
        <v>44551</v>
      </c>
      <c r="W3154" s="74">
        <v>44603</v>
      </c>
      <c r="X3154" s="55">
        <v>10185814</v>
      </c>
      <c r="Y3154" s="55" t="s">
        <v>140</v>
      </c>
      <c r="AB3154" s="55" t="s">
        <v>140</v>
      </c>
      <c r="AC3154" s="55" t="s">
        <v>140</v>
      </c>
    </row>
    <row r="3155" spans="1:29" ht="13" x14ac:dyDescent="0.15">
      <c r="A3155" s="72" t="str">
        <f t="shared" si="49"/>
        <v>Ofsted Social Care Provider Webpage</v>
      </c>
      <c r="B3155" s="55" t="s">
        <v>5943</v>
      </c>
      <c r="D3155" s="55" t="s">
        <v>373</v>
      </c>
      <c r="E3155" s="74">
        <v>41322</v>
      </c>
      <c r="F3155" s="55" t="s">
        <v>344</v>
      </c>
      <c r="G3155" s="55" t="s">
        <v>360</v>
      </c>
      <c r="H3155" s="55" t="s">
        <v>360</v>
      </c>
      <c r="I3155" s="55" t="s">
        <v>360</v>
      </c>
      <c r="J3155" s="55" t="s">
        <v>360</v>
      </c>
      <c r="K3155" s="55" t="s">
        <v>360</v>
      </c>
      <c r="L3155" s="55" t="s">
        <v>360</v>
      </c>
      <c r="M3155" s="55" t="s">
        <v>144</v>
      </c>
      <c r="N3155" s="55" t="s">
        <v>144</v>
      </c>
      <c r="O3155" s="55" t="s">
        <v>245</v>
      </c>
      <c r="P3155" s="55" t="s">
        <v>1796</v>
      </c>
      <c r="Q3155" s="55" t="s">
        <v>350</v>
      </c>
      <c r="R3155" s="55">
        <v>1</v>
      </c>
      <c r="S3155" s="55"/>
      <c r="T3155" s="55" t="s">
        <v>385</v>
      </c>
      <c r="U3155" s="73" t="s">
        <v>351</v>
      </c>
      <c r="V3155" s="74">
        <v>44593</v>
      </c>
      <c r="W3155" s="74">
        <v>44634</v>
      </c>
      <c r="X3155" s="55">
        <v>10186783</v>
      </c>
      <c r="Y3155" s="55" t="s">
        <v>132</v>
      </c>
      <c r="AB3155" s="55" t="s">
        <v>132</v>
      </c>
      <c r="AC3155" s="55" t="s">
        <v>132</v>
      </c>
    </row>
    <row r="3156" spans="1:29" ht="13" x14ac:dyDescent="0.15">
      <c r="A3156" s="72" t="str">
        <f t="shared" si="49"/>
        <v>Ofsted Social Care Provider Webpage</v>
      </c>
      <c r="B3156" s="55" t="s">
        <v>5944</v>
      </c>
      <c r="D3156" s="55" t="s">
        <v>373</v>
      </c>
      <c r="E3156" s="74">
        <v>41316</v>
      </c>
      <c r="F3156" s="55" t="s">
        <v>344</v>
      </c>
      <c r="G3156" s="55" t="s">
        <v>360</v>
      </c>
      <c r="H3156" s="55" t="s">
        <v>360</v>
      </c>
      <c r="I3156" s="55" t="s">
        <v>360</v>
      </c>
      <c r="J3156" s="55" t="s">
        <v>360</v>
      </c>
      <c r="K3156" s="55" t="s">
        <v>360</v>
      </c>
      <c r="L3156" s="55" t="s">
        <v>360</v>
      </c>
      <c r="M3156" s="55" t="s">
        <v>144</v>
      </c>
      <c r="N3156" s="55" t="s">
        <v>144</v>
      </c>
      <c r="O3156" s="55" t="s">
        <v>245</v>
      </c>
      <c r="P3156" s="55" t="s">
        <v>1796</v>
      </c>
      <c r="Q3156" s="55" t="s">
        <v>350</v>
      </c>
      <c r="R3156" s="55">
        <v>1</v>
      </c>
      <c r="S3156" s="55"/>
      <c r="T3156" s="55" t="s">
        <v>385</v>
      </c>
      <c r="U3156" s="73" t="s">
        <v>351</v>
      </c>
      <c r="V3156" s="74">
        <v>44601</v>
      </c>
      <c r="W3156" s="74">
        <v>44655</v>
      </c>
      <c r="X3156" s="55">
        <v>10186744</v>
      </c>
      <c r="Y3156" s="55" t="s">
        <v>132</v>
      </c>
      <c r="AB3156" s="55" t="s">
        <v>132</v>
      </c>
      <c r="AC3156" s="55" t="s">
        <v>132</v>
      </c>
    </row>
    <row r="3157" spans="1:29" ht="13" x14ac:dyDescent="0.15">
      <c r="A3157" s="72" t="str">
        <f t="shared" si="49"/>
        <v>Ofsted Social Care Provider Webpage</v>
      </c>
      <c r="B3157" s="55" t="s">
        <v>5945</v>
      </c>
      <c r="D3157" s="55" t="s">
        <v>373</v>
      </c>
      <c r="E3157" s="74">
        <v>41264</v>
      </c>
      <c r="F3157" s="55" t="s">
        <v>344</v>
      </c>
      <c r="G3157" s="55" t="s">
        <v>360</v>
      </c>
      <c r="H3157" s="55" t="s">
        <v>360</v>
      </c>
      <c r="I3157" s="55" t="s">
        <v>360</v>
      </c>
      <c r="J3157" s="55" t="s">
        <v>360</v>
      </c>
      <c r="K3157" s="55" t="s">
        <v>360</v>
      </c>
      <c r="L3157" s="55" t="s">
        <v>360</v>
      </c>
      <c r="M3157" s="55" t="s">
        <v>144</v>
      </c>
      <c r="N3157" s="55" t="s">
        <v>144</v>
      </c>
      <c r="O3157" s="55" t="s">
        <v>163</v>
      </c>
      <c r="P3157" s="55" t="s">
        <v>472</v>
      </c>
      <c r="Q3157" s="55" t="s">
        <v>350</v>
      </c>
      <c r="R3157" s="55">
        <v>4</v>
      </c>
      <c r="S3157" s="55"/>
      <c r="T3157" s="55" t="s">
        <v>4600</v>
      </c>
      <c r="U3157" s="73" t="s">
        <v>351</v>
      </c>
      <c r="V3157" s="74">
        <v>44440</v>
      </c>
      <c r="W3157" s="74">
        <v>44469</v>
      </c>
      <c r="X3157" s="55">
        <v>10185337</v>
      </c>
      <c r="Y3157" s="55" t="s">
        <v>130</v>
      </c>
      <c r="AB3157" s="55" t="s">
        <v>130</v>
      </c>
      <c r="AC3157" s="55" t="s">
        <v>130</v>
      </c>
    </row>
    <row r="3158" spans="1:29" ht="13" x14ac:dyDescent="0.15">
      <c r="A3158" s="72" t="str">
        <f t="shared" si="49"/>
        <v>Ofsted Social Care Provider Webpage</v>
      </c>
      <c r="B3158" s="55" t="s">
        <v>5946</v>
      </c>
      <c r="D3158" s="55" t="s">
        <v>373</v>
      </c>
      <c r="E3158" s="74">
        <v>41339</v>
      </c>
      <c r="F3158" s="55" t="s">
        <v>344</v>
      </c>
      <c r="G3158" s="55" t="s">
        <v>360</v>
      </c>
      <c r="H3158" s="55" t="s">
        <v>360</v>
      </c>
      <c r="I3158" s="55" t="s">
        <v>360</v>
      </c>
      <c r="J3158" s="55" t="s">
        <v>360</v>
      </c>
      <c r="K3158" s="55" t="s">
        <v>360</v>
      </c>
      <c r="L3158" s="55" t="s">
        <v>360</v>
      </c>
      <c r="M3158" s="55" t="s">
        <v>144</v>
      </c>
      <c r="N3158" s="55" t="s">
        <v>144</v>
      </c>
      <c r="O3158" s="55" t="s">
        <v>245</v>
      </c>
      <c r="P3158" s="55" t="s">
        <v>245</v>
      </c>
      <c r="Q3158" s="55" t="s">
        <v>350</v>
      </c>
      <c r="R3158" s="55">
        <v>1</v>
      </c>
      <c r="S3158" s="55"/>
      <c r="T3158" s="55" t="s">
        <v>385</v>
      </c>
      <c r="U3158" s="73" t="s">
        <v>351</v>
      </c>
      <c r="V3158" s="74">
        <v>44474</v>
      </c>
      <c r="W3158" s="74">
        <v>44498</v>
      </c>
      <c r="X3158" s="55">
        <v>10185545</v>
      </c>
      <c r="Y3158" s="55" t="s">
        <v>132</v>
      </c>
      <c r="AB3158" s="55" t="s">
        <v>132</v>
      </c>
      <c r="AC3158" s="55" t="s">
        <v>132</v>
      </c>
    </row>
    <row r="3159" spans="1:29" ht="13" x14ac:dyDescent="0.15">
      <c r="A3159" s="72" t="str">
        <f t="shared" si="49"/>
        <v>Ofsted Social Care Provider Webpage</v>
      </c>
      <c r="B3159" s="55" t="s">
        <v>5947</v>
      </c>
      <c r="D3159" s="55" t="s">
        <v>373</v>
      </c>
      <c r="E3159" s="74">
        <v>41323</v>
      </c>
      <c r="F3159" s="55" t="s">
        <v>344</v>
      </c>
      <c r="G3159" s="55" t="s">
        <v>360</v>
      </c>
      <c r="H3159" s="55" t="s">
        <v>360</v>
      </c>
      <c r="I3159" s="55" t="s">
        <v>360</v>
      </c>
      <c r="J3159" s="55" t="s">
        <v>360</v>
      </c>
      <c r="K3159" s="55" t="s">
        <v>360</v>
      </c>
      <c r="L3159" s="55" t="s">
        <v>360</v>
      </c>
      <c r="M3159" s="55" t="s">
        <v>144</v>
      </c>
      <c r="N3159" s="55" t="s">
        <v>144</v>
      </c>
      <c r="O3159" s="55" t="s">
        <v>245</v>
      </c>
      <c r="P3159" s="55" t="s">
        <v>1796</v>
      </c>
      <c r="Q3159" s="55" t="s">
        <v>350</v>
      </c>
      <c r="R3159" s="55">
        <v>1</v>
      </c>
      <c r="S3159" s="55"/>
      <c r="T3159" s="55" t="s">
        <v>385</v>
      </c>
      <c r="U3159" s="73" t="s">
        <v>351</v>
      </c>
      <c r="V3159" s="74">
        <v>44523</v>
      </c>
      <c r="W3159" s="74">
        <v>44560</v>
      </c>
      <c r="X3159" s="55">
        <v>10186726</v>
      </c>
      <c r="Y3159" s="55" t="s">
        <v>132</v>
      </c>
      <c r="AB3159" s="55" t="s">
        <v>132</v>
      </c>
      <c r="AC3159" s="55" t="s">
        <v>130</v>
      </c>
    </row>
    <row r="3160" spans="1:29" ht="13" x14ac:dyDescent="0.15">
      <c r="A3160" s="72" t="str">
        <f t="shared" si="49"/>
        <v>Ofsted Social Care Provider Webpage</v>
      </c>
      <c r="B3160" s="55" t="s">
        <v>5948</v>
      </c>
      <c r="D3160" s="55" t="s">
        <v>373</v>
      </c>
      <c r="E3160" s="74">
        <v>41610</v>
      </c>
      <c r="F3160" s="55" t="s">
        <v>344</v>
      </c>
      <c r="G3160" s="55" t="s">
        <v>360</v>
      </c>
      <c r="H3160" s="55" t="s">
        <v>360</v>
      </c>
      <c r="I3160" s="55" t="s">
        <v>360</v>
      </c>
      <c r="J3160" s="55" t="s">
        <v>360</v>
      </c>
      <c r="K3160" s="55" t="s">
        <v>360</v>
      </c>
      <c r="L3160" s="55" t="s">
        <v>360</v>
      </c>
      <c r="M3160" s="55" t="s">
        <v>378</v>
      </c>
      <c r="N3160" s="55" t="s">
        <v>134</v>
      </c>
      <c r="O3160" s="55" t="s">
        <v>204</v>
      </c>
      <c r="P3160" s="55" t="s">
        <v>929</v>
      </c>
      <c r="Q3160" s="55" t="s">
        <v>350</v>
      </c>
      <c r="R3160" s="55">
        <v>6</v>
      </c>
      <c r="S3160" s="55"/>
      <c r="T3160" s="55" t="s">
        <v>385</v>
      </c>
      <c r="U3160" s="73" t="s">
        <v>351</v>
      </c>
      <c r="V3160" s="74">
        <v>43719</v>
      </c>
      <c r="W3160" s="74">
        <v>43760</v>
      </c>
      <c r="X3160" s="55">
        <v>10096978</v>
      </c>
      <c r="Y3160" s="55" t="s">
        <v>132</v>
      </c>
      <c r="AB3160" s="55" t="s">
        <v>130</v>
      </c>
      <c r="AC3160" s="55" t="s">
        <v>130</v>
      </c>
    </row>
    <row r="3161" spans="1:29" ht="13" x14ac:dyDescent="0.15">
      <c r="A3161" s="72" t="str">
        <f t="shared" si="49"/>
        <v>Ofsted Social Care Provider Webpage</v>
      </c>
      <c r="B3161" s="55" t="s">
        <v>5949</v>
      </c>
      <c r="D3161" s="55" t="s">
        <v>373</v>
      </c>
      <c r="E3161" s="74">
        <v>41294</v>
      </c>
      <c r="F3161" s="55" t="s">
        <v>344</v>
      </c>
      <c r="G3161" s="55" t="s">
        <v>360</v>
      </c>
      <c r="H3161" s="55" t="s">
        <v>360</v>
      </c>
      <c r="I3161" s="55" t="s">
        <v>360</v>
      </c>
      <c r="J3161" s="55" t="s">
        <v>360</v>
      </c>
      <c r="K3161" s="55" t="s">
        <v>360</v>
      </c>
      <c r="L3161" s="55" t="s">
        <v>360</v>
      </c>
      <c r="M3161" s="55" t="s">
        <v>378</v>
      </c>
      <c r="N3161" s="55" t="s">
        <v>134</v>
      </c>
      <c r="O3161" s="55" t="s">
        <v>232</v>
      </c>
      <c r="P3161" s="55" t="s">
        <v>595</v>
      </c>
      <c r="Q3161" s="55" t="s">
        <v>350</v>
      </c>
      <c r="R3161" s="55">
        <v>4</v>
      </c>
      <c r="S3161" s="55"/>
      <c r="T3161" s="55" t="s">
        <v>385</v>
      </c>
      <c r="U3161" s="73" t="s">
        <v>351</v>
      </c>
      <c r="V3161" s="74">
        <v>44629</v>
      </c>
      <c r="W3161" s="74">
        <v>44672</v>
      </c>
      <c r="X3161" s="55">
        <v>10185186</v>
      </c>
      <c r="Y3161" s="55" t="s">
        <v>132</v>
      </c>
      <c r="AB3161" s="55" t="s">
        <v>132</v>
      </c>
      <c r="AC3161" s="55" t="s">
        <v>132</v>
      </c>
    </row>
    <row r="3162" spans="1:29" ht="13" x14ac:dyDescent="0.15">
      <c r="A3162" s="72" t="str">
        <f t="shared" si="49"/>
        <v>Ofsted Social Care Provider Webpage</v>
      </c>
      <c r="B3162" s="55" t="s">
        <v>5950</v>
      </c>
      <c r="D3162" s="55" t="s">
        <v>373</v>
      </c>
      <c r="E3162" s="74">
        <v>41339</v>
      </c>
      <c r="F3162" s="55" t="s">
        <v>344</v>
      </c>
      <c r="G3162" s="55" t="s">
        <v>360</v>
      </c>
      <c r="H3162" s="55" t="s">
        <v>360</v>
      </c>
      <c r="I3162" s="55" t="s">
        <v>360</v>
      </c>
      <c r="J3162" s="55" t="s">
        <v>360</v>
      </c>
      <c r="K3162" s="55" t="s">
        <v>360</v>
      </c>
      <c r="L3162" s="55" t="s">
        <v>360</v>
      </c>
      <c r="M3162" s="55" t="s">
        <v>144</v>
      </c>
      <c r="N3162" s="55" t="s">
        <v>144</v>
      </c>
      <c r="O3162" s="55" t="s">
        <v>245</v>
      </c>
      <c r="P3162" s="55" t="s">
        <v>1796</v>
      </c>
      <c r="Q3162" s="55" t="s">
        <v>350</v>
      </c>
      <c r="R3162" s="55">
        <v>2</v>
      </c>
      <c r="S3162" s="55"/>
      <c r="T3162" s="55" t="s">
        <v>385</v>
      </c>
      <c r="U3162" s="73" t="s">
        <v>351</v>
      </c>
      <c r="V3162" s="74">
        <v>44607</v>
      </c>
      <c r="W3162" s="74">
        <v>44651</v>
      </c>
      <c r="X3162" s="55">
        <v>10185847</v>
      </c>
      <c r="Y3162" s="55" t="s">
        <v>132</v>
      </c>
      <c r="AB3162" s="55" t="s">
        <v>132</v>
      </c>
      <c r="AC3162" s="55" t="s">
        <v>132</v>
      </c>
    </row>
    <row r="3163" spans="1:29" ht="13" x14ac:dyDescent="0.15">
      <c r="A3163" s="72" t="str">
        <f t="shared" si="49"/>
        <v>Ofsted Social Care Provider Webpage</v>
      </c>
      <c r="B3163" s="55" t="s">
        <v>5951</v>
      </c>
      <c r="D3163" s="55" t="s">
        <v>373</v>
      </c>
      <c r="E3163" s="74">
        <v>41347</v>
      </c>
      <c r="F3163" s="55" t="s">
        <v>344</v>
      </c>
      <c r="G3163" s="55" t="s">
        <v>360</v>
      </c>
      <c r="H3163" s="55" t="s">
        <v>360</v>
      </c>
      <c r="I3163" s="55" t="s">
        <v>360</v>
      </c>
      <c r="J3163" s="55" t="s">
        <v>360</v>
      </c>
      <c r="K3163" s="55" t="s">
        <v>360</v>
      </c>
      <c r="L3163" s="55" t="s">
        <v>360</v>
      </c>
      <c r="M3163" s="55" t="s">
        <v>144</v>
      </c>
      <c r="N3163" s="55" t="s">
        <v>144</v>
      </c>
      <c r="O3163" s="55" t="s">
        <v>209</v>
      </c>
      <c r="P3163" s="55" t="s">
        <v>1858</v>
      </c>
      <c r="Q3163" s="55" t="s">
        <v>350</v>
      </c>
      <c r="R3163" s="55">
        <v>1</v>
      </c>
      <c r="S3163" s="55"/>
      <c r="T3163" s="55" t="s">
        <v>385</v>
      </c>
      <c r="U3163" s="73" t="s">
        <v>351</v>
      </c>
      <c r="V3163" s="74">
        <v>43879</v>
      </c>
      <c r="W3163" s="74">
        <v>43978</v>
      </c>
      <c r="X3163" s="55">
        <v>10096885</v>
      </c>
      <c r="Y3163" s="55" t="s">
        <v>132</v>
      </c>
      <c r="AB3163" s="55" t="s">
        <v>132</v>
      </c>
      <c r="AC3163" s="55" t="s">
        <v>130</v>
      </c>
    </row>
    <row r="3164" spans="1:29" ht="13" x14ac:dyDescent="0.15">
      <c r="A3164" s="72" t="str">
        <f t="shared" si="49"/>
        <v>Ofsted Social Care Provider Webpage</v>
      </c>
      <c r="B3164" s="55" t="s">
        <v>5952</v>
      </c>
      <c r="D3164" s="55" t="s">
        <v>373</v>
      </c>
      <c r="E3164" s="74">
        <v>41213</v>
      </c>
      <c r="F3164" s="55" t="s">
        <v>344</v>
      </c>
      <c r="G3164" s="55" t="s">
        <v>360</v>
      </c>
      <c r="H3164" s="55" t="s">
        <v>360</v>
      </c>
      <c r="I3164" s="55" t="s">
        <v>360</v>
      </c>
      <c r="J3164" s="55" t="s">
        <v>360</v>
      </c>
      <c r="K3164" s="55" t="s">
        <v>360</v>
      </c>
      <c r="L3164" s="55" t="s">
        <v>360</v>
      </c>
      <c r="M3164" s="55" t="s">
        <v>144</v>
      </c>
      <c r="N3164" s="55" t="s">
        <v>144</v>
      </c>
      <c r="O3164" s="55" t="s">
        <v>281</v>
      </c>
      <c r="P3164" s="55" t="s">
        <v>556</v>
      </c>
      <c r="Q3164" s="55" t="s">
        <v>350</v>
      </c>
      <c r="R3164" s="55">
        <v>4</v>
      </c>
      <c r="S3164" s="55"/>
      <c r="T3164" s="55" t="s">
        <v>1885</v>
      </c>
      <c r="U3164" s="73" t="s">
        <v>351</v>
      </c>
      <c r="V3164" s="74">
        <v>44621</v>
      </c>
      <c r="W3164" s="74">
        <v>44672</v>
      </c>
      <c r="X3164" s="55">
        <v>10185549</v>
      </c>
      <c r="Y3164" s="55" t="s">
        <v>132</v>
      </c>
      <c r="AB3164" s="55" t="s">
        <v>132</v>
      </c>
      <c r="AC3164" s="55" t="s">
        <v>130</v>
      </c>
    </row>
    <row r="3165" spans="1:29" ht="13" x14ac:dyDescent="0.15">
      <c r="A3165" s="72" t="str">
        <f t="shared" si="49"/>
        <v>Ofsted Social Care Provider Webpage</v>
      </c>
      <c r="B3165" s="55" t="s">
        <v>5953</v>
      </c>
      <c r="D3165" s="55" t="s">
        <v>373</v>
      </c>
      <c r="E3165" s="74">
        <v>41320</v>
      </c>
      <c r="F3165" s="55" t="s">
        <v>344</v>
      </c>
      <c r="G3165" s="55" t="s">
        <v>360</v>
      </c>
      <c r="H3165" s="55" t="s">
        <v>360</v>
      </c>
      <c r="I3165" s="55" t="s">
        <v>360</v>
      </c>
      <c r="J3165" s="55" t="s">
        <v>360</v>
      </c>
      <c r="K3165" s="55" t="s">
        <v>360</v>
      </c>
      <c r="L3165" s="55" t="s">
        <v>360</v>
      </c>
      <c r="M3165" s="55" t="s">
        <v>144</v>
      </c>
      <c r="N3165" s="55" t="s">
        <v>144</v>
      </c>
      <c r="O3165" s="55" t="s">
        <v>147</v>
      </c>
      <c r="P3165" s="55" t="s">
        <v>387</v>
      </c>
      <c r="Q3165" s="55" t="s">
        <v>350</v>
      </c>
      <c r="R3165" s="55">
        <v>1</v>
      </c>
      <c r="S3165" s="55"/>
      <c r="T3165" s="55" t="s">
        <v>385</v>
      </c>
      <c r="U3165" s="73" t="s">
        <v>351</v>
      </c>
      <c r="V3165" s="74">
        <v>44627</v>
      </c>
      <c r="W3165" s="74">
        <v>44671</v>
      </c>
      <c r="X3165" s="55">
        <v>10185294</v>
      </c>
      <c r="Y3165" s="55" t="s">
        <v>132</v>
      </c>
      <c r="AB3165" s="55" t="s">
        <v>132</v>
      </c>
      <c r="AC3165" s="55" t="s">
        <v>132</v>
      </c>
    </row>
    <row r="3166" spans="1:29" ht="13" x14ac:dyDescent="0.15">
      <c r="A3166" s="72" t="str">
        <f t="shared" si="49"/>
        <v>Ofsted Social Care Provider Webpage</v>
      </c>
      <c r="B3166" s="55" t="s">
        <v>5954</v>
      </c>
      <c r="D3166" s="55" t="s">
        <v>373</v>
      </c>
      <c r="E3166" s="74">
        <v>41320</v>
      </c>
      <c r="F3166" s="55" t="s">
        <v>344</v>
      </c>
      <c r="G3166" s="55" t="s">
        <v>360</v>
      </c>
      <c r="H3166" s="55" t="s">
        <v>360</v>
      </c>
      <c r="I3166" s="55" t="s">
        <v>360</v>
      </c>
      <c r="J3166" s="55" t="s">
        <v>360</v>
      </c>
      <c r="K3166" s="55" t="s">
        <v>360</v>
      </c>
      <c r="L3166" s="55" t="s">
        <v>360</v>
      </c>
      <c r="M3166" s="55" t="s">
        <v>144</v>
      </c>
      <c r="N3166" s="55" t="s">
        <v>144</v>
      </c>
      <c r="O3166" s="55" t="s">
        <v>245</v>
      </c>
      <c r="P3166" s="55" t="s">
        <v>245</v>
      </c>
      <c r="Q3166" s="55" t="s">
        <v>350</v>
      </c>
      <c r="R3166" s="55">
        <v>1</v>
      </c>
      <c r="S3166" s="55"/>
      <c r="T3166" s="55" t="s">
        <v>385</v>
      </c>
      <c r="U3166" s="73" t="s">
        <v>351</v>
      </c>
      <c r="V3166" s="74">
        <v>44306</v>
      </c>
      <c r="W3166" s="74">
        <v>44334</v>
      </c>
      <c r="X3166" s="55">
        <v>10186836</v>
      </c>
      <c r="Y3166" s="55" t="s">
        <v>132</v>
      </c>
      <c r="AB3166" s="55" t="s">
        <v>132</v>
      </c>
      <c r="AC3166" s="55" t="s">
        <v>132</v>
      </c>
    </row>
    <row r="3167" spans="1:29" ht="13" x14ac:dyDescent="0.15">
      <c r="A3167" s="72" t="str">
        <f t="shared" si="49"/>
        <v>Ofsted Social Care Provider Webpage</v>
      </c>
      <c r="B3167" s="55" t="s">
        <v>5955</v>
      </c>
      <c r="D3167" s="55" t="s">
        <v>373</v>
      </c>
      <c r="E3167" s="74">
        <v>41320</v>
      </c>
      <c r="F3167" s="55" t="s">
        <v>344</v>
      </c>
      <c r="G3167" s="55" t="s">
        <v>360</v>
      </c>
      <c r="H3167" s="55" t="s">
        <v>360</v>
      </c>
      <c r="I3167" s="55" t="s">
        <v>360</v>
      </c>
      <c r="J3167" s="55" t="s">
        <v>360</v>
      </c>
      <c r="K3167" s="55" t="s">
        <v>360</v>
      </c>
      <c r="L3167" s="55" t="s">
        <v>360</v>
      </c>
      <c r="M3167" s="55" t="s">
        <v>144</v>
      </c>
      <c r="N3167" s="55" t="s">
        <v>144</v>
      </c>
      <c r="O3167" s="55" t="s">
        <v>245</v>
      </c>
      <c r="P3167" s="55" t="s">
        <v>1796</v>
      </c>
      <c r="Q3167" s="55" t="s">
        <v>350</v>
      </c>
      <c r="R3167" s="55">
        <v>1</v>
      </c>
      <c r="S3167" s="55"/>
      <c r="T3167" s="55" t="s">
        <v>385</v>
      </c>
      <c r="U3167" s="73" t="s">
        <v>351</v>
      </c>
      <c r="V3167" s="74">
        <v>44572</v>
      </c>
      <c r="W3167" s="74">
        <v>44600</v>
      </c>
      <c r="X3167" s="55">
        <v>10187078</v>
      </c>
      <c r="Y3167" s="55" t="s">
        <v>132</v>
      </c>
      <c r="AB3167" s="55" t="s">
        <v>132</v>
      </c>
      <c r="AC3167" s="55" t="s">
        <v>130</v>
      </c>
    </row>
    <row r="3168" spans="1:29" ht="13" x14ac:dyDescent="0.15">
      <c r="A3168" s="72" t="str">
        <f t="shared" si="49"/>
        <v>Ofsted Social Care Provider Webpage</v>
      </c>
      <c r="B3168" s="55" t="s">
        <v>5956</v>
      </c>
      <c r="D3168" s="55" t="s">
        <v>373</v>
      </c>
      <c r="E3168" s="74">
        <v>41319</v>
      </c>
      <c r="F3168" s="55" t="s">
        <v>344</v>
      </c>
      <c r="G3168" s="55" t="s">
        <v>360</v>
      </c>
      <c r="H3168" s="55" t="s">
        <v>360</v>
      </c>
      <c r="I3168" s="55" t="s">
        <v>360</v>
      </c>
      <c r="J3168" s="55" t="s">
        <v>360</v>
      </c>
      <c r="K3168" s="55" t="s">
        <v>360</v>
      </c>
      <c r="L3168" s="55" t="s">
        <v>360</v>
      </c>
      <c r="M3168" s="55" t="s">
        <v>378</v>
      </c>
      <c r="N3168" s="55" t="s">
        <v>170</v>
      </c>
      <c r="O3168" s="55" t="s">
        <v>178</v>
      </c>
      <c r="P3168" s="55" t="s">
        <v>2014</v>
      </c>
      <c r="Q3168" s="55" t="s">
        <v>350</v>
      </c>
      <c r="R3168" s="55">
        <v>3</v>
      </c>
      <c r="S3168" s="55"/>
      <c r="T3168" s="55" t="s">
        <v>385</v>
      </c>
      <c r="U3168" s="73" t="s">
        <v>351</v>
      </c>
      <c r="V3168" s="74">
        <v>44480</v>
      </c>
      <c r="W3168" s="74">
        <v>44530</v>
      </c>
      <c r="X3168" s="55">
        <v>10186247</v>
      </c>
      <c r="Y3168" s="55" t="s">
        <v>130</v>
      </c>
      <c r="AB3168" s="55" t="s">
        <v>130</v>
      </c>
      <c r="AC3168" s="55" t="s">
        <v>130</v>
      </c>
    </row>
    <row r="3169" spans="1:29" ht="13" x14ac:dyDescent="0.15">
      <c r="A3169" s="72" t="str">
        <f t="shared" si="49"/>
        <v>Ofsted Social Care Provider Webpage</v>
      </c>
      <c r="B3169" s="55" t="s">
        <v>5957</v>
      </c>
      <c r="D3169" s="55" t="s">
        <v>373</v>
      </c>
      <c r="E3169" s="74">
        <v>41221</v>
      </c>
      <c r="F3169" s="55" t="s">
        <v>344</v>
      </c>
      <c r="G3169" s="55" t="s">
        <v>360</v>
      </c>
      <c r="H3169" s="55" t="s">
        <v>360</v>
      </c>
      <c r="I3169" s="55" t="s">
        <v>360</v>
      </c>
      <c r="J3169" s="55" t="s">
        <v>360</v>
      </c>
      <c r="K3169" s="55" t="s">
        <v>360</v>
      </c>
      <c r="L3169" s="55" t="s">
        <v>360</v>
      </c>
      <c r="M3169" s="55" t="s">
        <v>378</v>
      </c>
      <c r="N3169" s="55" t="s">
        <v>170</v>
      </c>
      <c r="O3169" s="55" t="s">
        <v>264</v>
      </c>
      <c r="P3169" s="55" t="s">
        <v>1334</v>
      </c>
      <c r="Q3169" s="55" t="s">
        <v>380</v>
      </c>
      <c r="R3169" s="55">
        <v>4</v>
      </c>
      <c r="S3169" s="55"/>
      <c r="T3169" s="55" t="s">
        <v>1696</v>
      </c>
      <c r="U3169" s="73" t="s">
        <v>351</v>
      </c>
      <c r="V3169" s="74">
        <v>44376</v>
      </c>
      <c r="W3169" s="74">
        <v>44421</v>
      </c>
      <c r="X3169" s="55">
        <v>10185190</v>
      </c>
      <c r="Y3169" s="55" t="s">
        <v>132</v>
      </c>
      <c r="AB3169" s="55" t="s">
        <v>132</v>
      </c>
      <c r="AC3169" s="55" t="s">
        <v>130</v>
      </c>
    </row>
    <row r="3170" spans="1:29" ht="13" x14ac:dyDescent="0.15">
      <c r="A3170" s="72" t="str">
        <f t="shared" si="49"/>
        <v>Ofsted Social Care Provider Webpage</v>
      </c>
      <c r="B3170" s="55" t="s">
        <v>5958</v>
      </c>
      <c r="D3170" s="55" t="s">
        <v>373</v>
      </c>
      <c r="E3170" s="74">
        <v>41332</v>
      </c>
      <c r="F3170" s="55" t="s">
        <v>344</v>
      </c>
      <c r="G3170" s="55" t="s">
        <v>360</v>
      </c>
      <c r="H3170" s="55" t="s">
        <v>360</v>
      </c>
      <c r="I3170" s="55" t="s">
        <v>360</v>
      </c>
      <c r="J3170" s="55" t="s">
        <v>360</v>
      </c>
      <c r="K3170" s="55" t="s">
        <v>360</v>
      </c>
      <c r="L3170" s="55" t="s">
        <v>360</v>
      </c>
      <c r="M3170" s="55" t="s">
        <v>172</v>
      </c>
      <c r="N3170" s="55" t="s">
        <v>172</v>
      </c>
      <c r="O3170" s="55" t="s">
        <v>284</v>
      </c>
      <c r="P3170" s="55" t="s">
        <v>986</v>
      </c>
      <c r="Q3170" s="55" t="s">
        <v>350</v>
      </c>
      <c r="R3170" s="55">
        <v>6</v>
      </c>
      <c r="S3170" s="55"/>
      <c r="T3170" s="55" t="s">
        <v>385</v>
      </c>
      <c r="U3170" s="73" t="s">
        <v>351</v>
      </c>
      <c r="V3170" s="74">
        <v>44454</v>
      </c>
      <c r="W3170" s="74">
        <v>44482</v>
      </c>
      <c r="X3170" s="55">
        <v>10186644</v>
      </c>
      <c r="Y3170" s="55" t="s">
        <v>132</v>
      </c>
      <c r="AB3170" s="55" t="s">
        <v>132</v>
      </c>
      <c r="AC3170" s="55" t="s">
        <v>132</v>
      </c>
    </row>
    <row r="3171" spans="1:29" ht="13" x14ac:dyDescent="0.15">
      <c r="A3171" s="72" t="str">
        <f t="shared" si="49"/>
        <v>Ofsted Social Care Provider Webpage</v>
      </c>
      <c r="B3171" s="55" t="s">
        <v>5959</v>
      </c>
      <c r="D3171" s="55" t="s">
        <v>373</v>
      </c>
      <c r="E3171" s="74">
        <v>41319</v>
      </c>
      <c r="F3171" s="55" t="s">
        <v>344</v>
      </c>
      <c r="G3171" s="55" t="s">
        <v>360</v>
      </c>
      <c r="H3171" s="55" t="s">
        <v>360</v>
      </c>
      <c r="I3171" s="55" t="s">
        <v>360</v>
      </c>
      <c r="J3171" s="55" t="s">
        <v>360</v>
      </c>
      <c r="K3171" s="55" t="s">
        <v>360</v>
      </c>
      <c r="L3171" s="55" t="s">
        <v>360</v>
      </c>
      <c r="M3171" s="55" t="s">
        <v>144</v>
      </c>
      <c r="N3171" s="55" t="s">
        <v>144</v>
      </c>
      <c r="O3171" s="55" t="s">
        <v>188</v>
      </c>
      <c r="P3171" s="55" t="s">
        <v>188</v>
      </c>
      <c r="Q3171" s="55" t="s">
        <v>350</v>
      </c>
      <c r="R3171" s="55">
        <v>3</v>
      </c>
      <c r="S3171" s="55"/>
      <c r="T3171" s="55" t="s">
        <v>385</v>
      </c>
      <c r="U3171" s="73" t="s">
        <v>351</v>
      </c>
      <c r="V3171" s="74">
        <v>44334</v>
      </c>
      <c r="W3171" s="74">
        <v>44364</v>
      </c>
      <c r="X3171" s="55">
        <v>10186298</v>
      </c>
      <c r="Y3171" s="55" t="s">
        <v>130</v>
      </c>
      <c r="AB3171" s="55" t="s">
        <v>130</v>
      </c>
      <c r="AC3171" s="55" t="s">
        <v>130</v>
      </c>
    </row>
    <row r="3172" spans="1:29" ht="13" x14ac:dyDescent="0.15">
      <c r="A3172" s="72" t="str">
        <f t="shared" si="49"/>
        <v>Ofsted Social Care Provider Webpage</v>
      </c>
      <c r="B3172" s="55" t="s">
        <v>5960</v>
      </c>
      <c r="D3172" s="55" t="s">
        <v>373</v>
      </c>
      <c r="E3172" s="74">
        <v>41319</v>
      </c>
      <c r="F3172" s="55" t="s">
        <v>344</v>
      </c>
      <c r="G3172" s="55" t="s">
        <v>360</v>
      </c>
      <c r="H3172" s="55" t="s">
        <v>360</v>
      </c>
      <c r="I3172" s="55" t="s">
        <v>360</v>
      </c>
      <c r="J3172" s="55" t="s">
        <v>360</v>
      </c>
      <c r="K3172" s="55" t="s">
        <v>360</v>
      </c>
      <c r="L3172" s="55" t="s">
        <v>360</v>
      </c>
      <c r="M3172" s="55" t="s">
        <v>144</v>
      </c>
      <c r="N3172" s="55" t="s">
        <v>144</v>
      </c>
      <c r="O3172" s="55" t="s">
        <v>281</v>
      </c>
      <c r="P3172" s="55" t="s">
        <v>725</v>
      </c>
      <c r="Q3172" s="55" t="s">
        <v>350</v>
      </c>
      <c r="R3172" s="55">
        <v>1</v>
      </c>
      <c r="S3172" s="55"/>
      <c r="T3172" s="55" t="s">
        <v>385</v>
      </c>
      <c r="U3172" s="73" t="s">
        <v>351</v>
      </c>
      <c r="V3172" s="74">
        <v>44594</v>
      </c>
      <c r="W3172" s="74">
        <v>44641</v>
      </c>
      <c r="X3172" s="55">
        <v>10185760</v>
      </c>
      <c r="Y3172" s="55" t="s">
        <v>132</v>
      </c>
      <c r="AB3172" s="55" t="s">
        <v>132</v>
      </c>
      <c r="AC3172" s="55" t="s">
        <v>132</v>
      </c>
    </row>
    <row r="3173" spans="1:29" ht="13" x14ac:dyDescent="0.15">
      <c r="A3173" s="72" t="str">
        <f t="shared" si="49"/>
        <v>Ofsted Social Care Provider Webpage</v>
      </c>
      <c r="B3173" s="55" t="s">
        <v>5961</v>
      </c>
      <c r="D3173" s="55" t="s">
        <v>373</v>
      </c>
      <c r="E3173" s="74">
        <v>41319</v>
      </c>
      <c r="F3173" s="55" t="s">
        <v>344</v>
      </c>
      <c r="G3173" s="55" t="s">
        <v>360</v>
      </c>
      <c r="H3173" s="55" t="s">
        <v>360</v>
      </c>
      <c r="I3173" s="55" t="s">
        <v>360</v>
      </c>
      <c r="J3173" s="55" t="s">
        <v>360</v>
      </c>
      <c r="K3173" s="55" t="s">
        <v>360</v>
      </c>
      <c r="L3173" s="55" t="s">
        <v>360</v>
      </c>
      <c r="M3173" s="55" t="s">
        <v>144</v>
      </c>
      <c r="N3173" s="55" t="s">
        <v>144</v>
      </c>
      <c r="O3173" s="55" t="s">
        <v>281</v>
      </c>
      <c r="P3173" s="55" t="s">
        <v>725</v>
      </c>
      <c r="Q3173" s="55" t="s">
        <v>350</v>
      </c>
      <c r="R3173" s="55">
        <v>1</v>
      </c>
      <c r="S3173" s="55"/>
      <c r="T3173" s="55" t="s">
        <v>385</v>
      </c>
      <c r="U3173" s="73" t="s">
        <v>351</v>
      </c>
      <c r="V3173" s="74">
        <v>44628</v>
      </c>
      <c r="W3173" s="74">
        <v>44671</v>
      </c>
      <c r="X3173" s="55">
        <v>10186169</v>
      </c>
      <c r="Y3173" s="55" t="s">
        <v>132</v>
      </c>
      <c r="AB3173" s="55" t="s">
        <v>132</v>
      </c>
      <c r="AC3173" s="55" t="s">
        <v>130</v>
      </c>
    </row>
    <row r="3174" spans="1:29" ht="13" x14ac:dyDescent="0.15">
      <c r="A3174" s="72" t="str">
        <f t="shared" si="49"/>
        <v>Ofsted Social Care Provider Webpage</v>
      </c>
      <c r="B3174" s="55" t="s">
        <v>5962</v>
      </c>
      <c r="D3174" s="55" t="s">
        <v>373</v>
      </c>
      <c r="E3174" s="74">
        <v>41319</v>
      </c>
      <c r="F3174" s="55" t="s">
        <v>344</v>
      </c>
      <c r="G3174" s="55" t="s">
        <v>360</v>
      </c>
      <c r="H3174" s="55" t="s">
        <v>360</v>
      </c>
      <c r="I3174" s="55" t="s">
        <v>360</v>
      </c>
      <c r="J3174" s="55" t="s">
        <v>360</v>
      </c>
      <c r="K3174" s="55" t="s">
        <v>360</v>
      </c>
      <c r="L3174" s="55" t="s">
        <v>360</v>
      </c>
      <c r="M3174" s="55" t="s">
        <v>144</v>
      </c>
      <c r="N3174" s="55" t="s">
        <v>144</v>
      </c>
      <c r="O3174" s="55" t="s">
        <v>281</v>
      </c>
      <c r="P3174" s="55" t="s">
        <v>725</v>
      </c>
      <c r="Q3174" s="55" t="s">
        <v>350</v>
      </c>
      <c r="R3174" s="55">
        <v>2</v>
      </c>
      <c r="S3174" s="55"/>
      <c r="T3174" s="55" t="s">
        <v>385</v>
      </c>
      <c r="U3174" s="73" t="s">
        <v>351</v>
      </c>
      <c r="V3174" s="74">
        <v>44432</v>
      </c>
      <c r="W3174" s="74">
        <v>44466</v>
      </c>
      <c r="X3174" s="55">
        <v>10187208</v>
      </c>
      <c r="Y3174" s="55" t="s">
        <v>132</v>
      </c>
      <c r="AB3174" s="55" t="s">
        <v>132</v>
      </c>
      <c r="AC3174" s="55" t="s">
        <v>132</v>
      </c>
    </row>
    <row r="3175" spans="1:29" ht="13" x14ac:dyDescent="0.15">
      <c r="A3175" s="72" t="str">
        <f t="shared" si="49"/>
        <v>Ofsted Social Care Provider Webpage</v>
      </c>
      <c r="B3175" s="55" t="s">
        <v>5963</v>
      </c>
      <c r="D3175" s="55" t="s">
        <v>373</v>
      </c>
      <c r="E3175" s="74">
        <v>41330</v>
      </c>
      <c r="F3175" s="55" t="s">
        <v>344</v>
      </c>
      <c r="G3175" s="55" t="s">
        <v>360</v>
      </c>
      <c r="H3175" s="55" t="s">
        <v>360</v>
      </c>
      <c r="I3175" s="55" t="s">
        <v>360</v>
      </c>
      <c r="J3175" s="55" t="s">
        <v>360</v>
      </c>
      <c r="K3175" s="55" t="s">
        <v>360</v>
      </c>
      <c r="L3175" s="55" t="s">
        <v>360</v>
      </c>
      <c r="M3175" s="55" t="s">
        <v>138</v>
      </c>
      <c r="N3175" s="55" t="s">
        <v>138</v>
      </c>
      <c r="O3175" s="55" t="s">
        <v>159</v>
      </c>
      <c r="P3175" s="55" t="s">
        <v>1025</v>
      </c>
      <c r="Q3175" s="55" t="s">
        <v>350</v>
      </c>
      <c r="R3175" s="55">
        <v>3</v>
      </c>
      <c r="S3175" s="55"/>
      <c r="T3175" s="55" t="s">
        <v>385</v>
      </c>
      <c r="U3175" s="73" t="s">
        <v>351</v>
      </c>
      <c r="V3175" s="74">
        <v>44503</v>
      </c>
      <c r="W3175" s="74">
        <v>44537</v>
      </c>
      <c r="X3175" s="55">
        <v>10186475</v>
      </c>
      <c r="Y3175" s="55" t="s">
        <v>140</v>
      </c>
      <c r="AB3175" s="55" t="s">
        <v>140</v>
      </c>
      <c r="AC3175" s="55" t="s">
        <v>140</v>
      </c>
    </row>
    <row r="3176" spans="1:29" ht="13" x14ac:dyDescent="0.15">
      <c r="A3176" s="72" t="str">
        <f t="shared" si="49"/>
        <v>Ofsted Social Care Provider Webpage</v>
      </c>
      <c r="B3176" s="55" t="s">
        <v>5964</v>
      </c>
      <c r="D3176" s="55" t="s">
        <v>373</v>
      </c>
      <c r="E3176" s="74">
        <v>41320</v>
      </c>
      <c r="F3176" s="55" t="s">
        <v>344</v>
      </c>
      <c r="G3176" s="55" t="s">
        <v>360</v>
      </c>
      <c r="H3176" s="55" t="s">
        <v>360</v>
      </c>
      <c r="I3176" s="55" t="s">
        <v>360</v>
      </c>
      <c r="J3176" s="55" t="s">
        <v>360</v>
      </c>
      <c r="K3176" s="55" t="s">
        <v>360</v>
      </c>
      <c r="L3176" s="55" t="s">
        <v>360</v>
      </c>
      <c r="M3176" s="55" t="s">
        <v>144</v>
      </c>
      <c r="N3176" s="55" t="s">
        <v>144</v>
      </c>
      <c r="O3176" s="55" t="s">
        <v>245</v>
      </c>
      <c r="P3176" s="55" t="s">
        <v>245</v>
      </c>
      <c r="Q3176" s="55" t="s">
        <v>350</v>
      </c>
      <c r="R3176" s="55">
        <v>1</v>
      </c>
      <c r="S3176" s="55"/>
      <c r="T3176" s="55" t="s">
        <v>385</v>
      </c>
      <c r="U3176" s="73" t="s">
        <v>351</v>
      </c>
      <c r="V3176" s="74">
        <v>44635</v>
      </c>
      <c r="W3176" s="74">
        <v>44678</v>
      </c>
      <c r="X3176" s="55">
        <v>10187511</v>
      </c>
      <c r="Y3176" s="55" t="s">
        <v>132</v>
      </c>
      <c r="AB3176" s="55" t="s">
        <v>132</v>
      </c>
      <c r="AC3176" s="55" t="s">
        <v>132</v>
      </c>
    </row>
    <row r="3177" spans="1:29" ht="13" x14ac:dyDescent="0.15">
      <c r="A3177" s="72" t="str">
        <f t="shared" si="49"/>
        <v>Ofsted Social Care Provider Webpage</v>
      </c>
      <c r="B3177" s="55" t="s">
        <v>5965</v>
      </c>
      <c r="D3177" s="55" t="s">
        <v>373</v>
      </c>
      <c r="E3177" s="74">
        <v>41316</v>
      </c>
      <c r="F3177" s="55" t="s">
        <v>344</v>
      </c>
      <c r="G3177" s="55" t="s">
        <v>360</v>
      </c>
      <c r="H3177" s="55" t="s">
        <v>360</v>
      </c>
      <c r="I3177" s="55" t="s">
        <v>360</v>
      </c>
      <c r="J3177" s="55" t="s">
        <v>360</v>
      </c>
      <c r="K3177" s="55" t="s">
        <v>360</v>
      </c>
      <c r="L3177" s="55" t="s">
        <v>360</v>
      </c>
      <c r="M3177" s="55" t="s">
        <v>144</v>
      </c>
      <c r="N3177" s="55" t="s">
        <v>144</v>
      </c>
      <c r="O3177" s="55" t="s">
        <v>245</v>
      </c>
      <c r="P3177" s="55" t="s">
        <v>1796</v>
      </c>
      <c r="Q3177" s="55" t="s">
        <v>350</v>
      </c>
      <c r="R3177" s="55">
        <v>1</v>
      </c>
      <c r="S3177" s="55"/>
      <c r="T3177" s="55" t="s">
        <v>385</v>
      </c>
      <c r="U3177" s="73" t="s">
        <v>351</v>
      </c>
      <c r="V3177" s="74">
        <v>44335</v>
      </c>
      <c r="W3177" s="74">
        <v>44363</v>
      </c>
      <c r="X3177" s="55">
        <v>10185793</v>
      </c>
      <c r="Y3177" s="55" t="s">
        <v>132</v>
      </c>
      <c r="AB3177" s="55" t="s">
        <v>132</v>
      </c>
      <c r="AC3177" s="55" t="s">
        <v>132</v>
      </c>
    </row>
    <row r="3178" spans="1:29" ht="13" x14ac:dyDescent="0.15">
      <c r="A3178" s="72" t="str">
        <f t="shared" si="49"/>
        <v>Ofsted Social Care Provider Webpage</v>
      </c>
      <c r="B3178" s="55" t="s">
        <v>5966</v>
      </c>
      <c r="D3178" s="55" t="s">
        <v>373</v>
      </c>
      <c r="E3178" s="74">
        <v>41347</v>
      </c>
      <c r="F3178" s="55" t="s">
        <v>344</v>
      </c>
      <c r="G3178" s="55" t="s">
        <v>360</v>
      </c>
      <c r="H3178" s="55" t="s">
        <v>360</v>
      </c>
      <c r="I3178" s="55" t="s">
        <v>360</v>
      </c>
      <c r="J3178" s="55" t="s">
        <v>360</v>
      </c>
      <c r="K3178" s="55" t="s">
        <v>360</v>
      </c>
      <c r="L3178" s="55" t="s">
        <v>360</v>
      </c>
      <c r="M3178" s="55" t="s">
        <v>136</v>
      </c>
      <c r="N3178" s="55" t="s">
        <v>136</v>
      </c>
      <c r="O3178" s="55" t="s">
        <v>274</v>
      </c>
      <c r="P3178" s="55" t="s">
        <v>274</v>
      </c>
      <c r="Q3178" s="55" t="s">
        <v>350</v>
      </c>
      <c r="R3178" s="55">
        <v>1</v>
      </c>
      <c r="S3178" s="55"/>
      <c r="T3178" s="55" t="s">
        <v>385</v>
      </c>
      <c r="U3178" s="73" t="s">
        <v>351</v>
      </c>
      <c r="V3178" s="74">
        <v>44356</v>
      </c>
      <c r="W3178" s="74">
        <v>44393</v>
      </c>
      <c r="X3178" s="55">
        <v>10186001</v>
      </c>
      <c r="Y3178" s="55" t="s">
        <v>132</v>
      </c>
      <c r="AB3178" s="55" t="s">
        <v>132</v>
      </c>
      <c r="AC3178" s="55" t="s">
        <v>132</v>
      </c>
    </row>
    <row r="3179" spans="1:29" ht="13" x14ac:dyDescent="0.15">
      <c r="A3179" s="72" t="str">
        <f t="shared" si="49"/>
        <v>Ofsted Social Care Provider Webpage</v>
      </c>
      <c r="B3179" s="55" t="s">
        <v>5967</v>
      </c>
      <c r="D3179" s="55" t="s">
        <v>373</v>
      </c>
      <c r="E3179" s="74">
        <v>41330</v>
      </c>
      <c r="F3179" s="55" t="s">
        <v>344</v>
      </c>
      <c r="G3179" s="55" t="s">
        <v>360</v>
      </c>
      <c r="H3179" s="55" t="s">
        <v>360</v>
      </c>
      <c r="I3179" s="55" t="s">
        <v>360</v>
      </c>
      <c r="J3179" s="55" t="s">
        <v>360</v>
      </c>
      <c r="K3179" s="55" t="s">
        <v>360</v>
      </c>
      <c r="L3179" s="55" t="s">
        <v>360</v>
      </c>
      <c r="M3179" s="55" t="s">
        <v>136</v>
      </c>
      <c r="N3179" s="55" t="s">
        <v>136</v>
      </c>
      <c r="O3179" s="55" t="s">
        <v>274</v>
      </c>
      <c r="P3179" s="55" t="s">
        <v>274</v>
      </c>
      <c r="Q3179" s="55" t="s">
        <v>350</v>
      </c>
      <c r="R3179" s="55">
        <v>2</v>
      </c>
      <c r="S3179" s="55"/>
      <c r="T3179" s="55" t="s">
        <v>385</v>
      </c>
      <c r="U3179" s="73" t="s">
        <v>351</v>
      </c>
      <c r="V3179" s="74">
        <v>44391</v>
      </c>
      <c r="W3179" s="74">
        <v>44426</v>
      </c>
      <c r="X3179" s="55">
        <v>10186071</v>
      </c>
      <c r="Y3179" s="55" t="s">
        <v>130</v>
      </c>
      <c r="AB3179" s="55" t="s">
        <v>130</v>
      </c>
      <c r="AC3179" s="55" t="s">
        <v>130</v>
      </c>
    </row>
    <row r="3180" spans="1:29" ht="13" x14ac:dyDescent="0.15">
      <c r="A3180" s="72" t="str">
        <f t="shared" si="49"/>
        <v>Ofsted Social Care Provider Webpage</v>
      </c>
      <c r="B3180" s="55" t="s">
        <v>5968</v>
      </c>
      <c r="D3180" s="55" t="s">
        <v>373</v>
      </c>
      <c r="E3180" s="74">
        <v>41330</v>
      </c>
      <c r="F3180" s="55" t="s">
        <v>344</v>
      </c>
      <c r="G3180" s="55" t="s">
        <v>360</v>
      </c>
      <c r="H3180" s="55" t="s">
        <v>360</v>
      </c>
      <c r="I3180" s="55" t="s">
        <v>360</v>
      </c>
      <c r="J3180" s="55" t="s">
        <v>360</v>
      </c>
      <c r="K3180" s="55" t="s">
        <v>360</v>
      </c>
      <c r="L3180" s="55" t="s">
        <v>360</v>
      </c>
      <c r="M3180" s="55" t="s">
        <v>138</v>
      </c>
      <c r="N3180" s="55" t="s">
        <v>138</v>
      </c>
      <c r="O3180" s="55" t="s">
        <v>159</v>
      </c>
      <c r="P3180" s="55" t="s">
        <v>1025</v>
      </c>
      <c r="Q3180" s="55" t="s">
        <v>350</v>
      </c>
      <c r="R3180" s="55">
        <v>6</v>
      </c>
      <c r="S3180" s="55"/>
      <c r="T3180" s="55" t="s">
        <v>385</v>
      </c>
      <c r="U3180" s="73" t="s">
        <v>351</v>
      </c>
      <c r="V3180" s="74">
        <v>44539</v>
      </c>
      <c r="W3180" s="74">
        <v>44587</v>
      </c>
      <c r="X3180" s="55">
        <v>10186785</v>
      </c>
      <c r="Y3180" s="55" t="s">
        <v>132</v>
      </c>
      <c r="AB3180" s="55" t="s">
        <v>130</v>
      </c>
      <c r="AC3180" s="55" t="s">
        <v>132</v>
      </c>
    </row>
    <row r="3181" spans="1:29" ht="13" x14ac:dyDescent="0.15">
      <c r="A3181" s="72" t="str">
        <f t="shared" si="49"/>
        <v>Ofsted Social Care Provider Webpage</v>
      </c>
      <c r="B3181" s="55" t="s">
        <v>5969</v>
      </c>
      <c r="D3181" s="55" t="s">
        <v>373</v>
      </c>
      <c r="E3181" s="74">
        <v>41320</v>
      </c>
      <c r="F3181" s="55" t="s">
        <v>344</v>
      </c>
      <c r="G3181" s="55" t="s">
        <v>360</v>
      </c>
      <c r="H3181" s="55" t="s">
        <v>360</v>
      </c>
      <c r="I3181" s="55" t="s">
        <v>360</v>
      </c>
      <c r="J3181" s="55" t="s">
        <v>360</v>
      </c>
      <c r="K3181" s="55" t="s">
        <v>360</v>
      </c>
      <c r="L3181" s="55" t="s">
        <v>360</v>
      </c>
      <c r="M3181" s="55" t="s">
        <v>144</v>
      </c>
      <c r="N3181" s="55" t="s">
        <v>144</v>
      </c>
      <c r="O3181" s="55" t="s">
        <v>281</v>
      </c>
      <c r="P3181" s="55" t="s">
        <v>725</v>
      </c>
      <c r="Q3181" s="55" t="s">
        <v>350</v>
      </c>
      <c r="R3181" s="55">
        <v>1</v>
      </c>
      <c r="S3181" s="55"/>
      <c r="T3181" s="55" t="s">
        <v>385</v>
      </c>
      <c r="U3181" s="73" t="s">
        <v>351</v>
      </c>
      <c r="V3181" s="74">
        <v>44502</v>
      </c>
      <c r="W3181" s="74">
        <v>44546</v>
      </c>
      <c r="X3181" s="55">
        <v>10185053</v>
      </c>
      <c r="Y3181" s="55" t="s">
        <v>130</v>
      </c>
      <c r="AB3181" s="55" t="s">
        <v>132</v>
      </c>
      <c r="AC3181" s="55" t="s">
        <v>130</v>
      </c>
    </row>
    <row r="3182" spans="1:29" ht="13" x14ac:dyDescent="0.15">
      <c r="A3182" s="72" t="str">
        <f t="shared" si="49"/>
        <v>Ofsted Social Care Provider Webpage</v>
      </c>
      <c r="B3182" s="55" t="s">
        <v>5970</v>
      </c>
      <c r="D3182" s="55" t="s">
        <v>373</v>
      </c>
      <c r="E3182" s="74">
        <v>41219</v>
      </c>
      <c r="F3182" s="55" t="s">
        <v>344</v>
      </c>
      <c r="G3182" s="55" t="s">
        <v>360</v>
      </c>
      <c r="H3182" s="55" t="s">
        <v>360</v>
      </c>
      <c r="I3182" s="55" t="s">
        <v>360</v>
      </c>
      <c r="J3182" s="55" t="s">
        <v>360</v>
      </c>
      <c r="K3182" s="55" t="s">
        <v>360</v>
      </c>
      <c r="L3182" s="55" t="s">
        <v>360</v>
      </c>
      <c r="M3182" s="55" t="s">
        <v>144</v>
      </c>
      <c r="N3182" s="55" t="s">
        <v>144</v>
      </c>
      <c r="O3182" s="55" t="s">
        <v>281</v>
      </c>
      <c r="P3182" s="55" t="s">
        <v>556</v>
      </c>
      <c r="Q3182" s="55" t="s">
        <v>350</v>
      </c>
      <c r="R3182" s="55">
        <v>1</v>
      </c>
      <c r="S3182" s="55"/>
      <c r="T3182" s="55" t="s">
        <v>385</v>
      </c>
      <c r="U3182" s="73" t="s">
        <v>351</v>
      </c>
      <c r="V3182" s="74">
        <v>44544</v>
      </c>
      <c r="W3182" s="74">
        <v>44593</v>
      </c>
      <c r="X3182" s="55">
        <v>10185764</v>
      </c>
      <c r="Y3182" s="55" t="s">
        <v>146</v>
      </c>
      <c r="AB3182" s="55" t="s">
        <v>146</v>
      </c>
      <c r="AC3182" s="55" t="s">
        <v>146</v>
      </c>
    </row>
    <row r="3183" spans="1:29" ht="13" x14ac:dyDescent="0.15">
      <c r="A3183" s="72" t="str">
        <f t="shared" si="49"/>
        <v>Ofsted Social Care Provider Webpage</v>
      </c>
      <c r="B3183" s="55" t="s">
        <v>5971</v>
      </c>
      <c r="D3183" s="55" t="s">
        <v>373</v>
      </c>
      <c r="E3183" s="74">
        <v>41319</v>
      </c>
      <c r="F3183" s="55" t="s">
        <v>344</v>
      </c>
      <c r="G3183" s="55" t="s">
        <v>360</v>
      </c>
      <c r="H3183" s="55" t="s">
        <v>360</v>
      </c>
      <c r="I3183" s="55" t="s">
        <v>360</v>
      </c>
      <c r="J3183" s="55" t="s">
        <v>360</v>
      </c>
      <c r="K3183" s="55" t="s">
        <v>360</v>
      </c>
      <c r="L3183" s="55" t="s">
        <v>360</v>
      </c>
      <c r="M3183" s="55" t="s">
        <v>144</v>
      </c>
      <c r="N3183" s="55" t="s">
        <v>144</v>
      </c>
      <c r="O3183" s="55" t="s">
        <v>188</v>
      </c>
      <c r="P3183" s="55" t="s">
        <v>188</v>
      </c>
      <c r="Q3183" s="55" t="s">
        <v>350</v>
      </c>
      <c r="R3183" s="55">
        <v>2</v>
      </c>
      <c r="S3183" s="55"/>
      <c r="T3183" s="55" t="s">
        <v>385</v>
      </c>
      <c r="U3183" s="73" t="s">
        <v>351</v>
      </c>
      <c r="V3183" s="74">
        <v>44628</v>
      </c>
      <c r="W3183" s="74">
        <v>44670</v>
      </c>
      <c r="X3183" s="55">
        <v>10186690</v>
      </c>
      <c r="Y3183" s="55" t="s">
        <v>132</v>
      </c>
      <c r="AB3183" s="55" t="s">
        <v>132</v>
      </c>
      <c r="AC3183" s="55" t="s">
        <v>132</v>
      </c>
    </row>
    <row r="3184" spans="1:29" ht="13" x14ac:dyDescent="0.15">
      <c r="A3184" s="72" t="str">
        <f t="shared" si="49"/>
        <v>Ofsted Social Care Provider Webpage</v>
      </c>
      <c r="B3184" s="55" t="s">
        <v>5972</v>
      </c>
      <c r="D3184" s="55" t="s">
        <v>373</v>
      </c>
      <c r="E3184" s="74">
        <v>41327</v>
      </c>
      <c r="F3184" s="55" t="s">
        <v>344</v>
      </c>
      <c r="G3184" s="55" t="s">
        <v>360</v>
      </c>
      <c r="H3184" s="55" t="s">
        <v>360</v>
      </c>
      <c r="I3184" s="55" t="s">
        <v>360</v>
      </c>
      <c r="J3184" s="55" t="s">
        <v>360</v>
      </c>
      <c r="K3184" s="55" t="s">
        <v>360</v>
      </c>
      <c r="L3184" s="55" t="s">
        <v>360</v>
      </c>
      <c r="M3184" s="55" t="s">
        <v>138</v>
      </c>
      <c r="N3184" s="55" t="s">
        <v>138</v>
      </c>
      <c r="O3184" s="55" t="s">
        <v>183</v>
      </c>
      <c r="P3184" s="55" t="s">
        <v>1500</v>
      </c>
      <c r="Q3184" s="55" t="s">
        <v>350</v>
      </c>
      <c r="R3184" s="55">
        <v>3</v>
      </c>
      <c r="S3184" s="55"/>
      <c r="T3184" s="55" t="s">
        <v>385</v>
      </c>
      <c r="U3184" s="73" t="s">
        <v>351</v>
      </c>
      <c r="V3184" s="74">
        <v>44453</v>
      </c>
      <c r="W3184" s="74">
        <v>44480</v>
      </c>
      <c r="X3184" s="55">
        <v>10186684</v>
      </c>
      <c r="Y3184" s="55" t="s">
        <v>132</v>
      </c>
      <c r="AB3184" s="55" t="s">
        <v>132</v>
      </c>
      <c r="AC3184" s="55" t="s">
        <v>132</v>
      </c>
    </row>
    <row r="3185" spans="1:29" ht="13" x14ac:dyDescent="0.15">
      <c r="A3185" s="72" t="str">
        <f t="shared" si="49"/>
        <v>Ofsted Social Care Provider Webpage</v>
      </c>
      <c r="B3185" s="55" t="s">
        <v>5973</v>
      </c>
      <c r="D3185" s="55" t="s">
        <v>373</v>
      </c>
      <c r="E3185" s="74">
        <v>41236</v>
      </c>
      <c r="F3185" s="55" t="s">
        <v>344</v>
      </c>
      <c r="G3185" s="55" t="s">
        <v>360</v>
      </c>
      <c r="H3185" s="55" t="s">
        <v>360</v>
      </c>
      <c r="I3185" s="55" t="s">
        <v>360</v>
      </c>
      <c r="J3185" s="55" t="s">
        <v>360</v>
      </c>
      <c r="K3185" s="55" t="s">
        <v>360</v>
      </c>
      <c r="L3185" s="55" t="s">
        <v>360</v>
      </c>
      <c r="M3185" s="55" t="s">
        <v>142</v>
      </c>
      <c r="N3185" s="55" t="s">
        <v>142</v>
      </c>
      <c r="O3185" s="55" t="s">
        <v>249</v>
      </c>
      <c r="P3185" s="55" t="s">
        <v>1318</v>
      </c>
      <c r="Q3185" s="55" t="s">
        <v>350</v>
      </c>
      <c r="R3185" s="55">
        <v>3</v>
      </c>
      <c r="S3185" s="55"/>
      <c r="T3185" s="55" t="s">
        <v>1019</v>
      </c>
      <c r="U3185" s="73" t="s">
        <v>351</v>
      </c>
      <c r="V3185" s="74">
        <v>43787</v>
      </c>
      <c r="W3185" s="74">
        <v>43808</v>
      </c>
      <c r="X3185" s="55">
        <v>10096813</v>
      </c>
      <c r="Y3185" s="55" t="s">
        <v>132</v>
      </c>
      <c r="AB3185" s="55" t="s">
        <v>132</v>
      </c>
      <c r="AC3185" s="55" t="s">
        <v>132</v>
      </c>
    </row>
    <row r="3186" spans="1:29" ht="13" x14ac:dyDescent="0.15">
      <c r="A3186" s="72" t="str">
        <f t="shared" si="49"/>
        <v>Ofsted Social Care Provider Webpage</v>
      </c>
      <c r="B3186" s="55" t="s">
        <v>5974</v>
      </c>
      <c r="D3186" s="55" t="s">
        <v>373</v>
      </c>
      <c r="E3186" s="74">
        <v>41316</v>
      </c>
      <c r="F3186" s="55" t="s">
        <v>344</v>
      </c>
      <c r="G3186" s="55" t="s">
        <v>360</v>
      </c>
      <c r="H3186" s="55" t="s">
        <v>360</v>
      </c>
      <c r="I3186" s="55" t="s">
        <v>360</v>
      </c>
      <c r="J3186" s="55" t="s">
        <v>360</v>
      </c>
      <c r="K3186" s="55" t="s">
        <v>360</v>
      </c>
      <c r="L3186" s="55" t="s">
        <v>360</v>
      </c>
      <c r="M3186" s="55" t="s">
        <v>142</v>
      </c>
      <c r="N3186" s="55" t="s">
        <v>142</v>
      </c>
      <c r="O3186" s="55" t="s">
        <v>195</v>
      </c>
      <c r="P3186" s="55" t="s">
        <v>747</v>
      </c>
      <c r="Q3186" s="55" t="s">
        <v>350</v>
      </c>
      <c r="R3186" s="55">
        <v>4</v>
      </c>
      <c r="S3186" s="55"/>
      <c r="T3186" s="55" t="s">
        <v>385</v>
      </c>
      <c r="U3186" s="73" t="s">
        <v>351</v>
      </c>
      <c r="V3186" s="74">
        <v>44454</v>
      </c>
      <c r="W3186" s="74">
        <v>44484</v>
      </c>
      <c r="X3186" s="55">
        <v>10186418</v>
      </c>
      <c r="Y3186" s="55" t="s">
        <v>132</v>
      </c>
      <c r="AB3186" s="55" t="s">
        <v>132</v>
      </c>
      <c r="AC3186" s="55" t="s">
        <v>130</v>
      </c>
    </row>
    <row r="3187" spans="1:29" ht="13" x14ac:dyDescent="0.15">
      <c r="A3187" s="72" t="str">
        <f t="shared" si="49"/>
        <v>Ofsted Social Care Provider Webpage</v>
      </c>
      <c r="B3187" s="55" t="s">
        <v>5975</v>
      </c>
      <c r="D3187" s="55" t="s">
        <v>373</v>
      </c>
      <c r="E3187" s="74">
        <v>41489</v>
      </c>
      <c r="F3187" s="55" t="s">
        <v>344</v>
      </c>
      <c r="G3187" s="55" t="s">
        <v>360</v>
      </c>
      <c r="H3187" s="55" t="s">
        <v>360</v>
      </c>
      <c r="I3187" s="55" t="s">
        <v>360</v>
      </c>
      <c r="J3187" s="55" t="s">
        <v>360</v>
      </c>
      <c r="K3187" s="55" t="s">
        <v>360</v>
      </c>
      <c r="L3187" s="55" t="s">
        <v>360</v>
      </c>
      <c r="M3187" s="55" t="s">
        <v>142</v>
      </c>
      <c r="N3187" s="55" t="s">
        <v>142</v>
      </c>
      <c r="O3187" s="55" t="s">
        <v>195</v>
      </c>
      <c r="P3187" s="55" t="s">
        <v>518</v>
      </c>
      <c r="Q3187" s="55" t="s">
        <v>350</v>
      </c>
      <c r="R3187" s="55">
        <v>3</v>
      </c>
      <c r="S3187" s="55"/>
      <c r="T3187" s="55" t="s">
        <v>385</v>
      </c>
      <c r="U3187" s="73" t="s">
        <v>351</v>
      </c>
      <c r="V3187" s="74">
        <v>44621</v>
      </c>
      <c r="W3187" s="74">
        <v>44670</v>
      </c>
      <c r="X3187" s="55">
        <v>10185373</v>
      </c>
      <c r="Y3187" s="55" t="s">
        <v>132</v>
      </c>
      <c r="AB3187" s="55" t="s">
        <v>130</v>
      </c>
      <c r="AC3187" s="55" t="s">
        <v>132</v>
      </c>
    </row>
    <row r="3188" spans="1:29" ht="13" x14ac:dyDescent="0.15">
      <c r="A3188" s="72" t="str">
        <f t="shared" si="49"/>
        <v>Ofsted Social Care Provider Webpage</v>
      </c>
      <c r="B3188" s="55" t="s">
        <v>5976</v>
      </c>
      <c r="D3188" s="55" t="s">
        <v>373</v>
      </c>
      <c r="E3188" s="74">
        <v>41253</v>
      </c>
      <c r="F3188" s="55" t="s">
        <v>344</v>
      </c>
      <c r="G3188" s="55" t="s">
        <v>360</v>
      </c>
      <c r="H3188" s="55" t="s">
        <v>360</v>
      </c>
      <c r="I3188" s="55" t="s">
        <v>360</v>
      </c>
      <c r="J3188" s="55" t="s">
        <v>360</v>
      </c>
      <c r="K3188" s="55" t="s">
        <v>360</v>
      </c>
      <c r="L3188" s="55" t="s">
        <v>360</v>
      </c>
      <c r="M3188" s="55" t="s">
        <v>142</v>
      </c>
      <c r="N3188" s="55" t="s">
        <v>142</v>
      </c>
      <c r="O3188" s="55" t="s">
        <v>195</v>
      </c>
      <c r="P3188" s="55" t="s">
        <v>518</v>
      </c>
      <c r="Q3188" s="55" t="s">
        <v>350</v>
      </c>
      <c r="R3188" s="55">
        <v>4</v>
      </c>
      <c r="S3188" s="55"/>
      <c r="T3188" s="55" t="s">
        <v>385</v>
      </c>
      <c r="U3188" s="73" t="s">
        <v>351</v>
      </c>
      <c r="V3188" s="74">
        <v>43619</v>
      </c>
      <c r="W3188" s="74">
        <v>43640</v>
      </c>
      <c r="X3188" s="55">
        <v>10096817</v>
      </c>
      <c r="Y3188" s="55" t="s">
        <v>132</v>
      </c>
      <c r="AB3188" s="55" t="s">
        <v>132</v>
      </c>
      <c r="AC3188" s="55" t="s">
        <v>132</v>
      </c>
    </row>
    <row r="3189" spans="1:29" ht="13" x14ac:dyDescent="0.15">
      <c r="A3189" s="72" t="str">
        <f t="shared" si="49"/>
        <v>Ofsted Social Care Provider Webpage</v>
      </c>
      <c r="B3189" s="55" t="s">
        <v>5977</v>
      </c>
      <c r="D3189" s="55" t="s">
        <v>373</v>
      </c>
      <c r="E3189" s="74">
        <v>41290</v>
      </c>
      <c r="F3189" s="55" t="s">
        <v>344</v>
      </c>
      <c r="G3189" s="55" t="s">
        <v>360</v>
      </c>
      <c r="H3189" s="55" t="s">
        <v>360</v>
      </c>
      <c r="I3189" s="55" t="s">
        <v>360</v>
      </c>
      <c r="J3189" s="55" t="s">
        <v>360</v>
      </c>
      <c r="K3189" s="55" t="s">
        <v>360</v>
      </c>
      <c r="L3189" s="55" t="s">
        <v>360</v>
      </c>
      <c r="M3189" s="55" t="s">
        <v>142</v>
      </c>
      <c r="N3189" s="55" t="s">
        <v>142</v>
      </c>
      <c r="O3189" s="55" t="s">
        <v>252</v>
      </c>
      <c r="P3189" s="55" t="s">
        <v>503</v>
      </c>
      <c r="Q3189" s="55" t="s">
        <v>350</v>
      </c>
      <c r="R3189" s="55">
        <v>2</v>
      </c>
      <c r="S3189" s="55"/>
      <c r="T3189" s="55" t="s">
        <v>385</v>
      </c>
      <c r="U3189" s="73" t="s">
        <v>351</v>
      </c>
      <c r="V3189" s="74">
        <v>43748</v>
      </c>
      <c r="W3189" s="74">
        <v>43774</v>
      </c>
      <c r="X3189" s="55">
        <v>10096843</v>
      </c>
      <c r="Y3189" s="55" t="s">
        <v>132</v>
      </c>
      <c r="AB3189" s="55" t="s">
        <v>132</v>
      </c>
      <c r="AC3189" s="55" t="s">
        <v>132</v>
      </c>
    </row>
    <row r="3190" spans="1:29" ht="13" x14ac:dyDescent="0.15">
      <c r="A3190" s="72" t="str">
        <f t="shared" si="49"/>
        <v>Ofsted Social Care Provider Webpage</v>
      </c>
      <c r="B3190" s="55" t="s">
        <v>5978</v>
      </c>
      <c r="D3190" s="55" t="s">
        <v>373</v>
      </c>
      <c r="E3190" s="74">
        <v>41330</v>
      </c>
      <c r="F3190" s="55" t="s">
        <v>344</v>
      </c>
      <c r="G3190" s="55" t="s">
        <v>360</v>
      </c>
      <c r="H3190" s="55" t="s">
        <v>360</v>
      </c>
      <c r="I3190" s="55" t="s">
        <v>360</v>
      </c>
      <c r="J3190" s="55" t="s">
        <v>360</v>
      </c>
      <c r="K3190" s="55" t="s">
        <v>360</v>
      </c>
      <c r="L3190" s="55" t="s">
        <v>360</v>
      </c>
      <c r="M3190" s="55" t="s">
        <v>136</v>
      </c>
      <c r="N3190" s="55" t="s">
        <v>136</v>
      </c>
      <c r="O3190" s="55" t="s">
        <v>174</v>
      </c>
      <c r="P3190" s="55" t="s">
        <v>651</v>
      </c>
      <c r="Q3190" s="55" t="s">
        <v>350</v>
      </c>
      <c r="R3190" s="55">
        <v>1</v>
      </c>
      <c r="S3190" s="55"/>
      <c r="T3190" s="55" t="s">
        <v>385</v>
      </c>
      <c r="U3190" s="73" t="s">
        <v>351</v>
      </c>
      <c r="V3190" s="74">
        <v>44608</v>
      </c>
      <c r="W3190" s="74">
        <v>44652</v>
      </c>
      <c r="X3190" s="55">
        <v>10186627</v>
      </c>
      <c r="Y3190" s="55" t="s">
        <v>130</v>
      </c>
      <c r="AB3190" s="55" t="s">
        <v>130</v>
      </c>
      <c r="AC3190" s="55" t="s">
        <v>130</v>
      </c>
    </row>
    <row r="3191" spans="1:29" ht="13" x14ac:dyDescent="0.15">
      <c r="A3191" s="72" t="str">
        <f t="shared" si="49"/>
        <v>Ofsted Social Care Provider Webpage</v>
      </c>
      <c r="B3191" s="55" t="s">
        <v>5979</v>
      </c>
      <c r="D3191" s="55" t="s">
        <v>373</v>
      </c>
      <c r="E3191" s="74">
        <v>41347</v>
      </c>
      <c r="F3191" s="55" t="s">
        <v>344</v>
      </c>
      <c r="G3191" s="55" t="s">
        <v>360</v>
      </c>
      <c r="H3191" s="55" t="s">
        <v>360</v>
      </c>
      <c r="I3191" s="55" t="s">
        <v>360</v>
      </c>
      <c r="J3191" s="55" t="s">
        <v>360</v>
      </c>
      <c r="K3191" s="55" t="s">
        <v>360</v>
      </c>
      <c r="L3191" s="55" t="s">
        <v>360</v>
      </c>
      <c r="M3191" s="55" t="s">
        <v>136</v>
      </c>
      <c r="N3191" s="55" t="s">
        <v>136</v>
      </c>
      <c r="O3191" s="55" t="s">
        <v>174</v>
      </c>
      <c r="P3191" s="55" t="s">
        <v>651</v>
      </c>
      <c r="Q3191" s="55" t="s">
        <v>350</v>
      </c>
      <c r="R3191" s="55">
        <v>1</v>
      </c>
      <c r="S3191" s="55"/>
      <c r="T3191" s="55" t="s">
        <v>385</v>
      </c>
      <c r="U3191" s="73" t="s">
        <v>351</v>
      </c>
      <c r="V3191" s="74">
        <v>44355</v>
      </c>
      <c r="W3191" s="74">
        <v>44384</v>
      </c>
      <c r="X3191" s="55">
        <v>10187613</v>
      </c>
      <c r="Y3191" s="55" t="s">
        <v>132</v>
      </c>
      <c r="AB3191" s="55" t="s">
        <v>132</v>
      </c>
      <c r="AC3191" s="55" t="s">
        <v>132</v>
      </c>
    </row>
    <row r="3192" spans="1:29" ht="13" x14ac:dyDescent="0.15">
      <c r="A3192" s="72" t="str">
        <f t="shared" si="49"/>
        <v>Ofsted Social Care Provider Webpage</v>
      </c>
      <c r="B3192" s="55" t="s">
        <v>5980</v>
      </c>
      <c r="D3192" s="55" t="s">
        <v>373</v>
      </c>
      <c r="E3192" s="74">
        <v>41319</v>
      </c>
      <c r="F3192" s="55" t="s">
        <v>344</v>
      </c>
      <c r="G3192" s="55" t="s">
        <v>360</v>
      </c>
      <c r="H3192" s="55" t="s">
        <v>360</v>
      </c>
      <c r="I3192" s="55" t="s">
        <v>360</v>
      </c>
      <c r="J3192" s="55" t="s">
        <v>360</v>
      </c>
      <c r="K3192" s="55" t="s">
        <v>360</v>
      </c>
      <c r="L3192" s="55" t="s">
        <v>360</v>
      </c>
      <c r="M3192" s="55" t="s">
        <v>144</v>
      </c>
      <c r="N3192" s="55" t="s">
        <v>144</v>
      </c>
      <c r="O3192" s="55" t="s">
        <v>188</v>
      </c>
      <c r="P3192" s="55" t="s">
        <v>188</v>
      </c>
      <c r="Q3192" s="55" t="s">
        <v>350</v>
      </c>
      <c r="R3192" s="55">
        <v>1</v>
      </c>
      <c r="S3192" s="55"/>
      <c r="T3192" s="55" t="s">
        <v>385</v>
      </c>
      <c r="U3192" s="73" t="s">
        <v>351</v>
      </c>
      <c r="V3192" s="74">
        <v>44453</v>
      </c>
      <c r="W3192" s="74">
        <v>44487</v>
      </c>
      <c r="X3192" s="55">
        <v>10186691</v>
      </c>
      <c r="Y3192" s="55" t="s">
        <v>132</v>
      </c>
      <c r="AB3192" s="55" t="s">
        <v>132</v>
      </c>
      <c r="AC3192" s="55" t="s">
        <v>132</v>
      </c>
    </row>
    <row r="3193" spans="1:29" ht="13" x14ac:dyDescent="0.15">
      <c r="A3193" s="72" t="str">
        <f t="shared" si="49"/>
        <v>Ofsted Social Care Provider Webpage</v>
      </c>
      <c r="B3193" s="55" t="s">
        <v>5981</v>
      </c>
      <c r="D3193" s="55" t="s">
        <v>373</v>
      </c>
      <c r="E3193" s="74">
        <v>41319</v>
      </c>
      <c r="F3193" s="55" t="s">
        <v>344</v>
      </c>
      <c r="G3193" s="55" t="s">
        <v>360</v>
      </c>
      <c r="H3193" s="55" t="s">
        <v>360</v>
      </c>
      <c r="I3193" s="55" t="s">
        <v>360</v>
      </c>
      <c r="J3193" s="55" t="s">
        <v>360</v>
      </c>
      <c r="K3193" s="55" t="s">
        <v>360</v>
      </c>
      <c r="L3193" s="55" t="s">
        <v>360</v>
      </c>
      <c r="M3193" s="55" t="s">
        <v>144</v>
      </c>
      <c r="N3193" s="55" t="s">
        <v>144</v>
      </c>
      <c r="O3193" s="55" t="s">
        <v>281</v>
      </c>
      <c r="P3193" s="55" t="s">
        <v>725</v>
      </c>
      <c r="Q3193" s="55" t="s">
        <v>350</v>
      </c>
      <c r="R3193" s="55">
        <v>3</v>
      </c>
      <c r="S3193" s="55"/>
      <c r="T3193" s="55" t="s">
        <v>385</v>
      </c>
      <c r="U3193" s="73" t="s">
        <v>351</v>
      </c>
      <c r="V3193" s="74">
        <v>43565</v>
      </c>
      <c r="W3193" s="74">
        <v>43600</v>
      </c>
      <c r="X3193" s="55">
        <v>10096845</v>
      </c>
      <c r="Y3193" s="55" t="s">
        <v>130</v>
      </c>
      <c r="AB3193" s="55" t="s">
        <v>130</v>
      </c>
      <c r="AC3193" s="55" t="s">
        <v>130</v>
      </c>
    </row>
    <row r="3194" spans="1:29" ht="13" x14ac:dyDescent="0.15">
      <c r="A3194" s="72" t="str">
        <f t="shared" si="49"/>
        <v>Ofsted Social Care Provider Webpage</v>
      </c>
      <c r="B3194" s="55" t="s">
        <v>5982</v>
      </c>
      <c r="D3194" s="55" t="s">
        <v>373</v>
      </c>
      <c r="E3194" s="74">
        <v>41319</v>
      </c>
      <c r="F3194" s="55" t="s">
        <v>344</v>
      </c>
      <c r="G3194" s="55" t="s">
        <v>360</v>
      </c>
      <c r="H3194" s="55" t="s">
        <v>360</v>
      </c>
      <c r="I3194" s="55" t="s">
        <v>360</v>
      </c>
      <c r="J3194" s="55" t="s">
        <v>360</v>
      </c>
      <c r="K3194" s="55" t="s">
        <v>360</v>
      </c>
      <c r="L3194" s="55" t="s">
        <v>360</v>
      </c>
      <c r="M3194" s="55" t="s">
        <v>144</v>
      </c>
      <c r="N3194" s="55" t="s">
        <v>144</v>
      </c>
      <c r="O3194" s="55" t="s">
        <v>188</v>
      </c>
      <c r="P3194" s="55" t="s">
        <v>188</v>
      </c>
      <c r="Q3194" s="55" t="s">
        <v>350</v>
      </c>
      <c r="R3194" s="55">
        <v>1</v>
      </c>
      <c r="S3194" s="55"/>
      <c r="T3194" s="55" t="s">
        <v>385</v>
      </c>
      <c r="U3194" s="73" t="s">
        <v>351</v>
      </c>
      <c r="V3194" s="74">
        <v>44340</v>
      </c>
      <c r="W3194" s="74">
        <v>44377</v>
      </c>
      <c r="X3194" s="55">
        <v>10185899</v>
      </c>
      <c r="Y3194" s="55" t="s">
        <v>132</v>
      </c>
      <c r="AB3194" s="55" t="s">
        <v>132</v>
      </c>
      <c r="AC3194" s="55" t="s">
        <v>130</v>
      </c>
    </row>
    <row r="3195" spans="1:29" ht="13" x14ac:dyDescent="0.15">
      <c r="A3195" s="72" t="str">
        <f t="shared" si="49"/>
        <v>Ofsted Social Care Provider Webpage</v>
      </c>
      <c r="B3195" s="55" t="s">
        <v>5983</v>
      </c>
      <c r="D3195" s="55" t="s">
        <v>373</v>
      </c>
      <c r="E3195" s="74">
        <v>41319</v>
      </c>
      <c r="F3195" s="55" t="s">
        <v>344</v>
      </c>
      <c r="G3195" s="55" t="s">
        <v>360</v>
      </c>
      <c r="H3195" s="55" t="s">
        <v>360</v>
      </c>
      <c r="I3195" s="55" t="s">
        <v>360</v>
      </c>
      <c r="J3195" s="55" t="s">
        <v>360</v>
      </c>
      <c r="K3195" s="55" t="s">
        <v>360</v>
      </c>
      <c r="L3195" s="55" t="s">
        <v>360</v>
      </c>
      <c r="M3195" s="55" t="s">
        <v>144</v>
      </c>
      <c r="N3195" s="55" t="s">
        <v>144</v>
      </c>
      <c r="O3195" s="55" t="s">
        <v>188</v>
      </c>
      <c r="P3195" s="55" t="s">
        <v>188</v>
      </c>
      <c r="Q3195" s="55" t="s">
        <v>350</v>
      </c>
      <c r="R3195" s="55">
        <v>1</v>
      </c>
      <c r="S3195" s="55"/>
      <c r="T3195" s="55" t="s">
        <v>385</v>
      </c>
      <c r="U3195" s="73" t="s">
        <v>351</v>
      </c>
      <c r="V3195" s="74">
        <v>44447</v>
      </c>
      <c r="W3195" s="74">
        <v>44480</v>
      </c>
      <c r="X3195" s="55">
        <v>10186267</v>
      </c>
      <c r="Y3195" s="55" t="s">
        <v>132</v>
      </c>
      <c r="AB3195" s="55" t="s">
        <v>132</v>
      </c>
      <c r="AC3195" s="55" t="s">
        <v>132</v>
      </c>
    </row>
    <row r="3196" spans="1:29" ht="13" x14ac:dyDescent="0.15">
      <c r="A3196" s="72" t="str">
        <f t="shared" si="49"/>
        <v>Ofsted Social Care Provider Webpage</v>
      </c>
      <c r="B3196" s="55" t="s">
        <v>5984</v>
      </c>
      <c r="D3196" s="55" t="s">
        <v>373</v>
      </c>
      <c r="E3196" s="74">
        <v>41319</v>
      </c>
      <c r="F3196" s="55" t="s">
        <v>344</v>
      </c>
      <c r="G3196" s="55" t="s">
        <v>360</v>
      </c>
      <c r="H3196" s="55" t="s">
        <v>360</v>
      </c>
      <c r="I3196" s="55" t="s">
        <v>360</v>
      </c>
      <c r="J3196" s="55" t="s">
        <v>360</v>
      </c>
      <c r="K3196" s="55" t="s">
        <v>360</v>
      </c>
      <c r="L3196" s="55" t="s">
        <v>360</v>
      </c>
      <c r="M3196" s="55" t="s">
        <v>144</v>
      </c>
      <c r="N3196" s="55" t="s">
        <v>144</v>
      </c>
      <c r="O3196" s="55" t="s">
        <v>188</v>
      </c>
      <c r="P3196" s="55" t="s">
        <v>188</v>
      </c>
      <c r="Q3196" s="55" t="s">
        <v>350</v>
      </c>
      <c r="R3196" s="55">
        <v>1</v>
      </c>
      <c r="S3196" s="55"/>
      <c r="T3196" s="55" t="s">
        <v>385</v>
      </c>
      <c r="U3196" s="73" t="s">
        <v>351</v>
      </c>
      <c r="V3196" s="74">
        <v>44320</v>
      </c>
      <c r="W3196" s="74">
        <v>44361</v>
      </c>
      <c r="X3196" s="55">
        <v>10185885</v>
      </c>
      <c r="Y3196" s="55" t="s">
        <v>146</v>
      </c>
      <c r="AB3196" s="55" t="s">
        <v>146</v>
      </c>
      <c r="AC3196" s="55" t="s">
        <v>146</v>
      </c>
    </row>
    <row r="3197" spans="1:29" ht="13" x14ac:dyDescent="0.15">
      <c r="A3197" s="72" t="str">
        <f t="shared" si="49"/>
        <v>Ofsted Social Care Provider Webpage</v>
      </c>
      <c r="B3197" s="55" t="s">
        <v>5985</v>
      </c>
      <c r="D3197" s="55" t="s">
        <v>373</v>
      </c>
      <c r="E3197" s="74">
        <v>41256</v>
      </c>
      <c r="F3197" s="55" t="s">
        <v>344</v>
      </c>
      <c r="G3197" s="55" t="s">
        <v>360</v>
      </c>
      <c r="H3197" s="55" t="s">
        <v>360</v>
      </c>
      <c r="I3197" s="55" t="s">
        <v>360</v>
      </c>
      <c r="J3197" s="55" t="s">
        <v>360</v>
      </c>
      <c r="K3197" s="55" t="s">
        <v>360</v>
      </c>
      <c r="L3197" s="55" t="s">
        <v>360</v>
      </c>
      <c r="M3197" s="55" t="s">
        <v>144</v>
      </c>
      <c r="N3197" s="55" t="s">
        <v>144</v>
      </c>
      <c r="O3197" s="55" t="s">
        <v>168</v>
      </c>
      <c r="P3197" s="55" t="s">
        <v>708</v>
      </c>
      <c r="Q3197" s="55" t="s">
        <v>350</v>
      </c>
      <c r="R3197" s="55">
        <v>5</v>
      </c>
      <c r="S3197" s="55"/>
      <c r="T3197" s="55" t="s">
        <v>2358</v>
      </c>
      <c r="U3197" s="73" t="s">
        <v>351</v>
      </c>
      <c r="V3197" s="74">
        <v>44469</v>
      </c>
      <c r="W3197" s="74">
        <v>44509</v>
      </c>
      <c r="X3197" s="55">
        <v>10186143</v>
      </c>
      <c r="Y3197" s="55" t="s">
        <v>140</v>
      </c>
      <c r="AB3197" s="55" t="s">
        <v>140</v>
      </c>
      <c r="AC3197" s="55" t="s">
        <v>140</v>
      </c>
    </row>
    <row r="3198" spans="1:29" ht="13" x14ac:dyDescent="0.15">
      <c r="A3198" s="72" t="str">
        <f t="shared" si="49"/>
        <v>Ofsted Social Care Provider Webpage</v>
      </c>
      <c r="B3198" s="55" t="s">
        <v>5986</v>
      </c>
      <c r="D3198" s="55" t="s">
        <v>373</v>
      </c>
      <c r="E3198" s="74">
        <v>41354</v>
      </c>
      <c r="F3198" s="55" t="s">
        <v>344</v>
      </c>
      <c r="G3198" s="55" t="s">
        <v>360</v>
      </c>
      <c r="H3198" s="55" t="s">
        <v>360</v>
      </c>
      <c r="I3198" s="55" t="s">
        <v>360</v>
      </c>
      <c r="J3198" s="55" t="s">
        <v>360</v>
      </c>
      <c r="K3198" s="55" t="s">
        <v>360</v>
      </c>
      <c r="L3198" s="55" t="s">
        <v>360</v>
      </c>
      <c r="M3198" s="55" t="s">
        <v>136</v>
      </c>
      <c r="N3198" s="55" t="s">
        <v>136</v>
      </c>
      <c r="O3198" s="55" t="s">
        <v>174</v>
      </c>
      <c r="P3198" s="55" t="s">
        <v>3555</v>
      </c>
      <c r="Q3198" s="55" t="s">
        <v>350</v>
      </c>
      <c r="R3198" s="55">
        <v>3</v>
      </c>
      <c r="S3198" s="55"/>
      <c r="T3198" s="55" t="s">
        <v>385</v>
      </c>
      <c r="U3198" s="73" t="s">
        <v>351</v>
      </c>
      <c r="V3198" s="74">
        <v>44411</v>
      </c>
      <c r="W3198" s="74">
        <v>44448</v>
      </c>
      <c r="X3198" s="55">
        <v>10185277</v>
      </c>
      <c r="Y3198" s="55" t="s">
        <v>132</v>
      </c>
      <c r="AB3198" s="55" t="s">
        <v>132</v>
      </c>
      <c r="AC3198" s="55" t="s">
        <v>132</v>
      </c>
    </row>
    <row r="3199" spans="1:29" ht="13" x14ac:dyDescent="0.15">
      <c r="A3199" s="72" t="str">
        <f t="shared" si="49"/>
        <v>Ofsted Social Care Provider Webpage</v>
      </c>
      <c r="B3199" s="55" t="s">
        <v>5987</v>
      </c>
      <c r="D3199" s="55" t="s">
        <v>373</v>
      </c>
      <c r="E3199" s="74">
        <v>41324</v>
      </c>
      <c r="F3199" s="55" t="s">
        <v>344</v>
      </c>
      <c r="G3199" s="55" t="s">
        <v>360</v>
      </c>
      <c r="H3199" s="55" t="s">
        <v>360</v>
      </c>
      <c r="I3199" s="55" t="s">
        <v>360</v>
      </c>
      <c r="J3199" s="55" t="s">
        <v>360</v>
      </c>
      <c r="K3199" s="55" t="s">
        <v>360</v>
      </c>
      <c r="L3199" s="55" t="s">
        <v>360</v>
      </c>
      <c r="M3199" s="55" t="s">
        <v>138</v>
      </c>
      <c r="N3199" s="55" t="s">
        <v>138</v>
      </c>
      <c r="O3199" s="55" t="s">
        <v>159</v>
      </c>
      <c r="P3199" s="55" t="s">
        <v>1080</v>
      </c>
      <c r="Q3199" s="55" t="s">
        <v>350</v>
      </c>
      <c r="R3199" s="55">
        <v>3</v>
      </c>
      <c r="S3199" s="55"/>
      <c r="T3199" s="55" t="s">
        <v>385</v>
      </c>
      <c r="U3199" s="73" t="s">
        <v>351</v>
      </c>
      <c r="V3199" s="74">
        <v>44326</v>
      </c>
      <c r="W3199" s="74">
        <v>44355</v>
      </c>
      <c r="X3199" s="55">
        <v>10186318</v>
      </c>
      <c r="Y3199" s="55" t="s">
        <v>132</v>
      </c>
      <c r="AB3199" s="55" t="s">
        <v>132</v>
      </c>
      <c r="AC3199" s="55" t="s">
        <v>132</v>
      </c>
    </row>
    <row r="3200" spans="1:29" ht="13" x14ac:dyDescent="0.15">
      <c r="A3200" s="72" t="str">
        <f t="shared" si="49"/>
        <v>Ofsted Social Care Provider Webpage</v>
      </c>
      <c r="B3200" s="55" t="s">
        <v>5988</v>
      </c>
      <c r="D3200" s="55" t="s">
        <v>373</v>
      </c>
      <c r="E3200" s="74">
        <v>41294</v>
      </c>
      <c r="F3200" s="55" t="s">
        <v>344</v>
      </c>
      <c r="G3200" s="55" t="s">
        <v>360</v>
      </c>
      <c r="H3200" s="55" t="s">
        <v>360</v>
      </c>
      <c r="I3200" s="55" t="s">
        <v>360</v>
      </c>
      <c r="J3200" s="55" t="s">
        <v>360</v>
      </c>
      <c r="K3200" s="55" t="s">
        <v>360</v>
      </c>
      <c r="L3200" s="55" t="s">
        <v>360</v>
      </c>
      <c r="M3200" s="55" t="s">
        <v>378</v>
      </c>
      <c r="N3200" s="55" t="s">
        <v>134</v>
      </c>
      <c r="O3200" s="55" t="s">
        <v>180</v>
      </c>
      <c r="P3200" s="55" t="s">
        <v>1249</v>
      </c>
      <c r="Q3200" s="55" t="s">
        <v>350</v>
      </c>
      <c r="R3200" s="55">
        <v>5</v>
      </c>
      <c r="S3200" s="55"/>
      <c r="T3200" s="55" t="s">
        <v>385</v>
      </c>
      <c r="U3200" s="73" t="s">
        <v>351</v>
      </c>
      <c r="V3200" s="74">
        <v>44349</v>
      </c>
      <c r="W3200" s="74">
        <v>44393</v>
      </c>
      <c r="X3200" s="55">
        <v>10186085</v>
      </c>
      <c r="Y3200" s="55" t="s">
        <v>130</v>
      </c>
      <c r="AB3200" s="55" t="s">
        <v>130</v>
      </c>
      <c r="AC3200" s="55" t="s">
        <v>132</v>
      </c>
    </row>
    <row r="3201" spans="1:29" ht="13" x14ac:dyDescent="0.15">
      <c r="A3201" s="72" t="str">
        <f t="shared" si="49"/>
        <v>Ofsted Social Care Provider Webpage</v>
      </c>
      <c r="B3201" s="55" t="s">
        <v>5989</v>
      </c>
      <c r="D3201" s="55" t="s">
        <v>373</v>
      </c>
      <c r="E3201" s="74">
        <v>41347</v>
      </c>
      <c r="F3201" s="55" t="s">
        <v>344</v>
      </c>
      <c r="G3201" s="55" t="s">
        <v>360</v>
      </c>
      <c r="H3201" s="55" t="s">
        <v>360</v>
      </c>
      <c r="I3201" s="55" t="s">
        <v>360</v>
      </c>
      <c r="J3201" s="55" t="s">
        <v>360</v>
      </c>
      <c r="K3201" s="55" t="s">
        <v>360</v>
      </c>
      <c r="L3201" s="55" t="s">
        <v>360</v>
      </c>
      <c r="M3201" s="55" t="s">
        <v>136</v>
      </c>
      <c r="N3201" s="55" t="s">
        <v>136</v>
      </c>
      <c r="O3201" s="55" t="s">
        <v>274</v>
      </c>
      <c r="P3201" s="55" t="s">
        <v>274</v>
      </c>
      <c r="Q3201" s="55" t="s">
        <v>350</v>
      </c>
      <c r="R3201" s="55">
        <v>2</v>
      </c>
      <c r="S3201" s="55"/>
      <c r="T3201" s="55" t="s">
        <v>385</v>
      </c>
      <c r="U3201" s="73" t="s">
        <v>351</v>
      </c>
      <c r="V3201" s="74">
        <v>44425</v>
      </c>
      <c r="W3201" s="74">
        <v>44463</v>
      </c>
      <c r="X3201" s="55">
        <v>10185918</v>
      </c>
      <c r="Y3201" s="55" t="s">
        <v>132</v>
      </c>
      <c r="AB3201" s="55" t="s">
        <v>132</v>
      </c>
      <c r="AC3201" s="55" t="s">
        <v>130</v>
      </c>
    </row>
    <row r="3202" spans="1:29" ht="13" x14ac:dyDescent="0.15">
      <c r="A3202" s="72" t="str">
        <f t="shared" si="49"/>
        <v>Ofsted Social Care Provider Webpage</v>
      </c>
      <c r="B3202" s="55" t="s">
        <v>5990</v>
      </c>
      <c r="D3202" s="55" t="s">
        <v>373</v>
      </c>
      <c r="E3202" s="74">
        <v>41327</v>
      </c>
      <c r="F3202" s="55" t="s">
        <v>344</v>
      </c>
      <c r="G3202" s="55" t="s">
        <v>360</v>
      </c>
      <c r="H3202" s="55" t="s">
        <v>360</v>
      </c>
      <c r="I3202" s="55" t="s">
        <v>360</v>
      </c>
      <c r="J3202" s="55" t="s">
        <v>360</v>
      </c>
      <c r="K3202" s="55" t="s">
        <v>360</v>
      </c>
      <c r="L3202" s="55" t="s">
        <v>360</v>
      </c>
      <c r="M3202" s="55" t="s">
        <v>136</v>
      </c>
      <c r="N3202" s="55" t="s">
        <v>136</v>
      </c>
      <c r="O3202" s="55" t="s">
        <v>255</v>
      </c>
      <c r="P3202" s="55" t="s">
        <v>609</v>
      </c>
      <c r="Q3202" s="55" t="s">
        <v>350</v>
      </c>
      <c r="R3202" s="55">
        <v>3</v>
      </c>
      <c r="S3202" s="55"/>
      <c r="T3202" s="55" t="s">
        <v>385</v>
      </c>
      <c r="U3202" s="73" t="s">
        <v>351</v>
      </c>
      <c r="V3202" s="74">
        <v>44306</v>
      </c>
      <c r="W3202" s="74">
        <v>44341</v>
      </c>
      <c r="X3202" s="55">
        <v>10185344</v>
      </c>
      <c r="Y3202" s="55" t="s">
        <v>132</v>
      </c>
      <c r="AB3202" s="55" t="s">
        <v>132</v>
      </c>
      <c r="AC3202" s="55" t="s">
        <v>140</v>
      </c>
    </row>
    <row r="3203" spans="1:29" ht="13" x14ac:dyDescent="0.15">
      <c r="A3203" s="72" t="str">
        <f t="shared" si="49"/>
        <v>Ofsted Social Care Provider Webpage</v>
      </c>
      <c r="B3203" s="55" t="s">
        <v>5991</v>
      </c>
      <c r="D3203" s="55" t="s">
        <v>373</v>
      </c>
      <c r="E3203" s="74">
        <v>41319</v>
      </c>
      <c r="F3203" s="55" t="s">
        <v>344</v>
      </c>
      <c r="G3203" s="55" t="s">
        <v>360</v>
      </c>
      <c r="H3203" s="55" t="s">
        <v>360</v>
      </c>
      <c r="I3203" s="55" t="s">
        <v>360</v>
      </c>
      <c r="J3203" s="55" t="s">
        <v>360</v>
      </c>
      <c r="K3203" s="55" t="s">
        <v>360</v>
      </c>
      <c r="L3203" s="55" t="s">
        <v>360</v>
      </c>
      <c r="M3203" s="55" t="s">
        <v>138</v>
      </c>
      <c r="N3203" s="55" t="s">
        <v>138</v>
      </c>
      <c r="O3203" s="55" t="s">
        <v>161</v>
      </c>
      <c r="P3203" s="55" t="s">
        <v>761</v>
      </c>
      <c r="Q3203" s="55" t="s">
        <v>362</v>
      </c>
      <c r="R3203" s="55">
        <v>5</v>
      </c>
      <c r="S3203" s="55"/>
      <c r="T3203" s="55" t="s">
        <v>1459</v>
      </c>
      <c r="U3203" s="73" t="s">
        <v>351</v>
      </c>
      <c r="V3203" s="74">
        <v>44362</v>
      </c>
      <c r="W3203" s="74">
        <v>44392</v>
      </c>
      <c r="X3203" s="55">
        <v>10186312</v>
      </c>
      <c r="Y3203" s="55" t="s">
        <v>132</v>
      </c>
      <c r="AB3203" s="55" t="s">
        <v>132</v>
      </c>
      <c r="AC3203" s="55" t="s">
        <v>132</v>
      </c>
    </row>
    <row r="3204" spans="1:29" ht="13" x14ac:dyDescent="0.15">
      <c r="A3204" s="72" t="str">
        <f t="shared" si="49"/>
        <v>Ofsted Social Care Provider Webpage</v>
      </c>
      <c r="B3204" s="55" t="s">
        <v>5992</v>
      </c>
      <c r="D3204" s="55" t="s">
        <v>373</v>
      </c>
      <c r="E3204" s="74">
        <v>41264</v>
      </c>
      <c r="F3204" s="55" t="s">
        <v>344</v>
      </c>
      <c r="G3204" s="55" t="s">
        <v>360</v>
      </c>
      <c r="H3204" s="55" t="s">
        <v>360</v>
      </c>
      <c r="I3204" s="55" t="s">
        <v>360</v>
      </c>
      <c r="J3204" s="55" t="s">
        <v>360</v>
      </c>
      <c r="K3204" s="55" t="s">
        <v>360</v>
      </c>
      <c r="L3204" s="55" t="s">
        <v>360</v>
      </c>
      <c r="M3204" s="55" t="s">
        <v>378</v>
      </c>
      <c r="N3204" s="55" t="s">
        <v>170</v>
      </c>
      <c r="O3204" s="55" t="s">
        <v>193</v>
      </c>
      <c r="P3204" s="55" t="s">
        <v>193</v>
      </c>
      <c r="Q3204" s="55" t="s">
        <v>350</v>
      </c>
      <c r="R3204" s="55">
        <v>3</v>
      </c>
      <c r="S3204" s="55"/>
      <c r="T3204" s="55" t="s">
        <v>385</v>
      </c>
      <c r="U3204" s="73" t="s">
        <v>351</v>
      </c>
      <c r="V3204" s="74">
        <v>44483</v>
      </c>
      <c r="W3204" s="74">
        <v>44518</v>
      </c>
      <c r="X3204" s="55">
        <v>10186380</v>
      </c>
      <c r="Y3204" s="55" t="s">
        <v>130</v>
      </c>
      <c r="AB3204" s="55" t="s">
        <v>130</v>
      </c>
      <c r="AC3204" s="55" t="s">
        <v>130</v>
      </c>
    </row>
    <row r="3205" spans="1:29" ht="13" x14ac:dyDescent="0.15">
      <c r="A3205" s="72" t="str">
        <f t="shared" si="49"/>
        <v>Ofsted Social Care Provider Webpage</v>
      </c>
      <c r="B3205" s="55" t="s">
        <v>5993</v>
      </c>
      <c r="D3205" s="55" t="s">
        <v>373</v>
      </c>
      <c r="E3205" s="74">
        <v>41319</v>
      </c>
      <c r="F3205" s="55" t="s">
        <v>344</v>
      </c>
      <c r="G3205" s="55" t="s">
        <v>360</v>
      </c>
      <c r="H3205" s="55" t="s">
        <v>360</v>
      </c>
      <c r="I3205" s="55" t="s">
        <v>360</v>
      </c>
      <c r="J3205" s="55" t="s">
        <v>360</v>
      </c>
      <c r="K3205" s="55" t="s">
        <v>360</v>
      </c>
      <c r="L3205" s="55" t="s">
        <v>360</v>
      </c>
      <c r="M3205" s="55" t="s">
        <v>144</v>
      </c>
      <c r="N3205" s="55" t="s">
        <v>144</v>
      </c>
      <c r="O3205" s="55" t="s">
        <v>188</v>
      </c>
      <c r="P3205" s="55" t="s">
        <v>188</v>
      </c>
      <c r="Q3205" s="55" t="s">
        <v>350</v>
      </c>
      <c r="R3205" s="55">
        <v>1</v>
      </c>
      <c r="S3205" s="55"/>
      <c r="T3205" s="55" t="s">
        <v>385</v>
      </c>
      <c r="U3205" s="73" t="s">
        <v>351</v>
      </c>
      <c r="V3205" s="74">
        <v>44594</v>
      </c>
      <c r="W3205" s="74">
        <v>44634</v>
      </c>
      <c r="X3205" s="55">
        <v>10186286</v>
      </c>
      <c r="Y3205" s="55" t="s">
        <v>132</v>
      </c>
      <c r="AB3205" s="55" t="s">
        <v>132</v>
      </c>
      <c r="AC3205" s="55" t="s">
        <v>132</v>
      </c>
    </row>
    <row r="3206" spans="1:29" ht="13" x14ac:dyDescent="0.15">
      <c r="A3206" s="72" t="str">
        <f t="shared" ref="A3206:A3269" si="50">HYPERLINK(_xlfn.CONCAT("http://reports.ofsted.gov.uk/inspection-reports/find-inspection-report/provider/CARE/",B3206),"Ofsted Social Care Provider Webpage")</f>
        <v>Ofsted Social Care Provider Webpage</v>
      </c>
      <c r="B3206" s="55" t="s">
        <v>5994</v>
      </c>
      <c r="D3206" s="55" t="s">
        <v>373</v>
      </c>
      <c r="E3206" s="74">
        <v>41324</v>
      </c>
      <c r="F3206" s="55" t="s">
        <v>344</v>
      </c>
      <c r="G3206" s="55" t="s">
        <v>360</v>
      </c>
      <c r="H3206" s="55" t="s">
        <v>360</v>
      </c>
      <c r="I3206" s="55" t="s">
        <v>360</v>
      </c>
      <c r="J3206" s="55" t="s">
        <v>360</v>
      </c>
      <c r="K3206" s="55" t="s">
        <v>360</v>
      </c>
      <c r="L3206" s="55" t="s">
        <v>360</v>
      </c>
      <c r="M3206" s="55" t="s">
        <v>378</v>
      </c>
      <c r="N3206" s="55" t="s">
        <v>170</v>
      </c>
      <c r="O3206" s="55" t="s">
        <v>220</v>
      </c>
      <c r="P3206" s="55" t="s">
        <v>220</v>
      </c>
      <c r="Q3206" s="55" t="s">
        <v>350</v>
      </c>
      <c r="R3206" s="55">
        <v>1</v>
      </c>
      <c r="S3206" s="55"/>
      <c r="T3206" s="55" t="s">
        <v>385</v>
      </c>
      <c r="U3206" s="73" t="s">
        <v>351</v>
      </c>
      <c r="V3206" s="74">
        <v>44425</v>
      </c>
      <c r="W3206" s="74">
        <v>44456</v>
      </c>
      <c r="X3206" s="55">
        <v>10185374</v>
      </c>
      <c r="Y3206" s="55" t="s">
        <v>130</v>
      </c>
      <c r="AB3206" s="55" t="s">
        <v>130</v>
      </c>
      <c r="AC3206" s="55" t="s">
        <v>130</v>
      </c>
    </row>
    <row r="3207" spans="1:29" ht="13" x14ac:dyDescent="0.15">
      <c r="A3207" s="72" t="str">
        <f t="shared" si="50"/>
        <v>Ofsted Social Care Provider Webpage</v>
      </c>
      <c r="B3207" s="55" t="s">
        <v>5995</v>
      </c>
      <c r="D3207" s="55" t="s">
        <v>373</v>
      </c>
      <c r="E3207" s="74">
        <v>41294</v>
      </c>
      <c r="F3207" s="55" t="s">
        <v>344</v>
      </c>
      <c r="G3207" s="55" t="s">
        <v>360</v>
      </c>
      <c r="H3207" s="55" t="s">
        <v>360</v>
      </c>
      <c r="I3207" s="55" t="s">
        <v>360</v>
      </c>
      <c r="J3207" s="55" t="s">
        <v>360</v>
      </c>
      <c r="K3207" s="55" t="s">
        <v>360</v>
      </c>
      <c r="L3207" s="55" t="s">
        <v>360</v>
      </c>
      <c r="M3207" s="55" t="s">
        <v>378</v>
      </c>
      <c r="N3207" s="55" t="s">
        <v>134</v>
      </c>
      <c r="O3207" s="55" t="s">
        <v>232</v>
      </c>
      <c r="P3207" s="55" t="s">
        <v>595</v>
      </c>
      <c r="Q3207" s="55" t="s">
        <v>350</v>
      </c>
      <c r="R3207" s="55">
        <v>2</v>
      </c>
      <c r="S3207" s="55"/>
      <c r="T3207" s="55" t="s">
        <v>385</v>
      </c>
      <c r="U3207" s="73" t="s">
        <v>351</v>
      </c>
      <c r="V3207" s="74">
        <v>44418</v>
      </c>
      <c r="W3207" s="74">
        <v>44452</v>
      </c>
      <c r="X3207" s="55">
        <v>10186465</v>
      </c>
      <c r="Y3207" s="55" t="s">
        <v>130</v>
      </c>
      <c r="AB3207" s="55" t="s">
        <v>130</v>
      </c>
      <c r="AC3207" s="55" t="s">
        <v>146</v>
      </c>
    </row>
    <row r="3208" spans="1:29" ht="13" x14ac:dyDescent="0.15">
      <c r="A3208" s="72" t="str">
        <f t="shared" si="50"/>
        <v>Ofsted Social Care Provider Webpage</v>
      </c>
      <c r="B3208" s="55" t="s">
        <v>5996</v>
      </c>
      <c r="D3208" s="55" t="s">
        <v>373</v>
      </c>
      <c r="E3208" s="74">
        <v>41319</v>
      </c>
      <c r="F3208" s="55" t="s">
        <v>344</v>
      </c>
      <c r="G3208" s="55" t="s">
        <v>360</v>
      </c>
      <c r="H3208" s="55" t="s">
        <v>360</v>
      </c>
      <c r="I3208" s="55" t="s">
        <v>360</v>
      </c>
      <c r="J3208" s="55" t="s">
        <v>360</v>
      </c>
      <c r="K3208" s="55" t="s">
        <v>360</v>
      </c>
      <c r="L3208" s="55" t="s">
        <v>360</v>
      </c>
      <c r="M3208" s="55" t="s">
        <v>142</v>
      </c>
      <c r="N3208" s="55" t="s">
        <v>142</v>
      </c>
      <c r="O3208" s="55" t="s">
        <v>282</v>
      </c>
      <c r="P3208" s="55" t="s">
        <v>5997</v>
      </c>
      <c r="Q3208" s="55" t="s">
        <v>350</v>
      </c>
      <c r="R3208" s="55">
        <v>5</v>
      </c>
      <c r="S3208" s="55"/>
      <c r="T3208" s="55" t="s">
        <v>385</v>
      </c>
      <c r="U3208" s="73" t="s">
        <v>351</v>
      </c>
      <c r="V3208" s="74">
        <v>44453</v>
      </c>
      <c r="W3208" s="74">
        <v>44498</v>
      </c>
      <c r="X3208" s="55">
        <v>10185532</v>
      </c>
      <c r="Y3208" s="55" t="s">
        <v>130</v>
      </c>
      <c r="AB3208" s="55" t="s">
        <v>130</v>
      </c>
      <c r="AC3208" s="55" t="s">
        <v>130</v>
      </c>
    </row>
    <row r="3209" spans="1:29" ht="13" x14ac:dyDescent="0.15">
      <c r="A3209" s="72" t="str">
        <f t="shared" si="50"/>
        <v>Ofsted Social Care Provider Webpage</v>
      </c>
      <c r="B3209" s="55" t="s">
        <v>5998</v>
      </c>
      <c r="D3209" s="55" t="s">
        <v>373</v>
      </c>
      <c r="E3209" s="74">
        <v>41332</v>
      </c>
      <c r="F3209" s="55" t="s">
        <v>344</v>
      </c>
      <c r="G3209" s="55" t="s">
        <v>360</v>
      </c>
      <c r="H3209" s="55" t="s">
        <v>360</v>
      </c>
      <c r="I3209" s="55" t="s">
        <v>360</v>
      </c>
      <c r="J3209" s="55" t="s">
        <v>360</v>
      </c>
      <c r="K3209" s="55" t="s">
        <v>360</v>
      </c>
      <c r="L3209" s="55" t="s">
        <v>360</v>
      </c>
      <c r="M3209" s="55" t="s">
        <v>172</v>
      </c>
      <c r="N3209" s="55" t="s">
        <v>172</v>
      </c>
      <c r="O3209" s="55" t="s">
        <v>234</v>
      </c>
      <c r="P3209" s="55" t="s">
        <v>965</v>
      </c>
      <c r="Q3209" s="55" t="s">
        <v>350</v>
      </c>
      <c r="R3209" s="55">
        <v>6</v>
      </c>
      <c r="S3209" s="55"/>
      <c r="T3209" s="55" t="s">
        <v>385</v>
      </c>
      <c r="U3209" s="73" t="s">
        <v>351</v>
      </c>
      <c r="V3209" s="74">
        <v>44586</v>
      </c>
      <c r="W3209" s="74">
        <v>44623</v>
      </c>
      <c r="X3209" s="55">
        <v>10217790</v>
      </c>
      <c r="Y3209" s="55" t="s">
        <v>130</v>
      </c>
      <c r="AB3209" s="55" t="s">
        <v>130</v>
      </c>
      <c r="AC3209" s="55" t="s">
        <v>130</v>
      </c>
    </row>
    <row r="3210" spans="1:29" ht="13" x14ac:dyDescent="0.15">
      <c r="A3210" s="72" t="str">
        <f t="shared" si="50"/>
        <v>Ofsted Social Care Provider Webpage</v>
      </c>
      <c r="B3210" s="55" t="s">
        <v>5999</v>
      </c>
      <c r="D3210" s="55" t="s">
        <v>373</v>
      </c>
      <c r="E3210" s="74">
        <v>41347</v>
      </c>
      <c r="F3210" s="55" t="s">
        <v>344</v>
      </c>
      <c r="G3210" s="55" t="s">
        <v>360</v>
      </c>
      <c r="H3210" s="55" t="s">
        <v>360</v>
      </c>
      <c r="I3210" s="55" t="s">
        <v>360</v>
      </c>
      <c r="J3210" s="55" t="s">
        <v>360</v>
      </c>
      <c r="K3210" s="55" t="s">
        <v>360</v>
      </c>
      <c r="L3210" s="55" t="s">
        <v>360</v>
      </c>
      <c r="M3210" s="55" t="s">
        <v>136</v>
      </c>
      <c r="N3210" s="55" t="s">
        <v>136</v>
      </c>
      <c r="O3210" s="55" t="s">
        <v>165</v>
      </c>
      <c r="P3210" s="55" t="s">
        <v>748</v>
      </c>
      <c r="Q3210" s="55" t="s">
        <v>350</v>
      </c>
      <c r="R3210" s="55">
        <v>3</v>
      </c>
      <c r="S3210" s="55"/>
      <c r="T3210" s="55" t="s">
        <v>385</v>
      </c>
      <c r="U3210" s="73" t="s">
        <v>351</v>
      </c>
      <c r="V3210" s="74">
        <v>44433</v>
      </c>
      <c r="W3210" s="74">
        <v>44468</v>
      </c>
      <c r="X3210" s="55">
        <v>10186430</v>
      </c>
      <c r="Y3210" s="55" t="s">
        <v>130</v>
      </c>
      <c r="AB3210" s="55" t="s">
        <v>130</v>
      </c>
      <c r="AC3210" s="55" t="s">
        <v>130</v>
      </c>
    </row>
    <row r="3211" spans="1:29" ht="13" x14ac:dyDescent="0.15">
      <c r="A3211" s="72" t="str">
        <f t="shared" si="50"/>
        <v>Ofsted Social Care Provider Webpage</v>
      </c>
      <c r="B3211" s="55" t="s">
        <v>6000</v>
      </c>
      <c r="D3211" s="55" t="s">
        <v>373</v>
      </c>
      <c r="E3211" s="74">
        <v>41347</v>
      </c>
      <c r="F3211" s="55" t="s">
        <v>344</v>
      </c>
      <c r="G3211" s="55" t="s">
        <v>360</v>
      </c>
      <c r="H3211" s="55" t="s">
        <v>360</v>
      </c>
      <c r="I3211" s="55" t="s">
        <v>360</v>
      </c>
      <c r="J3211" s="55" t="s">
        <v>360</v>
      </c>
      <c r="K3211" s="55" t="s">
        <v>360</v>
      </c>
      <c r="L3211" s="55" t="s">
        <v>360</v>
      </c>
      <c r="M3211" s="55" t="s">
        <v>136</v>
      </c>
      <c r="N3211" s="55" t="s">
        <v>136</v>
      </c>
      <c r="O3211" s="55" t="s">
        <v>174</v>
      </c>
      <c r="P3211" s="55" t="s">
        <v>3555</v>
      </c>
      <c r="Q3211" s="55" t="s">
        <v>350</v>
      </c>
      <c r="R3211" s="55">
        <v>2</v>
      </c>
      <c r="S3211" s="55"/>
      <c r="T3211" s="55" t="s">
        <v>385</v>
      </c>
      <c r="U3211" s="73" t="s">
        <v>351</v>
      </c>
      <c r="V3211" s="74">
        <v>44573</v>
      </c>
      <c r="W3211" s="74">
        <v>44617</v>
      </c>
      <c r="X3211" s="55">
        <v>10186068</v>
      </c>
      <c r="Y3211" s="55" t="s">
        <v>132</v>
      </c>
      <c r="AB3211" s="55" t="s">
        <v>132</v>
      </c>
      <c r="AC3211" s="55" t="s">
        <v>132</v>
      </c>
    </row>
    <row r="3212" spans="1:29" ht="13" x14ac:dyDescent="0.15">
      <c r="A3212" s="72" t="str">
        <f t="shared" si="50"/>
        <v>Ofsted Social Care Provider Webpage</v>
      </c>
      <c r="B3212" s="55" t="s">
        <v>6001</v>
      </c>
      <c r="D3212" s="55" t="s">
        <v>373</v>
      </c>
      <c r="E3212" s="74">
        <v>41347</v>
      </c>
      <c r="F3212" s="55" t="s">
        <v>344</v>
      </c>
      <c r="G3212" s="55" t="s">
        <v>360</v>
      </c>
      <c r="H3212" s="55" t="s">
        <v>360</v>
      </c>
      <c r="I3212" s="55" t="s">
        <v>360</v>
      </c>
      <c r="J3212" s="55" t="s">
        <v>360</v>
      </c>
      <c r="K3212" s="55" t="s">
        <v>360</v>
      </c>
      <c r="L3212" s="55" t="s">
        <v>360</v>
      </c>
      <c r="M3212" s="55" t="s">
        <v>136</v>
      </c>
      <c r="N3212" s="55" t="s">
        <v>136</v>
      </c>
      <c r="O3212" s="55" t="s">
        <v>274</v>
      </c>
      <c r="P3212" s="55" t="s">
        <v>274</v>
      </c>
      <c r="Q3212" s="55" t="s">
        <v>350</v>
      </c>
      <c r="R3212" s="55">
        <v>1</v>
      </c>
      <c r="S3212" s="55"/>
      <c r="T3212" s="55" t="s">
        <v>385</v>
      </c>
      <c r="U3212" s="73" t="s">
        <v>351</v>
      </c>
      <c r="V3212" s="74">
        <v>44397</v>
      </c>
      <c r="W3212" s="74">
        <v>44433</v>
      </c>
      <c r="X3212" s="55">
        <v>10187632</v>
      </c>
      <c r="Y3212" s="55" t="s">
        <v>132</v>
      </c>
      <c r="AB3212" s="55" t="s">
        <v>132</v>
      </c>
      <c r="AC3212" s="55" t="s">
        <v>130</v>
      </c>
    </row>
    <row r="3213" spans="1:29" ht="13" x14ac:dyDescent="0.15">
      <c r="A3213" s="72" t="str">
        <f t="shared" si="50"/>
        <v>Ofsted Social Care Provider Webpage</v>
      </c>
      <c r="B3213" s="55" t="s">
        <v>6002</v>
      </c>
      <c r="D3213" s="55" t="s">
        <v>373</v>
      </c>
      <c r="E3213" s="74">
        <v>41319</v>
      </c>
      <c r="F3213" s="55" t="s">
        <v>344</v>
      </c>
      <c r="G3213" s="55" t="s">
        <v>360</v>
      </c>
      <c r="H3213" s="55" t="s">
        <v>360</v>
      </c>
      <c r="I3213" s="55" t="s">
        <v>360</v>
      </c>
      <c r="J3213" s="55" t="s">
        <v>360</v>
      </c>
      <c r="K3213" s="55" t="s">
        <v>360</v>
      </c>
      <c r="L3213" s="55" t="s">
        <v>360</v>
      </c>
      <c r="M3213" s="55" t="s">
        <v>378</v>
      </c>
      <c r="N3213" s="55" t="s">
        <v>170</v>
      </c>
      <c r="O3213" s="55" t="s">
        <v>178</v>
      </c>
      <c r="P3213" s="55" t="s">
        <v>952</v>
      </c>
      <c r="Q3213" s="55" t="s">
        <v>350</v>
      </c>
      <c r="R3213" s="55">
        <v>3</v>
      </c>
      <c r="S3213" s="55"/>
      <c r="T3213" s="55" t="s">
        <v>385</v>
      </c>
      <c r="U3213" s="73" t="s">
        <v>351</v>
      </c>
      <c r="V3213" s="74">
        <v>44550</v>
      </c>
      <c r="W3213" s="74">
        <v>44594</v>
      </c>
      <c r="X3213" s="55">
        <v>10186769</v>
      </c>
      <c r="Y3213" s="55" t="s">
        <v>130</v>
      </c>
      <c r="AB3213" s="55" t="s">
        <v>130</v>
      </c>
      <c r="AC3213" s="55" t="s">
        <v>146</v>
      </c>
    </row>
    <row r="3214" spans="1:29" ht="13" x14ac:dyDescent="0.15">
      <c r="A3214" s="72" t="str">
        <f t="shared" si="50"/>
        <v>Ofsted Social Care Provider Webpage</v>
      </c>
      <c r="B3214" s="55" t="s">
        <v>6003</v>
      </c>
      <c r="D3214" s="55" t="s">
        <v>373</v>
      </c>
      <c r="E3214" s="74">
        <v>41368</v>
      </c>
      <c r="F3214" s="55" t="s">
        <v>344</v>
      </c>
      <c r="G3214" s="55" t="s">
        <v>360</v>
      </c>
      <c r="H3214" s="55" t="s">
        <v>360</v>
      </c>
      <c r="I3214" s="55" t="s">
        <v>360</v>
      </c>
      <c r="J3214" s="55" t="s">
        <v>360</v>
      </c>
      <c r="K3214" s="55" t="s">
        <v>360</v>
      </c>
      <c r="L3214" s="55" t="s">
        <v>360</v>
      </c>
      <c r="M3214" s="55" t="s">
        <v>172</v>
      </c>
      <c r="N3214" s="55" t="s">
        <v>172</v>
      </c>
      <c r="O3214" s="55" t="s">
        <v>284</v>
      </c>
      <c r="P3214" s="55" t="s">
        <v>985</v>
      </c>
      <c r="Q3214" s="55" t="s">
        <v>350</v>
      </c>
      <c r="R3214" s="55">
        <v>2</v>
      </c>
      <c r="S3214" s="55"/>
      <c r="T3214" s="55" t="s">
        <v>385</v>
      </c>
      <c r="U3214" s="73" t="s">
        <v>351</v>
      </c>
      <c r="V3214" s="74">
        <v>43648</v>
      </c>
      <c r="W3214" s="74">
        <v>43670</v>
      </c>
      <c r="X3214" s="55">
        <v>10106924</v>
      </c>
      <c r="Y3214" s="55" t="s">
        <v>130</v>
      </c>
      <c r="AB3214" s="55" t="s">
        <v>130</v>
      </c>
      <c r="AC3214" s="55" t="s">
        <v>130</v>
      </c>
    </row>
    <row r="3215" spans="1:29" ht="13" x14ac:dyDescent="0.15">
      <c r="A3215" s="72" t="str">
        <f t="shared" si="50"/>
        <v>Ofsted Social Care Provider Webpage</v>
      </c>
      <c r="B3215" s="55" t="s">
        <v>6004</v>
      </c>
      <c r="D3215" s="55" t="s">
        <v>389</v>
      </c>
      <c r="E3215" s="74">
        <v>41311</v>
      </c>
      <c r="F3215" s="55" t="s">
        <v>344</v>
      </c>
      <c r="G3215" s="55" t="s">
        <v>6005</v>
      </c>
      <c r="H3215" s="55" t="s">
        <v>6006</v>
      </c>
      <c r="I3215" s="55" t="s">
        <v>6007</v>
      </c>
      <c r="J3215" s="55" t="s">
        <v>6008</v>
      </c>
      <c r="K3215" s="55" t="s">
        <v>266</v>
      </c>
      <c r="L3215" s="55" t="s">
        <v>6009</v>
      </c>
      <c r="M3215" s="55" t="s">
        <v>138</v>
      </c>
      <c r="N3215" s="55" t="s">
        <v>138</v>
      </c>
      <c r="O3215" s="55" t="s">
        <v>266</v>
      </c>
      <c r="P3215" s="55" t="s">
        <v>4472</v>
      </c>
      <c r="Q3215" s="55" t="s">
        <v>350</v>
      </c>
      <c r="R3215" s="55"/>
      <c r="S3215" s="55"/>
      <c r="T3215" s="55" t="s">
        <v>6010</v>
      </c>
      <c r="U3215" s="73" t="s">
        <v>351</v>
      </c>
      <c r="V3215" s="74">
        <v>44361</v>
      </c>
      <c r="W3215" s="74">
        <v>44404</v>
      </c>
      <c r="X3215" s="55">
        <v>10183345</v>
      </c>
      <c r="Y3215" s="55" t="s">
        <v>132</v>
      </c>
      <c r="AB3215" s="55" t="s">
        <v>132</v>
      </c>
      <c r="AC3215" s="55" t="s">
        <v>132</v>
      </c>
    </row>
    <row r="3216" spans="1:29" ht="13" x14ac:dyDescent="0.15">
      <c r="A3216" s="72" t="str">
        <f t="shared" si="50"/>
        <v>Ofsted Social Care Provider Webpage</v>
      </c>
      <c r="B3216" s="55" t="s">
        <v>6011</v>
      </c>
      <c r="D3216" s="55" t="s">
        <v>373</v>
      </c>
      <c r="E3216" s="74">
        <v>41250</v>
      </c>
      <c r="F3216" s="55" t="s">
        <v>344</v>
      </c>
      <c r="G3216" s="55" t="s">
        <v>360</v>
      </c>
      <c r="H3216" s="55" t="s">
        <v>360</v>
      </c>
      <c r="I3216" s="55" t="s">
        <v>360</v>
      </c>
      <c r="J3216" s="55" t="s">
        <v>360</v>
      </c>
      <c r="K3216" s="55" t="s">
        <v>360</v>
      </c>
      <c r="L3216" s="55" t="s">
        <v>360</v>
      </c>
      <c r="M3216" s="55" t="s">
        <v>129</v>
      </c>
      <c r="N3216" s="55" t="s">
        <v>129</v>
      </c>
      <c r="O3216" s="55" t="s">
        <v>152</v>
      </c>
      <c r="P3216" s="55" t="s">
        <v>1130</v>
      </c>
      <c r="Q3216" s="55" t="s">
        <v>380</v>
      </c>
      <c r="R3216" s="55">
        <v>8</v>
      </c>
      <c r="S3216" s="55" t="s">
        <v>332</v>
      </c>
      <c r="T3216" s="55" t="s">
        <v>6012</v>
      </c>
      <c r="U3216" s="73" t="s">
        <v>351</v>
      </c>
      <c r="V3216" s="74">
        <v>44502</v>
      </c>
      <c r="W3216" s="74">
        <v>44540</v>
      </c>
      <c r="X3216" s="55">
        <v>10185077</v>
      </c>
      <c r="Y3216" s="55" t="s">
        <v>140</v>
      </c>
      <c r="AB3216" s="55" t="s">
        <v>132</v>
      </c>
      <c r="AC3216" s="55" t="s">
        <v>140</v>
      </c>
    </row>
    <row r="3217" spans="1:29" ht="13" x14ac:dyDescent="0.15">
      <c r="A3217" s="72" t="str">
        <f t="shared" si="50"/>
        <v>Ofsted Social Care Provider Webpage</v>
      </c>
      <c r="B3217" s="55" t="s">
        <v>6013</v>
      </c>
      <c r="D3217" s="55" t="s">
        <v>389</v>
      </c>
      <c r="E3217" s="74">
        <v>41368</v>
      </c>
      <c r="F3217" s="55" t="s">
        <v>344</v>
      </c>
      <c r="G3217" s="55" t="s">
        <v>6014</v>
      </c>
      <c r="H3217" s="55" t="s">
        <v>6015</v>
      </c>
      <c r="I3217" s="55" t="s">
        <v>6016</v>
      </c>
      <c r="J3217" s="55" t="s">
        <v>141</v>
      </c>
      <c r="K3217" s="55" t="s">
        <v>142</v>
      </c>
      <c r="L3217" s="55" t="s">
        <v>6017</v>
      </c>
      <c r="M3217" s="55" t="s">
        <v>142</v>
      </c>
      <c r="N3217" s="55" t="s">
        <v>142</v>
      </c>
      <c r="O3217" s="55" t="s">
        <v>141</v>
      </c>
      <c r="P3217" s="55" t="s">
        <v>1231</v>
      </c>
      <c r="Q3217" s="55" t="s">
        <v>350</v>
      </c>
      <c r="R3217" s="55"/>
      <c r="S3217" s="55"/>
      <c r="T3217" s="55" t="s">
        <v>6018</v>
      </c>
      <c r="U3217" s="73" t="s">
        <v>351</v>
      </c>
      <c r="V3217" s="74">
        <v>44508</v>
      </c>
      <c r="W3217" s="74">
        <v>44538</v>
      </c>
      <c r="X3217" s="55">
        <v>10183431</v>
      </c>
      <c r="Y3217" s="55" t="s">
        <v>132</v>
      </c>
      <c r="AB3217" s="55" t="s">
        <v>132</v>
      </c>
      <c r="AC3217" s="55" t="s">
        <v>132</v>
      </c>
    </row>
    <row r="3218" spans="1:29" ht="13" x14ac:dyDescent="0.15">
      <c r="A3218" s="72" t="str">
        <f t="shared" si="50"/>
        <v>Ofsted Social Care Provider Webpage</v>
      </c>
      <c r="B3218" s="55" t="s">
        <v>6019</v>
      </c>
      <c r="D3218" s="55" t="s">
        <v>389</v>
      </c>
      <c r="E3218" s="74">
        <v>41347</v>
      </c>
      <c r="F3218" s="55" t="s">
        <v>344</v>
      </c>
      <c r="G3218" s="55" t="s">
        <v>6020</v>
      </c>
      <c r="H3218" s="55" t="s">
        <v>5524</v>
      </c>
      <c r="I3218" s="55" t="s">
        <v>6021</v>
      </c>
      <c r="J3218" s="55" t="s">
        <v>6022</v>
      </c>
      <c r="K3218" s="55" t="s">
        <v>129</v>
      </c>
      <c r="L3218" s="55" t="s">
        <v>6023</v>
      </c>
      <c r="M3218" s="55" t="s">
        <v>129</v>
      </c>
      <c r="N3218" s="55" t="s">
        <v>129</v>
      </c>
      <c r="O3218" s="55" t="s">
        <v>242</v>
      </c>
      <c r="P3218" s="55" t="s">
        <v>1128</v>
      </c>
      <c r="Q3218" s="55" t="s">
        <v>350</v>
      </c>
      <c r="R3218" s="55"/>
      <c r="S3218" s="55"/>
      <c r="T3218" s="55" t="s">
        <v>6020</v>
      </c>
      <c r="U3218" s="73" t="s">
        <v>351</v>
      </c>
      <c r="V3218" s="74">
        <v>44389</v>
      </c>
      <c r="W3218" s="74">
        <v>44439</v>
      </c>
      <c r="X3218" s="55">
        <v>10183353</v>
      </c>
      <c r="Y3218" s="55" t="s">
        <v>146</v>
      </c>
      <c r="AB3218" s="55" t="s">
        <v>146</v>
      </c>
      <c r="AC3218" s="55" t="s">
        <v>146</v>
      </c>
    </row>
    <row r="3219" spans="1:29" ht="13" x14ac:dyDescent="0.15">
      <c r="A3219" s="72" t="str">
        <f t="shared" si="50"/>
        <v>Ofsted Social Care Provider Webpage</v>
      </c>
      <c r="B3219" s="55" t="s">
        <v>6024</v>
      </c>
      <c r="D3219" s="55" t="s">
        <v>373</v>
      </c>
      <c r="E3219" s="74">
        <v>41254</v>
      </c>
      <c r="F3219" s="55" t="s">
        <v>344</v>
      </c>
      <c r="G3219" s="55" t="s">
        <v>360</v>
      </c>
      <c r="H3219" s="55" t="s">
        <v>360</v>
      </c>
      <c r="I3219" s="55" t="s">
        <v>360</v>
      </c>
      <c r="J3219" s="55" t="s">
        <v>360</v>
      </c>
      <c r="K3219" s="55" t="s">
        <v>360</v>
      </c>
      <c r="L3219" s="55" t="s">
        <v>360</v>
      </c>
      <c r="M3219" s="55" t="s">
        <v>142</v>
      </c>
      <c r="N3219" s="55" t="s">
        <v>142</v>
      </c>
      <c r="O3219" s="55" t="s">
        <v>195</v>
      </c>
      <c r="P3219" s="55" t="s">
        <v>518</v>
      </c>
      <c r="Q3219" s="55" t="s">
        <v>350</v>
      </c>
      <c r="R3219" s="55">
        <v>4</v>
      </c>
      <c r="S3219" s="55"/>
      <c r="T3219" s="55" t="s">
        <v>385</v>
      </c>
      <c r="U3219" s="73" t="s">
        <v>351</v>
      </c>
      <c r="V3219" s="74">
        <v>44627</v>
      </c>
      <c r="W3219" s="74">
        <v>44663</v>
      </c>
      <c r="X3219" s="55">
        <v>10186712</v>
      </c>
      <c r="Y3219" s="55" t="s">
        <v>132</v>
      </c>
      <c r="AB3219" s="55" t="s">
        <v>132</v>
      </c>
      <c r="AC3219" s="55" t="s">
        <v>132</v>
      </c>
    </row>
    <row r="3220" spans="1:29" ht="13" x14ac:dyDescent="0.15">
      <c r="A3220" s="72" t="str">
        <f t="shared" si="50"/>
        <v>Ofsted Social Care Provider Webpage</v>
      </c>
      <c r="B3220" s="55" t="s">
        <v>6025</v>
      </c>
      <c r="D3220" s="55" t="s">
        <v>373</v>
      </c>
      <c r="E3220" s="74">
        <v>41320</v>
      </c>
      <c r="F3220" s="55" t="s">
        <v>344</v>
      </c>
      <c r="G3220" s="55" t="s">
        <v>360</v>
      </c>
      <c r="H3220" s="55" t="s">
        <v>360</v>
      </c>
      <c r="I3220" s="55" t="s">
        <v>360</v>
      </c>
      <c r="J3220" s="55" t="s">
        <v>360</v>
      </c>
      <c r="K3220" s="55" t="s">
        <v>360</v>
      </c>
      <c r="L3220" s="55" t="s">
        <v>360</v>
      </c>
      <c r="M3220" s="55" t="s">
        <v>138</v>
      </c>
      <c r="N3220" s="55" t="s">
        <v>138</v>
      </c>
      <c r="O3220" s="55" t="s">
        <v>183</v>
      </c>
      <c r="P3220" s="55" t="s">
        <v>907</v>
      </c>
      <c r="Q3220" s="55" t="s">
        <v>350</v>
      </c>
      <c r="R3220" s="55">
        <v>3</v>
      </c>
      <c r="S3220" s="55"/>
      <c r="T3220" s="55" t="s">
        <v>385</v>
      </c>
      <c r="U3220" s="73" t="s">
        <v>351</v>
      </c>
      <c r="V3220" s="74">
        <v>44502</v>
      </c>
      <c r="W3220" s="74">
        <v>44526</v>
      </c>
      <c r="X3220" s="55">
        <v>10185515</v>
      </c>
      <c r="Y3220" s="55" t="s">
        <v>132</v>
      </c>
      <c r="AB3220" s="55" t="s">
        <v>132</v>
      </c>
      <c r="AC3220" s="55" t="s">
        <v>140</v>
      </c>
    </row>
    <row r="3221" spans="1:29" ht="13" x14ac:dyDescent="0.15">
      <c r="A3221" s="72" t="str">
        <f t="shared" si="50"/>
        <v>Ofsted Social Care Provider Webpage</v>
      </c>
      <c r="B3221" s="55" t="s">
        <v>6026</v>
      </c>
      <c r="D3221" s="55" t="s">
        <v>373</v>
      </c>
      <c r="E3221" s="74">
        <v>41320</v>
      </c>
      <c r="F3221" s="55" t="s">
        <v>344</v>
      </c>
      <c r="G3221" s="55" t="s">
        <v>360</v>
      </c>
      <c r="H3221" s="55" t="s">
        <v>360</v>
      </c>
      <c r="I3221" s="55" t="s">
        <v>360</v>
      </c>
      <c r="J3221" s="55" t="s">
        <v>360</v>
      </c>
      <c r="K3221" s="55" t="s">
        <v>360</v>
      </c>
      <c r="L3221" s="55" t="s">
        <v>360</v>
      </c>
      <c r="M3221" s="55" t="s">
        <v>138</v>
      </c>
      <c r="N3221" s="55" t="s">
        <v>138</v>
      </c>
      <c r="O3221" s="55" t="s">
        <v>183</v>
      </c>
      <c r="P3221" s="55" t="s">
        <v>907</v>
      </c>
      <c r="Q3221" s="55" t="s">
        <v>350</v>
      </c>
      <c r="R3221" s="55">
        <v>3</v>
      </c>
      <c r="S3221" s="55"/>
      <c r="T3221" s="55" t="s">
        <v>385</v>
      </c>
      <c r="U3221" s="73" t="s">
        <v>351</v>
      </c>
      <c r="V3221" s="74">
        <v>44488</v>
      </c>
      <c r="W3221" s="74">
        <v>44518</v>
      </c>
      <c r="X3221" s="55">
        <v>10187530</v>
      </c>
      <c r="Y3221" s="55" t="s">
        <v>132</v>
      </c>
      <c r="AB3221" s="55" t="s">
        <v>132</v>
      </c>
      <c r="AC3221" s="55" t="s">
        <v>132</v>
      </c>
    </row>
    <row r="3222" spans="1:29" ht="13" x14ac:dyDescent="0.15">
      <c r="A3222" s="72" t="str">
        <f t="shared" si="50"/>
        <v>Ofsted Social Care Provider Webpage</v>
      </c>
      <c r="B3222" s="55" t="s">
        <v>6027</v>
      </c>
      <c r="D3222" s="55" t="s">
        <v>479</v>
      </c>
      <c r="E3222" s="74">
        <v>41306</v>
      </c>
      <c r="F3222" s="55" t="s">
        <v>344</v>
      </c>
      <c r="G3222" s="55" t="s">
        <v>360</v>
      </c>
      <c r="H3222" s="55" t="s">
        <v>360</v>
      </c>
      <c r="I3222" s="55" t="s">
        <v>360</v>
      </c>
      <c r="J3222" s="55" t="s">
        <v>360</v>
      </c>
      <c r="K3222" s="55" t="s">
        <v>360</v>
      </c>
      <c r="L3222" s="55" t="s">
        <v>360</v>
      </c>
      <c r="M3222" s="55" t="s">
        <v>378</v>
      </c>
      <c r="N3222" s="55" t="s">
        <v>134</v>
      </c>
      <c r="O3222" s="55" t="s">
        <v>251</v>
      </c>
      <c r="P3222" s="55" t="s">
        <v>4046</v>
      </c>
      <c r="Q3222" s="55" t="s">
        <v>380</v>
      </c>
      <c r="R3222" s="55">
        <v>19</v>
      </c>
      <c r="S3222" s="55"/>
      <c r="T3222" s="55" t="s">
        <v>3358</v>
      </c>
      <c r="U3222" s="73" t="s">
        <v>351</v>
      </c>
      <c r="V3222" s="74">
        <v>44614</v>
      </c>
      <c r="W3222" s="74">
        <v>44658</v>
      </c>
      <c r="X3222" s="55">
        <v>10185834</v>
      </c>
      <c r="Y3222" s="55" t="s">
        <v>132</v>
      </c>
      <c r="AB3222" s="55" t="s">
        <v>132</v>
      </c>
      <c r="AC3222" s="55" t="s">
        <v>130</v>
      </c>
    </row>
    <row r="3223" spans="1:29" ht="13" x14ac:dyDescent="0.15">
      <c r="A3223" s="72" t="str">
        <f t="shared" si="50"/>
        <v>Ofsted Social Care Provider Webpage</v>
      </c>
      <c r="B3223" s="55" t="s">
        <v>6028</v>
      </c>
      <c r="D3223" s="55" t="s">
        <v>389</v>
      </c>
      <c r="E3223" s="74">
        <v>41306</v>
      </c>
      <c r="F3223" s="55" t="s">
        <v>344</v>
      </c>
      <c r="G3223" s="55" t="s">
        <v>2240</v>
      </c>
      <c r="H3223" s="55" t="s">
        <v>6029</v>
      </c>
      <c r="I3223" s="55" t="s">
        <v>6030</v>
      </c>
      <c r="J3223" s="55" t="s">
        <v>6031</v>
      </c>
      <c r="K3223" s="55" t="s">
        <v>268</v>
      </c>
      <c r="L3223" s="55" t="s">
        <v>6032</v>
      </c>
      <c r="M3223" s="55" t="s">
        <v>129</v>
      </c>
      <c r="N3223" s="55" t="s">
        <v>129</v>
      </c>
      <c r="O3223" s="55" t="s">
        <v>269</v>
      </c>
      <c r="P3223" s="55" t="s">
        <v>1951</v>
      </c>
      <c r="Q3223" s="55" t="s">
        <v>350</v>
      </c>
      <c r="R3223" s="55"/>
      <c r="S3223" s="55"/>
      <c r="T3223" s="55" t="s">
        <v>2240</v>
      </c>
      <c r="U3223" s="73" t="s">
        <v>351</v>
      </c>
      <c r="V3223" s="74">
        <v>43161</v>
      </c>
      <c r="W3223" s="74">
        <v>43201</v>
      </c>
      <c r="X3223" s="55">
        <v>10030558</v>
      </c>
      <c r="Y3223" s="55" t="s">
        <v>132</v>
      </c>
      <c r="AB3223" s="55" t="s">
        <v>132</v>
      </c>
      <c r="AC3223" s="55" t="s">
        <v>132</v>
      </c>
    </row>
    <row r="3224" spans="1:29" ht="13" x14ac:dyDescent="0.15">
      <c r="A3224" s="72" t="str">
        <f t="shared" si="50"/>
        <v>Ofsted Social Care Provider Webpage</v>
      </c>
      <c r="B3224" s="55" t="s">
        <v>6033</v>
      </c>
      <c r="D3224" s="55" t="s">
        <v>373</v>
      </c>
      <c r="E3224" s="74">
        <v>41284</v>
      </c>
      <c r="F3224" s="55" t="s">
        <v>344</v>
      </c>
      <c r="G3224" s="55" t="s">
        <v>360</v>
      </c>
      <c r="H3224" s="55" t="s">
        <v>360</v>
      </c>
      <c r="I3224" s="55" t="s">
        <v>360</v>
      </c>
      <c r="J3224" s="55" t="s">
        <v>360</v>
      </c>
      <c r="K3224" s="55" t="s">
        <v>360</v>
      </c>
      <c r="L3224" s="55" t="s">
        <v>360</v>
      </c>
      <c r="M3224" s="55" t="s">
        <v>138</v>
      </c>
      <c r="N3224" s="55" t="s">
        <v>138</v>
      </c>
      <c r="O3224" s="55" t="s">
        <v>196</v>
      </c>
      <c r="P3224" s="55" t="s">
        <v>1506</v>
      </c>
      <c r="Q3224" s="55" t="s">
        <v>380</v>
      </c>
      <c r="R3224" s="55">
        <v>7</v>
      </c>
      <c r="S3224" s="55"/>
      <c r="T3224" s="55" t="s">
        <v>2082</v>
      </c>
      <c r="U3224" s="73" t="s">
        <v>351</v>
      </c>
      <c r="V3224" s="74">
        <v>44432</v>
      </c>
      <c r="W3224" s="74">
        <v>44453</v>
      </c>
      <c r="X3224" s="55">
        <v>10187547</v>
      </c>
      <c r="Y3224" s="55" t="s">
        <v>132</v>
      </c>
      <c r="AB3224" s="55" t="s">
        <v>132</v>
      </c>
      <c r="AC3224" s="55" t="s">
        <v>132</v>
      </c>
    </row>
    <row r="3225" spans="1:29" ht="13" x14ac:dyDescent="0.15">
      <c r="A3225" s="72" t="str">
        <f t="shared" si="50"/>
        <v>Ofsted Social Care Provider Webpage</v>
      </c>
      <c r="B3225" s="55" t="s">
        <v>6034</v>
      </c>
      <c r="D3225" s="55" t="s">
        <v>389</v>
      </c>
      <c r="E3225" s="74">
        <v>41299</v>
      </c>
      <c r="F3225" s="55" t="s">
        <v>344</v>
      </c>
      <c r="G3225" s="55" t="s">
        <v>6035</v>
      </c>
      <c r="H3225" s="55" t="s">
        <v>6036</v>
      </c>
      <c r="I3225" s="55" t="s">
        <v>6037</v>
      </c>
      <c r="J3225" s="55" t="s">
        <v>1179</v>
      </c>
      <c r="L3225" s="55" t="s">
        <v>6038</v>
      </c>
      <c r="M3225" s="55" t="s">
        <v>142</v>
      </c>
      <c r="N3225" s="55" t="s">
        <v>142</v>
      </c>
      <c r="O3225" s="55" t="s">
        <v>249</v>
      </c>
      <c r="P3225" s="55" t="s">
        <v>1181</v>
      </c>
      <c r="Q3225" s="55" t="s">
        <v>362</v>
      </c>
      <c r="R3225" s="55"/>
      <c r="S3225" s="55"/>
      <c r="T3225" s="55" t="s">
        <v>432</v>
      </c>
      <c r="U3225" s="73" t="s">
        <v>351</v>
      </c>
      <c r="V3225" s="74">
        <v>43374</v>
      </c>
      <c r="W3225" s="74">
        <v>43420</v>
      </c>
      <c r="X3225" s="55">
        <v>10046849</v>
      </c>
      <c r="Y3225" s="55" t="s">
        <v>132</v>
      </c>
      <c r="AB3225" s="55" t="s">
        <v>132</v>
      </c>
      <c r="AC3225" s="55" t="s">
        <v>132</v>
      </c>
    </row>
    <row r="3226" spans="1:29" ht="13" x14ac:dyDescent="0.15">
      <c r="A3226" s="72" t="str">
        <f t="shared" si="50"/>
        <v>Ofsted Social Care Provider Webpage</v>
      </c>
      <c r="B3226" s="55" t="s">
        <v>6039</v>
      </c>
      <c r="D3226" s="55" t="s">
        <v>373</v>
      </c>
      <c r="E3226" s="74">
        <v>41347</v>
      </c>
      <c r="F3226" s="55" t="s">
        <v>344</v>
      </c>
      <c r="G3226" s="55" t="s">
        <v>360</v>
      </c>
      <c r="H3226" s="55" t="s">
        <v>360</v>
      </c>
      <c r="I3226" s="55" t="s">
        <v>360</v>
      </c>
      <c r="J3226" s="55" t="s">
        <v>360</v>
      </c>
      <c r="K3226" s="55" t="s">
        <v>360</v>
      </c>
      <c r="L3226" s="55" t="s">
        <v>360</v>
      </c>
      <c r="M3226" s="55" t="s">
        <v>136</v>
      </c>
      <c r="N3226" s="55" t="s">
        <v>136</v>
      </c>
      <c r="O3226" s="55" t="s">
        <v>174</v>
      </c>
      <c r="P3226" s="55" t="s">
        <v>651</v>
      </c>
      <c r="Q3226" s="55" t="s">
        <v>350</v>
      </c>
      <c r="R3226" s="55">
        <v>3</v>
      </c>
      <c r="S3226" s="55"/>
      <c r="T3226" s="55" t="s">
        <v>385</v>
      </c>
      <c r="U3226" s="73" t="s">
        <v>351</v>
      </c>
      <c r="V3226" s="74">
        <v>44440</v>
      </c>
      <c r="W3226" s="74">
        <v>44470</v>
      </c>
      <c r="X3226" s="55">
        <v>10187444</v>
      </c>
      <c r="Y3226" s="55" t="s">
        <v>132</v>
      </c>
      <c r="AB3226" s="55" t="s">
        <v>132</v>
      </c>
      <c r="AC3226" s="55" t="s">
        <v>132</v>
      </c>
    </row>
    <row r="3227" spans="1:29" ht="13" x14ac:dyDescent="0.15">
      <c r="A3227" s="72" t="str">
        <f t="shared" si="50"/>
        <v>Ofsted Social Care Provider Webpage</v>
      </c>
      <c r="B3227" s="55" t="s">
        <v>6040</v>
      </c>
      <c r="D3227" s="55" t="s">
        <v>373</v>
      </c>
      <c r="E3227" s="74">
        <v>41304</v>
      </c>
      <c r="F3227" s="55" t="s">
        <v>344</v>
      </c>
      <c r="G3227" s="55" t="s">
        <v>360</v>
      </c>
      <c r="H3227" s="55" t="s">
        <v>360</v>
      </c>
      <c r="I3227" s="55" t="s">
        <v>360</v>
      </c>
      <c r="J3227" s="55" t="s">
        <v>360</v>
      </c>
      <c r="K3227" s="55" t="s">
        <v>360</v>
      </c>
      <c r="L3227" s="55" t="s">
        <v>360</v>
      </c>
      <c r="M3227" s="55" t="s">
        <v>378</v>
      </c>
      <c r="N3227" s="55" t="s">
        <v>170</v>
      </c>
      <c r="O3227" s="55" t="s">
        <v>178</v>
      </c>
      <c r="P3227" s="55" t="s">
        <v>434</v>
      </c>
      <c r="Q3227" s="55" t="s">
        <v>362</v>
      </c>
      <c r="R3227" s="55">
        <v>6</v>
      </c>
      <c r="S3227" s="55" t="s">
        <v>332</v>
      </c>
      <c r="T3227" s="55" t="s">
        <v>5369</v>
      </c>
      <c r="U3227" s="73" t="s">
        <v>351</v>
      </c>
      <c r="V3227" s="74">
        <v>44509</v>
      </c>
      <c r="W3227" s="74">
        <v>44566</v>
      </c>
      <c r="X3227" s="55">
        <v>10186953</v>
      </c>
      <c r="Y3227" s="55" t="s">
        <v>132</v>
      </c>
      <c r="AB3227" s="55" t="s">
        <v>132</v>
      </c>
      <c r="AC3227" s="55" t="s">
        <v>132</v>
      </c>
    </row>
    <row r="3228" spans="1:29" ht="13" x14ac:dyDescent="0.15">
      <c r="A3228" s="72" t="str">
        <f t="shared" si="50"/>
        <v>Ofsted Social Care Provider Webpage</v>
      </c>
      <c r="B3228" s="55" t="s">
        <v>6041</v>
      </c>
      <c r="D3228" s="55" t="s">
        <v>373</v>
      </c>
      <c r="E3228" s="74">
        <v>41306</v>
      </c>
      <c r="F3228" s="55" t="s">
        <v>344</v>
      </c>
      <c r="G3228" s="55" t="s">
        <v>360</v>
      </c>
      <c r="H3228" s="55" t="s">
        <v>360</v>
      </c>
      <c r="I3228" s="55" t="s">
        <v>360</v>
      </c>
      <c r="J3228" s="55" t="s">
        <v>360</v>
      </c>
      <c r="K3228" s="55" t="s">
        <v>360</v>
      </c>
      <c r="L3228" s="55" t="s">
        <v>360</v>
      </c>
      <c r="M3228" s="55" t="s">
        <v>378</v>
      </c>
      <c r="N3228" s="55" t="s">
        <v>170</v>
      </c>
      <c r="O3228" s="55" t="s">
        <v>178</v>
      </c>
      <c r="P3228" s="55" t="s">
        <v>434</v>
      </c>
      <c r="Q3228" s="55" t="s">
        <v>362</v>
      </c>
      <c r="R3228" s="55">
        <v>8</v>
      </c>
      <c r="S3228" s="55"/>
      <c r="T3228" s="55" t="s">
        <v>5369</v>
      </c>
      <c r="U3228" s="73" t="s">
        <v>351</v>
      </c>
      <c r="V3228" s="74">
        <v>44516</v>
      </c>
      <c r="W3228" s="74">
        <v>44550</v>
      </c>
      <c r="X3228" s="55">
        <v>10185429</v>
      </c>
      <c r="Y3228" s="55" t="s">
        <v>132</v>
      </c>
      <c r="AB3228" s="55" t="s">
        <v>132</v>
      </c>
      <c r="AC3228" s="55" t="s">
        <v>132</v>
      </c>
    </row>
    <row r="3229" spans="1:29" ht="13" x14ac:dyDescent="0.15">
      <c r="A3229" s="72" t="str">
        <f t="shared" si="50"/>
        <v>Ofsted Social Care Provider Webpage</v>
      </c>
      <c r="B3229" s="55" t="s">
        <v>6042</v>
      </c>
      <c r="D3229" s="55" t="s">
        <v>373</v>
      </c>
      <c r="E3229" s="74">
        <v>41361</v>
      </c>
      <c r="F3229" s="55" t="s">
        <v>344</v>
      </c>
      <c r="G3229" s="55" t="s">
        <v>360</v>
      </c>
      <c r="H3229" s="55" t="s">
        <v>360</v>
      </c>
      <c r="I3229" s="55" t="s">
        <v>360</v>
      </c>
      <c r="J3229" s="55" t="s">
        <v>360</v>
      </c>
      <c r="K3229" s="55" t="s">
        <v>360</v>
      </c>
      <c r="L3229" s="55" t="s">
        <v>360</v>
      </c>
      <c r="M3229" s="55" t="s">
        <v>136</v>
      </c>
      <c r="N3229" s="55" t="s">
        <v>136</v>
      </c>
      <c r="O3229" s="55" t="s">
        <v>239</v>
      </c>
      <c r="P3229" s="55" t="s">
        <v>738</v>
      </c>
      <c r="Q3229" s="55" t="s">
        <v>350</v>
      </c>
      <c r="R3229" s="55">
        <v>2</v>
      </c>
      <c r="S3229" s="55"/>
      <c r="T3229" s="55" t="s">
        <v>858</v>
      </c>
      <c r="U3229" s="73" t="s">
        <v>351</v>
      </c>
      <c r="V3229" s="74">
        <v>44524</v>
      </c>
      <c r="W3229" s="74">
        <v>44572</v>
      </c>
      <c r="X3229" s="55">
        <v>10185514</v>
      </c>
      <c r="Y3229" s="55" t="s">
        <v>132</v>
      </c>
      <c r="AB3229" s="55" t="s">
        <v>130</v>
      </c>
      <c r="AC3229" s="55" t="s">
        <v>132</v>
      </c>
    </row>
    <row r="3230" spans="1:29" ht="13" x14ac:dyDescent="0.15">
      <c r="A3230" s="72" t="str">
        <f t="shared" si="50"/>
        <v>Ofsted Social Care Provider Webpage</v>
      </c>
      <c r="B3230" s="55" t="s">
        <v>6043</v>
      </c>
      <c r="D3230" s="55" t="s">
        <v>373</v>
      </c>
      <c r="E3230" s="74">
        <v>41330</v>
      </c>
      <c r="F3230" s="55" t="s">
        <v>344</v>
      </c>
      <c r="G3230" s="55" t="s">
        <v>360</v>
      </c>
      <c r="H3230" s="55" t="s">
        <v>360</v>
      </c>
      <c r="I3230" s="55" t="s">
        <v>360</v>
      </c>
      <c r="J3230" s="55" t="s">
        <v>360</v>
      </c>
      <c r="K3230" s="55" t="s">
        <v>360</v>
      </c>
      <c r="L3230" s="55" t="s">
        <v>360</v>
      </c>
      <c r="M3230" s="55" t="s">
        <v>136</v>
      </c>
      <c r="N3230" s="55" t="s">
        <v>136</v>
      </c>
      <c r="O3230" s="55" t="s">
        <v>239</v>
      </c>
      <c r="P3230" s="55" t="s">
        <v>738</v>
      </c>
      <c r="Q3230" s="55" t="s">
        <v>350</v>
      </c>
      <c r="R3230" s="55">
        <v>1</v>
      </c>
      <c r="S3230" s="55"/>
      <c r="T3230" s="55" t="s">
        <v>858</v>
      </c>
      <c r="U3230" s="73" t="s">
        <v>351</v>
      </c>
      <c r="V3230" s="74">
        <v>44327</v>
      </c>
      <c r="W3230" s="74">
        <v>44362</v>
      </c>
      <c r="X3230" s="55">
        <v>10185807</v>
      </c>
      <c r="Y3230" s="55" t="s">
        <v>132</v>
      </c>
      <c r="AB3230" s="55" t="s">
        <v>132</v>
      </c>
      <c r="AC3230" s="55" t="s">
        <v>132</v>
      </c>
    </row>
    <row r="3231" spans="1:29" ht="13" x14ac:dyDescent="0.15">
      <c r="A3231" s="72" t="str">
        <f t="shared" si="50"/>
        <v>Ofsted Social Care Provider Webpage</v>
      </c>
      <c r="B3231" s="55" t="s">
        <v>6044</v>
      </c>
      <c r="D3231" s="55" t="s">
        <v>373</v>
      </c>
      <c r="E3231" s="74">
        <v>41325</v>
      </c>
      <c r="F3231" s="55" t="s">
        <v>344</v>
      </c>
      <c r="G3231" s="55" t="s">
        <v>360</v>
      </c>
      <c r="H3231" s="55" t="s">
        <v>360</v>
      </c>
      <c r="I3231" s="55" t="s">
        <v>360</v>
      </c>
      <c r="J3231" s="55" t="s">
        <v>360</v>
      </c>
      <c r="K3231" s="55" t="s">
        <v>360</v>
      </c>
      <c r="L3231" s="55" t="s">
        <v>360</v>
      </c>
      <c r="M3231" s="55" t="s">
        <v>138</v>
      </c>
      <c r="N3231" s="55" t="s">
        <v>138</v>
      </c>
      <c r="O3231" s="55" t="s">
        <v>224</v>
      </c>
      <c r="P3231" s="55" t="s">
        <v>374</v>
      </c>
      <c r="Q3231" s="55" t="s">
        <v>350</v>
      </c>
      <c r="R3231" s="55">
        <v>4</v>
      </c>
      <c r="S3231" s="55"/>
      <c r="T3231" s="55" t="s">
        <v>385</v>
      </c>
      <c r="U3231" s="73" t="s">
        <v>351</v>
      </c>
      <c r="V3231" s="74">
        <v>44306</v>
      </c>
      <c r="W3231" s="74">
        <v>44326</v>
      </c>
      <c r="X3231" s="55">
        <v>10186307</v>
      </c>
      <c r="Y3231" s="55" t="s">
        <v>132</v>
      </c>
      <c r="AB3231" s="55" t="s">
        <v>132</v>
      </c>
      <c r="AC3231" s="55" t="s">
        <v>132</v>
      </c>
    </row>
    <row r="3232" spans="1:29" ht="13" x14ac:dyDescent="0.15">
      <c r="A3232" s="72" t="str">
        <f t="shared" si="50"/>
        <v>Ofsted Social Care Provider Webpage</v>
      </c>
      <c r="B3232" s="55" t="s">
        <v>6045</v>
      </c>
      <c r="D3232" s="55" t="s">
        <v>373</v>
      </c>
      <c r="E3232" s="74">
        <v>41568</v>
      </c>
      <c r="F3232" s="55" t="s">
        <v>344</v>
      </c>
      <c r="G3232" s="55" t="s">
        <v>360</v>
      </c>
      <c r="H3232" s="55" t="s">
        <v>360</v>
      </c>
      <c r="I3232" s="55" t="s">
        <v>360</v>
      </c>
      <c r="J3232" s="55" t="s">
        <v>360</v>
      </c>
      <c r="K3232" s="55" t="s">
        <v>360</v>
      </c>
      <c r="L3232" s="55" t="s">
        <v>360</v>
      </c>
      <c r="M3232" s="55" t="s">
        <v>129</v>
      </c>
      <c r="N3232" s="55" t="s">
        <v>129</v>
      </c>
      <c r="O3232" s="55" t="s">
        <v>186</v>
      </c>
      <c r="P3232" s="55" t="s">
        <v>1639</v>
      </c>
      <c r="Q3232" s="55" t="s">
        <v>350</v>
      </c>
      <c r="R3232" s="55">
        <v>3</v>
      </c>
      <c r="S3232" s="55"/>
      <c r="T3232" s="55" t="s">
        <v>713</v>
      </c>
      <c r="U3232" s="73" t="s">
        <v>351</v>
      </c>
      <c r="V3232" s="74">
        <v>44494</v>
      </c>
      <c r="W3232" s="74">
        <v>44532</v>
      </c>
      <c r="X3232" s="55">
        <v>10186935</v>
      </c>
      <c r="Y3232" s="55" t="s">
        <v>132</v>
      </c>
      <c r="AB3232" s="55" t="s">
        <v>132</v>
      </c>
      <c r="AC3232" s="55" t="s">
        <v>132</v>
      </c>
    </row>
    <row r="3233" spans="1:29" ht="13" x14ac:dyDescent="0.15">
      <c r="A3233" s="72" t="str">
        <f t="shared" si="50"/>
        <v>Ofsted Social Care Provider Webpage</v>
      </c>
      <c r="B3233" s="55" t="s">
        <v>6046</v>
      </c>
      <c r="C3233" s="55">
        <v>135804</v>
      </c>
      <c r="D3233" s="55" t="s">
        <v>398</v>
      </c>
      <c r="E3233" s="74">
        <v>41277</v>
      </c>
      <c r="F3233" s="55" t="s">
        <v>344</v>
      </c>
      <c r="G3233" s="55" t="s">
        <v>6047</v>
      </c>
      <c r="H3233" s="55" t="s">
        <v>6048</v>
      </c>
      <c r="I3233" s="55" t="s">
        <v>354</v>
      </c>
      <c r="J3233" s="55" t="s">
        <v>6049</v>
      </c>
      <c r="K3233" s="55" t="s">
        <v>288</v>
      </c>
      <c r="L3233" s="55" t="s">
        <v>6050</v>
      </c>
      <c r="M3233" s="55" t="s">
        <v>136</v>
      </c>
      <c r="N3233" s="55" t="s">
        <v>136</v>
      </c>
      <c r="O3233" s="55" t="s">
        <v>288</v>
      </c>
      <c r="P3233" s="55" t="s">
        <v>1487</v>
      </c>
      <c r="Q3233" s="55" t="s">
        <v>420</v>
      </c>
      <c r="R3233" s="55">
        <v>100</v>
      </c>
      <c r="S3233" s="55"/>
      <c r="T3233" s="55" t="s">
        <v>6051</v>
      </c>
      <c r="U3233" s="73" t="s">
        <v>351</v>
      </c>
      <c r="V3233" s="74">
        <v>43123</v>
      </c>
      <c r="W3233" s="74">
        <v>43150</v>
      </c>
      <c r="X3233" s="55">
        <v>10026926</v>
      </c>
      <c r="Y3233" s="55" t="s">
        <v>140</v>
      </c>
      <c r="AB3233" s="55" t="s">
        <v>132</v>
      </c>
      <c r="AC3233" s="55" t="s">
        <v>140</v>
      </c>
    </row>
    <row r="3234" spans="1:29" ht="13" x14ac:dyDescent="0.15">
      <c r="A3234" s="72" t="str">
        <f t="shared" si="50"/>
        <v>Ofsted Social Care Provider Webpage</v>
      </c>
      <c r="B3234" s="55" t="s">
        <v>6052</v>
      </c>
      <c r="D3234" s="55" t="s">
        <v>389</v>
      </c>
      <c r="E3234" s="74">
        <v>41502</v>
      </c>
      <c r="F3234" s="55" t="s">
        <v>344</v>
      </c>
      <c r="G3234" s="55" t="s">
        <v>6053</v>
      </c>
      <c r="H3234" s="55" t="s">
        <v>6054</v>
      </c>
      <c r="I3234" s="55" t="s">
        <v>6055</v>
      </c>
      <c r="J3234" s="55" t="s">
        <v>2578</v>
      </c>
      <c r="L3234" s="55" t="s">
        <v>6056</v>
      </c>
      <c r="M3234" s="55" t="s">
        <v>129</v>
      </c>
      <c r="N3234" s="55" t="s">
        <v>129</v>
      </c>
      <c r="O3234" s="55" t="s">
        <v>242</v>
      </c>
      <c r="P3234" s="55" t="s">
        <v>1078</v>
      </c>
      <c r="Q3234" s="55" t="s">
        <v>350</v>
      </c>
      <c r="R3234" s="55"/>
      <c r="S3234" s="55"/>
      <c r="T3234" s="55" t="s">
        <v>6057</v>
      </c>
      <c r="U3234" s="73" t="s">
        <v>351</v>
      </c>
      <c r="V3234" s="74">
        <v>43843</v>
      </c>
      <c r="W3234" s="74">
        <v>43868</v>
      </c>
      <c r="X3234" s="55">
        <v>10093256</v>
      </c>
      <c r="Y3234" s="55" t="s">
        <v>132</v>
      </c>
      <c r="AB3234" s="55" t="s">
        <v>132</v>
      </c>
      <c r="AC3234" s="55" t="s">
        <v>132</v>
      </c>
    </row>
    <row r="3235" spans="1:29" ht="13" x14ac:dyDescent="0.15">
      <c r="A3235" s="72" t="str">
        <f t="shared" si="50"/>
        <v>Ofsted Social Care Provider Webpage</v>
      </c>
      <c r="B3235" s="55" t="s">
        <v>6058</v>
      </c>
      <c r="D3235" s="55" t="s">
        <v>373</v>
      </c>
      <c r="E3235" s="74">
        <v>41390</v>
      </c>
      <c r="F3235" s="55" t="s">
        <v>344</v>
      </c>
      <c r="G3235" s="55" t="s">
        <v>360</v>
      </c>
      <c r="H3235" s="55" t="s">
        <v>360</v>
      </c>
      <c r="I3235" s="55" t="s">
        <v>360</v>
      </c>
      <c r="J3235" s="55" t="s">
        <v>360</v>
      </c>
      <c r="K3235" s="55" t="s">
        <v>360</v>
      </c>
      <c r="L3235" s="55" t="s">
        <v>360</v>
      </c>
      <c r="M3235" s="55" t="s">
        <v>129</v>
      </c>
      <c r="N3235" s="55" t="s">
        <v>129</v>
      </c>
      <c r="O3235" s="55" t="s">
        <v>179</v>
      </c>
      <c r="P3235" s="55" t="s">
        <v>433</v>
      </c>
      <c r="Q3235" s="55" t="s">
        <v>362</v>
      </c>
      <c r="R3235" s="55">
        <v>8</v>
      </c>
      <c r="S3235" s="55"/>
      <c r="T3235" s="55" t="s">
        <v>432</v>
      </c>
      <c r="U3235" s="73" t="s">
        <v>351</v>
      </c>
      <c r="V3235" s="74">
        <v>44635</v>
      </c>
      <c r="W3235" s="74">
        <v>44680</v>
      </c>
      <c r="X3235" s="55">
        <v>10187016</v>
      </c>
      <c r="Y3235" s="55" t="s">
        <v>130</v>
      </c>
      <c r="AB3235" s="55" t="s">
        <v>130</v>
      </c>
      <c r="AC3235" s="55" t="s">
        <v>130</v>
      </c>
    </row>
    <row r="3236" spans="1:29" ht="13" x14ac:dyDescent="0.15">
      <c r="A3236" s="72" t="str">
        <f t="shared" si="50"/>
        <v>Ofsted Social Care Provider Webpage</v>
      </c>
      <c r="B3236" s="55" t="s">
        <v>6059</v>
      </c>
      <c r="D3236" s="55" t="s">
        <v>373</v>
      </c>
      <c r="E3236" s="74">
        <v>41344</v>
      </c>
      <c r="F3236" s="55" t="s">
        <v>344</v>
      </c>
      <c r="G3236" s="55" t="s">
        <v>360</v>
      </c>
      <c r="H3236" s="55" t="s">
        <v>360</v>
      </c>
      <c r="I3236" s="55" t="s">
        <v>360</v>
      </c>
      <c r="J3236" s="55" t="s">
        <v>360</v>
      </c>
      <c r="K3236" s="55" t="s">
        <v>360</v>
      </c>
      <c r="L3236" s="55" t="s">
        <v>360</v>
      </c>
      <c r="M3236" s="55" t="s">
        <v>378</v>
      </c>
      <c r="N3236" s="55" t="s">
        <v>134</v>
      </c>
      <c r="O3236" s="55" t="s">
        <v>180</v>
      </c>
      <c r="P3236" s="55" t="s">
        <v>662</v>
      </c>
      <c r="Q3236" s="55" t="s">
        <v>350</v>
      </c>
      <c r="R3236" s="55">
        <v>5</v>
      </c>
      <c r="S3236" s="55"/>
      <c r="T3236" s="55" t="s">
        <v>385</v>
      </c>
      <c r="U3236" s="73" t="s">
        <v>351</v>
      </c>
      <c r="V3236" s="74">
        <v>44411</v>
      </c>
      <c r="W3236" s="74">
        <v>44445</v>
      </c>
      <c r="X3236" s="55">
        <v>10186329</v>
      </c>
      <c r="Y3236" s="55" t="s">
        <v>130</v>
      </c>
      <c r="AB3236" s="55" t="s">
        <v>130</v>
      </c>
      <c r="AC3236" s="55" t="s">
        <v>146</v>
      </c>
    </row>
    <row r="3237" spans="1:29" ht="13" x14ac:dyDescent="0.15">
      <c r="A3237" s="72" t="str">
        <f t="shared" si="50"/>
        <v>Ofsted Social Care Provider Webpage</v>
      </c>
      <c r="B3237" s="55" t="s">
        <v>6060</v>
      </c>
      <c r="D3237" s="55" t="s">
        <v>373</v>
      </c>
      <c r="E3237" s="74">
        <v>41431</v>
      </c>
      <c r="F3237" s="55" t="s">
        <v>344</v>
      </c>
      <c r="G3237" s="55" t="s">
        <v>360</v>
      </c>
      <c r="H3237" s="55" t="s">
        <v>360</v>
      </c>
      <c r="I3237" s="55" t="s">
        <v>360</v>
      </c>
      <c r="J3237" s="55" t="s">
        <v>360</v>
      </c>
      <c r="K3237" s="55" t="s">
        <v>360</v>
      </c>
      <c r="L3237" s="55" t="s">
        <v>360</v>
      </c>
      <c r="M3237" s="55" t="s">
        <v>378</v>
      </c>
      <c r="N3237" s="55" t="s">
        <v>134</v>
      </c>
      <c r="O3237" s="55" t="s">
        <v>206</v>
      </c>
      <c r="P3237" s="55" t="s">
        <v>1655</v>
      </c>
      <c r="Q3237" s="55" t="s">
        <v>350</v>
      </c>
      <c r="R3237" s="55">
        <v>4</v>
      </c>
      <c r="S3237" s="55"/>
      <c r="T3237" s="55" t="s">
        <v>613</v>
      </c>
      <c r="U3237" s="73" t="s">
        <v>351</v>
      </c>
      <c r="V3237" s="74">
        <v>44432</v>
      </c>
      <c r="W3237" s="74">
        <v>44463</v>
      </c>
      <c r="X3237" s="55">
        <v>10185546</v>
      </c>
      <c r="Y3237" s="55" t="s">
        <v>132</v>
      </c>
      <c r="AB3237" s="55" t="s">
        <v>132</v>
      </c>
      <c r="AC3237" s="55" t="s">
        <v>132</v>
      </c>
    </row>
    <row r="3238" spans="1:29" ht="13" x14ac:dyDescent="0.15">
      <c r="A3238" s="72" t="str">
        <f t="shared" si="50"/>
        <v>Ofsted Social Care Provider Webpage</v>
      </c>
      <c r="B3238" s="55" t="s">
        <v>6061</v>
      </c>
      <c r="D3238" s="55" t="s">
        <v>373</v>
      </c>
      <c r="E3238" s="74">
        <v>41373</v>
      </c>
      <c r="F3238" s="55" t="s">
        <v>344</v>
      </c>
      <c r="G3238" s="55" t="s">
        <v>360</v>
      </c>
      <c r="H3238" s="55" t="s">
        <v>360</v>
      </c>
      <c r="I3238" s="55" t="s">
        <v>360</v>
      </c>
      <c r="J3238" s="55" t="s">
        <v>360</v>
      </c>
      <c r="K3238" s="55" t="s">
        <v>360</v>
      </c>
      <c r="L3238" s="55" t="s">
        <v>360</v>
      </c>
      <c r="M3238" s="55" t="s">
        <v>150</v>
      </c>
      <c r="N3238" s="55" t="s">
        <v>150</v>
      </c>
      <c r="O3238" s="55" t="s">
        <v>203</v>
      </c>
      <c r="P3238" s="55" t="s">
        <v>593</v>
      </c>
      <c r="Q3238" s="55" t="s">
        <v>350</v>
      </c>
      <c r="R3238" s="55">
        <v>2</v>
      </c>
      <c r="S3238" s="55"/>
      <c r="T3238" s="55" t="s">
        <v>594</v>
      </c>
      <c r="U3238" s="73" t="s">
        <v>351</v>
      </c>
      <c r="V3238" s="74">
        <v>44474</v>
      </c>
      <c r="W3238" s="74">
        <v>44526</v>
      </c>
      <c r="X3238" s="55">
        <v>10186443</v>
      </c>
      <c r="Y3238" s="55" t="s">
        <v>132</v>
      </c>
      <c r="AB3238" s="55" t="s">
        <v>132</v>
      </c>
      <c r="AC3238" s="55" t="s">
        <v>132</v>
      </c>
    </row>
    <row r="3239" spans="1:29" ht="13" x14ac:dyDescent="0.15">
      <c r="A3239" s="72" t="str">
        <f t="shared" si="50"/>
        <v>Ofsted Social Care Provider Webpage</v>
      </c>
      <c r="B3239" s="55" t="s">
        <v>6062</v>
      </c>
      <c r="D3239" s="55" t="s">
        <v>373</v>
      </c>
      <c r="E3239" s="74">
        <v>41415</v>
      </c>
      <c r="F3239" s="55" t="s">
        <v>344</v>
      </c>
      <c r="G3239" s="55" t="s">
        <v>360</v>
      </c>
      <c r="H3239" s="55" t="s">
        <v>360</v>
      </c>
      <c r="I3239" s="55" t="s">
        <v>360</v>
      </c>
      <c r="J3239" s="55" t="s">
        <v>360</v>
      </c>
      <c r="K3239" s="55" t="s">
        <v>360</v>
      </c>
      <c r="L3239" s="55" t="s">
        <v>360</v>
      </c>
      <c r="M3239" s="55" t="s">
        <v>144</v>
      </c>
      <c r="N3239" s="55" t="s">
        <v>144</v>
      </c>
      <c r="O3239" s="55" t="s">
        <v>261</v>
      </c>
      <c r="P3239" s="55" t="s">
        <v>512</v>
      </c>
      <c r="Q3239" s="55" t="s">
        <v>350</v>
      </c>
      <c r="R3239" s="55">
        <v>1</v>
      </c>
      <c r="S3239" s="55"/>
      <c r="T3239" s="55" t="s">
        <v>4505</v>
      </c>
      <c r="U3239" s="73" t="s">
        <v>351</v>
      </c>
      <c r="V3239" s="74">
        <v>44321</v>
      </c>
      <c r="W3239" s="74">
        <v>44354</v>
      </c>
      <c r="X3239" s="55">
        <v>10185271</v>
      </c>
      <c r="Y3239" s="55" t="s">
        <v>132</v>
      </c>
      <c r="AB3239" s="55" t="s">
        <v>132</v>
      </c>
      <c r="AC3239" s="55" t="s">
        <v>132</v>
      </c>
    </row>
    <row r="3240" spans="1:29" ht="13" x14ac:dyDescent="0.15">
      <c r="A3240" s="72" t="str">
        <f t="shared" si="50"/>
        <v>Ofsted Social Care Provider Webpage</v>
      </c>
      <c r="B3240" s="55" t="s">
        <v>6063</v>
      </c>
      <c r="D3240" s="55" t="s">
        <v>373</v>
      </c>
      <c r="E3240" s="74">
        <v>41416</v>
      </c>
      <c r="F3240" s="55" t="s">
        <v>344</v>
      </c>
      <c r="G3240" s="55" t="s">
        <v>360</v>
      </c>
      <c r="H3240" s="55" t="s">
        <v>360</v>
      </c>
      <c r="I3240" s="55" t="s">
        <v>360</v>
      </c>
      <c r="J3240" s="55" t="s">
        <v>360</v>
      </c>
      <c r="K3240" s="55" t="s">
        <v>360</v>
      </c>
      <c r="L3240" s="55" t="s">
        <v>360</v>
      </c>
      <c r="M3240" s="55" t="s">
        <v>144</v>
      </c>
      <c r="N3240" s="55" t="s">
        <v>144</v>
      </c>
      <c r="O3240" s="55" t="s">
        <v>162</v>
      </c>
      <c r="P3240" s="55" t="s">
        <v>1502</v>
      </c>
      <c r="Q3240" s="55" t="s">
        <v>350</v>
      </c>
      <c r="R3240" s="55">
        <v>4</v>
      </c>
      <c r="S3240" s="55"/>
      <c r="T3240" s="55" t="s">
        <v>1446</v>
      </c>
      <c r="U3240" s="73" t="s">
        <v>351</v>
      </c>
      <c r="V3240" s="74">
        <v>44453</v>
      </c>
      <c r="W3240" s="74">
        <v>44498</v>
      </c>
      <c r="X3240" s="55">
        <v>10186927</v>
      </c>
      <c r="Y3240" s="55" t="s">
        <v>132</v>
      </c>
      <c r="AB3240" s="55" t="s">
        <v>132</v>
      </c>
      <c r="AC3240" s="55" t="s">
        <v>132</v>
      </c>
    </row>
    <row r="3241" spans="1:29" ht="13" x14ac:dyDescent="0.15">
      <c r="A3241" s="72" t="str">
        <f t="shared" si="50"/>
        <v>Ofsted Social Care Provider Webpage</v>
      </c>
      <c r="B3241" s="55" t="s">
        <v>6064</v>
      </c>
      <c r="D3241" s="55" t="s">
        <v>373</v>
      </c>
      <c r="E3241" s="74">
        <v>41388</v>
      </c>
      <c r="F3241" s="55" t="s">
        <v>344</v>
      </c>
      <c r="G3241" s="55" t="s">
        <v>360</v>
      </c>
      <c r="H3241" s="55" t="s">
        <v>360</v>
      </c>
      <c r="I3241" s="55" t="s">
        <v>360</v>
      </c>
      <c r="J3241" s="55" t="s">
        <v>360</v>
      </c>
      <c r="K3241" s="55" t="s">
        <v>360</v>
      </c>
      <c r="L3241" s="55" t="s">
        <v>360</v>
      </c>
      <c r="M3241" s="55" t="s">
        <v>142</v>
      </c>
      <c r="N3241" s="55" t="s">
        <v>142</v>
      </c>
      <c r="O3241" s="55" t="s">
        <v>252</v>
      </c>
      <c r="P3241" s="55" t="s">
        <v>503</v>
      </c>
      <c r="Q3241" s="55" t="s">
        <v>350</v>
      </c>
      <c r="R3241" s="55">
        <v>3</v>
      </c>
      <c r="S3241" s="55"/>
      <c r="T3241" s="55" t="s">
        <v>504</v>
      </c>
      <c r="U3241" s="73" t="s">
        <v>351</v>
      </c>
      <c r="V3241" s="74">
        <v>44545</v>
      </c>
      <c r="W3241" s="74">
        <v>44594</v>
      </c>
      <c r="X3241" s="55">
        <v>10187564</v>
      </c>
      <c r="Y3241" s="55" t="s">
        <v>132</v>
      </c>
      <c r="AB3241" s="55" t="s">
        <v>132</v>
      </c>
      <c r="AC3241" s="55" t="s">
        <v>132</v>
      </c>
    </row>
    <row r="3242" spans="1:29" ht="13" x14ac:dyDescent="0.15">
      <c r="A3242" s="72" t="str">
        <f t="shared" si="50"/>
        <v>Ofsted Social Care Provider Webpage</v>
      </c>
      <c r="B3242" s="55" t="s">
        <v>6065</v>
      </c>
      <c r="D3242" s="55" t="s">
        <v>373</v>
      </c>
      <c r="E3242" s="74">
        <v>41403</v>
      </c>
      <c r="F3242" s="55" t="s">
        <v>344</v>
      </c>
      <c r="G3242" s="55" t="s">
        <v>360</v>
      </c>
      <c r="H3242" s="55" t="s">
        <v>360</v>
      </c>
      <c r="I3242" s="55" t="s">
        <v>360</v>
      </c>
      <c r="J3242" s="55" t="s">
        <v>360</v>
      </c>
      <c r="K3242" s="55" t="s">
        <v>360</v>
      </c>
      <c r="L3242" s="55" t="s">
        <v>360</v>
      </c>
      <c r="M3242" s="55" t="s">
        <v>138</v>
      </c>
      <c r="N3242" s="55" t="s">
        <v>138</v>
      </c>
      <c r="O3242" s="55" t="s">
        <v>183</v>
      </c>
      <c r="P3242" s="55" t="s">
        <v>510</v>
      </c>
      <c r="Q3242" s="55" t="s">
        <v>350</v>
      </c>
      <c r="R3242" s="55">
        <v>4</v>
      </c>
      <c r="S3242" s="55"/>
      <c r="T3242" s="55" t="s">
        <v>1623</v>
      </c>
      <c r="U3242" s="73" t="s">
        <v>351</v>
      </c>
      <c r="V3242" s="74">
        <v>43893</v>
      </c>
      <c r="W3242" s="74">
        <v>43922</v>
      </c>
      <c r="X3242" s="55">
        <v>10096914</v>
      </c>
      <c r="Y3242" s="55" t="s">
        <v>132</v>
      </c>
      <c r="AB3242" s="55" t="s">
        <v>132</v>
      </c>
      <c r="AC3242" s="55" t="s">
        <v>132</v>
      </c>
    </row>
    <row r="3243" spans="1:29" ht="13" x14ac:dyDescent="0.15">
      <c r="A3243" s="72" t="str">
        <f t="shared" si="50"/>
        <v>Ofsted Social Care Provider Webpage</v>
      </c>
      <c r="B3243" s="55" t="s">
        <v>6066</v>
      </c>
      <c r="D3243" s="55" t="s">
        <v>389</v>
      </c>
      <c r="E3243" s="74">
        <v>41372</v>
      </c>
      <c r="F3243" s="55" t="s">
        <v>344</v>
      </c>
      <c r="G3243" s="55" t="s">
        <v>6067</v>
      </c>
      <c r="H3243" s="55" t="s">
        <v>621</v>
      </c>
      <c r="I3243" s="55" t="s">
        <v>6068</v>
      </c>
      <c r="J3243" s="55" t="s">
        <v>6069</v>
      </c>
      <c r="L3243" s="55" t="s">
        <v>6070</v>
      </c>
      <c r="M3243" s="55" t="s">
        <v>378</v>
      </c>
      <c r="N3243" s="55" t="s">
        <v>170</v>
      </c>
      <c r="O3243" s="55" t="s">
        <v>231</v>
      </c>
      <c r="P3243" s="55" t="s">
        <v>231</v>
      </c>
      <c r="Q3243" s="55" t="s">
        <v>350</v>
      </c>
      <c r="R3243" s="55"/>
      <c r="S3243" s="55"/>
      <c r="T3243" s="55" t="s">
        <v>6071</v>
      </c>
      <c r="U3243" s="73" t="s">
        <v>351</v>
      </c>
      <c r="V3243" s="74">
        <v>43654</v>
      </c>
      <c r="W3243" s="74">
        <v>43677</v>
      </c>
      <c r="X3243" s="55">
        <v>10093255</v>
      </c>
      <c r="Y3243" s="55" t="s">
        <v>132</v>
      </c>
      <c r="AB3243" s="55" t="s">
        <v>132</v>
      </c>
      <c r="AC3243" s="55" t="s">
        <v>132</v>
      </c>
    </row>
    <row r="3244" spans="1:29" ht="13" x14ac:dyDescent="0.15">
      <c r="A3244" s="72" t="str">
        <f t="shared" si="50"/>
        <v>Ofsted Social Care Provider Webpage</v>
      </c>
      <c r="B3244" s="55" t="s">
        <v>6072</v>
      </c>
      <c r="D3244" s="55" t="s">
        <v>373</v>
      </c>
      <c r="E3244" s="74">
        <v>41411</v>
      </c>
      <c r="F3244" s="55" t="s">
        <v>344</v>
      </c>
      <c r="G3244" s="55" t="s">
        <v>360</v>
      </c>
      <c r="H3244" s="55" t="s">
        <v>360</v>
      </c>
      <c r="I3244" s="55" t="s">
        <v>360</v>
      </c>
      <c r="J3244" s="55" t="s">
        <v>360</v>
      </c>
      <c r="K3244" s="55" t="s">
        <v>360</v>
      </c>
      <c r="L3244" s="55" t="s">
        <v>360</v>
      </c>
      <c r="M3244" s="55" t="s">
        <v>378</v>
      </c>
      <c r="N3244" s="55" t="s">
        <v>134</v>
      </c>
      <c r="O3244" s="55" t="s">
        <v>206</v>
      </c>
      <c r="P3244" s="55" t="s">
        <v>710</v>
      </c>
      <c r="Q3244" s="55" t="s">
        <v>350</v>
      </c>
      <c r="R3244" s="55">
        <v>3</v>
      </c>
      <c r="S3244" s="55"/>
      <c r="T3244" s="55" t="s">
        <v>1237</v>
      </c>
      <c r="U3244" s="73" t="s">
        <v>351</v>
      </c>
      <c r="V3244" s="74">
        <v>44593</v>
      </c>
      <c r="W3244" s="74">
        <v>44636</v>
      </c>
      <c r="X3244" s="55">
        <v>10187244</v>
      </c>
      <c r="Y3244" s="55" t="s">
        <v>132</v>
      </c>
      <c r="AB3244" s="55" t="s">
        <v>132</v>
      </c>
      <c r="AC3244" s="55" t="s">
        <v>130</v>
      </c>
    </row>
    <row r="3245" spans="1:29" ht="13" x14ac:dyDescent="0.15">
      <c r="A3245" s="72" t="str">
        <f t="shared" si="50"/>
        <v>Ofsted Social Care Provider Webpage</v>
      </c>
      <c r="B3245" s="55" t="s">
        <v>6073</v>
      </c>
      <c r="D3245" s="55" t="s">
        <v>373</v>
      </c>
      <c r="E3245" s="74">
        <v>41415</v>
      </c>
      <c r="F3245" s="55" t="s">
        <v>344</v>
      </c>
      <c r="G3245" s="55" t="s">
        <v>360</v>
      </c>
      <c r="H3245" s="55" t="s">
        <v>360</v>
      </c>
      <c r="I3245" s="55" t="s">
        <v>360</v>
      </c>
      <c r="J3245" s="55" t="s">
        <v>360</v>
      </c>
      <c r="K3245" s="55" t="s">
        <v>360</v>
      </c>
      <c r="L3245" s="55" t="s">
        <v>360</v>
      </c>
      <c r="M3245" s="55" t="s">
        <v>150</v>
      </c>
      <c r="N3245" s="55" t="s">
        <v>150</v>
      </c>
      <c r="O3245" s="55" t="s">
        <v>190</v>
      </c>
      <c r="P3245" s="55" t="s">
        <v>749</v>
      </c>
      <c r="Q3245" s="55" t="s">
        <v>350</v>
      </c>
      <c r="R3245" s="55">
        <v>4</v>
      </c>
      <c r="S3245" s="55"/>
      <c r="T3245" s="55" t="s">
        <v>888</v>
      </c>
      <c r="U3245" s="73" t="s">
        <v>351</v>
      </c>
      <c r="V3245" s="74">
        <v>44404</v>
      </c>
      <c r="W3245" s="74">
        <v>44452</v>
      </c>
      <c r="X3245" s="55">
        <v>10187503</v>
      </c>
      <c r="Y3245" s="55" t="s">
        <v>130</v>
      </c>
      <c r="AB3245" s="55" t="s">
        <v>130</v>
      </c>
      <c r="AC3245" s="55" t="s">
        <v>130</v>
      </c>
    </row>
    <row r="3246" spans="1:29" ht="13" x14ac:dyDescent="0.15">
      <c r="A3246" s="72" t="str">
        <f t="shared" si="50"/>
        <v>Ofsted Social Care Provider Webpage</v>
      </c>
      <c r="B3246" s="55" t="s">
        <v>6074</v>
      </c>
      <c r="D3246" s="55" t="s">
        <v>373</v>
      </c>
      <c r="E3246" s="74">
        <v>41389</v>
      </c>
      <c r="F3246" s="55" t="s">
        <v>344</v>
      </c>
      <c r="G3246" s="55" t="s">
        <v>360</v>
      </c>
      <c r="H3246" s="55" t="s">
        <v>360</v>
      </c>
      <c r="I3246" s="55" t="s">
        <v>360</v>
      </c>
      <c r="J3246" s="55" t="s">
        <v>360</v>
      </c>
      <c r="K3246" s="55" t="s">
        <v>360</v>
      </c>
      <c r="L3246" s="55" t="s">
        <v>360</v>
      </c>
      <c r="M3246" s="55" t="s">
        <v>138</v>
      </c>
      <c r="N3246" s="55" t="s">
        <v>138</v>
      </c>
      <c r="O3246" s="55" t="s">
        <v>183</v>
      </c>
      <c r="P3246" s="55" t="s">
        <v>510</v>
      </c>
      <c r="Q3246" s="55" t="s">
        <v>350</v>
      </c>
      <c r="R3246" s="55">
        <v>6</v>
      </c>
      <c r="S3246" s="55"/>
      <c r="T3246" s="55" t="s">
        <v>644</v>
      </c>
      <c r="U3246" s="73" t="s">
        <v>351</v>
      </c>
      <c r="V3246" s="74">
        <v>44607</v>
      </c>
      <c r="W3246" s="74">
        <v>44637</v>
      </c>
      <c r="X3246" s="55">
        <v>10186815</v>
      </c>
      <c r="Y3246" s="55" t="s">
        <v>146</v>
      </c>
      <c r="AB3246" s="55" t="s">
        <v>146</v>
      </c>
      <c r="AC3246" s="55" t="s">
        <v>146</v>
      </c>
    </row>
    <row r="3247" spans="1:29" ht="13" x14ac:dyDescent="0.15">
      <c r="A3247" s="72" t="str">
        <f t="shared" si="50"/>
        <v>Ofsted Social Care Provider Webpage</v>
      </c>
      <c r="B3247" s="55" t="s">
        <v>6075</v>
      </c>
      <c r="D3247" s="55" t="s">
        <v>373</v>
      </c>
      <c r="E3247" s="74">
        <v>41586</v>
      </c>
      <c r="F3247" s="55" t="s">
        <v>344</v>
      </c>
      <c r="G3247" s="55" t="s">
        <v>360</v>
      </c>
      <c r="H3247" s="55" t="s">
        <v>360</v>
      </c>
      <c r="I3247" s="55" t="s">
        <v>360</v>
      </c>
      <c r="J3247" s="55" t="s">
        <v>360</v>
      </c>
      <c r="K3247" s="55" t="s">
        <v>360</v>
      </c>
      <c r="L3247" s="55" t="s">
        <v>360</v>
      </c>
      <c r="M3247" s="55" t="s">
        <v>129</v>
      </c>
      <c r="N3247" s="55" t="s">
        <v>129</v>
      </c>
      <c r="O3247" s="55" t="s">
        <v>242</v>
      </c>
      <c r="P3247" s="55" t="s">
        <v>1519</v>
      </c>
      <c r="Q3247" s="55" t="s">
        <v>350</v>
      </c>
      <c r="R3247" s="55">
        <v>5</v>
      </c>
      <c r="S3247" s="55"/>
      <c r="T3247" s="55" t="s">
        <v>6076</v>
      </c>
      <c r="U3247" s="73" t="s">
        <v>351</v>
      </c>
      <c r="V3247" s="74">
        <v>44446</v>
      </c>
      <c r="W3247" s="74">
        <v>44481</v>
      </c>
      <c r="X3247" s="55">
        <v>10187606</v>
      </c>
      <c r="Y3247" s="55" t="s">
        <v>132</v>
      </c>
      <c r="AB3247" s="55" t="s">
        <v>132</v>
      </c>
      <c r="AC3247" s="55" t="s">
        <v>130</v>
      </c>
    </row>
    <row r="3248" spans="1:29" ht="13" x14ac:dyDescent="0.15">
      <c r="A3248" s="72" t="str">
        <f t="shared" si="50"/>
        <v>Ofsted Social Care Provider Webpage</v>
      </c>
      <c r="B3248" s="55" t="s">
        <v>6077</v>
      </c>
      <c r="D3248" s="55" t="s">
        <v>373</v>
      </c>
      <c r="E3248" s="74">
        <v>41415</v>
      </c>
      <c r="F3248" s="55" t="s">
        <v>344</v>
      </c>
      <c r="G3248" s="55" t="s">
        <v>360</v>
      </c>
      <c r="H3248" s="55" t="s">
        <v>360</v>
      </c>
      <c r="I3248" s="55" t="s">
        <v>360</v>
      </c>
      <c r="J3248" s="55" t="s">
        <v>360</v>
      </c>
      <c r="K3248" s="55" t="s">
        <v>360</v>
      </c>
      <c r="L3248" s="55" t="s">
        <v>360</v>
      </c>
      <c r="M3248" s="55" t="s">
        <v>144</v>
      </c>
      <c r="N3248" s="55" t="s">
        <v>144</v>
      </c>
      <c r="O3248" s="55" t="s">
        <v>290</v>
      </c>
      <c r="P3248" s="55" t="s">
        <v>1099</v>
      </c>
      <c r="Q3248" s="55" t="s">
        <v>350</v>
      </c>
      <c r="R3248" s="55">
        <v>2</v>
      </c>
      <c r="S3248" s="55"/>
      <c r="T3248" s="55" t="s">
        <v>1446</v>
      </c>
      <c r="U3248" s="73" t="s">
        <v>351</v>
      </c>
      <c r="V3248" s="74">
        <v>44550</v>
      </c>
      <c r="W3248" s="74">
        <v>44593</v>
      </c>
      <c r="X3248" s="55">
        <v>10185547</v>
      </c>
      <c r="Y3248" s="55" t="s">
        <v>132</v>
      </c>
      <c r="AB3248" s="55" t="s">
        <v>132</v>
      </c>
      <c r="AC3248" s="55" t="s">
        <v>132</v>
      </c>
    </row>
    <row r="3249" spans="1:29" ht="13" x14ac:dyDescent="0.15">
      <c r="A3249" s="72" t="str">
        <f t="shared" si="50"/>
        <v>Ofsted Social Care Provider Webpage</v>
      </c>
      <c r="B3249" s="55" t="s">
        <v>6078</v>
      </c>
      <c r="D3249" s="55" t="s">
        <v>389</v>
      </c>
      <c r="E3249" s="74">
        <v>41466</v>
      </c>
      <c r="F3249" s="55" t="s">
        <v>344</v>
      </c>
      <c r="G3249" s="55" t="s">
        <v>6079</v>
      </c>
      <c r="H3249" s="55" t="s">
        <v>6080</v>
      </c>
      <c r="I3249" s="55" t="s">
        <v>6081</v>
      </c>
      <c r="J3249" s="55" t="s">
        <v>6082</v>
      </c>
      <c r="K3249" s="55" t="s">
        <v>181</v>
      </c>
      <c r="L3249" s="55" t="s">
        <v>6083</v>
      </c>
      <c r="M3249" s="55" t="s">
        <v>150</v>
      </c>
      <c r="N3249" s="55" t="s">
        <v>150</v>
      </c>
      <c r="O3249" s="55" t="s">
        <v>181</v>
      </c>
      <c r="P3249" s="55" t="s">
        <v>626</v>
      </c>
      <c r="Q3249" s="55" t="s">
        <v>350</v>
      </c>
      <c r="R3249" s="55"/>
      <c r="S3249" s="55"/>
      <c r="T3249" s="55" t="s">
        <v>6084</v>
      </c>
      <c r="U3249" s="73" t="s">
        <v>351</v>
      </c>
      <c r="V3249" s="74">
        <v>43500</v>
      </c>
      <c r="W3249" s="74">
        <v>43530</v>
      </c>
      <c r="X3249" s="55">
        <v>10046666</v>
      </c>
      <c r="Y3249" s="55" t="s">
        <v>132</v>
      </c>
      <c r="AB3249" s="55" t="s">
        <v>132</v>
      </c>
      <c r="AC3249" s="55" t="s">
        <v>132</v>
      </c>
    </row>
    <row r="3250" spans="1:29" ht="13" x14ac:dyDescent="0.15">
      <c r="A3250" s="72" t="str">
        <f t="shared" si="50"/>
        <v>Ofsted Social Care Provider Webpage</v>
      </c>
      <c r="B3250" s="55" t="s">
        <v>6085</v>
      </c>
      <c r="D3250" s="55" t="s">
        <v>373</v>
      </c>
      <c r="E3250" s="74">
        <v>41459</v>
      </c>
      <c r="F3250" s="55" t="s">
        <v>344</v>
      </c>
      <c r="G3250" s="55" t="s">
        <v>360</v>
      </c>
      <c r="H3250" s="55" t="s">
        <v>360</v>
      </c>
      <c r="I3250" s="55" t="s">
        <v>360</v>
      </c>
      <c r="J3250" s="55" t="s">
        <v>360</v>
      </c>
      <c r="K3250" s="55" t="s">
        <v>360</v>
      </c>
      <c r="L3250" s="55" t="s">
        <v>360</v>
      </c>
      <c r="M3250" s="55" t="s">
        <v>138</v>
      </c>
      <c r="N3250" s="55" t="s">
        <v>138</v>
      </c>
      <c r="O3250" s="55" t="s">
        <v>273</v>
      </c>
      <c r="P3250" s="55" t="s">
        <v>273</v>
      </c>
      <c r="Q3250" s="55" t="s">
        <v>350</v>
      </c>
      <c r="R3250" s="55">
        <v>4</v>
      </c>
      <c r="S3250" s="55"/>
      <c r="T3250" s="55" t="s">
        <v>6086</v>
      </c>
      <c r="U3250" s="73" t="s">
        <v>351</v>
      </c>
      <c r="V3250" s="74">
        <v>44398</v>
      </c>
      <c r="W3250" s="74">
        <v>44421</v>
      </c>
      <c r="X3250" s="55">
        <v>10186905</v>
      </c>
      <c r="Y3250" s="55" t="s">
        <v>132</v>
      </c>
      <c r="AB3250" s="55" t="s">
        <v>132</v>
      </c>
      <c r="AC3250" s="55" t="s">
        <v>132</v>
      </c>
    </row>
    <row r="3251" spans="1:29" ht="13" x14ac:dyDescent="0.15">
      <c r="A3251" s="72" t="str">
        <f t="shared" si="50"/>
        <v>Ofsted Social Care Provider Webpage</v>
      </c>
      <c r="B3251" s="55" t="s">
        <v>6087</v>
      </c>
      <c r="D3251" s="55" t="s">
        <v>443</v>
      </c>
      <c r="E3251" s="74">
        <v>41458</v>
      </c>
      <c r="F3251" s="55" t="s">
        <v>344</v>
      </c>
      <c r="G3251" s="55" t="s">
        <v>6088</v>
      </c>
      <c r="H3251" s="55" t="s">
        <v>6089</v>
      </c>
      <c r="I3251" s="55" t="s">
        <v>6090</v>
      </c>
      <c r="J3251" s="55" t="s">
        <v>6091</v>
      </c>
      <c r="K3251" s="55" t="s">
        <v>156</v>
      </c>
      <c r="L3251" s="55" t="s">
        <v>6092</v>
      </c>
      <c r="M3251" s="55" t="s">
        <v>150</v>
      </c>
      <c r="N3251" s="55" t="s">
        <v>150</v>
      </c>
      <c r="O3251" s="55" t="s">
        <v>156</v>
      </c>
      <c r="P3251" s="55" t="s">
        <v>1277</v>
      </c>
      <c r="Q3251" s="55" t="s">
        <v>350</v>
      </c>
      <c r="R3251" s="55"/>
      <c r="S3251" s="55"/>
      <c r="U3251" s="73" t="s">
        <v>351</v>
      </c>
      <c r="V3251" s="74">
        <v>43130</v>
      </c>
      <c r="W3251" s="74">
        <v>43165</v>
      </c>
      <c r="X3251" s="55">
        <v>10026908</v>
      </c>
      <c r="Y3251" s="55" t="s">
        <v>140</v>
      </c>
      <c r="AB3251" s="55" t="s">
        <v>132</v>
      </c>
      <c r="AC3251" s="55" t="s">
        <v>140</v>
      </c>
    </row>
    <row r="3252" spans="1:29" ht="13" x14ac:dyDescent="0.15">
      <c r="A3252" s="72" t="str">
        <f t="shared" si="50"/>
        <v>Ofsted Social Care Provider Webpage</v>
      </c>
      <c r="B3252" s="55" t="s">
        <v>6093</v>
      </c>
      <c r="D3252" s="55" t="s">
        <v>443</v>
      </c>
      <c r="E3252" s="74">
        <v>41414</v>
      </c>
      <c r="F3252" s="55" t="s">
        <v>344</v>
      </c>
      <c r="G3252" s="55" t="s">
        <v>6094</v>
      </c>
      <c r="H3252" s="55" t="s">
        <v>6095</v>
      </c>
      <c r="I3252" s="55" t="s">
        <v>6096</v>
      </c>
      <c r="J3252" s="55" t="s">
        <v>6097</v>
      </c>
      <c r="K3252" s="55" t="s">
        <v>165</v>
      </c>
      <c r="L3252" s="55" t="s">
        <v>6098</v>
      </c>
      <c r="M3252" s="55" t="s">
        <v>136</v>
      </c>
      <c r="N3252" s="55" t="s">
        <v>136</v>
      </c>
      <c r="O3252" s="55" t="s">
        <v>165</v>
      </c>
      <c r="P3252" s="55" t="s">
        <v>748</v>
      </c>
      <c r="Q3252" s="55" t="s">
        <v>350</v>
      </c>
      <c r="R3252" s="55"/>
      <c r="S3252" s="55"/>
      <c r="T3252" s="55" t="s">
        <v>6099</v>
      </c>
      <c r="U3252" s="73" t="s">
        <v>351</v>
      </c>
      <c r="V3252" s="74">
        <v>43529</v>
      </c>
      <c r="W3252" s="74">
        <v>43560</v>
      </c>
      <c r="X3252" s="55">
        <v>10046727</v>
      </c>
      <c r="Y3252" s="55" t="s">
        <v>140</v>
      </c>
      <c r="AB3252" s="55" t="s">
        <v>132</v>
      </c>
      <c r="AC3252" s="55" t="s">
        <v>140</v>
      </c>
    </row>
    <row r="3253" spans="1:29" ht="13" x14ac:dyDescent="0.15">
      <c r="A3253" s="72" t="str">
        <f t="shared" si="50"/>
        <v>Ofsted Social Care Provider Webpage</v>
      </c>
      <c r="B3253" s="55" t="s">
        <v>6100</v>
      </c>
      <c r="D3253" s="55" t="s">
        <v>373</v>
      </c>
      <c r="E3253" s="74">
        <v>41393</v>
      </c>
      <c r="F3253" s="55" t="s">
        <v>344</v>
      </c>
      <c r="G3253" s="55" t="s">
        <v>360</v>
      </c>
      <c r="H3253" s="55" t="s">
        <v>360</v>
      </c>
      <c r="I3253" s="55" t="s">
        <v>360</v>
      </c>
      <c r="J3253" s="55" t="s">
        <v>360</v>
      </c>
      <c r="K3253" s="55" t="s">
        <v>360</v>
      </c>
      <c r="L3253" s="55" t="s">
        <v>360</v>
      </c>
      <c r="M3253" s="55" t="s">
        <v>138</v>
      </c>
      <c r="N3253" s="55" t="s">
        <v>138</v>
      </c>
      <c r="O3253" s="55" t="s">
        <v>224</v>
      </c>
      <c r="P3253" s="55" t="s">
        <v>2271</v>
      </c>
      <c r="Q3253" s="55" t="s">
        <v>380</v>
      </c>
      <c r="R3253" s="55">
        <v>4</v>
      </c>
      <c r="S3253" s="55" t="s">
        <v>332</v>
      </c>
      <c r="T3253" s="55" t="s">
        <v>2272</v>
      </c>
      <c r="U3253" s="73" t="s">
        <v>351</v>
      </c>
      <c r="V3253" s="74">
        <v>44397</v>
      </c>
      <c r="W3253" s="74">
        <v>44428</v>
      </c>
      <c r="X3253" s="55">
        <v>10185189</v>
      </c>
      <c r="Y3253" s="55" t="s">
        <v>132</v>
      </c>
      <c r="AB3253" s="55" t="s">
        <v>140</v>
      </c>
      <c r="AC3253" s="55" t="s">
        <v>132</v>
      </c>
    </row>
    <row r="3254" spans="1:29" ht="13" x14ac:dyDescent="0.15">
      <c r="A3254" s="72" t="str">
        <f t="shared" si="50"/>
        <v>Ofsted Social Care Provider Webpage</v>
      </c>
      <c r="B3254" s="55" t="s">
        <v>6101</v>
      </c>
      <c r="D3254" s="55" t="s">
        <v>373</v>
      </c>
      <c r="E3254" s="74">
        <v>41381</v>
      </c>
      <c r="F3254" s="55" t="s">
        <v>344</v>
      </c>
      <c r="G3254" s="55" t="s">
        <v>360</v>
      </c>
      <c r="H3254" s="55" t="s">
        <v>360</v>
      </c>
      <c r="I3254" s="55" t="s">
        <v>360</v>
      </c>
      <c r="J3254" s="55" t="s">
        <v>360</v>
      </c>
      <c r="K3254" s="55" t="s">
        <v>360</v>
      </c>
      <c r="L3254" s="55" t="s">
        <v>360</v>
      </c>
      <c r="M3254" s="55" t="s">
        <v>378</v>
      </c>
      <c r="N3254" s="55" t="s">
        <v>134</v>
      </c>
      <c r="O3254" s="55" t="s">
        <v>158</v>
      </c>
      <c r="P3254" s="55" t="s">
        <v>480</v>
      </c>
      <c r="Q3254" s="55" t="s">
        <v>350</v>
      </c>
      <c r="R3254" s="55">
        <v>3</v>
      </c>
      <c r="S3254" s="55"/>
      <c r="T3254" s="55" t="s">
        <v>6102</v>
      </c>
      <c r="U3254" s="73" t="s">
        <v>351</v>
      </c>
      <c r="V3254" s="74">
        <v>44488</v>
      </c>
      <c r="W3254" s="74">
        <v>44522</v>
      </c>
      <c r="X3254" s="55">
        <v>10185616</v>
      </c>
      <c r="Y3254" s="55" t="s">
        <v>130</v>
      </c>
      <c r="AB3254" s="55" t="s">
        <v>130</v>
      </c>
      <c r="AC3254" s="55" t="s">
        <v>130</v>
      </c>
    </row>
    <row r="3255" spans="1:29" ht="13" x14ac:dyDescent="0.15">
      <c r="A3255" s="72" t="str">
        <f t="shared" si="50"/>
        <v>Ofsted Social Care Provider Webpage</v>
      </c>
      <c r="B3255" s="55" t="s">
        <v>6103</v>
      </c>
      <c r="D3255" s="55" t="s">
        <v>373</v>
      </c>
      <c r="E3255" s="74">
        <v>41381</v>
      </c>
      <c r="F3255" s="55" t="s">
        <v>344</v>
      </c>
      <c r="G3255" s="55" t="s">
        <v>360</v>
      </c>
      <c r="H3255" s="55" t="s">
        <v>360</v>
      </c>
      <c r="I3255" s="55" t="s">
        <v>360</v>
      </c>
      <c r="J3255" s="55" t="s">
        <v>360</v>
      </c>
      <c r="K3255" s="55" t="s">
        <v>360</v>
      </c>
      <c r="L3255" s="55" t="s">
        <v>360</v>
      </c>
      <c r="M3255" s="55" t="s">
        <v>378</v>
      </c>
      <c r="N3255" s="55" t="s">
        <v>134</v>
      </c>
      <c r="O3255" s="55" t="s">
        <v>158</v>
      </c>
      <c r="P3255" s="55" t="s">
        <v>912</v>
      </c>
      <c r="Q3255" s="55" t="s">
        <v>350</v>
      </c>
      <c r="R3255" s="55">
        <v>4</v>
      </c>
      <c r="S3255" s="55"/>
      <c r="T3255" s="55" t="s">
        <v>6102</v>
      </c>
      <c r="U3255" s="73" t="s">
        <v>351</v>
      </c>
      <c r="V3255" s="74">
        <v>44312</v>
      </c>
      <c r="W3255" s="74">
        <v>44355</v>
      </c>
      <c r="X3255" s="55">
        <v>10185244</v>
      </c>
      <c r="Y3255" s="55" t="s">
        <v>132</v>
      </c>
      <c r="AB3255" s="55" t="s">
        <v>132</v>
      </c>
      <c r="AC3255" s="55" t="s">
        <v>132</v>
      </c>
    </row>
    <row r="3256" spans="1:29" ht="13" x14ac:dyDescent="0.15">
      <c r="A3256" s="72" t="str">
        <f t="shared" si="50"/>
        <v>Ofsted Social Care Provider Webpage</v>
      </c>
      <c r="B3256" s="55" t="s">
        <v>6104</v>
      </c>
      <c r="D3256" s="55" t="s">
        <v>373</v>
      </c>
      <c r="E3256" s="74">
        <v>41528</v>
      </c>
      <c r="F3256" s="55" t="s">
        <v>344</v>
      </c>
      <c r="G3256" s="55" t="s">
        <v>360</v>
      </c>
      <c r="H3256" s="55" t="s">
        <v>360</v>
      </c>
      <c r="I3256" s="55" t="s">
        <v>360</v>
      </c>
      <c r="J3256" s="55" t="s">
        <v>360</v>
      </c>
      <c r="K3256" s="55" t="s">
        <v>360</v>
      </c>
      <c r="L3256" s="55" t="s">
        <v>360</v>
      </c>
      <c r="M3256" s="55" t="s">
        <v>129</v>
      </c>
      <c r="N3256" s="55" t="s">
        <v>129</v>
      </c>
      <c r="O3256" s="55" t="s">
        <v>167</v>
      </c>
      <c r="P3256" s="55" t="s">
        <v>866</v>
      </c>
      <c r="Q3256" s="55" t="s">
        <v>350</v>
      </c>
      <c r="R3256" s="55">
        <v>3</v>
      </c>
      <c r="S3256" s="55"/>
      <c r="U3256" s="73" t="s">
        <v>351</v>
      </c>
      <c r="V3256" s="74">
        <v>44614</v>
      </c>
      <c r="W3256" s="74">
        <v>44658</v>
      </c>
      <c r="X3256" s="55">
        <v>10187265</v>
      </c>
      <c r="Y3256" s="55" t="s">
        <v>132</v>
      </c>
      <c r="AB3256" s="55" t="s">
        <v>132</v>
      </c>
      <c r="AC3256" s="55" t="s">
        <v>130</v>
      </c>
    </row>
    <row r="3257" spans="1:29" ht="13" x14ac:dyDescent="0.15">
      <c r="A3257" s="72" t="str">
        <f t="shared" si="50"/>
        <v>Ofsted Social Care Provider Webpage</v>
      </c>
      <c r="B3257" s="55" t="s">
        <v>6105</v>
      </c>
      <c r="D3257" s="55" t="s">
        <v>373</v>
      </c>
      <c r="E3257" s="74">
        <v>41416</v>
      </c>
      <c r="F3257" s="55" t="s">
        <v>344</v>
      </c>
      <c r="G3257" s="55" t="s">
        <v>360</v>
      </c>
      <c r="H3257" s="55" t="s">
        <v>360</v>
      </c>
      <c r="I3257" s="55" t="s">
        <v>360</v>
      </c>
      <c r="J3257" s="55" t="s">
        <v>360</v>
      </c>
      <c r="K3257" s="55" t="s">
        <v>360</v>
      </c>
      <c r="L3257" s="55" t="s">
        <v>360</v>
      </c>
      <c r="M3257" s="55" t="s">
        <v>138</v>
      </c>
      <c r="N3257" s="55" t="s">
        <v>138</v>
      </c>
      <c r="O3257" s="55" t="s">
        <v>183</v>
      </c>
      <c r="P3257" s="55" t="s">
        <v>576</v>
      </c>
      <c r="Q3257" s="55" t="s">
        <v>350</v>
      </c>
      <c r="R3257" s="55">
        <v>5</v>
      </c>
      <c r="S3257" s="55"/>
      <c r="T3257" s="55" t="s">
        <v>997</v>
      </c>
      <c r="U3257" s="73" t="s">
        <v>351</v>
      </c>
      <c r="V3257" s="74">
        <v>44488</v>
      </c>
      <c r="W3257" s="74">
        <v>44523</v>
      </c>
      <c r="X3257" s="55">
        <v>10186941</v>
      </c>
      <c r="Y3257" s="55" t="s">
        <v>132</v>
      </c>
      <c r="AB3257" s="55" t="s">
        <v>132</v>
      </c>
      <c r="AC3257" s="55" t="s">
        <v>132</v>
      </c>
    </row>
    <row r="3258" spans="1:29" ht="13" x14ac:dyDescent="0.15">
      <c r="A3258" s="72" t="str">
        <f t="shared" si="50"/>
        <v>Ofsted Social Care Provider Webpage</v>
      </c>
      <c r="B3258" s="55" t="s">
        <v>6106</v>
      </c>
      <c r="D3258" s="55" t="s">
        <v>373</v>
      </c>
      <c r="E3258" s="74">
        <v>41453</v>
      </c>
      <c r="F3258" s="55" t="s">
        <v>344</v>
      </c>
      <c r="G3258" s="55" t="s">
        <v>360</v>
      </c>
      <c r="H3258" s="55" t="s">
        <v>360</v>
      </c>
      <c r="I3258" s="55" t="s">
        <v>360</v>
      </c>
      <c r="J3258" s="55" t="s">
        <v>360</v>
      </c>
      <c r="K3258" s="55" t="s">
        <v>360</v>
      </c>
      <c r="L3258" s="55" t="s">
        <v>360</v>
      </c>
      <c r="M3258" s="55" t="s">
        <v>138</v>
      </c>
      <c r="N3258" s="55" t="s">
        <v>138</v>
      </c>
      <c r="O3258" s="55" t="s">
        <v>183</v>
      </c>
      <c r="P3258" s="55" t="s">
        <v>576</v>
      </c>
      <c r="Q3258" s="55" t="s">
        <v>350</v>
      </c>
      <c r="R3258" s="55">
        <v>3</v>
      </c>
      <c r="S3258" s="55"/>
      <c r="T3258" s="55" t="s">
        <v>6107</v>
      </c>
      <c r="U3258" s="73" t="s">
        <v>351</v>
      </c>
      <c r="V3258" s="74">
        <v>44607</v>
      </c>
      <c r="W3258" s="74">
        <v>44648</v>
      </c>
      <c r="X3258" s="55">
        <v>10187214</v>
      </c>
      <c r="Y3258" s="55" t="s">
        <v>132</v>
      </c>
      <c r="AB3258" s="55" t="s">
        <v>132</v>
      </c>
      <c r="AC3258" s="55" t="s">
        <v>132</v>
      </c>
    </row>
    <row r="3259" spans="1:29" ht="13" x14ac:dyDescent="0.15">
      <c r="A3259" s="72" t="str">
        <f t="shared" si="50"/>
        <v>Ofsted Social Care Provider Webpage</v>
      </c>
      <c r="B3259" s="55" t="s">
        <v>6108</v>
      </c>
      <c r="D3259" s="55" t="s">
        <v>468</v>
      </c>
      <c r="E3259" s="74">
        <v>41407</v>
      </c>
      <c r="F3259" s="55" t="s">
        <v>344</v>
      </c>
      <c r="G3259" s="55" t="s">
        <v>6109</v>
      </c>
      <c r="H3259" s="55" t="s">
        <v>1908</v>
      </c>
      <c r="I3259" s="55" t="s">
        <v>354</v>
      </c>
      <c r="J3259" s="55" t="s">
        <v>129</v>
      </c>
      <c r="L3259" s="55" t="s">
        <v>1909</v>
      </c>
      <c r="M3259" s="55" t="s">
        <v>129</v>
      </c>
      <c r="N3259" s="55" t="s">
        <v>129</v>
      </c>
      <c r="O3259" s="55" t="s">
        <v>201</v>
      </c>
      <c r="P3259" s="55" t="s">
        <v>1427</v>
      </c>
      <c r="Q3259" s="55" t="s">
        <v>362</v>
      </c>
      <c r="R3259" s="55"/>
      <c r="S3259" s="55"/>
      <c r="T3259" s="55" t="s">
        <v>1910</v>
      </c>
      <c r="U3259" s="73" t="s">
        <v>351</v>
      </c>
      <c r="V3259" s="74">
        <v>43311</v>
      </c>
      <c r="W3259" s="74">
        <v>43336</v>
      </c>
      <c r="X3259" s="55">
        <v>10046735</v>
      </c>
      <c r="Y3259" s="55" t="s">
        <v>140</v>
      </c>
      <c r="AB3259" s="55" t="s">
        <v>140</v>
      </c>
      <c r="AC3259" s="55" t="s">
        <v>140</v>
      </c>
    </row>
    <row r="3260" spans="1:29" ht="13" x14ac:dyDescent="0.15">
      <c r="A3260" s="72" t="str">
        <f t="shared" si="50"/>
        <v>Ofsted Social Care Provider Webpage</v>
      </c>
      <c r="B3260" s="55" t="s">
        <v>6110</v>
      </c>
      <c r="D3260" s="55" t="s">
        <v>389</v>
      </c>
      <c r="E3260" s="74">
        <v>41603</v>
      </c>
      <c r="F3260" s="55" t="s">
        <v>344</v>
      </c>
      <c r="G3260" s="55" t="s">
        <v>6111</v>
      </c>
      <c r="H3260" s="55" t="s">
        <v>6112</v>
      </c>
      <c r="I3260" s="55" t="s">
        <v>6113</v>
      </c>
      <c r="J3260" s="55" t="s">
        <v>169</v>
      </c>
      <c r="K3260" s="55" t="s">
        <v>3368</v>
      </c>
      <c r="L3260" s="55" t="s">
        <v>6114</v>
      </c>
      <c r="M3260" s="55" t="s">
        <v>378</v>
      </c>
      <c r="N3260" s="55" t="s">
        <v>170</v>
      </c>
      <c r="O3260" s="55" t="s">
        <v>169</v>
      </c>
      <c r="P3260" s="55" t="s">
        <v>169</v>
      </c>
      <c r="Q3260" s="55" t="s">
        <v>350</v>
      </c>
      <c r="R3260" s="55"/>
      <c r="S3260" s="55"/>
      <c r="T3260" s="55" t="s">
        <v>6115</v>
      </c>
      <c r="U3260" s="73" t="s">
        <v>351</v>
      </c>
      <c r="V3260" s="74">
        <v>43682</v>
      </c>
      <c r="W3260" s="74">
        <v>43711</v>
      </c>
      <c r="X3260" s="55">
        <v>10093258</v>
      </c>
      <c r="Y3260" s="55" t="s">
        <v>132</v>
      </c>
      <c r="AB3260" s="55" t="s">
        <v>132</v>
      </c>
      <c r="AC3260" s="55" t="s">
        <v>132</v>
      </c>
    </row>
    <row r="3261" spans="1:29" ht="13" x14ac:dyDescent="0.15">
      <c r="A3261" s="72" t="str">
        <f t="shared" si="50"/>
        <v>Ofsted Social Care Provider Webpage</v>
      </c>
      <c r="B3261" s="55" t="s">
        <v>6116</v>
      </c>
      <c r="D3261" s="55" t="s">
        <v>373</v>
      </c>
      <c r="E3261" s="74">
        <v>41445</v>
      </c>
      <c r="F3261" s="55" t="s">
        <v>344</v>
      </c>
      <c r="G3261" s="55" t="s">
        <v>360</v>
      </c>
      <c r="H3261" s="55" t="s">
        <v>360</v>
      </c>
      <c r="I3261" s="55" t="s">
        <v>360</v>
      </c>
      <c r="J3261" s="55" t="s">
        <v>360</v>
      </c>
      <c r="K3261" s="55" t="s">
        <v>360</v>
      </c>
      <c r="L3261" s="55" t="s">
        <v>360</v>
      </c>
      <c r="M3261" s="55" t="s">
        <v>144</v>
      </c>
      <c r="N3261" s="55" t="s">
        <v>144</v>
      </c>
      <c r="O3261" s="55" t="s">
        <v>162</v>
      </c>
      <c r="P3261" s="55" t="s">
        <v>1502</v>
      </c>
      <c r="Q3261" s="55" t="s">
        <v>350</v>
      </c>
      <c r="R3261" s="55">
        <v>4</v>
      </c>
      <c r="S3261" s="55"/>
      <c r="T3261" s="55" t="s">
        <v>5406</v>
      </c>
      <c r="U3261" s="73" t="s">
        <v>351</v>
      </c>
      <c r="V3261" s="74">
        <v>44587</v>
      </c>
      <c r="W3261" s="74">
        <v>44623</v>
      </c>
      <c r="X3261" s="55">
        <v>10187425</v>
      </c>
      <c r="Y3261" s="55" t="s">
        <v>132</v>
      </c>
      <c r="AB3261" s="55" t="s">
        <v>132</v>
      </c>
      <c r="AC3261" s="55" t="s">
        <v>132</v>
      </c>
    </row>
    <row r="3262" spans="1:29" ht="13" x14ac:dyDescent="0.15">
      <c r="A3262" s="72" t="str">
        <f t="shared" si="50"/>
        <v>Ofsted Social Care Provider Webpage</v>
      </c>
      <c r="B3262" s="55" t="s">
        <v>6117</v>
      </c>
      <c r="D3262" s="55" t="s">
        <v>373</v>
      </c>
      <c r="E3262" s="74">
        <v>41425</v>
      </c>
      <c r="F3262" s="55" t="s">
        <v>344</v>
      </c>
      <c r="G3262" s="55" t="s">
        <v>360</v>
      </c>
      <c r="H3262" s="55" t="s">
        <v>360</v>
      </c>
      <c r="I3262" s="55" t="s">
        <v>360</v>
      </c>
      <c r="J3262" s="55" t="s">
        <v>360</v>
      </c>
      <c r="K3262" s="55" t="s">
        <v>360</v>
      </c>
      <c r="L3262" s="55" t="s">
        <v>360</v>
      </c>
      <c r="M3262" s="55" t="s">
        <v>136</v>
      </c>
      <c r="N3262" s="55" t="s">
        <v>136</v>
      </c>
      <c r="O3262" s="55" t="s">
        <v>174</v>
      </c>
      <c r="P3262" s="55" t="s">
        <v>857</v>
      </c>
      <c r="Q3262" s="55" t="s">
        <v>350</v>
      </c>
      <c r="R3262" s="55">
        <v>2</v>
      </c>
      <c r="S3262" s="55"/>
      <c r="T3262" s="55" t="s">
        <v>858</v>
      </c>
      <c r="U3262" s="73" t="s">
        <v>351</v>
      </c>
      <c r="V3262" s="74">
        <v>44341</v>
      </c>
      <c r="W3262" s="74">
        <v>44376</v>
      </c>
      <c r="X3262" s="55">
        <v>10185496</v>
      </c>
      <c r="Y3262" s="55" t="s">
        <v>140</v>
      </c>
      <c r="AB3262" s="55" t="s">
        <v>140</v>
      </c>
      <c r="AC3262" s="55" t="s">
        <v>140</v>
      </c>
    </row>
    <row r="3263" spans="1:29" ht="13" x14ac:dyDescent="0.15">
      <c r="A3263" s="72" t="str">
        <f t="shared" si="50"/>
        <v>Ofsted Social Care Provider Webpage</v>
      </c>
      <c r="B3263" s="55" t="s">
        <v>6118</v>
      </c>
      <c r="D3263" s="55" t="s">
        <v>373</v>
      </c>
      <c r="E3263" s="74">
        <v>41474</v>
      </c>
      <c r="F3263" s="55" t="s">
        <v>344</v>
      </c>
      <c r="G3263" s="55" t="s">
        <v>360</v>
      </c>
      <c r="H3263" s="55" t="s">
        <v>360</v>
      </c>
      <c r="I3263" s="55" t="s">
        <v>360</v>
      </c>
      <c r="J3263" s="55" t="s">
        <v>360</v>
      </c>
      <c r="K3263" s="55" t="s">
        <v>360</v>
      </c>
      <c r="L3263" s="55" t="s">
        <v>360</v>
      </c>
      <c r="M3263" s="55" t="s">
        <v>142</v>
      </c>
      <c r="N3263" s="55" t="s">
        <v>142</v>
      </c>
      <c r="O3263" s="55" t="s">
        <v>141</v>
      </c>
      <c r="P3263" s="55" t="s">
        <v>612</v>
      </c>
      <c r="Q3263" s="55" t="s">
        <v>350</v>
      </c>
      <c r="R3263" s="55">
        <v>5</v>
      </c>
      <c r="S3263" s="55"/>
      <c r="T3263" s="55" t="s">
        <v>1415</v>
      </c>
      <c r="U3263" s="73" t="s">
        <v>351</v>
      </c>
      <c r="V3263" s="74">
        <v>44341</v>
      </c>
      <c r="W3263" s="74">
        <v>44375</v>
      </c>
      <c r="X3263" s="55">
        <v>10186615</v>
      </c>
      <c r="Y3263" s="55" t="s">
        <v>132</v>
      </c>
      <c r="AB3263" s="55" t="s">
        <v>132</v>
      </c>
      <c r="AC3263" s="55" t="s">
        <v>130</v>
      </c>
    </row>
    <row r="3264" spans="1:29" ht="13" x14ac:dyDescent="0.15">
      <c r="A3264" s="72" t="str">
        <f t="shared" si="50"/>
        <v>Ofsted Social Care Provider Webpage</v>
      </c>
      <c r="B3264" s="55" t="s">
        <v>6119</v>
      </c>
      <c r="D3264" s="55" t="s">
        <v>373</v>
      </c>
      <c r="E3264" s="74">
        <v>41397</v>
      </c>
      <c r="F3264" s="55" t="s">
        <v>344</v>
      </c>
      <c r="G3264" s="55" t="s">
        <v>360</v>
      </c>
      <c r="H3264" s="55" t="s">
        <v>360</v>
      </c>
      <c r="I3264" s="55" t="s">
        <v>360</v>
      </c>
      <c r="J3264" s="55" t="s">
        <v>360</v>
      </c>
      <c r="K3264" s="55" t="s">
        <v>360</v>
      </c>
      <c r="L3264" s="55" t="s">
        <v>360</v>
      </c>
      <c r="M3264" s="55" t="s">
        <v>150</v>
      </c>
      <c r="N3264" s="55" t="s">
        <v>150</v>
      </c>
      <c r="O3264" s="55" t="s">
        <v>221</v>
      </c>
      <c r="P3264" s="55" t="s">
        <v>349</v>
      </c>
      <c r="Q3264" s="55" t="s">
        <v>380</v>
      </c>
      <c r="R3264" s="55">
        <v>8</v>
      </c>
      <c r="S3264" s="55"/>
      <c r="T3264" s="55" t="s">
        <v>4280</v>
      </c>
      <c r="U3264" s="73" t="s">
        <v>351</v>
      </c>
      <c r="V3264" s="74">
        <v>43642</v>
      </c>
      <c r="W3264" s="74">
        <v>43693</v>
      </c>
      <c r="X3264" s="55">
        <v>10096913</v>
      </c>
      <c r="Y3264" s="55" t="s">
        <v>132</v>
      </c>
      <c r="AB3264" s="55" t="s">
        <v>132</v>
      </c>
      <c r="AC3264" s="55" t="s">
        <v>130</v>
      </c>
    </row>
    <row r="3265" spans="1:29" ht="13" x14ac:dyDescent="0.15">
      <c r="A3265" s="72" t="str">
        <f t="shared" si="50"/>
        <v>Ofsted Social Care Provider Webpage</v>
      </c>
      <c r="B3265" s="55" t="s">
        <v>6120</v>
      </c>
      <c r="D3265" s="55" t="s">
        <v>373</v>
      </c>
      <c r="E3265" s="74">
        <v>41449</v>
      </c>
      <c r="F3265" s="55" t="s">
        <v>344</v>
      </c>
      <c r="G3265" s="55" t="s">
        <v>360</v>
      </c>
      <c r="H3265" s="55" t="s">
        <v>360</v>
      </c>
      <c r="I3265" s="55" t="s">
        <v>360</v>
      </c>
      <c r="J3265" s="55" t="s">
        <v>360</v>
      </c>
      <c r="K3265" s="55" t="s">
        <v>360</v>
      </c>
      <c r="L3265" s="55" t="s">
        <v>360</v>
      </c>
      <c r="M3265" s="55" t="s">
        <v>142</v>
      </c>
      <c r="N3265" s="55" t="s">
        <v>142</v>
      </c>
      <c r="O3265" s="55" t="s">
        <v>262</v>
      </c>
      <c r="P3265" s="55" t="s">
        <v>488</v>
      </c>
      <c r="Q3265" s="55" t="s">
        <v>350</v>
      </c>
      <c r="R3265" s="55">
        <v>4</v>
      </c>
      <c r="S3265" s="55"/>
      <c r="T3265" s="55" t="s">
        <v>489</v>
      </c>
      <c r="U3265" s="73" t="s">
        <v>351</v>
      </c>
      <c r="V3265" s="74">
        <v>44501</v>
      </c>
      <c r="W3265" s="74">
        <v>44546</v>
      </c>
      <c r="X3265" s="55">
        <v>10186263</v>
      </c>
      <c r="Y3265" s="55" t="s">
        <v>132</v>
      </c>
      <c r="AB3265" s="55" t="s">
        <v>132</v>
      </c>
      <c r="AC3265" s="55" t="s">
        <v>132</v>
      </c>
    </row>
    <row r="3266" spans="1:29" ht="13" x14ac:dyDescent="0.15">
      <c r="A3266" s="72" t="str">
        <f t="shared" si="50"/>
        <v>Ofsted Social Care Provider Webpage</v>
      </c>
      <c r="B3266" s="55" t="s">
        <v>6121</v>
      </c>
      <c r="D3266" s="55" t="s">
        <v>373</v>
      </c>
      <c r="E3266" s="74">
        <v>41451</v>
      </c>
      <c r="F3266" s="55" t="s">
        <v>344</v>
      </c>
      <c r="G3266" s="55" t="s">
        <v>360</v>
      </c>
      <c r="H3266" s="55" t="s">
        <v>360</v>
      </c>
      <c r="I3266" s="55" t="s">
        <v>360</v>
      </c>
      <c r="J3266" s="55" t="s">
        <v>360</v>
      </c>
      <c r="K3266" s="55" t="s">
        <v>360</v>
      </c>
      <c r="L3266" s="55" t="s">
        <v>360</v>
      </c>
      <c r="M3266" s="55" t="s">
        <v>138</v>
      </c>
      <c r="N3266" s="55" t="s">
        <v>138</v>
      </c>
      <c r="O3266" s="55" t="s">
        <v>224</v>
      </c>
      <c r="P3266" s="55" t="s">
        <v>1123</v>
      </c>
      <c r="Q3266" s="55" t="s">
        <v>380</v>
      </c>
      <c r="R3266" s="55">
        <v>4</v>
      </c>
      <c r="S3266" s="55"/>
      <c r="T3266" s="55" t="s">
        <v>2272</v>
      </c>
      <c r="U3266" s="73" t="s">
        <v>351</v>
      </c>
      <c r="V3266" s="74">
        <v>44306</v>
      </c>
      <c r="W3266" s="74">
        <v>44333</v>
      </c>
      <c r="X3266" s="55">
        <v>10186272</v>
      </c>
      <c r="Y3266" s="55" t="s">
        <v>132</v>
      </c>
      <c r="AB3266" s="55" t="s">
        <v>132</v>
      </c>
      <c r="AC3266" s="55" t="s">
        <v>132</v>
      </c>
    </row>
    <row r="3267" spans="1:29" ht="13" x14ac:dyDescent="0.15">
      <c r="A3267" s="72" t="str">
        <f t="shared" si="50"/>
        <v>Ofsted Social Care Provider Webpage</v>
      </c>
      <c r="B3267" s="55" t="s">
        <v>6122</v>
      </c>
      <c r="D3267" s="55" t="s">
        <v>373</v>
      </c>
      <c r="E3267" s="74">
        <v>41417</v>
      </c>
      <c r="F3267" s="55" t="s">
        <v>344</v>
      </c>
      <c r="G3267" s="55" t="s">
        <v>360</v>
      </c>
      <c r="H3267" s="55" t="s">
        <v>360</v>
      </c>
      <c r="I3267" s="55" t="s">
        <v>360</v>
      </c>
      <c r="J3267" s="55" t="s">
        <v>360</v>
      </c>
      <c r="K3267" s="55" t="s">
        <v>360</v>
      </c>
      <c r="L3267" s="55" t="s">
        <v>360</v>
      </c>
      <c r="M3267" s="55" t="s">
        <v>144</v>
      </c>
      <c r="N3267" s="55" t="s">
        <v>144</v>
      </c>
      <c r="O3267" s="55" t="s">
        <v>209</v>
      </c>
      <c r="P3267" s="55" t="s">
        <v>364</v>
      </c>
      <c r="Q3267" s="55" t="s">
        <v>350</v>
      </c>
      <c r="R3267" s="55">
        <v>4</v>
      </c>
      <c r="S3267" s="55"/>
      <c r="T3267" s="55" t="s">
        <v>1539</v>
      </c>
      <c r="U3267" s="73" t="s">
        <v>351</v>
      </c>
      <c r="V3267" s="74">
        <v>44496</v>
      </c>
      <c r="W3267" s="74">
        <v>44537</v>
      </c>
      <c r="X3267" s="55">
        <v>10185844</v>
      </c>
      <c r="Y3267" s="55" t="s">
        <v>132</v>
      </c>
      <c r="AB3267" s="55" t="s">
        <v>132</v>
      </c>
      <c r="AC3267" s="55" t="s">
        <v>132</v>
      </c>
    </row>
    <row r="3268" spans="1:29" ht="13" x14ac:dyDescent="0.15">
      <c r="A3268" s="72" t="str">
        <f t="shared" si="50"/>
        <v>Ofsted Social Care Provider Webpage</v>
      </c>
      <c r="B3268" s="55" t="s">
        <v>6123</v>
      </c>
      <c r="D3268" s="55" t="s">
        <v>389</v>
      </c>
      <c r="E3268" s="74">
        <v>41507</v>
      </c>
      <c r="F3268" s="55" t="s">
        <v>344</v>
      </c>
      <c r="G3268" s="55" t="s">
        <v>6124</v>
      </c>
      <c r="H3268" s="55" t="s">
        <v>6125</v>
      </c>
      <c r="I3268" s="55" t="s">
        <v>6126</v>
      </c>
      <c r="J3268" s="55" t="s">
        <v>593</v>
      </c>
      <c r="L3268" s="55" t="s">
        <v>6127</v>
      </c>
      <c r="M3268" s="55" t="s">
        <v>150</v>
      </c>
      <c r="N3268" s="55" t="s">
        <v>150</v>
      </c>
      <c r="O3268" s="55" t="s">
        <v>203</v>
      </c>
      <c r="P3268" s="55" t="s">
        <v>593</v>
      </c>
      <c r="Q3268" s="55" t="s">
        <v>350</v>
      </c>
      <c r="R3268" s="55"/>
      <c r="S3268" s="55"/>
      <c r="T3268" s="55" t="s">
        <v>6128</v>
      </c>
      <c r="U3268" s="73" t="s">
        <v>351</v>
      </c>
      <c r="V3268" s="74">
        <v>44515</v>
      </c>
      <c r="W3268" s="74">
        <v>44589</v>
      </c>
      <c r="X3268" s="55">
        <v>10183415</v>
      </c>
      <c r="Y3268" s="55" t="s">
        <v>132</v>
      </c>
      <c r="AB3268" s="55" t="s">
        <v>132</v>
      </c>
      <c r="AC3268" s="55" t="s">
        <v>132</v>
      </c>
    </row>
    <row r="3269" spans="1:29" ht="13" x14ac:dyDescent="0.15">
      <c r="A3269" s="72" t="str">
        <f t="shared" si="50"/>
        <v>Ofsted Social Care Provider Webpage</v>
      </c>
      <c r="B3269" s="55" t="s">
        <v>6129</v>
      </c>
      <c r="D3269" s="55" t="s">
        <v>373</v>
      </c>
      <c r="E3269" s="74">
        <v>41740</v>
      </c>
      <c r="F3269" s="55" t="s">
        <v>344</v>
      </c>
      <c r="G3269" s="55" t="s">
        <v>360</v>
      </c>
      <c r="H3269" s="55" t="s">
        <v>360</v>
      </c>
      <c r="I3269" s="55" t="s">
        <v>360</v>
      </c>
      <c r="J3269" s="55" t="s">
        <v>360</v>
      </c>
      <c r="K3269" s="55" t="s">
        <v>360</v>
      </c>
      <c r="L3269" s="55" t="s">
        <v>360</v>
      </c>
      <c r="M3269" s="55" t="s">
        <v>172</v>
      </c>
      <c r="N3269" s="55" t="s">
        <v>172</v>
      </c>
      <c r="O3269" s="55" t="s">
        <v>173</v>
      </c>
      <c r="P3269" s="55" t="s">
        <v>1305</v>
      </c>
      <c r="Q3269" s="55" t="s">
        <v>350</v>
      </c>
      <c r="R3269" s="55">
        <v>4</v>
      </c>
      <c r="S3269" s="55"/>
      <c r="T3269" s="55" t="s">
        <v>861</v>
      </c>
      <c r="U3269" s="73" t="s">
        <v>351</v>
      </c>
      <c r="V3269" s="74">
        <v>44315</v>
      </c>
      <c r="W3269" s="74">
        <v>44356</v>
      </c>
      <c r="X3269" s="55">
        <v>10186057</v>
      </c>
      <c r="Y3269" s="55" t="s">
        <v>130</v>
      </c>
      <c r="AB3269" s="55" t="s">
        <v>130</v>
      </c>
      <c r="AC3269" s="55" t="s">
        <v>130</v>
      </c>
    </row>
    <row r="3270" spans="1:29" ht="13" x14ac:dyDescent="0.15">
      <c r="A3270" s="72" t="str">
        <f t="shared" ref="A3270:A3333" si="51">HYPERLINK(_xlfn.CONCAT("http://reports.ofsted.gov.uk/inspection-reports/find-inspection-report/provider/CARE/",B3270),"Ofsted Social Care Provider Webpage")</f>
        <v>Ofsted Social Care Provider Webpage</v>
      </c>
      <c r="B3270" s="55" t="s">
        <v>6130</v>
      </c>
      <c r="D3270" s="55" t="s">
        <v>373</v>
      </c>
      <c r="E3270" s="74">
        <v>41514</v>
      </c>
      <c r="F3270" s="55" t="s">
        <v>344</v>
      </c>
      <c r="G3270" s="55" t="s">
        <v>360</v>
      </c>
      <c r="H3270" s="55" t="s">
        <v>360</v>
      </c>
      <c r="I3270" s="55" t="s">
        <v>360</v>
      </c>
      <c r="J3270" s="55" t="s">
        <v>360</v>
      </c>
      <c r="K3270" s="55" t="s">
        <v>360</v>
      </c>
      <c r="L3270" s="55" t="s">
        <v>360</v>
      </c>
      <c r="M3270" s="55" t="s">
        <v>142</v>
      </c>
      <c r="N3270" s="55" t="s">
        <v>142</v>
      </c>
      <c r="O3270" s="55" t="s">
        <v>278</v>
      </c>
      <c r="P3270" s="55" t="s">
        <v>1126</v>
      </c>
      <c r="Q3270" s="55" t="s">
        <v>380</v>
      </c>
      <c r="R3270" s="55">
        <v>6</v>
      </c>
      <c r="S3270" s="55" t="s">
        <v>332</v>
      </c>
      <c r="T3270" s="55" t="s">
        <v>3433</v>
      </c>
      <c r="U3270" s="73" t="s">
        <v>351</v>
      </c>
      <c r="V3270" s="74">
        <v>44600</v>
      </c>
      <c r="W3270" s="74">
        <v>44644</v>
      </c>
      <c r="X3270" s="55">
        <v>10186954</v>
      </c>
      <c r="Y3270" s="55" t="s">
        <v>132</v>
      </c>
      <c r="AB3270" s="55" t="s">
        <v>132</v>
      </c>
      <c r="AC3270" s="55" t="s">
        <v>130</v>
      </c>
    </row>
    <row r="3271" spans="1:29" ht="13" x14ac:dyDescent="0.15">
      <c r="A3271" s="72" t="str">
        <f t="shared" si="51"/>
        <v>Ofsted Social Care Provider Webpage</v>
      </c>
      <c r="B3271" s="55" t="s">
        <v>6131</v>
      </c>
      <c r="D3271" s="55" t="s">
        <v>373</v>
      </c>
      <c r="E3271" s="74">
        <v>41450</v>
      </c>
      <c r="F3271" s="55" t="s">
        <v>344</v>
      </c>
      <c r="G3271" s="55" t="s">
        <v>360</v>
      </c>
      <c r="H3271" s="55" t="s">
        <v>360</v>
      </c>
      <c r="I3271" s="55" t="s">
        <v>360</v>
      </c>
      <c r="J3271" s="55" t="s">
        <v>360</v>
      </c>
      <c r="K3271" s="55" t="s">
        <v>360</v>
      </c>
      <c r="L3271" s="55" t="s">
        <v>360</v>
      </c>
      <c r="M3271" s="55" t="s">
        <v>144</v>
      </c>
      <c r="N3271" s="55" t="s">
        <v>144</v>
      </c>
      <c r="O3271" s="55" t="s">
        <v>209</v>
      </c>
      <c r="P3271" s="55" t="s">
        <v>777</v>
      </c>
      <c r="Q3271" s="55" t="s">
        <v>350</v>
      </c>
      <c r="R3271" s="55">
        <v>5</v>
      </c>
      <c r="S3271" s="55"/>
      <c r="T3271" s="55" t="s">
        <v>863</v>
      </c>
      <c r="U3271" s="73" t="s">
        <v>351</v>
      </c>
      <c r="V3271" s="74">
        <v>44621</v>
      </c>
      <c r="W3271" s="74">
        <v>44663</v>
      </c>
      <c r="X3271" s="55">
        <v>10185153</v>
      </c>
      <c r="Y3271" s="55" t="s">
        <v>132</v>
      </c>
      <c r="AB3271" s="55" t="s">
        <v>132</v>
      </c>
      <c r="AC3271" s="55" t="s">
        <v>132</v>
      </c>
    </row>
    <row r="3272" spans="1:29" ht="13" x14ac:dyDescent="0.15">
      <c r="A3272" s="72" t="str">
        <f t="shared" si="51"/>
        <v>Ofsted Social Care Provider Webpage</v>
      </c>
      <c r="B3272" s="55" t="s">
        <v>6132</v>
      </c>
      <c r="D3272" s="55" t="s">
        <v>373</v>
      </c>
      <c r="E3272" s="74">
        <v>41493</v>
      </c>
      <c r="F3272" s="55" t="s">
        <v>344</v>
      </c>
      <c r="G3272" s="55" t="s">
        <v>360</v>
      </c>
      <c r="H3272" s="55" t="s">
        <v>360</v>
      </c>
      <c r="I3272" s="55" t="s">
        <v>360</v>
      </c>
      <c r="J3272" s="55" t="s">
        <v>360</v>
      </c>
      <c r="K3272" s="55" t="s">
        <v>360</v>
      </c>
      <c r="L3272" s="55" t="s">
        <v>360</v>
      </c>
      <c r="M3272" s="55" t="s">
        <v>142</v>
      </c>
      <c r="N3272" s="55" t="s">
        <v>142</v>
      </c>
      <c r="O3272" s="55" t="s">
        <v>252</v>
      </c>
      <c r="P3272" s="55" t="s">
        <v>503</v>
      </c>
      <c r="Q3272" s="55" t="s">
        <v>350</v>
      </c>
      <c r="R3272" s="55">
        <v>6</v>
      </c>
      <c r="S3272" s="55"/>
      <c r="T3272" s="55" t="s">
        <v>385</v>
      </c>
      <c r="U3272" s="73" t="s">
        <v>351</v>
      </c>
      <c r="V3272" s="74">
        <v>44322</v>
      </c>
      <c r="W3272" s="74">
        <v>44349</v>
      </c>
      <c r="X3272" s="55">
        <v>10185327</v>
      </c>
      <c r="Y3272" s="55" t="s">
        <v>132</v>
      </c>
      <c r="AB3272" s="55" t="s">
        <v>130</v>
      </c>
      <c r="AC3272" s="55" t="s">
        <v>132</v>
      </c>
    </row>
    <row r="3273" spans="1:29" ht="13" x14ac:dyDescent="0.15">
      <c r="A3273" s="72" t="str">
        <f t="shared" si="51"/>
        <v>Ofsted Social Care Provider Webpage</v>
      </c>
      <c r="B3273" s="55" t="s">
        <v>6133</v>
      </c>
      <c r="D3273" s="55" t="s">
        <v>373</v>
      </c>
      <c r="E3273" s="74">
        <v>41463</v>
      </c>
      <c r="F3273" s="55" t="s">
        <v>344</v>
      </c>
      <c r="G3273" s="55" t="s">
        <v>360</v>
      </c>
      <c r="H3273" s="55" t="s">
        <v>360</v>
      </c>
      <c r="I3273" s="55" t="s">
        <v>360</v>
      </c>
      <c r="J3273" s="55" t="s">
        <v>360</v>
      </c>
      <c r="K3273" s="55" t="s">
        <v>360</v>
      </c>
      <c r="L3273" s="55" t="s">
        <v>360</v>
      </c>
      <c r="M3273" s="55" t="s">
        <v>378</v>
      </c>
      <c r="N3273" s="55" t="s">
        <v>170</v>
      </c>
      <c r="O3273" s="55" t="s">
        <v>220</v>
      </c>
      <c r="P3273" s="55" t="s">
        <v>220</v>
      </c>
      <c r="Q3273" s="55" t="s">
        <v>350</v>
      </c>
      <c r="R3273" s="55">
        <v>1</v>
      </c>
      <c r="S3273" s="55"/>
      <c r="T3273" s="55" t="s">
        <v>385</v>
      </c>
      <c r="U3273" s="73" t="s">
        <v>351</v>
      </c>
      <c r="V3273" s="74">
        <v>43844</v>
      </c>
      <c r="W3273" s="74">
        <v>43875</v>
      </c>
      <c r="X3273" s="55">
        <v>10096935</v>
      </c>
      <c r="Y3273" s="55" t="s">
        <v>132</v>
      </c>
      <c r="AB3273" s="55" t="s">
        <v>132</v>
      </c>
      <c r="AC3273" s="55" t="s">
        <v>132</v>
      </c>
    </row>
    <row r="3274" spans="1:29" ht="13" x14ac:dyDescent="0.15">
      <c r="A3274" s="72" t="str">
        <f t="shared" si="51"/>
        <v>Ofsted Social Care Provider Webpage</v>
      </c>
      <c r="B3274" s="55" t="s">
        <v>6134</v>
      </c>
      <c r="D3274" s="55" t="s">
        <v>373</v>
      </c>
      <c r="E3274" s="74">
        <v>41725</v>
      </c>
      <c r="F3274" s="55" t="s">
        <v>344</v>
      </c>
      <c r="G3274" s="55" t="s">
        <v>360</v>
      </c>
      <c r="H3274" s="55" t="s">
        <v>360</v>
      </c>
      <c r="I3274" s="55" t="s">
        <v>360</v>
      </c>
      <c r="J3274" s="55" t="s">
        <v>360</v>
      </c>
      <c r="K3274" s="55" t="s">
        <v>360</v>
      </c>
      <c r="L3274" s="55" t="s">
        <v>360</v>
      </c>
      <c r="M3274" s="55" t="s">
        <v>136</v>
      </c>
      <c r="N3274" s="55" t="s">
        <v>136</v>
      </c>
      <c r="O3274" s="55" t="s">
        <v>174</v>
      </c>
      <c r="P3274" s="55" t="s">
        <v>982</v>
      </c>
      <c r="Q3274" s="55" t="s">
        <v>350</v>
      </c>
      <c r="R3274" s="55">
        <v>3</v>
      </c>
      <c r="S3274" s="55"/>
      <c r="T3274" s="55" t="s">
        <v>6135</v>
      </c>
      <c r="U3274" s="73" t="s">
        <v>351</v>
      </c>
      <c r="V3274" s="74">
        <v>44334</v>
      </c>
      <c r="W3274" s="74">
        <v>44372</v>
      </c>
      <c r="X3274" s="55">
        <v>10185371</v>
      </c>
      <c r="Y3274" s="55" t="s">
        <v>132</v>
      </c>
      <c r="AB3274" s="55" t="s">
        <v>132</v>
      </c>
      <c r="AC3274" s="55" t="s">
        <v>132</v>
      </c>
    </row>
    <row r="3275" spans="1:29" ht="13" x14ac:dyDescent="0.15">
      <c r="A3275" s="72" t="str">
        <f t="shared" si="51"/>
        <v>Ofsted Social Care Provider Webpage</v>
      </c>
      <c r="B3275" s="55" t="s">
        <v>6136</v>
      </c>
      <c r="D3275" s="55" t="s">
        <v>373</v>
      </c>
      <c r="E3275" s="74">
        <v>41484</v>
      </c>
      <c r="F3275" s="55" t="s">
        <v>344</v>
      </c>
      <c r="G3275" s="55" t="s">
        <v>360</v>
      </c>
      <c r="H3275" s="55" t="s">
        <v>360</v>
      </c>
      <c r="I3275" s="55" t="s">
        <v>360</v>
      </c>
      <c r="J3275" s="55" t="s">
        <v>360</v>
      </c>
      <c r="K3275" s="55" t="s">
        <v>360</v>
      </c>
      <c r="L3275" s="55" t="s">
        <v>360</v>
      </c>
      <c r="M3275" s="55" t="s">
        <v>172</v>
      </c>
      <c r="N3275" s="55" t="s">
        <v>172</v>
      </c>
      <c r="O3275" s="55" t="s">
        <v>284</v>
      </c>
      <c r="P3275" s="55" t="s">
        <v>985</v>
      </c>
      <c r="Q3275" s="55" t="s">
        <v>851</v>
      </c>
      <c r="R3275" s="55">
        <v>12</v>
      </c>
      <c r="S3275" s="55" t="s">
        <v>332</v>
      </c>
      <c r="T3275" s="55" t="s">
        <v>6137</v>
      </c>
      <c r="U3275" s="73" t="s">
        <v>351</v>
      </c>
      <c r="V3275" s="74">
        <v>44376</v>
      </c>
      <c r="W3275" s="74">
        <v>44407</v>
      </c>
      <c r="X3275" s="55">
        <v>10186345</v>
      </c>
      <c r="Y3275" s="55" t="s">
        <v>132</v>
      </c>
      <c r="AB3275" s="55" t="s">
        <v>132</v>
      </c>
      <c r="AC3275" s="55" t="s">
        <v>132</v>
      </c>
    </row>
    <row r="3276" spans="1:29" ht="13" x14ac:dyDescent="0.15">
      <c r="A3276" s="72" t="str">
        <f t="shared" si="51"/>
        <v>Ofsted Social Care Provider Webpage</v>
      </c>
      <c r="B3276" s="55" t="s">
        <v>6138</v>
      </c>
      <c r="D3276" s="55" t="s">
        <v>373</v>
      </c>
      <c r="E3276" s="74">
        <v>41477</v>
      </c>
      <c r="F3276" s="55" t="s">
        <v>344</v>
      </c>
      <c r="G3276" s="55" t="s">
        <v>360</v>
      </c>
      <c r="H3276" s="55" t="s">
        <v>360</v>
      </c>
      <c r="I3276" s="55" t="s">
        <v>360</v>
      </c>
      <c r="J3276" s="55" t="s">
        <v>360</v>
      </c>
      <c r="K3276" s="55" t="s">
        <v>360</v>
      </c>
      <c r="L3276" s="55" t="s">
        <v>360</v>
      </c>
      <c r="M3276" s="55" t="s">
        <v>172</v>
      </c>
      <c r="N3276" s="55" t="s">
        <v>172</v>
      </c>
      <c r="O3276" s="55" t="s">
        <v>228</v>
      </c>
      <c r="P3276" s="55" t="s">
        <v>459</v>
      </c>
      <c r="Q3276" s="55" t="s">
        <v>851</v>
      </c>
      <c r="R3276" s="55">
        <v>6</v>
      </c>
      <c r="S3276" s="55" t="s">
        <v>332</v>
      </c>
      <c r="T3276" s="55" t="s">
        <v>6137</v>
      </c>
      <c r="U3276" s="73" t="s">
        <v>351</v>
      </c>
      <c r="V3276" s="74">
        <v>44523</v>
      </c>
      <c r="W3276" s="74">
        <v>44572</v>
      </c>
      <c r="X3276" s="55">
        <v>10187374</v>
      </c>
      <c r="Y3276" s="55" t="s">
        <v>132</v>
      </c>
      <c r="AB3276" s="55" t="s">
        <v>132</v>
      </c>
      <c r="AC3276" s="55" t="s">
        <v>132</v>
      </c>
    </row>
    <row r="3277" spans="1:29" ht="13" x14ac:dyDescent="0.15">
      <c r="A3277" s="72" t="str">
        <f t="shared" si="51"/>
        <v>Ofsted Social Care Provider Webpage</v>
      </c>
      <c r="B3277" s="55" t="s">
        <v>6139</v>
      </c>
      <c r="D3277" s="55" t="s">
        <v>373</v>
      </c>
      <c r="E3277" s="74">
        <v>41481</v>
      </c>
      <c r="F3277" s="55" t="s">
        <v>344</v>
      </c>
      <c r="G3277" s="55" t="s">
        <v>360</v>
      </c>
      <c r="H3277" s="55" t="s">
        <v>360</v>
      </c>
      <c r="I3277" s="55" t="s">
        <v>360</v>
      </c>
      <c r="J3277" s="55" t="s">
        <v>360</v>
      </c>
      <c r="K3277" s="55" t="s">
        <v>360</v>
      </c>
      <c r="L3277" s="55" t="s">
        <v>360</v>
      </c>
      <c r="M3277" s="55" t="s">
        <v>378</v>
      </c>
      <c r="N3277" s="55" t="s">
        <v>170</v>
      </c>
      <c r="O3277" s="55" t="s">
        <v>222</v>
      </c>
      <c r="P3277" s="55" t="s">
        <v>2188</v>
      </c>
      <c r="Q3277" s="55" t="s">
        <v>350</v>
      </c>
      <c r="R3277" s="55">
        <v>6</v>
      </c>
      <c r="S3277" s="55"/>
      <c r="T3277" s="55" t="s">
        <v>1528</v>
      </c>
      <c r="U3277" s="73" t="s">
        <v>351</v>
      </c>
      <c r="V3277" s="74">
        <v>44327</v>
      </c>
      <c r="W3277" s="74">
        <v>44377</v>
      </c>
      <c r="X3277" s="55">
        <v>10185015</v>
      </c>
      <c r="Y3277" s="55" t="s">
        <v>132</v>
      </c>
      <c r="AB3277" s="55" t="s">
        <v>132</v>
      </c>
      <c r="AC3277" s="55" t="s">
        <v>132</v>
      </c>
    </row>
    <row r="3278" spans="1:29" ht="13" x14ac:dyDescent="0.15">
      <c r="A3278" s="72" t="str">
        <f t="shared" si="51"/>
        <v>Ofsted Social Care Provider Webpage</v>
      </c>
      <c r="B3278" s="55" t="s">
        <v>6140</v>
      </c>
      <c r="D3278" s="55" t="s">
        <v>373</v>
      </c>
      <c r="E3278" s="74">
        <v>41502</v>
      </c>
      <c r="F3278" s="55" t="s">
        <v>344</v>
      </c>
      <c r="G3278" s="55" t="s">
        <v>360</v>
      </c>
      <c r="H3278" s="55" t="s">
        <v>360</v>
      </c>
      <c r="I3278" s="55" t="s">
        <v>360</v>
      </c>
      <c r="J3278" s="55" t="s">
        <v>360</v>
      </c>
      <c r="K3278" s="55" t="s">
        <v>360</v>
      </c>
      <c r="L3278" s="55" t="s">
        <v>360</v>
      </c>
      <c r="M3278" s="55" t="s">
        <v>150</v>
      </c>
      <c r="N3278" s="55" t="s">
        <v>150</v>
      </c>
      <c r="O3278" s="55" t="s">
        <v>203</v>
      </c>
      <c r="P3278" s="55" t="s">
        <v>1263</v>
      </c>
      <c r="Q3278" s="55" t="s">
        <v>350</v>
      </c>
      <c r="R3278" s="55">
        <v>3</v>
      </c>
      <c r="S3278" s="55"/>
      <c r="T3278" s="55" t="s">
        <v>564</v>
      </c>
      <c r="U3278" s="73" t="s">
        <v>351</v>
      </c>
      <c r="V3278" s="74">
        <v>44538</v>
      </c>
      <c r="W3278" s="74">
        <v>44593</v>
      </c>
      <c r="X3278" s="55">
        <v>10186314</v>
      </c>
      <c r="Y3278" s="55" t="s">
        <v>132</v>
      </c>
      <c r="AB3278" s="55" t="s">
        <v>132</v>
      </c>
      <c r="AC3278" s="55" t="s">
        <v>132</v>
      </c>
    </row>
    <row r="3279" spans="1:29" ht="13" x14ac:dyDescent="0.15">
      <c r="A3279" s="72" t="str">
        <f t="shared" si="51"/>
        <v>Ofsted Social Care Provider Webpage</v>
      </c>
      <c r="B3279" s="55" t="s">
        <v>6141</v>
      </c>
      <c r="D3279" s="55" t="s">
        <v>373</v>
      </c>
      <c r="E3279" s="74">
        <v>41458</v>
      </c>
      <c r="F3279" s="55" t="s">
        <v>344</v>
      </c>
      <c r="G3279" s="55" t="s">
        <v>360</v>
      </c>
      <c r="H3279" s="55" t="s">
        <v>360</v>
      </c>
      <c r="I3279" s="55" t="s">
        <v>360</v>
      </c>
      <c r="J3279" s="55" t="s">
        <v>360</v>
      </c>
      <c r="K3279" s="55" t="s">
        <v>360</v>
      </c>
      <c r="L3279" s="55" t="s">
        <v>360</v>
      </c>
      <c r="M3279" s="55" t="s">
        <v>150</v>
      </c>
      <c r="N3279" s="55" t="s">
        <v>150</v>
      </c>
      <c r="O3279" s="55" t="s">
        <v>221</v>
      </c>
      <c r="P3279" s="55" t="s">
        <v>349</v>
      </c>
      <c r="Q3279" s="55" t="s">
        <v>350</v>
      </c>
      <c r="R3279" s="55">
        <v>4</v>
      </c>
      <c r="S3279" s="55"/>
      <c r="T3279" s="55" t="s">
        <v>6142</v>
      </c>
      <c r="U3279" s="73" t="s">
        <v>351</v>
      </c>
      <c r="V3279" s="74">
        <v>44599</v>
      </c>
      <c r="W3279" s="74">
        <v>44631</v>
      </c>
      <c r="X3279" s="55">
        <v>10187522</v>
      </c>
      <c r="Y3279" s="55" t="s">
        <v>140</v>
      </c>
      <c r="AB3279" s="55" t="s">
        <v>140</v>
      </c>
      <c r="AC3279" s="55" t="s">
        <v>132</v>
      </c>
    </row>
    <row r="3280" spans="1:29" ht="13" x14ac:dyDescent="0.15">
      <c r="A3280" s="72" t="str">
        <f t="shared" si="51"/>
        <v>Ofsted Social Care Provider Webpage</v>
      </c>
      <c r="B3280" s="55" t="s">
        <v>6143</v>
      </c>
      <c r="D3280" s="55" t="s">
        <v>373</v>
      </c>
      <c r="E3280" s="74">
        <v>41772</v>
      </c>
      <c r="F3280" s="55" t="s">
        <v>344</v>
      </c>
      <c r="G3280" s="55" t="s">
        <v>360</v>
      </c>
      <c r="H3280" s="55" t="s">
        <v>360</v>
      </c>
      <c r="I3280" s="55" t="s">
        <v>360</v>
      </c>
      <c r="J3280" s="55" t="s">
        <v>360</v>
      </c>
      <c r="K3280" s="55" t="s">
        <v>360</v>
      </c>
      <c r="L3280" s="55" t="s">
        <v>360</v>
      </c>
      <c r="M3280" s="55" t="s">
        <v>144</v>
      </c>
      <c r="N3280" s="55" t="s">
        <v>144</v>
      </c>
      <c r="O3280" s="55" t="s">
        <v>168</v>
      </c>
      <c r="P3280" s="55" t="s">
        <v>708</v>
      </c>
      <c r="Q3280" s="55" t="s">
        <v>350</v>
      </c>
      <c r="R3280" s="55">
        <v>2</v>
      </c>
      <c r="S3280" s="55"/>
      <c r="T3280" s="55" t="s">
        <v>709</v>
      </c>
      <c r="U3280" s="73" t="s">
        <v>351</v>
      </c>
      <c r="V3280" s="74">
        <v>44615</v>
      </c>
      <c r="W3280" s="74">
        <v>44680</v>
      </c>
      <c r="X3280" s="55">
        <v>10185031</v>
      </c>
      <c r="Y3280" s="55" t="s">
        <v>132</v>
      </c>
      <c r="AB3280" s="55" t="s">
        <v>132</v>
      </c>
      <c r="AC3280" s="55" t="s">
        <v>132</v>
      </c>
    </row>
    <row r="3281" spans="1:29" ht="13" x14ac:dyDescent="0.15">
      <c r="A3281" s="72" t="str">
        <f t="shared" si="51"/>
        <v>Ofsted Social Care Provider Webpage</v>
      </c>
      <c r="B3281" s="55" t="s">
        <v>6144</v>
      </c>
      <c r="D3281" s="55" t="s">
        <v>389</v>
      </c>
      <c r="E3281" s="74">
        <v>41465</v>
      </c>
      <c r="F3281" s="55" t="s">
        <v>344</v>
      </c>
      <c r="G3281" s="55" t="s">
        <v>6145</v>
      </c>
      <c r="H3281" s="55" t="s">
        <v>6146</v>
      </c>
      <c r="I3281" s="55" t="s">
        <v>6147</v>
      </c>
      <c r="J3281" s="55" t="s">
        <v>6148</v>
      </c>
      <c r="L3281" s="55" t="s">
        <v>6149</v>
      </c>
      <c r="M3281" s="55" t="s">
        <v>150</v>
      </c>
      <c r="N3281" s="55" t="s">
        <v>150</v>
      </c>
      <c r="O3281" s="55" t="s">
        <v>156</v>
      </c>
      <c r="P3281" s="55" t="s">
        <v>2094</v>
      </c>
      <c r="Q3281" s="55" t="s">
        <v>350</v>
      </c>
      <c r="R3281" s="55"/>
      <c r="S3281" s="55"/>
      <c r="T3281" s="55" t="s">
        <v>6145</v>
      </c>
      <c r="U3281" s="73" t="s">
        <v>351</v>
      </c>
      <c r="V3281" s="74">
        <v>43108</v>
      </c>
      <c r="W3281" s="74">
        <v>43164</v>
      </c>
      <c r="X3281" s="55">
        <v>10038133</v>
      </c>
      <c r="Y3281" s="55" t="s">
        <v>132</v>
      </c>
      <c r="AB3281" s="55" t="s">
        <v>132</v>
      </c>
      <c r="AC3281" s="55" t="s">
        <v>132</v>
      </c>
    </row>
    <row r="3282" spans="1:29" ht="13" x14ac:dyDescent="0.15">
      <c r="A3282" s="72" t="str">
        <f t="shared" si="51"/>
        <v>Ofsted Social Care Provider Webpage</v>
      </c>
      <c r="B3282" s="55" t="s">
        <v>6150</v>
      </c>
      <c r="D3282" s="55" t="s">
        <v>373</v>
      </c>
      <c r="E3282" s="74">
        <v>41506</v>
      </c>
      <c r="F3282" s="55" t="s">
        <v>344</v>
      </c>
      <c r="G3282" s="55" t="s">
        <v>360</v>
      </c>
      <c r="H3282" s="55" t="s">
        <v>360</v>
      </c>
      <c r="I3282" s="55" t="s">
        <v>360</v>
      </c>
      <c r="J3282" s="55" t="s">
        <v>360</v>
      </c>
      <c r="K3282" s="55" t="s">
        <v>360</v>
      </c>
      <c r="L3282" s="55" t="s">
        <v>360</v>
      </c>
      <c r="M3282" s="55" t="s">
        <v>136</v>
      </c>
      <c r="N3282" s="55" t="s">
        <v>136</v>
      </c>
      <c r="O3282" s="55" t="s">
        <v>255</v>
      </c>
      <c r="P3282" s="55" t="s">
        <v>609</v>
      </c>
      <c r="Q3282" s="55" t="s">
        <v>350</v>
      </c>
      <c r="R3282" s="55">
        <v>7</v>
      </c>
      <c r="S3282" s="55"/>
      <c r="T3282" s="55" t="s">
        <v>450</v>
      </c>
      <c r="U3282" s="73" t="s">
        <v>351</v>
      </c>
      <c r="V3282" s="74">
        <v>44384</v>
      </c>
      <c r="W3282" s="74">
        <v>44414</v>
      </c>
      <c r="X3282" s="55">
        <v>10185212</v>
      </c>
      <c r="Y3282" s="55" t="s">
        <v>132</v>
      </c>
      <c r="AB3282" s="55" t="s">
        <v>132</v>
      </c>
      <c r="AC3282" s="55" t="s">
        <v>132</v>
      </c>
    </row>
    <row r="3283" spans="1:29" ht="13" x14ac:dyDescent="0.15">
      <c r="A3283" s="72" t="str">
        <f t="shared" si="51"/>
        <v>Ofsted Social Care Provider Webpage</v>
      </c>
      <c r="B3283" s="55" t="s">
        <v>6151</v>
      </c>
      <c r="D3283" s="55" t="s">
        <v>389</v>
      </c>
      <c r="E3283" s="74">
        <v>41478</v>
      </c>
      <c r="F3283" s="55" t="s">
        <v>344</v>
      </c>
      <c r="G3283" s="55" t="s">
        <v>6152</v>
      </c>
      <c r="H3283" s="55" t="s">
        <v>1938</v>
      </c>
      <c r="I3283" s="55" t="s">
        <v>6153</v>
      </c>
      <c r="J3283" s="55" t="s">
        <v>6154</v>
      </c>
      <c r="K3283" s="55" t="s">
        <v>285</v>
      </c>
      <c r="L3283" s="55" t="s">
        <v>6155</v>
      </c>
      <c r="M3283" s="55" t="s">
        <v>150</v>
      </c>
      <c r="N3283" s="55" t="s">
        <v>150</v>
      </c>
      <c r="O3283" s="55" t="s">
        <v>285</v>
      </c>
      <c r="P3283" s="55" t="s">
        <v>2001</v>
      </c>
      <c r="Q3283" s="55" t="s">
        <v>350</v>
      </c>
      <c r="R3283" s="55"/>
      <c r="S3283" s="55"/>
      <c r="T3283" s="55" t="s">
        <v>1938</v>
      </c>
      <c r="U3283" s="73" t="s">
        <v>351</v>
      </c>
      <c r="V3283" s="74">
        <v>43780</v>
      </c>
      <c r="W3283" s="74">
        <v>43847</v>
      </c>
      <c r="X3283" s="55">
        <v>10128297</v>
      </c>
      <c r="Y3283" s="55" t="s">
        <v>132</v>
      </c>
      <c r="AB3283" s="55" t="s">
        <v>132</v>
      </c>
      <c r="AC3283" s="55" t="s">
        <v>132</v>
      </c>
    </row>
    <row r="3284" spans="1:29" ht="13" x14ac:dyDescent="0.15">
      <c r="A3284" s="72" t="str">
        <f t="shared" si="51"/>
        <v>Ofsted Social Care Provider Webpage</v>
      </c>
      <c r="B3284" s="55" t="s">
        <v>6156</v>
      </c>
      <c r="C3284" s="55">
        <v>118140</v>
      </c>
      <c r="D3284" s="55" t="s">
        <v>413</v>
      </c>
      <c r="E3284" s="74">
        <v>41417</v>
      </c>
      <c r="F3284" s="55" t="s">
        <v>344</v>
      </c>
      <c r="G3284" s="55" t="s">
        <v>600</v>
      </c>
      <c r="H3284" s="55" t="s">
        <v>600</v>
      </c>
      <c r="I3284" s="55" t="s">
        <v>6157</v>
      </c>
      <c r="J3284" s="55" t="s">
        <v>927</v>
      </c>
      <c r="L3284" s="55" t="s">
        <v>6158</v>
      </c>
      <c r="M3284" s="55" t="s">
        <v>378</v>
      </c>
      <c r="N3284" s="55" t="s">
        <v>134</v>
      </c>
      <c r="O3284" s="55" t="s">
        <v>204</v>
      </c>
      <c r="P3284" s="55" t="s">
        <v>1920</v>
      </c>
      <c r="Q3284" s="55" t="s">
        <v>380</v>
      </c>
      <c r="R3284" s="55">
        <v>34</v>
      </c>
      <c r="S3284" s="55"/>
      <c r="T3284" s="55" t="s">
        <v>1479</v>
      </c>
      <c r="U3284" s="73" t="s">
        <v>351</v>
      </c>
      <c r="V3284" s="74">
        <v>44621</v>
      </c>
      <c r="W3284" s="74">
        <v>44678</v>
      </c>
      <c r="X3284" s="55">
        <v>10183518</v>
      </c>
      <c r="Y3284" s="55" t="s">
        <v>132</v>
      </c>
      <c r="AB3284" s="55" t="s">
        <v>132</v>
      </c>
      <c r="AC3284" s="55" t="s">
        <v>130</v>
      </c>
    </row>
    <row r="3285" spans="1:29" ht="13" x14ac:dyDescent="0.15">
      <c r="A3285" s="72" t="str">
        <f t="shared" si="51"/>
        <v>Ofsted Social Care Provider Webpage</v>
      </c>
      <c r="B3285" s="55" t="s">
        <v>6159</v>
      </c>
      <c r="D3285" s="55" t="s">
        <v>373</v>
      </c>
      <c r="E3285" s="74">
        <v>41613</v>
      </c>
      <c r="F3285" s="55" t="s">
        <v>344</v>
      </c>
      <c r="G3285" s="55" t="s">
        <v>360</v>
      </c>
      <c r="H3285" s="55" t="s">
        <v>360</v>
      </c>
      <c r="I3285" s="55" t="s">
        <v>360</v>
      </c>
      <c r="J3285" s="55" t="s">
        <v>360</v>
      </c>
      <c r="K3285" s="55" t="s">
        <v>360</v>
      </c>
      <c r="L3285" s="55" t="s">
        <v>360</v>
      </c>
      <c r="M3285" s="55" t="s">
        <v>172</v>
      </c>
      <c r="N3285" s="55" t="s">
        <v>172</v>
      </c>
      <c r="O3285" s="55" t="s">
        <v>235</v>
      </c>
      <c r="P3285" s="55" t="s">
        <v>628</v>
      </c>
      <c r="Q3285" s="55" t="s">
        <v>362</v>
      </c>
      <c r="R3285" s="55">
        <v>7</v>
      </c>
      <c r="S3285" s="55"/>
      <c r="T3285" s="55" t="s">
        <v>824</v>
      </c>
      <c r="U3285" s="73" t="s">
        <v>351</v>
      </c>
      <c r="V3285" s="74">
        <v>44473</v>
      </c>
      <c r="W3285" s="74">
        <v>44509</v>
      </c>
      <c r="X3285" s="55">
        <v>10187326</v>
      </c>
      <c r="Y3285" s="55" t="s">
        <v>140</v>
      </c>
      <c r="AB3285" s="55" t="s">
        <v>140</v>
      </c>
      <c r="AC3285" s="55" t="s">
        <v>140</v>
      </c>
    </row>
    <row r="3286" spans="1:29" ht="13" x14ac:dyDescent="0.15">
      <c r="A3286" s="72" t="str">
        <f t="shared" si="51"/>
        <v>Ofsted Social Care Provider Webpage</v>
      </c>
      <c r="B3286" s="55" t="s">
        <v>6160</v>
      </c>
      <c r="D3286" s="55" t="s">
        <v>373</v>
      </c>
      <c r="E3286" s="74">
        <v>41576</v>
      </c>
      <c r="F3286" s="55" t="s">
        <v>344</v>
      </c>
      <c r="G3286" s="55" t="s">
        <v>360</v>
      </c>
      <c r="H3286" s="55" t="s">
        <v>360</v>
      </c>
      <c r="I3286" s="55" t="s">
        <v>360</v>
      </c>
      <c r="J3286" s="55" t="s">
        <v>360</v>
      </c>
      <c r="K3286" s="55" t="s">
        <v>360</v>
      </c>
      <c r="L3286" s="55" t="s">
        <v>360</v>
      </c>
      <c r="M3286" s="55" t="s">
        <v>129</v>
      </c>
      <c r="N3286" s="55" t="s">
        <v>129</v>
      </c>
      <c r="O3286" s="55" t="s">
        <v>194</v>
      </c>
      <c r="P3286" s="55" t="s">
        <v>1201</v>
      </c>
      <c r="Q3286" s="55" t="s">
        <v>350</v>
      </c>
      <c r="R3286" s="55">
        <v>5</v>
      </c>
      <c r="S3286" s="55"/>
      <c r="T3286" s="55" t="s">
        <v>1013</v>
      </c>
      <c r="U3286" s="73" t="s">
        <v>351</v>
      </c>
      <c r="V3286" s="74">
        <v>44321</v>
      </c>
      <c r="W3286" s="74">
        <v>44349</v>
      </c>
      <c r="X3286" s="55">
        <v>10186829</v>
      </c>
      <c r="Y3286" s="55" t="s">
        <v>132</v>
      </c>
      <c r="AB3286" s="55" t="s">
        <v>132</v>
      </c>
      <c r="AC3286" s="55" t="s">
        <v>132</v>
      </c>
    </row>
    <row r="3287" spans="1:29" ht="13" x14ac:dyDescent="0.15">
      <c r="A3287" s="72" t="str">
        <f t="shared" si="51"/>
        <v>Ofsted Social Care Provider Webpage</v>
      </c>
      <c r="B3287" s="55" t="s">
        <v>6161</v>
      </c>
      <c r="D3287" s="55" t="s">
        <v>373</v>
      </c>
      <c r="E3287" s="74">
        <v>41519</v>
      </c>
      <c r="F3287" s="55" t="s">
        <v>344</v>
      </c>
      <c r="G3287" s="55" t="s">
        <v>360</v>
      </c>
      <c r="H3287" s="55" t="s">
        <v>360</v>
      </c>
      <c r="I3287" s="55" t="s">
        <v>360</v>
      </c>
      <c r="J3287" s="55" t="s">
        <v>360</v>
      </c>
      <c r="K3287" s="55" t="s">
        <v>360</v>
      </c>
      <c r="L3287" s="55" t="s">
        <v>360</v>
      </c>
      <c r="M3287" s="55" t="s">
        <v>138</v>
      </c>
      <c r="N3287" s="55" t="s">
        <v>138</v>
      </c>
      <c r="O3287" s="55" t="s">
        <v>238</v>
      </c>
      <c r="P3287" s="55" t="s">
        <v>1080</v>
      </c>
      <c r="Q3287" s="55" t="s">
        <v>350</v>
      </c>
      <c r="R3287" s="55">
        <v>4</v>
      </c>
      <c r="S3287" s="55"/>
      <c r="T3287" s="55" t="s">
        <v>1899</v>
      </c>
      <c r="U3287" s="73" t="s">
        <v>351</v>
      </c>
      <c r="V3287" s="74">
        <v>44349</v>
      </c>
      <c r="W3287" s="74">
        <v>44375</v>
      </c>
      <c r="X3287" s="55">
        <v>10187276</v>
      </c>
      <c r="Y3287" s="55" t="s">
        <v>132</v>
      </c>
      <c r="AB3287" s="55" t="s">
        <v>132</v>
      </c>
      <c r="AC3287" s="55" t="s">
        <v>130</v>
      </c>
    </row>
    <row r="3288" spans="1:29" ht="13" x14ac:dyDescent="0.15">
      <c r="A3288" s="72" t="str">
        <f t="shared" si="51"/>
        <v>Ofsted Social Care Provider Webpage</v>
      </c>
      <c r="B3288" s="55" t="s">
        <v>6162</v>
      </c>
      <c r="D3288" s="55" t="s">
        <v>389</v>
      </c>
      <c r="E3288" s="74">
        <v>41529</v>
      </c>
      <c r="F3288" s="55" t="s">
        <v>344</v>
      </c>
      <c r="G3288" s="55" t="s">
        <v>6163</v>
      </c>
      <c r="H3288" s="55" t="s">
        <v>6164</v>
      </c>
      <c r="I3288" s="55" t="s">
        <v>6165</v>
      </c>
      <c r="J3288" s="55" t="s">
        <v>1641</v>
      </c>
      <c r="K3288" s="55" t="s">
        <v>293</v>
      </c>
      <c r="L3288" s="55" t="s">
        <v>6166</v>
      </c>
      <c r="M3288" s="55" t="s">
        <v>142</v>
      </c>
      <c r="N3288" s="55" t="s">
        <v>142</v>
      </c>
      <c r="O3288" s="55" t="s">
        <v>293</v>
      </c>
      <c r="P3288" s="55" t="s">
        <v>1641</v>
      </c>
      <c r="Q3288" s="55" t="s">
        <v>350</v>
      </c>
      <c r="R3288" s="55"/>
      <c r="S3288" s="55"/>
      <c r="T3288" s="55" t="s">
        <v>6163</v>
      </c>
      <c r="U3288" s="73" t="s">
        <v>351</v>
      </c>
      <c r="V3288" s="74">
        <v>44529</v>
      </c>
      <c r="W3288" s="74">
        <v>44596</v>
      </c>
      <c r="X3288" s="55">
        <v>10183440</v>
      </c>
      <c r="Y3288" s="55" t="s">
        <v>132</v>
      </c>
      <c r="AB3288" s="55" t="s">
        <v>132</v>
      </c>
      <c r="AC3288" s="55" t="s">
        <v>130</v>
      </c>
    </row>
    <row r="3289" spans="1:29" ht="13" x14ac:dyDescent="0.15">
      <c r="A3289" s="72" t="str">
        <f t="shared" si="51"/>
        <v>Ofsted Social Care Provider Webpage</v>
      </c>
      <c r="B3289" s="55" t="s">
        <v>6167</v>
      </c>
      <c r="D3289" s="55" t="s">
        <v>373</v>
      </c>
      <c r="E3289" s="74">
        <v>41513</v>
      </c>
      <c r="F3289" s="55" t="s">
        <v>344</v>
      </c>
      <c r="G3289" s="55" t="s">
        <v>360</v>
      </c>
      <c r="H3289" s="55" t="s">
        <v>360</v>
      </c>
      <c r="I3289" s="55" t="s">
        <v>360</v>
      </c>
      <c r="J3289" s="55" t="s">
        <v>360</v>
      </c>
      <c r="K3289" s="55" t="s">
        <v>360</v>
      </c>
      <c r="L3289" s="55" t="s">
        <v>360</v>
      </c>
      <c r="M3289" s="55" t="s">
        <v>136</v>
      </c>
      <c r="N3289" s="55" t="s">
        <v>136</v>
      </c>
      <c r="O3289" s="55" t="s">
        <v>255</v>
      </c>
      <c r="P3289" s="55" t="s">
        <v>583</v>
      </c>
      <c r="Q3289" s="55" t="s">
        <v>350</v>
      </c>
      <c r="R3289" s="55">
        <v>2</v>
      </c>
      <c r="S3289" s="55"/>
      <c r="T3289" s="55" t="s">
        <v>5169</v>
      </c>
      <c r="U3289" s="73" t="s">
        <v>351</v>
      </c>
      <c r="V3289" s="74">
        <v>44321</v>
      </c>
      <c r="W3289" s="74">
        <v>44356</v>
      </c>
      <c r="X3289" s="55">
        <v>10187065</v>
      </c>
      <c r="Y3289" s="55" t="s">
        <v>130</v>
      </c>
      <c r="AB3289" s="55" t="s">
        <v>130</v>
      </c>
      <c r="AC3289" s="55" t="s">
        <v>130</v>
      </c>
    </row>
    <row r="3290" spans="1:29" ht="13" x14ac:dyDescent="0.15">
      <c r="A3290" s="72" t="str">
        <f t="shared" si="51"/>
        <v>Ofsted Social Care Provider Webpage</v>
      </c>
      <c r="B3290" s="55" t="s">
        <v>6168</v>
      </c>
      <c r="D3290" s="55" t="s">
        <v>373</v>
      </c>
      <c r="E3290" s="74">
        <v>41646</v>
      </c>
      <c r="F3290" s="55" t="s">
        <v>344</v>
      </c>
      <c r="G3290" s="55" t="s">
        <v>360</v>
      </c>
      <c r="H3290" s="55" t="s">
        <v>360</v>
      </c>
      <c r="I3290" s="55" t="s">
        <v>360</v>
      </c>
      <c r="J3290" s="55" t="s">
        <v>360</v>
      </c>
      <c r="K3290" s="55" t="s">
        <v>360</v>
      </c>
      <c r="L3290" s="55" t="s">
        <v>360</v>
      </c>
      <c r="M3290" s="55" t="s">
        <v>150</v>
      </c>
      <c r="N3290" s="55" t="s">
        <v>150</v>
      </c>
      <c r="O3290" s="55" t="s">
        <v>190</v>
      </c>
      <c r="P3290" s="55" t="s">
        <v>830</v>
      </c>
      <c r="Q3290" s="55" t="s">
        <v>350</v>
      </c>
      <c r="R3290" s="55">
        <v>4</v>
      </c>
      <c r="S3290" s="55"/>
      <c r="T3290" s="55" t="s">
        <v>450</v>
      </c>
      <c r="U3290" s="73" t="s">
        <v>351</v>
      </c>
      <c r="V3290" s="74">
        <v>44376</v>
      </c>
      <c r="W3290" s="74">
        <v>44428</v>
      </c>
      <c r="X3290" s="55">
        <v>10187212</v>
      </c>
      <c r="Y3290" s="55" t="s">
        <v>132</v>
      </c>
      <c r="AB3290" s="55" t="s">
        <v>132</v>
      </c>
      <c r="AC3290" s="55" t="s">
        <v>130</v>
      </c>
    </row>
    <row r="3291" spans="1:29" ht="13" x14ac:dyDescent="0.15">
      <c r="A3291" s="72" t="str">
        <f t="shared" si="51"/>
        <v>Ofsted Social Care Provider Webpage</v>
      </c>
      <c r="B3291" s="55" t="s">
        <v>6169</v>
      </c>
      <c r="D3291" s="55" t="s">
        <v>373</v>
      </c>
      <c r="E3291" s="74">
        <v>41514</v>
      </c>
      <c r="F3291" s="55" t="s">
        <v>344</v>
      </c>
      <c r="G3291" s="55" t="s">
        <v>360</v>
      </c>
      <c r="H3291" s="55" t="s">
        <v>360</v>
      </c>
      <c r="I3291" s="55" t="s">
        <v>360</v>
      </c>
      <c r="J3291" s="55" t="s">
        <v>360</v>
      </c>
      <c r="K3291" s="55" t="s">
        <v>360</v>
      </c>
      <c r="L3291" s="55" t="s">
        <v>360</v>
      </c>
      <c r="M3291" s="55" t="s">
        <v>142</v>
      </c>
      <c r="N3291" s="55" t="s">
        <v>142</v>
      </c>
      <c r="O3291" s="55" t="s">
        <v>141</v>
      </c>
      <c r="P3291" s="55" t="s">
        <v>641</v>
      </c>
      <c r="Q3291" s="55" t="s">
        <v>350</v>
      </c>
      <c r="R3291" s="55">
        <v>4</v>
      </c>
      <c r="S3291" s="55"/>
      <c r="T3291" s="55" t="s">
        <v>1261</v>
      </c>
      <c r="U3291" s="73" t="s">
        <v>351</v>
      </c>
      <c r="V3291" s="74">
        <v>44384</v>
      </c>
      <c r="W3291" s="74">
        <v>44454</v>
      </c>
      <c r="X3291" s="55">
        <v>10185949</v>
      </c>
      <c r="Y3291" s="55" t="s">
        <v>146</v>
      </c>
      <c r="AB3291" s="55" t="s">
        <v>146</v>
      </c>
      <c r="AC3291" s="55" t="s">
        <v>146</v>
      </c>
    </row>
    <row r="3292" spans="1:29" ht="13" x14ac:dyDescent="0.15">
      <c r="A3292" s="72" t="str">
        <f t="shared" si="51"/>
        <v>Ofsted Social Care Provider Webpage</v>
      </c>
      <c r="B3292" s="55" t="s">
        <v>6170</v>
      </c>
      <c r="D3292" s="55" t="s">
        <v>373</v>
      </c>
      <c r="E3292" s="74">
        <v>41546</v>
      </c>
      <c r="F3292" s="55" t="s">
        <v>344</v>
      </c>
      <c r="G3292" s="55" t="s">
        <v>360</v>
      </c>
      <c r="H3292" s="55" t="s">
        <v>360</v>
      </c>
      <c r="I3292" s="55" t="s">
        <v>360</v>
      </c>
      <c r="J3292" s="55" t="s">
        <v>360</v>
      </c>
      <c r="K3292" s="55" t="s">
        <v>360</v>
      </c>
      <c r="L3292" s="55" t="s">
        <v>360</v>
      </c>
      <c r="M3292" s="55" t="s">
        <v>144</v>
      </c>
      <c r="N3292" s="55" t="s">
        <v>144</v>
      </c>
      <c r="O3292" s="55" t="s">
        <v>143</v>
      </c>
      <c r="P3292" s="55" t="s">
        <v>650</v>
      </c>
      <c r="Q3292" s="55" t="s">
        <v>350</v>
      </c>
      <c r="R3292" s="55">
        <v>5</v>
      </c>
      <c r="S3292" s="55"/>
      <c r="T3292" s="55" t="s">
        <v>1505</v>
      </c>
      <c r="U3292" s="73" t="s">
        <v>351</v>
      </c>
      <c r="V3292" s="74">
        <v>44586</v>
      </c>
      <c r="W3292" s="74">
        <v>44629</v>
      </c>
      <c r="X3292" s="55">
        <v>10186289</v>
      </c>
      <c r="Y3292" s="55" t="s">
        <v>132</v>
      </c>
      <c r="AB3292" s="55" t="s">
        <v>132</v>
      </c>
      <c r="AC3292" s="55" t="s">
        <v>132</v>
      </c>
    </row>
    <row r="3293" spans="1:29" ht="13" x14ac:dyDescent="0.15">
      <c r="A3293" s="72" t="str">
        <f t="shared" si="51"/>
        <v>Ofsted Social Care Provider Webpage</v>
      </c>
      <c r="B3293" s="55" t="s">
        <v>6171</v>
      </c>
      <c r="D3293" s="55" t="s">
        <v>373</v>
      </c>
      <c r="E3293" s="74">
        <v>41495</v>
      </c>
      <c r="F3293" s="55" t="s">
        <v>344</v>
      </c>
      <c r="G3293" s="55" t="s">
        <v>360</v>
      </c>
      <c r="H3293" s="55" t="s">
        <v>360</v>
      </c>
      <c r="I3293" s="55" t="s">
        <v>360</v>
      </c>
      <c r="J3293" s="55" t="s">
        <v>360</v>
      </c>
      <c r="K3293" s="55" t="s">
        <v>360</v>
      </c>
      <c r="L3293" s="55" t="s">
        <v>360</v>
      </c>
      <c r="M3293" s="55" t="s">
        <v>136</v>
      </c>
      <c r="N3293" s="55" t="s">
        <v>136</v>
      </c>
      <c r="O3293" s="55" t="s">
        <v>174</v>
      </c>
      <c r="P3293" s="55" t="s">
        <v>572</v>
      </c>
      <c r="Q3293" s="55" t="s">
        <v>350</v>
      </c>
      <c r="R3293" s="55">
        <v>2</v>
      </c>
      <c r="S3293" s="55"/>
      <c r="T3293" s="55" t="s">
        <v>385</v>
      </c>
      <c r="U3293" s="73" t="s">
        <v>351</v>
      </c>
      <c r="V3293" s="74">
        <v>44530</v>
      </c>
      <c r="W3293" s="74">
        <v>44571</v>
      </c>
      <c r="X3293" s="55">
        <v>10186886</v>
      </c>
      <c r="Y3293" s="55" t="s">
        <v>140</v>
      </c>
      <c r="AB3293" s="55" t="s">
        <v>140</v>
      </c>
      <c r="AC3293" s="55" t="s">
        <v>140</v>
      </c>
    </row>
    <row r="3294" spans="1:29" ht="13" x14ac:dyDescent="0.15">
      <c r="A3294" s="72" t="str">
        <f t="shared" si="51"/>
        <v>Ofsted Social Care Provider Webpage</v>
      </c>
      <c r="B3294" s="55" t="s">
        <v>6172</v>
      </c>
      <c r="D3294" s="55" t="s">
        <v>373</v>
      </c>
      <c r="E3294" s="74">
        <v>41565</v>
      </c>
      <c r="F3294" s="55" t="s">
        <v>344</v>
      </c>
      <c r="G3294" s="55" t="s">
        <v>360</v>
      </c>
      <c r="H3294" s="55" t="s">
        <v>360</v>
      </c>
      <c r="I3294" s="55" t="s">
        <v>360</v>
      </c>
      <c r="J3294" s="55" t="s">
        <v>360</v>
      </c>
      <c r="K3294" s="55" t="s">
        <v>360</v>
      </c>
      <c r="L3294" s="55" t="s">
        <v>360</v>
      </c>
      <c r="M3294" s="55" t="s">
        <v>144</v>
      </c>
      <c r="N3294" s="55" t="s">
        <v>144</v>
      </c>
      <c r="O3294" s="55" t="s">
        <v>147</v>
      </c>
      <c r="P3294" s="55" t="s">
        <v>674</v>
      </c>
      <c r="Q3294" s="55" t="s">
        <v>362</v>
      </c>
      <c r="R3294" s="55">
        <v>3</v>
      </c>
      <c r="S3294" s="55"/>
      <c r="T3294" s="55" t="s">
        <v>675</v>
      </c>
      <c r="U3294" s="73" t="s">
        <v>351</v>
      </c>
      <c r="V3294" s="74">
        <v>44516</v>
      </c>
      <c r="W3294" s="74">
        <v>44565</v>
      </c>
      <c r="X3294" s="55">
        <v>10186186</v>
      </c>
      <c r="Y3294" s="55" t="s">
        <v>132</v>
      </c>
      <c r="AB3294" s="55" t="s">
        <v>132</v>
      </c>
      <c r="AC3294" s="55" t="s">
        <v>132</v>
      </c>
    </row>
    <row r="3295" spans="1:29" ht="13" x14ac:dyDescent="0.15">
      <c r="A3295" s="72" t="str">
        <f t="shared" si="51"/>
        <v>Ofsted Social Care Provider Webpage</v>
      </c>
      <c r="B3295" s="55" t="s">
        <v>6173</v>
      </c>
      <c r="D3295" s="55" t="s">
        <v>373</v>
      </c>
      <c r="E3295" s="74">
        <v>41488</v>
      </c>
      <c r="F3295" s="55" t="s">
        <v>344</v>
      </c>
      <c r="G3295" s="55" t="s">
        <v>360</v>
      </c>
      <c r="H3295" s="55" t="s">
        <v>360</v>
      </c>
      <c r="I3295" s="55" t="s">
        <v>360</v>
      </c>
      <c r="J3295" s="55" t="s">
        <v>360</v>
      </c>
      <c r="K3295" s="55" t="s">
        <v>360</v>
      </c>
      <c r="L3295" s="55" t="s">
        <v>360</v>
      </c>
      <c r="M3295" s="55" t="s">
        <v>129</v>
      </c>
      <c r="N3295" s="55" t="s">
        <v>129</v>
      </c>
      <c r="O3295" s="55" t="s">
        <v>242</v>
      </c>
      <c r="P3295" s="55" t="s">
        <v>1519</v>
      </c>
      <c r="Q3295" s="55" t="s">
        <v>350</v>
      </c>
      <c r="R3295" s="55">
        <v>5</v>
      </c>
      <c r="S3295" s="55"/>
      <c r="T3295" s="55" t="s">
        <v>1603</v>
      </c>
      <c r="U3295" s="73" t="s">
        <v>351</v>
      </c>
      <c r="V3295" s="74">
        <v>44481</v>
      </c>
      <c r="W3295" s="74">
        <v>44518</v>
      </c>
      <c r="X3295" s="55">
        <v>10186551</v>
      </c>
      <c r="Y3295" s="55" t="s">
        <v>132</v>
      </c>
      <c r="AB3295" s="55" t="s">
        <v>132</v>
      </c>
      <c r="AC3295" s="55" t="s">
        <v>130</v>
      </c>
    </row>
    <row r="3296" spans="1:29" ht="13" x14ac:dyDescent="0.15">
      <c r="A3296" s="72" t="str">
        <f t="shared" si="51"/>
        <v>Ofsted Social Care Provider Webpage</v>
      </c>
      <c r="B3296" s="55" t="s">
        <v>6174</v>
      </c>
      <c r="D3296" s="55" t="s">
        <v>373</v>
      </c>
      <c r="E3296" s="74">
        <v>41498</v>
      </c>
      <c r="F3296" s="55" t="s">
        <v>344</v>
      </c>
      <c r="G3296" s="55" t="s">
        <v>360</v>
      </c>
      <c r="H3296" s="55" t="s">
        <v>360</v>
      </c>
      <c r="I3296" s="55" t="s">
        <v>360</v>
      </c>
      <c r="J3296" s="55" t="s">
        <v>360</v>
      </c>
      <c r="K3296" s="55" t="s">
        <v>360</v>
      </c>
      <c r="L3296" s="55" t="s">
        <v>360</v>
      </c>
      <c r="M3296" s="55" t="s">
        <v>136</v>
      </c>
      <c r="N3296" s="55" t="s">
        <v>136</v>
      </c>
      <c r="O3296" s="55" t="s">
        <v>174</v>
      </c>
      <c r="P3296" s="55" t="s">
        <v>982</v>
      </c>
      <c r="Q3296" s="55" t="s">
        <v>350</v>
      </c>
      <c r="R3296" s="55">
        <v>2</v>
      </c>
      <c r="S3296" s="55"/>
      <c r="T3296" s="55" t="s">
        <v>793</v>
      </c>
      <c r="U3296" s="73" t="s">
        <v>351</v>
      </c>
      <c r="V3296" s="74">
        <v>44313</v>
      </c>
      <c r="W3296" s="74">
        <v>44351</v>
      </c>
      <c r="X3296" s="55">
        <v>10185990</v>
      </c>
      <c r="Y3296" s="55" t="s">
        <v>130</v>
      </c>
      <c r="AB3296" s="55" t="s">
        <v>130</v>
      </c>
      <c r="AC3296" s="55" t="s">
        <v>130</v>
      </c>
    </row>
    <row r="3297" spans="1:29" ht="13" x14ac:dyDescent="0.15">
      <c r="A3297" s="72" t="str">
        <f t="shared" si="51"/>
        <v>Ofsted Social Care Provider Webpage</v>
      </c>
      <c r="B3297" s="55" t="s">
        <v>6175</v>
      </c>
      <c r="D3297" s="55" t="s">
        <v>373</v>
      </c>
      <c r="E3297" s="74">
        <v>41556</v>
      </c>
      <c r="F3297" s="55" t="s">
        <v>344</v>
      </c>
      <c r="G3297" s="55" t="s">
        <v>360</v>
      </c>
      <c r="H3297" s="55" t="s">
        <v>360</v>
      </c>
      <c r="I3297" s="55" t="s">
        <v>360</v>
      </c>
      <c r="J3297" s="55" t="s">
        <v>360</v>
      </c>
      <c r="K3297" s="55" t="s">
        <v>360</v>
      </c>
      <c r="L3297" s="55" t="s">
        <v>360</v>
      </c>
      <c r="M3297" s="55" t="s">
        <v>378</v>
      </c>
      <c r="N3297" s="55" t="s">
        <v>170</v>
      </c>
      <c r="O3297" s="55" t="s">
        <v>233</v>
      </c>
      <c r="P3297" s="55" t="s">
        <v>1376</v>
      </c>
      <c r="Q3297" s="55" t="s">
        <v>380</v>
      </c>
      <c r="R3297" s="55">
        <v>4</v>
      </c>
      <c r="S3297" s="55"/>
      <c r="T3297" s="55" t="s">
        <v>381</v>
      </c>
      <c r="U3297" s="73" t="s">
        <v>351</v>
      </c>
      <c r="V3297" s="74">
        <v>44327</v>
      </c>
      <c r="W3297" s="74">
        <v>44350</v>
      </c>
      <c r="X3297" s="55">
        <v>10185505</v>
      </c>
      <c r="Y3297" s="55" t="s">
        <v>132</v>
      </c>
      <c r="AB3297" s="55" t="s">
        <v>132</v>
      </c>
      <c r="AC3297" s="55" t="s">
        <v>132</v>
      </c>
    </row>
    <row r="3298" spans="1:29" ht="13" x14ac:dyDescent="0.15">
      <c r="A3298" s="72" t="str">
        <f t="shared" si="51"/>
        <v>Ofsted Social Care Provider Webpage</v>
      </c>
      <c r="B3298" s="55" t="s">
        <v>6176</v>
      </c>
      <c r="C3298" s="55">
        <v>138405</v>
      </c>
      <c r="D3298" s="55" t="s">
        <v>398</v>
      </c>
      <c r="E3298" s="74">
        <v>41474</v>
      </c>
      <c r="F3298" s="55" t="s">
        <v>344</v>
      </c>
      <c r="G3298" s="55" t="s">
        <v>6177</v>
      </c>
      <c r="H3298" s="55" t="s">
        <v>6178</v>
      </c>
      <c r="I3298" s="55" t="s">
        <v>354</v>
      </c>
      <c r="J3298" s="55" t="s">
        <v>6179</v>
      </c>
      <c r="K3298" s="55" t="s">
        <v>203</v>
      </c>
      <c r="L3298" s="55" t="s">
        <v>6180</v>
      </c>
      <c r="M3298" s="55" t="s">
        <v>150</v>
      </c>
      <c r="N3298" s="55" t="s">
        <v>150</v>
      </c>
      <c r="O3298" s="55" t="s">
        <v>203</v>
      </c>
      <c r="P3298" s="55" t="s">
        <v>1268</v>
      </c>
      <c r="Q3298" s="55" t="s">
        <v>350</v>
      </c>
      <c r="R3298" s="55">
        <v>117</v>
      </c>
      <c r="S3298" s="55"/>
      <c r="T3298" s="55" t="s">
        <v>6181</v>
      </c>
      <c r="U3298" s="73" t="s">
        <v>351</v>
      </c>
      <c r="V3298" s="74">
        <v>44474</v>
      </c>
      <c r="W3298" s="74">
        <v>44529</v>
      </c>
      <c r="X3298" s="55">
        <v>10183308</v>
      </c>
      <c r="Y3298" s="55" t="s">
        <v>132</v>
      </c>
      <c r="AB3298" s="55" t="s">
        <v>132</v>
      </c>
      <c r="AC3298" s="55" t="s">
        <v>132</v>
      </c>
    </row>
    <row r="3299" spans="1:29" ht="13" x14ac:dyDescent="0.15">
      <c r="A3299" s="72" t="str">
        <f t="shared" si="51"/>
        <v>Ofsted Social Care Provider Webpage</v>
      </c>
      <c r="B3299" s="55" t="s">
        <v>6182</v>
      </c>
      <c r="D3299" s="55" t="s">
        <v>373</v>
      </c>
      <c r="E3299" s="74">
        <v>41631</v>
      </c>
      <c r="F3299" s="55" t="s">
        <v>344</v>
      </c>
      <c r="G3299" s="55" t="s">
        <v>360</v>
      </c>
      <c r="H3299" s="55" t="s">
        <v>360</v>
      </c>
      <c r="I3299" s="55" t="s">
        <v>360</v>
      </c>
      <c r="J3299" s="55" t="s">
        <v>360</v>
      </c>
      <c r="K3299" s="55" t="s">
        <v>360</v>
      </c>
      <c r="L3299" s="55" t="s">
        <v>360</v>
      </c>
      <c r="M3299" s="55" t="s">
        <v>150</v>
      </c>
      <c r="N3299" s="55" t="s">
        <v>150</v>
      </c>
      <c r="O3299" s="55" t="s">
        <v>203</v>
      </c>
      <c r="P3299" s="55" t="s">
        <v>1263</v>
      </c>
      <c r="Q3299" s="55" t="s">
        <v>350</v>
      </c>
      <c r="R3299" s="55">
        <v>4</v>
      </c>
      <c r="S3299" s="55"/>
      <c r="T3299" s="55" t="s">
        <v>483</v>
      </c>
      <c r="U3299" s="73" t="s">
        <v>351</v>
      </c>
      <c r="V3299" s="74">
        <v>44593</v>
      </c>
      <c r="W3299" s="74">
        <v>44645</v>
      </c>
      <c r="X3299" s="55">
        <v>10187364</v>
      </c>
      <c r="Y3299" s="55" t="s">
        <v>132</v>
      </c>
      <c r="AB3299" s="55" t="s">
        <v>132</v>
      </c>
      <c r="AC3299" s="55" t="s">
        <v>132</v>
      </c>
    </row>
    <row r="3300" spans="1:29" ht="13" x14ac:dyDescent="0.15">
      <c r="A3300" s="72" t="str">
        <f t="shared" si="51"/>
        <v>Ofsted Social Care Provider Webpage</v>
      </c>
      <c r="B3300" s="55" t="s">
        <v>6183</v>
      </c>
      <c r="D3300" s="55" t="s">
        <v>373</v>
      </c>
      <c r="E3300" s="74">
        <v>41605</v>
      </c>
      <c r="F3300" s="55" t="s">
        <v>344</v>
      </c>
      <c r="G3300" s="55" t="s">
        <v>360</v>
      </c>
      <c r="H3300" s="55" t="s">
        <v>360</v>
      </c>
      <c r="I3300" s="55" t="s">
        <v>360</v>
      </c>
      <c r="J3300" s="55" t="s">
        <v>360</v>
      </c>
      <c r="K3300" s="55" t="s">
        <v>360</v>
      </c>
      <c r="L3300" s="55" t="s">
        <v>360</v>
      </c>
      <c r="M3300" s="55" t="s">
        <v>142</v>
      </c>
      <c r="N3300" s="55" t="s">
        <v>142</v>
      </c>
      <c r="O3300" s="55" t="s">
        <v>262</v>
      </c>
      <c r="P3300" s="55" t="s">
        <v>618</v>
      </c>
      <c r="Q3300" s="55" t="s">
        <v>350</v>
      </c>
      <c r="R3300" s="55">
        <v>3</v>
      </c>
      <c r="S3300" s="55"/>
      <c r="T3300" s="55" t="s">
        <v>4819</v>
      </c>
      <c r="U3300" s="73" t="s">
        <v>351</v>
      </c>
      <c r="V3300" s="74">
        <v>44629</v>
      </c>
      <c r="W3300" s="74">
        <v>44672</v>
      </c>
      <c r="X3300" s="55">
        <v>10187046</v>
      </c>
      <c r="Y3300" s="55" t="s">
        <v>132</v>
      </c>
      <c r="AB3300" s="55" t="s">
        <v>132</v>
      </c>
      <c r="AC3300" s="55" t="s">
        <v>132</v>
      </c>
    </row>
    <row r="3301" spans="1:29" ht="13" x14ac:dyDescent="0.15">
      <c r="A3301" s="72" t="str">
        <f t="shared" si="51"/>
        <v>Ofsted Social Care Provider Webpage</v>
      </c>
      <c r="B3301" s="55" t="s">
        <v>6184</v>
      </c>
      <c r="D3301" s="55" t="s">
        <v>389</v>
      </c>
      <c r="E3301" s="74">
        <v>41534</v>
      </c>
      <c r="F3301" s="55" t="s">
        <v>344</v>
      </c>
      <c r="G3301" s="55" t="s">
        <v>6185</v>
      </c>
      <c r="H3301" s="55" t="s">
        <v>6186</v>
      </c>
      <c r="I3301" s="55" t="s">
        <v>6187</v>
      </c>
      <c r="J3301" s="55" t="s">
        <v>183</v>
      </c>
      <c r="L3301" s="55" t="s">
        <v>6188</v>
      </c>
      <c r="M3301" s="55" t="s">
        <v>138</v>
      </c>
      <c r="N3301" s="55" t="s">
        <v>138</v>
      </c>
      <c r="O3301" s="55" t="s">
        <v>183</v>
      </c>
      <c r="P3301" s="55" t="s">
        <v>664</v>
      </c>
      <c r="Q3301" s="55" t="s">
        <v>350</v>
      </c>
      <c r="R3301" s="55"/>
      <c r="S3301" s="55"/>
      <c r="T3301" s="55" t="s">
        <v>6189</v>
      </c>
      <c r="U3301" s="73" t="s">
        <v>351</v>
      </c>
      <c r="V3301" s="74">
        <v>42926</v>
      </c>
      <c r="W3301" s="74">
        <v>42958</v>
      </c>
      <c r="X3301" s="55">
        <v>10038111</v>
      </c>
      <c r="Y3301" s="55" t="s">
        <v>140</v>
      </c>
      <c r="AB3301" s="55" t="s">
        <v>140</v>
      </c>
      <c r="AC3301" s="55" t="s">
        <v>132</v>
      </c>
    </row>
    <row r="3302" spans="1:29" ht="13" x14ac:dyDescent="0.15">
      <c r="A3302" s="72" t="str">
        <f t="shared" si="51"/>
        <v>Ofsted Social Care Provider Webpage</v>
      </c>
      <c r="B3302" s="55" t="s">
        <v>6190</v>
      </c>
      <c r="D3302" s="55" t="s">
        <v>373</v>
      </c>
      <c r="E3302" s="74">
        <v>41567</v>
      </c>
      <c r="F3302" s="55" t="s">
        <v>344</v>
      </c>
      <c r="G3302" s="55" t="s">
        <v>360</v>
      </c>
      <c r="H3302" s="55" t="s">
        <v>360</v>
      </c>
      <c r="I3302" s="55" t="s">
        <v>360</v>
      </c>
      <c r="J3302" s="55" t="s">
        <v>360</v>
      </c>
      <c r="K3302" s="55" t="s">
        <v>360</v>
      </c>
      <c r="L3302" s="55" t="s">
        <v>360</v>
      </c>
      <c r="M3302" s="55" t="s">
        <v>142</v>
      </c>
      <c r="N3302" s="55" t="s">
        <v>142</v>
      </c>
      <c r="O3302" s="55" t="s">
        <v>272</v>
      </c>
      <c r="P3302" s="55" t="s">
        <v>1291</v>
      </c>
      <c r="Q3302" s="55" t="s">
        <v>350</v>
      </c>
      <c r="R3302" s="55">
        <v>3</v>
      </c>
      <c r="S3302" s="55"/>
      <c r="T3302" s="55" t="s">
        <v>917</v>
      </c>
      <c r="U3302" s="73" t="s">
        <v>351</v>
      </c>
      <c r="V3302" s="74">
        <v>44390</v>
      </c>
      <c r="W3302" s="74">
        <v>44440</v>
      </c>
      <c r="X3302" s="55">
        <v>10187481</v>
      </c>
      <c r="Y3302" s="55" t="s">
        <v>132</v>
      </c>
      <c r="AB3302" s="55" t="s">
        <v>132</v>
      </c>
      <c r="AC3302" s="55" t="s">
        <v>132</v>
      </c>
    </row>
    <row r="3303" spans="1:29" ht="13" x14ac:dyDescent="0.15">
      <c r="A3303" s="72" t="str">
        <f t="shared" si="51"/>
        <v>Ofsted Social Care Provider Webpage</v>
      </c>
      <c r="B3303" s="55" t="s">
        <v>6191</v>
      </c>
      <c r="C3303" s="55">
        <v>139997</v>
      </c>
      <c r="D3303" s="55" t="s">
        <v>398</v>
      </c>
      <c r="E3303" s="74">
        <v>41488</v>
      </c>
      <c r="F3303" s="55" t="s">
        <v>344</v>
      </c>
      <c r="G3303" s="55" t="s">
        <v>6192</v>
      </c>
      <c r="H3303" s="55" t="s">
        <v>6193</v>
      </c>
      <c r="I3303" s="55" t="s">
        <v>354</v>
      </c>
      <c r="J3303" s="55" t="s">
        <v>402</v>
      </c>
      <c r="K3303" s="55" t="s">
        <v>237</v>
      </c>
      <c r="L3303" s="55" t="s">
        <v>6194</v>
      </c>
      <c r="M3303" s="55" t="s">
        <v>150</v>
      </c>
      <c r="N3303" s="55" t="s">
        <v>150</v>
      </c>
      <c r="O3303" s="55" t="s">
        <v>237</v>
      </c>
      <c r="P3303" s="55" t="s">
        <v>859</v>
      </c>
      <c r="Q3303" s="55" t="s">
        <v>350</v>
      </c>
      <c r="R3303" s="55">
        <v>3</v>
      </c>
      <c r="S3303" s="55"/>
      <c r="T3303" s="55" t="s">
        <v>6195</v>
      </c>
      <c r="U3303" s="73" t="s">
        <v>351</v>
      </c>
      <c r="V3303" s="74">
        <v>43788</v>
      </c>
      <c r="W3303" s="74">
        <v>43809</v>
      </c>
      <c r="X3303" s="55">
        <v>10092970</v>
      </c>
      <c r="Y3303" s="55" t="s">
        <v>132</v>
      </c>
      <c r="AB3303" s="55" t="s">
        <v>132</v>
      </c>
      <c r="AC3303" s="55" t="s">
        <v>132</v>
      </c>
    </row>
    <row r="3304" spans="1:29" ht="13" x14ac:dyDescent="0.15">
      <c r="A3304" s="72" t="str">
        <f t="shared" si="51"/>
        <v>Ofsted Social Care Provider Webpage</v>
      </c>
      <c r="B3304" s="55" t="s">
        <v>6196</v>
      </c>
      <c r="D3304" s="55" t="s">
        <v>373</v>
      </c>
      <c r="E3304" s="74">
        <v>41589</v>
      </c>
      <c r="F3304" s="55" t="s">
        <v>344</v>
      </c>
      <c r="G3304" s="55" t="s">
        <v>360</v>
      </c>
      <c r="H3304" s="55" t="s">
        <v>360</v>
      </c>
      <c r="I3304" s="55" t="s">
        <v>360</v>
      </c>
      <c r="J3304" s="55" t="s">
        <v>360</v>
      </c>
      <c r="K3304" s="55" t="s">
        <v>360</v>
      </c>
      <c r="L3304" s="55" t="s">
        <v>360</v>
      </c>
      <c r="M3304" s="55" t="s">
        <v>144</v>
      </c>
      <c r="N3304" s="55" t="s">
        <v>144</v>
      </c>
      <c r="O3304" s="55" t="s">
        <v>209</v>
      </c>
      <c r="P3304" s="55" t="s">
        <v>650</v>
      </c>
      <c r="Q3304" s="55" t="s">
        <v>350</v>
      </c>
      <c r="R3304" s="55">
        <v>10</v>
      </c>
      <c r="S3304" s="55"/>
      <c r="T3304" s="55" t="s">
        <v>630</v>
      </c>
      <c r="U3304" s="73" t="s">
        <v>351</v>
      </c>
      <c r="V3304" s="74">
        <v>44405</v>
      </c>
      <c r="W3304" s="74">
        <v>44445</v>
      </c>
      <c r="X3304" s="55">
        <v>10187375</v>
      </c>
      <c r="Y3304" s="55" t="s">
        <v>132</v>
      </c>
      <c r="AB3304" s="55" t="s">
        <v>132</v>
      </c>
      <c r="AC3304" s="55" t="s">
        <v>132</v>
      </c>
    </row>
    <row r="3305" spans="1:29" ht="13" x14ac:dyDescent="0.15">
      <c r="A3305" s="72" t="str">
        <f t="shared" si="51"/>
        <v>Ofsted Social Care Provider Webpage</v>
      </c>
      <c r="B3305" s="55" t="s">
        <v>6197</v>
      </c>
      <c r="D3305" s="55" t="s">
        <v>389</v>
      </c>
      <c r="E3305" s="74">
        <v>41570</v>
      </c>
      <c r="F3305" s="55" t="s">
        <v>344</v>
      </c>
      <c r="G3305" s="55" t="s">
        <v>722</v>
      </c>
      <c r="H3305" s="55" t="s">
        <v>6198</v>
      </c>
      <c r="I3305" s="55" t="s">
        <v>6199</v>
      </c>
      <c r="J3305" s="55" t="s">
        <v>141</v>
      </c>
      <c r="L3305" s="55" t="s">
        <v>6200</v>
      </c>
      <c r="M3305" s="55" t="s">
        <v>142</v>
      </c>
      <c r="N3305" s="55" t="s">
        <v>142</v>
      </c>
      <c r="O3305" s="55" t="s">
        <v>254</v>
      </c>
      <c r="P3305" s="55" t="s">
        <v>1048</v>
      </c>
      <c r="Q3305" s="55" t="s">
        <v>350</v>
      </c>
      <c r="R3305" s="55"/>
      <c r="S3305" s="55"/>
      <c r="T3305" s="55" t="s">
        <v>726</v>
      </c>
      <c r="U3305" s="73" t="s">
        <v>351</v>
      </c>
      <c r="V3305" s="74">
        <v>43388</v>
      </c>
      <c r="W3305" s="74">
        <v>43434</v>
      </c>
      <c r="X3305" s="55">
        <v>10046846</v>
      </c>
      <c r="Y3305" s="55" t="s">
        <v>132</v>
      </c>
      <c r="AB3305" s="55" t="s">
        <v>132</v>
      </c>
      <c r="AC3305" s="55" t="s">
        <v>132</v>
      </c>
    </row>
    <row r="3306" spans="1:29" ht="13" x14ac:dyDescent="0.15">
      <c r="A3306" s="72" t="str">
        <f t="shared" si="51"/>
        <v>Ofsted Social Care Provider Webpage</v>
      </c>
      <c r="B3306" s="55" t="s">
        <v>6201</v>
      </c>
      <c r="D3306" s="55" t="s">
        <v>373</v>
      </c>
      <c r="E3306" s="74">
        <v>41562</v>
      </c>
      <c r="F3306" s="55" t="s">
        <v>344</v>
      </c>
      <c r="G3306" s="55" t="s">
        <v>360</v>
      </c>
      <c r="H3306" s="55" t="s">
        <v>360</v>
      </c>
      <c r="I3306" s="55" t="s">
        <v>360</v>
      </c>
      <c r="J3306" s="55" t="s">
        <v>360</v>
      </c>
      <c r="K3306" s="55" t="s">
        <v>360</v>
      </c>
      <c r="L3306" s="55" t="s">
        <v>360</v>
      </c>
      <c r="M3306" s="55" t="s">
        <v>142</v>
      </c>
      <c r="N3306" s="55" t="s">
        <v>142</v>
      </c>
      <c r="O3306" s="55" t="s">
        <v>249</v>
      </c>
      <c r="P3306" s="55" t="s">
        <v>1318</v>
      </c>
      <c r="Q3306" s="55" t="s">
        <v>350</v>
      </c>
      <c r="R3306" s="55">
        <v>3</v>
      </c>
      <c r="S3306" s="55"/>
      <c r="T3306" s="55" t="s">
        <v>1019</v>
      </c>
      <c r="U3306" s="73" t="s">
        <v>351</v>
      </c>
      <c r="V3306" s="74">
        <v>44595</v>
      </c>
      <c r="W3306" s="74">
        <v>44638</v>
      </c>
      <c r="X3306" s="55">
        <v>10185038</v>
      </c>
      <c r="Y3306" s="55" t="s">
        <v>132</v>
      </c>
      <c r="AB3306" s="55" t="s">
        <v>132</v>
      </c>
      <c r="AC3306" s="55" t="s">
        <v>132</v>
      </c>
    </row>
    <row r="3307" spans="1:29" ht="13" x14ac:dyDescent="0.15">
      <c r="A3307" s="72" t="str">
        <f t="shared" si="51"/>
        <v>Ofsted Social Care Provider Webpage</v>
      </c>
      <c r="B3307" s="55" t="s">
        <v>6202</v>
      </c>
      <c r="D3307" s="55" t="s">
        <v>373</v>
      </c>
      <c r="E3307" s="74">
        <v>41662</v>
      </c>
      <c r="F3307" s="55" t="s">
        <v>344</v>
      </c>
      <c r="G3307" s="55" t="s">
        <v>360</v>
      </c>
      <c r="H3307" s="55" t="s">
        <v>360</v>
      </c>
      <c r="I3307" s="55" t="s">
        <v>360</v>
      </c>
      <c r="J3307" s="55" t="s">
        <v>360</v>
      </c>
      <c r="K3307" s="55" t="s">
        <v>360</v>
      </c>
      <c r="L3307" s="55" t="s">
        <v>360</v>
      </c>
      <c r="M3307" s="55" t="s">
        <v>136</v>
      </c>
      <c r="N3307" s="55" t="s">
        <v>136</v>
      </c>
      <c r="O3307" s="55" t="s">
        <v>255</v>
      </c>
      <c r="P3307" s="55" t="s">
        <v>757</v>
      </c>
      <c r="Q3307" s="55" t="s">
        <v>350</v>
      </c>
      <c r="R3307" s="55">
        <v>3</v>
      </c>
      <c r="S3307" s="55"/>
      <c r="T3307" s="55" t="s">
        <v>914</v>
      </c>
      <c r="U3307" s="73" t="s">
        <v>351</v>
      </c>
      <c r="V3307" s="74">
        <v>44426</v>
      </c>
      <c r="W3307" s="74">
        <v>44462</v>
      </c>
      <c r="X3307" s="55">
        <v>10186190</v>
      </c>
      <c r="Y3307" s="55" t="s">
        <v>130</v>
      </c>
      <c r="AB3307" s="55" t="s">
        <v>130</v>
      </c>
      <c r="AC3307" s="55" t="s">
        <v>130</v>
      </c>
    </row>
    <row r="3308" spans="1:29" ht="13" x14ac:dyDescent="0.15">
      <c r="A3308" s="72" t="str">
        <f t="shared" si="51"/>
        <v>Ofsted Social Care Provider Webpage</v>
      </c>
      <c r="B3308" s="55" t="s">
        <v>6203</v>
      </c>
      <c r="D3308" s="55" t="s">
        <v>373</v>
      </c>
      <c r="E3308" s="74">
        <v>41554</v>
      </c>
      <c r="F3308" s="55" t="s">
        <v>344</v>
      </c>
      <c r="G3308" s="55" t="s">
        <v>360</v>
      </c>
      <c r="H3308" s="55" t="s">
        <v>360</v>
      </c>
      <c r="I3308" s="55" t="s">
        <v>360</v>
      </c>
      <c r="J3308" s="55" t="s">
        <v>360</v>
      </c>
      <c r="K3308" s="55" t="s">
        <v>360</v>
      </c>
      <c r="L3308" s="55" t="s">
        <v>360</v>
      </c>
      <c r="M3308" s="55" t="s">
        <v>142</v>
      </c>
      <c r="N3308" s="55" t="s">
        <v>142</v>
      </c>
      <c r="O3308" s="55" t="s">
        <v>262</v>
      </c>
      <c r="P3308" s="55" t="s">
        <v>618</v>
      </c>
      <c r="Q3308" s="55" t="s">
        <v>350</v>
      </c>
      <c r="R3308" s="55">
        <v>2</v>
      </c>
      <c r="S3308" s="55"/>
      <c r="T3308" s="55" t="s">
        <v>917</v>
      </c>
      <c r="U3308" s="73" t="s">
        <v>351</v>
      </c>
      <c r="V3308" s="74">
        <v>44460</v>
      </c>
      <c r="W3308" s="74">
        <v>44503</v>
      </c>
      <c r="X3308" s="55">
        <v>10186291</v>
      </c>
      <c r="Y3308" s="55" t="s">
        <v>132</v>
      </c>
      <c r="AB3308" s="55" t="s">
        <v>132</v>
      </c>
      <c r="AC3308" s="55" t="s">
        <v>132</v>
      </c>
    </row>
    <row r="3309" spans="1:29" ht="13" x14ac:dyDescent="0.15">
      <c r="A3309" s="72" t="str">
        <f t="shared" si="51"/>
        <v>Ofsted Social Care Provider Webpage</v>
      </c>
      <c r="B3309" s="55" t="s">
        <v>6204</v>
      </c>
      <c r="D3309" s="55" t="s">
        <v>373</v>
      </c>
      <c r="E3309" s="74">
        <v>41614</v>
      </c>
      <c r="F3309" s="55" t="s">
        <v>344</v>
      </c>
      <c r="G3309" s="55" t="s">
        <v>360</v>
      </c>
      <c r="H3309" s="55" t="s">
        <v>360</v>
      </c>
      <c r="I3309" s="55" t="s">
        <v>360</v>
      </c>
      <c r="J3309" s="55" t="s">
        <v>360</v>
      </c>
      <c r="K3309" s="55" t="s">
        <v>360</v>
      </c>
      <c r="L3309" s="55" t="s">
        <v>360</v>
      </c>
      <c r="M3309" s="55" t="s">
        <v>142</v>
      </c>
      <c r="N3309" s="55" t="s">
        <v>142</v>
      </c>
      <c r="O3309" s="55" t="s">
        <v>141</v>
      </c>
      <c r="P3309" s="55" t="s">
        <v>573</v>
      </c>
      <c r="Q3309" s="55" t="s">
        <v>350</v>
      </c>
      <c r="R3309" s="55">
        <v>3</v>
      </c>
      <c r="S3309" s="55"/>
      <c r="T3309" s="55" t="s">
        <v>1913</v>
      </c>
      <c r="U3309" s="73" t="s">
        <v>351</v>
      </c>
      <c r="V3309" s="74">
        <v>44453</v>
      </c>
      <c r="W3309" s="74">
        <v>44484</v>
      </c>
      <c r="X3309" s="55">
        <v>10204752</v>
      </c>
      <c r="Y3309" s="55" t="s">
        <v>132</v>
      </c>
      <c r="AB3309" s="55" t="s">
        <v>132</v>
      </c>
      <c r="AC3309" s="55" t="s">
        <v>132</v>
      </c>
    </row>
    <row r="3310" spans="1:29" ht="13" x14ac:dyDescent="0.15">
      <c r="A3310" s="72" t="str">
        <f t="shared" si="51"/>
        <v>Ofsted Social Care Provider Webpage</v>
      </c>
      <c r="B3310" s="55" t="s">
        <v>6205</v>
      </c>
      <c r="D3310" s="55" t="s">
        <v>389</v>
      </c>
      <c r="E3310" s="74">
        <v>41647</v>
      </c>
      <c r="F3310" s="55" t="s">
        <v>344</v>
      </c>
      <c r="G3310" s="55" t="s">
        <v>3372</v>
      </c>
      <c r="H3310" s="55" t="s">
        <v>3503</v>
      </c>
      <c r="I3310" s="55" t="s">
        <v>6206</v>
      </c>
      <c r="J3310" s="55" t="s">
        <v>154</v>
      </c>
      <c r="L3310" s="55" t="s">
        <v>6207</v>
      </c>
      <c r="M3310" s="55" t="s">
        <v>136</v>
      </c>
      <c r="N3310" s="55" t="s">
        <v>136</v>
      </c>
      <c r="O3310" s="55" t="s">
        <v>154</v>
      </c>
      <c r="P3310" s="55" t="s">
        <v>4109</v>
      </c>
      <c r="Q3310" s="55" t="s">
        <v>350</v>
      </c>
      <c r="R3310" s="55"/>
      <c r="S3310" s="55"/>
      <c r="T3310" s="55" t="s">
        <v>3372</v>
      </c>
      <c r="U3310" s="73" t="s">
        <v>351</v>
      </c>
      <c r="V3310" s="74">
        <v>43297</v>
      </c>
      <c r="W3310" s="74">
        <v>43327</v>
      </c>
      <c r="X3310" s="55">
        <v>10045912</v>
      </c>
      <c r="Y3310" s="55" t="s">
        <v>132</v>
      </c>
      <c r="AB3310" s="55" t="s">
        <v>132</v>
      </c>
      <c r="AC3310" s="55" t="s">
        <v>132</v>
      </c>
    </row>
    <row r="3311" spans="1:29" ht="13" x14ac:dyDescent="0.15">
      <c r="A3311" s="72" t="str">
        <f t="shared" si="51"/>
        <v>Ofsted Social Care Provider Webpage</v>
      </c>
      <c r="B3311" s="55" t="s">
        <v>6208</v>
      </c>
      <c r="D3311" s="55" t="s">
        <v>373</v>
      </c>
      <c r="E3311" s="74">
        <v>41647</v>
      </c>
      <c r="F3311" s="55" t="s">
        <v>344</v>
      </c>
      <c r="G3311" s="55" t="s">
        <v>360</v>
      </c>
      <c r="H3311" s="55" t="s">
        <v>360</v>
      </c>
      <c r="I3311" s="55" t="s">
        <v>360</v>
      </c>
      <c r="J3311" s="55" t="s">
        <v>360</v>
      </c>
      <c r="K3311" s="55" t="s">
        <v>360</v>
      </c>
      <c r="L3311" s="55" t="s">
        <v>360</v>
      </c>
      <c r="M3311" s="55" t="s">
        <v>136</v>
      </c>
      <c r="N3311" s="55" t="s">
        <v>136</v>
      </c>
      <c r="O3311" s="55" t="s">
        <v>176</v>
      </c>
      <c r="P3311" s="55" t="s">
        <v>1832</v>
      </c>
      <c r="Q3311" s="55" t="s">
        <v>350</v>
      </c>
      <c r="R3311" s="55">
        <v>4</v>
      </c>
      <c r="S3311" s="55"/>
      <c r="T3311" s="55" t="s">
        <v>892</v>
      </c>
      <c r="U3311" s="73" t="s">
        <v>351</v>
      </c>
      <c r="V3311" s="74">
        <v>44342</v>
      </c>
      <c r="W3311" s="74">
        <v>44398</v>
      </c>
      <c r="X3311" s="55">
        <v>10186017</v>
      </c>
      <c r="Y3311" s="55" t="s">
        <v>132</v>
      </c>
      <c r="AB3311" s="55" t="s">
        <v>132</v>
      </c>
      <c r="AC3311" s="55" t="s">
        <v>132</v>
      </c>
    </row>
    <row r="3312" spans="1:29" ht="13" x14ac:dyDescent="0.15">
      <c r="A3312" s="72" t="str">
        <f t="shared" si="51"/>
        <v>Ofsted Social Care Provider Webpage</v>
      </c>
      <c r="B3312" s="55" t="s">
        <v>6209</v>
      </c>
      <c r="D3312" s="55" t="s">
        <v>479</v>
      </c>
      <c r="E3312" s="74">
        <v>41646</v>
      </c>
      <c r="F3312" s="55" t="s">
        <v>344</v>
      </c>
      <c r="G3312" s="55" t="s">
        <v>360</v>
      </c>
      <c r="H3312" s="55" t="s">
        <v>360</v>
      </c>
      <c r="I3312" s="55" t="s">
        <v>360</v>
      </c>
      <c r="J3312" s="55" t="s">
        <v>360</v>
      </c>
      <c r="K3312" s="55" t="s">
        <v>360</v>
      </c>
      <c r="L3312" s="55" t="s">
        <v>360</v>
      </c>
      <c r="M3312" s="55" t="s">
        <v>150</v>
      </c>
      <c r="N3312" s="55" t="s">
        <v>150</v>
      </c>
      <c r="O3312" s="55" t="s">
        <v>203</v>
      </c>
      <c r="P3312" s="55" t="s">
        <v>1263</v>
      </c>
      <c r="Q3312" s="55" t="s">
        <v>380</v>
      </c>
      <c r="R3312" s="55">
        <v>56</v>
      </c>
      <c r="S3312" s="55"/>
      <c r="T3312" s="55" t="s">
        <v>2581</v>
      </c>
      <c r="U3312" s="73" t="s">
        <v>351</v>
      </c>
      <c r="V3312" s="74">
        <v>44307</v>
      </c>
      <c r="W3312" s="74">
        <v>44355</v>
      </c>
      <c r="X3312" s="55">
        <v>10185306</v>
      </c>
      <c r="Y3312" s="55" t="s">
        <v>130</v>
      </c>
      <c r="AB3312" s="55" t="s">
        <v>130</v>
      </c>
      <c r="AC3312" s="55" t="s">
        <v>146</v>
      </c>
    </row>
    <row r="3313" spans="1:29" ht="13" x14ac:dyDescent="0.15">
      <c r="A3313" s="72" t="str">
        <f t="shared" si="51"/>
        <v>Ofsted Social Care Provider Webpage</v>
      </c>
      <c r="B3313" s="55" t="s">
        <v>6210</v>
      </c>
      <c r="D3313" s="55" t="s">
        <v>373</v>
      </c>
      <c r="E3313" s="74">
        <v>41544</v>
      </c>
      <c r="F3313" s="55" t="s">
        <v>344</v>
      </c>
      <c r="G3313" s="55" t="s">
        <v>360</v>
      </c>
      <c r="H3313" s="55" t="s">
        <v>360</v>
      </c>
      <c r="I3313" s="55" t="s">
        <v>360</v>
      </c>
      <c r="J3313" s="55" t="s">
        <v>360</v>
      </c>
      <c r="K3313" s="55" t="s">
        <v>360</v>
      </c>
      <c r="L3313" s="55" t="s">
        <v>360</v>
      </c>
      <c r="M3313" s="55" t="s">
        <v>138</v>
      </c>
      <c r="N3313" s="55" t="s">
        <v>138</v>
      </c>
      <c r="O3313" s="55" t="s">
        <v>224</v>
      </c>
      <c r="P3313" s="55" t="s">
        <v>2176</v>
      </c>
      <c r="Q3313" s="55" t="s">
        <v>350</v>
      </c>
      <c r="R3313" s="55">
        <v>6</v>
      </c>
      <c r="S3313" s="55"/>
      <c r="T3313" s="55" t="s">
        <v>2177</v>
      </c>
      <c r="U3313" s="73" t="s">
        <v>351</v>
      </c>
      <c r="V3313" s="74">
        <v>44508</v>
      </c>
      <c r="W3313" s="74">
        <v>44550</v>
      </c>
      <c r="X3313" s="55">
        <v>10185756</v>
      </c>
      <c r="Y3313" s="55" t="s">
        <v>130</v>
      </c>
      <c r="AB3313" s="55" t="s">
        <v>130</v>
      </c>
      <c r="AC3313" s="55" t="s">
        <v>130</v>
      </c>
    </row>
    <row r="3314" spans="1:29" ht="13" x14ac:dyDescent="0.15">
      <c r="A3314" s="72" t="str">
        <f t="shared" si="51"/>
        <v>Ofsted Social Care Provider Webpage</v>
      </c>
      <c r="B3314" s="55" t="s">
        <v>6211</v>
      </c>
      <c r="D3314" s="55" t="s">
        <v>373</v>
      </c>
      <c r="E3314" s="74">
        <v>41568</v>
      </c>
      <c r="F3314" s="55" t="s">
        <v>344</v>
      </c>
      <c r="G3314" s="55" t="s">
        <v>360</v>
      </c>
      <c r="H3314" s="55" t="s">
        <v>360</v>
      </c>
      <c r="I3314" s="55" t="s">
        <v>360</v>
      </c>
      <c r="J3314" s="55" t="s">
        <v>360</v>
      </c>
      <c r="K3314" s="55" t="s">
        <v>360</v>
      </c>
      <c r="L3314" s="55" t="s">
        <v>360</v>
      </c>
      <c r="M3314" s="55" t="s">
        <v>138</v>
      </c>
      <c r="N3314" s="55" t="s">
        <v>138</v>
      </c>
      <c r="O3314" s="55" t="s">
        <v>196</v>
      </c>
      <c r="P3314" s="55" t="s">
        <v>1368</v>
      </c>
      <c r="Q3314" s="55" t="s">
        <v>350</v>
      </c>
      <c r="R3314" s="55">
        <v>4</v>
      </c>
      <c r="S3314" s="55"/>
      <c r="T3314" s="55" t="s">
        <v>997</v>
      </c>
      <c r="U3314" s="73" t="s">
        <v>351</v>
      </c>
      <c r="V3314" s="74">
        <v>44399</v>
      </c>
      <c r="W3314" s="74">
        <v>44428</v>
      </c>
      <c r="X3314" s="55">
        <v>10185495</v>
      </c>
      <c r="Y3314" s="55" t="s">
        <v>140</v>
      </c>
      <c r="AB3314" s="55" t="s">
        <v>140</v>
      </c>
      <c r="AC3314" s="55" t="s">
        <v>140</v>
      </c>
    </row>
    <row r="3315" spans="1:29" ht="13" x14ac:dyDescent="0.15">
      <c r="A3315" s="72" t="str">
        <f t="shared" si="51"/>
        <v>Ofsted Social Care Provider Webpage</v>
      </c>
      <c r="B3315" s="55" t="s">
        <v>6212</v>
      </c>
      <c r="D3315" s="55" t="s">
        <v>451</v>
      </c>
      <c r="E3315" s="74">
        <v>41696</v>
      </c>
      <c r="F3315" s="55" t="s">
        <v>344</v>
      </c>
      <c r="G3315" s="55" t="s">
        <v>6213</v>
      </c>
      <c r="H3315" s="55" t="s">
        <v>6214</v>
      </c>
      <c r="I3315" s="55" t="s">
        <v>354</v>
      </c>
      <c r="J3315" s="55" t="s">
        <v>5896</v>
      </c>
      <c r="K3315" s="55" t="s">
        <v>183</v>
      </c>
      <c r="L3315" s="55" t="s">
        <v>6215</v>
      </c>
      <c r="M3315" s="55" t="s">
        <v>129</v>
      </c>
      <c r="N3315" s="55" t="s">
        <v>129</v>
      </c>
      <c r="O3315" s="55" t="s">
        <v>242</v>
      </c>
      <c r="P3315" s="55" t="s">
        <v>1519</v>
      </c>
      <c r="Q3315" s="55" t="s">
        <v>350</v>
      </c>
      <c r="R3315" s="55">
        <v>9</v>
      </c>
      <c r="S3315" s="55"/>
      <c r="T3315" s="55" t="s">
        <v>6216</v>
      </c>
      <c r="U3315" s="73" t="s">
        <v>351</v>
      </c>
      <c r="V3315" s="74">
        <v>43025</v>
      </c>
      <c r="W3315" s="74">
        <v>43054</v>
      </c>
      <c r="X3315" s="55">
        <v>10030883</v>
      </c>
      <c r="Y3315" s="55" t="s">
        <v>132</v>
      </c>
      <c r="AB3315" s="55" t="s">
        <v>132</v>
      </c>
      <c r="AC3315" s="55" t="s">
        <v>130</v>
      </c>
    </row>
    <row r="3316" spans="1:29" ht="13" x14ac:dyDescent="0.15">
      <c r="A3316" s="72" t="str">
        <f t="shared" si="51"/>
        <v>Ofsted Social Care Provider Webpage</v>
      </c>
      <c r="B3316" s="55" t="s">
        <v>6217</v>
      </c>
      <c r="D3316" s="55" t="s">
        <v>443</v>
      </c>
      <c r="E3316" s="74">
        <v>41570</v>
      </c>
      <c r="F3316" s="55" t="s">
        <v>344</v>
      </c>
      <c r="G3316" s="55" t="s">
        <v>6218</v>
      </c>
      <c r="H3316" s="55" t="s">
        <v>6219</v>
      </c>
      <c r="I3316" s="55" t="s">
        <v>6220</v>
      </c>
      <c r="J3316" s="55" t="s">
        <v>6221</v>
      </c>
      <c r="K3316" s="55" t="s">
        <v>6222</v>
      </c>
      <c r="L3316" s="55" t="s">
        <v>6223</v>
      </c>
      <c r="M3316" s="55" t="s">
        <v>142</v>
      </c>
      <c r="N3316" s="55" t="s">
        <v>142</v>
      </c>
      <c r="O3316" s="55" t="s">
        <v>262</v>
      </c>
      <c r="P3316" s="55" t="s">
        <v>949</v>
      </c>
      <c r="Q3316" s="55" t="s">
        <v>350</v>
      </c>
      <c r="R3316" s="55"/>
      <c r="S3316" s="55"/>
      <c r="T3316" s="55" t="s">
        <v>6224</v>
      </c>
      <c r="U3316" s="73" t="s">
        <v>351</v>
      </c>
      <c r="V3316" s="74">
        <v>43144</v>
      </c>
      <c r="W3316" s="74">
        <v>43202</v>
      </c>
      <c r="X3316" s="55">
        <v>10026909</v>
      </c>
      <c r="Y3316" s="55" t="s">
        <v>140</v>
      </c>
      <c r="AB3316" s="55" t="s">
        <v>132</v>
      </c>
      <c r="AC3316" s="55" t="s">
        <v>140</v>
      </c>
    </row>
    <row r="3317" spans="1:29" ht="13" x14ac:dyDescent="0.15">
      <c r="A3317" s="72" t="str">
        <f t="shared" si="51"/>
        <v>Ofsted Social Care Provider Webpage</v>
      </c>
      <c r="B3317" s="55" t="s">
        <v>6225</v>
      </c>
      <c r="D3317" s="55" t="s">
        <v>373</v>
      </c>
      <c r="E3317" s="74">
        <v>41563</v>
      </c>
      <c r="F3317" s="55" t="s">
        <v>344</v>
      </c>
      <c r="G3317" s="55" t="s">
        <v>360</v>
      </c>
      <c r="H3317" s="55" t="s">
        <v>360</v>
      </c>
      <c r="I3317" s="55" t="s">
        <v>360</v>
      </c>
      <c r="J3317" s="55" t="s">
        <v>360</v>
      </c>
      <c r="K3317" s="55" t="s">
        <v>360</v>
      </c>
      <c r="L3317" s="55" t="s">
        <v>360</v>
      </c>
      <c r="M3317" s="55" t="s">
        <v>144</v>
      </c>
      <c r="N3317" s="55" t="s">
        <v>144</v>
      </c>
      <c r="O3317" s="55" t="s">
        <v>147</v>
      </c>
      <c r="P3317" s="55" t="s">
        <v>674</v>
      </c>
      <c r="Q3317" s="55" t="s">
        <v>362</v>
      </c>
      <c r="R3317" s="55">
        <v>4</v>
      </c>
      <c r="S3317" s="55"/>
      <c r="T3317" s="55" t="s">
        <v>675</v>
      </c>
      <c r="U3317" s="73" t="s">
        <v>351</v>
      </c>
      <c r="V3317" s="74">
        <v>44474</v>
      </c>
      <c r="W3317" s="74">
        <v>44511</v>
      </c>
      <c r="X3317" s="55">
        <v>10185092</v>
      </c>
      <c r="Y3317" s="55" t="s">
        <v>132</v>
      </c>
      <c r="AB3317" s="55" t="s">
        <v>132</v>
      </c>
      <c r="AC3317" s="55" t="s">
        <v>130</v>
      </c>
    </row>
    <row r="3318" spans="1:29" ht="13" x14ac:dyDescent="0.15">
      <c r="A3318" s="72" t="str">
        <f t="shared" si="51"/>
        <v>Ofsted Social Care Provider Webpage</v>
      </c>
      <c r="B3318" s="55" t="s">
        <v>6226</v>
      </c>
      <c r="D3318" s="55" t="s">
        <v>373</v>
      </c>
      <c r="E3318" s="74">
        <v>41628</v>
      </c>
      <c r="F3318" s="55" t="s">
        <v>344</v>
      </c>
      <c r="G3318" s="55" t="s">
        <v>360</v>
      </c>
      <c r="H3318" s="55" t="s">
        <v>360</v>
      </c>
      <c r="I3318" s="55" t="s">
        <v>360</v>
      </c>
      <c r="J3318" s="55" t="s">
        <v>360</v>
      </c>
      <c r="K3318" s="55" t="s">
        <v>360</v>
      </c>
      <c r="L3318" s="55" t="s">
        <v>360</v>
      </c>
      <c r="M3318" s="55" t="s">
        <v>172</v>
      </c>
      <c r="N3318" s="55" t="s">
        <v>172</v>
      </c>
      <c r="O3318" s="55" t="s">
        <v>234</v>
      </c>
      <c r="P3318" s="55" t="s">
        <v>965</v>
      </c>
      <c r="Q3318" s="55" t="s">
        <v>380</v>
      </c>
      <c r="R3318" s="55">
        <v>4</v>
      </c>
      <c r="S3318" s="55"/>
      <c r="T3318" s="55" t="s">
        <v>1271</v>
      </c>
      <c r="U3318" s="73" t="s">
        <v>351</v>
      </c>
      <c r="V3318" s="74">
        <v>44544</v>
      </c>
      <c r="W3318" s="74">
        <v>44588</v>
      </c>
      <c r="X3318" s="55">
        <v>10187578</v>
      </c>
      <c r="Y3318" s="55" t="s">
        <v>132</v>
      </c>
      <c r="AB3318" s="55" t="s">
        <v>132</v>
      </c>
      <c r="AC3318" s="55" t="s">
        <v>132</v>
      </c>
    </row>
    <row r="3319" spans="1:29" ht="13" x14ac:dyDescent="0.15">
      <c r="A3319" s="72" t="str">
        <f t="shared" si="51"/>
        <v>Ofsted Social Care Provider Webpage</v>
      </c>
      <c r="B3319" s="55" t="s">
        <v>6227</v>
      </c>
      <c r="D3319" s="55" t="s">
        <v>373</v>
      </c>
      <c r="E3319" s="74">
        <v>41611</v>
      </c>
      <c r="F3319" s="55" t="s">
        <v>344</v>
      </c>
      <c r="G3319" s="55" t="s">
        <v>360</v>
      </c>
      <c r="H3319" s="55" t="s">
        <v>360</v>
      </c>
      <c r="I3319" s="55" t="s">
        <v>360</v>
      </c>
      <c r="J3319" s="55" t="s">
        <v>360</v>
      </c>
      <c r="K3319" s="55" t="s">
        <v>360</v>
      </c>
      <c r="L3319" s="55" t="s">
        <v>360</v>
      </c>
      <c r="M3319" s="55" t="s">
        <v>136</v>
      </c>
      <c r="N3319" s="55" t="s">
        <v>136</v>
      </c>
      <c r="O3319" s="55" t="s">
        <v>239</v>
      </c>
      <c r="P3319" s="55" t="s">
        <v>738</v>
      </c>
      <c r="Q3319" s="55" t="s">
        <v>350</v>
      </c>
      <c r="R3319" s="55">
        <v>1</v>
      </c>
      <c r="S3319" s="55"/>
      <c r="T3319" s="55" t="s">
        <v>385</v>
      </c>
      <c r="U3319" s="73" t="s">
        <v>351</v>
      </c>
      <c r="V3319" s="74">
        <v>43837</v>
      </c>
      <c r="W3319" s="74">
        <v>43860</v>
      </c>
      <c r="X3319" s="55">
        <v>10096979</v>
      </c>
      <c r="Y3319" s="55" t="s">
        <v>140</v>
      </c>
      <c r="AB3319" s="55" t="s">
        <v>140</v>
      </c>
      <c r="AC3319" s="55" t="s">
        <v>140</v>
      </c>
    </row>
    <row r="3320" spans="1:29" ht="13" x14ac:dyDescent="0.15">
      <c r="A3320" s="72" t="str">
        <f t="shared" si="51"/>
        <v>Ofsted Social Care Provider Webpage</v>
      </c>
      <c r="B3320" s="55" t="s">
        <v>6228</v>
      </c>
      <c r="D3320" s="55" t="s">
        <v>373</v>
      </c>
      <c r="E3320" s="74">
        <v>41611</v>
      </c>
      <c r="F3320" s="55" t="s">
        <v>344</v>
      </c>
      <c r="G3320" s="55" t="s">
        <v>360</v>
      </c>
      <c r="H3320" s="55" t="s">
        <v>360</v>
      </c>
      <c r="I3320" s="55" t="s">
        <v>360</v>
      </c>
      <c r="J3320" s="55" t="s">
        <v>360</v>
      </c>
      <c r="K3320" s="55" t="s">
        <v>360</v>
      </c>
      <c r="L3320" s="55" t="s">
        <v>360</v>
      </c>
      <c r="M3320" s="55" t="s">
        <v>136</v>
      </c>
      <c r="N3320" s="55" t="s">
        <v>136</v>
      </c>
      <c r="O3320" s="55" t="s">
        <v>239</v>
      </c>
      <c r="P3320" s="55" t="s">
        <v>738</v>
      </c>
      <c r="Q3320" s="55" t="s">
        <v>350</v>
      </c>
      <c r="R3320" s="55">
        <v>1</v>
      </c>
      <c r="S3320" s="55"/>
      <c r="T3320" s="55" t="s">
        <v>385</v>
      </c>
      <c r="U3320" s="73" t="s">
        <v>351</v>
      </c>
      <c r="V3320" s="74">
        <v>44571</v>
      </c>
      <c r="W3320" s="74">
        <v>44606</v>
      </c>
      <c r="X3320" s="55">
        <v>10187086</v>
      </c>
      <c r="Y3320" s="55" t="s">
        <v>130</v>
      </c>
      <c r="AB3320" s="55" t="s">
        <v>130</v>
      </c>
      <c r="AC3320" s="55" t="s">
        <v>130</v>
      </c>
    </row>
    <row r="3321" spans="1:29" ht="13" x14ac:dyDescent="0.15">
      <c r="A3321" s="72" t="str">
        <f t="shared" si="51"/>
        <v>Ofsted Social Care Provider Webpage</v>
      </c>
      <c r="B3321" s="55" t="s">
        <v>6229</v>
      </c>
      <c r="D3321" s="55" t="s">
        <v>373</v>
      </c>
      <c r="E3321" s="74">
        <v>41753</v>
      </c>
      <c r="F3321" s="55" t="s">
        <v>344</v>
      </c>
      <c r="G3321" s="55" t="s">
        <v>360</v>
      </c>
      <c r="H3321" s="55" t="s">
        <v>360</v>
      </c>
      <c r="I3321" s="55" t="s">
        <v>360</v>
      </c>
      <c r="J3321" s="55" t="s">
        <v>360</v>
      </c>
      <c r="K3321" s="55" t="s">
        <v>360</v>
      </c>
      <c r="L3321" s="55" t="s">
        <v>360</v>
      </c>
      <c r="M3321" s="55" t="s">
        <v>138</v>
      </c>
      <c r="N3321" s="55" t="s">
        <v>138</v>
      </c>
      <c r="O3321" s="55" t="s">
        <v>183</v>
      </c>
      <c r="P3321" s="55" t="s">
        <v>907</v>
      </c>
      <c r="Q3321" s="55" t="s">
        <v>350</v>
      </c>
      <c r="R3321" s="55">
        <v>2</v>
      </c>
      <c r="S3321" s="55"/>
      <c r="T3321" s="55" t="s">
        <v>385</v>
      </c>
      <c r="U3321" s="73" t="s">
        <v>351</v>
      </c>
      <c r="V3321" s="74">
        <v>44474</v>
      </c>
      <c r="W3321" s="74">
        <v>44503</v>
      </c>
      <c r="X3321" s="55">
        <v>10187427</v>
      </c>
      <c r="Y3321" s="55" t="s">
        <v>132</v>
      </c>
      <c r="AB3321" s="55" t="s">
        <v>132</v>
      </c>
      <c r="AC3321" s="55" t="s">
        <v>132</v>
      </c>
    </row>
    <row r="3322" spans="1:29" ht="13" x14ac:dyDescent="0.15">
      <c r="A3322" s="72" t="str">
        <f t="shared" si="51"/>
        <v>Ofsted Social Care Provider Webpage</v>
      </c>
      <c r="B3322" s="55" t="s">
        <v>6230</v>
      </c>
      <c r="D3322" s="55" t="s">
        <v>373</v>
      </c>
      <c r="E3322" s="74">
        <v>41607</v>
      </c>
      <c r="F3322" s="55" t="s">
        <v>344</v>
      </c>
      <c r="G3322" s="55" t="s">
        <v>360</v>
      </c>
      <c r="H3322" s="55" t="s">
        <v>360</v>
      </c>
      <c r="I3322" s="55" t="s">
        <v>360</v>
      </c>
      <c r="J3322" s="55" t="s">
        <v>360</v>
      </c>
      <c r="K3322" s="55" t="s">
        <v>360</v>
      </c>
      <c r="L3322" s="55" t="s">
        <v>360</v>
      </c>
      <c r="M3322" s="55" t="s">
        <v>378</v>
      </c>
      <c r="N3322" s="55" t="s">
        <v>134</v>
      </c>
      <c r="O3322" s="55" t="s">
        <v>133</v>
      </c>
      <c r="P3322" s="55" t="s">
        <v>2789</v>
      </c>
      <c r="Q3322" s="55" t="s">
        <v>350</v>
      </c>
      <c r="R3322" s="55">
        <v>5</v>
      </c>
      <c r="S3322" s="55"/>
      <c r="T3322" s="55" t="s">
        <v>2448</v>
      </c>
      <c r="U3322" s="73" t="s">
        <v>351</v>
      </c>
      <c r="V3322" s="74">
        <v>44593</v>
      </c>
      <c r="W3322" s="74">
        <v>44627</v>
      </c>
      <c r="X3322" s="55">
        <v>10185611</v>
      </c>
      <c r="Y3322" s="55" t="s">
        <v>132</v>
      </c>
      <c r="AB3322" s="55" t="s">
        <v>132</v>
      </c>
      <c r="AC3322" s="55" t="s">
        <v>130</v>
      </c>
    </row>
    <row r="3323" spans="1:29" ht="13" x14ac:dyDescent="0.15">
      <c r="A3323" s="72" t="str">
        <f t="shared" si="51"/>
        <v>Ofsted Social Care Provider Webpage</v>
      </c>
      <c r="B3323" s="55" t="s">
        <v>6231</v>
      </c>
      <c r="D3323" s="55" t="s">
        <v>373</v>
      </c>
      <c r="E3323" s="74">
        <v>41675</v>
      </c>
      <c r="F3323" s="55" t="s">
        <v>344</v>
      </c>
      <c r="G3323" s="55" t="s">
        <v>360</v>
      </c>
      <c r="H3323" s="55" t="s">
        <v>360</v>
      </c>
      <c r="I3323" s="55" t="s">
        <v>360</v>
      </c>
      <c r="J3323" s="55" t="s">
        <v>360</v>
      </c>
      <c r="K3323" s="55" t="s">
        <v>360</v>
      </c>
      <c r="L3323" s="55" t="s">
        <v>360</v>
      </c>
      <c r="M3323" s="55" t="s">
        <v>144</v>
      </c>
      <c r="N3323" s="55" t="s">
        <v>144</v>
      </c>
      <c r="O3323" s="55" t="s">
        <v>207</v>
      </c>
      <c r="P3323" s="55" t="s">
        <v>1203</v>
      </c>
      <c r="Q3323" s="55" t="s">
        <v>362</v>
      </c>
      <c r="R3323" s="55">
        <v>4</v>
      </c>
      <c r="S3323" s="55"/>
      <c r="T3323" s="55" t="s">
        <v>5438</v>
      </c>
      <c r="U3323" s="73" t="s">
        <v>351</v>
      </c>
      <c r="V3323" s="74">
        <v>44391</v>
      </c>
      <c r="W3323" s="74">
        <v>44432</v>
      </c>
      <c r="X3323" s="55">
        <v>10186996</v>
      </c>
      <c r="Y3323" s="55" t="s">
        <v>130</v>
      </c>
      <c r="AB3323" s="55" t="s">
        <v>130</v>
      </c>
      <c r="AC3323" s="55" t="s">
        <v>130</v>
      </c>
    </row>
    <row r="3324" spans="1:29" ht="13" x14ac:dyDescent="0.15">
      <c r="A3324" s="72" t="str">
        <f t="shared" si="51"/>
        <v>Ofsted Social Care Provider Webpage</v>
      </c>
      <c r="B3324" s="55" t="s">
        <v>6232</v>
      </c>
      <c r="D3324" s="55" t="s">
        <v>373</v>
      </c>
      <c r="E3324" s="74">
        <v>41607</v>
      </c>
      <c r="F3324" s="55" t="s">
        <v>344</v>
      </c>
      <c r="G3324" s="55" t="s">
        <v>360</v>
      </c>
      <c r="H3324" s="55" t="s">
        <v>360</v>
      </c>
      <c r="I3324" s="55" t="s">
        <v>360</v>
      </c>
      <c r="J3324" s="55" t="s">
        <v>360</v>
      </c>
      <c r="K3324" s="55" t="s">
        <v>360</v>
      </c>
      <c r="L3324" s="55" t="s">
        <v>360</v>
      </c>
      <c r="M3324" s="55" t="s">
        <v>142</v>
      </c>
      <c r="N3324" s="55" t="s">
        <v>142</v>
      </c>
      <c r="O3324" s="55" t="s">
        <v>262</v>
      </c>
      <c r="P3324" s="55" t="s">
        <v>488</v>
      </c>
      <c r="Q3324" s="55" t="s">
        <v>350</v>
      </c>
      <c r="R3324" s="55">
        <v>2</v>
      </c>
      <c r="S3324" s="55"/>
      <c r="T3324" s="55" t="s">
        <v>1106</v>
      </c>
      <c r="U3324" s="73" t="s">
        <v>351</v>
      </c>
      <c r="V3324" s="74">
        <v>44356</v>
      </c>
      <c r="W3324" s="74">
        <v>44386</v>
      </c>
      <c r="X3324" s="55">
        <v>10185090</v>
      </c>
      <c r="Y3324" s="55" t="s">
        <v>132</v>
      </c>
      <c r="AB3324" s="55" t="s">
        <v>132</v>
      </c>
      <c r="AC3324" s="55" t="s">
        <v>132</v>
      </c>
    </row>
    <row r="3325" spans="1:29" ht="13" x14ac:dyDescent="0.15">
      <c r="A3325" s="72" t="str">
        <f t="shared" si="51"/>
        <v>Ofsted Social Care Provider Webpage</v>
      </c>
      <c r="B3325" s="55" t="s">
        <v>6233</v>
      </c>
      <c r="D3325" s="55" t="s">
        <v>373</v>
      </c>
      <c r="E3325" s="74">
        <v>41780</v>
      </c>
      <c r="F3325" s="55" t="s">
        <v>344</v>
      </c>
      <c r="G3325" s="55" t="s">
        <v>360</v>
      </c>
      <c r="H3325" s="55" t="s">
        <v>360</v>
      </c>
      <c r="I3325" s="55" t="s">
        <v>360</v>
      </c>
      <c r="J3325" s="55" t="s">
        <v>360</v>
      </c>
      <c r="K3325" s="55" t="s">
        <v>360</v>
      </c>
      <c r="L3325" s="55" t="s">
        <v>360</v>
      </c>
      <c r="M3325" s="55" t="s">
        <v>142</v>
      </c>
      <c r="N3325" s="55" t="s">
        <v>142</v>
      </c>
      <c r="O3325" s="55" t="s">
        <v>141</v>
      </c>
      <c r="P3325" s="55" t="s">
        <v>1226</v>
      </c>
      <c r="Q3325" s="55" t="s">
        <v>350</v>
      </c>
      <c r="R3325" s="55">
        <v>4</v>
      </c>
      <c r="S3325" s="55"/>
      <c r="T3325" s="55" t="s">
        <v>1996</v>
      </c>
      <c r="U3325" s="73" t="s">
        <v>351</v>
      </c>
      <c r="V3325" s="74">
        <v>44468</v>
      </c>
      <c r="W3325" s="74">
        <v>44523</v>
      </c>
      <c r="X3325" s="55">
        <v>10186921</v>
      </c>
      <c r="Y3325" s="55" t="s">
        <v>130</v>
      </c>
      <c r="AB3325" s="55" t="s">
        <v>130</v>
      </c>
      <c r="AC3325" s="55" t="s">
        <v>130</v>
      </c>
    </row>
    <row r="3326" spans="1:29" ht="13" x14ac:dyDescent="0.15">
      <c r="A3326" s="72" t="str">
        <f t="shared" si="51"/>
        <v>Ofsted Social Care Provider Webpage</v>
      </c>
      <c r="B3326" s="55" t="s">
        <v>6234</v>
      </c>
      <c r="D3326" s="55" t="s">
        <v>373</v>
      </c>
      <c r="E3326" s="74">
        <v>41617</v>
      </c>
      <c r="F3326" s="55" t="s">
        <v>344</v>
      </c>
      <c r="G3326" s="55" t="s">
        <v>360</v>
      </c>
      <c r="H3326" s="55" t="s">
        <v>360</v>
      </c>
      <c r="I3326" s="55" t="s">
        <v>360</v>
      </c>
      <c r="J3326" s="55" t="s">
        <v>360</v>
      </c>
      <c r="K3326" s="55" t="s">
        <v>360</v>
      </c>
      <c r="L3326" s="55" t="s">
        <v>360</v>
      </c>
      <c r="M3326" s="55" t="s">
        <v>138</v>
      </c>
      <c r="N3326" s="55" t="s">
        <v>138</v>
      </c>
      <c r="O3326" s="55" t="s">
        <v>224</v>
      </c>
      <c r="P3326" s="55" t="s">
        <v>1552</v>
      </c>
      <c r="Q3326" s="55" t="s">
        <v>350</v>
      </c>
      <c r="R3326" s="55">
        <v>6</v>
      </c>
      <c r="S3326" s="55"/>
      <c r="T3326" s="55" t="s">
        <v>6235</v>
      </c>
      <c r="U3326" s="73" t="s">
        <v>351</v>
      </c>
      <c r="V3326" s="74">
        <v>44545</v>
      </c>
      <c r="W3326" s="74">
        <v>44586</v>
      </c>
      <c r="X3326" s="55">
        <v>10185637</v>
      </c>
      <c r="Y3326" s="55" t="s">
        <v>132</v>
      </c>
      <c r="AB3326" s="55" t="s">
        <v>132</v>
      </c>
      <c r="AC3326" s="55" t="s">
        <v>130</v>
      </c>
    </row>
    <row r="3327" spans="1:29" ht="13" x14ac:dyDescent="0.15">
      <c r="A3327" s="72" t="str">
        <f t="shared" si="51"/>
        <v>Ofsted Social Care Provider Webpage</v>
      </c>
      <c r="B3327" s="55" t="s">
        <v>6236</v>
      </c>
      <c r="D3327" s="55" t="s">
        <v>373</v>
      </c>
      <c r="E3327" s="74">
        <v>41703</v>
      </c>
      <c r="F3327" s="55" t="s">
        <v>344</v>
      </c>
      <c r="G3327" s="55" t="s">
        <v>360</v>
      </c>
      <c r="H3327" s="55" t="s">
        <v>360</v>
      </c>
      <c r="I3327" s="55" t="s">
        <v>360</v>
      </c>
      <c r="J3327" s="55" t="s">
        <v>360</v>
      </c>
      <c r="K3327" s="55" t="s">
        <v>360</v>
      </c>
      <c r="L3327" s="55" t="s">
        <v>360</v>
      </c>
      <c r="M3327" s="55" t="s">
        <v>150</v>
      </c>
      <c r="N3327" s="55" t="s">
        <v>150</v>
      </c>
      <c r="O3327" s="55" t="s">
        <v>190</v>
      </c>
      <c r="P3327" s="55" t="s">
        <v>749</v>
      </c>
      <c r="Q3327" s="55" t="s">
        <v>350</v>
      </c>
      <c r="R3327" s="55">
        <v>10</v>
      </c>
      <c r="S3327" s="55"/>
      <c r="T3327" s="55" t="s">
        <v>450</v>
      </c>
      <c r="U3327" s="73" t="s">
        <v>351</v>
      </c>
      <c r="V3327" s="74">
        <v>44538</v>
      </c>
      <c r="W3327" s="74">
        <v>44586</v>
      </c>
      <c r="X3327" s="55">
        <v>10186153</v>
      </c>
      <c r="Y3327" s="55" t="s">
        <v>132</v>
      </c>
      <c r="AB3327" s="55" t="s">
        <v>132</v>
      </c>
      <c r="AC3327" s="55" t="s">
        <v>132</v>
      </c>
    </row>
    <row r="3328" spans="1:29" ht="13" x14ac:dyDescent="0.15">
      <c r="A3328" s="72" t="str">
        <f t="shared" si="51"/>
        <v>Ofsted Social Care Provider Webpage</v>
      </c>
      <c r="B3328" s="55" t="s">
        <v>6237</v>
      </c>
      <c r="D3328" s="55" t="s">
        <v>389</v>
      </c>
      <c r="E3328" s="74">
        <v>41669</v>
      </c>
      <c r="F3328" s="55" t="s">
        <v>344</v>
      </c>
      <c r="G3328" s="55" t="s">
        <v>6238</v>
      </c>
      <c r="H3328" s="55" t="s">
        <v>6239</v>
      </c>
      <c r="I3328" s="55" t="s">
        <v>6240</v>
      </c>
      <c r="J3328" s="55" t="s">
        <v>278</v>
      </c>
      <c r="L3328" s="55" t="s">
        <v>6241</v>
      </c>
      <c r="M3328" s="55" t="s">
        <v>142</v>
      </c>
      <c r="N3328" s="55" t="s">
        <v>142</v>
      </c>
      <c r="O3328" s="55" t="s">
        <v>278</v>
      </c>
      <c r="P3328" s="55" t="s">
        <v>1126</v>
      </c>
      <c r="Q3328" s="55" t="s">
        <v>350</v>
      </c>
      <c r="R3328" s="55"/>
      <c r="S3328" s="55"/>
      <c r="T3328" s="55" t="s">
        <v>6242</v>
      </c>
      <c r="U3328" s="73" t="s">
        <v>351</v>
      </c>
      <c r="V3328" s="74">
        <v>44508</v>
      </c>
      <c r="W3328" s="74">
        <v>44589</v>
      </c>
      <c r="X3328" s="55">
        <v>10213238</v>
      </c>
      <c r="Y3328" s="55" t="s">
        <v>130</v>
      </c>
      <c r="AB3328" s="55" t="s">
        <v>130</v>
      </c>
      <c r="AC3328" s="55" t="s">
        <v>130</v>
      </c>
    </row>
    <row r="3329" spans="1:29" ht="13" x14ac:dyDescent="0.15">
      <c r="A3329" s="72" t="str">
        <f t="shared" si="51"/>
        <v>Ofsted Social Care Provider Webpage</v>
      </c>
      <c r="B3329" s="55" t="s">
        <v>6243</v>
      </c>
      <c r="D3329" s="55" t="s">
        <v>373</v>
      </c>
      <c r="E3329" s="74">
        <v>41591</v>
      </c>
      <c r="F3329" s="55" t="s">
        <v>344</v>
      </c>
      <c r="G3329" s="55" t="s">
        <v>360</v>
      </c>
      <c r="H3329" s="55" t="s">
        <v>360</v>
      </c>
      <c r="I3329" s="55" t="s">
        <v>360</v>
      </c>
      <c r="J3329" s="55" t="s">
        <v>360</v>
      </c>
      <c r="K3329" s="55" t="s">
        <v>360</v>
      </c>
      <c r="L3329" s="55" t="s">
        <v>360</v>
      </c>
      <c r="M3329" s="55" t="s">
        <v>150</v>
      </c>
      <c r="N3329" s="55" t="s">
        <v>150</v>
      </c>
      <c r="O3329" s="55" t="s">
        <v>283</v>
      </c>
      <c r="P3329" s="55" t="s">
        <v>291</v>
      </c>
      <c r="Q3329" s="55" t="s">
        <v>350</v>
      </c>
      <c r="R3329" s="55">
        <v>3</v>
      </c>
      <c r="S3329" s="55"/>
      <c r="T3329" s="55" t="s">
        <v>6244</v>
      </c>
      <c r="U3329" s="73" t="s">
        <v>351</v>
      </c>
      <c r="V3329" s="74">
        <v>44398</v>
      </c>
      <c r="W3329" s="74">
        <v>44447</v>
      </c>
      <c r="X3329" s="55">
        <v>10185761</v>
      </c>
      <c r="Y3329" s="55" t="s">
        <v>132</v>
      </c>
      <c r="AB3329" s="55" t="s">
        <v>132</v>
      </c>
      <c r="AC3329" s="55" t="s">
        <v>130</v>
      </c>
    </row>
    <row r="3330" spans="1:29" ht="13" x14ac:dyDescent="0.15">
      <c r="A3330" s="72" t="str">
        <f t="shared" si="51"/>
        <v>Ofsted Social Care Provider Webpage</v>
      </c>
      <c r="B3330" s="55" t="s">
        <v>6245</v>
      </c>
      <c r="D3330" s="55" t="s">
        <v>373</v>
      </c>
      <c r="E3330" s="74">
        <v>41591</v>
      </c>
      <c r="F3330" s="55" t="s">
        <v>344</v>
      </c>
      <c r="G3330" s="55" t="s">
        <v>360</v>
      </c>
      <c r="H3330" s="55" t="s">
        <v>360</v>
      </c>
      <c r="I3330" s="55" t="s">
        <v>360</v>
      </c>
      <c r="J3330" s="55" t="s">
        <v>360</v>
      </c>
      <c r="K3330" s="55" t="s">
        <v>360</v>
      </c>
      <c r="L3330" s="55" t="s">
        <v>360</v>
      </c>
      <c r="M3330" s="55" t="s">
        <v>150</v>
      </c>
      <c r="N3330" s="55" t="s">
        <v>150</v>
      </c>
      <c r="O3330" s="55" t="s">
        <v>283</v>
      </c>
      <c r="P3330" s="55" t="s">
        <v>291</v>
      </c>
      <c r="Q3330" s="55" t="s">
        <v>350</v>
      </c>
      <c r="R3330" s="55">
        <v>4</v>
      </c>
      <c r="S3330" s="55"/>
      <c r="T3330" s="55" t="s">
        <v>6244</v>
      </c>
      <c r="U3330" s="73" t="s">
        <v>351</v>
      </c>
      <c r="V3330" s="74">
        <v>44376</v>
      </c>
      <c r="W3330" s="74">
        <v>44412</v>
      </c>
      <c r="X3330" s="55">
        <v>10186575</v>
      </c>
      <c r="Y3330" s="55" t="s">
        <v>132</v>
      </c>
      <c r="AB3330" s="55" t="s">
        <v>130</v>
      </c>
      <c r="AC3330" s="55" t="s">
        <v>130</v>
      </c>
    </row>
    <row r="3331" spans="1:29" ht="13" x14ac:dyDescent="0.15">
      <c r="A3331" s="72" t="str">
        <f t="shared" si="51"/>
        <v>Ofsted Social Care Provider Webpage</v>
      </c>
      <c r="B3331" s="55" t="s">
        <v>6246</v>
      </c>
      <c r="D3331" s="55" t="s">
        <v>373</v>
      </c>
      <c r="E3331" s="74">
        <v>41664</v>
      </c>
      <c r="F3331" s="55" t="s">
        <v>344</v>
      </c>
      <c r="G3331" s="55" t="s">
        <v>360</v>
      </c>
      <c r="H3331" s="55" t="s">
        <v>360</v>
      </c>
      <c r="I3331" s="55" t="s">
        <v>360</v>
      </c>
      <c r="J3331" s="55" t="s">
        <v>360</v>
      </c>
      <c r="K3331" s="55" t="s">
        <v>360</v>
      </c>
      <c r="L3331" s="55" t="s">
        <v>360</v>
      </c>
      <c r="M3331" s="55" t="s">
        <v>142</v>
      </c>
      <c r="N3331" s="55" t="s">
        <v>142</v>
      </c>
      <c r="O3331" s="55" t="s">
        <v>262</v>
      </c>
      <c r="P3331" s="55" t="s">
        <v>618</v>
      </c>
      <c r="Q3331" s="55" t="s">
        <v>350</v>
      </c>
      <c r="R3331" s="55">
        <v>2</v>
      </c>
      <c r="S3331" s="55"/>
      <c r="T3331" s="55" t="s">
        <v>619</v>
      </c>
      <c r="U3331" s="73" t="s">
        <v>351</v>
      </c>
      <c r="V3331" s="74">
        <v>44460</v>
      </c>
      <c r="W3331" s="74">
        <v>44502</v>
      </c>
      <c r="X3331" s="55">
        <v>10185142</v>
      </c>
      <c r="Y3331" s="55" t="s">
        <v>140</v>
      </c>
      <c r="AB3331" s="55" t="s">
        <v>140</v>
      </c>
      <c r="AC3331" s="55" t="s">
        <v>140</v>
      </c>
    </row>
    <row r="3332" spans="1:29" ht="13" x14ac:dyDescent="0.15">
      <c r="A3332" s="72" t="str">
        <f t="shared" si="51"/>
        <v>Ofsted Social Care Provider Webpage</v>
      </c>
      <c r="B3332" s="55" t="s">
        <v>6247</v>
      </c>
      <c r="D3332" s="55" t="s">
        <v>373</v>
      </c>
      <c r="E3332" s="74">
        <v>41642</v>
      </c>
      <c r="F3332" s="55" t="s">
        <v>344</v>
      </c>
      <c r="G3332" s="55" t="s">
        <v>360</v>
      </c>
      <c r="H3332" s="55" t="s">
        <v>360</v>
      </c>
      <c r="I3332" s="55" t="s">
        <v>360</v>
      </c>
      <c r="J3332" s="55" t="s">
        <v>360</v>
      </c>
      <c r="K3332" s="55" t="s">
        <v>360</v>
      </c>
      <c r="L3332" s="55" t="s">
        <v>360</v>
      </c>
      <c r="M3332" s="55" t="s">
        <v>378</v>
      </c>
      <c r="N3332" s="55" t="s">
        <v>170</v>
      </c>
      <c r="O3332" s="55" t="s">
        <v>220</v>
      </c>
      <c r="P3332" s="55" t="s">
        <v>220</v>
      </c>
      <c r="Q3332" s="55" t="s">
        <v>380</v>
      </c>
      <c r="R3332" s="55">
        <v>4</v>
      </c>
      <c r="S3332" s="55"/>
      <c r="T3332" s="55" t="s">
        <v>1674</v>
      </c>
      <c r="U3332" s="73" t="s">
        <v>351</v>
      </c>
      <c r="V3332" s="74">
        <v>44509</v>
      </c>
      <c r="W3332" s="74">
        <v>44544</v>
      </c>
      <c r="X3332" s="55">
        <v>10186036</v>
      </c>
      <c r="Y3332" s="55" t="s">
        <v>132</v>
      </c>
      <c r="AB3332" s="55" t="s">
        <v>132</v>
      </c>
      <c r="AC3332" s="55" t="s">
        <v>132</v>
      </c>
    </row>
    <row r="3333" spans="1:29" ht="13" x14ac:dyDescent="0.15">
      <c r="A3333" s="72" t="str">
        <f t="shared" si="51"/>
        <v>Ofsted Social Care Provider Webpage</v>
      </c>
      <c r="B3333" s="55" t="s">
        <v>6248</v>
      </c>
      <c r="D3333" s="55" t="s">
        <v>373</v>
      </c>
      <c r="E3333" s="74">
        <v>41642</v>
      </c>
      <c r="F3333" s="55" t="s">
        <v>344</v>
      </c>
      <c r="G3333" s="55" t="s">
        <v>360</v>
      </c>
      <c r="H3333" s="55" t="s">
        <v>360</v>
      </c>
      <c r="I3333" s="55" t="s">
        <v>360</v>
      </c>
      <c r="J3333" s="55" t="s">
        <v>360</v>
      </c>
      <c r="K3333" s="55" t="s">
        <v>360</v>
      </c>
      <c r="L3333" s="55" t="s">
        <v>360</v>
      </c>
      <c r="M3333" s="55" t="s">
        <v>378</v>
      </c>
      <c r="N3333" s="55" t="s">
        <v>170</v>
      </c>
      <c r="O3333" s="55" t="s">
        <v>220</v>
      </c>
      <c r="P3333" s="55" t="s">
        <v>1222</v>
      </c>
      <c r="Q3333" s="55" t="s">
        <v>380</v>
      </c>
      <c r="R3333" s="55">
        <v>3</v>
      </c>
      <c r="S3333" s="55"/>
      <c r="T3333" s="55" t="s">
        <v>1674</v>
      </c>
      <c r="U3333" s="73" t="s">
        <v>351</v>
      </c>
      <c r="V3333" s="74">
        <v>44627</v>
      </c>
      <c r="W3333" s="74">
        <v>44671</v>
      </c>
      <c r="X3333" s="55">
        <v>10185758</v>
      </c>
      <c r="Y3333" s="55" t="s">
        <v>132</v>
      </c>
      <c r="AB3333" s="55" t="s">
        <v>132</v>
      </c>
      <c r="AC3333" s="55" t="s">
        <v>132</v>
      </c>
    </row>
    <row r="3334" spans="1:29" ht="13" x14ac:dyDescent="0.15">
      <c r="A3334" s="72" t="str">
        <f t="shared" ref="A3334:A3397" si="52">HYPERLINK(_xlfn.CONCAT("http://reports.ofsted.gov.uk/inspection-reports/find-inspection-report/provider/CARE/",B3334),"Ofsted Social Care Provider Webpage")</f>
        <v>Ofsted Social Care Provider Webpage</v>
      </c>
      <c r="B3334" s="55" t="s">
        <v>6249</v>
      </c>
      <c r="D3334" s="55" t="s">
        <v>373</v>
      </c>
      <c r="E3334" s="74">
        <v>41642</v>
      </c>
      <c r="F3334" s="55" t="s">
        <v>344</v>
      </c>
      <c r="G3334" s="55" t="s">
        <v>360</v>
      </c>
      <c r="H3334" s="55" t="s">
        <v>360</v>
      </c>
      <c r="I3334" s="55" t="s">
        <v>360</v>
      </c>
      <c r="J3334" s="55" t="s">
        <v>360</v>
      </c>
      <c r="K3334" s="55" t="s">
        <v>360</v>
      </c>
      <c r="L3334" s="55" t="s">
        <v>360</v>
      </c>
      <c r="M3334" s="55" t="s">
        <v>378</v>
      </c>
      <c r="N3334" s="55" t="s">
        <v>170</v>
      </c>
      <c r="O3334" s="55" t="s">
        <v>220</v>
      </c>
      <c r="P3334" s="55" t="s">
        <v>220</v>
      </c>
      <c r="Q3334" s="55" t="s">
        <v>380</v>
      </c>
      <c r="R3334" s="55">
        <v>4</v>
      </c>
      <c r="S3334" s="55"/>
      <c r="T3334" s="55" t="s">
        <v>1674</v>
      </c>
      <c r="U3334" s="73" t="s">
        <v>351</v>
      </c>
      <c r="V3334" s="74">
        <v>44621</v>
      </c>
      <c r="W3334" s="74">
        <v>44670</v>
      </c>
      <c r="X3334" s="55">
        <v>10186854</v>
      </c>
      <c r="Y3334" s="55" t="s">
        <v>132</v>
      </c>
      <c r="AB3334" s="55" t="s">
        <v>132</v>
      </c>
      <c r="AC3334" s="55" t="s">
        <v>132</v>
      </c>
    </row>
    <row r="3335" spans="1:29" ht="13" x14ac:dyDescent="0.15">
      <c r="A3335" s="72" t="str">
        <f t="shared" si="52"/>
        <v>Ofsted Social Care Provider Webpage</v>
      </c>
      <c r="B3335" s="55" t="s">
        <v>6250</v>
      </c>
      <c r="D3335" s="55" t="s">
        <v>373</v>
      </c>
      <c r="E3335" s="74">
        <v>41649</v>
      </c>
      <c r="F3335" s="55" t="s">
        <v>344</v>
      </c>
      <c r="G3335" s="55" t="s">
        <v>360</v>
      </c>
      <c r="H3335" s="55" t="s">
        <v>360</v>
      </c>
      <c r="I3335" s="55" t="s">
        <v>360</v>
      </c>
      <c r="J3335" s="55" t="s">
        <v>360</v>
      </c>
      <c r="K3335" s="55" t="s">
        <v>360</v>
      </c>
      <c r="L3335" s="55" t="s">
        <v>360</v>
      </c>
      <c r="M3335" s="55" t="s">
        <v>378</v>
      </c>
      <c r="N3335" s="55" t="s">
        <v>170</v>
      </c>
      <c r="O3335" s="55" t="s">
        <v>193</v>
      </c>
      <c r="P3335" s="55" t="s">
        <v>193</v>
      </c>
      <c r="Q3335" s="55" t="s">
        <v>380</v>
      </c>
      <c r="R3335" s="55">
        <v>4</v>
      </c>
      <c r="S3335" s="55"/>
      <c r="T3335" s="55" t="s">
        <v>1353</v>
      </c>
      <c r="U3335" s="73" t="s">
        <v>351</v>
      </c>
      <c r="V3335" s="74">
        <v>44433</v>
      </c>
      <c r="W3335" s="74">
        <v>44468</v>
      </c>
      <c r="X3335" s="55">
        <v>10187057</v>
      </c>
      <c r="Y3335" s="55" t="s">
        <v>132</v>
      </c>
      <c r="AB3335" s="55" t="s">
        <v>132</v>
      </c>
      <c r="AC3335" s="55" t="s">
        <v>132</v>
      </c>
    </row>
    <row r="3336" spans="1:29" ht="13" x14ac:dyDescent="0.15">
      <c r="A3336" s="72" t="str">
        <f t="shared" si="52"/>
        <v>Ofsted Social Care Provider Webpage</v>
      </c>
      <c r="B3336" s="55" t="s">
        <v>6251</v>
      </c>
      <c r="D3336" s="55" t="s">
        <v>373</v>
      </c>
      <c r="E3336" s="74">
        <v>41618</v>
      </c>
      <c r="F3336" s="55" t="s">
        <v>344</v>
      </c>
      <c r="G3336" s="55" t="s">
        <v>360</v>
      </c>
      <c r="H3336" s="55" t="s">
        <v>360</v>
      </c>
      <c r="I3336" s="55" t="s">
        <v>360</v>
      </c>
      <c r="J3336" s="55" t="s">
        <v>360</v>
      </c>
      <c r="K3336" s="55" t="s">
        <v>360</v>
      </c>
      <c r="L3336" s="55" t="s">
        <v>360</v>
      </c>
      <c r="M3336" s="55" t="s">
        <v>378</v>
      </c>
      <c r="N3336" s="55" t="s">
        <v>134</v>
      </c>
      <c r="O3336" s="55" t="s">
        <v>226</v>
      </c>
      <c r="P3336" s="55" t="s">
        <v>3094</v>
      </c>
      <c r="Q3336" s="55" t="s">
        <v>380</v>
      </c>
      <c r="R3336" s="55">
        <v>6</v>
      </c>
      <c r="S3336" s="55"/>
      <c r="T3336" s="55" t="s">
        <v>3095</v>
      </c>
      <c r="U3336" s="73" t="s">
        <v>351</v>
      </c>
      <c r="V3336" s="74">
        <v>44508</v>
      </c>
      <c r="W3336" s="74">
        <v>44581</v>
      </c>
      <c r="X3336" s="55">
        <v>10186160</v>
      </c>
      <c r="Y3336" s="55" t="s">
        <v>140</v>
      </c>
      <c r="AB3336" s="55" t="s">
        <v>140</v>
      </c>
      <c r="AC3336" s="55" t="s">
        <v>140</v>
      </c>
    </row>
    <row r="3337" spans="1:29" ht="13" x14ac:dyDescent="0.15">
      <c r="A3337" s="72" t="str">
        <f t="shared" si="52"/>
        <v>Ofsted Social Care Provider Webpage</v>
      </c>
      <c r="B3337" s="55" t="s">
        <v>6252</v>
      </c>
      <c r="D3337" s="55" t="s">
        <v>373</v>
      </c>
      <c r="E3337" s="74">
        <v>41675</v>
      </c>
      <c r="F3337" s="55" t="s">
        <v>344</v>
      </c>
      <c r="G3337" s="55" t="s">
        <v>360</v>
      </c>
      <c r="H3337" s="55" t="s">
        <v>360</v>
      </c>
      <c r="I3337" s="55" t="s">
        <v>360</v>
      </c>
      <c r="J3337" s="55" t="s">
        <v>360</v>
      </c>
      <c r="K3337" s="55" t="s">
        <v>360</v>
      </c>
      <c r="L3337" s="55" t="s">
        <v>360</v>
      </c>
      <c r="M3337" s="55" t="s">
        <v>142</v>
      </c>
      <c r="N3337" s="55" t="s">
        <v>142</v>
      </c>
      <c r="O3337" s="55" t="s">
        <v>177</v>
      </c>
      <c r="P3337" s="55" t="s">
        <v>1406</v>
      </c>
      <c r="Q3337" s="55" t="s">
        <v>350</v>
      </c>
      <c r="R3337" s="55">
        <v>5</v>
      </c>
      <c r="S3337" s="55"/>
      <c r="T3337" s="55" t="s">
        <v>385</v>
      </c>
      <c r="U3337" s="73" t="s">
        <v>351</v>
      </c>
      <c r="V3337" s="74">
        <v>44600</v>
      </c>
      <c r="W3337" s="74">
        <v>44644</v>
      </c>
      <c r="X3337" s="55">
        <v>10187230</v>
      </c>
      <c r="Y3337" s="55" t="s">
        <v>132</v>
      </c>
      <c r="AB3337" s="55" t="s">
        <v>130</v>
      </c>
      <c r="AC3337" s="55" t="s">
        <v>130</v>
      </c>
    </row>
    <row r="3338" spans="1:29" ht="13" x14ac:dyDescent="0.15">
      <c r="A3338" s="72" t="str">
        <f t="shared" si="52"/>
        <v>Ofsted Social Care Provider Webpage</v>
      </c>
      <c r="B3338" s="55" t="s">
        <v>6253</v>
      </c>
      <c r="D3338" s="55" t="s">
        <v>373</v>
      </c>
      <c r="E3338" s="74">
        <v>41654</v>
      </c>
      <c r="F3338" s="55" t="s">
        <v>344</v>
      </c>
      <c r="G3338" s="55" t="s">
        <v>360</v>
      </c>
      <c r="H3338" s="55" t="s">
        <v>360</v>
      </c>
      <c r="I3338" s="55" t="s">
        <v>360</v>
      </c>
      <c r="J3338" s="55" t="s">
        <v>360</v>
      </c>
      <c r="K3338" s="55" t="s">
        <v>360</v>
      </c>
      <c r="L3338" s="55" t="s">
        <v>360</v>
      </c>
      <c r="M3338" s="55" t="s">
        <v>144</v>
      </c>
      <c r="N3338" s="55" t="s">
        <v>144</v>
      </c>
      <c r="O3338" s="55" t="s">
        <v>250</v>
      </c>
      <c r="P3338" s="55" t="s">
        <v>1372</v>
      </c>
      <c r="Q3338" s="55" t="s">
        <v>350</v>
      </c>
      <c r="R3338" s="55">
        <v>4</v>
      </c>
      <c r="S3338" s="55"/>
      <c r="T3338" s="55" t="s">
        <v>1414</v>
      </c>
      <c r="U3338" s="73" t="s">
        <v>351</v>
      </c>
      <c r="V3338" s="74">
        <v>43648</v>
      </c>
      <c r="W3338" s="74">
        <v>43686</v>
      </c>
      <c r="X3338" s="55">
        <v>10096998</v>
      </c>
      <c r="Y3338" s="55" t="s">
        <v>140</v>
      </c>
      <c r="AB3338" s="55" t="s">
        <v>140</v>
      </c>
      <c r="AC3338" s="55" t="s">
        <v>140</v>
      </c>
    </row>
    <row r="3339" spans="1:29" ht="13" x14ac:dyDescent="0.15">
      <c r="A3339" s="72" t="str">
        <f t="shared" si="52"/>
        <v>Ofsted Social Care Provider Webpage</v>
      </c>
      <c r="B3339" s="55" t="s">
        <v>6254</v>
      </c>
      <c r="D3339" s="55" t="s">
        <v>373</v>
      </c>
      <c r="E3339" s="74">
        <v>41670</v>
      </c>
      <c r="F3339" s="55" t="s">
        <v>344</v>
      </c>
      <c r="G3339" s="55" t="s">
        <v>360</v>
      </c>
      <c r="H3339" s="55" t="s">
        <v>360</v>
      </c>
      <c r="I3339" s="55" t="s">
        <v>360</v>
      </c>
      <c r="J3339" s="55" t="s">
        <v>360</v>
      </c>
      <c r="K3339" s="55" t="s">
        <v>360</v>
      </c>
      <c r="L3339" s="55" t="s">
        <v>360</v>
      </c>
      <c r="M3339" s="55" t="s">
        <v>144</v>
      </c>
      <c r="N3339" s="55" t="s">
        <v>144</v>
      </c>
      <c r="O3339" s="55" t="s">
        <v>217</v>
      </c>
      <c r="P3339" s="55" t="s">
        <v>384</v>
      </c>
      <c r="Q3339" s="55" t="s">
        <v>350</v>
      </c>
      <c r="R3339" s="55">
        <v>5</v>
      </c>
      <c r="S3339" s="55"/>
      <c r="T3339" s="55" t="s">
        <v>1093</v>
      </c>
      <c r="U3339" s="73" t="s">
        <v>351</v>
      </c>
      <c r="V3339" s="74">
        <v>44544</v>
      </c>
      <c r="W3339" s="74">
        <v>44589</v>
      </c>
      <c r="X3339" s="55">
        <v>10186858</v>
      </c>
      <c r="Y3339" s="55" t="s">
        <v>132</v>
      </c>
      <c r="AB3339" s="55" t="s">
        <v>132</v>
      </c>
      <c r="AC3339" s="55" t="s">
        <v>132</v>
      </c>
    </row>
    <row r="3340" spans="1:29" ht="13" x14ac:dyDescent="0.15">
      <c r="A3340" s="72" t="str">
        <f t="shared" si="52"/>
        <v>Ofsted Social Care Provider Webpage</v>
      </c>
      <c r="B3340" s="55" t="s">
        <v>6255</v>
      </c>
      <c r="D3340" s="55" t="s">
        <v>373</v>
      </c>
      <c r="E3340" s="74">
        <v>41641</v>
      </c>
      <c r="F3340" s="55" t="s">
        <v>344</v>
      </c>
      <c r="G3340" s="55" t="s">
        <v>360</v>
      </c>
      <c r="H3340" s="55" t="s">
        <v>360</v>
      </c>
      <c r="I3340" s="55" t="s">
        <v>360</v>
      </c>
      <c r="J3340" s="55" t="s">
        <v>360</v>
      </c>
      <c r="K3340" s="55" t="s">
        <v>360</v>
      </c>
      <c r="L3340" s="55" t="s">
        <v>360</v>
      </c>
      <c r="M3340" s="55" t="s">
        <v>378</v>
      </c>
      <c r="N3340" s="55" t="s">
        <v>170</v>
      </c>
      <c r="O3340" s="55" t="s">
        <v>222</v>
      </c>
      <c r="P3340" s="55" t="s">
        <v>521</v>
      </c>
      <c r="Q3340" s="55" t="s">
        <v>350</v>
      </c>
      <c r="R3340" s="55">
        <v>5</v>
      </c>
      <c r="S3340" s="55"/>
      <c r="T3340" s="55" t="s">
        <v>677</v>
      </c>
      <c r="U3340" s="73" t="s">
        <v>351</v>
      </c>
      <c r="V3340" s="74">
        <v>44502</v>
      </c>
      <c r="W3340" s="74">
        <v>44532</v>
      </c>
      <c r="X3340" s="55">
        <v>10186866</v>
      </c>
      <c r="Y3340" s="55" t="s">
        <v>132</v>
      </c>
      <c r="AB3340" s="55" t="s">
        <v>132</v>
      </c>
      <c r="AC3340" s="55" t="s">
        <v>132</v>
      </c>
    </row>
    <row r="3341" spans="1:29" ht="13" x14ac:dyDescent="0.15">
      <c r="A3341" s="72" t="str">
        <f t="shared" si="52"/>
        <v>Ofsted Social Care Provider Webpage</v>
      </c>
      <c r="B3341" s="55" t="s">
        <v>6256</v>
      </c>
      <c r="D3341" s="55" t="s">
        <v>373</v>
      </c>
      <c r="E3341" s="74">
        <v>41669</v>
      </c>
      <c r="F3341" s="55" t="s">
        <v>344</v>
      </c>
      <c r="G3341" s="55" t="s">
        <v>360</v>
      </c>
      <c r="H3341" s="55" t="s">
        <v>360</v>
      </c>
      <c r="I3341" s="55" t="s">
        <v>360</v>
      </c>
      <c r="J3341" s="55" t="s">
        <v>360</v>
      </c>
      <c r="K3341" s="55" t="s">
        <v>360</v>
      </c>
      <c r="L3341" s="55" t="s">
        <v>360</v>
      </c>
      <c r="M3341" s="55" t="s">
        <v>378</v>
      </c>
      <c r="N3341" s="55" t="s">
        <v>134</v>
      </c>
      <c r="O3341" s="55" t="s">
        <v>151</v>
      </c>
      <c r="P3341" s="55" t="s">
        <v>1778</v>
      </c>
      <c r="Q3341" s="55" t="s">
        <v>380</v>
      </c>
      <c r="R3341" s="55">
        <v>15</v>
      </c>
      <c r="S3341" s="55"/>
      <c r="T3341" s="55" t="s">
        <v>1220</v>
      </c>
      <c r="U3341" s="73" t="s">
        <v>351</v>
      </c>
      <c r="V3341" s="74">
        <v>44539</v>
      </c>
      <c r="W3341" s="74">
        <v>44596</v>
      </c>
      <c r="X3341" s="55">
        <v>10216301</v>
      </c>
      <c r="Y3341" s="55" t="s">
        <v>130</v>
      </c>
      <c r="AB3341" s="55" t="s">
        <v>130</v>
      </c>
      <c r="AC3341" s="55" t="s">
        <v>130</v>
      </c>
    </row>
    <row r="3342" spans="1:29" ht="13" x14ac:dyDescent="0.15">
      <c r="A3342" s="72" t="str">
        <f t="shared" si="52"/>
        <v>Ofsted Social Care Provider Webpage</v>
      </c>
      <c r="B3342" s="55" t="s">
        <v>6257</v>
      </c>
      <c r="D3342" s="55" t="s">
        <v>373</v>
      </c>
      <c r="E3342" s="74">
        <v>41625</v>
      </c>
      <c r="F3342" s="55" t="s">
        <v>344</v>
      </c>
      <c r="G3342" s="55" t="s">
        <v>360</v>
      </c>
      <c r="H3342" s="55" t="s">
        <v>360</v>
      </c>
      <c r="I3342" s="55" t="s">
        <v>360</v>
      </c>
      <c r="J3342" s="55" t="s">
        <v>360</v>
      </c>
      <c r="K3342" s="55" t="s">
        <v>360</v>
      </c>
      <c r="L3342" s="55" t="s">
        <v>360</v>
      </c>
      <c r="M3342" s="55" t="s">
        <v>150</v>
      </c>
      <c r="N3342" s="55" t="s">
        <v>150</v>
      </c>
      <c r="O3342" s="55" t="s">
        <v>283</v>
      </c>
      <c r="P3342" s="55" t="s">
        <v>291</v>
      </c>
      <c r="Q3342" s="55" t="s">
        <v>350</v>
      </c>
      <c r="R3342" s="55">
        <v>5</v>
      </c>
      <c r="S3342" s="55"/>
      <c r="T3342" s="55" t="s">
        <v>6244</v>
      </c>
      <c r="U3342" s="73" t="s">
        <v>351</v>
      </c>
      <c r="V3342" s="74">
        <v>44517</v>
      </c>
      <c r="W3342" s="74">
        <v>44580</v>
      </c>
      <c r="X3342" s="55">
        <v>10185203</v>
      </c>
      <c r="Y3342" s="55" t="s">
        <v>140</v>
      </c>
      <c r="AB3342" s="55" t="s">
        <v>140</v>
      </c>
      <c r="AC3342" s="55" t="s">
        <v>140</v>
      </c>
    </row>
    <row r="3343" spans="1:29" ht="13" x14ac:dyDescent="0.15">
      <c r="A3343" s="72" t="str">
        <f t="shared" si="52"/>
        <v>Ofsted Social Care Provider Webpage</v>
      </c>
      <c r="B3343" s="55" t="s">
        <v>6258</v>
      </c>
      <c r="D3343" s="55" t="s">
        <v>373</v>
      </c>
      <c r="E3343" s="74">
        <v>41659</v>
      </c>
      <c r="F3343" s="55" t="s">
        <v>344</v>
      </c>
      <c r="G3343" s="55" t="s">
        <v>360</v>
      </c>
      <c r="H3343" s="55" t="s">
        <v>360</v>
      </c>
      <c r="I3343" s="55" t="s">
        <v>360</v>
      </c>
      <c r="J3343" s="55" t="s">
        <v>360</v>
      </c>
      <c r="K3343" s="55" t="s">
        <v>360</v>
      </c>
      <c r="L3343" s="55" t="s">
        <v>360</v>
      </c>
      <c r="M3343" s="55" t="s">
        <v>144</v>
      </c>
      <c r="N3343" s="55" t="s">
        <v>144</v>
      </c>
      <c r="O3343" s="55" t="s">
        <v>207</v>
      </c>
      <c r="P3343" s="55" t="s">
        <v>792</v>
      </c>
      <c r="Q3343" s="55" t="s">
        <v>350</v>
      </c>
      <c r="R3343" s="55">
        <v>2</v>
      </c>
      <c r="S3343" s="55"/>
      <c r="T3343" s="55" t="s">
        <v>1449</v>
      </c>
      <c r="U3343" s="73" t="s">
        <v>351</v>
      </c>
      <c r="V3343" s="74">
        <v>44530</v>
      </c>
      <c r="W3343" s="74">
        <v>44581</v>
      </c>
      <c r="X3343" s="55">
        <v>10185716</v>
      </c>
      <c r="Y3343" s="55" t="s">
        <v>132</v>
      </c>
      <c r="AB3343" s="55" t="s">
        <v>132</v>
      </c>
      <c r="AC3343" s="55" t="s">
        <v>132</v>
      </c>
    </row>
    <row r="3344" spans="1:29" ht="13" x14ac:dyDescent="0.15">
      <c r="A3344" s="72" t="str">
        <f t="shared" si="52"/>
        <v>Ofsted Social Care Provider Webpage</v>
      </c>
      <c r="B3344" s="55" t="s">
        <v>6259</v>
      </c>
      <c r="D3344" s="55" t="s">
        <v>373</v>
      </c>
      <c r="E3344" s="74">
        <v>41607</v>
      </c>
      <c r="F3344" s="55" t="s">
        <v>344</v>
      </c>
      <c r="G3344" s="55" t="s">
        <v>360</v>
      </c>
      <c r="H3344" s="55" t="s">
        <v>360</v>
      </c>
      <c r="I3344" s="55" t="s">
        <v>360</v>
      </c>
      <c r="J3344" s="55" t="s">
        <v>360</v>
      </c>
      <c r="K3344" s="55" t="s">
        <v>360</v>
      </c>
      <c r="L3344" s="55" t="s">
        <v>360</v>
      </c>
      <c r="M3344" s="55" t="s">
        <v>150</v>
      </c>
      <c r="N3344" s="55" t="s">
        <v>150</v>
      </c>
      <c r="O3344" s="55" t="s">
        <v>203</v>
      </c>
      <c r="P3344" s="55" t="s">
        <v>593</v>
      </c>
      <c r="Q3344" s="55" t="s">
        <v>350</v>
      </c>
      <c r="R3344" s="55">
        <v>5</v>
      </c>
      <c r="S3344" s="55"/>
      <c r="T3344" s="55" t="s">
        <v>1442</v>
      </c>
      <c r="U3344" s="73" t="s">
        <v>351</v>
      </c>
      <c r="V3344" s="74">
        <v>43768</v>
      </c>
      <c r="W3344" s="74">
        <v>43812</v>
      </c>
      <c r="X3344" s="55">
        <v>10096977</v>
      </c>
      <c r="Y3344" s="55" t="s">
        <v>130</v>
      </c>
      <c r="AB3344" s="55" t="s">
        <v>130</v>
      </c>
      <c r="AC3344" s="55" t="s">
        <v>130</v>
      </c>
    </row>
    <row r="3345" spans="1:29" ht="13" x14ac:dyDescent="0.15">
      <c r="A3345" s="72" t="str">
        <f t="shared" si="52"/>
        <v>Ofsted Social Care Provider Webpage</v>
      </c>
      <c r="B3345" s="55" t="s">
        <v>6260</v>
      </c>
      <c r="D3345" s="55" t="s">
        <v>373</v>
      </c>
      <c r="E3345" s="74">
        <v>41712</v>
      </c>
      <c r="F3345" s="55" t="s">
        <v>344</v>
      </c>
      <c r="G3345" s="55" t="s">
        <v>360</v>
      </c>
      <c r="H3345" s="55" t="s">
        <v>360</v>
      </c>
      <c r="I3345" s="55" t="s">
        <v>360</v>
      </c>
      <c r="J3345" s="55" t="s">
        <v>360</v>
      </c>
      <c r="K3345" s="55" t="s">
        <v>360</v>
      </c>
      <c r="L3345" s="55" t="s">
        <v>360</v>
      </c>
      <c r="M3345" s="55" t="s">
        <v>144</v>
      </c>
      <c r="N3345" s="55" t="s">
        <v>144</v>
      </c>
      <c r="O3345" s="55" t="s">
        <v>245</v>
      </c>
      <c r="P3345" s="55" t="s">
        <v>245</v>
      </c>
      <c r="Q3345" s="55" t="s">
        <v>350</v>
      </c>
      <c r="R3345" s="55">
        <v>3</v>
      </c>
      <c r="S3345" s="55"/>
      <c r="T3345" s="55" t="s">
        <v>1218</v>
      </c>
      <c r="U3345" s="73" t="s">
        <v>351</v>
      </c>
      <c r="V3345" s="74">
        <v>44453</v>
      </c>
      <c r="W3345" s="74">
        <v>44481</v>
      </c>
      <c r="X3345" s="55">
        <v>10185980</v>
      </c>
      <c r="Y3345" s="55" t="s">
        <v>132</v>
      </c>
      <c r="AB3345" s="55" t="s">
        <v>132</v>
      </c>
      <c r="AC3345" s="55" t="s">
        <v>132</v>
      </c>
    </row>
    <row r="3346" spans="1:29" ht="13" x14ac:dyDescent="0.15">
      <c r="A3346" s="72" t="str">
        <f t="shared" si="52"/>
        <v>Ofsted Social Care Provider Webpage</v>
      </c>
      <c r="B3346" s="55" t="s">
        <v>6261</v>
      </c>
      <c r="D3346" s="55" t="s">
        <v>373</v>
      </c>
      <c r="E3346" s="74">
        <v>41838</v>
      </c>
      <c r="F3346" s="55" t="s">
        <v>344</v>
      </c>
      <c r="G3346" s="55" t="s">
        <v>360</v>
      </c>
      <c r="H3346" s="55" t="s">
        <v>360</v>
      </c>
      <c r="I3346" s="55" t="s">
        <v>360</v>
      </c>
      <c r="J3346" s="55" t="s">
        <v>360</v>
      </c>
      <c r="K3346" s="55" t="s">
        <v>360</v>
      </c>
      <c r="L3346" s="55" t="s">
        <v>360</v>
      </c>
      <c r="M3346" s="55" t="s">
        <v>144</v>
      </c>
      <c r="N3346" s="55" t="s">
        <v>144</v>
      </c>
      <c r="O3346" s="55" t="s">
        <v>250</v>
      </c>
      <c r="P3346" s="55" t="s">
        <v>759</v>
      </c>
      <c r="Q3346" s="55" t="s">
        <v>350</v>
      </c>
      <c r="R3346" s="55">
        <v>5</v>
      </c>
      <c r="S3346" s="55"/>
      <c r="T3346" s="55" t="s">
        <v>737</v>
      </c>
      <c r="U3346" s="73" t="s">
        <v>351</v>
      </c>
      <c r="V3346" s="74">
        <v>44299</v>
      </c>
      <c r="W3346" s="74">
        <v>44334</v>
      </c>
      <c r="X3346" s="55">
        <v>10185220</v>
      </c>
      <c r="Y3346" s="55" t="s">
        <v>132</v>
      </c>
      <c r="AB3346" s="55" t="s">
        <v>132</v>
      </c>
      <c r="AC3346" s="55" t="s">
        <v>132</v>
      </c>
    </row>
    <row r="3347" spans="1:29" ht="13" x14ac:dyDescent="0.15">
      <c r="A3347" s="72" t="str">
        <f t="shared" si="52"/>
        <v>Ofsted Social Care Provider Webpage</v>
      </c>
      <c r="B3347" s="55" t="s">
        <v>6262</v>
      </c>
      <c r="D3347" s="55" t="s">
        <v>373</v>
      </c>
      <c r="E3347" s="74">
        <v>41701</v>
      </c>
      <c r="F3347" s="55" t="s">
        <v>344</v>
      </c>
      <c r="G3347" s="55" t="s">
        <v>360</v>
      </c>
      <c r="H3347" s="55" t="s">
        <v>360</v>
      </c>
      <c r="I3347" s="55" t="s">
        <v>360</v>
      </c>
      <c r="J3347" s="55" t="s">
        <v>360</v>
      </c>
      <c r="K3347" s="55" t="s">
        <v>360</v>
      </c>
      <c r="L3347" s="55" t="s">
        <v>360</v>
      </c>
      <c r="M3347" s="55" t="s">
        <v>378</v>
      </c>
      <c r="N3347" s="55" t="s">
        <v>134</v>
      </c>
      <c r="O3347" s="55" t="s">
        <v>246</v>
      </c>
      <c r="P3347" s="55" t="s">
        <v>1104</v>
      </c>
      <c r="Q3347" s="55" t="s">
        <v>350</v>
      </c>
      <c r="R3347" s="55">
        <v>6</v>
      </c>
      <c r="S3347" s="55"/>
      <c r="T3347" s="55" t="s">
        <v>450</v>
      </c>
      <c r="U3347" s="73" t="s">
        <v>351</v>
      </c>
      <c r="V3347" s="74">
        <v>44425</v>
      </c>
      <c r="W3347" s="74">
        <v>44459</v>
      </c>
      <c r="X3347" s="55">
        <v>10187164</v>
      </c>
      <c r="Y3347" s="55" t="s">
        <v>130</v>
      </c>
      <c r="AB3347" s="55" t="s">
        <v>130</v>
      </c>
      <c r="AC3347" s="55" t="s">
        <v>146</v>
      </c>
    </row>
    <row r="3348" spans="1:29" ht="13" x14ac:dyDescent="0.15">
      <c r="A3348" s="72" t="str">
        <f t="shared" si="52"/>
        <v>Ofsted Social Care Provider Webpage</v>
      </c>
      <c r="B3348" s="55" t="s">
        <v>6263</v>
      </c>
      <c r="D3348" s="55" t="s">
        <v>373</v>
      </c>
      <c r="E3348" s="74">
        <v>41677</v>
      </c>
      <c r="F3348" s="55" t="s">
        <v>344</v>
      </c>
      <c r="G3348" s="55" t="s">
        <v>360</v>
      </c>
      <c r="H3348" s="55" t="s">
        <v>360</v>
      </c>
      <c r="I3348" s="55" t="s">
        <v>360</v>
      </c>
      <c r="J3348" s="55" t="s">
        <v>360</v>
      </c>
      <c r="K3348" s="55" t="s">
        <v>360</v>
      </c>
      <c r="L3348" s="55" t="s">
        <v>360</v>
      </c>
      <c r="M3348" s="55" t="s">
        <v>129</v>
      </c>
      <c r="N3348" s="55" t="s">
        <v>129</v>
      </c>
      <c r="O3348" s="55" t="s">
        <v>160</v>
      </c>
      <c r="P3348" s="55" t="s">
        <v>447</v>
      </c>
      <c r="Q3348" s="55" t="s">
        <v>350</v>
      </c>
      <c r="R3348" s="55">
        <v>10</v>
      </c>
      <c r="S3348" s="55"/>
      <c r="T3348" s="55" t="s">
        <v>939</v>
      </c>
      <c r="U3348" s="73" t="s">
        <v>351</v>
      </c>
      <c r="V3348" s="74">
        <v>44482</v>
      </c>
      <c r="W3348" s="74">
        <v>44518</v>
      </c>
      <c r="X3348" s="55">
        <v>10185135</v>
      </c>
      <c r="Y3348" s="55" t="s">
        <v>132</v>
      </c>
      <c r="AB3348" s="55" t="s">
        <v>130</v>
      </c>
      <c r="AC3348" s="55" t="s">
        <v>132</v>
      </c>
    </row>
    <row r="3349" spans="1:29" ht="13" x14ac:dyDescent="0.15">
      <c r="A3349" s="72" t="str">
        <f t="shared" si="52"/>
        <v>Ofsted Social Care Provider Webpage</v>
      </c>
      <c r="B3349" s="55" t="s">
        <v>6264</v>
      </c>
      <c r="D3349" s="55" t="s">
        <v>373</v>
      </c>
      <c r="E3349" s="74">
        <v>41715</v>
      </c>
      <c r="F3349" s="55" t="s">
        <v>344</v>
      </c>
      <c r="G3349" s="55" t="s">
        <v>360</v>
      </c>
      <c r="H3349" s="55" t="s">
        <v>360</v>
      </c>
      <c r="I3349" s="55" t="s">
        <v>360</v>
      </c>
      <c r="J3349" s="55" t="s">
        <v>360</v>
      </c>
      <c r="K3349" s="55" t="s">
        <v>360</v>
      </c>
      <c r="L3349" s="55" t="s">
        <v>360</v>
      </c>
      <c r="M3349" s="55" t="s">
        <v>172</v>
      </c>
      <c r="N3349" s="55" t="s">
        <v>172</v>
      </c>
      <c r="O3349" s="55" t="s">
        <v>214</v>
      </c>
      <c r="P3349" s="55" t="s">
        <v>790</v>
      </c>
      <c r="Q3349" s="55" t="s">
        <v>350</v>
      </c>
      <c r="R3349" s="55">
        <v>4</v>
      </c>
      <c r="S3349" s="55"/>
      <c r="T3349" s="55" t="s">
        <v>375</v>
      </c>
      <c r="U3349" s="73" t="s">
        <v>351</v>
      </c>
      <c r="V3349" s="74">
        <v>44572</v>
      </c>
      <c r="W3349" s="74">
        <v>44615</v>
      </c>
      <c r="X3349" s="55">
        <v>10210477</v>
      </c>
      <c r="Y3349" s="55" t="s">
        <v>130</v>
      </c>
      <c r="AB3349" s="55" t="s">
        <v>130</v>
      </c>
      <c r="AC3349" s="55" t="s">
        <v>130</v>
      </c>
    </row>
    <row r="3350" spans="1:29" ht="13" x14ac:dyDescent="0.15">
      <c r="A3350" s="72" t="str">
        <f t="shared" si="52"/>
        <v>Ofsted Social Care Provider Webpage</v>
      </c>
      <c r="B3350" s="55" t="s">
        <v>6265</v>
      </c>
      <c r="C3350" s="55">
        <v>106965</v>
      </c>
      <c r="D3350" s="55" t="s">
        <v>413</v>
      </c>
      <c r="E3350" s="74">
        <v>41589</v>
      </c>
      <c r="F3350" s="55" t="s">
        <v>344</v>
      </c>
      <c r="G3350" s="55" t="s">
        <v>6266</v>
      </c>
      <c r="H3350" s="55" t="s">
        <v>6267</v>
      </c>
      <c r="I3350" s="55" t="s">
        <v>6268</v>
      </c>
      <c r="J3350" s="55" t="s">
        <v>6269</v>
      </c>
      <c r="K3350" s="55" t="s">
        <v>683</v>
      </c>
      <c r="L3350" s="55" t="s">
        <v>6270</v>
      </c>
      <c r="M3350" s="55" t="s">
        <v>378</v>
      </c>
      <c r="N3350" s="55" t="s">
        <v>134</v>
      </c>
      <c r="O3350" s="55" t="s">
        <v>133</v>
      </c>
      <c r="P3350" s="55" t="s">
        <v>685</v>
      </c>
      <c r="Q3350" s="55" t="s">
        <v>362</v>
      </c>
      <c r="R3350" s="55">
        <v>10</v>
      </c>
      <c r="S3350" s="55"/>
      <c r="T3350" s="55" t="s">
        <v>2804</v>
      </c>
      <c r="U3350" s="73" t="s">
        <v>351</v>
      </c>
      <c r="V3350" s="74">
        <v>44452</v>
      </c>
      <c r="W3350" s="74">
        <v>44494</v>
      </c>
      <c r="X3350" s="55">
        <v>10183521</v>
      </c>
      <c r="Y3350" s="55" t="s">
        <v>140</v>
      </c>
      <c r="AB3350" s="55" t="s">
        <v>140</v>
      </c>
      <c r="AC3350" s="55" t="s">
        <v>140</v>
      </c>
    </row>
    <row r="3351" spans="1:29" ht="13" x14ac:dyDescent="0.15">
      <c r="A3351" s="72" t="str">
        <f t="shared" si="52"/>
        <v>Ofsted Social Care Provider Webpage</v>
      </c>
      <c r="B3351" s="55" t="s">
        <v>6271</v>
      </c>
      <c r="D3351" s="55" t="s">
        <v>373</v>
      </c>
      <c r="E3351" s="74">
        <v>41726</v>
      </c>
      <c r="F3351" s="55" t="s">
        <v>344</v>
      </c>
      <c r="G3351" s="55" t="s">
        <v>360</v>
      </c>
      <c r="H3351" s="55" t="s">
        <v>360</v>
      </c>
      <c r="I3351" s="55" t="s">
        <v>360</v>
      </c>
      <c r="J3351" s="55" t="s">
        <v>360</v>
      </c>
      <c r="K3351" s="55" t="s">
        <v>360</v>
      </c>
      <c r="L3351" s="55" t="s">
        <v>360</v>
      </c>
      <c r="M3351" s="55" t="s">
        <v>150</v>
      </c>
      <c r="N3351" s="55" t="s">
        <v>150</v>
      </c>
      <c r="O3351" s="55" t="s">
        <v>203</v>
      </c>
      <c r="P3351" s="55" t="s">
        <v>800</v>
      </c>
      <c r="Q3351" s="55" t="s">
        <v>350</v>
      </c>
      <c r="R3351" s="55">
        <v>2</v>
      </c>
      <c r="S3351" s="55"/>
      <c r="T3351" s="55" t="s">
        <v>5214</v>
      </c>
      <c r="U3351" s="73" t="s">
        <v>351</v>
      </c>
      <c r="V3351" s="74">
        <v>44600</v>
      </c>
      <c r="W3351" s="74">
        <v>44662</v>
      </c>
      <c r="X3351" s="55">
        <v>10186997</v>
      </c>
      <c r="Y3351" s="55" t="s">
        <v>132</v>
      </c>
      <c r="AB3351" s="55" t="s">
        <v>132</v>
      </c>
      <c r="AC3351" s="55" t="s">
        <v>132</v>
      </c>
    </row>
    <row r="3352" spans="1:29" ht="13" x14ac:dyDescent="0.15">
      <c r="A3352" s="72" t="str">
        <f t="shared" si="52"/>
        <v>Ofsted Social Care Provider Webpage</v>
      </c>
      <c r="B3352" s="55" t="s">
        <v>6272</v>
      </c>
      <c r="D3352" s="55" t="s">
        <v>373</v>
      </c>
      <c r="E3352" s="74">
        <v>41726</v>
      </c>
      <c r="F3352" s="55" t="s">
        <v>344</v>
      </c>
      <c r="G3352" s="55" t="s">
        <v>360</v>
      </c>
      <c r="H3352" s="55" t="s">
        <v>360</v>
      </c>
      <c r="I3352" s="55" t="s">
        <v>360</v>
      </c>
      <c r="J3352" s="55" t="s">
        <v>360</v>
      </c>
      <c r="K3352" s="55" t="s">
        <v>360</v>
      </c>
      <c r="L3352" s="55" t="s">
        <v>360</v>
      </c>
      <c r="M3352" s="55" t="s">
        <v>150</v>
      </c>
      <c r="N3352" s="55" t="s">
        <v>150</v>
      </c>
      <c r="O3352" s="55" t="s">
        <v>203</v>
      </c>
      <c r="P3352" s="55" t="s">
        <v>800</v>
      </c>
      <c r="Q3352" s="55" t="s">
        <v>350</v>
      </c>
      <c r="R3352" s="55">
        <v>2</v>
      </c>
      <c r="S3352" s="55"/>
      <c r="T3352" s="55" t="s">
        <v>5214</v>
      </c>
      <c r="U3352" s="73" t="s">
        <v>351</v>
      </c>
      <c r="V3352" s="74">
        <v>43781</v>
      </c>
      <c r="W3352" s="74">
        <v>43803</v>
      </c>
      <c r="X3352" s="55">
        <v>10097031</v>
      </c>
      <c r="Y3352" s="55" t="s">
        <v>132</v>
      </c>
      <c r="AB3352" s="55" t="s">
        <v>132</v>
      </c>
      <c r="AC3352" s="55" t="s">
        <v>130</v>
      </c>
    </row>
    <row r="3353" spans="1:29" ht="13" x14ac:dyDescent="0.15">
      <c r="A3353" s="72" t="str">
        <f t="shared" si="52"/>
        <v>Ofsted Social Care Provider Webpage</v>
      </c>
      <c r="B3353" s="55" t="s">
        <v>6273</v>
      </c>
      <c r="D3353" s="55" t="s">
        <v>373</v>
      </c>
      <c r="E3353" s="74">
        <v>41759</v>
      </c>
      <c r="F3353" s="55" t="s">
        <v>344</v>
      </c>
      <c r="G3353" s="55" t="s">
        <v>360</v>
      </c>
      <c r="H3353" s="55" t="s">
        <v>360</v>
      </c>
      <c r="I3353" s="55" t="s">
        <v>360</v>
      </c>
      <c r="J3353" s="55" t="s">
        <v>360</v>
      </c>
      <c r="K3353" s="55" t="s">
        <v>360</v>
      </c>
      <c r="L3353" s="55" t="s">
        <v>360</v>
      </c>
      <c r="M3353" s="55" t="s">
        <v>142</v>
      </c>
      <c r="N3353" s="55" t="s">
        <v>142</v>
      </c>
      <c r="O3353" s="55" t="s">
        <v>252</v>
      </c>
      <c r="P3353" s="55" t="s">
        <v>386</v>
      </c>
      <c r="Q3353" s="55" t="s">
        <v>350</v>
      </c>
      <c r="R3353" s="55">
        <v>2</v>
      </c>
      <c r="S3353" s="55"/>
      <c r="T3353" s="55" t="s">
        <v>1182</v>
      </c>
      <c r="U3353" s="73" t="s">
        <v>351</v>
      </c>
      <c r="V3353" s="74">
        <v>44314</v>
      </c>
      <c r="W3353" s="74">
        <v>44341</v>
      </c>
      <c r="X3353" s="55">
        <v>10187422</v>
      </c>
      <c r="Y3353" s="55" t="s">
        <v>132</v>
      </c>
      <c r="AB3353" s="55" t="s">
        <v>132</v>
      </c>
      <c r="AC3353" s="55" t="s">
        <v>130</v>
      </c>
    </row>
    <row r="3354" spans="1:29" ht="13" x14ac:dyDescent="0.15">
      <c r="A3354" s="72" t="str">
        <f t="shared" si="52"/>
        <v>Ofsted Social Care Provider Webpage</v>
      </c>
      <c r="B3354" s="55" t="s">
        <v>6274</v>
      </c>
      <c r="D3354" s="55" t="s">
        <v>373</v>
      </c>
      <c r="E3354" s="74">
        <v>41681</v>
      </c>
      <c r="F3354" s="55" t="s">
        <v>344</v>
      </c>
      <c r="G3354" s="55" t="s">
        <v>360</v>
      </c>
      <c r="H3354" s="55" t="s">
        <v>360</v>
      </c>
      <c r="I3354" s="55" t="s">
        <v>360</v>
      </c>
      <c r="J3354" s="55" t="s">
        <v>360</v>
      </c>
      <c r="K3354" s="55" t="s">
        <v>360</v>
      </c>
      <c r="L3354" s="55" t="s">
        <v>360</v>
      </c>
      <c r="M3354" s="55" t="s">
        <v>150</v>
      </c>
      <c r="N3354" s="55" t="s">
        <v>150</v>
      </c>
      <c r="O3354" s="55" t="s">
        <v>156</v>
      </c>
      <c r="P3354" s="55" t="s">
        <v>1576</v>
      </c>
      <c r="Q3354" s="55" t="s">
        <v>350</v>
      </c>
      <c r="R3354" s="55">
        <v>4</v>
      </c>
      <c r="S3354" s="55"/>
      <c r="T3354" s="55" t="s">
        <v>762</v>
      </c>
      <c r="U3354" s="73" t="s">
        <v>351</v>
      </c>
      <c r="V3354" s="74">
        <v>44383</v>
      </c>
      <c r="W3354" s="74">
        <v>44435</v>
      </c>
      <c r="X3354" s="55">
        <v>10185673</v>
      </c>
      <c r="Y3354" s="55" t="s">
        <v>132</v>
      </c>
      <c r="AB3354" s="55" t="s">
        <v>132</v>
      </c>
      <c r="AC3354" s="55" t="s">
        <v>132</v>
      </c>
    </row>
    <row r="3355" spans="1:29" ht="13" x14ac:dyDescent="0.15">
      <c r="A3355" s="72" t="str">
        <f t="shared" si="52"/>
        <v>Ofsted Social Care Provider Webpage</v>
      </c>
      <c r="B3355" s="55" t="s">
        <v>6275</v>
      </c>
      <c r="D3355" s="55" t="s">
        <v>373</v>
      </c>
      <c r="E3355" s="74">
        <v>41758</v>
      </c>
      <c r="F3355" s="55" t="s">
        <v>344</v>
      </c>
      <c r="G3355" s="55" t="s">
        <v>360</v>
      </c>
      <c r="H3355" s="55" t="s">
        <v>360</v>
      </c>
      <c r="I3355" s="55" t="s">
        <v>360</v>
      </c>
      <c r="J3355" s="55" t="s">
        <v>360</v>
      </c>
      <c r="K3355" s="55" t="s">
        <v>360</v>
      </c>
      <c r="L3355" s="55" t="s">
        <v>360</v>
      </c>
      <c r="M3355" s="55" t="s">
        <v>142</v>
      </c>
      <c r="N3355" s="55" t="s">
        <v>142</v>
      </c>
      <c r="O3355" s="55" t="s">
        <v>262</v>
      </c>
      <c r="P3355" s="55" t="s">
        <v>949</v>
      </c>
      <c r="Q3355" s="55" t="s">
        <v>350</v>
      </c>
      <c r="R3355" s="55">
        <v>4</v>
      </c>
      <c r="S3355" s="55"/>
      <c r="T3355" s="55" t="s">
        <v>865</v>
      </c>
      <c r="U3355" s="73" t="s">
        <v>351</v>
      </c>
      <c r="V3355" s="74">
        <v>44502</v>
      </c>
      <c r="W3355" s="74">
        <v>44538</v>
      </c>
      <c r="X3355" s="55">
        <v>10205001</v>
      </c>
      <c r="Y3355" s="55" t="s">
        <v>132</v>
      </c>
      <c r="AB3355" s="55" t="s">
        <v>132</v>
      </c>
      <c r="AC3355" s="55" t="s">
        <v>132</v>
      </c>
    </row>
    <row r="3356" spans="1:29" ht="13" x14ac:dyDescent="0.15">
      <c r="A3356" s="72" t="str">
        <f t="shared" si="52"/>
        <v>Ofsted Social Care Provider Webpage</v>
      </c>
      <c r="B3356" s="55" t="s">
        <v>6276</v>
      </c>
      <c r="D3356" s="55" t="s">
        <v>373</v>
      </c>
      <c r="E3356" s="74">
        <v>41696</v>
      </c>
      <c r="F3356" s="55" t="s">
        <v>344</v>
      </c>
      <c r="G3356" s="55" t="s">
        <v>360</v>
      </c>
      <c r="H3356" s="55" t="s">
        <v>360</v>
      </c>
      <c r="I3356" s="55" t="s">
        <v>360</v>
      </c>
      <c r="J3356" s="55" t="s">
        <v>360</v>
      </c>
      <c r="K3356" s="55" t="s">
        <v>360</v>
      </c>
      <c r="L3356" s="55" t="s">
        <v>360</v>
      </c>
      <c r="M3356" s="55" t="s">
        <v>129</v>
      </c>
      <c r="N3356" s="55" t="s">
        <v>129</v>
      </c>
      <c r="O3356" s="55" t="s">
        <v>155</v>
      </c>
      <c r="P3356" s="55" t="s">
        <v>2490</v>
      </c>
      <c r="Q3356" s="55" t="s">
        <v>851</v>
      </c>
      <c r="R3356" s="55">
        <v>12</v>
      </c>
      <c r="S3356" s="55" t="s">
        <v>332</v>
      </c>
      <c r="T3356" s="55" t="s">
        <v>6277</v>
      </c>
      <c r="U3356" s="73" t="s">
        <v>351</v>
      </c>
      <c r="V3356" s="74">
        <v>44396</v>
      </c>
      <c r="W3356" s="74">
        <v>44447</v>
      </c>
      <c r="X3356" s="55">
        <v>10186044</v>
      </c>
      <c r="Y3356" s="55" t="s">
        <v>132</v>
      </c>
      <c r="AB3356" s="55" t="s">
        <v>132</v>
      </c>
      <c r="AC3356" s="55" t="s">
        <v>130</v>
      </c>
    </row>
    <row r="3357" spans="1:29" ht="13" x14ac:dyDescent="0.15">
      <c r="A3357" s="72" t="str">
        <f t="shared" si="52"/>
        <v>Ofsted Social Care Provider Webpage</v>
      </c>
      <c r="B3357" s="55" t="s">
        <v>6278</v>
      </c>
      <c r="D3357" s="55" t="s">
        <v>451</v>
      </c>
      <c r="E3357" s="74">
        <v>41801</v>
      </c>
      <c r="F3357" s="55" t="s">
        <v>344</v>
      </c>
      <c r="G3357" s="55" t="s">
        <v>6279</v>
      </c>
      <c r="H3357" s="55" t="s">
        <v>6280</v>
      </c>
      <c r="I3357" s="55" t="s">
        <v>354</v>
      </c>
      <c r="J3357" s="55" t="s">
        <v>2578</v>
      </c>
      <c r="L3357" s="55" t="s">
        <v>6281</v>
      </c>
      <c r="M3357" s="55" t="s">
        <v>129</v>
      </c>
      <c r="N3357" s="55" t="s">
        <v>129</v>
      </c>
      <c r="O3357" s="55" t="s">
        <v>223</v>
      </c>
      <c r="P3357" s="55" t="s">
        <v>712</v>
      </c>
      <c r="Q3357" s="55" t="s">
        <v>350</v>
      </c>
      <c r="R3357" s="55">
        <v>6</v>
      </c>
      <c r="S3357" s="55"/>
      <c r="T3357" s="55" t="s">
        <v>6282</v>
      </c>
      <c r="U3357" s="73" t="s">
        <v>351</v>
      </c>
      <c r="V3357" s="74">
        <v>43600</v>
      </c>
      <c r="W3357" s="74">
        <v>43633</v>
      </c>
      <c r="X3357" s="55">
        <v>10092988</v>
      </c>
      <c r="Y3357" s="55" t="s">
        <v>130</v>
      </c>
      <c r="AB3357" s="55" t="s">
        <v>130</v>
      </c>
      <c r="AC3357" s="55" t="s">
        <v>146</v>
      </c>
    </row>
    <row r="3358" spans="1:29" ht="13" x14ac:dyDescent="0.15">
      <c r="A3358" s="72" t="str">
        <f t="shared" si="52"/>
        <v>Ofsted Social Care Provider Webpage</v>
      </c>
      <c r="B3358" s="55" t="s">
        <v>6283</v>
      </c>
      <c r="D3358" s="55" t="s">
        <v>468</v>
      </c>
      <c r="E3358" s="74">
        <v>41709</v>
      </c>
      <c r="F3358" s="55" t="s">
        <v>344</v>
      </c>
      <c r="G3358" s="55" t="s">
        <v>6284</v>
      </c>
      <c r="H3358" s="55" t="s">
        <v>6285</v>
      </c>
      <c r="I3358" s="55" t="s">
        <v>6286</v>
      </c>
      <c r="J3358" s="55" t="s">
        <v>6287</v>
      </c>
      <c r="L3358" s="55" t="s">
        <v>1828</v>
      </c>
      <c r="M3358" s="55" t="s">
        <v>378</v>
      </c>
      <c r="N3358" s="55" t="s">
        <v>170</v>
      </c>
      <c r="O3358" s="55" t="s">
        <v>267</v>
      </c>
      <c r="P3358" s="55" t="s">
        <v>477</v>
      </c>
      <c r="Q3358" s="55" t="s">
        <v>362</v>
      </c>
      <c r="R3358" s="55"/>
      <c r="S3358" s="55"/>
      <c r="T3358" s="55" t="s">
        <v>6284</v>
      </c>
      <c r="U3358" s="73" t="s">
        <v>351</v>
      </c>
      <c r="V3358" s="74">
        <v>42990</v>
      </c>
      <c r="W3358" s="74">
        <v>43027</v>
      </c>
      <c r="X3358" s="55">
        <v>10029237</v>
      </c>
      <c r="Y3358" s="55" t="s">
        <v>140</v>
      </c>
      <c r="AB3358" s="55" t="s">
        <v>140</v>
      </c>
      <c r="AC3358" s="55" t="s">
        <v>140</v>
      </c>
    </row>
    <row r="3359" spans="1:29" ht="13" x14ac:dyDescent="0.15">
      <c r="A3359" s="72" t="str">
        <f t="shared" si="52"/>
        <v>Ofsted Social Care Provider Webpage</v>
      </c>
      <c r="B3359" s="55" t="s">
        <v>6288</v>
      </c>
      <c r="D3359" s="55" t="s">
        <v>373</v>
      </c>
      <c r="E3359" s="74">
        <v>41772</v>
      </c>
      <c r="F3359" s="55" t="s">
        <v>344</v>
      </c>
      <c r="G3359" s="55" t="s">
        <v>360</v>
      </c>
      <c r="H3359" s="55" t="s">
        <v>360</v>
      </c>
      <c r="I3359" s="55" t="s">
        <v>360</v>
      </c>
      <c r="J3359" s="55" t="s">
        <v>360</v>
      </c>
      <c r="K3359" s="55" t="s">
        <v>360</v>
      </c>
      <c r="L3359" s="55" t="s">
        <v>360</v>
      </c>
      <c r="M3359" s="55" t="s">
        <v>378</v>
      </c>
      <c r="N3359" s="55" t="s">
        <v>170</v>
      </c>
      <c r="O3359" s="55" t="s">
        <v>233</v>
      </c>
      <c r="P3359" s="55" t="s">
        <v>2363</v>
      </c>
      <c r="Q3359" s="55" t="s">
        <v>350</v>
      </c>
      <c r="R3359" s="55">
        <v>3</v>
      </c>
      <c r="S3359" s="55"/>
      <c r="T3359" s="55" t="s">
        <v>1098</v>
      </c>
      <c r="U3359" s="73" t="s">
        <v>351</v>
      </c>
      <c r="V3359" s="74">
        <v>44411</v>
      </c>
      <c r="W3359" s="74">
        <v>44447</v>
      </c>
      <c r="X3359" s="55">
        <v>10185708</v>
      </c>
      <c r="Y3359" s="55" t="s">
        <v>132</v>
      </c>
      <c r="AB3359" s="55" t="s">
        <v>132</v>
      </c>
      <c r="AC3359" s="55" t="s">
        <v>132</v>
      </c>
    </row>
    <row r="3360" spans="1:29" ht="13" x14ac:dyDescent="0.15">
      <c r="A3360" s="72" t="str">
        <f t="shared" si="52"/>
        <v>Ofsted Social Care Provider Webpage</v>
      </c>
      <c r="B3360" s="55" t="s">
        <v>6289</v>
      </c>
      <c r="D3360" s="55" t="s">
        <v>373</v>
      </c>
      <c r="E3360" s="74">
        <v>41885</v>
      </c>
      <c r="F3360" s="55" t="s">
        <v>344</v>
      </c>
      <c r="G3360" s="55" t="s">
        <v>360</v>
      </c>
      <c r="H3360" s="55" t="s">
        <v>360</v>
      </c>
      <c r="I3360" s="55" t="s">
        <v>360</v>
      </c>
      <c r="J3360" s="55" t="s">
        <v>360</v>
      </c>
      <c r="K3360" s="55" t="s">
        <v>360</v>
      </c>
      <c r="L3360" s="55" t="s">
        <v>360</v>
      </c>
      <c r="M3360" s="55" t="s">
        <v>138</v>
      </c>
      <c r="N3360" s="55" t="s">
        <v>138</v>
      </c>
      <c r="O3360" s="55" t="s">
        <v>183</v>
      </c>
      <c r="P3360" s="55" t="s">
        <v>510</v>
      </c>
      <c r="Q3360" s="55" t="s">
        <v>350</v>
      </c>
      <c r="R3360" s="55">
        <v>4</v>
      </c>
      <c r="S3360" s="55"/>
      <c r="T3360" s="55" t="s">
        <v>1504</v>
      </c>
      <c r="U3360" s="73" t="s">
        <v>351</v>
      </c>
      <c r="V3360" s="74">
        <v>44474</v>
      </c>
      <c r="W3360" s="74">
        <v>44511</v>
      </c>
      <c r="X3360" s="55">
        <v>10186925</v>
      </c>
      <c r="Y3360" s="55" t="s">
        <v>132</v>
      </c>
      <c r="AB3360" s="55" t="s">
        <v>132</v>
      </c>
      <c r="AC3360" s="55" t="s">
        <v>132</v>
      </c>
    </row>
    <row r="3361" spans="1:29" ht="13" x14ac:dyDescent="0.15">
      <c r="A3361" s="72" t="str">
        <f t="shared" si="52"/>
        <v>Ofsted Social Care Provider Webpage</v>
      </c>
      <c r="B3361" s="55" t="s">
        <v>6290</v>
      </c>
      <c r="D3361" s="55" t="s">
        <v>373</v>
      </c>
      <c r="E3361" s="74">
        <v>41676</v>
      </c>
      <c r="F3361" s="55" t="s">
        <v>344</v>
      </c>
      <c r="G3361" s="55" t="s">
        <v>360</v>
      </c>
      <c r="H3361" s="55" t="s">
        <v>360</v>
      </c>
      <c r="I3361" s="55" t="s">
        <v>360</v>
      </c>
      <c r="J3361" s="55" t="s">
        <v>360</v>
      </c>
      <c r="K3361" s="55" t="s">
        <v>360</v>
      </c>
      <c r="L3361" s="55" t="s">
        <v>360</v>
      </c>
      <c r="M3361" s="55" t="s">
        <v>142</v>
      </c>
      <c r="N3361" s="55" t="s">
        <v>142</v>
      </c>
      <c r="O3361" s="55" t="s">
        <v>262</v>
      </c>
      <c r="P3361" s="55" t="s">
        <v>618</v>
      </c>
      <c r="Q3361" s="55" t="s">
        <v>350</v>
      </c>
      <c r="R3361" s="55">
        <v>3</v>
      </c>
      <c r="S3361" s="55"/>
      <c r="T3361" s="55" t="s">
        <v>489</v>
      </c>
      <c r="U3361" s="73" t="s">
        <v>351</v>
      </c>
      <c r="V3361" s="74">
        <v>44431</v>
      </c>
      <c r="W3361" s="74">
        <v>44497</v>
      </c>
      <c r="X3361" s="55">
        <v>10201960</v>
      </c>
      <c r="Y3361" s="55" t="s">
        <v>130</v>
      </c>
      <c r="AB3361" s="55" t="s">
        <v>130</v>
      </c>
      <c r="AC3361" s="55" t="s">
        <v>130</v>
      </c>
    </row>
    <row r="3362" spans="1:29" ht="13" x14ac:dyDescent="0.15">
      <c r="A3362" s="72" t="str">
        <f t="shared" si="52"/>
        <v>Ofsted Social Care Provider Webpage</v>
      </c>
      <c r="B3362" s="55" t="s">
        <v>6291</v>
      </c>
      <c r="D3362" s="55" t="s">
        <v>373</v>
      </c>
      <c r="E3362" s="74">
        <v>41803</v>
      </c>
      <c r="F3362" s="55" t="s">
        <v>344</v>
      </c>
      <c r="G3362" s="55" t="s">
        <v>360</v>
      </c>
      <c r="H3362" s="55" t="s">
        <v>360</v>
      </c>
      <c r="I3362" s="55" t="s">
        <v>360</v>
      </c>
      <c r="J3362" s="55" t="s">
        <v>360</v>
      </c>
      <c r="K3362" s="55" t="s">
        <v>360</v>
      </c>
      <c r="L3362" s="55" t="s">
        <v>360</v>
      </c>
      <c r="M3362" s="55" t="s">
        <v>172</v>
      </c>
      <c r="N3362" s="55" t="s">
        <v>172</v>
      </c>
      <c r="O3362" s="55" t="s">
        <v>235</v>
      </c>
      <c r="P3362" s="55" t="s">
        <v>2338</v>
      </c>
      <c r="Q3362" s="55" t="s">
        <v>350</v>
      </c>
      <c r="R3362" s="55">
        <v>4</v>
      </c>
      <c r="S3362" s="55"/>
      <c r="T3362" s="55" t="s">
        <v>861</v>
      </c>
      <c r="U3362" s="73" t="s">
        <v>351</v>
      </c>
      <c r="V3362" s="74">
        <v>44585</v>
      </c>
      <c r="W3362" s="74">
        <v>44620</v>
      </c>
      <c r="X3362" s="55">
        <v>10185636</v>
      </c>
      <c r="Y3362" s="55" t="s">
        <v>140</v>
      </c>
      <c r="AB3362" s="55" t="s">
        <v>140</v>
      </c>
      <c r="AC3362" s="55" t="s">
        <v>140</v>
      </c>
    </row>
    <row r="3363" spans="1:29" ht="13" x14ac:dyDescent="0.15">
      <c r="A3363" s="72" t="str">
        <f t="shared" si="52"/>
        <v>Ofsted Social Care Provider Webpage</v>
      </c>
      <c r="B3363" s="55" t="s">
        <v>6292</v>
      </c>
      <c r="C3363" s="55">
        <v>146972</v>
      </c>
      <c r="D3363" s="55" t="s">
        <v>398</v>
      </c>
      <c r="E3363" s="74">
        <v>41641</v>
      </c>
      <c r="F3363" s="55" t="s">
        <v>344</v>
      </c>
      <c r="G3363" s="55" t="s">
        <v>6293</v>
      </c>
      <c r="H3363" s="55" t="s">
        <v>6294</v>
      </c>
      <c r="I3363" s="55" t="s">
        <v>354</v>
      </c>
      <c r="J3363" s="55" t="s">
        <v>1165</v>
      </c>
      <c r="K3363" s="55" t="s">
        <v>255</v>
      </c>
      <c r="L3363" s="55" t="s">
        <v>6295</v>
      </c>
      <c r="M3363" s="55" t="s">
        <v>136</v>
      </c>
      <c r="N3363" s="55" t="s">
        <v>136</v>
      </c>
      <c r="O3363" s="55" t="s">
        <v>135</v>
      </c>
      <c r="P3363" s="55" t="s">
        <v>1165</v>
      </c>
      <c r="Q3363" s="55" t="s">
        <v>420</v>
      </c>
      <c r="R3363" s="55">
        <v>29</v>
      </c>
      <c r="S3363" s="55"/>
      <c r="T3363" s="55" t="s">
        <v>6293</v>
      </c>
      <c r="U3363" s="73" t="s">
        <v>351</v>
      </c>
      <c r="V3363" s="74">
        <v>43900</v>
      </c>
      <c r="W3363" s="74">
        <v>43929</v>
      </c>
      <c r="X3363" s="55">
        <v>10095187</v>
      </c>
      <c r="Y3363" s="55" t="s">
        <v>132</v>
      </c>
      <c r="AB3363" s="55" t="s">
        <v>130</v>
      </c>
      <c r="AC3363" s="55" t="s">
        <v>132</v>
      </c>
    </row>
    <row r="3364" spans="1:29" ht="13" x14ac:dyDescent="0.15">
      <c r="A3364" s="72" t="str">
        <f t="shared" si="52"/>
        <v>Ofsted Social Care Provider Webpage</v>
      </c>
      <c r="B3364" s="55" t="s">
        <v>6296</v>
      </c>
      <c r="D3364" s="55" t="s">
        <v>373</v>
      </c>
      <c r="E3364" s="74">
        <v>41743</v>
      </c>
      <c r="F3364" s="55" t="s">
        <v>344</v>
      </c>
      <c r="G3364" s="55" t="s">
        <v>360</v>
      </c>
      <c r="H3364" s="55" t="s">
        <v>360</v>
      </c>
      <c r="I3364" s="55" t="s">
        <v>360</v>
      </c>
      <c r="J3364" s="55" t="s">
        <v>360</v>
      </c>
      <c r="K3364" s="55" t="s">
        <v>360</v>
      </c>
      <c r="L3364" s="55" t="s">
        <v>360</v>
      </c>
      <c r="M3364" s="55" t="s">
        <v>142</v>
      </c>
      <c r="N3364" s="55" t="s">
        <v>142</v>
      </c>
      <c r="O3364" s="55" t="s">
        <v>262</v>
      </c>
      <c r="P3364" s="55" t="s">
        <v>1859</v>
      </c>
      <c r="Q3364" s="55" t="s">
        <v>350</v>
      </c>
      <c r="R3364" s="55">
        <v>2</v>
      </c>
      <c r="S3364" s="55"/>
      <c r="T3364" s="55" t="s">
        <v>489</v>
      </c>
      <c r="U3364" s="73" t="s">
        <v>351</v>
      </c>
      <c r="V3364" s="74">
        <v>44425</v>
      </c>
      <c r="W3364" s="74">
        <v>44463</v>
      </c>
      <c r="X3364" s="55">
        <v>10187125</v>
      </c>
      <c r="Y3364" s="55" t="s">
        <v>132</v>
      </c>
      <c r="AB3364" s="55" t="s">
        <v>132</v>
      </c>
      <c r="AC3364" s="55" t="s">
        <v>132</v>
      </c>
    </row>
    <row r="3365" spans="1:29" ht="13" x14ac:dyDescent="0.15">
      <c r="A3365" s="72" t="str">
        <f t="shared" si="52"/>
        <v>Ofsted Social Care Provider Webpage</v>
      </c>
      <c r="B3365" s="55" t="s">
        <v>6297</v>
      </c>
      <c r="D3365" s="55" t="s">
        <v>373</v>
      </c>
      <c r="E3365" s="74">
        <v>41767</v>
      </c>
      <c r="F3365" s="55" t="s">
        <v>344</v>
      </c>
      <c r="G3365" s="55" t="s">
        <v>360</v>
      </c>
      <c r="H3365" s="55" t="s">
        <v>360</v>
      </c>
      <c r="I3365" s="55" t="s">
        <v>360</v>
      </c>
      <c r="J3365" s="55" t="s">
        <v>360</v>
      </c>
      <c r="K3365" s="55" t="s">
        <v>360</v>
      </c>
      <c r="L3365" s="55" t="s">
        <v>360</v>
      </c>
      <c r="M3365" s="55" t="s">
        <v>144</v>
      </c>
      <c r="N3365" s="55" t="s">
        <v>144</v>
      </c>
      <c r="O3365" s="55" t="s">
        <v>209</v>
      </c>
      <c r="P3365" s="55" t="s">
        <v>597</v>
      </c>
      <c r="Q3365" s="55" t="s">
        <v>350</v>
      </c>
      <c r="R3365" s="55">
        <v>8</v>
      </c>
      <c r="S3365" s="55"/>
      <c r="T3365" s="55" t="s">
        <v>435</v>
      </c>
      <c r="U3365" s="73" t="s">
        <v>351</v>
      </c>
      <c r="V3365" s="74">
        <v>44495</v>
      </c>
      <c r="W3365" s="74">
        <v>44524</v>
      </c>
      <c r="X3365" s="55">
        <v>10185238</v>
      </c>
      <c r="Y3365" s="55" t="s">
        <v>132</v>
      </c>
      <c r="AB3365" s="55" t="s">
        <v>132</v>
      </c>
      <c r="AC3365" s="55" t="s">
        <v>132</v>
      </c>
    </row>
    <row r="3366" spans="1:29" ht="13" x14ac:dyDescent="0.15">
      <c r="A3366" s="72" t="str">
        <f t="shared" si="52"/>
        <v>Ofsted Social Care Provider Webpage</v>
      </c>
      <c r="B3366" s="55" t="s">
        <v>6298</v>
      </c>
      <c r="D3366" s="55" t="s">
        <v>373</v>
      </c>
      <c r="E3366" s="74">
        <v>41719</v>
      </c>
      <c r="F3366" s="55" t="s">
        <v>344</v>
      </c>
      <c r="G3366" s="55" t="s">
        <v>360</v>
      </c>
      <c r="H3366" s="55" t="s">
        <v>360</v>
      </c>
      <c r="I3366" s="55" t="s">
        <v>360</v>
      </c>
      <c r="J3366" s="55" t="s">
        <v>360</v>
      </c>
      <c r="K3366" s="55" t="s">
        <v>360</v>
      </c>
      <c r="L3366" s="55" t="s">
        <v>360</v>
      </c>
      <c r="M3366" s="55" t="s">
        <v>144</v>
      </c>
      <c r="N3366" s="55" t="s">
        <v>144</v>
      </c>
      <c r="O3366" s="55" t="s">
        <v>250</v>
      </c>
      <c r="P3366" s="55" t="s">
        <v>759</v>
      </c>
      <c r="Q3366" s="55" t="s">
        <v>350</v>
      </c>
      <c r="R3366" s="55">
        <v>6</v>
      </c>
      <c r="S3366" s="55"/>
      <c r="T3366" s="55" t="s">
        <v>435</v>
      </c>
      <c r="U3366" s="73" t="s">
        <v>351</v>
      </c>
      <c r="V3366" s="74">
        <v>44634</v>
      </c>
      <c r="W3366" s="74">
        <v>44677</v>
      </c>
      <c r="X3366" s="55">
        <v>10187147</v>
      </c>
      <c r="Y3366" s="55" t="s">
        <v>140</v>
      </c>
      <c r="AB3366" s="55" t="s">
        <v>132</v>
      </c>
      <c r="AC3366" s="55" t="s">
        <v>140</v>
      </c>
    </row>
    <row r="3367" spans="1:29" ht="13" x14ac:dyDescent="0.15">
      <c r="A3367" s="72" t="str">
        <f t="shared" si="52"/>
        <v>Ofsted Social Care Provider Webpage</v>
      </c>
      <c r="B3367" s="55" t="s">
        <v>6299</v>
      </c>
      <c r="D3367" s="55" t="s">
        <v>373</v>
      </c>
      <c r="E3367" s="74">
        <v>41767</v>
      </c>
      <c r="F3367" s="55" t="s">
        <v>344</v>
      </c>
      <c r="G3367" s="55" t="s">
        <v>360</v>
      </c>
      <c r="H3367" s="55" t="s">
        <v>360</v>
      </c>
      <c r="I3367" s="55" t="s">
        <v>360</v>
      </c>
      <c r="J3367" s="55" t="s">
        <v>360</v>
      </c>
      <c r="K3367" s="55" t="s">
        <v>360</v>
      </c>
      <c r="L3367" s="55" t="s">
        <v>360</v>
      </c>
      <c r="M3367" s="55" t="s">
        <v>144</v>
      </c>
      <c r="N3367" s="55" t="s">
        <v>144</v>
      </c>
      <c r="O3367" s="55" t="s">
        <v>209</v>
      </c>
      <c r="P3367" s="55" t="s">
        <v>364</v>
      </c>
      <c r="Q3367" s="55" t="s">
        <v>350</v>
      </c>
      <c r="R3367" s="55">
        <v>7</v>
      </c>
      <c r="S3367" s="55"/>
      <c r="T3367" s="55" t="s">
        <v>435</v>
      </c>
      <c r="U3367" s="73" t="s">
        <v>351</v>
      </c>
      <c r="V3367" s="74">
        <v>43815</v>
      </c>
      <c r="W3367" s="74">
        <v>43844</v>
      </c>
      <c r="X3367" s="55">
        <v>10097042</v>
      </c>
      <c r="Y3367" s="55" t="s">
        <v>132</v>
      </c>
      <c r="AB3367" s="55" t="s">
        <v>132</v>
      </c>
      <c r="AC3367" s="55" t="s">
        <v>132</v>
      </c>
    </row>
    <row r="3368" spans="1:29" ht="13" x14ac:dyDescent="0.15">
      <c r="A3368" s="72" t="str">
        <f t="shared" si="52"/>
        <v>Ofsted Social Care Provider Webpage</v>
      </c>
      <c r="B3368" s="55" t="s">
        <v>6300</v>
      </c>
      <c r="D3368" s="55" t="s">
        <v>373</v>
      </c>
      <c r="E3368" s="74">
        <v>41767</v>
      </c>
      <c r="F3368" s="55" t="s">
        <v>344</v>
      </c>
      <c r="G3368" s="55" t="s">
        <v>360</v>
      </c>
      <c r="H3368" s="55" t="s">
        <v>360</v>
      </c>
      <c r="I3368" s="55" t="s">
        <v>360</v>
      </c>
      <c r="J3368" s="55" t="s">
        <v>360</v>
      </c>
      <c r="K3368" s="55" t="s">
        <v>360</v>
      </c>
      <c r="L3368" s="55" t="s">
        <v>360</v>
      </c>
      <c r="M3368" s="55" t="s">
        <v>378</v>
      </c>
      <c r="N3368" s="55" t="s">
        <v>134</v>
      </c>
      <c r="O3368" s="55" t="s">
        <v>232</v>
      </c>
      <c r="P3368" s="55" t="s">
        <v>496</v>
      </c>
      <c r="Q3368" s="55" t="s">
        <v>350</v>
      </c>
      <c r="R3368" s="55">
        <v>8</v>
      </c>
      <c r="S3368" s="55"/>
      <c r="T3368" s="55" t="s">
        <v>435</v>
      </c>
      <c r="U3368" s="73" t="s">
        <v>351</v>
      </c>
      <c r="V3368" s="74">
        <v>44425</v>
      </c>
      <c r="W3368" s="74">
        <v>44468</v>
      </c>
      <c r="X3368" s="55">
        <v>10185839</v>
      </c>
      <c r="Y3368" s="55" t="s">
        <v>132</v>
      </c>
      <c r="AB3368" s="55" t="s">
        <v>132</v>
      </c>
      <c r="AC3368" s="55" t="s">
        <v>132</v>
      </c>
    </row>
    <row r="3369" spans="1:29" ht="13" x14ac:dyDescent="0.15">
      <c r="A3369" s="72" t="str">
        <f t="shared" si="52"/>
        <v>Ofsted Social Care Provider Webpage</v>
      </c>
      <c r="B3369" s="55" t="s">
        <v>6301</v>
      </c>
      <c r="D3369" s="55" t="s">
        <v>373</v>
      </c>
      <c r="E3369" s="74">
        <v>41787</v>
      </c>
      <c r="F3369" s="55" t="s">
        <v>344</v>
      </c>
      <c r="G3369" s="55" t="s">
        <v>360</v>
      </c>
      <c r="H3369" s="55" t="s">
        <v>360</v>
      </c>
      <c r="I3369" s="55" t="s">
        <v>360</v>
      </c>
      <c r="J3369" s="55" t="s">
        <v>360</v>
      </c>
      <c r="K3369" s="55" t="s">
        <v>360</v>
      </c>
      <c r="L3369" s="55" t="s">
        <v>360</v>
      </c>
      <c r="M3369" s="55" t="s">
        <v>378</v>
      </c>
      <c r="N3369" s="55" t="s">
        <v>170</v>
      </c>
      <c r="O3369" s="55" t="s">
        <v>178</v>
      </c>
      <c r="P3369" s="55" t="s">
        <v>1374</v>
      </c>
      <c r="Q3369" s="55" t="s">
        <v>350</v>
      </c>
      <c r="R3369" s="55">
        <v>7</v>
      </c>
      <c r="S3369" s="55"/>
      <c r="T3369" s="55" t="s">
        <v>435</v>
      </c>
      <c r="U3369" s="73" t="s">
        <v>351</v>
      </c>
      <c r="V3369" s="74">
        <v>44326</v>
      </c>
      <c r="W3369" s="74">
        <v>44369</v>
      </c>
      <c r="X3369" s="55">
        <v>10187221</v>
      </c>
      <c r="Y3369" s="55" t="s">
        <v>140</v>
      </c>
      <c r="AB3369" s="55" t="s">
        <v>132</v>
      </c>
      <c r="AC3369" s="55" t="s">
        <v>132</v>
      </c>
    </row>
    <row r="3370" spans="1:29" ht="13" x14ac:dyDescent="0.15">
      <c r="A3370" s="72" t="str">
        <f t="shared" si="52"/>
        <v>Ofsted Social Care Provider Webpage</v>
      </c>
      <c r="B3370" s="55" t="s">
        <v>6302</v>
      </c>
      <c r="D3370" s="55" t="s">
        <v>373</v>
      </c>
      <c r="E3370" s="74">
        <v>41793</v>
      </c>
      <c r="F3370" s="55" t="s">
        <v>344</v>
      </c>
      <c r="G3370" s="55" t="s">
        <v>360</v>
      </c>
      <c r="H3370" s="55" t="s">
        <v>360</v>
      </c>
      <c r="I3370" s="55" t="s">
        <v>360</v>
      </c>
      <c r="J3370" s="55" t="s">
        <v>360</v>
      </c>
      <c r="K3370" s="55" t="s">
        <v>360</v>
      </c>
      <c r="L3370" s="55" t="s">
        <v>360</v>
      </c>
      <c r="M3370" s="55" t="s">
        <v>378</v>
      </c>
      <c r="N3370" s="55" t="s">
        <v>170</v>
      </c>
      <c r="O3370" s="55" t="s">
        <v>178</v>
      </c>
      <c r="P3370" s="55" t="s">
        <v>1374</v>
      </c>
      <c r="Q3370" s="55" t="s">
        <v>350</v>
      </c>
      <c r="R3370" s="55">
        <v>8</v>
      </c>
      <c r="S3370" s="55"/>
      <c r="T3370" s="55" t="s">
        <v>435</v>
      </c>
      <c r="U3370" s="73" t="s">
        <v>351</v>
      </c>
      <c r="V3370" s="74">
        <v>44530</v>
      </c>
      <c r="W3370" s="74">
        <v>44575</v>
      </c>
      <c r="X3370" s="55">
        <v>10185859</v>
      </c>
      <c r="Y3370" s="55" t="s">
        <v>132</v>
      </c>
      <c r="AB3370" s="55" t="s">
        <v>132</v>
      </c>
      <c r="AC3370" s="55" t="s">
        <v>132</v>
      </c>
    </row>
    <row r="3371" spans="1:29" ht="13" x14ac:dyDescent="0.15">
      <c r="A3371" s="72" t="str">
        <f t="shared" si="52"/>
        <v>Ofsted Social Care Provider Webpage</v>
      </c>
      <c r="B3371" s="55" t="s">
        <v>6303</v>
      </c>
      <c r="D3371" s="55" t="s">
        <v>373</v>
      </c>
      <c r="E3371" s="74">
        <v>41767</v>
      </c>
      <c r="F3371" s="55" t="s">
        <v>344</v>
      </c>
      <c r="G3371" s="55" t="s">
        <v>360</v>
      </c>
      <c r="H3371" s="55" t="s">
        <v>360</v>
      </c>
      <c r="I3371" s="55" t="s">
        <v>360</v>
      </c>
      <c r="J3371" s="55" t="s">
        <v>360</v>
      </c>
      <c r="K3371" s="55" t="s">
        <v>360</v>
      </c>
      <c r="L3371" s="55" t="s">
        <v>360</v>
      </c>
      <c r="M3371" s="55" t="s">
        <v>144</v>
      </c>
      <c r="N3371" s="55" t="s">
        <v>144</v>
      </c>
      <c r="O3371" s="55" t="s">
        <v>209</v>
      </c>
      <c r="P3371" s="55" t="s">
        <v>364</v>
      </c>
      <c r="Q3371" s="55" t="s">
        <v>350</v>
      </c>
      <c r="R3371" s="55">
        <v>7</v>
      </c>
      <c r="S3371" s="55"/>
      <c r="T3371" s="55" t="s">
        <v>435</v>
      </c>
      <c r="U3371" s="73" t="s">
        <v>351</v>
      </c>
      <c r="V3371" s="74">
        <v>43732</v>
      </c>
      <c r="W3371" s="74">
        <v>43742</v>
      </c>
      <c r="X3371" s="55">
        <v>10097044</v>
      </c>
      <c r="Y3371" s="55" t="s">
        <v>140</v>
      </c>
      <c r="AB3371" s="55" t="s">
        <v>140</v>
      </c>
      <c r="AC3371" s="55" t="s">
        <v>140</v>
      </c>
    </row>
    <row r="3372" spans="1:29" ht="13" x14ac:dyDescent="0.15">
      <c r="A3372" s="72" t="str">
        <f t="shared" si="52"/>
        <v>Ofsted Social Care Provider Webpage</v>
      </c>
      <c r="B3372" s="55" t="s">
        <v>6304</v>
      </c>
      <c r="D3372" s="55" t="s">
        <v>373</v>
      </c>
      <c r="E3372" s="74">
        <v>41991</v>
      </c>
      <c r="F3372" s="55" t="s">
        <v>344</v>
      </c>
      <c r="G3372" s="55" t="s">
        <v>360</v>
      </c>
      <c r="H3372" s="55" t="s">
        <v>360</v>
      </c>
      <c r="I3372" s="55" t="s">
        <v>360</v>
      </c>
      <c r="J3372" s="55" t="s">
        <v>360</v>
      </c>
      <c r="K3372" s="55" t="s">
        <v>360</v>
      </c>
      <c r="L3372" s="55" t="s">
        <v>360</v>
      </c>
      <c r="M3372" s="55" t="s">
        <v>144</v>
      </c>
      <c r="N3372" s="55" t="s">
        <v>144</v>
      </c>
      <c r="O3372" s="55" t="s">
        <v>209</v>
      </c>
      <c r="P3372" s="55" t="s">
        <v>561</v>
      </c>
      <c r="Q3372" s="55" t="s">
        <v>350</v>
      </c>
      <c r="R3372" s="55">
        <v>9</v>
      </c>
      <c r="S3372" s="55"/>
      <c r="T3372" s="55" t="s">
        <v>435</v>
      </c>
      <c r="U3372" s="73" t="s">
        <v>351</v>
      </c>
      <c r="V3372" s="74">
        <v>44481</v>
      </c>
      <c r="W3372" s="74">
        <v>44526</v>
      </c>
      <c r="X3372" s="55">
        <v>10186385</v>
      </c>
      <c r="Y3372" s="55" t="s">
        <v>132</v>
      </c>
      <c r="AB3372" s="55" t="s">
        <v>132</v>
      </c>
      <c r="AC3372" s="55" t="s">
        <v>130</v>
      </c>
    </row>
    <row r="3373" spans="1:29" ht="13" x14ac:dyDescent="0.15">
      <c r="A3373" s="72" t="str">
        <f t="shared" si="52"/>
        <v>Ofsted Social Care Provider Webpage</v>
      </c>
      <c r="B3373" s="55" t="s">
        <v>6305</v>
      </c>
      <c r="D3373" s="55" t="s">
        <v>373</v>
      </c>
      <c r="E3373" s="74">
        <v>41820</v>
      </c>
      <c r="F3373" s="55" t="s">
        <v>344</v>
      </c>
      <c r="G3373" s="55" t="s">
        <v>360</v>
      </c>
      <c r="H3373" s="55" t="s">
        <v>360</v>
      </c>
      <c r="I3373" s="55" t="s">
        <v>360</v>
      </c>
      <c r="J3373" s="55" t="s">
        <v>360</v>
      </c>
      <c r="K3373" s="55" t="s">
        <v>360</v>
      </c>
      <c r="L3373" s="55" t="s">
        <v>360</v>
      </c>
      <c r="M3373" s="55" t="s">
        <v>144</v>
      </c>
      <c r="N3373" s="55" t="s">
        <v>144</v>
      </c>
      <c r="O3373" s="55" t="s">
        <v>209</v>
      </c>
      <c r="P3373" s="55" t="s">
        <v>364</v>
      </c>
      <c r="Q3373" s="55" t="s">
        <v>350</v>
      </c>
      <c r="R3373" s="55">
        <v>7</v>
      </c>
      <c r="S3373" s="55"/>
      <c r="T3373" s="55" t="s">
        <v>435</v>
      </c>
      <c r="U3373" s="73" t="s">
        <v>351</v>
      </c>
      <c r="V3373" s="74">
        <v>43851</v>
      </c>
      <c r="W3373" s="74">
        <v>43882</v>
      </c>
      <c r="X3373" s="55">
        <v>10097070</v>
      </c>
      <c r="Y3373" s="55" t="s">
        <v>140</v>
      </c>
      <c r="AB3373" s="55" t="s">
        <v>132</v>
      </c>
      <c r="AC3373" s="55" t="s">
        <v>140</v>
      </c>
    </row>
    <row r="3374" spans="1:29" ht="13" x14ac:dyDescent="0.15">
      <c r="A3374" s="72" t="str">
        <f t="shared" si="52"/>
        <v>Ofsted Social Care Provider Webpage</v>
      </c>
      <c r="B3374" s="55" t="s">
        <v>6306</v>
      </c>
      <c r="D3374" s="55" t="s">
        <v>373</v>
      </c>
      <c r="E3374" s="74">
        <v>41698</v>
      </c>
      <c r="F3374" s="55" t="s">
        <v>344</v>
      </c>
      <c r="G3374" s="55" t="s">
        <v>360</v>
      </c>
      <c r="H3374" s="55" t="s">
        <v>360</v>
      </c>
      <c r="I3374" s="55" t="s">
        <v>360</v>
      </c>
      <c r="J3374" s="55" t="s">
        <v>360</v>
      </c>
      <c r="K3374" s="55" t="s">
        <v>360</v>
      </c>
      <c r="L3374" s="55" t="s">
        <v>360</v>
      </c>
      <c r="M3374" s="55" t="s">
        <v>144</v>
      </c>
      <c r="N3374" s="55" t="s">
        <v>144</v>
      </c>
      <c r="O3374" s="55" t="s">
        <v>162</v>
      </c>
      <c r="P3374" s="55" t="s">
        <v>516</v>
      </c>
      <c r="Q3374" s="55" t="s">
        <v>350</v>
      </c>
      <c r="R3374" s="55">
        <v>3</v>
      </c>
      <c r="S3374" s="55"/>
      <c r="T3374" s="55" t="s">
        <v>1588</v>
      </c>
      <c r="U3374" s="73" t="s">
        <v>351</v>
      </c>
      <c r="V3374" s="74">
        <v>43607</v>
      </c>
      <c r="W3374" s="74">
        <v>43630</v>
      </c>
      <c r="X3374" s="55">
        <v>10097015</v>
      </c>
      <c r="Y3374" s="55" t="s">
        <v>132</v>
      </c>
      <c r="AB3374" s="55" t="s">
        <v>132</v>
      </c>
      <c r="AC3374" s="55" t="s">
        <v>132</v>
      </c>
    </row>
    <row r="3375" spans="1:29" ht="13" x14ac:dyDescent="0.15">
      <c r="A3375" s="72" t="str">
        <f t="shared" si="52"/>
        <v>Ofsted Social Care Provider Webpage</v>
      </c>
      <c r="B3375" s="55" t="s">
        <v>6307</v>
      </c>
      <c r="D3375" s="55" t="s">
        <v>373</v>
      </c>
      <c r="E3375" s="74">
        <v>42075</v>
      </c>
      <c r="F3375" s="55" t="s">
        <v>344</v>
      </c>
      <c r="G3375" s="55" t="s">
        <v>360</v>
      </c>
      <c r="H3375" s="55" t="s">
        <v>360</v>
      </c>
      <c r="I3375" s="55" t="s">
        <v>360</v>
      </c>
      <c r="J3375" s="55" t="s">
        <v>360</v>
      </c>
      <c r="K3375" s="55" t="s">
        <v>360</v>
      </c>
      <c r="L3375" s="55" t="s">
        <v>360</v>
      </c>
      <c r="M3375" s="55" t="s">
        <v>144</v>
      </c>
      <c r="N3375" s="55" t="s">
        <v>144</v>
      </c>
      <c r="O3375" s="55" t="s">
        <v>168</v>
      </c>
      <c r="P3375" s="55" t="s">
        <v>913</v>
      </c>
      <c r="Q3375" s="55" t="s">
        <v>350</v>
      </c>
      <c r="R3375" s="55">
        <v>3</v>
      </c>
      <c r="S3375" s="55"/>
      <c r="T3375" s="55" t="s">
        <v>915</v>
      </c>
      <c r="U3375" s="73" t="s">
        <v>351</v>
      </c>
      <c r="V3375" s="74">
        <v>44474</v>
      </c>
      <c r="W3375" s="74">
        <v>44516</v>
      </c>
      <c r="X3375" s="55">
        <v>10185874</v>
      </c>
      <c r="Y3375" s="55" t="s">
        <v>132</v>
      </c>
      <c r="AB3375" s="55" t="s">
        <v>132</v>
      </c>
      <c r="AC3375" s="55" t="s">
        <v>130</v>
      </c>
    </row>
    <row r="3376" spans="1:29" ht="13" x14ac:dyDescent="0.15">
      <c r="A3376" s="72" t="str">
        <f t="shared" si="52"/>
        <v>Ofsted Social Care Provider Webpage</v>
      </c>
      <c r="B3376" s="55" t="s">
        <v>6308</v>
      </c>
      <c r="D3376" s="55" t="s">
        <v>373</v>
      </c>
      <c r="E3376" s="74">
        <v>41712</v>
      </c>
      <c r="F3376" s="55" t="s">
        <v>344</v>
      </c>
      <c r="G3376" s="55" t="s">
        <v>360</v>
      </c>
      <c r="H3376" s="55" t="s">
        <v>360</v>
      </c>
      <c r="I3376" s="55" t="s">
        <v>360</v>
      </c>
      <c r="J3376" s="55" t="s">
        <v>360</v>
      </c>
      <c r="K3376" s="55" t="s">
        <v>360</v>
      </c>
      <c r="L3376" s="55" t="s">
        <v>360</v>
      </c>
      <c r="M3376" s="55" t="s">
        <v>142</v>
      </c>
      <c r="N3376" s="55" t="s">
        <v>142</v>
      </c>
      <c r="O3376" s="55" t="s">
        <v>252</v>
      </c>
      <c r="P3376" s="55" t="s">
        <v>503</v>
      </c>
      <c r="Q3376" s="55" t="s">
        <v>350</v>
      </c>
      <c r="R3376" s="55">
        <v>4</v>
      </c>
      <c r="S3376" s="55"/>
      <c r="T3376" s="55" t="s">
        <v>385</v>
      </c>
      <c r="U3376" s="73" t="s">
        <v>351</v>
      </c>
      <c r="V3376" s="74">
        <v>44538</v>
      </c>
      <c r="W3376" s="74">
        <v>44595</v>
      </c>
      <c r="X3376" s="55">
        <v>10187344</v>
      </c>
      <c r="Y3376" s="55" t="s">
        <v>132</v>
      </c>
      <c r="AB3376" s="55" t="s">
        <v>132</v>
      </c>
      <c r="AC3376" s="55" t="s">
        <v>132</v>
      </c>
    </row>
    <row r="3377" spans="1:29" ht="13" x14ac:dyDescent="0.15">
      <c r="A3377" s="72" t="str">
        <f t="shared" si="52"/>
        <v>Ofsted Social Care Provider Webpage</v>
      </c>
      <c r="B3377" s="55" t="s">
        <v>6309</v>
      </c>
      <c r="D3377" s="55" t="s">
        <v>373</v>
      </c>
      <c r="E3377" s="74">
        <v>41753</v>
      </c>
      <c r="F3377" s="55" t="s">
        <v>344</v>
      </c>
      <c r="G3377" s="55" t="s">
        <v>360</v>
      </c>
      <c r="H3377" s="55" t="s">
        <v>360</v>
      </c>
      <c r="I3377" s="55" t="s">
        <v>360</v>
      </c>
      <c r="J3377" s="55" t="s">
        <v>360</v>
      </c>
      <c r="K3377" s="55" t="s">
        <v>360</v>
      </c>
      <c r="L3377" s="55" t="s">
        <v>360</v>
      </c>
      <c r="M3377" s="55" t="s">
        <v>142</v>
      </c>
      <c r="N3377" s="55" t="s">
        <v>142</v>
      </c>
      <c r="O3377" s="55" t="s">
        <v>252</v>
      </c>
      <c r="P3377" s="55" t="s">
        <v>388</v>
      </c>
      <c r="Q3377" s="55" t="s">
        <v>350</v>
      </c>
      <c r="R3377" s="55">
        <v>4</v>
      </c>
      <c r="S3377" s="55"/>
      <c r="T3377" s="55" t="s">
        <v>385</v>
      </c>
      <c r="U3377" s="73" t="s">
        <v>351</v>
      </c>
      <c r="V3377" s="74">
        <v>44481</v>
      </c>
      <c r="W3377" s="74">
        <v>44516</v>
      </c>
      <c r="X3377" s="55">
        <v>10186901</v>
      </c>
      <c r="Y3377" s="55" t="s">
        <v>132</v>
      </c>
      <c r="AB3377" s="55" t="s">
        <v>132</v>
      </c>
      <c r="AC3377" s="55" t="s">
        <v>132</v>
      </c>
    </row>
    <row r="3378" spans="1:29" ht="13" x14ac:dyDescent="0.15">
      <c r="A3378" s="72" t="str">
        <f t="shared" si="52"/>
        <v>Ofsted Social Care Provider Webpage</v>
      </c>
      <c r="B3378" s="55" t="s">
        <v>6310</v>
      </c>
      <c r="D3378" s="55" t="s">
        <v>373</v>
      </c>
      <c r="E3378" s="74">
        <v>41820</v>
      </c>
      <c r="F3378" s="55" t="s">
        <v>344</v>
      </c>
      <c r="G3378" s="55" t="s">
        <v>360</v>
      </c>
      <c r="H3378" s="55" t="s">
        <v>360</v>
      </c>
      <c r="I3378" s="55" t="s">
        <v>360</v>
      </c>
      <c r="J3378" s="55" t="s">
        <v>360</v>
      </c>
      <c r="K3378" s="55" t="s">
        <v>360</v>
      </c>
      <c r="L3378" s="55" t="s">
        <v>360</v>
      </c>
      <c r="M3378" s="55" t="s">
        <v>142</v>
      </c>
      <c r="N3378" s="55" t="s">
        <v>142</v>
      </c>
      <c r="O3378" s="55" t="s">
        <v>282</v>
      </c>
      <c r="P3378" s="55" t="s">
        <v>3266</v>
      </c>
      <c r="Q3378" s="55" t="s">
        <v>350</v>
      </c>
      <c r="R3378" s="55">
        <v>5</v>
      </c>
      <c r="S3378" s="55"/>
      <c r="T3378" s="55" t="s">
        <v>385</v>
      </c>
      <c r="U3378" s="73" t="s">
        <v>351</v>
      </c>
      <c r="V3378" s="74">
        <v>44586</v>
      </c>
      <c r="W3378" s="74">
        <v>44630</v>
      </c>
      <c r="X3378" s="55">
        <v>10186158</v>
      </c>
      <c r="Y3378" s="55" t="s">
        <v>132</v>
      </c>
      <c r="AB3378" s="55" t="s">
        <v>132</v>
      </c>
      <c r="AC3378" s="55" t="s">
        <v>132</v>
      </c>
    </row>
    <row r="3379" spans="1:29" ht="13" x14ac:dyDescent="0.15">
      <c r="A3379" s="72" t="str">
        <f t="shared" si="52"/>
        <v>Ofsted Social Care Provider Webpage</v>
      </c>
      <c r="B3379" s="55" t="s">
        <v>6311</v>
      </c>
      <c r="D3379" s="55" t="s">
        <v>373</v>
      </c>
      <c r="E3379" s="74">
        <v>41696</v>
      </c>
      <c r="F3379" s="55" t="s">
        <v>344</v>
      </c>
      <c r="G3379" s="55" t="s">
        <v>360</v>
      </c>
      <c r="H3379" s="55" t="s">
        <v>360</v>
      </c>
      <c r="I3379" s="55" t="s">
        <v>360</v>
      </c>
      <c r="J3379" s="55" t="s">
        <v>360</v>
      </c>
      <c r="K3379" s="55" t="s">
        <v>360</v>
      </c>
      <c r="L3379" s="55" t="s">
        <v>360</v>
      </c>
      <c r="M3379" s="55" t="s">
        <v>138</v>
      </c>
      <c r="N3379" s="55" t="s">
        <v>138</v>
      </c>
      <c r="O3379" s="55" t="s">
        <v>137</v>
      </c>
      <c r="P3379" s="55" t="s">
        <v>643</v>
      </c>
      <c r="Q3379" s="55" t="s">
        <v>350</v>
      </c>
      <c r="R3379" s="55">
        <v>4</v>
      </c>
      <c r="S3379" s="55"/>
      <c r="T3379" s="55" t="s">
        <v>385</v>
      </c>
      <c r="U3379" s="73" t="s">
        <v>351</v>
      </c>
      <c r="V3379" s="74">
        <v>44579</v>
      </c>
      <c r="W3379" s="74">
        <v>44607</v>
      </c>
      <c r="X3379" s="55">
        <v>10187461</v>
      </c>
      <c r="Y3379" s="55" t="s">
        <v>140</v>
      </c>
      <c r="AB3379" s="55" t="s">
        <v>140</v>
      </c>
      <c r="AC3379" s="55" t="s">
        <v>140</v>
      </c>
    </row>
    <row r="3380" spans="1:29" ht="13" x14ac:dyDescent="0.15">
      <c r="A3380" s="72" t="str">
        <f t="shared" si="52"/>
        <v>Ofsted Social Care Provider Webpage</v>
      </c>
      <c r="B3380" s="55" t="s">
        <v>6312</v>
      </c>
      <c r="D3380" s="55" t="s">
        <v>373</v>
      </c>
      <c r="E3380" s="74">
        <v>41707</v>
      </c>
      <c r="F3380" s="55" t="s">
        <v>344</v>
      </c>
      <c r="G3380" s="55" t="s">
        <v>360</v>
      </c>
      <c r="H3380" s="55" t="s">
        <v>360</v>
      </c>
      <c r="I3380" s="55" t="s">
        <v>360</v>
      </c>
      <c r="J3380" s="55" t="s">
        <v>360</v>
      </c>
      <c r="K3380" s="55" t="s">
        <v>360</v>
      </c>
      <c r="L3380" s="55" t="s">
        <v>360</v>
      </c>
      <c r="M3380" s="55" t="s">
        <v>142</v>
      </c>
      <c r="N3380" s="55" t="s">
        <v>142</v>
      </c>
      <c r="O3380" s="55" t="s">
        <v>252</v>
      </c>
      <c r="P3380" s="55" t="s">
        <v>386</v>
      </c>
      <c r="Q3380" s="55" t="s">
        <v>350</v>
      </c>
      <c r="R3380" s="55">
        <v>3</v>
      </c>
      <c r="S3380" s="55"/>
      <c r="T3380" s="55" t="s">
        <v>385</v>
      </c>
      <c r="U3380" s="73" t="s">
        <v>351</v>
      </c>
      <c r="V3380" s="74">
        <v>44300</v>
      </c>
      <c r="W3380" s="74">
        <v>44334</v>
      </c>
      <c r="X3380" s="55">
        <v>10185880</v>
      </c>
      <c r="Y3380" s="55" t="s">
        <v>130</v>
      </c>
      <c r="AB3380" s="55" t="s">
        <v>130</v>
      </c>
      <c r="AC3380" s="55" t="s">
        <v>130</v>
      </c>
    </row>
    <row r="3381" spans="1:29" ht="13" x14ac:dyDescent="0.15">
      <c r="A3381" s="72" t="str">
        <f t="shared" si="52"/>
        <v>Ofsted Social Care Provider Webpage</v>
      </c>
      <c r="B3381" s="55" t="s">
        <v>6313</v>
      </c>
      <c r="D3381" s="55" t="s">
        <v>373</v>
      </c>
      <c r="E3381" s="74">
        <v>41707</v>
      </c>
      <c r="F3381" s="55" t="s">
        <v>344</v>
      </c>
      <c r="G3381" s="55" t="s">
        <v>360</v>
      </c>
      <c r="H3381" s="55" t="s">
        <v>360</v>
      </c>
      <c r="I3381" s="55" t="s">
        <v>360</v>
      </c>
      <c r="J3381" s="55" t="s">
        <v>360</v>
      </c>
      <c r="K3381" s="55" t="s">
        <v>360</v>
      </c>
      <c r="L3381" s="55" t="s">
        <v>360</v>
      </c>
      <c r="M3381" s="55" t="s">
        <v>142</v>
      </c>
      <c r="N3381" s="55" t="s">
        <v>142</v>
      </c>
      <c r="O3381" s="55" t="s">
        <v>252</v>
      </c>
      <c r="P3381" s="55" t="s">
        <v>388</v>
      </c>
      <c r="Q3381" s="55" t="s">
        <v>350</v>
      </c>
      <c r="R3381" s="55">
        <v>5</v>
      </c>
      <c r="S3381" s="55"/>
      <c r="T3381" s="55" t="s">
        <v>385</v>
      </c>
      <c r="U3381" s="73" t="s">
        <v>351</v>
      </c>
      <c r="V3381" s="74">
        <v>44550</v>
      </c>
      <c r="W3381" s="74">
        <v>44599</v>
      </c>
      <c r="X3381" s="55">
        <v>10187200</v>
      </c>
      <c r="Y3381" s="55" t="s">
        <v>130</v>
      </c>
      <c r="AB3381" s="55" t="s">
        <v>130</v>
      </c>
      <c r="AC3381" s="55" t="s">
        <v>130</v>
      </c>
    </row>
    <row r="3382" spans="1:29" ht="13" x14ac:dyDescent="0.15">
      <c r="A3382" s="72" t="str">
        <f t="shared" si="52"/>
        <v>Ofsted Social Care Provider Webpage</v>
      </c>
      <c r="B3382" s="55" t="s">
        <v>6314</v>
      </c>
      <c r="D3382" s="55" t="s">
        <v>373</v>
      </c>
      <c r="E3382" s="74">
        <v>41704</v>
      </c>
      <c r="F3382" s="55" t="s">
        <v>344</v>
      </c>
      <c r="G3382" s="55" t="s">
        <v>360</v>
      </c>
      <c r="H3382" s="55" t="s">
        <v>360</v>
      </c>
      <c r="I3382" s="55" t="s">
        <v>360</v>
      </c>
      <c r="J3382" s="55" t="s">
        <v>360</v>
      </c>
      <c r="K3382" s="55" t="s">
        <v>360</v>
      </c>
      <c r="L3382" s="55" t="s">
        <v>360</v>
      </c>
      <c r="M3382" s="55" t="s">
        <v>142</v>
      </c>
      <c r="N3382" s="55" t="s">
        <v>142</v>
      </c>
      <c r="O3382" s="55" t="s">
        <v>252</v>
      </c>
      <c r="P3382" s="55" t="s">
        <v>388</v>
      </c>
      <c r="Q3382" s="55" t="s">
        <v>350</v>
      </c>
      <c r="R3382" s="55">
        <v>5</v>
      </c>
      <c r="S3382" s="55"/>
      <c r="T3382" s="55" t="s">
        <v>385</v>
      </c>
      <c r="U3382" s="73" t="s">
        <v>351</v>
      </c>
      <c r="V3382" s="74">
        <v>43677</v>
      </c>
      <c r="W3382" s="74">
        <v>43720</v>
      </c>
      <c r="X3382" s="55">
        <v>10097021</v>
      </c>
      <c r="Y3382" s="55" t="s">
        <v>132</v>
      </c>
      <c r="AB3382" s="55" t="s">
        <v>132</v>
      </c>
      <c r="AC3382" s="55" t="s">
        <v>130</v>
      </c>
    </row>
    <row r="3383" spans="1:29" ht="13" x14ac:dyDescent="0.15">
      <c r="A3383" s="72" t="str">
        <f t="shared" si="52"/>
        <v>Ofsted Social Care Provider Webpage</v>
      </c>
      <c r="B3383" s="55" t="s">
        <v>6315</v>
      </c>
      <c r="D3383" s="55" t="s">
        <v>373</v>
      </c>
      <c r="E3383" s="74">
        <v>41698</v>
      </c>
      <c r="F3383" s="55" t="s">
        <v>344</v>
      </c>
      <c r="G3383" s="55" t="s">
        <v>360</v>
      </c>
      <c r="H3383" s="55" t="s">
        <v>360</v>
      </c>
      <c r="I3383" s="55" t="s">
        <v>360</v>
      </c>
      <c r="J3383" s="55" t="s">
        <v>360</v>
      </c>
      <c r="K3383" s="55" t="s">
        <v>360</v>
      </c>
      <c r="L3383" s="55" t="s">
        <v>360</v>
      </c>
      <c r="M3383" s="55" t="s">
        <v>142</v>
      </c>
      <c r="N3383" s="55" t="s">
        <v>142</v>
      </c>
      <c r="O3383" s="55" t="s">
        <v>278</v>
      </c>
      <c r="P3383" s="55" t="s">
        <v>611</v>
      </c>
      <c r="Q3383" s="55" t="s">
        <v>350</v>
      </c>
      <c r="R3383" s="55">
        <v>5</v>
      </c>
      <c r="S3383" s="55"/>
      <c r="T3383" s="55" t="s">
        <v>385</v>
      </c>
      <c r="U3383" s="73" t="s">
        <v>351</v>
      </c>
      <c r="V3383" s="74">
        <v>44474</v>
      </c>
      <c r="W3383" s="74">
        <v>44519</v>
      </c>
      <c r="X3383" s="55">
        <v>10205851</v>
      </c>
      <c r="Y3383" s="55" t="s">
        <v>130</v>
      </c>
      <c r="AB3383" s="55" t="s">
        <v>130</v>
      </c>
      <c r="AC3383" s="55" t="s">
        <v>130</v>
      </c>
    </row>
    <row r="3384" spans="1:29" ht="13" x14ac:dyDescent="0.15">
      <c r="A3384" s="72" t="str">
        <f t="shared" si="52"/>
        <v>Ofsted Social Care Provider Webpage</v>
      </c>
      <c r="B3384" s="55" t="s">
        <v>6316</v>
      </c>
      <c r="D3384" s="55" t="s">
        <v>373</v>
      </c>
      <c r="E3384" s="74">
        <v>41707</v>
      </c>
      <c r="F3384" s="55" t="s">
        <v>344</v>
      </c>
      <c r="G3384" s="55" t="s">
        <v>360</v>
      </c>
      <c r="H3384" s="55" t="s">
        <v>360</v>
      </c>
      <c r="I3384" s="55" t="s">
        <v>360</v>
      </c>
      <c r="J3384" s="55" t="s">
        <v>360</v>
      </c>
      <c r="K3384" s="55" t="s">
        <v>360</v>
      </c>
      <c r="L3384" s="55" t="s">
        <v>360</v>
      </c>
      <c r="M3384" s="55" t="s">
        <v>142</v>
      </c>
      <c r="N3384" s="55" t="s">
        <v>142</v>
      </c>
      <c r="O3384" s="55" t="s">
        <v>252</v>
      </c>
      <c r="P3384" s="55" t="s">
        <v>386</v>
      </c>
      <c r="Q3384" s="55" t="s">
        <v>350</v>
      </c>
      <c r="R3384" s="55">
        <v>5</v>
      </c>
      <c r="S3384" s="55"/>
      <c r="T3384" s="55" t="s">
        <v>385</v>
      </c>
      <c r="U3384" s="73" t="s">
        <v>351</v>
      </c>
      <c r="V3384" s="74">
        <v>44427</v>
      </c>
      <c r="W3384" s="74">
        <v>44466</v>
      </c>
      <c r="X3384" s="55">
        <v>10186062</v>
      </c>
      <c r="Y3384" s="55" t="s">
        <v>132</v>
      </c>
      <c r="AB3384" s="55" t="s">
        <v>132</v>
      </c>
      <c r="AC3384" s="55" t="s">
        <v>130</v>
      </c>
    </row>
    <row r="3385" spans="1:29" ht="13" x14ac:dyDescent="0.15">
      <c r="A3385" s="72" t="str">
        <f t="shared" si="52"/>
        <v>Ofsted Social Care Provider Webpage</v>
      </c>
      <c r="B3385" s="55" t="s">
        <v>6317</v>
      </c>
      <c r="D3385" s="55" t="s">
        <v>373</v>
      </c>
      <c r="E3385" s="74">
        <v>41768</v>
      </c>
      <c r="F3385" s="55" t="s">
        <v>344</v>
      </c>
      <c r="G3385" s="55" t="s">
        <v>360</v>
      </c>
      <c r="H3385" s="55" t="s">
        <v>360</v>
      </c>
      <c r="I3385" s="55" t="s">
        <v>360</v>
      </c>
      <c r="J3385" s="55" t="s">
        <v>360</v>
      </c>
      <c r="K3385" s="55" t="s">
        <v>360</v>
      </c>
      <c r="L3385" s="55" t="s">
        <v>360</v>
      </c>
      <c r="M3385" s="55" t="s">
        <v>172</v>
      </c>
      <c r="N3385" s="55" t="s">
        <v>172</v>
      </c>
      <c r="O3385" s="55" t="s">
        <v>212</v>
      </c>
      <c r="P3385" s="55" t="s">
        <v>842</v>
      </c>
      <c r="Q3385" s="55" t="s">
        <v>350</v>
      </c>
      <c r="R3385" s="55">
        <v>5</v>
      </c>
      <c r="S3385" s="55"/>
      <c r="T3385" s="55" t="s">
        <v>385</v>
      </c>
      <c r="U3385" s="73" t="s">
        <v>351</v>
      </c>
      <c r="V3385" s="74">
        <v>44362</v>
      </c>
      <c r="W3385" s="74">
        <v>44403</v>
      </c>
      <c r="X3385" s="55">
        <v>10187054</v>
      </c>
      <c r="Y3385" s="55" t="s">
        <v>132</v>
      </c>
      <c r="AB3385" s="55" t="s">
        <v>132</v>
      </c>
      <c r="AC3385" s="55" t="s">
        <v>132</v>
      </c>
    </row>
    <row r="3386" spans="1:29" ht="13" x14ac:dyDescent="0.15">
      <c r="A3386" s="72" t="str">
        <f t="shared" si="52"/>
        <v>Ofsted Social Care Provider Webpage</v>
      </c>
      <c r="B3386" s="55" t="s">
        <v>6318</v>
      </c>
      <c r="D3386" s="55" t="s">
        <v>373</v>
      </c>
      <c r="E3386" s="74">
        <v>42019</v>
      </c>
      <c r="F3386" s="55" t="s">
        <v>344</v>
      </c>
      <c r="G3386" s="55" t="s">
        <v>360</v>
      </c>
      <c r="H3386" s="55" t="s">
        <v>360</v>
      </c>
      <c r="I3386" s="55" t="s">
        <v>360</v>
      </c>
      <c r="J3386" s="55" t="s">
        <v>360</v>
      </c>
      <c r="K3386" s="55" t="s">
        <v>360</v>
      </c>
      <c r="L3386" s="55" t="s">
        <v>360</v>
      </c>
      <c r="M3386" s="55" t="s">
        <v>172</v>
      </c>
      <c r="N3386" s="55" t="s">
        <v>172</v>
      </c>
      <c r="O3386" s="55" t="s">
        <v>173</v>
      </c>
      <c r="P3386" s="55" t="s">
        <v>1069</v>
      </c>
      <c r="Q3386" s="55" t="s">
        <v>350</v>
      </c>
      <c r="R3386" s="55">
        <v>5</v>
      </c>
      <c r="S3386" s="55"/>
      <c r="T3386" s="55" t="s">
        <v>385</v>
      </c>
      <c r="U3386" s="73" t="s">
        <v>351</v>
      </c>
      <c r="V3386" s="74">
        <v>44516</v>
      </c>
      <c r="W3386" s="74">
        <v>44551</v>
      </c>
      <c r="X3386" s="55">
        <v>10185715</v>
      </c>
      <c r="Y3386" s="55" t="s">
        <v>132</v>
      </c>
      <c r="AB3386" s="55" t="s">
        <v>132</v>
      </c>
      <c r="AC3386" s="55" t="s">
        <v>132</v>
      </c>
    </row>
    <row r="3387" spans="1:29" ht="13" x14ac:dyDescent="0.15">
      <c r="A3387" s="72" t="str">
        <f t="shared" si="52"/>
        <v>Ofsted Social Care Provider Webpage</v>
      </c>
      <c r="B3387" s="55" t="s">
        <v>6319</v>
      </c>
      <c r="D3387" s="55" t="s">
        <v>373</v>
      </c>
      <c r="E3387" s="74">
        <v>41698</v>
      </c>
      <c r="F3387" s="55" t="s">
        <v>344</v>
      </c>
      <c r="G3387" s="55" t="s">
        <v>360</v>
      </c>
      <c r="H3387" s="55" t="s">
        <v>360</v>
      </c>
      <c r="I3387" s="55" t="s">
        <v>360</v>
      </c>
      <c r="J3387" s="55" t="s">
        <v>360</v>
      </c>
      <c r="K3387" s="55" t="s">
        <v>360</v>
      </c>
      <c r="L3387" s="55" t="s">
        <v>360</v>
      </c>
      <c r="M3387" s="55" t="s">
        <v>142</v>
      </c>
      <c r="N3387" s="55" t="s">
        <v>142</v>
      </c>
      <c r="O3387" s="55" t="s">
        <v>252</v>
      </c>
      <c r="P3387" s="55" t="s">
        <v>388</v>
      </c>
      <c r="Q3387" s="55" t="s">
        <v>350</v>
      </c>
      <c r="R3387" s="55">
        <v>5</v>
      </c>
      <c r="S3387" s="55"/>
      <c r="T3387" s="55" t="s">
        <v>385</v>
      </c>
      <c r="U3387" s="73" t="s">
        <v>351</v>
      </c>
      <c r="V3387" s="74">
        <v>44307</v>
      </c>
      <c r="W3387" s="74">
        <v>44335</v>
      </c>
      <c r="X3387" s="55">
        <v>10185900</v>
      </c>
      <c r="Y3387" s="55" t="s">
        <v>132</v>
      </c>
      <c r="AB3387" s="55" t="s">
        <v>132</v>
      </c>
      <c r="AC3387" s="55" t="s">
        <v>132</v>
      </c>
    </row>
    <row r="3388" spans="1:29" ht="13" x14ac:dyDescent="0.15">
      <c r="A3388" s="72" t="str">
        <f t="shared" si="52"/>
        <v>Ofsted Social Care Provider Webpage</v>
      </c>
      <c r="B3388" s="55" t="s">
        <v>6320</v>
      </c>
      <c r="D3388" s="55" t="s">
        <v>373</v>
      </c>
      <c r="E3388" s="74">
        <v>41767</v>
      </c>
      <c r="F3388" s="55" t="s">
        <v>344</v>
      </c>
      <c r="G3388" s="55" t="s">
        <v>360</v>
      </c>
      <c r="H3388" s="55" t="s">
        <v>360</v>
      </c>
      <c r="I3388" s="55" t="s">
        <v>360</v>
      </c>
      <c r="J3388" s="55" t="s">
        <v>360</v>
      </c>
      <c r="K3388" s="55" t="s">
        <v>360</v>
      </c>
      <c r="L3388" s="55" t="s">
        <v>360</v>
      </c>
      <c r="M3388" s="55" t="s">
        <v>378</v>
      </c>
      <c r="N3388" s="55" t="s">
        <v>170</v>
      </c>
      <c r="O3388" s="55" t="s">
        <v>184</v>
      </c>
      <c r="P3388" s="55" t="s">
        <v>184</v>
      </c>
      <c r="Q3388" s="55" t="s">
        <v>350</v>
      </c>
      <c r="R3388" s="55">
        <v>3</v>
      </c>
      <c r="S3388" s="55"/>
      <c r="T3388" s="55" t="s">
        <v>385</v>
      </c>
      <c r="U3388" s="73" t="s">
        <v>351</v>
      </c>
      <c r="V3388" s="74">
        <v>44607</v>
      </c>
      <c r="W3388" s="74">
        <v>44651</v>
      </c>
      <c r="X3388" s="55">
        <v>10185422</v>
      </c>
      <c r="Y3388" s="55" t="s">
        <v>132</v>
      </c>
      <c r="AB3388" s="55" t="s">
        <v>132</v>
      </c>
      <c r="AC3388" s="55" t="s">
        <v>132</v>
      </c>
    </row>
    <row r="3389" spans="1:29" ht="13" x14ac:dyDescent="0.15">
      <c r="A3389" s="72" t="str">
        <f t="shared" si="52"/>
        <v>Ofsted Social Care Provider Webpage</v>
      </c>
      <c r="B3389" s="55" t="s">
        <v>6321</v>
      </c>
      <c r="D3389" s="55" t="s">
        <v>373</v>
      </c>
      <c r="E3389" s="74">
        <v>41701</v>
      </c>
      <c r="F3389" s="55" t="s">
        <v>344</v>
      </c>
      <c r="G3389" s="55" t="s">
        <v>360</v>
      </c>
      <c r="H3389" s="55" t="s">
        <v>360</v>
      </c>
      <c r="I3389" s="55" t="s">
        <v>360</v>
      </c>
      <c r="J3389" s="55" t="s">
        <v>360</v>
      </c>
      <c r="K3389" s="55" t="s">
        <v>360</v>
      </c>
      <c r="L3389" s="55" t="s">
        <v>360</v>
      </c>
      <c r="M3389" s="55" t="s">
        <v>142</v>
      </c>
      <c r="N3389" s="55" t="s">
        <v>142</v>
      </c>
      <c r="O3389" s="55" t="s">
        <v>252</v>
      </c>
      <c r="P3389" s="55" t="s">
        <v>386</v>
      </c>
      <c r="Q3389" s="55" t="s">
        <v>350</v>
      </c>
      <c r="R3389" s="55">
        <v>5</v>
      </c>
      <c r="S3389" s="55"/>
      <c r="T3389" s="55" t="s">
        <v>385</v>
      </c>
      <c r="U3389" s="73" t="s">
        <v>351</v>
      </c>
      <c r="V3389" s="74">
        <v>44370</v>
      </c>
      <c r="W3389" s="74">
        <v>44400</v>
      </c>
      <c r="X3389" s="55">
        <v>10187282</v>
      </c>
      <c r="Y3389" s="55" t="s">
        <v>130</v>
      </c>
      <c r="AB3389" s="55" t="s">
        <v>130</v>
      </c>
      <c r="AC3389" s="55" t="s">
        <v>130</v>
      </c>
    </row>
    <row r="3390" spans="1:29" ht="13" x14ac:dyDescent="0.15">
      <c r="A3390" s="72" t="str">
        <f t="shared" si="52"/>
        <v>Ofsted Social Care Provider Webpage</v>
      </c>
      <c r="B3390" s="55" t="s">
        <v>6322</v>
      </c>
      <c r="D3390" s="55" t="s">
        <v>468</v>
      </c>
      <c r="E3390" s="74">
        <v>41718</v>
      </c>
      <c r="F3390" s="55" t="s">
        <v>344</v>
      </c>
      <c r="G3390" s="55" t="s">
        <v>6323</v>
      </c>
      <c r="H3390" s="55" t="s">
        <v>5502</v>
      </c>
      <c r="I3390" s="55" t="s">
        <v>5503</v>
      </c>
      <c r="J3390" s="55" t="s">
        <v>4030</v>
      </c>
      <c r="K3390" s="55" t="s">
        <v>293</v>
      </c>
      <c r="L3390" s="55" t="s">
        <v>4031</v>
      </c>
      <c r="M3390" s="55" t="s">
        <v>142</v>
      </c>
      <c r="N3390" s="55" t="s">
        <v>142</v>
      </c>
      <c r="O3390" s="55" t="s">
        <v>293</v>
      </c>
      <c r="P3390" s="55" t="s">
        <v>1641</v>
      </c>
      <c r="Q3390" s="55" t="s">
        <v>362</v>
      </c>
      <c r="R3390" s="55"/>
      <c r="S3390" s="55"/>
      <c r="T3390" s="55" t="s">
        <v>6324</v>
      </c>
      <c r="U3390" s="73" t="s">
        <v>351</v>
      </c>
      <c r="V3390" s="74">
        <v>44536</v>
      </c>
      <c r="W3390" s="74">
        <v>44586</v>
      </c>
      <c r="X3390" s="55">
        <v>10183461</v>
      </c>
      <c r="Y3390" s="55" t="s">
        <v>132</v>
      </c>
      <c r="AB3390" s="55" t="s">
        <v>132</v>
      </c>
      <c r="AC3390" s="55" t="s">
        <v>132</v>
      </c>
    </row>
    <row r="3391" spans="1:29" ht="13" x14ac:dyDescent="0.15">
      <c r="A3391" s="72" t="str">
        <f t="shared" si="52"/>
        <v>Ofsted Social Care Provider Webpage</v>
      </c>
      <c r="B3391" s="55" t="s">
        <v>6325</v>
      </c>
      <c r="D3391" s="55" t="s">
        <v>373</v>
      </c>
      <c r="E3391" s="74">
        <v>41771</v>
      </c>
      <c r="F3391" s="55" t="s">
        <v>344</v>
      </c>
      <c r="G3391" s="55" t="s">
        <v>360</v>
      </c>
      <c r="H3391" s="55" t="s">
        <v>360</v>
      </c>
      <c r="I3391" s="55" t="s">
        <v>360</v>
      </c>
      <c r="J3391" s="55" t="s">
        <v>360</v>
      </c>
      <c r="K3391" s="55" t="s">
        <v>360</v>
      </c>
      <c r="L3391" s="55" t="s">
        <v>360</v>
      </c>
      <c r="M3391" s="55" t="s">
        <v>142</v>
      </c>
      <c r="N3391" s="55" t="s">
        <v>142</v>
      </c>
      <c r="O3391" s="55" t="s">
        <v>195</v>
      </c>
      <c r="P3391" s="55" t="s">
        <v>518</v>
      </c>
      <c r="Q3391" s="55" t="s">
        <v>350</v>
      </c>
      <c r="R3391" s="55">
        <v>7</v>
      </c>
      <c r="S3391" s="55"/>
      <c r="T3391" s="55" t="s">
        <v>450</v>
      </c>
      <c r="U3391" s="73" t="s">
        <v>351</v>
      </c>
      <c r="V3391" s="74">
        <v>44607</v>
      </c>
      <c r="W3391" s="74">
        <v>44673</v>
      </c>
      <c r="X3391" s="55">
        <v>10187591</v>
      </c>
      <c r="Y3391" s="55" t="s">
        <v>146</v>
      </c>
      <c r="AB3391" s="55" t="s">
        <v>146</v>
      </c>
      <c r="AC3391" s="55" t="s">
        <v>146</v>
      </c>
    </row>
    <row r="3392" spans="1:29" ht="13" x14ac:dyDescent="0.15">
      <c r="A3392" s="72" t="str">
        <f t="shared" si="52"/>
        <v>Ofsted Social Care Provider Webpage</v>
      </c>
      <c r="B3392" s="55" t="s">
        <v>6326</v>
      </c>
      <c r="D3392" s="55" t="s">
        <v>373</v>
      </c>
      <c r="E3392" s="74">
        <v>41793</v>
      </c>
      <c r="F3392" s="55" t="s">
        <v>344</v>
      </c>
      <c r="G3392" s="55" t="s">
        <v>360</v>
      </c>
      <c r="H3392" s="55" t="s">
        <v>360</v>
      </c>
      <c r="I3392" s="55" t="s">
        <v>360</v>
      </c>
      <c r="J3392" s="55" t="s">
        <v>360</v>
      </c>
      <c r="K3392" s="55" t="s">
        <v>360</v>
      </c>
      <c r="L3392" s="55" t="s">
        <v>360</v>
      </c>
      <c r="M3392" s="55" t="s">
        <v>378</v>
      </c>
      <c r="N3392" s="55" t="s">
        <v>170</v>
      </c>
      <c r="O3392" s="55" t="s">
        <v>243</v>
      </c>
      <c r="P3392" s="55" t="s">
        <v>1222</v>
      </c>
      <c r="Q3392" s="55" t="s">
        <v>350</v>
      </c>
      <c r="R3392" s="55">
        <v>5</v>
      </c>
      <c r="S3392" s="55"/>
      <c r="T3392" s="55" t="s">
        <v>5426</v>
      </c>
      <c r="U3392" s="73" t="s">
        <v>351</v>
      </c>
      <c r="V3392" s="74">
        <v>44462</v>
      </c>
      <c r="W3392" s="74">
        <v>44498</v>
      </c>
      <c r="X3392" s="55">
        <v>10186817</v>
      </c>
      <c r="Y3392" s="55" t="s">
        <v>130</v>
      </c>
      <c r="AB3392" s="55" t="s">
        <v>130</v>
      </c>
      <c r="AC3392" s="55" t="s">
        <v>130</v>
      </c>
    </row>
    <row r="3393" spans="1:29" ht="13" x14ac:dyDescent="0.15">
      <c r="A3393" s="72" t="str">
        <f t="shared" si="52"/>
        <v>Ofsted Social Care Provider Webpage</v>
      </c>
      <c r="B3393" s="55" t="s">
        <v>6327</v>
      </c>
      <c r="D3393" s="55" t="s">
        <v>373</v>
      </c>
      <c r="E3393" s="74">
        <v>41765</v>
      </c>
      <c r="F3393" s="55" t="s">
        <v>344</v>
      </c>
      <c r="G3393" s="55" t="s">
        <v>360</v>
      </c>
      <c r="H3393" s="55" t="s">
        <v>360</v>
      </c>
      <c r="I3393" s="55" t="s">
        <v>360</v>
      </c>
      <c r="J3393" s="55" t="s">
        <v>360</v>
      </c>
      <c r="K3393" s="55" t="s">
        <v>360</v>
      </c>
      <c r="L3393" s="55" t="s">
        <v>360</v>
      </c>
      <c r="M3393" s="55" t="s">
        <v>138</v>
      </c>
      <c r="N3393" s="55" t="s">
        <v>138</v>
      </c>
      <c r="O3393" s="55" t="s">
        <v>159</v>
      </c>
      <c r="P3393" s="55" t="s">
        <v>1025</v>
      </c>
      <c r="Q3393" s="55" t="s">
        <v>350</v>
      </c>
      <c r="R3393" s="55">
        <v>5</v>
      </c>
      <c r="S3393" s="55"/>
      <c r="T3393" s="55" t="s">
        <v>2811</v>
      </c>
      <c r="U3393" s="73" t="s">
        <v>351</v>
      </c>
      <c r="V3393" s="74">
        <v>44363</v>
      </c>
      <c r="W3393" s="74">
        <v>44397</v>
      </c>
      <c r="X3393" s="55">
        <v>10187352</v>
      </c>
      <c r="Y3393" s="55" t="s">
        <v>132</v>
      </c>
      <c r="AB3393" s="55" t="s">
        <v>132</v>
      </c>
      <c r="AC3393" s="55" t="s">
        <v>132</v>
      </c>
    </row>
    <row r="3394" spans="1:29" ht="13" x14ac:dyDescent="0.15">
      <c r="A3394" s="72" t="str">
        <f t="shared" si="52"/>
        <v>Ofsted Social Care Provider Webpage</v>
      </c>
      <c r="B3394" s="55" t="s">
        <v>6328</v>
      </c>
      <c r="D3394" s="55" t="s">
        <v>373</v>
      </c>
      <c r="E3394" s="74">
        <v>42068</v>
      </c>
      <c r="F3394" s="55" t="s">
        <v>344</v>
      </c>
      <c r="G3394" s="55" t="s">
        <v>360</v>
      </c>
      <c r="H3394" s="55" t="s">
        <v>360</v>
      </c>
      <c r="I3394" s="55" t="s">
        <v>360</v>
      </c>
      <c r="J3394" s="55" t="s">
        <v>360</v>
      </c>
      <c r="K3394" s="55" t="s">
        <v>360</v>
      </c>
      <c r="L3394" s="55" t="s">
        <v>360</v>
      </c>
      <c r="M3394" s="55" t="s">
        <v>378</v>
      </c>
      <c r="N3394" s="55" t="s">
        <v>170</v>
      </c>
      <c r="O3394" s="55" t="s">
        <v>178</v>
      </c>
      <c r="P3394" s="55" t="s">
        <v>1450</v>
      </c>
      <c r="Q3394" s="55" t="s">
        <v>350</v>
      </c>
      <c r="R3394" s="55">
        <v>3</v>
      </c>
      <c r="S3394" s="55"/>
      <c r="T3394" s="55" t="s">
        <v>5244</v>
      </c>
      <c r="U3394" s="73" t="s">
        <v>351</v>
      </c>
      <c r="V3394" s="74">
        <v>44424</v>
      </c>
      <c r="W3394" s="74">
        <v>44455</v>
      </c>
      <c r="X3394" s="55">
        <v>10186840</v>
      </c>
      <c r="Y3394" s="55" t="s">
        <v>130</v>
      </c>
      <c r="AB3394" s="55" t="s">
        <v>130</v>
      </c>
      <c r="AC3394" s="55" t="s">
        <v>130</v>
      </c>
    </row>
    <row r="3395" spans="1:29" ht="13" x14ac:dyDescent="0.15">
      <c r="A3395" s="72" t="str">
        <f t="shared" si="52"/>
        <v>Ofsted Social Care Provider Webpage</v>
      </c>
      <c r="B3395" s="55" t="s">
        <v>6329</v>
      </c>
      <c r="D3395" s="55" t="s">
        <v>373</v>
      </c>
      <c r="E3395" s="74">
        <v>41787</v>
      </c>
      <c r="F3395" s="55" t="s">
        <v>344</v>
      </c>
      <c r="G3395" s="55" t="s">
        <v>360</v>
      </c>
      <c r="H3395" s="55" t="s">
        <v>360</v>
      </c>
      <c r="I3395" s="55" t="s">
        <v>360</v>
      </c>
      <c r="J3395" s="55" t="s">
        <v>360</v>
      </c>
      <c r="K3395" s="55" t="s">
        <v>360</v>
      </c>
      <c r="L3395" s="55" t="s">
        <v>360</v>
      </c>
      <c r="M3395" s="55" t="s">
        <v>144</v>
      </c>
      <c r="N3395" s="55" t="s">
        <v>144</v>
      </c>
      <c r="O3395" s="55" t="s">
        <v>209</v>
      </c>
      <c r="P3395" s="55" t="s">
        <v>650</v>
      </c>
      <c r="Q3395" s="55" t="s">
        <v>350</v>
      </c>
      <c r="R3395" s="55">
        <v>4</v>
      </c>
      <c r="S3395" s="55"/>
      <c r="T3395" s="55" t="s">
        <v>1599</v>
      </c>
      <c r="U3395" s="73" t="s">
        <v>351</v>
      </c>
      <c r="V3395" s="74">
        <v>44460</v>
      </c>
      <c r="W3395" s="74">
        <v>44498</v>
      </c>
      <c r="X3395" s="55">
        <v>10197684</v>
      </c>
      <c r="Y3395" s="55" t="s">
        <v>130</v>
      </c>
      <c r="AB3395" s="55" t="s">
        <v>130</v>
      </c>
      <c r="AC3395" s="55" t="s">
        <v>130</v>
      </c>
    </row>
    <row r="3396" spans="1:29" ht="13" x14ac:dyDescent="0.15">
      <c r="A3396" s="72" t="str">
        <f t="shared" si="52"/>
        <v>Ofsted Social Care Provider Webpage</v>
      </c>
      <c r="B3396" s="55" t="s">
        <v>6330</v>
      </c>
      <c r="D3396" s="55" t="s">
        <v>389</v>
      </c>
      <c r="E3396" s="74">
        <v>41816</v>
      </c>
      <c r="F3396" s="55" t="s">
        <v>344</v>
      </c>
      <c r="G3396" s="55" t="s">
        <v>6331</v>
      </c>
      <c r="H3396" s="55" t="s">
        <v>6332</v>
      </c>
      <c r="I3396" s="55" t="s">
        <v>6333</v>
      </c>
      <c r="J3396" s="55" t="s">
        <v>6334</v>
      </c>
      <c r="L3396" s="55" t="s">
        <v>6335</v>
      </c>
      <c r="M3396" s="55" t="s">
        <v>142</v>
      </c>
      <c r="N3396" s="55" t="s">
        <v>142</v>
      </c>
      <c r="O3396" s="55" t="s">
        <v>249</v>
      </c>
      <c r="P3396" s="55" t="s">
        <v>1149</v>
      </c>
      <c r="Q3396" s="55" t="s">
        <v>350</v>
      </c>
      <c r="R3396" s="55"/>
      <c r="S3396" s="55"/>
      <c r="T3396" s="55" t="s">
        <v>6336</v>
      </c>
      <c r="U3396" s="73" t="s">
        <v>351</v>
      </c>
      <c r="V3396" s="74">
        <v>43682</v>
      </c>
      <c r="W3396" s="74">
        <v>43713</v>
      </c>
      <c r="X3396" s="55">
        <v>10093304</v>
      </c>
      <c r="Y3396" s="55" t="s">
        <v>132</v>
      </c>
      <c r="AB3396" s="55" t="s">
        <v>132</v>
      </c>
      <c r="AC3396" s="55" t="s">
        <v>130</v>
      </c>
    </row>
    <row r="3397" spans="1:29" ht="13" x14ac:dyDescent="0.15">
      <c r="A3397" s="72" t="str">
        <f t="shared" si="52"/>
        <v>Ofsted Social Care Provider Webpage</v>
      </c>
      <c r="B3397" s="55" t="s">
        <v>6337</v>
      </c>
      <c r="D3397" s="55" t="s">
        <v>389</v>
      </c>
      <c r="E3397" s="74">
        <v>41697</v>
      </c>
      <c r="F3397" s="55" t="s">
        <v>344</v>
      </c>
      <c r="G3397" s="55" t="s">
        <v>6338</v>
      </c>
      <c r="H3397" s="55" t="s">
        <v>2003</v>
      </c>
      <c r="I3397" s="55" t="s">
        <v>6339</v>
      </c>
      <c r="J3397" s="55" t="s">
        <v>6340</v>
      </c>
      <c r="K3397" s="55" t="s">
        <v>183</v>
      </c>
      <c r="L3397" s="55" t="s">
        <v>2005</v>
      </c>
      <c r="M3397" s="55" t="s">
        <v>138</v>
      </c>
      <c r="N3397" s="55" t="s">
        <v>138</v>
      </c>
      <c r="O3397" s="55" t="s">
        <v>183</v>
      </c>
      <c r="P3397" s="55" t="s">
        <v>813</v>
      </c>
      <c r="Q3397" s="55" t="s">
        <v>350</v>
      </c>
      <c r="R3397" s="55"/>
      <c r="S3397" s="55"/>
      <c r="T3397" s="55" t="s">
        <v>6341</v>
      </c>
      <c r="U3397" s="73" t="s">
        <v>351</v>
      </c>
      <c r="V3397" s="74">
        <v>43843</v>
      </c>
      <c r="W3397" s="74">
        <v>43866</v>
      </c>
      <c r="X3397" s="55">
        <v>10093259</v>
      </c>
      <c r="Y3397" s="55" t="s">
        <v>132</v>
      </c>
      <c r="AB3397" s="55" t="s">
        <v>132</v>
      </c>
      <c r="AC3397" s="55" t="s">
        <v>140</v>
      </c>
    </row>
    <row r="3398" spans="1:29" ht="13" x14ac:dyDescent="0.15">
      <c r="A3398" s="72" t="str">
        <f t="shared" ref="A3398:A3461" si="53">HYPERLINK(_xlfn.CONCAT("http://reports.ofsted.gov.uk/inspection-reports/find-inspection-report/provider/CARE/",B3398),"Ofsted Social Care Provider Webpage")</f>
        <v>Ofsted Social Care Provider Webpage</v>
      </c>
      <c r="B3398" s="55" t="s">
        <v>6342</v>
      </c>
      <c r="D3398" s="55" t="s">
        <v>373</v>
      </c>
      <c r="E3398" s="74">
        <v>41810</v>
      </c>
      <c r="F3398" s="55" t="s">
        <v>344</v>
      </c>
      <c r="G3398" s="55" t="s">
        <v>360</v>
      </c>
      <c r="H3398" s="55" t="s">
        <v>360</v>
      </c>
      <c r="I3398" s="55" t="s">
        <v>360</v>
      </c>
      <c r="J3398" s="55" t="s">
        <v>360</v>
      </c>
      <c r="K3398" s="55" t="s">
        <v>360</v>
      </c>
      <c r="L3398" s="55" t="s">
        <v>360</v>
      </c>
      <c r="M3398" s="55" t="s">
        <v>172</v>
      </c>
      <c r="N3398" s="55" t="s">
        <v>172</v>
      </c>
      <c r="O3398" s="55" t="s">
        <v>173</v>
      </c>
      <c r="P3398" s="55" t="s">
        <v>2307</v>
      </c>
      <c r="Q3398" s="55" t="s">
        <v>350</v>
      </c>
      <c r="R3398" s="55">
        <v>7</v>
      </c>
      <c r="S3398" s="55"/>
      <c r="T3398" s="55" t="s">
        <v>450</v>
      </c>
      <c r="U3398" s="73" t="s">
        <v>351</v>
      </c>
      <c r="V3398" s="74">
        <v>44369</v>
      </c>
      <c r="W3398" s="74">
        <v>44404</v>
      </c>
      <c r="X3398" s="55">
        <v>10186600</v>
      </c>
      <c r="Y3398" s="55" t="s">
        <v>140</v>
      </c>
      <c r="AB3398" s="55" t="s">
        <v>132</v>
      </c>
      <c r="AC3398" s="55" t="s">
        <v>140</v>
      </c>
    </row>
    <row r="3399" spans="1:29" ht="13" x14ac:dyDescent="0.15">
      <c r="A3399" s="72" t="str">
        <f t="shared" si="53"/>
        <v>Ofsted Social Care Provider Webpage</v>
      </c>
      <c r="B3399" s="55" t="s">
        <v>6343</v>
      </c>
      <c r="D3399" s="55" t="s">
        <v>389</v>
      </c>
      <c r="E3399" s="74">
        <v>41759</v>
      </c>
      <c r="F3399" s="55" t="s">
        <v>344</v>
      </c>
      <c r="G3399" s="55" t="s">
        <v>6344</v>
      </c>
      <c r="H3399" s="55" t="s">
        <v>6345</v>
      </c>
      <c r="I3399" s="55" t="s">
        <v>6346</v>
      </c>
      <c r="J3399" s="55" t="s">
        <v>224</v>
      </c>
      <c r="K3399" s="55" t="s">
        <v>1768</v>
      </c>
      <c r="L3399" s="55" t="s">
        <v>6347</v>
      </c>
      <c r="M3399" s="55" t="s">
        <v>138</v>
      </c>
      <c r="N3399" s="55" t="s">
        <v>138</v>
      </c>
      <c r="O3399" s="55" t="s">
        <v>224</v>
      </c>
      <c r="P3399" s="55" t="s">
        <v>2176</v>
      </c>
      <c r="Q3399" s="55" t="s">
        <v>350</v>
      </c>
      <c r="R3399" s="55"/>
      <c r="S3399" s="55"/>
      <c r="T3399" s="55" t="s">
        <v>6348</v>
      </c>
      <c r="U3399" s="73" t="s">
        <v>351</v>
      </c>
      <c r="V3399" s="74">
        <v>43507</v>
      </c>
      <c r="W3399" s="74">
        <v>43530</v>
      </c>
      <c r="X3399" s="55">
        <v>10045681</v>
      </c>
      <c r="Y3399" s="55" t="s">
        <v>132</v>
      </c>
      <c r="AB3399" s="55" t="s">
        <v>132</v>
      </c>
      <c r="AC3399" s="55" t="s">
        <v>132</v>
      </c>
    </row>
    <row r="3400" spans="1:29" ht="13" x14ac:dyDescent="0.15">
      <c r="A3400" s="72" t="str">
        <f t="shared" si="53"/>
        <v>Ofsted Social Care Provider Webpage</v>
      </c>
      <c r="B3400" s="55" t="s">
        <v>6349</v>
      </c>
      <c r="D3400" s="55" t="s">
        <v>373</v>
      </c>
      <c r="E3400" s="74">
        <v>41814</v>
      </c>
      <c r="F3400" s="55" t="s">
        <v>344</v>
      </c>
      <c r="G3400" s="55" t="s">
        <v>360</v>
      </c>
      <c r="H3400" s="55" t="s">
        <v>360</v>
      </c>
      <c r="I3400" s="55" t="s">
        <v>360</v>
      </c>
      <c r="J3400" s="55" t="s">
        <v>360</v>
      </c>
      <c r="K3400" s="55" t="s">
        <v>360</v>
      </c>
      <c r="L3400" s="55" t="s">
        <v>360</v>
      </c>
      <c r="M3400" s="55" t="s">
        <v>378</v>
      </c>
      <c r="N3400" s="55" t="s">
        <v>170</v>
      </c>
      <c r="O3400" s="55" t="s">
        <v>264</v>
      </c>
      <c r="P3400" s="55" t="s">
        <v>437</v>
      </c>
      <c r="Q3400" s="55" t="s">
        <v>350</v>
      </c>
      <c r="R3400" s="55">
        <v>5</v>
      </c>
      <c r="S3400" s="55"/>
      <c r="T3400" s="55" t="s">
        <v>438</v>
      </c>
      <c r="U3400" s="73" t="s">
        <v>351</v>
      </c>
      <c r="V3400" s="74">
        <v>44629</v>
      </c>
      <c r="W3400" s="74">
        <v>44676</v>
      </c>
      <c r="X3400" s="55">
        <v>10185702</v>
      </c>
      <c r="Y3400" s="55" t="s">
        <v>130</v>
      </c>
      <c r="AB3400" s="55" t="s">
        <v>130</v>
      </c>
      <c r="AC3400" s="55" t="s">
        <v>130</v>
      </c>
    </row>
    <row r="3401" spans="1:29" ht="13" x14ac:dyDescent="0.15">
      <c r="A3401" s="72" t="str">
        <f t="shared" si="53"/>
        <v>Ofsted Social Care Provider Webpage</v>
      </c>
      <c r="B3401" s="55" t="s">
        <v>6350</v>
      </c>
      <c r="D3401" s="55" t="s">
        <v>373</v>
      </c>
      <c r="E3401" s="74">
        <v>41815</v>
      </c>
      <c r="F3401" s="55" t="s">
        <v>344</v>
      </c>
      <c r="G3401" s="55" t="s">
        <v>360</v>
      </c>
      <c r="H3401" s="55" t="s">
        <v>360</v>
      </c>
      <c r="I3401" s="55" t="s">
        <v>360</v>
      </c>
      <c r="J3401" s="55" t="s">
        <v>360</v>
      </c>
      <c r="K3401" s="55" t="s">
        <v>360</v>
      </c>
      <c r="L3401" s="55" t="s">
        <v>360</v>
      </c>
      <c r="M3401" s="55" t="s">
        <v>136</v>
      </c>
      <c r="N3401" s="55" t="s">
        <v>136</v>
      </c>
      <c r="O3401" s="55" t="s">
        <v>255</v>
      </c>
      <c r="P3401" s="55" t="s">
        <v>1447</v>
      </c>
      <c r="Q3401" s="55" t="s">
        <v>350</v>
      </c>
      <c r="R3401" s="55">
        <v>3</v>
      </c>
      <c r="S3401" s="55"/>
      <c r="T3401" s="55" t="s">
        <v>5169</v>
      </c>
      <c r="U3401" s="73" t="s">
        <v>351</v>
      </c>
      <c r="V3401" s="74">
        <v>44530</v>
      </c>
      <c r="W3401" s="74">
        <v>44580</v>
      </c>
      <c r="X3401" s="55">
        <v>10187202</v>
      </c>
      <c r="Y3401" s="55" t="s">
        <v>130</v>
      </c>
      <c r="AB3401" s="55" t="s">
        <v>130</v>
      </c>
      <c r="AC3401" s="55" t="s">
        <v>146</v>
      </c>
    </row>
    <row r="3402" spans="1:29" ht="13" x14ac:dyDescent="0.15">
      <c r="A3402" s="72" t="str">
        <f t="shared" si="53"/>
        <v>Ofsted Social Care Provider Webpage</v>
      </c>
      <c r="B3402" s="55" t="s">
        <v>6351</v>
      </c>
      <c r="D3402" s="55" t="s">
        <v>373</v>
      </c>
      <c r="E3402" s="74">
        <v>41780</v>
      </c>
      <c r="F3402" s="55" t="s">
        <v>344</v>
      </c>
      <c r="G3402" s="55" t="s">
        <v>360</v>
      </c>
      <c r="H3402" s="55" t="s">
        <v>360</v>
      </c>
      <c r="I3402" s="55" t="s">
        <v>360</v>
      </c>
      <c r="J3402" s="55" t="s">
        <v>360</v>
      </c>
      <c r="K3402" s="55" t="s">
        <v>360</v>
      </c>
      <c r="L3402" s="55" t="s">
        <v>360</v>
      </c>
      <c r="M3402" s="55" t="s">
        <v>129</v>
      </c>
      <c r="N3402" s="55" t="s">
        <v>129</v>
      </c>
      <c r="O3402" s="55" t="s">
        <v>202</v>
      </c>
      <c r="P3402" s="55" t="s">
        <v>5749</v>
      </c>
      <c r="Q3402" s="55" t="s">
        <v>380</v>
      </c>
      <c r="R3402" s="55">
        <v>7</v>
      </c>
      <c r="S3402" s="55"/>
      <c r="T3402" s="55" t="s">
        <v>6352</v>
      </c>
      <c r="U3402" s="73" t="s">
        <v>351</v>
      </c>
      <c r="V3402" s="74">
        <v>44579</v>
      </c>
      <c r="W3402" s="74">
        <v>44641</v>
      </c>
      <c r="X3402" s="55">
        <v>10186607</v>
      </c>
      <c r="Y3402" s="55" t="s">
        <v>132</v>
      </c>
      <c r="AB3402" s="55" t="s">
        <v>130</v>
      </c>
      <c r="AC3402" s="55" t="s">
        <v>132</v>
      </c>
    </row>
    <row r="3403" spans="1:29" ht="13" x14ac:dyDescent="0.15">
      <c r="A3403" s="72" t="str">
        <f t="shared" si="53"/>
        <v>Ofsted Social Care Provider Webpage</v>
      </c>
      <c r="B3403" s="55" t="s">
        <v>6353</v>
      </c>
      <c r="D3403" s="55" t="s">
        <v>373</v>
      </c>
      <c r="E3403" s="74">
        <v>41771</v>
      </c>
      <c r="F3403" s="55" t="s">
        <v>344</v>
      </c>
      <c r="G3403" s="55" t="s">
        <v>360</v>
      </c>
      <c r="H3403" s="55" t="s">
        <v>360</v>
      </c>
      <c r="I3403" s="55" t="s">
        <v>360</v>
      </c>
      <c r="J3403" s="55" t="s">
        <v>360</v>
      </c>
      <c r="K3403" s="55" t="s">
        <v>360</v>
      </c>
      <c r="L3403" s="55" t="s">
        <v>360</v>
      </c>
      <c r="M3403" s="55" t="s">
        <v>142</v>
      </c>
      <c r="N3403" s="55" t="s">
        <v>142</v>
      </c>
      <c r="O3403" s="55" t="s">
        <v>262</v>
      </c>
      <c r="P3403" s="55" t="s">
        <v>618</v>
      </c>
      <c r="Q3403" s="55" t="s">
        <v>350</v>
      </c>
      <c r="R3403" s="55">
        <v>3</v>
      </c>
      <c r="S3403" s="55"/>
      <c r="T3403" s="55" t="s">
        <v>1446</v>
      </c>
      <c r="U3403" s="73" t="s">
        <v>351</v>
      </c>
      <c r="V3403" s="74">
        <v>43732</v>
      </c>
      <c r="W3403" s="74">
        <v>43752</v>
      </c>
      <c r="X3403" s="55">
        <v>10112599</v>
      </c>
      <c r="Y3403" s="55" t="s">
        <v>132</v>
      </c>
      <c r="AB3403" s="55" t="s">
        <v>132</v>
      </c>
      <c r="AC3403" s="55" t="s">
        <v>132</v>
      </c>
    </row>
    <row r="3404" spans="1:29" ht="13" x14ac:dyDescent="0.15">
      <c r="A3404" s="72" t="str">
        <f t="shared" si="53"/>
        <v>Ofsted Social Care Provider Webpage</v>
      </c>
      <c r="B3404" s="55" t="s">
        <v>6354</v>
      </c>
      <c r="D3404" s="55" t="s">
        <v>373</v>
      </c>
      <c r="E3404" s="74">
        <v>41892</v>
      </c>
      <c r="F3404" s="55" t="s">
        <v>344</v>
      </c>
      <c r="G3404" s="55" t="s">
        <v>360</v>
      </c>
      <c r="H3404" s="55" t="s">
        <v>360</v>
      </c>
      <c r="I3404" s="55" t="s">
        <v>360</v>
      </c>
      <c r="J3404" s="55" t="s">
        <v>360</v>
      </c>
      <c r="K3404" s="55" t="s">
        <v>360</v>
      </c>
      <c r="L3404" s="55" t="s">
        <v>360</v>
      </c>
      <c r="M3404" s="55" t="s">
        <v>378</v>
      </c>
      <c r="N3404" s="55" t="s">
        <v>134</v>
      </c>
      <c r="O3404" s="55" t="s">
        <v>225</v>
      </c>
      <c r="P3404" s="55" t="s">
        <v>1667</v>
      </c>
      <c r="Q3404" s="55" t="s">
        <v>380</v>
      </c>
      <c r="R3404" s="55">
        <v>3</v>
      </c>
      <c r="S3404" s="55"/>
      <c r="T3404" s="55" t="s">
        <v>1668</v>
      </c>
      <c r="U3404" s="73" t="s">
        <v>351</v>
      </c>
      <c r="V3404" s="74">
        <v>44566</v>
      </c>
      <c r="W3404" s="74">
        <v>44610</v>
      </c>
      <c r="X3404" s="55">
        <v>10185049</v>
      </c>
      <c r="Y3404" s="55" t="s">
        <v>132</v>
      </c>
      <c r="AB3404" s="55" t="s">
        <v>132</v>
      </c>
      <c r="AC3404" s="55" t="s">
        <v>132</v>
      </c>
    </row>
    <row r="3405" spans="1:29" ht="13" x14ac:dyDescent="0.15">
      <c r="A3405" s="72" t="str">
        <f t="shared" si="53"/>
        <v>Ofsted Social Care Provider Webpage</v>
      </c>
      <c r="B3405" s="55" t="s">
        <v>6355</v>
      </c>
      <c r="D3405" s="55" t="s">
        <v>389</v>
      </c>
      <c r="E3405" s="74">
        <v>41807</v>
      </c>
      <c r="F3405" s="55" t="s">
        <v>344</v>
      </c>
      <c r="G3405" s="55" t="s">
        <v>3255</v>
      </c>
      <c r="H3405" s="55" t="s">
        <v>2231</v>
      </c>
      <c r="I3405" s="55" t="s">
        <v>6356</v>
      </c>
      <c r="J3405" s="55" t="s">
        <v>6357</v>
      </c>
      <c r="L3405" s="55" t="s">
        <v>6358</v>
      </c>
      <c r="M3405" s="55" t="s">
        <v>150</v>
      </c>
      <c r="N3405" s="55" t="s">
        <v>150</v>
      </c>
      <c r="O3405" s="55" t="s">
        <v>190</v>
      </c>
      <c r="P3405" s="55" t="s">
        <v>889</v>
      </c>
      <c r="Q3405" s="55" t="s">
        <v>362</v>
      </c>
      <c r="R3405" s="55"/>
      <c r="S3405" s="55"/>
      <c r="T3405" s="55" t="s">
        <v>3255</v>
      </c>
      <c r="U3405" s="73" t="s">
        <v>351</v>
      </c>
      <c r="V3405" s="74">
        <v>43521</v>
      </c>
      <c r="W3405" s="74">
        <v>43551</v>
      </c>
      <c r="X3405" s="55">
        <v>10070659</v>
      </c>
      <c r="Y3405" s="55" t="s">
        <v>132</v>
      </c>
      <c r="AB3405" s="55" t="s">
        <v>132</v>
      </c>
      <c r="AC3405" s="55" t="s">
        <v>130</v>
      </c>
    </row>
    <row r="3406" spans="1:29" ht="13" x14ac:dyDescent="0.15">
      <c r="A3406" s="72" t="str">
        <f t="shared" si="53"/>
        <v>Ofsted Social Care Provider Webpage</v>
      </c>
      <c r="B3406" s="55" t="s">
        <v>6359</v>
      </c>
      <c r="D3406" s="55" t="s">
        <v>389</v>
      </c>
      <c r="E3406" s="74">
        <v>41852</v>
      </c>
      <c r="F3406" s="55" t="s">
        <v>344</v>
      </c>
      <c r="G3406" s="55" t="s">
        <v>6360</v>
      </c>
      <c r="H3406" s="55" t="s">
        <v>6361</v>
      </c>
      <c r="I3406" s="55" t="s">
        <v>6362</v>
      </c>
      <c r="J3406" s="55" t="s">
        <v>3430</v>
      </c>
      <c r="K3406" s="55" t="s">
        <v>203</v>
      </c>
      <c r="L3406" s="55" t="s">
        <v>6363</v>
      </c>
      <c r="M3406" s="55" t="s">
        <v>150</v>
      </c>
      <c r="N3406" s="55" t="s">
        <v>150</v>
      </c>
      <c r="O3406" s="55" t="s">
        <v>203</v>
      </c>
      <c r="P3406" s="55" t="s">
        <v>1263</v>
      </c>
      <c r="Q3406" s="55" t="s">
        <v>350</v>
      </c>
      <c r="R3406" s="55"/>
      <c r="S3406" s="55"/>
      <c r="T3406" s="55" t="s">
        <v>6364</v>
      </c>
      <c r="U3406" s="73" t="s">
        <v>351</v>
      </c>
      <c r="V3406" s="74">
        <v>43521</v>
      </c>
      <c r="W3406" s="74">
        <v>43593</v>
      </c>
      <c r="X3406" s="55">
        <v>10070690</v>
      </c>
      <c r="Y3406" s="55" t="s">
        <v>132</v>
      </c>
      <c r="AB3406" s="55" t="s">
        <v>132</v>
      </c>
      <c r="AC3406" s="55" t="s">
        <v>140</v>
      </c>
    </row>
    <row r="3407" spans="1:29" ht="13" x14ac:dyDescent="0.15">
      <c r="A3407" s="72" t="str">
        <f t="shared" si="53"/>
        <v>Ofsted Social Care Provider Webpage</v>
      </c>
      <c r="B3407" s="55" t="s">
        <v>6365</v>
      </c>
      <c r="D3407" s="55" t="s">
        <v>373</v>
      </c>
      <c r="E3407" s="74">
        <v>41837</v>
      </c>
      <c r="F3407" s="55" t="s">
        <v>344</v>
      </c>
      <c r="G3407" s="55" t="s">
        <v>360</v>
      </c>
      <c r="H3407" s="55" t="s">
        <v>360</v>
      </c>
      <c r="I3407" s="55" t="s">
        <v>360</v>
      </c>
      <c r="J3407" s="55" t="s">
        <v>360</v>
      </c>
      <c r="K3407" s="55" t="s">
        <v>360</v>
      </c>
      <c r="L3407" s="55" t="s">
        <v>360</v>
      </c>
      <c r="M3407" s="55" t="s">
        <v>144</v>
      </c>
      <c r="N3407" s="55" t="s">
        <v>144</v>
      </c>
      <c r="O3407" s="55" t="s">
        <v>287</v>
      </c>
      <c r="P3407" s="55" t="s">
        <v>1103</v>
      </c>
      <c r="Q3407" s="55" t="s">
        <v>350</v>
      </c>
      <c r="R3407" s="55">
        <v>3</v>
      </c>
      <c r="S3407" s="55"/>
      <c r="T3407" s="55" t="s">
        <v>1446</v>
      </c>
      <c r="U3407" s="73" t="s">
        <v>351</v>
      </c>
      <c r="V3407" s="74">
        <v>44384</v>
      </c>
      <c r="W3407" s="74">
        <v>44425</v>
      </c>
      <c r="X3407" s="55">
        <v>10185288</v>
      </c>
      <c r="Y3407" s="55" t="s">
        <v>132</v>
      </c>
      <c r="AB3407" s="55" t="s">
        <v>132</v>
      </c>
      <c r="AC3407" s="55" t="s">
        <v>130</v>
      </c>
    </row>
    <row r="3408" spans="1:29" ht="13" x14ac:dyDescent="0.15">
      <c r="A3408" s="72" t="str">
        <f t="shared" si="53"/>
        <v>Ofsted Social Care Provider Webpage</v>
      </c>
      <c r="B3408" s="55" t="s">
        <v>6366</v>
      </c>
      <c r="D3408" s="55" t="s">
        <v>373</v>
      </c>
      <c r="E3408" s="74">
        <v>41838</v>
      </c>
      <c r="F3408" s="55" t="s">
        <v>344</v>
      </c>
      <c r="G3408" s="55" t="s">
        <v>360</v>
      </c>
      <c r="H3408" s="55" t="s">
        <v>360</v>
      </c>
      <c r="I3408" s="55" t="s">
        <v>360</v>
      </c>
      <c r="J3408" s="55" t="s">
        <v>360</v>
      </c>
      <c r="K3408" s="55" t="s">
        <v>360</v>
      </c>
      <c r="L3408" s="55" t="s">
        <v>360</v>
      </c>
      <c r="M3408" s="55" t="s">
        <v>144</v>
      </c>
      <c r="N3408" s="55" t="s">
        <v>144</v>
      </c>
      <c r="O3408" s="55" t="s">
        <v>287</v>
      </c>
      <c r="P3408" s="55" t="s">
        <v>815</v>
      </c>
      <c r="Q3408" s="55" t="s">
        <v>350</v>
      </c>
      <c r="R3408" s="55">
        <v>2</v>
      </c>
      <c r="S3408" s="55"/>
      <c r="T3408" s="55" t="s">
        <v>1446</v>
      </c>
      <c r="U3408" s="73" t="s">
        <v>351</v>
      </c>
      <c r="V3408" s="74">
        <v>44622</v>
      </c>
      <c r="W3408" s="74">
        <v>44679</v>
      </c>
      <c r="X3408" s="55">
        <v>10185609</v>
      </c>
      <c r="Y3408" s="55" t="s">
        <v>132</v>
      </c>
      <c r="AB3408" s="55" t="s">
        <v>132</v>
      </c>
      <c r="AC3408" s="55" t="s">
        <v>132</v>
      </c>
    </row>
    <row r="3409" spans="1:29" ht="13" x14ac:dyDescent="0.15">
      <c r="A3409" s="72" t="str">
        <f t="shared" si="53"/>
        <v>Ofsted Social Care Provider Webpage</v>
      </c>
      <c r="B3409" s="55" t="s">
        <v>6367</v>
      </c>
      <c r="D3409" s="55" t="s">
        <v>389</v>
      </c>
      <c r="E3409" s="74">
        <v>41813</v>
      </c>
      <c r="F3409" s="55" t="s">
        <v>344</v>
      </c>
      <c r="G3409" s="55" t="s">
        <v>3255</v>
      </c>
      <c r="H3409" s="55" t="s">
        <v>6368</v>
      </c>
      <c r="I3409" s="55" t="s">
        <v>6369</v>
      </c>
      <c r="J3409" s="55" t="s">
        <v>277</v>
      </c>
      <c r="L3409" s="55" t="s">
        <v>6370</v>
      </c>
      <c r="M3409" s="55" t="s">
        <v>378</v>
      </c>
      <c r="N3409" s="55" t="s">
        <v>134</v>
      </c>
      <c r="O3409" s="55" t="s">
        <v>277</v>
      </c>
      <c r="P3409" s="55" t="s">
        <v>1034</v>
      </c>
      <c r="Q3409" s="55" t="s">
        <v>362</v>
      </c>
      <c r="R3409" s="55"/>
      <c r="S3409" s="55"/>
      <c r="T3409" s="55" t="s">
        <v>3255</v>
      </c>
      <c r="U3409" s="73" t="s">
        <v>351</v>
      </c>
      <c r="V3409" s="74">
        <v>43360</v>
      </c>
      <c r="W3409" s="74">
        <v>43403</v>
      </c>
      <c r="X3409" s="55">
        <v>10046655</v>
      </c>
      <c r="Y3409" s="55" t="s">
        <v>132</v>
      </c>
      <c r="AB3409" s="55" t="s">
        <v>132</v>
      </c>
      <c r="AC3409" s="55" t="s">
        <v>132</v>
      </c>
    </row>
    <row r="3410" spans="1:29" ht="13" x14ac:dyDescent="0.15">
      <c r="A3410" s="72" t="str">
        <f t="shared" si="53"/>
        <v>Ofsted Social Care Provider Webpage</v>
      </c>
      <c r="B3410" s="55" t="s">
        <v>6371</v>
      </c>
      <c r="D3410" s="55" t="s">
        <v>373</v>
      </c>
      <c r="E3410" s="74">
        <v>41796</v>
      </c>
      <c r="F3410" s="55" t="s">
        <v>344</v>
      </c>
      <c r="G3410" s="55" t="s">
        <v>360</v>
      </c>
      <c r="H3410" s="55" t="s">
        <v>360</v>
      </c>
      <c r="I3410" s="55" t="s">
        <v>360</v>
      </c>
      <c r="J3410" s="55" t="s">
        <v>360</v>
      </c>
      <c r="K3410" s="55" t="s">
        <v>360</v>
      </c>
      <c r="L3410" s="55" t="s">
        <v>360</v>
      </c>
      <c r="M3410" s="55" t="s">
        <v>138</v>
      </c>
      <c r="N3410" s="55" t="s">
        <v>138</v>
      </c>
      <c r="O3410" s="55" t="s">
        <v>183</v>
      </c>
      <c r="P3410" s="55" t="s">
        <v>510</v>
      </c>
      <c r="Q3410" s="55" t="s">
        <v>350</v>
      </c>
      <c r="R3410" s="55">
        <v>4</v>
      </c>
      <c r="S3410" s="55"/>
      <c r="T3410" s="55" t="s">
        <v>1623</v>
      </c>
      <c r="U3410" s="73" t="s">
        <v>351</v>
      </c>
      <c r="V3410" s="74">
        <v>44425</v>
      </c>
      <c r="W3410" s="74">
        <v>44455</v>
      </c>
      <c r="X3410" s="55">
        <v>10185263</v>
      </c>
      <c r="Y3410" s="55" t="s">
        <v>140</v>
      </c>
      <c r="AB3410" s="55" t="s">
        <v>140</v>
      </c>
      <c r="AC3410" s="55" t="s">
        <v>140</v>
      </c>
    </row>
    <row r="3411" spans="1:29" ht="13" x14ac:dyDescent="0.15">
      <c r="A3411" s="72" t="str">
        <f t="shared" si="53"/>
        <v>Ofsted Social Care Provider Webpage</v>
      </c>
      <c r="B3411" s="55" t="s">
        <v>6372</v>
      </c>
      <c r="D3411" s="55" t="s">
        <v>373</v>
      </c>
      <c r="E3411" s="74">
        <v>41793</v>
      </c>
      <c r="F3411" s="55" t="s">
        <v>344</v>
      </c>
      <c r="G3411" s="55" t="s">
        <v>360</v>
      </c>
      <c r="H3411" s="55" t="s">
        <v>360</v>
      </c>
      <c r="I3411" s="55" t="s">
        <v>360</v>
      </c>
      <c r="J3411" s="55" t="s">
        <v>360</v>
      </c>
      <c r="K3411" s="55" t="s">
        <v>360</v>
      </c>
      <c r="L3411" s="55" t="s">
        <v>360</v>
      </c>
      <c r="M3411" s="55" t="s">
        <v>144</v>
      </c>
      <c r="N3411" s="55" t="s">
        <v>144</v>
      </c>
      <c r="O3411" s="55" t="s">
        <v>245</v>
      </c>
      <c r="P3411" s="55" t="s">
        <v>1796</v>
      </c>
      <c r="Q3411" s="55" t="s">
        <v>350</v>
      </c>
      <c r="R3411" s="55">
        <v>3</v>
      </c>
      <c r="S3411" s="55"/>
      <c r="T3411" s="55" t="s">
        <v>613</v>
      </c>
      <c r="U3411" s="73" t="s">
        <v>351</v>
      </c>
      <c r="V3411" s="74">
        <v>44621</v>
      </c>
      <c r="W3411" s="74">
        <v>44665</v>
      </c>
      <c r="X3411" s="55">
        <v>10185043</v>
      </c>
      <c r="Y3411" s="55" t="s">
        <v>132</v>
      </c>
      <c r="AB3411" s="55" t="s">
        <v>132</v>
      </c>
      <c r="AC3411" s="55" t="s">
        <v>132</v>
      </c>
    </row>
    <row r="3412" spans="1:29" ht="13" x14ac:dyDescent="0.15">
      <c r="A3412" s="72" t="str">
        <f t="shared" si="53"/>
        <v>Ofsted Social Care Provider Webpage</v>
      </c>
      <c r="B3412" s="55" t="s">
        <v>6373</v>
      </c>
      <c r="D3412" s="55" t="s">
        <v>373</v>
      </c>
      <c r="E3412" s="74">
        <v>41831</v>
      </c>
      <c r="F3412" s="55" t="s">
        <v>344</v>
      </c>
      <c r="G3412" s="55" t="s">
        <v>360</v>
      </c>
      <c r="H3412" s="55" t="s">
        <v>360</v>
      </c>
      <c r="I3412" s="55" t="s">
        <v>360</v>
      </c>
      <c r="J3412" s="55" t="s">
        <v>360</v>
      </c>
      <c r="K3412" s="55" t="s">
        <v>360</v>
      </c>
      <c r="L3412" s="55" t="s">
        <v>360</v>
      </c>
      <c r="M3412" s="55" t="s">
        <v>142</v>
      </c>
      <c r="N3412" s="55" t="s">
        <v>142</v>
      </c>
      <c r="O3412" s="55" t="s">
        <v>262</v>
      </c>
      <c r="P3412" s="55" t="s">
        <v>1859</v>
      </c>
      <c r="Q3412" s="55" t="s">
        <v>350</v>
      </c>
      <c r="R3412" s="55">
        <v>4</v>
      </c>
      <c r="S3412" s="55"/>
      <c r="T3412" s="55" t="s">
        <v>6374</v>
      </c>
      <c r="U3412" s="73" t="s">
        <v>351</v>
      </c>
      <c r="V3412" s="74">
        <v>44573</v>
      </c>
      <c r="W3412" s="74">
        <v>44610</v>
      </c>
      <c r="X3412" s="55">
        <v>10187199</v>
      </c>
      <c r="Y3412" s="55" t="s">
        <v>132</v>
      </c>
      <c r="AB3412" s="55" t="s">
        <v>132</v>
      </c>
      <c r="AC3412" s="55" t="s">
        <v>132</v>
      </c>
    </row>
    <row r="3413" spans="1:29" ht="13" x14ac:dyDescent="0.15">
      <c r="A3413" s="72" t="str">
        <f t="shared" si="53"/>
        <v>Ofsted Social Care Provider Webpage</v>
      </c>
      <c r="B3413" s="55" t="s">
        <v>6375</v>
      </c>
      <c r="D3413" s="55" t="s">
        <v>373</v>
      </c>
      <c r="E3413" s="74">
        <v>41814</v>
      </c>
      <c r="F3413" s="55" t="s">
        <v>344</v>
      </c>
      <c r="G3413" s="55" t="s">
        <v>360</v>
      </c>
      <c r="H3413" s="55" t="s">
        <v>360</v>
      </c>
      <c r="I3413" s="55" t="s">
        <v>360</v>
      </c>
      <c r="J3413" s="55" t="s">
        <v>360</v>
      </c>
      <c r="K3413" s="55" t="s">
        <v>360</v>
      </c>
      <c r="L3413" s="55" t="s">
        <v>360</v>
      </c>
      <c r="M3413" s="55" t="s">
        <v>142</v>
      </c>
      <c r="N3413" s="55" t="s">
        <v>142</v>
      </c>
      <c r="O3413" s="55" t="s">
        <v>293</v>
      </c>
      <c r="P3413" s="55" t="s">
        <v>984</v>
      </c>
      <c r="Q3413" s="55" t="s">
        <v>350</v>
      </c>
      <c r="R3413" s="55">
        <v>4</v>
      </c>
      <c r="S3413" s="55"/>
      <c r="T3413" s="55" t="s">
        <v>385</v>
      </c>
      <c r="U3413" s="73" t="s">
        <v>351</v>
      </c>
      <c r="V3413" s="74">
        <v>44328</v>
      </c>
      <c r="W3413" s="74">
        <v>44361</v>
      </c>
      <c r="X3413" s="55">
        <v>10187279</v>
      </c>
      <c r="Y3413" s="55" t="s">
        <v>132</v>
      </c>
      <c r="AB3413" s="55" t="s">
        <v>132</v>
      </c>
      <c r="AC3413" s="55" t="s">
        <v>132</v>
      </c>
    </row>
    <row r="3414" spans="1:29" ht="13" x14ac:dyDescent="0.15">
      <c r="A3414" s="72" t="str">
        <f t="shared" si="53"/>
        <v>Ofsted Social Care Provider Webpage</v>
      </c>
      <c r="B3414" s="55" t="s">
        <v>6376</v>
      </c>
      <c r="D3414" s="55" t="s">
        <v>373</v>
      </c>
      <c r="E3414" s="74">
        <v>42068</v>
      </c>
      <c r="F3414" s="55" t="s">
        <v>344</v>
      </c>
      <c r="G3414" s="55" t="s">
        <v>360</v>
      </c>
      <c r="H3414" s="55" t="s">
        <v>360</v>
      </c>
      <c r="I3414" s="55" t="s">
        <v>360</v>
      </c>
      <c r="J3414" s="55" t="s">
        <v>360</v>
      </c>
      <c r="K3414" s="55" t="s">
        <v>360</v>
      </c>
      <c r="L3414" s="55" t="s">
        <v>360</v>
      </c>
      <c r="M3414" s="55" t="s">
        <v>136</v>
      </c>
      <c r="N3414" s="55" t="s">
        <v>136</v>
      </c>
      <c r="O3414" s="55" t="s">
        <v>255</v>
      </c>
      <c r="P3414" s="55" t="s">
        <v>757</v>
      </c>
      <c r="Q3414" s="55" t="s">
        <v>350</v>
      </c>
      <c r="R3414" s="55">
        <v>4</v>
      </c>
      <c r="S3414" s="55"/>
      <c r="T3414" s="55" t="s">
        <v>858</v>
      </c>
      <c r="U3414" s="73" t="s">
        <v>351</v>
      </c>
      <c r="V3414" s="74">
        <v>44432</v>
      </c>
      <c r="W3414" s="74">
        <v>44462</v>
      </c>
      <c r="X3414" s="55">
        <v>10185997</v>
      </c>
      <c r="Y3414" s="55" t="s">
        <v>130</v>
      </c>
      <c r="AB3414" s="55" t="s">
        <v>130</v>
      </c>
      <c r="AC3414" s="55" t="s">
        <v>130</v>
      </c>
    </row>
    <row r="3415" spans="1:29" ht="13" x14ac:dyDescent="0.15">
      <c r="A3415" s="72" t="str">
        <f t="shared" si="53"/>
        <v>Ofsted Social Care Provider Webpage</v>
      </c>
      <c r="B3415" s="55" t="s">
        <v>6377</v>
      </c>
      <c r="D3415" s="55" t="s">
        <v>373</v>
      </c>
      <c r="E3415" s="74">
        <v>41799</v>
      </c>
      <c r="F3415" s="55" t="s">
        <v>344</v>
      </c>
      <c r="G3415" s="55" t="s">
        <v>360</v>
      </c>
      <c r="H3415" s="55" t="s">
        <v>360</v>
      </c>
      <c r="I3415" s="55" t="s">
        <v>360</v>
      </c>
      <c r="J3415" s="55" t="s">
        <v>360</v>
      </c>
      <c r="K3415" s="55" t="s">
        <v>360</v>
      </c>
      <c r="L3415" s="55" t="s">
        <v>360</v>
      </c>
      <c r="M3415" s="55" t="s">
        <v>150</v>
      </c>
      <c r="N3415" s="55" t="s">
        <v>150</v>
      </c>
      <c r="O3415" s="55" t="s">
        <v>190</v>
      </c>
      <c r="P3415" s="55" t="s">
        <v>1523</v>
      </c>
      <c r="Q3415" s="55" t="s">
        <v>350</v>
      </c>
      <c r="R3415" s="55">
        <v>4</v>
      </c>
      <c r="S3415" s="55"/>
      <c r="T3415" s="55" t="s">
        <v>1960</v>
      </c>
      <c r="U3415" s="73" t="s">
        <v>351</v>
      </c>
      <c r="V3415" s="74">
        <v>44399</v>
      </c>
      <c r="W3415" s="74">
        <v>44448</v>
      </c>
      <c r="X3415" s="55">
        <v>10187371</v>
      </c>
      <c r="Y3415" s="55" t="s">
        <v>132</v>
      </c>
      <c r="AB3415" s="55" t="s">
        <v>132</v>
      </c>
      <c r="AC3415" s="55" t="s">
        <v>130</v>
      </c>
    </row>
    <row r="3416" spans="1:29" ht="13" x14ac:dyDescent="0.15">
      <c r="A3416" s="72" t="str">
        <f t="shared" si="53"/>
        <v>Ofsted Social Care Provider Webpage</v>
      </c>
      <c r="B3416" s="55" t="s">
        <v>6378</v>
      </c>
      <c r="D3416" s="55" t="s">
        <v>389</v>
      </c>
      <c r="E3416" s="74">
        <v>41848</v>
      </c>
      <c r="F3416" s="55" t="s">
        <v>344</v>
      </c>
      <c r="G3416" s="55" t="s">
        <v>6379</v>
      </c>
      <c r="H3416" s="55" t="s">
        <v>1844</v>
      </c>
      <c r="I3416" s="55" t="s">
        <v>6380</v>
      </c>
      <c r="J3416" s="55" t="s">
        <v>129</v>
      </c>
      <c r="L3416" s="55" t="s">
        <v>531</v>
      </c>
      <c r="M3416" s="55" t="s">
        <v>129</v>
      </c>
      <c r="N3416" s="55" t="s">
        <v>129</v>
      </c>
      <c r="O3416" s="55" t="s">
        <v>197</v>
      </c>
      <c r="P3416" s="55" t="s">
        <v>532</v>
      </c>
      <c r="Q3416" s="55" t="s">
        <v>350</v>
      </c>
      <c r="R3416" s="55"/>
      <c r="S3416" s="55"/>
      <c r="T3416" s="55" t="s">
        <v>6379</v>
      </c>
      <c r="U3416" s="73" t="s">
        <v>351</v>
      </c>
      <c r="V3416" s="74">
        <v>43409</v>
      </c>
      <c r="W3416" s="74">
        <v>43441</v>
      </c>
      <c r="X3416" s="55">
        <v>10045652</v>
      </c>
      <c r="Y3416" s="55" t="s">
        <v>140</v>
      </c>
      <c r="AB3416" s="55" t="s">
        <v>132</v>
      </c>
      <c r="AC3416" s="55" t="s">
        <v>140</v>
      </c>
    </row>
    <row r="3417" spans="1:29" ht="13" x14ac:dyDescent="0.15">
      <c r="A3417" s="72" t="str">
        <f t="shared" si="53"/>
        <v>Ofsted Social Care Provider Webpage</v>
      </c>
      <c r="B3417" s="55" t="s">
        <v>6381</v>
      </c>
      <c r="D3417" s="55" t="s">
        <v>373</v>
      </c>
      <c r="E3417" s="74">
        <v>41872</v>
      </c>
      <c r="F3417" s="55" t="s">
        <v>344</v>
      </c>
      <c r="G3417" s="55" t="s">
        <v>360</v>
      </c>
      <c r="H3417" s="55" t="s">
        <v>360</v>
      </c>
      <c r="I3417" s="55" t="s">
        <v>360</v>
      </c>
      <c r="J3417" s="55" t="s">
        <v>360</v>
      </c>
      <c r="K3417" s="55" t="s">
        <v>360</v>
      </c>
      <c r="L3417" s="55" t="s">
        <v>360</v>
      </c>
      <c r="M3417" s="55" t="s">
        <v>144</v>
      </c>
      <c r="N3417" s="55" t="s">
        <v>144</v>
      </c>
      <c r="O3417" s="55" t="s">
        <v>209</v>
      </c>
      <c r="P3417" s="55" t="s">
        <v>544</v>
      </c>
      <c r="Q3417" s="55" t="s">
        <v>350</v>
      </c>
      <c r="R3417" s="55">
        <v>5</v>
      </c>
      <c r="S3417" s="55"/>
      <c r="T3417" s="55" t="s">
        <v>385</v>
      </c>
      <c r="U3417" s="73" t="s">
        <v>351</v>
      </c>
      <c r="V3417" s="74">
        <v>44405</v>
      </c>
      <c r="W3417" s="74">
        <v>44445</v>
      </c>
      <c r="X3417" s="55">
        <v>10186340</v>
      </c>
      <c r="Y3417" s="55" t="s">
        <v>132</v>
      </c>
      <c r="AB3417" s="55" t="s">
        <v>130</v>
      </c>
      <c r="AC3417" s="55" t="s">
        <v>132</v>
      </c>
    </row>
    <row r="3418" spans="1:29" ht="13" x14ac:dyDescent="0.15">
      <c r="A3418" s="72" t="str">
        <f t="shared" si="53"/>
        <v>Ofsted Social Care Provider Webpage</v>
      </c>
      <c r="B3418" s="55" t="s">
        <v>6382</v>
      </c>
      <c r="D3418" s="55" t="s">
        <v>373</v>
      </c>
      <c r="E3418" s="74">
        <v>41926</v>
      </c>
      <c r="F3418" s="55" t="s">
        <v>344</v>
      </c>
      <c r="G3418" s="55" t="s">
        <v>360</v>
      </c>
      <c r="H3418" s="55" t="s">
        <v>360</v>
      </c>
      <c r="I3418" s="55" t="s">
        <v>360</v>
      </c>
      <c r="J3418" s="55" t="s">
        <v>360</v>
      </c>
      <c r="K3418" s="55" t="s">
        <v>360</v>
      </c>
      <c r="L3418" s="55" t="s">
        <v>360</v>
      </c>
      <c r="M3418" s="55" t="s">
        <v>150</v>
      </c>
      <c r="N3418" s="55" t="s">
        <v>150</v>
      </c>
      <c r="O3418" s="55" t="s">
        <v>203</v>
      </c>
      <c r="P3418" s="55" t="s">
        <v>1263</v>
      </c>
      <c r="Q3418" s="55" t="s">
        <v>350</v>
      </c>
      <c r="R3418" s="55">
        <v>4</v>
      </c>
      <c r="S3418" s="55"/>
      <c r="T3418" s="55" t="s">
        <v>483</v>
      </c>
      <c r="U3418" s="73" t="s">
        <v>351</v>
      </c>
      <c r="V3418" s="74">
        <v>44466</v>
      </c>
      <c r="W3418" s="74">
        <v>44518</v>
      </c>
      <c r="X3418" s="55">
        <v>10187636</v>
      </c>
      <c r="Y3418" s="55" t="s">
        <v>132</v>
      </c>
      <c r="AB3418" s="55" t="s">
        <v>132</v>
      </c>
      <c r="AC3418" s="55" t="s">
        <v>132</v>
      </c>
    </row>
    <row r="3419" spans="1:29" ht="13" x14ac:dyDescent="0.15">
      <c r="A3419" s="72" t="str">
        <f t="shared" si="53"/>
        <v>Ofsted Social Care Provider Webpage</v>
      </c>
      <c r="B3419" s="55" t="s">
        <v>6383</v>
      </c>
      <c r="D3419" s="55" t="s">
        <v>443</v>
      </c>
      <c r="E3419" s="74">
        <v>41904</v>
      </c>
      <c r="F3419" s="55" t="s">
        <v>344</v>
      </c>
      <c r="G3419" s="55" t="s">
        <v>6384</v>
      </c>
      <c r="H3419" s="55" t="s">
        <v>6385</v>
      </c>
      <c r="I3419" s="55" t="s">
        <v>354</v>
      </c>
      <c r="J3419" s="55" t="s">
        <v>4100</v>
      </c>
      <c r="L3419" s="55" t="s">
        <v>6386</v>
      </c>
      <c r="M3419" s="55" t="s">
        <v>144</v>
      </c>
      <c r="N3419" s="55" t="s">
        <v>144</v>
      </c>
      <c r="O3419" s="55" t="s">
        <v>163</v>
      </c>
      <c r="P3419" s="55" t="s">
        <v>472</v>
      </c>
      <c r="Q3419" s="55" t="s">
        <v>350</v>
      </c>
      <c r="R3419" s="55"/>
      <c r="S3419" s="55"/>
      <c r="T3419" s="55" t="s">
        <v>6387</v>
      </c>
      <c r="U3419" s="73" t="s">
        <v>351</v>
      </c>
      <c r="V3419" s="74">
        <v>43382</v>
      </c>
      <c r="W3419" s="74">
        <v>43412</v>
      </c>
      <c r="X3419" s="55">
        <v>10046722</v>
      </c>
      <c r="Y3419" s="55" t="s">
        <v>130</v>
      </c>
      <c r="AB3419" s="55" t="s">
        <v>130</v>
      </c>
      <c r="AC3419" s="55" t="s">
        <v>130</v>
      </c>
    </row>
    <row r="3420" spans="1:29" ht="13" x14ac:dyDescent="0.15">
      <c r="A3420" s="72" t="str">
        <f t="shared" si="53"/>
        <v>Ofsted Social Care Provider Webpage</v>
      </c>
      <c r="B3420" s="55" t="s">
        <v>6388</v>
      </c>
      <c r="D3420" s="55" t="s">
        <v>373</v>
      </c>
      <c r="E3420" s="74">
        <v>41815</v>
      </c>
      <c r="F3420" s="55" t="s">
        <v>344</v>
      </c>
      <c r="G3420" s="55" t="s">
        <v>360</v>
      </c>
      <c r="H3420" s="55" t="s">
        <v>360</v>
      </c>
      <c r="I3420" s="55" t="s">
        <v>360</v>
      </c>
      <c r="J3420" s="55" t="s">
        <v>360</v>
      </c>
      <c r="K3420" s="55" t="s">
        <v>360</v>
      </c>
      <c r="L3420" s="55" t="s">
        <v>360</v>
      </c>
      <c r="M3420" s="55" t="s">
        <v>142</v>
      </c>
      <c r="N3420" s="55" t="s">
        <v>142</v>
      </c>
      <c r="O3420" s="55" t="s">
        <v>262</v>
      </c>
      <c r="P3420" s="55" t="s">
        <v>523</v>
      </c>
      <c r="Q3420" s="55" t="s">
        <v>350</v>
      </c>
      <c r="R3420" s="55">
        <v>3</v>
      </c>
      <c r="S3420" s="55"/>
      <c r="T3420" s="55" t="s">
        <v>5366</v>
      </c>
      <c r="U3420" s="73" t="s">
        <v>351</v>
      </c>
      <c r="V3420" s="74">
        <v>44454</v>
      </c>
      <c r="W3420" s="74">
        <v>44487</v>
      </c>
      <c r="X3420" s="55">
        <v>10187671</v>
      </c>
      <c r="Y3420" s="55" t="s">
        <v>132</v>
      </c>
      <c r="AB3420" s="55" t="s">
        <v>132</v>
      </c>
      <c r="AC3420" s="55" t="s">
        <v>132</v>
      </c>
    </row>
    <row r="3421" spans="1:29" ht="13" x14ac:dyDescent="0.15">
      <c r="A3421" s="72" t="str">
        <f t="shared" si="53"/>
        <v>Ofsted Social Care Provider Webpage</v>
      </c>
      <c r="B3421" s="55" t="s">
        <v>6389</v>
      </c>
      <c r="D3421" s="55" t="s">
        <v>373</v>
      </c>
      <c r="E3421" s="74">
        <v>41781</v>
      </c>
      <c r="F3421" s="55" t="s">
        <v>344</v>
      </c>
      <c r="G3421" s="55" t="s">
        <v>360</v>
      </c>
      <c r="H3421" s="55" t="s">
        <v>360</v>
      </c>
      <c r="I3421" s="55" t="s">
        <v>360</v>
      </c>
      <c r="J3421" s="55" t="s">
        <v>360</v>
      </c>
      <c r="K3421" s="55" t="s">
        <v>360</v>
      </c>
      <c r="L3421" s="55" t="s">
        <v>360</v>
      </c>
      <c r="M3421" s="55" t="s">
        <v>172</v>
      </c>
      <c r="N3421" s="55" t="s">
        <v>172</v>
      </c>
      <c r="O3421" s="55" t="s">
        <v>171</v>
      </c>
      <c r="P3421" s="55" t="s">
        <v>1125</v>
      </c>
      <c r="Q3421" s="55" t="s">
        <v>350</v>
      </c>
      <c r="R3421" s="55">
        <v>5</v>
      </c>
      <c r="S3421" s="55"/>
      <c r="T3421" s="55" t="s">
        <v>517</v>
      </c>
      <c r="U3421" s="73" t="s">
        <v>351</v>
      </c>
      <c r="V3421" s="74">
        <v>44390</v>
      </c>
      <c r="W3421" s="74">
        <v>44417</v>
      </c>
      <c r="X3421" s="55">
        <v>10186709</v>
      </c>
      <c r="Y3421" s="55" t="s">
        <v>132</v>
      </c>
      <c r="AB3421" s="55" t="s">
        <v>132</v>
      </c>
      <c r="AC3421" s="55" t="s">
        <v>132</v>
      </c>
    </row>
    <row r="3422" spans="1:29" ht="13" x14ac:dyDescent="0.15">
      <c r="A3422" s="72" t="str">
        <f t="shared" si="53"/>
        <v>Ofsted Social Care Provider Webpage</v>
      </c>
      <c r="B3422" s="55" t="s">
        <v>6390</v>
      </c>
      <c r="D3422" s="55" t="s">
        <v>373</v>
      </c>
      <c r="E3422" s="74">
        <v>41792</v>
      </c>
      <c r="F3422" s="55" t="s">
        <v>344</v>
      </c>
      <c r="G3422" s="55" t="s">
        <v>360</v>
      </c>
      <c r="H3422" s="55" t="s">
        <v>360</v>
      </c>
      <c r="I3422" s="55" t="s">
        <v>360</v>
      </c>
      <c r="J3422" s="55" t="s">
        <v>360</v>
      </c>
      <c r="K3422" s="55" t="s">
        <v>360</v>
      </c>
      <c r="L3422" s="55" t="s">
        <v>360</v>
      </c>
      <c r="M3422" s="55" t="s">
        <v>142</v>
      </c>
      <c r="N3422" s="55" t="s">
        <v>142</v>
      </c>
      <c r="O3422" s="55" t="s">
        <v>262</v>
      </c>
      <c r="P3422" s="55" t="s">
        <v>949</v>
      </c>
      <c r="Q3422" s="55" t="s">
        <v>350</v>
      </c>
      <c r="R3422" s="55">
        <v>4</v>
      </c>
      <c r="S3422" s="55"/>
      <c r="T3422" s="55" t="s">
        <v>517</v>
      </c>
      <c r="U3422" s="73" t="s">
        <v>351</v>
      </c>
      <c r="V3422" s="74">
        <v>44537</v>
      </c>
      <c r="W3422" s="74">
        <v>44587</v>
      </c>
      <c r="X3422" s="55">
        <v>10185794</v>
      </c>
      <c r="Y3422" s="55" t="s">
        <v>130</v>
      </c>
      <c r="AB3422" s="55" t="s">
        <v>132</v>
      </c>
      <c r="AC3422" s="55" t="s">
        <v>130</v>
      </c>
    </row>
    <row r="3423" spans="1:29" ht="13" x14ac:dyDescent="0.15">
      <c r="A3423" s="72" t="str">
        <f t="shared" si="53"/>
        <v>Ofsted Social Care Provider Webpage</v>
      </c>
      <c r="B3423" s="55" t="s">
        <v>6391</v>
      </c>
      <c r="D3423" s="55" t="s">
        <v>389</v>
      </c>
      <c r="E3423" s="74">
        <v>41926</v>
      </c>
      <c r="F3423" s="55" t="s">
        <v>344</v>
      </c>
      <c r="G3423" s="55" t="s">
        <v>6392</v>
      </c>
      <c r="H3423" s="55" t="s">
        <v>4571</v>
      </c>
      <c r="I3423" s="55" t="s">
        <v>6393</v>
      </c>
      <c r="J3423" s="55" t="s">
        <v>3424</v>
      </c>
      <c r="K3423" s="55" t="s">
        <v>203</v>
      </c>
      <c r="L3423" s="55" t="s">
        <v>6394</v>
      </c>
      <c r="M3423" s="55" t="s">
        <v>150</v>
      </c>
      <c r="N3423" s="55" t="s">
        <v>150</v>
      </c>
      <c r="O3423" s="55" t="s">
        <v>203</v>
      </c>
      <c r="P3423" s="55" t="s">
        <v>2078</v>
      </c>
      <c r="Q3423" s="55" t="s">
        <v>350</v>
      </c>
      <c r="R3423" s="55"/>
      <c r="S3423" s="55"/>
      <c r="T3423" s="55" t="s">
        <v>6395</v>
      </c>
      <c r="U3423" s="73" t="s">
        <v>351</v>
      </c>
      <c r="V3423" s="74">
        <v>43808</v>
      </c>
      <c r="W3423" s="74">
        <v>43846</v>
      </c>
      <c r="X3423" s="55">
        <v>10104007</v>
      </c>
      <c r="Y3423" s="55" t="s">
        <v>132</v>
      </c>
      <c r="AB3423" s="55" t="s">
        <v>132</v>
      </c>
      <c r="AC3423" s="55" t="s">
        <v>132</v>
      </c>
    </row>
    <row r="3424" spans="1:29" ht="13" x14ac:dyDescent="0.15">
      <c r="A3424" s="72" t="str">
        <f t="shared" si="53"/>
        <v>Ofsted Social Care Provider Webpage</v>
      </c>
      <c r="B3424" s="55" t="s">
        <v>6396</v>
      </c>
      <c r="D3424" s="55" t="s">
        <v>373</v>
      </c>
      <c r="E3424" s="74">
        <v>42113</v>
      </c>
      <c r="F3424" s="55" t="s">
        <v>344</v>
      </c>
      <c r="G3424" s="55" t="s">
        <v>360</v>
      </c>
      <c r="H3424" s="55" t="s">
        <v>360</v>
      </c>
      <c r="I3424" s="55" t="s">
        <v>360</v>
      </c>
      <c r="J3424" s="55" t="s">
        <v>360</v>
      </c>
      <c r="K3424" s="55" t="s">
        <v>360</v>
      </c>
      <c r="L3424" s="55" t="s">
        <v>360</v>
      </c>
      <c r="M3424" s="55" t="s">
        <v>142</v>
      </c>
      <c r="N3424" s="55" t="s">
        <v>142</v>
      </c>
      <c r="O3424" s="55" t="s">
        <v>262</v>
      </c>
      <c r="P3424" s="55" t="s">
        <v>949</v>
      </c>
      <c r="Q3424" s="55" t="s">
        <v>350</v>
      </c>
      <c r="R3424" s="55">
        <v>2</v>
      </c>
      <c r="S3424" s="55"/>
      <c r="T3424" s="55" t="s">
        <v>515</v>
      </c>
      <c r="U3424" s="73" t="s">
        <v>351</v>
      </c>
      <c r="V3424" s="74">
        <v>44600</v>
      </c>
      <c r="W3424" s="74">
        <v>44642</v>
      </c>
      <c r="X3424" s="55">
        <v>10185677</v>
      </c>
      <c r="Y3424" s="55" t="s">
        <v>132</v>
      </c>
      <c r="AB3424" s="55" t="s">
        <v>132</v>
      </c>
      <c r="AC3424" s="55" t="s">
        <v>132</v>
      </c>
    </row>
    <row r="3425" spans="1:29" ht="13" x14ac:dyDescent="0.15">
      <c r="A3425" s="72" t="str">
        <f t="shared" si="53"/>
        <v>Ofsted Social Care Provider Webpage</v>
      </c>
      <c r="B3425" s="55" t="s">
        <v>6397</v>
      </c>
      <c r="D3425" s="55" t="s">
        <v>373</v>
      </c>
      <c r="E3425" s="74">
        <v>41842</v>
      </c>
      <c r="F3425" s="55" t="s">
        <v>344</v>
      </c>
      <c r="G3425" s="55" t="s">
        <v>360</v>
      </c>
      <c r="H3425" s="55" t="s">
        <v>360</v>
      </c>
      <c r="I3425" s="55" t="s">
        <v>360</v>
      </c>
      <c r="J3425" s="55" t="s">
        <v>360</v>
      </c>
      <c r="K3425" s="55" t="s">
        <v>360</v>
      </c>
      <c r="L3425" s="55" t="s">
        <v>360</v>
      </c>
      <c r="M3425" s="55" t="s">
        <v>378</v>
      </c>
      <c r="N3425" s="55" t="s">
        <v>134</v>
      </c>
      <c r="O3425" s="55" t="s">
        <v>225</v>
      </c>
      <c r="P3425" s="55" t="s">
        <v>1667</v>
      </c>
      <c r="Q3425" s="55" t="s">
        <v>350</v>
      </c>
      <c r="R3425" s="55">
        <v>7</v>
      </c>
      <c r="S3425" s="55"/>
      <c r="T3425" s="55" t="s">
        <v>3103</v>
      </c>
      <c r="U3425" s="73" t="s">
        <v>351</v>
      </c>
      <c r="V3425" s="74">
        <v>43733</v>
      </c>
      <c r="W3425" s="74">
        <v>43776</v>
      </c>
      <c r="X3425" s="55">
        <v>10097095</v>
      </c>
      <c r="Y3425" s="55" t="s">
        <v>132</v>
      </c>
      <c r="AB3425" s="55" t="s">
        <v>132</v>
      </c>
      <c r="AC3425" s="55" t="s">
        <v>132</v>
      </c>
    </row>
    <row r="3426" spans="1:29" ht="13" x14ac:dyDescent="0.15">
      <c r="A3426" s="72" t="str">
        <f t="shared" si="53"/>
        <v>Ofsted Social Care Provider Webpage</v>
      </c>
      <c r="B3426" s="55" t="s">
        <v>6398</v>
      </c>
      <c r="D3426" s="55" t="s">
        <v>373</v>
      </c>
      <c r="E3426" s="74">
        <v>41857</v>
      </c>
      <c r="F3426" s="55" t="s">
        <v>344</v>
      </c>
      <c r="G3426" s="55" t="s">
        <v>360</v>
      </c>
      <c r="H3426" s="55" t="s">
        <v>360</v>
      </c>
      <c r="I3426" s="55" t="s">
        <v>360</v>
      </c>
      <c r="J3426" s="55" t="s">
        <v>360</v>
      </c>
      <c r="K3426" s="55" t="s">
        <v>360</v>
      </c>
      <c r="L3426" s="55" t="s">
        <v>360</v>
      </c>
      <c r="M3426" s="55" t="s">
        <v>144</v>
      </c>
      <c r="N3426" s="55" t="s">
        <v>144</v>
      </c>
      <c r="O3426" s="55" t="s">
        <v>168</v>
      </c>
      <c r="P3426" s="55" t="s">
        <v>708</v>
      </c>
      <c r="Q3426" s="55" t="s">
        <v>350</v>
      </c>
      <c r="R3426" s="55">
        <v>5</v>
      </c>
      <c r="S3426" s="55"/>
      <c r="T3426" s="55" t="s">
        <v>1279</v>
      </c>
      <c r="U3426" s="73" t="s">
        <v>351</v>
      </c>
      <c r="V3426" s="74">
        <v>43712</v>
      </c>
      <c r="W3426" s="74">
        <v>43740</v>
      </c>
      <c r="X3426" s="55">
        <v>10121044</v>
      </c>
      <c r="Y3426" s="55" t="s">
        <v>132</v>
      </c>
      <c r="AB3426" s="55" t="s">
        <v>132</v>
      </c>
      <c r="AC3426" s="55" t="s">
        <v>130</v>
      </c>
    </row>
    <row r="3427" spans="1:29" ht="13" x14ac:dyDescent="0.15">
      <c r="A3427" s="72" t="str">
        <f t="shared" si="53"/>
        <v>Ofsted Social Care Provider Webpage</v>
      </c>
      <c r="B3427" s="55" t="s">
        <v>6399</v>
      </c>
      <c r="D3427" s="55" t="s">
        <v>373</v>
      </c>
      <c r="E3427" s="74">
        <v>41920</v>
      </c>
      <c r="F3427" s="55" t="s">
        <v>344</v>
      </c>
      <c r="G3427" s="55" t="s">
        <v>360</v>
      </c>
      <c r="H3427" s="55" t="s">
        <v>360</v>
      </c>
      <c r="I3427" s="55" t="s">
        <v>360</v>
      </c>
      <c r="J3427" s="55" t="s">
        <v>360</v>
      </c>
      <c r="K3427" s="55" t="s">
        <v>360</v>
      </c>
      <c r="L3427" s="55" t="s">
        <v>360</v>
      </c>
      <c r="M3427" s="55" t="s">
        <v>144</v>
      </c>
      <c r="N3427" s="55" t="s">
        <v>144</v>
      </c>
      <c r="O3427" s="55" t="s">
        <v>287</v>
      </c>
      <c r="P3427" s="55" t="s">
        <v>1103</v>
      </c>
      <c r="Q3427" s="55" t="s">
        <v>350</v>
      </c>
      <c r="R3427" s="55">
        <v>6</v>
      </c>
      <c r="S3427" s="55"/>
      <c r="T3427" s="55" t="s">
        <v>493</v>
      </c>
      <c r="U3427" s="73" t="s">
        <v>351</v>
      </c>
      <c r="V3427" s="74">
        <v>44376</v>
      </c>
      <c r="W3427" s="74">
        <v>44411</v>
      </c>
      <c r="X3427" s="55">
        <v>10185946</v>
      </c>
      <c r="Y3427" s="55" t="s">
        <v>132</v>
      </c>
      <c r="AB3427" s="55" t="s">
        <v>132</v>
      </c>
      <c r="AC3427" s="55" t="s">
        <v>132</v>
      </c>
    </row>
    <row r="3428" spans="1:29" ht="13" x14ac:dyDescent="0.15">
      <c r="A3428" s="72" t="str">
        <f t="shared" si="53"/>
        <v>Ofsted Social Care Provider Webpage</v>
      </c>
      <c r="B3428" s="55" t="s">
        <v>6400</v>
      </c>
      <c r="D3428" s="55" t="s">
        <v>373</v>
      </c>
      <c r="E3428" s="74">
        <v>41973</v>
      </c>
      <c r="F3428" s="55" t="s">
        <v>344</v>
      </c>
      <c r="G3428" s="55" t="s">
        <v>360</v>
      </c>
      <c r="H3428" s="55" t="s">
        <v>360</v>
      </c>
      <c r="I3428" s="55" t="s">
        <v>360</v>
      </c>
      <c r="J3428" s="55" t="s">
        <v>360</v>
      </c>
      <c r="K3428" s="55" t="s">
        <v>360</v>
      </c>
      <c r="L3428" s="55" t="s">
        <v>360</v>
      </c>
      <c r="M3428" s="55" t="s">
        <v>144</v>
      </c>
      <c r="N3428" s="55" t="s">
        <v>144</v>
      </c>
      <c r="O3428" s="55" t="s">
        <v>209</v>
      </c>
      <c r="P3428" s="55" t="s">
        <v>474</v>
      </c>
      <c r="Q3428" s="55" t="s">
        <v>350</v>
      </c>
      <c r="R3428" s="55">
        <v>6</v>
      </c>
      <c r="S3428" s="55"/>
      <c r="T3428" s="55" t="s">
        <v>493</v>
      </c>
      <c r="U3428" s="73" t="s">
        <v>351</v>
      </c>
      <c r="V3428" s="74">
        <v>43788</v>
      </c>
      <c r="W3428" s="74">
        <v>43810</v>
      </c>
      <c r="X3428" s="55">
        <v>10097132</v>
      </c>
      <c r="Y3428" s="55" t="s">
        <v>132</v>
      </c>
      <c r="AB3428" s="55" t="s">
        <v>132</v>
      </c>
      <c r="AC3428" s="55" t="s">
        <v>132</v>
      </c>
    </row>
    <row r="3429" spans="1:29" ht="13" x14ac:dyDescent="0.15">
      <c r="A3429" s="72" t="str">
        <f t="shared" si="53"/>
        <v>Ofsted Social Care Provider Webpage</v>
      </c>
      <c r="B3429" s="55" t="s">
        <v>6401</v>
      </c>
      <c r="D3429" s="55" t="s">
        <v>373</v>
      </c>
      <c r="E3429" s="74">
        <v>41920</v>
      </c>
      <c r="F3429" s="55" t="s">
        <v>344</v>
      </c>
      <c r="G3429" s="55" t="s">
        <v>360</v>
      </c>
      <c r="H3429" s="55" t="s">
        <v>360</v>
      </c>
      <c r="I3429" s="55" t="s">
        <v>360</v>
      </c>
      <c r="J3429" s="55" t="s">
        <v>360</v>
      </c>
      <c r="K3429" s="55" t="s">
        <v>360</v>
      </c>
      <c r="L3429" s="55" t="s">
        <v>360</v>
      </c>
      <c r="M3429" s="55" t="s">
        <v>144</v>
      </c>
      <c r="N3429" s="55" t="s">
        <v>144</v>
      </c>
      <c r="O3429" s="55" t="s">
        <v>245</v>
      </c>
      <c r="P3429" s="55" t="s">
        <v>1796</v>
      </c>
      <c r="Q3429" s="55" t="s">
        <v>350</v>
      </c>
      <c r="R3429" s="55">
        <v>6</v>
      </c>
      <c r="S3429" s="55"/>
      <c r="T3429" s="55" t="s">
        <v>493</v>
      </c>
      <c r="U3429" s="73" t="s">
        <v>351</v>
      </c>
      <c r="V3429" s="74">
        <v>44601</v>
      </c>
      <c r="W3429" s="74">
        <v>44649</v>
      </c>
      <c r="X3429" s="55">
        <v>10185430</v>
      </c>
      <c r="Y3429" s="55" t="s">
        <v>132</v>
      </c>
      <c r="AB3429" s="55" t="s">
        <v>132</v>
      </c>
      <c r="AC3429" s="55" t="s">
        <v>132</v>
      </c>
    </row>
    <row r="3430" spans="1:29" ht="13" x14ac:dyDescent="0.15">
      <c r="A3430" s="72" t="str">
        <f t="shared" si="53"/>
        <v>Ofsted Social Care Provider Webpage</v>
      </c>
      <c r="B3430" s="55" t="s">
        <v>6402</v>
      </c>
      <c r="D3430" s="55" t="s">
        <v>373</v>
      </c>
      <c r="E3430" s="74">
        <v>41887</v>
      </c>
      <c r="F3430" s="55" t="s">
        <v>344</v>
      </c>
      <c r="G3430" s="55" t="s">
        <v>360</v>
      </c>
      <c r="H3430" s="55" t="s">
        <v>360</v>
      </c>
      <c r="I3430" s="55" t="s">
        <v>360</v>
      </c>
      <c r="J3430" s="55" t="s">
        <v>360</v>
      </c>
      <c r="K3430" s="55" t="s">
        <v>360</v>
      </c>
      <c r="L3430" s="55" t="s">
        <v>360</v>
      </c>
      <c r="M3430" s="55" t="s">
        <v>144</v>
      </c>
      <c r="N3430" s="55" t="s">
        <v>144</v>
      </c>
      <c r="O3430" s="55" t="s">
        <v>245</v>
      </c>
      <c r="P3430" s="55" t="s">
        <v>1796</v>
      </c>
      <c r="Q3430" s="55" t="s">
        <v>350</v>
      </c>
      <c r="R3430" s="55">
        <v>6</v>
      </c>
      <c r="S3430" s="55"/>
      <c r="T3430" s="55" t="s">
        <v>493</v>
      </c>
      <c r="U3430" s="73" t="s">
        <v>351</v>
      </c>
      <c r="V3430" s="74">
        <v>44600</v>
      </c>
      <c r="W3430" s="74">
        <v>44642</v>
      </c>
      <c r="X3430" s="55">
        <v>10185653</v>
      </c>
      <c r="Y3430" s="55" t="s">
        <v>140</v>
      </c>
      <c r="AB3430" s="55" t="s">
        <v>140</v>
      </c>
      <c r="AC3430" s="55" t="s">
        <v>132</v>
      </c>
    </row>
    <row r="3431" spans="1:29" ht="13" x14ac:dyDescent="0.15">
      <c r="A3431" s="72" t="str">
        <f t="shared" si="53"/>
        <v>Ofsted Social Care Provider Webpage</v>
      </c>
      <c r="B3431" s="55" t="s">
        <v>6403</v>
      </c>
      <c r="D3431" s="55" t="s">
        <v>451</v>
      </c>
      <c r="E3431" s="74">
        <v>41918</v>
      </c>
      <c r="F3431" s="55" t="s">
        <v>344</v>
      </c>
      <c r="G3431" s="55" t="s">
        <v>6404</v>
      </c>
      <c r="H3431" s="55" t="s">
        <v>6405</v>
      </c>
      <c r="I3431" s="55" t="s">
        <v>354</v>
      </c>
      <c r="J3431" s="55" t="s">
        <v>6406</v>
      </c>
      <c r="K3431" s="55" t="s">
        <v>174</v>
      </c>
      <c r="L3431" s="55" t="s">
        <v>6407</v>
      </c>
      <c r="M3431" s="55" t="s">
        <v>136</v>
      </c>
      <c r="N3431" s="55" t="s">
        <v>136</v>
      </c>
      <c r="O3431" s="55" t="s">
        <v>174</v>
      </c>
      <c r="P3431" s="55" t="s">
        <v>857</v>
      </c>
      <c r="Q3431" s="55" t="s">
        <v>350</v>
      </c>
      <c r="R3431" s="55">
        <v>4</v>
      </c>
      <c r="S3431" s="55"/>
      <c r="T3431" s="55" t="s">
        <v>6408</v>
      </c>
      <c r="U3431" s="73" t="s">
        <v>351</v>
      </c>
      <c r="V3431" s="74">
        <v>44404</v>
      </c>
      <c r="W3431" s="74">
        <v>44445</v>
      </c>
      <c r="X3431" s="55">
        <v>10183279</v>
      </c>
      <c r="Y3431" s="55" t="s">
        <v>130</v>
      </c>
      <c r="AB3431" s="55" t="s">
        <v>130</v>
      </c>
      <c r="AC3431" s="55" t="s">
        <v>130</v>
      </c>
    </row>
    <row r="3432" spans="1:29" ht="13" x14ac:dyDescent="0.15">
      <c r="A3432" s="72" t="str">
        <f t="shared" si="53"/>
        <v>Ofsted Social Care Provider Webpage</v>
      </c>
      <c r="B3432" s="55" t="s">
        <v>6409</v>
      </c>
      <c r="D3432" s="55" t="s">
        <v>373</v>
      </c>
      <c r="E3432" s="74">
        <v>41990</v>
      </c>
      <c r="F3432" s="55" t="s">
        <v>344</v>
      </c>
      <c r="G3432" s="55" t="s">
        <v>360</v>
      </c>
      <c r="H3432" s="55" t="s">
        <v>360</v>
      </c>
      <c r="I3432" s="55" t="s">
        <v>360</v>
      </c>
      <c r="J3432" s="55" t="s">
        <v>360</v>
      </c>
      <c r="K3432" s="55" t="s">
        <v>360</v>
      </c>
      <c r="L3432" s="55" t="s">
        <v>360</v>
      </c>
      <c r="M3432" s="55" t="s">
        <v>144</v>
      </c>
      <c r="N3432" s="55" t="s">
        <v>144</v>
      </c>
      <c r="O3432" s="55" t="s">
        <v>290</v>
      </c>
      <c r="P3432" s="55" t="s">
        <v>1099</v>
      </c>
      <c r="Q3432" s="55" t="s">
        <v>350</v>
      </c>
      <c r="R3432" s="55">
        <v>3</v>
      </c>
      <c r="S3432" s="55"/>
      <c r="T3432" s="55" t="s">
        <v>6410</v>
      </c>
      <c r="U3432" s="73" t="s">
        <v>351</v>
      </c>
      <c r="V3432" s="74">
        <v>44600</v>
      </c>
      <c r="W3432" s="74">
        <v>44644</v>
      </c>
      <c r="X3432" s="55">
        <v>10186770</v>
      </c>
      <c r="Y3432" s="55" t="s">
        <v>132</v>
      </c>
      <c r="AB3432" s="55" t="s">
        <v>132</v>
      </c>
      <c r="AC3432" s="55" t="s">
        <v>132</v>
      </c>
    </row>
    <row r="3433" spans="1:29" ht="13" x14ac:dyDescent="0.15">
      <c r="A3433" s="72" t="str">
        <f t="shared" si="53"/>
        <v>Ofsted Social Care Provider Webpage</v>
      </c>
      <c r="B3433" s="55" t="s">
        <v>6411</v>
      </c>
      <c r="D3433" s="55" t="s">
        <v>373</v>
      </c>
      <c r="E3433" s="74">
        <v>41892</v>
      </c>
      <c r="F3433" s="55" t="s">
        <v>344</v>
      </c>
      <c r="G3433" s="55" t="s">
        <v>360</v>
      </c>
      <c r="H3433" s="55" t="s">
        <v>360</v>
      </c>
      <c r="I3433" s="55" t="s">
        <v>360</v>
      </c>
      <c r="J3433" s="55" t="s">
        <v>360</v>
      </c>
      <c r="K3433" s="55" t="s">
        <v>360</v>
      </c>
      <c r="L3433" s="55" t="s">
        <v>360</v>
      </c>
      <c r="M3433" s="55" t="s">
        <v>144</v>
      </c>
      <c r="N3433" s="55" t="s">
        <v>144</v>
      </c>
      <c r="O3433" s="55" t="s">
        <v>271</v>
      </c>
      <c r="P3433" s="55" t="s">
        <v>1122</v>
      </c>
      <c r="Q3433" s="55" t="s">
        <v>350</v>
      </c>
      <c r="R3433" s="55">
        <v>6</v>
      </c>
      <c r="S3433" s="55"/>
      <c r="T3433" s="55" t="s">
        <v>493</v>
      </c>
      <c r="U3433" s="73" t="s">
        <v>351</v>
      </c>
      <c r="V3433" s="74">
        <v>44544</v>
      </c>
      <c r="W3433" s="74">
        <v>44589</v>
      </c>
      <c r="X3433" s="55">
        <v>10187263</v>
      </c>
      <c r="Y3433" s="55" t="s">
        <v>140</v>
      </c>
      <c r="AB3433" s="55" t="s">
        <v>140</v>
      </c>
      <c r="AC3433" s="55" t="s">
        <v>140</v>
      </c>
    </row>
    <row r="3434" spans="1:29" ht="13" x14ac:dyDescent="0.15">
      <c r="A3434" s="72" t="str">
        <f t="shared" si="53"/>
        <v>Ofsted Social Care Provider Webpage</v>
      </c>
      <c r="B3434" s="55" t="s">
        <v>6412</v>
      </c>
      <c r="D3434" s="55" t="s">
        <v>373</v>
      </c>
      <c r="E3434" s="74">
        <v>41935</v>
      </c>
      <c r="F3434" s="55" t="s">
        <v>344</v>
      </c>
      <c r="G3434" s="55" t="s">
        <v>360</v>
      </c>
      <c r="H3434" s="55" t="s">
        <v>360</v>
      </c>
      <c r="I3434" s="55" t="s">
        <v>360</v>
      </c>
      <c r="J3434" s="55" t="s">
        <v>360</v>
      </c>
      <c r="K3434" s="55" t="s">
        <v>360</v>
      </c>
      <c r="L3434" s="55" t="s">
        <v>360</v>
      </c>
      <c r="M3434" s="55" t="s">
        <v>144</v>
      </c>
      <c r="N3434" s="55" t="s">
        <v>144</v>
      </c>
      <c r="O3434" s="55" t="s">
        <v>209</v>
      </c>
      <c r="P3434" s="55" t="s">
        <v>629</v>
      </c>
      <c r="Q3434" s="55" t="s">
        <v>350</v>
      </c>
      <c r="R3434" s="55">
        <v>7</v>
      </c>
      <c r="S3434" s="55"/>
      <c r="T3434" s="55" t="s">
        <v>493</v>
      </c>
      <c r="U3434" s="73" t="s">
        <v>351</v>
      </c>
      <c r="V3434" s="74">
        <v>44349</v>
      </c>
      <c r="W3434" s="74">
        <v>44386</v>
      </c>
      <c r="X3434" s="55">
        <v>10186664</v>
      </c>
      <c r="Y3434" s="55" t="s">
        <v>130</v>
      </c>
      <c r="AB3434" s="55" t="s">
        <v>130</v>
      </c>
      <c r="AC3434" s="55" t="s">
        <v>130</v>
      </c>
    </row>
    <row r="3435" spans="1:29" ht="13" x14ac:dyDescent="0.15">
      <c r="A3435" s="72" t="str">
        <f t="shared" si="53"/>
        <v>Ofsted Social Care Provider Webpage</v>
      </c>
      <c r="B3435" s="55" t="s">
        <v>6413</v>
      </c>
      <c r="D3435" s="55" t="s">
        <v>373</v>
      </c>
      <c r="E3435" s="74">
        <v>41877</v>
      </c>
      <c r="F3435" s="55" t="s">
        <v>344</v>
      </c>
      <c r="G3435" s="55" t="s">
        <v>360</v>
      </c>
      <c r="H3435" s="55" t="s">
        <v>360</v>
      </c>
      <c r="I3435" s="55" t="s">
        <v>360</v>
      </c>
      <c r="J3435" s="55" t="s">
        <v>360</v>
      </c>
      <c r="K3435" s="55" t="s">
        <v>360</v>
      </c>
      <c r="L3435" s="55" t="s">
        <v>360</v>
      </c>
      <c r="M3435" s="55" t="s">
        <v>142</v>
      </c>
      <c r="N3435" s="55" t="s">
        <v>142</v>
      </c>
      <c r="O3435" s="55" t="s">
        <v>252</v>
      </c>
      <c r="P3435" s="55" t="s">
        <v>388</v>
      </c>
      <c r="Q3435" s="55" t="s">
        <v>350</v>
      </c>
      <c r="R3435" s="55">
        <v>4</v>
      </c>
      <c r="S3435" s="55"/>
      <c r="T3435" s="55" t="s">
        <v>1260</v>
      </c>
      <c r="U3435" s="73" t="s">
        <v>351</v>
      </c>
      <c r="V3435" s="74">
        <v>44629</v>
      </c>
      <c r="W3435" s="74">
        <v>44679</v>
      </c>
      <c r="X3435" s="55">
        <v>10185391</v>
      </c>
      <c r="Y3435" s="55" t="s">
        <v>132</v>
      </c>
      <c r="AB3435" s="55" t="s">
        <v>132</v>
      </c>
      <c r="AC3435" s="55" t="s">
        <v>130</v>
      </c>
    </row>
    <row r="3436" spans="1:29" ht="13" x14ac:dyDescent="0.15">
      <c r="A3436" s="72" t="str">
        <f t="shared" si="53"/>
        <v>Ofsted Social Care Provider Webpage</v>
      </c>
      <c r="B3436" s="55" t="s">
        <v>6414</v>
      </c>
      <c r="D3436" s="55" t="s">
        <v>373</v>
      </c>
      <c r="E3436" s="74">
        <v>41848</v>
      </c>
      <c r="F3436" s="55" t="s">
        <v>344</v>
      </c>
      <c r="G3436" s="55" t="s">
        <v>360</v>
      </c>
      <c r="H3436" s="55" t="s">
        <v>360</v>
      </c>
      <c r="I3436" s="55" t="s">
        <v>360</v>
      </c>
      <c r="J3436" s="55" t="s">
        <v>360</v>
      </c>
      <c r="K3436" s="55" t="s">
        <v>360</v>
      </c>
      <c r="L3436" s="55" t="s">
        <v>360</v>
      </c>
      <c r="M3436" s="55" t="s">
        <v>144</v>
      </c>
      <c r="N3436" s="55" t="s">
        <v>144</v>
      </c>
      <c r="O3436" s="55" t="s">
        <v>168</v>
      </c>
      <c r="P3436" s="55" t="s">
        <v>834</v>
      </c>
      <c r="Q3436" s="55" t="s">
        <v>350</v>
      </c>
      <c r="R3436" s="55">
        <v>8</v>
      </c>
      <c r="S3436" s="55"/>
      <c r="T3436" s="55" t="s">
        <v>435</v>
      </c>
      <c r="U3436" s="73" t="s">
        <v>351</v>
      </c>
      <c r="V3436" s="74">
        <v>44587</v>
      </c>
      <c r="W3436" s="74">
        <v>44638</v>
      </c>
      <c r="X3436" s="55">
        <v>10185985</v>
      </c>
      <c r="Y3436" s="55" t="s">
        <v>132</v>
      </c>
      <c r="AB3436" s="55" t="s">
        <v>132</v>
      </c>
      <c r="AC3436" s="55" t="s">
        <v>130</v>
      </c>
    </row>
    <row r="3437" spans="1:29" ht="13" x14ac:dyDescent="0.15">
      <c r="A3437" s="72" t="str">
        <f t="shared" si="53"/>
        <v>Ofsted Social Care Provider Webpage</v>
      </c>
      <c r="B3437" s="55" t="s">
        <v>6415</v>
      </c>
      <c r="D3437" s="55" t="s">
        <v>373</v>
      </c>
      <c r="E3437" s="74">
        <v>41859</v>
      </c>
      <c r="F3437" s="55" t="s">
        <v>344</v>
      </c>
      <c r="G3437" s="55" t="s">
        <v>360</v>
      </c>
      <c r="H3437" s="55" t="s">
        <v>360</v>
      </c>
      <c r="I3437" s="55" t="s">
        <v>360</v>
      </c>
      <c r="J3437" s="55" t="s">
        <v>360</v>
      </c>
      <c r="K3437" s="55" t="s">
        <v>360</v>
      </c>
      <c r="L3437" s="55" t="s">
        <v>360</v>
      </c>
      <c r="M3437" s="55" t="s">
        <v>144</v>
      </c>
      <c r="N3437" s="55" t="s">
        <v>144</v>
      </c>
      <c r="O3437" s="55" t="s">
        <v>209</v>
      </c>
      <c r="P3437" s="55" t="s">
        <v>1858</v>
      </c>
      <c r="Q3437" s="55" t="s">
        <v>350</v>
      </c>
      <c r="R3437" s="55">
        <v>1</v>
      </c>
      <c r="S3437" s="55"/>
      <c r="T3437" s="55" t="s">
        <v>385</v>
      </c>
      <c r="U3437" s="73" t="s">
        <v>351</v>
      </c>
      <c r="V3437" s="74">
        <v>44377</v>
      </c>
      <c r="W3437" s="74">
        <v>44427</v>
      </c>
      <c r="X3437" s="55">
        <v>10186694</v>
      </c>
      <c r="Y3437" s="55" t="s">
        <v>132</v>
      </c>
      <c r="AB3437" s="55" t="s">
        <v>132</v>
      </c>
      <c r="AC3437" s="55" t="s">
        <v>132</v>
      </c>
    </row>
    <row r="3438" spans="1:29" ht="13" x14ac:dyDescent="0.15">
      <c r="A3438" s="72" t="str">
        <f t="shared" si="53"/>
        <v>Ofsted Social Care Provider Webpage</v>
      </c>
      <c r="B3438" s="55" t="s">
        <v>6416</v>
      </c>
      <c r="D3438" s="55" t="s">
        <v>373</v>
      </c>
      <c r="E3438" s="74">
        <v>41904</v>
      </c>
      <c r="F3438" s="55" t="s">
        <v>344</v>
      </c>
      <c r="G3438" s="55" t="s">
        <v>360</v>
      </c>
      <c r="H3438" s="55" t="s">
        <v>360</v>
      </c>
      <c r="I3438" s="55" t="s">
        <v>360</v>
      </c>
      <c r="J3438" s="55" t="s">
        <v>360</v>
      </c>
      <c r="K3438" s="55" t="s">
        <v>360</v>
      </c>
      <c r="L3438" s="55" t="s">
        <v>360</v>
      </c>
      <c r="M3438" s="55" t="s">
        <v>150</v>
      </c>
      <c r="N3438" s="55" t="s">
        <v>150</v>
      </c>
      <c r="O3438" s="55" t="s">
        <v>190</v>
      </c>
      <c r="P3438" s="55" t="s">
        <v>887</v>
      </c>
      <c r="Q3438" s="55" t="s">
        <v>350</v>
      </c>
      <c r="R3438" s="55">
        <v>4</v>
      </c>
      <c r="S3438" s="55"/>
      <c r="T3438" s="55" t="s">
        <v>888</v>
      </c>
      <c r="U3438" s="73" t="s">
        <v>351</v>
      </c>
      <c r="V3438" s="74">
        <v>44440</v>
      </c>
      <c r="W3438" s="74">
        <v>44483</v>
      </c>
      <c r="X3438" s="55">
        <v>10186813</v>
      </c>
      <c r="Y3438" s="55" t="s">
        <v>130</v>
      </c>
      <c r="AB3438" s="55" t="s">
        <v>130</v>
      </c>
      <c r="AC3438" s="55" t="s">
        <v>146</v>
      </c>
    </row>
    <row r="3439" spans="1:29" ht="13" x14ac:dyDescent="0.15">
      <c r="A3439" s="72" t="str">
        <f t="shared" si="53"/>
        <v>Ofsted Social Care Provider Webpage</v>
      </c>
      <c r="B3439" s="55" t="s">
        <v>6417</v>
      </c>
      <c r="D3439" s="55" t="s">
        <v>373</v>
      </c>
      <c r="E3439" s="74">
        <v>41911</v>
      </c>
      <c r="F3439" s="55" t="s">
        <v>344</v>
      </c>
      <c r="G3439" s="55" t="s">
        <v>360</v>
      </c>
      <c r="H3439" s="55" t="s">
        <v>360</v>
      </c>
      <c r="I3439" s="55" t="s">
        <v>360</v>
      </c>
      <c r="J3439" s="55" t="s">
        <v>360</v>
      </c>
      <c r="K3439" s="55" t="s">
        <v>360</v>
      </c>
      <c r="L3439" s="55" t="s">
        <v>360</v>
      </c>
      <c r="M3439" s="55" t="s">
        <v>142</v>
      </c>
      <c r="N3439" s="55" t="s">
        <v>142</v>
      </c>
      <c r="O3439" s="55" t="s">
        <v>262</v>
      </c>
      <c r="P3439" s="55" t="s">
        <v>850</v>
      </c>
      <c r="Q3439" s="55" t="s">
        <v>350</v>
      </c>
      <c r="R3439" s="55">
        <v>4</v>
      </c>
      <c r="S3439" s="55"/>
      <c r="T3439" s="55" t="s">
        <v>1446</v>
      </c>
      <c r="U3439" s="73" t="s">
        <v>351</v>
      </c>
      <c r="V3439" s="74">
        <v>44376</v>
      </c>
      <c r="W3439" s="74">
        <v>44411</v>
      </c>
      <c r="X3439" s="55">
        <v>10185896</v>
      </c>
      <c r="Y3439" s="55" t="s">
        <v>140</v>
      </c>
      <c r="AB3439" s="55" t="s">
        <v>140</v>
      </c>
      <c r="AC3439" s="55" t="s">
        <v>140</v>
      </c>
    </row>
    <row r="3440" spans="1:29" ht="13" x14ac:dyDescent="0.15">
      <c r="A3440" s="72" t="str">
        <f t="shared" si="53"/>
        <v>Ofsted Social Care Provider Webpage</v>
      </c>
      <c r="B3440" s="55" t="s">
        <v>6418</v>
      </c>
      <c r="D3440" s="55" t="s">
        <v>373</v>
      </c>
      <c r="E3440" s="74">
        <v>41913</v>
      </c>
      <c r="F3440" s="55" t="s">
        <v>344</v>
      </c>
      <c r="G3440" s="55" t="s">
        <v>360</v>
      </c>
      <c r="H3440" s="55" t="s">
        <v>360</v>
      </c>
      <c r="I3440" s="55" t="s">
        <v>360</v>
      </c>
      <c r="J3440" s="55" t="s">
        <v>360</v>
      </c>
      <c r="K3440" s="55" t="s">
        <v>360</v>
      </c>
      <c r="L3440" s="55" t="s">
        <v>360</v>
      </c>
      <c r="M3440" s="55" t="s">
        <v>172</v>
      </c>
      <c r="N3440" s="55" t="s">
        <v>172</v>
      </c>
      <c r="O3440" s="55" t="s">
        <v>212</v>
      </c>
      <c r="P3440" s="55" t="s">
        <v>798</v>
      </c>
      <c r="Q3440" s="55" t="s">
        <v>350</v>
      </c>
      <c r="R3440" s="55">
        <v>4</v>
      </c>
      <c r="S3440" s="55"/>
      <c r="T3440" s="55" t="s">
        <v>799</v>
      </c>
      <c r="U3440" s="73" t="s">
        <v>351</v>
      </c>
      <c r="V3440" s="74">
        <v>44475</v>
      </c>
      <c r="W3440" s="74">
        <v>44515</v>
      </c>
      <c r="X3440" s="55">
        <v>10186129</v>
      </c>
      <c r="Y3440" s="55" t="s">
        <v>132</v>
      </c>
      <c r="AB3440" s="55" t="s">
        <v>132</v>
      </c>
      <c r="AC3440" s="55" t="s">
        <v>132</v>
      </c>
    </row>
    <row r="3441" spans="1:29" ht="13" x14ac:dyDescent="0.15">
      <c r="A3441" s="72" t="str">
        <f t="shared" si="53"/>
        <v>Ofsted Social Care Provider Webpage</v>
      </c>
      <c r="B3441" s="55" t="s">
        <v>6419</v>
      </c>
      <c r="D3441" s="55" t="s">
        <v>373</v>
      </c>
      <c r="E3441" s="74">
        <v>41935</v>
      </c>
      <c r="F3441" s="55" t="s">
        <v>344</v>
      </c>
      <c r="G3441" s="55" t="s">
        <v>360</v>
      </c>
      <c r="H3441" s="55" t="s">
        <v>360</v>
      </c>
      <c r="I3441" s="55" t="s">
        <v>360</v>
      </c>
      <c r="J3441" s="55" t="s">
        <v>360</v>
      </c>
      <c r="K3441" s="55" t="s">
        <v>360</v>
      </c>
      <c r="L3441" s="55" t="s">
        <v>360</v>
      </c>
      <c r="M3441" s="55" t="s">
        <v>144</v>
      </c>
      <c r="N3441" s="55" t="s">
        <v>144</v>
      </c>
      <c r="O3441" s="55" t="s">
        <v>209</v>
      </c>
      <c r="P3441" s="55" t="s">
        <v>1858</v>
      </c>
      <c r="Q3441" s="55" t="s">
        <v>350</v>
      </c>
      <c r="R3441" s="55">
        <v>8</v>
      </c>
      <c r="S3441" s="55"/>
      <c r="T3441" s="55" t="s">
        <v>493</v>
      </c>
      <c r="U3441" s="73" t="s">
        <v>351</v>
      </c>
      <c r="V3441" s="74">
        <v>44383</v>
      </c>
      <c r="W3441" s="74">
        <v>44418</v>
      </c>
      <c r="X3441" s="55">
        <v>10187292</v>
      </c>
      <c r="Y3441" s="55" t="s">
        <v>130</v>
      </c>
      <c r="AB3441" s="55" t="s">
        <v>130</v>
      </c>
      <c r="AC3441" s="55" t="s">
        <v>130</v>
      </c>
    </row>
    <row r="3442" spans="1:29" ht="13" x14ac:dyDescent="0.15">
      <c r="A3442" s="72" t="str">
        <f t="shared" si="53"/>
        <v>Ofsted Social Care Provider Webpage</v>
      </c>
      <c r="B3442" s="55" t="s">
        <v>6420</v>
      </c>
      <c r="D3442" s="55" t="s">
        <v>373</v>
      </c>
      <c r="E3442" s="74">
        <v>41973</v>
      </c>
      <c r="F3442" s="55" t="s">
        <v>344</v>
      </c>
      <c r="G3442" s="55" t="s">
        <v>360</v>
      </c>
      <c r="H3442" s="55" t="s">
        <v>360</v>
      </c>
      <c r="I3442" s="55" t="s">
        <v>360</v>
      </c>
      <c r="J3442" s="55" t="s">
        <v>360</v>
      </c>
      <c r="K3442" s="55" t="s">
        <v>360</v>
      </c>
      <c r="L3442" s="55" t="s">
        <v>360</v>
      </c>
      <c r="M3442" s="55" t="s">
        <v>144</v>
      </c>
      <c r="N3442" s="55" t="s">
        <v>144</v>
      </c>
      <c r="O3442" s="55" t="s">
        <v>145</v>
      </c>
      <c r="P3442" s="55" t="s">
        <v>525</v>
      </c>
      <c r="Q3442" s="55" t="s">
        <v>350</v>
      </c>
      <c r="R3442" s="55">
        <v>5</v>
      </c>
      <c r="S3442" s="55"/>
      <c r="T3442" s="55" t="s">
        <v>493</v>
      </c>
      <c r="U3442" s="73" t="s">
        <v>351</v>
      </c>
      <c r="V3442" s="74">
        <v>44530</v>
      </c>
      <c r="W3442" s="74">
        <v>44579</v>
      </c>
      <c r="X3442" s="55">
        <v>10186705</v>
      </c>
      <c r="Y3442" s="55" t="s">
        <v>132</v>
      </c>
      <c r="AB3442" s="55" t="s">
        <v>132</v>
      </c>
      <c r="AC3442" s="55" t="s">
        <v>132</v>
      </c>
    </row>
    <row r="3443" spans="1:29" ht="13" x14ac:dyDescent="0.15">
      <c r="A3443" s="72" t="str">
        <f t="shared" si="53"/>
        <v>Ofsted Social Care Provider Webpage</v>
      </c>
      <c r="B3443" s="55" t="s">
        <v>6421</v>
      </c>
      <c r="D3443" s="55" t="s">
        <v>373</v>
      </c>
      <c r="E3443" s="74">
        <v>42031</v>
      </c>
      <c r="F3443" s="55" t="s">
        <v>344</v>
      </c>
      <c r="G3443" s="55" t="s">
        <v>360</v>
      </c>
      <c r="H3443" s="55" t="s">
        <v>360</v>
      </c>
      <c r="I3443" s="55" t="s">
        <v>360</v>
      </c>
      <c r="J3443" s="55" t="s">
        <v>360</v>
      </c>
      <c r="K3443" s="55" t="s">
        <v>360</v>
      </c>
      <c r="L3443" s="55" t="s">
        <v>360</v>
      </c>
      <c r="M3443" s="55" t="s">
        <v>144</v>
      </c>
      <c r="N3443" s="55" t="s">
        <v>144</v>
      </c>
      <c r="O3443" s="55" t="s">
        <v>209</v>
      </c>
      <c r="P3443" s="55" t="s">
        <v>777</v>
      </c>
      <c r="Q3443" s="55" t="s">
        <v>350</v>
      </c>
      <c r="R3443" s="55">
        <v>6</v>
      </c>
      <c r="S3443" s="55"/>
      <c r="T3443" s="55" t="s">
        <v>493</v>
      </c>
      <c r="U3443" s="73" t="s">
        <v>351</v>
      </c>
      <c r="V3443" s="74">
        <v>44502</v>
      </c>
      <c r="W3443" s="74">
        <v>44537</v>
      </c>
      <c r="X3443" s="55">
        <v>10187143</v>
      </c>
      <c r="Y3443" s="55" t="s">
        <v>132</v>
      </c>
      <c r="AB3443" s="55" t="s">
        <v>132</v>
      </c>
      <c r="AC3443" s="55" t="s">
        <v>132</v>
      </c>
    </row>
    <row r="3444" spans="1:29" ht="13" x14ac:dyDescent="0.15">
      <c r="A3444" s="72" t="str">
        <f t="shared" si="53"/>
        <v>Ofsted Social Care Provider Webpage</v>
      </c>
      <c r="B3444" s="55" t="s">
        <v>6422</v>
      </c>
      <c r="D3444" s="55" t="s">
        <v>373</v>
      </c>
      <c r="E3444" s="74">
        <v>41973</v>
      </c>
      <c r="F3444" s="55" t="s">
        <v>344</v>
      </c>
      <c r="G3444" s="55" t="s">
        <v>360</v>
      </c>
      <c r="H3444" s="55" t="s">
        <v>360</v>
      </c>
      <c r="I3444" s="55" t="s">
        <v>360</v>
      </c>
      <c r="J3444" s="55" t="s">
        <v>360</v>
      </c>
      <c r="K3444" s="55" t="s">
        <v>360</v>
      </c>
      <c r="L3444" s="55" t="s">
        <v>360</v>
      </c>
      <c r="M3444" s="55" t="s">
        <v>144</v>
      </c>
      <c r="N3444" s="55" t="s">
        <v>144</v>
      </c>
      <c r="O3444" s="55" t="s">
        <v>145</v>
      </c>
      <c r="P3444" s="55" t="s">
        <v>525</v>
      </c>
      <c r="Q3444" s="55" t="s">
        <v>350</v>
      </c>
      <c r="R3444" s="55">
        <v>5</v>
      </c>
      <c r="S3444" s="55"/>
      <c r="T3444" s="55" t="s">
        <v>493</v>
      </c>
      <c r="U3444" s="73" t="s">
        <v>351</v>
      </c>
      <c r="V3444" s="74">
        <v>44481</v>
      </c>
      <c r="W3444" s="74">
        <v>44538</v>
      </c>
      <c r="X3444" s="55">
        <v>10186725</v>
      </c>
      <c r="Y3444" s="55" t="s">
        <v>130</v>
      </c>
      <c r="AB3444" s="55" t="s">
        <v>130</v>
      </c>
      <c r="AC3444" s="55" t="s">
        <v>130</v>
      </c>
    </row>
    <row r="3445" spans="1:29" ht="13" x14ac:dyDescent="0.15">
      <c r="A3445" s="72" t="str">
        <f t="shared" si="53"/>
        <v>Ofsted Social Care Provider Webpage</v>
      </c>
      <c r="B3445" s="55" t="s">
        <v>6423</v>
      </c>
      <c r="D3445" s="55" t="s">
        <v>373</v>
      </c>
      <c r="E3445" s="74">
        <v>41883</v>
      </c>
      <c r="F3445" s="55" t="s">
        <v>344</v>
      </c>
      <c r="G3445" s="55" t="s">
        <v>360</v>
      </c>
      <c r="H3445" s="55" t="s">
        <v>360</v>
      </c>
      <c r="I3445" s="55" t="s">
        <v>360</v>
      </c>
      <c r="J3445" s="55" t="s">
        <v>360</v>
      </c>
      <c r="K3445" s="55" t="s">
        <v>360</v>
      </c>
      <c r="L3445" s="55" t="s">
        <v>360</v>
      </c>
      <c r="M3445" s="55" t="s">
        <v>150</v>
      </c>
      <c r="N3445" s="55" t="s">
        <v>150</v>
      </c>
      <c r="O3445" s="55" t="s">
        <v>190</v>
      </c>
      <c r="P3445" s="55" t="s">
        <v>897</v>
      </c>
      <c r="Q3445" s="55" t="s">
        <v>350</v>
      </c>
      <c r="R3445" s="55">
        <v>3</v>
      </c>
      <c r="S3445" s="55"/>
      <c r="T3445" s="55" t="s">
        <v>1051</v>
      </c>
      <c r="U3445" s="73" t="s">
        <v>351</v>
      </c>
      <c r="V3445" s="74">
        <v>44607</v>
      </c>
      <c r="W3445" s="74">
        <v>44659</v>
      </c>
      <c r="X3445" s="55">
        <v>10186977</v>
      </c>
      <c r="Y3445" s="55" t="s">
        <v>140</v>
      </c>
      <c r="AB3445" s="55" t="s">
        <v>140</v>
      </c>
      <c r="AC3445" s="55" t="s">
        <v>140</v>
      </c>
    </row>
    <row r="3446" spans="1:29" ht="13" x14ac:dyDescent="0.15">
      <c r="A3446" s="72" t="str">
        <f t="shared" si="53"/>
        <v>Ofsted Social Care Provider Webpage</v>
      </c>
      <c r="B3446" s="55" t="s">
        <v>6424</v>
      </c>
      <c r="D3446" s="55" t="s">
        <v>373</v>
      </c>
      <c r="E3446" s="74">
        <v>41974</v>
      </c>
      <c r="F3446" s="55" t="s">
        <v>344</v>
      </c>
      <c r="G3446" s="55" t="s">
        <v>360</v>
      </c>
      <c r="H3446" s="55" t="s">
        <v>360</v>
      </c>
      <c r="I3446" s="55" t="s">
        <v>360</v>
      </c>
      <c r="J3446" s="55" t="s">
        <v>360</v>
      </c>
      <c r="K3446" s="55" t="s">
        <v>360</v>
      </c>
      <c r="L3446" s="55" t="s">
        <v>360</v>
      </c>
      <c r="M3446" s="55" t="s">
        <v>378</v>
      </c>
      <c r="N3446" s="55" t="s">
        <v>134</v>
      </c>
      <c r="O3446" s="55" t="s">
        <v>180</v>
      </c>
      <c r="P3446" s="55" t="s">
        <v>1892</v>
      </c>
      <c r="Q3446" s="55" t="s">
        <v>350</v>
      </c>
      <c r="R3446" s="55">
        <v>4</v>
      </c>
      <c r="S3446" s="55"/>
      <c r="T3446" s="55" t="s">
        <v>493</v>
      </c>
      <c r="U3446" s="73" t="s">
        <v>351</v>
      </c>
      <c r="V3446" s="74">
        <v>44601</v>
      </c>
      <c r="W3446" s="74">
        <v>44652</v>
      </c>
      <c r="X3446" s="55">
        <v>10187102</v>
      </c>
      <c r="Y3446" s="55" t="s">
        <v>132</v>
      </c>
      <c r="AB3446" s="55" t="s">
        <v>130</v>
      </c>
      <c r="AC3446" s="55" t="s">
        <v>132</v>
      </c>
    </row>
    <row r="3447" spans="1:29" ht="13" x14ac:dyDescent="0.15">
      <c r="A3447" s="72" t="str">
        <f t="shared" si="53"/>
        <v>Ofsted Social Care Provider Webpage</v>
      </c>
      <c r="B3447" s="55" t="s">
        <v>6425</v>
      </c>
      <c r="D3447" s="55" t="s">
        <v>373</v>
      </c>
      <c r="E3447" s="74">
        <v>41927</v>
      </c>
      <c r="F3447" s="55" t="s">
        <v>344</v>
      </c>
      <c r="G3447" s="55" t="s">
        <v>360</v>
      </c>
      <c r="H3447" s="55" t="s">
        <v>360</v>
      </c>
      <c r="I3447" s="55" t="s">
        <v>360</v>
      </c>
      <c r="J3447" s="55" t="s">
        <v>360</v>
      </c>
      <c r="K3447" s="55" t="s">
        <v>360</v>
      </c>
      <c r="L3447" s="55" t="s">
        <v>360</v>
      </c>
      <c r="M3447" s="55" t="s">
        <v>378</v>
      </c>
      <c r="N3447" s="55" t="s">
        <v>134</v>
      </c>
      <c r="O3447" s="55" t="s">
        <v>206</v>
      </c>
      <c r="P3447" s="55" t="s">
        <v>760</v>
      </c>
      <c r="Q3447" s="55" t="s">
        <v>350</v>
      </c>
      <c r="R3447" s="55">
        <v>6</v>
      </c>
      <c r="S3447" s="55"/>
      <c r="T3447" s="55" t="s">
        <v>493</v>
      </c>
      <c r="U3447" s="73" t="s">
        <v>351</v>
      </c>
      <c r="V3447" s="74">
        <v>44340</v>
      </c>
      <c r="W3447" s="74">
        <v>44390</v>
      </c>
      <c r="X3447" s="55">
        <v>10186880</v>
      </c>
      <c r="Y3447" s="55" t="s">
        <v>132</v>
      </c>
      <c r="AB3447" s="55" t="s">
        <v>132</v>
      </c>
      <c r="AC3447" s="55" t="s">
        <v>132</v>
      </c>
    </row>
    <row r="3448" spans="1:29" ht="13" x14ac:dyDescent="0.15">
      <c r="A3448" s="72" t="str">
        <f t="shared" si="53"/>
        <v>Ofsted Social Care Provider Webpage</v>
      </c>
      <c r="B3448" s="55" t="s">
        <v>6426</v>
      </c>
      <c r="D3448" s="55" t="s">
        <v>373</v>
      </c>
      <c r="E3448" s="74">
        <v>41920</v>
      </c>
      <c r="F3448" s="55" t="s">
        <v>344</v>
      </c>
      <c r="G3448" s="55" t="s">
        <v>360</v>
      </c>
      <c r="H3448" s="55" t="s">
        <v>360</v>
      </c>
      <c r="I3448" s="55" t="s">
        <v>360</v>
      </c>
      <c r="J3448" s="55" t="s">
        <v>360</v>
      </c>
      <c r="K3448" s="55" t="s">
        <v>360</v>
      </c>
      <c r="L3448" s="55" t="s">
        <v>360</v>
      </c>
      <c r="M3448" s="55" t="s">
        <v>138</v>
      </c>
      <c r="N3448" s="55" t="s">
        <v>138</v>
      </c>
      <c r="O3448" s="55" t="s">
        <v>159</v>
      </c>
      <c r="P3448" s="55" t="s">
        <v>1985</v>
      </c>
      <c r="Q3448" s="55" t="s">
        <v>350</v>
      </c>
      <c r="R3448" s="55">
        <v>6</v>
      </c>
      <c r="S3448" s="55"/>
      <c r="T3448" s="55" t="s">
        <v>375</v>
      </c>
      <c r="U3448" s="73" t="s">
        <v>351</v>
      </c>
      <c r="V3448" s="74">
        <v>44369</v>
      </c>
      <c r="W3448" s="74">
        <v>44392</v>
      </c>
      <c r="X3448" s="55">
        <v>10187411</v>
      </c>
      <c r="Y3448" s="55" t="s">
        <v>132</v>
      </c>
      <c r="AB3448" s="55" t="s">
        <v>132</v>
      </c>
      <c r="AC3448" s="55" t="s">
        <v>132</v>
      </c>
    </row>
    <row r="3449" spans="1:29" ht="13" x14ac:dyDescent="0.15">
      <c r="A3449" s="72" t="str">
        <f t="shared" si="53"/>
        <v>Ofsted Social Care Provider Webpage</v>
      </c>
      <c r="B3449" s="55" t="s">
        <v>6427</v>
      </c>
      <c r="D3449" s="55" t="s">
        <v>373</v>
      </c>
      <c r="E3449" s="74">
        <v>42059</v>
      </c>
      <c r="F3449" s="55" t="s">
        <v>344</v>
      </c>
      <c r="G3449" s="55" t="s">
        <v>360</v>
      </c>
      <c r="H3449" s="55" t="s">
        <v>360</v>
      </c>
      <c r="I3449" s="55" t="s">
        <v>360</v>
      </c>
      <c r="J3449" s="55" t="s">
        <v>360</v>
      </c>
      <c r="K3449" s="55" t="s">
        <v>360</v>
      </c>
      <c r="L3449" s="55" t="s">
        <v>360</v>
      </c>
      <c r="M3449" s="55" t="s">
        <v>150</v>
      </c>
      <c r="N3449" s="55" t="s">
        <v>150</v>
      </c>
      <c r="O3449" s="55" t="s">
        <v>149</v>
      </c>
      <c r="P3449" s="55" t="s">
        <v>3548</v>
      </c>
      <c r="Q3449" s="55" t="s">
        <v>350</v>
      </c>
      <c r="R3449" s="55">
        <v>4</v>
      </c>
      <c r="S3449" s="55"/>
      <c r="T3449" s="55" t="s">
        <v>5644</v>
      </c>
      <c r="U3449" s="73" t="s">
        <v>351</v>
      </c>
      <c r="V3449" s="74">
        <v>44418</v>
      </c>
      <c r="W3449" s="74">
        <v>44460</v>
      </c>
      <c r="X3449" s="55">
        <v>10185039</v>
      </c>
      <c r="Y3449" s="55" t="s">
        <v>140</v>
      </c>
      <c r="AB3449" s="55" t="s">
        <v>132</v>
      </c>
      <c r="AC3449" s="55" t="s">
        <v>140</v>
      </c>
    </row>
    <row r="3450" spans="1:29" ht="13" x14ac:dyDescent="0.15">
      <c r="A3450" s="72" t="str">
        <f t="shared" si="53"/>
        <v>Ofsted Social Care Provider Webpage</v>
      </c>
      <c r="B3450" s="55" t="s">
        <v>6428</v>
      </c>
      <c r="D3450" s="55" t="s">
        <v>451</v>
      </c>
      <c r="E3450" s="74">
        <v>41905</v>
      </c>
      <c r="F3450" s="55" t="s">
        <v>344</v>
      </c>
      <c r="G3450" s="55" t="s">
        <v>6429</v>
      </c>
      <c r="H3450" s="55" t="s">
        <v>6430</v>
      </c>
      <c r="I3450" s="55" t="s">
        <v>6431</v>
      </c>
      <c r="J3450" s="55" t="s">
        <v>3974</v>
      </c>
      <c r="L3450" s="55" t="s">
        <v>6432</v>
      </c>
      <c r="M3450" s="55" t="s">
        <v>144</v>
      </c>
      <c r="N3450" s="55" t="s">
        <v>144</v>
      </c>
      <c r="O3450" s="55" t="s">
        <v>276</v>
      </c>
      <c r="P3450" s="55" t="s">
        <v>3052</v>
      </c>
      <c r="Q3450" s="55" t="s">
        <v>350</v>
      </c>
      <c r="R3450" s="55">
        <v>2</v>
      </c>
      <c r="S3450" s="55"/>
      <c r="T3450" s="55" t="s">
        <v>5736</v>
      </c>
      <c r="U3450" s="73" t="s">
        <v>351</v>
      </c>
      <c r="V3450" s="74">
        <v>43291</v>
      </c>
      <c r="W3450" s="74">
        <v>43307</v>
      </c>
      <c r="X3450" s="55">
        <v>10045747</v>
      </c>
      <c r="Y3450" s="55" t="s">
        <v>132</v>
      </c>
      <c r="AB3450" s="55" t="s">
        <v>132</v>
      </c>
      <c r="AC3450" s="55" t="s">
        <v>132</v>
      </c>
    </row>
    <row r="3451" spans="1:29" ht="13" x14ac:dyDescent="0.15">
      <c r="A3451" s="72" t="str">
        <f t="shared" si="53"/>
        <v>Ofsted Social Care Provider Webpage</v>
      </c>
      <c r="B3451" s="55" t="s">
        <v>6433</v>
      </c>
      <c r="D3451" s="55" t="s">
        <v>443</v>
      </c>
      <c r="E3451" s="74">
        <v>41934</v>
      </c>
      <c r="F3451" s="55" t="s">
        <v>344</v>
      </c>
      <c r="G3451" s="55" t="s">
        <v>6434</v>
      </c>
      <c r="H3451" s="55" t="s">
        <v>6435</v>
      </c>
      <c r="I3451" s="55" t="s">
        <v>354</v>
      </c>
      <c r="J3451" s="55" t="s">
        <v>6436</v>
      </c>
      <c r="K3451" s="55" t="s">
        <v>265</v>
      </c>
      <c r="L3451" s="55" t="s">
        <v>6437</v>
      </c>
      <c r="M3451" s="55" t="s">
        <v>142</v>
      </c>
      <c r="N3451" s="55" t="s">
        <v>142</v>
      </c>
      <c r="O3451" s="55" t="s">
        <v>265</v>
      </c>
      <c r="P3451" s="55" t="s">
        <v>1215</v>
      </c>
      <c r="Q3451" s="55" t="s">
        <v>350</v>
      </c>
      <c r="R3451" s="55"/>
      <c r="S3451" s="55"/>
      <c r="T3451" s="55" t="s">
        <v>6438</v>
      </c>
      <c r="U3451" s="73" t="s">
        <v>351</v>
      </c>
      <c r="V3451" s="74">
        <v>43368</v>
      </c>
      <c r="W3451" s="74">
        <v>43398</v>
      </c>
      <c r="X3451" s="55">
        <v>10046723</v>
      </c>
      <c r="Y3451" s="55" t="s">
        <v>140</v>
      </c>
      <c r="AB3451" s="55" t="s">
        <v>132</v>
      </c>
      <c r="AC3451" s="55" t="s">
        <v>132</v>
      </c>
    </row>
    <row r="3452" spans="1:29" ht="13" x14ac:dyDescent="0.15">
      <c r="A3452" s="72" t="str">
        <f t="shared" si="53"/>
        <v>Ofsted Social Care Provider Webpage</v>
      </c>
      <c r="B3452" s="55" t="s">
        <v>6439</v>
      </c>
      <c r="D3452" s="55" t="s">
        <v>373</v>
      </c>
      <c r="E3452" s="74">
        <v>41890</v>
      </c>
      <c r="F3452" s="55" t="s">
        <v>344</v>
      </c>
      <c r="G3452" s="55" t="s">
        <v>360</v>
      </c>
      <c r="H3452" s="55" t="s">
        <v>360</v>
      </c>
      <c r="I3452" s="55" t="s">
        <v>360</v>
      </c>
      <c r="J3452" s="55" t="s">
        <v>360</v>
      </c>
      <c r="K3452" s="55" t="s">
        <v>360</v>
      </c>
      <c r="L3452" s="55" t="s">
        <v>360</v>
      </c>
      <c r="M3452" s="55" t="s">
        <v>144</v>
      </c>
      <c r="N3452" s="55" t="s">
        <v>144</v>
      </c>
      <c r="O3452" s="55" t="s">
        <v>162</v>
      </c>
      <c r="P3452" s="55" t="s">
        <v>686</v>
      </c>
      <c r="Q3452" s="55" t="s">
        <v>350</v>
      </c>
      <c r="R3452" s="55">
        <v>6</v>
      </c>
      <c r="S3452" s="55"/>
      <c r="T3452" s="55" t="s">
        <v>493</v>
      </c>
      <c r="U3452" s="73" t="s">
        <v>351</v>
      </c>
      <c r="V3452" s="74">
        <v>43698</v>
      </c>
      <c r="W3452" s="74">
        <v>43759</v>
      </c>
      <c r="X3452" s="55">
        <v>10097092</v>
      </c>
      <c r="Y3452" s="55" t="s">
        <v>140</v>
      </c>
      <c r="AB3452" s="55" t="s">
        <v>140</v>
      </c>
      <c r="AC3452" s="55" t="s">
        <v>140</v>
      </c>
    </row>
    <row r="3453" spans="1:29" ht="13" x14ac:dyDescent="0.15">
      <c r="A3453" s="72" t="str">
        <f t="shared" si="53"/>
        <v>Ofsted Social Care Provider Webpage</v>
      </c>
      <c r="B3453" s="55" t="s">
        <v>6440</v>
      </c>
      <c r="D3453" s="55" t="s">
        <v>373</v>
      </c>
      <c r="E3453" s="74">
        <v>41992</v>
      </c>
      <c r="F3453" s="55" t="s">
        <v>344</v>
      </c>
      <c r="G3453" s="55" t="s">
        <v>360</v>
      </c>
      <c r="H3453" s="55" t="s">
        <v>360</v>
      </c>
      <c r="I3453" s="55" t="s">
        <v>360</v>
      </c>
      <c r="J3453" s="55" t="s">
        <v>360</v>
      </c>
      <c r="K3453" s="55" t="s">
        <v>360</v>
      </c>
      <c r="L3453" s="55" t="s">
        <v>360</v>
      </c>
      <c r="M3453" s="55" t="s">
        <v>378</v>
      </c>
      <c r="N3453" s="55" t="s">
        <v>134</v>
      </c>
      <c r="O3453" s="55" t="s">
        <v>226</v>
      </c>
      <c r="P3453" s="55" t="s">
        <v>662</v>
      </c>
      <c r="Q3453" s="55" t="s">
        <v>350</v>
      </c>
      <c r="R3453" s="55">
        <v>4</v>
      </c>
      <c r="S3453" s="55"/>
      <c r="T3453" s="55" t="s">
        <v>1582</v>
      </c>
      <c r="U3453" s="73" t="s">
        <v>351</v>
      </c>
      <c r="V3453" s="74">
        <v>44628</v>
      </c>
      <c r="W3453" s="74">
        <v>44676</v>
      </c>
      <c r="X3453" s="55">
        <v>10187300</v>
      </c>
      <c r="Y3453" s="55" t="s">
        <v>140</v>
      </c>
      <c r="AB3453" s="55" t="s">
        <v>140</v>
      </c>
      <c r="AC3453" s="55" t="s">
        <v>140</v>
      </c>
    </row>
    <row r="3454" spans="1:29" ht="13" x14ac:dyDescent="0.15">
      <c r="A3454" s="72" t="str">
        <f t="shared" si="53"/>
        <v>Ofsted Social Care Provider Webpage</v>
      </c>
      <c r="B3454" s="55" t="s">
        <v>6441</v>
      </c>
      <c r="D3454" s="55" t="s">
        <v>373</v>
      </c>
      <c r="E3454" s="74">
        <v>41955</v>
      </c>
      <c r="F3454" s="55" t="s">
        <v>344</v>
      </c>
      <c r="G3454" s="55" t="s">
        <v>360</v>
      </c>
      <c r="H3454" s="55" t="s">
        <v>360</v>
      </c>
      <c r="I3454" s="55" t="s">
        <v>360</v>
      </c>
      <c r="J3454" s="55" t="s">
        <v>360</v>
      </c>
      <c r="K3454" s="55" t="s">
        <v>360</v>
      </c>
      <c r="L3454" s="55" t="s">
        <v>360</v>
      </c>
      <c r="M3454" s="55" t="s">
        <v>142</v>
      </c>
      <c r="N3454" s="55" t="s">
        <v>142</v>
      </c>
      <c r="O3454" s="55" t="s">
        <v>195</v>
      </c>
      <c r="P3454" s="55" t="s">
        <v>747</v>
      </c>
      <c r="Q3454" s="55" t="s">
        <v>350</v>
      </c>
      <c r="R3454" s="55">
        <v>7</v>
      </c>
      <c r="S3454" s="55"/>
      <c r="T3454" s="55" t="s">
        <v>450</v>
      </c>
      <c r="U3454" s="73" t="s">
        <v>351</v>
      </c>
      <c r="V3454" s="74">
        <v>43235</v>
      </c>
      <c r="W3454" s="74">
        <v>43255</v>
      </c>
      <c r="X3454" s="55">
        <v>10050809</v>
      </c>
      <c r="Y3454" s="55" t="s">
        <v>130</v>
      </c>
      <c r="AB3454" s="55" t="s">
        <v>130</v>
      </c>
      <c r="AC3454" s="55" t="s">
        <v>130</v>
      </c>
    </row>
    <row r="3455" spans="1:29" ht="13" x14ac:dyDescent="0.15">
      <c r="A3455" s="72" t="str">
        <f t="shared" si="53"/>
        <v>Ofsted Social Care Provider Webpage</v>
      </c>
      <c r="B3455" s="55" t="s">
        <v>6442</v>
      </c>
      <c r="D3455" s="55" t="s">
        <v>373</v>
      </c>
      <c r="E3455" s="74">
        <v>41941</v>
      </c>
      <c r="F3455" s="55" t="s">
        <v>344</v>
      </c>
      <c r="G3455" s="55" t="s">
        <v>360</v>
      </c>
      <c r="H3455" s="55" t="s">
        <v>360</v>
      </c>
      <c r="I3455" s="55" t="s">
        <v>360</v>
      </c>
      <c r="J3455" s="55" t="s">
        <v>360</v>
      </c>
      <c r="K3455" s="55" t="s">
        <v>360</v>
      </c>
      <c r="L3455" s="55" t="s">
        <v>360</v>
      </c>
      <c r="M3455" s="55" t="s">
        <v>138</v>
      </c>
      <c r="N3455" s="55" t="s">
        <v>138</v>
      </c>
      <c r="O3455" s="55" t="s">
        <v>266</v>
      </c>
      <c r="P3455" s="55" t="s">
        <v>4472</v>
      </c>
      <c r="Q3455" s="55" t="s">
        <v>350</v>
      </c>
      <c r="R3455" s="55">
        <v>5</v>
      </c>
      <c r="S3455" s="55"/>
      <c r="T3455" s="55" t="s">
        <v>450</v>
      </c>
      <c r="U3455" s="73" t="s">
        <v>351</v>
      </c>
      <c r="V3455" s="74">
        <v>44382</v>
      </c>
      <c r="W3455" s="74">
        <v>44406</v>
      </c>
      <c r="X3455" s="55">
        <v>10185825</v>
      </c>
      <c r="Y3455" s="55" t="s">
        <v>130</v>
      </c>
      <c r="AB3455" s="55" t="s">
        <v>130</v>
      </c>
      <c r="AC3455" s="55" t="s">
        <v>130</v>
      </c>
    </row>
    <row r="3456" spans="1:29" ht="13" x14ac:dyDescent="0.15">
      <c r="A3456" s="72" t="str">
        <f t="shared" si="53"/>
        <v>Ofsted Social Care Provider Webpage</v>
      </c>
      <c r="B3456" s="55" t="s">
        <v>6443</v>
      </c>
      <c r="D3456" s="55" t="s">
        <v>373</v>
      </c>
      <c r="E3456" s="74">
        <v>41886</v>
      </c>
      <c r="F3456" s="55" t="s">
        <v>344</v>
      </c>
      <c r="G3456" s="55" t="s">
        <v>360</v>
      </c>
      <c r="H3456" s="55" t="s">
        <v>360</v>
      </c>
      <c r="I3456" s="55" t="s">
        <v>360</v>
      </c>
      <c r="J3456" s="55" t="s">
        <v>360</v>
      </c>
      <c r="K3456" s="55" t="s">
        <v>360</v>
      </c>
      <c r="L3456" s="55" t="s">
        <v>360</v>
      </c>
      <c r="M3456" s="55" t="s">
        <v>142</v>
      </c>
      <c r="N3456" s="55" t="s">
        <v>142</v>
      </c>
      <c r="O3456" s="55" t="s">
        <v>249</v>
      </c>
      <c r="P3456" s="55" t="s">
        <v>1318</v>
      </c>
      <c r="Q3456" s="55" t="s">
        <v>350</v>
      </c>
      <c r="R3456" s="55">
        <v>3</v>
      </c>
      <c r="S3456" s="55"/>
      <c r="T3456" s="55" t="s">
        <v>6444</v>
      </c>
      <c r="U3456" s="73" t="s">
        <v>351</v>
      </c>
      <c r="V3456" s="74">
        <v>44503</v>
      </c>
      <c r="W3456" s="74">
        <v>44539</v>
      </c>
      <c r="X3456" s="55">
        <v>10186030</v>
      </c>
      <c r="Y3456" s="55" t="s">
        <v>130</v>
      </c>
      <c r="AB3456" s="55" t="s">
        <v>130</v>
      </c>
      <c r="AC3456" s="55" t="s">
        <v>130</v>
      </c>
    </row>
    <row r="3457" spans="1:29" ht="13" x14ac:dyDescent="0.15">
      <c r="A3457" s="72" t="str">
        <f t="shared" si="53"/>
        <v>Ofsted Social Care Provider Webpage</v>
      </c>
      <c r="B3457" s="55" t="s">
        <v>6445</v>
      </c>
      <c r="D3457" s="55" t="s">
        <v>373</v>
      </c>
      <c r="E3457" s="74">
        <v>41984</v>
      </c>
      <c r="F3457" s="55" t="s">
        <v>344</v>
      </c>
      <c r="G3457" s="55" t="s">
        <v>360</v>
      </c>
      <c r="H3457" s="55" t="s">
        <v>360</v>
      </c>
      <c r="I3457" s="55" t="s">
        <v>360</v>
      </c>
      <c r="J3457" s="55" t="s">
        <v>360</v>
      </c>
      <c r="K3457" s="55" t="s">
        <v>360</v>
      </c>
      <c r="L3457" s="55" t="s">
        <v>360</v>
      </c>
      <c r="M3457" s="55" t="s">
        <v>129</v>
      </c>
      <c r="N3457" s="55" t="s">
        <v>129</v>
      </c>
      <c r="O3457" s="55" t="s">
        <v>279</v>
      </c>
      <c r="P3457" s="55" t="s">
        <v>1078</v>
      </c>
      <c r="Q3457" s="55" t="s">
        <v>350</v>
      </c>
      <c r="R3457" s="55">
        <v>8</v>
      </c>
      <c r="S3457" s="55"/>
      <c r="T3457" s="55" t="s">
        <v>1559</v>
      </c>
      <c r="U3457" s="73" t="s">
        <v>351</v>
      </c>
      <c r="V3457" s="74">
        <v>44313</v>
      </c>
      <c r="W3457" s="74">
        <v>44344</v>
      </c>
      <c r="X3457" s="55">
        <v>10185771</v>
      </c>
      <c r="Y3457" s="55" t="s">
        <v>132</v>
      </c>
      <c r="AB3457" s="55" t="s">
        <v>132</v>
      </c>
      <c r="AC3457" s="55" t="s">
        <v>130</v>
      </c>
    </row>
    <row r="3458" spans="1:29" ht="13" x14ac:dyDescent="0.15">
      <c r="A3458" s="72" t="str">
        <f t="shared" si="53"/>
        <v>Ofsted Social Care Provider Webpage</v>
      </c>
      <c r="B3458" s="55" t="s">
        <v>6446</v>
      </c>
      <c r="D3458" s="55" t="s">
        <v>1493</v>
      </c>
      <c r="E3458" s="74">
        <v>41905</v>
      </c>
      <c r="F3458" s="55" t="s">
        <v>344</v>
      </c>
      <c r="G3458" s="55" t="s">
        <v>360</v>
      </c>
      <c r="H3458" s="55" t="s">
        <v>360</v>
      </c>
      <c r="I3458" s="55" t="s">
        <v>360</v>
      </c>
      <c r="J3458" s="55" t="s">
        <v>360</v>
      </c>
      <c r="K3458" s="55" t="s">
        <v>360</v>
      </c>
      <c r="L3458" s="55" t="s">
        <v>360</v>
      </c>
      <c r="M3458" s="55" t="s">
        <v>144</v>
      </c>
      <c r="N3458" s="55" t="s">
        <v>144</v>
      </c>
      <c r="O3458" s="55" t="s">
        <v>163</v>
      </c>
      <c r="P3458" s="55" t="s">
        <v>376</v>
      </c>
      <c r="Q3458" s="55" t="s">
        <v>350</v>
      </c>
      <c r="R3458" s="55">
        <v>5</v>
      </c>
      <c r="S3458" s="55"/>
      <c r="T3458" s="55" t="s">
        <v>1998</v>
      </c>
      <c r="U3458" s="73" t="s">
        <v>351</v>
      </c>
      <c r="V3458" s="74">
        <v>44538</v>
      </c>
      <c r="W3458" s="74">
        <v>44587</v>
      </c>
      <c r="X3458" s="55">
        <v>10186081</v>
      </c>
      <c r="Y3458" s="55" t="s">
        <v>132</v>
      </c>
      <c r="AB3458" s="55" t="s">
        <v>132</v>
      </c>
      <c r="AC3458" s="55" t="s">
        <v>132</v>
      </c>
    </row>
    <row r="3459" spans="1:29" ht="13" x14ac:dyDescent="0.15">
      <c r="A3459" s="72" t="str">
        <f t="shared" si="53"/>
        <v>Ofsted Social Care Provider Webpage</v>
      </c>
      <c r="B3459" s="55" t="s">
        <v>6447</v>
      </c>
      <c r="D3459" s="55" t="s">
        <v>373</v>
      </c>
      <c r="E3459" s="74">
        <v>42051</v>
      </c>
      <c r="F3459" s="55" t="s">
        <v>344</v>
      </c>
      <c r="G3459" s="55" t="s">
        <v>360</v>
      </c>
      <c r="H3459" s="55" t="s">
        <v>360</v>
      </c>
      <c r="I3459" s="55" t="s">
        <v>360</v>
      </c>
      <c r="J3459" s="55" t="s">
        <v>360</v>
      </c>
      <c r="K3459" s="55" t="s">
        <v>360</v>
      </c>
      <c r="L3459" s="55" t="s">
        <v>360</v>
      </c>
      <c r="M3459" s="55" t="s">
        <v>378</v>
      </c>
      <c r="N3459" s="55" t="s">
        <v>134</v>
      </c>
      <c r="O3459" s="55" t="s">
        <v>232</v>
      </c>
      <c r="P3459" s="55" t="s">
        <v>491</v>
      </c>
      <c r="Q3459" s="55" t="s">
        <v>350</v>
      </c>
      <c r="R3459" s="55">
        <v>2</v>
      </c>
      <c r="S3459" s="55"/>
      <c r="T3459" s="55" t="s">
        <v>1251</v>
      </c>
      <c r="U3459" s="73" t="s">
        <v>351</v>
      </c>
      <c r="V3459" s="74">
        <v>44440</v>
      </c>
      <c r="W3459" s="74">
        <v>44474</v>
      </c>
      <c r="X3459" s="55">
        <v>10187451</v>
      </c>
      <c r="Y3459" s="55" t="s">
        <v>130</v>
      </c>
      <c r="AB3459" s="55" t="s">
        <v>130</v>
      </c>
      <c r="AC3459" s="55" t="s">
        <v>146</v>
      </c>
    </row>
    <row r="3460" spans="1:29" ht="13" x14ac:dyDescent="0.15">
      <c r="A3460" s="72" t="str">
        <f t="shared" si="53"/>
        <v>Ofsted Social Care Provider Webpage</v>
      </c>
      <c r="B3460" s="55" t="s">
        <v>6448</v>
      </c>
      <c r="D3460" s="55" t="s">
        <v>373</v>
      </c>
      <c r="E3460" s="74">
        <v>41886</v>
      </c>
      <c r="F3460" s="55" t="s">
        <v>344</v>
      </c>
      <c r="G3460" s="55" t="s">
        <v>360</v>
      </c>
      <c r="H3460" s="55" t="s">
        <v>360</v>
      </c>
      <c r="I3460" s="55" t="s">
        <v>360</v>
      </c>
      <c r="J3460" s="55" t="s">
        <v>360</v>
      </c>
      <c r="K3460" s="55" t="s">
        <v>360</v>
      </c>
      <c r="L3460" s="55" t="s">
        <v>360</v>
      </c>
      <c r="M3460" s="55" t="s">
        <v>142</v>
      </c>
      <c r="N3460" s="55" t="s">
        <v>142</v>
      </c>
      <c r="O3460" s="55" t="s">
        <v>293</v>
      </c>
      <c r="P3460" s="55" t="s">
        <v>1641</v>
      </c>
      <c r="Q3460" s="55" t="s">
        <v>350</v>
      </c>
      <c r="R3460" s="55">
        <v>2</v>
      </c>
      <c r="S3460" s="55"/>
      <c r="T3460" s="55" t="s">
        <v>1281</v>
      </c>
      <c r="U3460" s="73" t="s">
        <v>351</v>
      </c>
      <c r="V3460" s="74">
        <v>44502</v>
      </c>
      <c r="W3460" s="74">
        <v>44540</v>
      </c>
      <c r="X3460" s="55">
        <v>10185354</v>
      </c>
      <c r="Y3460" s="55" t="s">
        <v>132</v>
      </c>
      <c r="AB3460" s="55" t="s">
        <v>132</v>
      </c>
      <c r="AC3460" s="55" t="s">
        <v>132</v>
      </c>
    </row>
    <row r="3461" spans="1:29" ht="13" x14ac:dyDescent="0.15">
      <c r="A3461" s="72" t="str">
        <f t="shared" si="53"/>
        <v>Ofsted Social Care Provider Webpage</v>
      </c>
      <c r="B3461" s="55" t="s">
        <v>6449</v>
      </c>
      <c r="D3461" s="55" t="s">
        <v>373</v>
      </c>
      <c r="E3461" s="74">
        <v>42010</v>
      </c>
      <c r="F3461" s="55" t="s">
        <v>344</v>
      </c>
      <c r="G3461" s="55" t="s">
        <v>360</v>
      </c>
      <c r="H3461" s="55" t="s">
        <v>360</v>
      </c>
      <c r="I3461" s="55" t="s">
        <v>360</v>
      </c>
      <c r="J3461" s="55" t="s">
        <v>360</v>
      </c>
      <c r="K3461" s="55" t="s">
        <v>360</v>
      </c>
      <c r="L3461" s="55" t="s">
        <v>360</v>
      </c>
      <c r="M3461" s="55" t="s">
        <v>129</v>
      </c>
      <c r="N3461" s="55" t="s">
        <v>129</v>
      </c>
      <c r="O3461" s="55" t="s">
        <v>219</v>
      </c>
      <c r="P3461" s="55" t="s">
        <v>740</v>
      </c>
      <c r="Q3461" s="55" t="s">
        <v>350</v>
      </c>
      <c r="R3461" s="55">
        <v>5</v>
      </c>
      <c r="S3461" s="55"/>
      <c r="T3461" s="55" t="s">
        <v>5568</v>
      </c>
      <c r="U3461" s="73" t="s">
        <v>351</v>
      </c>
      <c r="V3461" s="74">
        <v>44572</v>
      </c>
      <c r="W3461" s="74">
        <v>44623</v>
      </c>
      <c r="X3461" s="55">
        <v>10187259</v>
      </c>
      <c r="Y3461" s="55" t="s">
        <v>140</v>
      </c>
      <c r="AB3461" s="55" t="s">
        <v>140</v>
      </c>
      <c r="AC3461" s="55" t="s">
        <v>140</v>
      </c>
    </row>
    <row r="3462" spans="1:29" ht="13" x14ac:dyDescent="0.15">
      <c r="A3462" s="72" t="str">
        <f t="shared" ref="A3462:A3525" si="54">HYPERLINK(_xlfn.CONCAT("http://reports.ofsted.gov.uk/inspection-reports/find-inspection-report/provider/CARE/",B3462),"Ofsted Social Care Provider Webpage")</f>
        <v>Ofsted Social Care Provider Webpage</v>
      </c>
      <c r="B3462" s="55" t="s">
        <v>6450</v>
      </c>
      <c r="D3462" s="55" t="s">
        <v>373</v>
      </c>
      <c r="E3462" s="74">
        <v>41907</v>
      </c>
      <c r="F3462" s="55" t="s">
        <v>344</v>
      </c>
      <c r="G3462" s="55" t="s">
        <v>360</v>
      </c>
      <c r="H3462" s="55" t="s">
        <v>360</v>
      </c>
      <c r="I3462" s="55" t="s">
        <v>360</v>
      </c>
      <c r="J3462" s="55" t="s">
        <v>360</v>
      </c>
      <c r="K3462" s="55" t="s">
        <v>360</v>
      </c>
      <c r="L3462" s="55" t="s">
        <v>360</v>
      </c>
      <c r="M3462" s="55" t="s">
        <v>378</v>
      </c>
      <c r="N3462" s="55" t="s">
        <v>134</v>
      </c>
      <c r="O3462" s="55" t="s">
        <v>175</v>
      </c>
      <c r="P3462" s="55" t="s">
        <v>932</v>
      </c>
      <c r="Q3462" s="55" t="s">
        <v>362</v>
      </c>
      <c r="R3462" s="55">
        <v>6</v>
      </c>
      <c r="S3462" s="55"/>
      <c r="T3462" s="55" t="s">
        <v>1049</v>
      </c>
      <c r="U3462" s="73" t="s">
        <v>351</v>
      </c>
      <c r="V3462" s="74">
        <v>44313</v>
      </c>
      <c r="W3462" s="74">
        <v>44349</v>
      </c>
      <c r="X3462" s="55">
        <v>10185543</v>
      </c>
      <c r="Y3462" s="55" t="s">
        <v>132</v>
      </c>
      <c r="AB3462" s="55" t="s">
        <v>132</v>
      </c>
      <c r="AC3462" s="55" t="s">
        <v>140</v>
      </c>
    </row>
    <row r="3463" spans="1:29" ht="13" x14ac:dyDescent="0.15">
      <c r="A3463" s="72" t="str">
        <f t="shared" si="54"/>
        <v>Ofsted Social Care Provider Webpage</v>
      </c>
      <c r="B3463" s="55" t="s">
        <v>6451</v>
      </c>
      <c r="D3463" s="55" t="s">
        <v>373</v>
      </c>
      <c r="E3463" s="74">
        <v>41907</v>
      </c>
      <c r="F3463" s="55" t="s">
        <v>344</v>
      </c>
      <c r="G3463" s="55" t="s">
        <v>360</v>
      </c>
      <c r="H3463" s="55" t="s">
        <v>360</v>
      </c>
      <c r="I3463" s="55" t="s">
        <v>360</v>
      </c>
      <c r="J3463" s="55" t="s">
        <v>360</v>
      </c>
      <c r="K3463" s="55" t="s">
        <v>360</v>
      </c>
      <c r="L3463" s="55" t="s">
        <v>360</v>
      </c>
      <c r="M3463" s="55" t="s">
        <v>378</v>
      </c>
      <c r="N3463" s="55" t="s">
        <v>134</v>
      </c>
      <c r="O3463" s="55" t="s">
        <v>175</v>
      </c>
      <c r="P3463" s="55" t="s">
        <v>678</v>
      </c>
      <c r="Q3463" s="55" t="s">
        <v>362</v>
      </c>
      <c r="R3463" s="55">
        <v>4</v>
      </c>
      <c r="S3463" s="55"/>
      <c r="T3463" s="55" t="s">
        <v>1049</v>
      </c>
      <c r="U3463" s="73" t="s">
        <v>351</v>
      </c>
      <c r="V3463" s="74">
        <v>43900</v>
      </c>
      <c r="W3463" s="74">
        <v>43952</v>
      </c>
      <c r="X3463" s="55">
        <v>10097105</v>
      </c>
      <c r="Y3463" s="55" t="s">
        <v>140</v>
      </c>
      <c r="AB3463" s="55" t="s">
        <v>132</v>
      </c>
      <c r="AC3463" s="55" t="s">
        <v>132</v>
      </c>
    </row>
    <row r="3464" spans="1:29" ht="13" x14ac:dyDescent="0.15">
      <c r="A3464" s="72" t="str">
        <f t="shared" si="54"/>
        <v>Ofsted Social Care Provider Webpage</v>
      </c>
      <c r="B3464" s="55" t="s">
        <v>6452</v>
      </c>
      <c r="D3464" s="55" t="s">
        <v>389</v>
      </c>
      <c r="E3464" s="74">
        <v>41911</v>
      </c>
      <c r="F3464" s="55" t="s">
        <v>344</v>
      </c>
      <c r="G3464" s="55" t="s">
        <v>6453</v>
      </c>
      <c r="H3464" s="55" t="s">
        <v>6454</v>
      </c>
      <c r="I3464" s="55" t="s">
        <v>6455</v>
      </c>
      <c r="J3464" s="55" t="s">
        <v>1393</v>
      </c>
      <c r="K3464" s="55" t="s">
        <v>683</v>
      </c>
      <c r="L3464" s="55" t="s">
        <v>6456</v>
      </c>
      <c r="M3464" s="55" t="s">
        <v>378</v>
      </c>
      <c r="N3464" s="55" t="s">
        <v>134</v>
      </c>
      <c r="O3464" s="55" t="s">
        <v>175</v>
      </c>
      <c r="P3464" s="55" t="s">
        <v>666</v>
      </c>
      <c r="Q3464" s="55" t="s">
        <v>362</v>
      </c>
      <c r="R3464" s="55"/>
      <c r="S3464" s="55"/>
      <c r="T3464" s="55" t="s">
        <v>1049</v>
      </c>
      <c r="U3464" s="73" t="s">
        <v>351</v>
      </c>
      <c r="V3464" s="74">
        <v>43423</v>
      </c>
      <c r="W3464" s="74">
        <v>43452</v>
      </c>
      <c r="X3464" s="55">
        <v>10046664</v>
      </c>
      <c r="Y3464" s="55" t="s">
        <v>140</v>
      </c>
      <c r="AB3464" s="55" t="s">
        <v>140</v>
      </c>
      <c r="AC3464" s="55" t="s">
        <v>132</v>
      </c>
    </row>
    <row r="3465" spans="1:29" ht="13" x14ac:dyDescent="0.15">
      <c r="A3465" s="72" t="str">
        <f t="shared" si="54"/>
        <v>Ofsted Social Care Provider Webpage</v>
      </c>
      <c r="B3465" s="55" t="s">
        <v>6457</v>
      </c>
      <c r="D3465" s="55" t="s">
        <v>373</v>
      </c>
      <c r="E3465" s="74">
        <v>41907</v>
      </c>
      <c r="F3465" s="55" t="s">
        <v>344</v>
      </c>
      <c r="G3465" s="55" t="s">
        <v>360</v>
      </c>
      <c r="H3465" s="55" t="s">
        <v>360</v>
      </c>
      <c r="I3465" s="55" t="s">
        <v>360</v>
      </c>
      <c r="J3465" s="55" t="s">
        <v>360</v>
      </c>
      <c r="K3465" s="55" t="s">
        <v>360</v>
      </c>
      <c r="L3465" s="55" t="s">
        <v>360</v>
      </c>
      <c r="M3465" s="55" t="s">
        <v>378</v>
      </c>
      <c r="N3465" s="55" t="s">
        <v>134</v>
      </c>
      <c r="O3465" s="55" t="s">
        <v>175</v>
      </c>
      <c r="P3465" s="55" t="s">
        <v>666</v>
      </c>
      <c r="Q3465" s="55" t="s">
        <v>362</v>
      </c>
      <c r="R3465" s="55">
        <v>5</v>
      </c>
      <c r="S3465" s="55"/>
      <c r="T3465" s="55" t="s">
        <v>1049</v>
      </c>
      <c r="U3465" s="73" t="s">
        <v>351</v>
      </c>
      <c r="V3465" s="74">
        <v>44327</v>
      </c>
      <c r="W3465" s="74">
        <v>44377</v>
      </c>
      <c r="X3465" s="55">
        <v>10186730</v>
      </c>
      <c r="Y3465" s="55" t="s">
        <v>130</v>
      </c>
      <c r="AB3465" s="55" t="s">
        <v>130</v>
      </c>
      <c r="AC3465" s="55" t="s">
        <v>130</v>
      </c>
    </row>
    <row r="3466" spans="1:29" ht="13" x14ac:dyDescent="0.15">
      <c r="A3466" s="72" t="str">
        <f t="shared" si="54"/>
        <v>Ofsted Social Care Provider Webpage</v>
      </c>
      <c r="B3466" s="55" t="s">
        <v>6458</v>
      </c>
      <c r="D3466" s="55" t="s">
        <v>468</v>
      </c>
      <c r="E3466" s="74">
        <v>41910</v>
      </c>
      <c r="F3466" s="55" t="s">
        <v>344</v>
      </c>
      <c r="G3466" s="55" t="s">
        <v>6459</v>
      </c>
      <c r="H3466" s="55" t="s">
        <v>6454</v>
      </c>
      <c r="I3466" s="55" t="s">
        <v>6455</v>
      </c>
      <c r="J3466" s="55" t="s">
        <v>1393</v>
      </c>
      <c r="K3466" s="55" t="s">
        <v>683</v>
      </c>
      <c r="L3466" s="55" t="s">
        <v>6456</v>
      </c>
      <c r="M3466" s="55" t="s">
        <v>378</v>
      </c>
      <c r="N3466" s="55" t="s">
        <v>134</v>
      </c>
      <c r="O3466" s="55" t="s">
        <v>175</v>
      </c>
      <c r="P3466" s="55" t="s">
        <v>666</v>
      </c>
      <c r="Q3466" s="55" t="s">
        <v>362</v>
      </c>
      <c r="R3466" s="55"/>
      <c r="S3466" s="55"/>
      <c r="T3466" s="55" t="s">
        <v>1049</v>
      </c>
      <c r="U3466" s="73" t="s">
        <v>351</v>
      </c>
      <c r="V3466" s="74">
        <v>43306</v>
      </c>
      <c r="W3466" s="74">
        <v>43350</v>
      </c>
      <c r="X3466" s="55">
        <v>10046730</v>
      </c>
      <c r="Y3466" s="55" t="s">
        <v>140</v>
      </c>
      <c r="AB3466" s="55" t="s">
        <v>132</v>
      </c>
      <c r="AC3466" s="55" t="s">
        <v>140</v>
      </c>
    </row>
    <row r="3467" spans="1:29" ht="13" x14ac:dyDescent="0.15">
      <c r="A3467" s="72" t="str">
        <f t="shared" si="54"/>
        <v>Ofsted Social Care Provider Webpage</v>
      </c>
      <c r="B3467" s="55" t="s">
        <v>6460</v>
      </c>
      <c r="D3467" s="55" t="s">
        <v>373</v>
      </c>
      <c r="E3467" s="74">
        <v>42051</v>
      </c>
      <c r="F3467" s="55" t="s">
        <v>344</v>
      </c>
      <c r="G3467" s="55" t="s">
        <v>360</v>
      </c>
      <c r="H3467" s="55" t="s">
        <v>360</v>
      </c>
      <c r="I3467" s="55" t="s">
        <v>360</v>
      </c>
      <c r="J3467" s="55" t="s">
        <v>360</v>
      </c>
      <c r="K3467" s="55" t="s">
        <v>360</v>
      </c>
      <c r="L3467" s="55" t="s">
        <v>360</v>
      </c>
      <c r="M3467" s="55" t="s">
        <v>378</v>
      </c>
      <c r="N3467" s="55" t="s">
        <v>134</v>
      </c>
      <c r="O3467" s="55" t="s">
        <v>232</v>
      </c>
      <c r="P3467" s="55" t="s">
        <v>491</v>
      </c>
      <c r="Q3467" s="55" t="s">
        <v>350</v>
      </c>
      <c r="R3467" s="55">
        <v>4</v>
      </c>
      <c r="S3467" s="55"/>
      <c r="T3467" s="55" t="s">
        <v>1251</v>
      </c>
      <c r="U3467" s="73" t="s">
        <v>351</v>
      </c>
      <c r="V3467" s="74">
        <v>44327</v>
      </c>
      <c r="W3467" s="74">
        <v>44369</v>
      </c>
      <c r="X3467" s="55">
        <v>10186776</v>
      </c>
      <c r="Y3467" s="55" t="s">
        <v>130</v>
      </c>
      <c r="AB3467" s="55" t="s">
        <v>130</v>
      </c>
      <c r="AC3467" s="55" t="s">
        <v>146</v>
      </c>
    </row>
    <row r="3468" spans="1:29" ht="13" x14ac:dyDescent="0.15">
      <c r="A3468" s="72" t="str">
        <f t="shared" si="54"/>
        <v>Ofsted Social Care Provider Webpage</v>
      </c>
      <c r="B3468" s="55" t="s">
        <v>6461</v>
      </c>
      <c r="D3468" s="55" t="s">
        <v>373</v>
      </c>
      <c r="E3468" s="74">
        <v>41913</v>
      </c>
      <c r="F3468" s="55" t="s">
        <v>344</v>
      </c>
      <c r="G3468" s="55" t="s">
        <v>360</v>
      </c>
      <c r="H3468" s="55" t="s">
        <v>360</v>
      </c>
      <c r="I3468" s="55" t="s">
        <v>360</v>
      </c>
      <c r="J3468" s="55" t="s">
        <v>360</v>
      </c>
      <c r="K3468" s="55" t="s">
        <v>360</v>
      </c>
      <c r="L3468" s="55" t="s">
        <v>360</v>
      </c>
      <c r="M3468" s="55" t="s">
        <v>172</v>
      </c>
      <c r="N3468" s="55" t="s">
        <v>172</v>
      </c>
      <c r="O3468" s="55" t="s">
        <v>284</v>
      </c>
      <c r="P3468" s="55" t="s">
        <v>985</v>
      </c>
      <c r="Q3468" s="55" t="s">
        <v>350</v>
      </c>
      <c r="R3468" s="55">
        <v>5</v>
      </c>
      <c r="S3468" s="55"/>
      <c r="T3468" s="55" t="s">
        <v>5267</v>
      </c>
      <c r="U3468" s="73" t="s">
        <v>351</v>
      </c>
      <c r="V3468" s="74">
        <v>44398</v>
      </c>
      <c r="W3468" s="74">
        <v>44433</v>
      </c>
      <c r="X3468" s="55">
        <v>10187177</v>
      </c>
      <c r="Y3468" s="55" t="s">
        <v>132</v>
      </c>
      <c r="AB3468" s="55" t="s">
        <v>132</v>
      </c>
      <c r="AC3468" s="55" t="s">
        <v>132</v>
      </c>
    </row>
    <row r="3469" spans="1:29" ht="13" x14ac:dyDescent="0.15">
      <c r="A3469" s="72" t="str">
        <f t="shared" si="54"/>
        <v>Ofsted Social Care Provider Webpage</v>
      </c>
      <c r="B3469" s="55" t="s">
        <v>6462</v>
      </c>
      <c r="D3469" s="55" t="s">
        <v>373</v>
      </c>
      <c r="E3469" s="74">
        <v>41957</v>
      </c>
      <c r="F3469" s="55" t="s">
        <v>344</v>
      </c>
      <c r="G3469" s="55" t="s">
        <v>360</v>
      </c>
      <c r="H3469" s="55" t="s">
        <v>360</v>
      </c>
      <c r="I3469" s="55" t="s">
        <v>360</v>
      </c>
      <c r="J3469" s="55" t="s">
        <v>360</v>
      </c>
      <c r="K3469" s="55" t="s">
        <v>360</v>
      </c>
      <c r="L3469" s="55" t="s">
        <v>360</v>
      </c>
      <c r="M3469" s="55" t="s">
        <v>136</v>
      </c>
      <c r="N3469" s="55" t="s">
        <v>136</v>
      </c>
      <c r="O3469" s="55" t="s">
        <v>165</v>
      </c>
      <c r="P3469" s="55" t="s">
        <v>1269</v>
      </c>
      <c r="Q3469" s="55" t="s">
        <v>350</v>
      </c>
      <c r="R3469" s="55">
        <v>4</v>
      </c>
      <c r="S3469" s="55"/>
      <c r="T3469" s="55" t="s">
        <v>1887</v>
      </c>
      <c r="U3469" s="73" t="s">
        <v>351</v>
      </c>
      <c r="V3469" s="74">
        <v>44538</v>
      </c>
      <c r="W3469" s="74">
        <v>44587</v>
      </c>
      <c r="X3469" s="55">
        <v>10186756</v>
      </c>
      <c r="Y3469" s="55" t="s">
        <v>130</v>
      </c>
      <c r="AB3469" s="55" t="s">
        <v>132</v>
      </c>
      <c r="AC3469" s="55" t="s">
        <v>130</v>
      </c>
    </row>
    <row r="3470" spans="1:29" ht="13" x14ac:dyDescent="0.15">
      <c r="A3470" s="72" t="str">
        <f t="shared" si="54"/>
        <v>Ofsted Social Care Provider Webpage</v>
      </c>
      <c r="B3470" s="55" t="s">
        <v>6463</v>
      </c>
      <c r="D3470" s="55" t="s">
        <v>373</v>
      </c>
      <c r="E3470" s="74">
        <v>41904</v>
      </c>
      <c r="F3470" s="55" t="s">
        <v>344</v>
      </c>
      <c r="G3470" s="55" t="s">
        <v>360</v>
      </c>
      <c r="H3470" s="55" t="s">
        <v>360</v>
      </c>
      <c r="I3470" s="55" t="s">
        <v>360</v>
      </c>
      <c r="J3470" s="55" t="s">
        <v>360</v>
      </c>
      <c r="K3470" s="55" t="s">
        <v>360</v>
      </c>
      <c r="L3470" s="55" t="s">
        <v>360</v>
      </c>
      <c r="M3470" s="55" t="s">
        <v>150</v>
      </c>
      <c r="N3470" s="55" t="s">
        <v>150</v>
      </c>
      <c r="O3470" s="55" t="s">
        <v>190</v>
      </c>
      <c r="P3470" s="55" t="s">
        <v>371</v>
      </c>
      <c r="Q3470" s="55" t="s">
        <v>350</v>
      </c>
      <c r="R3470" s="55">
        <v>7</v>
      </c>
      <c r="S3470" s="55"/>
      <c r="T3470" s="55" t="s">
        <v>890</v>
      </c>
      <c r="U3470" s="73" t="s">
        <v>351</v>
      </c>
      <c r="V3470" s="74">
        <v>43816</v>
      </c>
      <c r="W3470" s="74">
        <v>43854</v>
      </c>
      <c r="X3470" s="55">
        <v>10097097</v>
      </c>
      <c r="Y3470" s="55" t="s">
        <v>146</v>
      </c>
      <c r="AB3470" s="55" t="s">
        <v>146</v>
      </c>
      <c r="AC3470" s="55" t="s">
        <v>146</v>
      </c>
    </row>
    <row r="3471" spans="1:29" ht="13" x14ac:dyDescent="0.15">
      <c r="A3471" s="72" t="str">
        <f t="shared" si="54"/>
        <v>Ofsted Social Care Provider Webpage</v>
      </c>
      <c r="B3471" s="55" t="s">
        <v>6464</v>
      </c>
      <c r="D3471" s="55" t="s">
        <v>479</v>
      </c>
      <c r="E3471" s="74">
        <v>41964</v>
      </c>
      <c r="F3471" s="55" t="s">
        <v>344</v>
      </c>
      <c r="G3471" s="55" t="s">
        <v>360</v>
      </c>
      <c r="H3471" s="55" t="s">
        <v>360</v>
      </c>
      <c r="I3471" s="55" t="s">
        <v>360</v>
      </c>
      <c r="J3471" s="55" t="s">
        <v>360</v>
      </c>
      <c r="K3471" s="55" t="s">
        <v>360</v>
      </c>
      <c r="L3471" s="55" t="s">
        <v>360</v>
      </c>
      <c r="M3471" s="55" t="s">
        <v>150</v>
      </c>
      <c r="N3471" s="55" t="s">
        <v>150</v>
      </c>
      <c r="O3471" s="55" t="s">
        <v>190</v>
      </c>
      <c r="P3471" s="55" t="s">
        <v>749</v>
      </c>
      <c r="Q3471" s="55" t="s">
        <v>350</v>
      </c>
      <c r="R3471" s="55">
        <v>42</v>
      </c>
      <c r="S3471" s="55"/>
      <c r="T3471" s="55" t="s">
        <v>2629</v>
      </c>
      <c r="U3471" s="73" t="s">
        <v>351</v>
      </c>
      <c r="V3471" s="74">
        <v>44467</v>
      </c>
      <c r="W3471" s="74">
        <v>44519</v>
      </c>
      <c r="X3471" s="55">
        <v>10205859</v>
      </c>
      <c r="Y3471" s="55" t="s">
        <v>132</v>
      </c>
      <c r="AB3471" s="55" t="s">
        <v>132</v>
      </c>
      <c r="AC3471" s="55" t="s">
        <v>130</v>
      </c>
    </row>
    <row r="3472" spans="1:29" ht="13" x14ac:dyDescent="0.15">
      <c r="A3472" s="72" t="str">
        <f t="shared" si="54"/>
        <v>Ofsted Social Care Provider Webpage</v>
      </c>
      <c r="B3472" s="55" t="s">
        <v>6465</v>
      </c>
      <c r="D3472" s="55" t="s">
        <v>373</v>
      </c>
      <c r="E3472" s="74">
        <v>41904</v>
      </c>
      <c r="F3472" s="55" t="s">
        <v>344</v>
      </c>
      <c r="G3472" s="55" t="s">
        <v>360</v>
      </c>
      <c r="H3472" s="55" t="s">
        <v>360</v>
      </c>
      <c r="I3472" s="55" t="s">
        <v>360</v>
      </c>
      <c r="J3472" s="55" t="s">
        <v>360</v>
      </c>
      <c r="K3472" s="55" t="s">
        <v>360</v>
      </c>
      <c r="L3472" s="55" t="s">
        <v>360</v>
      </c>
      <c r="M3472" s="55" t="s">
        <v>150</v>
      </c>
      <c r="N3472" s="55" t="s">
        <v>150</v>
      </c>
      <c r="O3472" s="55" t="s">
        <v>237</v>
      </c>
      <c r="P3472" s="55" t="s">
        <v>869</v>
      </c>
      <c r="Q3472" s="55" t="s">
        <v>350</v>
      </c>
      <c r="R3472" s="55">
        <v>7</v>
      </c>
      <c r="S3472" s="55"/>
      <c r="T3472" s="55" t="s">
        <v>890</v>
      </c>
      <c r="U3472" s="73" t="s">
        <v>351</v>
      </c>
      <c r="V3472" s="74">
        <v>44510</v>
      </c>
      <c r="W3472" s="74">
        <v>44565</v>
      </c>
      <c r="X3472" s="55">
        <v>10186594</v>
      </c>
      <c r="Y3472" s="55" t="s">
        <v>132</v>
      </c>
      <c r="AB3472" s="55" t="s">
        <v>132</v>
      </c>
      <c r="AC3472" s="55" t="s">
        <v>132</v>
      </c>
    </row>
    <row r="3473" spans="1:29" ht="13" x14ac:dyDescent="0.15">
      <c r="A3473" s="72" t="str">
        <f t="shared" si="54"/>
        <v>Ofsted Social Care Provider Webpage</v>
      </c>
      <c r="B3473" s="55" t="s">
        <v>6466</v>
      </c>
      <c r="D3473" s="55" t="s">
        <v>373</v>
      </c>
      <c r="E3473" s="74">
        <v>41904</v>
      </c>
      <c r="F3473" s="55" t="s">
        <v>344</v>
      </c>
      <c r="G3473" s="55" t="s">
        <v>360</v>
      </c>
      <c r="H3473" s="55" t="s">
        <v>360</v>
      </c>
      <c r="I3473" s="55" t="s">
        <v>360</v>
      </c>
      <c r="J3473" s="55" t="s">
        <v>360</v>
      </c>
      <c r="K3473" s="55" t="s">
        <v>360</v>
      </c>
      <c r="L3473" s="55" t="s">
        <v>360</v>
      </c>
      <c r="M3473" s="55" t="s">
        <v>150</v>
      </c>
      <c r="N3473" s="55" t="s">
        <v>150</v>
      </c>
      <c r="O3473" s="55" t="s">
        <v>237</v>
      </c>
      <c r="P3473" s="55" t="s">
        <v>869</v>
      </c>
      <c r="Q3473" s="55" t="s">
        <v>350</v>
      </c>
      <c r="R3473" s="55">
        <v>8</v>
      </c>
      <c r="S3473" s="55"/>
      <c r="T3473" s="55" t="s">
        <v>890</v>
      </c>
      <c r="U3473" s="73" t="s">
        <v>351</v>
      </c>
      <c r="V3473" s="74">
        <v>44473</v>
      </c>
      <c r="W3473" s="74">
        <v>44525</v>
      </c>
      <c r="X3473" s="55">
        <v>10187053</v>
      </c>
      <c r="Y3473" s="55" t="s">
        <v>132</v>
      </c>
      <c r="AB3473" s="55" t="s">
        <v>132</v>
      </c>
      <c r="AC3473" s="55" t="s">
        <v>132</v>
      </c>
    </row>
    <row r="3474" spans="1:29" ht="13" x14ac:dyDescent="0.15">
      <c r="A3474" s="72" t="str">
        <f t="shared" si="54"/>
        <v>Ofsted Social Care Provider Webpage</v>
      </c>
      <c r="B3474" s="55" t="s">
        <v>6467</v>
      </c>
      <c r="D3474" s="55" t="s">
        <v>373</v>
      </c>
      <c r="E3474" s="74">
        <v>41904</v>
      </c>
      <c r="F3474" s="55" t="s">
        <v>344</v>
      </c>
      <c r="G3474" s="55" t="s">
        <v>360</v>
      </c>
      <c r="H3474" s="55" t="s">
        <v>360</v>
      </c>
      <c r="I3474" s="55" t="s">
        <v>360</v>
      </c>
      <c r="J3474" s="55" t="s">
        <v>360</v>
      </c>
      <c r="K3474" s="55" t="s">
        <v>360</v>
      </c>
      <c r="L3474" s="55" t="s">
        <v>360</v>
      </c>
      <c r="M3474" s="55" t="s">
        <v>150</v>
      </c>
      <c r="N3474" s="55" t="s">
        <v>150</v>
      </c>
      <c r="O3474" s="55" t="s">
        <v>190</v>
      </c>
      <c r="P3474" s="55" t="s">
        <v>371</v>
      </c>
      <c r="Q3474" s="55" t="s">
        <v>350</v>
      </c>
      <c r="R3474" s="55">
        <v>10</v>
      </c>
      <c r="S3474" s="55"/>
      <c r="T3474" s="55" t="s">
        <v>890</v>
      </c>
      <c r="U3474" s="73" t="s">
        <v>351</v>
      </c>
      <c r="V3474" s="74">
        <v>44384</v>
      </c>
      <c r="W3474" s="74">
        <v>44428</v>
      </c>
      <c r="X3474" s="55">
        <v>10185933</v>
      </c>
      <c r="Y3474" s="55" t="s">
        <v>132</v>
      </c>
      <c r="AB3474" s="55" t="s">
        <v>132</v>
      </c>
      <c r="AC3474" s="55" t="s">
        <v>132</v>
      </c>
    </row>
    <row r="3475" spans="1:29" ht="13" x14ac:dyDescent="0.15">
      <c r="A3475" s="72" t="str">
        <f t="shared" si="54"/>
        <v>Ofsted Social Care Provider Webpage</v>
      </c>
      <c r="B3475" s="55" t="s">
        <v>6468</v>
      </c>
      <c r="D3475" s="55" t="s">
        <v>479</v>
      </c>
      <c r="E3475" s="74">
        <v>41904</v>
      </c>
      <c r="F3475" s="55" t="s">
        <v>344</v>
      </c>
      <c r="G3475" s="55" t="s">
        <v>360</v>
      </c>
      <c r="H3475" s="55" t="s">
        <v>360</v>
      </c>
      <c r="I3475" s="55" t="s">
        <v>360</v>
      </c>
      <c r="J3475" s="55" t="s">
        <v>360</v>
      </c>
      <c r="K3475" s="55" t="s">
        <v>360</v>
      </c>
      <c r="L3475" s="55" t="s">
        <v>360</v>
      </c>
      <c r="M3475" s="55" t="s">
        <v>150</v>
      </c>
      <c r="N3475" s="55" t="s">
        <v>150</v>
      </c>
      <c r="O3475" s="55" t="s">
        <v>285</v>
      </c>
      <c r="P3475" s="55" t="s">
        <v>796</v>
      </c>
      <c r="Q3475" s="55" t="s">
        <v>350</v>
      </c>
      <c r="R3475" s="55">
        <v>6</v>
      </c>
      <c r="S3475" s="55"/>
      <c r="T3475" s="55" t="s">
        <v>890</v>
      </c>
      <c r="U3475" s="73" t="s">
        <v>351</v>
      </c>
      <c r="V3475" s="74">
        <v>44368</v>
      </c>
      <c r="W3475" s="74">
        <v>44398</v>
      </c>
      <c r="X3475" s="55">
        <v>10185384</v>
      </c>
      <c r="Y3475" s="55" t="s">
        <v>132</v>
      </c>
      <c r="AB3475" s="55" t="s">
        <v>132</v>
      </c>
      <c r="AC3475" s="55" t="s">
        <v>132</v>
      </c>
    </row>
    <row r="3476" spans="1:29" ht="13" x14ac:dyDescent="0.15">
      <c r="A3476" s="72" t="str">
        <f t="shared" si="54"/>
        <v>Ofsted Social Care Provider Webpage</v>
      </c>
      <c r="B3476" s="55" t="s">
        <v>6469</v>
      </c>
      <c r="D3476" s="55" t="s">
        <v>373</v>
      </c>
      <c r="E3476" s="74">
        <v>41904</v>
      </c>
      <c r="F3476" s="55" t="s">
        <v>344</v>
      </c>
      <c r="G3476" s="55" t="s">
        <v>360</v>
      </c>
      <c r="H3476" s="55" t="s">
        <v>360</v>
      </c>
      <c r="I3476" s="55" t="s">
        <v>360</v>
      </c>
      <c r="J3476" s="55" t="s">
        <v>360</v>
      </c>
      <c r="K3476" s="55" t="s">
        <v>360</v>
      </c>
      <c r="L3476" s="55" t="s">
        <v>360</v>
      </c>
      <c r="M3476" s="55" t="s">
        <v>150</v>
      </c>
      <c r="N3476" s="55" t="s">
        <v>150</v>
      </c>
      <c r="O3476" s="55" t="s">
        <v>190</v>
      </c>
      <c r="P3476" s="55" t="s">
        <v>371</v>
      </c>
      <c r="Q3476" s="55" t="s">
        <v>350</v>
      </c>
      <c r="R3476" s="55">
        <v>6</v>
      </c>
      <c r="S3476" s="55"/>
      <c r="T3476" s="55" t="s">
        <v>890</v>
      </c>
      <c r="U3476" s="73" t="s">
        <v>351</v>
      </c>
      <c r="V3476" s="74">
        <v>44411</v>
      </c>
      <c r="W3476" s="74">
        <v>44446</v>
      </c>
      <c r="X3476" s="55">
        <v>10185222</v>
      </c>
      <c r="Y3476" s="55" t="s">
        <v>132</v>
      </c>
      <c r="AB3476" s="55" t="s">
        <v>132</v>
      </c>
      <c r="AC3476" s="55" t="s">
        <v>132</v>
      </c>
    </row>
    <row r="3477" spans="1:29" ht="13" x14ac:dyDescent="0.15">
      <c r="A3477" s="72" t="str">
        <f t="shared" si="54"/>
        <v>Ofsted Social Care Provider Webpage</v>
      </c>
      <c r="B3477" s="55" t="s">
        <v>6470</v>
      </c>
      <c r="D3477" s="55" t="s">
        <v>373</v>
      </c>
      <c r="E3477" s="74">
        <v>41934</v>
      </c>
      <c r="F3477" s="55" t="s">
        <v>344</v>
      </c>
      <c r="G3477" s="55" t="s">
        <v>360</v>
      </c>
      <c r="H3477" s="55" t="s">
        <v>360</v>
      </c>
      <c r="I3477" s="55" t="s">
        <v>360</v>
      </c>
      <c r="J3477" s="55" t="s">
        <v>360</v>
      </c>
      <c r="K3477" s="55" t="s">
        <v>360</v>
      </c>
      <c r="L3477" s="55" t="s">
        <v>360</v>
      </c>
      <c r="M3477" s="55" t="s">
        <v>150</v>
      </c>
      <c r="N3477" s="55" t="s">
        <v>150</v>
      </c>
      <c r="O3477" s="55" t="s">
        <v>237</v>
      </c>
      <c r="P3477" s="55" t="s">
        <v>990</v>
      </c>
      <c r="Q3477" s="55" t="s">
        <v>350</v>
      </c>
      <c r="R3477" s="55">
        <v>8</v>
      </c>
      <c r="S3477" s="55"/>
      <c r="T3477" s="55" t="s">
        <v>890</v>
      </c>
      <c r="U3477" s="73" t="s">
        <v>351</v>
      </c>
      <c r="V3477" s="74">
        <v>44480</v>
      </c>
      <c r="W3477" s="74">
        <v>44532</v>
      </c>
      <c r="X3477" s="55">
        <v>10186657</v>
      </c>
      <c r="Y3477" s="55" t="s">
        <v>140</v>
      </c>
      <c r="AB3477" s="55" t="s">
        <v>132</v>
      </c>
      <c r="AC3477" s="55" t="s">
        <v>140</v>
      </c>
    </row>
    <row r="3478" spans="1:29" ht="13" x14ac:dyDescent="0.15">
      <c r="A3478" s="72" t="str">
        <f t="shared" si="54"/>
        <v>Ofsted Social Care Provider Webpage</v>
      </c>
      <c r="B3478" s="55" t="s">
        <v>6471</v>
      </c>
      <c r="D3478" s="55" t="s">
        <v>373</v>
      </c>
      <c r="E3478" s="74">
        <v>41976</v>
      </c>
      <c r="F3478" s="55" t="s">
        <v>344</v>
      </c>
      <c r="G3478" s="55" t="s">
        <v>360</v>
      </c>
      <c r="H3478" s="55" t="s">
        <v>360</v>
      </c>
      <c r="I3478" s="55" t="s">
        <v>360</v>
      </c>
      <c r="J3478" s="55" t="s">
        <v>360</v>
      </c>
      <c r="K3478" s="55" t="s">
        <v>360</v>
      </c>
      <c r="L3478" s="55" t="s">
        <v>360</v>
      </c>
      <c r="M3478" s="55" t="s">
        <v>144</v>
      </c>
      <c r="N3478" s="55" t="s">
        <v>144</v>
      </c>
      <c r="O3478" s="55" t="s">
        <v>207</v>
      </c>
      <c r="P3478" s="55" t="s">
        <v>207</v>
      </c>
      <c r="Q3478" s="55" t="s">
        <v>350</v>
      </c>
      <c r="R3478" s="55">
        <v>1</v>
      </c>
      <c r="S3478" s="55"/>
      <c r="T3478" s="55" t="s">
        <v>729</v>
      </c>
      <c r="U3478" s="73" t="s">
        <v>351</v>
      </c>
      <c r="V3478" s="74">
        <v>43600</v>
      </c>
      <c r="W3478" s="74">
        <v>43640</v>
      </c>
      <c r="X3478" s="55">
        <v>10097136</v>
      </c>
      <c r="Y3478" s="55" t="s">
        <v>132</v>
      </c>
      <c r="AB3478" s="55" t="s">
        <v>132</v>
      </c>
      <c r="AC3478" s="55" t="s">
        <v>132</v>
      </c>
    </row>
    <row r="3479" spans="1:29" ht="13" x14ac:dyDescent="0.15">
      <c r="A3479" s="72" t="str">
        <f t="shared" si="54"/>
        <v>Ofsted Social Care Provider Webpage</v>
      </c>
      <c r="B3479" s="55" t="s">
        <v>6472</v>
      </c>
      <c r="D3479" s="55" t="s">
        <v>373</v>
      </c>
      <c r="E3479" s="74">
        <v>41934</v>
      </c>
      <c r="F3479" s="55" t="s">
        <v>344</v>
      </c>
      <c r="G3479" s="55" t="s">
        <v>360</v>
      </c>
      <c r="H3479" s="55" t="s">
        <v>360</v>
      </c>
      <c r="I3479" s="55" t="s">
        <v>360</v>
      </c>
      <c r="J3479" s="55" t="s">
        <v>360</v>
      </c>
      <c r="K3479" s="55" t="s">
        <v>360</v>
      </c>
      <c r="L3479" s="55" t="s">
        <v>360</v>
      </c>
      <c r="M3479" s="55" t="s">
        <v>150</v>
      </c>
      <c r="N3479" s="55" t="s">
        <v>150</v>
      </c>
      <c r="O3479" s="55" t="s">
        <v>237</v>
      </c>
      <c r="P3479" s="55" t="s">
        <v>869</v>
      </c>
      <c r="Q3479" s="55" t="s">
        <v>350</v>
      </c>
      <c r="R3479" s="55">
        <v>8</v>
      </c>
      <c r="S3479" s="55"/>
      <c r="T3479" s="55" t="s">
        <v>890</v>
      </c>
      <c r="U3479" s="73" t="s">
        <v>351</v>
      </c>
      <c r="V3479" s="74">
        <v>44614</v>
      </c>
      <c r="W3479" s="74">
        <v>44659</v>
      </c>
      <c r="X3479" s="55">
        <v>10187130</v>
      </c>
      <c r="Y3479" s="55" t="s">
        <v>140</v>
      </c>
      <c r="AB3479" s="55" t="s">
        <v>140</v>
      </c>
      <c r="AC3479" s="55" t="s">
        <v>140</v>
      </c>
    </row>
    <row r="3480" spans="1:29" ht="13" x14ac:dyDescent="0.15">
      <c r="A3480" s="72" t="str">
        <f t="shared" si="54"/>
        <v>Ofsted Social Care Provider Webpage</v>
      </c>
      <c r="B3480" s="55" t="s">
        <v>6473</v>
      </c>
      <c r="D3480" s="55" t="s">
        <v>373</v>
      </c>
      <c r="E3480" s="74">
        <v>42094</v>
      </c>
      <c r="F3480" s="55" t="s">
        <v>344</v>
      </c>
      <c r="G3480" s="55" t="s">
        <v>360</v>
      </c>
      <c r="H3480" s="55" t="s">
        <v>360</v>
      </c>
      <c r="I3480" s="55" t="s">
        <v>360</v>
      </c>
      <c r="J3480" s="55" t="s">
        <v>360</v>
      </c>
      <c r="K3480" s="55" t="s">
        <v>360</v>
      </c>
      <c r="L3480" s="55" t="s">
        <v>360</v>
      </c>
      <c r="M3480" s="55" t="s">
        <v>138</v>
      </c>
      <c r="N3480" s="55" t="s">
        <v>138</v>
      </c>
      <c r="O3480" s="55" t="s">
        <v>159</v>
      </c>
      <c r="P3480" s="55" t="s">
        <v>1025</v>
      </c>
      <c r="Q3480" s="55" t="s">
        <v>350</v>
      </c>
      <c r="R3480" s="55">
        <v>4</v>
      </c>
      <c r="S3480" s="55"/>
      <c r="T3480" s="55" t="s">
        <v>791</v>
      </c>
      <c r="U3480" s="73" t="s">
        <v>351</v>
      </c>
      <c r="V3480" s="74">
        <v>44313</v>
      </c>
      <c r="W3480" s="74">
        <v>44337</v>
      </c>
      <c r="X3480" s="55">
        <v>10185245</v>
      </c>
      <c r="Y3480" s="55" t="s">
        <v>140</v>
      </c>
      <c r="AB3480" s="55" t="s">
        <v>140</v>
      </c>
      <c r="AC3480" s="55" t="s">
        <v>140</v>
      </c>
    </row>
    <row r="3481" spans="1:29" ht="13" x14ac:dyDescent="0.15">
      <c r="A3481" s="72" t="str">
        <f t="shared" si="54"/>
        <v>Ofsted Social Care Provider Webpage</v>
      </c>
      <c r="B3481" s="55" t="s">
        <v>6474</v>
      </c>
      <c r="D3481" s="55" t="s">
        <v>373</v>
      </c>
      <c r="E3481" s="74">
        <v>41955</v>
      </c>
      <c r="F3481" s="55" t="s">
        <v>344</v>
      </c>
      <c r="G3481" s="55" t="s">
        <v>360</v>
      </c>
      <c r="H3481" s="55" t="s">
        <v>360</v>
      </c>
      <c r="I3481" s="55" t="s">
        <v>360</v>
      </c>
      <c r="J3481" s="55" t="s">
        <v>360</v>
      </c>
      <c r="K3481" s="55" t="s">
        <v>360</v>
      </c>
      <c r="L3481" s="55" t="s">
        <v>360</v>
      </c>
      <c r="M3481" s="55" t="s">
        <v>144</v>
      </c>
      <c r="N3481" s="55" t="s">
        <v>144</v>
      </c>
      <c r="O3481" s="55" t="s">
        <v>287</v>
      </c>
      <c r="P3481" s="55" t="s">
        <v>815</v>
      </c>
      <c r="Q3481" s="55" t="s">
        <v>350</v>
      </c>
      <c r="R3481" s="55">
        <v>3</v>
      </c>
      <c r="S3481" s="55"/>
      <c r="T3481" s="55" t="s">
        <v>513</v>
      </c>
      <c r="U3481" s="73" t="s">
        <v>351</v>
      </c>
      <c r="V3481" s="74">
        <v>44593</v>
      </c>
      <c r="W3481" s="74">
        <v>44635</v>
      </c>
      <c r="X3481" s="55">
        <v>10186166</v>
      </c>
      <c r="Y3481" s="55" t="s">
        <v>132</v>
      </c>
      <c r="AB3481" s="55" t="s">
        <v>132</v>
      </c>
      <c r="AC3481" s="55" t="s">
        <v>132</v>
      </c>
    </row>
    <row r="3482" spans="1:29" ht="13" x14ac:dyDescent="0.15">
      <c r="A3482" s="72" t="str">
        <f t="shared" si="54"/>
        <v>Ofsted Social Care Provider Webpage</v>
      </c>
      <c r="B3482" s="55" t="s">
        <v>6475</v>
      </c>
      <c r="D3482" s="55" t="s">
        <v>373</v>
      </c>
      <c r="E3482" s="74">
        <v>41978</v>
      </c>
      <c r="F3482" s="55" t="s">
        <v>344</v>
      </c>
      <c r="G3482" s="55" t="s">
        <v>360</v>
      </c>
      <c r="H3482" s="55" t="s">
        <v>360</v>
      </c>
      <c r="I3482" s="55" t="s">
        <v>360</v>
      </c>
      <c r="J3482" s="55" t="s">
        <v>360</v>
      </c>
      <c r="K3482" s="55" t="s">
        <v>360</v>
      </c>
      <c r="L3482" s="55" t="s">
        <v>360</v>
      </c>
      <c r="M3482" s="55" t="s">
        <v>172</v>
      </c>
      <c r="N3482" s="55" t="s">
        <v>172</v>
      </c>
      <c r="O3482" s="55" t="s">
        <v>214</v>
      </c>
      <c r="P3482" s="55" t="s">
        <v>790</v>
      </c>
      <c r="Q3482" s="55" t="s">
        <v>350</v>
      </c>
      <c r="R3482" s="55">
        <v>6</v>
      </c>
      <c r="S3482" s="55"/>
      <c r="T3482" s="55" t="s">
        <v>493</v>
      </c>
      <c r="U3482" s="73" t="s">
        <v>351</v>
      </c>
      <c r="V3482" s="74">
        <v>44300</v>
      </c>
      <c r="W3482" s="74">
        <v>44351</v>
      </c>
      <c r="X3482" s="55">
        <v>10187401</v>
      </c>
      <c r="Y3482" s="55" t="s">
        <v>140</v>
      </c>
      <c r="AB3482" s="55" t="s">
        <v>140</v>
      </c>
      <c r="AC3482" s="55" t="s">
        <v>140</v>
      </c>
    </row>
    <row r="3483" spans="1:29" ht="13" x14ac:dyDescent="0.15">
      <c r="A3483" s="72" t="str">
        <f t="shared" si="54"/>
        <v>Ofsted Social Care Provider Webpage</v>
      </c>
      <c r="B3483" s="55" t="s">
        <v>6476</v>
      </c>
      <c r="D3483" s="55" t="s">
        <v>373</v>
      </c>
      <c r="E3483" s="74">
        <v>42286</v>
      </c>
      <c r="F3483" s="55" t="s">
        <v>344</v>
      </c>
      <c r="G3483" s="55" t="s">
        <v>360</v>
      </c>
      <c r="H3483" s="55" t="s">
        <v>360</v>
      </c>
      <c r="I3483" s="55" t="s">
        <v>360</v>
      </c>
      <c r="J3483" s="55" t="s">
        <v>360</v>
      </c>
      <c r="K3483" s="55" t="s">
        <v>360</v>
      </c>
      <c r="L3483" s="55" t="s">
        <v>360</v>
      </c>
      <c r="M3483" s="55" t="s">
        <v>378</v>
      </c>
      <c r="N3483" s="55" t="s">
        <v>134</v>
      </c>
      <c r="O3483" s="55" t="s">
        <v>210</v>
      </c>
      <c r="P3483" s="55" t="s">
        <v>1034</v>
      </c>
      <c r="Q3483" s="55" t="s">
        <v>350</v>
      </c>
      <c r="R3483" s="55">
        <v>4</v>
      </c>
      <c r="S3483" s="55"/>
      <c r="T3483" s="55" t="s">
        <v>1947</v>
      </c>
      <c r="U3483" s="73" t="s">
        <v>351</v>
      </c>
      <c r="V3483" s="74">
        <v>44474</v>
      </c>
      <c r="W3483" s="74">
        <v>44511</v>
      </c>
      <c r="X3483" s="55">
        <v>10185035</v>
      </c>
      <c r="Y3483" s="55" t="s">
        <v>132</v>
      </c>
      <c r="AB3483" s="55" t="s">
        <v>140</v>
      </c>
      <c r="AC3483" s="55" t="s">
        <v>132</v>
      </c>
    </row>
    <row r="3484" spans="1:29" ht="13" x14ac:dyDescent="0.15">
      <c r="A3484" s="72" t="str">
        <f t="shared" si="54"/>
        <v>Ofsted Social Care Provider Webpage</v>
      </c>
      <c r="B3484" s="55" t="s">
        <v>6477</v>
      </c>
      <c r="D3484" s="55" t="s">
        <v>373</v>
      </c>
      <c r="E3484" s="74">
        <v>42107</v>
      </c>
      <c r="F3484" s="55" t="s">
        <v>344</v>
      </c>
      <c r="G3484" s="55" t="s">
        <v>360</v>
      </c>
      <c r="H3484" s="55" t="s">
        <v>360</v>
      </c>
      <c r="I3484" s="55" t="s">
        <v>360</v>
      </c>
      <c r="J3484" s="55" t="s">
        <v>360</v>
      </c>
      <c r="K3484" s="55" t="s">
        <v>360</v>
      </c>
      <c r="L3484" s="55" t="s">
        <v>360</v>
      </c>
      <c r="M3484" s="55" t="s">
        <v>378</v>
      </c>
      <c r="N3484" s="55" t="s">
        <v>170</v>
      </c>
      <c r="O3484" s="55" t="s">
        <v>178</v>
      </c>
      <c r="P3484" s="55" t="s">
        <v>1374</v>
      </c>
      <c r="Q3484" s="55" t="s">
        <v>350</v>
      </c>
      <c r="R3484" s="55">
        <v>3</v>
      </c>
      <c r="S3484" s="55"/>
      <c r="T3484" s="55" t="s">
        <v>522</v>
      </c>
      <c r="U3484" s="73" t="s">
        <v>351</v>
      </c>
      <c r="V3484" s="74">
        <v>44536</v>
      </c>
      <c r="W3484" s="74">
        <v>44586</v>
      </c>
      <c r="X3484" s="55">
        <v>10187555</v>
      </c>
      <c r="Y3484" s="55" t="s">
        <v>132</v>
      </c>
      <c r="AB3484" s="55" t="s">
        <v>132</v>
      </c>
      <c r="AC3484" s="55" t="s">
        <v>130</v>
      </c>
    </row>
    <row r="3485" spans="1:29" ht="13" x14ac:dyDescent="0.15">
      <c r="A3485" s="72" t="str">
        <f t="shared" si="54"/>
        <v>Ofsted Social Care Provider Webpage</v>
      </c>
      <c r="B3485" s="55" t="s">
        <v>6478</v>
      </c>
      <c r="D3485" s="55" t="s">
        <v>373</v>
      </c>
      <c r="E3485" s="74">
        <v>42015</v>
      </c>
      <c r="F3485" s="55" t="s">
        <v>344</v>
      </c>
      <c r="G3485" s="55" t="s">
        <v>360</v>
      </c>
      <c r="H3485" s="55" t="s">
        <v>360</v>
      </c>
      <c r="I3485" s="55" t="s">
        <v>360</v>
      </c>
      <c r="J3485" s="55" t="s">
        <v>360</v>
      </c>
      <c r="K3485" s="55" t="s">
        <v>360</v>
      </c>
      <c r="L3485" s="55" t="s">
        <v>360</v>
      </c>
      <c r="M3485" s="55" t="s">
        <v>378</v>
      </c>
      <c r="N3485" s="55" t="s">
        <v>134</v>
      </c>
      <c r="O3485" s="55" t="s">
        <v>133</v>
      </c>
      <c r="P3485" s="55" t="s">
        <v>685</v>
      </c>
      <c r="Q3485" s="55" t="s">
        <v>350</v>
      </c>
      <c r="R3485" s="55">
        <v>3</v>
      </c>
      <c r="S3485" s="55"/>
      <c r="T3485" s="55" t="s">
        <v>385</v>
      </c>
      <c r="U3485" s="73" t="s">
        <v>351</v>
      </c>
      <c r="V3485" s="74">
        <v>43795</v>
      </c>
      <c r="W3485" s="74">
        <v>43838</v>
      </c>
      <c r="X3485" s="55">
        <v>10097148</v>
      </c>
      <c r="Y3485" s="55" t="s">
        <v>132</v>
      </c>
      <c r="AB3485" s="55" t="s">
        <v>132</v>
      </c>
      <c r="AC3485" s="55" t="s">
        <v>132</v>
      </c>
    </row>
    <row r="3486" spans="1:29" ht="13" x14ac:dyDescent="0.15">
      <c r="A3486" s="72" t="str">
        <f t="shared" si="54"/>
        <v>Ofsted Social Care Provider Webpage</v>
      </c>
      <c r="B3486" s="55" t="s">
        <v>6479</v>
      </c>
      <c r="D3486" s="55" t="s">
        <v>373</v>
      </c>
      <c r="E3486" s="74">
        <v>42033</v>
      </c>
      <c r="F3486" s="55" t="s">
        <v>344</v>
      </c>
      <c r="G3486" s="55" t="s">
        <v>360</v>
      </c>
      <c r="H3486" s="55" t="s">
        <v>360</v>
      </c>
      <c r="I3486" s="55" t="s">
        <v>360</v>
      </c>
      <c r="J3486" s="55" t="s">
        <v>360</v>
      </c>
      <c r="K3486" s="55" t="s">
        <v>360</v>
      </c>
      <c r="L3486" s="55" t="s">
        <v>360</v>
      </c>
      <c r="M3486" s="55" t="s">
        <v>142</v>
      </c>
      <c r="N3486" s="55" t="s">
        <v>142</v>
      </c>
      <c r="O3486" s="55" t="s">
        <v>282</v>
      </c>
      <c r="P3486" s="55" t="s">
        <v>3266</v>
      </c>
      <c r="Q3486" s="55" t="s">
        <v>350</v>
      </c>
      <c r="R3486" s="55">
        <v>4</v>
      </c>
      <c r="S3486" s="55"/>
      <c r="T3486" s="55" t="s">
        <v>493</v>
      </c>
      <c r="U3486" s="73" t="s">
        <v>351</v>
      </c>
      <c r="V3486" s="74">
        <v>44545</v>
      </c>
      <c r="W3486" s="74">
        <v>44602</v>
      </c>
      <c r="X3486" s="55">
        <v>10187227</v>
      </c>
      <c r="Y3486" s="55" t="s">
        <v>132</v>
      </c>
      <c r="AB3486" s="55" t="s">
        <v>130</v>
      </c>
      <c r="AC3486" s="55" t="s">
        <v>132</v>
      </c>
    </row>
    <row r="3487" spans="1:29" ht="13" x14ac:dyDescent="0.15">
      <c r="A3487" s="72" t="str">
        <f t="shared" si="54"/>
        <v>Ofsted Social Care Provider Webpage</v>
      </c>
      <c r="B3487" s="55" t="s">
        <v>6480</v>
      </c>
      <c r="D3487" s="55" t="s">
        <v>373</v>
      </c>
      <c r="E3487" s="74">
        <v>42090</v>
      </c>
      <c r="F3487" s="55" t="s">
        <v>344</v>
      </c>
      <c r="G3487" s="55" t="s">
        <v>360</v>
      </c>
      <c r="H3487" s="55" t="s">
        <v>360</v>
      </c>
      <c r="I3487" s="55" t="s">
        <v>360</v>
      </c>
      <c r="J3487" s="55" t="s">
        <v>360</v>
      </c>
      <c r="K3487" s="55" t="s">
        <v>360</v>
      </c>
      <c r="L3487" s="55" t="s">
        <v>360</v>
      </c>
      <c r="M3487" s="55" t="s">
        <v>150</v>
      </c>
      <c r="N3487" s="55" t="s">
        <v>150</v>
      </c>
      <c r="O3487" s="55" t="s">
        <v>153</v>
      </c>
      <c r="P3487" s="55" t="s">
        <v>829</v>
      </c>
      <c r="Q3487" s="55" t="s">
        <v>350</v>
      </c>
      <c r="R3487" s="55">
        <v>5</v>
      </c>
      <c r="S3487" s="55"/>
      <c r="T3487" s="55" t="s">
        <v>1332</v>
      </c>
      <c r="U3487" s="73" t="s">
        <v>351</v>
      </c>
      <c r="V3487" s="74">
        <v>44418</v>
      </c>
      <c r="W3487" s="74">
        <v>44453</v>
      </c>
      <c r="X3487" s="55">
        <v>10201891</v>
      </c>
      <c r="Y3487" s="55" t="s">
        <v>132</v>
      </c>
      <c r="AB3487" s="55" t="s">
        <v>132</v>
      </c>
      <c r="AC3487" s="55" t="s">
        <v>132</v>
      </c>
    </row>
    <row r="3488" spans="1:29" ht="13" x14ac:dyDescent="0.15">
      <c r="A3488" s="72" t="str">
        <f t="shared" si="54"/>
        <v>Ofsted Social Care Provider Webpage</v>
      </c>
      <c r="B3488" s="55" t="s">
        <v>6481</v>
      </c>
      <c r="D3488" s="55" t="s">
        <v>373</v>
      </c>
      <c r="E3488" s="74">
        <v>42024</v>
      </c>
      <c r="F3488" s="55" t="s">
        <v>344</v>
      </c>
      <c r="G3488" s="55" t="s">
        <v>360</v>
      </c>
      <c r="H3488" s="55" t="s">
        <v>360</v>
      </c>
      <c r="I3488" s="55" t="s">
        <v>360</v>
      </c>
      <c r="J3488" s="55" t="s">
        <v>360</v>
      </c>
      <c r="K3488" s="55" t="s">
        <v>360</v>
      </c>
      <c r="L3488" s="55" t="s">
        <v>360</v>
      </c>
      <c r="M3488" s="55" t="s">
        <v>136</v>
      </c>
      <c r="N3488" s="55" t="s">
        <v>136</v>
      </c>
      <c r="O3488" s="55" t="s">
        <v>230</v>
      </c>
      <c r="P3488" s="55" t="s">
        <v>230</v>
      </c>
      <c r="Q3488" s="55" t="s">
        <v>350</v>
      </c>
      <c r="R3488" s="55">
        <v>4</v>
      </c>
      <c r="S3488" s="55"/>
      <c r="T3488" s="55" t="s">
        <v>493</v>
      </c>
      <c r="U3488" s="73" t="s">
        <v>351</v>
      </c>
      <c r="V3488" s="74">
        <v>44354</v>
      </c>
      <c r="W3488" s="74">
        <v>44386</v>
      </c>
      <c r="X3488" s="55">
        <v>10185741</v>
      </c>
      <c r="Y3488" s="55" t="s">
        <v>132</v>
      </c>
      <c r="AB3488" s="55" t="s">
        <v>132</v>
      </c>
      <c r="AC3488" s="55" t="s">
        <v>132</v>
      </c>
    </row>
    <row r="3489" spans="1:29" ht="13" x14ac:dyDescent="0.15">
      <c r="A3489" s="72" t="str">
        <f t="shared" si="54"/>
        <v>Ofsted Social Care Provider Webpage</v>
      </c>
      <c r="B3489" s="55" t="s">
        <v>6482</v>
      </c>
      <c r="D3489" s="55" t="s">
        <v>451</v>
      </c>
      <c r="E3489" s="74">
        <v>42270</v>
      </c>
      <c r="F3489" s="55" t="s">
        <v>344</v>
      </c>
      <c r="G3489" s="55" t="s">
        <v>6483</v>
      </c>
      <c r="H3489" s="55" t="s">
        <v>6484</v>
      </c>
      <c r="I3489" s="55" t="s">
        <v>6485</v>
      </c>
      <c r="J3489" s="55" t="s">
        <v>6486</v>
      </c>
      <c r="K3489" s="55" t="s">
        <v>209</v>
      </c>
      <c r="L3489" s="55" t="s">
        <v>6487</v>
      </c>
      <c r="M3489" s="55" t="s">
        <v>144</v>
      </c>
      <c r="N3489" s="55" t="s">
        <v>144</v>
      </c>
      <c r="O3489" s="55" t="s">
        <v>287</v>
      </c>
      <c r="P3489" s="55" t="s">
        <v>815</v>
      </c>
      <c r="Q3489" s="55" t="s">
        <v>350</v>
      </c>
      <c r="R3489" s="55">
        <v>6</v>
      </c>
      <c r="S3489" s="55"/>
      <c r="T3489" s="55" t="s">
        <v>1259</v>
      </c>
      <c r="U3489" s="73" t="s">
        <v>351</v>
      </c>
      <c r="V3489" s="74">
        <v>44482</v>
      </c>
      <c r="W3489" s="74">
        <v>44544</v>
      </c>
      <c r="X3489" s="55">
        <v>10183449</v>
      </c>
      <c r="Y3489" s="55" t="s">
        <v>146</v>
      </c>
      <c r="AB3489" s="55" t="s">
        <v>146</v>
      </c>
      <c r="AC3489" s="55" t="s">
        <v>146</v>
      </c>
    </row>
    <row r="3490" spans="1:29" ht="13" x14ac:dyDescent="0.15">
      <c r="A3490" s="72" t="str">
        <f t="shared" si="54"/>
        <v>Ofsted Social Care Provider Webpage</v>
      </c>
      <c r="B3490" s="55" t="s">
        <v>6488</v>
      </c>
      <c r="D3490" s="55" t="s">
        <v>373</v>
      </c>
      <c r="E3490" s="74">
        <v>42060</v>
      </c>
      <c r="F3490" s="55" t="s">
        <v>344</v>
      </c>
      <c r="G3490" s="55" t="s">
        <v>360</v>
      </c>
      <c r="H3490" s="55" t="s">
        <v>360</v>
      </c>
      <c r="I3490" s="55" t="s">
        <v>360</v>
      </c>
      <c r="J3490" s="55" t="s">
        <v>360</v>
      </c>
      <c r="K3490" s="55" t="s">
        <v>360</v>
      </c>
      <c r="L3490" s="55" t="s">
        <v>360</v>
      </c>
      <c r="M3490" s="55" t="s">
        <v>142</v>
      </c>
      <c r="N3490" s="55" t="s">
        <v>142</v>
      </c>
      <c r="O3490" s="55" t="s">
        <v>166</v>
      </c>
      <c r="P3490" s="55" t="s">
        <v>1301</v>
      </c>
      <c r="Q3490" s="55" t="s">
        <v>350</v>
      </c>
      <c r="R3490" s="55">
        <v>4</v>
      </c>
      <c r="S3490" s="55"/>
      <c r="T3490" s="55" t="s">
        <v>493</v>
      </c>
      <c r="U3490" s="73" t="s">
        <v>351</v>
      </c>
      <c r="V3490" s="74">
        <v>44607</v>
      </c>
      <c r="W3490" s="74">
        <v>44649</v>
      </c>
      <c r="X3490" s="55">
        <v>10186114</v>
      </c>
      <c r="Y3490" s="55" t="s">
        <v>132</v>
      </c>
      <c r="AB3490" s="55" t="s">
        <v>132</v>
      </c>
      <c r="AC3490" s="55" t="s">
        <v>132</v>
      </c>
    </row>
    <row r="3491" spans="1:29" ht="13" x14ac:dyDescent="0.15">
      <c r="A3491" s="72" t="str">
        <f t="shared" si="54"/>
        <v>Ofsted Social Care Provider Webpage</v>
      </c>
      <c r="B3491" s="55" t="s">
        <v>6489</v>
      </c>
      <c r="D3491" s="55" t="s">
        <v>373</v>
      </c>
      <c r="E3491" s="74">
        <v>41984</v>
      </c>
      <c r="F3491" s="55" t="s">
        <v>344</v>
      </c>
      <c r="G3491" s="55" t="s">
        <v>360</v>
      </c>
      <c r="H3491" s="55" t="s">
        <v>360</v>
      </c>
      <c r="I3491" s="55" t="s">
        <v>360</v>
      </c>
      <c r="J3491" s="55" t="s">
        <v>360</v>
      </c>
      <c r="K3491" s="55" t="s">
        <v>360</v>
      </c>
      <c r="L3491" s="55" t="s">
        <v>360</v>
      </c>
      <c r="M3491" s="55" t="s">
        <v>136</v>
      </c>
      <c r="N3491" s="55" t="s">
        <v>136</v>
      </c>
      <c r="O3491" s="55" t="s">
        <v>288</v>
      </c>
      <c r="P3491" s="55" t="s">
        <v>1235</v>
      </c>
      <c r="Q3491" s="55" t="s">
        <v>350</v>
      </c>
      <c r="R3491" s="55">
        <v>3</v>
      </c>
      <c r="S3491" s="55"/>
      <c r="T3491" s="55" t="s">
        <v>1236</v>
      </c>
      <c r="U3491" s="73" t="s">
        <v>351</v>
      </c>
      <c r="V3491" s="74">
        <v>44453</v>
      </c>
      <c r="W3491" s="74">
        <v>44488</v>
      </c>
      <c r="X3491" s="55">
        <v>10186777</v>
      </c>
      <c r="Y3491" s="55" t="s">
        <v>132</v>
      </c>
      <c r="AB3491" s="55" t="s">
        <v>132</v>
      </c>
      <c r="AC3491" s="55" t="s">
        <v>132</v>
      </c>
    </row>
    <row r="3492" spans="1:29" ht="13" x14ac:dyDescent="0.15">
      <c r="A3492" s="72" t="str">
        <f t="shared" si="54"/>
        <v>Ofsted Social Care Provider Webpage</v>
      </c>
      <c r="B3492" s="55" t="s">
        <v>6490</v>
      </c>
      <c r="C3492" s="55">
        <v>139971</v>
      </c>
      <c r="D3492" s="55" t="s">
        <v>398</v>
      </c>
      <c r="E3492" s="74">
        <v>41897</v>
      </c>
      <c r="F3492" s="55" t="s">
        <v>344</v>
      </c>
      <c r="G3492" s="55" t="s">
        <v>6491</v>
      </c>
      <c r="H3492" s="55" t="s">
        <v>6492</v>
      </c>
      <c r="I3492" s="55" t="s">
        <v>6493</v>
      </c>
      <c r="J3492" s="55" t="s">
        <v>1756</v>
      </c>
      <c r="K3492" s="55" t="s">
        <v>1402</v>
      </c>
      <c r="L3492" s="55" t="s">
        <v>6494</v>
      </c>
      <c r="M3492" s="55" t="s">
        <v>150</v>
      </c>
      <c r="N3492" s="55" t="s">
        <v>150</v>
      </c>
      <c r="O3492" s="55" t="s">
        <v>289</v>
      </c>
      <c r="P3492" s="55" t="s">
        <v>1756</v>
      </c>
      <c r="Q3492" s="55" t="s">
        <v>420</v>
      </c>
      <c r="R3492" s="55">
        <v>224</v>
      </c>
      <c r="S3492" s="55"/>
      <c r="T3492" s="55" t="s">
        <v>6491</v>
      </c>
      <c r="U3492" s="73" t="s">
        <v>351</v>
      </c>
      <c r="V3492" s="74">
        <v>44523</v>
      </c>
      <c r="W3492" s="74">
        <v>44581</v>
      </c>
      <c r="X3492" s="55">
        <v>10183314</v>
      </c>
      <c r="Y3492" s="55" t="s">
        <v>140</v>
      </c>
      <c r="AB3492" s="55" t="s">
        <v>140</v>
      </c>
      <c r="AC3492" s="55" t="s">
        <v>140</v>
      </c>
    </row>
    <row r="3493" spans="1:29" ht="13" x14ac:dyDescent="0.15">
      <c r="A3493" s="72" t="str">
        <f t="shared" si="54"/>
        <v>Ofsted Social Care Provider Webpage</v>
      </c>
      <c r="B3493" s="55" t="s">
        <v>6495</v>
      </c>
      <c r="D3493" s="55" t="s">
        <v>373</v>
      </c>
      <c r="E3493" s="74">
        <v>42040</v>
      </c>
      <c r="F3493" s="55" t="s">
        <v>344</v>
      </c>
      <c r="G3493" s="55" t="s">
        <v>360</v>
      </c>
      <c r="H3493" s="55" t="s">
        <v>360</v>
      </c>
      <c r="I3493" s="55" t="s">
        <v>360</v>
      </c>
      <c r="J3493" s="55" t="s">
        <v>360</v>
      </c>
      <c r="K3493" s="55" t="s">
        <v>360</v>
      </c>
      <c r="L3493" s="55" t="s">
        <v>360</v>
      </c>
      <c r="M3493" s="55" t="s">
        <v>144</v>
      </c>
      <c r="N3493" s="55" t="s">
        <v>144</v>
      </c>
      <c r="O3493" s="55" t="s">
        <v>250</v>
      </c>
      <c r="P3493" s="55" t="s">
        <v>759</v>
      </c>
      <c r="Q3493" s="55" t="s">
        <v>350</v>
      </c>
      <c r="R3493" s="55">
        <v>4</v>
      </c>
      <c r="S3493" s="55"/>
      <c r="T3493" s="55" t="s">
        <v>598</v>
      </c>
      <c r="U3493" s="73" t="s">
        <v>351</v>
      </c>
      <c r="V3493" s="74">
        <v>43880</v>
      </c>
      <c r="W3493" s="74">
        <v>43928</v>
      </c>
      <c r="X3493" s="55">
        <v>10097164</v>
      </c>
      <c r="Y3493" s="55" t="s">
        <v>140</v>
      </c>
      <c r="AB3493" s="55" t="s">
        <v>140</v>
      </c>
      <c r="AC3493" s="55" t="s">
        <v>140</v>
      </c>
    </row>
    <row r="3494" spans="1:29" ht="13" x14ac:dyDescent="0.15">
      <c r="A3494" s="72" t="str">
        <f t="shared" si="54"/>
        <v>Ofsted Social Care Provider Webpage</v>
      </c>
      <c r="B3494" s="55" t="s">
        <v>6496</v>
      </c>
      <c r="D3494" s="55" t="s">
        <v>373</v>
      </c>
      <c r="E3494" s="74">
        <v>42030</v>
      </c>
      <c r="F3494" s="55" t="s">
        <v>344</v>
      </c>
      <c r="G3494" s="55" t="s">
        <v>360</v>
      </c>
      <c r="H3494" s="55" t="s">
        <v>360</v>
      </c>
      <c r="I3494" s="55" t="s">
        <v>360</v>
      </c>
      <c r="J3494" s="55" t="s">
        <v>360</v>
      </c>
      <c r="K3494" s="55" t="s">
        <v>360</v>
      </c>
      <c r="L3494" s="55" t="s">
        <v>360</v>
      </c>
      <c r="M3494" s="55" t="s">
        <v>378</v>
      </c>
      <c r="N3494" s="55" t="s">
        <v>134</v>
      </c>
      <c r="O3494" s="55" t="s">
        <v>158</v>
      </c>
      <c r="P3494" s="55" t="s">
        <v>912</v>
      </c>
      <c r="Q3494" s="55" t="s">
        <v>350</v>
      </c>
      <c r="R3494" s="55">
        <v>5</v>
      </c>
      <c r="S3494" s="55"/>
      <c r="T3494" s="55" t="s">
        <v>574</v>
      </c>
      <c r="U3494" s="73" t="s">
        <v>351</v>
      </c>
      <c r="V3494" s="74">
        <v>44601</v>
      </c>
      <c r="W3494" s="74">
        <v>44652</v>
      </c>
      <c r="X3494" s="55">
        <v>10186278</v>
      </c>
      <c r="Y3494" s="55" t="s">
        <v>132</v>
      </c>
      <c r="AB3494" s="55" t="s">
        <v>132</v>
      </c>
      <c r="AC3494" s="55" t="s">
        <v>132</v>
      </c>
    </row>
    <row r="3495" spans="1:29" ht="13" x14ac:dyDescent="0.15">
      <c r="A3495" s="72" t="str">
        <f t="shared" si="54"/>
        <v>Ofsted Social Care Provider Webpage</v>
      </c>
      <c r="B3495" s="55" t="s">
        <v>6497</v>
      </c>
      <c r="D3495" s="55" t="s">
        <v>373</v>
      </c>
      <c r="E3495" s="74">
        <v>42031</v>
      </c>
      <c r="F3495" s="55" t="s">
        <v>344</v>
      </c>
      <c r="G3495" s="55" t="s">
        <v>360</v>
      </c>
      <c r="H3495" s="55" t="s">
        <v>360</v>
      </c>
      <c r="I3495" s="55" t="s">
        <v>360</v>
      </c>
      <c r="J3495" s="55" t="s">
        <v>360</v>
      </c>
      <c r="K3495" s="55" t="s">
        <v>360</v>
      </c>
      <c r="L3495" s="55" t="s">
        <v>360</v>
      </c>
      <c r="M3495" s="55" t="s">
        <v>144</v>
      </c>
      <c r="N3495" s="55" t="s">
        <v>144</v>
      </c>
      <c r="O3495" s="55" t="s">
        <v>147</v>
      </c>
      <c r="P3495" s="55" t="s">
        <v>674</v>
      </c>
      <c r="Q3495" s="55" t="s">
        <v>362</v>
      </c>
      <c r="R3495" s="55">
        <v>3</v>
      </c>
      <c r="S3495" s="55"/>
      <c r="T3495" s="55" t="s">
        <v>675</v>
      </c>
      <c r="U3495" s="73" t="s">
        <v>351</v>
      </c>
      <c r="V3495" s="74">
        <v>44397</v>
      </c>
      <c r="W3495" s="74">
        <v>44428</v>
      </c>
      <c r="X3495" s="55">
        <v>10185201</v>
      </c>
      <c r="Y3495" s="55" t="s">
        <v>132</v>
      </c>
      <c r="AB3495" s="55" t="s">
        <v>132</v>
      </c>
      <c r="AC3495" s="55" t="s">
        <v>130</v>
      </c>
    </row>
    <row r="3496" spans="1:29" ht="13" x14ac:dyDescent="0.15">
      <c r="A3496" s="72" t="str">
        <f t="shared" si="54"/>
        <v>Ofsted Social Care Provider Webpage</v>
      </c>
      <c r="B3496" s="55" t="s">
        <v>6498</v>
      </c>
      <c r="D3496" s="55" t="s">
        <v>373</v>
      </c>
      <c r="E3496" s="74">
        <v>42184</v>
      </c>
      <c r="F3496" s="55" t="s">
        <v>344</v>
      </c>
      <c r="G3496" s="55" t="s">
        <v>360</v>
      </c>
      <c r="H3496" s="55" t="s">
        <v>360</v>
      </c>
      <c r="I3496" s="55" t="s">
        <v>360</v>
      </c>
      <c r="J3496" s="55" t="s">
        <v>360</v>
      </c>
      <c r="K3496" s="55" t="s">
        <v>360</v>
      </c>
      <c r="L3496" s="55" t="s">
        <v>360</v>
      </c>
      <c r="M3496" s="55" t="s">
        <v>129</v>
      </c>
      <c r="N3496" s="55" t="s">
        <v>129</v>
      </c>
      <c r="O3496" s="55" t="s">
        <v>191</v>
      </c>
      <c r="P3496" s="55" t="s">
        <v>1224</v>
      </c>
      <c r="Q3496" s="55" t="s">
        <v>350</v>
      </c>
      <c r="R3496" s="55">
        <v>5</v>
      </c>
      <c r="S3496" s="55"/>
      <c r="T3496" s="55" t="s">
        <v>6499</v>
      </c>
      <c r="U3496" s="73" t="s">
        <v>351</v>
      </c>
      <c r="V3496" s="74">
        <v>43655</v>
      </c>
      <c r="W3496" s="74">
        <v>43693</v>
      </c>
      <c r="X3496" s="55">
        <v>10097214</v>
      </c>
      <c r="Y3496" s="55" t="s">
        <v>130</v>
      </c>
      <c r="AB3496" s="55" t="s">
        <v>130</v>
      </c>
      <c r="AC3496" s="55" t="s">
        <v>130</v>
      </c>
    </row>
    <row r="3497" spans="1:29" ht="13" x14ac:dyDescent="0.15">
      <c r="A3497" s="72" t="str">
        <f t="shared" si="54"/>
        <v>Ofsted Social Care Provider Webpage</v>
      </c>
      <c r="B3497" s="55" t="s">
        <v>6500</v>
      </c>
      <c r="D3497" s="55" t="s">
        <v>373</v>
      </c>
      <c r="E3497" s="74">
        <v>42041</v>
      </c>
      <c r="F3497" s="55" t="s">
        <v>344</v>
      </c>
      <c r="G3497" s="55" t="s">
        <v>360</v>
      </c>
      <c r="H3497" s="55" t="s">
        <v>360</v>
      </c>
      <c r="I3497" s="55" t="s">
        <v>360</v>
      </c>
      <c r="J3497" s="55" t="s">
        <v>360</v>
      </c>
      <c r="K3497" s="55" t="s">
        <v>360</v>
      </c>
      <c r="L3497" s="55" t="s">
        <v>360</v>
      </c>
      <c r="M3497" s="55" t="s">
        <v>142</v>
      </c>
      <c r="N3497" s="55" t="s">
        <v>142</v>
      </c>
      <c r="O3497" s="55" t="s">
        <v>177</v>
      </c>
      <c r="P3497" s="55" t="s">
        <v>885</v>
      </c>
      <c r="Q3497" s="55" t="s">
        <v>350</v>
      </c>
      <c r="R3497" s="55">
        <v>6</v>
      </c>
      <c r="S3497" s="55" t="s">
        <v>332</v>
      </c>
      <c r="T3497" s="55" t="s">
        <v>751</v>
      </c>
      <c r="U3497" s="73" t="s">
        <v>351</v>
      </c>
      <c r="V3497" s="74">
        <v>44537</v>
      </c>
      <c r="W3497" s="74">
        <v>44586</v>
      </c>
      <c r="X3497" s="55">
        <v>10185519</v>
      </c>
      <c r="Y3497" s="55" t="s">
        <v>132</v>
      </c>
      <c r="AB3497" s="55" t="s">
        <v>132</v>
      </c>
      <c r="AC3497" s="55" t="s">
        <v>132</v>
      </c>
    </row>
    <row r="3498" spans="1:29" ht="13" x14ac:dyDescent="0.15">
      <c r="A3498" s="72" t="str">
        <f t="shared" si="54"/>
        <v>Ofsted Social Care Provider Webpage</v>
      </c>
      <c r="B3498" s="55" t="s">
        <v>6501</v>
      </c>
      <c r="D3498" s="55" t="s">
        <v>373</v>
      </c>
      <c r="E3498" s="74">
        <v>41976</v>
      </c>
      <c r="F3498" s="55" t="s">
        <v>344</v>
      </c>
      <c r="G3498" s="55" t="s">
        <v>360</v>
      </c>
      <c r="H3498" s="55" t="s">
        <v>360</v>
      </c>
      <c r="I3498" s="55" t="s">
        <v>360</v>
      </c>
      <c r="J3498" s="55" t="s">
        <v>360</v>
      </c>
      <c r="K3498" s="55" t="s">
        <v>360</v>
      </c>
      <c r="L3498" s="55" t="s">
        <v>360</v>
      </c>
      <c r="M3498" s="55" t="s">
        <v>144</v>
      </c>
      <c r="N3498" s="55" t="s">
        <v>144</v>
      </c>
      <c r="O3498" s="55" t="s">
        <v>209</v>
      </c>
      <c r="P3498" s="55" t="s">
        <v>544</v>
      </c>
      <c r="Q3498" s="55" t="s">
        <v>350</v>
      </c>
      <c r="R3498" s="55">
        <v>7</v>
      </c>
      <c r="S3498" s="55"/>
      <c r="T3498" s="55" t="s">
        <v>863</v>
      </c>
      <c r="U3498" s="73" t="s">
        <v>351</v>
      </c>
      <c r="V3498" s="74">
        <v>44600</v>
      </c>
      <c r="W3498" s="74">
        <v>44655</v>
      </c>
      <c r="X3498" s="55">
        <v>10186254</v>
      </c>
      <c r="Y3498" s="55" t="s">
        <v>146</v>
      </c>
      <c r="AB3498" s="55" t="s">
        <v>146</v>
      </c>
      <c r="AC3498" s="55" t="s">
        <v>146</v>
      </c>
    </row>
    <row r="3499" spans="1:29" ht="13" x14ac:dyDescent="0.15">
      <c r="A3499" s="72" t="str">
        <f t="shared" si="54"/>
        <v>Ofsted Social Care Provider Webpage</v>
      </c>
      <c r="B3499" s="55" t="s">
        <v>6502</v>
      </c>
      <c r="D3499" s="55" t="s">
        <v>373</v>
      </c>
      <c r="E3499" s="74">
        <v>41976</v>
      </c>
      <c r="F3499" s="55" t="s">
        <v>344</v>
      </c>
      <c r="G3499" s="55" t="s">
        <v>360</v>
      </c>
      <c r="H3499" s="55" t="s">
        <v>360</v>
      </c>
      <c r="I3499" s="55" t="s">
        <v>360</v>
      </c>
      <c r="J3499" s="55" t="s">
        <v>360</v>
      </c>
      <c r="K3499" s="55" t="s">
        <v>360</v>
      </c>
      <c r="L3499" s="55" t="s">
        <v>360</v>
      </c>
      <c r="M3499" s="55" t="s">
        <v>144</v>
      </c>
      <c r="N3499" s="55" t="s">
        <v>144</v>
      </c>
      <c r="O3499" s="55" t="s">
        <v>209</v>
      </c>
      <c r="P3499" s="55" t="s">
        <v>474</v>
      </c>
      <c r="Q3499" s="55" t="s">
        <v>350</v>
      </c>
      <c r="R3499" s="55">
        <v>4</v>
      </c>
      <c r="S3499" s="55"/>
      <c r="T3499" s="55" t="s">
        <v>863</v>
      </c>
      <c r="U3499" s="73" t="s">
        <v>351</v>
      </c>
      <c r="V3499" s="74">
        <v>44573</v>
      </c>
      <c r="W3499" s="74">
        <v>44602</v>
      </c>
      <c r="X3499" s="55">
        <v>10187235</v>
      </c>
      <c r="Y3499" s="55" t="s">
        <v>140</v>
      </c>
      <c r="AB3499" s="55" t="s">
        <v>140</v>
      </c>
      <c r="AC3499" s="55" t="s">
        <v>140</v>
      </c>
    </row>
    <row r="3500" spans="1:29" ht="13" x14ac:dyDescent="0.15">
      <c r="A3500" s="72" t="str">
        <f t="shared" si="54"/>
        <v>Ofsted Social Care Provider Webpage</v>
      </c>
      <c r="B3500" s="55" t="s">
        <v>6503</v>
      </c>
      <c r="D3500" s="55" t="s">
        <v>373</v>
      </c>
      <c r="E3500" s="74">
        <v>42053</v>
      </c>
      <c r="F3500" s="55" t="s">
        <v>344</v>
      </c>
      <c r="G3500" s="55" t="s">
        <v>360</v>
      </c>
      <c r="H3500" s="55" t="s">
        <v>360</v>
      </c>
      <c r="I3500" s="55" t="s">
        <v>360</v>
      </c>
      <c r="J3500" s="55" t="s">
        <v>360</v>
      </c>
      <c r="K3500" s="55" t="s">
        <v>360</v>
      </c>
      <c r="L3500" s="55" t="s">
        <v>360</v>
      </c>
      <c r="M3500" s="55" t="s">
        <v>172</v>
      </c>
      <c r="N3500" s="55" t="s">
        <v>172</v>
      </c>
      <c r="O3500" s="55" t="s">
        <v>173</v>
      </c>
      <c r="P3500" s="55" t="s">
        <v>860</v>
      </c>
      <c r="Q3500" s="55" t="s">
        <v>350</v>
      </c>
      <c r="R3500" s="55">
        <v>3</v>
      </c>
      <c r="S3500" s="55"/>
      <c r="T3500" s="55" t="s">
        <v>489</v>
      </c>
      <c r="U3500" s="73" t="s">
        <v>351</v>
      </c>
      <c r="V3500" s="74">
        <v>44530</v>
      </c>
      <c r="W3500" s="74">
        <v>44579</v>
      </c>
      <c r="X3500" s="55">
        <v>10186999</v>
      </c>
      <c r="Y3500" s="55" t="s">
        <v>140</v>
      </c>
      <c r="AB3500" s="55" t="s">
        <v>140</v>
      </c>
      <c r="AC3500" s="55" t="s">
        <v>140</v>
      </c>
    </row>
    <row r="3501" spans="1:29" ht="13" x14ac:dyDescent="0.15">
      <c r="A3501" s="72" t="str">
        <f t="shared" si="54"/>
        <v>Ofsted Social Care Provider Webpage</v>
      </c>
      <c r="B3501" s="55" t="s">
        <v>6504</v>
      </c>
      <c r="D3501" s="55" t="s">
        <v>373</v>
      </c>
      <c r="E3501" s="74">
        <v>42027</v>
      </c>
      <c r="F3501" s="55" t="s">
        <v>344</v>
      </c>
      <c r="G3501" s="55" t="s">
        <v>360</v>
      </c>
      <c r="H3501" s="55" t="s">
        <v>360</v>
      </c>
      <c r="I3501" s="55" t="s">
        <v>360</v>
      </c>
      <c r="J3501" s="55" t="s">
        <v>360</v>
      </c>
      <c r="K3501" s="55" t="s">
        <v>360</v>
      </c>
      <c r="L3501" s="55" t="s">
        <v>360</v>
      </c>
      <c r="M3501" s="55" t="s">
        <v>138</v>
      </c>
      <c r="N3501" s="55" t="s">
        <v>138</v>
      </c>
      <c r="O3501" s="55" t="s">
        <v>161</v>
      </c>
      <c r="P3501" s="55" t="s">
        <v>822</v>
      </c>
      <c r="Q3501" s="55" t="s">
        <v>350</v>
      </c>
      <c r="R3501" s="55">
        <v>6</v>
      </c>
      <c r="S3501" s="55"/>
      <c r="T3501" s="55" t="s">
        <v>6505</v>
      </c>
      <c r="U3501" s="73" t="s">
        <v>351</v>
      </c>
      <c r="V3501" s="74">
        <v>44411</v>
      </c>
      <c r="W3501" s="74">
        <v>44442</v>
      </c>
      <c r="X3501" s="55">
        <v>10187523</v>
      </c>
      <c r="Y3501" s="55" t="s">
        <v>140</v>
      </c>
      <c r="AB3501" s="55" t="s">
        <v>140</v>
      </c>
      <c r="AC3501" s="55" t="s">
        <v>140</v>
      </c>
    </row>
    <row r="3502" spans="1:29" ht="13" x14ac:dyDescent="0.15">
      <c r="A3502" s="72" t="str">
        <f t="shared" si="54"/>
        <v>Ofsted Social Care Provider Webpage</v>
      </c>
      <c r="B3502" s="55" t="s">
        <v>6506</v>
      </c>
      <c r="D3502" s="55" t="s">
        <v>373</v>
      </c>
      <c r="E3502" s="74">
        <v>42074</v>
      </c>
      <c r="F3502" s="55" t="s">
        <v>344</v>
      </c>
      <c r="G3502" s="55" t="s">
        <v>360</v>
      </c>
      <c r="H3502" s="55" t="s">
        <v>360</v>
      </c>
      <c r="I3502" s="55" t="s">
        <v>360</v>
      </c>
      <c r="J3502" s="55" t="s">
        <v>360</v>
      </c>
      <c r="K3502" s="55" t="s">
        <v>360</v>
      </c>
      <c r="L3502" s="55" t="s">
        <v>360</v>
      </c>
      <c r="M3502" s="55" t="s">
        <v>129</v>
      </c>
      <c r="N3502" s="55" t="s">
        <v>129</v>
      </c>
      <c r="O3502" s="55" t="s">
        <v>213</v>
      </c>
      <c r="P3502" s="55" t="s">
        <v>1160</v>
      </c>
      <c r="Q3502" s="55" t="s">
        <v>350</v>
      </c>
      <c r="R3502" s="55">
        <v>4</v>
      </c>
      <c r="S3502" s="55"/>
      <c r="T3502" s="55" t="s">
        <v>1597</v>
      </c>
      <c r="U3502" s="73" t="s">
        <v>351</v>
      </c>
      <c r="V3502" s="74">
        <v>44328</v>
      </c>
      <c r="W3502" s="74">
        <v>44363</v>
      </c>
      <c r="X3502" s="55">
        <v>10186647</v>
      </c>
      <c r="Y3502" s="55" t="s">
        <v>132</v>
      </c>
      <c r="AB3502" s="55" t="s">
        <v>132</v>
      </c>
      <c r="AC3502" s="55" t="s">
        <v>132</v>
      </c>
    </row>
    <row r="3503" spans="1:29" ht="13" x14ac:dyDescent="0.15">
      <c r="A3503" s="72" t="str">
        <f t="shared" si="54"/>
        <v>Ofsted Social Care Provider Webpage</v>
      </c>
      <c r="B3503" s="55" t="s">
        <v>6507</v>
      </c>
      <c r="D3503" s="55" t="s">
        <v>373</v>
      </c>
      <c r="E3503" s="74">
        <v>41977</v>
      </c>
      <c r="F3503" s="55" t="s">
        <v>344</v>
      </c>
      <c r="G3503" s="55" t="s">
        <v>360</v>
      </c>
      <c r="H3503" s="55" t="s">
        <v>360</v>
      </c>
      <c r="I3503" s="55" t="s">
        <v>360</v>
      </c>
      <c r="J3503" s="55" t="s">
        <v>360</v>
      </c>
      <c r="K3503" s="55" t="s">
        <v>360</v>
      </c>
      <c r="L3503" s="55" t="s">
        <v>360</v>
      </c>
      <c r="M3503" s="55" t="s">
        <v>144</v>
      </c>
      <c r="N3503" s="55" t="s">
        <v>144</v>
      </c>
      <c r="O3503" s="55" t="s">
        <v>263</v>
      </c>
      <c r="P3503" s="55" t="s">
        <v>1120</v>
      </c>
      <c r="Q3503" s="55" t="s">
        <v>350</v>
      </c>
      <c r="R3503" s="55">
        <v>5</v>
      </c>
      <c r="S3503" s="55"/>
      <c r="T3503" s="55" t="s">
        <v>4707</v>
      </c>
      <c r="U3503" s="73" t="s">
        <v>351</v>
      </c>
      <c r="V3503" s="74">
        <v>44488</v>
      </c>
      <c r="W3503" s="74">
        <v>44539</v>
      </c>
      <c r="X3503" s="55">
        <v>10186699</v>
      </c>
      <c r="Y3503" s="55" t="s">
        <v>146</v>
      </c>
      <c r="AB3503" s="55" t="s">
        <v>146</v>
      </c>
      <c r="AC3503" s="55" t="s">
        <v>146</v>
      </c>
    </row>
    <row r="3504" spans="1:29" ht="13" x14ac:dyDescent="0.15">
      <c r="A3504" s="72" t="str">
        <f t="shared" si="54"/>
        <v>Ofsted Social Care Provider Webpage</v>
      </c>
      <c r="B3504" s="55" t="s">
        <v>6508</v>
      </c>
      <c r="D3504" s="55" t="s">
        <v>373</v>
      </c>
      <c r="E3504" s="74">
        <v>42289</v>
      </c>
      <c r="F3504" s="55" t="s">
        <v>344</v>
      </c>
      <c r="G3504" s="55" t="s">
        <v>360</v>
      </c>
      <c r="H3504" s="55" t="s">
        <v>360</v>
      </c>
      <c r="I3504" s="55" t="s">
        <v>360</v>
      </c>
      <c r="J3504" s="55" t="s">
        <v>360</v>
      </c>
      <c r="K3504" s="55" t="s">
        <v>360</v>
      </c>
      <c r="L3504" s="55" t="s">
        <v>360</v>
      </c>
      <c r="M3504" s="55" t="s">
        <v>144</v>
      </c>
      <c r="N3504" s="55" t="s">
        <v>144</v>
      </c>
      <c r="O3504" s="55" t="s">
        <v>209</v>
      </c>
      <c r="P3504" s="55" t="s">
        <v>561</v>
      </c>
      <c r="Q3504" s="55" t="s">
        <v>350</v>
      </c>
      <c r="R3504" s="55">
        <v>5</v>
      </c>
      <c r="S3504" s="55"/>
      <c r="T3504" s="55" t="s">
        <v>385</v>
      </c>
      <c r="U3504" s="73" t="s">
        <v>351</v>
      </c>
      <c r="V3504" s="74">
        <v>44586</v>
      </c>
      <c r="W3504" s="74">
        <v>44627</v>
      </c>
      <c r="X3504" s="55">
        <v>10187548</v>
      </c>
      <c r="Y3504" s="55" t="s">
        <v>130</v>
      </c>
      <c r="AB3504" s="55" t="s">
        <v>130</v>
      </c>
      <c r="AC3504" s="55" t="s">
        <v>130</v>
      </c>
    </row>
    <row r="3505" spans="1:29" ht="13" x14ac:dyDescent="0.15">
      <c r="A3505" s="72" t="str">
        <f t="shared" si="54"/>
        <v>Ofsted Social Care Provider Webpage</v>
      </c>
      <c r="B3505" s="55" t="s">
        <v>6509</v>
      </c>
      <c r="D3505" s="55" t="s">
        <v>373</v>
      </c>
      <c r="E3505" s="74">
        <v>42289</v>
      </c>
      <c r="F3505" s="55" t="s">
        <v>344</v>
      </c>
      <c r="G3505" s="55" t="s">
        <v>360</v>
      </c>
      <c r="H3505" s="55" t="s">
        <v>360</v>
      </c>
      <c r="I3505" s="55" t="s">
        <v>360</v>
      </c>
      <c r="J3505" s="55" t="s">
        <v>360</v>
      </c>
      <c r="K3505" s="55" t="s">
        <v>360</v>
      </c>
      <c r="L3505" s="55" t="s">
        <v>360</v>
      </c>
      <c r="M3505" s="55" t="s">
        <v>144</v>
      </c>
      <c r="N3505" s="55" t="s">
        <v>144</v>
      </c>
      <c r="O3505" s="55" t="s">
        <v>209</v>
      </c>
      <c r="P3505" s="55" t="s">
        <v>561</v>
      </c>
      <c r="Q3505" s="55" t="s">
        <v>350</v>
      </c>
      <c r="R3505" s="55">
        <v>5</v>
      </c>
      <c r="S3505" s="55"/>
      <c r="T3505" s="55" t="s">
        <v>385</v>
      </c>
      <c r="U3505" s="73" t="s">
        <v>351</v>
      </c>
      <c r="V3505" s="74">
        <v>43670</v>
      </c>
      <c r="W3505" s="74">
        <v>43690</v>
      </c>
      <c r="X3505" s="55">
        <v>10097615</v>
      </c>
      <c r="Y3505" s="55" t="s">
        <v>132</v>
      </c>
      <c r="AB3505" s="55" t="s">
        <v>132</v>
      </c>
      <c r="AC3505" s="55" t="s">
        <v>132</v>
      </c>
    </row>
    <row r="3506" spans="1:29" ht="13" x14ac:dyDescent="0.15">
      <c r="A3506" s="72" t="str">
        <f t="shared" si="54"/>
        <v>Ofsted Social Care Provider Webpage</v>
      </c>
      <c r="B3506" s="55" t="s">
        <v>6510</v>
      </c>
      <c r="D3506" s="55" t="s">
        <v>389</v>
      </c>
      <c r="E3506" s="74">
        <v>41974</v>
      </c>
      <c r="F3506" s="55" t="s">
        <v>344</v>
      </c>
      <c r="G3506" s="55" t="s">
        <v>6511</v>
      </c>
      <c r="H3506" s="55" t="s">
        <v>6512</v>
      </c>
      <c r="I3506" s="55" t="s">
        <v>6513</v>
      </c>
      <c r="J3506" s="55" t="s">
        <v>4130</v>
      </c>
      <c r="K3506" s="55" t="s">
        <v>175</v>
      </c>
      <c r="L3506" s="55" t="s">
        <v>6514</v>
      </c>
      <c r="M3506" s="55" t="s">
        <v>378</v>
      </c>
      <c r="N3506" s="55" t="s">
        <v>134</v>
      </c>
      <c r="O3506" s="55" t="s">
        <v>175</v>
      </c>
      <c r="P3506" s="55" t="s">
        <v>666</v>
      </c>
      <c r="Q3506" s="55" t="s">
        <v>350</v>
      </c>
      <c r="R3506" s="55"/>
      <c r="S3506" s="55"/>
      <c r="T3506" s="55" t="s">
        <v>6515</v>
      </c>
      <c r="U3506" s="73" t="s">
        <v>351</v>
      </c>
      <c r="V3506" s="74">
        <v>43353</v>
      </c>
      <c r="W3506" s="74">
        <v>43385</v>
      </c>
      <c r="X3506" s="55">
        <v>10046839</v>
      </c>
      <c r="Y3506" s="55" t="s">
        <v>132</v>
      </c>
      <c r="AB3506" s="55" t="s">
        <v>130</v>
      </c>
      <c r="AC3506" s="55" t="s">
        <v>132</v>
      </c>
    </row>
    <row r="3507" spans="1:29" ht="13" x14ac:dyDescent="0.15">
      <c r="A3507" s="72" t="str">
        <f t="shared" si="54"/>
        <v>Ofsted Social Care Provider Webpage</v>
      </c>
      <c r="B3507" s="55" t="s">
        <v>6516</v>
      </c>
      <c r="D3507" s="55" t="s">
        <v>373</v>
      </c>
      <c r="E3507" s="74">
        <v>41954</v>
      </c>
      <c r="F3507" s="55" t="s">
        <v>344</v>
      </c>
      <c r="G3507" s="55" t="s">
        <v>360</v>
      </c>
      <c r="H3507" s="55" t="s">
        <v>360</v>
      </c>
      <c r="I3507" s="55" t="s">
        <v>360</v>
      </c>
      <c r="J3507" s="55" t="s">
        <v>360</v>
      </c>
      <c r="K3507" s="55" t="s">
        <v>360</v>
      </c>
      <c r="L3507" s="55" t="s">
        <v>360</v>
      </c>
      <c r="M3507" s="55" t="s">
        <v>142</v>
      </c>
      <c r="N3507" s="55" t="s">
        <v>142</v>
      </c>
      <c r="O3507" s="55" t="s">
        <v>177</v>
      </c>
      <c r="P3507" s="55" t="s">
        <v>1406</v>
      </c>
      <c r="Q3507" s="55" t="s">
        <v>350</v>
      </c>
      <c r="R3507" s="55">
        <v>3</v>
      </c>
      <c r="S3507" s="55"/>
      <c r="T3507" s="55" t="s">
        <v>2119</v>
      </c>
      <c r="U3507" s="73" t="s">
        <v>351</v>
      </c>
      <c r="V3507" s="74">
        <v>44355</v>
      </c>
      <c r="W3507" s="74">
        <v>44379</v>
      </c>
      <c r="X3507" s="55">
        <v>10185011</v>
      </c>
      <c r="Y3507" s="55" t="s">
        <v>130</v>
      </c>
      <c r="AB3507" s="55" t="s">
        <v>130</v>
      </c>
      <c r="AC3507" s="55" t="s">
        <v>130</v>
      </c>
    </row>
    <row r="3508" spans="1:29" ht="13" x14ac:dyDescent="0.15">
      <c r="A3508" s="72" t="str">
        <f t="shared" si="54"/>
        <v>Ofsted Social Care Provider Webpage</v>
      </c>
      <c r="B3508" s="55" t="s">
        <v>6517</v>
      </c>
      <c r="D3508" s="55" t="s">
        <v>373</v>
      </c>
      <c r="E3508" s="74">
        <v>42094</v>
      </c>
      <c r="F3508" s="55" t="s">
        <v>344</v>
      </c>
      <c r="G3508" s="55" t="s">
        <v>360</v>
      </c>
      <c r="H3508" s="55" t="s">
        <v>360</v>
      </c>
      <c r="I3508" s="55" t="s">
        <v>360</v>
      </c>
      <c r="J3508" s="55" t="s">
        <v>360</v>
      </c>
      <c r="K3508" s="55" t="s">
        <v>360</v>
      </c>
      <c r="L3508" s="55" t="s">
        <v>360</v>
      </c>
      <c r="M3508" s="55" t="s">
        <v>138</v>
      </c>
      <c r="N3508" s="55" t="s">
        <v>138</v>
      </c>
      <c r="O3508" s="55" t="s">
        <v>137</v>
      </c>
      <c r="P3508" s="55" t="s">
        <v>643</v>
      </c>
      <c r="Q3508" s="55" t="s">
        <v>350</v>
      </c>
      <c r="R3508" s="55">
        <v>3</v>
      </c>
      <c r="S3508" s="55"/>
      <c r="T3508" s="55" t="s">
        <v>4819</v>
      </c>
      <c r="U3508" s="73" t="s">
        <v>351</v>
      </c>
      <c r="V3508" s="74">
        <v>44509</v>
      </c>
      <c r="W3508" s="74">
        <v>44540</v>
      </c>
      <c r="X3508" s="55">
        <v>10186519</v>
      </c>
      <c r="Y3508" s="55" t="s">
        <v>132</v>
      </c>
      <c r="AB3508" s="55" t="s">
        <v>132</v>
      </c>
      <c r="AC3508" s="55" t="s">
        <v>132</v>
      </c>
    </row>
    <row r="3509" spans="1:29" ht="13" x14ac:dyDescent="0.15">
      <c r="A3509" s="72" t="str">
        <f t="shared" si="54"/>
        <v>Ofsted Social Care Provider Webpage</v>
      </c>
      <c r="B3509" s="55" t="s">
        <v>6518</v>
      </c>
      <c r="D3509" s="55" t="s">
        <v>373</v>
      </c>
      <c r="E3509" s="74">
        <v>42029</v>
      </c>
      <c r="F3509" s="55" t="s">
        <v>344</v>
      </c>
      <c r="G3509" s="55" t="s">
        <v>360</v>
      </c>
      <c r="H3509" s="55" t="s">
        <v>360</v>
      </c>
      <c r="I3509" s="55" t="s">
        <v>360</v>
      </c>
      <c r="J3509" s="55" t="s">
        <v>360</v>
      </c>
      <c r="K3509" s="55" t="s">
        <v>360</v>
      </c>
      <c r="L3509" s="55" t="s">
        <v>360</v>
      </c>
      <c r="M3509" s="55" t="s">
        <v>150</v>
      </c>
      <c r="N3509" s="55" t="s">
        <v>150</v>
      </c>
      <c r="O3509" s="55" t="s">
        <v>285</v>
      </c>
      <c r="P3509" s="55" t="s">
        <v>796</v>
      </c>
      <c r="Q3509" s="55" t="s">
        <v>350</v>
      </c>
      <c r="R3509" s="55">
        <v>6</v>
      </c>
      <c r="S3509" s="55"/>
      <c r="T3509" s="55" t="s">
        <v>2654</v>
      </c>
      <c r="U3509" s="73" t="s">
        <v>351</v>
      </c>
      <c r="V3509" s="74">
        <v>44454</v>
      </c>
      <c r="W3509" s="74">
        <v>44483</v>
      </c>
      <c r="X3509" s="55">
        <v>10186567</v>
      </c>
      <c r="Y3509" s="55" t="s">
        <v>132</v>
      </c>
      <c r="AB3509" s="55" t="s">
        <v>132</v>
      </c>
      <c r="AC3509" s="55" t="s">
        <v>132</v>
      </c>
    </row>
    <row r="3510" spans="1:29" ht="13" x14ac:dyDescent="0.15">
      <c r="A3510" s="72" t="str">
        <f t="shared" si="54"/>
        <v>Ofsted Social Care Provider Webpage</v>
      </c>
      <c r="B3510" s="55" t="s">
        <v>6519</v>
      </c>
      <c r="D3510" s="55" t="s">
        <v>479</v>
      </c>
      <c r="E3510" s="74">
        <v>42047</v>
      </c>
      <c r="F3510" s="55" t="s">
        <v>344</v>
      </c>
      <c r="G3510" s="55" t="s">
        <v>360</v>
      </c>
      <c r="H3510" s="55" t="s">
        <v>360</v>
      </c>
      <c r="I3510" s="55" t="s">
        <v>360</v>
      </c>
      <c r="J3510" s="55" t="s">
        <v>360</v>
      </c>
      <c r="K3510" s="55" t="s">
        <v>360</v>
      </c>
      <c r="L3510" s="55" t="s">
        <v>360</v>
      </c>
      <c r="M3510" s="55" t="s">
        <v>144</v>
      </c>
      <c r="N3510" s="55" t="s">
        <v>144</v>
      </c>
      <c r="O3510" s="55" t="s">
        <v>162</v>
      </c>
      <c r="P3510" s="55" t="s">
        <v>516</v>
      </c>
      <c r="Q3510" s="55" t="s">
        <v>350</v>
      </c>
      <c r="R3510" s="55">
        <v>20</v>
      </c>
      <c r="S3510" s="55"/>
      <c r="T3510" s="55" t="s">
        <v>6520</v>
      </c>
      <c r="U3510" s="73" t="s">
        <v>351</v>
      </c>
      <c r="V3510" s="74">
        <v>44595</v>
      </c>
      <c r="W3510" s="74">
        <v>44641</v>
      </c>
      <c r="X3510" s="55">
        <v>10185970</v>
      </c>
      <c r="Y3510" s="55" t="s">
        <v>132</v>
      </c>
      <c r="AB3510" s="55" t="s">
        <v>130</v>
      </c>
      <c r="AC3510" s="55" t="s">
        <v>132</v>
      </c>
    </row>
    <row r="3511" spans="1:29" ht="13" x14ac:dyDescent="0.15">
      <c r="A3511" s="72" t="str">
        <f t="shared" si="54"/>
        <v>Ofsted Social Care Provider Webpage</v>
      </c>
      <c r="B3511" s="55" t="s">
        <v>6521</v>
      </c>
      <c r="D3511" s="55" t="s">
        <v>389</v>
      </c>
      <c r="E3511" s="74">
        <v>42198</v>
      </c>
      <c r="F3511" s="55" t="s">
        <v>344</v>
      </c>
      <c r="G3511" s="55" t="s">
        <v>6522</v>
      </c>
      <c r="H3511" s="55" t="s">
        <v>6523</v>
      </c>
      <c r="I3511" s="55" t="s">
        <v>6524</v>
      </c>
      <c r="J3511" s="55" t="s">
        <v>6525</v>
      </c>
      <c r="K3511" s="55" t="s">
        <v>142</v>
      </c>
      <c r="L3511" s="55" t="s">
        <v>6526</v>
      </c>
      <c r="M3511" s="55" t="s">
        <v>142</v>
      </c>
      <c r="N3511" s="55" t="s">
        <v>142</v>
      </c>
      <c r="O3511" s="55" t="s">
        <v>249</v>
      </c>
      <c r="P3511" s="55" t="s">
        <v>1149</v>
      </c>
      <c r="Q3511" s="55" t="s">
        <v>350</v>
      </c>
      <c r="R3511" s="55"/>
      <c r="S3511" s="55"/>
      <c r="T3511" s="55" t="s">
        <v>6527</v>
      </c>
      <c r="U3511" s="73" t="s">
        <v>351</v>
      </c>
      <c r="V3511" s="74">
        <v>43780</v>
      </c>
      <c r="W3511" s="74">
        <v>43817</v>
      </c>
      <c r="X3511" s="55">
        <v>10093264</v>
      </c>
      <c r="Y3511" s="55" t="s">
        <v>140</v>
      </c>
      <c r="AB3511" s="55" t="s">
        <v>140</v>
      </c>
      <c r="AC3511" s="55" t="s">
        <v>140</v>
      </c>
    </row>
    <row r="3512" spans="1:29" ht="13" x14ac:dyDescent="0.15">
      <c r="A3512" s="72" t="str">
        <f t="shared" si="54"/>
        <v>Ofsted Social Care Provider Webpage</v>
      </c>
      <c r="B3512" s="55" t="s">
        <v>6528</v>
      </c>
      <c r="D3512" s="55" t="s">
        <v>373</v>
      </c>
      <c r="E3512" s="74">
        <v>42046</v>
      </c>
      <c r="F3512" s="55" t="s">
        <v>344</v>
      </c>
      <c r="G3512" s="55" t="s">
        <v>360</v>
      </c>
      <c r="H3512" s="55" t="s">
        <v>360</v>
      </c>
      <c r="I3512" s="55" t="s">
        <v>360</v>
      </c>
      <c r="J3512" s="55" t="s">
        <v>360</v>
      </c>
      <c r="K3512" s="55" t="s">
        <v>360</v>
      </c>
      <c r="L3512" s="55" t="s">
        <v>360</v>
      </c>
      <c r="M3512" s="55" t="s">
        <v>378</v>
      </c>
      <c r="N3512" s="55" t="s">
        <v>170</v>
      </c>
      <c r="O3512" s="55" t="s">
        <v>264</v>
      </c>
      <c r="P3512" s="55" t="s">
        <v>1334</v>
      </c>
      <c r="Q3512" s="55" t="s">
        <v>350</v>
      </c>
      <c r="R3512" s="55">
        <v>5</v>
      </c>
      <c r="S3512" s="55"/>
      <c r="T3512" s="55" t="s">
        <v>438</v>
      </c>
      <c r="U3512" s="73" t="s">
        <v>351</v>
      </c>
      <c r="V3512" s="74">
        <v>44614</v>
      </c>
      <c r="W3512" s="74">
        <v>44656</v>
      </c>
      <c r="X3512" s="55">
        <v>10186801</v>
      </c>
      <c r="Y3512" s="55" t="s">
        <v>140</v>
      </c>
      <c r="AB3512" s="55" t="s">
        <v>140</v>
      </c>
      <c r="AC3512" s="55" t="s">
        <v>140</v>
      </c>
    </row>
    <row r="3513" spans="1:29" ht="13" x14ac:dyDescent="0.15">
      <c r="A3513" s="72" t="str">
        <f t="shared" si="54"/>
        <v>Ofsted Social Care Provider Webpage</v>
      </c>
      <c r="B3513" s="55" t="s">
        <v>6529</v>
      </c>
      <c r="D3513" s="55" t="s">
        <v>373</v>
      </c>
      <c r="E3513" s="74">
        <v>42036</v>
      </c>
      <c r="F3513" s="55" t="s">
        <v>344</v>
      </c>
      <c r="G3513" s="55" t="s">
        <v>360</v>
      </c>
      <c r="H3513" s="55" t="s">
        <v>360</v>
      </c>
      <c r="I3513" s="55" t="s">
        <v>360</v>
      </c>
      <c r="J3513" s="55" t="s">
        <v>360</v>
      </c>
      <c r="K3513" s="55" t="s">
        <v>360</v>
      </c>
      <c r="L3513" s="55" t="s">
        <v>360</v>
      </c>
      <c r="M3513" s="55" t="s">
        <v>378</v>
      </c>
      <c r="N3513" s="55" t="s">
        <v>134</v>
      </c>
      <c r="O3513" s="55" t="s">
        <v>151</v>
      </c>
      <c r="P3513" s="55" t="s">
        <v>1778</v>
      </c>
      <c r="Q3513" s="55" t="s">
        <v>350</v>
      </c>
      <c r="R3513" s="55">
        <v>6</v>
      </c>
      <c r="S3513" s="55"/>
      <c r="T3513" s="55" t="s">
        <v>493</v>
      </c>
      <c r="U3513" s="73" t="s">
        <v>351</v>
      </c>
      <c r="V3513" s="74">
        <v>44531</v>
      </c>
      <c r="W3513" s="74">
        <v>44582</v>
      </c>
      <c r="X3513" s="55">
        <v>10187607</v>
      </c>
      <c r="Y3513" s="55" t="s">
        <v>132</v>
      </c>
      <c r="AB3513" s="55" t="s">
        <v>132</v>
      </c>
      <c r="AC3513" s="55" t="s">
        <v>140</v>
      </c>
    </row>
    <row r="3514" spans="1:29" ht="13" x14ac:dyDescent="0.15">
      <c r="A3514" s="72" t="str">
        <f t="shared" si="54"/>
        <v>Ofsted Social Care Provider Webpage</v>
      </c>
      <c r="B3514" s="55" t="s">
        <v>6530</v>
      </c>
      <c r="D3514" s="55" t="s">
        <v>373</v>
      </c>
      <c r="E3514" s="74">
        <v>42100</v>
      </c>
      <c r="F3514" s="55" t="s">
        <v>344</v>
      </c>
      <c r="G3514" s="55" t="s">
        <v>360</v>
      </c>
      <c r="H3514" s="55" t="s">
        <v>360</v>
      </c>
      <c r="I3514" s="55" t="s">
        <v>360</v>
      </c>
      <c r="J3514" s="55" t="s">
        <v>360</v>
      </c>
      <c r="K3514" s="55" t="s">
        <v>360</v>
      </c>
      <c r="L3514" s="55" t="s">
        <v>360</v>
      </c>
      <c r="M3514" s="55" t="s">
        <v>150</v>
      </c>
      <c r="N3514" s="55" t="s">
        <v>150</v>
      </c>
      <c r="O3514" s="55" t="s">
        <v>181</v>
      </c>
      <c r="P3514" s="55" t="s">
        <v>937</v>
      </c>
      <c r="Q3514" s="55" t="s">
        <v>350</v>
      </c>
      <c r="R3514" s="55">
        <v>2</v>
      </c>
      <c r="S3514" s="55"/>
      <c r="T3514" s="55" t="s">
        <v>5670</v>
      </c>
      <c r="U3514" s="73" t="s">
        <v>351</v>
      </c>
      <c r="V3514" s="74">
        <v>44341</v>
      </c>
      <c r="W3514" s="74">
        <v>44396</v>
      </c>
      <c r="X3514" s="55">
        <v>10185026</v>
      </c>
      <c r="Y3514" s="55" t="s">
        <v>132</v>
      </c>
      <c r="AB3514" s="55" t="s">
        <v>132</v>
      </c>
      <c r="AC3514" s="55" t="s">
        <v>130</v>
      </c>
    </row>
    <row r="3515" spans="1:29" ht="13" x14ac:dyDescent="0.15">
      <c r="A3515" s="72" t="str">
        <f t="shared" si="54"/>
        <v>Ofsted Social Care Provider Webpage</v>
      </c>
      <c r="B3515" s="55" t="s">
        <v>6531</v>
      </c>
      <c r="D3515" s="55" t="s">
        <v>373</v>
      </c>
      <c r="E3515" s="74">
        <v>42023</v>
      </c>
      <c r="F3515" s="55" t="s">
        <v>344</v>
      </c>
      <c r="G3515" s="55" t="s">
        <v>360</v>
      </c>
      <c r="H3515" s="55" t="s">
        <v>360</v>
      </c>
      <c r="I3515" s="55" t="s">
        <v>360</v>
      </c>
      <c r="J3515" s="55" t="s">
        <v>360</v>
      </c>
      <c r="K3515" s="55" t="s">
        <v>360</v>
      </c>
      <c r="L3515" s="55" t="s">
        <v>360</v>
      </c>
      <c r="M3515" s="55" t="s">
        <v>172</v>
      </c>
      <c r="N3515" s="55" t="s">
        <v>172</v>
      </c>
      <c r="O3515" s="55" t="s">
        <v>235</v>
      </c>
      <c r="P3515" s="55" t="s">
        <v>1396</v>
      </c>
      <c r="Q3515" s="55" t="s">
        <v>350</v>
      </c>
      <c r="R3515" s="55">
        <v>3</v>
      </c>
      <c r="S3515" s="55"/>
      <c r="T3515" s="55" t="s">
        <v>1819</v>
      </c>
      <c r="U3515" s="73" t="s">
        <v>351</v>
      </c>
      <c r="V3515" s="74">
        <v>44370</v>
      </c>
      <c r="W3515" s="74">
        <v>44407</v>
      </c>
      <c r="X3515" s="55">
        <v>10186178</v>
      </c>
      <c r="Y3515" s="55" t="s">
        <v>140</v>
      </c>
      <c r="AB3515" s="55" t="s">
        <v>132</v>
      </c>
      <c r="AC3515" s="55" t="s">
        <v>140</v>
      </c>
    </row>
    <row r="3516" spans="1:29" ht="13" x14ac:dyDescent="0.15">
      <c r="A3516" s="72" t="str">
        <f t="shared" si="54"/>
        <v>Ofsted Social Care Provider Webpage</v>
      </c>
      <c r="B3516" s="55" t="s">
        <v>6532</v>
      </c>
      <c r="D3516" s="55" t="s">
        <v>389</v>
      </c>
      <c r="E3516" s="74">
        <v>42045</v>
      </c>
      <c r="F3516" s="55" t="s">
        <v>344</v>
      </c>
      <c r="G3516" s="55" t="s">
        <v>6533</v>
      </c>
      <c r="H3516" s="55" t="s">
        <v>6534</v>
      </c>
      <c r="I3516" s="55" t="s">
        <v>6535</v>
      </c>
      <c r="L3516" s="55" t="s">
        <v>6536</v>
      </c>
      <c r="M3516" s="55" t="s">
        <v>129</v>
      </c>
      <c r="N3516" s="55" t="s">
        <v>129</v>
      </c>
      <c r="O3516" s="55" t="s">
        <v>167</v>
      </c>
      <c r="P3516" s="55" t="s">
        <v>2239</v>
      </c>
      <c r="Q3516" s="55" t="s">
        <v>362</v>
      </c>
      <c r="R3516" s="55"/>
      <c r="S3516" s="55"/>
      <c r="T3516" s="55" t="s">
        <v>6537</v>
      </c>
      <c r="U3516" s="73" t="s">
        <v>351</v>
      </c>
      <c r="V3516" s="74">
        <v>43500</v>
      </c>
      <c r="W3516" s="74">
        <v>43532</v>
      </c>
      <c r="X3516" s="55">
        <v>10045647</v>
      </c>
      <c r="Y3516" s="55" t="s">
        <v>132</v>
      </c>
      <c r="AB3516" s="55" t="s">
        <v>132</v>
      </c>
      <c r="AC3516" s="55" t="s">
        <v>132</v>
      </c>
    </row>
    <row r="3517" spans="1:29" ht="13" x14ac:dyDescent="0.15">
      <c r="A3517" s="72" t="str">
        <f t="shared" si="54"/>
        <v>Ofsted Social Care Provider Webpage</v>
      </c>
      <c r="B3517" s="55" t="s">
        <v>6538</v>
      </c>
      <c r="D3517" s="55" t="s">
        <v>468</v>
      </c>
      <c r="E3517" s="74">
        <v>42046</v>
      </c>
      <c r="F3517" s="55" t="s">
        <v>344</v>
      </c>
      <c r="G3517" s="55" t="s">
        <v>6539</v>
      </c>
      <c r="H3517" s="55" t="s">
        <v>6534</v>
      </c>
      <c r="I3517" s="55" t="s">
        <v>6535</v>
      </c>
      <c r="L3517" s="55" t="s">
        <v>6536</v>
      </c>
      <c r="M3517" s="55" t="s">
        <v>129</v>
      </c>
      <c r="N3517" s="55" t="s">
        <v>129</v>
      </c>
      <c r="O3517" s="55" t="s">
        <v>167</v>
      </c>
      <c r="P3517" s="55" t="s">
        <v>2239</v>
      </c>
      <c r="Q3517" s="55" t="s">
        <v>362</v>
      </c>
      <c r="R3517" s="55"/>
      <c r="S3517" s="55"/>
      <c r="T3517" s="55" t="s">
        <v>6537</v>
      </c>
      <c r="U3517" s="73" t="s">
        <v>351</v>
      </c>
      <c r="V3517" s="74">
        <v>43381</v>
      </c>
      <c r="W3517" s="74">
        <v>43417</v>
      </c>
      <c r="X3517" s="55">
        <v>10046732</v>
      </c>
      <c r="Y3517" s="55" t="s">
        <v>132</v>
      </c>
      <c r="AB3517" s="55" t="s">
        <v>132</v>
      </c>
      <c r="AC3517" s="55" t="s">
        <v>132</v>
      </c>
    </row>
    <row r="3518" spans="1:29" ht="13" x14ac:dyDescent="0.15">
      <c r="A3518" s="72" t="str">
        <f t="shared" si="54"/>
        <v>Ofsted Social Care Provider Webpage</v>
      </c>
      <c r="B3518" s="55" t="s">
        <v>6540</v>
      </c>
      <c r="D3518" s="55" t="s">
        <v>373</v>
      </c>
      <c r="E3518" s="74">
        <v>42067</v>
      </c>
      <c r="F3518" s="55" t="s">
        <v>344</v>
      </c>
      <c r="G3518" s="55" t="s">
        <v>360</v>
      </c>
      <c r="H3518" s="55" t="s">
        <v>360</v>
      </c>
      <c r="I3518" s="55" t="s">
        <v>360</v>
      </c>
      <c r="J3518" s="55" t="s">
        <v>360</v>
      </c>
      <c r="K3518" s="55" t="s">
        <v>360</v>
      </c>
      <c r="L3518" s="55" t="s">
        <v>360</v>
      </c>
      <c r="M3518" s="55" t="s">
        <v>138</v>
      </c>
      <c r="N3518" s="55" t="s">
        <v>138</v>
      </c>
      <c r="O3518" s="55" t="s">
        <v>137</v>
      </c>
      <c r="P3518" s="55" t="s">
        <v>643</v>
      </c>
      <c r="Q3518" s="55" t="s">
        <v>350</v>
      </c>
      <c r="R3518" s="55">
        <v>4</v>
      </c>
      <c r="S3518" s="55"/>
      <c r="T3518" s="55" t="s">
        <v>762</v>
      </c>
      <c r="U3518" s="73" t="s">
        <v>351</v>
      </c>
      <c r="V3518" s="74">
        <v>44571</v>
      </c>
      <c r="W3518" s="74">
        <v>44599</v>
      </c>
      <c r="X3518" s="55">
        <v>10187341</v>
      </c>
      <c r="Y3518" s="55" t="s">
        <v>132</v>
      </c>
      <c r="AB3518" s="55" t="s">
        <v>132</v>
      </c>
      <c r="AC3518" s="55" t="s">
        <v>130</v>
      </c>
    </row>
    <row r="3519" spans="1:29" ht="13" x14ac:dyDescent="0.15">
      <c r="A3519" s="72" t="str">
        <f t="shared" si="54"/>
        <v>Ofsted Social Care Provider Webpage</v>
      </c>
      <c r="B3519" s="55" t="s">
        <v>6541</v>
      </c>
      <c r="D3519" s="55" t="s">
        <v>451</v>
      </c>
      <c r="E3519" s="74">
        <v>42081</v>
      </c>
      <c r="F3519" s="55" t="s">
        <v>344</v>
      </c>
      <c r="G3519" s="55" t="s">
        <v>6542</v>
      </c>
      <c r="H3519" s="55" t="s">
        <v>6543</v>
      </c>
      <c r="I3519" s="55" t="s">
        <v>354</v>
      </c>
      <c r="J3519" s="55" t="s">
        <v>2578</v>
      </c>
      <c r="L3519" s="55" t="s">
        <v>6544</v>
      </c>
      <c r="M3519" s="55" t="s">
        <v>129</v>
      </c>
      <c r="N3519" s="55" t="s">
        <v>129</v>
      </c>
      <c r="O3519" s="55" t="s">
        <v>179</v>
      </c>
      <c r="P3519" s="55" t="s">
        <v>1854</v>
      </c>
      <c r="Q3519" s="55" t="s">
        <v>350</v>
      </c>
      <c r="R3519" s="55">
        <v>3</v>
      </c>
      <c r="S3519" s="55"/>
      <c r="T3519" s="55" t="s">
        <v>2059</v>
      </c>
      <c r="U3519" s="73" t="s">
        <v>351</v>
      </c>
      <c r="V3519" s="74">
        <v>43746</v>
      </c>
      <c r="W3519" s="74">
        <v>43781</v>
      </c>
      <c r="X3519" s="55">
        <v>10092992</v>
      </c>
      <c r="Y3519" s="55" t="s">
        <v>132</v>
      </c>
      <c r="AB3519" s="55" t="s">
        <v>132</v>
      </c>
      <c r="AC3519" s="55" t="s">
        <v>132</v>
      </c>
    </row>
    <row r="3520" spans="1:29" ht="13" x14ac:dyDescent="0.15">
      <c r="A3520" s="72" t="str">
        <f t="shared" si="54"/>
        <v>Ofsted Social Care Provider Webpage</v>
      </c>
      <c r="B3520" s="55" t="s">
        <v>6545</v>
      </c>
      <c r="D3520" s="55" t="s">
        <v>373</v>
      </c>
      <c r="E3520" s="74">
        <v>42031</v>
      </c>
      <c r="F3520" s="55" t="s">
        <v>344</v>
      </c>
      <c r="G3520" s="55" t="s">
        <v>360</v>
      </c>
      <c r="H3520" s="55" t="s">
        <v>360</v>
      </c>
      <c r="I3520" s="55" t="s">
        <v>360</v>
      </c>
      <c r="J3520" s="55" t="s">
        <v>360</v>
      </c>
      <c r="K3520" s="55" t="s">
        <v>360</v>
      </c>
      <c r="L3520" s="55" t="s">
        <v>360</v>
      </c>
      <c r="M3520" s="55" t="s">
        <v>144</v>
      </c>
      <c r="N3520" s="55" t="s">
        <v>144</v>
      </c>
      <c r="O3520" s="55" t="s">
        <v>147</v>
      </c>
      <c r="P3520" s="55" t="s">
        <v>674</v>
      </c>
      <c r="Q3520" s="55" t="s">
        <v>362</v>
      </c>
      <c r="R3520" s="55">
        <v>3</v>
      </c>
      <c r="S3520" s="55"/>
      <c r="T3520" s="55" t="s">
        <v>675</v>
      </c>
      <c r="U3520" s="73" t="s">
        <v>351</v>
      </c>
      <c r="V3520" s="74">
        <v>44355</v>
      </c>
      <c r="W3520" s="74">
        <v>44383</v>
      </c>
      <c r="X3520" s="55">
        <v>10187655</v>
      </c>
      <c r="Y3520" s="55" t="s">
        <v>132</v>
      </c>
      <c r="AB3520" s="55" t="s">
        <v>132</v>
      </c>
      <c r="AC3520" s="55" t="s">
        <v>130</v>
      </c>
    </row>
    <row r="3521" spans="1:29" ht="13" x14ac:dyDescent="0.15">
      <c r="A3521" s="72" t="str">
        <f t="shared" si="54"/>
        <v>Ofsted Social Care Provider Webpage</v>
      </c>
      <c r="B3521" s="55" t="s">
        <v>6546</v>
      </c>
      <c r="D3521" s="55" t="s">
        <v>389</v>
      </c>
      <c r="E3521" s="74">
        <v>42146</v>
      </c>
      <c r="F3521" s="55" t="s">
        <v>344</v>
      </c>
      <c r="G3521" s="55" t="s">
        <v>6547</v>
      </c>
      <c r="H3521" s="55" t="s">
        <v>2019</v>
      </c>
      <c r="I3521" s="55" t="s">
        <v>6548</v>
      </c>
      <c r="J3521" s="55" t="s">
        <v>5896</v>
      </c>
      <c r="K3521" s="55" t="s">
        <v>183</v>
      </c>
      <c r="L3521" s="55" t="s">
        <v>2021</v>
      </c>
      <c r="M3521" s="55" t="s">
        <v>129</v>
      </c>
      <c r="N3521" s="55" t="s">
        <v>129</v>
      </c>
      <c r="O3521" s="55" t="s">
        <v>242</v>
      </c>
      <c r="P3521" s="55" t="s">
        <v>1519</v>
      </c>
      <c r="Q3521" s="55" t="s">
        <v>350</v>
      </c>
      <c r="R3521" s="55"/>
      <c r="S3521" s="55"/>
      <c r="T3521" s="55" t="s">
        <v>6549</v>
      </c>
      <c r="U3521" s="73" t="s">
        <v>351</v>
      </c>
      <c r="V3521" s="74">
        <v>43416</v>
      </c>
      <c r="W3521" s="74">
        <v>43447</v>
      </c>
      <c r="X3521" s="55">
        <v>10046852</v>
      </c>
      <c r="Y3521" s="55" t="s">
        <v>132</v>
      </c>
      <c r="AB3521" s="55" t="s">
        <v>132</v>
      </c>
      <c r="AC3521" s="55" t="s">
        <v>130</v>
      </c>
    </row>
    <row r="3522" spans="1:29" ht="13" x14ac:dyDescent="0.15">
      <c r="A3522" s="72" t="str">
        <f t="shared" si="54"/>
        <v>Ofsted Social Care Provider Webpage</v>
      </c>
      <c r="B3522" s="55" t="s">
        <v>6550</v>
      </c>
      <c r="D3522" s="55" t="s">
        <v>373</v>
      </c>
      <c r="E3522" s="74">
        <v>42057</v>
      </c>
      <c r="F3522" s="55" t="s">
        <v>344</v>
      </c>
      <c r="G3522" s="55" t="s">
        <v>360</v>
      </c>
      <c r="H3522" s="55" t="s">
        <v>360</v>
      </c>
      <c r="I3522" s="55" t="s">
        <v>360</v>
      </c>
      <c r="J3522" s="55" t="s">
        <v>360</v>
      </c>
      <c r="K3522" s="55" t="s">
        <v>360</v>
      </c>
      <c r="L3522" s="55" t="s">
        <v>360</v>
      </c>
      <c r="M3522" s="55" t="s">
        <v>142</v>
      </c>
      <c r="N3522" s="55" t="s">
        <v>142</v>
      </c>
      <c r="O3522" s="55" t="s">
        <v>262</v>
      </c>
      <c r="P3522" s="55" t="s">
        <v>692</v>
      </c>
      <c r="Q3522" s="55" t="s">
        <v>350</v>
      </c>
      <c r="R3522" s="55">
        <v>2</v>
      </c>
      <c r="S3522" s="55"/>
      <c r="T3522" s="55" t="s">
        <v>1106</v>
      </c>
      <c r="U3522" s="73" t="s">
        <v>351</v>
      </c>
      <c r="V3522" s="74">
        <v>44621</v>
      </c>
      <c r="W3522" s="74">
        <v>44662</v>
      </c>
      <c r="X3522" s="55">
        <v>10185056</v>
      </c>
      <c r="Y3522" s="55" t="s">
        <v>132</v>
      </c>
      <c r="AB3522" s="55" t="s">
        <v>132</v>
      </c>
      <c r="AC3522" s="55" t="s">
        <v>132</v>
      </c>
    </row>
    <row r="3523" spans="1:29" ht="13" x14ac:dyDescent="0.15">
      <c r="A3523" s="72" t="str">
        <f t="shared" si="54"/>
        <v>Ofsted Social Care Provider Webpage</v>
      </c>
      <c r="B3523" s="55" t="s">
        <v>6551</v>
      </c>
      <c r="D3523" s="55" t="s">
        <v>373</v>
      </c>
      <c r="E3523" s="74">
        <v>42046</v>
      </c>
      <c r="F3523" s="55" t="s">
        <v>344</v>
      </c>
      <c r="G3523" s="55" t="s">
        <v>360</v>
      </c>
      <c r="H3523" s="55" t="s">
        <v>360</v>
      </c>
      <c r="I3523" s="55" t="s">
        <v>360</v>
      </c>
      <c r="J3523" s="55" t="s">
        <v>360</v>
      </c>
      <c r="K3523" s="55" t="s">
        <v>360</v>
      </c>
      <c r="L3523" s="55" t="s">
        <v>360</v>
      </c>
      <c r="M3523" s="55" t="s">
        <v>129</v>
      </c>
      <c r="N3523" s="55" t="s">
        <v>129</v>
      </c>
      <c r="O3523" s="55" t="s">
        <v>197</v>
      </c>
      <c r="P3523" s="55" t="s">
        <v>532</v>
      </c>
      <c r="Q3523" s="55" t="s">
        <v>350</v>
      </c>
      <c r="R3523" s="55">
        <v>10</v>
      </c>
      <c r="S3523" s="55"/>
      <c r="U3523" s="73" t="s">
        <v>351</v>
      </c>
      <c r="V3523" s="74">
        <v>44516</v>
      </c>
      <c r="W3523" s="74">
        <v>44587</v>
      </c>
      <c r="X3523" s="55">
        <v>10185276</v>
      </c>
      <c r="Y3523" s="55" t="s">
        <v>132</v>
      </c>
      <c r="AB3523" s="55" t="s">
        <v>132</v>
      </c>
      <c r="AC3523" s="55" t="s">
        <v>130</v>
      </c>
    </row>
    <row r="3524" spans="1:29" ht="13" x14ac:dyDescent="0.15">
      <c r="A3524" s="72" t="str">
        <f t="shared" si="54"/>
        <v>Ofsted Social Care Provider Webpage</v>
      </c>
      <c r="B3524" s="55" t="s">
        <v>6552</v>
      </c>
      <c r="C3524" s="55">
        <v>134764</v>
      </c>
      <c r="D3524" s="55" t="s">
        <v>398</v>
      </c>
      <c r="E3524" s="74">
        <v>41955</v>
      </c>
      <c r="F3524" s="55" t="s">
        <v>344</v>
      </c>
      <c r="G3524" s="55" t="s">
        <v>6553</v>
      </c>
      <c r="H3524" s="55" t="s">
        <v>6554</v>
      </c>
      <c r="I3524" s="55" t="s">
        <v>354</v>
      </c>
      <c r="J3524" s="55" t="s">
        <v>129</v>
      </c>
      <c r="L3524" s="55" t="s">
        <v>6555</v>
      </c>
      <c r="M3524" s="55" t="s">
        <v>129</v>
      </c>
      <c r="N3524" s="55" t="s">
        <v>129</v>
      </c>
      <c r="O3524" s="55" t="s">
        <v>131</v>
      </c>
      <c r="P3524" s="55" t="s">
        <v>1017</v>
      </c>
      <c r="Q3524" s="55" t="s">
        <v>350</v>
      </c>
      <c r="R3524" s="55">
        <v>9</v>
      </c>
      <c r="S3524" s="55"/>
      <c r="T3524" s="55" t="s">
        <v>6556</v>
      </c>
      <c r="U3524" s="73" t="s">
        <v>351</v>
      </c>
      <c r="V3524" s="74">
        <v>43598</v>
      </c>
      <c r="W3524" s="74">
        <v>43627</v>
      </c>
      <c r="X3524" s="55">
        <v>10092971</v>
      </c>
      <c r="Y3524" s="55" t="s">
        <v>132</v>
      </c>
      <c r="AB3524" s="55" t="s">
        <v>132</v>
      </c>
      <c r="AC3524" s="55" t="s">
        <v>132</v>
      </c>
    </row>
    <row r="3525" spans="1:29" ht="13" x14ac:dyDescent="0.15">
      <c r="A3525" s="72" t="str">
        <f t="shared" si="54"/>
        <v>Ofsted Social Care Provider Webpage</v>
      </c>
      <c r="B3525" s="55" t="s">
        <v>6557</v>
      </c>
      <c r="D3525" s="55" t="s">
        <v>373</v>
      </c>
      <c r="E3525" s="74">
        <v>42031</v>
      </c>
      <c r="F3525" s="55" t="s">
        <v>344</v>
      </c>
      <c r="G3525" s="55" t="s">
        <v>360</v>
      </c>
      <c r="H3525" s="55" t="s">
        <v>360</v>
      </c>
      <c r="I3525" s="55" t="s">
        <v>360</v>
      </c>
      <c r="J3525" s="55" t="s">
        <v>360</v>
      </c>
      <c r="K3525" s="55" t="s">
        <v>360</v>
      </c>
      <c r="L3525" s="55" t="s">
        <v>360</v>
      </c>
      <c r="M3525" s="55" t="s">
        <v>144</v>
      </c>
      <c r="N3525" s="55" t="s">
        <v>144</v>
      </c>
      <c r="O3525" s="55" t="s">
        <v>209</v>
      </c>
      <c r="P3525" s="55" t="s">
        <v>597</v>
      </c>
      <c r="Q3525" s="55" t="s">
        <v>350</v>
      </c>
      <c r="R3525" s="55">
        <v>2</v>
      </c>
      <c r="S3525" s="55"/>
      <c r="T3525" s="55" t="s">
        <v>513</v>
      </c>
      <c r="U3525" s="73" t="s">
        <v>351</v>
      </c>
      <c r="V3525" s="74">
        <v>44607</v>
      </c>
      <c r="W3525" s="74">
        <v>44652</v>
      </c>
      <c r="X3525" s="55">
        <v>10185846</v>
      </c>
      <c r="Y3525" s="55" t="s">
        <v>132</v>
      </c>
      <c r="AB3525" s="55" t="s">
        <v>132</v>
      </c>
      <c r="AC3525" s="55" t="s">
        <v>132</v>
      </c>
    </row>
    <row r="3526" spans="1:29" ht="13" x14ac:dyDescent="0.15">
      <c r="A3526" s="72" t="str">
        <f t="shared" ref="A3526:A3589" si="55">HYPERLINK(_xlfn.CONCAT("http://reports.ofsted.gov.uk/inspection-reports/find-inspection-report/provider/CARE/",B3526),"Ofsted Social Care Provider Webpage")</f>
        <v>Ofsted Social Care Provider Webpage</v>
      </c>
      <c r="B3526" s="55" t="s">
        <v>6558</v>
      </c>
      <c r="D3526" s="55" t="s">
        <v>373</v>
      </c>
      <c r="E3526" s="74">
        <v>42090</v>
      </c>
      <c r="F3526" s="55" t="s">
        <v>344</v>
      </c>
      <c r="G3526" s="55" t="s">
        <v>360</v>
      </c>
      <c r="H3526" s="55" t="s">
        <v>360</v>
      </c>
      <c r="I3526" s="55" t="s">
        <v>360</v>
      </c>
      <c r="J3526" s="55" t="s">
        <v>360</v>
      </c>
      <c r="K3526" s="55" t="s">
        <v>360</v>
      </c>
      <c r="L3526" s="55" t="s">
        <v>360</v>
      </c>
      <c r="M3526" s="55" t="s">
        <v>150</v>
      </c>
      <c r="N3526" s="55" t="s">
        <v>150</v>
      </c>
      <c r="O3526" s="55" t="s">
        <v>190</v>
      </c>
      <c r="P3526" s="55" t="s">
        <v>1523</v>
      </c>
      <c r="Q3526" s="55" t="s">
        <v>350</v>
      </c>
      <c r="R3526" s="55">
        <v>5</v>
      </c>
      <c r="S3526" s="55"/>
      <c r="T3526" s="55" t="s">
        <v>1960</v>
      </c>
      <c r="U3526" s="73" t="s">
        <v>351</v>
      </c>
      <c r="V3526" s="74">
        <v>44599</v>
      </c>
      <c r="W3526" s="74">
        <v>44657</v>
      </c>
      <c r="X3526" s="55">
        <v>10187273</v>
      </c>
      <c r="Y3526" s="55" t="s">
        <v>130</v>
      </c>
      <c r="AB3526" s="55" t="s">
        <v>130</v>
      </c>
      <c r="AC3526" s="55" t="s">
        <v>130</v>
      </c>
    </row>
    <row r="3527" spans="1:29" ht="13" x14ac:dyDescent="0.15">
      <c r="A3527" s="72" t="str">
        <f t="shared" si="55"/>
        <v>Ofsted Social Care Provider Webpage</v>
      </c>
      <c r="B3527" s="55" t="s">
        <v>6559</v>
      </c>
      <c r="D3527" s="55" t="s">
        <v>373</v>
      </c>
      <c r="E3527" s="74">
        <v>42053</v>
      </c>
      <c r="F3527" s="55" t="s">
        <v>344</v>
      </c>
      <c r="G3527" s="55" t="s">
        <v>360</v>
      </c>
      <c r="H3527" s="55" t="s">
        <v>360</v>
      </c>
      <c r="I3527" s="55" t="s">
        <v>360</v>
      </c>
      <c r="J3527" s="55" t="s">
        <v>360</v>
      </c>
      <c r="K3527" s="55" t="s">
        <v>360</v>
      </c>
      <c r="L3527" s="55" t="s">
        <v>360</v>
      </c>
      <c r="M3527" s="55" t="s">
        <v>136</v>
      </c>
      <c r="N3527" s="55" t="s">
        <v>136</v>
      </c>
      <c r="O3527" s="55" t="s">
        <v>255</v>
      </c>
      <c r="P3527" s="55" t="s">
        <v>757</v>
      </c>
      <c r="Q3527" s="55" t="s">
        <v>350</v>
      </c>
      <c r="R3527" s="55">
        <v>2</v>
      </c>
      <c r="S3527" s="55"/>
      <c r="T3527" s="55" t="s">
        <v>4019</v>
      </c>
      <c r="U3527" s="73" t="s">
        <v>351</v>
      </c>
      <c r="V3527" s="74">
        <v>44529</v>
      </c>
      <c r="W3527" s="74">
        <v>44617</v>
      </c>
      <c r="X3527" s="55">
        <v>10185034</v>
      </c>
      <c r="Y3527" s="55" t="s">
        <v>130</v>
      </c>
      <c r="AB3527" s="55" t="s">
        <v>130</v>
      </c>
      <c r="AC3527" s="55" t="s">
        <v>130</v>
      </c>
    </row>
    <row r="3528" spans="1:29" ht="13" x14ac:dyDescent="0.15">
      <c r="A3528" s="72" t="str">
        <f t="shared" si="55"/>
        <v>Ofsted Social Care Provider Webpage</v>
      </c>
      <c r="B3528" s="55" t="s">
        <v>6560</v>
      </c>
      <c r="D3528" s="55" t="s">
        <v>373</v>
      </c>
      <c r="E3528" s="74">
        <v>42024</v>
      </c>
      <c r="F3528" s="55" t="s">
        <v>344</v>
      </c>
      <c r="G3528" s="55" t="s">
        <v>360</v>
      </c>
      <c r="H3528" s="55" t="s">
        <v>360</v>
      </c>
      <c r="I3528" s="55" t="s">
        <v>360</v>
      </c>
      <c r="J3528" s="55" t="s">
        <v>360</v>
      </c>
      <c r="K3528" s="55" t="s">
        <v>360</v>
      </c>
      <c r="L3528" s="55" t="s">
        <v>360</v>
      </c>
      <c r="M3528" s="55" t="s">
        <v>150</v>
      </c>
      <c r="N3528" s="55" t="s">
        <v>150</v>
      </c>
      <c r="O3528" s="55" t="s">
        <v>190</v>
      </c>
      <c r="P3528" s="55" t="s">
        <v>749</v>
      </c>
      <c r="Q3528" s="55" t="s">
        <v>350</v>
      </c>
      <c r="R3528" s="55">
        <v>3</v>
      </c>
      <c r="S3528" s="55"/>
      <c r="T3528" s="55" t="s">
        <v>888</v>
      </c>
      <c r="U3528" s="73" t="s">
        <v>351</v>
      </c>
      <c r="V3528" s="74">
        <v>44622</v>
      </c>
      <c r="W3528" s="74">
        <v>44680</v>
      </c>
      <c r="X3528" s="55">
        <v>10185938</v>
      </c>
      <c r="Y3528" s="55" t="s">
        <v>132</v>
      </c>
      <c r="AB3528" s="55" t="s">
        <v>132</v>
      </c>
      <c r="AC3528" s="55" t="s">
        <v>132</v>
      </c>
    </row>
    <row r="3529" spans="1:29" ht="13" x14ac:dyDescent="0.15">
      <c r="A3529" s="72" t="str">
        <f t="shared" si="55"/>
        <v>Ofsted Social Care Provider Webpage</v>
      </c>
      <c r="B3529" s="55" t="s">
        <v>6561</v>
      </c>
      <c r="D3529" s="55" t="s">
        <v>373</v>
      </c>
      <c r="E3529" s="74">
        <v>42046</v>
      </c>
      <c r="F3529" s="55" t="s">
        <v>344</v>
      </c>
      <c r="G3529" s="55" t="s">
        <v>360</v>
      </c>
      <c r="H3529" s="55" t="s">
        <v>360</v>
      </c>
      <c r="I3529" s="55" t="s">
        <v>360</v>
      </c>
      <c r="J3529" s="55" t="s">
        <v>360</v>
      </c>
      <c r="K3529" s="55" t="s">
        <v>360</v>
      </c>
      <c r="L3529" s="55" t="s">
        <v>360</v>
      </c>
      <c r="M3529" s="55" t="s">
        <v>378</v>
      </c>
      <c r="N3529" s="55" t="s">
        <v>170</v>
      </c>
      <c r="O3529" s="55" t="s">
        <v>169</v>
      </c>
      <c r="P3529" s="55" t="s">
        <v>434</v>
      </c>
      <c r="Q3529" s="55" t="s">
        <v>350</v>
      </c>
      <c r="R3529" s="55">
        <v>7</v>
      </c>
      <c r="S3529" s="55"/>
      <c r="T3529" s="55" t="s">
        <v>435</v>
      </c>
      <c r="U3529" s="73" t="s">
        <v>351</v>
      </c>
      <c r="V3529" s="74">
        <v>44615</v>
      </c>
      <c r="W3529" s="74">
        <v>44663</v>
      </c>
      <c r="X3529" s="55">
        <v>10186587</v>
      </c>
      <c r="Y3529" s="55" t="s">
        <v>132</v>
      </c>
      <c r="AB3529" s="55" t="s">
        <v>132</v>
      </c>
      <c r="AC3529" s="55" t="s">
        <v>132</v>
      </c>
    </row>
    <row r="3530" spans="1:29" ht="13" x14ac:dyDescent="0.15">
      <c r="A3530" s="72" t="str">
        <f t="shared" si="55"/>
        <v>Ofsted Social Care Provider Webpage</v>
      </c>
      <c r="B3530" s="55" t="s">
        <v>6562</v>
      </c>
      <c r="D3530" s="55" t="s">
        <v>389</v>
      </c>
      <c r="E3530" s="74">
        <v>42059</v>
      </c>
      <c r="F3530" s="55" t="s">
        <v>344</v>
      </c>
      <c r="G3530" s="55" t="s">
        <v>6563</v>
      </c>
      <c r="H3530" s="55" t="s">
        <v>5134</v>
      </c>
      <c r="I3530" s="55" t="s">
        <v>354</v>
      </c>
      <c r="J3530" s="55" t="s">
        <v>6564</v>
      </c>
      <c r="K3530" s="55" t="s">
        <v>285</v>
      </c>
      <c r="L3530" s="55" t="s">
        <v>5136</v>
      </c>
      <c r="M3530" s="55" t="s">
        <v>150</v>
      </c>
      <c r="N3530" s="55" t="s">
        <v>150</v>
      </c>
      <c r="O3530" s="55" t="s">
        <v>285</v>
      </c>
      <c r="P3530" s="55" t="s">
        <v>1810</v>
      </c>
      <c r="Q3530" s="55" t="s">
        <v>350</v>
      </c>
      <c r="R3530" s="55"/>
      <c r="S3530" s="55"/>
      <c r="T3530" s="55" t="s">
        <v>6565</v>
      </c>
      <c r="U3530" s="73" t="s">
        <v>351</v>
      </c>
      <c r="V3530" s="74">
        <v>43479</v>
      </c>
      <c r="W3530" s="74">
        <v>43535</v>
      </c>
      <c r="X3530" s="55">
        <v>10045761</v>
      </c>
      <c r="Y3530" s="55" t="s">
        <v>140</v>
      </c>
      <c r="AB3530" s="55" t="s">
        <v>140</v>
      </c>
      <c r="AC3530" s="55" t="s">
        <v>140</v>
      </c>
    </row>
    <row r="3531" spans="1:29" ht="13" x14ac:dyDescent="0.15">
      <c r="A3531" s="72" t="str">
        <f t="shared" si="55"/>
        <v>Ofsted Social Care Provider Webpage</v>
      </c>
      <c r="B3531" s="55" t="s">
        <v>6566</v>
      </c>
      <c r="D3531" s="55" t="s">
        <v>389</v>
      </c>
      <c r="E3531" s="74">
        <v>42059</v>
      </c>
      <c r="F3531" s="55" t="s">
        <v>344</v>
      </c>
      <c r="G3531" s="55" t="s">
        <v>6567</v>
      </c>
      <c r="H3531" s="55" t="s">
        <v>6565</v>
      </c>
      <c r="I3531" s="55" t="s">
        <v>6568</v>
      </c>
      <c r="J3531" s="55" t="s">
        <v>221</v>
      </c>
      <c r="L3531" s="55" t="s">
        <v>4094</v>
      </c>
      <c r="M3531" s="55" t="s">
        <v>150</v>
      </c>
      <c r="N3531" s="55" t="s">
        <v>150</v>
      </c>
      <c r="O3531" s="55" t="s">
        <v>221</v>
      </c>
      <c r="P3531" s="55" t="s">
        <v>349</v>
      </c>
      <c r="Q3531" s="55" t="s">
        <v>350</v>
      </c>
      <c r="R3531" s="55"/>
      <c r="S3531" s="55"/>
      <c r="T3531" s="55" t="s">
        <v>6565</v>
      </c>
      <c r="U3531" s="73" t="s">
        <v>351</v>
      </c>
      <c r="V3531" s="74">
        <v>43255</v>
      </c>
      <c r="W3531" s="74">
        <v>43285</v>
      </c>
      <c r="X3531" s="55">
        <v>10045789</v>
      </c>
      <c r="Y3531" s="55" t="s">
        <v>132</v>
      </c>
      <c r="AB3531" s="55" t="s">
        <v>132</v>
      </c>
      <c r="AC3531" s="55" t="s">
        <v>132</v>
      </c>
    </row>
    <row r="3532" spans="1:29" ht="13" x14ac:dyDescent="0.15">
      <c r="A3532" s="72" t="str">
        <f t="shared" si="55"/>
        <v>Ofsted Social Care Provider Webpage</v>
      </c>
      <c r="B3532" s="55" t="s">
        <v>6569</v>
      </c>
      <c r="D3532" s="55" t="s">
        <v>389</v>
      </c>
      <c r="E3532" s="74">
        <v>42059</v>
      </c>
      <c r="F3532" s="55" t="s">
        <v>344</v>
      </c>
      <c r="G3532" s="55" t="s">
        <v>6570</v>
      </c>
      <c r="H3532" s="55" t="s">
        <v>6571</v>
      </c>
      <c r="I3532" s="55" t="s">
        <v>6572</v>
      </c>
      <c r="J3532" s="55" t="s">
        <v>6573</v>
      </c>
      <c r="L3532" s="55" t="s">
        <v>6574</v>
      </c>
      <c r="M3532" s="55" t="s">
        <v>378</v>
      </c>
      <c r="N3532" s="55" t="s">
        <v>134</v>
      </c>
      <c r="O3532" s="55" t="s">
        <v>175</v>
      </c>
      <c r="P3532" s="55" t="s">
        <v>666</v>
      </c>
      <c r="Q3532" s="55" t="s">
        <v>350</v>
      </c>
      <c r="R3532" s="55"/>
      <c r="S3532" s="55"/>
      <c r="T3532" s="55" t="s">
        <v>6565</v>
      </c>
      <c r="U3532" s="73" t="s">
        <v>351</v>
      </c>
      <c r="V3532" s="74">
        <v>43759</v>
      </c>
      <c r="W3532" s="74">
        <v>43805</v>
      </c>
      <c r="X3532" s="55">
        <v>10093260</v>
      </c>
      <c r="Y3532" s="55" t="s">
        <v>140</v>
      </c>
      <c r="AB3532" s="55" t="s">
        <v>140</v>
      </c>
      <c r="AC3532" s="55" t="s">
        <v>140</v>
      </c>
    </row>
    <row r="3533" spans="1:29" ht="13" x14ac:dyDescent="0.15">
      <c r="A3533" s="72" t="str">
        <f t="shared" si="55"/>
        <v>Ofsted Social Care Provider Webpage</v>
      </c>
      <c r="B3533" s="55" t="s">
        <v>6575</v>
      </c>
      <c r="D3533" s="55" t="s">
        <v>389</v>
      </c>
      <c r="E3533" s="74">
        <v>42059</v>
      </c>
      <c r="F3533" s="55" t="s">
        <v>344</v>
      </c>
      <c r="G3533" s="55" t="s">
        <v>6576</v>
      </c>
      <c r="H3533" s="55" t="s">
        <v>6577</v>
      </c>
      <c r="I3533" s="55" t="s">
        <v>6578</v>
      </c>
      <c r="J3533" s="55" t="s">
        <v>6579</v>
      </c>
      <c r="K3533" s="55" t="s">
        <v>281</v>
      </c>
      <c r="L3533" s="55" t="s">
        <v>6580</v>
      </c>
      <c r="M3533" s="55" t="s">
        <v>144</v>
      </c>
      <c r="N3533" s="55" t="s">
        <v>144</v>
      </c>
      <c r="O3533" s="55" t="s">
        <v>281</v>
      </c>
      <c r="P3533" s="55" t="s">
        <v>556</v>
      </c>
      <c r="Q3533" s="55" t="s">
        <v>350</v>
      </c>
      <c r="R3533" s="55"/>
      <c r="S3533" s="55"/>
      <c r="T3533" s="55" t="s">
        <v>6565</v>
      </c>
      <c r="U3533" s="73" t="s">
        <v>351</v>
      </c>
      <c r="V3533" s="74">
        <v>43528</v>
      </c>
      <c r="W3533" s="74">
        <v>43572</v>
      </c>
      <c r="X3533" s="55">
        <v>10045760</v>
      </c>
      <c r="Y3533" s="55" t="s">
        <v>140</v>
      </c>
      <c r="AB3533" s="55" t="s">
        <v>140</v>
      </c>
      <c r="AC3533" s="55" t="s">
        <v>140</v>
      </c>
    </row>
    <row r="3534" spans="1:29" ht="13" x14ac:dyDescent="0.15">
      <c r="A3534" s="72" t="str">
        <f t="shared" si="55"/>
        <v>Ofsted Social Care Provider Webpage</v>
      </c>
      <c r="B3534" s="55" t="s">
        <v>6581</v>
      </c>
      <c r="D3534" s="55" t="s">
        <v>389</v>
      </c>
      <c r="E3534" s="74">
        <v>42059</v>
      </c>
      <c r="F3534" s="55" t="s">
        <v>344</v>
      </c>
      <c r="G3534" s="55" t="s">
        <v>6582</v>
      </c>
      <c r="H3534" s="55" t="s">
        <v>6583</v>
      </c>
      <c r="I3534" s="55" t="s">
        <v>6584</v>
      </c>
      <c r="J3534" s="55" t="s">
        <v>916</v>
      </c>
      <c r="K3534" s="55" t="s">
        <v>262</v>
      </c>
      <c r="L3534" s="55" t="s">
        <v>6585</v>
      </c>
      <c r="M3534" s="55" t="s">
        <v>142</v>
      </c>
      <c r="N3534" s="55" t="s">
        <v>142</v>
      </c>
      <c r="O3534" s="55" t="s">
        <v>262</v>
      </c>
      <c r="P3534" s="55" t="s">
        <v>916</v>
      </c>
      <c r="Q3534" s="55" t="s">
        <v>350</v>
      </c>
      <c r="R3534" s="55"/>
      <c r="S3534" s="55"/>
      <c r="T3534" s="55" t="s">
        <v>6565</v>
      </c>
      <c r="U3534" s="73" t="s">
        <v>351</v>
      </c>
      <c r="V3534" s="74">
        <v>43241</v>
      </c>
      <c r="W3534" s="74">
        <v>43264</v>
      </c>
      <c r="X3534" s="55">
        <v>10045702</v>
      </c>
      <c r="Y3534" s="55" t="s">
        <v>132</v>
      </c>
      <c r="AB3534" s="55" t="s">
        <v>132</v>
      </c>
      <c r="AC3534" s="55" t="s">
        <v>132</v>
      </c>
    </row>
    <row r="3535" spans="1:29" ht="13" x14ac:dyDescent="0.15">
      <c r="A3535" s="72" t="str">
        <f t="shared" si="55"/>
        <v>Ofsted Social Care Provider Webpage</v>
      </c>
      <c r="B3535" s="55" t="s">
        <v>6586</v>
      </c>
      <c r="D3535" s="55" t="s">
        <v>389</v>
      </c>
      <c r="E3535" s="74">
        <v>42071</v>
      </c>
      <c r="F3535" s="55" t="s">
        <v>344</v>
      </c>
      <c r="G3535" s="55" t="s">
        <v>6587</v>
      </c>
      <c r="H3535" s="55" t="s">
        <v>6588</v>
      </c>
      <c r="I3535" s="55" t="s">
        <v>354</v>
      </c>
      <c r="J3535" s="55" t="s">
        <v>2495</v>
      </c>
      <c r="K3535" s="55" t="s">
        <v>203</v>
      </c>
      <c r="L3535" s="55" t="s">
        <v>6589</v>
      </c>
      <c r="M3535" s="55" t="s">
        <v>129</v>
      </c>
      <c r="N3535" s="55" t="s">
        <v>129</v>
      </c>
      <c r="O3535" s="55" t="s">
        <v>155</v>
      </c>
      <c r="P3535" s="55" t="s">
        <v>482</v>
      </c>
      <c r="Q3535" s="55" t="s">
        <v>350</v>
      </c>
      <c r="R3535" s="55"/>
      <c r="S3535" s="55"/>
      <c r="T3535" s="55" t="s">
        <v>6565</v>
      </c>
      <c r="U3535" s="73" t="s">
        <v>351</v>
      </c>
      <c r="V3535" s="74">
        <v>43493</v>
      </c>
      <c r="W3535" s="74">
        <v>43559</v>
      </c>
      <c r="X3535" s="55">
        <v>10045660</v>
      </c>
      <c r="Y3535" s="55" t="s">
        <v>132</v>
      </c>
      <c r="AB3535" s="55" t="s">
        <v>132</v>
      </c>
      <c r="AC3535" s="55" t="s">
        <v>132</v>
      </c>
    </row>
    <row r="3536" spans="1:29" ht="13" x14ac:dyDescent="0.15">
      <c r="A3536" s="72" t="str">
        <f t="shared" si="55"/>
        <v>Ofsted Social Care Provider Webpage</v>
      </c>
      <c r="B3536" s="55" t="s">
        <v>6590</v>
      </c>
      <c r="D3536" s="55" t="s">
        <v>373</v>
      </c>
      <c r="E3536" s="74">
        <v>42160</v>
      </c>
      <c r="F3536" s="55" t="s">
        <v>344</v>
      </c>
      <c r="G3536" s="55" t="s">
        <v>360</v>
      </c>
      <c r="H3536" s="55" t="s">
        <v>360</v>
      </c>
      <c r="I3536" s="55" t="s">
        <v>360</v>
      </c>
      <c r="J3536" s="55" t="s">
        <v>360</v>
      </c>
      <c r="K3536" s="55" t="s">
        <v>360</v>
      </c>
      <c r="L3536" s="55" t="s">
        <v>360</v>
      </c>
      <c r="M3536" s="55" t="s">
        <v>144</v>
      </c>
      <c r="N3536" s="55" t="s">
        <v>144</v>
      </c>
      <c r="O3536" s="55" t="s">
        <v>209</v>
      </c>
      <c r="P3536" s="55" t="s">
        <v>736</v>
      </c>
      <c r="Q3536" s="55" t="s">
        <v>350</v>
      </c>
      <c r="R3536" s="55">
        <v>2</v>
      </c>
      <c r="S3536" s="55"/>
      <c r="T3536" s="55" t="s">
        <v>737</v>
      </c>
      <c r="U3536" s="73" t="s">
        <v>351</v>
      </c>
      <c r="V3536" s="74">
        <v>43593</v>
      </c>
      <c r="W3536" s="74">
        <v>43615</v>
      </c>
      <c r="X3536" s="55">
        <v>10097211</v>
      </c>
      <c r="Y3536" s="55" t="s">
        <v>132</v>
      </c>
      <c r="AB3536" s="55" t="s">
        <v>132</v>
      </c>
      <c r="AC3536" s="55" t="s">
        <v>130</v>
      </c>
    </row>
    <row r="3537" spans="1:29" ht="13" x14ac:dyDescent="0.15">
      <c r="A3537" s="72" t="str">
        <f t="shared" si="55"/>
        <v>Ofsted Social Care Provider Webpage</v>
      </c>
      <c r="B3537" s="55" t="s">
        <v>6591</v>
      </c>
      <c r="D3537" s="55" t="s">
        <v>373</v>
      </c>
      <c r="E3537" s="74">
        <v>42193</v>
      </c>
      <c r="F3537" s="55" t="s">
        <v>344</v>
      </c>
      <c r="G3537" s="55" t="s">
        <v>360</v>
      </c>
      <c r="H3537" s="55" t="s">
        <v>360</v>
      </c>
      <c r="I3537" s="55" t="s">
        <v>360</v>
      </c>
      <c r="J3537" s="55" t="s">
        <v>360</v>
      </c>
      <c r="K3537" s="55" t="s">
        <v>360</v>
      </c>
      <c r="L3537" s="55" t="s">
        <v>360</v>
      </c>
      <c r="M3537" s="55" t="s">
        <v>144</v>
      </c>
      <c r="N3537" s="55" t="s">
        <v>144</v>
      </c>
      <c r="O3537" s="55" t="s">
        <v>209</v>
      </c>
      <c r="P3537" s="55" t="s">
        <v>650</v>
      </c>
      <c r="Q3537" s="55" t="s">
        <v>350</v>
      </c>
      <c r="R3537" s="55">
        <v>4</v>
      </c>
      <c r="S3537" s="55"/>
      <c r="T3537" s="55" t="s">
        <v>1577</v>
      </c>
      <c r="U3537" s="73" t="s">
        <v>351</v>
      </c>
      <c r="V3537" s="74">
        <v>44523</v>
      </c>
      <c r="W3537" s="74">
        <v>44575</v>
      </c>
      <c r="X3537" s="55">
        <v>10185293</v>
      </c>
      <c r="Y3537" s="55" t="s">
        <v>132</v>
      </c>
      <c r="AB3537" s="55" t="s">
        <v>132</v>
      </c>
      <c r="AC3537" s="55" t="s">
        <v>130</v>
      </c>
    </row>
    <row r="3538" spans="1:29" ht="13" x14ac:dyDescent="0.15">
      <c r="A3538" s="72" t="str">
        <f t="shared" si="55"/>
        <v>Ofsted Social Care Provider Webpage</v>
      </c>
      <c r="B3538" s="55" t="s">
        <v>6592</v>
      </c>
      <c r="D3538" s="55" t="s">
        <v>373</v>
      </c>
      <c r="E3538" s="74">
        <v>42068</v>
      </c>
      <c r="F3538" s="55" t="s">
        <v>344</v>
      </c>
      <c r="G3538" s="55" t="s">
        <v>360</v>
      </c>
      <c r="H3538" s="55" t="s">
        <v>360</v>
      </c>
      <c r="I3538" s="55" t="s">
        <v>360</v>
      </c>
      <c r="J3538" s="55" t="s">
        <v>360</v>
      </c>
      <c r="K3538" s="55" t="s">
        <v>360</v>
      </c>
      <c r="L3538" s="55" t="s">
        <v>360</v>
      </c>
      <c r="M3538" s="55" t="s">
        <v>144</v>
      </c>
      <c r="N3538" s="55" t="s">
        <v>144</v>
      </c>
      <c r="O3538" s="55" t="s">
        <v>290</v>
      </c>
      <c r="P3538" s="55" t="s">
        <v>1099</v>
      </c>
      <c r="Q3538" s="55" t="s">
        <v>350</v>
      </c>
      <c r="R3538" s="55">
        <v>4</v>
      </c>
      <c r="S3538" s="55"/>
      <c r="T3538" s="55" t="s">
        <v>4600</v>
      </c>
      <c r="U3538" s="73" t="s">
        <v>351</v>
      </c>
      <c r="V3538" s="74">
        <v>44306</v>
      </c>
      <c r="W3538" s="74">
        <v>44348</v>
      </c>
      <c r="X3538" s="55">
        <v>10186412</v>
      </c>
      <c r="Y3538" s="55" t="s">
        <v>132</v>
      </c>
      <c r="AB3538" s="55" t="s">
        <v>132</v>
      </c>
      <c r="AC3538" s="55" t="s">
        <v>130</v>
      </c>
    </row>
    <row r="3539" spans="1:29" ht="13" x14ac:dyDescent="0.15">
      <c r="A3539" s="72" t="str">
        <f t="shared" si="55"/>
        <v>Ofsted Social Care Provider Webpage</v>
      </c>
      <c r="B3539" s="55" t="s">
        <v>6593</v>
      </c>
      <c r="D3539" s="55" t="s">
        <v>373</v>
      </c>
      <c r="E3539" s="74">
        <v>42053</v>
      </c>
      <c r="F3539" s="55" t="s">
        <v>344</v>
      </c>
      <c r="G3539" s="55" t="s">
        <v>360</v>
      </c>
      <c r="H3539" s="55" t="s">
        <v>360</v>
      </c>
      <c r="I3539" s="55" t="s">
        <v>360</v>
      </c>
      <c r="J3539" s="55" t="s">
        <v>360</v>
      </c>
      <c r="K3539" s="55" t="s">
        <v>360</v>
      </c>
      <c r="L3539" s="55" t="s">
        <v>360</v>
      </c>
      <c r="M3539" s="55" t="s">
        <v>136</v>
      </c>
      <c r="N3539" s="55" t="s">
        <v>136</v>
      </c>
      <c r="O3539" s="55" t="s">
        <v>239</v>
      </c>
      <c r="P3539" s="55" t="s">
        <v>738</v>
      </c>
      <c r="Q3539" s="55" t="s">
        <v>350</v>
      </c>
      <c r="R3539" s="55">
        <v>1</v>
      </c>
      <c r="S3539" s="55"/>
      <c r="T3539" s="55" t="s">
        <v>739</v>
      </c>
      <c r="U3539" s="73" t="s">
        <v>351</v>
      </c>
      <c r="V3539" s="74">
        <v>44433</v>
      </c>
      <c r="W3539" s="74">
        <v>44467</v>
      </c>
      <c r="X3539" s="55">
        <v>10186978</v>
      </c>
      <c r="Y3539" s="55" t="s">
        <v>132</v>
      </c>
      <c r="AB3539" s="55" t="s">
        <v>132</v>
      </c>
      <c r="AC3539" s="55" t="s">
        <v>132</v>
      </c>
    </row>
    <row r="3540" spans="1:29" ht="13" x14ac:dyDescent="0.15">
      <c r="A3540" s="72" t="str">
        <f t="shared" si="55"/>
        <v>Ofsted Social Care Provider Webpage</v>
      </c>
      <c r="B3540" s="55" t="s">
        <v>6594</v>
      </c>
      <c r="D3540" s="55" t="s">
        <v>389</v>
      </c>
      <c r="E3540" s="74">
        <v>42181</v>
      </c>
      <c r="F3540" s="55" t="s">
        <v>344</v>
      </c>
      <c r="G3540" s="55" t="s">
        <v>6595</v>
      </c>
      <c r="H3540" s="55" t="s">
        <v>6596</v>
      </c>
      <c r="I3540" s="55" t="s">
        <v>6597</v>
      </c>
      <c r="J3540" s="55" t="s">
        <v>6598</v>
      </c>
      <c r="L3540" s="55" t="s">
        <v>6599</v>
      </c>
      <c r="M3540" s="55" t="s">
        <v>142</v>
      </c>
      <c r="N3540" s="55" t="s">
        <v>142</v>
      </c>
      <c r="O3540" s="55" t="s">
        <v>278</v>
      </c>
      <c r="P3540" s="55" t="s">
        <v>1126</v>
      </c>
      <c r="Q3540" s="55" t="s">
        <v>350</v>
      </c>
      <c r="R3540" s="55"/>
      <c r="S3540" s="55"/>
      <c r="T3540" s="55" t="s">
        <v>6595</v>
      </c>
      <c r="U3540" s="73" t="s">
        <v>351</v>
      </c>
      <c r="V3540" s="74">
        <v>43626</v>
      </c>
      <c r="W3540" s="74">
        <v>43655</v>
      </c>
      <c r="X3540" s="55">
        <v>10093261</v>
      </c>
      <c r="Y3540" s="55" t="s">
        <v>132</v>
      </c>
      <c r="AB3540" s="55" t="s">
        <v>132</v>
      </c>
      <c r="AC3540" s="55" t="s">
        <v>130</v>
      </c>
    </row>
    <row r="3541" spans="1:29" ht="13" x14ac:dyDescent="0.15">
      <c r="A3541" s="72" t="str">
        <f t="shared" si="55"/>
        <v>Ofsted Social Care Provider Webpage</v>
      </c>
      <c r="B3541" s="55" t="s">
        <v>6600</v>
      </c>
      <c r="D3541" s="55" t="s">
        <v>373</v>
      </c>
      <c r="E3541" s="74">
        <v>42138</v>
      </c>
      <c r="F3541" s="55" t="s">
        <v>344</v>
      </c>
      <c r="G3541" s="55" t="s">
        <v>360</v>
      </c>
      <c r="H3541" s="55" t="s">
        <v>360</v>
      </c>
      <c r="I3541" s="55" t="s">
        <v>360</v>
      </c>
      <c r="J3541" s="55" t="s">
        <v>360</v>
      </c>
      <c r="K3541" s="55" t="s">
        <v>360</v>
      </c>
      <c r="L3541" s="55" t="s">
        <v>360</v>
      </c>
      <c r="M3541" s="55" t="s">
        <v>172</v>
      </c>
      <c r="N3541" s="55" t="s">
        <v>172</v>
      </c>
      <c r="O3541" s="55" t="s">
        <v>212</v>
      </c>
      <c r="P3541" s="55" t="s">
        <v>514</v>
      </c>
      <c r="Q3541" s="55" t="s">
        <v>350</v>
      </c>
      <c r="R3541" s="55">
        <v>4</v>
      </c>
      <c r="S3541" s="55"/>
      <c r="T3541" s="55" t="s">
        <v>1424</v>
      </c>
      <c r="U3541" s="73" t="s">
        <v>351</v>
      </c>
      <c r="V3541" s="74">
        <v>44356</v>
      </c>
      <c r="W3541" s="74">
        <v>44396</v>
      </c>
      <c r="X3541" s="55">
        <v>10186386</v>
      </c>
      <c r="Y3541" s="55" t="s">
        <v>132</v>
      </c>
      <c r="AB3541" s="55" t="s">
        <v>132</v>
      </c>
      <c r="AC3541" s="55" t="s">
        <v>132</v>
      </c>
    </row>
    <row r="3542" spans="1:29" ht="13" x14ac:dyDescent="0.15">
      <c r="A3542" s="72" t="str">
        <f t="shared" si="55"/>
        <v>Ofsted Social Care Provider Webpage</v>
      </c>
      <c r="B3542" s="55" t="s">
        <v>6601</v>
      </c>
      <c r="D3542" s="55" t="s">
        <v>373</v>
      </c>
      <c r="E3542" s="74">
        <v>42110</v>
      </c>
      <c r="F3542" s="55" t="s">
        <v>344</v>
      </c>
      <c r="G3542" s="55" t="s">
        <v>360</v>
      </c>
      <c r="H3542" s="55" t="s">
        <v>360</v>
      </c>
      <c r="I3542" s="55" t="s">
        <v>360</v>
      </c>
      <c r="J3542" s="55" t="s">
        <v>360</v>
      </c>
      <c r="K3542" s="55" t="s">
        <v>360</v>
      </c>
      <c r="L3542" s="55" t="s">
        <v>360</v>
      </c>
      <c r="M3542" s="55" t="s">
        <v>150</v>
      </c>
      <c r="N3542" s="55" t="s">
        <v>150</v>
      </c>
      <c r="O3542" s="55" t="s">
        <v>283</v>
      </c>
      <c r="P3542" s="55" t="s">
        <v>1333</v>
      </c>
      <c r="Q3542" s="55" t="s">
        <v>350</v>
      </c>
      <c r="R3542" s="55">
        <v>5</v>
      </c>
      <c r="S3542" s="55"/>
      <c r="T3542" s="55" t="s">
        <v>450</v>
      </c>
      <c r="U3542" s="73" t="s">
        <v>351</v>
      </c>
      <c r="V3542" s="74">
        <v>44502</v>
      </c>
      <c r="W3542" s="74">
        <v>44547</v>
      </c>
      <c r="X3542" s="55">
        <v>10185341</v>
      </c>
      <c r="Y3542" s="55" t="s">
        <v>132</v>
      </c>
      <c r="AB3542" s="55" t="s">
        <v>132</v>
      </c>
      <c r="AC3542" s="55" t="s">
        <v>132</v>
      </c>
    </row>
    <row r="3543" spans="1:29" ht="13" x14ac:dyDescent="0.15">
      <c r="A3543" s="72" t="str">
        <f t="shared" si="55"/>
        <v>Ofsted Social Care Provider Webpage</v>
      </c>
      <c r="B3543" s="55" t="s">
        <v>6602</v>
      </c>
      <c r="D3543" s="55" t="s">
        <v>373</v>
      </c>
      <c r="E3543" s="74">
        <v>42027</v>
      </c>
      <c r="F3543" s="55" t="s">
        <v>344</v>
      </c>
      <c r="G3543" s="55" t="s">
        <v>360</v>
      </c>
      <c r="H3543" s="55" t="s">
        <v>360</v>
      </c>
      <c r="I3543" s="55" t="s">
        <v>360</v>
      </c>
      <c r="J3543" s="55" t="s">
        <v>360</v>
      </c>
      <c r="K3543" s="55" t="s">
        <v>360</v>
      </c>
      <c r="L3543" s="55" t="s">
        <v>360</v>
      </c>
      <c r="M3543" s="55" t="s">
        <v>378</v>
      </c>
      <c r="N3543" s="55" t="s">
        <v>170</v>
      </c>
      <c r="O3543" s="55" t="s">
        <v>233</v>
      </c>
      <c r="P3543" s="55" t="s">
        <v>1999</v>
      </c>
      <c r="Q3543" s="55" t="s">
        <v>380</v>
      </c>
      <c r="R3543" s="55">
        <v>4</v>
      </c>
      <c r="S3543" s="55"/>
      <c r="T3543" s="55" t="s">
        <v>381</v>
      </c>
      <c r="U3543" s="73" t="s">
        <v>351</v>
      </c>
      <c r="V3543" s="74">
        <v>44341</v>
      </c>
      <c r="W3543" s="74">
        <v>44368</v>
      </c>
      <c r="X3543" s="55">
        <v>10187380</v>
      </c>
      <c r="Y3543" s="55" t="s">
        <v>140</v>
      </c>
      <c r="AB3543" s="55" t="s">
        <v>132</v>
      </c>
      <c r="AC3543" s="55" t="s">
        <v>140</v>
      </c>
    </row>
    <row r="3544" spans="1:29" ht="13" x14ac:dyDescent="0.15">
      <c r="A3544" s="72" t="str">
        <f t="shared" si="55"/>
        <v>Ofsted Social Care Provider Webpage</v>
      </c>
      <c r="B3544" s="55" t="s">
        <v>6603</v>
      </c>
      <c r="D3544" s="55" t="s">
        <v>373</v>
      </c>
      <c r="E3544" s="74">
        <v>42029</v>
      </c>
      <c r="F3544" s="55" t="s">
        <v>344</v>
      </c>
      <c r="G3544" s="55" t="s">
        <v>360</v>
      </c>
      <c r="H3544" s="55" t="s">
        <v>360</v>
      </c>
      <c r="I3544" s="55" t="s">
        <v>360</v>
      </c>
      <c r="J3544" s="55" t="s">
        <v>360</v>
      </c>
      <c r="K3544" s="55" t="s">
        <v>360</v>
      </c>
      <c r="L3544" s="55" t="s">
        <v>360</v>
      </c>
      <c r="M3544" s="55" t="s">
        <v>378</v>
      </c>
      <c r="N3544" s="55" t="s">
        <v>134</v>
      </c>
      <c r="O3544" s="55" t="s">
        <v>151</v>
      </c>
      <c r="P3544" s="55" t="s">
        <v>1778</v>
      </c>
      <c r="Q3544" s="55" t="s">
        <v>380</v>
      </c>
      <c r="R3544" s="55">
        <v>4</v>
      </c>
      <c r="S3544" s="55"/>
      <c r="T3544" s="55" t="s">
        <v>1220</v>
      </c>
      <c r="U3544" s="73" t="s">
        <v>351</v>
      </c>
      <c r="V3544" s="74">
        <v>44517</v>
      </c>
      <c r="W3544" s="74">
        <v>44565</v>
      </c>
      <c r="X3544" s="55">
        <v>10206673</v>
      </c>
      <c r="Y3544" s="55" t="s">
        <v>130</v>
      </c>
      <c r="AB3544" s="55" t="s">
        <v>130</v>
      </c>
      <c r="AC3544" s="55" t="s">
        <v>146</v>
      </c>
    </row>
    <row r="3545" spans="1:29" ht="13" x14ac:dyDescent="0.15">
      <c r="A3545" s="72" t="str">
        <f t="shared" si="55"/>
        <v>Ofsted Social Care Provider Webpage</v>
      </c>
      <c r="B3545" s="55" t="s">
        <v>6604</v>
      </c>
      <c r="D3545" s="55" t="s">
        <v>389</v>
      </c>
      <c r="E3545" s="74">
        <v>42095</v>
      </c>
      <c r="F3545" s="55" t="s">
        <v>344</v>
      </c>
      <c r="G3545" s="55" t="s">
        <v>6605</v>
      </c>
      <c r="H3545" s="55" t="s">
        <v>6606</v>
      </c>
      <c r="I3545" s="55" t="s">
        <v>6607</v>
      </c>
      <c r="J3545" s="55" t="s">
        <v>6608</v>
      </c>
      <c r="K3545" s="55" t="s">
        <v>234</v>
      </c>
      <c r="L3545" s="55" t="s">
        <v>6609</v>
      </c>
      <c r="M3545" s="55" t="s">
        <v>172</v>
      </c>
      <c r="N3545" s="55" t="s">
        <v>172</v>
      </c>
      <c r="O3545" s="55" t="s">
        <v>235</v>
      </c>
      <c r="P3545" s="55" t="s">
        <v>948</v>
      </c>
      <c r="Q3545" s="55" t="s">
        <v>350</v>
      </c>
      <c r="R3545" s="55"/>
      <c r="S3545" s="55"/>
      <c r="T3545" s="55" t="s">
        <v>4591</v>
      </c>
      <c r="U3545" s="73" t="s">
        <v>351</v>
      </c>
      <c r="V3545" s="74">
        <v>43367</v>
      </c>
      <c r="W3545" s="74">
        <v>43388</v>
      </c>
      <c r="X3545" s="55">
        <v>10045619</v>
      </c>
      <c r="Y3545" s="55" t="s">
        <v>140</v>
      </c>
      <c r="AB3545" s="55" t="s">
        <v>140</v>
      </c>
      <c r="AC3545" s="55" t="s">
        <v>140</v>
      </c>
    </row>
    <row r="3546" spans="1:29" ht="13" x14ac:dyDescent="0.15">
      <c r="A3546" s="72" t="str">
        <f t="shared" si="55"/>
        <v>Ofsted Social Care Provider Webpage</v>
      </c>
      <c r="B3546" s="55" t="s">
        <v>6610</v>
      </c>
      <c r="D3546" s="55" t="s">
        <v>373</v>
      </c>
      <c r="E3546" s="74">
        <v>42206</v>
      </c>
      <c r="F3546" s="55" t="s">
        <v>344</v>
      </c>
      <c r="G3546" s="55" t="s">
        <v>360</v>
      </c>
      <c r="H3546" s="55" t="s">
        <v>360</v>
      </c>
      <c r="I3546" s="55" t="s">
        <v>360</v>
      </c>
      <c r="J3546" s="55" t="s">
        <v>360</v>
      </c>
      <c r="K3546" s="55" t="s">
        <v>360</v>
      </c>
      <c r="L3546" s="55" t="s">
        <v>360</v>
      </c>
      <c r="M3546" s="55" t="s">
        <v>150</v>
      </c>
      <c r="N3546" s="55" t="s">
        <v>150</v>
      </c>
      <c r="O3546" s="55" t="s">
        <v>181</v>
      </c>
      <c r="P3546" s="55" t="s">
        <v>1142</v>
      </c>
      <c r="Q3546" s="55" t="s">
        <v>350</v>
      </c>
      <c r="R3546" s="55">
        <v>5</v>
      </c>
      <c r="S3546" s="55"/>
      <c r="T3546" s="55" t="s">
        <v>4900</v>
      </c>
      <c r="U3546" s="73" t="s">
        <v>351</v>
      </c>
      <c r="V3546" s="74">
        <v>44531</v>
      </c>
      <c r="W3546" s="74">
        <v>44594</v>
      </c>
      <c r="X3546" s="55">
        <v>10185801</v>
      </c>
      <c r="Y3546" s="55" t="s">
        <v>140</v>
      </c>
      <c r="AB3546" s="55" t="s">
        <v>140</v>
      </c>
      <c r="AC3546" s="55" t="s">
        <v>132</v>
      </c>
    </row>
    <row r="3547" spans="1:29" ht="13" x14ac:dyDescent="0.15">
      <c r="A3547" s="72" t="str">
        <f t="shared" si="55"/>
        <v>Ofsted Social Care Provider Webpage</v>
      </c>
      <c r="B3547" s="55" t="s">
        <v>6611</v>
      </c>
      <c r="D3547" s="55" t="s">
        <v>389</v>
      </c>
      <c r="E3547" s="74">
        <v>42103</v>
      </c>
      <c r="F3547" s="55" t="s">
        <v>344</v>
      </c>
      <c r="G3547" s="55" t="s">
        <v>1395</v>
      </c>
      <c r="H3547" s="55" t="s">
        <v>6612</v>
      </c>
      <c r="I3547" s="55" t="s">
        <v>6613</v>
      </c>
      <c r="J3547" s="55" t="s">
        <v>6614</v>
      </c>
      <c r="K3547" s="55" t="s">
        <v>183</v>
      </c>
      <c r="L3547" s="55" t="s">
        <v>6615</v>
      </c>
      <c r="M3547" s="55" t="s">
        <v>138</v>
      </c>
      <c r="N3547" s="55" t="s">
        <v>138</v>
      </c>
      <c r="O3547" s="55" t="s">
        <v>273</v>
      </c>
      <c r="P3547" s="55" t="s">
        <v>584</v>
      </c>
      <c r="Q3547" s="55" t="s">
        <v>350</v>
      </c>
      <c r="R3547" s="55"/>
      <c r="S3547" s="55"/>
      <c r="T3547" s="55" t="s">
        <v>1395</v>
      </c>
      <c r="U3547" s="73" t="s">
        <v>351</v>
      </c>
      <c r="V3547" s="74">
        <v>43479</v>
      </c>
      <c r="W3547" s="74">
        <v>43502</v>
      </c>
      <c r="X3547" s="55">
        <v>10070535</v>
      </c>
      <c r="Y3547" s="55" t="s">
        <v>132</v>
      </c>
      <c r="AB3547" s="55" t="s">
        <v>132</v>
      </c>
      <c r="AC3547" s="55" t="s">
        <v>132</v>
      </c>
    </row>
    <row r="3548" spans="1:29" ht="13" x14ac:dyDescent="0.15">
      <c r="A3548" s="72" t="str">
        <f t="shared" si="55"/>
        <v>Ofsted Social Care Provider Webpage</v>
      </c>
      <c r="B3548" s="55" t="s">
        <v>6616</v>
      </c>
      <c r="D3548" s="55" t="s">
        <v>373</v>
      </c>
      <c r="E3548" s="74">
        <v>42093</v>
      </c>
      <c r="F3548" s="55" t="s">
        <v>344</v>
      </c>
      <c r="G3548" s="55" t="s">
        <v>360</v>
      </c>
      <c r="H3548" s="55" t="s">
        <v>360</v>
      </c>
      <c r="I3548" s="55" t="s">
        <v>360</v>
      </c>
      <c r="J3548" s="55" t="s">
        <v>360</v>
      </c>
      <c r="K3548" s="55" t="s">
        <v>360</v>
      </c>
      <c r="L3548" s="55" t="s">
        <v>360</v>
      </c>
      <c r="M3548" s="55" t="s">
        <v>150</v>
      </c>
      <c r="N3548" s="55" t="s">
        <v>150</v>
      </c>
      <c r="O3548" s="55" t="s">
        <v>190</v>
      </c>
      <c r="P3548" s="55" t="s">
        <v>897</v>
      </c>
      <c r="Q3548" s="55" t="s">
        <v>350</v>
      </c>
      <c r="R3548" s="55">
        <v>2</v>
      </c>
      <c r="S3548" s="55"/>
      <c r="T3548" s="55" t="s">
        <v>911</v>
      </c>
      <c r="U3548" s="73" t="s">
        <v>351</v>
      </c>
      <c r="V3548" s="74">
        <v>44530</v>
      </c>
      <c r="W3548" s="74">
        <v>44606</v>
      </c>
      <c r="X3548" s="55">
        <v>10187270</v>
      </c>
      <c r="Y3548" s="55" t="s">
        <v>132</v>
      </c>
      <c r="AB3548" s="55" t="s">
        <v>132</v>
      </c>
      <c r="AC3548" s="55" t="s">
        <v>132</v>
      </c>
    </row>
    <row r="3549" spans="1:29" ht="13" x14ac:dyDescent="0.15">
      <c r="A3549" s="72" t="str">
        <f t="shared" si="55"/>
        <v>Ofsted Social Care Provider Webpage</v>
      </c>
      <c r="B3549" s="55" t="s">
        <v>6617</v>
      </c>
      <c r="D3549" s="55" t="s">
        <v>373</v>
      </c>
      <c r="E3549" s="74">
        <v>42136</v>
      </c>
      <c r="F3549" s="55" t="s">
        <v>344</v>
      </c>
      <c r="G3549" s="55" t="s">
        <v>360</v>
      </c>
      <c r="H3549" s="55" t="s">
        <v>360</v>
      </c>
      <c r="I3549" s="55" t="s">
        <v>360</v>
      </c>
      <c r="J3549" s="55" t="s">
        <v>360</v>
      </c>
      <c r="K3549" s="55" t="s">
        <v>360</v>
      </c>
      <c r="L3549" s="55" t="s">
        <v>360</v>
      </c>
      <c r="M3549" s="55" t="s">
        <v>144</v>
      </c>
      <c r="N3549" s="55" t="s">
        <v>144</v>
      </c>
      <c r="O3549" s="55" t="s">
        <v>188</v>
      </c>
      <c r="P3549" s="55" t="s">
        <v>188</v>
      </c>
      <c r="Q3549" s="55" t="s">
        <v>350</v>
      </c>
      <c r="R3549" s="55">
        <v>1</v>
      </c>
      <c r="S3549" s="55"/>
      <c r="T3549" s="55" t="s">
        <v>1363</v>
      </c>
      <c r="U3549" s="73" t="s">
        <v>351</v>
      </c>
      <c r="V3549" s="74">
        <v>44539</v>
      </c>
      <c r="W3549" s="74">
        <v>44588</v>
      </c>
      <c r="X3549" s="55">
        <v>10187510</v>
      </c>
      <c r="Y3549" s="55" t="s">
        <v>132</v>
      </c>
      <c r="AB3549" s="55" t="s">
        <v>132</v>
      </c>
      <c r="AC3549" s="55" t="s">
        <v>132</v>
      </c>
    </row>
    <row r="3550" spans="1:29" ht="13" x14ac:dyDescent="0.15">
      <c r="A3550" s="72" t="str">
        <f t="shared" si="55"/>
        <v>Ofsted Social Care Provider Webpage</v>
      </c>
      <c r="B3550" s="55" t="s">
        <v>6618</v>
      </c>
      <c r="D3550" s="55" t="s">
        <v>373</v>
      </c>
      <c r="E3550" s="74">
        <v>42167</v>
      </c>
      <c r="F3550" s="55" t="s">
        <v>344</v>
      </c>
      <c r="G3550" s="55" t="s">
        <v>360</v>
      </c>
      <c r="H3550" s="55" t="s">
        <v>360</v>
      </c>
      <c r="I3550" s="55" t="s">
        <v>360</v>
      </c>
      <c r="J3550" s="55" t="s">
        <v>360</v>
      </c>
      <c r="K3550" s="55" t="s">
        <v>360</v>
      </c>
      <c r="L3550" s="55" t="s">
        <v>360</v>
      </c>
      <c r="M3550" s="55" t="s">
        <v>144</v>
      </c>
      <c r="N3550" s="55" t="s">
        <v>144</v>
      </c>
      <c r="O3550" s="55" t="s">
        <v>168</v>
      </c>
      <c r="P3550" s="55" t="s">
        <v>913</v>
      </c>
      <c r="Q3550" s="55" t="s">
        <v>350</v>
      </c>
      <c r="R3550" s="55">
        <v>4</v>
      </c>
      <c r="S3550" s="55"/>
      <c r="T3550" s="55" t="s">
        <v>915</v>
      </c>
      <c r="U3550" s="73" t="s">
        <v>351</v>
      </c>
      <c r="V3550" s="74">
        <v>44425</v>
      </c>
      <c r="W3550" s="74">
        <v>44462</v>
      </c>
      <c r="X3550" s="55">
        <v>10187062</v>
      </c>
      <c r="Y3550" s="55" t="s">
        <v>132</v>
      </c>
      <c r="AB3550" s="55" t="s">
        <v>132</v>
      </c>
      <c r="AC3550" s="55" t="s">
        <v>130</v>
      </c>
    </row>
    <row r="3551" spans="1:29" ht="13" x14ac:dyDescent="0.15">
      <c r="A3551" s="72" t="str">
        <f t="shared" si="55"/>
        <v>Ofsted Social Care Provider Webpage</v>
      </c>
      <c r="B3551" s="55" t="s">
        <v>6619</v>
      </c>
      <c r="D3551" s="55" t="s">
        <v>373</v>
      </c>
      <c r="E3551" s="74">
        <v>42275</v>
      </c>
      <c r="F3551" s="55" t="s">
        <v>344</v>
      </c>
      <c r="G3551" s="55" t="s">
        <v>360</v>
      </c>
      <c r="H3551" s="55" t="s">
        <v>360</v>
      </c>
      <c r="I3551" s="55" t="s">
        <v>360</v>
      </c>
      <c r="J3551" s="55" t="s">
        <v>360</v>
      </c>
      <c r="K3551" s="55" t="s">
        <v>360</v>
      </c>
      <c r="L3551" s="55" t="s">
        <v>360</v>
      </c>
      <c r="M3551" s="55" t="s">
        <v>138</v>
      </c>
      <c r="N3551" s="55" t="s">
        <v>138</v>
      </c>
      <c r="O3551" s="55" t="s">
        <v>266</v>
      </c>
      <c r="P3551" s="55" t="s">
        <v>449</v>
      </c>
      <c r="Q3551" s="55" t="s">
        <v>350</v>
      </c>
      <c r="R3551" s="55">
        <v>3</v>
      </c>
      <c r="S3551" s="55"/>
      <c r="T3551" s="55" t="s">
        <v>1799</v>
      </c>
      <c r="U3551" s="73" t="s">
        <v>351</v>
      </c>
      <c r="V3551" s="74">
        <v>44390</v>
      </c>
      <c r="W3551" s="74">
        <v>44410</v>
      </c>
      <c r="X3551" s="55">
        <v>10186611</v>
      </c>
      <c r="Y3551" s="55" t="s">
        <v>132</v>
      </c>
      <c r="AB3551" s="55" t="s">
        <v>132</v>
      </c>
      <c r="AC3551" s="55" t="s">
        <v>132</v>
      </c>
    </row>
    <row r="3552" spans="1:29" ht="13" x14ac:dyDescent="0.15">
      <c r="A3552" s="72" t="str">
        <f t="shared" si="55"/>
        <v>Ofsted Social Care Provider Webpage</v>
      </c>
      <c r="B3552" s="55" t="s">
        <v>6620</v>
      </c>
      <c r="D3552" s="55" t="s">
        <v>373</v>
      </c>
      <c r="E3552" s="74">
        <v>42270</v>
      </c>
      <c r="F3552" s="55" t="s">
        <v>344</v>
      </c>
      <c r="G3552" s="55" t="s">
        <v>360</v>
      </c>
      <c r="H3552" s="55" t="s">
        <v>360</v>
      </c>
      <c r="I3552" s="55" t="s">
        <v>360</v>
      </c>
      <c r="J3552" s="55" t="s">
        <v>360</v>
      </c>
      <c r="K3552" s="55" t="s">
        <v>360</v>
      </c>
      <c r="L3552" s="55" t="s">
        <v>360</v>
      </c>
      <c r="M3552" s="55" t="s">
        <v>142</v>
      </c>
      <c r="N3552" s="55" t="s">
        <v>142</v>
      </c>
      <c r="O3552" s="55" t="s">
        <v>262</v>
      </c>
      <c r="P3552" s="55" t="s">
        <v>850</v>
      </c>
      <c r="Q3552" s="55" t="s">
        <v>350</v>
      </c>
      <c r="R3552" s="55">
        <v>2</v>
      </c>
      <c r="S3552" s="55"/>
      <c r="T3552" s="55" t="s">
        <v>1216</v>
      </c>
      <c r="U3552" s="73" t="s">
        <v>351</v>
      </c>
      <c r="V3552" s="74">
        <v>44419</v>
      </c>
      <c r="W3552" s="74">
        <v>44462</v>
      </c>
      <c r="X3552" s="55">
        <v>10187417</v>
      </c>
      <c r="Y3552" s="55" t="s">
        <v>130</v>
      </c>
      <c r="AB3552" s="55" t="s">
        <v>130</v>
      </c>
      <c r="AC3552" s="55" t="s">
        <v>130</v>
      </c>
    </row>
    <row r="3553" spans="1:29" ht="13" x14ac:dyDescent="0.15">
      <c r="A3553" s="72" t="str">
        <f t="shared" si="55"/>
        <v>Ofsted Social Care Provider Webpage</v>
      </c>
      <c r="B3553" s="55" t="s">
        <v>6621</v>
      </c>
      <c r="D3553" s="55" t="s">
        <v>373</v>
      </c>
      <c r="E3553" s="74">
        <v>42111</v>
      </c>
      <c r="F3553" s="55" t="s">
        <v>344</v>
      </c>
      <c r="G3553" s="55" t="s">
        <v>360</v>
      </c>
      <c r="H3553" s="55" t="s">
        <v>360</v>
      </c>
      <c r="I3553" s="55" t="s">
        <v>360</v>
      </c>
      <c r="J3553" s="55" t="s">
        <v>360</v>
      </c>
      <c r="K3553" s="55" t="s">
        <v>360</v>
      </c>
      <c r="L3553" s="55" t="s">
        <v>360</v>
      </c>
      <c r="M3553" s="55" t="s">
        <v>142</v>
      </c>
      <c r="N3553" s="55" t="s">
        <v>142</v>
      </c>
      <c r="O3553" s="55" t="s">
        <v>252</v>
      </c>
      <c r="P3553" s="55" t="s">
        <v>386</v>
      </c>
      <c r="Q3553" s="55" t="s">
        <v>350</v>
      </c>
      <c r="R3553" s="55">
        <v>3</v>
      </c>
      <c r="S3553" s="55"/>
      <c r="T3553" s="55" t="s">
        <v>1805</v>
      </c>
      <c r="U3553" s="73" t="s">
        <v>351</v>
      </c>
      <c r="V3553" s="74">
        <v>43872</v>
      </c>
      <c r="W3553" s="74">
        <v>43892</v>
      </c>
      <c r="X3553" s="55">
        <v>10097203</v>
      </c>
      <c r="Y3553" s="55" t="s">
        <v>132</v>
      </c>
      <c r="AB3553" s="55" t="s">
        <v>132</v>
      </c>
      <c r="AC3553" s="55" t="s">
        <v>132</v>
      </c>
    </row>
    <row r="3554" spans="1:29" ht="13" x14ac:dyDescent="0.15">
      <c r="A3554" s="72" t="str">
        <f t="shared" si="55"/>
        <v>Ofsted Social Care Provider Webpage</v>
      </c>
      <c r="B3554" s="55" t="s">
        <v>6622</v>
      </c>
      <c r="D3554" s="55" t="s">
        <v>389</v>
      </c>
      <c r="E3554" s="74">
        <v>42184</v>
      </c>
      <c r="F3554" s="55" t="s">
        <v>344</v>
      </c>
      <c r="G3554" s="55" t="s">
        <v>6623</v>
      </c>
      <c r="H3554" s="55" t="s">
        <v>6624</v>
      </c>
      <c r="I3554" s="55" t="s">
        <v>6625</v>
      </c>
      <c r="J3554" s="55" t="s">
        <v>6626</v>
      </c>
      <c r="K3554" s="55" t="s">
        <v>252</v>
      </c>
      <c r="L3554" s="55" t="s">
        <v>6627</v>
      </c>
      <c r="M3554" s="55" t="s">
        <v>142</v>
      </c>
      <c r="N3554" s="55" t="s">
        <v>142</v>
      </c>
      <c r="O3554" s="55" t="s">
        <v>252</v>
      </c>
      <c r="P3554" s="55" t="s">
        <v>388</v>
      </c>
      <c r="Q3554" s="55" t="s">
        <v>350</v>
      </c>
      <c r="R3554" s="55"/>
      <c r="S3554" s="55"/>
      <c r="T3554" s="55" t="s">
        <v>6628</v>
      </c>
      <c r="U3554" s="73" t="s">
        <v>351</v>
      </c>
      <c r="V3554" s="74">
        <v>43899</v>
      </c>
      <c r="W3554" s="74">
        <v>43935</v>
      </c>
      <c r="X3554" s="55">
        <v>10093262</v>
      </c>
      <c r="Y3554" s="55" t="s">
        <v>140</v>
      </c>
      <c r="AB3554" s="55" t="s">
        <v>140</v>
      </c>
      <c r="AC3554" s="55" t="s">
        <v>140</v>
      </c>
    </row>
    <row r="3555" spans="1:29" ht="13" x14ac:dyDescent="0.15">
      <c r="A3555" s="72" t="str">
        <f t="shared" si="55"/>
        <v>Ofsted Social Care Provider Webpage</v>
      </c>
      <c r="B3555" s="55" t="s">
        <v>6629</v>
      </c>
      <c r="D3555" s="55" t="s">
        <v>373</v>
      </c>
      <c r="E3555" s="74">
        <v>42065</v>
      </c>
      <c r="F3555" s="55" t="s">
        <v>344</v>
      </c>
      <c r="G3555" s="55" t="s">
        <v>360</v>
      </c>
      <c r="H3555" s="55" t="s">
        <v>360</v>
      </c>
      <c r="I3555" s="55" t="s">
        <v>360</v>
      </c>
      <c r="J3555" s="55" t="s">
        <v>360</v>
      </c>
      <c r="K3555" s="55" t="s">
        <v>360</v>
      </c>
      <c r="L3555" s="55" t="s">
        <v>360</v>
      </c>
      <c r="M3555" s="55" t="s">
        <v>378</v>
      </c>
      <c r="N3555" s="55" t="s">
        <v>170</v>
      </c>
      <c r="O3555" s="55" t="s">
        <v>193</v>
      </c>
      <c r="P3555" s="55" t="s">
        <v>193</v>
      </c>
      <c r="Q3555" s="55" t="s">
        <v>350</v>
      </c>
      <c r="R3555" s="55">
        <v>4</v>
      </c>
      <c r="S3555" s="55"/>
      <c r="T3555" s="55" t="s">
        <v>1297</v>
      </c>
      <c r="U3555" s="73" t="s">
        <v>351</v>
      </c>
      <c r="V3555" s="74">
        <v>44385</v>
      </c>
      <c r="W3555" s="74">
        <v>44420</v>
      </c>
      <c r="X3555" s="55">
        <v>10186528</v>
      </c>
      <c r="Y3555" s="55" t="s">
        <v>132</v>
      </c>
      <c r="AB3555" s="55" t="s">
        <v>132</v>
      </c>
      <c r="AC3555" s="55" t="s">
        <v>132</v>
      </c>
    </row>
    <row r="3556" spans="1:29" ht="13" x14ac:dyDescent="0.15">
      <c r="A3556" s="72" t="str">
        <f t="shared" si="55"/>
        <v>Ofsted Social Care Provider Webpage</v>
      </c>
      <c r="B3556" s="55" t="s">
        <v>6630</v>
      </c>
      <c r="D3556" s="55" t="s">
        <v>373</v>
      </c>
      <c r="E3556" s="74">
        <v>42110</v>
      </c>
      <c r="F3556" s="55" t="s">
        <v>344</v>
      </c>
      <c r="G3556" s="55" t="s">
        <v>360</v>
      </c>
      <c r="H3556" s="55" t="s">
        <v>360</v>
      </c>
      <c r="I3556" s="55" t="s">
        <v>360</v>
      </c>
      <c r="J3556" s="55" t="s">
        <v>360</v>
      </c>
      <c r="K3556" s="55" t="s">
        <v>360</v>
      </c>
      <c r="L3556" s="55" t="s">
        <v>360</v>
      </c>
      <c r="M3556" s="55" t="s">
        <v>378</v>
      </c>
      <c r="N3556" s="55" t="s">
        <v>134</v>
      </c>
      <c r="O3556" s="55" t="s">
        <v>246</v>
      </c>
      <c r="P3556" s="55" t="s">
        <v>1104</v>
      </c>
      <c r="Q3556" s="55" t="s">
        <v>350</v>
      </c>
      <c r="R3556" s="55">
        <v>3</v>
      </c>
      <c r="S3556" s="55"/>
      <c r="T3556" s="55" t="s">
        <v>517</v>
      </c>
      <c r="U3556" s="73" t="s">
        <v>351</v>
      </c>
      <c r="V3556" s="74">
        <v>44607</v>
      </c>
      <c r="W3556" s="74">
        <v>44650</v>
      </c>
      <c r="X3556" s="55">
        <v>10186240</v>
      </c>
      <c r="Y3556" s="55" t="s">
        <v>132</v>
      </c>
      <c r="AB3556" s="55" t="s">
        <v>132</v>
      </c>
      <c r="AC3556" s="55" t="s">
        <v>132</v>
      </c>
    </row>
    <row r="3557" spans="1:29" ht="13" x14ac:dyDescent="0.15">
      <c r="A3557" s="72" t="str">
        <f t="shared" si="55"/>
        <v>Ofsted Social Care Provider Webpage</v>
      </c>
      <c r="B3557" s="55" t="s">
        <v>6631</v>
      </c>
      <c r="D3557" s="55" t="s">
        <v>389</v>
      </c>
      <c r="E3557" s="74">
        <v>42192</v>
      </c>
      <c r="F3557" s="55" t="s">
        <v>344</v>
      </c>
      <c r="G3557" s="55" t="s">
        <v>6632</v>
      </c>
      <c r="H3557" s="55" t="s">
        <v>6633</v>
      </c>
      <c r="I3557" s="55" t="s">
        <v>6634</v>
      </c>
      <c r="J3557" s="55" t="s">
        <v>2249</v>
      </c>
      <c r="L3557" s="55" t="s">
        <v>6635</v>
      </c>
      <c r="M3557" s="55" t="s">
        <v>144</v>
      </c>
      <c r="N3557" s="55" t="s">
        <v>144</v>
      </c>
      <c r="O3557" s="55" t="s">
        <v>209</v>
      </c>
      <c r="P3557" s="55" t="s">
        <v>650</v>
      </c>
      <c r="Q3557" s="55" t="s">
        <v>350</v>
      </c>
      <c r="R3557" s="55"/>
      <c r="S3557" s="55"/>
      <c r="T3557" s="55" t="s">
        <v>6632</v>
      </c>
      <c r="U3557" s="73" t="s">
        <v>351</v>
      </c>
      <c r="V3557" s="74">
        <v>44361</v>
      </c>
      <c r="W3557" s="74">
        <v>44399</v>
      </c>
      <c r="X3557" s="55">
        <v>10183287</v>
      </c>
      <c r="Y3557" s="55" t="s">
        <v>132</v>
      </c>
      <c r="AB3557" s="55" t="s">
        <v>132</v>
      </c>
      <c r="AC3557" s="55" t="s">
        <v>130</v>
      </c>
    </row>
    <row r="3558" spans="1:29" ht="13" x14ac:dyDescent="0.15">
      <c r="A3558" s="72" t="str">
        <f t="shared" si="55"/>
        <v>Ofsted Social Care Provider Webpage</v>
      </c>
      <c r="B3558" s="55" t="s">
        <v>6636</v>
      </c>
      <c r="D3558" s="55" t="s">
        <v>373</v>
      </c>
      <c r="E3558" s="74">
        <v>42062</v>
      </c>
      <c r="F3558" s="55" t="s">
        <v>344</v>
      </c>
      <c r="G3558" s="55" t="s">
        <v>360</v>
      </c>
      <c r="H3558" s="55" t="s">
        <v>360</v>
      </c>
      <c r="I3558" s="55" t="s">
        <v>360</v>
      </c>
      <c r="J3558" s="55" t="s">
        <v>360</v>
      </c>
      <c r="K3558" s="55" t="s">
        <v>360</v>
      </c>
      <c r="L3558" s="55" t="s">
        <v>360</v>
      </c>
      <c r="M3558" s="55" t="s">
        <v>142</v>
      </c>
      <c r="N3558" s="55" t="s">
        <v>142</v>
      </c>
      <c r="O3558" s="55" t="s">
        <v>252</v>
      </c>
      <c r="P3558" s="55" t="s">
        <v>503</v>
      </c>
      <c r="Q3558" s="55" t="s">
        <v>350</v>
      </c>
      <c r="R3558" s="55">
        <v>3</v>
      </c>
      <c r="S3558" s="55"/>
      <c r="T3558" s="55" t="s">
        <v>1365</v>
      </c>
      <c r="U3558" s="73" t="s">
        <v>351</v>
      </c>
      <c r="V3558" s="74">
        <v>44420</v>
      </c>
      <c r="W3558" s="74">
        <v>44456</v>
      </c>
      <c r="X3558" s="55">
        <v>10187283</v>
      </c>
      <c r="Y3558" s="55" t="s">
        <v>132</v>
      </c>
      <c r="AB3558" s="55" t="s">
        <v>132</v>
      </c>
      <c r="AC3558" s="55" t="s">
        <v>130</v>
      </c>
    </row>
    <row r="3559" spans="1:29" ht="13" x14ac:dyDescent="0.15">
      <c r="A3559" s="72" t="str">
        <f t="shared" si="55"/>
        <v>Ofsted Social Care Provider Webpage</v>
      </c>
      <c r="B3559" s="55" t="s">
        <v>6637</v>
      </c>
      <c r="D3559" s="55" t="s">
        <v>373</v>
      </c>
      <c r="E3559" s="74">
        <v>42109</v>
      </c>
      <c r="F3559" s="55" t="s">
        <v>344</v>
      </c>
      <c r="G3559" s="55" t="s">
        <v>360</v>
      </c>
      <c r="H3559" s="55" t="s">
        <v>360</v>
      </c>
      <c r="I3559" s="55" t="s">
        <v>360</v>
      </c>
      <c r="J3559" s="55" t="s">
        <v>360</v>
      </c>
      <c r="K3559" s="55" t="s">
        <v>360</v>
      </c>
      <c r="L3559" s="55" t="s">
        <v>360</v>
      </c>
      <c r="M3559" s="55" t="s">
        <v>172</v>
      </c>
      <c r="N3559" s="55" t="s">
        <v>172</v>
      </c>
      <c r="O3559" s="55" t="s">
        <v>171</v>
      </c>
      <c r="P3559" s="55" t="s">
        <v>983</v>
      </c>
      <c r="Q3559" s="55" t="s">
        <v>380</v>
      </c>
      <c r="R3559" s="55">
        <v>5</v>
      </c>
      <c r="S3559" s="55"/>
      <c r="T3559" s="55" t="s">
        <v>3360</v>
      </c>
      <c r="U3559" s="73" t="s">
        <v>351</v>
      </c>
      <c r="V3559" s="74">
        <v>44453</v>
      </c>
      <c r="W3559" s="74">
        <v>44481</v>
      </c>
      <c r="X3559" s="55">
        <v>10207320</v>
      </c>
      <c r="Y3559" s="55" t="s">
        <v>130</v>
      </c>
      <c r="AB3559" s="55" t="s">
        <v>130</v>
      </c>
      <c r="AC3559" s="55" t="s">
        <v>130</v>
      </c>
    </row>
    <row r="3560" spans="1:29" ht="13" x14ac:dyDescent="0.15">
      <c r="A3560" s="72" t="str">
        <f t="shared" si="55"/>
        <v>Ofsted Social Care Provider Webpage</v>
      </c>
      <c r="B3560" s="55" t="s">
        <v>6638</v>
      </c>
      <c r="D3560" s="55" t="s">
        <v>373</v>
      </c>
      <c r="E3560" s="74">
        <v>42104</v>
      </c>
      <c r="F3560" s="55" t="s">
        <v>344</v>
      </c>
      <c r="G3560" s="55" t="s">
        <v>360</v>
      </c>
      <c r="H3560" s="55" t="s">
        <v>360</v>
      </c>
      <c r="I3560" s="55" t="s">
        <v>360</v>
      </c>
      <c r="J3560" s="55" t="s">
        <v>360</v>
      </c>
      <c r="K3560" s="55" t="s">
        <v>360</v>
      </c>
      <c r="L3560" s="55" t="s">
        <v>360</v>
      </c>
      <c r="M3560" s="55" t="s">
        <v>378</v>
      </c>
      <c r="N3560" s="55" t="s">
        <v>134</v>
      </c>
      <c r="O3560" s="55" t="s">
        <v>210</v>
      </c>
      <c r="P3560" s="55" t="s">
        <v>1250</v>
      </c>
      <c r="Q3560" s="55" t="s">
        <v>380</v>
      </c>
      <c r="R3560" s="55">
        <v>4</v>
      </c>
      <c r="S3560" s="55"/>
      <c r="T3560" s="55" t="s">
        <v>543</v>
      </c>
      <c r="U3560" s="73" t="s">
        <v>351</v>
      </c>
      <c r="V3560" s="74">
        <v>44516</v>
      </c>
      <c r="W3560" s="74">
        <v>44559</v>
      </c>
      <c r="X3560" s="55">
        <v>10187366</v>
      </c>
      <c r="Y3560" s="55" t="s">
        <v>132</v>
      </c>
      <c r="AB3560" s="55" t="s">
        <v>132</v>
      </c>
      <c r="AC3560" s="55" t="s">
        <v>130</v>
      </c>
    </row>
    <row r="3561" spans="1:29" ht="13" x14ac:dyDescent="0.15">
      <c r="A3561" s="72" t="str">
        <f t="shared" si="55"/>
        <v>Ofsted Social Care Provider Webpage</v>
      </c>
      <c r="B3561" s="55" t="s">
        <v>6639</v>
      </c>
      <c r="D3561" s="55" t="s">
        <v>389</v>
      </c>
      <c r="E3561" s="74">
        <v>42128</v>
      </c>
      <c r="F3561" s="55" t="s">
        <v>344</v>
      </c>
      <c r="G3561" s="55" t="s">
        <v>6640</v>
      </c>
      <c r="H3561" s="55" t="s">
        <v>6641</v>
      </c>
      <c r="I3561" s="55" t="s">
        <v>354</v>
      </c>
      <c r="J3561" s="55" t="s">
        <v>129</v>
      </c>
      <c r="L3561" s="55" t="s">
        <v>6642</v>
      </c>
      <c r="M3561" s="55" t="s">
        <v>129</v>
      </c>
      <c r="N3561" s="55" t="s">
        <v>129</v>
      </c>
      <c r="O3561" s="55" t="s">
        <v>191</v>
      </c>
      <c r="P3561" s="55" t="s">
        <v>2985</v>
      </c>
      <c r="Q3561" s="55" t="s">
        <v>350</v>
      </c>
      <c r="R3561" s="55"/>
      <c r="S3561" s="55"/>
      <c r="T3561" s="55" t="s">
        <v>6640</v>
      </c>
      <c r="U3561" s="73" t="s">
        <v>351</v>
      </c>
      <c r="V3561" s="74">
        <v>44571</v>
      </c>
      <c r="W3561" s="74">
        <v>44628</v>
      </c>
      <c r="X3561" s="55">
        <v>10183407</v>
      </c>
      <c r="Y3561" s="55" t="s">
        <v>140</v>
      </c>
      <c r="AB3561" s="55" t="s">
        <v>132</v>
      </c>
      <c r="AC3561" s="55" t="s">
        <v>140</v>
      </c>
    </row>
    <row r="3562" spans="1:29" ht="13" x14ac:dyDescent="0.15">
      <c r="A3562" s="72" t="str">
        <f t="shared" si="55"/>
        <v>Ofsted Social Care Provider Webpage</v>
      </c>
      <c r="B3562" s="55" t="s">
        <v>6643</v>
      </c>
      <c r="D3562" s="55" t="s">
        <v>373</v>
      </c>
      <c r="E3562" s="74">
        <v>42213</v>
      </c>
      <c r="F3562" s="55" t="s">
        <v>344</v>
      </c>
      <c r="G3562" s="55" t="s">
        <v>360</v>
      </c>
      <c r="H3562" s="55" t="s">
        <v>360</v>
      </c>
      <c r="I3562" s="55" t="s">
        <v>360</v>
      </c>
      <c r="J3562" s="55" t="s">
        <v>360</v>
      </c>
      <c r="K3562" s="55" t="s">
        <v>360</v>
      </c>
      <c r="L3562" s="55" t="s">
        <v>360</v>
      </c>
      <c r="M3562" s="55" t="s">
        <v>172</v>
      </c>
      <c r="N3562" s="55" t="s">
        <v>172</v>
      </c>
      <c r="O3562" s="55" t="s">
        <v>211</v>
      </c>
      <c r="P3562" s="55" t="s">
        <v>1343</v>
      </c>
      <c r="Q3562" s="55" t="s">
        <v>350</v>
      </c>
      <c r="R3562" s="55">
        <v>6</v>
      </c>
      <c r="S3562" s="55"/>
      <c r="T3562" s="55" t="s">
        <v>6644</v>
      </c>
      <c r="U3562" s="73" t="s">
        <v>351</v>
      </c>
      <c r="V3562" s="74">
        <v>44495</v>
      </c>
      <c r="W3562" s="74">
        <v>44547</v>
      </c>
      <c r="X3562" s="55">
        <v>10187311</v>
      </c>
      <c r="Y3562" s="55" t="s">
        <v>132</v>
      </c>
      <c r="AB3562" s="55" t="s">
        <v>132</v>
      </c>
      <c r="AC3562" s="55" t="s">
        <v>132</v>
      </c>
    </row>
    <row r="3563" spans="1:29" ht="13" x14ac:dyDescent="0.15">
      <c r="A3563" s="72" t="str">
        <f t="shared" si="55"/>
        <v>Ofsted Social Care Provider Webpage</v>
      </c>
      <c r="B3563" s="55" t="s">
        <v>6645</v>
      </c>
      <c r="D3563" s="55" t="s">
        <v>373</v>
      </c>
      <c r="E3563" s="74">
        <v>42207</v>
      </c>
      <c r="F3563" s="55" t="s">
        <v>344</v>
      </c>
      <c r="G3563" s="55" t="s">
        <v>360</v>
      </c>
      <c r="H3563" s="55" t="s">
        <v>360</v>
      </c>
      <c r="I3563" s="55" t="s">
        <v>360</v>
      </c>
      <c r="J3563" s="55" t="s">
        <v>360</v>
      </c>
      <c r="K3563" s="55" t="s">
        <v>360</v>
      </c>
      <c r="L3563" s="55" t="s">
        <v>360</v>
      </c>
      <c r="M3563" s="55" t="s">
        <v>142</v>
      </c>
      <c r="N3563" s="55" t="s">
        <v>142</v>
      </c>
      <c r="O3563" s="55" t="s">
        <v>262</v>
      </c>
      <c r="P3563" s="55" t="s">
        <v>916</v>
      </c>
      <c r="Q3563" s="55" t="s">
        <v>350</v>
      </c>
      <c r="R3563" s="55">
        <v>4</v>
      </c>
      <c r="S3563" s="55"/>
      <c r="T3563" s="55" t="s">
        <v>917</v>
      </c>
      <c r="U3563" s="73" t="s">
        <v>351</v>
      </c>
      <c r="V3563" s="74">
        <v>44613</v>
      </c>
      <c r="W3563" s="74">
        <v>44655</v>
      </c>
      <c r="X3563" s="55">
        <v>10185233</v>
      </c>
      <c r="Y3563" s="55" t="s">
        <v>132</v>
      </c>
      <c r="AB3563" s="55" t="s">
        <v>132</v>
      </c>
      <c r="AC3563" s="55" t="s">
        <v>132</v>
      </c>
    </row>
    <row r="3564" spans="1:29" ht="13" x14ac:dyDescent="0.15">
      <c r="A3564" s="72" t="str">
        <f t="shared" si="55"/>
        <v>Ofsted Social Care Provider Webpage</v>
      </c>
      <c r="B3564" s="55" t="s">
        <v>6646</v>
      </c>
      <c r="D3564" s="55" t="s">
        <v>373</v>
      </c>
      <c r="E3564" s="74">
        <v>42447</v>
      </c>
      <c r="F3564" s="55" t="s">
        <v>344</v>
      </c>
      <c r="G3564" s="55" t="s">
        <v>360</v>
      </c>
      <c r="H3564" s="55" t="s">
        <v>360</v>
      </c>
      <c r="I3564" s="55" t="s">
        <v>360</v>
      </c>
      <c r="J3564" s="55" t="s">
        <v>360</v>
      </c>
      <c r="K3564" s="55" t="s">
        <v>360</v>
      </c>
      <c r="L3564" s="55" t="s">
        <v>360</v>
      </c>
      <c r="M3564" s="55" t="s">
        <v>172</v>
      </c>
      <c r="N3564" s="55" t="s">
        <v>172</v>
      </c>
      <c r="O3564" s="55" t="s">
        <v>235</v>
      </c>
      <c r="P3564" s="55" t="s">
        <v>948</v>
      </c>
      <c r="Q3564" s="55" t="s">
        <v>350</v>
      </c>
      <c r="R3564" s="55">
        <v>5</v>
      </c>
      <c r="S3564" s="55"/>
      <c r="T3564" s="55" t="s">
        <v>6644</v>
      </c>
      <c r="U3564" s="73" t="s">
        <v>351</v>
      </c>
      <c r="V3564" s="74">
        <v>44516</v>
      </c>
      <c r="W3564" s="74">
        <v>44547</v>
      </c>
      <c r="X3564" s="55">
        <v>10185590</v>
      </c>
      <c r="Y3564" s="55" t="s">
        <v>132</v>
      </c>
      <c r="AB3564" s="55" t="s">
        <v>132</v>
      </c>
      <c r="AC3564" s="55" t="s">
        <v>132</v>
      </c>
    </row>
    <row r="3565" spans="1:29" ht="13" x14ac:dyDescent="0.15">
      <c r="A3565" s="72" t="str">
        <f t="shared" si="55"/>
        <v>Ofsted Social Care Provider Webpage</v>
      </c>
      <c r="B3565" s="55" t="s">
        <v>6647</v>
      </c>
      <c r="D3565" s="55" t="s">
        <v>468</v>
      </c>
      <c r="E3565" s="74">
        <v>42227</v>
      </c>
      <c r="F3565" s="55" t="s">
        <v>344</v>
      </c>
      <c r="G3565" s="55" t="s">
        <v>6648</v>
      </c>
      <c r="H3565" s="55" t="s">
        <v>6649</v>
      </c>
      <c r="I3565" s="55" t="s">
        <v>6650</v>
      </c>
      <c r="J3565" s="55" t="s">
        <v>6651</v>
      </c>
      <c r="L3565" s="55" t="s">
        <v>6652</v>
      </c>
      <c r="M3565" s="55" t="s">
        <v>150</v>
      </c>
      <c r="N3565" s="55" t="s">
        <v>150</v>
      </c>
      <c r="O3565" s="55" t="s">
        <v>156</v>
      </c>
      <c r="P3565" s="55" t="s">
        <v>2870</v>
      </c>
      <c r="Q3565" s="55" t="s">
        <v>362</v>
      </c>
      <c r="R3565" s="55"/>
      <c r="S3565" s="55"/>
      <c r="T3565" s="55" t="s">
        <v>6653</v>
      </c>
      <c r="U3565" s="73" t="s">
        <v>351</v>
      </c>
      <c r="V3565" s="74">
        <v>43262</v>
      </c>
      <c r="W3565" s="74">
        <v>43300</v>
      </c>
      <c r="X3565" s="55">
        <v>10049150</v>
      </c>
      <c r="Y3565" s="55" t="s">
        <v>132</v>
      </c>
      <c r="AB3565" s="55" t="s">
        <v>132</v>
      </c>
      <c r="AC3565" s="55" t="s">
        <v>130</v>
      </c>
    </row>
    <row r="3566" spans="1:29" ht="13" x14ac:dyDescent="0.15">
      <c r="A3566" s="72" t="str">
        <f t="shared" si="55"/>
        <v>Ofsted Social Care Provider Webpage</v>
      </c>
      <c r="B3566" s="55" t="s">
        <v>6654</v>
      </c>
      <c r="D3566" s="55" t="s">
        <v>373</v>
      </c>
      <c r="E3566" s="74">
        <v>42250</v>
      </c>
      <c r="F3566" s="55" t="s">
        <v>344</v>
      </c>
      <c r="G3566" s="55" t="s">
        <v>360</v>
      </c>
      <c r="H3566" s="55" t="s">
        <v>360</v>
      </c>
      <c r="I3566" s="55" t="s">
        <v>360</v>
      </c>
      <c r="J3566" s="55" t="s">
        <v>360</v>
      </c>
      <c r="K3566" s="55" t="s">
        <v>360</v>
      </c>
      <c r="L3566" s="55" t="s">
        <v>360</v>
      </c>
      <c r="M3566" s="55" t="s">
        <v>172</v>
      </c>
      <c r="N3566" s="55" t="s">
        <v>172</v>
      </c>
      <c r="O3566" s="55" t="s">
        <v>212</v>
      </c>
      <c r="P3566" s="55" t="s">
        <v>592</v>
      </c>
      <c r="Q3566" s="55" t="s">
        <v>350</v>
      </c>
      <c r="R3566" s="55">
        <v>4</v>
      </c>
      <c r="S3566" s="55"/>
      <c r="T3566" s="55" t="s">
        <v>6644</v>
      </c>
      <c r="U3566" s="73" t="s">
        <v>351</v>
      </c>
      <c r="V3566" s="74">
        <v>44327</v>
      </c>
      <c r="W3566" s="74">
        <v>44357</v>
      </c>
      <c r="X3566" s="55">
        <v>10187321</v>
      </c>
      <c r="Y3566" s="55" t="s">
        <v>130</v>
      </c>
      <c r="AB3566" s="55" t="s">
        <v>130</v>
      </c>
      <c r="AC3566" s="55" t="s">
        <v>130</v>
      </c>
    </row>
    <row r="3567" spans="1:29" ht="13" x14ac:dyDescent="0.15">
      <c r="A3567" s="72" t="str">
        <f t="shared" si="55"/>
        <v>Ofsted Social Care Provider Webpage</v>
      </c>
      <c r="B3567" s="55" t="s">
        <v>6655</v>
      </c>
      <c r="D3567" s="55" t="s">
        <v>373</v>
      </c>
      <c r="E3567" s="74">
        <v>42174</v>
      </c>
      <c r="F3567" s="55" t="s">
        <v>344</v>
      </c>
      <c r="G3567" s="55" t="s">
        <v>360</v>
      </c>
      <c r="H3567" s="55" t="s">
        <v>360</v>
      </c>
      <c r="I3567" s="55" t="s">
        <v>360</v>
      </c>
      <c r="J3567" s="55" t="s">
        <v>360</v>
      </c>
      <c r="K3567" s="55" t="s">
        <v>360</v>
      </c>
      <c r="L3567" s="55" t="s">
        <v>360</v>
      </c>
      <c r="M3567" s="55" t="s">
        <v>144</v>
      </c>
      <c r="N3567" s="55" t="s">
        <v>144</v>
      </c>
      <c r="O3567" s="55" t="s">
        <v>209</v>
      </c>
      <c r="P3567" s="55" t="s">
        <v>629</v>
      </c>
      <c r="Q3567" s="55" t="s">
        <v>350</v>
      </c>
      <c r="R3567" s="55">
        <v>8</v>
      </c>
      <c r="S3567" s="55" t="s">
        <v>332</v>
      </c>
      <c r="T3567" s="55" t="s">
        <v>6656</v>
      </c>
      <c r="U3567" s="73" t="s">
        <v>351</v>
      </c>
      <c r="V3567" s="74">
        <v>43682</v>
      </c>
      <c r="W3567" s="74">
        <v>43700</v>
      </c>
      <c r="X3567" s="55">
        <v>10097213</v>
      </c>
      <c r="Y3567" s="55" t="s">
        <v>132</v>
      </c>
      <c r="AB3567" s="55" t="s">
        <v>132</v>
      </c>
      <c r="AC3567" s="55" t="s">
        <v>132</v>
      </c>
    </row>
    <row r="3568" spans="1:29" ht="13" x14ac:dyDescent="0.15">
      <c r="A3568" s="72" t="str">
        <f t="shared" si="55"/>
        <v>Ofsted Social Care Provider Webpage</v>
      </c>
      <c r="B3568" s="55" t="s">
        <v>6657</v>
      </c>
      <c r="D3568" s="55" t="s">
        <v>479</v>
      </c>
      <c r="E3568" s="74">
        <v>42192</v>
      </c>
      <c r="F3568" s="55" t="s">
        <v>344</v>
      </c>
      <c r="G3568" s="55" t="s">
        <v>360</v>
      </c>
      <c r="H3568" s="55" t="s">
        <v>360</v>
      </c>
      <c r="I3568" s="55" t="s">
        <v>360</v>
      </c>
      <c r="J3568" s="55" t="s">
        <v>360</v>
      </c>
      <c r="K3568" s="55" t="s">
        <v>360</v>
      </c>
      <c r="L3568" s="55" t="s">
        <v>360</v>
      </c>
      <c r="M3568" s="55" t="s">
        <v>150</v>
      </c>
      <c r="N3568" s="55" t="s">
        <v>150</v>
      </c>
      <c r="O3568" s="55" t="s">
        <v>237</v>
      </c>
      <c r="P3568" s="55" t="s">
        <v>404</v>
      </c>
      <c r="Q3568" s="55" t="s">
        <v>350</v>
      </c>
      <c r="R3568" s="55">
        <v>12</v>
      </c>
      <c r="S3568" s="55"/>
      <c r="T3568" s="55" t="s">
        <v>6658</v>
      </c>
      <c r="U3568" s="73" t="s">
        <v>351</v>
      </c>
      <c r="V3568" s="74">
        <v>44460</v>
      </c>
      <c r="W3568" s="74">
        <v>44510</v>
      </c>
      <c r="X3568" s="55">
        <v>10185666</v>
      </c>
      <c r="Y3568" s="55" t="s">
        <v>132</v>
      </c>
      <c r="AB3568" s="55" t="s">
        <v>132</v>
      </c>
      <c r="AC3568" s="55" t="s">
        <v>132</v>
      </c>
    </row>
    <row r="3569" spans="1:29" ht="13" x14ac:dyDescent="0.15">
      <c r="A3569" s="72" t="str">
        <f t="shared" si="55"/>
        <v>Ofsted Social Care Provider Webpage</v>
      </c>
      <c r="B3569" s="55" t="s">
        <v>6659</v>
      </c>
      <c r="D3569" s="55" t="s">
        <v>373</v>
      </c>
      <c r="E3569" s="74">
        <v>42398</v>
      </c>
      <c r="F3569" s="55" t="s">
        <v>344</v>
      </c>
      <c r="G3569" s="55" t="s">
        <v>360</v>
      </c>
      <c r="H3569" s="55" t="s">
        <v>360</v>
      </c>
      <c r="I3569" s="55" t="s">
        <v>360</v>
      </c>
      <c r="J3569" s="55" t="s">
        <v>360</v>
      </c>
      <c r="K3569" s="55" t="s">
        <v>360</v>
      </c>
      <c r="L3569" s="55" t="s">
        <v>360</v>
      </c>
      <c r="M3569" s="55" t="s">
        <v>136</v>
      </c>
      <c r="N3569" s="55" t="s">
        <v>136</v>
      </c>
      <c r="O3569" s="55" t="s">
        <v>255</v>
      </c>
      <c r="P3569" s="55" t="s">
        <v>583</v>
      </c>
      <c r="Q3569" s="55" t="s">
        <v>350</v>
      </c>
      <c r="R3569" s="55">
        <v>2</v>
      </c>
      <c r="S3569" s="55"/>
      <c r="T3569" s="55" t="s">
        <v>793</v>
      </c>
      <c r="U3569" s="73" t="s">
        <v>351</v>
      </c>
      <c r="V3569" s="74">
        <v>44503</v>
      </c>
      <c r="W3569" s="74">
        <v>44559</v>
      </c>
      <c r="X3569" s="55">
        <v>10185431</v>
      </c>
      <c r="Y3569" s="55" t="s">
        <v>130</v>
      </c>
      <c r="AB3569" s="55" t="s">
        <v>130</v>
      </c>
      <c r="AC3569" s="55" t="s">
        <v>130</v>
      </c>
    </row>
    <row r="3570" spans="1:29" ht="13" x14ac:dyDescent="0.15">
      <c r="A3570" s="72" t="str">
        <f t="shared" si="55"/>
        <v>Ofsted Social Care Provider Webpage</v>
      </c>
      <c r="B3570" s="55" t="s">
        <v>6660</v>
      </c>
      <c r="D3570" s="55" t="s">
        <v>373</v>
      </c>
      <c r="E3570" s="74">
        <v>42368</v>
      </c>
      <c r="F3570" s="55" t="s">
        <v>344</v>
      </c>
      <c r="G3570" s="55" t="s">
        <v>360</v>
      </c>
      <c r="H3570" s="55" t="s">
        <v>360</v>
      </c>
      <c r="I3570" s="55" t="s">
        <v>360</v>
      </c>
      <c r="J3570" s="55" t="s">
        <v>360</v>
      </c>
      <c r="K3570" s="55" t="s">
        <v>360</v>
      </c>
      <c r="L3570" s="55" t="s">
        <v>360</v>
      </c>
      <c r="M3570" s="55" t="s">
        <v>378</v>
      </c>
      <c r="N3570" s="55" t="s">
        <v>134</v>
      </c>
      <c r="O3570" s="55" t="s">
        <v>206</v>
      </c>
      <c r="P3570" s="55" t="s">
        <v>710</v>
      </c>
      <c r="Q3570" s="55" t="s">
        <v>350</v>
      </c>
      <c r="R3570" s="55">
        <v>5</v>
      </c>
      <c r="S3570" s="55"/>
      <c r="T3570" s="55" t="s">
        <v>6661</v>
      </c>
      <c r="U3570" s="73" t="s">
        <v>351</v>
      </c>
      <c r="V3570" s="74">
        <v>44333</v>
      </c>
      <c r="W3570" s="74">
        <v>44372</v>
      </c>
      <c r="X3570" s="55">
        <v>10185003</v>
      </c>
      <c r="Y3570" s="55" t="s">
        <v>140</v>
      </c>
      <c r="AB3570" s="55" t="s">
        <v>140</v>
      </c>
      <c r="AC3570" s="55" t="s">
        <v>140</v>
      </c>
    </row>
    <row r="3571" spans="1:29" ht="13" x14ac:dyDescent="0.15">
      <c r="A3571" s="72" t="str">
        <f t="shared" si="55"/>
        <v>Ofsted Social Care Provider Webpage</v>
      </c>
      <c r="B3571" s="55" t="s">
        <v>6662</v>
      </c>
      <c r="D3571" s="55" t="s">
        <v>373</v>
      </c>
      <c r="E3571" s="74">
        <v>42228</v>
      </c>
      <c r="F3571" s="55" t="s">
        <v>344</v>
      </c>
      <c r="G3571" s="55" t="s">
        <v>360</v>
      </c>
      <c r="H3571" s="55" t="s">
        <v>360</v>
      </c>
      <c r="I3571" s="55" t="s">
        <v>360</v>
      </c>
      <c r="J3571" s="55" t="s">
        <v>360</v>
      </c>
      <c r="K3571" s="55" t="s">
        <v>360</v>
      </c>
      <c r="L3571" s="55" t="s">
        <v>360</v>
      </c>
      <c r="M3571" s="55" t="s">
        <v>144</v>
      </c>
      <c r="N3571" s="55" t="s">
        <v>144</v>
      </c>
      <c r="O3571" s="55" t="s">
        <v>209</v>
      </c>
      <c r="P3571" s="55" t="s">
        <v>629</v>
      </c>
      <c r="Q3571" s="55" t="s">
        <v>350</v>
      </c>
      <c r="R3571" s="55">
        <v>4</v>
      </c>
      <c r="S3571" s="55"/>
      <c r="T3571" s="55" t="s">
        <v>377</v>
      </c>
      <c r="U3571" s="73" t="s">
        <v>351</v>
      </c>
      <c r="V3571" s="74">
        <v>44601</v>
      </c>
      <c r="W3571" s="74">
        <v>44648</v>
      </c>
      <c r="X3571" s="55">
        <v>10185179</v>
      </c>
      <c r="Y3571" s="55" t="s">
        <v>140</v>
      </c>
      <c r="AB3571" s="55" t="s">
        <v>140</v>
      </c>
      <c r="AC3571" s="55" t="s">
        <v>140</v>
      </c>
    </row>
    <row r="3572" spans="1:29" ht="13" x14ac:dyDescent="0.15">
      <c r="A3572" s="72" t="str">
        <f t="shared" si="55"/>
        <v>Ofsted Social Care Provider Webpage</v>
      </c>
      <c r="B3572" s="55" t="s">
        <v>6663</v>
      </c>
      <c r="D3572" s="55" t="s">
        <v>373</v>
      </c>
      <c r="E3572" s="74">
        <v>42151</v>
      </c>
      <c r="F3572" s="55" t="s">
        <v>344</v>
      </c>
      <c r="G3572" s="55" t="s">
        <v>360</v>
      </c>
      <c r="H3572" s="55" t="s">
        <v>360</v>
      </c>
      <c r="I3572" s="55" t="s">
        <v>360</v>
      </c>
      <c r="J3572" s="55" t="s">
        <v>360</v>
      </c>
      <c r="K3572" s="55" t="s">
        <v>360</v>
      </c>
      <c r="L3572" s="55" t="s">
        <v>360</v>
      </c>
      <c r="M3572" s="55" t="s">
        <v>172</v>
      </c>
      <c r="N3572" s="55" t="s">
        <v>172</v>
      </c>
      <c r="O3572" s="55" t="s">
        <v>284</v>
      </c>
      <c r="P3572" s="55" t="s">
        <v>357</v>
      </c>
      <c r="Q3572" s="55" t="s">
        <v>350</v>
      </c>
      <c r="R3572" s="55">
        <v>2</v>
      </c>
      <c r="S3572" s="55"/>
      <c r="T3572" s="55" t="s">
        <v>517</v>
      </c>
      <c r="U3572" s="73" t="s">
        <v>351</v>
      </c>
      <c r="V3572" s="74">
        <v>44369</v>
      </c>
      <c r="W3572" s="74">
        <v>44410</v>
      </c>
      <c r="X3572" s="55">
        <v>10186207</v>
      </c>
      <c r="Y3572" s="55" t="s">
        <v>132</v>
      </c>
      <c r="AB3572" s="55" t="s">
        <v>132</v>
      </c>
      <c r="AC3572" s="55" t="s">
        <v>140</v>
      </c>
    </row>
    <row r="3573" spans="1:29" ht="13" x14ac:dyDescent="0.15">
      <c r="A3573" s="72" t="str">
        <f t="shared" si="55"/>
        <v>Ofsted Social Care Provider Webpage</v>
      </c>
      <c r="B3573" s="55" t="s">
        <v>6664</v>
      </c>
      <c r="D3573" s="55" t="s">
        <v>389</v>
      </c>
      <c r="E3573" s="74">
        <v>42257</v>
      </c>
      <c r="F3573" s="55" t="s">
        <v>344</v>
      </c>
      <c r="G3573" s="55" t="s">
        <v>6665</v>
      </c>
      <c r="H3573" s="55" t="s">
        <v>6666</v>
      </c>
      <c r="I3573" s="55" t="s">
        <v>6667</v>
      </c>
      <c r="J3573" s="55" t="s">
        <v>167</v>
      </c>
      <c r="L3573" s="55" t="s">
        <v>6668</v>
      </c>
      <c r="M3573" s="55" t="s">
        <v>129</v>
      </c>
      <c r="N3573" s="55" t="s">
        <v>129</v>
      </c>
      <c r="O3573" s="55" t="s">
        <v>167</v>
      </c>
      <c r="P3573" s="55" t="s">
        <v>553</v>
      </c>
      <c r="Q3573" s="55" t="s">
        <v>350</v>
      </c>
      <c r="R3573" s="55"/>
      <c r="S3573" s="55"/>
      <c r="T3573" s="55" t="s">
        <v>6669</v>
      </c>
      <c r="U3573" s="73" t="s">
        <v>351</v>
      </c>
      <c r="V3573" s="74">
        <v>43801</v>
      </c>
      <c r="W3573" s="74">
        <v>43836</v>
      </c>
      <c r="X3573" s="55">
        <v>10093265</v>
      </c>
      <c r="Y3573" s="55" t="s">
        <v>132</v>
      </c>
      <c r="AB3573" s="55" t="s">
        <v>132</v>
      </c>
      <c r="AC3573" s="55" t="s">
        <v>132</v>
      </c>
    </row>
    <row r="3574" spans="1:29" ht="13" x14ac:dyDescent="0.15">
      <c r="A3574" s="72" t="str">
        <f t="shared" si="55"/>
        <v>Ofsted Social Care Provider Webpage</v>
      </c>
      <c r="B3574" s="55" t="s">
        <v>6670</v>
      </c>
      <c r="D3574" s="55" t="s">
        <v>389</v>
      </c>
      <c r="E3574" s="74">
        <v>42193</v>
      </c>
      <c r="F3574" s="55" t="s">
        <v>344</v>
      </c>
      <c r="G3574" s="55" t="s">
        <v>6671</v>
      </c>
      <c r="H3574" s="55" t="s">
        <v>6672</v>
      </c>
      <c r="I3574" s="55" t="s">
        <v>354</v>
      </c>
      <c r="J3574" s="55" t="s">
        <v>6673</v>
      </c>
      <c r="K3574" s="55" t="s">
        <v>168</v>
      </c>
      <c r="L3574" s="55" t="s">
        <v>6674</v>
      </c>
      <c r="M3574" s="55" t="s">
        <v>144</v>
      </c>
      <c r="N3574" s="55" t="s">
        <v>144</v>
      </c>
      <c r="O3574" s="55" t="s">
        <v>168</v>
      </c>
      <c r="P3574" s="55" t="s">
        <v>3199</v>
      </c>
      <c r="Q3574" s="55" t="s">
        <v>350</v>
      </c>
      <c r="R3574" s="55"/>
      <c r="S3574" s="55"/>
      <c r="T3574" s="55" t="s">
        <v>6675</v>
      </c>
      <c r="U3574" s="73" t="s">
        <v>351</v>
      </c>
      <c r="V3574" s="74">
        <v>44571</v>
      </c>
      <c r="W3574" s="74">
        <v>44603</v>
      </c>
      <c r="X3574" s="55">
        <v>10183394</v>
      </c>
      <c r="Y3574" s="55" t="s">
        <v>132</v>
      </c>
      <c r="AB3574" s="55" t="s">
        <v>132</v>
      </c>
      <c r="AC3574" s="55" t="s">
        <v>130</v>
      </c>
    </row>
    <row r="3575" spans="1:29" ht="13" x14ac:dyDescent="0.15">
      <c r="A3575" s="72" t="str">
        <f t="shared" si="55"/>
        <v>Ofsted Social Care Provider Webpage</v>
      </c>
      <c r="B3575" s="55" t="s">
        <v>6676</v>
      </c>
      <c r="D3575" s="55" t="s">
        <v>373</v>
      </c>
      <c r="E3575" s="74">
        <v>42153</v>
      </c>
      <c r="F3575" s="55" t="s">
        <v>344</v>
      </c>
      <c r="G3575" s="55" t="s">
        <v>360</v>
      </c>
      <c r="H3575" s="55" t="s">
        <v>360</v>
      </c>
      <c r="I3575" s="55" t="s">
        <v>360</v>
      </c>
      <c r="J3575" s="55" t="s">
        <v>360</v>
      </c>
      <c r="K3575" s="55" t="s">
        <v>360</v>
      </c>
      <c r="L3575" s="55" t="s">
        <v>360</v>
      </c>
      <c r="M3575" s="55" t="s">
        <v>172</v>
      </c>
      <c r="N3575" s="55" t="s">
        <v>172</v>
      </c>
      <c r="O3575" s="55" t="s">
        <v>173</v>
      </c>
      <c r="P3575" s="55" t="s">
        <v>1069</v>
      </c>
      <c r="Q3575" s="55" t="s">
        <v>350</v>
      </c>
      <c r="R3575" s="55">
        <v>3</v>
      </c>
      <c r="S3575" s="55"/>
      <c r="T3575" s="55" t="s">
        <v>1370</v>
      </c>
      <c r="U3575" s="73" t="s">
        <v>351</v>
      </c>
      <c r="V3575" s="74">
        <v>44377</v>
      </c>
      <c r="W3575" s="74">
        <v>44405</v>
      </c>
      <c r="X3575" s="55">
        <v>10187127</v>
      </c>
      <c r="Y3575" s="55" t="s">
        <v>130</v>
      </c>
      <c r="AB3575" s="55" t="s">
        <v>130</v>
      </c>
      <c r="AC3575" s="55" t="s">
        <v>130</v>
      </c>
    </row>
    <row r="3576" spans="1:29" ht="13" x14ac:dyDescent="0.15">
      <c r="A3576" s="72" t="str">
        <f t="shared" si="55"/>
        <v>Ofsted Social Care Provider Webpage</v>
      </c>
      <c r="B3576" s="55" t="s">
        <v>6677</v>
      </c>
      <c r="D3576" s="55" t="s">
        <v>373</v>
      </c>
      <c r="E3576" s="74">
        <v>42286</v>
      </c>
      <c r="F3576" s="55" t="s">
        <v>344</v>
      </c>
      <c r="G3576" s="55" t="s">
        <v>360</v>
      </c>
      <c r="H3576" s="55" t="s">
        <v>360</v>
      </c>
      <c r="I3576" s="55" t="s">
        <v>360</v>
      </c>
      <c r="J3576" s="55" t="s">
        <v>360</v>
      </c>
      <c r="K3576" s="55" t="s">
        <v>360</v>
      </c>
      <c r="L3576" s="55" t="s">
        <v>360</v>
      </c>
      <c r="M3576" s="55" t="s">
        <v>136</v>
      </c>
      <c r="N3576" s="55" t="s">
        <v>136</v>
      </c>
      <c r="O3576" s="55" t="s">
        <v>176</v>
      </c>
      <c r="P3576" s="55" t="s">
        <v>526</v>
      </c>
      <c r="Q3576" s="55" t="s">
        <v>350</v>
      </c>
      <c r="R3576" s="55">
        <v>4</v>
      </c>
      <c r="S3576" s="55"/>
      <c r="T3576" s="55" t="s">
        <v>527</v>
      </c>
      <c r="U3576" s="73" t="s">
        <v>351</v>
      </c>
      <c r="V3576" s="74">
        <v>44412</v>
      </c>
      <c r="W3576" s="74">
        <v>44484</v>
      </c>
      <c r="X3576" s="55">
        <v>10185127</v>
      </c>
      <c r="Y3576" s="55" t="s">
        <v>132</v>
      </c>
      <c r="AB3576" s="55" t="s">
        <v>132</v>
      </c>
      <c r="AC3576" s="55" t="s">
        <v>132</v>
      </c>
    </row>
    <row r="3577" spans="1:29" ht="13" x14ac:dyDescent="0.15">
      <c r="A3577" s="72" t="str">
        <f t="shared" si="55"/>
        <v>Ofsted Social Care Provider Webpage</v>
      </c>
      <c r="B3577" s="55" t="s">
        <v>6678</v>
      </c>
      <c r="D3577" s="55" t="s">
        <v>373</v>
      </c>
      <c r="E3577" s="74">
        <v>42213</v>
      </c>
      <c r="F3577" s="55" t="s">
        <v>344</v>
      </c>
      <c r="G3577" s="55" t="s">
        <v>360</v>
      </c>
      <c r="H3577" s="55" t="s">
        <v>360</v>
      </c>
      <c r="I3577" s="55" t="s">
        <v>360</v>
      </c>
      <c r="J3577" s="55" t="s">
        <v>360</v>
      </c>
      <c r="K3577" s="55" t="s">
        <v>360</v>
      </c>
      <c r="L3577" s="55" t="s">
        <v>360</v>
      </c>
      <c r="M3577" s="55" t="s">
        <v>172</v>
      </c>
      <c r="N3577" s="55" t="s">
        <v>172</v>
      </c>
      <c r="O3577" s="55" t="s">
        <v>212</v>
      </c>
      <c r="P3577" s="55" t="s">
        <v>592</v>
      </c>
      <c r="Q3577" s="55" t="s">
        <v>350</v>
      </c>
      <c r="R3577" s="55">
        <v>4</v>
      </c>
      <c r="S3577" s="55"/>
      <c r="T3577" s="55" t="s">
        <v>6644</v>
      </c>
      <c r="U3577" s="73" t="s">
        <v>351</v>
      </c>
      <c r="V3577" s="74">
        <v>44530</v>
      </c>
      <c r="W3577" s="74">
        <v>44582</v>
      </c>
      <c r="X3577" s="55">
        <v>10187557</v>
      </c>
      <c r="Y3577" s="55" t="s">
        <v>130</v>
      </c>
      <c r="AB3577" s="55" t="s">
        <v>130</v>
      </c>
      <c r="AC3577" s="55" t="s">
        <v>130</v>
      </c>
    </row>
    <row r="3578" spans="1:29" ht="13" x14ac:dyDescent="0.15">
      <c r="A3578" s="72" t="str">
        <f t="shared" si="55"/>
        <v>Ofsted Social Care Provider Webpage</v>
      </c>
      <c r="B3578" s="55" t="s">
        <v>6679</v>
      </c>
      <c r="D3578" s="55" t="s">
        <v>451</v>
      </c>
      <c r="E3578" s="74">
        <v>42355</v>
      </c>
      <c r="F3578" s="55" t="s">
        <v>344</v>
      </c>
      <c r="G3578" s="55" t="s">
        <v>6680</v>
      </c>
      <c r="H3578" s="55" t="s">
        <v>6681</v>
      </c>
      <c r="I3578" s="55" t="s">
        <v>6682</v>
      </c>
      <c r="J3578" s="55" t="s">
        <v>581</v>
      </c>
      <c r="K3578" s="55" t="s">
        <v>255</v>
      </c>
      <c r="L3578" s="55" t="s">
        <v>582</v>
      </c>
      <c r="M3578" s="55" t="s">
        <v>136</v>
      </c>
      <c r="N3578" s="55" t="s">
        <v>136</v>
      </c>
      <c r="O3578" s="55" t="s">
        <v>255</v>
      </c>
      <c r="P3578" s="55" t="s">
        <v>583</v>
      </c>
      <c r="Q3578" s="55" t="s">
        <v>350</v>
      </c>
      <c r="R3578" s="55">
        <v>6</v>
      </c>
      <c r="S3578" s="55"/>
      <c r="T3578" s="55" t="s">
        <v>6683</v>
      </c>
      <c r="U3578" s="73" t="s">
        <v>351</v>
      </c>
      <c r="V3578" s="74">
        <v>43474</v>
      </c>
      <c r="W3578" s="74">
        <v>43500</v>
      </c>
      <c r="X3578" s="55">
        <v>10045748</v>
      </c>
      <c r="Y3578" s="55" t="s">
        <v>132</v>
      </c>
      <c r="AB3578" s="55" t="s">
        <v>132</v>
      </c>
      <c r="AC3578" s="55" t="s">
        <v>132</v>
      </c>
    </row>
    <row r="3579" spans="1:29" ht="13" x14ac:dyDescent="0.15">
      <c r="A3579" s="72" t="str">
        <f t="shared" si="55"/>
        <v>Ofsted Social Care Provider Webpage</v>
      </c>
      <c r="B3579" s="55" t="s">
        <v>6684</v>
      </c>
      <c r="C3579" s="55">
        <v>135791</v>
      </c>
      <c r="D3579" s="55" t="s">
        <v>413</v>
      </c>
      <c r="E3579" s="74">
        <v>42110</v>
      </c>
      <c r="F3579" s="55" t="s">
        <v>344</v>
      </c>
      <c r="G3579" s="55" t="s">
        <v>6685</v>
      </c>
      <c r="H3579" s="55" t="s">
        <v>6685</v>
      </c>
      <c r="I3579" s="55" t="s">
        <v>6686</v>
      </c>
      <c r="J3579" s="55" t="s">
        <v>6687</v>
      </c>
      <c r="K3579" s="55" t="s">
        <v>293</v>
      </c>
      <c r="L3579" s="55" t="s">
        <v>6688</v>
      </c>
      <c r="M3579" s="55" t="s">
        <v>142</v>
      </c>
      <c r="N3579" s="55" t="s">
        <v>142</v>
      </c>
      <c r="O3579" s="55" t="s">
        <v>293</v>
      </c>
      <c r="P3579" s="55" t="s">
        <v>1422</v>
      </c>
      <c r="Q3579" s="55" t="s">
        <v>380</v>
      </c>
      <c r="R3579" s="55">
        <v>16</v>
      </c>
      <c r="S3579" s="55"/>
      <c r="T3579" s="55" t="s">
        <v>2224</v>
      </c>
      <c r="U3579" s="73" t="s">
        <v>351</v>
      </c>
      <c r="V3579" s="74">
        <v>44480</v>
      </c>
      <c r="W3579" s="74">
        <v>44517</v>
      </c>
      <c r="X3579" s="55">
        <v>10183592</v>
      </c>
      <c r="Y3579" s="55" t="s">
        <v>132</v>
      </c>
      <c r="AB3579" s="55" t="s">
        <v>132</v>
      </c>
      <c r="AC3579" s="55" t="s">
        <v>132</v>
      </c>
    </row>
    <row r="3580" spans="1:29" ht="13" x14ac:dyDescent="0.15">
      <c r="A3580" s="72" t="str">
        <f t="shared" si="55"/>
        <v>Ofsted Social Care Provider Webpage</v>
      </c>
      <c r="B3580" s="55" t="s">
        <v>6689</v>
      </c>
      <c r="D3580" s="55" t="s">
        <v>373</v>
      </c>
      <c r="E3580" s="74">
        <v>42286</v>
      </c>
      <c r="F3580" s="55" t="s">
        <v>344</v>
      </c>
      <c r="G3580" s="55" t="s">
        <v>360</v>
      </c>
      <c r="H3580" s="55" t="s">
        <v>360</v>
      </c>
      <c r="I3580" s="55" t="s">
        <v>360</v>
      </c>
      <c r="J3580" s="55" t="s">
        <v>360</v>
      </c>
      <c r="K3580" s="55" t="s">
        <v>360</v>
      </c>
      <c r="L3580" s="55" t="s">
        <v>360</v>
      </c>
      <c r="M3580" s="55" t="s">
        <v>172</v>
      </c>
      <c r="N3580" s="55" t="s">
        <v>172</v>
      </c>
      <c r="O3580" s="55" t="s">
        <v>173</v>
      </c>
      <c r="P3580" s="55" t="s">
        <v>1198</v>
      </c>
      <c r="Q3580" s="55" t="s">
        <v>350</v>
      </c>
      <c r="R3580" s="55">
        <v>4</v>
      </c>
      <c r="S3580" s="55"/>
      <c r="T3580" s="55" t="s">
        <v>861</v>
      </c>
      <c r="U3580" s="73" t="s">
        <v>351</v>
      </c>
      <c r="V3580" s="74">
        <v>44628</v>
      </c>
      <c r="W3580" s="74">
        <v>44670</v>
      </c>
      <c r="X3580" s="55">
        <v>10185420</v>
      </c>
      <c r="Y3580" s="55" t="s">
        <v>130</v>
      </c>
      <c r="AB3580" s="55" t="s">
        <v>130</v>
      </c>
      <c r="AC3580" s="55" t="s">
        <v>130</v>
      </c>
    </row>
    <row r="3581" spans="1:29" ht="13" x14ac:dyDescent="0.15">
      <c r="A3581" s="72" t="str">
        <f t="shared" si="55"/>
        <v>Ofsted Social Care Provider Webpage</v>
      </c>
      <c r="B3581" s="55" t="s">
        <v>6690</v>
      </c>
      <c r="D3581" s="55" t="s">
        <v>373</v>
      </c>
      <c r="E3581" s="74">
        <v>42129</v>
      </c>
      <c r="F3581" s="55" t="s">
        <v>344</v>
      </c>
      <c r="G3581" s="55" t="s">
        <v>360</v>
      </c>
      <c r="H3581" s="55" t="s">
        <v>360</v>
      </c>
      <c r="I3581" s="55" t="s">
        <v>360</v>
      </c>
      <c r="J3581" s="55" t="s">
        <v>360</v>
      </c>
      <c r="K3581" s="55" t="s">
        <v>360</v>
      </c>
      <c r="L3581" s="55" t="s">
        <v>360</v>
      </c>
      <c r="M3581" s="55" t="s">
        <v>129</v>
      </c>
      <c r="N3581" s="55" t="s">
        <v>129</v>
      </c>
      <c r="O3581" s="55" t="s">
        <v>187</v>
      </c>
      <c r="P3581" s="55" t="s">
        <v>4155</v>
      </c>
      <c r="Q3581" s="55" t="s">
        <v>350</v>
      </c>
      <c r="R3581" s="55">
        <v>8</v>
      </c>
      <c r="S3581" s="55"/>
      <c r="T3581" s="55" t="s">
        <v>6691</v>
      </c>
      <c r="U3581" s="73" t="s">
        <v>351</v>
      </c>
      <c r="V3581" s="74">
        <v>44607</v>
      </c>
      <c r="W3581" s="74">
        <v>44651</v>
      </c>
      <c r="X3581" s="55">
        <v>10185218</v>
      </c>
      <c r="Y3581" s="55" t="s">
        <v>132</v>
      </c>
      <c r="AB3581" s="55" t="s">
        <v>132</v>
      </c>
      <c r="AC3581" s="55" t="s">
        <v>132</v>
      </c>
    </row>
  </sheetData>
  <pageMargins left="0.7" right="0.7" top="0.75" bottom="0.75" header="0.3" footer="0.3"/>
  <pageSetup paperSize="0" scale="25" fitToWidth="0" fitToHeight="0" orientation="landscape" horizontalDpi="0" verticalDpi="0" copies="0"/>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44F056-B760-1D4E-8AB5-F6AC8C96D7F8}">
  <dimension ref="A1:AX3616"/>
  <sheetViews>
    <sheetView workbookViewId="0"/>
  </sheetViews>
  <sheetFormatPr baseColWidth="10" defaultColWidth="17.796875" defaultRowHeight="12.75" x14ac:dyDescent="0.15"/>
  <cols>
    <col min="1" max="1" width="29.19921875" style="55" customWidth="1"/>
    <col min="2" max="2" width="17.796875" style="55" customWidth="1"/>
    <col min="3" max="3" width="31.59765625" style="55" customWidth="1"/>
    <col min="4" max="4" width="22.796875" style="55" customWidth="1"/>
    <col min="5" max="5" width="27" style="55" customWidth="1"/>
    <col min="6" max="6" width="29.3984375" style="55" customWidth="1"/>
    <col min="7" max="12" width="17.796875" style="55" customWidth="1"/>
    <col min="13" max="13" width="21.796875" style="55" customWidth="1"/>
    <col min="14" max="14" width="37.796875" style="55" customWidth="1"/>
    <col min="15" max="15" width="23.796875" style="55" customWidth="1"/>
    <col min="16" max="16" width="40" style="55" customWidth="1"/>
    <col min="17" max="17" width="17.796875" style="55" customWidth="1"/>
    <col min="18" max="18" width="17.796875" style="85" customWidth="1"/>
    <col min="19" max="19" width="17.796875" style="78" customWidth="1"/>
    <col min="20" max="20" width="53.3984375" style="74" customWidth="1"/>
    <col min="21" max="21" width="32.796875" style="74" customWidth="1"/>
    <col min="22" max="22" width="24.59765625" style="55" customWidth="1"/>
    <col min="23" max="23" width="39.3984375" style="55" customWidth="1"/>
    <col min="24" max="24" width="36.59765625" style="55" customWidth="1"/>
    <col min="25" max="25" width="85.796875" style="55" customWidth="1"/>
    <col min="26" max="26" width="73.19921875" style="55" customWidth="1"/>
    <col min="27" max="27" width="24.19921875" style="55" customWidth="1"/>
    <col min="28" max="28" width="84.3984375" style="74" customWidth="1"/>
    <col min="29" max="29" width="60.19921875" style="55" customWidth="1"/>
    <col min="30" max="30" width="17.796875" style="55" customWidth="1"/>
    <col min="31" max="16384" width="17.796875" style="55"/>
  </cols>
  <sheetData>
    <row r="1" spans="1:50" ht="19" x14ac:dyDescent="0.2">
      <c r="A1" s="53" t="s">
        <v>6692</v>
      </c>
    </row>
    <row r="2" spans="1:50" ht="13" x14ac:dyDescent="0.15">
      <c r="A2" s="75" t="s">
        <v>6693</v>
      </c>
    </row>
    <row r="3" spans="1:50" ht="13" x14ac:dyDescent="0.15">
      <c r="A3" s="75" t="s">
        <v>6694</v>
      </c>
    </row>
    <row r="4" spans="1:50" s="87" customFormat="1" ht="42" x14ac:dyDescent="0.15">
      <c r="A4" s="71" t="s">
        <v>120</v>
      </c>
      <c r="B4" s="71" t="s">
        <v>316</v>
      </c>
      <c r="C4" s="71" t="s">
        <v>317</v>
      </c>
      <c r="D4" s="71" t="s">
        <v>318</v>
      </c>
      <c r="E4" s="71" t="s">
        <v>319</v>
      </c>
      <c r="F4" s="71" t="s">
        <v>320</v>
      </c>
      <c r="G4" s="71" t="s">
        <v>321</v>
      </c>
      <c r="H4" s="71" t="s">
        <v>322</v>
      </c>
      <c r="I4" s="71" t="s">
        <v>323</v>
      </c>
      <c r="J4" s="71" t="s">
        <v>324</v>
      </c>
      <c r="K4" s="71" t="s">
        <v>325</v>
      </c>
      <c r="L4" s="71" t="s">
        <v>326</v>
      </c>
      <c r="M4" s="71" t="s">
        <v>122</v>
      </c>
      <c r="N4" s="71" t="s">
        <v>327</v>
      </c>
      <c r="O4" s="71" t="s">
        <v>328</v>
      </c>
      <c r="P4" s="71" t="s">
        <v>329</v>
      </c>
      <c r="Q4" s="71" t="s">
        <v>330</v>
      </c>
      <c r="R4" s="86" t="s">
        <v>331</v>
      </c>
      <c r="S4" s="81" t="s">
        <v>332</v>
      </c>
      <c r="T4" s="71" t="s">
        <v>333</v>
      </c>
      <c r="U4" s="71" t="s">
        <v>6695</v>
      </c>
      <c r="V4" s="71" t="s">
        <v>123</v>
      </c>
      <c r="W4" s="71" t="s">
        <v>6696</v>
      </c>
      <c r="X4" s="71" t="s">
        <v>6697</v>
      </c>
      <c r="Y4" s="71" t="s">
        <v>6698</v>
      </c>
      <c r="Z4" s="71" t="s">
        <v>6699</v>
      </c>
      <c r="AA4" s="71" t="s">
        <v>6700</v>
      </c>
      <c r="AB4" s="71" t="s">
        <v>6701</v>
      </c>
      <c r="AC4" s="71" t="s">
        <v>6702</v>
      </c>
    </row>
    <row r="5" spans="1:50" ht="13" x14ac:dyDescent="0.15">
      <c r="A5" s="55" t="str">
        <f>HYPERLINK("https://reports.ofsted.gov.uk/secure-training-centres/oakhill","Ofsted Social Care Provider Webpage")</f>
        <v>Ofsted Social Care Provider Webpage</v>
      </c>
      <c r="B5" s="55">
        <v>1027077</v>
      </c>
      <c r="D5" s="55" t="s">
        <v>343</v>
      </c>
      <c r="E5" s="74">
        <v>41954</v>
      </c>
      <c r="F5" s="55" t="s">
        <v>344</v>
      </c>
      <c r="G5" s="55" t="s">
        <v>345</v>
      </c>
      <c r="H5" s="55" t="s">
        <v>346</v>
      </c>
      <c r="I5" s="55" t="s">
        <v>347</v>
      </c>
      <c r="J5" s="55" t="s">
        <v>221</v>
      </c>
      <c r="L5" s="55" t="s">
        <v>348</v>
      </c>
      <c r="M5" s="55" t="s">
        <v>150</v>
      </c>
      <c r="N5" s="55" t="s">
        <v>150</v>
      </c>
      <c r="O5" s="55" t="s">
        <v>221</v>
      </c>
      <c r="P5" s="55" t="s">
        <v>349</v>
      </c>
      <c r="Q5" s="55" t="s">
        <v>350</v>
      </c>
      <c r="S5" s="55">
        <v>0</v>
      </c>
      <c r="U5" s="74" t="s">
        <v>351</v>
      </c>
      <c r="V5" s="74">
        <v>44473</v>
      </c>
      <c r="W5" s="74">
        <v>44519</v>
      </c>
      <c r="X5" s="55">
        <v>10169460</v>
      </c>
      <c r="Y5" s="55" t="s">
        <v>146</v>
      </c>
      <c r="AB5" s="74" t="s">
        <v>146</v>
      </c>
      <c r="AC5" s="55" t="s">
        <v>146</v>
      </c>
    </row>
    <row r="6" spans="1:50" ht="13" x14ac:dyDescent="0.15">
      <c r="A6" s="55" t="str">
        <f>HYPERLINK("https://reports.ofsted.gov.uk/secure-training-centres/oakhill","Ofsted Social Care Provider Webpage")</f>
        <v>Ofsted Social Care Provider Webpage</v>
      </c>
      <c r="B6" s="55">
        <v>1027077</v>
      </c>
      <c r="D6" s="55" t="s">
        <v>343</v>
      </c>
      <c r="E6" s="74">
        <v>41954</v>
      </c>
      <c r="F6" s="55" t="s">
        <v>344</v>
      </c>
      <c r="G6" s="55" t="s">
        <v>345</v>
      </c>
      <c r="H6" s="55" t="s">
        <v>346</v>
      </c>
      <c r="I6" s="55" t="s">
        <v>347</v>
      </c>
      <c r="J6" s="55" t="s">
        <v>221</v>
      </c>
      <c r="L6" s="55" t="s">
        <v>348</v>
      </c>
      <c r="M6" s="55" t="s">
        <v>150</v>
      </c>
      <c r="N6" s="55" t="s">
        <v>150</v>
      </c>
      <c r="O6" s="55" t="s">
        <v>221</v>
      </c>
      <c r="P6" s="55" t="s">
        <v>349</v>
      </c>
      <c r="Q6" s="55" t="s">
        <v>350</v>
      </c>
      <c r="S6" s="55">
        <v>0</v>
      </c>
      <c r="U6" s="74" t="s">
        <v>2053</v>
      </c>
      <c r="V6" s="74">
        <v>44530</v>
      </c>
      <c r="W6" s="74">
        <v>44565</v>
      </c>
      <c r="X6" s="55">
        <v>10213084</v>
      </c>
    </row>
    <row r="7" spans="1:50" ht="13" x14ac:dyDescent="0.15">
      <c r="A7" s="55" t="str">
        <f>HYPERLINK("https://reports.ofsted.gov.uk/secure-training-centres/oakhill","Ofsted Social Care Provider Webpage")</f>
        <v>Ofsted Social Care Provider Webpage</v>
      </c>
      <c r="B7" s="55">
        <v>1027077</v>
      </c>
      <c r="D7" s="55" t="s">
        <v>343</v>
      </c>
      <c r="E7" s="74">
        <v>41954</v>
      </c>
      <c r="F7" s="55" t="s">
        <v>344</v>
      </c>
      <c r="G7" s="55" t="s">
        <v>345</v>
      </c>
      <c r="H7" s="55" t="s">
        <v>346</v>
      </c>
      <c r="I7" s="55" t="s">
        <v>347</v>
      </c>
      <c r="J7" s="55" t="s">
        <v>221</v>
      </c>
      <c r="L7" s="55" t="s">
        <v>348</v>
      </c>
      <c r="M7" s="55" t="s">
        <v>150</v>
      </c>
      <c r="N7" s="55" t="s">
        <v>150</v>
      </c>
      <c r="O7" s="55" t="s">
        <v>221</v>
      </c>
      <c r="P7" s="55" t="s">
        <v>349</v>
      </c>
      <c r="Q7" s="55" t="s">
        <v>350</v>
      </c>
      <c r="S7" s="55">
        <v>0</v>
      </c>
      <c r="U7" s="74" t="s">
        <v>2053</v>
      </c>
      <c r="V7" s="74">
        <v>44452</v>
      </c>
      <c r="W7" s="74">
        <v>44480</v>
      </c>
      <c r="X7" s="55">
        <v>10206611</v>
      </c>
      <c r="AL7" s="74"/>
      <c r="AM7" s="74"/>
      <c r="AW7" s="74"/>
      <c r="AX7" s="74"/>
    </row>
    <row r="8" spans="1:50" ht="13" x14ac:dyDescent="0.15">
      <c r="A8" s="55" t="str">
        <f>HYPERLINK("https://reports.ofsted.gov.uk/secure-training-centres/oakhill","Ofsted Social Care Provider Webpage")</f>
        <v>Ofsted Social Care Provider Webpage</v>
      </c>
      <c r="B8" s="55">
        <v>1027077</v>
      </c>
      <c r="D8" s="55" t="s">
        <v>343</v>
      </c>
      <c r="E8" s="74">
        <v>41954</v>
      </c>
      <c r="F8" s="55" t="s">
        <v>344</v>
      </c>
      <c r="G8" s="55" t="s">
        <v>345</v>
      </c>
      <c r="H8" s="55" t="s">
        <v>346</v>
      </c>
      <c r="I8" s="55" t="s">
        <v>347</v>
      </c>
      <c r="J8" s="55" t="s">
        <v>221</v>
      </c>
      <c r="L8" s="55" t="s">
        <v>348</v>
      </c>
      <c r="M8" s="55" t="s">
        <v>150</v>
      </c>
      <c r="N8" s="55" t="s">
        <v>150</v>
      </c>
      <c r="O8" s="55" t="s">
        <v>221</v>
      </c>
      <c r="P8" s="55" t="s">
        <v>349</v>
      </c>
      <c r="Q8" s="55" t="s">
        <v>350</v>
      </c>
      <c r="S8" s="55">
        <v>0</v>
      </c>
      <c r="U8" s="74" t="s">
        <v>2053</v>
      </c>
      <c r="V8" s="74">
        <v>44340</v>
      </c>
      <c r="W8" s="74">
        <v>44369</v>
      </c>
      <c r="X8" s="55">
        <v>10195818</v>
      </c>
      <c r="AL8" s="74"/>
      <c r="AM8" s="74"/>
    </row>
    <row r="9" spans="1:50" ht="13" x14ac:dyDescent="0.15">
      <c r="A9" s="55" t="str">
        <f>HYPERLINK("https://reports.ofsted.gov.uk/secure-training-centres/rainsbrook","Ofsted Social Care Provider Webpage")</f>
        <v>Ofsted Social Care Provider Webpage</v>
      </c>
      <c r="B9" s="55">
        <v>1027078</v>
      </c>
      <c r="D9" s="55" t="s">
        <v>343</v>
      </c>
      <c r="E9" s="74">
        <v>41954</v>
      </c>
      <c r="F9" s="55" t="s">
        <v>344</v>
      </c>
      <c r="G9" s="55" t="s">
        <v>352</v>
      </c>
      <c r="H9" s="55" t="s">
        <v>353</v>
      </c>
      <c r="I9" s="55" t="s">
        <v>354</v>
      </c>
      <c r="J9" s="55" t="s">
        <v>355</v>
      </c>
      <c r="K9" s="55" t="s">
        <v>282</v>
      </c>
      <c r="L9" s="55" t="s">
        <v>356</v>
      </c>
      <c r="M9" s="55" t="s">
        <v>172</v>
      </c>
      <c r="N9" s="55" t="s">
        <v>172</v>
      </c>
      <c r="O9" s="55" t="s">
        <v>284</v>
      </c>
      <c r="P9" s="55" t="s">
        <v>357</v>
      </c>
      <c r="Q9" s="55" t="s">
        <v>350</v>
      </c>
      <c r="S9" s="55">
        <v>0</v>
      </c>
      <c r="U9" s="74" t="s">
        <v>351</v>
      </c>
      <c r="V9" s="74">
        <v>44354</v>
      </c>
      <c r="W9" s="74">
        <v>44470</v>
      </c>
      <c r="X9" s="55">
        <v>10169464</v>
      </c>
      <c r="Y9" s="55" t="s">
        <v>146</v>
      </c>
      <c r="AB9" s="74" t="s">
        <v>146</v>
      </c>
      <c r="AC9" s="55" t="s">
        <v>146</v>
      </c>
      <c r="AL9" s="74"/>
      <c r="AM9" s="74"/>
      <c r="AW9" s="74"/>
      <c r="AX9" s="74"/>
    </row>
    <row r="10" spans="1:50" ht="13" x14ac:dyDescent="0.15">
      <c r="A10" s="55" t="str">
        <f>HYPERLINK("http://reports.ofsted.gov.uk/inspection-reports/find-inspection-report/provider/CARE/1027158","Ofsted Social Care Provider Webpage")</f>
        <v>Ofsted Social Care Provider Webpage</v>
      </c>
      <c r="B10" s="55">
        <v>1027158</v>
      </c>
      <c r="D10" s="55" t="s">
        <v>373</v>
      </c>
      <c r="E10" s="74">
        <v>42251</v>
      </c>
      <c r="F10" s="55" t="s">
        <v>344</v>
      </c>
      <c r="G10" s="55" t="s">
        <v>360</v>
      </c>
      <c r="H10" s="55" t="s">
        <v>360</v>
      </c>
      <c r="I10" s="55" t="s">
        <v>360</v>
      </c>
      <c r="J10" s="55" t="s">
        <v>360</v>
      </c>
      <c r="K10" s="55" t="s">
        <v>360</v>
      </c>
      <c r="L10" s="55" t="s">
        <v>360</v>
      </c>
      <c r="M10" s="55" t="s">
        <v>138</v>
      </c>
      <c r="N10" s="55" t="s">
        <v>138</v>
      </c>
      <c r="O10" s="55" t="s">
        <v>224</v>
      </c>
      <c r="P10" s="55" t="s">
        <v>374</v>
      </c>
      <c r="Q10" s="55" t="s">
        <v>350</v>
      </c>
      <c r="R10" s="85">
        <v>6</v>
      </c>
      <c r="S10" s="55">
        <v>0</v>
      </c>
      <c r="T10" s="74" t="s">
        <v>375</v>
      </c>
      <c r="U10" s="74" t="s">
        <v>351</v>
      </c>
      <c r="V10" s="74">
        <v>44481</v>
      </c>
      <c r="W10" s="74">
        <v>44516</v>
      </c>
      <c r="X10" s="55">
        <v>10185778</v>
      </c>
      <c r="Y10" s="55" t="s">
        <v>132</v>
      </c>
      <c r="AB10" s="74" t="s">
        <v>132</v>
      </c>
      <c r="AC10" s="55" t="s">
        <v>132</v>
      </c>
      <c r="AL10" s="74"/>
      <c r="AM10" s="74"/>
    </row>
    <row r="11" spans="1:50" ht="13" x14ac:dyDescent="0.15">
      <c r="A11" s="55" t="str">
        <f>HYPERLINK("http://reports.ofsted.gov.uk/inspection-reports/find-inspection-report/provider/CARE/1027164","Ofsted Social Care Provider Webpage")</f>
        <v>Ofsted Social Care Provider Webpage</v>
      </c>
      <c r="B11" s="55">
        <v>1027164</v>
      </c>
      <c r="D11" s="55" t="s">
        <v>373</v>
      </c>
      <c r="E11" s="74">
        <v>42226</v>
      </c>
      <c r="F11" s="55" t="s">
        <v>344</v>
      </c>
      <c r="G11" s="55" t="s">
        <v>360</v>
      </c>
      <c r="H11" s="55" t="s">
        <v>360</v>
      </c>
      <c r="I11" s="55" t="s">
        <v>360</v>
      </c>
      <c r="J11" s="55" t="s">
        <v>360</v>
      </c>
      <c r="K11" s="55" t="s">
        <v>360</v>
      </c>
      <c r="L11" s="55" t="s">
        <v>360</v>
      </c>
      <c r="M11" s="55" t="s">
        <v>144</v>
      </c>
      <c r="N11" s="55" t="s">
        <v>144</v>
      </c>
      <c r="O11" s="55" t="s">
        <v>163</v>
      </c>
      <c r="P11" s="55" t="s">
        <v>376</v>
      </c>
      <c r="Q11" s="55" t="s">
        <v>350</v>
      </c>
      <c r="R11" s="85">
        <v>6</v>
      </c>
      <c r="S11" s="55">
        <v>0</v>
      </c>
      <c r="T11" s="74" t="s">
        <v>377</v>
      </c>
      <c r="U11" s="74" t="s">
        <v>351</v>
      </c>
      <c r="V11" s="74">
        <v>44607</v>
      </c>
      <c r="W11" s="74">
        <v>44651</v>
      </c>
      <c r="X11" s="55">
        <v>10186122</v>
      </c>
      <c r="Y11" s="55" t="s">
        <v>140</v>
      </c>
      <c r="AB11" s="74" t="s">
        <v>140</v>
      </c>
      <c r="AC11" s="55" t="s">
        <v>140</v>
      </c>
      <c r="AL11" s="74"/>
      <c r="AM11" s="74"/>
    </row>
    <row r="12" spans="1:50" ht="13" x14ac:dyDescent="0.15">
      <c r="A12" s="55" t="str">
        <f>HYPERLINK("http://reports.ofsted.gov.uk/inspection-reports/find-inspection-report/provider/CARE/1155757","Ofsted Social Care Provider Webpage")</f>
        <v>Ofsted Social Care Provider Webpage</v>
      </c>
      <c r="B12" s="55">
        <v>1155757</v>
      </c>
      <c r="D12" s="55" t="s">
        <v>373</v>
      </c>
      <c r="E12" s="74">
        <v>42142</v>
      </c>
      <c r="F12" s="55" t="s">
        <v>344</v>
      </c>
      <c r="G12" s="55" t="s">
        <v>360</v>
      </c>
      <c r="H12" s="55" t="s">
        <v>360</v>
      </c>
      <c r="I12" s="55" t="s">
        <v>360</v>
      </c>
      <c r="J12" s="55" t="s">
        <v>360</v>
      </c>
      <c r="K12" s="55" t="s">
        <v>360</v>
      </c>
      <c r="L12" s="55" t="s">
        <v>360</v>
      </c>
      <c r="M12" s="55" t="s">
        <v>378</v>
      </c>
      <c r="N12" s="55" t="s">
        <v>170</v>
      </c>
      <c r="O12" s="55" t="s">
        <v>233</v>
      </c>
      <c r="P12" s="55" t="s">
        <v>379</v>
      </c>
      <c r="Q12" s="55" t="s">
        <v>380</v>
      </c>
      <c r="R12" s="85">
        <v>3</v>
      </c>
      <c r="S12" s="55">
        <v>0</v>
      </c>
      <c r="T12" s="74" t="s">
        <v>381</v>
      </c>
      <c r="U12" s="74" t="s">
        <v>351</v>
      </c>
      <c r="V12" s="74">
        <v>44586</v>
      </c>
      <c r="W12" s="74">
        <v>44613</v>
      </c>
      <c r="X12" s="55">
        <v>10186718</v>
      </c>
      <c r="Y12" s="55" t="s">
        <v>130</v>
      </c>
      <c r="AB12" s="74" t="s">
        <v>130</v>
      </c>
      <c r="AC12" s="55" t="s">
        <v>130</v>
      </c>
      <c r="AL12" s="74"/>
      <c r="AM12" s="74"/>
      <c r="AW12" s="74"/>
      <c r="AX12" s="74"/>
    </row>
    <row r="13" spans="1:50" ht="13" x14ac:dyDescent="0.15">
      <c r="A13" s="55" t="str">
        <f>HYPERLINK("http://reports.ofsted.gov.uk/inspection-reports/find-inspection-report/provider/CARE/1155761","Ofsted Social Care Provider Webpage")</f>
        <v>Ofsted Social Care Provider Webpage</v>
      </c>
      <c r="B13" s="55">
        <v>1155761</v>
      </c>
      <c r="D13" s="55" t="s">
        <v>373</v>
      </c>
      <c r="E13" s="74">
        <v>42285</v>
      </c>
      <c r="F13" s="55" t="s">
        <v>344</v>
      </c>
      <c r="G13" s="55" t="s">
        <v>360</v>
      </c>
      <c r="H13" s="55" t="s">
        <v>360</v>
      </c>
      <c r="I13" s="55" t="s">
        <v>360</v>
      </c>
      <c r="J13" s="55" t="s">
        <v>360</v>
      </c>
      <c r="K13" s="55" t="s">
        <v>360</v>
      </c>
      <c r="L13" s="55" t="s">
        <v>360</v>
      </c>
      <c r="M13" s="55" t="s">
        <v>136</v>
      </c>
      <c r="N13" s="55" t="s">
        <v>136</v>
      </c>
      <c r="O13" s="55" t="s">
        <v>185</v>
      </c>
      <c r="P13" s="55" t="s">
        <v>382</v>
      </c>
      <c r="Q13" s="55" t="s">
        <v>350</v>
      </c>
      <c r="R13" s="85">
        <v>3</v>
      </c>
      <c r="S13" s="55">
        <v>0</v>
      </c>
      <c r="T13" s="74" t="s">
        <v>383</v>
      </c>
      <c r="U13" s="74" t="s">
        <v>351</v>
      </c>
      <c r="V13" s="74">
        <v>44481</v>
      </c>
      <c r="W13" s="74">
        <v>44505</v>
      </c>
      <c r="X13" s="55">
        <v>10186353</v>
      </c>
      <c r="Y13" s="55" t="s">
        <v>132</v>
      </c>
      <c r="AB13" s="74" t="s">
        <v>132</v>
      </c>
      <c r="AC13" s="55" t="s">
        <v>132</v>
      </c>
      <c r="AL13" s="74"/>
      <c r="AM13" s="74"/>
      <c r="AW13" s="74"/>
      <c r="AX13" s="74"/>
    </row>
    <row r="14" spans="1:50" ht="13" x14ac:dyDescent="0.15">
      <c r="A14" s="55" t="str">
        <f>HYPERLINK("http://reports.ofsted.gov.uk/inspection-reports/find-inspection-report/provider/CARE/1155775","Ofsted Social Care Provider Webpage")</f>
        <v>Ofsted Social Care Provider Webpage</v>
      </c>
      <c r="B14" s="55">
        <v>1155775</v>
      </c>
      <c r="D14" s="55" t="s">
        <v>373</v>
      </c>
      <c r="E14" s="74">
        <v>42271</v>
      </c>
      <c r="F14" s="55" t="s">
        <v>344</v>
      </c>
      <c r="G14" s="55" t="s">
        <v>360</v>
      </c>
      <c r="H14" s="55" t="s">
        <v>360</v>
      </c>
      <c r="I14" s="55" t="s">
        <v>360</v>
      </c>
      <c r="J14" s="55" t="s">
        <v>360</v>
      </c>
      <c r="K14" s="55" t="s">
        <v>360</v>
      </c>
      <c r="L14" s="55" t="s">
        <v>360</v>
      </c>
      <c r="M14" s="55" t="s">
        <v>144</v>
      </c>
      <c r="N14" s="55" t="s">
        <v>144</v>
      </c>
      <c r="O14" s="55" t="s">
        <v>217</v>
      </c>
      <c r="P14" s="55" t="s">
        <v>384</v>
      </c>
      <c r="Q14" s="55" t="s">
        <v>350</v>
      </c>
      <c r="R14" s="85">
        <v>1</v>
      </c>
      <c r="S14" s="55">
        <v>0</v>
      </c>
      <c r="T14" s="74" t="s">
        <v>385</v>
      </c>
      <c r="U14" s="74" t="s">
        <v>351</v>
      </c>
      <c r="V14" s="74">
        <v>44341</v>
      </c>
      <c r="W14" s="74">
        <v>44382</v>
      </c>
      <c r="X14" s="55">
        <v>10187231</v>
      </c>
      <c r="Y14" s="55" t="s">
        <v>132</v>
      </c>
      <c r="AB14" s="74" t="s">
        <v>132</v>
      </c>
      <c r="AC14" s="55" t="s">
        <v>130</v>
      </c>
      <c r="AL14" s="74"/>
      <c r="AM14" s="74"/>
      <c r="AW14" s="74"/>
      <c r="AX14" s="74"/>
    </row>
    <row r="15" spans="1:50" ht="13" x14ac:dyDescent="0.15">
      <c r="A15" s="55" t="str">
        <f>HYPERLINK("http://reports.ofsted.gov.uk/inspection-reports/find-inspection-report/provider/CARE/1155780","Ofsted Social Care Provider Webpage")</f>
        <v>Ofsted Social Care Provider Webpage</v>
      </c>
      <c r="B15" s="55">
        <v>1155780</v>
      </c>
      <c r="D15" s="55" t="s">
        <v>373</v>
      </c>
      <c r="E15" s="74">
        <v>42324</v>
      </c>
      <c r="F15" s="55" t="s">
        <v>344</v>
      </c>
      <c r="G15" s="55" t="s">
        <v>360</v>
      </c>
      <c r="H15" s="55" t="s">
        <v>360</v>
      </c>
      <c r="I15" s="55" t="s">
        <v>360</v>
      </c>
      <c r="J15" s="55" t="s">
        <v>360</v>
      </c>
      <c r="K15" s="55" t="s">
        <v>360</v>
      </c>
      <c r="L15" s="55" t="s">
        <v>360</v>
      </c>
      <c r="M15" s="55" t="s">
        <v>142</v>
      </c>
      <c r="N15" s="55" t="s">
        <v>142</v>
      </c>
      <c r="O15" s="55" t="s">
        <v>252</v>
      </c>
      <c r="P15" s="55" t="s">
        <v>386</v>
      </c>
      <c r="Q15" s="55" t="s">
        <v>350</v>
      </c>
      <c r="R15" s="85">
        <v>4</v>
      </c>
      <c r="S15" s="55">
        <v>0</v>
      </c>
      <c r="T15" s="74" t="s">
        <v>385</v>
      </c>
      <c r="U15" s="74" t="s">
        <v>351</v>
      </c>
      <c r="V15" s="74">
        <v>44370</v>
      </c>
      <c r="W15" s="74">
        <v>44417</v>
      </c>
      <c r="X15" s="55">
        <v>10186293</v>
      </c>
      <c r="Y15" s="55" t="s">
        <v>140</v>
      </c>
      <c r="AB15" s="74" t="s">
        <v>140</v>
      </c>
      <c r="AC15" s="55" t="s">
        <v>140</v>
      </c>
      <c r="AL15" s="74"/>
      <c r="AM15" s="74"/>
      <c r="AW15" s="74"/>
      <c r="AX15" s="74"/>
    </row>
    <row r="16" spans="1:50" ht="13" x14ac:dyDescent="0.15">
      <c r="A16" s="55" t="str">
        <f>HYPERLINK("http://reports.ofsted.gov.uk/inspection-reports/find-inspection-report/provider/CARE/1156098","Ofsted Social Care Provider Webpage")</f>
        <v>Ofsted Social Care Provider Webpage</v>
      </c>
      <c r="B16" s="55">
        <v>1156098</v>
      </c>
      <c r="D16" s="55" t="s">
        <v>373</v>
      </c>
      <c r="E16" s="74">
        <v>42375</v>
      </c>
      <c r="F16" s="55" t="s">
        <v>344</v>
      </c>
      <c r="G16" s="55" t="s">
        <v>360</v>
      </c>
      <c r="H16" s="55" t="s">
        <v>360</v>
      </c>
      <c r="I16" s="55" t="s">
        <v>360</v>
      </c>
      <c r="J16" s="55" t="s">
        <v>360</v>
      </c>
      <c r="K16" s="55" t="s">
        <v>360</v>
      </c>
      <c r="L16" s="55" t="s">
        <v>360</v>
      </c>
      <c r="M16" s="55" t="s">
        <v>144</v>
      </c>
      <c r="N16" s="55" t="s">
        <v>144</v>
      </c>
      <c r="O16" s="55" t="s">
        <v>147</v>
      </c>
      <c r="P16" s="55" t="s">
        <v>387</v>
      </c>
      <c r="Q16" s="55" t="s">
        <v>350</v>
      </c>
      <c r="R16" s="85">
        <v>3</v>
      </c>
      <c r="S16" s="55">
        <v>0</v>
      </c>
      <c r="T16" s="74" t="s">
        <v>385</v>
      </c>
      <c r="U16" s="74" t="s">
        <v>351</v>
      </c>
      <c r="V16" s="74">
        <v>44545</v>
      </c>
      <c r="W16" s="74">
        <v>44593</v>
      </c>
      <c r="X16" s="55">
        <v>10187624</v>
      </c>
      <c r="Y16" s="55" t="s">
        <v>130</v>
      </c>
      <c r="AB16" s="74" t="s">
        <v>130</v>
      </c>
      <c r="AC16" s="55" t="s">
        <v>130</v>
      </c>
      <c r="AL16" s="74"/>
      <c r="AM16" s="74"/>
    </row>
    <row r="17" spans="1:50" ht="13" x14ac:dyDescent="0.15">
      <c r="A17" s="55" t="str">
        <f>HYPERLINK("http://reports.ofsted.gov.uk/inspection-reports/find-inspection-report/provider/CARE/1159258","Ofsted Social Care Provider Webpage")</f>
        <v>Ofsted Social Care Provider Webpage</v>
      </c>
      <c r="B17" s="55">
        <v>1159258</v>
      </c>
      <c r="D17" s="55" t="s">
        <v>373</v>
      </c>
      <c r="E17" s="74">
        <v>42291</v>
      </c>
      <c r="F17" s="55" t="s">
        <v>344</v>
      </c>
      <c r="G17" s="55" t="s">
        <v>360</v>
      </c>
      <c r="H17" s="55" t="s">
        <v>360</v>
      </c>
      <c r="I17" s="55" t="s">
        <v>360</v>
      </c>
      <c r="J17" s="55" t="s">
        <v>360</v>
      </c>
      <c r="K17" s="55" t="s">
        <v>360</v>
      </c>
      <c r="L17" s="55" t="s">
        <v>360</v>
      </c>
      <c r="M17" s="55" t="s">
        <v>144</v>
      </c>
      <c r="N17" s="55" t="s">
        <v>144</v>
      </c>
      <c r="O17" s="55" t="s">
        <v>217</v>
      </c>
      <c r="P17" s="55" t="s">
        <v>397</v>
      </c>
      <c r="Q17" s="55" t="s">
        <v>350</v>
      </c>
      <c r="R17" s="85">
        <v>4</v>
      </c>
      <c r="S17" s="55">
        <v>0</v>
      </c>
      <c r="T17" s="74" t="s">
        <v>385</v>
      </c>
      <c r="U17" s="74" t="s">
        <v>351</v>
      </c>
      <c r="V17" s="74">
        <v>44321</v>
      </c>
      <c r="W17" s="74">
        <v>44351</v>
      </c>
      <c r="X17" s="55">
        <v>10185349</v>
      </c>
      <c r="Y17" s="55" t="s">
        <v>132</v>
      </c>
      <c r="AB17" s="74" t="s">
        <v>132</v>
      </c>
      <c r="AC17" s="55" t="s">
        <v>132</v>
      </c>
      <c r="AL17" s="74"/>
      <c r="AM17" s="74"/>
    </row>
    <row r="18" spans="1:50" ht="13" x14ac:dyDescent="0.15">
      <c r="A18" s="55" t="str">
        <f>HYPERLINK("http://reports.ofsted.gov.uk/inspection-reports/find-inspection-report/provider/CARE/1159264","Ofsted Social Care Provider Webpage")</f>
        <v>Ofsted Social Care Provider Webpage</v>
      </c>
      <c r="B18" s="55">
        <v>1159264</v>
      </c>
      <c r="C18" s="55">
        <v>138384</v>
      </c>
      <c r="D18" s="55" t="s">
        <v>398</v>
      </c>
      <c r="E18" s="74">
        <v>42370</v>
      </c>
      <c r="F18" s="55" t="s">
        <v>344</v>
      </c>
      <c r="G18" s="55" t="s">
        <v>406</v>
      </c>
      <c r="H18" s="55" t="s">
        <v>407</v>
      </c>
      <c r="I18" s="55" t="s">
        <v>408</v>
      </c>
      <c r="J18" s="55" t="s">
        <v>129</v>
      </c>
      <c r="L18" s="55" t="s">
        <v>409</v>
      </c>
      <c r="M18" s="55" t="s">
        <v>129</v>
      </c>
      <c r="N18" s="55" t="s">
        <v>129</v>
      </c>
      <c r="O18" s="55" t="s">
        <v>155</v>
      </c>
      <c r="P18" s="55" t="s">
        <v>410</v>
      </c>
      <c r="Q18" s="55" t="s">
        <v>350</v>
      </c>
      <c r="R18" s="85">
        <v>352</v>
      </c>
      <c r="S18" s="55">
        <v>0</v>
      </c>
      <c r="T18" s="74" t="s">
        <v>411</v>
      </c>
      <c r="U18" s="74" t="s">
        <v>351</v>
      </c>
      <c r="V18" s="74">
        <v>44530</v>
      </c>
      <c r="W18" s="74">
        <v>44582</v>
      </c>
      <c r="X18" s="55">
        <v>10183312</v>
      </c>
      <c r="Y18" s="55" t="s">
        <v>132</v>
      </c>
      <c r="AB18" s="74" t="s">
        <v>132</v>
      </c>
      <c r="AC18" s="55" t="s">
        <v>132</v>
      </c>
      <c r="AL18" s="74"/>
      <c r="AM18" s="74"/>
    </row>
    <row r="19" spans="1:50" ht="13" x14ac:dyDescent="0.15">
      <c r="A19" s="55" t="str">
        <f>HYPERLINK("http://reports.ofsted.gov.uk/inspection-reports/find-inspection-report/provider/CARE/1159272","Ofsted Social Care Provider Webpage")</f>
        <v>Ofsted Social Care Provider Webpage</v>
      </c>
      <c r="B19" s="55">
        <v>1159272</v>
      </c>
      <c r="D19" s="55" t="s">
        <v>373</v>
      </c>
      <c r="E19" s="74">
        <v>42284</v>
      </c>
      <c r="F19" s="55" t="s">
        <v>344</v>
      </c>
      <c r="G19" s="55" t="s">
        <v>360</v>
      </c>
      <c r="H19" s="55" t="s">
        <v>360</v>
      </c>
      <c r="I19" s="55" t="s">
        <v>360</v>
      </c>
      <c r="J19" s="55" t="s">
        <v>360</v>
      </c>
      <c r="K19" s="55" t="s">
        <v>360</v>
      </c>
      <c r="L19" s="55" t="s">
        <v>360</v>
      </c>
      <c r="M19" s="55" t="s">
        <v>378</v>
      </c>
      <c r="N19" s="55" t="s">
        <v>134</v>
      </c>
      <c r="O19" s="55" t="s">
        <v>232</v>
      </c>
      <c r="P19" s="55" t="s">
        <v>412</v>
      </c>
      <c r="Q19" s="55" t="s">
        <v>350</v>
      </c>
      <c r="R19" s="85">
        <v>4</v>
      </c>
      <c r="S19" s="55">
        <v>0</v>
      </c>
      <c r="T19" s="74" t="s">
        <v>385</v>
      </c>
      <c r="U19" s="74" t="s">
        <v>2053</v>
      </c>
      <c r="V19" s="74">
        <v>44361</v>
      </c>
      <c r="W19" s="74">
        <v>44397</v>
      </c>
      <c r="X19" s="55">
        <v>10195320</v>
      </c>
      <c r="AL19" s="74"/>
      <c r="AM19" s="74"/>
    </row>
    <row r="20" spans="1:50" ht="13" x14ac:dyDescent="0.15">
      <c r="A20" s="55" t="str">
        <f>HYPERLINK("http://reports.ofsted.gov.uk/inspection-reports/find-inspection-report/provider/CARE/1159272","Ofsted Social Care Provider Webpage")</f>
        <v>Ofsted Social Care Provider Webpage</v>
      </c>
      <c r="B20" s="55">
        <v>1159272</v>
      </c>
      <c r="D20" s="55" t="s">
        <v>373</v>
      </c>
      <c r="E20" s="74">
        <v>42284</v>
      </c>
      <c r="F20" s="55" t="s">
        <v>344</v>
      </c>
      <c r="G20" s="55" t="s">
        <v>360</v>
      </c>
      <c r="H20" s="55" t="s">
        <v>360</v>
      </c>
      <c r="I20" s="55" t="s">
        <v>360</v>
      </c>
      <c r="J20" s="55" t="s">
        <v>360</v>
      </c>
      <c r="K20" s="55" t="s">
        <v>360</v>
      </c>
      <c r="L20" s="55" t="s">
        <v>360</v>
      </c>
      <c r="M20" s="55" t="s">
        <v>378</v>
      </c>
      <c r="N20" s="55" t="s">
        <v>134</v>
      </c>
      <c r="O20" s="55" t="s">
        <v>232</v>
      </c>
      <c r="P20" s="55" t="s">
        <v>412</v>
      </c>
      <c r="Q20" s="55" t="s">
        <v>350</v>
      </c>
      <c r="R20" s="85">
        <v>4</v>
      </c>
      <c r="S20" s="55">
        <v>0</v>
      </c>
      <c r="T20" s="74" t="s">
        <v>385</v>
      </c>
      <c r="U20" s="74" t="s">
        <v>351</v>
      </c>
      <c r="V20" s="74">
        <v>44322</v>
      </c>
      <c r="W20" s="74">
        <v>44375</v>
      </c>
      <c r="X20" s="55">
        <v>10185574</v>
      </c>
      <c r="Y20" s="55" t="s">
        <v>146</v>
      </c>
      <c r="AB20" s="74" t="s">
        <v>146</v>
      </c>
      <c r="AC20" s="55" t="s">
        <v>146</v>
      </c>
      <c r="AL20" s="74"/>
      <c r="AM20" s="74"/>
      <c r="AW20" s="74"/>
      <c r="AX20" s="74"/>
    </row>
    <row r="21" spans="1:50" ht="13" x14ac:dyDescent="0.15">
      <c r="A21" s="55" t="str">
        <f>HYPERLINK("http://reports.ofsted.gov.uk/inspection-reports/find-inspection-report/provider/CARE/1159272","Ofsted Social Care Provider Webpage")</f>
        <v>Ofsted Social Care Provider Webpage</v>
      </c>
      <c r="B21" s="55">
        <v>1159272</v>
      </c>
      <c r="D21" s="55" t="s">
        <v>373</v>
      </c>
      <c r="E21" s="74">
        <v>42284</v>
      </c>
      <c r="F21" s="55" t="s">
        <v>344</v>
      </c>
      <c r="G21" s="55" t="s">
        <v>360</v>
      </c>
      <c r="H21" s="55" t="s">
        <v>360</v>
      </c>
      <c r="I21" s="55" t="s">
        <v>360</v>
      </c>
      <c r="J21" s="55" t="s">
        <v>360</v>
      </c>
      <c r="K21" s="55" t="s">
        <v>360</v>
      </c>
      <c r="L21" s="55" t="s">
        <v>360</v>
      </c>
      <c r="M21" s="55" t="s">
        <v>378</v>
      </c>
      <c r="N21" s="55" t="s">
        <v>134</v>
      </c>
      <c r="O21" s="55" t="s">
        <v>232</v>
      </c>
      <c r="P21" s="55" t="s">
        <v>412</v>
      </c>
      <c r="Q21" s="55" t="s">
        <v>350</v>
      </c>
      <c r="R21" s="85">
        <v>4</v>
      </c>
      <c r="S21" s="55">
        <v>0</v>
      </c>
      <c r="T21" s="74" t="s">
        <v>385</v>
      </c>
      <c r="U21" s="74" t="s">
        <v>2053</v>
      </c>
      <c r="V21" s="74">
        <v>44398</v>
      </c>
      <c r="W21" s="74">
        <v>44434</v>
      </c>
      <c r="X21" s="55">
        <v>10201567</v>
      </c>
      <c r="AL21" s="74"/>
      <c r="AM21" s="74"/>
      <c r="AW21" s="74"/>
      <c r="AX21" s="74"/>
    </row>
    <row r="22" spans="1:50" ht="13" x14ac:dyDescent="0.15">
      <c r="A22" s="55" t="str">
        <f>HYPERLINK("http://reports.ofsted.gov.uk/inspection-reports/find-inspection-report/provider/CARE/1159380","Ofsted Social Care Provider Webpage")</f>
        <v>Ofsted Social Care Provider Webpage</v>
      </c>
      <c r="B22" s="55">
        <v>1159380</v>
      </c>
      <c r="C22" s="55">
        <v>141957</v>
      </c>
      <c r="D22" s="55" t="s">
        <v>413</v>
      </c>
      <c r="E22" s="74">
        <v>42125</v>
      </c>
      <c r="F22" s="55" t="s">
        <v>344</v>
      </c>
      <c r="G22" s="55" t="s">
        <v>414</v>
      </c>
      <c r="H22" s="55" t="s">
        <v>415</v>
      </c>
      <c r="I22" s="55" t="s">
        <v>416</v>
      </c>
      <c r="J22" s="55" t="s">
        <v>417</v>
      </c>
      <c r="K22" s="55" t="s">
        <v>203</v>
      </c>
      <c r="L22" s="55" t="s">
        <v>418</v>
      </c>
      <c r="M22" s="55" t="s">
        <v>150</v>
      </c>
      <c r="N22" s="55" t="s">
        <v>150</v>
      </c>
      <c r="O22" s="55" t="s">
        <v>203</v>
      </c>
      <c r="P22" s="55" t="s">
        <v>419</v>
      </c>
      <c r="Q22" s="55" t="s">
        <v>420</v>
      </c>
      <c r="R22" s="85">
        <v>18</v>
      </c>
      <c r="S22" s="55">
        <v>0</v>
      </c>
      <c r="T22" s="74" t="s">
        <v>421</v>
      </c>
      <c r="U22" s="74" t="s">
        <v>351</v>
      </c>
      <c r="V22" s="74">
        <v>44594</v>
      </c>
      <c r="W22" s="74">
        <v>44657</v>
      </c>
      <c r="X22" s="55">
        <v>10183550</v>
      </c>
      <c r="Y22" s="55" t="s">
        <v>132</v>
      </c>
      <c r="AB22" s="74" t="s">
        <v>132</v>
      </c>
      <c r="AC22" s="55" t="s">
        <v>132</v>
      </c>
      <c r="AL22" s="74"/>
      <c r="AM22" s="74"/>
    </row>
    <row r="23" spans="1:50" ht="13" x14ac:dyDescent="0.15">
      <c r="A23" s="55" t="str">
        <f>HYPERLINK("http://reports.ofsted.gov.uk/inspection-reports/find-inspection-report/provider/CARE/1159385","Ofsted Social Care Provider Webpage")</f>
        <v>Ofsted Social Care Provider Webpage</v>
      </c>
      <c r="B23" s="55">
        <v>1159385</v>
      </c>
      <c r="D23" s="55" t="s">
        <v>373</v>
      </c>
      <c r="E23" s="74">
        <v>42535</v>
      </c>
      <c r="F23" s="55" t="s">
        <v>344</v>
      </c>
      <c r="G23" s="55" t="s">
        <v>360</v>
      </c>
      <c r="H23" s="55" t="s">
        <v>360</v>
      </c>
      <c r="I23" s="55" t="s">
        <v>360</v>
      </c>
      <c r="J23" s="55" t="s">
        <v>360</v>
      </c>
      <c r="K23" s="55" t="s">
        <v>360</v>
      </c>
      <c r="L23" s="55" t="s">
        <v>360</v>
      </c>
      <c r="M23" s="55" t="s">
        <v>142</v>
      </c>
      <c r="N23" s="55" t="s">
        <v>142</v>
      </c>
      <c r="O23" s="55" t="s">
        <v>252</v>
      </c>
      <c r="P23" s="55" t="s">
        <v>386</v>
      </c>
      <c r="Q23" s="55" t="s">
        <v>350</v>
      </c>
      <c r="R23" s="85">
        <v>4</v>
      </c>
      <c r="S23" s="55">
        <v>0</v>
      </c>
      <c r="T23" s="74" t="s">
        <v>385</v>
      </c>
      <c r="U23" s="74" t="s">
        <v>351</v>
      </c>
      <c r="V23" s="74">
        <v>44488</v>
      </c>
      <c r="W23" s="74">
        <v>44539</v>
      </c>
      <c r="X23" s="55">
        <v>10186121</v>
      </c>
      <c r="Y23" s="55" t="s">
        <v>132</v>
      </c>
      <c r="AB23" s="74" t="s">
        <v>132</v>
      </c>
      <c r="AC23" s="55" t="s">
        <v>130</v>
      </c>
      <c r="AL23" s="74"/>
      <c r="AM23" s="74"/>
      <c r="AW23" s="74"/>
      <c r="AX23" s="74"/>
    </row>
    <row r="24" spans="1:50" ht="13" x14ac:dyDescent="0.15">
      <c r="A24" s="55" t="str">
        <f>HYPERLINK("http://reports.ofsted.gov.uk/inspection-reports/find-inspection-report/provider/CARE/1159395","Ofsted Social Care Provider Webpage")</f>
        <v>Ofsted Social Care Provider Webpage</v>
      </c>
      <c r="B24" s="55">
        <v>1159395</v>
      </c>
      <c r="C24" s="55">
        <v>114640</v>
      </c>
      <c r="D24" s="55" t="s">
        <v>398</v>
      </c>
      <c r="E24" s="74">
        <v>42248</v>
      </c>
      <c r="F24" s="55" t="s">
        <v>344</v>
      </c>
      <c r="G24" s="55" t="s">
        <v>425</v>
      </c>
      <c r="H24" s="55" t="s">
        <v>425</v>
      </c>
      <c r="I24" s="55" t="s">
        <v>426</v>
      </c>
      <c r="J24" s="55" t="s">
        <v>427</v>
      </c>
      <c r="K24" s="55" t="s">
        <v>181</v>
      </c>
      <c r="L24" s="55" t="s">
        <v>428</v>
      </c>
      <c r="M24" s="55" t="s">
        <v>150</v>
      </c>
      <c r="N24" s="55" t="s">
        <v>150</v>
      </c>
      <c r="O24" s="55" t="s">
        <v>181</v>
      </c>
      <c r="P24" s="55" t="s">
        <v>429</v>
      </c>
      <c r="Q24" s="55" t="s">
        <v>350</v>
      </c>
      <c r="R24" s="85">
        <v>104</v>
      </c>
      <c r="S24" s="55">
        <v>0</v>
      </c>
      <c r="T24" s="74" t="s">
        <v>430</v>
      </c>
      <c r="U24" s="74" t="s">
        <v>351</v>
      </c>
      <c r="V24" s="74">
        <v>44460</v>
      </c>
      <c r="W24" s="74">
        <v>44533</v>
      </c>
      <c r="X24" s="55">
        <v>10183307</v>
      </c>
      <c r="Y24" s="55" t="s">
        <v>140</v>
      </c>
      <c r="AB24" s="74" t="s">
        <v>132</v>
      </c>
      <c r="AC24" s="55" t="s">
        <v>140</v>
      </c>
      <c r="AL24" s="74"/>
      <c r="AM24" s="74"/>
    </row>
    <row r="25" spans="1:50" ht="13" x14ac:dyDescent="0.15">
      <c r="A25" s="55" t="str">
        <f>HYPERLINK("http://reports.ofsted.gov.uk/inspection-reports/find-inspection-report/provider/CARE/1159397","Ofsted Social Care Provider Webpage")</f>
        <v>Ofsted Social Care Provider Webpage</v>
      </c>
      <c r="B25" s="55">
        <v>1159397</v>
      </c>
      <c r="D25" s="55" t="s">
        <v>373</v>
      </c>
      <c r="E25" s="74">
        <v>42464</v>
      </c>
      <c r="F25" s="55" t="s">
        <v>344</v>
      </c>
      <c r="G25" s="55" t="s">
        <v>360</v>
      </c>
      <c r="H25" s="55" t="s">
        <v>360</v>
      </c>
      <c r="I25" s="55" t="s">
        <v>360</v>
      </c>
      <c r="J25" s="55" t="s">
        <v>360</v>
      </c>
      <c r="K25" s="55" t="s">
        <v>360</v>
      </c>
      <c r="L25" s="55" t="s">
        <v>360</v>
      </c>
      <c r="M25" s="55" t="s">
        <v>378</v>
      </c>
      <c r="N25" s="55" t="s">
        <v>134</v>
      </c>
      <c r="O25" s="55" t="s">
        <v>232</v>
      </c>
      <c r="P25" s="55" t="s">
        <v>412</v>
      </c>
      <c r="Q25" s="55" t="s">
        <v>350</v>
      </c>
      <c r="R25" s="85">
        <v>4</v>
      </c>
      <c r="S25" s="55">
        <v>0</v>
      </c>
      <c r="T25" s="74" t="s">
        <v>385</v>
      </c>
      <c r="U25" s="74" t="s">
        <v>351</v>
      </c>
      <c r="V25" s="74">
        <v>44419</v>
      </c>
      <c r="W25" s="74">
        <v>44453</v>
      </c>
      <c r="X25" s="55">
        <v>10185655</v>
      </c>
      <c r="Y25" s="55" t="s">
        <v>130</v>
      </c>
      <c r="AB25" s="74" t="s">
        <v>130</v>
      </c>
      <c r="AC25" s="55" t="s">
        <v>130</v>
      </c>
      <c r="AL25" s="74"/>
      <c r="AM25" s="74"/>
    </row>
    <row r="26" spans="1:50" ht="13" x14ac:dyDescent="0.15">
      <c r="A26" s="55" t="str">
        <f>HYPERLINK("http://reports.ofsted.gov.uk/inspection-reports/find-inspection-report/provider/CARE/1159397","Ofsted Social Care Provider Webpage")</f>
        <v>Ofsted Social Care Provider Webpage</v>
      </c>
      <c r="B26" s="55">
        <v>1159397</v>
      </c>
      <c r="D26" s="55" t="s">
        <v>373</v>
      </c>
      <c r="E26" s="74">
        <v>42464</v>
      </c>
      <c r="F26" s="55" t="s">
        <v>344</v>
      </c>
      <c r="G26" s="55" t="s">
        <v>360</v>
      </c>
      <c r="H26" s="55" t="s">
        <v>360</v>
      </c>
      <c r="I26" s="55" t="s">
        <v>360</v>
      </c>
      <c r="J26" s="55" t="s">
        <v>360</v>
      </c>
      <c r="K26" s="55" t="s">
        <v>360</v>
      </c>
      <c r="L26" s="55" t="s">
        <v>360</v>
      </c>
      <c r="M26" s="55" t="s">
        <v>378</v>
      </c>
      <c r="N26" s="55" t="s">
        <v>134</v>
      </c>
      <c r="O26" s="55" t="s">
        <v>232</v>
      </c>
      <c r="P26" s="55" t="s">
        <v>412</v>
      </c>
      <c r="Q26" s="55" t="s">
        <v>350</v>
      </c>
      <c r="R26" s="85">
        <v>4</v>
      </c>
      <c r="S26" s="55">
        <v>0</v>
      </c>
      <c r="T26" s="74" t="s">
        <v>385</v>
      </c>
      <c r="U26" s="74" t="s">
        <v>6703</v>
      </c>
      <c r="V26" s="74">
        <v>44518</v>
      </c>
      <c r="W26" s="74">
        <v>44559</v>
      </c>
      <c r="X26" s="55">
        <v>10212757</v>
      </c>
      <c r="Y26" s="55" t="s">
        <v>6704</v>
      </c>
      <c r="AL26" s="74"/>
      <c r="AM26" s="74"/>
    </row>
    <row r="27" spans="1:50" ht="13" x14ac:dyDescent="0.15">
      <c r="A27" s="55" t="str">
        <f>HYPERLINK("http://reports.ofsted.gov.uk/inspection-reports/find-inspection-report/provider/CARE/1159682","Ofsted Social Care Provider Webpage")</f>
        <v>Ofsted Social Care Provider Webpage</v>
      </c>
      <c r="B27" s="55">
        <v>1159682</v>
      </c>
      <c r="D27" s="55" t="s">
        <v>373</v>
      </c>
      <c r="E27" s="74">
        <v>42269</v>
      </c>
      <c r="F27" s="55" t="s">
        <v>344</v>
      </c>
      <c r="G27" s="55" t="s">
        <v>360</v>
      </c>
      <c r="H27" s="55" t="s">
        <v>360</v>
      </c>
      <c r="I27" s="55" t="s">
        <v>360</v>
      </c>
      <c r="J27" s="55" t="s">
        <v>360</v>
      </c>
      <c r="K27" s="55" t="s">
        <v>360</v>
      </c>
      <c r="L27" s="55" t="s">
        <v>360</v>
      </c>
      <c r="M27" s="55" t="s">
        <v>129</v>
      </c>
      <c r="N27" s="55" t="s">
        <v>129</v>
      </c>
      <c r="O27" s="55" t="s">
        <v>201</v>
      </c>
      <c r="P27" s="55" t="s">
        <v>431</v>
      </c>
      <c r="Q27" s="55" t="s">
        <v>362</v>
      </c>
      <c r="R27" s="85">
        <v>4</v>
      </c>
      <c r="S27" s="55">
        <v>0</v>
      </c>
      <c r="T27" s="74" t="s">
        <v>432</v>
      </c>
      <c r="U27" s="74" t="s">
        <v>351</v>
      </c>
      <c r="V27" s="74">
        <v>44322</v>
      </c>
      <c r="W27" s="74">
        <v>44364</v>
      </c>
      <c r="X27" s="55">
        <v>10185107</v>
      </c>
      <c r="Y27" s="55" t="s">
        <v>132</v>
      </c>
      <c r="AB27" s="74" t="s">
        <v>132</v>
      </c>
      <c r="AC27" s="55" t="s">
        <v>132</v>
      </c>
      <c r="AL27" s="74"/>
      <c r="AM27" s="74"/>
      <c r="AW27" s="74"/>
      <c r="AX27" s="74"/>
    </row>
    <row r="28" spans="1:50" ht="13" x14ac:dyDescent="0.15">
      <c r="A28" s="55" t="str">
        <f>HYPERLINK("http://reports.ofsted.gov.uk/inspection-reports/find-inspection-report/provider/CARE/1159755","Ofsted Social Care Provider Webpage")</f>
        <v>Ofsted Social Care Provider Webpage</v>
      </c>
      <c r="B28" s="55">
        <v>1159755</v>
      </c>
      <c r="D28" s="55" t="s">
        <v>373</v>
      </c>
      <c r="E28" s="74">
        <v>42279</v>
      </c>
      <c r="F28" s="55" t="s">
        <v>344</v>
      </c>
      <c r="G28" s="55" t="s">
        <v>360</v>
      </c>
      <c r="H28" s="55" t="s">
        <v>360</v>
      </c>
      <c r="I28" s="55" t="s">
        <v>360</v>
      </c>
      <c r="J28" s="55" t="s">
        <v>360</v>
      </c>
      <c r="K28" s="55" t="s">
        <v>360</v>
      </c>
      <c r="L28" s="55" t="s">
        <v>360</v>
      </c>
      <c r="M28" s="55" t="s">
        <v>129</v>
      </c>
      <c r="N28" s="55" t="s">
        <v>129</v>
      </c>
      <c r="O28" s="55" t="s">
        <v>179</v>
      </c>
      <c r="P28" s="55" t="s">
        <v>433</v>
      </c>
      <c r="Q28" s="55" t="s">
        <v>362</v>
      </c>
      <c r="R28" s="85">
        <v>4</v>
      </c>
      <c r="S28" s="55">
        <v>0</v>
      </c>
      <c r="T28" s="74" t="s">
        <v>432</v>
      </c>
      <c r="U28" s="74" t="s">
        <v>351</v>
      </c>
      <c r="V28" s="74">
        <v>44587</v>
      </c>
      <c r="W28" s="74">
        <v>44620</v>
      </c>
      <c r="X28" s="55">
        <v>10186695</v>
      </c>
      <c r="Y28" s="55" t="s">
        <v>140</v>
      </c>
      <c r="AB28" s="74" t="s">
        <v>140</v>
      </c>
      <c r="AC28" s="55" t="s">
        <v>140</v>
      </c>
      <c r="AL28" s="74"/>
      <c r="AM28" s="74"/>
    </row>
    <row r="29" spans="1:50" ht="13" x14ac:dyDescent="0.15">
      <c r="A29" s="55" t="str">
        <f>HYPERLINK("http://reports.ofsted.gov.uk/inspection-reports/find-inspection-report/provider/CARE/1159868","Ofsted Social Care Provider Webpage")</f>
        <v>Ofsted Social Care Provider Webpage</v>
      </c>
      <c r="B29" s="55">
        <v>1159868</v>
      </c>
      <c r="D29" s="55" t="s">
        <v>373</v>
      </c>
      <c r="E29" s="74">
        <v>42306</v>
      </c>
      <c r="F29" s="55" t="s">
        <v>344</v>
      </c>
      <c r="G29" s="55" t="s">
        <v>360</v>
      </c>
      <c r="H29" s="55" t="s">
        <v>360</v>
      </c>
      <c r="I29" s="55" t="s">
        <v>360</v>
      </c>
      <c r="J29" s="55" t="s">
        <v>360</v>
      </c>
      <c r="K29" s="55" t="s">
        <v>360</v>
      </c>
      <c r="L29" s="55" t="s">
        <v>360</v>
      </c>
      <c r="M29" s="55" t="s">
        <v>136</v>
      </c>
      <c r="N29" s="55" t="s">
        <v>136</v>
      </c>
      <c r="O29" s="55" t="s">
        <v>176</v>
      </c>
      <c r="P29" s="55" t="s">
        <v>436</v>
      </c>
      <c r="Q29" s="55" t="s">
        <v>350</v>
      </c>
      <c r="R29" s="85">
        <v>3</v>
      </c>
      <c r="S29" s="55">
        <v>0</v>
      </c>
      <c r="T29" s="74" t="s">
        <v>385</v>
      </c>
      <c r="U29" s="74" t="s">
        <v>2053</v>
      </c>
      <c r="V29" s="74">
        <v>44348</v>
      </c>
      <c r="W29" s="74">
        <v>44379</v>
      </c>
      <c r="X29" s="55">
        <v>10197042</v>
      </c>
      <c r="AL29" s="74"/>
      <c r="AM29" s="74"/>
      <c r="AW29" s="74"/>
      <c r="AX29" s="74"/>
    </row>
    <row r="30" spans="1:50" ht="13" x14ac:dyDescent="0.15">
      <c r="A30" s="55" t="str">
        <f>HYPERLINK("http://reports.ofsted.gov.uk/inspection-reports/find-inspection-report/provider/CARE/1159868","Ofsted Social Care Provider Webpage")</f>
        <v>Ofsted Social Care Provider Webpage</v>
      </c>
      <c r="B30" s="55">
        <v>1159868</v>
      </c>
      <c r="D30" s="55" t="s">
        <v>373</v>
      </c>
      <c r="E30" s="74">
        <v>42306</v>
      </c>
      <c r="F30" s="55" t="s">
        <v>344</v>
      </c>
      <c r="G30" s="55" t="s">
        <v>360</v>
      </c>
      <c r="H30" s="55" t="s">
        <v>360</v>
      </c>
      <c r="I30" s="55" t="s">
        <v>360</v>
      </c>
      <c r="J30" s="55" t="s">
        <v>360</v>
      </c>
      <c r="K30" s="55" t="s">
        <v>360</v>
      </c>
      <c r="L30" s="55" t="s">
        <v>360</v>
      </c>
      <c r="M30" s="55" t="s">
        <v>136</v>
      </c>
      <c r="N30" s="55" t="s">
        <v>136</v>
      </c>
      <c r="O30" s="55" t="s">
        <v>176</v>
      </c>
      <c r="P30" s="55" t="s">
        <v>436</v>
      </c>
      <c r="Q30" s="55" t="s">
        <v>350</v>
      </c>
      <c r="R30" s="85">
        <v>3</v>
      </c>
      <c r="S30" s="55">
        <v>0</v>
      </c>
      <c r="T30" s="74" t="s">
        <v>385</v>
      </c>
      <c r="U30" s="74" t="s">
        <v>351</v>
      </c>
      <c r="V30" s="74">
        <v>44383</v>
      </c>
      <c r="W30" s="74">
        <v>44413</v>
      </c>
      <c r="X30" s="55">
        <v>10193525</v>
      </c>
      <c r="Y30" s="55" t="s">
        <v>130</v>
      </c>
      <c r="AB30" s="74" t="s">
        <v>130</v>
      </c>
      <c r="AC30" s="55" t="s">
        <v>130</v>
      </c>
      <c r="AL30" s="74"/>
      <c r="AM30" s="74"/>
      <c r="AW30" s="74"/>
      <c r="AX30" s="74"/>
    </row>
    <row r="31" spans="1:50" ht="13" x14ac:dyDescent="0.15">
      <c r="A31" s="55" t="str">
        <f>HYPERLINK("http://reports.ofsted.gov.uk/inspection-reports/find-inspection-report/provider/CARE/1159868","Ofsted Social Care Provider Webpage")</f>
        <v>Ofsted Social Care Provider Webpage</v>
      </c>
      <c r="B31" s="55">
        <v>1159868</v>
      </c>
      <c r="D31" s="55" t="s">
        <v>373</v>
      </c>
      <c r="E31" s="74">
        <v>42306</v>
      </c>
      <c r="F31" s="55" t="s">
        <v>344</v>
      </c>
      <c r="G31" s="55" t="s">
        <v>360</v>
      </c>
      <c r="H31" s="55" t="s">
        <v>360</v>
      </c>
      <c r="I31" s="55" t="s">
        <v>360</v>
      </c>
      <c r="J31" s="55" t="s">
        <v>360</v>
      </c>
      <c r="K31" s="55" t="s">
        <v>360</v>
      </c>
      <c r="L31" s="55" t="s">
        <v>360</v>
      </c>
      <c r="M31" s="55" t="s">
        <v>136</v>
      </c>
      <c r="N31" s="55" t="s">
        <v>136</v>
      </c>
      <c r="O31" s="55" t="s">
        <v>176</v>
      </c>
      <c r="P31" s="55" t="s">
        <v>436</v>
      </c>
      <c r="Q31" s="55" t="s">
        <v>350</v>
      </c>
      <c r="R31" s="85">
        <v>3</v>
      </c>
      <c r="S31" s="55">
        <v>0</v>
      </c>
      <c r="T31" s="74" t="s">
        <v>385</v>
      </c>
      <c r="U31" s="74" t="s">
        <v>351</v>
      </c>
      <c r="V31" s="74">
        <v>44306</v>
      </c>
      <c r="W31" s="74">
        <v>44337</v>
      </c>
      <c r="X31" s="55">
        <v>10187627</v>
      </c>
      <c r="Y31" s="55" t="s">
        <v>146</v>
      </c>
      <c r="AB31" s="74" t="s">
        <v>146</v>
      </c>
      <c r="AC31" s="55" t="s">
        <v>146</v>
      </c>
      <c r="AL31" s="74"/>
      <c r="AM31" s="74"/>
      <c r="AW31" s="74"/>
      <c r="AX31" s="74"/>
    </row>
    <row r="32" spans="1:50" ht="13" x14ac:dyDescent="0.15">
      <c r="A32" s="55" t="str">
        <f>HYPERLINK("http://reports.ofsted.gov.uk/inspection-reports/find-inspection-report/provider/CARE/1159884","Ofsted Social Care Provider Webpage")</f>
        <v>Ofsted Social Care Provider Webpage</v>
      </c>
      <c r="B32" s="55">
        <v>1159884</v>
      </c>
      <c r="D32" s="55" t="s">
        <v>373</v>
      </c>
      <c r="E32" s="74">
        <v>42436</v>
      </c>
      <c r="F32" s="55" t="s">
        <v>344</v>
      </c>
      <c r="G32" s="55" t="s">
        <v>360</v>
      </c>
      <c r="H32" s="55" t="s">
        <v>360</v>
      </c>
      <c r="I32" s="55" t="s">
        <v>360</v>
      </c>
      <c r="J32" s="55" t="s">
        <v>360</v>
      </c>
      <c r="K32" s="55" t="s">
        <v>360</v>
      </c>
      <c r="L32" s="55" t="s">
        <v>360</v>
      </c>
      <c r="M32" s="55" t="s">
        <v>378</v>
      </c>
      <c r="N32" s="55" t="s">
        <v>170</v>
      </c>
      <c r="O32" s="55" t="s">
        <v>264</v>
      </c>
      <c r="P32" s="55" t="s">
        <v>437</v>
      </c>
      <c r="Q32" s="55" t="s">
        <v>350</v>
      </c>
      <c r="R32" s="85">
        <v>5</v>
      </c>
      <c r="S32" s="55">
        <v>0</v>
      </c>
      <c r="T32" s="74" t="s">
        <v>438</v>
      </c>
      <c r="U32" s="74" t="s">
        <v>351</v>
      </c>
      <c r="V32" s="74">
        <v>44585</v>
      </c>
      <c r="W32" s="74">
        <v>44624</v>
      </c>
      <c r="X32" s="55">
        <v>10187308</v>
      </c>
      <c r="Y32" s="55" t="s">
        <v>132</v>
      </c>
      <c r="AB32" s="74" t="s">
        <v>132</v>
      </c>
      <c r="AC32" s="55" t="s">
        <v>132</v>
      </c>
      <c r="AL32" s="74"/>
      <c r="AM32" s="74"/>
      <c r="AW32" s="74"/>
      <c r="AX32" s="74"/>
    </row>
    <row r="33" spans="1:50" ht="13" x14ac:dyDescent="0.15">
      <c r="A33" s="55" t="str">
        <f>HYPERLINK("http://reports.ofsted.gov.uk/inspection-reports/find-inspection-report/provider/CARE/1159903","Ofsted Social Care Provider Webpage")</f>
        <v>Ofsted Social Care Provider Webpage</v>
      </c>
      <c r="B33" s="55">
        <v>1159903</v>
      </c>
      <c r="D33" s="55" t="s">
        <v>373</v>
      </c>
      <c r="E33" s="74">
        <v>42285</v>
      </c>
      <c r="F33" s="55" t="s">
        <v>344</v>
      </c>
      <c r="G33" s="55" t="s">
        <v>360</v>
      </c>
      <c r="H33" s="55" t="s">
        <v>360</v>
      </c>
      <c r="I33" s="55" t="s">
        <v>360</v>
      </c>
      <c r="J33" s="55" t="s">
        <v>360</v>
      </c>
      <c r="K33" s="55" t="s">
        <v>360</v>
      </c>
      <c r="L33" s="55" t="s">
        <v>360</v>
      </c>
      <c r="M33" s="55" t="s">
        <v>144</v>
      </c>
      <c r="N33" s="55" t="s">
        <v>144</v>
      </c>
      <c r="O33" s="55" t="s">
        <v>248</v>
      </c>
      <c r="P33" s="55" t="s">
        <v>439</v>
      </c>
      <c r="Q33" s="55" t="s">
        <v>350</v>
      </c>
      <c r="R33" s="85">
        <v>5</v>
      </c>
      <c r="S33" s="55">
        <v>0</v>
      </c>
      <c r="T33" s="74" t="s">
        <v>440</v>
      </c>
      <c r="U33" s="74" t="s">
        <v>351</v>
      </c>
      <c r="V33" s="74">
        <v>44356</v>
      </c>
      <c r="W33" s="74">
        <v>44385</v>
      </c>
      <c r="X33" s="55">
        <v>10185848</v>
      </c>
      <c r="Y33" s="55" t="s">
        <v>132</v>
      </c>
      <c r="AB33" s="74" t="s">
        <v>132</v>
      </c>
      <c r="AC33" s="55" t="s">
        <v>132</v>
      </c>
      <c r="AL33" s="74"/>
      <c r="AM33" s="74"/>
    </row>
    <row r="34" spans="1:50" ht="13" x14ac:dyDescent="0.15">
      <c r="A34" s="55" t="str">
        <f>HYPERLINK("http://reports.ofsted.gov.uk/inspection-reports/find-inspection-report/provider/CARE/1164089","Ofsted Social Care Provider Webpage")</f>
        <v>Ofsted Social Care Provider Webpage</v>
      </c>
      <c r="B34" s="55">
        <v>1164089</v>
      </c>
      <c r="D34" s="55" t="s">
        <v>373</v>
      </c>
      <c r="E34" s="74">
        <v>42232</v>
      </c>
      <c r="F34" s="55" t="s">
        <v>344</v>
      </c>
      <c r="G34" s="55" t="s">
        <v>360</v>
      </c>
      <c r="H34" s="55" t="s">
        <v>360</v>
      </c>
      <c r="I34" s="55" t="s">
        <v>360</v>
      </c>
      <c r="J34" s="55" t="s">
        <v>360</v>
      </c>
      <c r="K34" s="55" t="s">
        <v>360</v>
      </c>
      <c r="L34" s="55" t="s">
        <v>360</v>
      </c>
      <c r="M34" s="55" t="s">
        <v>138</v>
      </c>
      <c r="N34" s="55" t="s">
        <v>138</v>
      </c>
      <c r="O34" s="55" t="s">
        <v>196</v>
      </c>
      <c r="P34" s="55" t="s">
        <v>441</v>
      </c>
      <c r="Q34" s="55" t="s">
        <v>350</v>
      </c>
      <c r="R34" s="85">
        <v>4</v>
      </c>
      <c r="S34" s="55">
        <v>0</v>
      </c>
      <c r="T34" s="74" t="s">
        <v>442</v>
      </c>
      <c r="U34" s="74" t="s">
        <v>351</v>
      </c>
      <c r="V34" s="74">
        <v>44510</v>
      </c>
      <c r="W34" s="74">
        <v>44544</v>
      </c>
      <c r="X34" s="55">
        <v>10187319</v>
      </c>
      <c r="Y34" s="55" t="s">
        <v>132</v>
      </c>
      <c r="AB34" s="74" t="s">
        <v>132</v>
      </c>
      <c r="AC34" s="55" t="s">
        <v>132</v>
      </c>
      <c r="AL34" s="74"/>
      <c r="AM34" s="74"/>
    </row>
    <row r="35" spans="1:50" ht="13" x14ac:dyDescent="0.15">
      <c r="A35" s="55" t="str">
        <f>HYPERLINK("http://reports.ofsted.gov.uk/inspection-reports/find-inspection-report/provider/CARE/1183069","Ofsted Social Care Provider Webpage")</f>
        <v>Ofsted Social Care Provider Webpage</v>
      </c>
      <c r="B35" s="55">
        <v>1183069</v>
      </c>
      <c r="D35" s="55" t="s">
        <v>373</v>
      </c>
      <c r="E35" s="74">
        <v>42278</v>
      </c>
      <c r="F35" s="55" t="s">
        <v>344</v>
      </c>
      <c r="G35" s="55" t="s">
        <v>360</v>
      </c>
      <c r="H35" s="55" t="s">
        <v>360</v>
      </c>
      <c r="I35" s="55" t="s">
        <v>360</v>
      </c>
      <c r="J35" s="55" t="s">
        <v>360</v>
      </c>
      <c r="K35" s="55" t="s">
        <v>360</v>
      </c>
      <c r="L35" s="55" t="s">
        <v>360</v>
      </c>
      <c r="M35" s="55" t="s">
        <v>138</v>
      </c>
      <c r="N35" s="55" t="s">
        <v>138</v>
      </c>
      <c r="O35" s="55" t="s">
        <v>266</v>
      </c>
      <c r="P35" s="55" t="s">
        <v>449</v>
      </c>
      <c r="Q35" s="55" t="s">
        <v>350</v>
      </c>
      <c r="R35" s="85">
        <v>6</v>
      </c>
      <c r="S35" s="55">
        <v>0</v>
      </c>
      <c r="T35" s="74" t="s">
        <v>450</v>
      </c>
      <c r="U35" s="74" t="s">
        <v>351</v>
      </c>
      <c r="V35" s="74">
        <v>44390</v>
      </c>
      <c r="W35" s="74">
        <v>44417</v>
      </c>
      <c r="X35" s="55">
        <v>10185248</v>
      </c>
      <c r="Y35" s="55" t="s">
        <v>132</v>
      </c>
      <c r="AB35" s="74" t="s">
        <v>132</v>
      </c>
      <c r="AC35" s="55" t="s">
        <v>130</v>
      </c>
      <c r="AL35" s="74"/>
      <c r="AM35" s="74"/>
    </row>
    <row r="36" spans="1:50" ht="13" x14ac:dyDescent="0.15">
      <c r="A36" s="55" t="str">
        <f>HYPERLINK("http://reports.ofsted.gov.uk/inspection-reports/find-inspection-report/provider/CARE/1183136","Ofsted Social Care Provider Webpage")</f>
        <v>Ofsted Social Care Provider Webpage</v>
      </c>
      <c r="B36" s="55">
        <v>1183136</v>
      </c>
      <c r="D36" s="55" t="s">
        <v>373</v>
      </c>
      <c r="E36" s="74">
        <v>42256</v>
      </c>
      <c r="F36" s="55" t="s">
        <v>344</v>
      </c>
      <c r="G36" s="55" t="s">
        <v>360</v>
      </c>
      <c r="H36" s="55" t="s">
        <v>360</v>
      </c>
      <c r="I36" s="55" t="s">
        <v>360</v>
      </c>
      <c r="J36" s="55" t="s">
        <v>360</v>
      </c>
      <c r="K36" s="55" t="s">
        <v>360</v>
      </c>
      <c r="L36" s="55" t="s">
        <v>360</v>
      </c>
      <c r="M36" s="55" t="s">
        <v>172</v>
      </c>
      <c r="N36" s="55" t="s">
        <v>172</v>
      </c>
      <c r="O36" s="55" t="s">
        <v>234</v>
      </c>
      <c r="P36" s="55" t="s">
        <v>457</v>
      </c>
      <c r="Q36" s="55" t="s">
        <v>362</v>
      </c>
      <c r="R36" s="85">
        <v>2</v>
      </c>
      <c r="S36" s="55">
        <v>0</v>
      </c>
      <c r="T36" s="74" t="s">
        <v>458</v>
      </c>
      <c r="U36" s="74" t="s">
        <v>351</v>
      </c>
      <c r="V36" s="74">
        <v>44369</v>
      </c>
      <c r="W36" s="74">
        <v>44407</v>
      </c>
      <c r="X36" s="55">
        <v>10185817</v>
      </c>
      <c r="Y36" s="55" t="s">
        <v>132</v>
      </c>
      <c r="AB36" s="74" t="s">
        <v>132</v>
      </c>
      <c r="AC36" s="55" t="s">
        <v>132</v>
      </c>
      <c r="AL36" s="74"/>
      <c r="AM36" s="74"/>
      <c r="AW36" s="74"/>
      <c r="AX36" s="74"/>
    </row>
    <row r="37" spans="1:50" ht="13" x14ac:dyDescent="0.15">
      <c r="A37" s="55" t="str">
        <f>HYPERLINK("http://reports.ofsted.gov.uk/inspection-reports/find-inspection-report/provider/CARE/1183173","Ofsted Social Care Provider Webpage")</f>
        <v>Ofsted Social Care Provider Webpage</v>
      </c>
      <c r="B37" s="55">
        <v>1183173</v>
      </c>
      <c r="D37" s="55" t="s">
        <v>373</v>
      </c>
      <c r="E37" s="74">
        <v>42317</v>
      </c>
      <c r="F37" s="55" t="s">
        <v>344</v>
      </c>
      <c r="G37" s="55" t="s">
        <v>360</v>
      </c>
      <c r="H37" s="55" t="s">
        <v>360</v>
      </c>
      <c r="I37" s="55" t="s">
        <v>360</v>
      </c>
      <c r="J37" s="55" t="s">
        <v>360</v>
      </c>
      <c r="K37" s="55" t="s">
        <v>360</v>
      </c>
      <c r="L37" s="55" t="s">
        <v>360</v>
      </c>
      <c r="M37" s="55" t="s">
        <v>172</v>
      </c>
      <c r="N37" s="55" t="s">
        <v>172</v>
      </c>
      <c r="O37" s="55" t="s">
        <v>228</v>
      </c>
      <c r="P37" s="55" t="s">
        <v>459</v>
      </c>
      <c r="Q37" s="55" t="s">
        <v>350</v>
      </c>
      <c r="R37" s="85">
        <v>4</v>
      </c>
      <c r="S37" s="55">
        <v>0</v>
      </c>
      <c r="T37" s="74" t="s">
        <v>460</v>
      </c>
      <c r="U37" s="74" t="s">
        <v>351</v>
      </c>
      <c r="V37" s="74">
        <v>44341</v>
      </c>
      <c r="W37" s="74">
        <v>44369</v>
      </c>
      <c r="X37" s="55">
        <v>10186963</v>
      </c>
      <c r="Y37" s="55" t="s">
        <v>130</v>
      </c>
      <c r="AB37" s="74" t="s">
        <v>130</v>
      </c>
      <c r="AC37" s="55" t="s">
        <v>130</v>
      </c>
      <c r="AL37" s="74"/>
      <c r="AM37" s="74"/>
    </row>
    <row r="38" spans="1:50" ht="13" x14ac:dyDescent="0.15">
      <c r="A38" s="55" t="str">
        <f>HYPERLINK("http://reports.ofsted.gov.uk/inspection-reports/find-inspection-report/provider/CARE/1183173","Ofsted Social Care Provider Webpage")</f>
        <v>Ofsted Social Care Provider Webpage</v>
      </c>
      <c r="B38" s="55">
        <v>1183173</v>
      </c>
      <c r="D38" s="55" t="s">
        <v>373</v>
      </c>
      <c r="E38" s="74">
        <v>42317</v>
      </c>
      <c r="F38" s="55" t="s">
        <v>344</v>
      </c>
      <c r="G38" s="55" t="s">
        <v>360</v>
      </c>
      <c r="H38" s="55" t="s">
        <v>360</v>
      </c>
      <c r="I38" s="55" t="s">
        <v>360</v>
      </c>
      <c r="J38" s="55" t="s">
        <v>360</v>
      </c>
      <c r="K38" s="55" t="s">
        <v>360</v>
      </c>
      <c r="L38" s="55" t="s">
        <v>360</v>
      </c>
      <c r="M38" s="55" t="s">
        <v>172</v>
      </c>
      <c r="N38" s="55" t="s">
        <v>172</v>
      </c>
      <c r="O38" s="55" t="s">
        <v>228</v>
      </c>
      <c r="P38" s="55" t="s">
        <v>459</v>
      </c>
      <c r="Q38" s="55" t="s">
        <v>350</v>
      </c>
      <c r="R38" s="85">
        <v>4</v>
      </c>
      <c r="S38" s="55">
        <v>0</v>
      </c>
      <c r="T38" s="74" t="s">
        <v>460</v>
      </c>
      <c r="U38" s="74" t="s">
        <v>6703</v>
      </c>
      <c r="V38" s="74">
        <v>44614</v>
      </c>
      <c r="W38" s="74">
        <v>44652</v>
      </c>
      <c r="X38" s="55">
        <v>10207468</v>
      </c>
      <c r="Y38" s="55" t="s">
        <v>6705</v>
      </c>
      <c r="AL38" s="74"/>
      <c r="AM38" s="74"/>
      <c r="AW38" s="74"/>
      <c r="AX38" s="74"/>
    </row>
    <row r="39" spans="1:50" ht="13" x14ac:dyDescent="0.15">
      <c r="A39" s="55" t="str">
        <f>HYPERLINK("http://reports.ofsted.gov.uk/inspection-reports/find-inspection-report/provider/CARE/1183197","Ofsted Social Care Provider Webpage")</f>
        <v>Ofsted Social Care Provider Webpage</v>
      </c>
      <c r="B39" s="55">
        <v>1183197</v>
      </c>
      <c r="D39" s="55" t="s">
        <v>373</v>
      </c>
      <c r="E39" s="74">
        <v>42293</v>
      </c>
      <c r="F39" s="55" t="s">
        <v>344</v>
      </c>
      <c r="G39" s="55" t="s">
        <v>360</v>
      </c>
      <c r="H39" s="55" t="s">
        <v>360</v>
      </c>
      <c r="I39" s="55" t="s">
        <v>360</v>
      </c>
      <c r="J39" s="55" t="s">
        <v>360</v>
      </c>
      <c r="K39" s="55" t="s">
        <v>360</v>
      </c>
      <c r="L39" s="55" t="s">
        <v>360</v>
      </c>
      <c r="M39" s="55" t="s">
        <v>378</v>
      </c>
      <c r="N39" s="55" t="s">
        <v>134</v>
      </c>
      <c r="O39" s="55" t="s">
        <v>277</v>
      </c>
      <c r="P39" s="55" t="s">
        <v>461</v>
      </c>
      <c r="Q39" s="55" t="s">
        <v>350</v>
      </c>
      <c r="R39" s="85">
        <v>4</v>
      </c>
      <c r="S39" s="55">
        <v>0</v>
      </c>
      <c r="T39" s="74" t="s">
        <v>462</v>
      </c>
      <c r="U39" s="74" t="s">
        <v>351</v>
      </c>
      <c r="V39" s="74">
        <v>44586</v>
      </c>
      <c r="W39" s="74">
        <v>44627</v>
      </c>
      <c r="X39" s="55">
        <v>10186148</v>
      </c>
      <c r="Y39" s="55" t="s">
        <v>132</v>
      </c>
      <c r="AB39" s="74" t="s">
        <v>132</v>
      </c>
      <c r="AC39" s="55" t="s">
        <v>132</v>
      </c>
      <c r="AL39" s="74"/>
      <c r="AM39" s="74"/>
      <c r="AW39" s="74"/>
      <c r="AX39" s="74"/>
    </row>
    <row r="40" spans="1:50" ht="13" x14ac:dyDescent="0.15">
      <c r="A40" s="55" t="str">
        <f>HYPERLINK("http://reports.ofsted.gov.uk/inspection-reports/find-inspection-report/provider/CARE/1183495","Ofsted Social Care Provider Webpage")</f>
        <v>Ofsted Social Care Provider Webpage</v>
      </c>
      <c r="B40" s="55">
        <v>1183495</v>
      </c>
      <c r="D40" s="55" t="s">
        <v>389</v>
      </c>
      <c r="E40" s="74">
        <v>42277</v>
      </c>
      <c r="F40" s="55" t="s">
        <v>344</v>
      </c>
      <c r="G40" s="55" t="s">
        <v>464</v>
      </c>
      <c r="H40" s="55" t="s">
        <v>465</v>
      </c>
      <c r="I40" s="55" t="s">
        <v>466</v>
      </c>
      <c r="J40" s="55" t="s">
        <v>253</v>
      </c>
      <c r="L40" s="55" t="s">
        <v>467</v>
      </c>
      <c r="M40" s="55" t="s">
        <v>150</v>
      </c>
      <c r="N40" s="55" t="s">
        <v>150</v>
      </c>
      <c r="O40" s="55" t="s">
        <v>253</v>
      </c>
      <c r="P40" s="55" t="s">
        <v>253</v>
      </c>
      <c r="Q40" s="55" t="s">
        <v>362</v>
      </c>
      <c r="S40" s="55">
        <v>0</v>
      </c>
      <c r="T40" s="74" t="s">
        <v>463</v>
      </c>
      <c r="U40" s="74" t="s">
        <v>351</v>
      </c>
      <c r="V40" s="74">
        <v>44382</v>
      </c>
      <c r="W40" s="74">
        <v>44434</v>
      </c>
      <c r="X40" s="55">
        <v>10183289</v>
      </c>
      <c r="Y40" s="55" t="s">
        <v>132</v>
      </c>
      <c r="AB40" s="74" t="s">
        <v>132</v>
      </c>
      <c r="AC40" s="55" t="s">
        <v>132</v>
      </c>
      <c r="AL40" s="74"/>
      <c r="AM40" s="74"/>
    </row>
    <row r="41" spans="1:50" ht="13" x14ac:dyDescent="0.15">
      <c r="A41" s="55" t="str">
        <f>HYPERLINK("http://reports.ofsted.gov.uk/inspection-reports/find-inspection-report/provider/CARE/1183574","Ofsted Social Care Provider Webpage")</f>
        <v>Ofsted Social Care Provider Webpage</v>
      </c>
      <c r="B41" s="55">
        <v>1183574</v>
      </c>
      <c r="D41" s="55" t="s">
        <v>373</v>
      </c>
      <c r="E41" s="74">
        <v>42379</v>
      </c>
      <c r="F41" s="55" t="s">
        <v>344</v>
      </c>
      <c r="G41" s="55" t="s">
        <v>360</v>
      </c>
      <c r="H41" s="55" t="s">
        <v>360</v>
      </c>
      <c r="I41" s="55" t="s">
        <v>360</v>
      </c>
      <c r="J41" s="55" t="s">
        <v>360</v>
      </c>
      <c r="K41" s="55" t="s">
        <v>360</v>
      </c>
      <c r="L41" s="55" t="s">
        <v>360</v>
      </c>
      <c r="M41" s="55" t="s">
        <v>144</v>
      </c>
      <c r="N41" s="55" t="s">
        <v>144</v>
      </c>
      <c r="O41" s="55" t="s">
        <v>163</v>
      </c>
      <c r="P41" s="55" t="s">
        <v>472</v>
      </c>
      <c r="Q41" s="55" t="s">
        <v>380</v>
      </c>
      <c r="R41" s="85">
        <v>4</v>
      </c>
      <c r="S41" s="55">
        <v>0</v>
      </c>
      <c r="T41" s="74" t="s">
        <v>473</v>
      </c>
      <c r="U41" s="74" t="s">
        <v>351</v>
      </c>
      <c r="V41" s="74">
        <v>44510</v>
      </c>
      <c r="W41" s="74">
        <v>44559</v>
      </c>
      <c r="X41" s="55">
        <v>10187612</v>
      </c>
      <c r="Y41" s="55" t="s">
        <v>132</v>
      </c>
      <c r="AB41" s="74" t="s">
        <v>132</v>
      </c>
      <c r="AC41" s="55" t="s">
        <v>132</v>
      </c>
      <c r="AL41" s="74"/>
      <c r="AM41" s="74"/>
      <c r="AW41" s="74"/>
      <c r="AX41" s="74"/>
    </row>
    <row r="42" spans="1:50" ht="13" x14ac:dyDescent="0.15">
      <c r="A42" s="55" t="str">
        <f>HYPERLINK("http://reports.ofsted.gov.uk/inspection-reports/find-inspection-report/provider/CARE/1183605","Ofsted Social Care Provider Webpage")</f>
        <v>Ofsted Social Care Provider Webpage</v>
      </c>
      <c r="B42" s="55">
        <v>1183605</v>
      </c>
      <c r="D42" s="55" t="s">
        <v>373</v>
      </c>
      <c r="E42" s="74">
        <v>42429</v>
      </c>
      <c r="F42" s="55" t="s">
        <v>344</v>
      </c>
      <c r="G42" s="55" t="s">
        <v>360</v>
      </c>
      <c r="H42" s="55" t="s">
        <v>360</v>
      </c>
      <c r="I42" s="55" t="s">
        <v>360</v>
      </c>
      <c r="J42" s="55" t="s">
        <v>360</v>
      </c>
      <c r="K42" s="55" t="s">
        <v>360</v>
      </c>
      <c r="L42" s="55" t="s">
        <v>360</v>
      </c>
      <c r="M42" s="55" t="s">
        <v>144</v>
      </c>
      <c r="N42" s="55" t="s">
        <v>144</v>
      </c>
      <c r="O42" s="55" t="s">
        <v>209</v>
      </c>
      <c r="P42" s="55" t="s">
        <v>474</v>
      </c>
      <c r="Q42" s="55" t="s">
        <v>350</v>
      </c>
      <c r="R42" s="85">
        <v>3</v>
      </c>
      <c r="S42" s="55">
        <v>0</v>
      </c>
      <c r="T42" s="74" t="s">
        <v>475</v>
      </c>
      <c r="U42" s="74" t="s">
        <v>351</v>
      </c>
      <c r="V42" s="74">
        <v>44502</v>
      </c>
      <c r="W42" s="74">
        <v>44550</v>
      </c>
      <c r="X42" s="55">
        <v>10187006</v>
      </c>
      <c r="Y42" s="55" t="s">
        <v>140</v>
      </c>
      <c r="AB42" s="74" t="s">
        <v>140</v>
      </c>
      <c r="AC42" s="55" t="s">
        <v>140</v>
      </c>
      <c r="AL42" s="74"/>
      <c r="AM42" s="74"/>
      <c r="AW42" s="74"/>
      <c r="AX42" s="74"/>
    </row>
    <row r="43" spans="1:50" ht="13" x14ac:dyDescent="0.15">
      <c r="A43" s="55" t="str">
        <f>HYPERLINK("http://reports.ofsted.gov.uk/inspection-reports/find-inspection-report/provider/CARE/1183799","Ofsted Social Care Provider Webpage")</f>
        <v>Ofsted Social Care Provider Webpage</v>
      </c>
      <c r="B43" s="55">
        <v>1183799</v>
      </c>
      <c r="D43" s="55" t="s">
        <v>373</v>
      </c>
      <c r="E43" s="74">
        <v>42333</v>
      </c>
      <c r="F43" s="55" t="s">
        <v>344</v>
      </c>
      <c r="G43" s="55" t="s">
        <v>360</v>
      </c>
      <c r="H43" s="55" t="s">
        <v>360</v>
      </c>
      <c r="I43" s="55" t="s">
        <v>360</v>
      </c>
      <c r="J43" s="55" t="s">
        <v>360</v>
      </c>
      <c r="K43" s="55" t="s">
        <v>360</v>
      </c>
      <c r="L43" s="55" t="s">
        <v>360</v>
      </c>
      <c r="M43" s="55" t="s">
        <v>150</v>
      </c>
      <c r="N43" s="55" t="s">
        <v>150</v>
      </c>
      <c r="O43" s="55" t="s">
        <v>253</v>
      </c>
      <c r="P43" s="55" t="s">
        <v>253</v>
      </c>
      <c r="Q43" s="55" t="s">
        <v>350</v>
      </c>
      <c r="R43" s="85">
        <v>4</v>
      </c>
      <c r="S43" s="55">
        <v>0</v>
      </c>
      <c r="T43" s="74" t="s">
        <v>476</v>
      </c>
      <c r="U43" s="74" t="s">
        <v>351</v>
      </c>
      <c r="V43" s="74">
        <v>44355</v>
      </c>
      <c r="W43" s="74">
        <v>44393</v>
      </c>
      <c r="X43" s="55">
        <v>10185328</v>
      </c>
      <c r="Y43" s="55" t="s">
        <v>132</v>
      </c>
      <c r="AB43" s="74" t="s">
        <v>132</v>
      </c>
      <c r="AC43" s="55" t="s">
        <v>132</v>
      </c>
      <c r="AL43" s="74"/>
      <c r="AM43" s="74"/>
    </row>
    <row r="44" spans="1:50" ht="13" x14ac:dyDescent="0.15">
      <c r="A44" s="55" t="str">
        <f>HYPERLINK("http://reports.ofsted.gov.uk/inspection-reports/find-inspection-report/provider/CARE/1183826","Ofsted Social Care Provider Webpage")</f>
        <v>Ofsted Social Care Provider Webpage</v>
      </c>
      <c r="B44" s="55">
        <v>1183826</v>
      </c>
      <c r="D44" s="55" t="s">
        <v>373</v>
      </c>
      <c r="E44" s="74">
        <v>42464</v>
      </c>
      <c r="F44" s="55" t="s">
        <v>344</v>
      </c>
      <c r="G44" s="55" t="s">
        <v>360</v>
      </c>
      <c r="H44" s="55" t="s">
        <v>360</v>
      </c>
      <c r="I44" s="55" t="s">
        <v>360</v>
      </c>
      <c r="J44" s="55" t="s">
        <v>360</v>
      </c>
      <c r="K44" s="55" t="s">
        <v>360</v>
      </c>
      <c r="L44" s="55" t="s">
        <v>360</v>
      </c>
      <c r="M44" s="55" t="s">
        <v>378</v>
      </c>
      <c r="N44" s="55" t="s">
        <v>170</v>
      </c>
      <c r="O44" s="55" t="s">
        <v>267</v>
      </c>
      <c r="P44" s="55" t="s">
        <v>477</v>
      </c>
      <c r="Q44" s="55" t="s">
        <v>350</v>
      </c>
      <c r="R44" s="85">
        <v>8</v>
      </c>
      <c r="S44" s="55" t="s">
        <v>332</v>
      </c>
      <c r="T44" s="74" t="s">
        <v>478</v>
      </c>
      <c r="U44" s="74" t="s">
        <v>351</v>
      </c>
      <c r="V44" s="74">
        <v>44600</v>
      </c>
      <c r="W44" s="74">
        <v>44655</v>
      </c>
      <c r="X44" s="55">
        <v>10185852</v>
      </c>
      <c r="Y44" s="55" t="s">
        <v>130</v>
      </c>
      <c r="AB44" s="74" t="s">
        <v>130</v>
      </c>
      <c r="AC44" s="55" t="s">
        <v>130</v>
      </c>
      <c r="AL44" s="74"/>
      <c r="AM44" s="74"/>
    </row>
    <row r="45" spans="1:50" ht="13" x14ac:dyDescent="0.15">
      <c r="A45" s="55" t="str">
        <f>HYPERLINK("http://reports.ofsted.gov.uk/inspection-reports/find-inspection-report/provider/CARE/1183911","Ofsted Social Care Provider Webpage")</f>
        <v>Ofsted Social Care Provider Webpage</v>
      </c>
      <c r="B45" s="55">
        <v>1183911</v>
      </c>
      <c r="D45" s="55" t="s">
        <v>479</v>
      </c>
      <c r="E45" s="74">
        <v>42313</v>
      </c>
      <c r="F45" s="55" t="s">
        <v>344</v>
      </c>
      <c r="G45" s="55" t="s">
        <v>360</v>
      </c>
      <c r="H45" s="55" t="s">
        <v>360</v>
      </c>
      <c r="I45" s="55" t="s">
        <v>360</v>
      </c>
      <c r="J45" s="55" t="s">
        <v>360</v>
      </c>
      <c r="K45" s="55" t="s">
        <v>360</v>
      </c>
      <c r="L45" s="55" t="s">
        <v>360</v>
      </c>
      <c r="M45" s="55" t="s">
        <v>378</v>
      </c>
      <c r="N45" s="55" t="s">
        <v>134</v>
      </c>
      <c r="O45" s="55" t="s">
        <v>158</v>
      </c>
      <c r="P45" s="55" t="s">
        <v>480</v>
      </c>
      <c r="Q45" s="55" t="s">
        <v>350</v>
      </c>
      <c r="R45" s="85">
        <v>12</v>
      </c>
      <c r="S45" s="55">
        <v>0</v>
      </c>
      <c r="T45" s="74" t="s">
        <v>481</v>
      </c>
      <c r="U45" s="74" t="s">
        <v>351</v>
      </c>
      <c r="V45" s="74">
        <v>44320</v>
      </c>
      <c r="W45" s="74">
        <v>44355</v>
      </c>
      <c r="X45" s="55">
        <v>10187032</v>
      </c>
      <c r="Y45" s="55" t="s">
        <v>132</v>
      </c>
      <c r="AB45" s="74" t="s">
        <v>132</v>
      </c>
      <c r="AC45" s="55" t="s">
        <v>132</v>
      </c>
      <c r="AL45" s="74"/>
      <c r="AM45" s="74"/>
    </row>
    <row r="46" spans="1:50" ht="13" x14ac:dyDescent="0.15">
      <c r="A46" s="55" t="str">
        <f>HYPERLINK("http://reports.ofsted.gov.uk/inspection-reports/find-inspection-report/provider/CARE/1185488","Ofsted Social Care Provider Webpage")</f>
        <v>Ofsted Social Care Provider Webpage</v>
      </c>
      <c r="B46" s="55">
        <v>1185488</v>
      </c>
      <c r="D46" s="55" t="s">
        <v>373</v>
      </c>
      <c r="E46" s="74">
        <v>42338</v>
      </c>
      <c r="F46" s="55" t="s">
        <v>344</v>
      </c>
      <c r="G46" s="55" t="s">
        <v>360</v>
      </c>
      <c r="H46" s="55" t="s">
        <v>360</v>
      </c>
      <c r="I46" s="55" t="s">
        <v>360</v>
      </c>
      <c r="J46" s="55" t="s">
        <v>360</v>
      </c>
      <c r="K46" s="55" t="s">
        <v>360</v>
      </c>
      <c r="L46" s="55" t="s">
        <v>360</v>
      </c>
      <c r="M46" s="55" t="s">
        <v>150</v>
      </c>
      <c r="N46" s="55" t="s">
        <v>150</v>
      </c>
      <c r="O46" s="55" t="s">
        <v>241</v>
      </c>
      <c r="P46" s="55" t="s">
        <v>486</v>
      </c>
      <c r="Q46" s="55" t="s">
        <v>350</v>
      </c>
      <c r="R46" s="85">
        <v>4</v>
      </c>
      <c r="S46" s="55">
        <v>0</v>
      </c>
      <c r="T46" s="74" t="s">
        <v>487</v>
      </c>
      <c r="U46" s="74" t="s">
        <v>351</v>
      </c>
      <c r="V46" s="74">
        <v>44382</v>
      </c>
      <c r="W46" s="74">
        <v>44447</v>
      </c>
      <c r="X46" s="55">
        <v>10185934</v>
      </c>
      <c r="Y46" s="55" t="s">
        <v>132</v>
      </c>
      <c r="AB46" s="74" t="s">
        <v>132</v>
      </c>
      <c r="AC46" s="55" t="s">
        <v>132</v>
      </c>
      <c r="AL46" s="74"/>
      <c r="AM46" s="74"/>
    </row>
    <row r="47" spans="1:50" ht="13" x14ac:dyDescent="0.15">
      <c r="A47" s="55" t="str">
        <f>HYPERLINK("http://reports.ofsted.gov.uk/inspection-reports/find-inspection-report/provider/CARE/1185765","Ofsted Social Care Provider Webpage")</f>
        <v>Ofsted Social Care Provider Webpage</v>
      </c>
      <c r="B47" s="55">
        <v>1185765</v>
      </c>
      <c r="D47" s="55" t="s">
        <v>373</v>
      </c>
      <c r="E47" s="74">
        <v>42347</v>
      </c>
      <c r="F47" s="55" t="s">
        <v>344</v>
      </c>
      <c r="G47" s="55" t="s">
        <v>360</v>
      </c>
      <c r="H47" s="55" t="s">
        <v>360</v>
      </c>
      <c r="I47" s="55" t="s">
        <v>360</v>
      </c>
      <c r="J47" s="55" t="s">
        <v>360</v>
      </c>
      <c r="K47" s="55" t="s">
        <v>360</v>
      </c>
      <c r="L47" s="55" t="s">
        <v>360</v>
      </c>
      <c r="M47" s="55" t="s">
        <v>142</v>
      </c>
      <c r="N47" s="55" t="s">
        <v>142</v>
      </c>
      <c r="O47" s="55" t="s">
        <v>262</v>
      </c>
      <c r="P47" s="55" t="s">
        <v>488</v>
      </c>
      <c r="Q47" s="55" t="s">
        <v>350</v>
      </c>
      <c r="R47" s="85">
        <v>4</v>
      </c>
      <c r="S47" s="55">
        <v>0</v>
      </c>
      <c r="T47" s="74" t="s">
        <v>489</v>
      </c>
      <c r="U47" s="74" t="s">
        <v>351</v>
      </c>
      <c r="V47" s="74">
        <v>44629</v>
      </c>
      <c r="W47" s="74">
        <v>44672</v>
      </c>
      <c r="X47" s="55">
        <v>10187420</v>
      </c>
      <c r="Y47" s="55" t="s">
        <v>132</v>
      </c>
      <c r="AB47" s="74" t="s">
        <v>130</v>
      </c>
      <c r="AC47" s="55" t="s">
        <v>132</v>
      </c>
      <c r="AL47" s="74"/>
      <c r="AM47" s="74"/>
      <c r="AW47" s="74"/>
      <c r="AX47" s="74"/>
    </row>
    <row r="48" spans="1:50" ht="13" x14ac:dyDescent="0.15">
      <c r="A48" s="55" t="str">
        <f>HYPERLINK("http://reports.ofsted.gov.uk/inspection-reports/find-inspection-report/provider/CARE/1185828","Ofsted Social Care Provider Webpage")</f>
        <v>Ofsted Social Care Provider Webpage</v>
      </c>
      <c r="B48" s="55">
        <v>1185828</v>
      </c>
      <c r="D48" s="55" t="s">
        <v>373</v>
      </c>
      <c r="E48" s="74">
        <v>42408</v>
      </c>
      <c r="F48" s="55" t="s">
        <v>344</v>
      </c>
      <c r="G48" s="55" t="s">
        <v>360</v>
      </c>
      <c r="H48" s="55" t="s">
        <v>360</v>
      </c>
      <c r="I48" s="55" t="s">
        <v>360</v>
      </c>
      <c r="J48" s="55" t="s">
        <v>360</v>
      </c>
      <c r="K48" s="55" t="s">
        <v>360</v>
      </c>
      <c r="L48" s="55" t="s">
        <v>360</v>
      </c>
      <c r="M48" s="55" t="s">
        <v>144</v>
      </c>
      <c r="N48" s="55" t="s">
        <v>144</v>
      </c>
      <c r="O48" s="55" t="s">
        <v>287</v>
      </c>
      <c r="P48" s="55" t="s">
        <v>287</v>
      </c>
      <c r="Q48" s="55" t="s">
        <v>350</v>
      </c>
      <c r="R48" s="85">
        <v>4</v>
      </c>
      <c r="S48" s="55">
        <v>0</v>
      </c>
      <c r="T48" s="74" t="s">
        <v>490</v>
      </c>
      <c r="U48" s="74" t="s">
        <v>351</v>
      </c>
      <c r="V48" s="74">
        <v>44621</v>
      </c>
      <c r="W48" s="74">
        <v>44659</v>
      </c>
      <c r="X48" s="55">
        <v>10186825</v>
      </c>
      <c r="Y48" s="55" t="s">
        <v>132</v>
      </c>
      <c r="AB48" s="74" t="s">
        <v>132</v>
      </c>
      <c r="AC48" s="55" t="s">
        <v>132</v>
      </c>
      <c r="AL48" s="74"/>
      <c r="AM48" s="74"/>
      <c r="AW48" s="74"/>
      <c r="AX48" s="74"/>
    </row>
    <row r="49" spans="1:50" ht="13" x14ac:dyDescent="0.15">
      <c r="A49" s="55" t="str">
        <f>HYPERLINK("http://reports.ofsted.gov.uk/inspection-reports/find-inspection-report/provider/CARE/1211772","Ofsted Social Care Provider Webpage")</f>
        <v>Ofsted Social Care Provider Webpage</v>
      </c>
      <c r="B49" s="55">
        <v>1211772</v>
      </c>
      <c r="D49" s="55" t="s">
        <v>373</v>
      </c>
      <c r="E49" s="74">
        <v>42355</v>
      </c>
      <c r="F49" s="55" t="s">
        <v>344</v>
      </c>
      <c r="G49" s="55" t="s">
        <v>360</v>
      </c>
      <c r="H49" s="55" t="s">
        <v>360</v>
      </c>
      <c r="I49" s="55" t="s">
        <v>360</v>
      </c>
      <c r="J49" s="55" t="s">
        <v>360</v>
      </c>
      <c r="K49" s="55" t="s">
        <v>360</v>
      </c>
      <c r="L49" s="55" t="s">
        <v>360</v>
      </c>
      <c r="M49" s="55" t="s">
        <v>378</v>
      </c>
      <c r="N49" s="55" t="s">
        <v>134</v>
      </c>
      <c r="O49" s="55" t="s">
        <v>232</v>
      </c>
      <c r="P49" s="55" t="s">
        <v>491</v>
      </c>
      <c r="Q49" s="55" t="s">
        <v>350</v>
      </c>
      <c r="R49" s="85">
        <v>6</v>
      </c>
      <c r="S49" s="55">
        <v>0</v>
      </c>
      <c r="T49" s="74" t="s">
        <v>450</v>
      </c>
      <c r="U49" s="74" t="s">
        <v>351</v>
      </c>
      <c r="V49" s="74">
        <v>44543</v>
      </c>
      <c r="W49" s="74">
        <v>44588</v>
      </c>
      <c r="X49" s="55">
        <v>10185753</v>
      </c>
      <c r="Y49" s="55" t="s">
        <v>130</v>
      </c>
      <c r="AB49" s="74" t="s">
        <v>130</v>
      </c>
      <c r="AC49" s="55" t="s">
        <v>130</v>
      </c>
      <c r="AL49" s="74"/>
      <c r="AM49" s="74"/>
      <c r="AW49" s="74"/>
      <c r="AX49" s="74"/>
    </row>
    <row r="50" spans="1:50" ht="13" x14ac:dyDescent="0.15">
      <c r="A50" s="55" t="str">
        <f>HYPERLINK("http://reports.ofsted.gov.uk/inspection-reports/find-inspection-report/provider/CARE/1212094","Ofsted Social Care Provider Webpage")</f>
        <v>Ofsted Social Care Provider Webpage</v>
      </c>
      <c r="B50" s="55">
        <v>1212094</v>
      </c>
      <c r="D50" s="55" t="s">
        <v>373</v>
      </c>
      <c r="E50" s="74">
        <v>42409</v>
      </c>
      <c r="F50" s="55" t="s">
        <v>344</v>
      </c>
      <c r="G50" s="55" t="s">
        <v>360</v>
      </c>
      <c r="H50" s="55" t="s">
        <v>360</v>
      </c>
      <c r="I50" s="55" t="s">
        <v>360</v>
      </c>
      <c r="J50" s="55" t="s">
        <v>360</v>
      </c>
      <c r="K50" s="55" t="s">
        <v>360</v>
      </c>
      <c r="L50" s="55" t="s">
        <v>360</v>
      </c>
      <c r="M50" s="55" t="s">
        <v>144</v>
      </c>
      <c r="N50" s="55" t="s">
        <v>144</v>
      </c>
      <c r="O50" s="55" t="s">
        <v>248</v>
      </c>
      <c r="P50" s="55" t="s">
        <v>492</v>
      </c>
      <c r="Q50" s="55" t="s">
        <v>350</v>
      </c>
      <c r="R50" s="85">
        <v>4</v>
      </c>
      <c r="S50" s="55">
        <v>0</v>
      </c>
      <c r="T50" s="74" t="s">
        <v>493</v>
      </c>
      <c r="U50" s="74" t="s">
        <v>351</v>
      </c>
      <c r="V50" s="74">
        <v>44628</v>
      </c>
      <c r="W50" s="74">
        <v>44659</v>
      </c>
      <c r="X50" s="55">
        <v>10187517</v>
      </c>
      <c r="Y50" s="55" t="s">
        <v>132</v>
      </c>
      <c r="AB50" s="74" t="s">
        <v>132</v>
      </c>
      <c r="AC50" s="55" t="s">
        <v>132</v>
      </c>
      <c r="AL50" s="74"/>
      <c r="AM50" s="74"/>
    </row>
    <row r="51" spans="1:50" ht="13" x14ac:dyDescent="0.15">
      <c r="A51" s="55" t="str">
        <f>HYPERLINK("http://reports.ofsted.gov.uk/inspection-reports/find-inspection-report/provider/CARE/1212117","Ofsted Social Care Provider Webpage")</f>
        <v>Ofsted Social Care Provider Webpage</v>
      </c>
      <c r="B51" s="55">
        <v>1212117</v>
      </c>
      <c r="D51" s="55" t="s">
        <v>373</v>
      </c>
      <c r="E51" s="74">
        <v>42339</v>
      </c>
      <c r="F51" s="55" t="s">
        <v>344</v>
      </c>
      <c r="G51" s="55" t="s">
        <v>360</v>
      </c>
      <c r="H51" s="55" t="s">
        <v>360</v>
      </c>
      <c r="I51" s="55" t="s">
        <v>360</v>
      </c>
      <c r="J51" s="55" t="s">
        <v>360</v>
      </c>
      <c r="K51" s="55" t="s">
        <v>360</v>
      </c>
      <c r="L51" s="55" t="s">
        <v>360</v>
      </c>
      <c r="M51" s="55" t="s">
        <v>172</v>
      </c>
      <c r="N51" s="55" t="s">
        <v>172</v>
      </c>
      <c r="O51" s="55" t="s">
        <v>235</v>
      </c>
      <c r="P51" s="55" t="s">
        <v>494</v>
      </c>
      <c r="Q51" s="55" t="s">
        <v>350</v>
      </c>
      <c r="R51" s="85">
        <v>3</v>
      </c>
      <c r="S51" s="55">
        <v>0</v>
      </c>
      <c r="T51" s="74" t="s">
        <v>495</v>
      </c>
      <c r="U51" s="74" t="s">
        <v>351</v>
      </c>
      <c r="V51" s="74">
        <v>44481</v>
      </c>
      <c r="W51" s="74">
        <v>44512</v>
      </c>
      <c r="X51" s="55">
        <v>10186716</v>
      </c>
      <c r="Y51" s="55" t="s">
        <v>146</v>
      </c>
      <c r="AB51" s="74" t="s">
        <v>146</v>
      </c>
      <c r="AC51" s="55" t="s">
        <v>146</v>
      </c>
      <c r="AL51" s="74"/>
      <c r="AM51" s="74"/>
    </row>
    <row r="52" spans="1:50" ht="13" x14ac:dyDescent="0.15">
      <c r="A52" s="55" t="str">
        <f>HYPERLINK("http://reports.ofsted.gov.uk/inspection-reports/find-inspection-report/provider/CARE/1212704","Ofsted Social Care Provider Webpage")</f>
        <v>Ofsted Social Care Provider Webpage</v>
      </c>
      <c r="B52" s="55">
        <v>1212704</v>
      </c>
      <c r="D52" s="55" t="s">
        <v>373</v>
      </c>
      <c r="E52" s="74">
        <v>42628</v>
      </c>
      <c r="F52" s="55" t="s">
        <v>344</v>
      </c>
      <c r="G52" s="55" t="s">
        <v>360</v>
      </c>
      <c r="H52" s="55" t="s">
        <v>360</v>
      </c>
      <c r="I52" s="55" t="s">
        <v>360</v>
      </c>
      <c r="J52" s="55" t="s">
        <v>360</v>
      </c>
      <c r="K52" s="55" t="s">
        <v>360</v>
      </c>
      <c r="L52" s="55" t="s">
        <v>360</v>
      </c>
      <c r="M52" s="55" t="s">
        <v>378</v>
      </c>
      <c r="N52" s="55" t="s">
        <v>134</v>
      </c>
      <c r="O52" s="55" t="s">
        <v>232</v>
      </c>
      <c r="P52" s="55" t="s">
        <v>496</v>
      </c>
      <c r="Q52" s="55" t="s">
        <v>350</v>
      </c>
      <c r="R52" s="85">
        <v>3</v>
      </c>
      <c r="S52" s="55">
        <v>0</v>
      </c>
      <c r="T52" s="74" t="s">
        <v>493</v>
      </c>
      <c r="U52" s="74" t="s">
        <v>351</v>
      </c>
      <c r="V52" s="74">
        <v>44587</v>
      </c>
      <c r="W52" s="74">
        <v>44634</v>
      </c>
      <c r="X52" s="55">
        <v>10187494</v>
      </c>
      <c r="Y52" s="55" t="s">
        <v>132</v>
      </c>
      <c r="AB52" s="74" t="s">
        <v>132</v>
      </c>
      <c r="AC52" s="55" t="s">
        <v>132</v>
      </c>
      <c r="AL52" s="74"/>
      <c r="AM52" s="74"/>
    </row>
    <row r="53" spans="1:50" ht="13" x14ac:dyDescent="0.15">
      <c r="A53" s="55" t="str">
        <f>HYPERLINK("http://reports.ofsted.gov.uk/inspection-reports/find-inspection-report/provider/CARE/1212708","Ofsted Social Care Provider Webpage")</f>
        <v>Ofsted Social Care Provider Webpage</v>
      </c>
      <c r="B53" s="55">
        <v>1212708</v>
      </c>
      <c r="D53" s="55" t="s">
        <v>373</v>
      </c>
      <c r="E53" s="74">
        <v>42347</v>
      </c>
      <c r="F53" s="55" t="s">
        <v>344</v>
      </c>
      <c r="G53" s="55" t="s">
        <v>360</v>
      </c>
      <c r="H53" s="55" t="s">
        <v>360</v>
      </c>
      <c r="I53" s="55" t="s">
        <v>360</v>
      </c>
      <c r="J53" s="55" t="s">
        <v>360</v>
      </c>
      <c r="K53" s="55" t="s">
        <v>360</v>
      </c>
      <c r="L53" s="55" t="s">
        <v>360</v>
      </c>
      <c r="M53" s="55" t="s">
        <v>172</v>
      </c>
      <c r="N53" s="55" t="s">
        <v>172</v>
      </c>
      <c r="O53" s="55" t="s">
        <v>234</v>
      </c>
      <c r="P53" s="55" t="s">
        <v>457</v>
      </c>
      <c r="Q53" s="55" t="s">
        <v>350</v>
      </c>
      <c r="R53" s="85">
        <v>3</v>
      </c>
      <c r="S53" s="55">
        <v>0</v>
      </c>
      <c r="T53" s="74" t="s">
        <v>495</v>
      </c>
      <c r="U53" s="74" t="s">
        <v>351</v>
      </c>
      <c r="V53" s="74">
        <v>44439</v>
      </c>
      <c r="W53" s="74">
        <v>44477</v>
      </c>
      <c r="X53" s="55">
        <v>10186334</v>
      </c>
      <c r="Y53" s="55" t="s">
        <v>146</v>
      </c>
      <c r="AB53" s="74" t="s">
        <v>146</v>
      </c>
      <c r="AC53" s="55" t="s">
        <v>146</v>
      </c>
      <c r="AL53" s="74"/>
      <c r="AM53" s="74"/>
      <c r="AW53" s="74"/>
      <c r="AX53" s="74"/>
    </row>
    <row r="54" spans="1:50" ht="13" x14ac:dyDescent="0.15">
      <c r="A54" s="55" t="str">
        <f>HYPERLINK("http://reports.ofsted.gov.uk/inspection-reports/find-inspection-report/provider/CARE/1212708","Ofsted Social Care Provider Webpage")</f>
        <v>Ofsted Social Care Provider Webpage</v>
      </c>
      <c r="B54" s="55">
        <v>1212708</v>
      </c>
      <c r="D54" s="55" t="s">
        <v>373</v>
      </c>
      <c r="E54" s="74">
        <v>42347</v>
      </c>
      <c r="F54" s="55" t="s">
        <v>344</v>
      </c>
      <c r="G54" s="55" t="s">
        <v>360</v>
      </c>
      <c r="H54" s="55" t="s">
        <v>360</v>
      </c>
      <c r="I54" s="55" t="s">
        <v>360</v>
      </c>
      <c r="J54" s="55" t="s">
        <v>360</v>
      </c>
      <c r="K54" s="55" t="s">
        <v>360</v>
      </c>
      <c r="L54" s="55" t="s">
        <v>360</v>
      </c>
      <c r="M54" s="55" t="s">
        <v>172</v>
      </c>
      <c r="N54" s="55" t="s">
        <v>172</v>
      </c>
      <c r="O54" s="55" t="s">
        <v>234</v>
      </c>
      <c r="P54" s="55" t="s">
        <v>457</v>
      </c>
      <c r="Q54" s="55" t="s">
        <v>350</v>
      </c>
      <c r="R54" s="85">
        <v>3</v>
      </c>
      <c r="S54" s="55">
        <v>0</v>
      </c>
      <c r="T54" s="74" t="s">
        <v>495</v>
      </c>
      <c r="U54" s="74" t="s">
        <v>351</v>
      </c>
      <c r="V54" s="74">
        <v>44489</v>
      </c>
      <c r="W54" s="74">
        <v>44526</v>
      </c>
      <c r="X54" s="55">
        <v>10206919</v>
      </c>
      <c r="Y54" s="55" t="s">
        <v>130</v>
      </c>
      <c r="AB54" s="74" t="s">
        <v>130</v>
      </c>
      <c r="AC54" s="55" t="s">
        <v>130</v>
      </c>
      <c r="AL54" s="74"/>
      <c r="AM54" s="74"/>
      <c r="AW54" s="74"/>
      <c r="AX54" s="74"/>
    </row>
    <row r="55" spans="1:50" ht="13" x14ac:dyDescent="0.15">
      <c r="A55" s="55" t="str">
        <f>HYPERLINK("http://reports.ofsted.gov.uk/inspection-reports/find-inspection-report/provider/CARE/1212708","Ofsted Social Care Provider Webpage")</f>
        <v>Ofsted Social Care Provider Webpage</v>
      </c>
      <c r="B55" s="55">
        <v>1212708</v>
      </c>
      <c r="D55" s="55" t="s">
        <v>373</v>
      </c>
      <c r="E55" s="74">
        <v>42347</v>
      </c>
      <c r="F55" s="55" t="s">
        <v>344</v>
      </c>
      <c r="G55" s="55" t="s">
        <v>360</v>
      </c>
      <c r="H55" s="55" t="s">
        <v>360</v>
      </c>
      <c r="I55" s="55" t="s">
        <v>360</v>
      </c>
      <c r="J55" s="55" t="s">
        <v>360</v>
      </c>
      <c r="K55" s="55" t="s">
        <v>360</v>
      </c>
      <c r="L55" s="55" t="s">
        <v>360</v>
      </c>
      <c r="M55" s="55" t="s">
        <v>172</v>
      </c>
      <c r="N55" s="55" t="s">
        <v>172</v>
      </c>
      <c r="O55" s="55" t="s">
        <v>234</v>
      </c>
      <c r="P55" s="55" t="s">
        <v>457</v>
      </c>
      <c r="Q55" s="55" t="s">
        <v>350</v>
      </c>
      <c r="R55" s="85">
        <v>3</v>
      </c>
      <c r="S55" s="55">
        <v>0</v>
      </c>
      <c r="T55" s="74" t="s">
        <v>495</v>
      </c>
      <c r="U55" s="74" t="s">
        <v>2053</v>
      </c>
      <c r="V55" s="74">
        <v>44571</v>
      </c>
      <c r="W55" s="74">
        <v>44599</v>
      </c>
      <c r="X55" s="55">
        <v>10217698</v>
      </c>
      <c r="AL55" s="74"/>
      <c r="AM55" s="74"/>
    </row>
    <row r="56" spans="1:50" ht="13" x14ac:dyDescent="0.15">
      <c r="A56" s="55" t="str">
        <f>HYPERLINK("http://reports.ofsted.gov.uk/inspection-reports/find-inspection-report/provider/CARE/1212899","Ofsted Social Care Provider Webpage")</f>
        <v>Ofsted Social Care Provider Webpage</v>
      </c>
      <c r="B56" s="55">
        <v>1212899</v>
      </c>
      <c r="D56" s="55" t="s">
        <v>389</v>
      </c>
      <c r="E56" s="74">
        <v>42522</v>
      </c>
      <c r="F56" s="55" t="s">
        <v>344</v>
      </c>
      <c r="G56" s="55" t="s">
        <v>497</v>
      </c>
      <c r="H56" s="55" t="s">
        <v>498</v>
      </c>
      <c r="I56" s="55" t="s">
        <v>499</v>
      </c>
      <c r="J56" s="55" t="s">
        <v>500</v>
      </c>
      <c r="K56" s="55" t="s">
        <v>190</v>
      </c>
      <c r="L56" s="55" t="s">
        <v>501</v>
      </c>
      <c r="M56" s="55" t="s">
        <v>150</v>
      </c>
      <c r="N56" s="55" t="s">
        <v>150</v>
      </c>
      <c r="O56" s="55" t="s">
        <v>190</v>
      </c>
      <c r="P56" s="55" t="s">
        <v>500</v>
      </c>
      <c r="Q56" s="55" t="s">
        <v>350</v>
      </c>
      <c r="S56" s="55">
        <v>0</v>
      </c>
      <c r="T56" s="74" t="s">
        <v>502</v>
      </c>
      <c r="U56" s="74" t="s">
        <v>351</v>
      </c>
      <c r="V56" s="74">
        <v>44375</v>
      </c>
      <c r="W56" s="74">
        <v>44439</v>
      </c>
      <c r="X56" s="55">
        <v>10183405</v>
      </c>
      <c r="Y56" s="55" t="s">
        <v>132</v>
      </c>
      <c r="AB56" s="74" t="s">
        <v>132</v>
      </c>
      <c r="AC56" s="55" t="s">
        <v>132</v>
      </c>
      <c r="AL56" s="74"/>
      <c r="AM56" s="74"/>
      <c r="AW56" s="74"/>
      <c r="AX56" s="74"/>
    </row>
    <row r="57" spans="1:50" ht="13" x14ac:dyDescent="0.15">
      <c r="A57" s="55" t="str">
        <f>HYPERLINK("http://reports.ofsted.gov.uk/inspection-reports/find-inspection-report/provider/CARE/1213416","Ofsted Social Care Provider Webpage")</f>
        <v>Ofsted Social Care Provider Webpage</v>
      </c>
      <c r="B57" s="55">
        <v>1213416</v>
      </c>
      <c r="D57" s="55" t="s">
        <v>373</v>
      </c>
      <c r="E57" s="74">
        <v>42332</v>
      </c>
      <c r="F57" s="55" t="s">
        <v>344</v>
      </c>
      <c r="G57" s="55" t="s">
        <v>360</v>
      </c>
      <c r="H57" s="55" t="s">
        <v>360</v>
      </c>
      <c r="I57" s="55" t="s">
        <v>360</v>
      </c>
      <c r="J57" s="55" t="s">
        <v>360</v>
      </c>
      <c r="K57" s="55" t="s">
        <v>360</v>
      </c>
      <c r="L57" s="55" t="s">
        <v>360</v>
      </c>
      <c r="M57" s="55" t="s">
        <v>142</v>
      </c>
      <c r="N57" s="55" t="s">
        <v>142</v>
      </c>
      <c r="O57" s="55" t="s">
        <v>252</v>
      </c>
      <c r="P57" s="55" t="s">
        <v>503</v>
      </c>
      <c r="Q57" s="55" t="s">
        <v>350</v>
      </c>
      <c r="R57" s="85">
        <v>2</v>
      </c>
      <c r="S57" s="55">
        <v>0</v>
      </c>
      <c r="T57" s="74" t="s">
        <v>504</v>
      </c>
      <c r="U57" s="74" t="s">
        <v>351</v>
      </c>
      <c r="V57" s="74">
        <v>44454</v>
      </c>
      <c r="W57" s="74">
        <v>44505</v>
      </c>
      <c r="X57" s="55">
        <v>10187625</v>
      </c>
      <c r="Y57" s="55" t="s">
        <v>140</v>
      </c>
      <c r="AB57" s="74" t="s">
        <v>140</v>
      </c>
      <c r="AC57" s="55" t="s">
        <v>140</v>
      </c>
      <c r="AL57" s="74"/>
      <c r="AM57" s="74"/>
      <c r="AW57" s="74"/>
      <c r="AX57" s="74"/>
    </row>
    <row r="58" spans="1:50" ht="13" x14ac:dyDescent="0.15">
      <c r="A58" s="55" t="str">
        <f>HYPERLINK("http://reports.ofsted.gov.uk/inspection-reports/find-inspection-report/provider/CARE/1213822","Ofsted Social Care Provider Webpage")</f>
        <v>Ofsted Social Care Provider Webpage</v>
      </c>
      <c r="B58" s="55">
        <v>1213822</v>
      </c>
      <c r="C58" s="55">
        <v>141512</v>
      </c>
      <c r="D58" s="55" t="s">
        <v>413</v>
      </c>
      <c r="E58" s="74">
        <v>42095</v>
      </c>
      <c r="F58" s="55" t="s">
        <v>344</v>
      </c>
      <c r="G58" s="55" t="s">
        <v>505</v>
      </c>
      <c r="H58" s="55" t="s">
        <v>506</v>
      </c>
      <c r="I58" s="55" t="s">
        <v>507</v>
      </c>
      <c r="J58" s="55" t="s">
        <v>508</v>
      </c>
      <c r="K58" s="55" t="s">
        <v>183</v>
      </c>
      <c r="L58" s="55" t="s">
        <v>509</v>
      </c>
      <c r="M58" s="55" t="s">
        <v>138</v>
      </c>
      <c r="N58" s="55" t="s">
        <v>138</v>
      </c>
      <c r="O58" s="55" t="s">
        <v>183</v>
      </c>
      <c r="P58" s="55" t="s">
        <v>510</v>
      </c>
      <c r="Q58" s="55" t="s">
        <v>420</v>
      </c>
      <c r="R58" s="85">
        <v>28</v>
      </c>
      <c r="S58" s="55">
        <v>0</v>
      </c>
      <c r="T58" s="74" t="s">
        <v>511</v>
      </c>
      <c r="U58" s="74" t="s">
        <v>351</v>
      </c>
      <c r="V58" s="74">
        <v>44481</v>
      </c>
      <c r="W58" s="74">
        <v>44518</v>
      </c>
      <c r="X58" s="55">
        <v>10183499</v>
      </c>
      <c r="Y58" s="55" t="s">
        <v>130</v>
      </c>
      <c r="AB58" s="74" t="s">
        <v>130</v>
      </c>
      <c r="AC58" s="55" t="s">
        <v>130</v>
      </c>
      <c r="AL58" s="74"/>
      <c r="AM58" s="74"/>
      <c r="AW58" s="74"/>
      <c r="AX58" s="74"/>
    </row>
    <row r="59" spans="1:50" ht="13" x14ac:dyDescent="0.15">
      <c r="A59" s="55" t="str">
        <f>HYPERLINK("http://reports.ofsted.gov.uk/inspection-reports/find-inspection-report/provider/CARE/1213828","Ofsted Social Care Provider Webpage")</f>
        <v>Ofsted Social Care Provider Webpage</v>
      </c>
      <c r="B59" s="55">
        <v>1213828</v>
      </c>
      <c r="D59" s="55" t="s">
        <v>373</v>
      </c>
      <c r="E59" s="74">
        <v>42276</v>
      </c>
      <c r="F59" s="55" t="s">
        <v>344</v>
      </c>
      <c r="G59" s="55" t="s">
        <v>360</v>
      </c>
      <c r="H59" s="55" t="s">
        <v>360</v>
      </c>
      <c r="I59" s="55" t="s">
        <v>360</v>
      </c>
      <c r="J59" s="55" t="s">
        <v>360</v>
      </c>
      <c r="K59" s="55" t="s">
        <v>360</v>
      </c>
      <c r="L59" s="55" t="s">
        <v>360</v>
      </c>
      <c r="M59" s="55" t="s">
        <v>144</v>
      </c>
      <c r="N59" s="55" t="s">
        <v>144</v>
      </c>
      <c r="O59" s="55" t="s">
        <v>261</v>
      </c>
      <c r="P59" s="55" t="s">
        <v>512</v>
      </c>
      <c r="Q59" s="55" t="s">
        <v>350</v>
      </c>
      <c r="R59" s="85">
        <v>2</v>
      </c>
      <c r="S59" s="55">
        <v>0</v>
      </c>
      <c r="T59" s="74" t="s">
        <v>513</v>
      </c>
      <c r="U59" s="74" t="s">
        <v>351</v>
      </c>
      <c r="V59" s="74">
        <v>44299</v>
      </c>
      <c r="W59" s="74">
        <v>44337</v>
      </c>
      <c r="X59" s="55">
        <v>10185703</v>
      </c>
      <c r="Y59" s="55" t="s">
        <v>130</v>
      </c>
      <c r="AB59" s="74" t="s">
        <v>130</v>
      </c>
      <c r="AC59" s="55" t="s">
        <v>130</v>
      </c>
      <c r="AL59" s="74"/>
      <c r="AM59" s="74"/>
    </row>
    <row r="60" spans="1:50" ht="13" x14ac:dyDescent="0.15">
      <c r="A60" s="55" t="str">
        <f>HYPERLINK("http://reports.ofsted.gov.uk/inspection-reports/find-inspection-report/provider/CARE/1214266","Ofsted Social Care Provider Webpage")</f>
        <v>Ofsted Social Care Provider Webpage</v>
      </c>
      <c r="B60" s="55">
        <v>1214266</v>
      </c>
      <c r="D60" s="55" t="s">
        <v>373</v>
      </c>
      <c r="E60" s="74">
        <v>42318</v>
      </c>
      <c r="F60" s="55" t="s">
        <v>344</v>
      </c>
      <c r="G60" s="55" t="s">
        <v>360</v>
      </c>
      <c r="H60" s="55" t="s">
        <v>360</v>
      </c>
      <c r="I60" s="55" t="s">
        <v>360</v>
      </c>
      <c r="J60" s="55" t="s">
        <v>360</v>
      </c>
      <c r="K60" s="55" t="s">
        <v>360</v>
      </c>
      <c r="L60" s="55" t="s">
        <v>360</v>
      </c>
      <c r="M60" s="55" t="s">
        <v>172</v>
      </c>
      <c r="N60" s="55" t="s">
        <v>172</v>
      </c>
      <c r="O60" s="55" t="s">
        <v>212</v>
      </c>
      <c r="P60" s="55" t="s">
        <v>514</v>
      </c>
      <c r="Q60" s="55" t="s">
        <v>350</v>
      </c>
      <c r="R60" s="85">
        <v>4</v>
      </c>
      <c r="S60" s="55">
        <v>0</v>
      </c>
      <c r="T60" s="74" t="s">
        <v>515</v>
      </c>
      <c r="U60" s="74" t="s">
        <v>351</v>
      </c>
      <c r="V60" s="74">
        <v>44418</v>
      </c>
      <c r="W60" s="74">
        <v>44455</v>
      </c>
      <c r="X60" s="55">
        <v>10186946</v>
      </c>
      <c r="Y60" s="55" t="s">
        <v>132</v>
      </c>
      <c r="AB60" s="74" t="s">
        <v>130</v>
      </c>
      <c r="AC60" s="55" t="s">
        <v>132</v>
      </c>
      <c r="AL60" s="74"/>
      <c r="AM60" s="74"/>
      <c r="AW60" s="74"/>
      <c r="AX60" s="74"/>
    </row>
    <row r="61" spans="1:50" ht="13" x14ac:dyDescent="0.15">
      <c r="A61" s="55" t="str">
        <f>HYPERLINK("http://reports.ofsted.gov.uk/inspection-reports/find-inspection-report/provider/CARE/1214270","Ofsted Social Care Provider Webpage")</f>
        <v>Ofsted Social Care Provider Webpage</v>
      </c>
      <c r="B61" s="55">
        <v>1214270</v>
      </c>
      <c r="D61" s="55" t="s">
        <v>373</v>
      </c>
      <c r="E61" s="74">
        <v>42356</v>
      </c>
      <c r="F61" s="55" t="s">
        <v>344</v>
      </c>
      <c r="G61" s="55" t="s">
        <v>360</v>
      </c>
      <c r="H61" s="55" t="s">
        <v>360</v>
      </c>
      <c r="I61" s="55" t="s">
        <v>360</v>
      </c>
      <c r="J61" s="55" t="s">
        <v>360</v>
      </c>
      <c r="K61" s="55" t="s">
        <v>360</v>
      </c>
      <c r="L61" s="55" t="s">
        <v>360</v>
      </c>
      <c r="M61" s="55" t="s">
        <v>144</v>
      </c>
      <c r="N61" s="55" t="s">
        <v>144</v>
      </c>
      <c r="O61" s="55" t="s">
        <v>162</v>
      </c>
      <c r="P61" s="55" t="s">
        <v>516</v>
      </c>
      <c r="Q61" s="55" t="s">
        <v>350</v>
      </c>
      <c r="R61" s="85">
        <v>1</v>
      </c>
      <c r="S61" s="55">
        <v>0</v>
      </c>
      <c r="T61" s="74" t="s">
        <v>517</v>
      </c>
      <c r="U61" s="74" t="s">
        <v>2053</v>
      </c>
      <c r="V61" s="74">
        <v>44488</v>
      </c>
      <c r="W61" s="74">
        <v>44526</v>
      </c>
      <c r="X61" s="55">
        <v>10209964</v>
      </c>
      <c r="AL61" s="74"/>
      <c r="AM61" s="74"/>
      <c r="AW61" s="74"/>
      <c r="AX61" s="74"/>
    </row>
    <row r="62" spans="1:50" ht="13" x14ac:dyDescent="0.15">
      <c r="A62" s="55" t="str">
        <f>HYPERLINK("http://reports.ofsted.gov.uk/inspection-reports/find-inspection-report/provider/CARE/1214270","Ofsted Social Care Provider Webpage")</f>
        <v>Ofsted Social Care Provider Webpage</v>
      </c>
      <c r="B62" s="55">
        <v>1214270</v>
      </c>
      <c r="D62" s="55" t="s">
        <v>373</v>
      </c>
      <c r="E62" s="74">
        <v>42356</v>
      </c>
      <c r="F62" s="55" t="s">
        <v>344</v>
      </c>
      <c r="G62" s="55" t="s">
        <v>360</v>
      </c>
      <c r="H62" s="55" t="s">
        <v>360</v>
      </c>
      <c r="I62" s="55" t="s">
        <v>360</v>
      </c>
      <c r="J62" s="55" t="s">
        <v>360</v>
      </c>
      <c r="K62" s="55" t="s">
        <v>360</v>
      </c>
      <c r="L62" s="55" t="s">
        <v>360</v>
      </c>
      <c r="M62" s="55" t="s">
        <v>144</v>
      </c>
      <c r="N62" s="55" t="s">
        <v>144</v>
      </c>
      <c r="O62" s="55" t="s">
        <v>162</v>
      </c>
      <c r="P62" s="55" t="s">
        <v>516</v>
      </c>
      <c r="Q62" s="55" t="s">
        <v>350</v>
      </c>
      <c r="R62" s="85">
        <v>1</v>
      </c>
      <c r="S62" s="55">
        <v>0</v>
      </c>
      <c r="T62" s="74" t="s">
        <v>517</v>
      </c>
      <c r="U62" s="74" t="s">
        <v>351</v>
      </c>
      <c r="V62" s="74">
        <v>44425</v>
      </c>
      <c r="W62" s="74">
        <v>44470</v>
      </c>
      <c r="X62" s="55">
        <v>10185275</v>
      </c>
      <c r="Y62" s="55" t="s">
        <v>146</v>
      </c>
      <c r="AB62" s="74" t="s">
        <v>146</v>
      </c>
      <c r="AC62" s="55" t="s">
        <v>146</v>
      </c>
      <c r="AL62" s="74"/>
      <c r="AM62" s="74"/>
      <c r="AW62" s="74"/>
      <c r="AX62" s="74"/>
    </row>
    <row r="63" spans="1:50" ht="13" x14ac:dyDescent="0.15">
      <c r="A63" s="55" t="str">
        <f>HYPERLINK("http://reports.ofsted.gov.uk/inspection-reports/find-inspection-report/provider/CARE/1214270","Ofsted Social Care Provider Webpage")</f>
        <v>Ofsted Social Care Provider Webpage</v>
      </c>
      <c r="B63" s="55">
        <v>1214270</v>
      </c>
      <c r="D63" s="55" t="s">
        <v>373</v>
      </c>
      <c r="E63" s="74">
        <v>42356</v>
      </c>
      <c r="F63" s="55" t="s">
        <v>344</v>
      </c>
      <c r="G63" s="55" t="s">
        <v>360</v>
      </c>
      <c r="H63" s="55" t="s">
        <v>360</v>
      </c>
      <c r="I63" s="55" t="s">
        <v>360</v>
      </c>
      <c r="J63" s="55" t="s">
        <v>360</v>
      </c>
      <c r="K63" s="55" t="s">
        <v>360</v>
      </c>
      <c r="L63" s="55" t="s">
        <v>360</v>
      </c>
      <c r="M63" s="55" t="s">
        <v>144</v>
      </c>
      <c r="N63" s="55" t="s">
        <v>144</v>
      </c>
      <c r="O63" s="55" t="s">
        <v>162</v>
      </c>
      <c r="P63" s="55" t="s">
        <v>516</v>
      </c>
      <c r="Q63" s="55" t="s">
        <v>350</v>
      </c>
      <c r="R63" s="85">
        <v>1</v>
      </c>
      <c r="S63" s="55">
        <v>0</v>
      </c>
      <c r="T63" s="74" t="s">
        <v>517</v>
      </c>
      <c r="U63" s="74" t="s">
        <v>351</v>
      </c>
      <c r="V63" s="74">
        <v>44530</v>
      </c>
      <c r="W63" s="74">
        <v>44574</v>
      </c>
      <c r="X63" s="55">
        <v>10205466</v>
      </c>
      <c r="Y63" s="55" t="s">
        <v>132</v>
      </c>
      <c r="AB63" s="74" t="s">
        <v>132</v>
      </c>
      <c r="AC63" s="55" t="s">
        <v>132</v>
      </c>
      <c r="AL63" s="74"/>
      <c r="AM63" s="74"/>
      <c r="AW63" s="74"/>
      <c r="AX63" s="74"/>
    </row>
    <row r="64" spans="1:50" ht="13" x14ac:dyDescent="0.15">
      <c r="A64" s="55" t="str">
        <f>HYPERLINK("http://reports.ofsted.gov.uk/inspection-reports/find-inspection-report/provider/CARE/1214396","Ofsted Social Care Provider Webpage")</f>
        <v>Ofsted Social Care Provider Webpage</v>
      </c>
      <c r="B64" s="55">
        <v>1214396</v>
      </c>
      <c r="D64" s="55" t="s">
        <v>373</v>
      </c>
      <c r="E64" s="74">
        <v>42382</v>
      </c>
      <c r="F64" s="55" t="s">
        <v>344</v>
      </c>
      <c r="G64" s="55" t="s">
        <v>360</v>
      </c>
      <c r="H64" s="55" t="s">
        <v>360</v>
      </c>
      <c r="I64" s="55" t="s">
        <v>360</v>
      </c>
      <c r="J64" s="55" t="s">
        <v>360</v>
      </c>
      <c r="K64" s="55" t="s">
        <v>360</v>
      </c>
      <c r="L64" s="55" t="s">
        <v>360</v>
      </c>
      <c r="M64" s="55" t="s">
        <v>142</v>
      </c>
      <c r="N64" s="55" t="s">
        <v>142</v>
      </c>
      <c r="O64" s="55" t="s">
        <v>195</v>
      </c>
      <c r="P64" s="55" t="s">
        <v>518</v>
      </c>
      <c r="Q64" s="55" t="s">
        <v>350</v>
      </c>
      <c r="R64" s="85">
        <v>2</v>
      </c>
      <c r="S64" s="55">
        <v>0</v>
      </c>
      <c r="T64" s="74" t="s">
        <v>519</v>
      </c>
      <c r="U64" s="74" t="s">
        <v>351</v>
      </c>
      <c r="V64" s="74">
        <v>44495</v>
      </c>
      <c r="W64" s="74">
        <v>44537</v>
      </c>
      <c r="X64" s="55">
        <v>10187358</v>
      </c>
      <c r="Y64" s="55" t="s">
        <v>132</v>
      </c>
      <c r="AB64" s="74" t="s">
        <v>132</v>
      </c>
      <c r="AC64" s="55" t="s">
        <v>132</v>
      </c>
      <c r="AL64" s="74"/>
      <c r="AM64" s="74"/>
      <c r="AW64" s="74"/>
      <c r="AX64" s="74"/>
    </row>
    <row r="65" spans="1:50" ht="13" x14ac:dyDescent="0.15">
      <c r="A65" s="55" t="str">
        <f>HYPERLINK("http://reports.ofsted.gov.uk/inspection-reports/find-inspection-report/provider/CARE/1215521","Ofsted Social Care Provider Webpage")</f>
        <v>Ofsted Social Care Provider Webpage</v>
      </c>
      <c r="B65" s="55">
        <v>1215521</v>
      </c>
      <c r="D65" s="55" t="s">
        <v>373</v>
      </c>
      <c r="E65" s="74">
        <v>42345</v>
      </c>
      <c r="F65" s="55" t="s">
        <v>344</v>
      </c>
      <c r="G65" s="55" t="s">
        <v>360</v>
      </c>
      <c r="H65" s="55" t="s">
        <v>360</v>
      </c>
      <c r="I65" s="55" t="s">
        <v>360</v>
      </c>
      <c r="J65" s="55" t="s">
        <v>360</v>
      </c>
      <c r="K65" s="55" t="s">
        <v>360</v>
      </c>
      <c r="L65" s="55" t="s">
        <v>360</v>
      </c>
      <c r="M65" s="55" t="s">
        <v>172</v>
      </c>
      <c r="N65" s="55" t="s">
        <v>172</v>
      </c>
      <c r="O65" s="55" t="s">
        <v>234</v>
      </c>
      <c r="P65" s="55" t="s">
        <v>369</v>
      </c>
      <c r="Q65" s="55" t="s">
        <v>350</v>
      </c>
      <c r="R65" s="85">
        <v>3</v>
      </c>
      <c r="S65" s="55">
        <v>0</v>
      </c>
      <c r="T65" s="74" t="s">
        <v>520</v>
      </c>
      <c r="U65" s="74" t="s">
        <v>351</v>
      </c>
      <c r="V65" s="74">
        <v>44565</v>
      </c>
      <c r="W65" s="74">
        <v>44594</v>
      </c>
      <c r="X65" s="55">
        <v>10187545</v>
      </c>
      <c r="Y65" s="55" t="s">
        <v>140</v>
      </c>
      <c r="AB65" s="74" t="s">
        <v>140</v>
      </c>
      <c r="AC65" s="55" t="s">
        <v>140</v>
      </c>
      <c r="AL65" s="74"/>
      <c r="AM65" s="74"/>
    </row>
    <row r="66" spans="1:50" ht="13" x14ac:dyDescent="0.15">
      <c r="A66" s="55" t="str">
        <f>HYPERLINK("http://reports.ofsted.gov.uk/inspection-reports/find-inspection-report/provider/CARE/1216505","Ofsted Social Care Provider Webpage")</f>
        <v>Ofsted Social Care Provider Webpage</v>
      </c>
      <c r="B66" s="55">
        <v>1216505</v>
      </c>
      <c r="D66" s="55" t="s">
        <v>373</v>
      </c>
      <c r="E66" s="74">
        <v>42403</v>
      </c>
      <c r="F66" s="55" t="s">
        <v>344</v>
      </c>
      <c r="G66" s="55" t="s">
        <v>360</v>
      </c>
      <c r="H66" s="55" t="s">
        <v>360</v>
      </c>
      <c r="I66" s="55" t="s">
        <v>360</v>
      </c>
      <c r="J66" s="55" t="s">
        <v>360</v>
      </c>
      <c r="K66" s="55" t="s">
        <v>360</v>
      </c>
      <c r="L66" s="55" t="s">
        <v>360</v>
      </c>
      <c r="M66" s="55" t="s">
        <v>378</v>
      </c>
      <c r="N66" s="55" t="s">
        <v>170</v>
      </c>
      <c r="O66" s="55" t="s">
        <v>222</v>
      </c>
      <c r="P66" s="55" t="s">
        <v>521</v>
      </c>
      <c r="Q66" s="55" t="s">
        <v>350</v>
      </c>
      <c r="R66" s="85">
        <v>5</v>
      </c>
      <c r="S66" s="55">
        <v>0</v>
      </c>
      <c r="T66" s="74" t="s">
        <v>522</v>
      </c>
      <c r="U66" s="74" t="s">
        <v>351</v>
      </c>
      <c r="V66" s="74">
        <v>44425</v>
      </c>
      <c r="W66" s="74">
        <v>44461</v>
      </c>
      <c r="X66" s="55">
        <v>10186848</v>
      </c>
      <c r="Y66" s="55" t="s">
        <v>146</v>
      </c>
      <c r="AB66" s="74" t="s">
        <v>146</v>
      </c>
      <c r="AC66" s="55" t="s">
        <v>146</v>
      </c>
      <c r="AL66" s="74"/>
      <c r="AM66" s="74"/>
      <c r="AW66" s="74"/>
      <c r="AX66" s="74"/>
    </row>
    <row r="67" spans="1:50" ht="13" x14ac:dyDescent="0.15">
      <c r="A67" s="55" t="str">
        <f>HYPERLINK("http://reports.ofsted.gov.uk/inspection-reports/find-inspection-report/provider/CARE/1216505","Ofsted Social Care Provider Webpage")</f>
        <v>Ofsted Social Care Provider Webpage</v>
      </c>
      <c r="B67" s="55">
        <v>1216505</v>
      </c>
      <c r="D67" s="55" t="s">
        <v>373</v>
      </c>
      <c r="E67" s="74">
        <v>42403</v>
      </c>
      <c r="F67" s="55" t="s">
        <v>344</v>
      </c>
      <c r="G67" s="55" t="s">
        <v>360</v>
      </c>
      <c r="H67" s="55" t="s">
        <v>360</v>
      </c>
      <c r="I67" s="55" t="s">
        <v>360</v>
      </c>
      <c r="J67" s="55" t="s">
        <v>360</v>
      </c>
      <c r="K67" s="55" t="s">
        <v>360</v>
      </c>
      <c r="L67" s="55" t="s">
        <v>360</v>
      </c>
      <c r="M67" s="55" t="s">
        <v>378</v>
      </c>
      <c r="N67" s="55" t="s">
        <v>170</v>
      </c>
      <c r="O67" s="55" t="s">
        <v>222</v>
      </c>
      <c r="P67" s="55" t="s">
        <v>521</v>
      </c>
      <c r="Q67" s="55" t="s">
        <v>350</v>
      </c>
      <c r="R67" s="85">
        <v>5</v>
      </c>
      <c r="S67" s="55">
        <v>0</v>
      </c>
      <c r="T67" s="74" t="s">
        <v>522</v>
      </c>
      <c r="U67" s="74" t="s">
        <v>351</v>
      </c>
      <c r="V67" s="74">
        <v>44482</v>
      </c>
      <c r="W67" s="74">
        <v>44523</v>
      </c>
      <c r="X67" s="55">
        <v>10205931</v>
      </c>
      <c r="Y67" s="55" t="s">
        <v>132</v>
      </c>
      <c r="AB67" s="74" t="s">
        <v>132</v>
      </c>
      <c r="AC67" s="55" t="s">
        <v>130</v>
      </c>
      <c r="AL67" s="74"/>
      <c r="AM67" s="74"/>
    </row>
    <row r="68" spans="1:50" ht="13" x14ac:dyDescent="0.15">
      <c r="A68" s="55" t="str">
        <f>HYPERLINK("http://reports.ofsted.gov.uk/inspection-reports/find-inspection-report/provider/CARE/1216505","Ofsted Social Care Provider Webpage")</f>
        <v>Ofsted Social Care Provider Webpage</v>
      </c>
      <c r="B68" s="55">
        <v>1216505</v>
      </c>
      <c r="D68" s="55" t="s">
        <v>373</v>
      </c>
      <c r="E68" s="74">
        <v>42403</v>
      </c>
      <c r="F68" s="55" t="s">
        <v>344</v>
      </c>
      <c r="G68" s="55" t="s">
        <v>360</v>
      </c>
      <c r="H68" s="55" t="s">
        <v>360</v>
      </c>
      <c r="I68" s="55" t="s">
        <v>360</v>
      </c>
      <c r="J68" s="55" t="s">
        <v>360</v>
      </c>
      <c r="K68" s="55" t="s">
        <v>360</v>
      </c>
      <c r="L68" s="55" t="s">
        <v>360</v>
      </c>
      <c r="M68" s="55" t="s">
        <v>378</v>
      </c>
      <c r="N68" s="55" t="s">
        <v>170</v>
      </c>
      <c r="O68" s="55" t="s">
        <v>222</v>
      </c>
      <c r="P68" s="55" t="s">
        <v>521</v>
      </c>
      <c r="Q68" s="55" t="s">
        <v>350</v>
      </c>
      <c r="R68" s="85">
        <v>5</v>
      </c>
      <c r="S68" s="55">
        <v>0</v>
      </c>
      <c r="T68" s="74" t="s">
        <v>522</v>
      </c>
      <c r="U68" s="74" t="s">
        <v>2053</v>
      </c>
      <c r="V68" s="74">
        <v>44606</v>
      </c>
      <c r="W68" s="74">
        <v>44656</v>
      </c>
      <c r="X68" s="55">
        <v>10221919</v>
      </c>
      <c r="AL68" s="74"/>
      <c r="AM68" s="74"/>
      <c r="AW68" s="74"/>
      <c r="AX68" s="74"/>
    </row>
    <row r="69" spans="1:50" ht="13" x14ac:dyDescent="0.15">
      <c r="A69" s="55" t="str">
        <f>HYPERLINK("http://reports.ofsted.gov.uk/inspection-reports/find-inspection-report/provider/CARE/1220887","Ofsted Social Care Provider Webpage")</f>
        <v>Ofsted Social Care Provider Webpage</v>
      </c>
      <c r="B69" s="55">
        <v>1220887</v>
      </c>
      <c r="D69" s="55" t="s">
        <v>373</v>
      </c>
      <c r="E69" s="74">
        <v>42337</v>
      </c>
      <c r="F69" s="55" t="s">
        <v>344</v>
      </c>
      <c r="G69" s="55" t="s">
        <v>360</v>
      </c>
      <c r="H69" s="55" t="s">
        <v>360</v>
      </c>
      <c r="I69" s="55" t="s">
        <v>360</v>
      </c>
      <c r="J69" s="55" t="s">
        <v>360</v>
      </c>
      <c r="K69" s="55" t="s">
        <v>360</v>
      </c>
      <c r="L69" s="55" t="s">
        <v>360</v>
      </c>
      <c r="M69" s="55" t="s">
        <v>142</v>
      </c>
      <c r="N69" s="55" t="s">
        <v>142</v>
      </c>
      <c r="O69" s="55" t="s">
        <v>262</v>
      </c>
      <c r="P69" s="55" t="s">
        <v>523</v>
      </c>
      <c r="Q69" s="55" t="s">
        <v>350</v>
      </c>
      <c r="R69" s="85">
        <v>3</v>
      </c>
      <c r="S69" s="55">
        <v>0</v>
      </c>
      <c r="T69" s="74" t="s">
        <v>524</v>
      </c>
      <c r="U69" s="74" t="s">
        <v>351</v>
      </c>
      <c r="V69" s="74">
        <v>44503</v>
      </c>
      <c r="W69" s="74">
        <v>44540</v>
      </c>
      <c r="X69" s="55">
        <v>10186381</v>
      </c>
      <c r="Y69" s="55" t="s">
        <v>130</v>
      </c>
      <c r="AB69" s="74" t="s">
        <v>130</v>
      </c>
      <c r="AC69" s="55" t="s">
        <v>130</v>
      </c>
      <c r="AL69" s="74"/>
      <c r="AM69" s="74"/>
      <c r="AW69" s="74"/>
      <c r="AX69" s="74"/>
    </row>
    <row r="70" spans="1:50" ht="13" x14ac:dyDescent="0.15">
      <c r="A70" s="55" t="str">
        <f>HYPERLINK("http://reports.ofsted.gov.uk/inspection-reports/find-inspection-report/provider/CARE/1221357","Ofsted Social Care Provider Webpage")</f>
        <v>Ofsted Social Care Provider Webpage</v>
      </c>
      <c r="B70" s="55">
        <v>1221357</v>
      </c>
      <c r="D70" s="55" t="s">
        <v>373</v>
      </c>
      <c r="E70" s="74">
        <v>42530</v>
      </c>
      <c r="F70" s="55" t="s">
        <v>344</v>
      </c>
      <c r="G70" s="55" t="s">
        <v>360</v>
      </c>
      <c r="H70" s="55" t="s">
        <v>360</v>
      </c>
      <c r="I70" s="55" t="s">
        <v>360</v>
      </c>
      <c r="J70" s="55" t="s">
        <v>360</v>
      </c>
      <c r="K70" s="55" t="s">
        <v>360</v>
      </c>
      <c r="L70" s="55" t="s">
        <v>360</v>
      </c>
      <c r="M70" s="55" t="s">
        <v>144</v>
      </c>
      <c r="N70" s="55" t="s">
        <v>144</v>
      </c>
      <c r="O70" s="55" t="s">
        <v>145</v>
      </c>
      <c r="P70" s="55" t="s">
        <v>525</v>
      </c>
      <c r="Q70" s="55" t="s">
        <v>350</v>
      </c>
      <c r="R70" s="85">
        <v>4</v>
      </c>
      <c r="S70" s="55">
        <v>0</v>
      </c>
      <c r="T70" s="74" t="s">
        <v>493</v>
      </c>
      <c r="U70" s="74" t="s">
        <v>351</v>
      </c>
      <c r="V70" s="74">
        <v>44523</v>
      </c>
      <c r="W70" s="74">
        <v>44579</v>
      </c>
      <c r="X70" s="55">
        <v>10185924</v>
      </c>
      <c r="Y70" s="55" t="s">
        <v>132</v>
      </c>
      <c r="AB70" s="74" t="s">
        <v>130</v>
      </c>
      <c r="AC70" s="55" t="s">
        <v>130</v>
      </c>
      <c r="AL70" s="74"/>
      <c r="AM70" s="74"/>
      <c r="AW70" s="74"/>
      <c r="AX70" s="74"/>
    </row>
    <row r="71" spans="1:50" ht="13" x14ac:dyDescent="0.15">
      <c r="A71" s="55" t="str">
        <f>HYPERLINK("http://reports.ofsted.gov.uk/inspection-reports/find-inspection-report/provider/CARE/1221437","Ofsted Social Care Provider Webpage")</f>
        <v>Ofsted Social Care Provider Webpage</v>
      </c>
      <c r="B71" s="55">
        <v>1221437</v>
      </c>
      <c r="D71" s="55" t="s">
        <v>373</v>
      </c>
      <c r="E71" s="74">
        <v>42444</v>
      </c>
      <c r="F71" s="55" t="s">
        <v>344</v>
      </c>
      <c r="G71" s="55" t="s">
        <v>360</v>
      </c>
      <c r="H71" s="55" t="s">
        <v>360</v>
      </c>
      <c r="I71" s="55" t="s">
        <v>360</v>
      </c>
      <c r="J71" s="55" t="s">
        <v>360</v>
      </c>
      <c r="K71" s="55" t="s">
        <v>360</v>
      </c>
      <c r="L71" s="55" t="s">
        <v>360</v>
      </c>
      <c r="M71" s="55" t="s">
        <v>136</v>
      </c>
      <c r="N71" s="55" t="s">
        <v>136</v>
      </c>
      <c r="O71" s="55" t="s">
        <v>176</v>
      </c>
      <c r="P71" s="55" t="s">
        <v>526</v>
      </c>
      <c r="Q71" s="55" t="s">
        <v>350</v>
      </c>
      <c r="R71" s="85">
        <v>5</v>
      </c>
      <c r="S71" s="55" t="s">
        <v>332</v>
      </c>
      <c r="T71" s="74" t="s">
        <v>527</v>
      </c>
      <c r="U71" s="74" t="s">
        <v>351</v>
      </c>
      <c r="V71" s="74">
        <v>44431</v>
      </c>
      <c r="W71" s="74">
        <v>44482</v>
      </c>
      <c r="X71" s="55">
        <v>10187664</v>
      </c>
      <c r="Y71" s="55" t="s">
        <v>132</v>
      </c>
      <c r="AB71" s="74" t="s">
        <v>132</v>
      </c>
      <c r="AC71" s="55" t="s">
        <v>132</v>
      </c>
      <c r="AL71" s="74"/>
      <c r="AM71" s="74"/>
      <c r="AW71" s="74"/>
      <c r="AX71" s="74"/>
    </row>
    <row r="72" spans="1:50" ht="13" x14ac:dyDescent="0.15">
      <c r="A72" s="55" t="str">
        <f>HYPERLINK("http://reports.ofsted.gov.uk/inspection-reports/find-inspection-report/provider/CARE/1221700","Ofsted Social Care Provider Webpage")</f>
        <v>Ofsted Social Care Provider Webpage</v>
      </c>
      <c r="B72" s="55">
        <v>1221700</v>
      </c>
      <c r="D72" s="55" t="s">
        <v>373</v>
      </c>
      <c r="E72" s="74">
        <v>42402</v>
      </c>
      <c r="F72" s="55" t="s">
        <v>344</v>
      </c>
      <c r="G72" s="55" t="s">
        <v>360</v>
      </c>
      <c r="H72" s="55" t="s">
        <v>360</v>
      </c>
      <c r="I72" s="55" t="s">
        <v>360</v>
      </c>
      <c r="J72" s="55" t="s">
        <v>360</v>
      </c>
      <c r="K72" s="55" t="s">
        <v>360</v>
      </c>
      <c r="L72" s="55" t="s">
        <v>360</v>
      </c>
      <c r="M72" s="55" t="s">
        <v>144</v>
      </c>
      <c r="N72" s="55" t="s">
        <v>144</v>
      </c>
      <c r="O72" s="55" t="s">
        <v>209</v>
      </c>
      <c r="P72" s="55" t="s">
        <v>534</v>
      </c>
      <c r="Q72" s="55" t="s">
        <v>350</v>
      </c>
      <c r="R72" s="85">
        <v>5</v>
      </c>
      <c r="S72" s="55">
        <v>0</v>
      </c>
      <c r="T72" s="74" t="s">
        <v>493</v>
      </c>
      <c r="U72" s="74" t="s">
        <v>351</v>
      </c>
      <c r="V72" s="74">
        <v>44615</v>
      </c>
      <c r="W72" s="74">
        <v>44659</v>
      </c>
      <c r="X72" s="55">
        <v>10186280</v>
      </c>
      <c r="Y72" s="55" t="s">
        <v>132</v>
      </c>
      <c r="AB72" s="74" t="s">
        <v>132</v>
      </c>
      <c r="AC72" s="55" t="s">
        <v>132</v>
      </c>
      <c r="AL72" s="74"/>
      <c r="AM72" s="74"/>
      <c r="AW72" s="74"/>
      <c r="AX72" s="74"/>
    </row>
    <row r="73" spans="1:50" ht="13" x14ac:dyDescent="0.15">
      <c r="A73" s="55" t="str">
        <f>HYPERLINK("http://reports.ofsted.gov.uk/inspection-reports/find-inspection-report/provider/CARE/1222089","Ofsted Social Care Provider Webpage")</f>
        <v>Ofsted Social Care Provider Webpage</v>
      </c>
      <c r="B73" s="55">
        <v>1222089</v>
      </c>
      <c r="D73" s="55" t="s">
        <v>373</v>
      </c>
      <c r="E73" s="74">
        <v>42417</v>
      </c>
      <c r="F73" s="55" t="s">
        <v>344</v>
      </c>
      <c r="G73" s="55" t="s">
        <v>360</v>
      </c>
      <c r="H73" s="55" t="s">
        <v>360</v>
      </c>
      <c r="I73" s="55" t="s">
        <v>360</v>
      </c>
      <c r="J73" s="55" t="s">
        <v>360</v>
      </c>
      <c r="K73" s="55" t="s">
        <v>360</v>
      </c>
      <c r="L73" s="55" t="s">
        <v>360</v>
      </c>
      <c r="M73" s="55" t="s">
        <v>142</v>
      </c>
      <c r="N73" s="55" t="s">
        <v>142</v>
      </c>
      <c r="O73" s="55" t="s">
        <v>265</v>
      </c>
      <c r="P73" s="55" t="s">
        <v>540</v>
      </c>
      <c r="Q73" s="55" t="s">
        <v>350</v>
      </c>
      <c r="R73" s="85">
        <v>4</v>
      </c>
      <c r="S73" s="55">
        <v>0</v>
      </c>
      <c r="T73" s="74" t="s">
        <v>541</v>
      </c>
      <c r="U73" s="74" t="s">
        <v>6703</v>
      </c>
      <c r="V73" s="74">
        <v>44628</v>
      </c>
      <c r="W73" s="74">
        <v>44672</v>
      </c>
      <c r="X73" s="55">
        <v>10217206</v>
      </c>
      <c r="Y73" s="55" t="s">
        <v>6706</v>
      </c>
      <c r="AL73" s="74"/>
      <c r="AM73" s="74"/>
      <c r="AW73" s="74"/>
      <c r="AX73" s="74"/>
    </row>
    <row r="74" spans="1:50" ht="13" x14ac:dyDescent="0.15">
      <c r="A74" s="55" t="str">
        <f>HYPERLINK("http://reports.ofsted.gov.uk/inspection-reports/find-inspection-report/provider/CARE/1222089","Ofsted Social Care Provider Webpage")</f>
        <v>Ofsted Social Care Provider Webpage</v>
      </c>
      <c r="B74" s="55">
        <v>1222089</v>
      </c>
      <c r="D74" s="55" t="s">
        <v>373</v>
      </c>
      <c r="E74" s="74">
        <v>42417</v>
      </c>
      <c r="F74" s="55" t="s">
        <v>344</v>
      </c>
      <c r="G74" s="55" t="s">
        <v>360</v>
      </c>
      <c r="H74" s="55" t="s">
        <v>360</v>
      </c>
      <c r="I74" s="55" t="s">
        <v>360</v>
      </c>
      <c r="J74" s="55" t="s">
        <v>360</v>
      </c>
      <c r="K74" s="55" t="s">
        <v>360</v>
      </c>
      <c r="L74" s="55" t="s">
        <v>360</v>
      </c>
      <c r="M74" s="55" t="s">
        <v>142</v>
      </c>
      <c r="N74" s="55" t="s">
        <v>142</v>
      </c>
      <c r="O74" s="55" t="s">
        <v>265</v>
      </c>
      <c r="P74" s="55" t="s">
        <v>540</v>
      </c>
      <c r="Q74" s="55" t="s">
        <v>350</v>
      </c>
      <c r="R74" s="85">
        <v>4</v>
      </c>
      <c r="S74" s="55">
        <v>0</v>
      </c>
      <c r="T74" s="74" t="s">
        <v>541</v>
      </c>
      <c r="U74" s="74" t="s">
        <v>351</v>
      </c>
      <c r="V74" s="74">
        <v>44369</v>
      </c>
      <c r="W74" s="74">
        <v>44397</v>
      </c>
      <c r="X74" s="55">
        <v>10185412</v>
      </c>
      <c r="Y74" s="55" t="s">
        <v>130</v>
      </c>
      <c r="AB74" s="74" t="s">
        <v>130</v>
      </c>
      <c r="AC74" s="55" t="s">
        <v>130</v>
      </c>
      <c r="AL74" s="74"/>
      <c r="AM74" s="74"/>
      <c r="AW74" s="74"/>
      <c r="AX74" s="74"/>
    </row>
    <row r="75" spans="1:50" ht="13" x14ac:dyDescent="0.15">
      <c r="A75" s="55" t="str">
        <f>HYPERLINK("http://reports.ofsted.gov.uk/inspection-reports/find-inspection-report/provider/CARE/1223201","Ofsted Social Care Provider Webpage")</f>
        <v>Ofsted Social Care Provider Webpage</v>
      </c>
      <c r="B75" s="55">
        <v>1223201</v>
      </c>
      <c r="D75" s="55" t="s">
        <v>373</v>
      </c>
      <c r="E75" s="74">
        <v>42348</v>
      </c>
      <c r="F75" s="55" t="s">
        <v>344</v>
      </c>
      <c r="G75" s="55" t="s">
        <v>360</v>
      </c>
      <c r="H75" s="55" t="s">
        <v>360</v>
      </c>
      <c r="I75" s="55" t="s">
        <v>360</v>
      </c>
      <c r="J75" s="55" t="s">
        <v>360</v>
      </c>
      <c r="K75" s="55" t="s">
        <v>360</v>
      </c>
      <c r="L75" s="55" t="s">
        <v>360</v>
      </c>
      <c r="M75" s="55" t="s">
        <v>378</v>
      </c>
      <c r="N75" s="55" t="s">
        <v>134</v>
      </c>
      <c r="O75" s="55" t="s">
        <v>210</v>
      </c>
      <c r="P75" s="55" t="s">
        <v>542</v>
      </c>
      <c r="Q75" s="55" t="s">
        <v>380</v>
      </c>
      <c r="R75" s="85">
        <v>4</v>
      </c>
      <c r="S75" s="55">
        <v>0</v>
      </c>
      <c r="T75" s="74" t="s">
        <v>543</v>
      </c>
      <c r="U75" s="74" t="s">
        <v>351</v>
      </c>
      <c r="V75" s="74">
        <v>44426</v>
      </c>
      <c r="W75" s="74">
        <v>44462</v>
      </c>
      <c r="X75" s="55">
        <v>10185459</v>
      </c>
      <c r="Y75" s="55" t="s">
        <v>140</v>
      </c>
      <c r="AB75" s="74" t="s">
        <v>140</v>
      </c>
      <c r="AC75" s="55" t="s">
        <v>140</v>
      </c>
      <c r="AL75" s="74"/>
      <c r="AM75" s="74"/>
      <c r="AW75" s="74"/>
      <c r="AX75" s="74"/>
    </row>
    <row r="76" spans="1:50" ht="13" x14ac:dyDescent="0.15">
      <c r="A76" s="55" t="str">
        <f>HYPERLINK("http://reports.ofsted.gov.uk/inspection-reports/find-inspection-report/provider/CARE/1223681","Ofsted Social Care Provider Webpage")</f>
        <v>Ofsted Social Care Provider Webpage</v>
      </c>
      <c r="B76" s="55">
        <v>1223681</v>
      </c>
      <c r="D76" s="55" t="s">
        <v>373</v>
      </c>
      <c r="E76" s="74">
        <v>42474</v>
      </c>
      <c r="F76" s="55" t="s">
        <v>344</v>
      </c>
      <c r="G76" s="55" t="s">
        <v>360</v>
      </c>
      <c r="H76" s="55" t="s">
        <v>360</v>
      </c>
      <c r="I76" s="55" t="s">
        <v>360</v>
      </c>
      <c r="J76" s="55" t="s">
        <v>360</v>
      </c>
      <c r="K76" s="55" t="s">
        <v>360</v>
      </c>
      <c r="L76" s="55" t="s">
        <v>360</v>
      </c>
      <c r="M76" s="55" t="s">
        <v>144</v>
      </c>
      <c r="N76" s="55" t="s">
        <v>144</v>
      </c>
      <c r="O76" s="55" t="s">
        <v>209</v>
      </c>
      <c r="P76" s="55" t="s">
        <v>545</v>
      </c>
      <c r="Q76" s="55" t="s">
        <v>350</v>
      </c>
      <c r="R76" s="85">
        <v>3</v>
      </c>
      <c r="S76" s="55">
        <v>0</v>
      </c>
      <c r="T76" s="74" t="s">
        <v>485</v>
      </c>
      <c r="U76" s="74" t="s">
        <v>351</v>
      </c>
      <c r="V76" s="74">
        <v>44335</v>
      </c>
      <c r="W76" s="74">
        <v>44370</v>
      </c>
      <c r="X76" s="55">
        <v>10185983</v>
      </c>
      <c r="Y76" s="55" t="s">
        <v>130</v>
      </c>
      <c r="AB76" s="74" t="s">
        <v>130</v>
      </c>
      <c r="AC76" s="55" t="s">
        <v>130</v>
      </c>
      <c r="AL76" s="74"/>
      <c r="AM76" s="74"/>
    </row>
    <row r="77" spans="1:50" ht="13" x14ac:dyDescent="0.15">
      <c r="A77" s="55" t="str">
        <f>HYPERLINK("http://reports.ofsted.gov.uk/inspection-reports/find-inspection-report/provider/CARE/1223681","Ofsted Social Care Provider Webpage")</f>
        <v>Ofsted Social Care Provider Webpage</v>
      </c>
      <c r="B77" s="55">
        <v>1223681</v>
      </c>
      <c r="D77" s="55" t="s">
        <v>373</v>
      </c>
      <c r="E77" s="74">
        <v>42474</v>
      </c>
      <c r="F77" s="55" t="s">
        <v>344</v>
      </c>
      <c r="G77" s="55" t="s">
        <v>360</v>
      </c>
      <c r="H77" s="55" t="s">
        <v>360</v>
      </c>
      <c r="I77" s="55" t="s">
        <v>360</v>
      </c>
      <c r="J77" s="55" t="s">
        <v>360</v>
      </c>
      <c r="K77" s="55" t="s">
        <v>360</v>
      </c>
      <c r="L77" s="55" t="s">
        <v>360</v>
      </c>
      <c r="M77" s="55" t="s">
        <v>144</v>
      </c>
      <c r="N77" s="55" t="s">
        <v>144</v>
      </c>
      <c r="O77" s="55" t="s">
        <v>209</v>
      </c>
      <c r="P77" s="55" t="s">
        <v>545</v>
      </c>
      <c r="Q77" s="55" t="s">
        <v>350</v>
      </c>
      <c r="R77" s="85">
        <v>3</v>
      </c>
      <c r="S77" s="55">
        <v>0</v>
      </c>
      <c r="T77" s="74" t="s">
        <v>485</v>
      </c>
      <c r="U77" s="74" t="s">
        <v>6703</v>
      </c>
      <c r="V77" s="74">
        <v>44511</v>
      </c>
      <c r="W77" s="74">
        <v>44574</v>
      </c>
      <c r="X77" s="55">
        <v>10209588</v>
      </c>
      <c r="Y77" s="55" t="s">
        <v>6705</v>
      </c>
      <c r="AL77" s="74"/>
      <c r="AM77" s="74"/>
      <c r="AW77" s="74"/>
      <c r="AX77" s="74"/>
    </row>
    <row r="78" spans="1:50" ht="13" x14ac:dyDescent="0.15">
      <c r="A78" s="55" t="str">
        <f>HYPERLINK("http://reports.ofsted.gov.uk/inspection-reports/find-inspection-report/provider/CARE/1224093","Ofsted Social Care Provider Webpage")</f>
        <v>Ofsted Social Care Provider Webpage</v>
      </c>
      <c r="B78" s="55">
        <v>1224093</v>
      </c>
      <c r="D78" s="55" t="s">
        <v>373</v>
      </c>
      <c r="E78" s="74">
        <v>42312</v>
      </c>
      <c r="F78" s="55" t="s">
        <v>344</v>
      </c>
      <c r="G78" s="55" t="s">
        <v>360</v>
      </c>
      <c r="H78" s="55" t="s">
        <v>360</v>
      </c>
      <c r="I78" s="55" t="s">
        <v>360</v>
      </c>
      <c r="J78" s="55" t="s">
        <v>360</v>
      </c>
      <c r="K78" s="55" t="s">
        <v>360</v>
      </c>
      <c r="L78" s="55" t="s">
        <v>360</v>
      </c>
      <c r="M78" s="55" t="s">
        <v>138</v>
      </c>
      <c r="N78" s="55" t="s">
        <v>138</v>
      </c>
      <c r="O78" s="55" t="s">
        <v>196</v>
      </c>
      <c r="P78" s="55" t="s">
        <v>546</v>
      </c>
      <c r="Q78" s="55" t="s">
        <v>350</v>
      </c>
      <c r="R78" s="85">
        <v>4</v>
      </c>
      <c r="S78" s="55">
        <v>0</v>
      </c>
      <c r="T78" s="74" t="s">
        <v>442</v>
      </c>
      <c r="U78" s="74" t="s">
        <v>351</v>
      </c>
      <c r="V78" s="74">
        <v>44426</v>
      </c>
      <c r="W78" s="74">
        <v>44456</v>
      </c>
      <c r="X78" s="55">
        <v>10186492</v>
      </c>
      <c r="Y78" s="55" t="s">
        <v>132</v>
      </c>
      <c r="AB78" s="74" t="s">
        <v>132</v>
      </c>
      <c r="AC78" s="55" t="s">
        <v>132</v>
      </c>
      <c r="AL78" s="74"/>
      <c r="AM78" s="74"/>
      <c r="AW78" s="74"/>
      <c r="AX78" s="74"/>
    </row>
    <row r="79" spans="1:50" ht="13" x14ac:dyDescent="0.15">
      <c r="A79" s="55" t="str">
        <f>HYPERLINK("http://reports.ofsted.gov.uk/inspection-reports/find-inspection-report/provider/CARE/1224663","Ofsted Social Care Provider Webpage")</f>
        <v>Ofsted Social Care Provider Webpage</v>
      </c>
      <c r="B79" s="55">
        <v>1224663</v>
      </c>
      <c r="D79" s="55" t="s">
        <v>373</v>
      </c>
      <c r="E79" s="74">
        <v>42368</v>
      </c>
      <c r="F79" s="55" t="s">
        <v>344</v>
      </c>
      <c r="G79" s="55" t="s">
        <v>360</v>
      </c>
      <c r="H79" s="55" t="s">
        <v>360</v>
      </c>
      <c r="I79" s="55" t="s">
        <v>360</v>
      </c>
      <c r="J79" s="55" t="s">
        <v>360</v>
      </c>
      <c r="K79" s="55" t="s">
        <v>360</v>
      </c>
      <c r="L79" s="55" t="s">
        <v>360</v>
      </c>
      <c r="M79" s="55" t="s">
        <v>172</v>
      </c>
      <c r="N79" s="55" t="s">
        <v>172</v>
      </c>
      <c r="O79" s="55" t="s">
        <v>212</v>
      </c>
      <c r="P79" s="55" t="s">
        <v>547</v>
      </c>
      <c r="Q79" s="55" t="s">
        <v>350</v>
      </c>
      <c r="R79" s="85">
        <v>3</v>
      </c>
      <c r="S79" s="55">
        <v>0</v>
      </c>
      <c r="T79" s="74" t="s">
        <v>489</v>
      </c>
      <c r="U79" s="74" t="s">
        <v>351</v>
      </c>
      <c r="V79" s="74">
        <v>44594</v>
      </c>
      <c r="W79" s="74">
        <v>44634</v>
      </c>
      <c r="X79" s="55">
        <v>10187620</v>
      </c>
      <c r="Y79" s="55" t="s">
        <v>132</v>
      </c>
      <c r="AB79" s="74" t="s">
        <v>132</v>
      </c>
      <c r="AC79" s="55" t="s">
        <v>132</v>
      </c>
      <c r="AL79" s="74"/>
      <c r="AM79" s="74"/>
      <c r="AW79" s="74"/>
      <c r="AX79" s="74"/>
    </row>
    <row r="80" spans="1:50" ht="13" x14ac:dyDescent="0.15">
      <c r="A80" s="55" t="str">
        <f>HYPERLINK("http://reports.ofsted.gov.uk/inspection-reports/find-inspection-report/provider/CARE/1224674","Ofsted Social Care Provider Webpage")</f>
        <v>Ofsted Social Care Provider Webpage</v>
      </c>
      <c r="B80" s="55">
        <v>1224674</v>
      </c>
      <c r="D80" s="55" t="s">
        <v>373</v>
      </c>
      <c r="E80" s="74">
        <v>42411</v>
      </c>
      <c r="F80" s="55" t="s">
        <v>6707</v>
      </c>
      <c r="G80" s="55" t="s">
        <v>360</v>
      </c>
      <c r="H80" s="55" t="s">
        <v>360</v>
      </c>
      <c r="I80" s="55" t="s">
        <v>360</v>
      </c>
      <c r="J80" s="55" t="s">
        <v>360</v>
      </c>
      <c r="K80" s="55" t="s">
        <v>360</v>
      </c>
      <c r="L80" s="55" t="s">
        <v>360</v>
      </c>
      <c r="M80" s="55" t="s">
        <v>172</v>
      </c>
      <c r="N80" s="55" t="s">
        <v>172</v>
      </c>
      <c r="O80" s="55" t="s">
        <v>247</v>
      </c>
      <c r="P80" s="55" t="s">
        <v>798</v>
      </c>
      <c r="Q80" s="55" t="s">
        <v>350</v>
      </c>
      <c r="R80" s="85">
        <v>7</v>
      </c>
      <c r="S80" s="55">
        <v>0</v>
      </c>
      <c r="T80" s="74" t="s">
        <v>4679</v>
      </c>
      <c r="U80" s="74" t="s">
        <v>351</v>
      </c>
      <c r="V80" s="74">
        <v>44362</v>
      </c>
      <c r="W80" s="74">
        <v>44403</v>
      </c>
      <c r="X80" s="55">
        <v>10187012</v>
      </c>
      <c r="Y80" s="55" t="s">
        <v>132</v>
      </c>
      <c r="AB80" s="74" t="s">
        <v>132</v>
      </c>
      <c r="AC80" s="55" t="s">
        <v>132</v>
      </c>
      <c r="AL80" s="74"/>
      <c r="AM80" s="74"/>
      <c r="AW80" s="74"/>
      <c r="AX80" s="74"/>
    </row>
    <row r="81" spans="1:50" ht="13" x14ac:dyDescent="0.15">
      <c r="A81" s="55" t="str">
        <f>HYPERLINK("http://reports.ofsted.gov.uk/inspection-reports/find-inspection-report/provider/CARE/1225136","Ofsted Social Care Provider Webpage")</f>
        <v>Ofsted Social Care Provider Webpage</v>
      </c>
      <c r="B81" s="55">
        <v>1225136</v>
      </c>
      <c r="D81" s="55" t="s">
        <v>373</v>
      </c>
      <c r="E81" s="74">
        <v>42508</v>
      </c>
      <c r="F81" s="55" t="s">
        <v>344</v>
      </c>
      <c r="G81" s="55" t="s">
        <v>360</v>
      </c>
      <c r="H81" s="55" t="s">
        <v>360</v>
      </c>
      <c r="I81" s="55" t="s">
        <v>360</v>
      </c>
      <c r="J81" s="55" t="s">
        <v>360</v>
      </c>
      <c r="K81" s="55" t="s">
        <v>360</v>
      </c>
      <c r="L81" s="55" t="s">
        <v>360</v>
      </c>
      <c r="M81" s="55" t="s">
        <v>144</v>
      </c>
      <c r="N81" s="55" t="s">
        <v>144</v>
      </c>
      <c r="O81" s="55" t="s">
        <v>209</v>
      </c>
      <c r="P81" s="55" t="s">
        <v>555</v>
      </c>
      <c r="Q81" s="55" t="s">
        <v>350</v>
      </c>
      <c r="R81" s="85">
        <v>4</v>
      </c>
      <c r="S81" s="55">
        <v>0</v>
      </c>
      <c r="T81" s="74" t="s">
        <v>385</v>
      </c>
      <c r="U81" s="74" t="s">
        <v>351</v>
      </c>
      <c r="V81" s="74">
        <v>44405</v>
      </c>
      <c r="W81" s="74">
        <v>44456</v>
      </c>
      <c r="X81" s="55">
        <v>10186768</v>
      </c>
      <c r="Y81" s="55" t="s">
        <v>132</v>
      </c>
      <c r="AB81" s="74" t="s">
        <v>132</v>
      </c>
      <c r="AC81" s="55" t="s">
        <v>132</v>
      </c>
      <c r="AL81" s="74"/>
      <c r="AM81" s="74"/>
      <c r="AW81" s="74"/>
      <c r="AX81" s="74"/>
    </row>
    <row r="82" spans="1:50" ht="13" x14ac:dyDescent="0.15">
      <c r="A82" s="55" t="str">
        <f>HYPERLINK("http://reports.ofsted.gov.uk/inspection-reports/find-inspection-report/provider/CARE/1225371","Ofsted Social Care Provider Webpage")</f>
        <v>Ofsted Social Care Provider Webpage</v>
      </c>
      <c r="B82" s="55">
        <v>1225371</v>
      </c>
      <c r="D82" s="55" t="s">
        <v>373</v>
      </c>
      <c r="E82" s="74">
        <v>42487</v>
      </c>
      <c r="F82" s="55" t="s">
        <v>344</v>
      </c>
      <c r="G82" s="55" t="s">
        <v>360</v>
      </c>
      <c r="H82" s="55" t="s">
        <v>360</v>
      </c>
      <c r="I82" s="55" t="s">
        <v>360</v>
      </c>
      <c r="J82" s="55" t="s">
        <v>360</v>
      </c>
      <c r="K82" s="55" t="s">
        <v>360</v>
      </c>
      <c r="L82" s="55" t="s">
        <v>360</v>
      </c>
      <c r="M82" s="55" t="s">
        <v>144</v>
      </c>
      <c r="N82" s="55" t="s">
        <v>144</v>
      </c>
      <c r="O82" s="55" t="s">
        <v>281</v>
      </c>
      <c r="P82" s="55" t="s">
        <v>556</v>
      </c>
      <c r="Q82" s="55" t="s">
        <v>350</v>
      </c>
      <c r="R82" s="85">
        <v>2</v>
      </c>
      <c r="S82" s="55">
        <v>0</v>
      </c>
      <c r="T82" s="74" t="s">
        <v>557</v>
      </c>
      <c r="U82" s="74" t="s">
        <v>2053</v>
      </c>
      <c r="V82" s="74">
        <v>44628</v>
      </c>
      <c r="W82" s="74">
        <v>44665</v>
      </c>
      <c r="X82" s="55">
        <v>10221233</v>
      </c>
      <c r="AL82" s="74"/>
      <c r="AM82" s="74"/>
      <c r="AW82" s="74"/>
      <c r="AX82" s="74"/>
    </row>
    <row r="83" spans="1:50" ht="13" x14ac:dyDescent="0.15">
      <c r="A83" s="55" t="str">
        <f>HYPERLINK("http://reports.ofsted.gov.uk/inspection-reports/find-inspection-report/provider/CARE/1225371","Ofsted Social Care Provider Webpage")</f>
        <v>Ofsted Social Care Provider Webpage</v>
      </c>
      <c r="B83" s="55">
        <v>1225371</v>
      </c>
      <c r="D83" s="55" t="s">
        <v>373</v>
      </c>
      <c r="E83" s="74">
        <v>42487</v>
      </c>
      <c r="F83" s="55" t="s">
        <v>344</v>
      </c>
      <c r="G83" s="55" t="s">
        <v>360</v>
      </c>
      <c r="H83" s="55" t="s">
        <v>360</v>
      </c>
      <c r="I83" s="55" t="s">
        <v>360</v>
      </c>
      <c r="J83" s="55" t="s">
        <v>360</v>
      </c>
      <c r="K83" s="55" t="s">
        <v>360</v>
      </c>
      <c r="L83" s="55" t="s">
        <v>360</v>
      </c>
      <c r="M83" s="55" t="s">
        <v>144</v>
      </c>
      <c r="N83" s="55" t="s">
        <v>144</v>
      </c>
      <c r="O83" s="55" t="s">
        <v>281</v>
      </c>
      <c r="P83" s="55" t="s">
        <v>556</v>
      </c>
      <c r="Q83" s="55" t="s">
        <v>350</v>
      </c>
      <c r="R83" s="85">
        <v>2</v>
      </c>
      <c r="S83" s="55">
        <v>0</v>
      </c>
      <c r="T83" s="74" t="s">
        <v>557</v>
      </c>
      <c r="U83" s="74" t="s">
        <v>351</v>
      </c>
      <c r="V83" s="74">
        <v>44580</v>
      </c>
      <c r="W83" s="74">
        <v>44631</v>
      </c>
      <c r="X83" s="55">
        <v>10186889</v>
      </c>
      <c r="Y83" s="55" t="s">
        <v>146</v>
      </c>
      <c r="AB83" s="74" t="s">
        <v>146</v>
      </c>
      <c r="AC83" s="55" t="s">
        <v>146</v>
      </c>
      <c r="AL83" s="74"/>
      <c r="AM83" s="74"/>
      <c r="AW83" s="74"/>
      <c r="AX83" s="74"/>
    </row>
    <row r="84" spans="1:50" ht="13" x14ac:dyDescent="0.15">
      <c r="A84" s="55" t="str">
        <f>HYPERLINK("http://reports.ofsted.gov.uk/inspection-reports/find-inspection-report/provider/CARE/1225624","Ofsted Social Care Provider Webpage")</f>
        <v>Ofsted Social Care Provider Webpage</v>
      </c>
      <c r="B84" s="55">
        <v>1225624</v>
      </c>
      <c r="D84" s="55" t="s">
        <v>389</v>
      </c>
      <c r="E84" s="74">
        <v>42600</v>
      </c>
      <c r="F84" s="55" t="s">
        <v>344</v>
      </c>
      <c r="G84" s="55" t="s">
        <v>558</v>
      </c>
      <c r="H84" s="55" t="s">
        <v>559</v>
      </c>
      <c r="I84" s="55" t="s">
        <v>560</v>
      </c>
      <c r="J84" s="55" t="s">
        <v>561</v>
      </c>
      <c r="K84" s="55" t="s">
        <v>209</v>
      </c>
      <c r="L84" s="55" t="s">
        <v>562</v>
      </c>
      <c r="M84" s="55" t="s">
        <v>144</v>
      </c>
      <c r="N84" s="55" t="s">
        <v>144</v>
      </c>
      <c r="O84" s="55" t="s">
        <v>209</v>
      </c>
      <c r="P84" s="55" t="s">
        <v>561</v>
      </c>
      <c r="Q84" s="55" t="s">
        <v>350</v>
      </c>
      <c r="S84" s="55">
        <v>0</v>
      </c>
      <c r="T84" s="74" t="s">
        <v>502</v>
      </c>
      <c r="U84" s="74" t="s">
        <v>351</v>
      </c>
      <c r="V84" s="74">
        <v>44578</v>
      </c>
      <c r="W84" s="74">
        <v>44613</v>
      </c>
      <c r="X84" s="55">
        <v>10183390</v>
      </c>
      <c r="Y84" s="55" t="s">
        <v>132</v>
      </c>
      <c r="AB84" s="74" t="s">
        <v>132</v>
      </c>
      <c r="AC84" s="55" t="s">
        <v>140</v>
      </c>
      <c r="AL84" s="74"/>
      <c r="AM84" s="74"/>
      <c r="AW84" s="74"/>
      <c r="AX84" s="74"/>
    </row>
    <row r="85" spans="1:50" ht="13" x14ac:dyDescent="0.15">
      <c r="A85" s="55" t="str">
        <f>HYPERLINK("http://reports.ofsted.gov.uk/inspection-reports/find-inspection-report/provider/CARE/1225887","Ofsted Social Care Provider Webpage")</f>
        <v>Ofsted Social Care Provider Webpage</v>
      </c>
      <c r="B85" s="55">
        <v>1225887</v>
      </c>
      <c r="D85" s="55" t="s">
        <v>373</v>
      </c>
      <c r="E85" s="74">
        <v>42384</v>
      </c>
      <c r="F85" s="55" t="s">
        <v>344</v>
      </c>
      <c r="G85" s="55" t="s">
        <v>360</v>
      </c>
      <c r="H85" s="55" t="s">
        <v>360</v>
      </c>
      <c r="I85" s="55" t="s">
        <v>360</v>
      </c>
      <c r="J85" s="55" t="s">
        <v>360</v>
      </c>
      <c r="K85" s="55" t="s">
        <v>360</v>
      </c>
      <c r="L85" s="55" t="s">
        <v>360</v>
      </c>
      <c r="M85" s="55" t="s">
        <v>150</v>
      </c>
      <c r="N85" s="55" t="s">
        <v>150</v>
      </c>
      <c r="O85" s="55" t="s">
        <v>203</v>
      </c>
      <c r="P85" s="55" t="s">
        <v>563</v>
      </c>
      <c r="Q85" s="55" t="s">
        <v>350</v>
      </c>
      <c r="R85" s="85">
        <v>2</v>
      </c>
      <c r="S85" s="55">
        <v>0</v>
      </c>
      <c r="T85" s="74" t="s">
        <v>564</v>
      </c>
      <c r="U85" s="74" t="s">
        <v>351</v>
      </c>
      <c r="V85" s="74">
        <v>44516</v>
      </c>
      <c r="W85" s="74">
        <v>44580</v>
      </c>
      <c r="X85" s="55">
        <v>10186548</v>
      </c>
      <c r="Y85" s="55" t="s">
        <v>130</v>
      </c>
      <c r="AB85" s="74" t="s">
        <v>130</v>
      </c>
      <c r="AC85" s="55" t="s">
        <v>146</v>
      </c>
      <c r="AL85" s="74"/>
      <c r="AM85" s="74"/>
    </row>
    <row r="86" spans="1:50" ht="13" x14ac:dyDescent="0.15">
      <c r="A86" s="55" t="str">
        <f>HYPERLINK("http://reports.ofsted.gov.uk/inspection-reports/find-inspection-report/provider/CARE/1226266","Ofsted Social Care Provider Webpage")</f>
        <v>Ofsted Social Care Provider Webpage</v>
      </c>
      <c r="B86" s="55">
        <v>1226266</v>
      </c>
      <c r="D86" s="55" t="s">
        <v>373</v>
      </c>
      <c r="E86" s="74">
        <v>42380</v>
      </c>
      <c r="F86" s="55" t="s">
        <v>344</v>
      </c>
      <c r="G86" s="55" t="s">
        <v>360</v>
      </c>
      <c r="H86" s="55" t="s">
        <v>360</v>
      </c>
      <c r="I86" s="55" t="s">
        <v>360</v>
      </c>
      <c r="J86" s="55" t="s">
        <v>360</v>
      </c>
      <c r="K86" s="55" t="s">
        <v>360</v>
      </c>
      <c r="L86" s="55" t="s">
        <v>360</v>
      </c>
      <c r="M86" s="55" t="s">
        <v>150</v>
      </c>
      <c r="N86" s="55" t="s">
        <v>150</v>
      </c>
      <c r="O86" s="55" t="s">
        <v>285</v>
      </c>
      <c r="P86" s="55" t="s">
        <v>565</v>
      </c>
      <c r="Q86" s="55" t="s">
        <v>350</v>
      </c>
      <c r="R86" s="85">
        <v>6</v>
      </c>
      <c r="S86" s="55">
        <v>0</v>
      </c>
      <c r="T86" s="74" t="s">
        <v>566</v>
      </c>
      <c r="U86" s="74" t="s">
        <v>351</v>
      </c>
      <c r="V86" s="74">
        <v>44355</v>
      </c>
      <c r="W86" s="74">
        <v>44386</v>
      </c>
      <c r="X86" s="55">
        <v>10187549</v>
      </c>
      <c r="Y86" s="55" t="s">
        <v>132</v>
      </c>
      <c r="AB86" s="74" t="s">
        <v>140</v>
      </c>
      <c r="AC86" s="55" t="s">
        <v>132</v>
      </c>
      <c r="AL86" s="74"/>
      <c r="AM86" s="74"/>
      <c r="AW86" s="74"/>
      <c r="AX86" s="74"/>
    </row>
    <row r="87" spans="1:50" ht="13" x14ac:dyDescent="0.15">
      <c r="A87" s="55" t="str">
        <f>HYPERLINK("http://reports.ofsted.gov.uk/inspection-reports/find-inspection-report/provider/CARE/1226397","Ofsted Social Care Provider Webpage")</f>
        <v>Ofsted Social Care Provider Webpage</v>
      </c>
      <c r="B87" s="55">
        <v>1226397</v>
      </c>
      <c r="D87" s="55" t="s">
        <v>373</v>
      </c>
      <c r="E87" s="74">
        <v>42672</v>
      </c>
      <c r="F87" s="55" t="s">
        <v>344</v>
      </c>
      <c r="G87" s="55" t="s">
        <v>360</v>
      </c>
      <c r="H87" s="55" t="s">
        <v>360</v>
      </c>
      <c r="I87" s="55" t="s">
        <v>360</v>
      </c>
      <c r="J87" s="55" t="s">
        <v>360</v>
      </c>
      <c r="K87" s="55" t="s">
        <v>360</v>
      </c>
      <c r="L87" s="55" t="s">
        <v>360</v>
      </c>
      <c r="M87" s="55" t="s">
        <v>142</v>
      </c>
      <c r="N87" s="55" t="s">
        <v>142</v>
      </c>
      <c r="O87" s="55" t="s">
        <v>141</v>
      </c>
      <c r="P87" s="55" t="s">
        <v>573</v>
      </c>
      <c r="Q87" s="55" t="s">
        <v>350</v>
      </c>
      <c r="R87" s="85">
        <v>4</v>
      </c>
      <c r="S87" s="55">
        <v>0</v>
      </c>
      <c r="T87" s="74" t="s">
        <v>574</v>
      </c>
      <c r="U87" s="74" t="s">
        <v>351</v>
      </c>
      <c r="V87" s="74">
        <v>44594</v>
      </c>
      <c r="W87" s="74">
        <v>44634</v>
      </c>
      <c r="X87" s="55">
        <v>10212714</v>
      </c>
      <c r="Y87" s="55" t="s">
        <v>132</v>
      </c>
      <c r="AB87" s="74" t="s">
        <v>132</v>
      </c>
      <c r="AC87" s="55" t="s">
        <v>132</v>
      </c>
      <c r="AL87" s="74"/>
      <c r="AM87" s="74"/>
      <c r="AW87" s="74"/>
      <c r="AX87" s="74"/>
    </row>
    <row r="88" spans="1:50" ht="13" x14ac:dyDescent="0.15">
      <c r="A88" s="55" t="str">
        <f>HYPERLINK("http://reports.ofsted.gov.uk/inspection-reports/find-inspection-report/provider/CARE/1226397","Ofsted Social Care Provider Webpage")</f>
        <v>Ofsted Social Care Provider Webpage</v>
      </c>
      <c r="B88" s="55">
        <v>1226397</v>
      </c>
      <c r="D88" s="55" t="s">
        <v>373</v>
      </c>
      <c r="E88" s="74">
        <v>42672</v>
      </c>
      <c r="F88" s="55" t="s">
        <v>344</v>
      </c>
      <c r="G88" s="55" t="s">
        <v>360</v>
      </c>
      <c r="H88" s="55" t="s">
        <v>360</v>
      </c>
      <c r="I88" s="55" t="s">
        <v>360</v>
      </c>
      <c r="J88" s="55" t="s">
        <v>360</v>
      </c>
      <c r="K88" s="55" t="s">
        <v>360</v>
      </c>
      <c r="L88" s="55" t="s">
        <v>360</v>
      </c>
      <c r="M88" s="55" t="s">
        <v>142</v>
      </c>
      <c r="N88" s="55" t="s">
        <v>142</v>
      </c>
      <c r="O88" s="55" t="s">
        <v>141</v>
      </c>
      <c r="P88" s="55" t="s">
        <v>573</v>
      </c>
      <c r="Q88" s="55" t="s">
        <v>350</v>
      </c>
      <c r="R88" s="85">
        <v>4</v>
      </c>
      <c r="S88" s="55">
        <v>0</v>
      </c>
      <c r="T88" s="74" t="s">
        <v>574</v>
      </c>
      <c r="U88" s="74" t="s">
        <v>351</v>
      </c>
      <c r="V88" s="74">
        <v>44489</v>
      </c>
      <c r="W88" s="74">
        <v>44559</v>
      </c>
      <c r="X88" s="55">
        <v>10186159</v>
      </c>
      <c r="Y88" s="55" t="s">
        <v>146</v>
      </c>
      <c r="AB88" s="74" t="s">
        <v>146</v>
      </c>
      <c r="AC88" s="55" t="s">
        <v>146</v>
      </c>
      <c r="AL88" s="74"/>
      <c r="AM88" s="74"/>
      <c r="AW88" s="74"/>
      <c r="AX88" s="74"/>
    </row>
    <row r="89" spans="1:50" ht="13" x14ac:dyDescent="0.15">
      <c r="A89" s="55" t="str">
        <f>HYPERLINK("http://reports.ofsted.gov.uk/inspection-reports/find-inspection-report/provider/CARE/1226397","Ofsted Social Care Provider Webpage")</f>
        <v>Ofsted Social Care Provider Webpage</v>
      </c>
      <c r="B89" s="55">
        <v>1226397</v>
      </c>
      <c r="D89" s="55" t="s">
        <v>373</v>
      </c>
      <c r="E89" s="74">
        <v>42672</v>
      </c>
      <c r="F89" s="55" t="s">
        <v>344</v>
      </c>
      <c r="G89" s="55" t="s">
        <v>360</v>
      </c>
      <c r="H89" s="55" t="s">
        <v>360</v>
      </c>
      <c r="I89" s="55" t="s">
        <v>360</v>
      </c>
      <c r="J89" s="55" t="s">
        <v>360</v>
      </c>
      <c r="K89" s="55" t="s">
        <v>360</v>
      </c>
      <c r="L89" s="55" t="s">
        <v>360</v>
      </c>
      <c r="M89" s="55" t="s">
        <v>142</v>
      </c>
      <c r="N89" s="55" t="s">
        <v>142</v>
      </c>
      <c r="O89" s="55" t="s">
        <v>141</v>
      </c>
      <c r="P89" s="55" t="s">
        <v>573</v>
      </c>
      <c r="Q89" s="55" t="s">
        <v>350</v>
      </c>
      <c r="R89" s="85">
        <v>4</v>
      </c>
      <c r="S89" s="55">
        <v>0</v>
      </c>
      <c r="T89" s="74" t="s">
        <v>574</v>
      </c>
      <c r="U89" s="74" t="s">
        <v>2053</v>
      </c>
      <c r="V89" s="74">
        <v>44523</v>
      </c>
      <c r="W89" s="74">
        <v>44565</v>
      </c>
      <c r="X89" s="55">
        <v>10212712</v>
      </c>
      <c r="AL89" s="74"/>
      <c r="AM89" s="74"/>
      <c r="AW89" s="74"/>
      <c r="AX89" s="74"/>
    </row>
    <row r="90" spans="1:50" ht="13" x14ac:dyDescent="0.15">
      <c r="A90" s="55" t="str">
        <f>HYPERLINK("http://reports.ofsted.gov.uk/inspection-reports/find-inspection-report/provider/CARE/1226495","Ofsted Social Care Provider Webpage")</f>
        <v>Ofsted Social Care Provider Webpage</v>
      </c>
      <c r="B90" s="55">
        <v>1226495</v>
      </c>
      <c r="D90" s="55" t="s">
        <v>373</v>
      </c>
      <c r="E90" s="74">
        <v>42376</v>
      </c>
      <c r="F90" s="55" t="s">
        <v>344</v>
      </c>
      <c r="G90" s="55" t="s">
        <v>360</v>
      </c>
      <c r="H90" s="55" t="s">
        <v>360</v>
      </c>
      <c r="I90" s="55" t="s">
        <v>360</v>
      </c>
      <c r="J90" s="55" t="s">
        <v>360</v>
      </c>
      <c r="K90" s="55" t="s">
        <v>360</v>
      </c>
      <c r="L90" s="55" t="s">
        <v>360</v>
      </c>
      <c r="M90" s="55" t="s">
        <v>150</v>
      </c>
      <c r="N90" s="55" t="s">
        <v>150</v>
      </c>
      <c r="O90" s="55" t="s">
        <v>285</v>
      </c>
      <c r="P90" s="55" t="s">
        <v>575</v>
      </c>
      <c r="Q90" s="55" t="s">
        <v>350</v>
      </c>
      <c r="R90" s="85">
        <v>5</v>
      </c>
      <c r="S90" s="55">
        <v>0</v>
      </c>
      <c r="T90" s="74" t="s">
        <v>566</v>
      </c>
      <c r="U90" s="74" t="s">
        <v>351</v>
      </c>
      <c r="V90" s="74">
        <v>44342</v>
      </c>
      <c r="W90" s="74">
        <v>44397</v>
      </c>
      <c r="X90" s="55">
        <v>10186800</v>
      </c>
      <c r="Y90" s="55" t="s">
        <v>132</v>
      </c>
      <c r="AB90" s="74" t="s">
        <v>132</v>
      </c>
      <c r="AC90" s="55" t="s">
        <v>132</v>
      </c>
      <c r="AL90" s="74"/>
      <c r="AM90" s="74"/>
      <c r="AW90" s="74"/>
      <c r="AX90" s="74"/>
    </row>
    <row r="91" spans="1:50" ht="13" x14ac:dyDescent="0.15">
      <c r="A91" s="55" t="str">
        <f>HYPERLINK("http://reports.ofsted.gov.uk/inspection-reports/find-inspection-report/provider/CARE/1226612","Ofsted Social Care Provider Webpage")</f>
        <v>Ofsted Social Care Provider Webpage</v>
      </c>
      <c r="B91" s="55">
        <v>1226612</v>
      </c>
      <c r="D91" s="55" t="s">
        <v>373</v>
      </c>
      <c r="E91" s="74">
        <v>42566</v>
      </c>
      <c r="F91" s="55" t="s">
        <v>344</v>
      </c>
      <c r="G91" s="55" t="s">
        <v>360</v>
      </c>
      <c r="H91" s="55" t="s">
        <v>360</v>
      </c>
      <c r="I91" s="55" t="s">
        <v>360</v>
      </c>
      <c r="J91" s="55" t="s">
        <v>360</v>
      </c>
      <c r="K91" s="55" t="s">
        <v>360</v>
      </c>
      <c r="L91" s="55" t="s">
        <v>360</v>
      </c>
      <c r="M91" s="55" t="s">
        <v>138</v>
      </c>
      <c r="N91" s="55" t="s">
        <v>138</v>
      </c>
      <c r="O91" s="55" t="s">
        <v>183</v>
      </c>
      <c r="P91" s="55" t="s">
        <v>576</v>
      </c>
      <c r="Q91" s="55" t="s">
        <v>350</v>
      </c>
      <c r="R91" s="85">
        <v>4</v>
      </c>
      <c r="S91" s="55">
        <v>0</v>
      </c>
      <c r="T91" s="74" t="s">
        <v>577</v>
      </c>
      <c r="U91" s="74" t="s">
        <v>351</v>
      </c>
      <c r="V91" s="74">
        <v>44488</v>
      </c>
      <c r="W91" s="74">
        <v>44522</v>
      </c>
      <c r="X91" s="55">
        <v>10185912</v>
      </c>
      <c r="Y91" s="55" t="s">
        <v>132</v>
      </c>
      <c r="AB91" s="74" t="s">
        <v>132</v>
      </c>
      <c r="AC91" s="55" t="s">
        <v>132</v>
      </c>
      <c r="AL91" s="74"/>
      <c r="AM91" s="74"/>
      <c r="AW91" s="74"/>
      <c r="AX91" s="74"/>
    </row>
    <row r="92" spans="1:50" ht="13" x14ac:dyDescent="0.15">
      <c r="A92" s="55" t="str">
        <f>HYPERLINK("http://reports.ofsted.gov.uk/inspection-reports/find-inspection-report/provider/CARE/1226757","Ofsted Social Care Provider Webpage")</f>
        <v>Ofsted Social Care Provider Webpage</v>
      </c>
      <c r="B92" s="55">
        <v>1226757</v>
      </c>
      <c r="D92" s="55" t="s">
        <v>373</v>
      </c>
      <c r="E92" s="74">
        <v>42446</v>
      </c>
      <c r="F92" s="55" t="s">
        <v>344</v>
      </c>
      <c r="G92" s="55" t="s">
        <v>360</v>
      </c>
      <c r="H92" s="55" t="s">
        <v>360</v>
      </c>
      <c r="I92" s="55" t="s">
        <v>360</v>
      </c>
      <c r="J92" s="55" t="s">
        <v>360</v>
      </c>
      <c r="K92" s="55" t="s">
        <v>360</v>
      </c>
      <c r="L92" s="55" t="s">
        <v>360</v>
      </c>
      <c r="M92" s="55" t="s">
        <v>138</v>
      </c>
      <c r="N92" s="55" t="s">
        <v>138</v>
      </c>
      <c r="O92" s="55" t="s">
        <v>273</v>
      </c>
      <c r="P92" s="55" t="s">
        <v>584</v>
      </c>
      <c r="Q92" s="55" t="s">
        <v>350</v>
      </c>
      <c r="R92" s="85">
        <v>3</v>
      </c>
      <c r="S92" s="55">
        <v>0</v>
      </c>
      <c r="T92" s="74" t="s">
        <v>585</v>
      </c>
      <c r="U92" s="74" t="s">
        <v>351</v>
      </c>
      <c r="V92" s="74">
        <v>44538</v>
      </c>
      <c r="W92" s="74">
        <v>44589</v>
      </c>
      <c r="X92" s="55">
        <v>10186821</v>
      </c>
      <c r="Y92" s="55" t="s">
        <v>132</v>
      </c>
      <c r="AB92" s="74" t="s">
        <v>132</v>
      </c>
      <c r="AC92" s="55" t="s">
        <v>132</v>
      </c>
      <c r="AL92" s="74"/>
      <c r="AM92" s="74"/>
      <c r="AW92" s="74"/>
      <c r="AX92" s="74"/>
    </row>
    <row r="93" spans="1:50" ht="13" x14ac:dyDescent="0.15">
      <c r="A93" s="55" t="str">
        <f>HYPERLINK("http://reports.ofsted.gov.uk/inspection-reports/find-inspection-report/provider/CARE/1226971","Ofsted Social Care Provider Webpage")</f>
        <v>Ofsted Social Care Provider Webpage</v>
      </c>
      <c r="B93" s="55">
        <v>1226971</v>
      </c>
      <c r="D93" s="55" t="s">
        <v>479</v>
      </c>
      <c r="E93" s="74">
        <v>42466</v>
      </c>
      <c r="F93" s="55" t="s">
        <v>344</v>
      </c>
      <c r="G93" s="55" t="s">
        <v>360</v>
      </c>
      <c r="H93" s="55" t="s">
        <v>360</v>
      </c>
      <c r="I93" s="55" t="s">
        <v>360</v>
      </c>
      <c r="J93" s="55" t="s">
        <v>360</v>
      </c>
      <c r="K93" s="55" t="s">
        <v>360</v>
      </c>
      <c r="L93" s="55" t="s">
        <v>360</v>
      </c>
      <c r="M93" s="55" t="s">
        <v>136</v>
      </c>
      <c r="N93" s="55" t="s">
        <v>136</v>
      </c>
      <c r="O93" s="55" t="s">
        <v>256</v>
      </c>
      <c r="P93" s="55" t="s">
        <v>590</v>
      </c>
      <c r="Q93" s="55" t="s">
        <v>362</v>
      </c>
      <c r="R93" s="85">
        <v>12</v>
      </c>
      <c r="S93" s="55">
        <v>0</v>
      </c>
      <c r="T93" s="74" t="s">
        <v>591</v>
      </c>
      <c r="U93" s="74" t="s">
        <v>351</v>
      </c>
      <c r="V93" s="74">
        <v>44448</v>
      </c>
      <c r="W93" s="74">
        <v>44480</v>
      </c>
      <c r="X93" s="55">
        <v>10186939</v>
      </c>
      <c r="Y93" s="55" t="s">
        <v>132</v>
      </c>
      <c r="AB93" s="74" t="s">
        <v>132</v>
      </c>
      <c r="AC93" s="55" t="s">
        <v>132</v>
      </c>
      <c r="AL93" s="74"/>
      <c r="AM93" s="74"/>
      <c r="AW93" s="74"/>
      <c r="AX93" s="74"/>
    </row>
    <row r="94" spans="1:50" ht="13" x14ac:dyDescent="0.15">
      <c r="A94" s="55" t="str">
        <f>HYPERLINK("http://reports.ofsted.gov.uk/inspection-reports/find-inspection-report/provider/CARE/1226975","Ofsted Social Care Provider Webpage")</f>
        <v>Ofsted Social Care Provider Webpage</v>
      </c>
      <c r="B94" s="55">
        <v>1226975</v>
      </c>
      <c r="D94" s="55" t="s">
        <v>373</v>
      </c>
      <c r="E94" s="74">
        <v>42397</v>
      </c>
      <c r="F94" s="55" t="s">
        <v>344</v>
      </c>
      <c r="G94" s="55" t="s">
        <v>360</v>
      </c>
      <c r="H94" s="55" t="s">
        <v>360</v>
      </c>
      <c r="I94" s="55" t="s">
        <v>360</v>
      </c>
      <c r="J94" s="55" t="s">
        <v>360</v>
      </c>
      <c r="K94" s="55" t="s">
        <v>360</v>
      </c>
      <c r="L94" s="55" t="s">
        <v>360</v>
      </c>
      <c r="M94" s="55" t="s">
        <v>172</v>
      </c>
      <c r="N94" s="55" t="s">
        <v>172</v>
      </c>
      <c r="O94" s="55" t="s">
        <v>212</v>
      </c>
      <c r="P94" s="55" t="s">
        <v>592</v>
      </c>
      <c r="Q94" s="55" t="s">
        <v>350</v>
      </c>
      <c r="R94" s="85">
        <v>3</v>
      </c>
      <c r="S94" s="55">
        <v>0</v>
      </c>
      <c r="T94" s="74" t="s">
        <v>489</v>
      </c>
      <c r="U94" s="74" t="s">
        <v>351</v>
      </c>
      <c r="V94" s="74">
        <v>44586</v>
      </c>
      <c r="W94" s="74">
        <v>44622</v>
      </c>
      <c r="X94" s="55">
        <v>10187142</v>
      </c>
      <c r="Y94" s="55" t="s">
        <v>132</v>
      </c>
      <c r="AB94" s="74" t="s">
        <v>132</v>
      </c>
      <c r="AC94" s="55" t="s">
        <v>132</v>
      </c>
      <c r="AL94" s="74"/>
      <c r="AM94" s="74"/>
      <c r="AW94" s="74"/>
      <c r="AX94" s="74"/>
    </row>
    <row r="95" spans="1:50" ht="13" x14ac:dyDescent="0.15">
      <c r="A95" s="55" t="str">
        <f>HYPERLINK("http://reports.ofsted.gov.uk/inspection-reports/find-inspection-report/provider/CARE/1226977","Ofsted Social Care Provider Webpage")</f>
        <v>Ofsted Social Care Provider Webpage</v>
      </c>
      <c r="B95" s="55">
        <v>1226977</v>
      </c>
      <c r="D95" s="55" t="s">
        <v>373</v>
      </c>
      <c r="E95" s="74">
        <v>42472</v>
      </c>
      <c r="F95" s="55" t="s">
        <v>344</v>
      </c>
      <c r="G95" s="55" t="s">
        <v>360</v>
      </c>
      <c r="H95" s="55" t="s">
        <v>360</v>
      </c>
      <c r="I95" s="55" t="s">
        <v>360</v>
      </c>
      <c r="J95" s="55" t="s">
        <v>360</v>
      </c>
      <c r="K95" s="55" t="s">
        <v>360</v>
      </c>
      <c r="L95" s="55" t="s">
        <v>360</v>
      </c>
      <c r="M95" s="55" t="s">
        <v>150</v>
      </c>
      <c r="N95" s="55" t="s">
        <v>150</v>
      </c>
      <c r="O95" s="55" t="s">
        <v>203</v>
      </c>
      <c r="P95" s="55" t="s">
        <v>593</v>
      </c>
      <c r="Q95" s="55" t="s">
        <v>350</v>
      </c>
      <c r="R95" s="85">
        <v>2</v>
      </c>
      <c r="S95" s="55">
        <v>0</v>
      </c>
      <c r="T95" s="74" t="s">
        <v>594</v>
      </c>
      <c r="U95" s="74" t="s">
        <v>351</v>
      </c>
      <c r="V95" s="74">
        <v>44453</v>
      </c>
      <c r="W95" s="74">
        <v>44503</v>
      </c>
      <c r="X95" s="55">
        <v>10185184</v>
      </c>
      <c r="Y95" s="55" t="s">
        <v>132</v>
      </c>
      <c r="AB95" s="74" t="s">
        <v>132</v>
      </c>
      <c r="AC95" s="55" t="s">
        <v>130</v>
      </c>
      <c r="AL95" s="74"/>
      <c r="AM95" s="74"/>
      <c r="AW95" s="74"/>
      <c r="AX95" s="74"/>
    </row>
    <row r="96" spans="1:50" ht="13" x14ac:dyDescent="0.15">
      <c r="A96" s="55" t="str">
        <f>HYPERLINK("http://reports.ofsted.gov.uk/inspection-reports/find-inspection-report/provider/CARE/1226978","Ofsted Social Care Provider Webpage")</f>
        <v>Ofsted Social Care Provider Webpage</v>
      </c>
      <c r="B96" s="55">
        <v>1226978</v>
      </c>
      <c r="D96" s="55" t="s">
        <v>373</v>
      </c>
      <c r="E96" s="74">
        <v>42516</v>
      </c>
      <c r="F96" s="55" t="s">
        <v>344</v>
      </c>
      <c r="G96" s="55" t="s">
        <v>360</v>
      </c>
      <c r="H96" s="55" t="s">
        <v>360</v>
      </c>
      <c r="I96" s="55" t="s">
        <v>360</v>
      </c>
      <c r="J96" s="55" t="s">
        <v>360</v>
      </c>
      <c r="K96" s="55" t="s">
        <v>360</v>
      </c>
      <c r="L96" s="55" t="s">
        <v>360</v>
      </c>
      <c r="M96" s="55" t="s">
        <v>378</v>
      </c>
      <c r="N96" s="55" t="s">
        <v>134</v>
      </c>
      <c r="O96" s="55" t="s">
        <v>232</v>
      </c>
      <c r="P96" s="55" t="s">
        <v>595</v>
      </c>
      <c r="Q96" s="55" t="s">
        <v>350</v>
      </c>
      <c r="R96" s="85">
        <v>2</v>
      </c>
      <c r="S96" s="55">
        <v>0</v>
      </c>
      <c r="T96" s="74" t="s">
        <v>385</v>
      </c>
      <c r="U96" s="74" t="s">
        <v>351</v>
      </c>
      <c r="V96" s="74">
        <v>44440</v>
      </c>
      <c r="W96" s="74">
        <v>44474</v>
      </c>
      <c r="X96" s="55">
        <v>10202608</v>
      </c>
      <c r="Y96" s="55" t="s">
        <v>132</v>
      </c>
      <c r="AB96" s="74" t="s">
        <v>132</v>
      </c>
      <c r="AC96" s="55" t="s">
        <v>132</v>
      </c>
      <c r="AL96" s="74"/>
      <c r="AM96" s="74"/>
      <c r="AW96" s="74"/>
      <c r="AX96" s="74"/>
    </row>
    <row r="97" spans="1:50" ht="13" x14ac:dyDescent="0.15">
      <c r="A97" s="55" t="str">
        <f>HYPERLINK("http://reports.ofsted.gov.uk/inspection-reports/find-inspection-report/provider/CARE/1226978","Ofsted Social Care Provider Webpage")</f>
        <v>Ofsted Social Care Provider Webpage</v>
      </c>
      <c r="B97" s="55">
        <v>1226978</v>
      </c>
      <c r="D97" s="55" t="s">
        <v>373</v>
      </c>
      <c r="E97" s="74">
        <v>42516</v>
      </c>
      <c r="F97" s="55" t="s">
        <v>344</v>
      </c>
      <c r="G97" s="55" t="s">
        <v>360</v>
      </c>
      <c r="H97" s="55" t="s">
        <v>360</v>
      </c>
      <c r="I97" s="55" t="s">
        <v>360</v>
      </c>
      <c r="J97" s="55" t="s">
        <v>360</v>
      </c>
      <c r="K97" s="55" t="s">
        <v>360</v>
      </c>
      <c r="L97" s="55" t="s">
        <v>360</v>
      </c>
      <c r="M97" s="55" t="s">
        <v>378</v>
      </c>
      <c r="N97" s="55" t="s">
        <v>134</v>
      </c>
      <c r="O97" s="55" t="s">
        <v>232</v>
      </c>
      <c r="P97" s="55" t="s">
        <v>595</v>
      </c>
      <c r="Q97" s="55" t="s">
        <v>350</v>
      </c>
      <c r="R97" s="85">
        <v>2</v>
      </c>
      <c r="S97" s="55">
        <v>0</v>
      </c>
      <c r="T97" s="74" t="s">
        <v>385</v>
      </c>
      <c r="U97" s="74" t="s">
        <v>351</v>
      </c>
      <c r="V97" s="74">
        <v>44391</v>
      </c>
      <c r="W97" s="74">
        <v>44426</v>
      </c>
      <c r="X97" s="55">
        <v>10186913</v>
      </c>
      <c r="Y97" s="55" t="s">
        <v>146</v>
      </c>
      <c r="AB97" s="74" t="s">
        <v>146</v>
      </c>
      <c r="AC97" s="55" t="s">
        <v>146</v>
      </c>
      <c r="AL97" s="74"/>
      <c r="AM97" s="74"/>
      <c r="AW97" s="74"/>
      <c r="AX97" s="74"/>
    </row>
    <row r="98" spans="1:50" ht="13" x14ac:dyDescent="0.15">
      <c r="A98" s="55" t="str">
        <f>HYPERLINK("http://reports.ofsted.gov.uk/inspection-reports/find-inspection-report/provider/CARE/1227060","Ofsted Social Care Provider Webpage")</f>
        <v>Ofsted Social Care Provider Webpage</v>
      </c>
      <c r="B98" s="55">
        <v>1227060</v>
      </c>
      <c r="D98" s="55" t="s">
        <v>479</v>
      </c>
      <c r="E98" s="74">
        <v>42347</v>
      </c>
      <c r="F98" s="55" t="s">
        <v>344</v>
      </c>
      <c r="G98" s="55" t="s">
        <v>360</v>
      </c>
      <c r="H98" s="55" t="s">
        <v>360</v>
      </c>
      <c r="I98" s="55" t="s">
        <v>360</v>
      </c>
      <c r="J98" s="55" t="s">
        <v>360</v>
      </c>
      <c r="K98" s="55" t="s">
        <v>360</v>
      </c>
      <c r="L98" s="55" t="s">
        <v>360</v>
      </c>
      <c r="M98" s="55" t="s">
        <v>378</v>
      </c>
      <c r="N98" s="55" t="s">
        <v>134</v>
      </c>
      <c r="O98" s="55" t="s">
        <v>232</v>
      </c>
      <c r="P98" s="55" t="s">
        <v>496</v>
      </c>
      <c r="Q98" s="55" t="s">
        <v>350</v>
      </c>
      <c r="R98" s="85">
        <v>6</v>
      </c>
      <c r="S98" s="55">
        <v>0</v>
      </c>
      <c r="T98" s="74" t="s">
        <v>596</v>
      </c>
      <c r="U98" s="74" t="s">
        <v>351</v>
      </c>
      <c r="V98" s="74">
        <v>44600</v>
      </c>
      <c r="W98" s="74">
        <v>44652</v>
      </c>
      <c r="X98" s="55">
        <v>10185396</v>
      </c>
      <c r="Y98" s="55" t="s">
        <v>130</v>
      </c>
      <c r="AB98" s="74" t="s">
        <v>130</v>
      </c>
      <c r="AC98" s="55" t="s">
        <v>130</v>
      </c>
      <c r="AL98" s="74"/>
      <c r="AM98" s="74"/>
    </row>
    <row r="99" spans="1:50" ht="13" x14ac:dyDescent="0.15">
      <c r="A99" s="55" t="str">
        <f>HYPERLINK("http://reports.ofsted.gov.uk/inspection-reports/find-inspection-report/provider/CARE/1227060","Ofsted Social Care Provider Webpage")</f>
        <v>Ofsted Social Care Provider Webpage</v>
      </c>
      <c r="B99" s="55">
        <v>1227060</v>
      </c>
      <c r="D99" s="55" t="s">
        <v>479</v>
      </c>
      <c r="E99" s="74">
        <v>42347</v>
      </c>
      <c r="F99" s="55" t="s">
        <v>344</v>
      </c>
      <c r="G99" s="55" t="s">
        <v>360</v>
      </c>
      <c r="H99" s="55" t="s">
        <v>360</v>
      </c>
      <c r="I99" s="55" t="s">
        <v>360</v>
      </c>
      <c r="J99" s="55" t="s">
        <v>360</v>
      </c>
      <c r="K99" s="55" t="s">
        <v>360</v>
      </c>
      <c r="L99" s="55" t="s">
        <v>360</v>
      </c>
      <c r="M99" s="55" t="s">
        <v>378</v>
      </c>
      <c r="N99" s="55" t="s">
        <v>134</v>
      </c>
      <c r="O99" s="55" t="s">
        <v>232</v>
      </c>
      <c r="P99" s="55" t="s">
        <v>496</v>
      </c>
      <c r="Q99" s="55" t="s">
        <v>350</v>
      </c>
      <c r="R99" s="85">
        <v>6</v>
      </c>
      <c r="S99" s="55">
        <v>0</v>
      </c>
      <c r="T99" s="74" t="s">
        <v>596</v>
      </c>
      <c r="U99" s="74" t="s">
        <v>2053</v>
      </c>
      <c r="V99" s="74">
        <v>44369</v>
      </c>
      <c r="W99" s="74">
        <v>44398</v>
      </c>
      <c r="X99" s="55">
        <v>10198574</v>
      </c>
      <c r="AL99" s="74"/>
      <c r="AM99" s="74"/>
      <c r="AW99" s="74"/>
      <c r="AX99" s="74"/>
    </row>
    <row r="100" spans="1:50" ht="13" x14ac:dyDescent="0.15">
      <c r="A100" s="55" t="str">
        <f>HYPERLINK("http://reports.ofsted.gov.uk/inspection-reports/find-inspection-report/provider/CARE/1227060","Ofsted Social Care Provider Webpage")</f>
        <v>Ofsted Social Care Provider Webpage</v>
      </c>
      <c r="B100" s="55">
        <v>1227060</v>
      </c>
      <c r="D100" s="55" t="s">
        <v>479</v>
      </c>
      <c r="E100" s="74">
        <v>42347</v>
      </c>
      <c r="F100" s="55" t="s">
        <v>344</v>
      </c>
      <c r="G100" s="55" t="s">
        <v>360</v>
      </c>
      <c r="H100" s="55" t="s">
        <v>360</v>
      </c>
      <c r="I100" s="55" t="s">
        <v>360</v>
      </c>
      <c r="J100" s="55" t="s">
        <v>360</v>
      </c>
      <c r="K100" s="55" t="s">
        <v>360</v>
      </c>
      <c r="L100" s="55" t="s">
        <v>360</v>
      </c>
      <c r="M100" s="55" t="s">
        <v>378</v>
      </c>
      <c r="N100" s="55" t="s">
        <v>134</v>
      </c>
      <c r="O100" s="55" t="s">
        <v>232</v>
      </c>
      <c r="P100" s="55" t="s">
        <v>496</v>
      </c>
      <c r="Q100" s="55" t="s">
        <v>350</v>
      </c>
      <c r="R100" s="85">
        <v>6</v>
      </c>
      <c r="S100" s="55">
        <v>0</v>
      </c>
      <c r="T100" s="74" t="s">
        <v>596</v>
      </c>
      <c r="U100" s="74" t="s">
        <v>2053</v>
      </c>
      <c r="V100" s="74">
        <v>44329</v>
      </c>
      <c r="W100" s="74">
        <v>44383</v>
      </c>
      <c r="X100" s="55">
        <v>10191912</v>
      </c>
      <c r="AL100" s="74"/>
      <c r="AM100" s="74"/>
    </row>
    <row r="101" spans="1:50" ht="13" x14ac:dyDescent="0.15">
      <c r="A101" s="55" t="str">
        <f>HYPERLINK("http://reports.ofsted.gov.uk/inspection-reports/find-inspection-report/provider/CARE/1227060","Ofsted Social Care Provider Webpage")</f>
        <v>Ofsted Social Care Provider Webpage</v>
      </c>
      <c r="B101" s="55">
        <v>1227060</v>
      </c>
      <c r="D101" s="55" t="s">
        <v>479</v>
      </c>
      <c r="E101" s="74">
        <v>42347</v>
      </c>
      <c r="F101" s="55" t="s">
        <v>344</v>
      </c>
      <c r="G101" s="55" t="s">
        <v>360</v>
      </c>
      <c r="H101" s="55" t="s">
        <v>360</v>
      </c>
      <c r="I101" s="55" t="s">
        <v>360</v>
      </c>
      <c r="J101" s="55" t="s">
        <v>360</v>
      </c>
      <c r="K101" s="55" t="s">
        <v>360</v>
      </c>
      <c r="L101" s="55" t="s">
        <v>360</v>
      </c>
      <c r="M101" s="55" t="s">
        <v>378</v>
      </c>
      <c r="N101" s="55" t="s">
        <v>134</v>
      </c>
      <c r="O101" s="55" t="s">
        <v>232</v>
      </c>
      <c r="P101" s="55" t="s">
        <v>496</v>
      </c>
      <c r="Q101" s="55" t="s">
        <v>350</v>
      </c>
      <c r="R101" s="85">
        <v>6</v>
      </c>
      <c r="S101" s="55">
        <v>0</v>
      </c>
      <c r="T101" s="74" t="s">
        <v>596</v>
      </c>
      <c r="U101" s="74" t="s">
        <v>2053</v>
      </c>
      <c r="V101" s="74">
        <v>44411</v>
      </c>
      <c r="W101" s="74">
        <v>44440</v>
      </c>
      <c r="X101" s="55">
        <v>10198852</v>
      </c>
      <c r="AL101" s="74"/>
      <c r="AM101" s="74"/>
      <c r="AW101" s="74"/>
      <c r="AX101" s="74"/>
    </row>
    <row r="102" spans="1:50" ht="13" x14ac:dyDescent="0.15">
      <c r="A102" s="55" t="str">
        <f>HYPERLINK("http://reports.ofsted.gov.uk/inspection-reports/find-inspection-report/provider/CARE/1227060","Ofsted Social Care Provider Webpage")</f>
        <v>Ofsted Social Care Provider Webpage</v>
      </c>
      <c r="B102" s="55">
        <v>1227060</v>
      </c>
      <c r="D102" s="55" t="s">
        <v>479</v>
      </c>
      <c r="E102" s="74">
        <v>42347</v>
      </c>
      <c r="F102" s="55" t="s">
        <v>344</v>
      </c>
      <c r="G102" s="55" t="s">
        <v>360</v>
      </c>
      <c r="H102" s="55" t="s">
        <v>360</v>
      </c>
      <c r="I102" s="55" t="s">
        <v>360</v>
      </c>
      <c r="J102" s="55" t="s">
        <v>360</v>
      </c>
      <c r="K102" s="55" t="s">
        <v>360</v>
      </c>
      <c r="L102" s="55" t="s">
        <v>360</v>
      </c>
      <c r="M102" s="55" t="s">
        <v>378</v>
      </c>
      <c r="N102" s="55" t="s">
        <v>134</v>
      </c>
      <c r="O102" s="55" t="s">
        <v>232</v>
      </c>
      <c r="P102" s="55" t="s">
        <v>496</v>
      </c>
      <c r="Q102" s="55" t="s">
        <v>350</v>
      </c>
      <c r="R102" s="85">
        <v>6</v>
      </c>
      <c r="S102" s="55">
        <v>0</v>
      </c>
      <c r="T102" s="74" t="s">
        <v>596</v>
      </c>
      <c r="U102" s="74" t="s">
        <v>2053</v>
      </c>
      <c r="V102" s="74">
        <v>44448</v>
      </c>
      <c r="W102" s="74">
        <v>44495</v>
      </c>
      <c r="X102" s="55">
        <v>10204389</v>
      </c>
      <c r="AL102" s="74"/>
      <c r="AM102" s="74"/>
      <c r="AW102" s="74"/>
      <c r="AX102" s="74"/>
    </row>
    <row r="103" spans="1:50" ht="13" x14ac:dyDescent="0.15">
      <c r="A103" s="55" t="str">
        <f>HYPERLINK("http://reports.ofsted.gov.uk/inspection-reports/find-inspection-report/provider/CARE/1227596","Ofsted Social Care Provider Webpage")</f>
        <v>Ofsted Social Care Provider Webpage</v>
      </c>
      <c r="B103" s="55">
        <v>1227596</v>
      </c>
      <c r="D103" s="55" t="s">
        <v>373</v>
      </c>
      <c r="E103" s="74">
        <v>42423</v>
      </c>
      <c r="F103" s="55" t="s">
        <v>344</v>
      </c>
      <c r="G103" s="55" t="s">
        <v>360</v>
      </c>
      <c r="H103" s="55" t="s">
        <v>360</v>
      </c>
      <c r="I103" s="55" t="s">
        <v>360</v>
      </c>
      <c r="J103" s="55" t="s">
        <v>360</v>
      </c>
      <c r="K103" s="55" t="s">
        <v>360</v>
      </c>
      <c r="L103" s="55" t="s">
        <v>360</v>
      </c>
      <c r="M103" s="55" t="s">
        <v>142</v>
      </c>
      <c r="N103" s="55" t="s">
        <v>142</v>
      </c>
      <c r="O103" s="55" t="s">
        <v>262</v>
      </c>
      <c r="P103" s="55" t="s">
        <v>523</v>
      </c>
      <c r="Q103" s="55" t="s">
        <v>350</v>
      </c>
      <c r="R103" s="85">
        <v>3</v>
      </c>
      <c r="S103" s="55">
        <v>0</v>
      </c>
      <c r="T103" s="74" t="s">
        <v>504</v>
      </c>
      <c r="U103" s="74" t="s">
        <v>351</v>
      </c>
      <c r="V103" s="74">
        <v>44621</v>
      </c>
      <c r="W103" s="74">
        <v>44665</v>
      </c>
      <c r="X103" s="55">
        <v>10186873</v>
      </c>
      <c r="Y103" s="55" t="s">
        <v>132</v>
      </c>
      <c r="AB103" s="74" t="s">
        <v>132</v>
      </c>
      <c r="AC103" s="55" t="s">
        <v>132</v>
      </c>
      <c r="AL103" s="74"/>
      <c r="AM103" s="74"/>
    </row>
    <row r="104" spans="1:50" ht="13" x14ac:dyDescent="0.15">
      <c r="A104" s="55" t="str">
        <f>HYPERLINK("http://reports.ofsted.gov.uk/inspection-reports/find-inspection-report/provider/CARE/1227599","Ofsted Social Care Provider Webpage")</f>
        <v>Ofsted Social Care Provider Webpage</v>
      </c>
      <c r="B104" s="55">
        <v>1227599</v>
      </c>
      <c r="D104" s="55" t="s">
        <v>451</v>
      </c>
      <c r="E104" s="74">
        <v>42535</v>
      </c>
      <c r="F104" s="55" t="s">
        <v>344</v>
      </c>
      <c r="G104" s="55" t="s">
        <v>599</v>
      </c>
      <c r="H104" s="55" t="s">
        <v>600</v>
      </c>
      <c r="I104" s="55" t="s">
        <v>601</v>
      </c>
      <c r="J104" s="55" t="s">
        <v>290</v>
      </c>
      <c r="L104" s="55" t="s">
        <v>602</v>
      </c>
      <c r="M104" s="55" t="s">
        <v>144</v>
      </c>
      <c r="N104" s="55" t="s">
        <v>144</v>
      </c>
      <c r="O104" s="55" t="s">
        <v>290</v>
      </c>
      <c r="P104" s="55" t="s">
        <v>603</v>
      </c>
      <c r="Q104" s="55" t="s">
        <v>350</v>
      </c>
      <c r="R104" s="85">
        <v>4</v>
      </c>
      <c r="S104" s="55">
        <v>0</v>
      </c>
      <c r="T104" s="74" t="s">
        <v>599</v>
      </c>
      <c r="U104" s="74" t="s">
        <v>351</v>
      </c>
      <c r="V104" s="74">
        <v>44496</v>
      </c>
      <c r="W104" s="74">
        <v>44546</v>
      </c>
      <c r="X104" s="55">
        <v>10213235</v>
      </c>
      <c r="Y104" s="55" t="s">
        <v>132</v>
      </c>
      <c r="AB104" s="74" t="s">
        <v>132</v>
      </c>
      <c r="AC104" s="55" t="s">
        <v>132</v>
      </c>
      <c r="AL104" s="74"/>
      <c r="AM104" s="74"/>
      <c r="AW104" s="74"/>
      <c r="AX104" s="74"/>
    </row>
    <row r="105" spans="1:50" ht="13" x14ac:dyDescent="0.15">
      <c r="A105" s="55" t="str">
        <f>HYPERLINK("http://reports.ofsted.gov.uk/inspection-reports/find-inspection-report/provider/CARE/1227788","Ofsted Social Care Provider Webpage")</f>
        <v>Ofsted Social Care Provider Webpage</v>
      </c>
      <c r="B105" s="55">
        <v>1227788</v>
      </c>
      <c r="D105" s="55" t="s">
        <v>373</v>
      </c>
      <c r="E105" s="74">
        <v>42426</v>
      </c>
      <c r="F105" s="55" t="s">
        <v>344</v>
      </c>
      <c r="G105" s="55" t="s">
        <v>360</v>
      </c>
      <c r="H105" s="55" t="s">
        <v>360</v>
      </c>
      <c r="I105" s="55" t="s">
        <v>360</v>
      </c>
      <c r="J105" s="55" t="s">
        <v>360</v>
      </c>
      <c r="K105" s="55" t="s">
        <v>360</v>
      </c>
      <c r="L105" s="55" t="s">
        <v>360</v>
      </c>
      <c r="M105" s="55" t="s">
        <v>136</v>
      </c>
      <c r="N105" s="55" t="s">
        <v>136</v>
      </c>
      <c r="O105" s="55" t="s">
        <v>255</v>
      </c>
      <c r="P105" s="55" t="s">
        <v>609</v>
      </c>
      <c r="Q105" s="55" t="s">
        <v>350</v>
      </c>
      <c r="R105" s="85">
        <v>2</v>
      </c>
      <c r="S105" s="55">
        <v>0</v>
      </c>
      <c r="T105" s="74" t="s">
        <v>610</v>
      </c>
      <c r="U105" s="74" t="s">
        <v>351</v>
      </c>
      <c r="V105" s="74">
        <v>44544</v>
      </c>
      <c r="W105" s="74">
        <v>44589</v>
      </c>
      <c r="X105" s="55">
        <v>10187196</v>
      </c>
      <c r="Y105" s="55" t="s">
        <v>132</v>
      </c>
      <c r="AB105" s="74" t="s">
        <v>132</v>
      </c>
      <c r="AC105" s="55" t="s">
        <v>132</v>
      </c>
      <c r="AL105" s="74"/>
      <c r="AM105" s="74"/>
      <c r="AW105" s="74"/>
      <c r="AX105" s="74"/>
    </row>
    <row r="106" spans="1:50" ht="13" x14ac:dyDescent="0.15">
      <c r="A106" s="55" t="str">
        <f>HYPERLINK("http://reports.ofsted.gov.uk/inspection-reports/find-inspection-report/provider/CARE/1227869","Ofsted Social Care Provider Webpage")</f>
        <v>Ofsted Social Care Provider Webpage</v>
      </c>
      <c r="B106" s="55">
        <v>1227869</v>
      </c>
      <c r="D106" s="55" t="s">
        <v>373</v>
      </c>
      <c r="E106" s="74">
        <v>42660</v>
      </c>
      <c r="F106" s="55" t="s">
        <v>344</v>
      </c>
      <c r="G106" s="55" t="s">
        <v>360</v>
      </c>
      <c r="H106" s="55" t="s">
        <v>360</v>
      </c>
      <c r="I106" s="55" t="s">
        <v>360</v>
      </c>
      <c r="J106" s="55" t="s">
        <v>360</v>
      </c>
      <c r="K106" s="55" t="s">
        <v>360</v>
      </c>
      <c r="L106" s="55" t="s">
        <v>360</v>
      </c>
      <c r="M106" s="55" t="s">
        <v>142</v>
      </c>
      <c r="N106" s="55" t="s">
        <v>142</v>
      </c>
      <c r="O106" s="55" t="s">
        <v>278</v>
      </c>
      <c r="P106" s="55" t="s">
        <v>611</v>
      </c>
      <c r="Q106" s="55" t="s">
        <v>350</v>
      </c>
      <c r="R106" s="85">
        <v>5</v>
      </c>
      <c r="S106" s="55">
        <v>0</v>
      </c>
      <c r="T106" s="74" t="s">
        <v>574</v>
      </c>
      <c r="U106" s="74" t="s">
        <v>351</v>
      </c>
      <c r="V106" s="74">
        <v>44600</v>
      </c>
      <c r="W106" s="74">
        <v>44644</v>
      </c>
      <c r="X106" s="55">
        <v>10187249</v>
      </c>
      <c r="Y106" s="55" t="s">
        <v>132</v>
      </c>
      <c r="AB106" s="74" t="s">
        <v>132</v>
      </c>
      <c r="AC106" s="55" t="s">
        <v>132</v>
      </c>
      <c r="AL106" s="74"/>
      <c r="AM106" s="74"/>
      <c r="AW106" s="74"/>
      <c r="AX106" s="74"/>
    </row>
    <row r="107" spans="1:50" ht="13" x14ac:dyDescent="0.15">
      <c r="A107" s="55" t="str">
        <f>HYPERLINK("http://reports.ofsted.gov.uk/inspection-reports/find-inspection-report/provider/CARE/1228090","Ofsted Social Care Provider Webpage")</f>
        <v>Ofsted Social Care Provider Webpage</v>
      </c>
      <c r="B107" s="55">
        <v>1228090</v>
      </c>
      <c r="D107" s="55" t="s">
        <v>373</v>
      </c>
      <c r="E107" s="74">
        <v>42487</v>
      </c>
      <c r="F107" s="55" t="s">
        <v>344</v>
      </c>
      <c r="G107" s="55" t="s">
        <v>360</v>
      </c>
      <c r="H107" s="55" t="s">
        <v>360</v>
      </c>
      <c r="I107" s="55" t="s">
        <v>360</v>
      </c>
      <c r="J107" s="55" t="s">
        <v>360</v>
      </c>
      <c r="K107" s="55" t="s">
        <v>360</v>
      </c>
      <c r="L107" s="55" t="s">
        <v>360</v>
      </c>
      <c r="M107" s="55" t="s">
        <v>142</v>
      </c>
      <c r="N107" s="55" t="s">
        <v>142</v>
      </c>
      <c r="O107" s="55" t="s">
        <v>141</v>
      </c>
      <c r="P107" s="55" t="s">
        <v>612</v>
      </c>
      <c r="Q107" s="55" t="s">
        <v>350</v>
      </c>
      <c r="R107" s="85">
        <v>4</v>
      </c>
      <c r="S107" s="55">
        <v>0</v>
      </c>
      <c r="T107" s="74" t="s">
        <v>613</v>
      </c>
      <c r="U107" s="74" t="s">
        <v>351</v>
      </c>
      <c r="V107" s="74">
        <v>44509</v>
      </c>
      <c r="W107" s="74">
        <v>44550</v>
      </c>
      <c r="X107" s="55">
        <v>10186328</v>
      </c>
      <c r="Y107" s="55" t="s">
        <v>132</v>
      </c>
      <c r="AB107" s="74" t="s">
        <v>132</v>
      </c>
      <c r="AC107" s="55" t="s">
        <v>132</v>
      </c>
      <c r="AL107" s="74"/>
      <c r="AM107" s="74"/>
      <c r="AW107" s="74"/>
      <c r="AX107" s="74"/>
    </row>
    <row r="108" spans="1:50" ht="13" x14ac:dyDescent="0.15">
      <c r="A108" s="55" t="str">
        <f>HYPERLINK("http://reports.ofsted.gov.uk/inspection-reports/find-inspection-report/provider/CARE/1228091","Ofsted Social Care Provider Webpage")</f>
        <v>Ofsted Social Care Provider Webpage</v>
      </c>
      <c r="B108" s="55">
        <v>1228091</v>
      </c>
      <c r="D108" s="55" t="s">
        <v>373</v>
      </c>
      <c r="E108" s="74">
        <v>42548</v>
      </c>
      <c r="F108" s="55" t="s">
        <v>344</v>
      </c>
      <c r="G108" s="55" t="s">
        <v>360</v>
      </c>
      <c r="H108" s="55" t="s">
        <v>360</v>
      </c>
      <c r="I108" s="55" t="s">
        <v>360</v>
      </c>
      <c r="J108" s="55" t="s">
        <v>360</v>
      </c>
      <c r="K108" s="55" t="s">
        <v>360</v>
      </c>
      <c r="L108" s="55" t="s">
        <v>360</v>
      </c>
      <c r="M108" s="55" t="s">
        <v>144</v>
      </c>
      <c r="N108" s="55" t="s">
        <v>144</v>
      </c>
      <c r="O108" s="55" t="s">
        <v>163</v>
      </c>
      <c r="P108" s="55" t="s">
        <v>614</v>
      </c>
      <c r="Q108" s="55" t="s">
        <v>350</v>
      </c>
      <c r="R108" s="85">
        <v>3</v>
      </c>
      <c r="S108" s="55">
        <v>0</v>
      </c>
      <c r="T108" s="74" t="s">
        <v>615</v>
      </c>
      <c r="U108" s="74" t="s">
        <v>351</v>
      </c>
      <c r="V108" s="74">
        <v>44315</v>
      </c>
      <c r="W108" s="74">
        <v>44342</v>
      </c>
      <c r="X108" s="55">
        <v>10185735</v>
      </c>
      <c r="Y108" s="55" t="s">
        <v>132</v>
      </c>
      <c r="AB108" s="74" t="s">
        <v>132</v>
      </c>
      <c r="AC108" s="55" t="s">
        <v>132</v>
      </c>
      <c r="AL108" s="74"/>
      <c r="AM108" s="74"/>
      <c r="AW108" s="74"/>
      <c r="AX108" s="74"/>
    </row>
    <row r="109" spans="1:50" ht="13" x14ac:dyDescent="0.15">
      <c r="A109" s="55" t="str">
        <f>HYPERLINK("http://reports.ofsted.gov.uk/inspection-reports/find-inspection-report/provider/CARE/1228092","Ofsted Social Care Provider Webpage")</f>
        <v>Ofsted Social Care Provider Webpage</v>
      </c>
      <c r="B109" s="55">
        <v>1228092</v>
      </c>
      <c r="D109" s="55" t="s">
        <v>373</v>
      </c>
      <c r="E109" s="74">
        <v>42480</v>
      </c>
      <c r="F109" s="55" t="s">
        <v>344</v>
      </c>
      <c r="G109" s="55" t="s">
        <v>360</v>
      </c>
      <c r="H109" s="55" t="s">
        <v>360</v>
      </c>
      <c r="I109" s="55" t="s">
        <v>360</v>
      </c>
      <c r="J109" s="55" t="s">
        <v>360</v>
      </c>
      <c r="K109" s="55" t="s">
        <v>360</v>
      </c>
      <c r="L109" s="55" t="s">
        <v>360</v>
      </c>
      <c r="M109" s="55" t="s">
        <v>138</v>
      </c>
      <c r="N109" s="55" t="s">
        <v>138</v>
      </c>
      <c r="O109" s="55" t="s">
        <v>183</v>
      </c>
      <c r="P109" s="55" t="s">
        <v>616</v>
      </c>
      <c r="Q109" s="55" t="s">
        <v>350</v>
      </c>
      <c r="R109" s="85">
        <v>4</v>
      </c>
      <c r="S109" s="55">
        <v>0</v>
      </c>
      <c r="T109" s="74" t="s">
        <v>617</v>
      </c>
      <c r="U109" s="74" t="s">
        <v>2053</v>
      </c>
      <c r="V109" s="74">
        <v>44321</v>
      </c>
      <c r="W109" s="74">
        <v>44348</v>
      </c>
      <c r="X109" s="55">
        <v>10192097</v>
      </c>
      <c r="AL109" s="74"/>
      <c r="AM109" s="74"/>
    </row>
    <row r="110" spans="1:50" ht="13" x14ac:dyDescent="0.15">
      <c r="A110" s="55" t="str">
        <f>HYPERLINK("http://reports.ofsted.gov.uk/inspection-reports/find-inspection-report/provider/CARE/1228092","Ofsted Social Care Provider Webpage")</f>
        <v>Ofsted Social Care Provider Webpage</v>
      </c>
      <c r="B110" s="55">
        <v>1228092</v>
      </c>
      <c r="D110" s="55" t="s">
        <v>373</v>
      </c>
      <c r="E110" s="74">
        <v>42480</v>
      </c>
      <c r="F110" s="55" t="s">
        <v>344</v>
      </c>
      <c r="G110" s="55" t="s">
        <v>360</v>
      </c>
      <c r="H110" s="55" t="s">
        <v>360</v>
      </c>
      <c r="I110" s="55" t="s">
        <v>360</v>
      </c>
      <c r="J110" s="55" t="s">
        <v>360</v>
      </c>
      <c r="K110" s="55" t="s">
        <v>360</v>
      </c>
      <c r="L110" s="55" t="s">
        <v>360</v>
      </c>
      <c r="M110" s="55" t="s">
        <v>138</v>
      </c>
      <c r="N110" s="55" t="s">
        <v>138</v>
      </c>
      <c r="O110" s="55" t="s">
        <v>183</v>
      </c>
      <c r="P110" s="55" t="s">
        <v>616</v>
      </c>
      <c r="Q110" s="55" t="s">
        <v>350</v>
      </c>
      <c r="R110" s="85">
        <v>4</v>
      </c>
      <c r="S110" s="55">
        <v>0</v>
      </c>
      <c r="T110" s="74" t="s">
        <v>617</v>
      </c>
      <c r="U110" s="74" t="s">
        <v>2053</v>
      </c>
      <c r="V110" s="74">
        <v>44287</v>
      </c>
      <c r="W110" s="74">
        <v>44313</v>
      </c>
      <c r="X110" s="55">
        <v>10188972</v>
      </c>
      <c r="AL110" s="74"/>
      <c r="AM110" s="74"/>
      <c r="AW110" s="74"/>
      <c r="AX110" s="74"/>
    </row>
    <row r="111" spans="1:50" ht="13" x14ac:dyDescent="0.15">
      <c r="A111" s="55" t="str">
        <f>HYPERLINK("http://reports.ofsted.gov.uk/inspection-reports/find-inspection-report/provider/CARE/1228092","Ofsted Social Care Provider Webpage")</f>
        <v>Ofsted Social Care Provider Webpage</v>
      </c>
      <c r="B111" s="55">
        <v>1228092</v>
      </c>
      <c r="D111" s="55" t="s">
        <v>373</v>
      </c>
      <c r="E111" s="74">
        <v>42480</v>
      </c>
      <c r="F111" s="55" t="s">
        <v>344</v>
      </c>
      <c r="G111" s="55" t="s">
        <v>360</v>
      </c>
      <c r="H111" s="55" t="s">
        <v>360</v>
      </c>
      <c r="I111" s="55" t="s">
        <v>360</v>
      </c>
      <c r="J111" s="55" t="s">
        <v>360</v>
      </c>
      <c r="K111" s="55" t="s">
        <v>360</v>
      </c>
      <c r="L111" s="55" t="s">
        <v>360</v>
      </c>
      <c r="M111" s="55" t="s">
        <v>138</v>
      </c>
      <c r="N111" s="55" t="s">
        <v>138</v>
      </c>
      <c r="O111" s="55" t="s">
        <v>183</v>
      </c>
      <c r="P111" s="55" t="s">
        <v>616</v>
      </c>
      <c r="Q111" s="55" t="s">
        <v>350</v>
      </c>
      <c r="R111" s="85">
        <v>4</v>
      </c>
      <c r="S111" s="55">
        <v>0</v>
      </c>
      <c r="T111" s="74" t="s">
        <v>617</v>
      </c>
      <c r="U111" s="74" t="s">
        <v>2053</v>
      </c>
      <c r="V111" s="74">
        <v>44532</v>
      </c>
      <c r="W111" s="74">
        <v>44565</v>
      </c>
      <c r="X111" s="55">
        <v>10216244</v>
      </c>
      <c r="AL111" s="74"/>
      <c r="AM111" s="74"/>
      <c r="AW111" s="74"/>
      <c r="AX111" s="74"/>
    </row>
    <row r="112" spans="1:50" ht="13" x14ac:dyDescent="0.15">
      <c r="A112" s="55" t="str">
        <f>HYPERLINK("http://reports.ofsted.gov.uk/inspection-reports/find-inspection-report/provider/CARE/1228191","Ofsted Social Care Provider Webpage")</f>
        <v>Ofsted Social Care Provider Webpage</v>
      </c>
      <c r="B112" s="55">
        <v>1228191</v>
      </c>
      <c r="D112" s="55" t="s">
        <v>373</v>
      </c>
      <c r="E112" s="74">
        <v>42489</v>
      </c>
      <c r="F112" s="55" t="s">
        <v>344</v>
      </c>
      <c r="G112" s="55" t="s">
        <v>360</v>
      </c>
      <c r="H112" s="55" t="s">
        <v>360</v>
      </c>
      <c r="I112" s="55" t="s">
        <v>360</v>
      </c>
      <c r="J112" s="55" t="s">
        <v>360</v>
      </c>
      <c r="K112" s="55" t="s">
        <v>360</v>
      </c>
      <c r="L112" s="55" t="s">
        <v>360</v>
      </c>
      <c r="M112" s="55" t="s">
        <v>142</v>
      </c>
      <c r="N112" s="55" t="s">
        <v>142</v>
      </c>
      <c r="O112" s="55" t="s">
        <v>262</v>
      </c>
      <c r="P112" s="55" t="s">
        <v>618</v>
      </c>
      <c r="Q112" s="55" t="s">
        <v>350</v>
      </c>
      <c r="R112" s="85">
        <v>2</v>
      </c>
      <c r="S112" s="55">
        <v>0</v>
      </c>
      <c r="T112" s="74" t="s">
        <v>619</v>
      </c>
      <c r="U112" s="74" t="s">
        <v>351</v>
      </c>
      <c r="V112" s="74">
        <v>44424</v>
      </c>
      <c r="W112" s="74">
        <v>44456</v>
      </c>
      <c r="X112" s="55">
        <v>10185170</v>
      </c>
      <c r="Y112" s="55" t="s">
        <v>140</v>
      </c>
      <c r="AB112" s="74" t="s">
        <v>140</v>
      </c>
      <c r="AC112" s="55" t="s">
        <v>140</v>
      </c>
      <c r="AL112" s="74"/>
      <c r="AM112" s="74"/>
      <c r="AW112" s="74"/>
      <c r="AX112" s="74"/>
    </row>
    <row r="113" spans="1:50" ht="13" x14ac:dyDescent="0.15">
      <c r="A113" s="55" t="str">
        <f>HYPERLINK("http://reports.ofsted.gov.uk/inspection-reports/find-inspection-report/provider/CARE/1228523","Ofsted Social Care Provider Webpage")</f>
        <v>Ofsted Social Care Provider Webpage</v>
      </c>
      <c r="B113" s="55">
        <v>1228523</v>
      </c>
      <c r="D113" s="55" t="s">
        <v>389</v>
      </c>
      <c r="E113" s="74">
        <v>42528</v>
      </c>
      <c r="F113" s="55" t="s">
        <v>344</v>
      </c>
      <c r="G113" s="55" t="s">
        <v>620</v>
      </c>
      <c r="H113" s="55" t="s">
        <v>621</v>
      </c>
      <c r="I113" s="55" t="s">
        <v>622</v>
      </c>
      <c r="J113" s="55" t="s">
        <v>210</v>
      </c>
      <c r="L113" s="55" t="s">
        <v>623</v>
      </c>
      <c r="M113" s="55" t="s">
        <v>378</v>
      </c>
      <c r="N113" s="55" t="s">
        <v>134</v>
      </c>
      <c r="O113" s="55" t="s">
        <v>210</v>
      </c>
      <c r="P113" s="55" t="s">
        <v>624</v>
      </c>
      <c r="Q113" s="55" t="s">
        <v>350</v>
      </c>
      <c r="S113" s="55">
        <v>0</v>
      </c>
      <c r="T113" s="74" t="s">
        <v>625</v>
      </c>
      <c r="U113" s="74" t="s">
        <v>351</v>
      </c>
      <c r="V113" s="74">
        <v>44501</v>
      </c>
      <c r="W113" s="74">
        <v>44566</v>
      </c>
      <c r="X113" s="55">
        <v>10183374</v>
      </c>
      <c r="Y113" s="55" t="s">
        <v>132</v>
      </c>
      <c r="AB113" s="74" t="s">
        <v>132</v>
      </c>
      <c r="AC113" s="55" t="s">
        <v>132</v>
      </c>
      <c r="AL113" s="74"/>
      <c r="AM113" s="74"/>
      <c r="AW113" s="74"/>
      <c r="AX113" s="74"/>
    </row>
    <row r="114" spans="1:50" ht="13" x14ac:dyDescent="0.15">
      <c r="A114" s="55" t="str">
        <f>HYPERLINK("http://reports.ofsted.gov.uk/inspection-reports/find-inspection-report/provider/CARE/1229229","Ofsted Social Care Provider Webpage")</f>
        <v>Ofsted Social Care Provider Webpage</v>
      </c>
      <c r="B114" s="55">
        <v>1229229</v>
      </c>
      <c r="D114" s="55" t="s">
        <v>373</v>
      </c>
      <c r="E114" s="74">
        <v>42461</v>
      </c>
      <c r="F114" s="55" t="s">
        <v>344</v>
      </c>
      <c r="G114" s="55" t="s">
        <v>360</v>
      </c>
      <c r="H114" s="55" t="s">
        <v>360</v>
      </c>
      <c r="I114" s="55" t="s">
        <v>360</v>
      </c>
      <c r="J114" s="55" t="s">
        <v>360</v>
      </c>
      <c r="K114" s="55" t="s">
        <v>360</v>
      </c>
      <c r="L114" s="55" t="s">
        <v>360</v>
      </c>
      <c r="M114" s="55" t="s">
        <v>172</v>
      </c>
      <c r="N114" s="55" t="s">
        <v>172</v>
      </c>
      <c r="O114" s="55" t="s">
        <v>235</v>
      </c>
      <c r="P114" s="55" t="s">
        <v>628</v>
      </c>
      <c r="Q114" s="55" t="s">
        <v>350</v>
      </c>
      <c r="R114" s="85">
        <v>2</v>
      </c>
      <c r="S114" s="55">
        <v>0</v>
      </c>
      <c r="T114" s="74" t="s">
        <v>517</v>
      </c>
      <c r="U114" s="74" t="s">
        <v>351</v>
      </c>
      <c r="V114" s="74">
        <v>44468</v>
      </c>
      <c r="W114" s="74">
        <v>44495</v>
      </c>
      <c r="X114" s="55">
        <v>10185969</v>
      </c>
      <c r="Y114" s="55" t="s">
        <v>132</v>
      </c>
      <c r="AB114" s="74" t="s">
        <v>132</v>
      </c>
      <c r="AC114" s="55" t="s">
        <v>132</v>
      </c>
      <c r="AL114" s="74"/>
      <c r="AM114" s="74"/>
    </row>
    <row r="115" spans="1:50" ht="13" x14ac:dyDescent="0.15">
      <c r="A115" s="55" t="str">
        <f>HYPERLINK("http://reports.ofsted.gov.uk/inspection-reports/find-inspection-report/provider/CARE/1229417","Ofsted Social Care Provider Webpage")</f>
        <v>Ofsted Social Care Provider Webpage</v>
      </c>
      <c r="B115" s="55">
        <v>1229417</v>
      </c>
      <c r="D115" s="55" t="s">
        <v>373</v>
      </c>
      <c r="E115" s="74">
        <v>42465</v>
      </c>
      <c r="F115" s="55" t="s">
        <v>344</v>
      </c>
      <c r="G115" s="55" t="s">
        <v>360</v>
      </c>
      <c r="H115" s="55" t="s">
        <v>360</v>
      </c>
      <c r="I115" s="55" t="s">
        <v>360</v>
      </c>
      <c r="J115" s="55" t="s">
        <v>360</v>
      </c>
      <c r="K115" s="55" t="s">
        <v>360</v>
      </c>
      <c r="L115" s="55" t="s">
        <v>360</v>
      </c>
      <c r="M115" s="55" t="s">
        <v>378</v>
      </c>
      <c r="N115" s="55" t="s">
        <v>170</v>
      </c>
      <c r="O115" s="55" t="s">
        <v>220</v>
      </c>
      <c r="P115" s="55" t="s">
        <v>220</v>
      </c>
      <c r="Q115" s="55" t="s">
        <v>350</v>
      </c>
      <c r="R115" s="85">
        <v>1</v>
      </c>
      <c r="S115" s="55">
        <v>0</v>
      </c>
      <c r="T115" s="74" t="s">
        <v>385</v>
      </c>
      <c r="U115" s="74" t="s">
        <v>351</v>
      </c>
      <c r="V115" s="74">
        <v>44320</v>
      </c>
      <c r="W115" s="74">
        <v>44358</v>
      </c>
      <c r="X115" s="55">
        <v>10185128</v>
      </c>
      <c r="Y115" s="55" t="s">
        <v>130</v>
      </c>
      <c r="AB115" s="74" t="s">
        <v>130</v>
      </c>
      <c r="AC115" s="55" t="s">
        <v>146</v>
      </c>
      <c r="AL115" s="74"/>
      <c r="AM115" s="74"/>
      <c r="AW115" s="74"/>
      <c r="AX115" s="74"/>
    </row>
    <row r="116" spans="1:50" ht="13" x14ac:dyDescent="0.15">
      <c r="A116" s="55" t="str">
        <f>HYPERLINK("http://reports.ofsted.gov.uk/inspection-reports/find-inspection-report/provider/CARE/1229417","Ofsted Social Care Provider Webpage")</f>
        <v>Ofsted Social Care Provider Webpage</v>
      </c>
      <c r="B116" s="55">
        <v>1229417</v>
      </c>
      <c r="D116" s="55" t="s">
        <v>373</v>
      </c>
      <c r="E116" s="74">
        <v>42465</v>
      </c>
      <c r="F116" s="55" t="s">
        <v>344</v>
      </c>
      <c r="G116" s="55" t="s">
        <v>360</v>
      </c>
      <c r="H116" s="55" t="s">
        <v>360</v>
      </c>
      <c r="I116" s="55" t="s">
        <v>360</v>
      </c>
      <c r="J116" s="55" t="s">
        <v>360</v>
      </c>
      <c r="K116" s="55" t="s">
        <v>360</v>
      </c>
      <c r="L116" s="55" t="s">
        <v>360</v>
      </c>
      <c r="M116" s="55" t="s">
        <v>378</v>
      </c>
      <c r="N116" s="55" t="s">
        <v>170</v>
      </c>
      <c r="O116" s="55" t="s">
        <v>220</v>
      </c>
      <c r="P116" s="55" t="s">
        <v>220</v>
      </c>
      <c r="Q116" s="55" t="s">
        <v>350</v>
      </c>
      <c r="R116" s="85">
        <v>1</v>
      </c>
      <c r="S116" s="55">
        <v>0</v>
      </c>
      <c r="T116" s="74" t="s">
        <v>385</v>
      </c>
      <c r="U116" s="74" t="s">
        <v>6703</v>
      </c>
      <c r="V116" s="74">
        <v>44622</v>
      </c>
      <c r="W116" s="74">
        <v>44663</v>
      </c>
      <c r="X116" s="55">
        <v>10212774</v>
      </c>
      <c r="Y116" s="55" t="s">
        <v>6706</v>
      </c>
      <c r="AL116" s="74"/>
      <c r="AM116" s="74"/>
    </row>
    <row r="117" spans="1:50" ht="13" x14ac:dyDescent="0.15">
      <c r="A117" s="55" t="str">
        <f>HYPERLINK("http://reports.ofsted.gov.uk/inspection-reports/find-inspection-report/provider/CARE/1229534","Ofsted Social Care Provider Webpage")</f>
        <v>Ofsted Social Care Provider Webpage</v>
      </c>
      <c r="B117" s="55">
        <v>1229534</v>
      </c>
      <c r="D117" s="55" t="s">
        <v>373</v>
      </c>
      <c r="E117" s="74">
        <v>42487</v>
      </c>
      <c r="F117" s="55" t="s">
        <v>344</v>
      </c>
      <c r="G117" s="55" t="s">
        <v>360</v>
      </c>
      <c r="H117" s="55" t="s">
        <v>360</v>
      </c>
      <c r="I117" s="55" t="s">
        <v>360</v>
      </c>
      <c r="J117" s="55" t="s">
        <v>360</v>
      </c>
      <c r="K117" s="55" t="s">
        <v>360</v>
      </c>
      <c r="L117" s="55" t="s">
        <v>360</v>
      </c>
      <c r="M117" s="55" t="s">
        <v>144</v>
      </c>
      <c r="N117" s="55" t="s">
        <v>144</v>
      </c>
      <c r="O117" s="55" t="s">
        <v>209</v>
      </c>
      <c r="P117" s="55" t="s">
        <v>629</v>
      </c>
      <c r="Q117" s="55" t="s">
        <v>350</v>
      </c>
      <c r="R117" s="85">
        <v>8</v>
      </c>
      <c r="S117" s="55">
        <v>0</v>
      </c>
      <c r="T117" s="74" t="s">
        <v>630</v>
      </c>
      <c r="U117" s="74" t="s">
        <v>351</v>
      </c>
      <c r="V117" s="74">
        <v>44299</v>
      </c>
      <c r="W117" s="74">
        <v>44348</v>
      </c>
      <c r="X117" s="55">
        <v>10186616</v>
      </c>
      <c r="Y117" s="55" t="s">
        <v>130</v>
      </c>
      <c r="AB117" s="74" t="s">
        <v>130</v>
      </c>
      <c r="AC117" s="55" t="s">
        <v>130</v>
      </c>
      <c r="AL117" s="74"/>
      <c r="AM117" s="74"/>
      <c r="AW117" s="74"/>
      <c r="AX117" s="74"/>
    </row>
    <row r="118" spans="1:50" ht="13" x14ac:dyDescent="0.15">
      <c r="A118" s="55" t="str">
        <f>HYPERLINK("http://reports.ofsted.gov.uk/inspection-reports/find-inspection-report/provider/CARE/1229762","Ofsted Social Care Provider Webpage")</f>
        <v>Ofsted Social Care Provider Webpage</v>
      </c>
      <c r="B118" s="55">
        <v>1229762</v>
      </c>
      <c r="D118" s="55" t="s">
        <v>373</v>
      </c>
      <c r="E118" s="74">
        <v>42429</v>
      </c>
      <c r="F118" s="55" t="s">
        <v>344</v>
      </c>
      <c r="G118" s="55" t="s">
        <v>360</v>
      </c>
      <c r="H118" s="55" t="s">
        <v>360</v>
      </c>
      <c r="I118" s="55" t="s">
        <v>360</v>
      </c>
      <c r="J118" s="55" t="s">
        <v>360</v>
      </c>
      <c r="K118" s="55" t="s">
        <v>360</v>
      </c>
      <c r="L118" s="55" t="s">
        <v>360</v>
      </c>
      <c r="M118" s="55" t="s">
        <v>172</v>
      </c>
      <c r="N118" s="55" t="s">
        <v>172</v>
      </c>
      <c r="O118" s="55" t="s">
        <v>212</v>
      </c>
      <c r="P118" s="55" t="s">
        <v>547</v>
      </c>
      <c r="Q118" s="55" t="s">
        <v>350</v>
      </c>
      <c r="R118" s="85">
        <v>3</v>
      </c>
      <c r="S118" s="55">
        <v>0</v>
      </c>
      <c r="T118" s="74" t="s">
        <v>489</v>
      </c>
      <c r="U118" s="74" t="s">
        <v>351</v>
      </c>
      <c r="V118" s="74">
        <v>44376</v>
      </c>
      <c r="W118" s="74">
        <v>44407</v>
      </c>
      <c r="X118" s="55">
        <v>10186413</v>
      </c>
      <c r="Y118" s="55" t="s">
        <v>132</v>
      </c>
      <c r="AB118" s="74" t="s">
        <v>132</v>
      </c>
      <c r="AC118" s="55" t="s">
        <v>132</v>
      </c>
      <c r="AL118" s="74"/>
      <c r="AM118" s="74"/>
      <c r="AW118" s="74"/>
      <c r="AX118" s="74"/>
    </row>
    <row r="119" spans="1:50" ht="13" x14ac:dyDescent="0.15">
      <c r="A119" s="55" t="str">
        <f>HYPERLINK("http://reports.ofsted.gov.uk/inspection-reports/find-inspection-report/provider/CARE/1229766","Ofsted Social Care Provider Webpage")</f>
        <v>Ofsted Social Care Provider Webpage</v>
      </c>
      <c r="B119" s="55">
        <v>1229766</v>
      </c>
      <c r="D119" s="55" t="s">
        <v>479</v>
      </c>
      <c r="E119" s="74">
        <v>42383</v>
      </c>
      <c r="F119" s="55" t="s">
        <v>344</v>
      </c>
      <c r="G119" s="55" t="s">
        <v>360</v>
      </c>
      <c r="H119" s="55" t="s">
        <v>360</v>
      </c>
      <c r="I119" s="55" t="s">
        <v>360</v>
      </c>
      <c r="J119" s="55" t="s">
        <v>360</v>
      </c>
      <c r="K119" s="55" t="s">
        <v>360</v>
      </c>
      <c r="L119" s="55" t="s">
        <v>360</v>
      </c>
      <c r="M119" s="55" t="s">
        <v>138</v>
      </c>
      <c r="N119" s="55" t="s">
        <v>138</v>
      </c>
      <c r="O119" s="55" t="s">
        <v>159</v>
      </c>
      <c r="P119" s="55" t="s">
        <v>633</v>
      </c>
      <c r="Q119" s="55" t="s">
        <v>350</v>
      </c>
      <c r="R119" s="85">
        <v>29</v>
      </c>
      <c r="S119" s="55">
        <v>0</v>
      </c>
      <c r="T119" s="74" t="s">
        <v>634</v>
      </c>
      <c r="U119" s="74" t="s">
        <v>351</v>
      </c>
      <c r="V119" s="74">
        <v>44320</v>
      </c>
      <c r="W119" s="74">
        <v>44343</v>
      </c>
      <c r="X119" s="55">
        <v>10185176</v>
      </c>
      <c r="Y119" s="55" t="s">
        <v>132</v>
      </c>
      <c r="AB119" s="74" t="s">
        <v>132</v>
      </c>
      <c r="AC119" s="55" t="s">
        <v>132</v>
      </c>
      <c r="AL119" s="74"/>
      <c r="AM119" s="74"/>
    </row>
    <row r="120" spans="1:50" ht="13" x14ac:dyDescent="0.15">
      <c r="A120" s="55" t="str">
        <f>HYPERLINK("http://reports.ofsted.gov.uk/inspection-reports/find-inspection-report/provider/CARE/1229766","Ofsted Social Care Provider Webpage")</f>
        <v>Ofsted Social Care Provider Webpage</v>
      </c>
      <c r="B120" s="55">
        <v>1229766</v>
      </c>
      <c r="D120" s="55" t="s">
        <v>479</v>
      </c>
      <c r="E120" s="74">
        <v>42383</v>
      </c>
      <c r="F120" s="55" t="s">
        <v>344</v>
      </c>
      <c r="G120" s="55" t="s">
        <v>360</v>
      </c>
      <c r="H120" s="55" t="s">
        <v>360</v>
      </c>
      <c r="I120" s="55" t="s">
        <v>360</v>
      </c>
      <c r="J120" s="55" t="s">
        <v>360</v>
      </c>
      <c r="K120" s="55" t="s">
        <v>360</v>
      </c>
      <c r="L120" s="55" t="s">
        <v>360</v>
      </c>
      <c r="M120" s="55" t="s">
        <v>138</v>
      </c>
      <c r="N120" s="55" t="s">
        <v>138</v>
      </c>
      <c r="O120" s="55" t="s">
        <v>159</v>
      </c>
      <c r="P120" s="55" t="s">
        <v>633</v>
      </c>
      <c r="Q120" s="55" t="s">
        <v>350</v>
      </c>
      <c r="R120" s="85">
        <v>29</v>
      </c>
      <c r="S120" s="55">
        <v>0</v>
      </c>
      <c r="T120" s="74" t="s">
        <v>634</v>
      </c>
      <c r="U120" s="74" t="s">
        <v>6703</v>
      </c>
      <c r="V120" s="74">
        <v>44517</v>
      </c>
      <c r="W120" s="74">
        <v>44544</v>
      </c>
      <c r="X120" s="55">
        <v>10213842</v>
      </c>
      <c r="Y120" s="55" t="s">
        <v>6706</v>
      </c>
      <c r="AL120" s="74"/>
      <c r="AM120" s="74"/>
    </row>
    <row r="121" spans="1:50" ht="13" x14ac:dyDescent="0.15">
      <c r="A121" s="55" t="str">
        <f>HYPERLINK("http://reports.ofsted.gov.uk/inspection-reports/find-inspection-report/provider/CARE/1229977","Ofsted Social Care Provider Webpage")</f>
        <v>Ofsted Social Care Provider Webpage</v>
      </c>
      <c r="B121" s="55">
        <v>1229977</v>
      </c>
      <c r="D121" s="55" t="s">
        <v>373</v>
      </c>
      <c r="E121" s="74">
        <v>42618</v>
      </c>
      <c r="F121" s="55" t="s">
        <v>344</v>
      </c>
      <c r="G121" s="55" t="s">
        <v>360</v>
      </c>
      <c r="H121" s="55" t="s">
        <v>360</v>
      </c>
      <c r="I121" s="55" t="s">
        <v>360</v>
      </c>
      <c r="J121" s="55" t="s">
        <v>360</v>
      </c>
      <c r="K121" s="55" t="s">
        <v>360</v>
      </c>
      <c r="L121" s="55" t="s">
        <v>360</v>
      </c>
      <c r="M121" s="55" t="s">
        <v>150</v>
      </c>
      <c r="N121" s="55" t="s">
        <v>150</v>
      </c>
      <c r="O121" s="55" t="s">
        <v>237</v>
      </c>
      <c r="P121" s="55" t="s">
        <v>635</v>
      </c>
      <c r="Q121" s="55" t="s">
        <v>380</v>
      </c>
      <c r="R121" s="85">
        <v>6</v>
      </c>
      <c r="S121" s="55">
        <v>0</v>
      </c>
      <c r="T121" s="74" t="s">
        <v>636</v>
      </c>
      <c r="U121" s="74" t="s">
        <v>351</v>
      </c>
      <c r="V121" s="74">
        <v>44566</v>
      </c>
      <c r="W121" s="74">
        <v>44617</v>
      </c>
      <c r="X121" s="55">
        <v>10185840</v>
      </c>
      <c r="Y121" s="55" t="s">
        <v>132</v>
      </c>
      <c r="AB121" s="74" t="s">
        <v>132</v>
      </c>
      <c r="AC121" s="55" t="s">
        <v>132</v>
      </c>
      <c r="AL121" s="74"/>
      <c r="AM121" s="74"/>
    </row>
    <row r="122" spans="1:50" ht="13" x14ac:dyDescent="0.15">
      <c r="A122" s="55" t="str">
        <f>HYPERLINK("http://reports.ofsted.gov.uk/inspection-reports/find-inspection-report/provider/CARE/1230268","Ofsted Social Care Provider Webpage")</f>
        <v>Ofsted Social Care Provider Webpage</v>
      </c>
      <c r="B122" s="55">
        <v>1230268</v>
      </c>
      <c r="D122" s="55" t="s">
        <v>373</v>
      </c>
      <c r="E122" s="74">
        <v>42495</v>
      </c>
      <c r="F122" s="55" t="s">
        <v>344</v>
      </c>
      <c r="G122" s="55" t="s">
        <v>360</v>
      </c>
      <c r="H122" s="55" t="s">
        <v>360</v>
      </c>
      <c r="I122" s="55" t="s">
        <v>360</v>
      </c>
      <c r="J122" s="55" t="s">
        <v>360</v>
      </c>
      <c r="K122" s="55" t="s">
        <v>360</v>
      </c>
      <c r="L122" s="55" t="s">
        <v>360</v>
      </c>
      <c r="M122" s="55" t="s">
        <v>138</v>
      </c>
      <c r="N122" s="55" t="s">
        <v>138</v>
      </c>
      <c r="O122" s="55" t="s">
        <v>259</v>
      </c>
      <c r="P122" s="55" t="s">
        <v>637</v>
      </c>
      <c r="Q122" s="55" t="s">
        <v>350</v>
      </c>
      <c r="R122" s="85">
        <v>5</v>
      </c>
      <c r="S122" s="55">
        <v>0</v>
      </c>
      <c r="T122" s="74" t="s">
        <v>638</v>
      </c>
      <c r="U122" s="74" t="s">
        <v>351</v>
      </c>
      <c r="V122" s="74">
        <v>44481</v>
      </c>
      <c r="W122" s="74">
        <v>44518</v>
      </c>
      <c r="X122" s="55">
        <v>10185356</v>
      </c>
      <c r="Y122" s="55" t="s">
        <v>132</v>
      </c>
      <c r="AB122" s="74" t="s">
        <v>132</v>
      </c>
      <c r="AC122" s="55" t="s">
        <v>132</v>
      </c>
      <c r="AL122" s="74"/>
      <c r="AM122" s="74"/>
      <c r="AW122" s="74"/>
      <c r="AX122" s="74"/>
    </row>
    <row r="123" spans="1:50" ht="13" x14ac:dyDescent="0.15">
      <c r="A123" s="55" t="str">
        <f>HYPERLINK("http://reports.ofsted.gov.uk/inspection-reports/find-inspection-report/provider/CARE/1230411","Ofsted Social Care Provider Webpage")</f>
        <v>Ofsted Social Care Provider Webpage</v>
      </c>
      <c r="B123" s="55">
        <v>1230411</v>
      </c>
      <c r="D123" s="55" t="s">
        <v>373</v>
      </c>
      <c r="E123" s="74">
        <v>42486</v>
      </c>
      <c r="F123" s="55" t="s">
        <v>344</v>
      </c>
      <c r="G123" s="55" t="s">
        <v>360</v>
      </c>
      <c r="H123" s="55" t="s">
        <v>360</v>
      </c>
      <c r="I123" s="55" t="s">
        <v>360</v>
      </c>
      <c r="J123" s="55" t="s">
        <v>360</v>
      </c>
      <c r="K123" s="55" t="s">
        <v>360</v>
      </c>
      <c r="L123" s="55" t="s">
        <v>360</v>
      </c>
      <c r="M123" s="55" t="s">
        <v>150</v>
      </c>
      <c r="N123" s="55" t="s">
        <v>150</v>
      </c>
      <c r="O123" s="55" t="s">
        <v>268</v>
      </c>
      <c r="P123" s="55" t="s">
        <v>639</v>
      </c>
      <c r="Q123" s="55" t="s">
        <v>380</v>
      </c>
      <c r="R123" s="85">
        <v>2</v>
      </c>
      <c r="S123" s="55">
        <v>0</v>
      </c>
      <c r="T123" s="74" t="s">
        <v>640</v>
      </c>
      <c r="U123" s="74" t="s">
        <v>351</v>
      </c>
      <c r="V123" s="74">
        <v>44397</v>
      </c>
      <c r="W123" s="74">
        <v>44445</v>
      </c>
      <c r="X123" s="55">
        <v>10187122</v>
      </c>
      <c r="Y123" s="55" t="s">
        <v>132</v>
      </c>
      <c r="AB123" s="74" t="s">
        <v>132</v>
      </c>
      <c r="AC123" s="55" t="s">
        <v>132</v>
      </c>
      <c r="AL123" s="74"/>
      <c r="AM123" s="74"/>
      <c r="AW123" s="74"/>
      <c r="AX123" s="74"/>
    </row>
    <row r="124" spans="1:50" ht="13" x14ac:dyDescent="0.15">
      <c r="A124" s="55" t="str">
        <f>HYPERLINK("http://reports.ofsted.gov.uk/inspection-reports/find-inspection-report/provider/CARE/1230415","Ofsted Social Care Provider Webpage")</f>
        <v>Ofsted Social Care Provider Webpage</v>
      </c>
      <c r="B124" s="55">
        <v>1230415</v>
      </c>
      <c r="D124" s="55" t="s">
        <v>373</v>
      </c>
      <c r="E124" s="74">
        <v>42556</v>
      </c>
      <c r="F124" s="55" t="s">
        <v>344</v>
      </c>
      <c r="G124" s="55" t="s">
        <v>360</v>
      </c>
      <c r="H124" s="55" t="s">
        <v>360</v>
      </c>
      <c r="I124" s="55" t="s">
        <v>360</v>
      </c>
      <c r="J124" s="55" t="s">
        <v>360</v>
      </c>
      <c r="K124" s="55" t="s">
        <v>360</v>
      </c>
      <c r="L124" s="55" t="s">
        <v>360</v>
      </c>
      <c r="M124" s="55" t="s">
        <v>142</v>
      </c>
      <c r="N124" s="55" t="s">
        <v>142</v>
      </c>
      <c r="O124" s="55" t="s">
        <v>141</v>
      </c>
      <c r="P124" s="55" t="s">
        <v>641</v>
      </c>
      <c r="Q124" s="55" t="s">
        <v>350</v>
      </c>
      <c r="R124" s="85">
        <v>4</v>
      </c>
      <c r="S124" s="55">
        <v>0</v>
      </c>
      <c r="T124" s="74" t="s">
        <v>642</v>
      </c>
      <c r="U124" s="74" t="s">
        <v>351</v>
      </c>
      <c r="V124" s="74">
        <v>44517</v>
      </c>
      <c r="W124" s="74">
        <v>44566</v>
      </c>
      <c r="X124" s="55">
        <v>10185223</v>
      </c>
      <c r="Y124" s="55" t="s">
        <v>132</v>
      </c>
      <c r="AB124" s="74" t="s">
        <v>132</v>
      </c>
      <c r="AC124" s="55" t="s">
        <v>140</v>
      </c>
      <c r="AL124" s="74"/>
      <c r="AM124" s="74"/>
      <c r="AW124" s="74"/>
      <c r="AX124" s="74"/>
    </row>
    <row r="125" spans="1:50" ht="13" x14ac:dyDescent="0.15">
      <c r="A125" s="55" t="str">
        <f>HYPERLINK("http://reports.ofsted.gov.uk/inspection-reports/find-inspection-report/provider/CARE/1230416","Ofsted Social Care Provider Webpage")</f>
        <v>Ofsted Social Care Provider Webpage</v>
      </c>
      <c r="B125" s="55">
        <v>1230416</v>
      </c>
      <c r="D125" s="55" t="s">
        <v>373</v>
      </c>
      <c r="E125" s="74">
        <v>42499</v>
      </c>
      <c r="F125" s="55" t="s">
        <v>344</v>
      </c>
      <c r="G125" s="55" t="s">
        <v>360</v>
      </c>
      <c r="H125" s="55" t="s">
        <v>360</v>
      </c>
      <c r="I125" s="55" t="s">
        <v>360</v>
      </c>
      <c r="J125" s="55" t="s">
        <v>360</v>
      </c>
      <c r="K125" s="55" t="s">
        <v>360</v>
      </c>
      <c r="L125" s="55" t="s">
        <v>360</v>
      </c>
      <c r="M125" s="55" t="s">
        <v>138</v>
      </c>
      <c r="N125" s="55" t="s">
        <v>138</v>
      </c>
      <c r="O125" s="55" t="s">
        <v>137</v>
      </c>
      <c r="P125" s="55" t="s">
        <v>643</v>
      </c>
      <c r="Q125" s="55" t="s">
        <v>350</v>
      </c>
      <c r="R125" s="85">
        <v>4</v>
      </c>
      <c r="S125" s="55">
        <v>0</v>
      </c>
      <c r="T125" s="74" t="s">
        <v>385</v>
      </c>
      <c r="U125" s="74" t="s">
        <v>351</v>
      </c>
      <c r="V125" s="74">
        <v>44565</v>
      </c>
      <c r="W125" s="74">
        <v>44587</v>
      </c>
      <c r="X125" s="55">
        <v>10185649</v>
      </c>
      <c r="Y125" s="55" t="s">
        <v>132</v>
      </c>
      <c r="AB125" s="74" t="s">
        <v>132</v>
      </c>
      <c r="AC125" s="55" t="s">
        <v>140</v>
      </c>
      <c r="AL125" s="74"/>
      <c r="AM125" s="74"/>
      <c r="AW125" s="74"/>
      <c r="AX125" s="74"/>
    </row>
    <row r="126" spans="1:50" ht="13" x14ac:dyDescent="0.15">
      <c r="A126" s="55" t="str">
        <f>HYPERLINK("http://reports.ofsted.gov.uk/inspection-reports/find-inspection-report/provider/CARE/1230725","Ofsted Social Care Provider Webpage")</f>
        <v>Ofsted Social Care Provider Webpage</v>
      </c>
      <c r="B126" s="55">
        <v>1230725</v>
      </c>
      <c r="D126" s="55" t="s">
        <v>373</v>
      </c>
      <c r="E126" s="74">
        <v>42528</v>
      </c>
      <c r="F126" s="55" t="s">
        <v>344</v>
      </c>
      <c r="G126" s="55" t="s">
        <v>360</v>
      </c>
      <c r="H126" s="55" t="s">
        <v>360</v>
      </c>
      <c r="I126" s="55" t="s">
        <v>360</v>
      </c>
      <c r="J126" s="55" t="s">
        <v>360</v>
      </c>
      <c r="K126" s="55" t="s">
        <v>360</v>
      </c>
      <c r="L126" s="55" t="s">
        <v>360</v>
      </c>
      <c r="M126" s="55" t="s">
        <v>138</v>
      </c>
      <c r="N126" s="55" t="s">
        <v>138</v>
      </c>
      <c r="O126" s="55" t="s">
        <v>183</v>
      </c>
      <c r="P126" s="55" t="s">
        <v>510</v>
      </c>
      <c r="Q126" s="55" t="s">
        <v>350</v>
      </c>
      <c r="R126" s="85">
        <v>6</v>
      </c>
      <c r="S126" s="55">
        <v>0</v>
      </c>
      <c r="T126" s="74" t="s">
        <v>644</v>
      </c>
      <c r="U126" s="74" t="s">
        <v>351</v>
      </c>
      <c r="V126" s="74">
        <v>44447</v>
      </c>
      <c r="W126" s="74">
        <v>44475</v>
      </c>
      <c r="X126" s="55">
        <v>10185923</v>
      </c>
      <c r="Y126" s="55" t="s">
        <v>132</v>
      </c>
      <c r="AB126" s="74" t="s">
        <v>132</v>
      </c>
      <c r="AC126" s="55" t="s">
        <v>132</v>
      </c>
      <c r="AL126" s="74"/>
      <c r="AM126" s="74"/>
      <c r="AW126" s="74"/>
      <c r="AX126" s="74"/>
    </row>
    <row r="127" spans="1:50" ht="13" x14ac:dyDescent="0.15">
      <c r="A127" s="55" t="str">
        <f>HYPERLINK("http://reports.ofsted.gov.uk/inspection-reports/find-inspection-report/provider/CARE/1230838","Ofsted Social Care Provider Webpage")</f>
        <v>Ofsted Social Care Provider Webpage</v>
      </c>
      <c r="B127" s="55">
        <v>1230838</v>
      </c>
      <c r="D127" s="55" t="s">
        <v>389</v>
      </c>
      <c r="E127" s="74">
        <v>42604</v>
      </c>
      <c r="F127" s="55" t="s">
        <v>344</v>
      </c>
      <c r="G127" s="55" t="s">
        <v>645</v>
      </c>
      <c r="H127" s="55" t="s">
        <v>646</v>
      </c>
      <c r="I127" s="55" t="s">
        <v>647</v>
      </c>
      <c r="J127" s="55" t="s">
        <v>648</v>
      </c>
      <c r="K127" s="55" t="s">
        <v>209</v>
      </c>
      <c r="L127" s="55" t="s">
        <v>649</v>
      </c>
      <c r="M127" s="55" t="s">
        <v>144</v>
      </c>
      <c r="N127" s="55" t="s">
        <v>144</v>
      </c>
      <c r="O127" s="55" t="s">
        <v>209</v>
      </c>
      <c r="P127" s="55" t="s">
        <v>650</v>
      </c>
      <c r="Q127" s="55" t="s">
        <v>350</v>
      </c>
      <c r="S127" s="55">
        <v>0</v>
      </c>
      <c r="T127" s="74" t="s">
        <v>645</v>
      </c>
      <c r="U127" s="74" t="s">
        <v>351</v>
      </c>
      <c r="V127" s="74">
        <v>44431</v>
      </c>
      <c r="W127" s="74">
        <v>44473</v>
      </c>
      <c r="X127" s="55">
        <v>10183389</v>
      </c>
      <c r="Y127" s="55" t="s">
        <v>132</v>
      </c>
      <c r="AB127" s="74" t="s">
        <v>132</v>
      </c>
      <c r="AC127" s="55" t="s">
        <v>132</v>
      </c>
      <c r="AL127" s="74"/>
      <c r="AM127" s="74"/>
      <c r="AW127" s="74"/>
      <c r="AX127" s="74"/>
    </row>
    <row r="128" spans="1:50" ht="13" x14ac:dyDescent="0.15">
      <c r="A128" s="55" t="str">
        <f>HYPERLINK("http://reports.ofsted.gov.uk/inspection-reports/find-inspection-report/provider/CARE/1231067","Ofsted Social Care Provider Webpage")</f>
        <v>Ofsted Social Care Provider Webpage</v>
      </c>
      <c r="B128" s="55">
        <v>1231067</v>
      </c>
      <c r="D128" s="55" t="s">
        <v>373</v>
      </c>
      <c r="E128" s="74">
        <v>42437</v>
      </c>
      <c r="F128" s="55" t="s">
        <v>344</v>
      </c>
      <c r="G128" s="55" t="s">
        <v>360</v>
      </c>
      <c r="H128" s="55" t="s">
        <v>360</v>
      </c>
      <c r="I128" s="55" t="s">
        <v>360</v>
      </c>
      <c r="J128" s="55" t="s">
        <v>360</v>
      </c>
      <c r="K128" s="55" t="s">
        <v>360</v>
      </c>
      <c r="L128" s="55" t="s">
        <v>360</v>
      </c>
      <c r="M128" s="55" t="s">
        <v>136</v>
      </c>
      <c r="N128" s="55" t="s">
        <v>136</v>
      </c>
      <c r="O128" s="55" t="s">
        <v>174</v>
      </c>
      <c r="P128" s="55" t="s">
        <v>651</v>
      </c>
      <c r="Q128" s="55" t="s">
        <v>350</v>
      </c>
      <c r="R128" s="85">
        <v>1</v>
      </c>
      <c r="S128" s="55">
        <v>0</v>
      </c>
      <c r="T128" s="74" t="s">
        <v>652</v>
      </c>
      <c r="U128" s="74" t="s">
        <v>351</v>
      </c>
      <c r="V128" s="74">
        <v>44357</v>
      </c>
      <c r="W128" s="74">
        <v>44385</v>
      </c>
      <c r="X128" s="55">
        <v>10185481</v>
      </c>
      <c r="Y128" s="55" t="s">
        <v>132</v>
      </c>
      <c r="AB128" s="74" t="s">
        <v>132</v>
      </c>
      <c r="AC128" s="55" t="s">
        <v>130</v>
      </c>
      <c r="AL128" s="74"/>
      <c r="AM128" s="74"/>
      <c r="AW128" s="74"/>
      <c r="AX128" s="74"/>
    </row>
    <row r="129" spans="1:50" ht="13" x14ac:dyDescent="0.15">
      <c r="A129" s="55" t="str">
        <f>HYPERLINK("http://reports.ofsted.gov.uk/inspection-reports/find-inspection-report/provider/CARE/1231311","Ofsted Social Care Provider Webpage")</f>
        <v>Ofsted Social Care Provider Webpage</v>
      </c>
      <c r="B129" s="55">
        <v>1231311</v>
      </c>
      <c r="D129" s="55" t="s">
        <v>373</v>
      </c>
      <c r="E129" s="74">
        <v>42590</v>
      </c>
      <c r="F129" s="55" t="s">
        <v>344</v>
      </c>
      <c r="G129" s="55" t="s">
        <v>360</v>
      </c>
      <c r="H129" s="55" t="s">
        <v>360</v>
      </c>
      <c r="I129" s="55" t="s">
        <v>360</v>
      </c>
      <c r="J129" s="55" t="s">
        <v>360</v>
      </c>
      <c r="K129" s="55" t="s">
        <v>360</v>
      </c>
      <c r="L129" s="55" t="s">
        <v>360</v>
      </c>
      <c r="M129" s="55" t="s">
        <v>142</v>
      </c>
      <c r="N129" s="55" t="s">
        <v>142</v>
      </c>
      <c r="O129" s="55" t="s">
        <v>272</v>
      </c>
      <c r="P129" s="55" t="s">
        <v>653</v>
      </c>
      <c r="Q129" s="55" t="s">
        <v>350</v>
      </c>
      <c r="R129" s="85">
        <v>3</v>
      </c>
      <c r="S129" s="55">
        <v>0</v>
      </c>
      <c r="T129" s="74" t="s">
        <v>654</v>
      </c>
      <c r="U129" s="74" t="s">
        <v>6703</v>
      </c>
      <c r="V129" s="74">
        <v>44613</v>
      </c>
      <c r="W129" s="74">
        <v>44651</v>
      </c>
      <c r="X129" s="55">
        <v>10217213</v>
      </c>
      <c r="Y129" s="55" t="s">
        <v>6706</v>
      </c>
      <c r="AL129" s="74"/>
      <c r="AM129" s="74"/>
      <c r="AW129" s="74"/>
      <c r="AX129" s="74"/>
    </row>
    <row r="130" spans="1:50" ht="13" x14ac:dyDescent="0.15">
      <c r="A130" s="55" t="str">
        <f>HYPERLINK("http://reports.ofsted.gov.uk/inspection-reports/find-inspection-report/provider/CARE/1231311","Ofsted Social Care Provider Webpage")</f>
        <v>Ofsted Social Care Provider Webpage</v>
      </c>
      <c r="B130" s="55">
        <v>1231311</v>
      </c>
      <c r="D130" s="55" t="s">
        <v>373</v>
      </c>
      <c r="E130" s="74">
        <v>42590</v>
      </c>
      <c r="F130" s="55" t="s">
        <v>344</v>
      </c>
      <c r="G130" s="55" t="s">
        <v>360</v>
      </c>
      <c r="H130" s="55" t="s">
        <v>360</v>
      </c>
      <c r="I130" s="55" t="s">
        <v>360</v>
      </c>
      <c r="J130" s="55" t="s">
        <v>360</v>
      </c>
      <c r="K130" s="55" t="s">
        <v>360</v>
      </c>
      <c r="L130" s="55" t="s">
        <v>360</v>
      </c>
      <c r="M130" s="55" t="s">
        <v>142</v>
      </c>
      <c r="N130" s="55" t="s">
        <v>142</v>
      </c>
      <c r="O130" s="55" t="s">
        <v>272</v>
      </c>
      <c r="P130" s="55" t="s">
        <v>653</v>
      </c>
      <c r="Q130" s="55" t="s">
        <v>350</v>
      </c>
      <c r="R130" s="85">
        <v>3</v>
      </c>
      <c r="S130" s="55">
        <v>0</v>
      </c>
      <c r="T130" s="74" t="s">
        <v>654</v>
      </c>
      <c r="U130" s="74" t="s">
        <v>351</v>
      </c>
      <c r="V130" s="74">
        <v>44503</v>
      </c>
      <c r="W130" s="74">
        <v>44571</v>
      </c>
      <c r="X130" s="55">
        <v>10187237</v>
      </c>
      <c r="Y130" s="55" t="s">
        <v>130</v>
      </c>
      <c r="AB130" s="74" t="s">
        <v>130</v>
      </c>
      <c r="AC130" s="55" t="s">
        <v>130</v>
      </c>
      <c r="AL130" s="74"/>
      <c r="AM130" s="74"/>
    </row>
    <row r="131" spans="1:50" ht="13" x14ac:dyDescent="0.15">
      <c r="A131" s="55" t="str">
        <f>HYPERLINK("http://reports.ofsted.gov.uk/inspection-reports/find-inspection-report/provider/CARE/1231404","Ofsted Social Care Provider Webpage")</f>
        <v>Ofsted Social Care Provider Webpage</v>
      </c>
      <c r="B131" s="55">
        <v>1231404</v>
      </c>
      <c r="D131" s="55" t="s">
        <v>373</v>
      </c>
      <c r="E131" s="74">
        <v>42754</v>
      </c>
      <c r="F131" s="55" t="s">
        <v>344</v>
      </c>
      <c r="G131" s="55" t="s">
        <v>360</v>
      </c>
      <c r="H131" s="55" t="s">
        <v>360</v>
      </c>
      <c r="I131" s="55" t="s">
        <v>360</v>
      </c>
      <c r="J131" s="55" t="s">
        <v>360</v>
      </c>
      <c r="K131" s="55" t="s">
        <v>360</v>
      </c>
      <c r="L131" s="55" t="s">
        <v>360</v>
      </c>
      <c r="M131" s="55" t="s">
        <v>144</v>
      </c>
      <c r="N131" s="55" t="s">
        <v>144</v>
      </c>
      <c r="O131" s="55" t="s">
        <v>215</v>
      </c>
      <c r="P131" s="55" t="s">
        <v>655</v>
      </c>
      <c r="Q131" s="55" t="s">
        <v>350</v>
      </c>
      <c r="R131" s="85">
        <v>5</v>
      </c>
      <c r="S131" s="55">
        <v>0</v>
      </c>
      <c r="T131" s="74" t="s">
        <v>656</v>
      </c>
      <c r="U131" s="74" t="s">
        <v>351</v>
      </c>
      <c r="V131" s="74">
        <v>44572</v>
      </c>
      <c r="W131" s="74">
        <v>44602</v>
      </c>
      <c r="X131" s="55">
        <v>10186434</v>
      </c>
      <c r="Y131" s="55" t="s">
        <v>140</v>
      </c>
      <c r="AB131" s="74" t="s">
        <v>140</v>
      </c>
      <c r="AC131" s="55" t="s">
        <v>140</v>
      </c>
      <c r="AL131" s="74"/>
      <c r="AM131" s="74"/>
      <c r="AW131" s="74"/>
      <c r="AX131" s="74"/>
    </row>
    <row r="132" spans="1:50" ht="13" x14ac:dyDescent="0.15">
      <c r="A132" s="55" t="str">
        <f>HYPERLINK("http://reports.ofsted.gov.uk/inspection-reports/find-inspection-report/provider/CARE/1231405","Ofsted Social Care Provider Webpage")</f>
        <v>Ofsted Social Care Provider Webpage</v>
      </c>
      <c r="B132" s="55">
        <v>1231405</v>
      </c>
      <c r="D132" s="55" t="s">
        <v>373</v>
      </c>
      <c r="E132" s="74">
        <v>42404</v>
      </c>
      <c r="F132" s="55" t="s">
        <v>344</v>
      </c>
      <c r="G132" s="55" t="s">
        <v>360</v>
      </c>
      <c r="H132" s="55" t="s">
        <v>360</v>
      </c>
      <c r="I132" s="55" t="s">
        <v>360</v>
      </c>
      <c r="J132" s="55" t="s">
        <v>360</v>
      </c>
      <c r="K132" s="55" t="s">
        <v>360</v>
      </c>
      <c r="L132" s="55" t="s">
        <v>360</v>
      </c>
      <c r="M132" s="55" t="s">
        <v>144</v>
      </c>
      <c r="N132" s="55" t="s">
        <v>144</v>
      </c>
      <c r="O132" s="55" t="s">
        <v>209</v>
      </c>
      <c r="P132" s="55" t="s">
        <v>534</v>
      </c>
      <c r="Q132" s="55" t="s">
        <v>380</v>
      </c>
      <c r="R132" s="85">
        <v>6</v>
      </c>
      <c r="S132" s="55" t="s">
        <v>332</v>
      </c>
      <c r="T132" s="74" t="s">
        <v>657</v>
      </c>
      <c r="U132" s="74" t="s">
        <v>351</v>
      </c>
      <c r="V132" s="74">
        <v>44614</v>
      </c>
      <c r="W132" s="74">
        <v>44656</v>
      </c>
      <c r="X132" s="55">
        <v>10185680</v>
      </c>
      <c r="Y132" s="55" t="s">
        <v>132</v>
      </c>
      <c r="AB132" s="74" t="s">
        <v>132</v>
      </c>
      <c r="AC132" s="55" t="s">
        <v>132</v>
      </c>
      <c r="AL132" s="74"/>
      <c r="AM132" s="74"/>
      <c r="AW132" s="74"/>
      <c r="AX132" s="74"/>
    </row>
    <row r="133" spans="1:50" ht="13" x14ac:dyDescent="0.15">
      <c r="A133" s="55" t="str">
        <f>HYPERLINK("http://reports.ofsted.gov.uk/inspection-reports/find-inspection-report/provider/CARE/1231458","Ofsted Social Care Provider Webpage")</f>
        <v>Ofsted Social Care Provider Webpage</v>
      </c>
      <c r="B133" s="55">
        <v>1231458</v>
      </c>
      <c r="D133" s="55" t="s">
        <v>373</v>
      </c>
      <c r="E133" s="74">
        <v>42503</v>
      </c>
      <c r="F133" s="55" t="s">
        <v>344</v>
      </c>
      <c r="G133" s="55" t="s">
        <v>360</v>
      </c>
      <c r="H133" s="55" t="s">
        <v>360</v>
      </c>
      <c r="I133" s="55" t="s">
        <v>360</v>
      </c>
      <c r="J133" s="55" t="s">
        <v>360</v>
      </c>
      <c r="K133" s="55" t="s">
        <v>360</v>
      </c>
      <c r="L133" s="55" t="s">
        <v>360</v>
      </c>
      <c r="M133" s="55" t="s">
        <v>142</v>
      </c>
      <c r="N133" s="55" t="s">
        <v>142</v>
      </c>
      <c r="O133" s="55" t="s">
        <v>141</v>
      </c>
      <c r="P133" s="55" t="s">
        <v>660</v>
      </c>
      <c r="Q133" s="55" t="s">
        <v>350</v>
      </c>
      <c r="R133" s="85">
        <v>4</v>
      </c>
      <c r="S133" s="55">
        <v>0</v>
      </c>
      <c r="T133" s="74" t="s">
        <v>661</v>
      </c>
      <c r="U133" s="74" t="s">
        <v>351</v>
      </c>
      <c r="V133" s="74">
        <v>44571</v>
      </c>
      <c r="W133" s="74">
        <v>44601</v>
      </c>
      <c r="X133" s="55">
        <v>10185890</v>
      </c>
      <c r="Y133" s="55" t="s">
        <v>132</v>
      </c>
      <c r="AB133" s="74" t="s">
        <v>132</v>
      </c>
      <c r="AC133" s="55" t="s">
        <v>132</v>
      </c>
      <c r="AL133" s="74"/>
      <c r="AM133" s="74"/>
      <c r="AW133" s="74"/>
      <c r="AX133" s="74"/>
    </row>
    <row r="134" spans="1:50" ht="13" x14ac:dyDescent="0.15">
      <c r="A134" s="55" t="str">
        <f>HYPERLINK("http://reports.ofsted.gov.uk/inspection-reports/find-inspection-report/provider/CARE/1231525","Ofsted Social Care Provider Webpage")</f>
        <v>Ofsted Social Care Provider Webpage</v>
      </c>
      <c r="B134" s="55">
        <v>1231525</v>
      </c>
      <c r="D134" s="55" t="s">
        <v>373</v>
      </c>
      <c r="E134" s="74">
        <v>42474</v>
      </c>
      <c r="F134" s="55" t="s">
        <v>344</v>
      </c>
      <c r="G134" s="55" t="s">
        <v>360</v>
      </c>
      <c r="H134" s="55" t="s">
        <v>360</v>
      </c>
      <c r="I134" s="55" t="s">
        <v>360</v>
      </c>
      <c r="J134" s="55" t="s">
        <v>360</v>
      </c>
      <c r="K134" s="55" t="s">
        <v>360</v>
      </c>
      <c r="L134" s="55" t="s">
        <v>360</v>
      </c>
      <c r="M134" s="55" t="s">
        <v>378</v>
      </c>
      <c r="N134" s="55" t="s">
        <v>134</v>
      </c>
      <c r="O134" s="55" t="s">
        <v>180</v>
      </c>
      <c r="P134" s="55" t="s">
        <v>662</v>
      </c>
      <c r="Q134" s="55" t="s">
        <v>350</v>
      </c>
      <c r="R134" s="85">
        <v>1</v>
      </c>
      <c r="S134" s="55">
        <v>0</v>
      </c>
      <c r="T134" s="74" t="s">
        <v>385</v>
      </c>
      <c r="U134" s="74" t="s">
        <v>351</v>
      </c>
      <c r="V134" s="74">
        <v>44481</v>
      </c>
      <c r="W134" s="74">
        <v>44526</v>
      </c>
      <c r="X134" s="55">
        <v>10186822</v>
      </c>
      <c r="Y134" s="55" t="s">
        <v>132</v>
      </c>
      <c r="AB134" s="74" t="s">
        <v>132</v>
      </c>
      <c r="AC134" s="55" t="s">
        <v>132</v>
      </c>
      <c r="AL134" s="74"/>
      <c r="AM134" s="74"/>
      <c r="AW134" s="74"/>
      <c r="AX134" s="74"/>
    </row>
    <row r="135" spans="1:50" ht="13" x14ac:dyDescent="0.15">
      <c r="A135" s="55" t="str">
        <f>HYPERLINK("http://reports.ofsted.gov.uk/inspection-reports/find-inspection-report/provider/CARE/1231812","Ofsted Social Care Provider Webpage")</f>
        <v>Ofsted Social Care Provider Webpage</v>
      </c>
      <c r="B135" s="55">
        <v>1231812</v>
      </c>
      <c r="D135" s="55" t="s">
        <v>373</v>
      </c>
      <c r="E135" s="74">
        <v>42622</v>
      </c>
      <c r="F135" s="55" t="s">
        <v>344</v>
      </c>
      <c r="G135" s="55" t="s">
        <v>360</v>
      </c>
      <c r="H135" s="55" t="s">
        <v>360</v>
      </c>
      <c r="I135" s="55" t="s">
        <v>360</v>
      </c>
      <c r="J135" s="55" t="s">
        <v>360</v>
      </c>
      <c r="K135" s="55" t="s">
        <v>360</v>
      </c>
      <c r="L135" s="55" t="s">
        <v>360</v>
      </c>
      <c r="M135" s="55" t="s">
        <v>142</v>
      </c>
      <c r="N135" s="55" t="s">
        <v>142</v>
      </c>
      <c r="O135" s="55" t="s">
        <v>141</v>
      </c>
      <c r="P135" s="55" t="s">
        <v>641</v>
      </c>
      <c r="Q135" s="55" t="s">
        <v>350</v>
      </c>
      <c r="R135" s="85">
        <v>4</v>
      </c>
      <c r="S135" s="55">
        <v>0</v>
      </c>
      <c r="T135" s="74" t="s">
        <v>613</v>
      </c>
      <c r="U135" s="74" t="s">
        <v>351</v>
      </c>
      <c r="V135" s="74">
        <v>44578</v>
      </c>
      <c r="W135" s="74">
        <v>44627</v>
      </c>
      <c r="X135" s="55">
        <v>10186717</v>
      </c>
      <c r="Y135" s="55" t="s">
        <v>132</v>
      </c>
      <c r="AB135" s="74" t="s">
        <v>132</v>
      </c>
      <c r="AC135" s="55" t="s">
        <v>140</v>
      </c>
      <c r="AL135" s="74"/>
      <c r="AM135" s="74"/>
      <c r="AW135" s="74"/>
      <c r="AX135" s="74"/>
    </row>
    <row r="136" spans="1:50" ht="13" x14ac:dyDescent="0.15">
      <c r="A136" s="55" t="str">
        <f>HYPERLINK("http://reports.ofsted.gov.uk/inspection-reports/find-inspection-report/provider/CARE/1232171","Ofsted Social Care Provider Webpage")</f>
        <v>Ofsted Social Care Provider Webpage</v>
      </c>
      <c r="B136" s="55">
        <v>1232171</v>
      </c>
      <c r="D136" s="55" t="s">
        <v>373</v>
      </c>
      <c r="E136" s="74">
        <v>42508</v>
      </c>
      <c r="F136" s="55" t="s">
        <v>344</v>
      </c>
      <c r="G136" s="55" t="s">
        <v>360</v>
      </c>
      <c r="H136" s="55" t="s">
        <v>360</v>
      </c>
      <c r="I136" s="55" t="s">
        <v>360</v>
      </c>
      <c r="J136" s="55" t="s">
        <v>360</v>
      </c>
      <c r="K136" s="55" t="s">
        <v>360</v>
      </c>
      <c r="L136" s="55" t="s">
        <v>360</v>
      </c>
      <c r="M136" s="55" t="s">
        <v>378</v>
      </c>
      <c r="N136" s="55" t="s">
        <v>134</v>
      </c>
      <c r="O136" s="55" t="s">
        <v>175</v>
      </c>
      <c r="P136" s="55" t="s">
        <v>666</v>
      </c>
      <c r="Q136" s="55" t="s">
        <v>350</v>
      </c>
      <c r="R136" s="85">
        <v>3</v>
      </c>
      <c r="S136" s="55">
        <v>0</v>
      </c>
      <c r="T136" s="74" t="s">
        <v>667</v>
      </c>
      <c r="U136" s="74" t="s">
        <v>351</v>
      </c>
      <c r="V136" s="74">
        <v>44410</v>
      </c>
      <c r="W136" s="74">
        <v>44439</v>
      </c>
      <c r="X136" s="55">
        <v>10186082</v>
      </c>
      <c r="Y136" s="55" t="s">
        <v>132</v>
      </c>
      <c r="AB136" s="74" t="s">
        <v>132</v>
      </c>
      <c r="AC136" s="55" t="s">
        <v>130</v>
      </c>
      <c r="AL136" s="74"/>
      <c r="AM136" s="74"/>
      <c r="AW136" s="74"/>
      <c r="AX136" s="74"/>
    </row>
    <row r="137" spans="1:50" ht="13" x14ac:dyDescent="0.15">
      <c r="A137" s="55" t="str">
        <f>HYPERLINK("http://reports.ofsted.gov.uk/inspection-reports/find-inspection-report/provider/CARE/1232200","Ofsted Social Care Provider Webpage")</f>
        <v>Ofsted Social Care Provider Webpage</v>
      </c>
      <c r="B137" s="55">
        <v>1232200</v>
      </c>
      <c r="D137" s="55" t="s">
        <v>373</v>
      </c>
      <c r="E137" s="74">
        <v>42529</v>
      </c>
      <c r="F137" s="55" t="s">
        <v>344</v>
      </c>
      <c r="G137" s="55" t="s">
        <v>360</v>
      </c>
      <c r="H137" s="55" t="s">
        <v>360</v>
      </c>
      <c r="I137" s="55" t="s">
        <v>360</v>
      </c>
      <c r="J137" s="55" t="s">
        <v>360</v>
      </c>
      <c r="K137" s="55" t="s">
        <v>360</v>
      </c>
      <c r="L137" s="55" t="s">
        <v>360</v>
      </c>
      <c r="M137" s="55" t="s">
        <v>172</v>
      </c>
      <c r="N137" s="55" t="s">
        <v>172</v>
      </c>
      <c r="O137" s="55" t="s">
        <v>228</v>
      </c>
      <c r="P137" s="55" t="s">
        <v>459</v>
      </c>
      <c r="Q137" s="55" t="s">
        <v>350</v>
      </c>
      <c r="R137" s="85">
        <v>3</v>
      </c>
      <c r="S137" s="55">
        <v>0</v>
      </c>
      <c r="T137" s="74" t="s">
        <v>668</v>
      </c>
      <c r="U137" s="74" t="s">
        <v>351</v>
      </c>
      <c r="V137" s="74">
        <v>44594</v>
      </c>
      <c r="W137" s="74">
        <v>44634</v>
      </c>
      <c r="X137" s="55">
        <v>10185510</v>
      </c>
      <c r="Y137" s="55" t="s">
        <v>132</v>
      </c>
      <c r="AB137" s="74" t="s">
        <v>132</v>
      </c>
      <c r="AC137" s="55" t="s">
        <v>132</v>
      </c>
      <c r="AL137" s="74"/>
      <c r="AM137" s="74"/>
    </row>
    <row r="138" spans="1:50" ht="13" x14ac:dyDescent="0.15">
      <c r="A138" s="55" t="str">
        <f>HYPERLINK("http://reports.ofsted.gov.uk/inspection-reports/find-inspection-report/provider/CARE/1232380","Ofsted Social Care Provider Webpage")</f>
        <v>Ofsted Social Care Provider Webpage</v>
      </c>
      <c r="B138" s="55">
        <v>1232380</v>
      </c>
      <c r="D138" s="55" t="s">
        <v>373</v>
      </c>
      <c r="E138" s="74">
        <v>42446</v>
      </c>
      <c r="F138" s="55" t="s">
        <v>344</v>
      </c>
      <c r="G138" s="55" t="s">
        <v>360</v>
      </c>
      <c r="H138" s="55" t="s">
        <v>360</v>
      </c>
      <c r="I138" s="55" t="s">
        <v>360</v>
      </c>
      <c r="J138" s="55" t="s">
        <v>360</v>
      </c>
      <c r="K138" s="55" t="s">
        <v>360</v>
      </c>
      <c r="L138" s="55" t="s">
        <v>360</v>
      </c>
      <c r="M138" s="55" t="s">
        <v>144</v>
      </c>
      <c r="N138" s="55" t="s">
        <v>144</v>
      </c>
      <c r="O138" s="55" t="s">
        <v>147</v>
      </c>
      <c r="P138" s="55" t="s">
        <v>674</v>
      </c>
      <c r="Q138" s="55" t="s">
        <v>362</v>
      </c>
      <c r="R138" s="85">
        <v>6</v>
      </c>
      <c r="S138" s="55" t="s">
        <v>332</v>
      </c>
      <c r="T138" s="74" t="s">
        <v>675</v>
      </c>
      <c r="U138" s="74" t="s">
        <v>351</v>
      </c>
      <c r="V138" s="74">
        <v>44622</v>
      </c>
      <c r="W138" s="74">
        <v>44680</v>
      </c>
      <c r="X138" s="55">
        <v>10185269</v>
      </c>
      <c r="Y138" s="55" t="s">
        <v>132</v>
      </c>
      <c r="AB138" s="74" t="s">
        <v>132</v>
      </c>
      <c r="AC138" s="55" t="s">
        <v>130</v>
      </c>
      <c r="AL138" s="74"/>
      <c r="AM138" s="74"/>
      <c r="AW138" s="74"/>
      <c r="AX138" s="74"/>
    </row>
    <row r="139" spans="1:50" ht="13" x14ac:dyDescent="0.15">
      <c r="A139" s="55" t="str">
        <f>HYPERLINK("http://reports.ofsted.gov.uk/inspection-reports/find-inspection-report/provider/CARE/1232649","Ofsted Social Care Provider Webpage")</f>
        <v>Ofsted Social Care Provider Webpage</v>
      </c>
      <c r="B139" s="55">
        <v>1232649</v>
      </c>
      <c r="D139" s="55" t="s">
        <v>373</v>
      </c>
      <c r="E139" s="74">
        <v>42559</v>
      </c>
      <c r="F139" s="55" t="s">
        <v>344</v>
      </c>
      <c r="G139" s="55" t="s">
        <v>360</v>
      </c>
      <c r="H139" s="55" t="s">
        <v>360</v>
      </c>
      <c r="I139" s="55" t="s">
        <v>360</v>
      </c>
      <c r="J139" s="55" t="s">
        <v>360</v>
      </c>
      <c r="K139" s="55" t="s">
        <v>360</v>
      </c>
      <c r="L139" s="55" t="s">
        <v>360</v>
      </c>
      <c r="M139" s="55" t="s">
        <v>378</v>
      </c>
      <c r="N139" s="55" t="s">
        <v>170</v>
      </c>
      <c r="O139" s="55" t="s">
        <v>184</v>
      </c>
      <c r="P139" s="55" t="s">
        <v>676</v>
      </c>
      <c r="Q139" s="55" t="s">
        <v>350</v>
      </c>
      <c r="R139" s="85">
        <v>5</v>
      </c>
      <c r="S139" s="55">
        <v>0</v>
      </c>
      <c r="T139" s="74" t="s">
        <v>677</v>
      </c>
      <c r="U139" s="74" t="s">
        <v>351</v>
      </c>
      <c r="V139" s="74">
        <v>44509</v>
      </c>
      <c r="W139" s="74">
        <v>44543</v>
      </c>
      <c r="X139" s="55">
        <v>10185709</v>
      </c>
      <c r="Y139" s="55" t="s">
        <v>132</v>
      </c>
      <c r="AB139" s="74" t="s">
        <v>132</v>
      </c>
      <c r="AC139" s="55" t="s">
        <v>140</v>
      </c>
      <c r="AL139" s="74"/>
      <c r="AM139" s="74"/>
      <c r="AW139" s="74"/>
      <c r="AX139" s="74"/>
    </row>
    <row r="140" spans="1:50" ht="13" x14ac:dyDescent="0.15">
      <c r="A140" s="55" t="str">
        <f>HYPERLINK("http://reports.ofsted.gov.uk/inspection-reports/find-inspection-report/provider/CARE/1232650","Ofsted Social Care Provider Webpage")</f>
        <v>Ofsted Social Care Provider Webpage</v>
      </c>
      <c r="B140" s="55">
        <v>1232650</v>
      </c>
      <c r="D140" s="55" t="s">
        <v>373</v>
      </c>
      <c r="E140" s="74">
        <v>42572</v>
      </c>
      <c r="F140" s="55" t="s">
        <v>344</v>
      </c>
      <c r="G140" s="55" t="s">
        <v>360</v>
      </c>
      <c r="H140" s="55" t="s">
        <v>360</v>
      </c>
      <c r="I140" s="55" t="s">
        <v>360</v>
      </c>
      <c r="J140" s="55" t="s">
        <v>360</v>
      </c>
      <c r="K140" s="55" t="s">
        <v>360</v>
      </c>
      <c r="L140" s="55" t="s">
        <v>360</v>
      </c>
      <c r="M140" s="55" t="s">
        <v>378</v>
      </c>
      <c r="N140" s="55" t="s">
        <v>134</v>
      </c>
      <c r="O140" s="55" t="s">
        <v>175</v>
      </c>
      <c r="P140" s="55" t="s">
        <v>678</v>
      </c>
      <c r="Q140" s="55" t="s">
        <v>350</v>
      </c>
      <c r="R140" s="85">
        <v>3</v>
      </c>
      <c r="S140" s="55">
        <v>0</v>
      </c>
      <c r="T140" s="74" t="s">
        <v>679</v>
      </c>
      <c r="U140" s="74" t="s">
        <v>351</v>
      </c>
      <c r="V140" s="74">
        <v>44481</v>
      </c>
      <c r="W140" s="74">
        <v>44511</v>
      </c>
      <c r="X140" s="55">
        <v>10185808</v>
      </c>
      <c r="Y140" s="55" t="s">
        <v>132</v>
      </c>
      <c r="AB140" s="74" t="s">
        <v>132</v>
      </c>
      <c r="AC140" s="55" t="s">
        <v>132</v>
      </c>
      <c r="AL140" s="74"/>
      <c r="AM140" s="74"/>
    </row>
    <row r="141" spans="1:50" ht="13" x14ac:dyDescent="0.15">
      <c r="A141" s="55" t="str">
        <f>HYPERLINK("http://reports.ofsted.gov.uk/inspection-reports/find-inspection-report/provider/CARE/1232651","Ofsted Social Care Provider Webpage")</f>
        <v>Ofsted Social Care Provider Webpage</v>
      </c>
      <c r="B141" s="55">
        <v>1232651</v>
      </c>
      <c r="D141" s="55" t="s">
        <v>389</v>
      </c>
      <c r="E141" s="74">
        <v>42503</v>
      </c>
      <c r="F141" s="55" t="s">
        <v>344</v>
      </c>
      <c r="G141" s="55" t="s">
        <v>680</v>
      </c>
      <c r="H141" s="55" t="s">
        <v>681</v>
      </c>
      <c r="I141" s="55" t="s">
        <v>682</v>
      </c>
      <c r="J141" s="55" t="s">
        <v>246</v>
      </c>
      <c r="K141" s="55" t="s">
        <v>683</v>
      </c>
      <c r="L141" s="55" t="s">
        <v>684</v>
      </c>
      <c r="M141" s="55" t="s">
        <v>378</v>
      </c>
      <c r="N141" s="55" t="s">
        <v>134</v>
      </c>
      <c r="O141" s="55" t="s">
        <v>246</v>
      </c>
      <c r="P141" s="55" t="s">
        <v>685</v>
      </c>
      <c r="Q141" s="55" t="s">
        <v>350</v>
      </c>
      <c r="S141" s="55">
        <v>0</v>
      </c>
      <c r="T141" s="74" t="s">
        <v>680</v>
      </c>
      <c r="U141" s="74" t="s">
        <v>351</v>
      </c>
      <c r="V141" s="74">
        <v>44522</v>
      </c>
      <c r="W141" s="74">
        <v>44580</v>
      </c>
      <c r="X141" s="55">
        <v>10183371</v>
      </c>
      <c r="Y141" s="55" t="s">
        <v>140</v>
      </c>
      <c r="AB141" s="74" t="s">
        <v>140</v>
      </c>
      <c r="AC141" s="55" t="s">
        <v>140</v>
      </c>
      <c r="AL141" s="74"/>
      <c r="AM141" s="74"/>
      <c r="AW141" s="74"/>
      <c r="AX141" s="74"/>
    </row>
    <row r="142" spans="1:50" ht="13" x14ac:dyDescent="0.15">
      <c r="A142" s="55" t="str">
        <f>HYPERLINK("http://reports.ofsted.gov.uk/inspection-reports/find-inspection-report/provider/CARE/1232657","Ofsted Social Care Provider Webpage")</f>
        <v>Ofsted Social Care Provider Webpage</v>
      </c>
      <c r="B142" s="55">
        <v>1232657</v>
      </c>
      <c r="D142" s="55" t="s">
        <v>373</v>
      </c>
      <c r="E142" s="74">
        <v>42777</v>
      </c>
      <c r="F142" s="55" t="s">
        <v>344</v>
      </c>
      <c r="G142" s="55" t="s">
        <v>360</v>
      </c>
      <c r="H142" s="55" t="s">
        <v>360</v>
      </c>
      <c r="I142" s="55" t="s">
        <v>360</v>
      </c>
      <c r="J142" s="55" t="s">
        <v>360</v>
      </c>
      <c r="K142" s="55" t="s">
        <v>360</v>
      </c>
      <c r="L142" s="55" t="s">
        <v>360</v>
      </c>
      <c r="M142" s="55" t="s">
        <v>142</v>
      </c>
      <c r="N142" s="55" t="s">
        <v>142</v>
      </c>
      <c r="O142" s="55" t="s">
        <v>254</v>
      </c>
      <c r="P142" s="55" t="s">
        <v>254</v>
      </c>
      <c r="Q142" s="55" t="s">
        <v>350</v>
      </c>
      <c r="R142" s="85">
        <v>4</v>
      </c>
      <c r="S142" s="55">
        <v>0</v>
      </c>
      <c r="T142" s="74" t="s">
        <v>574</v>
      </c>
      <c r="U142" s="74" t="s">
        <v>351</v>
      </c>
      <c r="V142" s="74">
        <v>44369</v>
      </c>
      <c r="W142" s="74">
        <v>44396</v>
      </c>
      <c r="X142" s="55">
        <v>10186179</v>
      </c>
      <c r="Y142" s="55" t="s">
        <v>132</v>
      </c>
      <c r="AB142" s="74" t="s">
        <v>132</v>
      </c>
      <c r="AC142" s="55" t="s">
        <v>130</v>
      </c>
      <c r="AL142" s="74"/>
      <c r="AM142" s="74"/>
    </row>
    <row r="143" spans="1:50" ht="13" x14ac:dyDescent="0.15">
      <c r="A143" s="55" t="str">
        <f>HYPERLINK("http://reports.ofsted.gov.uk/inspection-reports/find-inspection-report/provider/CARE/1232658","Ofsted Social Care Provider Webpage")</f>
        <v>Ofsted Social Care Provider Webpage</v>
      </c>
      <c r="B143" s="55">
        <v>1232658</v>
      </c>
      <c r="D143" s="55" t="s">
        <v>373</v>
      </c>
      <c r="E143" s="74">
        <v>42660</v>
      </c>
      <c r="F143" s="55" t="s">
        <v>344</v>
      </c>
      <c r="G143" s="55" t="s">
        <v>360</v>
      </c>
      <c r="H143" s="55" t="s">
        <v>360</v>
      </c>
      <c r="I143" s="55" t="s">
        <v>360</v>
      </c>
      <c r="J143" s="55" t="s">
        <v>360</v>
      </c>
      <c r="K143" s="55" t="s">
        <v>360</v>
      </c>
      <c r="L143" s="55" t="s">
        <v>360</v>
      </c>
      <c r="M143" s="55" t="s">
        <v>144</v>
      </c>
      <c r="N143" s="55" t="s">
        <v>144</v>
      </c>
      <c r="O143" s="55" t="s">
        <v>162</v>
      </c>
      <c r="P143" s="55" t="s">
        <v>686</v>
      </c>
      <c r="Q143" s="55" t="s">
        <v>350</v>
      </c>
      <c r="R143" s="85">
        <v>5</v>
      </c>
      <c r="S143" s="55">
        <v>0</v>
      </c>
      <c r="T143" s="74" t="s">
        <v>574</v>
      </c>
      <c r="U143" s="74" t="s">
        <v>351</v>
      </c>
      <c r="V143" s="74">
        <v>44544</v>
      </c>
      <c r="W143" s="74">
        <v>44592</v>
      </c>
      <c r="X143" s="55">
        <v>10186706</v>
      </c>
      <c r="Y143" s="55" t="s">
        <v>132</v>
      </c>
      <c r="AB143" s="74" t="s">
        <v>140</v>
      </c>
      <c r="AC143" s="55" t="s">
        <v>132</v>
      </c>
      <c r="AL143" s="74"/>
      <c r="AM143" s="74"/>
      <c r="AW143" s="74"/>
      <c r="AX143" s="74"/>
    </row>
    <row r="144" spans="1:50" ht="13" x14ac:dyDescent="0.15">
      <c r="A144" s="55" t="str">
        <f>HYPERLINK("http://reports.ofsted.gov.uk/inspection-reports/find-inspection-report/provider/CARE/1233307","Ofsted Social Care Provider Webpage")</f>
        <v>Ofsted Social Care Provider Webpage</v>
      </c>
      <c r="B144" s="55">
        <v>1233307</v>
      </c>
      <c r="D144" s="55" t="s">
        <v>373</v>
      </c>
      <c r="E144" s="74">
        <v>42702</v>
      </c>
      <c r="F144" s="55" t="s">
        <v>344</v>
      </c>
      <c r="G144" s="55" t="s">
        <v>360</v>
      </c>
      <c r="H144" s="55" t="s">
        <v>360</v>
      </c>
      <c r="I144" s="55" t="s">
        <v>360</v>
      </c>
      <c r="J144" s="55" t="s">
        <v>360</v>
      </c>
      <c r="K144" s="55" t="s">
        <v>360</v>
      </c>
      <c r="L144" s="55" t="s">
        <v>360</v>
      </c>
      <c r="M144" s="55" t="s">
        <v>378</v>
      </c>
      <c r="N144" s="55" t="s">
        <v>170</v>
      </c>
      <c r="O144" s="55" t="s">
        <v>222</v>
      </c>
      <c r="P144" s="55" t="s">
        <v>521</v>
      </c>
      <c r="Q144" s="55" t="s">
        <v>380</v>
      </c>
      <c r="R144" s="85">
        <v>6</v>
      </c>
      <c r="S144" s="55">
        <v>0</v>
      </c>
      <c r="T144" s="74" t="s">
        <v>687</v>
      </c>
      <c r="U144" s="74" t="s">
        <v>351</v>
      </c>
      <c r="V144" s="74">
        <v>44516</v>
      </c>
      <c r="W144" s="74">
        <v>44551</v>
      </c>
      <c r="X144" s="55">
        <v>10185085</v>
      </c>
      <c r="Y144" s="55" t="s">
        <v>132</v>
      </c>
      <c r="AB144" s="74" t="s">
        <v>132</v>
      </c>
      <c r="AC144" s="55" t="s">
        <v>132</v>
      </c>
      <c r="AL144" s="74"/>
      <c r="AM144" s="74"/>
    </row>
    <row r="145" spans="1:50" ht="13" x14ac:dyDescent="0.15">
      <c r="A145" s="55" t="str">
        <f>HYPERLINK("http://reports.ofsted.gov.uk/inspection-reports/find-inspection-report/provider/CARE/1233310","Ofsted Social Care Provider Webpage")</f>
        <v>Ofsted Social Care Provider Webpage</v>
      </c>
      <c r="B145" s="55">
        <v>1233310</v>
      </c>
      <c r="D145" s="55" t="s">
        <v>373</v>
      </c>
      <c r="E145" s="74">
        <v>42590</v>
      </c>
      <c r="F145" s="55" t="s">
        <v>344</v>
      </c>
      <c r="G145" s="55" t="s">
        <v>360</v>
      </c>
      <c r="H145" s="55" t="s">
        <v>360</v>
      </c>
      <c r="I145" s="55" t="s">
        <v>360</v>
      </c>
      <c r="J145" s="55" t="s">
        <v>360</v>
      </c>
      <c r="K145" s="55" t="s">
        <v>360</v>
      </c>
      <c r="L145" s="55" t="s">
        <v>360</v>
      </c>
      <c r="M145" s="55" t="s">
        <v>144</v>
      </c>
      <c r="N145" s="55" t="s">
        <v>144</v>
      </c>
      <c r="O145" s="55" t="s">
        <v>147</v>
      </c>
      <c r="P145" s="55" t="s">
        <v>674</v>
      </c>
      <c r="Q145" s="55" t="s">
        <v>362</v>
      </c>
      <c r="R145" s="85">
        <v>3</v>
      </c>
      <c r="S145" s="55">
        <v>0</v>
      </c>
      <c r="T145" s="74" t="s">
        <v>675</v>
      </c>
      <c r="U145" s="74" t="s">
        <v>351</v>
      </c>
      <c r="V145" s="74">
        <v>44572</v>
      </c>
      <c r="W145" s="74">
        <v>44614</v>
      </c>
      <c r="X145" s="55">
        <v>10185492</v>
      </c>
      <c r="Y145" s="55" t="s">
        <v>132</v>
      </c>
      <c r="AB145" s="74" t="s">
        <v>132</v>
      </c>
      <c r="AC145" s="55" t="s">
        <v>130</v>
      </c>
      <c r="AL145" s="74"/>
      <c r="AM145" s="74"/>
      <c r="AW145" s="74"/>
      <c r="AX145" s="74"/>
    </row>
    <row r="146" spans="1:50" ht="13" x14ac:dyDescent="0.15">
      <c r="A146" s="55" t="str">
        <f>HYPERLINK("http://reports.ofsted.gov.uk/inspection-reports/find-inspection-report/provider/CARE/1233899","Ofsted Social Care Provider Webpage")</f>
        <v>Ofsted Social Care Provider Webpage</v>
      </c>
      <c r="B146" s="55">
        <v>1233899</v>
      </c>
      <c r="D146" s="55" t="s">
        <v>373</v>
      </c>
      <c r="E146" s="74">
        <v>42654</v>
      </c>
      <c r="F146" s="55" t="s">
        <v>344</v>
      </c>
      <c r="G146" s="55" t="s">
        <v>360</v>
      </c>
      <c r="H146" s="55" t="s">
        <v>360</v>
      </c>
      <c r="I146" s="55" t="s">
        <v>360</v>
      </c>
      <c r="J146" s="55" t="s">
        <v>360</v>
      </c>
      <c r="K146" s="55" t="s">
        <v>360</v>
      </c>
      <c r="L146" s="55" t="s">
        <v>360</v>
      </c>
      <c r="M146" s="55" t="s">
        <v>144</v>
      </c>
      <c r="N146" s="55" t="s">
        <v>144</v>
      </c>
      <c r="O146" s="55" t="s">
        <v>168</v>
      </c>
      <c r="P146" s="55" t="s">
        <v>708</v>
      </c>
      <c r="Q146" s="55" t="s">
        <v>350</v>
      </c>
      <c r="R146" s="85">
        <v>2</v>
      </c>
      <c r="S146" s="55">
        <v>0</v>
      </c>
      <c r="T146" s="74" t="s">
        <v>709</v>
      </c>
      <c r="U146" s="74" t="s">
        <v>351</v>
      </c>
      <c r="V146" s="74">
        <v>44622</v>
      </c>
      <c r="W146" s="74">
        <v>44680</v>
      </c>
      <c r="X146" s="55">
        <v>10185007</v>
      </c>
      <c r="Y146" s="55" t="s">
        <v>132</v>
      </c>
      <c r="AB146" s="74" t="s">
        <v>132</v>
      </c>
      <c r="AC146" s="55" t="s">
        <v>132</v>
      </c>
      <c r="AL146" s="74"/>
      <c r="AM146" s="74"/>
      <c r="AW146" s="74"/>
      <c r="AX146" s="74"/>
    </row>
    <row r="147" spans="1:50" ht="13" x14ac:dyDescent="0.15">
      <c r="A147" s="55" t="str">
        <f>HYPERLINK("http://reports.ofsted.gov.uk/inspection-reports/find-inspection-report/provider/CARE/1233981","Ofsted Social Care Provider Webpage")</f>
        <v>Ofsted Social Care Provider Webpage</v>
      </c>
      <c r="B147" s="55">
        <v>1233981</v>
      </c>
      <c r="D147" s="55" t="s">
        <v>373</v>
      </c>
      <c r="E147" s="74">
        <v>42599</v>
      </c>
      <c r="F147" s="55" t="s">
        <v>344</v>
      </c>
      <c r="G147" s="55" t="s">
        <v>360</v>
      </c>
      <c r="H147" s="55" t="s">
        <v>360</v>
      </c>
      <c r="I147" s="55" t="s">
        <v>360</v>
      </c>
      <c r="J147" s="55" t="s">
        <v>360</v>
      </c>
      <c r="K147" s="55" t="s">
        <v>360</v>
      </c>
      <c r="L147" s="55" t="s">
        <v>360</v>
      </c>
      <c r="M147" s="55" t="s">
        <v>378</v>
      </c>
      <c r="N147" s="55" t="s">
        <v>134</v>
      </c>
      <c r="O147" s="55" t="s">
        <v>206</v>
      </c>
      <c r="P147" s="55" t="s">
        <v>710</v>
      </c>
      <c r="Q147" s="55" t="s">
        <v>350</v>
      </c>
      <c r="R147" s="85">
        <v>2</v>
      </c>
      <c r="S147" s="55">
        <v>0</v>
      </c>
      <c r="T147" s="74" t="s">
        <v>711</v>
      </c>
      <c r="U147" s="74" t="s">
        <v>351</v>
      </c>
      <c r="V147" s="74">
        <v>44376</v>
      </c>
      <c r="W147" s="74">
        <v>44406</v>
      </c>
      <c r="X147" s="55">
        <v>10185304</v>
      </c>
      <c r="Y147" s="55" t="s">
        <v>132</v>
      </c>
      <c r="AB147" s="74" t="s">
        <v>132</v>
      </c>
      <c r="AC147" s="55" t="s">
        <v>132</v>
      </c>
      <c r="AL147" s="74"/>
      <c r="AM147" s="74"/>
      <c r="AW147" s="74"/>
      <c r="AX147" s="74"/>
    </row>
    <row r="148" spans="1:50" ht="13" x14ac:dyDescent="0.15">
      <c r="A148" s="55" t="str">
        <f>HYPERLINK("http://reports.ofsted.gov.uk/inspection-reports/find-inspection-report/provider/CARE/1234166","Ofsted Social Care Provider Webpage")</f>
        <v>Ofsted Social Care Provider Webpage</v>
      </c>
      <c r="B148" s="55">
        <v>1234166</v>
      </c>
      <c r="D148" s="55" t="s">
        <v>373</v>
      </c>
      <c r="E148" s="74">
        <v>42633</v>
      </c>
      <c r="F148" s="55" t="s">
        <v>344</v>
      </c>
      <c r="G148" s="55" t="s">
        <v>360</v>
      </c>
      <c r="H148" s="55" t="s">
        <v>360</v>
      </c>
      <c r="I148" s="55" t="s">
        <v>360</v>
      </c>
      <c r="J148" s="55" t="s">
        <v>360</v>
      </c>
      <c r="K148" s="55" t="s">
        <v>360</v>
      </c>
      <c r="L148" s="55" t="s">
        <v>360</v>
      </c>
      <c r="M148" s="55" t="s">
        <v>129</v>
      </c>
      <c r="N148" s="55" t="s">
        <v>129</v>
      </c>
      <c r="O148" s="55" t="s">
        <v>223</v>
      </c>
      <c r="P148" s="55" t="s">
        <v>712</v>
      </c>
      <c r="Q148" s="55" t="s">
        <v>350</v>
      </c>
      <c r="R148" s="85">
        <v>3</v>
      </c>
      <c r="S148" s="55">
        <v>0</v>
      </c>
      <c r="T148" s="74" t="s">
        <v>713</v>
      </c>
      <c r="U148" s="74" t="s">
        <v>351</v>
      </c>
      <c r="V148" s="74">
        <v>44425</v>
      </c>
      <c r="W148" s="74">
        <v>44461</v>
      </c>
      <c r="X148" s="55">
        <v>10185651</v>
      </c>
      <c r="Y148" s="55" t="s">
        <v>132</v>
      </c>
      <c r="AB148" s="74" t="s">
        <v>132</v>
      </c>
      <c r="AC148" s="55" t="s">
        <v>132</v>
      </c>
      <c r="AL148" s="74"/>
      <c r="AM148" s="74"/>
      <c r="AW148" s="74"/>
      <c r="AX148" s="74"/>
    </row>
    <row r="149" spans="1:50" ht="13" x14ac:dyDescent="0.15">
      <c r="A149" s="55" t="str">
        <f>HYPERLINK("http://reports.ofsted.gov.uk/inspection-reports/find-inspection-report/provider/CARE/1234243","Ofsted Social Care Provider Webpage")</f>
        <v>Ofsted Social Care Provider Webpage</v>
      </c>
      <c r="B149" s="55">
        <v>1234243</v>
      </c>
      <c r="D149" s="55" t="s">
        <v>373</v>
      </c>
      <c r="E149" s="74">
        <v>42517</v>
      </c>
      <c r="F149" s="55" t="s">
        <v>344</v>
      </c>
      <c r="G149" s="55" t="s">
        <v>360</v>
      </c>
      <c r="H149" s="55" t="s">
        <v>360</v>
      </c>
      <c r="I149" s="55" t="s">
        <v>360</v>
      </c>
      <c r="J149" s="55" t="s">
        <v>360</v>
      </c>
      <c r="K149" s="55" t="s">
        <v>360</v>
      </c>
      <c r="L149" s="55" t="s">
        <v>360</v>
      </c>
      <c r="M149" s="55" t="s">
        <v>172</v>
      </c>
      <c r="N149" s="55" t="s">
        <v>172</v>
      </c>
      <c r="O149" s="55" t="s">
        <v>212</v>
      </c>
      <c r="P149" s="55" t="s">
        <v>547</v>
      </c>
      <c r="Q149" s="55" t="s">
        <v>350</v>
      </c>
      <c r="R149" s="85">
        <v>3</v>
      </c>
      <c r="S149" s="55">
        <v>0</v>
      </c>
      <c r="T149" s="74" t="s">
        <v>489</v>
      </c>
      <c r="U149" s="74" t="s">
        <v>351</v>
      </c>
      <c r="V149" s="74">
        <v>44467</v>
      </c>
      <c r="W149" s="74">
        <v>44502</v>
      </c>
      <c r="X149" s="55">
        <v>10186824</v>
      </c>
      <c r="Y149" s="55" t="s">
        <v>146</v>
      </c>
      <c r="AB149" s="74" t="s">
        <v>146</v>
      </c>
      <c r="AC149" s="55" t="s">
        <v>146</v>
      </c>
      <c r="AL149" s="74"/>
      <c r="AM149" s="74"/>
    </row>
    <row r="150" spans="1:50" ht="13" x14ac:dyDescent="0.15">
      <c r="A150" s="55" t="str">
        <f>HYPERLINK("http://reports.ofsted.gov.uk/inspection-reports/find-inspection-report/provider/CARE/1234243","Ofsted Social Care Provider Webpage")</f>
        <v>Ofsted Social Care Provider Webpage</v>
      </c>
      <c r="B150" s="55">
        <v>1234243</v>
      </c>
      <c r="D150" s="55" t="s">
        <v>373</v>
      </c>
      <c r="E150" s="74">
        <v>42517</v>
      </c>
      <c r="F150" s="55" t="s">
        <v>344</v>
      </c>
      <c r="G150" s="55" t="s">
        <v>360</v>
      </c>
      <c r="H150" s="55" t="s">
        <v>360</v>
      </c>
      <c r="I150" s="55" t="s">
        <v>360</v>
      </c>
      <c r="J150" s="55" t="s">
        <v>360</v>
      </c>
      <c r="K150" s="55" t="s">
        <v>360</v>
      </c>
      <c r="L150" s="55" t="s">
        <v>360</v>
      </c>
      <c r="M150" s="55" t="s">
        <v>172</v>
      </c>
      <c r="N150" s="55" t="s">
        <v>172</v>
      </c>
      <c r="O150" s="55" t="s">
        <v>212</v>
      </c>
      <c r="P150" s="55" t="s">
        <v>547</v>
      </c>
      <c r="Q150" s="55" t="s">
        <v>350</v>
      </c>
      <c r="R150" s="85">
        <v>3</v>
      </c>
      <c r="S150" s="55">
        <v>0</v>
      </c>
      <c r="T150" s="74" t="s">
        <v>489</v>
      </c>
      <c r="U150" s="74" t="s">
        <v>351</v>
      </c>
      <c r="V150" s="74">
        <v>44508</v>
      </c>
      <c r="W150" s="74">
        <v>44547</v>
      </c>
      <c r="X150" s="55">
        <v>10213274</v>
      </c>
      <c r="Y150" s="55" t="s">
        <v>130</v>
      </c>
      <c r="AB150" s="74" t="s">
        <v>130</v>
      </c>
      <c r="AC150" s="55" t="s">
        <v>130</v>
      </c>
      <c r="AL150" s="74"/>
      <c r="AM150" s="74"/>
      <c r="AW150" s="74"/>
      <c r="AX150" s="74"/>
    </row>
    <row r="151" spans="1:50" ht="13" x14ac:dyDescent="0.15">
      <c r="A151" s="55" t="str">
        <f>HYPERLINK("http://reports.ofsted.gov.uk/inspection-reports/find-inspection-report/provider/CARE/1234244","Ofsted Social Care Provider Webpage")</f>
        <v>Ofsted Social Care Provider Webpage</v>
      </c>
      <c r="B151" s="55">
        <v>1234244</v>
      </c>
      <c r="D151" s="55" t="s">
        <v>373</v>
      </c>
      <c r="E151" s="74">
        <v>42502</v>
      </c>
      <c r="F151" s="55" t="s">
        <v>344</v>
      </c>
      <c r="G151" s="55" t="s">
        <v>360</v>
      </c>
      <c r="H151" s="55" t="s">
        <v>360</v>
      </c>
      <c r="I151" s="55" t="s">
        <v>360</v>
      </c>
      <c r="J151" s="55" t="s">
        <v>360</v>
      </c>
      <c r="K151" s="55" t="s">
        <v>360</v>
      </c>
      <c r="L151" s="55" t="s">
        <v>360</v>
      </c>
      <c r="M151" s="55" t="s">
        <v>172</v>
      </c>
      <c r="N151" s="55" t="s">
        <v>172</v>
      </c>
      <c r="O151" s="55" t="s">
        <v>212</v>
      </c>
      <c r="P151" s="55" t="s">
        <v>714</v>
      </c>
      <c r="Q151" s="55" t="s">
        <v>350</v>
      </c>
      <c r="R151" s="85">
        <v>3</v>
      </c>
      <c r="S151" s="55">
        <v>0</v>
      </c>
      <c r="T151" s="74" t="s">
        <v>489</v>
      </c>
      <c r="U151" s="74" t="s">
        <v>351</v>
      </c>
      <c r="V151" s="74">
        <v>44334</v>
      </c>
      <c r="W151" s="74">
        <v>44371</v>
      </c>
      <c r="X151" s="55">
        <v>10185569</v>
      </c>
      <c r="Y151" s="55" t="s">
        <v>140</v>
      </c>
      <c r="AB151" s="74" t="s">
        <v>140</v>
      </c>
      <c r="AC151" s="55" t="s">
        <v>140</v>
      </c>
      <c r="AL151" s="74"/>
      <c r="AM151" s="74"/>
      <c r="AW151" s="74"/>
      <c r="AX151" s="74"/>
    </row>
    <row r="152" spans="1:50" ht="13" x14ac:dyDescent="0.15">
      <c r="A152" s="55" t="str">
        <f>HYPERLINK("http://reports.ofsted.gov.uk/inspection-reports/find-inspection-report/provider/CARE/1234317","Ofsted Social Care Provider Webpage")</f>
        <v>Ofsted Social Care Provider Webpage</v>
      </c>
      <c r="B152" s="55">
        <v>1234317</v>
      </c>
      <c r="D152" s="55" t="s">
        <v>373</v>
      </c>
      <c r="E152" s="74">
        <v>42586</v>
      </c>
      <c r="F152" s="55" t="s">
        <v>344</v>
      </c>
      <c r="G152" s="55" t="s">
        <v>360</v>
      </c>
      <c r="H152" s="55" t="s">
        <v>360</v>
      </c>
      <c r="I152" s="55" t="s">
        <v>360</v>
      </c>
      <c r="J152" s="55" t="s">
        <v>360</v>
      </c>
      <c r="K152" s="55" t="s">
        <v>360</v>
      </c>
      <c r="L152" s="55" t="s">
        <v>360</v>
      </c>
      <c r="M152" s="55" t="s">
        <v>378</v>
      </c>
      <c r="N152" s="55" t="s">
        <v>134</v>
      </c>
      <c r="O152" s="55" t="s">
        <v>158</v>
      </c>
      <c r="P152" s="55" t="s">
        <v>480</v>
      </c>
      <c r="Q152" s="55" t="s">
        <v>350</v>
      </c>
      <c r="R152" s="85">
        <v>6</v>
      </c>
      <c r="S152" s="55">
        <v>0</v>
      </c>
      <c r="T152" s="74" t="s">
        <v>377</v>
      </c>
      <c r="U152" s="74" t="s">
        <v>6703</v>
      </c>
      <c r="V152" s="74">
        <v>44567</v>
      </c>
      <c r="W152" s="74">
        <v>44606</v>
      </c>
      <c r="X152" s="55">
        <v>10210609</v>
      </c>
      <c r="Y152" s="55" t="s">
        <v>6704</v>
      </c>
      <c r="AL152" s="74"/>
      <c r="AM152" s="74"/>
      <c r="AW152" s="74"/>
      <c r="AX152" s="74"/>
    </row>
    <row r="153" spans="1:50" ht="13" x14ac:dyDescent="0.15">
      <c r="A153" s="55" t="str">
        <f>HYPERLINK("http://reports.ofsted.gov.uk/inspection-reports/find-inspection-report/provider/CARE/1234317","Ofsted Social Care Provider Webpage")</f>
        <v>Ofsted Social Care Provider Webpage</v>
      </c>
      <c r="B153" s="55">
        <v>1234317</v>
      </c>
      <c r="D153" s="55" t="s">
        <v>373</v>
      </c>
      <c r="E153" s="74">
        <v>42586</v>
      </c>
      <c r="F153" s="55" t="s">
        <v>344</v>
      </c>
      <c r="G153" s="55" t="s">
        <v>360</v>
      </c>
      <c r="H153" s="55" t="s">
        <v>360</v>
      </c>
      <c r="I153" s="55" t="s">
        <v>360</v>
      </c>
      <c r="J153" s="55" t="s">
        <v>360</v>
      </c>
      <c r="K153" s="55" t="s">
        <v>360</v>
      </c>
      <c r="L153" s="55" t="s">
        <v>360</v>
      </c>
      <c r="M153" s="55" t="s">
        <v>378</v>
      </c>
      <c r="N153" s="55" t="s">
        <v>134</v>
      </c>
      <c r="O153" s="55" t="s">
        <v>158</v>
      </c>
      <c r="P153" s="55" t="s">
        <v>480</v>
      </c>
      <c r="Q153" s="55" t="s">
        <v>350</v>
      </c>
      <c r="R153" s="85">
        <v>6</v>
      </c>
      <c r="S153" s="55">
        <v>0</v>
      </c>
      <c r="T153" s="74" t="s">
        <v>377</v>
      </c>
      <c r="U153" s="74" t="s">
        <v>351</v>
      </c>
      <c r="V153" s="74">
        <v>44341</v>
      </c>
      <c r="W153" s="74">
        <v>44378</v>
      </c>
      <c r="X153" s="55">
        <v>10185360</v>
      </c>
      <c r="Y153" s="55" t="s">
        <v>130</v>
      </c>
      <c r="AB153" s="74" t="s">
        <v>132</v>
      </c>
      <c r="AC153" s="55" t="s">
        <v>132</v>
      </c>
      <c r="AL153" s="74"/>
      <c r="AM153" s="74"/>
      <c r="AW153" s="74"/>
      <c r="AX153" s="74"/>
    </row>
    <row r="154" spans="1:50" ht="13" x14ac:dyDescent="0.15">
      <c r="A154" s="55" t="str">
        <f>HYPERLINK("http://reports.ofsted.gov.uk/inspection-reports/find-inspection-report/provider/CARE/1234324","Ofsted Social Care Provider Webpage")</f>
        <v>Ofsted Social Care Provider Webpage</v>
      </c>
      <c r="B154" s="55">
        <v>1234324</v>
      </c>
      <c r="D154" s="55" t="s">
        <v>451</v>
      </c>
      <c r="E154" s="74">
        <v>42551</v>
      </c>
      <c r="F154" s="55" t="s">
        <v>344</v>
      </c>
      <c r="G154" s="55" t="s">
        <v>715</v>
      </c>
      <c r="H154" s="55" t="s">
        <v>716</v>
      </c>
      <c r="I154" s="55" t="s">
        <v>354</v>
      </c>
      <c r="J154" s="55" t="s">
        <v>192</v>
      </c>
      <c r="L154" s="55" t="s">
        <v>717</v>
      </c>
      <c r="M154" s="55" t="s">
        <v>129</v>
      </c>
      <c r="N154" s="55" t="s">
        <v>129</v>
      </c>
      <c r="O154" s="55" t="s">
        <v>192</v>
      </c>
      <c r="P154" s="55" t="s">
        <v>718</v>
      </c>
      <c r="Q154" s="55" t="s">
        <v>350</v>
      </c>
      <c r="R154" s="85">
        <v>3</v>
      </c>
      <c r="S154" s="55">
        <v>0</v>
      </c>
      <c r="T154" s="74" t="s">
        <v>719</v>
      </c>
      <c r="U154" s="74" t="s">
        <v>351</v>
      </c>
      <c r="V154" s="74">
        <v>44351</v>
      </c>
      <c r="W154" s="74">
        <v>44386</v>
      </c>
      <c r="X154" s="55">
        <v>10183278</v>
      </c>
      <c r="Y154" s="55" t="s">
        <v>132</v>
      </c>
      <c r="AB154" s="74" t="s">
        <v>132</v>
      </c>
      <c r="AC154" s="55" t="s">
        <v>130</v>
      </c>
      <c r="AL154" s="74"/>
      <c r="AM154" s="74"/>
    </row>
    <row r="155" spans="1:50" ht="13" x14ac:dyDescent="0.15">
      <c r="A155" s="55" t="str">
        <f>HYPERLINK("http://reports.ofsted.gov.uk/inspection-reports/find-inspection-report/provider/CARE/1234374","Ofsted Social Care Provider Webpage")</f>
        <v>Ofsted Social Care Provider Webpage</v>
      </c>
      <c r="B155" s="55">
        <v>1234374</v>
      </c>
      <c r="D155" s="55" t="s">
        <v>373</v>
      </c>
      <c r="E155" s="74">
        <v>42502</v>
      </c>
      <c r="F155" s="55" t="s">
        <v>344</v>
      </c>
      <c r="G155" s="55" t="s">
        <v>360</v>
      </c>
      <c r="H155" s="55" t="s">
        <v>360</v>
      </c>
      <c r="I155" s="55" t="s">
        <v>360</v>
      </c>
      <c r="J155" s="55" t="s">
        <v>360</v>
      </c>
      <c r="K155" s="55" t="s">
        <v>360</v>
      </c>
      <c r="L155" s="55" t="s">
        <v>360</v>
      </c>
      <c r="M155" s="55" t="s">
        <v>136</v>
      </c>
      <c r="N155" s="55" t="s">
        <v>136</v>
      </c>
      <c r="O155" s="55" t="s">
        <v>165</v>
      </c>
      <c r="P155" s="55" t="s">
        <v>720</v>
      </c>
      <c r="Q155" s="55" t="s">
        <v>350</v>
      </c>
      <c r="R155" s="85">
        <v>2</v>
      </c>
      <c r="S155" s="55">
        <v>0</v>
      </c>
      <c r="T155" s="74" t="s">
        <v>721</v>
      </c>
      <c r="U155" s="74" t="s">
        <v>351</v>
      </c>
      <c r="V155" s="74">
        <v>44349</v>
      </c>
      <c r="W155" s="74">
        <v>44379</v>
      </c>
      <c r="X155" s="55">
        <v>10186145</v>
      </c>
      <c r="Y155" s="55" t="s">
        <v>130</v>
      </c>
      <c r="AB155" s="74" t="s">
        <v>130</v>
      </c>
      <c r="AC155" s="55" t="s">
        <v>130</v>
      </c>
      <c r="AL155" s="74"/>
      <c r="AM155" s="74"/>
      <c r="AW155" s="74"/>
      <c r="AX155" s="74"/>
    </row>
    <row r="156" spans="1:50" ht="13" x14ac:dyDescent="0.15">
      <c r="A156" s="55" t="str">
        <f>HYPERLINK("http://reports.ofsted.gov.uk/inspection-reports/find-inspection-report/provider/CARE/1234374","Ofsted Social Care Provider Webpage")</f>
        <v>Ofsted Social Care Provider Webpage</v>
      </c>
      <c r="B156" s="55">
        <v>1234374</v>
      </c>
      <c r="D156" s="55" t="s">
        <v>373</v>
      </c>
      <c r="E156" s="74">
        <v>42502</v>
      </c>
      <c r="F156" s="55" t="s">
        <v>344</v>
      </c>
      <c r="G156" s="55" t="s">
        <v>360</v>
      </c>
      <c r="H156" s="55" t="s">
        <v>360</v>
      </c>
      <c r="I156" s="55" t="s">
        <v>360</v>
      </c>
      <c r="J156" s="55" t="s">
        <v>360</v>
      </c>
      <c r="K156" s="55" t="s">
        <v>360</v>
      </c>
      <c r="L156" s="55" t="s">
        <v>360</v>
      </c>
      <c r="M156" s="55" t="s">
        <v>136</v>
      </c>
      <c r="N156" s="55" t="s">
        <v>136</v>
      </c>
      <c r="O156" s="55" t="s">
        <v>165</v>
      </c>
      <c r="P156" s="55" t="s">
        <v>720</v>
      </c>
      <c r="Q156" s="55" t="s">
        <v>350</v>
      </c>
      <c r="R156" s="85">
        <v>2</v>
      </c>
      <c r="S156" s="55">
        <v>0</v>
      </c>
      <c r="T156" s="74" t="s">
        <v>721</v>
      </c>
      <c r="U156" s="74" t="s">
        <v>6703</v>
      </c>
      <c r="V156" s="74">
        <v>44593</v>
      </c>
      <c r="W156" s="74">
        <v>44622</v>
      </c>
      <c r="X156" s="55">
        <v>10209071</v>
      </c>
      <c r="Y156" s="55" t="s">
        <v>6705</v>
      </c>
      <c r="AL156" s="74"/>
      <c r="AM156" s="74"/>
      <c r="AW156" s="74"/>
      <c r="AX156" s="74"/>
    </row>
    <row r="157" spans="1:50" ht="13" x14ac:dyDescent="0.15">
      <c r="A157" s="55" t="str">
        <f>HYPERLINK("http://reports.ofsted.gov.uk/inspection-reports/find-inspection-report/provider/CARE/1234377","Ofsted Social Care Provider Webpage")</f>
        <v>Ofsted Social Care Provider Webpage</v>
      </c>
      <c r="B157" s="55">
        <v>1234377</v>
      </c>
      <c r="D157" s="55" t="s">
        <v>389</v>
      </c>
      <c r="E157" s="74">
        <v>42578</v>
      </c>
      <c r="F157" s="55" t="s">
        <v>344</v>
      </c>
      <c r="G157" s="55" t="s">
        <v>722</v>
      </c>
      <c r="H157" s="55" t="s">
        <v>723</v>
      </c>
      <c r="I157" s="55" t="s">
        <v>354</v>
      </c>
      <c r="J157" s="55" t="s">
        <v>281</v>
      </c>
      <c r="L157" s="55" t="s">
        <v>724</v>
      </c>
      <c r="M157" s="55" t="s">
        <v>144</v>
      </c>
      <c r="N157" s="55" t="s">
        <v>144</v>
      </c>
      <c r="O157" s="55" t="s">
        <v>281</v>
      </c>
      <c r="P157" s="55" t="s">
        <v>725</v>
      </c>
      <c r="Q157" s="55" t="s">
        <v>350</v>
      </c>
      <c r="S157" s="55">
        <v>0</v>
      </c>
      <c r="T157" s="74" t="s">
        <v>726</v>
      </c>
      <c r="U157" s="74" t="s">
        <v>351</v>
      </c>
      <c r="V157" s="74">
        <v>44515</v>
      </c>
      <c r="W157" s="74">
        <v>44575</v>
      </c>
      <c r="X157" s="55">
        <v>10183388</v>
      </c>
      <c r="Y157" s="55" t="s">
        <v>132</v>
      </c>
      <c r="AB157" s="74" t="s">
        <v>132</v>
      </c>
      <c r="AC157" s="55" t="s">
        <v>132</v>
      </c>
      <c r="AL157" s="74"/>
      <c r="AM157" s="74"/>
    </row>
    <row r="158" spans="1:50" ht="13" x14ac:dyDescent="0.15">
      <c r="A158" s="55" t="str">
        <f>HYPERLINK("http://reports.ofsted.gov.uk/inspection-reports/find-inspection-report/provider/CARE/1234430","Ofsted Social Care Provider Webpage")</f>
        <v>Ofsted Social Care Provider Webpage</v>
      </c>
      <c r="B158" s="55">
        <v>1234430</v>
      </c>
      <c r="D158" s="55" t="s">
        <v>373</v>
      </c>
      <c r="E158" s="74">
        <v>42579</v>
      </c>
      <c r="F158" s="55" t="s">
        <v>344</v>
      </c>
      <c r="G158" s="55" t="s">
        <v>360</v>
      </c>
      <c r="H158" s="55" t="s">
        <v>360</v>
      </c>
      <c r="I158" s="55" t="s">
        <v>360</v>
      </c>
      <c r="J158" s="55" t="s">
        <v>360</v>
      </c>
      <c r="K158" s="55" t="s">
        <v>360</v>
      </c>
      <c r="L158" s="55" t="s">
        <v>360</v>
      </c>
      <c r="M158" s="55" t="s">
        <v>142</v>
      </c>
      <c r="N158" s="55" t="s">
        <v>142</v>
      </c>
      <c r="O158" s="55" t="s">
        <v>141</v>
      </c>
      <c r="P158" s="55" t="s">
        <v>573</v>
      </c>
      <c r="Q158" s="55" t="s">
        <v>350</v>
      </c>
      <c r="R158" s="85">
        <v>3</v>
      </c>
      <c r="S158" s="55">
        <v>0</v>
      </c>
      <c r="T158" s="74" t="s">
        <v>727</v>
      </c>
      <c r="U158" s="74" t="s">
        <v>351</v>
      </c>
      <c r="V158" s="74">
        <v>44585</v>
      </c>
      <c r="W158" s="74">
        <v>44621</v>
      </c>
      <c r="X158" s="55">
        <v>10187581</v>
      </c>
      <c r="Y158" s="55" t="s">
        <v>130</v>
      </c>
      <c r="AB158" s="74" t="s">
        <v>130</v>
      </c>
      <c r="AC158" s="55" t="s">
        <v>130</v>
      </c>
      <c r="AL158" s="74"/>
      <c r="AM158" s="74"/>
      <c r="AW158" s="74"/>
      <c r="AX158" s="74"/>
    </row>
    <row r="159" spans="1:50" ht="13" x14ac:dyDescent="0.15">
      <c r="A159" s="55" t="str">
        <f>HYPERLINK("http://reports.ofsted.gov.uk/inspection-reports/find-inspection-report/provider/CARE/1234432","Ofsted Social Care Provider Webpage")</f>
        <v>Ofsted Social Care Provider Webpage</v>
      </c>
      <c r="B159" s="55">
        <v>1234432</v>
      </c>
      <c r="D159" s="55" t="s">
        <v>373</v>
      </c>
      <c r="E159" s="74">
        <v>42524</v>
      </c>
      <c r="F159" s="55" t="s">
        <v>728</v>
      </c>
      <c r="G159" s="55" t="s">
        <v>360</v>
      </c>
      <c r="H159" s="55" t="s">
        <v>360</v>
      </c>
      <c r="I159" s="55" t="s">
        <v>360</v>
      </c>
      <c r="J159" s="55" t="s">
        <v>360</v>
      </c>
      <c r="K159" s="55" t="s">
        <v>360</v>
      </c>
      <c r="L159" s="55" t="s">
        <v>360</v>
      </c>
      <c r="M159" s="55" t="s">
        <v>144</v>
      </c>
      <c r="N159" s="55" t="s">
        <v>144</v>
      </c>
      <c r="O159" s="55" t="s">
        <v>207</v>
      </c>
      <c r="P159" s="55" t="s">
        <v>207</v>
      </c>
      <c r="Q159" s="55" t="s">
        <v>350</v>
      </c>
      <c r="R159" s="85">
        <v>2</v>
      </c>
      <c r="S159" s="55">
        <v>0</v>
      </c>
      <c r="T159" s="74" t="s">
        <v>729</v>
      </c>
      <c r="U159" s="74" t="s">
        <v>2053</v>
      </c>
      <c r="V159" s="74">
        <v>44488</v>
      </c>
      <c r="W159" s="74">
        <v>44532</v>
      </c>
      <c r="X159" s="55">
        <v>10210512</v>
      </c>
      <c r="AL159" s="74"/>
      <c r="AM159" s="74"/>
      <c r="AW159" s="74"/>
      <c r="AX159" s="74"/>
    </row>
    <row r="160" spans="1:50" ht="13" x14ac:dyDescent="0.15">
      <c r="A160" s="55" t="str">
        <f>HYPERLINK("http://reports.ofsted.gov.uk/inspection-reports/find-inspection-report/provider/CARE/1234432","Ofsted Social Care Provider Webpage")</f>
        <v>Ofsted Social Care Provider Webpage</v>
      </c>
      <c r="B160" s="55">
        <v>1234432</v>
      </c>
      <c r="D160" s="55" t="s">
        <v>373</v>
      </c>
      <c r="E160" s="74">
        <v>42524</v>
      </c>
      <c r="F160" s="55" t="s">
        <v>728</v>
      </c>
      <c r="G160" s="55" t="s">
        <v>360</v>
      </c>
      <c r="H160" s="55" t="s">
        <v>360</v>
      </c>
      <c r="I160" s="55" t="s">
        <v>360</v>
      </c>
      <c r="J160" s="55" t="s">
        <v>360</v>
      </c>
      <c r="K160" s="55" t="s">
        <v>360</v>
      </c>
      <c r="L160" s="55" t="s">
        <v>360</v>
      </c>
      <c r="M160" s="55" t="s">
        <v>144</v>
      </c>
      <c r="N160" s="55" t="s">
        <v>144</v>
      </c>
      <c r="O160" s="55" t="s">
        <v>207</v>
      </c>
      <c r="P160" s="55" t="s">
        <v>207</v>
      </c>
      <c r="Q160" s="55" t="s">
        <v>350</v>
      </c>
      <c r="R160" s="85">
        <v>2</v>
      </c>
      <c r="S160" s="55">
        <v>0</v>
      </c>
      <c r="T160" s="74" t="s">
        <v>729</v>
      </c>
      <c r="U160" s="74" t="s">
        <v>351</v>
      </c>
      <c r="V160" s="74">
        <v>44446</v>
      </c>
      <c r="W160" s="74">
        <v>44482</v>
      </c>
      <c r="X160" s="55">
        <v>10186844</v>
      </c>
      <c r="Y160" s="55" t="s">
        <v>146</v>
      </c>
      <c r="AB160" s="74" t="s">
        <v>146</v>
      </c>
      <c r="AC160" s="55" t="s">
        <v>146</v>
      </c>
      <c r="AL160" s="74"/>
      <c r="AM160" s="74"/>
    </row>
    <row r="161" spans="1:50" ht="13" x14ac:dyDescent="0.15">
      <c r="A161" s="55" t="str">
        <f>HYPERLINK("http://reports.ofsted.gov.uk/inspection-reports/find-inspection-report/provider/CARE/1234432","Ofsted Social Care Provider Webpage")</f>
        <v>Ofsted Social Care Provider Webpage</v>
      </c>
      <c r="B161" s="55">
        <v>1234432</v>
      </c>
      <c r="D161" s="55" t="s">
        <v>373</v>
      </c>
      <c r="E161" s="74">
        <v>42524</v>
      </c>
      <c r="F161" s="55" t="s">
        <v>728</v>
      </c>
      <c r="G161" s="55" t="s">
        <v>360</v>
      </c>
      <c r="H161" s="55" t="s">
        <v>360</v>
      </c>
      <c r="I161" s="55" t="s">
        <v>360</v>
      </c>
      <c r="J161" s="55" t="s">
        <v>360</v>
      </c>
      <c r="K161" s="55" t="s">
        <v>360</v>
      </c>
      <c r="L161" s="55" t="s">
        <v>360</v>
      </c>
      <c r="M161" s="55" t="s">
        <v>144</v>
      </c>
      <c r="N161" s="55" t="s">
        <v>144</v>
      </c>
      <c r="O161" s="55" t="s">
        <v>207</v>
      </c>
      <c r="P161" s="55" t="s">
        <v>207</v>
      </c>
      <c r="Q161" s="55" t="s">
        <v>350</v>
      </c>
      <c r="R161" s="85">
        <v>2</v>
      </c>
      <c r="S161" s="55">
        <v>0</v>
      </c>
      <c r="T161" s="74" t="s">
        <v>729</v>
      </c>
      <c r="U161" s="74" t="s">
        <v>2053</v>
      </c>
      <c r="V161" s="74">
        <v>44607</v>
      </c>
      <c r="W161" s="74">
        <v>44650</v>
      </c>
      <c r="X161" s="55">
        <v>10220851</v>
      </c>
      <c r="AL161" s="74"/>
      <c r="AM161" s="74"/>
    </row>
    <row r="162" spans="1:50" ht="13" x14ac:dyDescent="0.15">
      <c r="A162" s="55" t="str">
        <f>HYPERLINK("http://reports.ofsted.gov.uk/inspection-reports/find-inspection-report/provider/CARE/1234432","Ofsted Social Care Provider Webpage")</f>
        <v>Ofsted Social Care Provider Webpage</v>
      </c>
      <c r="B162" s="55">
        <v>1234432</v>
      </c>
      <c r="D162" s="55" t="s">
        <v>373</v>
      </c>
      <c r="E162" s="74">
        <v>42524</v>
      </c>
      <c r="F162" s="55" t="s">
        <v>728</v>
      </c>
      <c r="G162" s="55" t="s">
        <v>360</v>
      </c>
      <c r="H162" s="55" t="s">
        <v>360</v>
      </c>
      <c r="I162" s="55" t="s">
        <v>360</v>
      </c>
      <c r="J162" s="55" t="s">
        <v>360</v>
      </c>
      <c r="K162" s="55" t="s">
        <v>360</v>
      </c>
      <c r="L162" s="55" t="s">
        <v>360</v>
      </c>
      <c r="M162" s="55" t="s">
        <v>144</v>
      </c>
      <c r="N162" s="55" t="s">
        <v>144</v>
      </c>
      <c r="O162" s="55" t="s">
        <v>207</v>
      </c>
      <c r="P162" s="55" t="s">
        <v>207</v>
      </c>
      <c r="Q162" s="55" t="s">
        <v>350</v>
      </c>
      <c r="R162" s="85">
        <v>2</v>
      </c>
      <c r="S162" s="55">
        <v>0</v>
      </c>
      <c r="T162" s="74" t="s">
        <v>729</v>
      </c>
      <c r="U162" s="74" t="s">
        <v>2053</v>
      </c>
      <c r="V162" s="74">
        <v>44524</v>
      </c>
      <c r="W162" s="74">
        <v>44565</v>
      </c>
      <c r="X162" s="55">
        <v>10216224</v>
      </c>
      <c r="AL162" s="74"/>
      <c r="AM162" s="74"/>
    </row>
    <row r="163" spans="1:50" ht="13" x14ac:dyDescent="0.15">
      <c r="A163" s="55" t="str">
        <f>HYPERLINK("http://reports.ofsted.gov.uk/inspection-reports/find-inspection-report/provider/CARE/1234432","Ofsted Social Care Provider Webpage")</f>
        <v>Ofsted Social Care Provider Webpage</v>
      </c>
      <c r="B163" s="55">
        <v>1234432</v>
      </c>
      <c r="D163" s="55" t="s">
        <v>373</v>
      </c>
      <c r="E163" s="74">
        <v>42524</v>
      </c>
      <c r="F163" s="55" t="s">
        <v>728</v>
      </c>
      <c r="G163" s="55" t="s">
        <v>360</v>
      </c>
      <c r="H163" s="55" t="s">
        <v>360</v>
      </c>
      <c r="I163" s="55" t="s">
        <v>360</v>
      </c>
      <c r="J163" s="55" t="s">
        <v>360</v>
      </c>
      <c r="K163" s="55" t="s">
        <v>360</v>
      </c>
      <c r="L163" s="55" t="s">
        <v>360</v>
      </c>
      <c r="M163" s="55" t="s">
        <v>144</v>
      </c>
      <c r="N163" s="55" t="s">
        <v>144</v>
      </c>
      <c r="O163" s="55" t="s">
        <v>207</v>
      </c>
      <c r="P163" s="55" t="s">
        <v>207</v>
      </c>
      <c r="Q163" s="55" t="s">
        <v>350</v>
      </c>
      <c r="R163" s="85">
        <v>2</v>
      </c>
      <c r="S163" s="55">
        <v>0</v>
      </c>
      <c r="T163" s="74" t="s">
        <v>729</v>
      </c>
      <c r="U163" s="74" t="s">
        <v>2053</v>
      </c>
      <c r="V163" s="74">
        <v>44578</v>
      </c>
      <c r="W163" s="74">
        <v>44610</v>
      </c>
      <c r="X163" s="55">
        <v>10219615</v>
      </c>
      <c r="AL163" s="74"/>
      <c r="AM163" s="74"/>
    </row>
    <row r="164" spans="1:50" ht="13" x14ac:dyDescent="0.15">
      <c r="A164" s="55" t="str">
        <f>HYPERLINK("http://reports.ofsted.gov.uk/inspection-reports/find-inspection-report/provider/CARE/1234621","Ofsted Social Care Provider Webpage")</f>
        <v>Ofsted Social Care Provider Webpage</v>
      </c>
      <c r="B164" s="55">
        <v>1234621</v>
      </c>
      <c r="D164" s="55" t="s">
        <v>373</v>
      </c>
      <c r="E164" s="74">
        <v>42570</v>
      </c>
      <c r="F164" s="55" t="s">
        <v>344</v>
      </c>
      <c r="G164" s="55" t="s">
        <v>360</v>
      </c>
      <c r="H164" s="55" t="s">
        <v>360</v>
      </c>
      <c r="I164" s="55" t="s">
        <v>360</v>
      </c>
      <c r="J164" s="55" t="s">
        <v>360</v>
      </c>
      <c r="K164" s="55" t="s">
        <v>360</v>
      </c>
      <c r="L164" s="55" t="s">
        <v>360</v>
      </c>
      <c r="M164" s="55" t="s">
        <v>138</v>
      </c>
      <c r="N164" s="55" t="s">
        <v>138</v>
      </c>
      <c r="O164" s="55" t="s">
        <v>183</v>
      </c>
      <c r="P164" s="55" t="s">
        <v>730</v>
      </c>
      <c r="Q164" s="55" t="s">
        <v>350</v>
      </c>
      <c r="R164" s="85">
        <v>5</v>
      </c>
      <c r="S164" s="55">
        <v>0</v>
      </c>
      <c r="T164" s="74" t="s">
        <v>450</v>
      </c>
      <c r="U164" s="74" t="s">
        <v>351</v>
      </c>
      <c r="V164" s="74">
        <v>44403</v>
      </c>
      <c r="W164" s="74">
        <v>44435</v>
      </c>
      <c r="X164" s="55">
        <v>10186617</v>
      </c>
      <c r="Y164" s="55" t="s">
        <v>130</v>
      </c>
      <c r="AB164" s="74" t="s">
        <v>130</v>
      </c>
      <c r="AC164" s="55" t="s">
        <v>130</v>
      </c>
      <c r="AL164" s="74"/>
      <c r="AM164" s="74"/>
    </row>
    <row r="165" spans="1:50" ht="13" x14ac:dyDescent="0.15">
      <c r="A165" s="55" t="str">
        <f>HYPERLINK("http://reports.ofsted.gov.uk/inspection-reports/find-inspection-report/provider/CARE/1234621","Ofsted Social Care Provider Webpage")</f>
        <v>Ofsted Social Care Provider Webpage</v>
      </c>
      <c r="B165" s="55">
        <v>1234621</v>
      </c>
      <c r="D165" s="55" t="s">
        <v>373</v>
      </c>
      <c r="E165" s="74">
        <v>42570</v>
      </c>
      <c r="F165" s="55" t="s">
        <v>344</v>
      </c>
      <c r="G165" s="55" t="s">
        <v>360</v>
      </c>
      <c r="H165" s="55" t="s">
        <v>360</v>
      </c>
      <c r="I165" s="55" t="s">
        <v>360</v>
      </c>
      <c r="J165" s="55" t="s">
        <v>360</v>
      </c>
      <c r="K165" s="55" t="s">
        <v>360</v>
      </c>
      <c r="L165" s="55" t="s">
        <v>360</v>
      </c>
      <c r="M165" s="55" t="s">
        <v>138</v>
      </c>
      <c r="N165" s="55" t="s">
        <v>138</v>
      </c>
      <c r="O165" s="55" t="s">
        <v>183</v>
      </c>
      <c r="P165" s="55" t="s">
        <v>730</v>
      </c>
      <c r="Q165" s="55" t="s">
        <v>350</v>
      </c>
      <c r="R165" s="85">
        <v>5</v>
      </c>
      <c r="S165" s="55">
        <v>0</v>
      </c>
      <c r="T165" s="74" t="s">
        <v>450</v>
      </c>
      <c r="U165" s="74" t="s">
        <v>6703</v>
      </c>
      <c r="V165" s="74">
        <v>44642</v>
      </c>
      <c r="W165" s="74">
        <v>44680</v>
      </c>
      <c r="X165" s="55">
        <v>10205262</v>
      </c>
      <c r="Y165" s="55" t="s">
        <v>6705</v>
      </c>
      <c r="AL165" s="74"/>
      <c r="AM165" s="74"/>
    </row>
    <row r="166" spans="1:50" ht="13" x14ac:dyDescent="0.15">
      <c r="A166" s="55" t="str">
        <f>HYPERLINK("http://reports.ofsted.gov.uk/inspection-reports/find-inspection-report/provider/CARE/1234851","Ofsted Social Care Provider Webpage")</f>
        <v>Ofsted Social Care Provider Webpage</v>
      </c>
      <c r="B166" s="55">
        <v>1234851</v>
      </c>
      <c r="D166" s="55" t="s">
        <v>443</v>
      </c>
      <c r="E166" s="74">
        <v>42608</v>
      </c>
      <c r="F166" s="55" t="s">
        <v>344</v>
      </c>
      <c r="G166" s="55" t="s">
        <v>731</v>
      </c>
      <c r="H166" s="55" t="s">
        <v>732</v>
      </c>
      <c r="I166" s="55" t="s">
        <v>354</v>
      </c>
      <c r="J166" s="55" t="s">
        <v>733</v>
      </c>
      <c r="K166" s="55" t="s">
        <v>190</v>
      </c>
      <c r="L166" s="55" t="s">
        <v>734</v>
      </c>
      <c r="M166" s="55" t="s">
        <v>150</v>
      </c>
      <c r="N166" s="55" t="s">
        <v>150</v>
      </c>
      <c r="O166" s="55" t="s">
        <v>190</v>
      </c>
      <c r="P166" s="55" t="s">
        <v>500</v>
      </c>
      <c r="Q166" s="55" t="s">
        <v>350</v>
      </c>
      <c r="S166" s="55">
        <v>0</v>
      </c>
      <c r="T166" s="74" t="s">
        <v>735</v>
      </c>
      <c r="U166" s="74" t="s">
        <v>351</v>
      </c>
      <c r="V166" s="74">
        <v>44544</v>
      </c>
      <c r="W166" s="74">
        <v>44609</v>
      </c>
      <c r="X166" s="55">
        <v>10183303</v>
      </c>
      <c r="Y166" s="55" t="s">
        <v>140</v>
      </c>
      <c r="AB166" s="74" t="s">
        <v>140</v>
      </c>
      <c r="AC166" s="55" t="s">
        <v>140</v>
      </c>
      <c r="AL166" s="74"/>
      <c r="AM166" s="74"/>
    </row>
    <row r="167" spans="1:50" ht="13" x14ac:dyDescent="0.15">
      <c r="A167" s="55" t="str">
        <f>HYPERLINK("http://reports.ofsted.gov.uk/inspection-reports/find-inspection-report/provider/CARE/1234990","Ofsted Social Care Provider Webpage")</f>
        <v>Ofsted Social Care Provider Webpage</v>
      </c>
      <c r="B167" s="55">
        <v>1234990</v>
      </c>
      <c r="D167" s="55" t="s">
        <v>373</v>
      </c>
      <c r="E167" s="74">
        <v>42857</v>
      </c>
      <c r="F167" s="55" t="s">
        <v>6707</v>
      </c>
      <c r="G167" s="55" t="s">
        <v>360</v>
      </c>
      <c r="H167" s="55" t="s">
        <v>360</v>
      </c>
      <c r="I167" s="55" t="s">
        <v>360</v>
      </c>
      <c r="J167" s="55" t="s">
        <v>360</v>
      </c>
      <c r="K167" s="55" t="s">
        <v>360</v>
      </c>
      <c r="L167" s="55" t="s">
        <v>360</v>
      </c>
      <c r="M167" s="55" t="s">
        <v>378</v>
      </c>
      <c r="N167" s="55" t="s">
        <v>170</v>
      </c>
      <c r="O167" s="55" t="s">
        <v>222</v>
      </c>
      <c r="P167" s="55" t="s">
        <v>521</v>
      </c>
      <c r="Q167" s="55" t="s">
        <v>362</v>
      </c>
      <c r="R167" s="85">
        <v>14</v>
      </c>
      <c r="S167" s="55">
        <v>0</v>
      </c>
      <c r="T167" s="74" t="s">
        <v>6708</v>
      </c>
      <c r="U167" s="74" t="s">
        <v>2053</v>
      </c>
      <c r="V167" s="74">
        <v>44369</v>
      </c>
      <c r="W167" s="74">
        <v>44405</v>
      </c>
      <c r="X167" s="55">
        <v>10198314</v>
      </c>
      <c r="AL167" s="74"/>
      <c r="AM167" s="74"/>
      <c r="AW167" s="74"/>
      <c r="AX167" s="74"/>
    </row>
    <row r="168" spans="1:50" ht="13" x14ac:dyDescent="0.15">
      <c r="A168" s="55" t="str">
        <f>HYPERLINK("http://reports.ofsted.gov.uk/inspection-reports/find-inspection-report/provider/CARE/1234990","Ofsted Social Care Provider Webpage")</f>
        <v>Ofsted Social Care Provider Webpage</v>
      </c>
      <c r="B168" s="55">
        <v>1234990</v>
      </c>
      <c r="D168" s="55" t="s">
        <v>373</v>
      </c>
      <c r="E168" s="74">
        <v>42857</v>
      </c>
      <c r="F168" s="55" t="s">
        <v>6707</v>
      </c>
      <c r="G168" s="55" t="s">
        <v>360</v>
      </c>
      <c r="H168" s="55" t="s">
        <v>360</v>
      </c>
      <c r="I168" s="55" t="s">
        <v>360</v>
      </c>
      <c r="J168" s="55" t="s">
        <v>360</v>
      </c>
      <c r="K168" s="55" t="s">
        <v>360</v>
      </c>
      <c r="L168" s="55" t="s">
        <v>360</v>
      </c>
      <c r="M168" s="55" t="s">
        <v>378</v>
      </c>
      <c r="N168" s="55" t="s">
        <v>170</v>
      </c>
      <c r="O168" s="55" t="s">
        <v>222</v>
      </c>
      <c r="P168" s="55" t="s">
        <v>521</v>
      </c>
      <c r="Q168" s="55" t="s">
        <v>362</v>
      </c>
      <c r="R168" s="85">
        <v>14</v>
      </c>
      <c r="S168" s="55">
        <v>0</v>
      </c>
      <c r="T168" s="74" t="s">
        <v>6708</v>
      </c>
      <c r="U168" s="74" t="s">
        <v>351</v>
      </c>
      <c r="V168" s="74">
        <v>44320</v>
      </c>
      <c r="W168" s="74">
        <v>44357</v>
      </c>
      <c r="X168" s="55">
        <v>10187112</v>
      </c>
      <c r="Y168" s="55" t="s">
        <v>130</v>
      </c>
      <c r="AB168" s="74" t="s">
        <v>130</v>
      </c>
      <c r="AC168" s="55" t="s">
        <v>146</v>
      </c>
      <c r="AL168" s="74"/>
      <c r="AM168" s="74"/>
      <c r="AW168" s="74"/>
      <c r="AX168" s="74"/>
    </row>
    <row r="169" spans="1:50" ht="13" x14ac:dyDescent="0.15">
      <c r="A169" s="55" t="str">
        <f>HYPERLINK("http://reports.ofsted.gov.uk/inspection-reports/find-inspection-report/provider/CARE/1234990","Ofsted Social Care Provider Webpage")</f>
        <v>Ofsted Social Care Provider Webpage</v>
      </c>
      <c r="B169" s="55">
        <v>1234990</v>
      </c>
      <c r="D169" s="55" t="s">
        <v>373</v>
      </c>
      <c r="E169" s="74">
        <v>42857</v>
      </c>
      <c r="F169" s="55" t="s">
        <v>6707</v>
      </c>
      <c r="G169" s="55" t="s">
        <v>360</v>
      </c>
      <c r="H169" s="55" t="s">
        <v>360</v>
      </c>
      <c r="I169" s="55" t="s">
        <v>360</v>
      </c>
      <c r="J169" s="55" t="s">
        <v>360</v>
      </c>
      <c r="K169" s="55" t="s">
        <v>360</v>
      </c>
      <c r="L169" s="55" t="s">
        <v>360</v>
      </c>
      <c r="M169" s="55" t="s">
        <v>378</v>
      </c>
      <c r="N169" s="55" t="s">
        <v>170</v>
      </c>
      <c r="O169" s="55" t="s">
        <v>222</v>
      </c>
      <c r="P169" s="55" t="s">
        <v>521</v>
      </c>
      <c r="Q169" s="55" t="s">
        <v>362</v>
      </c>
      <c r="R169" s="85">
        <v>14</v>
      </c>
      <c r="S169" s="55">
        <v>0</v>
      </c>
      <c r="T169" s="74" t="s">
        <v>6708</v>
      </c>
      <c r="U169" s="74" t="s">
        <v>2053</v>
      </c>
      <c r="V169" s="74">
        <v>44432</v>
      </c>
      <c r="W169" s="74">
        <v>44461</v>
      </c>
      <c r="X169" s="55">
        <v>10199093</v>
      </c>
      <c r="AL169" s="74"/>
      <c r="AM169" s="74"/>
      <c r="AW169" s="74"/>
      <c r="AX169" s="74"/>
    </row>
    <row r="170" spans="1:50" ht="13" x14ac:dyDescent="0.15">
      <c r="A170" s="55" t="str">
        <f>HYPERLINK("http://reports.ofsted.gov.uk/inspection-reports/find-inspection-report/provider/CARE/1235384","Ofsted Social Care Provider Webpage")</f>
        <v>Ofsted Social Care Provider Webpage</v>
      </c>
      <c r="B170" s="55">
        <v>1235384</v>
      </c>
      <c r="D170" s="55" t="s">
        <v>373</v>
      </c>
      <c r="E170" s="74">
        <v>42594</v>
      </c>
      <c r="F170" s="55" t="s">
        <v>344</v>
      </c>
      <c r="G170" s="55" t="s">
        <v>360</v>
      </c>
      <c r="H170" s="55" t="s">
        <v>360</v>
      </c>
      <c r="I170" s="55" t="s">
        <v>360</v>
      </c>
      <c r="J170" s="55" t="s">
        <v>360</v>
      </c>
      <c r="K170" s="55" t="s">
        <v>360</v>
      </c>
      <c r="L170" s="55" t="s">
        <v>360</v>
      </c>
      <c r="M170" s="55" t="s">
        <v>144</v>
      </c>
      <c r="N170" s="55" t="s">
        <v>144</v>
      </c>
      <c r="O170" s="55" t="s">
        <v>209</v>
      </c>
      <c r="P170" s="55" t="s">
        <v>736</v>
      </c>
      <c r="Q170" s="55" t="s">
        <v>350</v>
      </c>
      <c r="R170" s="85">
        <v>2</v>
      </c>
      <c r="S170" s="55">
        <v>0</v>
      </c>
      <c r="T170" s="74" t="s">
        <v>737</v>
      </c>
      <c r="U170" s="74" t="s">
        <v>351</v>
      </c>
      <c r="V170" s="74">
        <v>44615</v>
      </c>
      <c r="W170" s="74">
        <v>44665</v>
      </c>
      <c r="X170" s="55">
        <v>10185750</v>
      </c>
      <c r="Y170" s="55" t="s">
        <v>132</v>
      </c>
      <c r="AB170" s="74" t="s">
        <v>132</v>
      </c>
      <c r="AC170" s="55" t="s">
        <v>132</v>
      </c>
      <c r="AL170" s="74"/>
      <c r="AM170" s="74"/>
    </row>
    <row r="171" spans="1:50" ht="13" x14ac:dyDescent="0.15">
      <c r="A171" s="55" t="str">
        <f>HYPERLINK("http://reports.ofsted.gov.uk/inspection-reports/find-inspection-report/provider/CARE/1235576","Ofsted Social Care Provider Webpage")</f>
        <v>Ofsted Social Care Provider Webpage</v>
      </c>
      <c r="B171" s="55">
        <v>1235576</v>
      </c>
      <c r="D171" s="55" t="s">
        <v>373</v>
      </c>
      <c r="E171" s="74">
        <v>42537</v>
      </c>
      <c r="F171" s="55" t="s">
        <v>344</v>
      </c>
      <c r="G171" s="55" t="s">
        <v>360</v>
      </c>
      <c r="H171" s="55" t="s">
        <v>360</v>
      </c>
      <c r="I171" s="55" t="s">
        <v>360</v>
      </c>
      <c r="J171" s="55" t="s">
        <v>360</v>
      </c>
      <c r="K171" s="55" t="s">
        <v>360</v>
      </c>
      <c r="L171" s="55" t="s">
        <v>360</v>
      </c>
      <c r="M171" s="55" t="s">
        <v>136</v>
      </c>
      <c r="N171" s="55" t="s">
        <v>136</v>
      </c>
      <c r="O171" s="55" t="s">
        <v>239</v>
      </c>
      <c r="P171" s="55" t="s">
        <v>738</v>
      </c>
      <c r="Q171" s="55" t="s">
        <v>350</v>
      </c>
      <c r="R171" s="85">
        <v>2</v>
      </c>
      <c r="S171" s="55">
        <v>0</v>
      </c>
      <c r="T171" s="74" t="s">
        <v>739</v>
      </c>
      <c r="U171" s="74" t="s">
        <v>351</v>
      </c>
      <c r="V171" s="74">
        <v>44518</v>
      </c>
      <c r="W171" s="74">
        <v>44575</v>
      </c>
      <c r="X171" s="55">
        <v>10186790</v>
      </c>
      <c r="Y171" s="55" t="s">
        <v>132</v>
      </c>
      <c r="AB171" s="74" t="s">
        <v>132</v>
      </c>
      <c r="AC171" s="55" t="s">
        <v>132</v>
      </c>
      <c r="AL171" s="74"/>
      <c r="AM171" s="74"/>
      <c r="AW171" s="74"/>
      <c r="AX171" s="74"/>
    </row>
    <row r="172" spans="1:50" ht="13" x14ac:dyDescent="0.15">
      <c r="A172" s="55" t="str">
        <f>HYPERLINK("http://reports.ofsted.gov.uk/inspection-reports/find-inspection-report/provider/CARE/1235654","Ofsted Social Care Provider Webpage")</f>
        <v>Ofsted Social Care Provider Webpage</v>
      </c>
      <c r="B172" s="55">
        <v>1235654</v>
      </c>
      <c r="D172" s="55" t="s">
        <v>373</v>
      </c>
      <c r="E172" s="74">
        <v>42566</v>
      </c>
      <c r="F172" s="55" t="s">
        <v>344</v>
      </c>
      <c r="G172" s="55" t="s">
        <v>360</v>
      </c>
      <c r="H172" s="55" t="s">
        <v>360</v>
      </c>
      <c r="I172" s="55" t="s">
        <v>360</v>
      </c>
      <c r="J172" s="55" t="s">
        <v>360</v>
      </c>
      <c r="K172" s="55" t="s">
        <v>360</v>
      </c>
      <c r="L172" s="55" t="s">
        <v>360</v>
      </c>
      <c r="M172" s="55" t="s">
        <v>172</v>
      </c>
      <c r="N172" s="55" t="s">
        <v>172</v>
      </c>
      <c r="O172" s="55" t="s">
        <v>212</v>
      </c>
      <c r="P172" s="55" t="s">
        <v>547</v>
      </c>
      <c r="Q172" s="55" t="s">
        <v>350</v>
      </c>
      <c r="R172" s="85">
        <v>4</v>
      </c>
      <c r="S172" s="55">
        <v>0</v>
      </c>
      <c r="T172" s="74" t="s">
        <v>489</v>
      </c>
      <c r="U172" s="74" t="s">
        <v>351</v>
      </c>
      <c r="V172" s="74">
        <v>44397</v>
      </c>
      <c r="W172" s="74">
        <v>44433</v>
      </c>
      <c r="X172" s="55">
        <v>10186346</v>
      </c>
      <c r="Y172" s="55" t="s">
        <v>132</v>
      </c>
      <c r="AB172" s="74" t="s">
        <v>132</v>
      </c>
      <c r="AC172" s="55" t="s">
        <v>130</v>
      </c>
      <c r="AL172" s="74"/>
      <c r="AM172" s="74"/>
    </row>
    <row r="173" spans="1:50" ht="13" x14ac:dyDescent="0.15">
      <c r="A173" s="55" t="str">
        <f>HYPERLINK("http://reports.ofsted.gov.uk/inspection-reports/find-inspection-report/provider/CARE/1235818","Ofsted Social Care Provider Webpage")</f>
        <v>Ofsted Social Care Provider Webpage</v>
      </c>
      <c r="B173" s="55">
        <v>1235818</v>
      </c>
      <c r="D173" s="55" t="s">
        <v>373</v>
      </c>
      <c r="E173" s="74">
        <v>42530</v>
      </c>
      <c r="F173" s="55" t="s">
        <v>344</v>
      </c>
      <c r="G173" s="55" t="s">
        <v>360</v>
      </c>
      <c r="H173" s="55" t="s">
        <v>360</v>
      </c>
      <c r="I173" s="55" t="s">
        <v>360</v>
      </c>
      <c r="J173" s="55" t="s">
        <v>360</v>
      </c>
      <c r="K173" s="55" t="s">
        <v>360</v>
      </c>
      <c r="L173" s="55" t="s">
        <v>360</v>
      </c>
      <c r="M173" s="55" t="s">
        <v>378</v>
      </c>
      <c r="N173" s="55" t="s">
        <v>134</v>
      </c>
      <c r="O173" s="55" t="s">
        <v>232</v>
      </c>
      <c r="P173" s="55" t="s">
        <v>412</v>
      </c>
      <c r="Q173" s="55" t="s">
        <v>350</v>
      </c>
      <c r="R173" s="85">
        <v>4</v>
      </c>
      <c r="S173" s="55">
        <v>0</v>
      </c>
      <c r="T173" s="74" t="s">
        <v>385</v>
      </c>
      <c r="U173" s="74" t="s">
        <v>351</v>
      </c>
      <c r="V173" s="74">
        <v>44593</v>
      </c>
      <c r="W173" s="74">
        <v>44641</v>
      </c>
      <c r="X173" s="55">
        <v>10185729</v>
      </c>
      <c r="Y173" s="55" t="s">
        <v>132</v>
      </c>
      <c r="AB173" s="74" t="s">
        <v>132</v>
      </c>
      <c r="AC173" s="55" t="s">
        <v>132</v>
      </c>
      <c r="AL173" s="74"/>
      <c r="AM173" s="74"/>
    </row>
    <row r="174" spans="1:50" ht="13" x14ac:dyDescent="0.15">
      <c r="A174" s="55" t="str">
        <f>HYPERLINK("http://reports.ofsted.gov.uk/inspection-reports/find-inspection-report/provider/CARE/1236026","Ofsted Social Care Provider Webpage")</f>
        <v>Ofsted Social Care Provider Webpage</v>
      </c>
      <c r="B174" s="55">
        <v>1236026</v>
      </c>
      <c r="D174" s="55" t="s">
        <v>373</v>
      </c>
      <c r="E174" s="74">
        <v>42497</v>
      </c>
      <c r="F174" s="55" t="s">
        <v>344</v>
      </c>
      <c r="G174" s="55" t="s">
        <v>360</v>
      </c>
      <c r="H174" s="55" t="s">
        <v>360</v>
      </c>
      <c r="I174" s="55" t="s">
        <v>360</v>
      </c>
      <c r="J174" s="55" t="s">
        <v>360</v>
      </c>
      <c r="K174" s="55" t="s">
        <v>360</v>
      </c>
      <c r="L174" s="55" t="s">
        <v>360</v>
      </c>
      <c r="M174" s="55" t="s">
        <v>378</v>
      </c>
      <c r="N174" s="55" t="s">
        <v>170</v>
      </c>
      <c r="O174" s="55" t="s">
        <v>178</v>
      </c>
      <c r="P174" s="55" t="s">
        <v>434</v>
      </c>
      <c r="Q174" s="55" t="s">
        <v>350</v>
      </c>
      <c r="R174" s="85">
        <v>4</v>
      </c>
      <c r="S174" s="55">
        <v>0</v>
      </c>
      <c r="T174" s="74" t="s">
        <v>385</v>
      </c>
      <c r="U174" s="74" t="s">
        <v>351</v>
      </c>
      <c r="V174" s="74">
        <v>44376</v>
      </c>
      <c r="W174" s="74">
        <v>44406</v>
      </c>
      <c r="X174" s="55">
        <v>10186677</v>
      </c>
      <c r="Y174" s="55" t="s">
        <v>132</v>
      </c>
      <c r="AB174" s="74" t="s">
        <v>132</v>
      </c>
      <c r="AC174" s="55" t="s">
        <v>132</v>
      </c>
      <c r="AL174" s="74"/>
      <c r="AM174" s="74"/>
    </row>
    <row r="175" spans="1:50" ht="13" x14ac:dyDescent="0.15">
      <c r="A175" s="55" t="str">
        <f>HYPERLINK("http://reports.ofsted.gov.uk/inspection-reports/find-inspection-report/provider/CARE/1236278","Ofsted Social Care Provider Webpage")</f>
        <v>Ofsted Social Care Provider Webpage</v>
      </c>
      <c r="B175" s="55">
        <v>1236278</v>
      </c>
      <c r="D175" s="55" t="s">
        <v>373</v>
      </c>
      <c r="E175" s="74">
        <v>42527</v>
      </c>
      <c r="F175" s="55" t="s">
        <v>344</v>
      </c>
      <c r="G175" s="55" t="s">
        <v>360</v>
      </c>
      <c r="H175" s="55" t="s">
        <v>360</v>
      </c>
      <c r="I175" s="55" t="s">
        <v>360</v>
      </c>
      <c r="J175" s="55" t="s">
        <v>360</v>
      </c>
      <c r="K175" s="55" t="s">
        <v>360</v>
      </c>
      <c r="L175" s="55" t="s">
        <v>360</v>
      </c>
      <c r="M175" s="55" t="s">
        <v>136</v>
      </c>
      <c r="N175" s="55" t="s">
        <v>136</v>
      </c>
      <c r="O175" s="55" t="s">
        <v>165</v>
      </c>
      <c r="P175" s="55" t="s">
        <v>748</v>
      </c>
      <c r="Q175" s="55" t="s">
        <v>350</v>
      </c>
      <c r="R175" s="85">
        <v>3</v>
      </c>
      <c r="S175" s="55">
        <v>0</v>
      </c>
      <c r="T175" s="74" t="s">
        <v>450</v>
      </c>
      <c r="U175" s="74" t="s">
        <v>6703</v>
      </c>
      <c r="V175" s="74">
        <v>44545</v>
      </c>
      <c r="W175" s="74">
        <v>44593</v>
      </c>
      <c r="X175" s="55">
        <v>10215851</v>
      </c>
      <c r="Y175" s="55" t="s">
        <v>6706</v>
      </c>
      <c r="AL175" s="74"/>
      <c r="AM175" s="74"/>
    </row>
    <row r="176" spans="1:50" ht="13" x14ac:dyDescent="0.15">
      <c r="A176" s="55" t="str">
        <f>HYPERLINK("http://reports.ofsted.gov.uk/inspection-reports/find-inspection-report/provider/CARE/1236278","Ofsted Social Care Provider Webpage")</f>
        <v>Ofsted Social Care Provider Webpage</v>
      </c>
      <c r="B176" s="55">
        <v>1236278</v>
      </c>
      <c r="D176" s="55" t="s">
        <v>373</v>
      </c>
      <c r="E176" s="74">
        <v>42527</v>
      </c>
      <c r="F176" s="55" t="s">
        <v>344</v>
      </c>
      <c r="G176" s="55" t="s">
        <v>360</v>
      </c>
      <c r="H176" s="55" t="s">
        <v>360</v>
      </c>
      <c r="I176" s="55" t="s">
        <v>360</v>
      </c>
      <c r="J176" s="55" t="s">
        <v>360</v>
      </c>
      <c r="K176" s="55" t="s">
        <v>360</v>
      </c>
      <c r="L176" s="55" t="s">
        <v>360</v>
      </c>
      <c r="M176" s="55" t="s">
        <v>136</v>
      </c>
      <c r="N176" s="55" t="s">
        <v>136</v>
      </c>
      <c r="O176" s="55" t="s">
        <v>165</v>
      </c>
      <c r="P176" s="55" t="s">
        <v>748</v>
      </c>
      <c r="Q176" s="55" t="s">
        <v>350</v>
      </c>
      <c r="R176" s="85">
        <v>3</v>
      </c>
      <c r="S176" s="55">
        <v>0</v>
      </c>
      <c r="T176" s="74" t="s">
        <v>450</v>
      </c>
      <c r="U176" s="74" t="s">
        <v>351</v>
      </c>
      <c r="V176" s="74">
        <v>44328</v>
      </c>
      <c r="W176" s="74">
        <v>44368</v>
      </c>
      <c r="X176" s="55">
        <v>10187668</v>
      </c>
      <c r="Y176" s="55" t="s">
        <v>130</v>
      </c>
      <c r="AB176" s="74" t="s">
        <v>130</v>
      </c>
      <c r="AC176" s="55" t="s">
        <v>130</v>
      </c>
      <c r="AL176" s="74"/>
      <c r="AM176" s="74"/>
      <c r="AW176" s="74"/>
      <c r="AX176" s="74"/>
    </row>
    <row r="177" spans="1:50" ht="13" x14ac:dyDescent="0.15">
      <c r="A177" s="55" t="str">
        <f>HYPERLINK("http://reports.ofsted.gov.uk/inspection-reports/find-inspection-report/provider/CARE/1236387","Ofsted Social Care Provider Webpage")</f>
        <v>Ofsted Social Care Provider Webpage</v>
      </c>
      <c r="B177" s="55">
        <v>1236387</v>
      </c>
      <c r="D177" s="55" t="s">
        <v>373</v>
      </c>
      <c r="E177" s="74">
        <v>42509</v>
      </c>
      <c r="F177" s="55" t="s">
        <v>344</v>
      </c>
      <c r="G177" s="55" t="s">
        <v>360</v>
      </c>
      <c r="H177" s="55" t="s">
        <v>360</v>
      </c>
      <c r="I177" s="55" t="s">
        <v>360</v>
      </c>
      <c r="J177" s="55" t="s">
        <v>360</v>
      </c>
      <c r="K177" s="55" t="s">
        <v>360</v>
      </c>
      <c r="L177" s="55" t="s">
        <v>360</v>
      </c>
      <c r="M177" s="55" t="s">
        <v>150</v>
      </c>
      <c r="N177" s="55" t="s">
        <v>150</v>
      </c>
      <c r="O177" s="55" t="s">
        <v>190</v>
      </c>
      <c r="P177" s="55" t="s">
        <v>749</v>
      </c>
      <c r="Q177" s="55" t="s">
        <v>350</v>
      </c>
      <c r="R177" s="85">
        <v>4</v>
      </c>
      <c r="S177" s="55">
        <v>0</v>
      </c>
      <c r="T177" s="74" t="s">
        <v>450</v>
      </c>
      <c r="U177" s="74" t="s">
        <v>351</v>
      </c>
      <c r="V177" s="74">
        <v>44390</v>
      </c>
      <c r="W177" s="74">
        <v>44445</v>
      </c>
      <c r="X177" s="55">
        <v>10185776</v>
      </c>
      <c r="Y177" s="55" t="s">
        <v>140</v>
      </c>
      <c r="AB177" s="74" t="s">
        <v>140</v>
      </c>
      <c r="AC177" s="55" t="s">
        <v>140</v>
      </c>
      <c r="AL177" s="74"/>
      <c r="AM177" s="74"/>
    </row>
    <row r="178" spans="1:50" ht="13" x14ac:dyDescent="0.15">
      <c r="A178" s="55" t="str">
        <f>HYPERLINK("http://reports.ofsted.gov.uk/inspection-reports/find-inspection-report/provider/CARE/1236450","Ofsted Social Care Provider Webpage")</f>
        <v>Ofsted Social Care Provider Webpage</v>
      </c>
      <c r="B178" s="55">
        <v>1236450</v>
      </c>
      <c r="D178" s="55" t="s">
        <v>373</v>
      </c>
      <c r="E178" s="74">
        <v>42598</v>
      </c>
      <c r="F178" s="55" t="s">
        <v>344</v>
      </c>
      <c r="G178" s="55" t="s">
        <v>360</v>
      </c>
      <c r="H178" s="55" t="s">
        <v>360</v>
      </c>
      <c r="I178" s="55" t="s">
        <v>360</v>
      </c>
      <c r="J178" s="55" t="s">
        <v>360</v>
      </c>
      <c r="K178" s="55" t="s">
        <v>360</v>
      </c>
      <c r="L178" s="55" t="s">
        <v>360</v>
      </c>
      <c r="M178" s="55" t="s">
        <v>378</v>
      </c>
      <c r="N178" s="55" t="s">
        <v>134</v>
      </c>
      <c r="O178" s="55" t="s">
        <v>206</v>
      </c>
      <c r="P178" s="55" t="s">
        <v>750</v>
      </c>
      <c r="Q178" s="55" t="s">
        <v>350</v>
      </c>
      <c r="R178" s="85">
        <v>5</v>
      </c>
      <c r="S178" s="55">
        <v>0</v>
      </c>
      <c r="T178" s="74" t="s">
        <v>751</v>
      </c>
      <c r="U178" s="74" t="s">
        <v>351</v>
      </c>
      <c r="V178" s="74">
        <v>44599</v>
      </c>
      <c r="W178" s="74">
        <v>44656</v>
      </c>
      <c r="X178" s="55">
        <v>10186582</v>
      </c>
      <c r="Y178" s="55" t="s">
        <v>132</v>
      </c>
      <c r="AB178" s="74" t="s">
        <v>132</v>
      </c>
      <c r="AC178" s="55" t="s">
        <v>132</v>
      </c>
      <c r="AL178" s="74"/>
      <c r="AM178" s="74"/>
    </row>
    <row r="179" spans="1:50" ht="13" x14ac:dyDescent="0.15">
      <c r="A179" s="55" t="str">
        <f>HYPERLINK("http://reports.ofsted.gov.uk/inspection-reports/find-inspection-report/provider/CARE/1236532","Ofsted Social Care Provider Webpage")</f>
        <v>Ofsted Social Care Provider Webpage</v>
      </c>
      <c r="B179" s="55">
        <v>1236532</v>
      </c>
      <c r="D179" s="55" t="s">
        <v>373</v>
      </c>
      <c r="E179" s="74">
        <v>42565</v>
      </c>
      <c r="F179" s="55" t="s">
        <v>344</v>
      </c>
      <c r="G179" s="55" t="s">
        <v>360</v>
      </c>
      <c r="H179" s="55" t="s">
        <v>360</v>
      </c>
      <c r="I179" s="55" t="s">
        <v>360</v>
      </c>
      <c r="J179" s="55" t="s">
        <v>360</v>
      </c>
      <c r="K179" s="55" t="s">
        <v>360</v>
      </c>
      <c r="L179" s="55" t="s">
        <v>360</v>
      </c>
      <c r="M179" s="55" t="s">
        <v>150</v>
      </c>
      <c r="N179" s="55" t="s">
        <v>150</v>
      </c>
      <c r="O179" s="55" t="s">
        <v>237</v>
      </c>
      <c r="P179" s="55" t="s">
        <v>635</v>
      </c>
      <c r="Q179" s="55" t="s">
        <v>350</v>
      </c>
      <c r="R179" s="85">
        <v>5</v>
      </c>
      <c r="S179" s="55">
        <v>0</v>
      </c>
      <c r="T179" s="74" t="s">
        <v>755</v>
      </c>
      <c r="U179" s="74" t="s">
        <v>351</v>
      </c>
      <c r="V179" s="74">
        <v>44592</v>
      </c>
      <c r="W179" s="74">
        <v>44635</v>
      </c>
      <c r="X179" s="55">
        <v>10185765</v>
      </c>
      <c r="Y179" s="55" t="s">
        <v>140</v>
      </c>
      <c r="AB179" s="74" t="s">
        <v>140</v>
      </c>
      <c r="AC179" s="55" t="s">
        <v>140</v>
      </c>
      <c r="AL179" s="74"/>
      <c r="AM179" s="74"/>
      <c r="AW179" s="74"/>
      <c r="AX179" s="74"/>
    </row>
    <row r="180" spans="1:50" ht="13" x14ac:dyDescent="0.15">
      <c r="A180" s="55" t="str">
        <f>HYPERLINK("http://reports.ofsted.gov.uk/inspection-reports/find-inspection-report/provider/CARE/1236540","Ofsted Social Care Provider Webpage")</f>
        <v>Ofsted Social Care Provider Webpage</v>
      </c>
      <c r="B180" s="55">
        <v>1236540</v>
      </c>
      <c r="D180" s="55" t="s">
        <v>373</v>
      </c>
      <c r="E180" s="74">
        <v>42535</v>
      </c>
      <c r="F180" s="55" t="s">
        <v>344</v>
      </c>
      <c r="G180" s="55" t="s">
        <v>360</v>
      </c>
      <c r="H180" s="55" t="s">
        <v>360</v>
      </c>
      <c r="I180" s="55" t="s">
        <v>360</v>
      </c>
      <c r="J180" s="55" t="s">
        <v>360</v>
      </c>
      <c r="K180" s="55" t="s">
        <v>360</v>
      </c>
      <c r="L180" s="55" t="s">
        <v>360</v>
      </c>
      <c r="M180" s="55" t="s">
        <v>378</v>
      </c>
      <c r="N180" s="55" t="s">
        <v>134</v>
      </c>
      <c r="O180" s="55" t="s">
        <v>158</v>
      </c>
      <c r="P180" s="55" t="s">
        <v>480</v>
      </c>
      <c r="Q180" s="55" t="s">
        <v>380</v>
      </c>
      <c r="R180" s="85">
        <v>3</v>
      </c>
      <c r="S180" s="55">
        <v>0</v>
      </c>
      <c r="T180" s="74" t="s">
        <v>756</v>
      </c>
      <c r="U180" s="74" t="s">
        <v>351</v>
      </c>
      <c r="V180" s="74">
        <v>44537</v>
      </c>
      <c r="W180" s="74">
        <v>44579</v>
      </c>
      <c r="X180" s="55">
        <v>10185955</v>
      </c>
      <c r="Y180" s="55" t="s">
        <v>140</v>
      </c>
      <c r="AB180" s="74" t="s">
        <v>140</v>
      </c>
      <c r="AC180" s="55" t="s">
        <v>140</v>
      </c>
      <c r="AL180" s="74"/>
      <c r="AM180" s="74"/>
      <c r="AW180" s="74"/>
      <c r="AX180" s="74"/>
    </row>
    <row r="181" spans="1:50" ht="13" x14ac:dyDescent="0.15">
      <c r="A181" s="55" t="str">
        <f>HYPERLINK("http://reports.ofsted.gov.uk/inspection-reports/find-inspection-report/provider/CARE/1236620","Ofsted Social Care Provider Webpage")</f>
        <v>Ofsted Social Care Provider Webpage</v>
      </c>
      <c r="B181" s="55">
        <v>1236620</v>
      </c>
      <c r="D181" s="55" t="s">
        <v>373</v>
      </c>
      <c r="E181" s="74">
        <v>42569</v>
      </c>
      <c r="F181" s="55" t="s">
        <v>344</v>
      </c>
      <c r="G181" s="55" t="s">
        <v>360</v>
      </c>
      <c r="H181" s="55" t="s">
        <v>360</v>
      </c>
      <c r="I181" s="55" t="s">
        <v>360</v>
      </c>
      <c r="J181" s="55" t="s">
        <v>360</v>
      </c>
      <c r="K181" s="55" t="s">
        <v>360</v>
      </c>
      <c r="L181" s="55" t="s">
        <v>360</v>
      </c>
      <c r="M181" s="55" t="s">
        <v>136</v>
      </c>
      <c r="N181" s="55" t="s">
        <v>136</v>
      </c>
      <c r="O181" s="55" t="s">
        <v>255</v>
      </c>
      <c r="P181" s="55" t="s">
        <v>757</v>
      </c>
      <c r="Q181" s="55" t="s">
        <v>350</v>
      </c>
      <c r="R181" s="85">
        <v>4</v>
      </c>
      <c r="S181" s="55">
        <v>0</v>
      </c>
      <c r="T181" s="74" t="s">
        <v>385</v>
      </c>
      <c r="U181" s="74" t="s">
        <v>351</v>
      </c>
      <c r="V181" s="74">
        <v>44460</v>
      </c>
      <c r="W181" s="74">
        <v>44488</v>
      </c>
      <c r="X181" s="55">
        <v>10186626</v>
      </c>
      <c r="Y181" s="55" t="s">
        <v>132</v>
      </c>
      <c r="AB181" s="74" t="s">
        <v>132</v>
      </c>
      <c r="AC181" s="55" t="s">
        <v>130</v>
      </c>
      <c r="AL181" s="74"/>
      <c r="AM181" s="74"/>
      <c r="AW181" s="74"/>
      <c r="AX181" s="74"/>
    </row>
    <row r="182" spans="1:50" ht="13" x14ac:dyDescent="0.15">
      <c r="A182" s="55" t="str">
        <f>HYPERLINK("http://reports.ofsted.gov.uk/inspection-reports/find-inspection-report/provider/CARE/1236625","Ofsted Social Care Provider Webpage")</f>
        <v>Ofsted Social Care Provider Webpage</v>
      </c>
      <c r="B182" s="55">
        <v>1236625</v>
      </c>
      <c r="D182" s="55" t="s">
        <v>373</v>
      </c>
      <c r="E182" s="74">
        <v>42572</v>
      </c>
      <c r="F182" s="55" t="s">
        <v>344</v>
      </c>
      <c r="G182" s="55" t="s">
        <v>360</v>
      </c>
      <c r="H182" s="55" t="s">
        <v>360</v>
      </c>
      <c r="I182" s="55" t="s">
        <v>360</v>
      </c>
      <c r="J182" s="55" t="s">
        <v>360</v>
      </c>
      <c r="K182" s="55" t="s">
        <v>360</v>
      </c>
      <c r="L182" s="55" t="s">
        <v>360</v>
      </c>
      <c r="M182" s="55" t="s">
        <v>172</v>
      </c>
      <c r="N182" s="55" t="s">
        <v>172</v>
      </c>
      <c r="O182" s="55" t="s">
        <v>212</v>
      </c>
      <c r="P182" s="55" t="s">
        <v>547</v>
      </c>
      <c r="Q182" s="55" t="s">
        <v>350</v>
      </c>
      <c r="R182" s="85">
        <v>3</v>
      </c>
      <c r="S182" s="55">
        <v>0</v>
      </c>
      <c r="T182" s="74" t="s">
        <v>758</v>
      </c>
      <c r="U182" s="74" t="s">
        <v>351</v>
      </c>
      <c r="V182" s="74">
        <v>44327</v>
      </c>
      <c r="W182" s="74">
        <v>44356</v>
      </c>
      <c r="X182" s="55">
        <v>10187359</v>
      </c>
      <c r="Y182" s="55" t="s">
        <v>132</v>
      </c>
      <c r="AB182" s="74" t="s">
        <v>132</v>
      </c>
      <c r="AC182" s="55" t="s">
        <v>132</v>
      </c>
      <c r="AL182" s="74"/>
      <c r="AM182" s="74"/>
    </row>
    <row r="183" spans="1:50" ht="13" x14ac:dyDescent="0.15">
      <c r="A183" s="55" t="str">
        <f>HYPERLINK("http://reports.ofsted.gov.uk/inspection-reports/find-inspection-report/provider/CARE/1236771","Ofsted Social Care Provider Webpage")</f>
        <v>Ofsted Social Care Provider Webpage</v>
      </c>
      <c r="B183" s="55">
        <v>1236771</v>
      </c>
      <c r="D183" s="55" t="s">
        <v>373</v>
      </c>
      <c r="E183" s="74">
        <v>42622</v>
      </c>
      <c r="F183" s="55" t="s">
        <v>344</v>
      </c>
      <c r="G183" s="55" t="s">
        <v>360</v>
      </c>
      <c r="H183" s="55" t="s">
        <v>360</v>
      </c>
      <c r="I183" s="55" t="s">
        <v>360</v>
      </c>
      <c r="J183" s="55" t="s">
        <v>360</v>
      </c>
      <c r="K183" s="55" t="s">
        <v>360</v>
      </c>
      <c r="L183" s="55" t="s">
        <v>360</v>
      </c>
      <c r="M183" s="55" t="s">
        <v>144</v>
      </c>
      <c r="N183" s="55" t="s">
        <v>144</v>
      </c>
      <c r="O183" s="55" t="s">
        <v>250</v>
      </c>
      <c r="P183" s="55" t="s">
        <v>759</v>
      </c>
      <c r="Q183" s="55" t="s">
        <v>350</v>
      </c>
      <c r="R183" s="85">
        <v>4</v>
      </c>
      <c r="S183" s="55">
        <v>0</v>
      </c>
      <c r="T183" s="74" t="s">
        <v>493</v>
      </c>
      <c r="U183" s="74" t="s">
        <v>351</v>
      </c>
      <c r="V183" s="74">
        <v>44600</v>
      </c>
      <c r="W183" s="74">
        <v>44658</v>
      </c>
      <c r="X183" s="55">
        <v>10185439</v>
      </c>
      <c r="Y183" s="55" t="s">
        <v>132</v>
      </c>
      <c r="AB183" s="74" t="s">
        <v>132</v>
      </c>
      <c r="AC183" s="55" t="s">
        <v>132</v>
      </c>
      <c r="AL183" s="74"/>
      <c r="AM183" s="74"/>
    </row>
    <row r="184" spans="1:50" ht="13" x14ac:dyDescent="0.15">
      <c r="A184" s="55" t="str">
        <f>HYPERLINK("http://reports.ofsted.gov.uk/inspection-reports/find-inspection-report/provider/CARE/1236773","Ofsted Social Care Provider Webpage")</f>
        <v>Ofsted Social Care Provider Webpage</v>
      </c>
      <c r="B184" s="55">
        <v>1236773</v>
      </c>
      <c r="D184" s="55" t="s">
        <v>373</v>
      </c>
      <c r="E184" s="74">
        <v>42718</v>
      </c>
      <c r="F184" s="55" t="s">
        <v>344</v>
      </c>
      <c r="G184" s="55" t="s">
        <v>360</v>
      </c>
      <c r="H184" s="55" t="s">
        <v>360</v>
      </c>
      <c r="I184" s="55" t="s">
        <v>360</v>
      </c>
      <c r="J184" s="55" t="s">
        <v>360</v>
      </c>
      <c r="K184" s="55" t="s">
        <v>360</v>
      </c>
      <c r="L184" s="55" t="s">
        <v>360</v>
      </c>
      <c r="M184" s="55" t="s">
        <v>378</v>
      </c>
      <c r="N184" s="55" t="s">
        <v>134</v>
      </c>
      <c r="O184" s="55" t="s">
        <v>206</v>
      </c>
      <c r="P184" s="55" t="s">
        <v>760</v>
      </c>
      <c r="Q184" s="55" t="s">
        <v>350</v>
      </c>
      <c r="R184" s="85">
        <v>1</v>
      </c>
      <c r="S184" s="55">
        <v>0</v>
      </c>
      <c r="T184" s="74" t="s">
        <v>385</v>
      </c>
      <c r="U184" s="74" t="s">
        <v>351</v>
      </c>
      <c r="V184" s="74">
        <v>44341</v>
      </c>
      <c r="W184" s="74">
        <v>44376</v>
      </c>
      <c r="X184" s="55">
        <v>10185783</v>
      </c>
      <c r="Y184" s="55" t="s">
        <v>140</v>
      </c>
      <c r="AB184" s="74" t="s">
        <v>140</v>
      </c>
      <c r="AC184" s="55" t="s">
        <v>140</v>
      </c>
      <c r="AL184" s="74"/>
      <c r="AM184" s="74"/>
    </row>
    <row r="185" spans="1:50" ht="13" x14ac:dyDescent="0.15">
      <c r="A185" s="55" t="str">
        <f>HYPERLINK("http://reports.ofsted.gov.uk/inspection-reports/find-inspection-report/provider/CARE/1236832","Ofsted Social Care Provider Webpage")</f>
        <v>Ofsted Social Care Provider Webpage</v>
      </c>
      <c r="B185" s="55">
        <v>1236832</v>
      </c>
      <c r="D185" s="55" t="s">
        <v>373</v>
      </c>
      <c r="E185" s="74">
        <v>42559</v>
      </c>
      <c r="F185" s="55" t="s">
        <v>344</v>
      </c>
      <c r="G185" s="55" t="s">
        <v>360</v>
      </c>
      <c r="H185" s="55" t="s">
        <v>360</v>
      </c>
      <c r="I185" s="55" t="s">
        <v>360</v>
      </c>
      <c r="J185" s="55" t="s">
        <v>360</v>
      </c>
      <c r="K185" s="55" t="s">
        <v>360</v>
      </c>
      <c r="L185" s="55" t="s">
        <v>360</v>
      </c>
      <c r="M185" s="55" t="s">
        <v>138</v>
      </c>
      <c r="N185" s="55" t="s">
        <v>138</v>
      </c>
      <c r="O185" s="55" t="s">
        <v>161</v>
      </c>
      <c r="P185" s="55" t="s">
        <v>761</v>
      </c>
      <c r="Q185" s="55" t="s">
        <v>350</v>
      </c>
      <c r="R185" s="85">
        <v>4</v>
      </c>
      <c r="S185" s="55">
        <v>0</v>
      </c>
      <c r="T185" s="74" t="s">
        <v>762</v>
      </c>
      <c r="U185" s="74" t="s">
        <v>351</v>
      </c>
      <c r="V185" s="74">
        <v>44566</v>
      </c>
      <c r="W185" s="74">
        <v>44594</v>
      </c>
      <c r="X185" s="55">
        <v>10186888</v>
      </c>
      <c r="Y185" s="55" t="s">
        <v>132</v>
      </c>
      <c r="AB185" s="74" t="s">
        <v>132</v>
      </c>
      <c r="AC185" s="55" t="s">
        <v>132</v>
      </c>
      <c r="AL185" s="74"/>
      <c r="AM185" s="74"/>
    </row>
    <row r="186" spans="1:50" ht="13" x14ac:dyDescent="0.15">
      <c r="A186" s="55" t="str">
        <f>HYPERLINK("http://reports.ofsted.gov.uk/inspection-reports/find-inspection-report/provider/CARE/1236901","Ofsted Social Care Provider Webpage")</f>
        <v>Ofsted Social Care Provider Webpage</v>
      </c>
      <c r="B186" s="55">
        <v>1236901</v>
      </c>
      <c r="D186" s="55" t="s">
        <v>389</v>
      </c>
      <c r="E186" s="74">
        <v>42564</v>
      </c>
      <c r="F186" s="55" t="s">
        <v>344</v>
      </c>
      <c r="G186" s="55" t="s">
        <v>763</v>
      </c>
      <c r="H186" s="55" t="s">
        <v>764</v>
      </c>
      <c r="I186" s="55" t="s">
        <v>765</v>
      </c>
      <c r="J186" s="55" t="s">
        <v>555</v>
      </c>
      <c r="K186" s="55" t="s">
        <v>209</v>
      </c>
      <c r="L186" s="55" t="s">
        <v>766</v>
      </c>
      <c r="M186" s="55" t="s">
        <v>144</v>
      </c>
      <c r="N186" s="55" t="s">
        <v>144</v>
      </c>
      <c r="O186" s="55" t="s">
        <v>209</v>
      </c>
      <c r="P186" s="55" t="s">
        <v>555</v>
      </c>
      <c r="Q186" s="55" t="s">
        <v>350</v>
      </c>
      <c r="S186" s="55">
        <v>0</v>
      </c>
      <c r="T186" s="74" t="s">
        <v>763</v>
      </c>
      <c r="U186" s="74" t="s">
        <v>351</v>
      </c>
      <c r="V186" s="74">
        <v>44389</v>
      </c>
      <c r="W186" s="74">
        <v>44428</v>
      </c>
      <c r="X186" s="55">
        <v>10183385</v>
      </c>
      <c r="Y186" s="55" t="s">
        <v>132</v>
      </c>
      <c r="AB186" s="74" t="s">
        <v>132</v>
      </c>
      <c r="AC186" s="55" t="s">
        <v>132</v>
      </c>
      <c r="AL186" s="74"/>
      <c r="AM186" s="74"/>
    </row>
    <row r="187" spans="1:50" ht="13" x14ac:dyDescent="0.15">
      <c r="A187" s="55" t="str">
        <f>HYPERLINK("http://reports.ofsted.gov.uk/inspection-reports/find-inspection-report/provider/CARE/1236916","Ofsted Social Care Provider Webpage")</f>
        <v>Ofsted Social Care Provider Webpage</v>
      </c>
      <c r="B187" s="55">
        <v>1236916</v>
      </c>
      <c r="D187" s="55" t="s">
        <v>373</v>
      </c>
      <c r="E187" s="74">
        <v>42544</v>
      </c>
      <c r="F187" s="55" t="s">
        <v>344</v>
      </c>
      <c r="G187" s="55" t="s">
        <v>360</v>
      </c>
      <c r="H187" s="55" t="s">
        <v>360</v>
      </c>
      <c r="I187" s="55" t="s">
        <v>360</v>
      </c>
      <c r="J187" s="55" t="s">
        <v>360</v>
      </c>
      <c r="K187" s="55" t="s">
        <v>360</v>
      </c>
      <c r="L187" s="55" t="s">
        <v>360</v>
      </c>
      <c r="M187" s="55" t="s">
        <v>136</v>
      </c>
      <c r="N187" s="55" t="s">
        <v>136</v>
      </c>
      <c r="O187" s="55" t="s">
        <v>230</v>
      </c>
      <c r="P187" s="55" t="s">
        <v>767</v>
      </c>
      <c r="Q187" s="55" t="s">
        <v>350</v>
      </c>
      <c r="R187" s="85">
        <v>3</v>
      </c>
      <c r="S187" s="55">
        <v>0</v>
      </c>
      <c r="T187" s="74" t="s">
        <v>768</v>
      </c>
      <c r="U187" s="74" t="s">
        <v>6703</v>
      </c>
      <c r="V187" s="74">
        <v>44613</v>
      </c>
      <c r="W187" s="74">
        <v>44655</v>
      </c>
      <c r="X187" s="55">
        <v>10212739</v>
      </c>
      <c r="Y187" s="55" t="s">
        <v>6706</v>
      </c>
      <c r="AL187" s="74"/>
      <c r="AM187" s="74"/>
    </row>
    <row r="188" spans="1:50" ht="13" x14ac:dyDescent="0.15">
      <c r="A188" s="55" t="str">
        <f>HYPERLINK("http://reports.ofsted.gov.uk/inspection-reports/find-inspection-report/provider/CARE/1236916","Ofsted Social Care Provider Webpage")</f>
        <v>Ofsted Social Care Provider Webpage</v>
      </c>
      <c r="B188" s="55">
        <v>1236916</v>
      </c>
      <c r="D188" s="55" t="s">
        <v>373</v>
      </c>
      <c r="E188" s="74">
        <v>42544</v>
      </c>
      <c r="F188" s="55" t="s">
        <v>344</v>
      </c>
      <c r="G188" s="55" t="s">
        <v>360</v>
      </c>
      <c r="H188" s="55" t="s">
        <v>360</v>
      </c>
      <c r="I188" s="55" t="s">
        <v>360</v>
      </c>
      <c r="J188" s="55" t="s">
        <v>360</v>
      </c>
      <c r="K188" s="55" t="s">
        <v>360</v>
      </c>
      <c r="L188" s="55" t="s">
        <v>360</v>
      </c>
      <c r="M188" s="55" t="s">
        <v>136</v>
      </c>
      <c r="N188" s="55" t="s">
        <v>136</v>
      </c>
      <c r="O188" s="55" t="s">
        <v>230</v>
      </c>
      <c r="P188" s="55" t="s">
        <v>767</v>
      </c>
      <c r="Q188" s="55" t="s">
        <v>350</v>
      </c>
      <c r="R188" s="85">
        <v>3</v>
      </c>
      <c r="S188" s="55">
        <v>0</v>
      </c>
      <c r="T188" s="74" t="s">
        <v>768</v>
      </c>
      <c r="U188" s="74" t="s">
        <v>351</v>
      </c>
      <c r="V188" s="74">
        <v>44327</v>
      </c>
      <c r="W188" s="74">
        <v>44390</v>
      </c>
      <c r="X188" s="55">
        <v>10185736</v>
      </c>
      <c r="Y188" s="55" t="s">
        <v>130</v>
      </c>
      <c r="AB188" s="74" t="s">
        <v>130</v>
      </c>
      <c r="AC188" s="55" t="s">
        <v>130</v>
      </c>
      <c r="AL188" s="74"/>
      <c r="AM188" s="74"/>
    </row>
    <row r="189" spans="1:50" ht="13" x14ac:dyDescent="0.15">
      <c r="A189" s="55" t="str">
        <f>HYPERLINK("http://reports.ofsted.gov.uk/inspection-reports/find-inspection-report/provider/CARE/1237027","Ofsted Social Care Provider Webpage")</f>
        <v>Ofsted Social Care Provider Webpage</v>
      </c>
      <c r="B189" s="55">
        <v>1237027</v>
      </c>
      <c r="D189" s="55" t="s">
        <v>373</v>
      </c>
      <c r="E189" s="74">
        <v>42550</v>
      </c>
      <c r="F189" s="55" t="s">
        <v>344</v>
      </c>
      <c r="G189" s="55" t="s">
        <v>360</v>
      </c>
      <c r="H189" s="55" t="s">
        <v>360</v>
      </c>
      <c r="I189" s="55" t="s">
        <v>360</v>
      </c>
      <c r="J189" s="55" t="s">
        <v>360</v>
      </c>
      <c r="K189" s="55" t="s">
        <v>360</v>
      </c>
      <c r="L189" s="55" t="s">
        <v>360</v>
      </c>
      <c r="M189" s="55" t="s">
        <v>129</v>
      </c>
      <c r="N189" s="55" t="s">
        <v>129</v>
      </c>
      <c r="O189" s="55" t="s">
        <v>186</v>
      </c>
      <c r="P189" s="55" t="s">
        <v>769</v>
      </c>
      <c r="Q189" s="55" t="s">
        <v>350</v>
      </c>
      <c r="R189" s="85">
        <v>3</v>
      </c>
      <c r="S189" s="55">
        <v>0</v>
      </c>
      <c r="T189" s="74" t="s">
        <v>713</v>
      </c>
      <c r="U189" s="74" t="s">
        <v>351</v>
      </c>
      <c r="V189" s="74">
        <v>44314</v>
      </c>
      <c r="W189" s="74">
        <v>44350</v>
      </c>
      <c r="X189" s="55">
        <v>10186404</v>
      </c>
      <c r="Y189" s="55" t="s">
        <v>132</v>
      </c>
      <c r="AB189" s="74" t="s">
        <v>132</v>
      </c>
      <c r="AC189" s="55" t="s">
        <v>132</v>
      </c>
      <c r="AL189" s="74"/>
      <c r="AM189" s="74"/>
    </row>
    <row r="190" spans="1:50" ht="13" x14ac:dyDescent="0.15">
      <c r="A190" s="55" t="str">
        <f>HYPERLINK("http://reports.ofsted.gov.uk/inspection-reports/find-inspection-report/provider/CARE/1237336","Ofsted Social Care Provider Webpage")</f>
        <v>Ofsted Social Care Provider Webpage</v>
      </c>
      <c r="B190" s="55">
        <v>1237336</v>
      </c>
      <c r="D190" s="55" t="s">
        <v>389</v>
      </c>
      <c r="E190" s="74">
        <v>42657</v>
      </c>
      <c r="F190" s="55" t="s">
        <v>344</v>
      </c>
      <c r="G190" s="55" t="s">
        <v>770</v>
      </c>
      <c r="H190" s="55" t="s">
        <v>771</v>
      </c>
      <c r="I190" s="55" t="s">
        <v>772</v>
      </c>
      <c r="J190" s="55" t="s">
        <v>141</v>
      </c>
      <c r="K190" s="55" t="s">
        <v>142</v>
      </c>
      <c r="L190" s="55" t="s">
        <v>773</v>
      </c>
      <c r="M190" s="55" t="s">
        <v>142</v>
      </c>
      <c r="N190" s="55" t="s">
        <v>142</v>
      </c>
      <c r="O190" s="55" t="s">
        <v>141</v>
      </c>
      <c r="P190" s="55" t="s">
        <v>774</v>
      </c>
      <c r="Q190" s="55" t="s">
        <v>350</v>
      </c>
      <c r="S190" s="55">
        <v>0</v>
      </c>
      <c r="T190" s="74" t="s">
        <v>775</v>
      </c>
      <c r="U190" s="74" t="s">
        <v>351</v>
      </c>
      <c r="V190" s="74">
        <v>44529</v>
      </c>
      <c r="W190" s="74">
        <v>44585</v>
      </c>
      <c r="X190" s="55">
        <v>10183430</v>
      </c>
      <c r="Y190" s="55" t="s">
        <v>132</v>
      </c>
      <c r="AB190" s="74" t="s">
        <v>132</v>
      </c>
      <c r="AC190" s="55" t="s">
        <v>132</v>
      </c>
      <c r="AL190" s="74"/>
      <c r="AM190" s="74"/>
      <c r="AW190" s="74"/>
      <c r="AX190" s="74"/>
    </row>
    <row r="191" spans="1:50" ht="13" x14ac:dyDescent="0.15">
      <c r="A191" s="55" t="str">
        <f>HYPERLINK("http://reports.ofsted.gov.uk/inspection-reports/find-inspection-report/provider/CARE/1238043","Ofsted Social Care Provider Webpage")</f>
        <v>Ofsted Social Care Provider Webpage</v>
      </c>
      <c r="B191" s="55">
        <v>1238043</v>
      </c>
      <c r="D191" s="55" t="s">
        <v>373</v>
      </c>
      <c r="E191" s="74">
        <v>42552</v>
      </c>
      <c r="F191" s="55" t="s">
        <v>344</v>
      </c>
      <c r="G191" s="55" t="s">
        <v>360</v>
      </c>
      <c r="H191" s="55" t="s">
        <v>360</v>
      </c>
      <c r="I191" s="55" t="s">
        <v>360</v>
      </c>
      <c r="J191" s="55" t="s">
        <v>360</v>
      </c>
      <c r="K191" s="55" t="s">
        <v>360</v>
      </c>
      <c r="L191" s="55" t="s">
        <v>360</v>
      </c>
      <c r="M191" s="55" t="s">
        <v>144</v>
      </c>
      <c r="N191" s="55" t="s">
        <v>144</v>
      </c>
      <c r="O191" s="55" t="s">
        <v>209</v>
      </c>
      <c r="P191" s="55" t="s">
        <v>777</v>
      </c>
      <c r="Q191" s="55" t="s">
        <v>350</v>
      </c>
      <c r="R191" s="85">
        <v>5</v>
      </c>
      <c r="S191" s="55">
        <v>0</v>
      </c>
      <c r="T191" s="74" t="s">
        <v>778</v>
      </c>
      <c r="U191" s="74" t="s">
        <v>351</v>
      </c>
      <c r="V191" s="74">
        <v>44572</v>
      </c>
      <c r="W191" s="74">
        <v>44608</v>
      </c>
      <c r="X191" s="55">
        <v>10213785</v>
      </c>
      <c r="Y191" s="55" t="s">
        <v>132</v>
      </c>
      <c r="AB191" s="74" t="s">
        <v>130</v>
      </c>
      <c r="AC191" s="55" t="s">
        <v>132</v>
      </c>
      <c r="AL191" s="74"/>
      <c r="AM191" s="74"/>
      <c r="AW191" s="74"/>
      <c r="AX191" s="74"/>
    </row>
    <row r="192" spans="1:50" ht="13" x14ac:dyDescent="0.15">
      <c r="A192" s="55" t="str">
        <f>HYPERLINK("http://reports.ofsted.gov.uk/inspection-reports/find-inspection-report/provider/CARE/1238043","Ofsted Social Care Provider Webpage")</f>
        <v>Ofsted Social Care Provider Webpage</v>
      </c>
      <c r="B192" s="55">
        <v>1238043</v>
      </c>
      <c r="D192" s="55" t="s">
        <v>373</v>
      </c>
      <c r="E192" s="74">
        <v>42552</v>
      </c>
      <c r="F192" s="55" t="s">
        <v>344</v>
      </c>
      <c r="G192" s="55" t="s">
        <v>360</v>
      </c>
      <c r="H192" s="55" t="s">
        <v>360</v>
      </c>
      <c r="I192" s="55" t="s">
        <v>360</v>
      </c>
      <c r="J192" s="55" t="s">
        <v>360</v>
      </c>
      <c r="K192" s="55" t="s">
        <v>360</v>
      </c>
      <c r="L192" s="55" t="s">
        <v>360</v>
      </c>
      <c r="M192" s="55" t="s">
        <v>144</v>
      </c>
      <c r="N192" s="55" t="s">
        <v>144</v>
      </c>
      <c r="O192" s="55" t="s">
        <v>209</v>
      </c>
      <c r="P192" s="55" t="s">
        <v>777</v>
      </c>
      <c r="Q192" s="55" t="s">
        <v>350</v>
      </c>
      <c r="R192" s="85">
        <v>5</v>
      </c>
      <c r="S192" s="55">
        <v>0</v>
      </c>
      <c r="T192" s="74" t="s">
        <v>778</v>
      </c>
      <c r="U192" s="74" t="s">
        <v>351</v>
      </c>
      <c r="V192" s="74">
        <v>44460</v>
      </c>
      <c r="W192" s="74">
        <v>44495</v>
      </c>
      <c r="X192" s="55">
        <v>10185411</v>
      </c>
      <c r="Y192" s="55" t="s">
        <v>146</v>
      </c>
      <c r="AB192" s="74" t="s">
        <v>146</v>
      </c>
      <c r="AC192" s="55" t="s">
        <v>146</v>
      </c>
      <c r="AL192" s="74"/>
      <c r="AM192" s="74"/>
      <c r="AW192" s="74"/>
      <c r="AX192" s="74"/>
    </row>
    <row r="193" spans="1:50" ht="13" x14ac:dyDescent="0.15">
      <c r="A193" s="55" t="str">
        <f>HYPERLINK("http://reports.ofsted.gov.uk/inspection-reports/find-inspection-report/provider/CARE/1238043","Ofsted Social Care Provider Webpage")</f>
        <v>Ofsted Social Care Provider Webpage</v>
      </c>
      <c r="B193" s="55">
        <v>1238043</v>
      </c>
      <c r="D193" s="55" t="s">
        <v>373</v>
      </c>
      <c r="E193" s="74">
        <v>42552</v>
      </c>
      <c r="F193" s="55" t="s">
        <v>344</v>
      </c>
      <c r="G193" s="55" t="s">
        <v>360</v>
      </c>
      <c r="H193" s="55" t="s">
        <v>360</v>
      </c>
      <c r="I193" s="55" t="s">
        <v>360</v>
      </c>
      <c r="J193" s="55" t="s">
        <v>360</v>
      </c>
      <c r="K193" s="55" t="s">
        <v>360</v>
      </c>
      <c r="L193" s="55" t="s">
        <v>360</v>
      </c>
      <c r="M193" s="55" t="s">
        <v>144</v>
      </c>
      <c r="N193" s="55" t="s">
        <v>144</v>
      </c>
      <c r="O193" s="55" t="s">
        <v>209</v>
      </c>
      <c r="P193" s="55" t="s">
        <v>777</v>
      </c>
      <c r="Q193" s="55" t="s">
        <v>350</v>
      </c>
      <c r="R193" s="85">
        <v>5</v>
      </c>
      <c r="S193" s="55">
        <v>0</v>
      </c>
      <c r="T193" s="74" t="s">
        <v>778</v>
      </c>
      <c r="U193" s="74" t="s">
        <v>2053</v>
      </c>
      <c r="V193" s="74">
        <v>44510</v>
      </c>
      <c r="W193" s="74">
        <v>44551</v>
      </c>
      <c r="X193" s="55">
        <v>10209948</v>
      </c>
      <c r="AL193" s="74"/>
      <c r="AM193" s="74"/>
      <c r="AW193" s="74"/>
      <c r="AX193" s="74"/>
    </row>
    <row r="194" spans="1:50" ht="13" x14ac:dyDescent="0.15">
      <c r="A194" s="55" t="str">
        <f>HYPERLINK("http://reports.ofsted.gov.uk/inspection-reports/find-inspection-report/provider/CARE/1239886","Ofsted Social Care Provider Webpage")</f>
        <v>Ofsted Social Care Provider Webpage</v>
      </c>
      <c r="B194" s="55">
        <v>1239886</v>
      </c>
      <c r="D194" s="55" t="s">
        <v>451</v>
      </c>
      <c r="E194" s="74">
        <v>42639</v>
      </c>
      <c r="F194" s="55" t="s">
        <v>344</v>
      </c>
      <c r="G194" s="55" t="s">
        <v>783</v>
      </c>
      <c r="H194" s="55" t="s">
        <v>784</v>
      </c>
      <c r="I194" s="55" t="s">
        <v>354</v>
      </c>
      <c r="J194" s="55" t="s">
        <v>759</v>
      </c>
      <c r="L194" s="55" t="s">
        <v>785</v>
      </c>
      <c r="M194" s="55" t="s">
        <v>144</v>
      </c>
      <c r="N194" s="55" t="s">
        <v>144</v>
      </c>
      <c r="O194" s="55" t="s">
        <v>250</v>
      </c>
      <c r="P194" s="55" t="s">
        <v>759</v>
      </c>
      <c r="Q194" s="55" t="s">
        <v>350</v>
      </c>
      <c r="R194" s="85">
        <v>4</v>
      </c>
      <c r="S194" s="55">
        <v>0</v>
      </c>
      <c r="T194" s="74" t="s">
        <v>786</v>
      </c>
      <c r="U194" s="74" t="s">
        <v>351</v>
      </c>
      <c r="V194" s="74">
        <v>44446</v>
      </c>
      <c r="W194" s="74">
        <v>44476</v>
      </c>
      <c r="X194" s="55">
        <v>10183448</v>
      </c>
      <c r="Y194" s="55" t="s">
        <v>132</v>
      </c>
      <c r="AB194" s="74" t="s">
        <v>132</v>
      </c>
      <c r="AC194" s="55" t="s">
        <v>130</v>
      </c>
      <c r="AL194" s="74"/>
      <c r="AM194" s="74"/>
      <c r="AW194" s="74"/>
      <c r="AX194" s="74"/>
    </row>
    <row r="195" spans="1:50" ht="13" x14ac:dyDescent="0.15">
      <c r="A195" s="55" t="str">
        <f>HYPERLINK("http://reports.ofsted.gov.uk/inspection-reports/find-inspection-report/provider/CARE/1239948","Ofsted Social Care Provider Webpage")</f>
        <v>Ofsted Social Care Provider Webpage</v>
      </c>
      <c r="B195" s="55">
        <v>1239948</v>
      </c>
      <c r="D195" s="55" t="s">
        <v>373</v>
      </c>
      <c r="E195" s="74">
        <v>42515</v>
      </c>
      <c r="F195" s="55" t="s">
        <v>344</v>
      </c>
      <c r="G195" s="55" t="s">
        <v>360</v>
      </c>
      <c r="H195" s="55" t="s">
        <v>360</v>
      </c>
      <c r="I195" s="55" t="s">
        <v>360</v>
      </c>
      <c r="J195" s="55" t="s">
        <v>360</v>
      </c>
      <c r="K195" s="55" t="s">
        <v>360</v>
      </c>
      <c r="L195" s="55" t="s">
        <v>360</v>
      </c>
      <c r="M195" s="55" t="s">
        <v>150</v>
      </c>
      <c r="N195" s="55" t="s">
        <v>150</v>
      </c>
      <c r="O195" s="55" t="s">
        <v>240</v>
      </c>
      <c r="P195" s="55" t="s">
        <v>787</v>
      </c>
      <c r="Q195" s="55" t="s">
        <v>380</v>
      </c>
      <c r="R195" s="85">
        <v>3</v>
      </c>
      <c r="S195" s="55">
        <v>0</v>
      </c>
      <c r="T195" s="74" t="s">
        <v>788</v>
      </c>
      <c r="U195" s="74" t="s">
        <v>351</v>
      </c>
      <c r="V195" s="74">
        <v>44369</v>
      </c>
      <c r="W195" s="74">
        <v>44420</v>
      </c>
      <c r="X195" s="55">
        <v>10187355</v>
      </c>
      <c r="Y195" s="55" t="s">
        <v>132</v>
      </c>
      <c r="AB195" s="74" t="s">
        <v>132</v>
      </c>
      <c r="AC195" s="55" t="s">
        <v>132</v>
      </c>
      <c r="AL195" s="74"/>
      <c r="AM195" s="74"/>
      <c r="AW195" s="74"/>
      <c r="AX195" s="74"/>
    </row>
    <row r="196" spans="1:50" ht="13" x14ac:dyDescent="0.15">
      <c r="A196" s="55" t="str">
        <f>HYPERLINK("http://reports.ofsted.gov.uk/inspection-reports/find-inspection-report/provider/CARE/1239953","Ofsted Social Care Provider Webpage")</f>
        <v>Ofsted Social Care Provider Webpage</v>
      </c>
      <c r="B196" s="55">
        <v>1239953</v>
      </c>
      <c r="D196" s="55" t="s">
        <v>373</v>
      </c>
      <c r="E196" s="74">
        <v>42557</v>
      </c>
      <c r="F196" s="55" t="s">
        <v>344</v>
      </c>
      <c r="G196" s="55" t="s">
        <v>360</v>
      </c>
      <c r="H196" s="55" t="s">
        <v>360</v>
      </c>
      <c r="I196" s="55" t="s">
        <v>360</v>
      </c>
      <c r="J196" s="55" t="s">
        <v>360</v>
      </c>
      <c r="K196" s="55" t="s">
        <v>360</v>
      </c>
      <c r="L196" s="55" t="s">
        <v>360</v>
      </c>
      <c r="M196" s="55" t="s">
        <v>136</v>
      </c>
      <c r="N196" s="55" t="s">
        <v>136</v>
      </c>
      <c r="O196" s="55" t="s">
        <v>255</v>
      </c>
      <c r="P196" s="55" t="s">
        <v>583</v>
      </c>
      <c r="Q196" s="55" t="s">
        <v>350</v>
      </c>
      <c r="R196" s="85">
        <v>4</v>
      </c>
      <c r="S196" s="55">
        <v>0</v>
      </c>
      <c r="T196" s="74" t="s">
        <v>789</v>
      </c>
      <c r="U196" s="74" t="s">
        <v>351</v>
      </c>
      <c r="V196" s="74">
        <v>44334</v>
      </c>
      <c r="W196" s="74">
        <v>44371</v>
      </c>
      <c r="X196" s="55">
        <v>10185582</v>
      </c>
      <c r="Y196" s="55" t="s">
        <v>130</v>
      </c>
      <c r="AB196" s="74" t="s">
        <v>130</v>
      </c>
      <c r="AC196" s="55" t="s">
        <v>130</v>
      </c>
      <c r="AL196" s="74"/>
      <c r="AM196" s="74"/>
      <c r="AW196" s="74"/>
      <c r="AX196" s="74"/>
    </row>
    <row r="197" spans="1:50" ht="13" x14ac:dyDescent="0.15">
      <c r="A197" s="55" t="str">
        <f>HYPERLINK("http://reports.ofsted.gov.uk/inspection-reports/find-inspection-report/provider/CARE/1240397","Ofsted Social Care Provider Webpage")</f>
        <v>Ofsted Social Care Provider Webpage</v>
      </c>
      <c r="B197" s="55">
        <v>1240397</v>
      </c>
      <c r="D197" s="55" t="s">
        <v>373</v>
      </c>
      <c r="E197" s="74">
        <v>42585</v>
      </c>
      <c r="F197" s="55" t="s">
        <v>344</v>
      </c>
      <c r="G197" s="55" t="s">
        <v>360</v>
      </c>
      <c r="H197" s="55" t="s">
        <v>360</v>
      </c>
      <c r="I197" s="55" t="s">
        <v>360</v>
      </c>
      <c r="J197" s="55" t="s">
        <v>360</v>
      </c>
      <c r="K197" s="55" t="s">
        <v>360</v>
      </c>
      <c r="L197" s="55" t="s">
        <v>360</v>
      </c>
      <c r="M197" s="55" t="s">
        <v>172</v>
      </c>
      <c r="N197" s="55" t="s">
        <v>172</v>
      </c>
      <c r="O197" s="55" t="s">
        <v>214</v>
      </c>
      <c r="P197" s="55" t="s">
        <v>790</v>
      </c>
      <c r="Q197" s="55" t="s">
        <v>350</v>
      </c>
      <c r="R197" s="85">
        <v>5</v>
      </c>
      <c r="S197" s="55">
        <v>0</v>
      </c>
      <c r="T197" s="74" t="s">
        <v>791</v>
      </c>
      <c r="U197" s="74" t="s">
        <v>351</v>
      </c>
      <c r="V197" s="74">
        <v>44341</v>
      </c>
      <c r="W197" s="74">
        <v>44376</v>
      </c>
      <c r="X197" s="55">
        <v>10186793</v>
      </c>
      <c r="Y197" s="55" t="s">
        <v>132</v>
      </c>
      <c r="AB197" s="74" t="s">
        <v>130</v>
      </c>
      <c r="AC197" s="55" t="s">
        <v>132</v>
      </c>
      <c r="AL197" s="74"/>
      <c r="AM197" s="74"/>
    </row>
    <row r="198" spans="1:50" ht="13" x14ac:dyDescent="0.15">
      <c r="A198" s="55" t="str">
        <f>HYPERLINK("http://reports.ofsted.gov.uk/inspection-reports/find-inspection-report/provider/CARE/1240433","Ofsted Social Care Provider Webpage")</f>
        <v>Ofsted Social Care Provider Webpage</v>
      </c>
      <c r="B198" s="55">
        <v>1240433</v>
      </c>
      <c r="D198" s="55" t="s">
        <v>373</v>
      </c>
      <c r="E198" s="74">
        <v>42601</v>
      </c>
      <c r="F198" s="55" t="s">
        <v>344</v>
      </c>
      <c r="G198" s="55" t="s">
        <v>360</v>
      </c>
      <c r="H198" s="55" t="s">
        <v>360</v>
      </c>
      <c r="I198" s="55" t="s">
        <v>360</v>
      </c>
      <c r="J198" s="55" t="s">
        <v>360</v>
      </c>
      <c r="K198" s="55" t="s">
        <v>360</v>
      </c>
      <c r="L198" s="55" t="s">
        <v>360</v>
      </c>
      <c r="M198" s="55" t="s">
        <v>378</v>
      </c>
      <c r="N198" s="55" t="s">
        <v>134</v>
      </c>
      <c r="O198" s="55" t="s">
        <v>226</v>
      </c>
      <c r="P198" s="55" t="s">
        <v>662</v>
      </c>
      <c r="Q198" s="55" t="s">
        <v>350</v>
      </c>
      <c r="R198" s="85">
        <v>3</v>
      </c>
      <c r="S198" s="55">
        <v>0</v>
      </c>
      <c r="T198" s="74" t="s">
        <v>517</v>
      </c>
      <c r="U198" s="74" t="s">
        <v>351</v>
      </c>
      <c r="V198" s="74">
        <v>44544</v>
      </c>
      <c r="W198" s="74">
        <v>44593</v>
      </c>
      <c r="X198" s="55">
        <v>10186473</v>
      </c>
      <c r="Y198" s="55" t="s">
        <v>140</v>
      </c>
      <c r="AB198" s="74" t="s">
        <v>140</v>
      </c>
      <c r="AC198" s="55" t="s">
        <v>140</v>
      </c>
      <c r="AL198" s="74"/>
      <c r="AM198" s="74"/>
    </row>
    <row r="199" spans="1:50" ht="13" x14ac:dyDescent="0.15">
      <c r="A199" s="55" t="str">
        <f>HYPERLINK("http://reports.ofsted.gov.uk/inspection-reports/find-inspection-report/provider/CARE/1240449","Ofsted Social Care Provider Webpage")</f>
        <v>Ofsted Social Care Provider Webpage</v>
      </c>
      <c r="B199" s="55">
        <v>1240449</v>
      </c>
      <c r="D199" s="55" t="s">
        <v>373</v>
      </c>
      <c r="E199" s="74">
        <v>42529</v>
      </c>
      <c r="F199" s="55" t="s">
        <v>344</v>
      </c>
      <c r="G199" s="55" t="s">
        <v>360</v>
      </c>
      <c r="H199" s="55" t="s">
        <v>360</v>
      </c>
      <c r="I199" s="55" t="s">
        <v>360</v>
      </c>
      <c r="J199" s="55" t="s">
        <v>360</v>
      </c>
      <c r="K199" s="55" t="s">
        <v>360</v>
      </c>
      <c r="L199" s="55" t="s">
        <v>360</v>
      </c>
      <c r="M199" s="55" t="s">
        <v>144</v>
      </c>
      <c r="N199" s="55" t="s">
        <v>144</v>
      </c>
      <c r="O199" s="55" t="s">
        <v>207</v>
      </c>
      <c r="P199" s="55" t="s">
        <v>792</v>
      </c>
      <c r="Q199" s="55" t="s">
        <v>350</v>
      </c>
      <c r="R199" s="85">
        <v>3</v>
      </c>
      <c r="S199" s="55">
        <v>0</v>
      </c>
      <c r="T199" s="74" t="s">
        <v>793</v>
      </c>
      <c r="U199" s="74" t="s">
        <v>351</v>
      </c>
      <c r="V199" s="74">
        <v>44481</v>
      </c>
      <c r="W199" s="74">
        <v>44530</v>
      </c>
      <c r="X199" s="55">
        <v>10186271</v>
      </c>
      <c r="Y199" s="55" t="s">
        <v>130</v>
      </c>
      <c r="AB199" s="74" t="s">
        <v>130</v>
      </c>
      <c r="AC199" s="55" t="s">
        <v>130</v>
      </c>
      <c r="AL199" s="74"/>
      <c r="AM199" s="74"/>
    </row>
    <row r="200" spans="1:50" ht="13" x14ac:dyDescent="0.15">
      <c r="A200" s="55" t="str">
        <f>HYPERLINK("http://reports.ofsted.gov.uk/inspection-reports/find-inspection-report/provider/CARE/1240572","Ofsted Social Care Provider Webpage")</f>
        <v>Ofsted Social Care Provider Webpage</v>
      </c>
      <c r="B200" s="55">
        <v>1240572</v>
      </c>
      <c r="D200" s="55" t="s">
        <v>373</v>
      </c>
      <c r="E200" s="74">
        <v>42702</v>
      </c>
      <c r="F200" s="55" t="s">
        <v>344</v>
      </c>
      <c r="G200" s="55" t="s">
        <v>360</v>
      </c>
      <c r="H200" s="55" t="s">
        <v>360</v>
      </c>
      <c r="I200" s="55" t="s">
        <v>360</v>
      </c>
      <c r="J200" s="55" t="s">
        <v>360</v>
      </c>
      <c r="K200" s="55" t="s">
        <v>360</v>
      </c>
      <c r="L200" s="55" t="s">
        <v>360</v>
      </c>
      <c r="M200" s="55" t="s">
        <v>144</v>
      </c>
      <c r="N200" s="55" t="s">
        <v>144</v>
      </c>
      <c r="O200" s="55" t="s">
        <v>209</v>
      </c>
      <c r="P200" s="55" t="s">
        <v>555</v>
      </c>
      <c r="Q200" s="55" t="s">
        <v>350</v>
      </c>
      <c r="R200" s="85">
        <v>4</v>
      </c>
      <c r="S200" s="55">
        <v>0</v>
      </c>
      <c r="T200" s="74" t="s">
        <v>485</v>
      </c>
      <c r="U200" s="74" t="s">
        <v>351</v>
      </c>
      <c r="V200" s="74">
        <v>44510</v>
      </c>
      <c r="W200" s="74">
        <v>44543</v>
      </c>
      <c r="X200" s="55">
        <v>10186087</v>
      </c>
      <c r="Y200" s="55" t="s">
        <v>132</v>
      </c>
      <c r="AB200" s="74" t="s">
        <v>132</v>
      </c>
      <c r="AC200" s="55" t="s">
        <v>132</v>
      </c>
      <c r="AL200" s="74"/>
      <c r="AM200" s="74"/>
    </row>
    <row r="201" spans="1:50" ht="13" x14ac:dyDescent="0.15">
      <c r="A201" s="55" t="str">
        <f>HYPERLINK("http://reports.ofsted.gov.uk/inspection-reports/find-inspection-report/provider/CARE/1240573","Ofsted Social Care Provider Webpage")</f>
        <v>Ofsted Social Care Provider Webpage</v>
      </c>
      <c r="B201" s="55">
        <v>1240573</v>
      </c>
      <c r="D201" s="55" t="s">
        <v>373</v>
      </c>
      <c r="E201" s="74">
        <v>42705</v>
      </c>
      <c r="F201" s="55" t="s">
        <v>344</v>
      </c>
      <c r="G201" s="55" t="s">
        <v>360</v>
      </c>
      <c r="H201" s="55" t="s">
        <v>360</v>
      </c>
      <c r="I201" s="55" t="s">
        <v>360</v>
      </c>
      <c r="J201" s="55" t="s">
        <v>360</v>
      </c>
      <c r="K201" s="55" t="s">
        <v>360</v>
      </c>
      <c r="L201" s="55" t="s">
        <v>360</v>
      </c>
      <c r="M201" s="55" t="s">
        <v>144</v>
      </c>
      <c r="N201" s="55" t="s">
        <v>144</v>
      </c>
      <c r="O201" s="55" t="s">
        <v>209</v>
      </c>
      <c r="P201" s="55" t="s">
        <v>364</v>
      </c>
      <c r="Q201" s="55" t="s">
        <v>350</v>
      </c>
      <c r="R201" s="85">
        <v>4</v>
      </c>
      <c r="S201" s="55">
        <v>0</v>
      </c>
      <c r="T201" s="74" t="s">
        <v>485</v>
      </c>
      <c r="U201" s="74" t="s">
        <v>351</v>
      </c>
      <c r="V201" s="74">
        <v>44362</v>
      </c>
      <c r="W201" s="74">
        <v>44397</v>
      </c>
      <c r="X201" s="55">
        <v>10185704</v>
      </c>
      <c r="Y201" s="55" t="s">
        <v>132</v>
      </c>
      <c r="AB201" s="74" t="s">
        <v>132</v>
      </c>
      <c r="AC201" s="55" t="s">
        <v>132</v>
      </c>
      <c r="AL201" s="74"/>
      <c r="AM201" s="74"/>
    </row>
    <row r="202" spans="1:50" ht="13" x14ac:dyDescent="0.15">
      <c r="A202" s="55" t="str">
        <f>HYPERLINK("http://reports.ofsted.gov.uk/inspection-reports/find-inspection-report/provider/CARE/1240753","Ofsted Social Care Provider Webpage")</f>
        <v>Ofsted Social Care Provider Webpage</v>
      </c>
      <c r="B202" s="55">
        <v>1240753</v>
      </c>
      <c r="D202" s="55" t="s">
        <v>373</v>
      </c>
      <c r="E202" s="74">
        <v>42599</v>
      </c>
      <c r="F202" s="55" t="s">
        <v>344</v>
      </c>
      <c r="G202" s="55" t="s">
        <v>360</v>
      </c>
      <c r="H202" s="55" t="s">
        <v>360</v>
      </c>
      <c r="I202" s="55" t="s">
        <v>360</v>
      </c>
      <c r="J202" s="55" t="s">
        <v>360</v>
      </c>
      <c r="K202" s="55" t="s">
        <v>360</v>
      </c>
      <c r="L202" s="55" t="s">
        <v>360</v>
      </c>
      <c r="M202" s="55" t="s">
        <v>144</v>
      </c>
      <c r="N202" s="55" t="s">
        <v>144</v>
      </c>
      <c r="O202" s="55" t="s">
        <v>209</v>
      </c>
      <c r="P202" s="55" t="s">
        <v>777</v>
      </c>
      <c r="Q202" s="55" t="s">
        <v>350</v>
      </c>
      <c r="R202" s="85">
        <v>4</v>
      </c>
      <c r="S202" s="55">
        <v>0</v>
      </c>
      <c r="T202" s="74" t="s">
        <v>794</v>
      </c>
      <c r="U202" s="74" t="s">
        <v>351</v>
      </c>
      <c r="V202" s="74">
        <v>44405</v>
      </c>
      <c r="W202" s="74">
        <v>44452</v>
      </c>
      <c r="X202" s="55">
        <v>10186056</v>
      </c>
      <c r="Y202" s="55" t="s">
        <v>146</v>
      </c>
      <c r="AB202" s="74" t="s">
        <v>146</v>
      </c>
      <c r="AC202" s="55" t="s">
        <v>146</v>
      </c>
      <c r="AL202" s="74"/>
      <c r="AM202" s="74"/>
    </row>
    <row r="203" spans="1:50" ht="13" x14ac:dyDescent="0.15">
      <c r="A203" s="55" t="str">
        <f>HYPERLINK("http://reports.ofsted.gov.uk/inspection-reports/find-inspection-report/provider/CARE/1240802","Ofsted Social Care Provider Webpage")</f>
        <v>Ofsted Social Care Provider Webpage</v>
      </c>
      <c r="B203" s="55">
        <v>1240802</v>
      </c>
      <c r="D203" s="55" t="s">
        <v>373</v>
      </c>
      <c r="E203" s="74">
        <v>42564</v>
      </c>
      <c r="F203" s="55" t="s">
        <v>344</v>
      </c>
      <c r="G203" s="55" t="s">
        <v>360</v>
      </c>
      <c r="H203" s="55" t="s">
        <v>360</v>
      </c>
      <c r="I203" s="55" t="s">
        <v>360</v>
      </c>
      <c r="J203" s="55" t="s">
        <v>360</v>
      </c>
      <c r="K203" s="55" t="s">
        <v>360</v>
      </c>
      <c r="L203" s="55" t="s">
        <v>360</v>
      </c>
      <c r="M203" s="55" t="s">
        <v>136</v>
      </c>
      <c r="N203" s="55" t="s">
        <v>136</v>
      </c>
      <c r="O203" s="55" t="s">
        <v>255</v>
      </c>
      <c r="P203" s="55" t="s">
        <v>583</v>
      </c>
      <c r="Q203" s="55" t="s">
        <v>350</v>
      </c>
      <c r="R203" s="85">
        <v>4</v>
      </c>
      <c r="S203" s="55">
        <v>0</v>
      </c>
      <c r="T203" s="74" t="s">
        <v>385</v>
      </c>
      <c r="U203" s="74" t="s">
        <v>351</v>
      </c>
      <c r="V203" s="74">
        <v>44495</v>
      </c>
      <c r="W203" s="74">
        <v>44522</v>
      </c>
      <c r="X203" s="55">
        <v>10185413</v>
      </c>
      <c r="Y203" s="55" t="s">
        <v>130</v>
      </c>
      <c r="AB203" s="74" t="s">
        <v>130</v>
      </c>
      <c r="AC203" s="55" t="s">
        <v>130</v>
      </c>
      <c r="AL203" s="74"/>
      <c r="AM203" s="74"/>
    </row>
    <row r="204" spans="1:50" ht="13" x14ac:dyDescent="0.15">
      <c r="A204" s="55" t="str">
        <f>HYPERLINK("http://reports.ofsted.gov.uk/inspection-reports/find-inspection-report/provider/CARE/1240843","Ofsted Social Care Provider Webpage")</f>
        <v>Ofsted Social Care Provider Webpage</v>
      </c>
      <c r="B204" s="55">
        <v>1240843</v>
      </c>
      <c r="D204" s="55" t="s">
        <v>373</v>
      </c>
      <c r="E204" s="74">
        <v>43031</v>
      </c>
      <c r="F204" s="55" t="s">
        <v>344</v>
      </c>
      <c r="G204" s="55" t="s">
        <v>360</v>
      </c>
      <c r="H204" s="55" t="s">
        <v>360</v>
      </c>
      <c r="I204" s="55" t="s">
        <v>360</v>
      </c>
      <c r="J204" s="55" t="s">
        <v>360</v>
      </c>
      <c r="K204" s="55" t="s">
        <v>360</v>
      </c>
      <c r="L204" s="55" t="s">
        <v>360</v>
      </c>
      <c r="M204" s="55" t="s">
        <v>144</v>
      </c>
      <c r="N204" s="55" t="s">
        <v>144</v>
      </c>
      <c r="O204" s="55" t="s">
        <v>145</v>
      </c>
      <c r="P204" s="55" t="s">
        <v>525</v>
      </c>
      <c r="Q204" s="55" t="s">
        <v>350</v>
      </c>
      <c r="R204" s="85">
        <v>2</v>
      </c>
      <c r="S204" s="55">
        <v>0</v>
      </c>
      <c r="T204" s="74" t="s">
        <v>794</v>
      </c>
      <c r="U204" s="74" t="s">
        <v>351</v>
      </c>
      <c r="V204" s="74">
        <v>44530</v>
      </c>
      <c r="W204" s="74">
        <v>44575</v>
      </c>
      <c r="X204" s="55">
        <v>10186454</v>
      </c>
      <c r="Y204" s="55" t="s">
        <v>130</v>
      </c>
      <c r="AB204" s="74" t="s">
        <v>130</v>
      </c>
      <c r="AC204" s="55" t="s">
        <v>130</v>
      </c>
      <c r="AL204" s="74"/>
      <c r="AM204" s="74"/>
    </row>
    <row r="205" spans="1:50" ht="13" x14ac:dyDescent="0.15">
      <c r="A205" s="55" t="str">
        <f>HYPERLINK("http://reports.ofsted.gov.uk/inspection-reports/find-inspection-report/provider/CARE/1240844","Ofsted Social Care Provider Webpage")</f>
        <v>Ofsted Social Care Provider Webpage</v>
      </c>
      <c r="B205" s="55">
        <v>1240844</v>
      </c>
      <c r="D205" s="55" t="s">
        <v>373</v>
      </c>
      <c r="E205" s="74">
        <v>42782</v>
      </c>
      <c r="F205" s="55" t="s">
        <v>344</v>
      </c>
      <c r="G205" s="55" t="s">
        <v>360</v>
      </c>
      <c r="H205" s="55" t="s">
        <v>360</v>
      </c>
      <c r="I205" s="55" t="s">
        <v>360</v>
      </c>
      <c r="J205" s="55" t="s">
        <v>360</v>
      </c>
      <c r="K205" s="55" t="s">
        <v>360</v>
      </c>
      <c r="L205" s="55" t="s">
        <v>360</v>
      </c>
      <c r="M205" s="55" t="s">
        <v>144</v>
      </c>
      <c r="N205" s="55" t="s">
        <v>144</v>
      </c>
      <c r="O205" s="55" t="s">
        <v>209</v>
      </c>
      <c r="P205" s="55" t="s">
        <v>777</v>
      </c>
      <c r="Q205" s="55" t="s">
        <v>350</v>
      </c>
      <c r="R205" s="85">
        <v>2</v>
      </c>
      <c r="S205" s="55">
        <v>0</v>
      </c>
      <c r="T205" s="74" t="s">
        <v>794</v>
      </c>
      <c r="U205" s="74" t="s">
        <v>351</v>
      </c>
      <c r="V205" s="74">
        <v>44530</v>
      </c>
      <c r="W205" s="74">
        <v>44575</v>
      </c>
      <c r="X205" s="55">
        <v>10187036</v>
      </c>
      <c r="Y205" s="55" t="s">
        <v>132</v>
      </c>
      <c r="AB205" s="74" t="s">
        <v>132</v>
      </c>
      <c r="AC205" s="55" t="s">
        <v>132</v>
      </c>
      <c r="AL205" s="74"/>
      <c r="AM205" s="74"/>
    </row>
    <row r="206" spans="1:50" ht="13" x14ac:dyDescent="0.15">
      <c r="A206" s="55" t="str">
        <f>HYPERLINK("http://reports.ofsted.gov.uk/inspection-reports/find-inspection-report/provider/CARE/1240883","Ofsted Social Care Provider Webpage")</f>
        <v>Ofsted Social Care Provider Webpage</v>
      </c>
      <c r="B206" s="55">
        <v>1240883</v>
      </c>
      <c r="D206" s="55" t="s">
        <v>373</v>
      </c>
      <c r="E206" s="74">
        <v>42600</v>
      </c>
      <c r="F206" s="55" t="s">
        <v>344</v>
      </c>
      <c r="G206" s="55" t="s">
        <v>360</v>
      </c>
      <c r="H206" s="55" t="s">
        <v>360</v>
      </c>
      <c r="I206" s="55" t="s">
        <v>360</v>
      </c>
      <c r="J206" s="55" t="s">
        <v>360</v>
      </c>
      <c r="K206" s="55" t="s">
        <v>360</v>
      </c>
      <c r="L206" s="55" t="s">
        <v>360</v>
      </c>
      <c r="M206" s="55" t="s">
        <v>144</v>
      </c>
      <c r="N206" s="55" t="s">
        <v>144</v>
      </c>
      <c r="O206" s="55" t="s">
        <v>209</v>
      </c>
      <c r="P206" s="55" t="s">
        <v>561</v>
      </c>
      <c r="Q206" s="55" t="s">
        <v>350</v>
      </c>
      <c r="R206" s="85">
        <v>3</v>
      </c>
      <c r="S206" s="55">
        <v>0</v>
      </c>
      <c r="T206" s="74" t="s">
        <v>794</v>
      </c>
      <c r="U206" s="74" t="s">
        <v>2053</v>
      </c>
      <c r="V206" s="74">
        <v>44384</v>
      </c>
      <c r="W206" s="74">
        <v>44414</v>
      </c>
      <c r="X206" s="55">
        <v>10196706</v>
      </c>
      <c r="AL206" s="74"/>
      <c r="AM206" s="74"/>
    </row>
    <row r="207" spans="1:50" ht="13" x14ac:dyDescent="0.15">
      <c r="A207" s="55" t="str">
        <f>HYPERLINK("http://reports.ofsted.gov.uk/inspection-reports/find-inspection-report/provider/CARE/1240883","Ofsted Social Care Provider Webpage")</f>
        <v>Ofsted Social Care Provider Webpage</v>
      </c>
      <c r="B207" s="55">
        <v>1240883</v>
      </c>
      <c r="D207" s="55" t="s">
        <v>373</v>
      </c>
      <c r="E207" s="74">
        <v>42600</v>
      </c>
      <c r="F207" s="55" t="s">
        <v>344</v>
      </c>
      <c r="G207" s="55" t="s">
        <v>360</v>
      </c>
      <c r="H207" s="55" t="s">
        <v>360</v>
      </c>
      <c r="I207" s="55" t="s">
        <v>360</v>
      </c>
      <c r="J207" s="55" t="s">
        <v>360</v>
      </c>
      <c r="K207" s="55" t="s">
        <v>360</v>
      </c>
      <c r="L207" s="55" t="s">
        <v>360</v>
      </c>
      <c r="M207" s="55" t="s">
        <v>144</v>
      </c>
      <c r="N207" s="55" t="s">
        <v>144</v>
      </c>
      <c r="O207" s="55" t="s">
        <v>209</v>
      </c>
      <c r="P207" s="55" t="s">
        <v>561</v>
      </c>
      <c r="Q207" s="55" t="s">
        <v>350</v>
      </c>
      <c r="R207" s="85">
        <v>3</v>
      </c>
      <c r="S207" s="55">
        <v>0</v>
      </c>
      <c r="T207" s="74" t="s">
        <v>794</v>
      </c>
      <c r="U207" s="74" t="s">
        <v>351</v>
      </c>
      <c r="V207" s="74">
        <v>44335</v>
      </c>
      <c r="W207" s="74">
        <v>44376</v>
      </c>
      <c r="X207" s="55">
        <v>10185596</v>
      </c>
      <c r="Y207" s="55" t="s">
        <v>146</v>
      </c>
      <c r="AB207" s="74" t="s">
        <v>146</v>
      </c>
      <c r="AC207" s="55" t="s">
        <v>146</v>
      </c>
      <c r="AL207" s="74"/>
      <c r="AM207" s="74"/>
    </row>
    <row r="208" spans="1:50" ht="13" x14ac:dyDescent="0.15">
      <c r="A208" s="55" t="str">
        <f>HYPERLINK("http://reports.ofsted.gov.uk/inspection-reports/find-inspection-report/provider/CARE/1240883","Ofsted Social Care Provider Webpage")</f>
        <v>Ofsted Social Care Provider Webpage</v>
      </c>
      <c r="B208" s="55">
        <v>1240883</v>
      </c>
      <c r="D208" s="55" t="s">
        <v>373</v>
      </c>
      <c r="E208" s="74">
        <v>42600</v>
      </c>
      <c r="F208" s="55" t="s">
        <v>344</v>
      </c>
      <c r="G208" s="55" t="s">
        <v>360</v>
      </c>
      <c r="H208" s="55" t="s">
        <v>360</v>
      </c>
      <c r="I208" s="55" t="s">
        <v>360</v>
      </c>
      <c r="J208" s="55" t="s">
        <v>360</v>
      </c>
      <c r="K208" s="55" t="s">
        <v>360</v>
      </c>
      <c r="L208" s="55" t="s">
        <v>360</v>
      </c>
      <c r="M208" s="55" t="s">
        <v>144</v>
      </c>
      <c r="N208" s="55" t="s">
        <v>144</v>
      </c>
      <c r="O208" s="55" t="s">
        <v>209</v>
      </c>
      <c r="P208" s="55" t="s">
        <v>561</v>
      </c>
      <c r="Q208" s="55" t="s">
        <v>350</v>
      </c>
      <c r="R208" s="85">
        <v>3</v>
      </c>
      <c r="S208" s="55">
        <v>0</v>
      </c>
      <c r="T208" s="74" t="s">
        <v>794</v>
      </c>
      <c r="U208" s="74" t="s">
        <v>351</v>
      </c>
      <c r="V208" s="74">
        <v>44497</v>
      </c>
      <c r="W208" s="74">
        <v>44544</v>
      </c>
      <c r="X208" s="55">
        <v>10212706</v>
      </c>
      <c r="Y208" s="55" t="s">
        <v>132</v>
      </c>
      <c r="AB208" s="74" t="s">
        <v>132</v>
      </c>
      <c r="AC208" s="55" t="s">
        <v>132</v>
      </c>
      <c r="AL208" s="74"/>
      <c r="AM208" s="74"/>
      <c r="AW208" s="74"/>
      <c r="AX208" s="74"/>
    </row>
    <row r="209" spans="1:50" ht="13" x14ac:dyDescent="0.15">
      <c r="A209" s="55" t="str">
        <f>HYPERLINK("http://reports.ofsted.gov.uk/inspection-reports/find-inspection-report/provider/CARE/1240884","Ofsted Social Care Provider Webpage")</f>
        <v>Ofsted Social Care Provider Webpage</v>
      </c>
      <c r="B209" s="55">
        <v>1240884</v>
      </c>
      <c r="D209" s="55" t="s">
        <v>373</v>
      </c>
      <c r="E209" s="74">
        <v>42667</v>
      </c>
      <c r="F209" s="55" t="s">
        <v>344</v>
      </c>
      <c r="G209" s="55" t="s">
        <v>360</v>
      </c>
      <c r="H209" s="55" t="s">
        <v>360</v>
      </c>
      <c r="I209" s="55" t="s">
        <v>360</v>
      </c>
      <c r="J209" s="55" t="s">
        <v>360</v>
      </c>
      <c r="K209" s="55" t="s">
        <v>360</v>
      </c>
      <c r="L209" s="55" t="s">
        <v>360</v>
      </c>
      <c r="M209" s="55" t="s">
        <v>144</v>
      </c>
      <c r="N209" s="55" t="s">
        <v>144</v>
      </c>
      <c r="O209" s="55" t="s">
        <v>209</v>
      </c>
      <c r="P209" s="55" t="s">
        <v>544</v>
      </c>
      <c r="Q209" s="55" t="s">
        <v>350</v>
      </c>
      <c r="R209" s="85">
        <v>2</v>
      </c>
      <c r="S209" s="55">
        <v>0</v>
      </c>
      <c r="T209" s="74" t="s">
        <v>794</v>
      </c>
      <c r="U209" s="74" t="s">
        <v>351</v>
      </c>
      <c r="V209" s="74">
        <v>44588</v>
      </c>
      <c r="W209" s="74">
        <v>44643</v>
      </c>
      <c r="X209" s="55">
        <v>10186429</v>
      </c>
      <c r="Y209" s="55" t="s">
        <v>130</v>
      </c>
      <c r="AB209" s="74" t="s">
        <v>130</v>
      </c>
      <c r="AC209" s="55" t="s">
        <v>130</v>
      </c>
      <c r="AL209" s="74"/>
      <c r="AM209" s="74"/>
    </row>
    <row r="210" spans="1:50" ht="13" x14ac:dyDescent="0.15">
      <c r="A210" s="55" t="str">
        <f>HYPERLINK("http://reports.ofsted.gov.uk/inspection-reports/find-inspection-report/provider/CARE/1240936","Ofsted Social Care Provider Webpage")</f>
        <v>Ofsted Social Care Provider Webpage</v>
      </c>
      <c r="B210" s="55">
        <v>1240936</v>
      </c>
      <c r="D210" s="55" t="s">
        <v>373</v>
      </c>
      <c r="E210" s="74">
        <v>42688</v>
      </c>
      <c r="F210" s="55" t="s">
        <v>344</v>
      </c>
      <c r="G210" s="55" t="s">
        <v>360</v>
      </c>
      <c r="H210" s="55" t="s">
        <v>360</v>
      </c>
      <c r="I210" s="55" t="s">
        <v>360</v>
      </c>
      <c r="J210" s="55" t="s">
        <v>360</v>
      </c>
      <c r="K210" s="55" t="s">
        <v>360</v>
      </c>
      <c r="L210" s="55" t="s">
        <v>360</v>
      </c>
      <c r="M210" s="55" t="s">
        <v>142</v>
      </c>
      <c r="N210" s="55" t="s">
        <v>142</v>
      </c>
      <c r="O210" s="55" t="s">
        <v>141</v>
      </c>
      <c r="P210" s="55" t="s">
        <v>795</v>
      </c>
      <c r="Q210" s="55" t="s">
        <v>350</v>
      </c>
      <c r="R210" s="85">
        <v>3</v>
      </c>
      <c r="S210" s="55">
        <v>0</v>
      </c>
      <c r="T210" s="74" t="s">
        <v>613</v>
      </c>
      <c r="U210" s="74" t="s">
        <v>351</v>
      </c>
      <c r="V210" s="74">
        <v>44321</v>
      </c>
      <c r="W210" s="74">
        <v>44370</v>
      </c>
      <c r="X210" s="55">
        <v>10185210</v>
      </c>
      <c r="Y210" s="55" t="s">
        <v>132</v>
      </c>
      <c r="AB210" s="74" t="s">
        <v>132</v>
      </c>
      <c r="AC210" s="55" t="s">
        <v>132</v>
      </c>
      <c r="AL210" s="74"/>
      <c r="AM210" s="74"/>
      <c r="AW210" s="74"/>
      <c r="AX210" s="74"/>
    </row>
    <row r="211" spans="1:50" ht="13" x14ac:dyDescent="0.15">
      <c r="A211" s="55" t="str">
        <f>HYPERLINK("http://reports.ofsted.gov.uk/inspection-reports/find-inspection-report/provider/CARE/1241023","Ofsted Social Care Provider Webpage")</f>
        <v>Ofsted Social Care Provider Webpage</v>
      </c>
      <c r="B211" s="55">
        <v>1241023</v>
      </c>
      <c r="D211" s="55" t="s">
        <v>373</v>
      </c>
      <c r="E211" s="74">
        <v>42600</v>
      </c>
      <c r="F211" s="55" t="s">
        <v>344</v>
      </c>
      <c r="G211" s="55" t="s">
        <v>360</v>
      </c>
      <c r="H211" s="55" t="s">
        <v>360</v>
      </c>
      <c r="I211" s="55" t="s">
        <v>360</v>
      </c>
      <c r="J211" s="55" t="s">
        <v>360</v>
      </c>
      <c r="K211" s="55" t="s">
        <v>360</v>
      </c>
      <c r="L211" s="55" t="s">
        <v>360</v>
      </c>
      <c r="M211" s="55" t="s">
        <v>150</v>
      </c>
      <c r="N211" s="55" t="s">
        <v>150</v>
      </c>
      <c r="O211" s="55" t="s">
        <v>285</v>
      </c>
      <c r="P211" s="55" t="s">
        <v>796</v>
      </c>
      <c r="Q211" s="55" t="s">
        <v>350</v>
      </c>
      <c r="R211" s="85">
        <v>8</v>
      </c>
      <c r="S211" s="55">
        <v>0</v>
      </c>
      <c r="T211" s="74" t="s">
        <v>797</v>
      </c>
      <c r="U211" s="74" t="s">
        <v>351</v>
      </c>
      <c r="V211" s="74">
        <v>44607</v>
      </c>
      <c r="W211" s="74">
        <v>44655</v>
      </c>
      <c r="X211" s="55">
        <v>10187416</v>
      </c>
      <c r="Y211" s="55" t="s">
        <v>132</v>
      </c>
      <c r="AB211" s="74" t="s">
        <v>132</v>
      </c>
      <c r="AC211" s="55" t="s">
        <v>130</v>
      </c>
      <c r="AL211" s="74"/>
      <c r="AM211" s="74"/>
      <c r="AW211" s="74"/>
      <c r="AX211" s="74"/>
    </row>
    <row r="212" spans="1:50" ht="13" x14ac:dyDescent="0.15">
      <c r="A212" s="55" t="str">
        <f>HYPERLINK("http://reports.ofsted.gov.uk/inspection-reports/find-inspection-report/provider/CARE/1241261","Ofsted Social Care Provider Webpage")</f>
        <v>Ofsted Social Care Provider Webpage</v>
      </c>
      <c r="B212" s="55">
        <v>1241261</v>
      </c>
      <c r="D212" s="55" t="s">
        <v>373</v>
      </c>
      <c r="E212" s="74">
        <v>42650</v>
      </c>
      <c r="F212" s="55" t="s">
        <v>344</v>
      </c>
      <c r="G212" s="55" t="s">
        <v>360</v>
      </c>
      <c r="H212" s="55" t="s">
        <v>360</v>
      </c>
      <c r="I212" s="55" t="s">
        <v>360</v>
      </c>
      <c r="J212" s="55" t="s">
        <v>360</v>
      </c>
      <c r="K212" s="55" t="s">
        <v>360</v>
      </c>
      <c r="L212" s="55" t="s">
        <v>360</v>
      </c>
      <c r="M212" s="55" t="s">
        <v>172</v>
      </c>
      <c r="N212" s="55" t="s">
        <v>172</v>
      </c>
      <c r="O212" s="55" t="s">
        <v>212</v>
      </c>
      <c r="P212" s="55" t="s">
        <v>798</v>
      </c>
      <c r="Q212" s="55" t="s">
        <v>350</v>
      </c>
      <c r="R212" s="85">
        <v>2</v>
      </c>
      <c r="S212" s="55">
        <v>0</v>
      </c>
      <c r="T212" s="74" t="s">
        <v>799</v>
      </c>
      <c r="U212" s="74" t="s">
        <v>2053</v>
      </c>
      <c r="V212" s="74">
        <v>44417</v>
      </c>
      <c r="W212" s="74">
        <v>44455</v>
      </c>
      <c r="X212" s="55">
        <v>10204272</v>
      </c>
      <c r="AL212" s="74"/>
      <c r="AM212" s="74"/>
      <c r="AW212" s="74"/>
      <c r="AX212" s="74"/>
    </row>
    <row r="213" spans="1:50" ht="13" x14ac:dyDescent="0.15">
      <c r="A213" s="55" t="str">
        <f>HYPERLINK("http://reports.ofsted.gov.uk/inspection-reports/find-inspection-report/provider/CARE/1241261","Ofsted Social Care Provider Webpage")</f>
        <v>Ofsted Social Care Provider Webpage</v>
      </c>
      <c r="B213" s="55">
        <v>1241261</v>
      </c>
      <c r="D213" s="55" t="s">
        <v>373</v>
      </c>
      <c r="E213" s="74">
        <v>42650</v>
      </c>
      <c r="F213" s="55" t="s">
        <v>344</v>
      </c>
      <c r="G213" s="55" t="s">
        <v>360</v>
      </c>
      <c r="H213" s="55" t="s">
        <v>360</v>
      </c>
      <c r="I213" s="55" t="s">
        <v>360</v>
      </c>
      <c r="J213" s="55" t="s">
        <v>360</v>
      </c>
      <c r="K213" s="55" t="s">
        <v>360</v>
      </c>
      <c r="L213" s="55" t="s">
        <v>360</v>
      </c>
      <c r="M213" s="55" t="s">
        <v>172</v>
      </c>
      <c r="N213" s="55" t="s">
        <v>172</v>
      </c>
      <c r="O213" s="55" t="s">
        <v>212</v>
      </c>
      <c r="P213" s="55" t="s">
        <v>798</v>
      </c>
      <c r="Q213" s="55" t="s">
        <v>350</v>
      </c>
      <c r="R213" s="85">
        <v>2</v>
      </c>
      <c r="S213" s="55">
        <v>0</v>
      </c>
      <c r="T213" s="74" t="s">
        <v>799</v>
      </c>
      <c r="U213" s="74" t="s">
        <v>351</v>
      </c>
      <c r="V213" s="74">
        <v>44627</v>
      </c>
      <c r="W213" s="74">
        <v>44665</v>
      </c>
      <c r="X213" s="55">
        <v>10187232</v>
      </c>
      <c r="Y213" s="55" t="s">
        <v>132</v>
      </c>
      <c r="AB213" s="74" t="s">
        <v>132</v>
      </c>
      <c r="AC213" s="55" t="s">
        <v>132</v>
      </c>
      <c r="AL213" s="74"/>
      <c r="AM213" s="74"/>
      <c r="AW213" s="74"/>
      <c r="AX213" s="74"/>
    </row>
    <row r="214" spans="1:50" ht="13" x14ac:dyDescent="0.15">
      <c r="A214" s="55" t="str">
        <f>HYPERLINK("http://reports.ofsted.gov.uk/inspection-reports/find-inspection-report/provider/CARE/1241263","Ofsted Social Care Provider Webpage")</f>
        <v>Ofsted Social Care Provider Webpage</v>
      </c>
      <c r="B214" s="55">
        <v>1241263</v>
      </c>
      <c r="D214" s="55" t="s">
        <v>373</v>
      </c>
      <c r="E214" s="74">
        <v>42669</v>
      </c>
      <c r="F214" s="55" t="s">
        <v>344</v>
      </c>
      <c r="G214" s="55" t="s">
        <v>360</v>
      </c>
      <c r="H214" s="55" t="s">
        <v>360</v>
      </c>
      <c r="I214" s="55" t="s">
        <v>360</v>
      </c>
      <c r="J214" s="55" t="s">
        <v>360</v>
      </c>
      <c r="K214" s="55" t="s">
        <v>360</v>
      </c>
      <c r="L214" s="55" t="s">
        <v>360</v>
      </c>
      <c r="M214" s="55" t="s">
        <v>150</v>
      </c>
      <c r="N214" s="55" t="s">
        <v>150</v>
      </c>
      <c r="O214" s="55" t="s">
        <v>203</v>
      </c>
      <c r="P214" s="55" t="s">
        <v>800</v>
      </c>
      <c r="Q214" s="55" t="s">
        <v>350</v>
      </c>
      <c r="R214" s="85">
        <v>6</v>
      </c>
      <c r="S214" s="55">
        <v>0</v>
      </c>
      <c r="T214" s="74" t="s">
        <v>801</v>
      </c>
      <c r="U214" s="74" t="s">
        <v>351</v>
      </c>
      <c r="V214" s="74">
        <v>44453</v>
      </c>
      <c r="W214" s="74">
        <v>44508</v>
      </c>
      <c r="X214" s="55">
        <v>10187369</v>
      </c>
      <c r="Y214" s="55" t="s">
        <v>140</v>
      </c>
      <c r="AB214" s="74" t="s">
        <v>140</v>
      </c>
      <c r="AC214" s="55" t="s">
        <v>132</v>
      </c>
      <c r="AL214" s="74"/>
      <c r="AM214" s="74"/>
      <c r="AW214" s="74"/>
      <c r="AX214" s="74"/>
    </row>
    <row r="215" spans="1:50" ht="13" x14ac:dyDescent="0.15">
      <c r="A215" s="55" t="str">
        <f>HYPERLINK("http://reports.ofsted.gov.uk/inspection-reports/find-inspection-report/provider/CARE/1241412","Ofsted Social Care Provider Webpage")</f>
        <v>Ofsted Social Care Provider Webpage</v>
      </c>
      <c r="B215" s="55">
        <v>1241412</v>
      </c>
      <c r="D215" s="55" t="s">
        <v>389</v>
      </c>
      <c r="E215" s="74">
        <v>42632</v>
      </c>
      <c r="F215" s="55" t="s">
        <v>344</v>
      </c>
      <c r="G215" s="55" t="s">
        <v>802</v>
      </c>
      <c r="H215" s="55" t="s">
        <v>803</v>
      </c>
      <c r="I215" s="55" t="s">
        <v>804</v>
      </c>
      <c r="J215" s="55" t="s">
        <v>805</v>
      </c>
      <c r="K215" s="55" t="s">
        <v>147</v>
      </c>
      <c r="L215" s="55" t="s">
        <v>806</v>
      </c>
      <c r="M215" s="55" t="s">
        <v>144</v>
      </c>
      <c r="N215" s="55" t="s">
        <v>144</v>
      </c>
      <c r="O215" s="55" t="s">
        <v>147</v>
      </c>
      <c r="P215" s="55" t="s">
        <v>807</v>
      </c>
      <c r="Q215" s="55" t="s">
        <v>350</v>
      </c>
      <c r="S215" s="55">
        <v>0</v>
      </c>
      <c r="T215" s="74" t="s">
        <v>802</v>
      </c>
      <c r="U215" s="74" t="s">
        <v>351</v>
      </c>
      <c r="V215" s="74">
        <v>44459</v>
      </c>
      <c r="W215" s="74">
        <v>44498</v>
      </c>
      <c r="X215" s="55">
        <v>10183392</v>
      </c>
      <c r="Y215" s="55" t="s">
        <v>140</v>
      </c>
      <c r="AB215" s="74" t="s">
        <v>140</v>
      </c>
      <c r="AC215" s="55" t="s">
        <v>132</v>
      </c>
      <c r="AL215" s="74"/>
      <c r="AM215" s="74"/>
      <c r="AW215" s="74"/>
      <c r="AX215" s="74"/>
    </row>
    <row r="216" spans="1:50" ht="13" x14ac:dyDescent="0.15">
      <c r="A216" s="55" t="str">
        <f>HYPERLINK("http://reports.ofsted.gov.uk/inspection-reports/find-inspection-report/provider/CARE/1241499","Ofsted Social Care Provider Webpage")</f>
        <v>Ofsted Social Care Provider Webpage</v>
      </c>
      <c r="B216" s="55">
        <v>1241499</v>
      </c>
      <c r="D216" s="55" t="s">
        <v>389</v>
      </c>
      <c r="E216" s="74">
        <v>42650</v>
      </c>
      <c r="F216" s="55" t="s">
        <v>344</v>
      </c>
      <c r="G216" s="55" t="s">
        <v>808</v>
      </c>
      <c r="H216" s="55" t="s">
        <v>809</v>
      </c>
      <c r="I216" s="55" t="s">
        <v>810</v>
      </c>
      <c r="J216" s="55" t="s">
        <v>811</v>
      </c>
      <c r="L216" s="55" t="s">
        <v>812</v>
      </c>
      <c r="M216" s="55" t="s">
        <v>138</v>
      </c>
      <c r="N216" s="55" t="s">
        <v>138</v>
      </c>
      <c r="O216" s="55" t="s">
        <v>183</v>
      </c>
      <c r="P216" s="55" t="s">
        <v>813</v>
      </c>
      <c r="Q216" s="55" t="s">
        <v>350</v>
      </c>
      <c r="S216" s="55">
        <v>0</v>
      </c>
      <c r="T216" s="74" t="s">
        <v>814</v>
      </c>
      <c r="U216" s="74" t="s">
        <v>351</v>
      </c>
      <c r="V216" s="74">
        <v>44606</v>
      </c>
      <c r="W216" s="74">
        <v>44652</v>
      </c>
      <c r="X216" s="55">
        <v>10183360</v>
      </c>
      <c r="Y216" s="55" t="s">
        <v>132</v>
      </c>
      <c r="AB216" s="74" t="s">
        <v>132</v>
      </c>
      <c r="AC216" s="55" t="s">
        <v>132</v>
      </c>
      <c r="AL216" s="74"/>
      <c r="AM216" s="74"/>
      <c r="AW216" s="74"/>
      <c r="AX216" s="74"/>
    </row>
    <row r="217" spans="1:50" ht="13" x14ac:dyDescent="0.15">
      <c r="A217" s="55" t="str">
        <f>HYPERLINK("http://reports.ofsted.gov.uk/inspection-reports/find-inspection-report/provider/CARE/1241634","Ofsted Social Care Provider Webpage")</f>
        <v>Ofsted Social Care Provider Webpage</v>
      </c>
      <c r="B217" s="55">
        <v>1241634</v>
      </c>
      <c r="D217" s="55" t="s">
        <v>373</v>
      </c>
      <c r="E217" s="74">
        <v>42604</v>
      </c>
      <c r="F217" s="55" t="s">
        <v>344</v>
      </c>
      <c r="G217" s="55" t="s">
        <v>360</v>
      </c>
      <c r="H217" s="55" t="s">
        <v>360</v>
      </c>
      <c r="I217" s="55" t="s">
        <v>360</v>
      </c>
      <c r="J217" s="55" t="s">
        <v>360</v>
      </c>
      <c r="K217" s="55" t="s">
        <v>360</v>
      </c>
      <c r="L217" s="55" t="s">
        <v>360</v>
      </c>
      <c r="M217" s="55" t="s">
        <v>144</v>
      </c>
      <c r="N217" s="55" t="s">
        <v>144</v>
      </c>
      <c r="O217" s="55" t="s">
        <v>287</v>
      </c>
      <c r="P217" s="55" t="s">
        <v>815</v>
      </c>
      <c r="Q217" s="55" t="s">
        <v>350</v>
      </c>
      <c r="R217" s="85">
        <v>2</v>
      </c>
      <c r="S217" s="55">
        <v>0</v>
      </c>
      <c r="T217" s="74" t="s">
        <v>816</v>
      </c>
      <c r="U217" s="74" t="s">
        <v>351</v>
      </c>
      <c r="V217" s="74">
        <v>44306</v>
      </c>
      <c r="W217" s="74">
        <v>44337</v>
      </c>
      <c r="X217" s="55">
        <v>10185378</v>
      </c>
      <c r="Y217" s="55" t="s">
        <v>132</v>
      </c>
      <c r="AB217" s="74" t="s">
        <v>132</v>
      </c>
      <c r="AC217" s="55" t="s">
        <v>130</v>
      </c>
      <c r="AL217" s="74"/>
      <c r="AM217" s="74"/>
      <c r="AW217" s="74"/>
      <c r="AX217" s="74"/>
    </row>
    <row r="218" spans="1:50" ht="13" x14ac:dyDescent="0.15">
      <c r="A218" s="55" t="str">
        <f>HYPERLINK("http://reports.ofsted.gov.uk/inspection-reports/find-inspection-report/provider/CARE/1241752","Ofsted Social Care Provider Webpage")</f>
        <v>Ofsted Social Care Provider Webpage</v>
      </c>
      <c r="B218" s="55">
        <v>1241752</v>
      </c>
      <c r="D218" s="55" t="s">
        <v>373</v>
      </c>
      <c r="E218" s="74">
        <v>42709</v>
      </c>
      <c r="F218" s="55" t="s">
        <v>344</v>
      </c>
      <c r="G218" s="55" t="s">
        <v>360</v>
      </c>
      <c r="H218" s="55" t="s">
        <v>360</v>
      </c>
      <c r="I218" s="55" t="s">
        <v>360</v>
      </c>
      <c r="J218" s="55" t="s">
        <v>360</v>
      </c>
      <c r="K218" s="55" t="s">
        <v>360</v>
      </c>
      <c r="L218" s="55" t="s">
        <v>360</v>
      </c>
      <c r="M218" s="55" t="s">
        <v>172</v>
      </c>
      <c r="N218" s="55" t="s">
        <v>172</v>
      </c>
      <c r="O218" s="55" t="s">
        <v>235</v>
      </c>
      <c r="P218" s="55" t="s">
        <v>628</v>
      </c>
      <c r="Q218" s="55" t="s">
        <v>362</v>
      </c>
      <c r="R218" s="85">
        <v>2</v>
      </c>
      <c r="S218" s="55">
        <v>0</v>
      </c>
      <c r="T218" s="74" t="s">
        <v>824</v>
      </c>
      <c r="U218" s="74" t="s">
        <v>351</v>
      </c>
      <c r="V218" s="74">
        <v>44579</v>
      </c>
      <c r="W218" s="74">
        <v>44609</v>
      </c>
      <c r="X218" s="55">
        <v>10187586</v>
      </c>
      <c r="Y218" s="55" t="s">
        <v>140</v>
      </c>
      <c r="AB218" s="74" t="s">
        <v>140</v>
      </c>
      <c r="AC218" s="55" t="s">
        <v>140</v>
      </c>
      <c r="AL218" s="74"/>
      <c r="AM218" s="74"/>
      <c r="AW218" s="74"/>
      <c r="AX218" s="74"/>
    </row>
    <row r="219" spans="1:50" ht="13" x14ac:dyDescent="0.15">
      <c r="A219" s="55" t="str">
        <f>HYPERLINK("http://reports.ofsted.gov.uk/inspection-reports/find-inspection-report/provider/CARE/1241757","Ofsted Social Care Provider Webpage")</f>
        <v>Ofsted Social Care Provider Webpage</v>
      </c>
      <c r="B219" s="55">
        <v>1241757</v>
      </c>
      <c r="D219" s="55" t="s">
        <v>373</v>
      </c>
      <c r="E219" s="74">
        <v>42591</v>
      </c>
      <c r="F219" s="55" t="s">
        <v>344</v>
      </c>
      <c r="G219" s="55" t="s">
        <v>360</v>
      </c>
      <c r="H219" s="55" t="s">
        <v>360</v>
      </c>
      <c r="I219" s="55" t="s">
        <v>360</v>
      </c>
      <c r="J219" s="55" t="s">
        <v>360</v>
      </c>
      <c r="K219" s="55" t="s">
        <v>360</v>
      </c>
      <c r="L219" s="55" t="s">
        <v>360</v>
      </c>
      <c r="M219" s="55" t="s">
        <v>144</v>
      </c>
      <c r="N219" s="55" t="s">
        <v>144</v>
      </c>
      <c r="O219" s="55" t="s">
        <v>287</v>
      </c>
      <c r="P219" s="55" t="s">
        <v>287</v>
      </c>
      <c r="Q219" s="55" t="s">
        <v>350</v>
      </c>
      <c r="R219" s="85">
        <v>3</v>
      </c>
      <c r="S219" s="55">
        <v>0</v>
      </c>
      <c r="T219" s="74" t="s">
        <v>513</v>
      </c>
      <c r="U219" s="74" t="s">
        <v>351</v>
      </c>
      <c r="V219" s="74">
        <v>44614</v>
      </c>
      <c r="W219" s="74">
        <v>44655</v>
      </c>
      <c r="X219" s="55">
        <v>10185116</v>
      </c>
      <c r="Y219" s="55" t="s">
        <v>132</v>
      </c>
      <c r="AB219" s="74" t="s">
        <v>132</v>
      </c>
      <c r="AC219" s="55" t="s">
        <v>132</v>
      </c>
      <c r="AL219" s="74"/>
      <c r="AM219" s="74"/>
    </row>
    <row r="220" spans="1:50" ht="13" x14ac:dyDescent="0.15">
      <c r="A220" s="55" t="str">
        <f>HYPERLINK("http://reports.ofsted.gov.uk/inspection-reports/find-inspection-report/provider/CARE/1241776","Ofsted Social Care Provider Webpage")</f>
        <v>Ofsted Social Care Provider Webpage</v>
      </c>
      <c r="B220" s="55">
        <v>1241776</v>
      </c>
      <c r="D220" s="55" t="s">
        <v>373</v>
      </c>
      <c r="E220" s="74">
        <v>42782</v>
      </c>
      <c r="F220" s="55" t="s">
        <v>344</v>
      </c>
      <c r="G220" s="55" t="s">
        <v>360</v>
      </c>
      <c r="H220" s="55" t="s">
        <v>360</v>
      </c>
      <c r="I220" s="55" t="s">
        <v>360</v>
      </c>
      <c r="J220" s="55" t="s">
        <v>360</v>
      </c>
      <c r="K220" s="55" t="s">
        <v>360</v>
      </c>
      <c r="L220" s="55" t="s">
        <v>360</v>
      </c>
      <c r="M220" s="55" t="s">
        <v>142</v>
      </c>
      <c r="N220" s="55" t="s">
        <v>142</v>
      </c>
      <c r="O220" s="55" t="s">
        <v>282</v>
      </c>
      <c r="P220" s="55" t="s">
        <v>355</v>
      </c>
      <c r="Q220" s="55" t="s">
        <v>350</v>
      </c>
      <c r="R220" s="85">
        <v>4</v>
      </c>
      <c r="S220" s="55">
        <v>0</v>
      </c>
      <c r="T220" s="74" t="s">
        <v>493</v>
      </c>
      <c r="U220" s="74" t="s">
        <v>351</v>
      </c>
      <c r="V220" s="74">
        <v>44607</v>
      </c>
      <c r="W220" s="74">
        <v>44643</v>
      </c>
      <c r="X220" s="55">
        <v>10187512</v>
      </c>
      <c r="Y220" s="55" t="s">
        <v>132</v>
      </c>
      <c r="AB220" s="74" t="s">
        <v>132</v>
      </c>
      <c r="AC220" s="55" t="s">
        <v>132</v>
      </c>
      <c r="AL220" s="74"/>
      <c r="AM220" s="74"/>
      <c r="AW220" s="74"/>
      <c r="AX220" s="74"/>
    </row>
    <row r="221" spans="1:50" ht="13" x14ac:dyDescent="0.15">
      <c r="A221" s="55" t="str">
        <f>HYPERLINK("http://reports.ofsted.gov.uk/inspection-reports/find-inspection-report/provider/CARE/1241781","Ofsted Social Care Provider Webpage")</f>
        <v>Ofsted Social Care Provider Webpage</v>
      </c>
      <c r="B221" s="55">
        <v>1241781</v>
      </c>
      <c r="C221" s="55">
        <v>143046</v>
      </c>
      <c r="D221" s="55" t="s">
        <v>398</v>
      </c>
      <c r="E221" s="74">
        <v>42795</v>
      </c>
      <c r="F221" s="55" t="s">
        <v>344</v>
      </c>
      <c r="G221" s="55" t="s">
        <v>825</v>
      </c>
      <c r="H221" s="55" t="s">
        <v>826</v>
      </c>
      <c r="I221" s="55" t="s">
        <v>354</v>
      </c>
      <c r="J221" s="55" t="s">
        <v>827</v>
      </c>
      <c r="L221" s="55" t="s">
        <v>828</v>
      </c>
      <c r="M221" s="55" t="s">
        <v>150</v>
      </c>
      <c r="N221" s="55" t="s">
        <v>150</v>
      </c>
      <c r="O221" s="55" t="s">
        <v>153</v>
      </c>
      <c r="P221" s="55" t="s">
        <v>829</v>
      </c>
      <c r="Q221" s="55" t="s">
        <v>350</v>
      </c>
      <c r="R221" s="85">
        <v>83</v>
      </c>
      <c r="S221" s="55">
        <v>0</v>
      </c>
      <c r="U221" s="74" t="s">
        <v>351</v>
      </c>
      <c r="V221" s="74">
        <v>44467</v>
      </c>
      <c r="W221" s="74">
        <v>44517</v>
      </c>
      <c r="X221" s="55">
        <v>10183337</v>
      </c>
      <c r="Y221" s="55" t="s">
        <v>132</v>
      </c>
      <c r="AB221" s="74" t="s">
        <v>132</v>
      </c>
      <c r="AC221" s="55" t="s">
        <v>132</v>
      </c>
      <c r="AL221" s="74"/>
      <c r="AM221" s="74"/>
      <c r="AW221" s="74"/>
      <c r="AX221" s="74"/>
    </row>
    <row r="222" spans="1:50" ht="13" x14ac:dyDescent="0.15">
      <c r="A222" s="55" t="str">
        <f>HYPERLINK("http://reports.ofsted.gov.uk/inspection-reports/find-inspection-report/provider/CARE/1241782","Ofsted Social Care Provider Webpage")</f>
        <v>Ofsted Social Care Provider Webpage</v>
      </c>
      <c r="B222" s="55">
        <v>1241782</v>
      </c>
      <c r="D222" s="55" t="s">
        <v>373</v>
      </c>
      <c r="E222" s="74">
        <v>42718</v>
      </c>
      <c r="F222" s="55" t="s">
        <v>344</v>
      </c>
      <c r="G222" s="55" t="s">
        <v>360</v>
      </c>
      <c r="H222" s="55" t="s">
        <v>360</v>
      </c>
      <c r="I222" s="55" t="s">
        <v>360</v>
      </c>
      <c r="J222" s="55" t="s">
        <v>360</v>
      </c>
      <c r="K222" s="55" t="s">
        <v>360</v>
      </c>
      <c r="L222" s="55" t="s">
        <v>360</v>
      </c>
      <c r="M222" s="55" t="s">
        <v>144</v>
      </c>
      <c r="N222" s="55" t="s">
        <v>144</v>
      </c>
      <c r="O222" s="55" t="s">
        <v>209</v>
      </c>
      <c r="P222" s="55" t="s">
        <v>474</v>
      </c>
      <c r="Q222" s="55" t="s">
        <v>380</v>
      </c>
      <c r="R222" s="85">
        <v>6</v>
      </c>
      <c r="S222" s="55">
        <v>0</v>
      </c>
      <c r="T222" s="74" t="s">
        <v>657</v>
      </c>
      <c r="U222" s="74" t="s">
        <v>351</v>
      </c>
      <c r="V222" s="74">
        <v>44299</v>
      </c>
      <c r="W222" s="74">
        <v>44336</v>
      </c>
      <c r="X222" s="55">
        <v>10185024</v>
      </c>
      <c r="Y222" s="55" t="s">
        <v>132</v>
      </c>
      <c r="AB222" s="74" t="s">
        <v>132</v>
      </c>
      <c r="AC222" s="55" t="s">
        <v>132</v>
      </c>
      <c r="AL222" s="74"/>
      <c r="AM222" s="74"/>
    </row>
    <row r="223" spans="1:50" ht="13" x14ac:dyDescent="0.15">
      <c r="A223" s="55" t="str">
        <f>HYPERLINK("http://reports.ofsted.gov.uk/inspection-reports/find-inspection-report/provider/CARE/1241785","Ofsted Social Care Provider Webpage")</f>
        <v>Ofsted Social Care Provider Webpage</v>
      </c>
      <c r="B223" s="55">
        <v>1241785</v>
      </c>
      <c r="D223" s="55" t="s">
        <v>373</v>
      </c>
      <c r="E223" s="74">
        <v>42759</v>
      </c>
      <c r="F223" s="55" t="s">
        <v>344</v>
      </c>
      <c r="G223" s="55" t="s">
        <v>360</v>
      </c>
      <c r="H223" s="55" t="s">
        <v>360</v>
      </c>
      <c r="I223" s="55" t="s">
        <v>360</v>
      </c>
      <c r="J223" s="55" t="s">
        <v>360</v>
      </c>
      <c r="K223" s="55" t="s">
        <v>360</v>
      </c>
      <c r="L223" s="55" t="s">
        <v>360</v>
      </c>
      <c r="M223" s="55" t="s">
        <v>150</v>
      </c>
      <c r="N223" s="55" t="s">
        <v>150</v>
      </c>
      <c r="O223" s="55" t="s">
        <v>190</v>
      </c>
      <c r="P223" s="55" t="s">
        <v>830</v>
      </c>
      <c r="Q223" s="55" t="s">
        <v>350</v>
      </c>
      <c r="R223" s="85">
        <v>9</v>
      </c>
      <c r="S223" s="55">
        <v>0</v>
      </c>
      <c r="T223" s="74" t="s">
        <v>450</v>
      </c>
      <c r="U223" s="74" t="s">
        <v>351</v>
      </c>
      <c r="V223" s="74">
        <v>44307</v>
      </c>
      <c r="W223" s="74">
        <v>44355</v>
      </c>
      <c r="X223" s="55">
        <v>10186421</v>
      </c>
      <c r="Y223" s="55" t="s">
        <v>132</v>
      </c>
      <c r="AB223" s="74" t="s">
        <v>132</v>
      </c>
      <c r="AC223" s="55" t="s">
        <v>132</v>
      </c>
      <c r="AL223" s="74"/>
      <c r="AM223" s="74"/>
      <c r="AW223" s="74"/>
      <c r="AX223" s="74"/>
    </row>
    <row r="224" spans="1:50" ht="13" x14ac:dyDescent="0.15">
      <c r="A224" s="55" t="str">
        <f>HYPERLINK("http://reports.ofsted.gov.uk/inspection-reports/find-inspection-report/provider/CARE/1241789","Ofsted Social Care Provider Webpage")</f>
        <v>Ofsted Social Care Provider Webpage</v>
      </c>
      <c r="B224" s="55">
        <v>1241789</v>
      </c>
      <c r="D224" s="55" t="s">
        <v>373</v>
      </c>
      <c r="E224" s="74">
        <v>42605</v>
      </c>
      <c r="F224" s="55" t="s">
        <v>344</v>
      </c>
      <c r="G224" s="55" t="s">
        <v>360</v>
      </c>
      <c r="H224" s="55" t="s">
        <v>360</v>
      </c>
      <c r="I224" s="55" t="s">
        <v>360</v>
      </c>
      <c r="J224" s="55" t="s">
        <v>360</v>
      </c>
      <c r="K224" s="55" t="s">
        <v>360</v>
      </c>
      <c r="L224" s="55" t="s">
        <v>360</v>
      </c>
      <c r="M224" s="55" t="s">
        <v>172</v>
      </c>
      <c r="N224" s="55" t="s">
        <v>172</v>
      </c>
      <c r="O224" s="55" t="s">
        <v>212</v>
      </c>
      <c r="P224" s="55" t="s">
        <v>592</v>
      </c>
      <c r="Q224" s="55" t="s">
        <v>350</v>
      </c>
      <c r="R224" s="85">
        <v>3</v>
      </c>
      <c r="S224" s="55">
        <v>0</v>
      </c>
      <c r="T224" s="74" t="s">
        <v>489</v>
      </c>
      <c r="U224" s="74" t="s">
        <v>351</v>
      </c>
      <c r="V224" s="74">
        <v>44614</v>
      </c>
      <c r="W224" s="74">
        <v>44652</v>
      </c>
      <c r="X224" s="55">
        <v>10186477</v>
      </c>
      <c r="Y224" s="55" t="s">
        <v>132</v>
      </c>
      <c r="AB224" s="74" t="s">
        <v>132</v>
      </c>
      <c r="AC224" s="55" t="s">
        <v>132</v>
      </c>
      <c r="AL224" s="74"/>
      <c r="AM224" s="74"/>
      <c r="AW224" s="74"/>
      <c r="AX224" s="74"/>
    </row>
    <row r="225" spans="1:50" ht="13" x14ac:dyDescent="0.15">
      <c r="A225" s="55" t="str">
        <f>HYPERLINK("http://reports.ofsted.gov.uk/inspection-reports/find-inspection-report/provider/CARE/1241836","Ofsted Social Care Provider Webpage")</f>
        <v>Ofsted Social Care Provider Webpage</v>
      </c>
      <c r="B225" s="55">
        <v>1241836</v>
      </c>
      <c r="D225" s="55" t="s">
        <v>373</v>
      </c>
      <c r="E225" s="74">
        <v>42759</v>
      </c>
      <c r="F225" s="55" t="s">
        <v>344</v>
      </c>
      <c r="G225" s="55" t="s">
        <v>360</v>
      </c>
      <c r="H225" s="55" t="s">
        <v>360</v>
      </c>
      <c r="I225" s="55" t="s">
        <v>360</v>
      </c>
      <c r="J225" s="55" t="s">
        <v>360</v>
      </c>
      <c r="K225" s="55" t="s">
        <v>360</v>
      </c>
      <c r="L225" s="55" t="s">
        <v>360</v>
      </c>
      <c r="M225" s="55" t="s">
        <v>150</v>
      </c>
      <c r="N225" s="55" t="s">
        <v>150</v>
      </c>
      <c r="O225" s="55" t="s">
        <v>190</v>
      </c>
      <c r="P225" s="55" t="s">
        <v>830</v>
      </c>
      <c r="Q225" s="55" t="s">
        <v>350</v>
      </c>
      <c r="R225" s="85">
        <v>7</v>
      </c>
      <c r="S225" s="55">
        <v>0</v>
      </c>
      <c r="T225" s="74" t="s">
        <v>450</v>
      </c>
      <c r="U225" s="74" t="s">
        <v>351</v>
      </c>
      <c r="V225" s="74">
        <v>44453</v>
      </c>
      <c r="W225" s="74">
        <v>44494</v>
      </c>
      <c r="X225" s="55">
        <v>10186436</v>
      </c>
      <c r="Y225" s="55" t="s">
        <v>132</v>
      </c>
      <c r="AB225" s="74" t="s">
        <v>132</v>
      </c>
      <c r="AC225" s="55" t="s">
        <v>132</v>
      </c>
      <c r="AL225" s="74"/>
      <c r="AM225" s="74"/>
      <c r="AW225" s="74"/>
      <c r="AX225" s="74"/>
    </row>
    <row r="226" spans="1:50" ht="13" x14ac:dyDescent="0.15">
      <c r="A226" s="55" t="str">
        <f>HYPERLINK("http://reports.ofsted.gov.uk/inspection-reports/find-inspection-report/provider/CARE/1241840","Ofsted Social Care Provider Webpage")</f>
        <v>Ofsted Social Care Provider Webpage</v>
      </c>
      <c r="B226" s="55">
        <v>1241840</v>
      </c>
      <c r="D226" s="55" t="s">
        <v>373</v>
      </c>
      <c r="E226" s="74">
        <v>42612</v>
      </c>
      <c r="F226" s="55" t="s">
        <v>344</v>
      </c>
      <c r="G226" s="55" t="s">
        <v>360</v>
      </c>
      <c r="H226" s="55" t="s">
        <v>360</v>
      </c>
      <c r="I226" s="55" t="s">
        <v>360</v>
      </c>
      <c r="J226" s="55" t="s">
        <v>360</v>
      </c>
      <c r="K226" s="55" t="s">
        <v>360</v>
      </c>
      <c r="L226" s="55" t="s">
        <v>360</v>
      </c>
      <c r="M226" s="55" t="s">
        <v>136</v>
      </c>
      <c r="N226" s="55" t="s">
        <v>136</v>
      </c>
      <c r="O226" s="55" t="s">
        <v>135</v>
      </c>
      <c r="P226" s="55" t="s">
        <v>831</v>
      </c>
      <c r="Q226" s="55" t="s">
        <v>350</v>
      </c>
      <c r="R226" s="85">
        <v>4</v>
      </c>
      <c r="S226" s="55">
        <v>0</v>
      </c>
      <c r="T226" s="74" t="s">
        <v>832</v>
      </c>
      <c r="U226" s="74" t="s">
        <v>6703</v>
      </c>
      <c r="V226" s="74">
        <v>44573</v>
      </c>
      <c r="W226" s="74">
        <v>44599</v>
      </c>
      <c r="X226" s="55">
        <v>10214434</v>
      </c>
      <c r="Y226" s="55" t="s">
        <v>6705</v>
      </c>
      <c r="AL226" s="74"/>
      <c r="AM226" s="74"/>
      <c r="AW226" s="74"/>
      <c r="AX226" s="74"/>
    </row>
    <row r="227" spans="1:50" ht="13" x14ac:dyDescent="0.15">
      <c r="A227" s="55" t="str">
        <f>HYPERLINK("http://reports.ofsted.gov.uk/inspection-reports/find-inspection-report/provider/CARE/1241840","Ofsted Social Care Provider Webpage")</f>
        <v>Ofsted Social Care Provider Webpage</v>
      </c>
      <c r="B227" s="55">
        <v>1241840</v>
      </c>
      <c r="D227" s="55" t="s">
        <v>373</v>
      </c>
      <c r="E227" s="74">
        <v>42612</v>
      </c>
      <c r="F227" s="55" t="s">
        <v>344</v>
      </c>
      <c r="G227" s="55" t="s">
        <v>360</v>
      </c>
      <c r="H227" s="55" t="s">
        <v>360</v>
      </c>
      <c r="I227" s="55" t="s">
        <v>360</v>
      </c>
      <c r="J227" s="55" t="s">
        <v>360</v>
      </c>
      <c r="K227" s="55" t="s">
        <v>360</v>
      </c>
      <c r="L227" s="55" t="s">
        <v>360</v>
      </c>
      <c r="M227" s="55" t="s">
        <v>136</v>
      </c>
      <c r="N227" s="55" t="s">
        <v>136</v>
      </c>
      <c r="O227" s="55" t="s">
        <v>135</v>
      </c>
      <c r="P227" s="55" t="s">
        <v>831</v>
      </c>
      <c r="Q227" s="55" t="s">
        <v>350</v>
      </c>
      <c r="R227" s="85">
        <v>4</v>
      </c>
      <c r="S227" s="55">
        <v>0</v>
      </c>
      <c r="T227" s="74" t="s">
        <v>832</v>
      </c>
      <c r="U227" s="74" t="s">
        <v>351</v>
      </c>
      <c r="V227" s="74">
        <v>44362</v>
      </c>
      <c r="W227" s="74">
        <v>44393</v>
      </c>
      <c r="X227" s="55">
        <v>10186379</v>
      </c>
      <c r="Y227" s="55" t="s">
        <v>130</v>
      </c>
      <c r="AB227" s="74" t="s">
        <v>132</v>
      </c>
      <c r="AC227" s="55" t="s">
        <v>130</v>
      </c>
      <c r="AL227" s="74"/>
      <c r="AM227" s="74"/>
      <c r="AW227" s="74"/>
      <c r="AX227" s="74"/>
    </row>
    <row r="228" spans="1:50" ht="13" x14ac:dyDescent="0.15">
      <c r="A228" s="55" t="str">
        <f>HYPERLINK("http://reports.ofsted.gov.uk/inspection-reports/find-inspection-report/provider/CARE/1241855","Ofsted Social Care Provider Webpage")</f>
        <v>Ofsted Social Care Provider Webpage</v>
      </c>
      <c r="B228" s="55">
        <v>1241855</v>
      </c>
      <c r="D228" s="55" t="s">
        <v>373</v>
      </c>
      <c r="E228" s="74">
        <v>42762</v>
      </c>
      <c r="F228" s="55" t="s">
        <v>344</v>
      </c>
      <c r="G228" s="55" t="s">
        <v>360</v>
      </c>
      <c r="H228" s="55" t="s">
        <v>360</v>
      </c>
      <c r="I228" s="55" t="s">
        <v>360</v>
      </c>
      <c r="J228" s="55" t="s">
        <v>360</v>
      </c>
      <c r="K228" s="55" t="s">
        <v>360</v>
      </c>
      <c r="L228" s="55" t="s">
        <v>360</v>
      </c>
      <c r="M228" s="55" t="s">
        <v>142</v>
      </c>
      <c r="N228" s="55" t="s">
        <v>142</v>
      </c>
      <c r="O228" s="55" t="s">
        <v>141</v>
      </c>
      <c r="P228" s="55" t="s">
        <v>774</v>
      </c>
      <c r="Q228" s="55" t="s">
        <v>350</v>
      </c>
      <c r="R228" s="85">
        <v>4</v>
      </c>
      <c r="S228" s="55">
        <v>0</v>
      </c>
      <c r="T228" s="74" t="s">
        <v>613</v>
      </c>
      <c r="U228" s="74" t="s">
        <v>351</v>
      </c>
      <c r="V228" s="74">
        <v>44335</v>
      </c>
      <c r="W228" s="74">
        <v>44379</v>
      </c>
      <c r="X228" s="55">
        <v>10187629</v>
      </c>
      <c r="Y228" s="55" t="s">
        <v>132</v>
      </c>
      <c r="AB228" s="74" t="s">
        <v>132</v>
      </c>
      <c r="AC228" s="55" t="s">
        <v>132</v>
      </c>
      <c r="AL228" s="74"/>
      <c r="AM228" s="74"/>
      <c r="AW228" s="74"/>
      <c r="AX228" s="74"/>
    </row>
    <row r="229" spans="1:50" ht="13" x14ac:dyDescent="0.15">
      <c r="A229" s="55" t="str">
        <f>HYPERLINK("http://reports.ofsted.gov.uk/inspection-reports/find-inspection-report/provider/CARE/1241897","Ofsted Social Care Provider Webpage")</f>
        <v>Ofsted Social Care Provider Webpage</v>
      </c>
      <c r="B229" s="55">
        <v>1241897</v>
      </c>
      <c r="D229" s="55" t="s">
        <v>373</v>
      </c>
      <c r="E229" s="74">
        <v>42703</v>
      </c>
      <c r="F229" s="55" t="s">
        <v>344</v>
      </c>
      <c r="G229" s="55" t="s">
        <v>360</v>
      </c>
      <c r="H229" s="55" t="s">
        <v>360</v>
      </c>
      <c r="I229" s="55" t="s">
        <v>360</v>
      </c>
      <c r="J229" s="55" t="s">
        <v>360</v>
      </c>
      <c r="K229" s="55" t="s">
        <v>360</v>
      </c>
      <c r="L229" s="55" t="s">
        <v>360</v>
      </c>
      <c r="M229" s="55" t="s">
        <v>138</v>
      </c>
      <c r="N229" s="55" t="s">
        <v>138</v>
      </c>
      <c r="O229" s="55" t="s">
        <v>183</v>
      </c>
      <c r="P229" s="55" t="s">
        <v>510</v>
      </c>
      <c r="Q229" s="55" t="s">
        <v>350</v>
      </c>
      <c r="R229" s="85">
        <v>8</v>
      </c>
      <c r="S229" s="55">
        <v>0</v>
      </c>
      <c r="T229" s="74" t="s">
        <v>644</v>
      </c>
      <c r="U229" s="74" t="s">
        <v>2053</v>
      </c>
      <c r="V229" s="74">
        <v>44600</v>
      </c>
      <c r="W229" s="74">
        <v>44623</v>
      </c>
      <c r="X229" s="55">
        <v>10219578</v>
      </c>
      <c r="AL229" s="74"/>
      <c r="AM229" s="74"/>
    </row>
    <row r="230" spans="1:50" ht="13" x14ac:dyDescent="0.15">
      <c r="A230" s="55" t="str">
        <f>HYPERLINK("http://reports.ofsted.gov.uk/inspection-reports/find-inspection-report/provider/CARE/1241897","Ofsted Social Care Provider Webpage")</f>
        <v>Ofsted Social Care Provider Webpage</v>
      </c>
      <c r="B230" s="55">
        <v>1241897</v>
      </c>
      <c r="D230" s="55" t="s">
        <v>373</v>
      </c>
      <c r="E230" s="74">
        <v>42703</v>
      </c>
      <c r="F230" s="55" t="s">
        <v>344</v>
      </c>
      <c r="G230" s="55" t="s">
        <v>360</v>
      </c>
      <c r="H230" s="55" t="s">
        <v>360</v>
      </c>
      <c r="I230" s="55" t="s">
        <v>360</v>
      </c>
      <c r="J230" s="55" t="s">
        <v>360</v>
      </c>
      <c r="K230" s="55" t="s">
        <v>360</v>
      </c>
      <c r="L230" s="55" t="s">
        <v>360</v>
      </c>
      <c r="M230" s="55" t="s">
        <v>138</v>
      </c>
      <c r="N230" s="55" t="s">
        <v>138</v>
      </c>
      <c r="O230" s="55" t="s">
        <v>183</v>
      </c>
      <c r="P230" s="55" t="s">
        <v>510</v>
      </c>
      <c r="Q230" s="55" t="s">
        <v>350</v>
      </c>
      <c r="R230" s="85">
        <v>8</v>
      </c>
      <c r="S230" s="55">
        <v>0</v>
      </c>
      <c r="T230" s="74" t="s">
        <v>644</v>
      </c>
      <c r="U230" s="74" t="s">
        <v>6703</v>
      </c>
      <c r="V230" s="74">
        <v>44566</v>
      </c>
      <c r="W230" s="74">
        <v>44594</v>
      </c>
      <c r="X230" s="55">
        <v>10205263</v>
      </c>
      <c r="Y230" s="55" t="s">
        <v>6704</v>
      </c>
      <c r="AL230" s="74"/>
      <c r="AM230" s="74"/>
      <c r="AW230" s="74"/>
      <c r="AX230" s="74"/>
    </row>
    <row r="231" spans="1:50" ht="13" x14ac:dyDescent="0.15">
      <c r="A231" s="55" t="str">
        <f>HYPERLINK("http://reports.ofsted.gov.uk/inspection-reports/find-inspection-report/provider/CARE/1241897","Ofsted Social Care Provider Webpage")</f>
        <v>Ofsted Social Care Provider Webpage</v>
      </c>
      <c r="B231" s="55">
        <v>1241897</v>
      </c>
      <c r="D231" s="55" t="s">
        <v>373</v>
      </c>
      <c r="E231" s="74">
        <v>42703</v>
      </c>
      <c r="F231" s="55" t="s">
        <v>344</v>
      </c>
      <c r="G231" s="55" t="s">
        <v>360</v>
      </c>
      <c r="H231" s="55" t="s">
        <v>360</v>
      </c>
      <c r="I231" s="55" t="s">
        <v>360</v>
      </c>
      <c r="J231" s="55" t="s">
        <v>360</v>
      </c>
      <c r="K231" s="55" t="s">
        <v>360</v>
      </c>
      <c r="L231" s="55" t="s">
        <v>360</v>
      </c>
      <c r="M231" s="55" t="s">
        <v>138</v>
      </c>
      <c r="N231" s="55" t="s">
        <v>138</v>
      </c>
      <c r="O231" s="55" t="s">
        <v>183</v>
      </c>
      <c r="P231" s="55" t="s">
        <v>510</v>
      </c>
      <c r="Q231" s="55" t="s">
        <v>350</v>
      </c>
      <c r="R231" s="85">
        <v>8</v>
      </c>
      <c r="S231" s="55">
        <v>0</v>
      </c>
      <c r="T231" s="74" t="s">
        <v>644</v>
      </c>
      <c r="U231" s="74" t="s">
        <v>351</v>
      </c>
      <c r="V231" s="74">
        <v>44399</v>
      </c>
      <c r="W231" s="74">
        <v>44428</v>
      </c>
      <c r="X231" s="55">
        <v>10185103</v>
      </c>
      <c r="Y231" s="55" t="s">
        <v>130</v>
      </c>
      <c r="AB231" s="74" t="s">
        <v>130</v>
      </c>
      <c r="AC231" s="55" t="s">
        <v>130</v>
      </c>
      <c r="AL231" s="74"/>
      <c r="AM231" s="74"/>
      <c r="AW231" s="74"/>
      <c r="AX231" s="74"/>
    </row>
    <row r="232" spans="1:50" ht="13" x14ac:dyDescent="0.15">
      <c r="A232" s="55" t="str">
        <f>HYPERLINK("http://reports.ofsted.gov.uk/inspection-reports/find-inspection-report/provider/CARE/1241970","Ofsted Social Care Provider Webpage")</f>
        <v>Ofsted Social Care Provider Webpage</v>
      </c>
      <c r="B232" s="55">
        <v>1241970</v>
      </c>
      <c r="D232" s="55" t="s">
        <v>373</v>
      </c>
      <c r="E232" s="74">
        <v>42744</v>
      </c>
      <c r="F232" s="55" t="s">
        <v>344</v>
      </c>
      <c r="G232" s="55" t="s">
        <v>360</v>
      </c>
      <c r="H232" s="55" t="s">
        <v>360</v>
      </c>
      <c r="I232" s="55" t="s">
        <v>360</v>
      </c>
      <c r="J232" s="55" t="s">
        <v>360</v>
      </c>
      <c r="K232" s="55" t="s">
        <v>360</v>
      </c>
      <c r="L232" s="55" t="s">
        <v>360</v>
      </c>
      <c r="M232" s="55" t="s">
        <v>144</v>
      </c>
      <c r="N232" s="55" t="s">
        <v>144</v>
      </c>
      <c r="O232" s="55" t="s">
        <v>168</v>
      </c>
      <c r="P232" s="55" t="s">
        <v>834</v>
      </c>
      <c r="Q232" s="55" t="s">
        <v>350</v>
      </c>
      <c r="R232" s="85">
        <v>2</v>
      </c>
      <c r="S232" s="55">
        <v>0</v>
      </c>
      <c r="T232" s="74" t="s">
        <v>485</v>
      </c>
      <c r="U232" s="74" t="s">
        <v>351</v>
      </c>
      <c r="V232" s="74">
        <v>44621</v>
      </c>
      <c r="W232" s="74">
        <v>44678</v>
      </c>
      <c r="X232" s="55">
        <v>10187598</v>
      </c>
      <c r="Y232" s="55" t="s">
        <v>132</v>
      </c>
      <c r="AB232" s="74" t="s">
        <v>132</v>
      </c>
      <c r="AC232" s="55" t="s">
        <v>132</v>
      </c>
      <c r="AL232" s="74"/>
      <c r="AM232" s="74"/>
      <c r="AW232" s="74"/>
      <c r="AX232" s="74"/>
    </row>
    <row r="233" spans="1:50" ht="13" x14ac:dyDescent="0.15">
      <c r="A233" s="55" t="str">
        <f>HYPERLINK("http://reports.ofsted.gov.uk/inspection-reports/find-inspection-report/provider/CARE/1241975","Ofsted Social Care Provider Webpage")</f>
        <v>Ofsted Social Care Provider Webpage</v>
      </c>
      <c r="B233" s="55">
        <v>1241975</v>
      </c>
      <c r="D233" s="55" t="s">
        <v>373</v>
      </c>
      <c r="E233" s="74">
        <v>42806</v>
      </c>
      <c r="F233" s="55" t="s">
        <v>344</v>
      </c>
      <c r="G233" s="55" t="s">
        <v>360</v>
      </c>
      <c r="H233" s="55" t="s">
        <v>360</v>
      </c>
      <c r="I233" s="55" t="s">
        <v>360</v>
      </c>
      <c r="J233" s="55" t="s">
        <v>360</v>
      </c>
      <c r="K233" s="55" t="s">
        <v>360</v>
      </c>
      <c r="L233" s="55" t="s">
        <v>360</v>
      </c>
      <c r="M233" s="55" t="s">
        <v>142</v>
      </c>
      <c r="N233" s="55" t="s">
        <v>142</v>
      </c>
      <c r="O233" s="55" t="s">
        <v>177</v>
      </c>
      <c r="P233" s="55" t="s">
        <v>835</v>
      </c>
      <c r="Q233" s="55" t="s">
        <v>350</v>
      </c>
      <c r="R233" s="85">
        <v>4</v>
      </c>
      <c r="S233" s="55">
        <v>0</v>
      </c>
      <c r="T233" s="74" t="s">
        <v>489</v>
      </c>
      <c r="U233" s="74" t="s">
        <v>2053</v>
      </c>
      <c r="V233" s="74">
        <v>44305</v>
      </c>
      <c r="W233" s="74">
        <v>44333</v>
      </c>
      <c r="X233" s="55">
        <v>10191908</v>
      </c>
      <c r="AL233" s="74"/>
      <c r="AM233" s="74"/>
      <c r="AW233" s="74"/>
      <c r="AX233" s="74"/>
    </row>
    <row r="234" spans="1:50" ht="13" x14ac:dyDescent="0.15">
      <c r="A234" s="55" t="str">
        <f>HYPERLINK("http://reports.ofsted.gov.uk/inspection-reports/find-inspection-report/provider/CARE/1241975","Ofsted Social Care Provider Webpage")</f>
        <v>Ofsted Social Care Provider Webpage</v>
      </c>
      <c r="B234" s="55">
        <v>1241975</v>
      </c>
      <c r="D234" s="55" t="s">
        <v>373</v>
      </c>
      <c r="E234" s="74">
        <v>42806</v>
      </c>
      <c r="F234" s="55" t="s">
        <v>344</v>
      </c>
      <c r="G234" s="55" t="s">
        <v>360</v>
      </c>
      <c r="H234" s="55" t="s">
        <v>360</v>
      </c>
      <c r="I234" s="55" t="s">
        <v>360</v>
      </c>
      <c r="J234" s="55" t="s">
        <v>360</v>
      </c>
      <c r="K234" s="55" t="s">
        <v>360</v>
      </c>
      <c r="L234" s="55" t="s">
        <v>360</v>
      </c>
      <c r="M234" s="55" t="s">
        <v>142</v>
      </c>
      <c r="N234" s="55" t="s">
        <v>142</v>
      </c>
      <c r="O234" s="55" t="s">
        <v>177</v>
      </c>
      <c r="P234" s="55" t="s">
        <v>835</v>
      </c>
      <c r="Q234" s="55" t="s">
        <v>350</v>
      </c>
      <c r="R234" s="85">
        <v>4</v>
      </c>
      <c r="S234" s="55">
        <v>0</v>
      </c>
      <c r="T234" s="74" t="s">
        <v>489</v>
      </c>
      <c r="U234" s="74" t="s">
        <v>2053</v>
      </c>
      <c r="V234" s="74">
        <v>44342</v>
      </c>
      <c r="W234" s="74">
        <v>44372</v>
      </c>
      <c r="X234" s="55">
        <v>10193531</v>
      </c>
      <c r="AL234" s="74"/>
      <c r="AM234" s="74"/>
    </row>
    <row r="235" spans="1:50" ht="13" x14ac:dyDescent="0.15">
      <c r="A235" s="55" t="str">
        <f>HYPERLINK("http://reports.ofsted.gov.uk/inspection-reports/find-inspection-report/provider/CARE/1242101","Ofsted Social Care Provider Webpage")</f>
        <v>Ofsted Social Care Provider Webpage</v>
      </c>
      <c r="B235" s="55">
        <v>1242101</v>
      </c>
      <c r="D235" s="55" t="s">
        <v>389</v>
      </c>
      <c r="E235" s="74">
        <v>42751</v>
      </c>
      <c r="F235" s="55" t="s">
        <v>344</v>
      </c>
      <c r="G235" s="55" t="s">
        <v>836</v>
      </c>
      <c r="H235" s="55" t="s">
        <v>837</v>
      </c>
      <c r="I235" s="55" t="s">
        <v>838</v>
      </c>
      <c r="J235" s="55" t="s">
        <v>839</v>
      </c>
      <c r="K235" s="55" t="s">
        <v>183</v>
      </c>
      <c r="L235" s="55" t="s">
        <v>840</v>
      </c>
      <c r="M235" s="55" t="s">
        <v>138</v>
      </c>
      <c r="N235" s="55" t="s">
        <v>138</v>
      </c>
      <c r="O235" s="55" t="s">
        <v>259</v>
      </c>
      <c r="P235" s="55" t="s">
        <v>637</v>
      </c>
      <c r="Q235" s="55" t="s">
        <v>350</v>
      </c>
      <c r="S235" s="55">
        <v>0</v>
      </c>
      <c r="T235" s="74" t="s">
        <v>836</v>
      </c>
      <c r="U235" s="74" t="s">
        <v>351</v>
      </c>
      <c r="V235" s="74">
        <v>44585</v>
      </c>
      <c r="W235" s="74">
        <v>44629</v>
      </c>
      <c r="X235" s="55">
        <v>10183346</v>
      </c>
      <c r="Y235" s="55" t="s">
        <v>132</v>
      </c>
      <c r="AB235" s="74" t="s">
        <v>132</v>
      </c>
      <c r="AC235" s="55" t="s">
        <v>132</v>
      </c>
      <c r="AL235" s="74"/>
      <c r="AM235" s="74"/>
      <c r="AW235" s="74"/>
      <c r="AX235" s="74"/>
    </row>
    <row r="236" spans="1:50" ht="13" x14ac:dyDescent="0.15">
      <c r="A236" s="55" t="str">
        <f>HYPERLINK("http://reports.ofsted.gov.uk/inspection-reports/find-inspection-report/provider/CARE/1242216","Ofsted Social Care Provider Webpage")</f>
        <v>Ofsted Social Care Provider Webpage</v>
      </c>
      <c r="B236" s="55">
        <v>1242216</v>
      </c>
      <c r="D236" s="55" t="s">
        <v>373</v>
      </c>
      <c r="E236" s="74">
        <v>42635</v>
      </c>
      <c r="F236" s="55" t="s">
        <v>344</v>
      </c>
      <c r="G236" s="55" t="s">
        <v>360</v>
      </c>
      <c r="H236" s="55" t="s">
        <v>360</v>
      </c>
      <c r="I236" s="55" t="s">
        <v>360</v>
      </c>
      <c r="J236" s="55" t="s">
        <v>360</v>
      </c>
      <c r="K236" s="55" t="s">
        <v>360</v>
      </c>
      <c r="L236" s="55" t="s">
        <v>360</v>
      </c>
      <c r="M236" s="55" t="s">
        <v>172</v>
      </c>
      <c r="N236" s="55" t="s">
        <v>172</v>
      </c>
      <c r="O236" s="55" t="s">
        <v>212</v>
      </c>
      <c r="P236" s="55" t="s">
        <v>842</v>
      </c>
      <c r="Q236" s="55" t="s">
        <v>350</v>
      </c>
      <c r="R236" s="85">
        <v>4</v>
      </c>
      <c r="S236" s="55">
        <v>0</v>
      </c>
      <c r="T236" s="74" t="s">
        <v>843</v>
      </c>
      <c r="U236" s="74" t="s">
        <v>351</v>
      </c>
      <c r="V236" s="74">
        <v>44516</v>
      </c>
      <c r="W236" s="74">
        <v>44546</v>
      </c>
      <c r="X236" s="55">
        <v>10186819</v>
      </c>
      <c r="Y236" s="55" t="s">
        <v>132</v>
      </c>
      <c r="AB236" s="74" t="s">
        <v>132</v>
      </c>
      <c r="AC236" s="55" t="s">
        <v>132</v>
      </c>
      <c r="AL236" s="74"/>
      <c r="AM236" s="74"/>
    </row>
    <row r="237" spans="1:50" ht="13" x14ac:dyDescent="0.15">
      <c r="A237" s="55" t="str">
        <f>HYPERLINK("http://reports.ofsted.gov.uk/inspection-reports/find-inspection-report/provider/CARE/1243962","Ofsted Social Care Provider Webpage")</f>
        <v>Ofsted Social Care Provider Webpage</v>
      </c>
      <c r="B237" s="55">
        <v>1243962</v>
      </c>
      <c r="D237" s="55" t="s">
        <v>373</v>
      </c>
      <c r="E237" s="74">
        <v>43052</v>
      </c>
      <c r="F237" s="55" t="s">
        <v>344</v>
      </c>
      <c r="G237" s="55" t="s">
        <v>360</v>
      </c>
      <c r="H237" s="55" t="s">
        <v>360</v>
      </c>
      <c r="I237" s="55" t="s">
        <v>360</v>
      </c>
      <c r="J237" s="55" t="s">
        <v>360</v>
      </c>
      <c r="K237" s="55" t="s">
        <v>360</v>
      </c>
      <c r="L237" s="55" t="s">
        <v>360</v>
      </c>
      <c r="M237" s="55" t="s">
        <v>142</v>
      </c>
      <c r="N237" s="55" t="s">
        <v>142</v>
      </c>
      <c r="O237" s="55" t="s">
        <v>262</v>
      </c>
      <c r="P237" s="55" t="s">
        <v>850</v>
      </c>
      <c r="Q237" s="55" t="s">
        <v>851</v>
      </c>
      <c r="R237" s="85">
        <v>6</v>
      </c>
      <c r="S237" s="55" t="s">
        <v>332</v>
      </c>
      <c r="T237" s="74" t="s">
        <v>852</v>
      </c>
      <c r="U237" s="74" t="s">
        <v>351</v>
      </c>
      <c r="V237" s="74">
        <v>44529</v>
      </c>
      <c r="W237" s="74">
        <v>44586</v>
      </c>
      <c r="X237" s="55">
        <v>10186994</v>
      </c>
      <c r="Y237" s="55" t="s">
        <v>132</v>
      </c>
      <c r="AB237" s="74" t="s">
        <v>132</v>
      </c>
      <c r="AC237" s="55" t="s">
        <v>132</v>
      </c>
      <c r="AL237" s="74"/>
      <c r="AM237" s="74"/>
    </row>
    <row r="238" spans="1:50" ht="13" x14ac:dyDescent="0.15">
      <c r="A238" s="55" t="str">
        <f>HYPERLINK("http://reports.ofsted.gov.uk/inspection-reports/find-inspection-report/provider/CARE/1244108","Ofsted Social Care Provider Webpage")</f>
        <v>Ofsted Social Care Provider Webpage</v>
      </c>
      <c r="B238" s="55">
        <v>1244108</v>
      </c>
      <c r="D238" s="55" t="s">
        <v>373</v>
      </c>
      <c r="E238" s="74">
        <v>42906</v>
      </c>
      <c r="F238" s="55" t="s">
        <v>344</v>
      </c>
      <c r="G238" s="55" t="s">
        <v>360</v>
      </c>
      <c r="H238" s="55" t="s">
        <v>360</v>
      </c>
      <c r="I238" s="55" t="s">
        <v>360</v>
      </c>
      <c r="J238" s="55" t="s">
        <v>360</v>
      </c>
      <c r="K238" s="55" t="s">
        <v>360</v>
      </c>
      <c r="L238" s="55" t="s">
        <v>360</v>
      </c>
      <c r="M238" s="55" t="s">
        <v>150</v>
      </c>
      <c r="N238" s="55" t="s">
        <v>150</v>
      </c>
      <c r="O238" s="55" t="s">
        <v>203</v>
      </c>
      <c r="P238" s="55" t="s">
        <v>853</v>
      </c>
      <c r="Q238" s="55" t="s">
        <v>350</v>
      </c>
      <c r="R238" s="85">
        <v>3</v>
      </c>
      <c r="S238" s="55">
        <v>0</v>
      </c>
      <c r="T238" s="74" t="s">
        <v>854</v>
      </c>
      <c r="U238" s="74" t="s">
        <v>351</v>
      </c>
      <c r="V238" s="74">
        <v>44334</v>
      </c>
      <c r="W238" s="74">
        <v>44392</v>
      </c>
      <c r="X238" s="55">
        <v>10185215</v>
      </c>
      <c r="Y238" s="55" t="s">
        <v>132</v>
      </c>
      <c r="AB238" s="74" t="s">
        <v>132</v>
      </c>
      <c r="AC238" s="55" t="s">
        <v>132</v>
      </c>
      <c r="AL238" s="74"/>
      <c r="AM238" s="74"/>
      <c r="AW238" s="74"/>
      <c r="AX238" s="74"/>
    </row>
    <row r="239" spans="1:50" ht="13" x14ac:dyDescent="0.15">
      <c r="A239" s="55" t="str">
        <f>HYPERLINK("http://reports.ofsted.gov.uk/inspection-reports/find-inspection-report/provider/CARE/1244137","Ofsted Social Care Provider Webpage")</f>
        <v>Ofsted Social Care Provider Webpage</v>
      </c>
      <c r="B239" s="55">
        <v>1244137</v>
      </c>
      <c r="D239" s="55" t="s">
        <v>373</v>
      </c>
      <c r="E239" s="74">
        <v>42668</v>
      </c>
      <c r="F239" s="55" t="s">
        <v>344</v>
      </c>
      <c r="G239" s="55" t="s">
        <v>360</v>
      </c>
      <c r="H239" s="55" t="s">
        <v>360</v>
      </c>
      <c r="I239" s="55" t="s">
        <v>360</v>
      </c>
      <c r="J239" s="55" t="s">
        <v>360</v>
      </c>
      <c r="K239" s="55" t="s">
        <v>360</v>
      </c>
      <c r="L239" s="55" t="s">
        <v>360</v>
      </c>
      <c r="M239" s="55" t="s">
        <v>136</v>
      </c>
      <c r="N239" s="55" t="s">
        <v>136</v>
      </c>
      <c r="O239" s="55" t="s">
        <v>174</v>
      </c>
      <c r="P239" s="55" t="s">
        <v>857</v>
      </c>
      <c r="Q239" s="55" t="s">
        <v>350</v>
      </c>
      <c r="R239" s="85">
        <v>2</v>
      </c>
      <c r="S239" s="55">
        <v>0</v>
      </c>
      <c r="T239" s="74" t="s">
        <v>858</v>
      </c>
      <c r="U239" s="74" t="s">
        <v>351</v>
      </c>
      <c r="V239" s="74">
        <v>44495</v>
      </c>
      <c r="W239" s="74">
        <v>44538</v>
      </c>
      <c r="X239" s="55">
        <v>10186509</v>
      </c>
      <c r="Y239" s="55" t="s">
        <v>140</v>
      </c>
      <c r="AB239" s="74" t="s">
        <v>140</v>
      </c>
      <c r="AC239" s="55" t="s">
        <v>140</v>
      </c>
      <c r="AL239" s="74"/>
      <c r="AM239" s="74"/>
      <c r="AW239" s="74"/>
      <c r="AX239" s="74"/>
    </row>
    <row r="240" spans="1:50" ht="13" x14ac:dyDescent="0.15">
      <c r="A240" s="55" t="str">
        <f>HYPERLINK("http://reports.ofsted.gov.uk/inspection-reports/find-inspection-report/provider/CARE/1244160","Ofsted Social Care Provider Webpage")</f>
        <v>Ofsted Social Care Provider Webpage</v>
      </c>
      <c r="B240" s="55">
        <v>1244160</v>
      </c>
      <c r="D240" s="55" t="s">
        <v>373</v>
      </c>
      <c r="E240" s="74">
        <v>42661</v>
      </c>
      <c r="F240" s="55" t="s">
        <v>344</v>
      </c>
      <c r="G240" s="55" t="s">
        <v>360</v>
      </c>
      <c r="H240" s="55" t="s">
        <v>360</v>
      </c>
      <c r="I240" s="55" t="s">
        <v>360</v>
      </c>
      <c r="J240" s="55" t="s">
        <v>360</v>
      </c>
      <c r="K240" s="55" t="s">
        <v>360</v>
      </c>
      <c r="L240" s="55" t="s">
        <v>360</v>
      </c>
      <c r="M240" s="55" t="s">
        <v>150</v>
      </c>
      <c r="N240" s="55" t="s">
        <v>150</v>
      </c>
      <c r="O240" s="55" t="s">
        <v>237</v>
      </c>
      <c r="P240" s="55" t="s">
        <v>859</v>
      </c>
      <c r="Q240" s="55" t="s">
        <v>350</v>
      </c>
      <c r="R240" s="85">
        <v>8</v>
      </c>
      <c r="S240" s="55">
        <v>0</v>
      </c>
      <c r="T240" s="74" t="s">
        <v>435</v>
      </c>
      <c r="U240" s="74" t="s">
        <v>351</v>
      </c>
      <c r="V240" s="74">
        <v>44566</v>
      </c>
      <c r="W240" s="74">
        <v>44623</v>
      </c>
      <c r="X240" s="55">
        <v>10187336</v>
      </c>
      <c r="Y240" s="55" t="s">
        <v>132</v>
      </c>
      <c r="AB240" s="74" t="s">
        <v>132</v>
      </c>
      <c r="AC240" s="55" t="s">
        <v>132</v>
      </c>
      <c r="AL240" s="74"/>
      <c r="AM240" s="74"/>
      <c r="AW240" s="74"/>
      <c r="AX240" s="74"/>
    </row>
    <row r="241" spans="1:50" ht="13" x14ac:dyDescent="0.15">
      <c r="A241" s="55" t="str">
        <f>HYPERLINK("http://reports.ofsted.gov.uk/inspection-reports/find-inspection-report/provider/CARE/1244161","Ofsted Social Care Provider Webpage")</f>
        <v>Ofsted Social Care Provider Webpage</v>
      </c>
      <c r="B241" s="55">
        <v>1244161</v>
      </c>
      <c r="D241" s="55" t="s">
        <v>373</v>
      </c>
      <c r="E241" s="74">
        <v>42632</v>
      </c>
      <c r="F241" s="55" t="s">
        <v>344</v>
      </c>
      <c r="G241" s="55" t="s">
        <v>360</v>
      </c>
      <c r="H241" s="55" t="s">
        <v>360</v>
      </c>
      <c r="I241" s="55" t="s">
        <v>360</v>
      </c>
      <c r="J241" s="55" t="s">
        <v>360</v>
      </c>
      <c r="K241" s="55" t="s">
        <v>360</v>
      </c>
      <c r="L241" s="55" t="s">
        <v>360</v>
      </c>
      <c r="M241" s="55" t="s">
        <v>172</v>
      </c>
      <c r="N241" s="55" t="s">
        <v>172</v>
      </c>
      <c r="O241" s="55" t="s">
        <v>173</v>
      </c>
      <c r="P241" s="55" t="s">
        <v>860</v>
      </c>
      <c r="Q241" s="55" t="s">
        <v>350</v>
      </c>
      <c r="R241" s="85">
        <v>1</v>
      </c>
      <c r="S241" s="55">
        <v>0</v>
      </c>
      <c r="T241" s="74" t="s">
        <v>861</v>
      </c>
      <c r="U241" s="74" t="s">
        <v>351</v>
      </c>
      <c r="V241" s="74">
        <v>44382</v>
      </c>
      <c r="W241" s="74">
        <v>44410</v>
      </c>
      <c r="X241" s="55">
        <v>10187213</v>
      </c>
      <c r="Y241" s="55" t="s">
        <v>132</v>
      </c>
      <c r="AB241" s="74" t="s">
        <v>132</v>
      </c>
      <c r="AC241" s="55" t="s">
        <v>132</v>
      </c>
      <c r="AL241" s="74"/>
      <c r="AM241" s="74"/>
    </row>
    <row r="242" spans="1:50" ht="13" x14ac:dyDescent="0.15">
      <c r="A242" s="55" t="str">
        <f>HYPERLINK("http://reports.ofsted.gov.uk/inspection-reports/find-inspection-report/provider/CARE/1244280","Ofsted Social Care Provider Webpage")</f>
        <v>Ofsted Social Care Provider Webpage</v>
      </c>
      <c r="B242" s="55">
        <v>1244280</v>
      </c>
      <c r="D242" s="55" t="s">
        <v>373</v>
      </c>
      <c r="E242" s="74">
        <v>42681</v>
      </c>
      <c r="F242" s="55" t="s">
        <v>344</v>
      </c>
      <c r="G242" s="55" t="s">
        <v>360</v>
      </c>
      <c r="H242" s="55" t="s">
        <v>360</v>
      </c>
      <c r="I242" s="55" t="s">
        <v>360</v>
      </c>
      <c r="J242" s="55" t="s">
        <v>360</v>
      </c>
      <c r="K242" s="55" t="s">
        <v>360</v>
      </c>
      <c r="L242" s="55" t="s">
        <v>360</v>
      </c>
      <c r="M242" s="55" t="s">
        <v>378</v>
      </c>
      <c r="N242" s="55" t="s">
        <v>134</v>
      </c>
      <c r="O242" s="55" t="s">
        <v>151</v>
      </c>
      <c r="P242" s="55" t="s">
        <v>862</v>
      </c>
      <c r="Q242" s="55" t="s">
        <v>350</v>
      </c>
      <c r="R242" s="85">
        <v>7</v>
      </c>
      <c r="S242" s="55">
        <v>0</v>
      </c>
      <c r="T242" s="74" t="s">
        <v>435</v>
      </c>
      <c r="U242" s="74" t="s">
        <v>351</v>
      </c>
      <c r="V242" s="74">
        <v>44362</v>
      </c>
      <c r="W242" s="74">
        <v>44473</v>
      </c>
      <c r="X242" s="55">
        <v>10185229</v>
      </c>
      <c r="Y242" s="55" t="s">
        <v>130</v>
      </c>
      <c r="AB242" s="74" t="s">
        <v>130</v>
      </c>
      <c r="AC242" s="55" t="s">
        <v>130</v>
      </c>
      <c r="AL242" s="74"/>
      <c r="AM242" s="74"/>
      <c r="AW242" s="74"/>
      <c r="AX242" s="74"/>
    </row>
    <row r="243" spans="1:50" ht="13" x14ac:dyDescent="0.15">
      <c r="A243" s="55" t="str">
        <f>HYPERLINK("http://reports.ofsted.gov.uk/inspection-reports/find-inspection-report/provider/CARE/1244283","Ofsted Social Care Provider Webpage")</f>
        <v>Ofsted Social Care Provider Webpage</v>
      </c>
      <c r="B243" s="55">
        <v>1244283</v>
      </c>
      <c r="D243" s="55" t="s">
        <v>373</v>
      </c>
      <c r="E243" s="74">
        <v>42744</v>
      </c>
      <c r="F243" s="55" t="s">
        <v>344</v>
      </c>
      <c r="G243" s="55" t="s">
        <v>360</v>
      </c>
      <c r="H243" s="55" t="s">
        <v>360</v>
      </c>
      <c r="I243" s="55" t="s">
        <v>360</v>
      </c>
      <c r="J243" s="55" t="s">
        <v>360</v>
      </c>
      <c r="K243" s="55" t="s">
        <v>360</v>
      </c>
      <c r="L243" s="55" t="s">
        <v>360</v>
      </c>
      <c r="M243" s="55" t="s">
        <v>144</v>
      </c>
      <c r="N243" s="55" t="s">
        <v>144</v>
      </c>
      <c r="O243" s="55" t="s">
        <v>209</v>
      </c>
      <c r="P243" s="55" t="s">
        <v>561</v>
      </c>
      <c r="Q243" s="55" t="s">
        <v>350</v>
      </c>
      <c r="R243" s="85">
        <v>3</v>
      </c>
      <c r="S243" s="55">
        <v>0</v>
      </c>
      <c r="T243" s="74" t="s">
        <v>485</v>
      </c>
      <c r="U243" s="74" t="s">
        <v>6703</v>
      </c>
      <c r="V243" s="74">
        <v>44552</v>
      </c>
      <c r="W243" s="74">
        <v>44594</v>
      </c>
      <c r="X243" s="55">
        <v>10186276</v>
      </c>
      <c r="Y243" s="55" t="s">
        <v>6709</v>
      </c>
      <c r="AL243" s="74"/>
      <c r="AM243" s="74"/>
      <c r="AW243" s="74"/>
      <c r="AX243" s="74"/>
    </row>
    <row r="244" spans="1:50" ht="13" x14ac:dyDescent="0.15">
      <c r="A244" s="55" t="str">
        <f>HYPERLINK("http://reports.ofsted.gov.uk/inspection-reports/find-inspection-report/provider/CARE/1244287","Ofsted Social Care Provider Webpage")</f>
        <v>Ofsted Social Care Provider Webpage</v>
      </c>
      <c r="B244" s="55">
        <v>1244287</v>
      </c>
      <c r="D244" s="55" t="s">
        <v>373</v>
      </c>
      <c r="E244" s="74">
        <v>42654</v>
      </c>
      <c r="F244" s="55" t="s">
        <v>344</v>
      </c>
      <c r="G244" s="55" t="s">
        <v>360</v>
      </c>
      <c r="H244" s="55" t="s">
        <v>360</v>
      </c>
      <c r="I244" s="55" t="s">
        <v>360</v>
      </c>
      <c r="J244" s="55" t="s">
        <v>360</v>
      </c>
      <c r="K244" s="55" t="s">
        <v>360</v>
      </c>
      <c r="L244" s="55" t="s">
        <v>360</v>
      </c>
      <c r="M244" s="55" t="s">
        <v>144</v>
      </c>
      <c r="N244" s="55" t="s">
        <v>144</v>
      </c>
      <c r="O244" s="55" t="s">
        <v>209</v>
      </c>
      <c r="P244" s="55" t="s">
        <v>650</v>
      </c>
      <c r="Q244" s="55" t="s">
        <v>350</v>
      </c>
      <c r="R244" s="85">
        <v>5</v>
      </c>
      <c r="S244" s="55">
        <v>0</v>
      </c>
      <c r="T244" s="74" t="s">
        <v>863</v>
      </c>
      <c r="U244" s="74" t="s">
        <v>351</v>
      </c>
      <c r="V244" s="74">
        <v>44300</v>
      </c>
      <c r="W244" s="74">
        <v>44354</v>
      </c>
      <c r="X244" s="55">
        <v>10185692</v>
      </c>
      <c r="Y244" s="55" t="s">
        <v>146</v>
      </c>
      <c r="AB244" s="74" t="s">
        <v>146</v>
      </c>
      <c r="AC244" s="55" t="s">
        <v>146</v>
      </c>
      <c r="AL244" s="74"/>
      <c r="AM244" s="74"/>
      <c r="AW244" s="74"/>
      <c r="AX244" s="74"/>
    </row>
    <row r="245" spans="1:50" ht="13" x14ac:dyDescent="0.15">
      <c r="A245" s="55" t="str">
        <f>HYPERLINK("http://reports.ofsted.gov.uk/inspection-reports/find-inspection-report/provider/CARE/1244287","Ofsted Social Care Provider Webpage")</f>
        <v>Ofsted Social Care Provider Webpage</v>
      </c>
      <c r="B245" s="55">
        <v>1244287</v>
      </c>
      <c r="D245" s="55" t="s">
        <v>373</v>
      </c>
      <c r="E245" s="74">
        <v>42654</v>
      </c>
      <c r="F245" s="55" t="s">
        <v>344</v>
      </c>
      <c r="G245" s="55" t="s">
        <v>360</v>
      </c>
      <c r="H245" s="55" t="s">
        <v>360</v>
      </c>
      <c r="I245" s="55" t="s">
        <v>360</v>
      </c>
      <c r="J245" s="55" t="s">
        <v>360</v>
      </c>
      <c r="K245" s="55" t="s">
        <v>360</v>
      </c>
      <c r="L245" s="55" t="s">
        <v>360</v>
      </c>
      <c r="M245" s="55" t="s">
        <v>144</v>
      </c>
      <c r="N245" s="55" t="s">
        <v>144</v>
      </c>
      <c r="O245" s="55" t="s">
        <v>209</v>
      </c>
      <c r="P245" s="55" t="s">
        <v>650</v>
      </c>
      <c r="Q245" s="55" t="s">
        <v>350</v>
      </c>
      <c r="R245" s="85">
        <v>5</v>
      </c>
      <c r="S245" s="55">
        <v>0</v>
      </c>
      <c r="T245" s="74" t="s">
        <v>863</v>
      </c>
      <c r="U245" s="74" t="s">
        <v>351</v>
      </c>
      <c r="V245" s="74">
        <v>44357</v>
      </c>
      <c r="W245" s="74">
        <v>44389</v>
      </c>
      <c r="X245" s="55">
        <v>10195288</v>
      </c>
      <c r="Y245" s="55" t="s">
        <v>130</v>
      </c>
      <c r="AB245" s="74" t="s">
        <v>130</v>
      </c>
      <c r="AC245" s="55" t="s">
        <v>130</v>
      </c>
      <c r="AL245" s="74"/>
      <c r="AM245" s="74"/>
      <c r="AW245" s="74"/>
      <c r="AX245" s="74"/>
    </row>
    <row r="246" spans="1:50" ht="13" x14ac:dyDescent="0.15">
      <c r="A246" s="55" t="str">
        <f>HYPERLINK("http://reports.ofsted.gov.uk/inspection-reports/find-inspection-report/provider/CARE/1244350","Ofsted Social Care Provider Webpage")</f>
        <v>Ofsted Social Care Provider Webpage</v>
      </c>
      <c r="B246" s="55">
        <v>1244350</v>
      </c>
      <c r="D246" s="55" t="s">
        <v>373</v>
      </c>
      <c r="E246" s="74">
        <v>42698</v>
      </c>
      <c r="F246" s="55" t="s">
        <v>344</v>
      </c>
      <c r="G246" s="55" t="s">
        <v>360</v>
      </c>
      <c r="H246" s="55" t="s">
        <v>360</v>
      </c>
      <c r="I246" s="55" t="s">
        <v>360</v>
      </c>
      <c r="J246" s="55" t="s">
        <v>360</v>
      </c>
      <c r="K246" s="55" t="s">
        <v>360</v>
      </c>
      <c r="L246" s="55" t="s">
        <v>360</v>
      </c>
      <c r="M246" s="55" t="s">
        <v>142</v>
      </c>
      <c r="N246" s="55" t="s">
        <v>142</v>
      </c>
      <c r="O246" s="55" t="s">
        <v>141</v>
      </c>
      <c r="P246" s="55" t="s">
        <v>864</v>
      </c>
      <c r="Q246" s="55" t="s">
        <v>350</v>
      </c>
      <c r="R246" s="85">
        <v>3</v>
      </c>
      <c r="S246" s="55">
        <v>0</v>
      </c>
      <c r="T246" s="74" t="s">
        <v>865</v>
      </c>
      <c r="U246" s="74" t="s">
        <v>351</v>
      </c>
      <c r="V246" s="74">
        <v>44375</v>
      </c>
      <c r="W246" s="74">
        <v>44428</v>
      </c>
      <c r="X246" s="55">
        <v>10186037</v>
      </c>
      <c r="Y246" s="55" t="s">
        <v>146</v>
      </c>
      <c r="AB246" s="74" t="s">
        <v>146</v>
      </c>
      <c r="AC246" s="55" t="s">
        <v>146</v>
      </c>
      <c r="AL246" s="74"/>
      <c r="AM246" s="74"/>
      <c r="AW246" s="74"/>
      <c r="AX246" s="74"/>
    </row>
    <row r="247" spans="1:50" ht="13" x14ac:dyDescent="0.15">
      <c r="A247" s="55" t="str">
        <f>HYPERLINK("http://reports.ofsted.gov.uk/inspection-reports/find-inspection-report/provider/CARE/1244350","Ofsted Social Care Provider Webpage")</f>
        <v>Ofsted Social Care Provider Webpage</v>
      </c>
      <c r="B247" s="55">
        <v>1244350</v>
      </c>
      <c r="D247" s="55" t="s">
        <v>373</v>
      </c>
      <c r="E247" s="74">
        <v>42698</v>
      </c>
      <c r="F247" s="55" t="s">
        <v>344</v>
      </c>
      <c r="G247" s="55" t="s">
        <v>360</v>
      </c>
      <c r="H247" s="55" t="s">
        <v>360</v>
      </c>
      <c r="I247" s="55" t="s">
        <v>360</v>
      </c>
      <c r="J247" s="55" t="s">
        <v>360</v>
      </c>
      <c r="K247" s="55" t="s">
        <v>360</v>
      </c>
      <c r="L247" s="55" t="s">
        <v>360</v>
      </c>
      <c r="M247" s="55" t="s">
        <v>142</v>
      </c>
      <c r="N247" s="55" t="s">
        <v>142</v>
      </c>
      <c r="O247" s="55" t="s">
        <v>141</v>
      </c>
      <c r="P247" s="55" t="s">
        <v>864</v>
      </c>
      <c r="Q247" s="55" t="s">
        <v>350</v>
      </c>
      <c r="R247" s="85">
        <v>3</v>
      </c>
      <c r="S247" s="55">
        <v>0</v>
      </c>
      <c r="T247" s="74" t="s">
        <v>865</v>
      </c>
      <c r="U247" s="74" t="s">
        <v>351</v>
      </c>
      <c r="V247" s="74">
        <v>44487</v>
      </c>
      <c r="W247" s="74">
        <v>44522</v>
      </c>
      <c r="X247" s="55">
        <v>10199269</v>
      </c>
      <c r="Y247" s="55" t="s">
        <v>130</v>
      </c>
      <c r="AB247" s="74" t="s">
        <v>130</v>
      </c>
      <c r="AC247" s="55" t="s">
        <v>146</v>
      </c>
      <c r="AL247" s="74"/>
      <c r="AM247" s="74"/>
    </row>
    <row r="248" spans="1:50" ht="13" x14ac:dyDescent="0.15">
      <c r="A248" s="55" t="str">
        <f>HYPERLINK("http://reports.ofsted.gov.uk/inspection-reports/find-inspection-report/provider/CARE/1244350","Ofsted Social Care Provider Webpage")</f>
        <v>Ofsted Social Care Provider Webpage</v>
      </c>
      <c r="B248" s="55">
        <v>1244350</v>
      </c>
      <c r="D248" s="55" t="s">
        <v>373</v>
      </c>
      <c r="E248" s="74">
        <v>42698</v>
      </c>
      <c r="F248" s="55" t="s">
        <v>344</v>
      </c>
      <c r="G248" s="55" t="s">
        <v>360</v>
      </c>
      <c r="H248" s="55" t="s">
        <v>360</v>
      </c>
      <c r="I248" s="55" t="s">
        <v>360</v>
      </c>
      <c r="J248" s="55" t="s">
        <v>360</v>
      </c>
      <c r="K248" s="55" t="s">
        <v>360</v>
      </c>
      <c r="L248" s="55" t="s">
        <v>360</v>
      </c>
      <c r="M248" s="55" t="s">
        <v>142</v>
      </c>
      <c r="N248" s="55" t="s">
        <v>142</v>
      </c>
      <c r="O248" s="55" t="s">
        <v>141</v>
      </c>
      <c r="P248" s="55" t="s">
        <v>864</v>
      </c>
      <c r="Q248" s="55" t="s">
        <v>350</v>
      </c>
      <c r="R248" s="85">
        <v>3</v>
      </c>
      <c r="S248" s="55">
        <v>0</v>
      </c>
      <c r="T248" s="74" t="s">
        <v>865</v>
      </c>
      <c r="U248" s="74" t="s">
        <v>2053</v>
      </c>
      <c r="V248" s="74">
        <v>44413</v>
      </c>
      <c r="W248" s="74">
        <v>44445</v>
      </c>
      <c r="X248" s="55">
        <v>10199268</v>
      </c>
      <c r="AL248" s="74"/>
      <c r="AM248" s="74"/>
      <c r="AW248" s="74"/>
      <c r="AX248" s="74"/>
    </row>
    <row r="249" spans="1:50" ht="13" x14ac:dyDescent="0.15">
      <c r="A249" s="55" t="str">
        <f>HYPERLINK("http://reports.ofsted.gov.uk/inspection-reports/find-inspection-report/provider/CARE/1244350","Ofsted Social Care Provider Webpage")</f>
        <v>Ofsted Social Care Provider Webpage</v>
      </c>
      <c r="B249" s="55">
        <v>1244350</v>
      </c>
      <c r="D249" s="55" t="s">
        <v>373</v>
      </c>
      <c r="E249" s="74">
        <v>42698</v>
      </c>
      <c r="F249" s="55" t="s">
        <v>344</v>
      </c>
      <c r="G249" s="55" t="s">
        <v>360</v>
      </c>
      <c r="H249" s="55" t="s">
        <v>360</v>
      </c>
      <c r="I249" s="55" t="s">
        <v>360</v>
      </c>
      <c r="J249" s="55" t="s">
        <v>360</v>
      </c>
      <c r="K249" s="55" t="s">
        <v>360</v>
      </c>
      <c r="L249" s="55" t="s">
        <v>360</v>
      </c>
      <c r="M249" s="55" t="s">
        <v>142</v>
      </c>
      <c r="N249" s="55" t="s">
        <v>142</v>
      </c>
      <c r="O249" s="55" t="s">
        <v>141</v>
      </c>
      <c r="P249" s="55" t="s">
        <v>864</v>
      </c>
      <c r="Q249" s="55" t="s">
        <v>350</v>
      </c>
      <c r="R249" s="85">
        <v>3</v>
      </c>
      <c r="S249" s="55">
        <v>0</v>
      </c>
      <c r="T249" s="74" t="s">
        <v>865</v>
      </c>
      <c r="U249" s="74" t="s">
        <v>2053</v>
      </c>
      <c r="V249" s="74">
        <v>44452</v>
      </c>
      <c r="W249" s="74">
        <v>44482</v>
      </c>
      <c r="X249" s="55">
        <v>10201081</v>
      </c>
      <c r="AL249" s="74"/>
      <c r="AM249" s="74"/>
      <c r="AW249" s="74"/>
      <c r="AX249" s="74"/>
    </row>
    <row r="250" spans="1:50" ht="13" x14ac:dyDescent="0.15">
      <c r="A250" s="55" t="str">
        <f>HYPERLINK("http://reports.ofsted.gov.uk/inspection-reports/find-inspection-report/provider/CARE/1244413","Ofsted Social Care Provider Webpage")</f>
        <v>Ofsted Social Care Provider Webpage</v>
      </c>
      <c r="B250" s="55">
        <v>1244413</v>
      </c>
      <c r="D250" s="55" t="s">
        <v>373</v>
      </c>
      <c r="E250" s="74">
        <v>42769</v>
      </c>
      <c r="F250" s="55" t="s">
        <v>344</v>
      </c>
      <c r="G250" s="55" t="s">
        <v>360</v>
      </c>
      <c r="H250" s="55" t="s">
        <v>360</v>
      </c>
      <c r="I250" s="55" t="s">
        <v>360</v>
      </c>
      <c r="J250" s="55" t="s">
        <v>360</v>
      </c>
      <c r="K250" s="55" t="s">
        <v>360</v>
      </c>
      <c r="L250" s="55" t="s">
        <v>360</v>
      </c>
      <c r="M250" s="55" t="s">
        <v>378</v>
      </c>
      <c r="N250" s="55" t="s">
        <v>170</v>
      </c>
      <c r="O250" s="55" t="s">
        <v>264</v>
      </c>
      <c r="P250" s="55" t="s">
        <v>437</v>
      </c>
      <c r="Q250" s="55" t="s">
        <v>350</v>
      </c>
      <c r="R250" s="85">
        <v>3</v>
      </c>
      <c r="S250" s="55">
        <v>0</v>
      </c>
      <c r="T250" s="74" t="s">
        <v>868</v>
      </c>
      <c r="U250" s="74" t="s">
        <v>351</v>
      </c>
      <c r="V250" s="74">
        <v>44487</v>
      </c>
      <c r="W250" s="74">
        <v>44532</v>
      </c>
      <c r="X250" s="55">
        <v>10186522</v>
      </c>
      <c r="Y250" s="55" t="s">
        <v>132</v>
      </c>
      <c r="AB250" s="74" t="s">
        <v>130</v>
      </c>
      <c r="AC250" s="55" t="s">
        <v>130</v>
      </c>
      <c r="AL250" s="74"/>
      <c r="AM250" s="74"/>
      <c r="AW250" s="74"/>
      <c r="AX250" s="74"/>
    </row>
    <row r="251" spans="1:50" ht="13" x14ac:dyDescent="0.15">
      <c r="A251" s="55" t="str">
        <f>HYPERLINK("http://reports.ofsted.gov.uk/inspection-reports/find-inspection-report/provider/CARE/1244426","Ofsted Social Care Provider Webpage")</f>
        <v>Ofsted Social Care Provider Webpage</v>
      </c>
      <c r="B251" s="55">
        <v>1244426</v>
      </c>
      <c r="D251" s="55" t="s">
        <v>373</v>
      </c>
      <c r="E251" s="74">
        <v>42789</v>
      </c>
      <c r="F251" s="55" t="s">
        <v>344</v>
      </c>
      <c r="G251" s="55" t="s">
        <v>360</v>
      </c>
      <c r="H251" s="55" t="s">
        <v>360</v>
      </c>
      <c r="I251" s="55" t="s">
        <v>360</v>
      </c>
      <c r="J251" s="55" t="s">
        <v>360</v>
      </c>
      <c r="K251" s="55" t="s">
        <v>360</v>
      </c>
      <c r="L251" s="55" t="s">
        <v>360</v>
      </c>
      <c r="M251" s="55" t="s">
        <v>150</v>
      </c>
      <c r="N251" s="55" t="s">
        <v>150</v>
      </c>
      <c r="O251" s="55" t="s">
        <v>237</v>
      </c>
      <c r="P251" s="55" t="s">
        <v>869</v>
      </c>
      <c r="Q251" s="55" t="s">
        <v>380</v>
      </c>
      <c r="R251" s="85">
        <v>6</v>
      </c>
      <c r="S251" s="55">
        <v>0</v>
      </c>
      <c r="T251" s="74" t="s">
        <v>636</v>
      </c>
      <c r="U251" s="74" t="s">
        <v>351</v>
      </c>
      <c r="V251" s="74">
        <v>44473</v>
      </c>
      <c r="W251" s="74">
        <v>44533</v>
      </c>
      <c r="X251" s="55">
        <v>10187298</v>
      </c>
      <c r="Y251" s="55" t="s">
        <v>132</v>
      </c>
      <c r="AB251" s="74" t="s">
        <v>130</v>
      </c>
      <c r="AC251" s="55" t="s">
        <v>132</v>
      </c>
      <c r="AL251" s="74"/>
      <c r="AM251" s="74"/>
      <c r="AW251" s="74"/>
      <c r="AX251" s="74"/>
    </row>
    <row r="252" spans="1:50" ht="13" x14ac:dyDescent="0.15">
      <c r="A252" s="55" t="str">
        <f>HYPERLINK("http://reports.ofsted.gov.uk/inspection-reports/find-inspection-report/provider/CARE/1244533","Ofsted Social Care Provider Webpage")</f>
        <v>Ofsted Social Care Provider Webpage</v>
      </c>
      <c r="B252" s="55">
        <v>1244533</v>
      </c>
      <c r="D252" s="55" t="s">
        <v>389</v>
      </c>
      <c r="E252" s="74">
        <v>42636</v>
      </c>
      <c r="F252" s="55" t="s">
        <v>344</v>
      </c>
      <c r="G252" s="55" t="s">
        <v>872</v>
      </c>
      <c r="H252" s="55" t="s">
        <v>873</v>
      </c>
      <c r="I252" s="55" t="s">
        <v>874</v>
      </c>
      <c r="J252" s="55" t="s">
        <v>263</v>
      </c>
      <c r="L252" s="55" t="s">
        <v>875</v>
      </c>
      <c r="M252" s="55" t="s">
        <v>144</v>
      </c>
      <c r="N252" s="55" t="s">
        <v>144</v>
      </c>
      <c r="O252" s="55" t="s">
        <v>263</v>
      </c>
      <c r="P252" s="55" t="s">
        <v>876</v>
      </c>
      <c r="Q252" s="55" t="s">
        <v>350</v>
      </c>
      <c r="S252" s="55">
        <v>0</v>
      </c>
      <c r="T252" s="74" t="s">
        <v>377</v>
      </c>
      <c r="U252" s="74" t="s">
        <v>351</v>
      </c>
      <c r="V252" s="74">
        <v>44382</v>
      </c>
      <c r="W252" s="74">
        <v>44434</v>
      </c>
      <c r="X252" s="55">
        <v>10183391</v>
      </c>
      <c r="Y252" s="55" t="s">
        <v>132</v>
      </c>
      <c r="AB252" s="74" t="s">
        <v>132</v>
      </c>
      <c r="AC252" s="55" t="s">
        <v>132</v>
      </c>
      <c r="AL252" s="74"/>
      <c r="AM252" s="74"/>
    </row>
    <row r="253" spans="1:50" ht="13" x14ac:dyDescent="0.15">
      <c r="A253" s="55" t="str">
        <f>HYPERLINK("http://reports.ofsted.gov.uk/inspection-reports/find-inspection-report/provider/CARE/1244627","Ofsted Social Care Provider Webpage")</f>
        <v>Ofsted Social Care Provider Webpage</v>
      </c>
      <c r="B253" s="55">
        <v>1244627</v>
      </c>
      <c r="D253" s="55" t="s">
        <v>389</v>
      </c>
      <c r="E253" s="74">
        <v>42689</v>
      </c>
      <c r="F253" s="55" t="s">
        <v>344</v>
      </c>
      <c r="G253" s="55" t="s">
        <v>877</v>
      </c>
      <c r="H253" s="55" t="s">
        <v>878</v>
      </c>
      <c r="I253" s="55" t="s">
        <v>879</v>
      </c>
      <c r="J253" s="55" t="s">
        <v>238</v>
      </c>
      <c r="L253" s="55" t="s">
        <v>880</v>
      </c>
      <c r="M253" s="55" t="s">
        <v>172</v>
      </c>
      <c r="N253" s="55" t="s">
        <v>172</v>
      </c>
      <c r="O253" s="55" t="s">
        <v>228</v>
      </c>
      <c r="P253" s="55" t="s">
        <v>423</v>
      </c>
      <c r="Q253" s="55" t="s">
        <v>350</v>
      </c>
      <c r="S253" s="55">
        <v>0</v>
      </c>
      <c r="T253" s="74" t="s">
        <v>881</v>
      </c>
      <c r="U253" s="74" t="s">
        <v>351</v>
      </c>
      <c r="V253" s="74">
        <v>44578</v>
      </c>
      <c r="W253" s="74">
        <v>44615</v>
      </c>
      <c r="X253" s="55">
        <v>10183341</v>
      </c>
      <c r="Y253" s="55" t="s">
        <v>132</v>
      </c>
      <c r="AB253" s="74" t="s">
        <v>130</v>
      </c>
      <c r="AC253" s="55" t="s">
        <v>132</v>
      </c>
      <c r="AL253" s="74"/>
      <c r="AM253" s="74"/>
    </row>
    <row r="254" spans="1:50" ht="13" x14ac:dyDescent="0.15">
      <c r="A254" s="55" t="str">
        <f>HYPERLINK("http://reports.ofsted.gov.uk/inspection-reports/find-inspection-report/provider/CARE/1244881","Ofsted Social Care Provider Webpage")</f>
        <v>Ofsted Social Care Provider Webpage</v>
      </c>
      <c r="B254" s="55">
        <v>1244881</v>
      </c>
      <c r="D254" s="55" t="s">
        <v>373</v>
      </c>
      <c r="E254" s="74">
        <v>42626</v>
      </c>
      <c r="F254" s="55" t="s">
        <v>344</v>
      </c>
      <c r="G254" s="55" t="s">
        <v>360</v>
      </c>
      <c r="H254" s="55" t="s">
        <v>360</v>
      </c>
      <c r="I254" s="55" t="s">
        <v>360</v>
      </c>
      <c r="J254" s="55" t="s">
        <v>360</v>
      </c>
      <c r="K254" s="55" t="s">
        <v>360</v>
      </c>
      <c r="L254" s="55" t="s">
        <v>360</v>
      </c>
      <c r="M254" s="55" t="s">
        <v>144</v>
      </c>
      <c r="N254" s="55" t="s">
        <v>144</v>
      </c>
      <c r="O254" s="55" t="s">
        <v>245</v>
      </c>
      <c r="P254" s="55" t="s">
        <v>245</v>
      </c>
      <c r="Q254" s="55" t="s">
        <v>350</v>
      </c>
      <c r="R254" s="85">
        <v>2</v>
      </c>
      <c r="S254" s="55">
        <v>0</v>
      </c>
      <c r="T254" s="74" t="s">
        <v>711</v>
      </c>
      <c r="U254" s="74" t="s">
        <v>351</v>
      </c>
      <c r="V254" s="74">
        <v>44502</v>
      </c>
      <c r="W254" s="74">
        <v>44550</v>
      </c>
      <c r="X254" s="55">
        <v>10187020</v>
      </c>
      <c r="Y254" s="55" t="s">
        <v>132</v>
      </c>
      <c r="AB254" s="74" t="s">
        <v>132</v>
      </c>
      <c r="AC254" s="55" t="s">
        <v>132</v>
      </c>
      <c r="AL254" s="74"/>
      <c r="AM254" s="74"/>
      <c r="AW254" s="74"/>
      <c r="AX254" s="74"/>
    </row>
    <row r="255" spans="1:50" ht="13" x14ac:dyDescent="0.15">
      <c r="A255" s="55" t="str">
        <f>HYPERLINK("http://reports.ofsted.gov.uk/inspection-reports/find-inspection-report/provider/CARE/1245390","Ofsted Social Care Provider Webpage")</f>
        <v>Ofsted Social Care Provider Webpage</v>
      </c>
      <c r="B255" s="55">
        <v>1245390</v>
      </c>
      <c r="D255" s="55" t="s">
        <v>373</v>
      </c>
      <c r="E255" s="74">
        <v>42678</v>
      </c>
      <c r="F255" s="55" t="s">
        <v>6707</v>
      </c>
      <c r="G255" s="55" t="s">
        <v>360</v>
      </c>
      <c r="H255" s="55" t="s">
        <v>360</v>
      </c>
      <c r="I255" s="55" t="s">
        <v>360</v>
      </c>
      <c r="J255" s="55" t="s">
        <v>360</v>
      </c>
      <c r="K255" s="55" t="s">
        <v>360</v>
      </c>
      <c r="L255" s="55" t="s">
        <v>360</v>
      </c>
      <c r="M255" s="55" t="s">
        <v>172</v>
      </c>
      <c r="N255" s="55" t="s">
        <v>172</v>
      </c>
      <c r="O255" s="55" t="s">
        <v>173</v>
      </c>
      <c r="P255" s="55" t="s">
        <v>1069</v>
      </c>
      <c r="Q255" s="55" t="s">
        <v>350</v>
      </c>
      <c r="R255" s="85">
        <v>2</v>
      </c>
      <c r="S255" s="55">
        <v>0</v>
      </c>
      <c r="T255" s="74" t="s">
        <v>960</v>
      </c>
      <c r="U255" s="74" t="s">
        <v>2053</v>
      </c>
      <c r="V255" s="74">
        <v>44337</v>
      </c>
      <c r="W255" s="74">
        <v>44372</v>
      </c>
      <c r="X255" s="55">
        <v>10194654</v>
      </c>
      <c r="AL255" s="74"/>
      <c r="AM255" s="74"/>
      <c r="AW255" s="74"/>
      <c r="AX255" s="74"/>
    </row>
    <row r="256" spans="1:50" ht="13" x14ac:dyDescent="0.15">
      <c r="A256" s="55" t="str">
        <f>HYPERLINK("http://reports.ofsted.gov.uk/inspection-reports/find-inspection-report/provider/CARE/1245565","Ofsted Social Care Provider Webpage")</f>
        <v>Ofsted Social Care Provider Webpage</v>
      </c>
      <c r="B256" s="55">
        <v>1245565</v>
      </c>
      <c r="D256" s="55" t="s">
        <v>373</v>
      </c>
      <c r="E256" s="74">
        <v>42690</v>
      </c>
      <c r="F256" s="55" t="s">
        <v>344</v>
      </c>
      <c r="G256" s="55" t="s">
        <v>360</v>
      </c>
      <c r="H256" s="55" t="s">
        <v>360</v>
      </c>
      <c r="I256" s="55" t="s">
        <v>360</v>
      </c>
      <c r="J256" s="55" t="s">
        <v>360</v>
      </c>
      <c r="K256" s="55" t="s">
        <v>360</v>
      </c>
      <c r="L256" s="55" t="s">
        <v>360</v>
      </c>
      <c r="M256" s="55" t="s">
        <v>172</v>
      </c>
      <c r="N256" s="55" t="s">
        <v>172</v>
      </c>
      <c r="O256" s="55" t="s">
        <v>212</v>
      </c>
      <c r="P256" s="55" t="s">
        <v>883</v>
      </c>
      <c r="Q256" s="55" t="s">
        <v>350</v>
      </c>
      <c r="R256" s="85">
        <v>3</v>
      </c>
      <c r="S256" s="55">
        <v>0</v>
      </c>
      <c r="T256" s="74" t="s">
        <v>517</v>
      </c>
      <c r="U256" s="74" t="s">
        <v>351</v>
      </c>
      <c r="V256" s="74">
        <v>44522</v>
      </c>
      <c r="W256" s="74">
        <v>44572</v>
      </c>
      <c r="X256" s="55">
        <v>10187383</v>
      </c>
      <c r="Y256" s="55" t="s">
        <v>130</v>
      </c>
      <c r="AB256" s="74" t="s">
        <v>130</v>
      </c>
      <c r="AC256" s="55" t="s">
        <v>130</v>
      </c>
      <c r="AL256" s="74"/>
      <c r="AM256" s="74"/>
    </row>
    <row r="257" spans="1:50" ht="13" x14ac:dyDescent="0.15">
      <c r="A257" s="55" t="str">
        <f>HYPERLINK("http://reports.ofsted.gov.uk/inspection-reports/find-inspection-report/provider/CARE/1245565","Ofsted Social Care Provider Webpage")</f>
        <v>Ofsted Social Care Provider Webpage</v>
      </c>
      <c r="B257" s="55">
        <v>1245565</v>
      </c>
      <c r="D257" s="55" t="s">
        <v>373</v>
      </c>
      <c r="E257" s="74">
        <v>42690</v>
      </c>
      <c r="F257" s="55" t="s">
        <v>344</v>
      </c>
      <c r="G257" s="55" t="s">
        <v>360</v>
      </c>
      <c r="H257" s="55" t="s">
        <v>360</v>
      </c>
      <c r="I257" s="55" t="s">
        <v>360</v>
      </c>
      <c r="J257" s="55" t="s">
        <v>360</v>
      </c>
      <c r="K257" s="55" t="s">
        <v>360</v>
      </c>
      <c r="L257" s="55" t="s">
        <v>360</v>
      </c>
      <c r="M257" s="55" t="s">
        <v>172</v>
      </c>
      <c r="N257" s="55" t="s">
        <v>172</v>
      </c>
      <c r="O257" s="55" t="s">
        <v>212</v>
      </c>
      <c r="P257" s="55" t="s">
        <v>883</v>
      </c>
      <c r="Q257" s="55" t="s">
        <v>350</v>
      </c>
      <c r="R257" s="85">
        <v>3</v>
      </c>
      <c r="S257" s="55">
        <v>0</v>
      </c>
      <c r="T257" s="74" t="s">
        <v>517</v>
      </c>
      <c r="U257" s="74" t="s">
        <v>6703</v>
      </c>
      <c r="V257" s="74">
        <v>44607</v>
      </c>
      <c r="W257" s="74">
        <v>44657</v>
      </c>
      <c r="X257" s="55">
        <v>10215979</v>
      </c>
      <c r="Y257" s="55" t="s">
        <v>6704</v>
      </c>
      <c r="AL257" s="74"/>
      <c r="AM257" s="74"/>
      <c r="AW257" s="74"/>
      <c r="AX257" s="74"/>
    </row>
    <row r="258" spans="1:50" ht="13" x14ac:dyDescent="0.15">
      <c r="A258" s="55" t="str">
        <f>HYPERLINK("http://reports.ofsted.gov.uk/inspection-reports/find-inspection-report/provider/CARE/1245572","Ofsted Social Care Provider Webpage")</f>
        <v>Ofsted Social Care Provider Webpage</v>
      </c>
      <c r="B258" s="55">
        <v>1245572</v>
      </c>
      <c r="D258" s="55" t="s">
        <v>373</v>
      </c>
      <c r="E258" s="74">
        <v>42780</v>
      </c>
      <c r="F258" s="55" t="s">
        <v>344</v>
      </c>
      <c r="G258" s="55" t="s">
        <v>360</v>
      </c>
      <c r="H258" s="55" t="s">
        <v>360</v>
      </c>
      <c r="I258" s="55" t="s">
        <v>360</v>
      </c>
      <c r="J258" s="55" t="s">
        <v>360</v>
      </c>
      <c r="K258" s="55" t="s">
        <v>360</v>
      </c>
      <c r="L258" s="55" t="s">
        <v>360</v>
      </c>
      <c r="M258" s="55" t="s">
        <v>378</v>
      </c>
      <c r="N258" s="55" t="s">
        <v>134</v>
      </c>
      <c r="O258" s="55" t="s">
        <v>151</v>
      </c>
      <c r="P258" s="55" t="s">
        <v>884</v>
      </c>
      <c r="Q258" s="55" t="s">
        <v>350</v>
      </c>
      <c r="R258" s="85">
        <v>4</v>
      </c>
      <c r="S258" s="55">
        <v>0</v>
      </c>
      <c r="T258" s="74" t="s">
        <v>489</v>
      </c>
      <c r="U258" s="74" t="s">
        <v>351</v>
      </c>
      <c r="V258" s="74">
        <v>44551</v>
      </c>
      <c r="W258" s="74">
        <v>44588</v>
      </c>
      <c r="X258" s="55">
        <v>10186760</v>
      </c>
      <c r="Y258" s="55" t="s">
        <v>132</v>
      </c>
      <c r="AB258" s="74" t="s">
        <v>132</v>
      </c>
      <c r="AC258" s="55" t="s">
        <v>132</v>
      </c>
      <c r="AL258" s="74"/>
      <c r="AM258" s="74"/>
    </row>
    <row r="259" spans="1:50" ht="13" x14ac:dyDescent="0.15">
      <c r="A259" s="55" t="str">
        <f>HYPERLINK("http://reports.ofsted.gov.uk/inspection-reports/find-inspection-report/provider/CARE/1245823","Ofsted Social Care Provider Webpage")</f>
        <v>Ofsted Social Care Provider Webpage</v>
      </c>
      <c r="B259" s="55">
        <v>1245823</v>
      </c>
      <c r="D259" s="55" t="s">
        <v>373</v>
      </c>
      <c r="E259" s="74">
        <v>42683</v>
      </c>
      <c r="F259" s="55" t="s">
        <v>344</v>
      </c>
      <c r="G259" s="55" t="s">
        <v>360</v>
      </c>
      <c r="H259" s="55" t="s">
        <v>360</v>
      </c>
      <c r="I259" s="55" t="s">
        <v>360</v>
      </c>
      <c r="J259" s="55" t="s">
        <v>360</v>
      </c>
      <c r="K259" s="55" t="s">
        <v>360</v>
      </c>
      <c r="L259" s="55" t="s">
        <v>360</v>
      </c>
      <c r="M259" s="55" t="s">
        <v>142</v>
      </c>
      <c r="N259" s="55" t="s">
        <v>142</v>
      </c>
      <c r="O259" s="55" t="s">
        <v>177</v>
      </c>
      <c r="P259" s="55" t="s">
        <v>885</v>
      </c>
      <c r="Q259" s="55" t="s">
        <v>350</v>
      </c>
      <c r="R259" s="85">
        <v>6</v>
      </c>
      <c r="S259" s="55">
        <v>0</v>
      </c>
      <c r="T259" s="74" t="s">
        <v>751</v>
      </c>
      <c r="U259" s="74" t="s">
        <v>351</v>
      </c>
      <c r="V259" s="74">
        <v>44550</v>
      </c>
      <c r="W259" s="74">
        <v>44600</v>
      </c>
      <c r="X259" s="55">
        <v>10185264</v>
      </c>
      <c r="Y259" s="55" t="s">
        <v>130</v>
      </c>
      <c r="AB259" s="74" t="s">
        <v>130</v>
      </c>
      <c r="AC259" s="55" t="s">
        <v>130</v>
      </c>
      <c r="AL259" s="74"/>
      <c r="AM259" s="74"/>
      <c r="AW259" s="74"/>
      <c r="AX259" s="74"/>
    </row>
    <row r="260" spans="1:50" ht="13" x14ac:dyDescent="0.15">
      <c r="A260" s="55" t="str">
        <f>HYPERLINK("http://reports.ofsted.gov.uk/inspection-reports/find-inspection-report/provider/CARE/1245829","Ofsted Social Care Provider Webpage")</f>
        <v>Ofsted Social Care Provider Webpage</v>
      </c>
      <c r="B260" s="55">
        <v>1245829</v>
      </c>
      <c r="D260" s="55" t="s">
        <v>373</v>
      </c>
      <c r="E260" s="74">
        <v>42705</v>
      </c>
      <c r="F260" s="55" t="s">
        <v>344</v>
      </c>
      <c r="G260" s="55" t="s">
        <v>360</v>
      </c>
      <c r="H260" s="55" t="s">
        <v>360</v>
      </c>
      <c r="I260" s="55" t="s">
        <v>360</v>
      </c>
      <c r="J260" s="55" t="s">
        <v>360</v>
      </c>
      <c r="K260" s="55" t="s">
        <v>360</v>
      </c>
      <c r="L260" s="55" t="s">
        <v>360</v>
      </c>
      <c r="M260" s="55" t="s">
        <v>172</v>
      </c>
      <c r="N260" s="55" t="s">
        <v>172</v>
      </c>
      <c r="O260" s="55" t="s">
        <v>212</v>
      </c>
      <c r="P260" s="55" t="s">
        <v>714</v>
      </c>
      <c r="Q260" s="55" t="s">
        <v>350</v>
      </c>
      <c r="R260" s="85">
        <v>3</v>
      </c>
      <c r="S260" s="55">
        <v>0</v>
      </c>
      <c r="T260" s="74" t="s">
        <v>520</v>
      </c>
      <c r="U260" s="74" t="s">
        <v>351</v>
      </c>
      <c r="V260" s="74">
        <v>44461</v>
      </c>
      <c r="W260" s="74">
        <v>44495</v>
      </c>
      <c r="X260" s="55">
        <v>10185539</v>
      </c>
      <c r="Y260" s="55" t="s">
        <v>140</v>
      </c>
      <c r="AB260" s="74" t="s">
        <v>140</v>
      </c>
      <c r="AC260" s="55" t="s">
        <v>140</v>
      </c>
      <c r="AL260" s="74"/>
      <c r="AM260" s="74"/>
    </row>
    <row r="261" spans="1:50" ht="13" x14ac:dyDescent="0.15">
      <c r="A261" s="55" t="str">
        <f>HYPERLINK("http://reports.ofsted.gov.uk/inspection-reports/find-inspection-report/provider/CARE/1246449","Ofsted Social Care Provider Webpage")</f>
        <v>Ofsted Social Care Provider Webpage</v>
      </c>
      <c r="B261" s="55">
        <v>1246449</v>
      </c>
      <c r="D261" s="55" t="s">
        <v>373</v>
      </c>
      <c r="E261" s="74">
        <v>42775</v>
      </c>
      <c r="F261" s="55" t="s">
        <v>344</v>
      </c>
      <c r="G261" s="55" t="s">
        <v>360</v>
      </c>
      <c r="H261" s="55" t="s">
        <v>360</v>
      </c>
      <c r="I261" s="55" t="s">
        <v>360</v>
      </c>
      <c r="J261" s="55" t="s">
        <v>360</v>
      </c>
      <c r="K261" s="55" t="s">
        <v>360</v>
      </c>
      <c r="L261" s="55" t="s">
        <v>360</v>
      </c>
      <c r="M261" s="55" t="s">
        <v>150</v>
      </c>
      <c r="N261" s="55" t="s">
        <v>150</v>
      </c>
      <c r="O261" s="55" t="s">
        <v>190</v>
      </c>
      <c r="P261" s="55" t="s">
        <v>887</v>
      </c>
      <c r="Q261" s="55" t="s">
        <v>350</v>
      </c>
      <c r="R261" s="85">
        <v>5</v>
      </c>
      <c r="S261" s="55">
        <v>0</v>
      </c>
      <c r="T261" s="74" t="s">
        <v>888</v>
      </c>
      <c r="U261" s="74" t="s">
        <v>351</v>
      </c>
      <c r="V261" s="74">
        <v>44447</v>
      </c>
      <c r="W261" s="74">
        <v>44483</v>
      </c>
      <c r="X261" s="55">
        <v>10186814</v>
      </c>
      <c r="Y261" s="55" t="s">
        <v>132</v>
      </c>
      <c r="AB261" s="74" t="s">
        <v>132</v>
      </c>
      <c r="AC261" s="55" t="s">
        <v>132</v>
      </c>
      <c r="AL261" s="74"/>
      <c r="AM261" s="74"/>
      <c r="AW261" s="74"/>
      <c r="AX261" s="74"/>
    </row>
    <row r="262" spans="1:50" ht="13" x14ac:dyDescent="0.15">
      <c r="A262" s="55" t="str">
        <f>HYPERLINK("http://reports.ofsted.gov.uk/inspection-reports/find-inspection-report/provider/CARE/1246521","Ofsted Social Care Provider Webpage")</f>
        <v>Ofsted Social Care Provider Webpage</v>
      </c>
      <c r="B262" s="55">
        <v>1246521</v>
      </c>
      <c r="D262" s="55" t="s">
        <v>373</v>
      </c>
      <c r="E262" s="74">
        <v>42696</v>
      </c>
      <c r="F262" s="55" t="s">
        <v>344</v>
      </c>
      <c r="G262" s="55" t="s">
        <v>360</v>
      </c>
      <c r="H262" s="55" t="s">
        <v>360</v>
      </c>
      <c r="I262" s="55" t="s">
        <v>360</v>
      </c>
      <c r="J262" s="55" t="s">
        <v>360</v>
      </c>
      <c r="K262" s="55" t="s">
        <v>360</v>
      </c>
      <c r="L262" s="55" t="s">
        <v>360</v>
      </c>
      <c r="M262" s="55" t="s">
        <v>150</v>
      </c>
      <c r="N262" s="55" t="s">
        <v>150</v>
      </c>
      <c r="O262" s="55" t="s">
        <v>190</v>
      </c>
      <c r="P262" s="55" t="s">
        <v>889</v>
      </c>
      <c r="Q262" s="55" t="s">
        <v>350</v>
      </c>
      <c r="R262" s="85">
        <v>14</v>
      </c>
      <c r="S262" s="55">
        <v>0</v>
      </c>
      <c r="T262" s="74" t="s">
        <v>890</v>
      </c>
      <c r="U262" s="74" t="s">
        <v>351</v>
      </c>
      <c r="V262" s="74">
        <v>44369</v>
      </c>
      <c r="W262" s="74">
        <v>44404</v>
      </c>
      <c r="X262" s="55">
        <v>10185587</v>
      </c>
      <c r="Y262" s="55" t="s">
        <v>132</v>
      </c>
      <c r="AB262" s="74" t="s">
        <v>132</v>
      </c>
      <c r="AC262" s="55" t="s">
        <v>132</v>
      </c>
      <c r="AL262" s="74"/>
      <c r="AM262" s="74"/>
      <c r="AW262" s="74"/>
      <c r="AX262" s="74"/>
    </row>
    <row r="263" spans="1:50" ht="13" x14ac:dyDescent="0.15">
      <c r="A263" s="55" t="str">
        <f>HYPERLINK("http://reports.ofsted.gov.uk/inspection-reports/find-inspection-report/provider/CARE/1246831","Ofsted Social Care Provider Webpage")</f>
        <v>Ofsted Social Care Provider Webpage</v>
      </c>
      <c r="B263" s="55">
        <v>1246831</v>
      </c>
      <c r="D263" s="55" t="s">
        <v>373</v>
      </c>
      <c r="E263" s="74">
        <v>42716</v>
      </c>
      <c r="F263" s="55" t="s">
        <v>344</v>
      </c>
      <c r="G263" s="55" t="s">
        <v>360</v>
      </c>
      <c r="H263" s="55" t="s">
        <v>360</v>
      </c>
      <c r="I263" s="55" t="s">
        <v>360</v>
      </c>
      <c r="J263" s="55" t="s">
        <v>360</v>
      </c>
      <c r="K263" s="55" t="s">
        <v>360</v>
      </c>
      <c r="L263" s="55" t="s">
        <v>360</v>
      </c>
      <c r="M263" s="55" t="s">
        <v>136</v>
      </c>
      <c r="N263" s="55" t="s">
        <v>136</v>
      </c>
      <c r="O263" s="55" t="s">
        <v>705</v>
      </c>
      <c r="P263" s="55" t="s">
        <v>891</v>
      </c>
      <c r="Q263" s="55" t="s">
        <v>350</v>
      </c>
      <c r="R263" s="85">
        <v>3</v>
      </c>
      <c r="S263" s="55">
        <v>0</v>
      </c>
      <c r="T263" s="74" t="s">
        <v>892</v>
      </c>
      <c r="U263" s="74" t="s">
        <v>351</v>
      </c>
      <c r="V263" s="74">
        <v>44355</v>
      </c>
      <c r="W263" s="74">
        <v>44390</v>
      </c>
      <c r="X263" s="55">
        <v>10185193</v>
      </c>
      <c r="Y263" s="55" t="s">
        <v>132</v>
      </c>
      <c r="AB263" s="74" t="s">
        <v>132</v>
      </c>
      <c r="AC263" s="55" t="s">
        <v>132</v>
      </c>
      <c r="AL263" s="74"/>
      <c r="AM263" s="74"/>
      <c r="AW263" s="74"/>
      <c r="AX263" s="74"/>
    </row>
    <row r="264" spans="1:50" ht="13" x14ac:dyDescent="0.15">
      <c r="A264" s="55" t="str">
        <f>HYPERLINK("http://reports.ofsted.gov.uk/inspection-reports/find-inspection-report/provider/CARE/1247144","Ofsted Social Care Provider Webpage")</f>
        <v>Ofsted Social Care Provider Webpage</v>
      </c>
      <c r="B264" s="55">
        <v>1247144</v>
      </c>
      <c r="D264" s="55" t="s">
        <v>373</v>
      </c>
      <c r="E264" s="74">
        <v>42702</v>
      </c>
      <c r="F264" s="55" t="s">
        <v>344</v>
      </c>
      <c r="G264" s="55" t="s">
        <v>360</v>
      </c>
      <c r="H264" s="55" t="s">
        <v>360</v>
      </c>
      <c r="I264" s="55" t="s">
        <v>360</v>
      </c>
      <c r="J264" s="55" t="s">
        <v>360</v>
      </c>
      <c r="K264" s="55" t="s">
        <v>360</v>
      </c>
      <c r="L264" s="55" t="s">
        <v>360</v>
      </c>
      <c r="M264" s="55" t="s">
        <v>172</v>
      </c>
      <c r="N264" s="55" t="s">
        <v>172</v>
      </c>
      <c r="O264" s="55" t="s">
        <v>171</v>
      </c>
      <c r="P264" s="55" t="s">
        <v>895</v>
      </c>
      <c r="Q264" s="55" t="s">
        <v>350</v>
      </c>
      <c r="R264" s="85">
        <v>4</v>
      </c>
      <c r="S264" s="55">
        <v>0</v>
      </c>
      <c r="T264" s="74" t="s">
        <v>865</v>
      </c>
      <c r="U264" s="74" t="s">
        <v>2053</v>
      </c>
      <c r="V264" s="74">
        <v>44391</v>
      </c>
      <c r="W264" s="74">
        <v>44424</v>
      </c>
      <c r="X264" s="55">
        <v>10201887</v>
      </c>
      <c r="AL264" s="74"/>
      <c r="AM264" s="74"/>
      <c r="AW264" s="74"/>
      <c r="AX264" s="74"/>
    </row>
    <row r="265" spans="1:50" ht="13" x14ac:dyDescent="0.15">
      <c r="A265" s="55" t="str">
        <f>HYPERLINK("http://reports.ofsted.gov.uk/inspection-reports/find-inspection-report/provider/CARE/1247144","Ofsted Social Care Provider Webpage")</f>
        <v>Ofsted Social Care Provider Webpage</v>
      </c>
      <c r="B265" s="55">
        <v>1247144</v>
      </c>
      <c r="D265" s="55" t="s">
        <v>373</v>
      </c>
      <c r="E265" s="74">
        <v>42702</v>
      </c>
      <c r="F265" s="55" t="s">
        <v>344</v>
      </c>
      <c r="G265" s="55" t="s">
        <v>360</v>
      </c>
      <c r="H265" s="55" t="s">
        <v>360</v>
      </c>
      <c r="I265" s="55" t="s">
        <v>360</v>
      </c>
      <c r="J265" s="55" t="s">
        <v>360</v>
      </c>
      <c r="K265" s="55" t="s">
        <v>360</v>
      </c>
      <c r="L265" s="55" t="s">
        <v>360</v>
      </c>
      <c r="M265" s="55" t="s">
        <v>172</v>
      </c>
      <c r="N265" s="55" t="s">
        <v>172</v>
      </c>
      <c r="O265" s="55" t="s">
        <v>171</v>
      </c>
      <c r="P265" s="55" t="s">
        <v>895</v>
      </c>
      <c r="Q265" s="55" t="s">
        <v>350</v>
      </c>
      <c r="R265" s="85">
        <v>4</v>
      </c>
      <c r="S265" s="55">
        <v>0</v>
      </c>
      <c r="T265" s="74" t="s">
        <v>865</v>
      </c>
      <c r="U265" s="74" t="s">
        <v>6703</v>
      </c>
      <c r="V265" s="74">
        <v>44609</v>
      </c>
      <c r="W265" s="74">
        <v>44651</v>
      </c>
      <c r="X265" s="55">
        <v>10207162</v>
      </c>
      <c r="Y265" s="55" t="s">
        <v>6705</v>
      </c>
      <c r="AL265" s="74"/>
      <c r="AM265" s="74"/>
      <c r="AW265" s="74"/>
      <c r="AX265" s="74"/>
    </row>
    <row r="266" spans="1:50" ht="13" x14ac:dyDescent="0.15">
      <c r="A266" s="55" t="str">
        <f>HYPERLINK("http://reports.ofsted.gov.uk/inspection-reports/find-inspection-report/provider/CARE/1247144","Ofsted Social Care Provider Webpage")</f>
        <v>Ofsted Social Care Provider Webpage</v>
      </c>
      <c r="B266" s="55">
        <v>1247144</v>
      </c>
      <c r="D266" s="55" t="s">
        <v>373</v>
      </c>
      <c r="E266" s="74">
        <v>42702</v>
      </c>
      <c r="F266" s="55" t="s">
        <v>344</v>
      </c>
      <c r="G266" s="55" t="s">
        <v>360</v>
      </c>
      <c r="H266" s="55" t="s">
        <v>360</v>
      </c>
      <c r="I266" s="55" t="s">
        <v>360</v>
      </c>
      <c r="J266" s="55" t="s">
        <v>360</v>
      </c>
      <c r="K266" s="55" t="s">
        <v>360</v>
      </c>
      <c r="L266" s="55" t="s">
        <v>360</v>
      </c>
      <c r="M266" s="55" t="s">
        <v>172</v>
      </c>
      <c r="N266" s="55" t="s">
        <v>172</v>
      </c>
      <c r="O266" s="55" t="s">
        <v>171</v>
      </c>
      <c r="P266" s="55" t="s">
        <v>895</v>
      </c>
      <c r="Q266" s="55" t="s">
        <v>350</v>
      </c>
      <c r="R266" s="85">
        <v>4</v>
      </c>
      <c r="S266" s="55">
        <v>0</v>
      </c>
      <c r="T266" s="74" t="s">
        <v>865</v>
      </c>
      <c r="U266" s="74" t="s">
        <v>351</v>
      </c>
      <c r="V266" s="74">
        <v>44349</v>
      </c>
      <c r="W266" s="74">
        <v>44386</v>
      </c>
      <c r="X266" s="55">
        <v>10185766</v>
      </c>
      <c r="Y266" s="55" t="s">
        <v>130</v>
      </c>
      <c r="AB266" s="74" t="s">
        <v>130</v>
      </c>
      <c r="AC266" s="55" t="s">
        <v>130</v>
      </c>
      <c r="AL266" s="74"/>
      <c r="AM266" s="74"/>
    </row>
    <row r="267" spans="1:50" ht="13" x14ac:dyDescent="0.15">
      <c r="A267" s="55" t="str">
        <f>HYPERLINK("http://reports.ofsted.gov.uk/inspection-reports/find-inspection-report/provider/CARE/1247212","Ofsted Social Care Provider Webpage")</f>
        <v>Ofsted Social Care Provider Webpage</v>
      </c>
      <c r="B267" s="55">
        <v>1247212</v>
      </c>
      <c r="D267" s="55" t="s">
        <v>373</v>
      </c>
      <c r="E267" s="74">
        <v>42773</v>
      </c>
      <c r="F267" s="55" t="s">
        <v>344</v>
      </c>
      <c r="G267" s="55" t="s">
        <v>360</v>
      </c>
      <c r="H267" s="55" t="s">
        <v>360</v>
      </c>
      <c r="I267" s="55" t="s">
        <v>360</v>
      </c>
      <c r="J267" s="55" t="s">
        <v>360</v>
      </c>
      <c r="K267" s="55" t="s">
        <v>360</v>
      </c>
      <c r="L267" s="55" t="s">
        <v>360</v>
      </c>
      <c r="M267" s="55" t="s">
        <v>144</v>
      </c>
      <c r="N267" s="55" t="s">
        <v>144</v>
      </c>
      <c r="O267" s="55" t="s">
        <v>261</v>
      </c>
      <c r="P267" s="55" t="s">
        <v>512</v>
      </c>
      <c r="Q267" s="55" t="s">
        <v>350</v>
      </c>
      <c r="R267" s="85">
        <v>4</v>
      </c>
      <c r="S267" s="55">
        <v>0</v>
      </c>
      <c r="T267" s="74" t="s">
        <v>598</v>
      </c>
      <c r="U267" s="74" t="s">
        <v>351</v>
      </c>
      <c r="V267" s="74">
        <v>44580</v>
      </c>
      <c r="W267" s="74">
        <v>44607</v>
      </c>
      <c r="X267" s="55">
        <v>10186337</v>
      </c>
      <c r="Y267" s="55" t="s">
        <v>132</v>
      </c>
      <c r="AB267" s="74" t="s">
        <v>132</v>
      </c>
      <c r="AC267" s="55" t="s">
        <v>132</v>
      </c>
      <c r="AL267" s="74"/>
      <c r="AM267" s="74"/>
      <c r="AW267" s="74"/>
      <c r="AX267" s="74"/>
    </row>
    <row r="268" spans="1:50" ht="13" x14ac:dyDescent="0.15">
      <c r="A268" s="55" t="str">
        <f>HYPERLINK("http://reports.ofsted.gov.uk/inspection-reports/find-inspection-report/provider/CARE/1247244","Ofsted Social Care Provider Webpage")</f>
        <v>Ofsted Social Care Provider Webpage</v>
      </c>
      <c r="B268" s="55">
        <v>1247244</v>
      </c>
      <c r="D268" s="55" t="s">
        <v>373</v>
      </c>
      <c r="E268" s="74">
        <v>42857</v>
      </c>
      <c r="F268" s="55" t="s">
        <v>344</v>
      </c>
      <c r="G268" s="55" t="s">
        <v>360</v>
      </c>
      <c r="H268" s="55" t="s">
        <v>360</v>
      </c>
      <c r="I268" s="55" t="s">
        <v>360</v>
      </c>
      <c r="J268" s="55" t="s">
        <v>360</v>
      </c>
      <c r="K268" s="55" t="s">
        <v>360</v>
      </c>
      <c r="L268" s="55" t="s">
        <v>360</v>
      </c>
      <c r="M268" s="55" t="s">
        <v>172</v>
      </c>
      <c r="N268" s="55" t="s">
        <v>172</v>
      </c>
      <c r="O268" s="55" t="s">
        <v>284</v>
      </c>
      <c r="P268" s="55" t="s">
        <v>357</v>
      </c>
      <c r="Q268" s="55" t="s">
        <v>350</v>
      </c>
      <c r="R268" s="85">
        <v>3</v>
      </c>
      <c r="S268" s="55">
        <v>0</v>
      </c>
      <c r="T268" s="74" t="s">
        <v>896</v>
      </c>
      <c r="U268" s="74" t="s">
        <v>351</v>
      </c>
      <c r="V268" s="74">
        <v>44334</v>
      </c>
      <c r="W268" s="74">
        <v>44375</v>
      </c>
      <c r="X268" s="55">
        <v>10186288</v>
      </c>
      <c r="Y268" s="55" t="s">
        <v>140</v>
      </c>
      <c r="AB268" s="74" t="s">
        <v>132</v>
      </c>
      <c r="AC268" s="55" t="s">
        <v>140</v>
      </c>
      <c r="AL268" s="74"/>
      <c r="AM268" s="74"/>
      <c r="AW268" s="74"/>
      <c r="AX268" s="74"/>
    </row>
    <row r="269" spans="1:50" ht="13" x14ac:dyDescent="0.15">
      <c r="A269" s="55" t="str">
        <f>HYPERLINK("http://reports.ofsted.gov.uk/inspection-reports/find-inspection-report/provider/CARE/1247384","Ofsted Social Care Provider Webpage")</f>
        <v>Ofsted Social Care Provider Webpage</v>
      </c>
      <c r="B269" s="55">
        <v>1247384</v>
      </c>
      <c r="D269" s="55" t="s">
        <v>373</v>
      </c>
      <c r="E269" s="74">
        <v>42649</v>
      </c>
      <c r="F269" s="55" t="s">
        <v>344</v>
      </c>
      <c r="G269" s="55" t="s">
        <v>360</v>
      </c>
      <c r="H269" s="55" t="s">
        <v>360</v>
      </c>
      <c r="I269" s="55" t="s">
        <v>360</v>
      </c>
      <c r="J269" s="55" t="s">
        <v>360</v>
      </c>
      <c r="K269" s="55" t="s">
        <v>360</v>
      </c>
      <c r="L269" s="55" t="s">
        <v>360</v>
      </c>
      <c r="M269" s="55" t="s">
        <v>150</v>
      </c>
      <c r="N269" s="55" t="s">
        <v>150</v>
      </c>
      <c r="O269" s="55" t="s">
        <v>190</v>
      </c>
      <c r="P269" s="55" t="s">
        <v>897</v>
      </c>
      <c r="Q269" s="55" t="s">
        <v>350</v>
      </c>
      <c r="R269" s="85">
        <v>2</v>
      </c>
      <c r="S269" s="55">
        <v>0</v>
      </c>
      <c r="T269" s="74" t="s">
        <v>610</v>
      </c>
      <c r="U269" s="74" t="s">
        <v>351</v>
      </c>
      <c r="V269" s="74">
        <v>44376</v>
      </c>
      <c r="W269" s="74">
        <v>44424</v>
      </c>
      <c r="X269" s="55">
        <v>10185849</v>
      </c>
      <c r="Y269" s="55" t="s">
        <v>140</v>
      </c>
      <c r="AB269" s="74" t="s">
        <v>140</v>
      </c>
      <c r="AC269" s="55" t="s">
        <v>132</v>
      </c>
      <c r="AL269" s="74"/>
      <c r="AM269" s="74"/>
      <c r="AW269" s="74"/>
      <c r="AX269" s="74"/>
    </row>
    <row r="270" spans="1:50" ht="13" x14ac:dyDescent="0.15">
      <c r="A270" s="55" t="str">
        <f>HYPERLINK("http://reports.ofsted.gov.uk/inspection-reports/find-inspection-report/provider/CARE/1247390","Ofsted Social Care Provider Webpage")</f>
        <v>Ofsted Social Care Provider Webpage</v>
      </c>
      <c r="B270" s="55">
        <v>1247390</v>
      </c>
      <c r="D270" s="55" t="s">
        <v>373</v>
      </c>
      <c r="E270" s="74">
        <v>42726</v>
      </c>
      <c r="F270" s="55" t="s">
        <v>344</v>
      </c>
      <c r="G270" s="55" t="s">
        <v>360</v>
      </c>
      <c r="H270" s="55" t="s">
        <v>360</v>
      </c>
      <c r="I270" s="55" t="s">
        <v>360</v>
      </c>
      <c r="J270" s="55" t="s">
        <v>360</v>
      </c>
      <c r="K270" s="55" t="s">
        <v>360</v>
      </c>
      <c r="L270" s="55" t="s">
        <v>360</v>
      </c>
      <c r="M270" s="55" t="s">
        <v>136</v>
      </c>
      <c r="N270" s="55" t="s">
        <v>136</v>
      </c>
      <c r="O270" s="55" t="s">
        <v>185</v>
      </c>
      <c r="P270" s="55" t="s">
        <v>898</v>
      </c>
      <c r="Q270" s="55" t="s">
        <v>350</v>
      </c>
      <c r="R270" s="85">
        <v>8</v>
      </c>
      <c r="S270" s="55">
        <v>0</v>
      </c>
      <c r="T270" s="74" t="s">
        <v>899</v>
      </c>
      <c r="U270" s="74" t="s">
        <v>2053</v>
      </c>
      <c r="V270" s="74">
        <v>44293</v>
      </c>
      <c r="W270" s="74">
        <v>44323</v>
      </c>
      <c r="X270" s="55">
        <v>10191900</v>
      </c>
      <c r="AL270" s="74"/>
      <c r="AM270" s="74"/>
      <c r="AW270" s="74"/>
      <c r="AX270" s="74"/>
    </row>
    <row r="271" spans="1:50" ht="13" x14ac:dyDescent="0.15">
      <c r="A271" s="55" t="str">
        <f>HYPERLINK("http://reports.ofsted.gov.uk/inspection-reports/find-inspection-report/provider/CARE/1247390","Ofsted Social Care Provider Webpage")</f>
        <v>Ofsted Social Care Provider Webpage</v>
      </c>
      <c r="B271" s="55">
        <v>1247390</v>
      </c>
      <c r="D271" s="55" t="s">
        <v>373</v>
      </c>
      <c r="E271" s="74">
        <v>42726</v>
      </c>
      <c r="F271" s="55" t="s">
        <v>344</v>
      </c>
      <c r="G271" s="55" t="s">
        <v>360</v>
      </c>
      <c r="H271" s="55" t="s">
        <v>360</v>
      </c>
      <c r="I271" s="55" t="s">
        <v>360</v>
      </c>
      <c r="J271" s="55" t="s">
        <v>360</v>
      </c>
      <c r="K271" s="55" t="s">
        <v>360</v>
      </c>
      <c r="L271" s="55" t="s">
        <v>360</v>
      </c>
      <c r="M271" s="55" t="s">
        <v>136</v>
      </c>
      <c r="N271" s="55" t="s">
        <v>136</v>
      </c>
      <c r="O271" s="55" t="s">
        <v>185</v>
      </c>
      <c r="P271" s="55" t="s">
        <v>898</v>
      </c>
      <c r="Q271" s="55" t="s">
        <v>350</v>
      </c>
      <c r="R271" s="85">
        <v>8</v>
      </c>
      <c r="S271" s="55">
        <v>0</v>
      </c>
      <c r="T271" s="74" t="s">
        <v>899</v>
      </c>
      <c r="U271" s="74" t="s">
        <v>351</v>
      </c>
      <c r="V271" s="74">
        <v>44392</v>
      </c>
      <c r="W271" s="74">
        <v>44434</v>
      </c>
      <c r="X271" s="55">
        <v>10186503</v>
      </c>
      <c r="Y271" s="55" t="s">
        <v>130</v>
      </c>
      <c r="AB271" s="74" t="s">
        <v>130</v>
      </c>
      <c r="AC271" s="55" t="s">
        <v>146</v>
      </c>
      <c r="AL271" s="74"/>
      <c r="AM271" s="74"/>
    </row>
    <row r="272" spans="1:50" ht="13" x14ac:dyDescent="0.15">
      <c r="A272" s="55" t="str">
        <f>HYPERLINK("http://reports.ofsted.gov.uk/inspection-reports/find-inspection-report/provider/CARE/1247390","Ofsted Social Care Provider Webpage")</f>
        <v>Ofsted Social Care Provider Webpage</v>
      </c>
      <c r="B272" s="55">
        <v>1247390</v>
      </c>
      <c r="D272" s="55" t="s">
        <v>373</v>
      </c>
      <c r="E272" s="74">
        <v>42726</v>
      </c>
      <c r="F272" s="55" t="s">
        <v>344</v>
      </c>
      <c r="G272" s="55" t="s">
        <v>360</v>
      </c>
      <c r="H272" s="55" t="s">
        <v>360</v>
      </c>
      <c r="I272" s="55" t="s">
        <v>360</v>
      </c>
      <c r="J272" s="55" t="s">
        <v>360</v>
      </c>
      <c r="K272" s="55" t="s">
        <v>360</v>
      </c>
      <c r="L272" s="55" t="s">
        <v>360</v>
      </c>
      <c r="M272" s="55" t="s">
        <v>136</v>
      </c>
      <c r="N272" s="55" t="s">
        <v>136</v>
      </c>
      <c r="O272" s="55" t="s">
        <v>185</v>
      </c>
      <c r="P272" s="55" t="s">
        <v>898</v>
      </c>
      <c r="Q272" s="55" t="s">
        <v>350</v>
      </c>
      <c r="R272" s="85">
        <v>8</v>
      </c>
      <c r="S272" s="55">
        <v>0</v>
      </c>
      <c r="T272" s="74" t="s">
        <v>899</v>
      </c>
      <c r="U272" s="74" t="s">
        <v>6703</v>
      </c>
      <c r="V272" s="74">
        <v>44530</v>
      </c>
      <c r="W272" s="74">
        <v>44579</v>
      </c>
      <c r="X272" s="55">
        <v>10213263</v>
      </c>
      <c r="Y272" s="55" t="s">
        <v>6705</v>
      </c>
      <c r="AL272" s="74"/>
      <c r="AM272" s="74"/>
    </row>
    <row r="273" spans="1:50" ht="13" x14ac:dyDescent="0.15">
      <c r="A273" s="55" t="str">
        <f>HYPERLINK("http://reports.ofsted.gov.uk/inspection-reports/find-inspection-report/provider/CARE/1247491","Ofsted Social Care Provider Webpage")</f>
        <v>Ofsted Social Care Provider Webpage</v>
      </c>
      <c r="B273" s="55">
        <v>1247491</v>
      </c>
      <c r="D273" s="55" t="s">
        <v>373</v>
      </c>
      <c r="E273" s="74">
        <v>42705</v>
      </c>
      <c r="F273" s="55" t="s">
        <v>344</v>
      </c>
      <c r="G273" s="55" t="s">
        <v>360</v>
      </c>
      <c r="H273" s="55" t="s">
        <v>360</v>
      </c>
      <c r="I273" s="55" t="s">
        <v>360</v>
      </c>
      <c r="J273" s="55" t="s">
        <v>360</v>
      </c>
      <c r="K273" s="55" t="s">
        <v>360</v>
      </c>
      <c r="L273" s="55" t="s">
        <v>360</v>
      </c>
      <c r="M273" s="55" t="s">
        <v>144</v>
      </c>
      <c r="N273" s="55" t="s">
        <v>144</v>
      </c>
      <c r="O273" s="55" t="s">
        <v>215</v>
      </c>
      <c r="P273" s="55" t="s">
        <v>655</v>
      </c>
      <c r="Q273" s="55" t="s">
        <v>350</v>
      </c>
      <c r="R273" s="85">
        <v>4</v>
      </c>
      <c r="S273" s="55">
        <v>0</v>
      </c>
      <c r="T273" s="74" t="s">
        <v>900</v>
      </c>
      <c r="U273" s="74" t="s">
        <v>351</v>
      </c>
      <c r="V273" s="74">
        <v>44579</v>
      </c>
      <c r="W273" s="74">
        <v>44608</v>
      </c>
      <c r="X273" s="55">
        <v>10186795</v>
      </c>
      <c r="Y273" s="55" t="s">
        <v>132</v>
      </c>
      <c r="AB273" s="74" t="s">
        <v>132</v>
      </c>
      <c r="AC273" s="55" t="s">
        <v>130</v>
      </c>
      <c r="AL273" s="74"/>
      <c r="AM273" s="74"/>
    </row>
    <row r="274" spans="1:50" ht="13" x14ac:dyDescent="0.15">
      <c r="A274" s="55" t="str">
        <f>HYPERLINK("http://reports.ofsted.gov.uk/inspection-reports/find-inspection-report/provider/CARE/1247559","Ofsted Social Care Provider Webpage")</f>
        <v>Ofsted Social Care Provider Webpage</v>
      </c>
      <c r="B274" s="55">
        <v>1247559</v>
      </c>
      <c r="D274" s="55" t="s">
        <v>373</v>
      </c>
      <c r="E274" s="74">
        <v>42787</v>
      </c>
      <c r="F274" s="55" t="s">
        <v>344</v>
      </c>
      <c r="G274" s="55" t="s">
        <v>360</v>
      </c>
      <c r="H274" s="55" t="s">
        <v>360</v>
      </c>
      <c r="I274" s="55" t="s">
        <v>360</v>
      </c>
      <c r="J274" s="55" t="s">
        <v>360</v>
      </c>
      <c r="K274" s="55" t="s">
        <v>360</v>
      </c>
      <c r="L274" s="55" t="s">
        <v>360</v>
      </c>
      <c r="M274" s="55" t="s">
        <v>144</v>
      </c>
      <c r="N274" s="55" t="s">
        <v>144</v>
      </c>
      <c r="O274" s="55" t="s">
        <v>209</v>
      </c>
      <c r="P274" s="55" t="s">
        <v>364</v>
      </c>
      <c r="Q274" s="55" t="s">
        <v>350</v>
      </c>
      <c r="R274" s="85">
        <v>5</v>
      </c>
      <c r="S274" s="55">
        <v>0</v>
      </c>
      <c r="T274" s="74" t="s">
        <v>435</v>
      </c>
      <c r="U274" s="74" t="s">
        <v>351</v>
      </c>
      <c r="V274" s="74">
        <v>44384</v>
      </c>
      <c r="W274" s="74">
        <v>44419</v>
      </c>
      <c r="X274" s="55">
        <v>10186402</v>
      </c>
      <c r="Y274" s="55" t="s">
        <v>132</v>
      </c>
      <c r="AB274" s="74" t="s">
        <v>130</v>
      </c>
      <c r="AC274" s="55" t="s">
        <v>132</v>
      </c>
      <c r="AL274" s="74"/>
      <c r="AM274" s="74"/>
      <c r="AW274" s="74"/>
      <c r="AX274" s="74"/>
    </row>
    <row r="275" spans="1:50" ht="13" x14ac:dyDescent="0.15">
      <c r="A275" s="55" t="str">
        <f>HYPERLINK("http://reports.ofsted.gov.uk/inspection-reports/find-inspection-report/provider/CARE/1247560","Ofsted Social Care Provider Webpage")</f>
        <v>Ofsted Social Care Provider Webpage</v>
      </c>
      <c r="B275" s="55">
        <v>1247560</v>
      </c>
      <c r="D275" s="55" t="s">
        <v>373</v>
      </c>
      <c r="E275" s="74">
        <v>42803</v>
      </c>
      <c r="F275" s="55" t="s">
        <v>344</v>
      </c>
      <c r="G275" s="55" t="s">
        <v>360</v>
      </c>
      <c r="H275" s="55" t="s">
        <v>360</v>
      </c>
      <c r="I275" s="55" t="s">
        <v>360</v>
      </c>
      <c r="J275" s="55" t="s">
        <v>360</v>
      </c>
      <c r="K275" s="55" t="s">
        <v>360</v>
      </c>
      <c r="L275" s="55" t="s">
        <v>360</v>
      </c>
      <c r="M275" s="55" t="s">
        <v>144</v>
      </c>
      <c r="N275" s="55" t="s">
        <v>144</v>
      </c>
      <c r="O275" s="55" t="s">
        <v>168</v>
      </c>
      <c r="P275" s="55" t="s">
        <v>834</v>
      </c>
      <c r="Q275" s="55" t="s">
        <v>350</v>
      </c>
      <c r="R275" s="85">
        <v>4</v>
      </c>
      <c r="S275" s="55">
        <v>0</v>
      </c>
      <c r="T275" s="74" t="s">
        <v>435</v>
      </c>
      <c r="U275" s="74" t="s">
        <v>351</v>
      </c>
      <c r="V275" s="74">
        <v>44628</v>
      </c>
      <c r="W275" s="74">
        <v>44679</v>
      </c>
      <c r="X275" s="55">
        <v>10187066</v>
      </c>
      <c r="Y275" s="55" t="s">
        <v>140</v>
      </c>
      <c r="AB275" s="74" t="s">
        <v>140</v>
      </c>
      <c r="AC275" s="55" t="s">
        <v>140</v>
      </c>
      <c r="AL275" s="74"/>
      <c r="AM275" s="74"/>
      <c r="AW275" s="74"/>
      <c r="AX275" s="74"/>
    </row>
    <row r="276" spans="1:50" ht="13" x14ac:dyDescent="0.15">
      <c r="A276" s="55" t="str">
        <f>HYPERLINK("http://reports.ofsted.gov.uk/inspection-reports/find-inspection-report/provider/CARE/1247670","Ofsted Social Care Provider Webpage")</f>
        <v>Ofsted Social Care Provider Webpage</v>
      </c>
      <c r="B276" s="55">
        <v>1247670</v>
      </c>
      <c r="D276" s="55" t="s">
        <v>373</v>
      </c>
      <c r="E276" s="74">
        <v>42724</v>
      </c>
      <c r="F276" s="55" t="s">
        <v>344</v>
      </c>
      <c r="G276" s="55" t="s">
        <v>360</v>
      </c>
      <c r="H276" s="55" t="s">
        <v>360</v>
      </c>
      <c r="I276" s="55" t="s">
        <v>360</v>
      </c>
      <c r="J276" s="55" t="s">
        <v>360</v>
      </c>
      <c r="K276" s="55" t="s">
        <v>360</v>
      </c>
      <c r="L276" s="55" t="s">
        <v>360</v>
      </c>
      <c r="M276" s="55" t="s">
        <v>144</v>
      </c>
      <c r="N276" s="55" t="s">
        <v>144</v>
      </c>
      <c r="O276" s="55" t="s">
        <v>168</v>
      </c>
      <c r="P276" s="55" t="s">
        <v>901</v>
      </c>
      <c r="Q276" s="55" t="s">
        <v>350</v>
      </c>
      <c r="R276" s="85">
        <v>5</v>
      </c>
      <c r="S276" s="55" t="s">
        <v>332</v>
      </c>
      <c r="T276" s="74" t="s">
        <v>902</v>
      </c>
      <c r="U276" s="74" t="s">
        <v>351</v>
      </c>
      <c r="V276" s="74">
        <v>44628</v>
      </c>
      <c r="W276" s="74">
        <v>44679</v>
      </c>
      <c r="X276" s="55">
        <v>10187187</v>
      </c>
      <c r="Y276" s="55" t="s">
        <v>132</v>
      </c>
      <c r="AB276" s="74" t="s">
        <v>132</v>
      </c>
      <c r="AC276" s="55" t="s">
        <v>130</v>
      </c>
      <c r="AL276" s="74"/>
      <c r="AM276" s="74"/>
    </row>
    <row r="277" spans="1:50" ht="13" x14ac:dyDescent="0.15">
      <c r="A277" s="55" t="str">
        <f>HYPERLINK("http://reports.ofsted.gov.uk/inspection-reports/find-inspection-report/provider/CARE/1247764","Ofsted Social Care Provider Webpage")</f>
        <v>Ofsted Social Care Provider Webpage</v>
      </c>
      <c r="B277" s="55">
        <v>1247764</v>
      </c>
      <c r="D277" s="55" t="s">
        <v>373</v>
      </c>
      <c r="E277" s="74">
        <v>42797</v>
      </c>
      <c r="F277" s="55" t="s">
        <v>344</v>
      </c>
      <c r="G277" s="55" t="s">
        <v>360</v>
      </c>
      <c r="H277" s="55" t="s">
        <v>360</v>
      </c>
      <c r="I277" s="55" t="s">
        <v>360</v>
      </c>
      <c r="J277" s="55" t="s">
        <v>360</v>
      </c>
      <c r="K277" s="55" t="s">
        <v>360</v>
      </c>
      <c r="L277" s="55" t="s">
        <v>360</v>
      </c>
      <c r="M277" s="55" t="s">
        <v>142</v>
      </c>
      <c r="N277" s="55" t="s">
        <v>142</v>
      </c>
      <c r="O277" s="55" t="s">
        <v>195</v>
      </c>
      <c r="P277" s="55" t="s">
        <v>518</v>
      </c>
      <c r="Q277" s="55" t="s">
        <v>350</v>
      </c>
      <c r="R277" s="85">
        <v>5</v>
      </c>
      <c r="S277" s="55">
        <v>0</v>
      </c>
      <c r="T277" s="74" t="s">
        <v>574</v>
      </c>
      <c r="U277" s="74" t="s">
        <v>351</v>
      </c>
      <c r="V277" s="74">
        <v>44322</v>
      </c>
      <c r="W277" s="74">
        <v>44364</v>
      </c>
      <c r="X277" s="55">
        <v>10186739</v>
      </c>
      <c r="Y277" s="55" t="s">
        <v>140</v>
      </c>
      <c r="AB277" s="74" t="s">
        <v>132</v>
      </c>
      <c r="AC277" s="55" t="s">
        <v>140</v>
      </c>
      <c r="AL277" s="74"/>
      <c r="AM277" s="74"/>
      <c r="AW277" s="74"/>
      <c r="AX277" s="74"/>
    </row>
    <row r="278" spans="1:50" ht="13" x14ac:dyDescent="0.15">
      <c r="A278" s="55" t="str">
        <f>HYPERLINK("http://reports.ofsted.gov.uk/inspection-reports/find-inspection-report/provider/CARE/1247773","Ofsted Social Care Provider Webpage")</f>
        <v>Ofsted Social Care Provider Webpage</v>
      </c>
      <c r="B278" s="55">
        <v>1247773</v>
      </c>
      <c r="D278" s="55" t="s">
        <v>373</v>
      </c>
      <c r="E278" s="74">
        <v>42704</v>
      </c>
      <c r="F278" s="55" t="s">
        <v>344</v>
      </c>
      <c r="G278" s="55" t="s">
        <v>360</v>
      </c>
      <c r="H278" s="55" t="s">
        <v>360</v>
      </c>
      <c r="I278" s="55" t="s">
        <v>360</v>
      </c>
      <c r="J278" s="55" t="s">
        <v>360</v>
      </c>
      <c r="K278" s="55" t="s">
        <v>360</v>
      </c>
      <c r="L278" s="55" t="s">
        <v>360</v>
      </c>
      <c r="M278" s="55" t="s">
        <v>144</v>
      </c>
      <c r="N278" s="55" t="s">
        <v>144</v>
      </c>
      <c r="O278" s="55" t="s">
        <v>217</v>
      </c>
      <c r="P278" s="55" t="s">
        <v>903</v>
      </c>
      <c r="Q278" s="55" t="s">
        <v>350</v>
      </c>
      <c r="R278" s="85">
        <v>5</v>
      </c>
      <c r="S278" s="55">
        <v>0</v>
      </c>
      <c r="T278" s="74" t="s">
        <v>900</v>
      </c>
      <c r="U278" s="74" t="s">
        <v>351</v>
      </c>
      <c r="V278" s="74">
        <v>44580</v>
      </c>
      <c r="W278" s="74">
        <v>44623</v>
      </c>
      <c r="X278" s="55">
        <v>10185160</v>
      </c>
      <c r="Y278" s="55" t="s">
        <v>132</v>
      </c>
      <c r="AB278" s="74" t="s">
        <v>132</v>
      </c>
      <c r="AC278" s="55" t="s">
        <v>132</v>
      </c>
      <c r="AL278" s="74"/>
      <c r="AM278" s="74"/>
      <c r="AW278" s="74"/>
      <c r="AX278" s="74"/>
    </row>
    <row r="279" spans="1:50" ht="13" x14ac:dyDescent="0.15">
      <c r="A279" s="55" t="str">
        <f>HYPERLINK("http://reports.ofsted.gov.uk/inspection-reports/find-inspection-report/provider/CARE/1247776","Ofsted Social Care Provider Webpage")</f>
        <v>Ofsted Social Care Provider Webpage</v>
      </c>
      <c r="B279" s="55">
        <v>1247776</v>
      </c>
      <c r="D279" s="55" t="s">
        <v>373</v>
      </c>
      <c r="E279" s="74">
        <v>42705</v>
      </c>
      <c r="F279" s="55" t="s">
        <v>344</v>
      </c>
      <c r="G279" s="55" t="s">
        <v>360</v>
      </c>
      <c r="H279" s="55" t="s">
        <v>360</v>
      </c>
      <c r="I279" s="55" t="s">
        <v>360</v>
      </c>
      <c r="J279" s="55" t="s">
        <v>360</v>
      </c>
      <c r="K279" s="55" t="s">
        <v>360</v>
      </c>
      <c r="L279" s="55" t="s">
        <v>360</v>
      </c>
      <c r="M279" s="55" t="s">
        <v>144</v>
      </c>
      <c r="N279" s="55" t="s">
        <v>144</v>
      </c>
      <c r="O279" s="55" t="s">
        <v>215</v>
      </c>
      <c r="P279" s="55" t="s">
        <v>655</v>
      </c>
      <c r="Q279" s="55" t="s">
        <v>350</v>
      </c>
      <c r="R279" s="85">
        <v>3</v>
      </c>
      <c r="S279" s="55">
        <v>0</v>
      </c>
      <c r="T279" s="74" t="s">
        <v>900</v>
      </c>
      <c r="U279" s="74" t="s">
        <v>351</v>
      </c>
      <c r="V279" s="74">
        <v>44566</v>
      </c>
      <c r="W279" s="74">
        <v>44609</v>
      </c>
      <c r="X279" s="55">
        <v>10185088</v>
      </c>
      <c r="Y279" s="55" t="s">
        <v>132</v>
      </c>
      <c r="AB279" s="74" t="s">
        <v>132</v>
      </c>
      <c r="AC279" s="55" t="s">
        <v>132</v>
      </c>
      <c r="AL279" s="74"/>
      <c r="AM279" s="74"/>
      <c r="AW279" s="74"/>
      <c r="AX279" s="74"/>
    </row>
    <row r="280" spans="1:50" ht="13" x14ac:dyDescent="0.15">
      <c r="A280" s="55" t="str">
        <f>HYPERLINK("http://reports.ofsted.gov.uk/inspection-reports/find-inspection-report/provider/CARE/1247885","Ofsted Social Care Provider Webpage")</f>
        <v>Ofsted Social Care Provider Webpage</v>
      </c>
      <c r="B280" s="55">
        <v>1247885</v>
      </c>
      <c r="D280" s="55" t="s">
        <v>373</v>
      </c>
      <c r="E280" s="74">
        <v>42765</v>
      </c>
      <c r="F280" s="55" t="s">
        <v>6707</v>
      </c>
      <c r="G280" s="55" t="s">
        <v>360</v>
      </c>
      <c r="H280" s="55" t="s">
        <v>360</v>
      </c>
      <c r="I280" s="55" t="s">
        <v>360</v>
      </c>
      <c r="J280" s="55" t="s">
        <v>360</v>
      </c>
      <c r="K280" s="55" t="s">
        <v>360</v>
      </c>
      <c r="L280" s="55" t="s">
        <v>360</v>
      </c>
      <c r="M280" s="55" t="s">
        <v>144</v>
      </c>
      <c r="N280" s="55" t="s">
        <v>144</v>
      </c>
      <c r="O280" s="55" t="s">
        <v>168</v>
      </c>
      <c r="P280" s="55" t="s">
        <v>913</v>
      </c>
      <c r="Q280" s="55" t="s">
        <v>362</v>
      </c>
      <c r="R280" s="85">
        <v>5</v>
      </c>
      <c r="S280" s="55">
        <v>0</v>
      </c>
      <c r="T280" s="74" t="s">
        <v>5808</v>
      </c>
      <c r="U280" s="74" t="s">
        <v>351</v>
      </c>
      <c r="V280" s="74">
        <v>44419</v>
      </c>
      <c r="W280" s="74">
        <v>44460</v>
      </c>
      <c r="X280" s="55">
        <v>10185021</v>
      </c>
      <c r="Y280" s="55" t="s">
        <v>132</v>
      </c>
      <c r="AB280" s="74" t="s">
        <v>132</v>
      </c>
      <c r="AC280" s="55" t="s">
        <v>132</v>
      </c>
      <c r="AL280" s="74"/>
      <c r="AM280" s="74"/>
      <c r="AW280" s="74"/>
      <c r="AX280" s="74"/>
    </row>
    <row r="281" spans="1:50" ht="13" x14ac:dyDescent="0.15">
      <c r="A281" s="55" t="str">
        <f>HYPERLINK("http://reports.ofsted.gov.uk/inspection-reports/find-inspection-report/provider/CARE/1248043","Ofsted Social Care Provider Webpage")</f>
        <v>Ofsted Social Care Provider Webpage</v>
      </c>
      <c r="B281" s="55">
        <v>1248043</v>
      </c>
      <c r="D281" s="55" t="s">
        <v>373</v>
      </c>
      <c r="E281" s="74">
        <v>42706</v>
      </c>
      <c r="F281" s="55" t="s">
        <v>344</v>
      </c>
      <c r="G281" s="55" t="s">
        <v>360</v>
      </c>
      <c r="H281" s="55" t="s">
        <v>360</v>
      </c>
      <c r="I281" s="55" t="s">
        <v>360</v>
      </c>
      <c r="J281" s="55" t="s">
        <v>360</v>
      </c>
      <c r="K281" s="55" t="s">
        <v>360</v>
      </c>
      <c r="L281" s="55" t="s">
        <v>360</v>
      </c>
      <c r="M281" s="55" t="s">
        <v>144</v>
      </c>
      <c r="N281" s="55" t="s">
        <v>144</v>
      </c>
      <c r="O281" s="55" t="s">
        <v>215</v>
      </c>
      <c r="P281" s="55" t="s">
        <v>655</v>
      </c>
      <c r="Q281" s="55" t="s">
        <v>350</v>
      </c>
      <c r="R281" s="85">
        <v>2</v>
      </c>
      <c r="S281" s="55">
        <v>0</v>
      </c>
      <c r="T281" s="74" t="s">
        <v>900</v>
      </c>
      <c r="U281" s="74" t="s">
        <v>351</v>
      </c>
      <c r="V281" s="74">
        <v>44566</v>
      </c>
      <c r="W281" s="74">
        <v>44602</v>
      </c>
      <c r="X281" s="55">
        <v>10187022</v>
      </c>
      <c r="Y281" s="55" t="s">
        <v>132</v>
      </c>
      <c r="AB281" s="74" t="s">
        <v>132</v>
      </c>
      <c r="AC281" s="55" t="s">
        <v>132</v>
      </c>
      <c r="AL281" s="74"/>
      <c r="AM281" s="74"/>
    </row>
    <row r="282" spans="1:50" ht="13" x14ac:dyDescent="0.15">
      <c r="A282" s="55" t="str">
        <f>HYPERLINK("http://reports.ofsted.gov.uk/inspection-reports/find-inspection-report/provider/CARE/1248071","Ofsted Social Care Provider Webpage")</f>
        <v>Ofsted Social Care Provider Webpage</v>
      </c>
      <c r="B282" s="55">
        <v>1248071</v>
      </c>
      <c r="D282" s="55" t="s">
        <v>373</v>
      </c>
      <c r="E282" s="74">
        <v>42738</v>
      </c>
      <c r="F282" s="55" t="s">
        <v>344</v>
      </c>
      <c r="G282" s="55" t="s">
        <v>360</v>
      </c>
      <c r="H282" s="55" t="s">
        <v>360</v>
      </c>
      <c r="I282" s="55" t="s">
        <v>360</v>
      </c>
      <c r="J282" s="55" t="s">
        <v>360</v>
      </c>
      <c r="K282" s="55" t="s">
        <v>360</v>
      </c>
      <c r="L282" s="55" t="s">
        <v>360</v>
      </c>
      <c r="M282" s="55" t="s">
        <v>136</v>
      </c>
      <c r="N282" s="55" t="s">
        <v>136</v>
      </c>
      <c r="O282" s="55" t="s">
        <v>239</v>
      </c>
      <c r="P282" s="55" t="s">
        <v>738</v>
      </c>
      <c r="Q282" s="55" t="s">
        <v>350</v>
      </c>
      <c r="R282" s="85">
        <v>2</v>
      </c>
      <c r="S282" s="55">
        <v>0</v>
      </c>
      <c r="T282" s="74" t="s">
        <v>739</v>
      </c>
      <c r="U282" s="74" t="s">
        <v>351</v>
      </c>
      <c r="V282" s="74">
        <v>44529</v>
      </c>
      <c r="W282" s="74">
        <v>44582</v>
      </c>
      <c r="X282" s="55">
        <v>10185567</v>
      </c>
      <c r="Y282" s="55" t="s">
        <v>132</v>
      </c>
      <c r="AB282" s="74" t="s">
        <v>132</v>
      </c>
      <c r="AC282" s="55" t="s">
        <v>132</v>
      </c>
      <c r="AL282" s="74"/>
      <c r="AM282" s="74"/>
    </row>
    <row r="283" spans="1:50" ht="13" x14ac:dyDescent="0.15">
      <c r="A283" s="55" t="str">
        <f>HYPERLINK("http://reports.ofsted.gov.uk/inspection-reports/find-inspection-report/provider/CARE/1248509","Ofsted Social Care Provider Webpage")</f>
        <v>Ofsted Social Care Provider Webpage</v>
      </c>
      <c r="B283" s="55">
        <v>1248509</v>
      </c>
      <c r="D283" s="55" t="s">
        <v>373</v>
      </c>
      <c r="E283" s="74">
        <v>42849</v>
      </c>
      <c r="F283" s="55" t="s">
        <v>344</v>
      </c>
      <c r="G283" s="55" t="s">
        <v>360</v>
      </c>
      <c r="H283" s="55" t="s">
        <v>360</v>
      </c>
      <c r="I283" s="55" t="s">
        <v>360</v>
      </c>
      <c r="J283" s="55" t="s">
        <v>360</v>
      </c>
      <c r="K283" s="55" t="s">
        <v>360</v>
      </c>
      <c r="L283" s="55" t="s">
        <v>360</v>
      </c>
      <c r="M283" s="55" t="s">
        <v>172</v>
      </c>
      <c r="N283" s="55" t="s">
        <v>172</v>
      </c>
      <c r="O283" s="55" t="s">
        <v>228</v>
      </c>
      <c r="P283" s="55" t="s">
        <v>459</v>
      </c>
      <c r="Q283" s="55" t="s">
        <v>350</v>
      </c>
      <c r="R283" s="85">
        <v>2</v>
      </c>
      <c r="S283" s="55">
        <v>0</v>
      </c>
      <c r="T283" s="74" t="s">
        <v>904</v>
      </c>
      <c r="U283" s="74" t="s">
        <v>351</v>
      </c>
      <c r="V283" s="74">
        <v>44614</v>
      </c>
      <c r="W283" s="74">
        <v>44658</v>
      </c>
      <c r="X283" s="55">
        <v>10185405</v>
      </c>
      <c r="Y283" s="55" t="s">
        <v>132</v>
      </c>
      <c r="AB283" s="74" t="s">
        <v>132</v>
      </c>
      <c r="AC283" s="55" t="s">
        <v>132</v>
      </c>
      <c r="AL283" s="74"/>
      <c r="AM283" s="74"/>
      <c r="AW283" s="74"/>
      <c r="AX283" s="74"/>
    </row>
    <row r="284" spans="1:50" ht="13" x14ac:dyDescent="0.15">
      <c r="A284" s="55" t="str">
        <f>HYPERLINK("http://reports.ofsted.gov.uk/inspection-reports/find-inspection-report/provider/CARE/1248773","Ofsted Social Care Provider Webpage")</f>
        <v>Ofsted Social Care Provider Webpage</v>
      </c>
      <c r="B284" s="55">
        <v>1248773</v>
      </c>
      <c r="D284" s="55" t="s">
        <v>373</v>
      </c>
      <c r="E284" s="74">
        <v>42789</v>
      </c>
      <c r="F284" s="55" t="s">
        <v>344</v>
      </c>
      <c r="G284" s="55" t="s">
        <v>360</v>
      </c>
      <c r="H284" s="55" t="s">
        <v>360</v>
      </c>
      <c r="I284" s="55" t="s">
        <v>360</v>
      </c>
      <c r="J284" s="55" t="s">
        <v>360</v>
      </c>
      <c r="K284" s="55" t="s">
        <v>360</v>
      </c>
      <c r="L284" s="55" t="s">
        <v>360</v>
      </c>
      <c r="M284" s="55" t="s">
        <v>378</v>
      </c>
      <c r="N284" s="55" t="s">
        <v>170</v>
      </c>
      <c r="O284" s="55" t="s">
        <v>178</v>
      </c>
      <c r="P284" s="55" t="s">
        <v>905</v>
      </c>
      <c r="Q284" s="55" t="s">
        <v>350</v>
      </c>
      <c r="R284" s="85">
        <v>5</v>
      </c>
      <c r="S284" s="55">
        <v>0</v>
      </c>
      <c r="T284" s="74" t="s">
        <v>906</v>
      </c>
      <c r="U284" s="74" t="s">
        <v>2053</v>
      </c>
      <c r="V284" s="74">
        <v>44292</v>
      </c>
      <c r="W284" s="74">
        <v>44322</v>
      </c>
      <c r="X284" s="55">
        <v>10188159</v>
      </c>
      <c r="AL284" s="74"/>
      <c r="AM284" s="74"/>
      <c r="AW284" s="74"/>
      <c r="AX284" s="74"/>
    </row>
    <row r="285" spans="1:50" ht="13" x14ac:dyDescent="0.15">
      <c r="A285" s="55" t="str">
        <f>HYPERLINK("http://reports.ofsted.gov.uk/inspection-reports/find-inspection-report/provider/CARE/1248773","Ofsted Social Care Provider Webpage")</f>
        <v>Ofsted Social Care Provider Webpage</v>
      </c>
      <c r="B285" s="55">
        <v>1248773</v>
      </c>
      <c r="D285" s="55" t="s">
        <v>373</v>
      </c>
      <c r="E285" s="74">
        <v>42789</v>
      </c>
      <c r="F285" s="55" t="s">
        <v>344</v>
      </c>
      <c r="G285" s="55" t="s">
        <v>360</v>
      </c>
      <c r="H285" s="55" t="s">
        <v>360</v>
      </c>
      <c r="I285" s="55" t="s">
        <v>360</v>
      </c>
      <c r="J285" s="55" t="s">
        <v>360</v>
      </c>
      <c r="K285" s="55" t="s">
        <v>360</v>
      </c>
      <c r="L285" s="55" t="s">
        <v>360</v>
      </c>
      <c r="M285" s="55" t="s">
        <v>378</v>
      </c>
      <c r="N285" s="55" t="s">
        <v>170</v>
      </c>
      <c r="O285" s="55" t="s">
        <v>178</v>
      </c>
      <c r="P285" s="55" t="s">
        <v>905</v>
      </c>
      <c r="Q285" s="55" t="s">
        <v>350</v>
      </c>
      <c r="R285" s="85">
        <v>5</v>
      </c>
      <c r="S285" s="55">
        <v>0</v>
      </c>
      <c r="T285" s="74" t="s">
        <v>906</v>
      </c>
      <c r="U285" s="74" t="s">
        <v>351</v>
      </c>
      <c r="V285" s="74">
        <v>44488</v>
      </c>
      <c r="W285" s="74">
        <v>44518</v>
      </c>
      <c r="X285" s="55">
        <v>10187128</v>
      </c>
      <c r="Y285" s="55" t="s">
        <v>130</v>
      </c>
      <c r="AB285" s="74" t="s">
        <v>130</v>
      </c>
      <c r="AC285" s="55" t="s">
        <v>146</v>
      </c>
      <c r="AL285" s="74"/>
      <c r="AM285" s="74"/>
      <c r="AW285" s="74"/>
      <c r="AX285" s="74"/>
    </row>
    <row r="286" spans="1:50" ht="13" x14ac:dyDescent="0.15">
      <c r="A286" s="55" t="str">
        <f>HYPERLINK("http://reports.ofsted.gov.uk/inspection-reports/find-inspection-report/provider/CARE/1248773","Ofsted Social Care Provider Webpage")</f>
        <v>Ofsted Social Care Provider Webpage</v>
      </c>
      <c r="B286" s="55">
        <v>1248773</v>
      </c>
      <c r="D286" s="55" t="s">
        <v>373</v>
      </c>
      <c r="E286" s="74">
        <v>42789</v>
      </c>
      <c r="F286" s="55" t="s">
        <v>344</v>
      </c>
      <c r="G286" s="55" t="s">
        <v>360</v>
      </c>
      <c r="H286" s="55" t="s">
        <v>360</v>
      </c>
      <c r="I286" s="55" t="s">
        <v>360</v>
      </c>
      <c r="J286" s="55" t="s">
        <v>360</v>
      </c>
      <c r="K286" s="55" t="s">
        <v>360</v>
      </c>
      <c r="L286" s="55" t="s">
        <v>360</v>
      </c>
      <c r="M286" s="55" t="s">
        <v>378</v>
      </c>
      <c r="N286" s="55" t="s">
        <v>170</v>
      </c>
      <c r="O286" s="55" t="s">
        <v>178</v>
      </c>
      <c r="P286" s="55" t="s">
        <v>905</v>
      </c>
      <c r="Q286" s="55" t="s">
        <v>350</v>
      </c>
      <c r="R286" s="85">
        <v>5</v>
      </c>
      <c r="S286" s="55">
        <v>0</v>
      </c>
      <c r="T286" s="74" t="s">
        <v>906</v>
      </c>
      <c r="U286" s="74" t="s">
        <v>2053</v>
      </c>
      <c r="V286" s="74">
        <v>44333</v>
      </c>
      <c r="W286" s="74">
        <v>44363</v>
      </c>
      <c r="X286" s="55">
        <v>10191907</v>
      </c>
      <c r="AL286" s="74"/>
      <c r="AM286" s="74"/>
      <c r="AW286" s="74"/>
      <c r="AX286" s="74"/>
    </row>
    <row r="287" spans="1:50" ht="13" x14ac:dyDescent="0.15">
      <c r="A287" s="55" t="str">
        <f>HYPERLINK("http://reports.ofsted.gov.uk/inspection-reports/find-inspection-report/provider/CARE/1248979","Ofsted Social Care Provider Webpage")</f>
        <v>Ofsted Social Care Provider Webpage</v>
      </c>
      <c r="B287" s="55">
        <v>1248979</v>
      </c>
      <c r="D287" s="55" t="s">
        <v>373</v>
      </c>
      <c r="E287" s="74">
        <v>42794</v>
      </c>
      <c r="F287" s="55" t="s">
        <v>344</v>
      </c>
      <c r="G287" s="55" t="s">
        <v>360</v>
      </c>
      <c r="H287" s="55" t="s">
        <v>360</v>
      </c>
      <c r="I287" s="55" t="s">
        <v>360</v>
      </c>
      <c r="J287" s="55" t="s">
        <v>360</v>
      </c>
      <c r="K287" s="55" t="s">
        <v>360</v>
      </c>
      <c r="L287" s="55" t="s">
        <v>360</v>
      </c>
      <c r="M287" s="55" t="s">
        <v>138</v>
      </c>
      <c r="N287" s="55" t="s">
        <v>138</v>
      </c>
      <c r="O287" s="55" t="s">
        <v>183</v>
      </c>
      <c r="P287" s="55" t="s">
        <v>907</v>
      </c>
      <c r="Q287" s="55" t="s">
        <v>350</v>
      </c>
      <c r="R287" s="85">
        <v>7</v>
      </c>
      <c r="S287" s="55">
        <v>0</v>
      </c>
      <c r="T287" s="74" t="s">
        <v>908</v>
      </c>
      <c r="U287" s="74" t="s">
        <v>2053</v>
      </c>
      <c r="V287" s="74">
        <v>44483</v>
      </c>
      <c r="W287" s="74">
        <v>44510</v>
      </c>
      <c r="X287" s="55">
        <v>10210172</v>
      </c>
      <c r="AL287" s="74"/>
      <c r="AM287" s="74"/>
      <c r="AW287" s="74"/>
      <c r="AX287" s="74"/>
    </row>
    <row r="288" spans="1:50" ht="13" x14ac:dyDescent="0.15">
      <c r="A288" s="55" t="str">
        <f>HYPERLINK("http://reports.ofsted.gov.uk/inspection-reports/find-inspection-report/provider/CARE/1248979","Ofsted Social Care Provider Webpage")</f>
        <v>Ofsted Social Care Provider Webpage</v>
      </c>
      <c r="B288" s="55">
        <v>1248979</v>
      </c>
      <c r="D288" s="55" t="s">
        <v>373</v>
      </c>
      <c r="E288" s="74">
        <v>42794</v>
      </c>
      <c r="F288" s="55" t="s">
        <v>344</v>
      </c>
      <c r="G288" s="55" t="s">
        <v>360</v>
      </c>
      <c r="H288" s="55" t="s">
        <v>360</v>
      </c>
      <c r="I288" s="55" t="s">
        <v>360</v>
      </c>
      <c r="J288" s="55" t="s">
        <v>360</v>
      </c>
      <c r="K288" s="55" t="s">
        <v>360</v>
      </c>
      <c r="L288" s="55" t="s">
        <v>360</v>
      </c>
      <c r="M288" s="55" t="s">
        <v>138</v>
      </c>
      <c r="N288" s="55" t="s">
        <v>138</v>
      </c>
      <c r="O288" s="55" t="s">
        <v>183</v>
      </c>
      <c r="P288" s="55" t="s">
        <v>907</v>
      </c>
      <c r="Q288" s="55" t="s">
        <v>350</v>
      </c>
      <c r="R288" s="85">
        <v>7</v>
      </c>
      <c r="S288" s="55">
        <v>0</v>
      </c>
      <c r="T288" s="74" t="s">
        <v>908</v>
      </c>
      <c r="U288" s="74" t="s">
        <v>2053</v>
      </c>
      <c r="V288" s="74">
        <v>44544</v>
      </c>
      <c r="W288" s="74">
        <v>44572</v>
      </c>
      <c r="X288" s="55">
        <v>10216584</v>
      </c>
      <c r="AL288" s="74"/>
      <c r="AM288" s="74"/>
      <c r="AW288" s="74"/>
      <c r="AX288" s="74"/>
    </row>
    <row r="289" spans="1:50" ht="13" x14ac:dyDescent="0.15">
      <c r="A289" s="55" t="str">
        <f>HYPERLINK("http://reports.ofsted.gov.uk/inspection-reports/find-inspection-report/provider/CARE/1248979","Ofsted Social Care Provider Webpage")</f>
        <v>Ofsted Social Care Provider Webpage</v>
      </c>
      <c r="B289" s="55">
        <v>1248979</v>
      </c>
      <c r="D289" s="55" t="s">
        <v>373</v>
      </c>
      <c r="E289" s="74">
        <v>42794</v>
      </c>
      <c r="F289" s="55" t="s">
        <v>344</v>
      </c>
      <c r="G289" s="55" t="s">
        <v>360</v>
      </c>
      <c r="H289" s="55" t="s">
        <v>360</v>
      </c>
      <c r="I289" s="55" t="s">
        <v>360</v>
      </c>
      <c r="J289" s="55" t="s">
        <v>360</v>
      </c>
      <c r="K289" s="55" t="s">
        <v>360</v>
      </c>
      <c r="L289" s="55" t="s">
        <v>360</v>
      </c>
      <c r="M289" s="55" t="s">
        <v>138</v>
      </c>
      <c r="N289" s="55" t="s">
        <v>138</v>
      </c>
      <c r="O289" s="55" t="s">
        <v>183</v>
      </c>
      <c r="P289" s="55" t="s">
        <v>907</v>
      </c>
      <c r="Q289" s="55" t="s">
        <v>350</v>
      </c>
      <c r="R289" s="85">
        <v>7</v>
      </c>
      <c r="S289" s="55">
        <v>0</v>
      </c>
      <c r="T289" s="74" t="s">
        <v>908</v>
      </c>
      <c r="U289" s="74" t="s">
        <v>351</v>
      </c>
      <c r="V289" s="74">
        <v>44329</v>
      </c>
      <c r="W289" s="74">
        <v>44356</v>
      </c>
      <c r="X289" s="55">
        <v>10186258</v>
      </c>
      <c r="Y289" s="55" t="s">
        <v>132</v>
      </c>
      <c r="AB289" s="74" t="s">
        <v>132</v>
      </c>
      <c r="AC289" s="55" t="s">
        <v>130</v>
      </c>
      <c r="AL289" s="74"/>
      <c r="AM289" s="74"/>
      <c r="AW289" s="74"/>
      <c r="AX289" s="74"/>
    </row>
    <row r="290" spans="1:50" ht="13" x14ac:dyDescent="0.15">
      <c r="A290" s="55" t="str">
        <f>HYPERLINK("http://reports.ofsted.gov.uk/inspection-reports/find-inspection-report/provider/CARE/1249031","Ofsted Social Care Provider Webpage")</f>
        <v>Ofsted Social Care Provider Webpage</v>
      </c>
      <c r="B290" s="55">
        <v>1249031</v>
      </c>
      <c r="D290" s="55" t="s">
        <v>373</v>
      </c>
      <c r="E290" s="74">
        <v>42706</v>
      </c>
      <c r="F290" s="55" t="s">
        <v>344</v>
      </c>
      <c r="G290" s="55" t="s">
        <v>360</v>
      </c>
      <c r="H290" s="55" t="s">
        <v>360</v>
      </c>
      <c r="I290" s="55" t="s">
        <v>360</v>
      </c>
      <c r="J290" s="55" t="s">
        <v>360</v>
      </c>
      <c r="K290" s="55" t="s">
        <v>360</v>
      </c>
      <c r="L290" s="55" t="s">
        <v>360</v>
      </c>
      <c r="M290" s="55" t="s">
        <v>144</v>
      </c>
      <c r="N290" s="55" t="s">
        <v>144</v>
      </c>
      <c r="O290" s="55" t="s">
        <v>290</v>
      </c>
      <c r="P290" s="55" t="s">
        <v>909</v>
      </c>
      <c r="Q290" s="55" t="s">
        <v>350</v>
      </c>
      <c r="R290" s="85">
        <v>3</v>
      </c>
      <c r="S290" s="55">
        <v>0</v>
      </c>
      <c r="T290" s="74" t="s">
        <v>900</v>
      </c>
      <c r="U290" s="74" t="s">
        <v>351</v>
      </c>
      <c r="V290" s="74">
        <v>44425</v>
      </c>
      <c r="W290" s="74">
        <v>44459</v>
      </c>
      <c r="X290" s="55">
        <v>10185865</v>
      </c>
      <c r="Y290" s="55" t="s">
        <v>130</v>
      </c>
      <c r="AB290" s="74" t="s">
        <v>130</v>
      </c>
      <c r="AC290" s="55" t="s">
        <v>130</v>
      </c>
      <c r="AL290" s="74"/>
      <c r="AM290" s="74"/>
      <c r="AW290" s="74"/>
      <c r="AX290" s="74"/>
    </row>
    <row r="291" spans="1:50" ht="13" x14ac:dyDescent="0.15">
      <c r="A291" s="55" t="str">
        <f>HYPERLINK("http://reports.ofsted.gov.uk/inspection-reports/find-inspection-report/provider/CARE/1249034","Ofsted Social Care Provider Webpage")</f>
        <v>Ofsted Social Care Provider Webpage</v>
      </c>
      <c r="B291" s="55">
        <v>1249034</v>
      </c>
      <c r="D291" s="55" t="s">
        <v>373</v>
      </c>
      <c r="E291" s="74">
        <v>42958</v>
      </c>
      <c r="F291" s="55" t="s">
        <v>344</v>
      </c>
      <c r="G291" s="55" t="s">
        <v>360</v>
      </c>
      <c r="H291" s="55" t="s">
        <v>360</v>
      </c>
      <c r="I291" s="55" t="s">
        <v>360</v>
      </c>
      <c r="J291" s="55" t="s">
        <v>360</v>
      </c>
      <c r="K291" s="55" t="s">
        <v>360</v>
      </c>
      <c r="L291" s="55" t="s">
        <v>360</v>
      </c>
      <c r="M291" s="55" t="s">
        <v>142</v>
      </c>
      <c r="N291" s="55" t="s">
        <v>142</v>
      </c>
      <c r="O291" s="55" t="s">
        <v>262</v>
      </c>
      <c r="P291" s="55" t="s">
        <v>850</v>
      </c>
      <c r="Q291" s="55" t="s">
        <v>350</v>
      </c>
      <c r="R291" s="85">
        <v>1</v>
      </c>
      <c r="S291" s="55">
        <v>0</v>
      </c>
      <c r="T291" s="74" t="s">
        <v>910</v>
      </c>
      <c r="U291" s="74" t="s">
        <v>351</v>
      </c>
      <c r="V291" s="74">
        <v>44579</v>
      </c>
      <c r="W291" s="74">
        <v>44614</v>
      </c>
      <c r="X291" s="55">
        <v>10186835</v>
      </c>
      <c r="Y291" s="55" t="s">
        <v>132</v>
      </c>
      <c r="AB291" s="74" t="s">
        <v>132</v>
      </c>
      <c r="AC291" s="55" t="s">
        <v>132</v>
      </c>
      <c r="AL291" s="74"/>
      <c r="AM291" s="74"/>
    </row>
    <row r="292" spans="1:50" ht="13" x14ac:dyDescent="0.15">
      <c r="A292" s="55" t="str">
        <f>HYPERLINK("http://reports.ofsted.gov.uk/inspection-reports/find-inspection-report/provider/CARE/1249035","Ofsted Social Care Provider Webpage")</f>
        <v>Ofsted Social Care Provider Webpage</v>
      </c>
      <c r="B292" s="55">
        <v>1249035</v>
      </c>
      <c r="D292" s="55" t="s">
        <v>373</v>
      </c>
      <c r="E292" s="74">
        <v>42815</v>
      </c>
      <c r="F292" s="55" t="s">
        <v>344</v>
      </c>
      <c r="G292" s="55" t="s">
        <v>360</v>
      </c>
      <c r="H292" s="55" t="s">
        <v>360</v>
      </c>
      <c r="I292" s="55" t="s">
        <v>360</v>
      </c>
      <c r="J292" s="55" t="s">
        <v>360</v>
      </c>
      <c r="K292" s="55" t="s">
        <v>360</v>
      </c>
      <c r="L292" s="55" t="s">
        <v>360</v>
      </c>
      <c r="M292" s="55" t="s">
        <v>144</v>
      </c>
      <c r="N292" s="55" t="s">
        <v>144</v>
      </c>
      <c r="O292" s="55" t="s">
        <v>209</v>
      </c>
      <c r="P292" s="55" t="s">
        <v>545</v>
      </c>
      <c r="Q292" s="55" t="s">
        <v>350</v>
      </c>
      <c r="R292" s="85">
        <v>6</v>
      </c>
      <c r="S292" s="55">
        <v>0</v>
      </c>
      <c r="T292" s="74" t="s">
        <v>377</v>
      </c>
      <c r="U292" s="74" t="s">
        <v>351</v>
      </c>
      <c r="V292" s="74">
        <v>44593</v>
      </c>
      <c r="W292" s="74">
        <v>44636</v>
      </c>
      <c r="X292" s="55">
        <v>10186243</v>
      </c>
      <c r="Y292" s="55" t="s">
        <v>132</v>
      </c>
      <c r="AB292" s="74" t="s">
        <v>132</v>
      </c>
      <c r="AC292" s="55" t="s">
        <v>132</v>
      </c>
      <c r="AL292" s="74"/>
      <c r="AM292" s="74"/>
      <c r="AW292" s="74"/>
      <c r="AX292" s="74"/>
    </row>
    <row r="293" spans="1:50" ht="13" x14ac:dyDescent="0.15">
      <c r="A293" s="55" t="str">
        <f>HYPERLINK("http://reports.ofsted.gov.uk/inspection-reports/find-inspection-report/provider/CARE/1249111","Ofsted Social Care Provider Webpage")</f>
        <v>Ofsted Social Care Provider Webpage</v>
      </c>
      <c r="B293" s="55">
        <v>1249111</v>
      </c>
      <c r="D293" s="55" t="s">
        <v>373</v>
      </c>
      <c r="E293" s="74">
        <v>42718</v>
      </c>
      <c r="F293" s="55" t="s">
        <v>344</v>
      </c>
      <c r="G293" s="55" t="s">
        <v>360</v>
      </c>
      <c r="H293" s="55" t="s">
        <v>360</v>
      </c>
      <c r="I293" s="55" t="s">
        <v>360</v>
      </c>
      <c r="J293" s="55" t="s">
        <v>360</v>
      </c>
      <c r="K293" s="55" t="s">
        <v>360</v>
      </c>
      <c r="L293" s="55" t="s">
        <v>360</v>
      </c>
      <c r="M293" s="55" t="s">
        <v>150</v>
      </c>
      <c r="N293" s="55" t="s">
        <v>150</v>
      </c>
      <c r="O293" s="55" t="s">
        <v>190</v>
      </c>
      <c r="P293" s="55" t="s">
        <v>897</v>
      </c>
      <c r="Q293" s="55" t="s">
        <v>350</v>
      </c>
      <c r="R293" s="85">
        <v>2</v>
      </c>
      <c r="S293" s="55">
        <v>0</v>
      </c>
      <c r="T293" s="74" t="s">
        <v>911</v>
      </c>
      <c r="U293" s="74" t="s">
        <v>351</v>
      </c>
      <c r="V293" s="74">
        <v>44389</v>
      </c>
      <c r="W293" s="74">
        <v>44448</v>
      </c>
      <c r="X293" s="55">
        <v>10198616</v>
      </c>
      <c r="Y293" s="55" t="s">
        <v>132</v>
      </c>
      <c r="AB293" s="74" t="s">
        <v>132</v>
      </c>
      <c r="AC293" s="55" t="s">
        <v>130</v>
      </c>
      <c r="AL293" s="74"/>
      <c r="AM293" s="74"/>
      <c r="AW293" s="74"/>
      <c r="AX293" s="74"/>
    </row>
    <row r="294" spans="1:50" ht="13" x14ac:dyDescent="0.15">
      <c r="A294" s="55" t="str">
        <f>HYPERLINK("http://reports.ofsted.gov.uk/inspection-reports/find-inspection-report/provider/CARE/1249111","Ofsted Social Care Provider Webpage")</f>
        <v>Ofsted Social Care Provider Webpage</v>
      </c>
      <c r="B294" s="55">
        <v>1249111</v>
      </c>
      <c r="D294" s="55" t="s">
        <v>373</v>
      </c>
      <c r="E294" s="74">
        <v>42718</v>
      </c>
      <c r="F294" s="55" t="s">
        <v>344</v>
      </c>
      <c r="G294" s="55" t="s">
        <v>360</v>
      </c>
      <c r="H294" s="55" t="s">
        <v>360</v>
      </c>
      <c r="I294" s="55" t="s">
        <v>360</v>
      </c>
      <c r="J294" s="55" t="s">
        <v>360</v>
      </c>
      <c r="K294" s="55" t="s">
        <v>360</v>
      </c>
      <c r="L294" s="55" t="s">
        <v>360</v>
      </c>
      <c r="M294" s="55" t="s">
        <v>150</v>
      </c>
      <c r="N294" s="55" t="s">
        <v>150</v>
      </c>
      <c r="O294" s="55" t="s">
        <v>190</v>
      </c>
      <c r="P294" s="55" t="s">
        <v>897</v>
      </c>
      <c r="Q294" s="55" t="s">
        <v>350</v>
      </c>
      <c r="R294" s="85">
        <v>2</v>
      </c>
      <c r="S294" s="55">
        <v>0</v>
      </c>
      <c r="T294" s="74" t="s">
        <v>911</v>
      </c>
      <c r="U294" s="74" t="s">
        <v>351</v>
      </c>
      <c r="V294" s="74">
        <v>44334</v>
      </c>
      <c r="W294" s="74">
        <v>44445</v>
      </c>
      <c r="X294" s="55">
        <v>10187407</v>
      </c>
      <c r="Y294" s="55" t="s">
        <v>146</v>
      </c>
      <c r="AB294" s="74" t="s">
        <v>146</v>
      </c>
      <c r="AC294" s="55" t="s">
        <v>146</v>
      </c>
      <c r="AL294" s="74"/>
      <c r="AM294" s="74"/>
      <c r="AW294" s="74"/>
      <c r="AX294" s="74"/>
    </row>
    <row r="295" spans="1:50" ht="13" x14ac:dyDescent="0.15">
      <c r="A295" s="55" t="str">
        <f>HYPERLINK("http://reports.ofsted.gov.uk/inspection-reports/find-inspection-report/provider/CARE/1249115","Ofsted Social Care Provider Webpage")</f>
        <v>Ofsted Social Care Provider Webpage</v>
      </c>
      <c r="B295" s="55">
        <v>1249115</v>
      </c>
      <c r="D295" s="55" t="s">
        <v>373</v>
      </c>
      <c r="E295" s="74">
        <v>42806</v>
      </c>
      <c r="F295" s="55" t="s">
        <v>344</v>
      </c>
      <c r="G295" s="55" t="s">
        <v>360</v>
      </c>
      <c r="H295" s="55" t="s">
        <v>360</v>
      </c>
      <c r="I295" s="55" t="s">
        <v>360</v>
      </c>
      <c r="J295" s="55" t="s">
        <v>360</v>
      </c>
      <c r="K295" s="55" t="s">
        <v>360</v>
      </c>
      <c r="L295" s="55" t="s">
        <v>360</v>
      </c>
      <c r="M295" s="55" t="s">
        <v>378</v>
      </c>
      <c r="N295" s="55" t="s">
        <v>134</v>
      </c>
      <c r="O295" s="55" t="s">
        <v>158</v>
      </c>
      <c r="P295" s="55" t="s">
        <v>912</v>
      </c>
      <c r="Q295" s="55" t="s">
        <v>350</v>
      </c>
      <c r="R295" s="85">
        <v>4</v>
      </c>
      <c r="S295" s="55">
        <v>0</v>
      </c>
      <c r="T295" s="74" t="s">
        <v>377</v>
      </c>
      <c r="U295" s="74" t="s">
        <v>351</v>
      </c>
      <c r="V295" s="74">
        <v>44306</v>
      </c>
      <c r="W295" s="74">
        <v>44343</v>
      </c>
      <c r="X295" s="55">
        <v>10186518</v>
      </c>
      <c r="Y295" s="55" t="s">
        <v>132</v>
      </c>
      <c r="AB295" s="74" t="s">
        <v>132</v>
      </c>
      <c r="AC295" s="55" t="s">
        <v>132</v>
      </c>
      <c r="AL295" s="74"/>
      <c r="AM295" s="74"/>
      <c r="AW295" s="74"/>
      <c r="AX295" s="74"/>
    </row>
    <row r="296" spans="1:50" ht="13" x14ac:dyDescent="0.15">
      <c r="A296" s="55" t="str">
        <f>HYPERLINK("http://reports.ofsted.gov.uk/inspection-reports/find-inspection-report/provider/CARE/1249117","Ofsted Social Care Provider Webpage")</f>
        <v>Ofsted Social Care Provider Webpage</v>
      </c>
      <c r="B296" s="55">
        <v>1249117</v>
      </c>
      <c r="D296" s="55" t="s">
        <v>373</v>
      </c>
      <c r="E296" s="74">
        <v>43283</v>
      </c>
      <c r="F296" s="55" t="s">
        <v>344</v>
      </c>
      <c r="G296" s="55" t="s">
        <v>360</v>
      </c>
      <c r="H296" s="55" t="s">
        <v>360</v>
      </c>
      <c r="I296" s="55" t="s">
        <v>360</v>
      </c>
      <c r="J296" s="55" t="s">
        <v>360</v>
      </c>
      <c r="K296" s="55" t="s">
        <v>360</v>
      </c>
      <c r="L296" s="55" t="s">
        <v>360</v>
      </c>
      <c r="M296" s="55" t="s">
        <v>142</v>
      </c>
      <c r="N296" s="55" t="s">
        <v>142</v>
      </c>
      <c r="O296" s="55" t="s">
        <v>262</v>
      </c>
      <c r="P296" s="55" t="s">
        <v>850</v>
      </c>
      <c r="Q296" s="55" t="s">
        <v>350</v>
      </c>
      <c r="R296" s="85">
        <v>1</v>
      </c>
      <c r="S296" s="55">
        <v>0</v>
      </c>
      <c r="T296" s="74" t="s">
        <v>910</v>
      </c>
      <c r="U296" s="74" t="s">
        <v>351</v>
      </c>
      <c r="V296" s="74">
        <v>44530</v>
      </c>
      <c r="W296" s="74">
        <v>44579</v>
      </c>
      <c r="X296" s="55">
        <v>10187009</v>
      </c>
      <c r="Y296" s="55" t="s">
        <v>140</v>
      </c>
      <c r="AB296" s="74" t="s">
        <v>140</v>
      </c>
      <c r="AC296" s="55" t="s">
        <v>140</v>
      </c>
      <c r="AL296" s="74"/>
      <c r="AM296" s="74"/>
    </row>
    <row r="297" spans="1:50" ht="13" x14ac:dyDescent="0.15">
      <c r="A297" s="55" t="str">
        <f>HYPERLINK("http://reports.ofsted.gov.uk/inspection-reports/find-inspection-report/provider/CARE/1249183","Ofsted Social Care Provider Webpage")</f>
        <v>Ofsted Social Care Provider Webpage</v>
      </c>
      <c r="B297" s="55">
        <v>1249183</v>
      </c>
      <c r="D297" s="55" t="s">
        <v>373</v>
      </c>
      <c r="E297" s="74">
        <v>42849</v>
      </c>
      <c r="F297" s="55" t="s">
        <v>344</v>
      </c>
      <c r="G297" s="55" t="s">
        <v>360</v>
      </c>
      <c r="H297" s="55" t="s">
        <v>360</v>
      </c>
      <c r="I297" s="55" t="s">
        <v>360</v>
      </c>
      <c r="J297" s="55" t="s">
        <v>360</v>
      </c>
      <c r="K297" s="55" t="s">
        <v>360</v>
      </c>
      <c r="L297" s="55" t="s">
        <v>360</v>
      </c>
      <c r="M297" s="55" t="s">
        <v>378</v>
      </c>
      <c r="N297" s="55" t="s">
        <v>134</v>
      </c>
      <c r="O297" s="55" t="s">
        <v>151</v>
      </c>
      <c r="P297" s="55" t="s">
        <v>862</v>
      </c>
      <c r="Q297" s="55" t="s">
        <v>350</v>
      </c>
      <c r="R297" s="85">
        <v>4</v>
      </c>
      <c r="S297" s="55">
        <v>0</v>
      </c>
      <c r="T297" s="74" t="s">
        <v>489</v>
      </c>
      <c r="U297" s="74" t="s">
        <v>351</v>
      </c>
      <c r="V297" s="74">
        <v>44608</v>
      </c>
      <c r="W297" s="74">
        <v>44644</v>
      </c>
      <c r="X297" s="55">
        <v>10186767</v>
      </c>
      <c r="Y297" s="55" t="s">
        <v>140</v>
      </c>
      <c r="AB297" s="74" t="s">
        <v>132</v>
      </c>
      <c r="AC297" s="55" t="s">
        <v>132</v>
      </c>
      <c r="AL297" s="74"/>
      <c r="AM297" s="74"/>
      <c r="AW297" s="74"/>
      <c r="AX297" s="74"/>
    </row>
    <row r="298" spans="1:50" ht="13" x14ac:dyDescent="0.15">
      <c r="A298" s="55" t="str">
        <f>HYPERLINK("http://reports.ofsted.gov.uk/inspection-reports/find-inspection-report/provider/CARE/1249184","Ofsted Social Care Provider Webpage")</f>
        <v>Ofsted Social Care Provider Webpage</v>
      </c>
      <c r="B298" s="55">
        <v>1249184</v>
      </c>
      <c r="D298" s="55" t="s">
        <v>373</v>
      </c>
      <c r="E298" s="74">
        <v>42747</v>
      </c>
      <c r="F298" s="55" t="s">
        <v>6707</v>
      </c>
      <c r="G298" s="55" t="s">
        <v>360</v>
      </c>
      <c r="H298" s="55" t="s">
        <v>360</v>
      </c>
      <c r="I298" s="55" t="s">
        <v>360</v>
      </c>
      <c r="J298" s="55" t="s">
        <v>360</v>
      </c>
      <c r="K298" s="55" t="s">
        <v>360</v>
      </c>
      <c r="L298" s="55" t="s">
        <v>360</v>
      </c>
      <c r="M298" s="55" t="s">
        <v>142</v>
      </c>
      <c r="N298" s="55" t="s">
        <v>142</v>
      </c>
      <c r="O298" s="55" t="s">
        <v>262</v>
      </c>
      <c r="P298" s="55" t="s">
        <v>523</v>
      </c>
      <c r="Q298" s="55" t="s">
        <v>350</v>
      </c>
      <c r="R298" s="85">
        <v>2</v>
      </c>
      <c r="S298" s="55">
        <v>0</v>
      </c>
      <c r="T298" s="74" t="s">
        <v>489</v>
      </c>
      <c r="U298" s="74" t="s">
        <v>2053</v>
      </c>
      <c r="V298" s="74">
        <v>44390</v>
      </c>
      <c r="W298" s="74">
        <v>44419</v>
      </c>
      <c r="X298" s="55">
        <v>10198622</v>
      </c>
      <c r="AL298" s="74"/>
      <c r="AM298" s="74"/>
      <c r="AW298" s="74"/>
      <c r="AX298" s="74"/>
    </row>
    <row r="299" spans="1:50" ht="13" x14ac:dyDescent="0.15">
      <c r="A299" s="55" t="str">
        <f>HYPERLINK("http://reports.ofsted.gov.uk/inspection-reports/find-inspection-report/provider/CARE/1249184","Ofsted Social Care Provider Webpage")</f>
        <v>Ofsted Social Care Provider Webpage</v>
      </c>
      <c r="B299" s="55">
        <v>1249184</v>
      </c>
      <c r="D299" s="55" t="s">
        <v>373</v>
      </c>
      <c r="E299" s="74">
        <v>42747</v>
      </c>
      <c r="F299" s="55" t="s">
        <v>6707</v>
      </c>
      <c r="G299" s="55" t="s">
        <v>360</v>
      </c>
      <c r="H299" s="55" t="s">
        <v>360</v>
      </c>
      <c r="I299" s="55" t="s">
        <v>360</v>
      </c>
      <c r="J299" s="55" t="s">
        <v>360</v>
      </c>
      <c r="K299" s="55" t="s">
        <v>360</v>
      </c>
      <c r="L299" s="55" t="s">
        <v>360</v>
      </c>
      <c r="M299" s="55" t="s">
        <v>142</v>
      </c>
      <c r="N299" s="55" t="s">
        <v>142</v>
      </c>
      <c r="O299" s="55" t="s">
        <v>262</v>
      </c>
      <c r="P299" s="55" t="s">
        <v>523</v>
      </c>
      <c r="Q299" s="55" t="s">
        <v>350</v>
      </c>
      <c r="R299" s="85">
        <v>2</v>
      </c>
      <c r="S299" s="55">
        <v>0</v>
      </c>
      <c r="T299" s="74" t="s">
        <v>489</v>
      </c>
      <c r="U299" s="74" t="s">
        <v>351</v>
      </c>
      <c r="V299" s="74">
        <v>44356</v>
      </c>
      <c r="W299" s="74">
        <v>44390</v>
      </c>
      <c r="X299" s="55">
        <v>10186107</v>
      </c>
      <c r="Y299" s="55" t="s">
        <v>146</v>
      </c>
      <c r="AB299" s="74" t="s">
        <v>146</v>
      </c>
      <c r="AC299" s="55" t="s">
        <v>146</v>
      </c>
      <c r="AL299" s="74"/>
      <c r="AM299" s="74"/>
    </row>
    <row r="300" spans="1:50" ht="13" x14ac:dyDescent="0.15">
      <c r="A300" s="55" t="str">
        <f>HYPERLINK("http://reports.ofsted.gov.uk/inspection-reports/find-inspection-report/provider/CARE/1249184","Ofsted Social Care Provider Webpage")</f>
        <v>Ofsted Social Care Provider Webpage</v>
      </c>
      <c r="B300" s="55">
        <v>1249184</v>
      </c>
      <c r="D300" s="55" t="s">
        <v>373</v>
      </c>
      <c r="E300" s="74">
        <v>42747</v>
      </c>
      <c r="F300" s="55" t="s">
        <v>6707</v>
      </c>
      <c r="G300" s="55" t="s">
        <v>360</v>
      </c>
      <c r="H300" s="55" t="s">
        <v>360</v>
      </c>
      <c r="I300" s="55" t="s">
        <v>360</v>
      </c>
      <c r="J300" s="55" t="s">
        <v>360</v>
      </c>
      <c r="K300" s="55" t="s">
        <v>360</v>
      </c>
      <c r="L300" s="55" t="s">
        <v>360</v>
      </c>
      <c r="M300" s="55" t="s">
        <v>142</v>
      </c>
      <c r="N300" s="55" t="s">
        <v>142</v>
      </c>
      <c r="O300" s="55" t="s">
        <v>262</v>
      </c>
      <c r="P300" s="55" t="s">
        <v>523</v>
      </c>
      <c r="Q300" s="55" t="s">
        <v>350</v>
      </c>
      <c r="R300" s="85">
        <v>2</v>
      </c>
      <c r="S300" s="55">
        <v>0</v>
      </c>
      <c r="T300" s="74" t="s">
        <v>489</v>
      </c>
      <c r="U300" s="74" t="s">
        <v>351</v>
      </c>
      <c r="V300" s="74">
        <v>44467</v>
      </c>
      <c r="W300" s="74">
        <v>44509</v>
      </c>
      <c r="X300" s="55">
        <v>10198638</v>
      </c>
      <c r="Y300" s="55" t="s">
        <v>146</v>
      </c>
      <c r="AB300" s="74" t="s">
        <v>146</v>
      </c>
      <c r="AC300" s="55" t="s">
        <v>146</v>
      </c>
      <c r="AL300" s="74"/>
      <c r="AM300" s="74"/>
    </row>
    <row r="301" spans="1:50" ht="13" x14ac:dyDescent="0.15">
      <c r="A301" s="55" t="str">
        <f>HYPERLINK("http://reports.ofsted.gov.uk/inspection-reports/find-inspection-report/provider/CARE/1249184","Ofsted Social Care Provider Webpage")</f>
        <v>Ofsted Social Care Provider Webpage</v>
      </c>
      <c r="B301" s="55">
        <v>1249184</v>
      </c>
      <c r="D301" s="55" t="s">
        <v>373</v>
      </c>
      <c r="E301" s="74">
        <v>42747</v>
      </c>
      <c r="F301" s="55" t="s">
        <v>6707</v>
      </c>
      <c r="G301" s="55" t="s">
        <v>360</v>
      </c>
      <c r="H301" s="55" t="s">
        <v>360</v>
      </c>
      <c r="I301" s="55" t="s">
        <v>360</v>
      </c>
      <c r="J301" s="55" t="s">
        <v>360</v>
      </c>
      <c r="K301" s="55" t="s">
        <v>360</v>
      </c>
      <c r="L301" s="55" t="s">
        <v>360</v>
      </c>
      <c r="M301" s="55" t="s">
        <v>142</v>
      </c>
      <c r="N301" s="55" t="s">
        <v>142</v>
      </c>
      <c r="O301" s="55" t="s">
        <v>262</v>
      </c>
      <c r="P301" s="55" t="s">
        <v>523</v>
      </c>
      <c r="Q301" s="55" t="s">
        <v>350</v>
      </c>
      <c r="R301" s="85">
        <v>2</v>
      </c>
      <c r="S301" s="55">
        <v>0</v>
      </c>
      <c r="T301" s="74" t="s">
        <v>489</v>
      </c>
      <c r="U301" s="74" t="s">
        <v>2053</v>
      </c>
      <c r="V301" s="74">
        <v>44420</v>
      </c>
      <c r="W301" s="74">
        <v>44454</v>
      </c>
      <c r="X301" s="55">
        <v>10201566</v>
      </c>
      <c r="AL301" s="74"/>
      <c r="AM301" s="74"/>
    </row>
    <row r="302" spans="1:50" ht="13" x14ac:dyDescent="0.15">
      <c r="A302" s="55" t="str">
        <f>HYPERLINK("http://reports.ofsted.gov.uk/inspection-reports/find-inspection-report/provider/CARE/1249184","Ofsted Social Care Provider Webpage")</f>
        <v>Ofsted Social Care Provider Webpage</v>
      </c>
      <c r="B302" s="55">
        <v>1249184</v>
      </c>
      <c r="D302" s="55" t="s">
        <v>373</v>
      </c>
      <c r="E302" s="74">
        <v>42747</v>
      </c>
      <c r="F302" s="55" t="s">
        <v>6707</v>
      </c>
      <c r="G302" s="55" t="s">
        <v>360</v>
      </c>
      <c r="H302" s="55" t="s">
        <v>360</v>
      </c>
      <c r="I302" s="55" t="s">
        <v>360</v>
      </c>
      <c r="J302" s="55" t="s">
        <v>360</v>
      </c>
      <c r="K302" s="55" t="s">
        <v>360</v>
      </c>
      <c r="L302" s="55" t="s">
        <v>360</v>
      </c>
      <c r="M302" s="55" t="s">
        <v>142</v>
      </c>
      <c r="N302" s="55" t="s">
        <v>142</v>
      </c>
      <c r="O302" s="55" t="s">
        <v>262</v>
      </c>
      <c r="P302" s="55" t="s">
        <v>523</v>
      </c>
      <c r="Q302" s="55" t="s">
        <v>350</v>
      </c>
      <c r="R302" s="85">
        <v>2</v>
      </c>
      <c r="S302" s="55">
        <v>0</v>
      </c>
      <c r="T302" s="74" t="s">
        <v>489</v>
      </c>
      <c r="U302" s="74" t="s">
        <v>2053</v>
      </c>
      <c r="V302" s="74">
        <v>44517</v>
      </c>
      <c r="W302" s="74">
        <v>44551</v>
      </c>
      <c r="X302" s="55">
        <v>10209666</v>
      </c>
      <c r="AL302" s="74"/>
      <c r="AM302" s="74"/>
      <c r="AW302" s="74"/>
      <c r="AX302" s="74"/>
    </row>
    <row r="303" spans="1:50" ht="13" x14ac:dyDescent="0.15">
      <c r="A303" s="55" t="str">
        <f>HYPERLINK("http://reports.ofsted.gov.uk/inspection-reports/find-inspection-report/provider/CARE/1249196","Ofsted Social Care Provider Webpage")</f>
        <v>Ofsted Social Care Provider Webpage</v>
      </c>
      <c r="B303" s="55">
        <v>1249196</v>
      </c>
      <c r="D303" s="55" t="s">
        <v>373</v>
      </c>
      <c r="E303" s="74">
        <v>42758</v>
      </c>
      <c r="F303" s="55" t="s">
        <v>344</v>
      </c>
      <c r="G303" s="55" t="s">
        <v>360</v>
      </c>
      <c r="H303" s="55" t="s">
        <v>360</v>
      </c>
      <c r="I303" s="55" t="s">
        <v>360</v>
      </c>
      <c r="J303" s="55" t="s">
        <v>360</v>
      </c>
      <c r="K303" s="55" t="s">
        <v>360</v>
      </c>
      <c r="L303" s="55" t="s">
        <v>360</v>
      </c>
      <c r="M303" s="55" t="s">
        <v>136</v>
      </c>
      <c r="N303" s="55" t="s">
        <v>136</v>
      </c>
      <c r="O303" s="55" t="s">
        <v>255</v>
      </c>
      <c r="P303" s="55" t="s">
        <v>757</v>
      </c>
      <c r="Q303" s="55" t="s">
        <v>350</v>
      </c>
      <c r="R303" s="85">
        <v>4</v>
      </c>
      <c r="S303" s="55">
        <v>0</v>
      </c>
      <c r="T303" s="74" t="s">
        <v>914</v>
      </c>
      <c r="U303" s="74" t="s">
        <v>351</v>
      </c>
      <c r="V303" s="74">
        <v>44397</v>
      </c>
      <c r="W303" s="74">
        <v>44428</v>
      </c>
      <c r="X303" s="55">
        <v>10187489</v>
      </c>
      <c r="Y303" s="55" t="s">
        <v>132</v>
      </c>
      <c r="AB303" s="74" t="s">
        <v>132</v>
      </c>
      <c r="AC303" s="55" t="s">
        <v>132</v>
      </c>
      <c r="AL303" s="74"/>
      <c r="AM303" s="74"/>
      <c r="AW303" s="74"/>
      <c r="AX303" s="74"/>
    </row>
    <row r="304" spans="1:50" ht="13" x14ac:dyDescent="0.15">
      <c r="A304" s="55" t="str">
        <f>HYPERLINK("http://reports.ofsted.gov.uk/inspection-reports/find-inspection-report/provider/CARE/1249259","Ofsted Social Care Provider Webpage")</f>
        <v>Ofsted Social Care Provider Webpage</v>
      </c>
      <c r="B304" s="55">
        <v>1249259</v>
      </c>
      <c r="D304" s="55" t="s">
        <v>373</v>
      </c>
      <c r="E304" s="74">
        <v>42797</v>
      </c>
      <c r="F304" s="55" t="s">
        <v>344</v>
      </c>
      <c r="G304" s="55" t="s">
        <v>360</v>
      </c>
      <c r="H304" s="55" t="s">
        <v>360</v>
      </c>
      <c r="I304" s="55" t="s">
        <v>360</v>
      </c>
      <c r="J304" s="55" t="s">
        <v>360</v>
      </c>
      <c r="K304" s="55" t="s">
        <v>360</v>
      </c>
      <c r="L304" s="55" t="s">
        <v>360</v>
      </c>
      <c r="M304" s="55" t="s">
        <v>150</v>
      </c>
      <c r="N304" s="55" t="s">
        <v>150</v>
      </c>
      <c r="O304" s="55" t="s">
        <v>190</v>
      </c>
      <c r="P304" s="55" t="s">
        <v>830</v>
      </c>
      <c r="Q304" s="55" t="s">
        <v>350</v>
      </c>
      <c r="R304" s="85">
        <v>4</v>
      </c>
      <c r="S304" s="55">
        <v>0</v>
      </c>
      <c r="T304" s="74" t="s">
        <v>450</v>
      </c>
      <c r="U304" s="74" t="s">
        <v>351</v>
      </c>
      <c r="V304" s="74">
        <v>44383</v>
      </c>
      <c r="W304" s="74">
        <v>44439</v>
      </c>
      <c r="X304" s="55">
        <v>10185577</v>
      </c>
      <c r="Y304" s="55" t="s">
        <v>132</v>
      </c>
      <c r="AB304" s="74" t="s">
        <v>132</v>
      </c>
      <c r="AC304" s="55" t="s">
        <v>132</v>
      </c>
      <c r="AL304" s="74"/>
      <c r="AM304" s="74"/>
      <c r="AW304" s="74"/>
      <c r="AX304" s="74"/>
    </row>
    <row r="305" spans="1:50" ht="13" x14ac:dyDescent="0.15">
      <c r="A305" s="55" t="str">
        <f>HYPERLINK("http://reports.ofsted.gov.uk/inspection-reports/find-inspection-report/provider/CARE/1249264","Ofsted Social Care Provider Webpage")</f>
        <v>Ofsted Social Care Provider Webpage</v>
      </c>
      <c r="B305" s="55">
        <v>1249264</v>
      </c>
      <c r="D305" s="55" t="s">
        <v>373</v>
      </c>
      <c r="E305" s="74">
        <v>42781</v>
      </c>
      <c r="F305" s="55" t="s">
        <v>344</v>
      </c>
      <c r="G305" s="55" t="s">
        <v>360</v>
      </c>
      <c r="H305" s="55" t="s">
        <v>360</v>
      </c>
      <c r="I305" s="55" t="s">
        <v>360</v>
      </c>
      <c r="J305" s="55" t="s">
        <v>360</v>
      </c>
      <c r="K305" s="55" t="s">
        <v>360</v>
      </c>
      <c r="L305" s="55" t="s">
        <v>360</v>
      </c>
      <c r="M305" s="55" t="s">
        <v>144</v>
      </c>
      <c r="N305" s="55" t="s">
        <v>144</v>
      </c>
      <c r="O305" s="55" t="s">
        <v>168</v>
      </c>
      <c r="P305" s="55" t="s">
        <v>913</v>
      </c>
      <c r="Q305" s="55" t="s">
        <v>350</v>
      </c>
      <c r="R305" s="85">
        <v>4</v>
      </c>
      <c r="S305" s="55">
        <v>0</v>
      </c>
      <c r="T305" s="74" t="s">
        <v>915</v>
      </c>
      <c r="U305" s="74" t="s">
        <v>351</v>
      </c>
      <c r="V305" s="74">
        <v>44314</v>
      </c>
      <c r="W305" s="74">
        <v>44357</v>
      </c>
      <c r="X305" s="55">
        <v>10185506</v>
      </c>
      <c r="Y305" s="55" t="s">
        <v>146</v>
      </c>
      <c r="AB305" s="74" t="s">
        <v>146</v>
      </c>
      <c r="AC305" s="55" t="s">
        <v>146</v>
      </c>
      <c r="AL305" s="74"/>
      <c r="AM305" s="74"/>
      <c r="AW305" s="74"/>
      <c r="AX305" s="74"/>
    </row>
    <row r="306" spans="1:50" ht="13" x14ac:dyDescent="0.15">
      <c r="A306" s="55" t="str">
        <f>HYPERLINK("http://reports.ofsted.gov.uk/inspection-reports/find-inspection-report/provider/CARE/1249264","Ofsted Social Care Provider Webpage")</f>
        <v>Ofsted Social Care Provider Webpage</v>
      </c>
      <c r="B306" s="55">
        <v>1249264</v>
      </c>
      <c r="D306" s="55" t="s">
        <v>373</v>
      </c>
      <c r="E306" s="74">
        <v>42781</v>
      </c>
      <c r="F306" s="55" t="s">
        <v>344</v>
      </c>
      <c r="G306" s="55" t="s">
        <v>360</v>
      </c>
      <c r="H306" s="55" t="s">
        <v>360</v>
      </c>
      <c r="I306" s="55" t="s">
        <v>360</v>
      </c>
      <c r="J306" s="55" t="s">
        <v>360</v>
      </c>
      <c r="K306" s="55" t="s">
        <v>360</v>
      </c>
      <c r="L306" s="55" t="s">
        <v>360</v>
      </c>
      <c r="M306" s="55" t="s">
        <v>144</v>
      </c>
      <c r="N306" s="55" t="s">
        <v>144</v>
      </c>
      <c r="O306" s="55" t="s">
        <v>168</v>
      </c>
      <c r="P306" s="55" t="s">
        <v>913</v>
      </c>
      <c r="Q306" s="55" t="s">
        <v>350</v>
      </c>
      <c r="R306" s="85">
        <v>4</v>
      </c>
      <c r="S306" s="55">
        <v>0</v>
      </c>
      <c r="T306" s="74" t="s">
        <v>915</v>
      </c>
      <c r="U306" s="74" t="s">
        <v>351</v>
      </c>
      <c r="V306" s="74">
        <v>44369</v>
      </c>
      <c r="W306" s="74">
        <v>44399</v>
      </c>
      <c r="X306" s="55">
        <v>10196641</v>
      </c>
      <c r="Y306" s="55" t="s">
        <v>130</v>
      </c>
      <c r="AB306" s="74" t="s">
        <v>132</v>
      </c>
      <c r="AC306" s="55" t="s">
        <v>130</v>
      </c>
      <c r="AL306" s="74"/>
      <c r="AM306" s="74"/>
      <c r="AW306" s="74"/>
      <c r="AX306" s="74"/>
    </row>
    <row r="307" spans="1:50" ht="13" x14ac:dyDescent="0.15">
      <c r="A307" s="55" t="str">
        <f>HYPERLINK("http://reports.ofsted.gov.uk/inspection-reports/find-inspection-report/provider/CARE/1249326","Ofsted Social Care Provider Webpage")</f>
        <v>Ofsted Social Care Provider Webpage</v>
      </c>
      <c r="B307" s="55">
        <v>1249326</v>
      </c>
      <c r="D307" s="55" t="s">
        <v>373</v>
      </c>
      <c r="E307" s="74">
        <v>42802</v>
      </c>
      <c r="F307" s="55" t="s">
        <v>344</v>
      </c>
      <c r="G307" s="55" t="s">
        <v>360</v>
      </c>
      <c r="H307" s="55" t="s">
        <v>360</v>
      </c>
      <c r="I307" s="55" t="s">
        <v>360</v>
      </c>
      <c r="J307" s="55" t="s">
        <v>360</v>
      </c>
      <c r="K307" s="55" t="s">
        <v>360</v>
      </c>
      <c r="L307" s="55" t="s">
        <v>360</v>
      </c>
      <c r="M307" s="55" t="s">
        <v>142</v>
      </c>
      <c r="N307" s="55" t="s">
        <v>142</v>
      </c>
      <c r="O307" s="55" t="s">
        <v>262</v>
      </c>
      <c r="P307" s="55" t="s">
        <v>916</v>
      </c>
      <c r="Q307" s="55" t="s">
        <v>350</v>
      </c>
      <c r="R307" s="85">
        <v>4</v>
      </c>
      <c r="S307" s="55">
        <v>0</v>
      </c>
      <c r="T307" s="74" t="s">
        <v>917</v>
      </c>
      <c r="U307" s="74" t="s">
        <v>351</v>
      </c>
      <c r="V307" s="74">
        <v>44426</v>
      </c>
      <c r="W307" s="74">
        <v>44469</v>
      </c>
      <c r="X307" s="55">
        <v>10185173</v>
      </c>
      <c r="Y307" s="55" t="s">
        <v>132</v>
      </c>
      <c r="AB307" s="74" t="s">
        <v>132</v>
      </c>
      <c r="AC307" s="55" t="s">
        <v>132</v>
      </c>
      <c r="AL307" s="74"/>
      <c r="AM307" s="74"/>
    </row>
    <row r="308" spans="1:50" ht="13" x14ac:dyDescent="0.15">
      <c r="A308" s="55" t="str">
        <f>HYPERLINK("http://reports.ofsted.gov.uk/inspection-reports/find-inspection-report/provider/CARE/1249715","Ofsted Social Care Provider Webpage")</f>
        <v>Ofsted Social Care Provider Webpage</v>
      </c>
      <c r="B308" s="55">
        <v>1249715</v>
      </c>
      <c r="D308" s="55" t="s">
        <v>373</v>
      </c>
      <c r="E308" s="74">
        <v>42836</v>
      </c>
      <c r="F308" s="55" t="s">
        <v>344</v>
      </c>
      <c r="G308" s="55" t="s">
        <v>360</v>
      </c>
      <c r="H308" s="55" t="s">
        <v>360</v>
      </c>
      <c r="I308" s="55" t="s">
        <v>360</v>
      </c>
      <c r="J308" s="55" t="s">
        <v>360</v>
      </c>
      <c r="K308" s="55" t="s">
        <v>360</v>
      </c>
      <c r="L308" s="55" t="s">
        <v>360</v>
      </c>
      <c r="M308" s="55" t="s">
        <v>150</v>
      </c>
      <c r="N308" s="55" t="s">
        <v>150</v>
      </c>
      <c r="O308" s="55" t="s">
        <v>190</v>
      </c>
      <c r="P308" s="55" t="s">
        <v>749</v>
      </c>
      <c r="Q308" s="55" t="s">
        <v>350</v>
      </c>
      <c r="R308" s="85">
        <v>4</v>
      </c>
      <c r="S308" s="55">
        <v>0</v>
      </c>
      <c r="T308" s="74" t="s">
        <v>450</v>
      </c>
      <c r="U308" s="74" t="s">
        <v>351</v>
      </c>
      <c r="V308" s="74">
        <v>44426</v>
      </c>
      <c r="W308" s="74">
        <v>44466</v>
      </c>
      <c r="X308" s="55">
        <v>10187496</v>
      </c>
      <c r="Y308" s="55" t="s">
        <v>140</v>
      </c>
      <c r="AB308" s="74" t="s">
        <v>132</v>
      </c>
      <c r="AC308" s="55" t="s">
        <v>140</v>
      </c>
      <c r="AL308" s="74"/>
      <c r="AM308" s="74"/>
      <c r="AW308" s="74"/>
      <c r="AX308" s="74"/>
    </row>
    <row r="309" spans="1:50" ht="13" x14ac:dyDescent="0.15">
      <c r="A309" s="55" t="str">
        <f>HYPERLINK("http://reports.ofsted.gov.uk/inspection-reports/find-inspection-report/provider/CARE/1249787","Ofsted Social Care Provider Webpage")</f>
        <v>Ofsted Social Care Provider Webpage</v>
      </c>
      <c r="B309" s="55">
        <v>1249787</v>
      </c>
      <c r="D309" s="55" t="s">
        <v>373</v>
      </c>
      <c r="E309" s="74">
        <v>42720</v>
      </c>
      <c r="F309" s="55" t="s">
        <v>344</v>
      </c>
      <c r="G309" s="55" t="s">
        <v>360</v>
      </c>
      <c r="H309" s="55" t="s">
        <v>360</v>
      </c>
      <c r="I309" s="55" t="s">
        <v>360</v>
      </c>
      <c r="J309" s="55" t="s">
        <v>360</v>
      </c>
      <c r="K309" s="55" t="s">
        <v>360</v>
      </c>
      <c r="L309" s="55" t="s">
        <v>360</v>
      </c>
      <c r="M309" s="55" t="s">
        <v>136</v>
      </c>
      <c r="N309" s="55" t="s">
        <v>136</v>
      </c>
      <c r="O309" s="55" t="s">
        <v>174</v>
      </c>
      <c r="P309" s="55" t="s">
        <v>651</v>
      </c>
      <c r="Q309" s="55" t="s">
        <v>350</v>
      </c>
      <c r="R309" s="85">
        <v>1</v>
      </c>
      <c r="S309" s="55">
        <v>0</v>
      </c>
      <c r="T309" s="74" t="s">
        <v>652</v>
      </c>
      <c r="U309" s="74" t="s">
        <v>351</v>
      </c>
      <c r="V309" s="74">
        <v>44308</v>
      </c>
      <c r="W309" s="74">
        <v>44336</v>
      </c>
      <c r="X309" s="55">
        <v>10186260</v>
      </c>
      <c r="Y309" s="55" t="s">
        <v>132</v>
      </c>
      <c r="AB309" s="74" t="s">
        <v>132</v>
      </c>
      <c r="AC309" s="55" t="s">
        <v>132</v>
      </c>
      <c r="AL309" s="74"/>
      <c r="AM309" s="74"/>
      <c r="AW309" s="74"/>
      <c r="AX309" s="74"/>
    </row>
    <row r="310" spans="1:50" ht="13" x14ac:dyDescent="0.15">
      <c r="A310" s="55" t="str">
        <f>HYPERLINK("http://reports.ofsted.gov.uk/inspection-reports/find-inspection-report/provider/CARE/1250035","Ofsted Social Care Provider Webpage")</f>
        <v>Ofsted Social Care Provider Webpage</v>
      </c>
      <c r="B310" s="55">
        <v>1250035</v>
      </c>
      <c r="D310" s="55" t="s">
        <v>373</v>
      </c>
      <c r="E310" s="74">
        <v>42774</v>
      </c>
      <c r="F310" s="55" t="s">
        <v>344</v>
      </c>
      <c r="G310" s="55" t="s">
        <v>360</v>
      </c>
      <c r="H310" s="55" t="s">
        <v>360</v>
      </c>
      <c r="I310" s="55" t="s">
        <v>360</v>
      </c>
      <c r="J310" s="55" t="s">
        <v>360</v>
      </c>
      <c r="K310" s="55" t="s">
        <v>360</v>
      </c>
      <c r="L310" s="55" t="s">
        <v>360</v>
      </c>
      <c r="M310" s="55" t="s">
        <v>144</v>
      </c>
      <c r="N310" s="55" t="s">
        <v>144</v>
      </c>
      <c r="O310" s="55" t="s">
        <v>261</v>
      </c>
      <c r="P310" s="55" t="s">
        <v>512</v>
      </c>
      <c r="Q310" s="55" t="s">
        <v>350</v>
      </c>
      <c r="R310" s="85">
        <v>4</v>
      </c>
      <c r="S310" s="55">
        <v>0</v>
      </c>
      <c r="T310" s="74" t="s">
        <v>923</v>
      </c>
      <c r="U310" s="74" t="s">
        <v>351</v>
      </c>
      <c r="V310" s="74">
        <v>44509</v>
      </c>
      <c r="W310" s="74">
        <v>44547</v>
      </c>
      <c r="X310" s="55">
        <v>10186364</v>
      </c>
      <c r="Y310" s="55" t="s">
        <v>132</v>
      </c>
      <c r="AB310" s="74" t="s">
        <v>132</v>
      </c>
      <c r="AC310" s="55" t="s">
        <v>132</v>
      </c>
      <c r="AL310" s="74"/>
      <c r="AM310" s="74"/>
      <c r="AW310" s="74"/>
      <c r="AX310" s="74"/>
    </row>
    <row r="311" spans="1:50" ht="13" x14ac:dyDescent="0.15">
      <c r="A311" s="55" t="str">
        <f>HYPERLINK("http://reports.ofsted.gov.uk/inspection-reports/find-inspection-report/provider/CARE/1250039","Ofsted Social Care Provider Webpage")</f>
        <v>Ofsted Social Care Provider Webpage</v>
      </c>
      <c r="B311" s="55">
        <v>1250039</v>
      </c>
      <c r="D311" s="55" t="s">
        <v>373</v>
      </c>
      <c r="E311" s="74">
        <v>42796</v>
      </c>
      <c r="F311" s="55" t="s">
        <v>344</v>
      </c>
      <c r="G311" s="55" t="s">
        <v>360</v>
      </c>
      <c r="H311" s="55" t="s">
        <v>360</v>
      </c>
      <c r="I311" s="55" t="s">
        <v>360</v>
      </c>
      <c r="J311" s="55" t="s">
        <v>360</v>
      </c>
      <c r="K311" s="55" t="s">
        <v>360</v>
      </c>
      <c r="L311" s="55" t="s">
        <v>360</v>
      </c>
      <c r="M311" s="55" t="s">
        <v>172</v>
      </c>
      <c r="N311" s="55" t="s">
        <v>172</v>
      </c>
      <c r="O311" s="55" t="s">
        <v>212</v>
      </c>
      <c r="P311" s="55" t="s">
        <v>798</v>
      </c>
      <c r="Q311" s="55" t="s">
        <v>350</v>
      </c>
      <c r="R311" s="85">
        <v>4</v>
      </c>
      <c r="S311" s="55">
        <v>0</v>
      </c>
      <c r="T311" s="74" t="s">
        <v>799</v>
      </c>
      <c r="U311" s="74" t="s">
        <v>351</v>
      </c>
      <c r="V311" s="74">
        <v>44341</v>
      </c>
      <c r="W311" s="74">
        <v>44384</v>
      </c>
      <c r="X311" s="55">
        <v>10186641</v>
      </c>
      <c r="Y311" s="55" t="s">
        <v>130</v>
      </c>
      <c r="AB311" s="74" t="s">
        <v>130</v>
      </c>
      <c r="AC311" s="55" t="s">
        <v>130</v>
      </c>
      <c r="AL311" s="74"/>
      <c r="AM311" s="74"/>
      <c r="AW311" s="74"/>
      <c r="AX311" s="74"/>
    </row>
    <row r="312" spans="1:50" ht="13" x14ac:dyDescent="0.15">
      <c r="A312" s="55" t="str">
        <f>HYPERLINK("http://reports.ofsted.gov.uk/inspection-reports/find-inspection-report/provider/CARE/1250186","Ofsted Social Care Provider Webpage")</f>
        <v>Ofsted Social Care Provider Webpage</v>
      </c>
      <c r="B312" s="55">
        <v>1250186</v>
      </c>
      <c r="D312" s="55" t="s">
        <v>373</v>
      </c>
      <c r="E312" s="74">
        <v>42872</v>
      </c>
      <c r="F312" s="55" t="s">
        <v>344</v>
      </c>
      <c r="G312" s="55" t="s">
        <v>360</v>
      </c>
      <c r="H312" s="55" t="s">
        <v>360</v>
      </c>
      <c r="I312" s="55" t="s">
        <v>360</v>
      </c>
      <c r="J312" s="55" t="s">
        <v>360</v>
      </c>
      <c r="K312" s="55" t="s">
        <v>360</v>
      </c>
      <c r="L312" s="55" t="s">
        <v>360</v>
      </c>
      <c r="M312" s="55" t="s">
        <v>142</v>
      </c>
      <c r="N312" s="55" t="s">
        <v>142</v>
      </c>
      <c r="O312" s="55" t="s">
        <v>272</v>
      </c>
      <c r="P312" s="55" t="s">
        <v>653</v>
      </c>
      <c r="Q312" s="55" t="s">
        <v>350</v>
      </c>
      <c r="R312" s="85">
        <v>4</v>
      </c>
      <c r="S312" s="55">
        <v>0</v>
      </c>
      <c r="T312" s="74" t="s">
        <v>377</v>
      </c>
      <c r="U312" s="74" t="s">
        <v>351</v>
      </c>
      <c r="V312" s="74">
        <v>44627</v>
      </c>
      <c r="W312" s="74">
        <v>44665</v>
      </c>
      <c r="X312" s="55">
        <v>10187325</v>
      </c>
      <c r="Y312" s="55" t="s">
        <v>132</v>
      </c>
      <c r="AB312" s="74" t="s">
        <v>132</v>
      </c>
      <c r="AC312" s="55" t="s">
        <v>132</v>
      </c>
      <c r="AL312" s="74"/>
      <c r="AM312" s="74"/>
      <c r="AW312" s="74"/>
      <c r="AX312" s="74"/>
    </row>
    <row r="313" spans="1:50" ht="13" x14ac:dyDescent="0.15">
      <c r="A313" s="55" t="str">
        <f>HYPERLINK("http://reports.ofsted.gov.uk/inspection-reports/find-inspection-report/provider/CARE/1250196","Ofsted Social Care Provider Webpage")</f>
        <v>Ofsted Social Care Provider Webpage</v>
      </c>
      <c r="B313" s="55">
        <v>1250196</v>
      </c>
      <c r="D313" s="55" t="s">
        <v>373</v>
      </c>
      <c r="E313" s="74">
        <v>42859</v>
      </c>
      <c r="F313" s="55" t="s">
        <v>344</v>
      </c>
      <c r="G313" s="55" t="s">
        <v>360</v>
      </c>
      <c r="H313" s="55" t="s">
        <v>360</v>
      </c>
      <c r="I313" s="55" t="s">
        <v>360</v>
      </c>
      <c r="J313" s="55" t="s">
        <v>360</v>
      </c>
      <c r="K313" s="55" t="s">
        <v>360</v>
      </c>
      <c r="L313" s="55" t="s">
        <v>360</v>
      </c>
      <c r="M313" s="55" t="s">
        <v>378</v>
      </c>
      <c r="N313" s="55" t="s">
        <v>134</v>
      </c>
      <c r="O313" s="55" t="s">
        <v>175</v>
      </c>
      <c r="P313" s="55" t="s">
        <v>932</v>
      </c>
      <c r="Q313" s="55" t="s">
        <v>350</v>
      </c>
      <c r="R313" s="85">
        <v>2</v>
      </c>
      <c r="S313" s="55">
        <v>0</v>
      </c>
      <c r="T313" s="74" t="s">
        <v>933</v>
      </c>
      <c r="U313" s="74" t="s">
        <v>351</v>
      </c>
      <c r="V313" s="74">
        <v>44523</v>
      </c>
      <c r="W313" s="74">
        <v>44567</v>
      </c>
      <c r="X313" s="55">
        <v>10186225</v>
      </c>
      <c r="Y313" s="55" t="s">
        <v>140</v>
      </c>
      <c r="AB313" s="74" t="s">
        <v>140</v>
      </c>
      <c r="AC313" s="55" t="s">
        <v>132</v>
      </c>
      <c r="AL313" s="74"/>
      <c r="AM313" s="74"/>
      <c r="AW313" s="74"/>
      <c r="AX313" s="74"/>
    </row>
    <row r="314" spans="1:50" ht="13" x14ac:dyDescent="0.15">
      <c r="A314" s="55" t="str">
        <f>HYPERLINK("http://reports.ofsted.gov.uk/inspection-reports/find-inspection-report/provider/CARE/1250253","Ofsted Social Care Provider Webpage")</f>
        <v>Ofsted Social Care Provider Webpage</v>
      </c>
      <c r="B314" s="55">
        <v>1250253</v>
      </c>
      <c r="D314" s="55" t="s">
        <v>373</v>
      </c>
      <c r="E314" s="74">
        <v>42733</v>
      </c>
      <c r="F314" s="55" t="s">
        <v>344</v>
      </c>
      <c r="G314" s="55" t="s">
        <v>360</v>
      </c>
      <c r="H314" s="55" t="s">
        <v>360</v>
      </c>
      <c r="I314" s="55" t="s">
        <v>360</v>
      </c>
      <c r="J314" s="55" t="s">
        <v>360</v>
      </c>
      <c r="K314" s="55" t="s">
        <v>360</v>
      </c>
      <c r="L314" s="55" t="s">
        <v>360</v>
      </c>
      <c r="M314" s="55" t="s">
        <v>138</v>
      </c>
      <c r="N314" s="55" t="s">
        <v>138</v>
      </c>
      <c r="O314" s="55" t="s">
        <v>266</v>
      </c>
      <c r="P314" s="55" t="s">
        <v>934</v>
      </c>
      <c r="Q314" s="55" t="s">
        <v>350</v>
      </c>
      <c r="R314" s="85">
        <v>4</v>
      </c>
      <c r="S314" s="55" t="s">
        <v>332</v>
      </c>
      <c r="T314" s="74" t="s">
        <v>935</v>
      </c>
      <c r="U314" s="74" t="s">
        <v>6703</v>
      </c>
      <c r="V314" s="74">
        <v>44546</v>
      </c>
      <c r="W314" s="74">
        <v>44601</v>
      </c>
      <c r="X314" s="55">
        <v>10205264</v>
      </c>
      <c r="Y314" s="55" t="s">
        <v>6706</v>
      </c>
      <c r="AL314" s="74"/>
      <c r="AM314" s="74"/>
      <c r="AW314" s="74"/>
      <c r="AX314" s="74"/>
    </row>
    <row r="315" spans="1:50" ht="13" x14ac:dyDescent="0.15">
      <c r="A315" s="55" t="str">
        <f>HYPERLINK("http://reports.ofsted.gov.uk/inspection-reports/find-inspection-report/provider/CARE/1250253","Ofsted Social Care Provider Webpage")</f>
        <v>Ofsted Social Care Provider Webpage</v>
      </c>
      <c r="B315" s="55">
        <v>1250253</v>
      </c>
      <c r="D315" s="55" t="s">
        <v>373</v>
      </c>
      <c r="E315" s="74">
        <v>42733</v>
      </c>
      <c r="F315" s="55" t="s">
        <v>344</v>
      </c>
      <c r="G315" s="55" t="s">
        <v>360</v>
      </c>
      <c r="H315" s="55" t="s">
        <v>360</v>
      </c>
      <c r="I315" s="55" t="s">
        <v>360</v>
      </c>
      <c r="J315" s="55" t="s">
        <v>360</v>
      </c>
      <c r="K315" s="55" t="s">
        <v>360</v>
      </c>
      <c r="L315" s="55" t="s">
        <v>360</v>
      </c>
      <c r="M315" s="55" t="s">
        <v>138</v>
      </c>
      <c r="N315" s="55" t="s">
        <v>138</v>
      </c>
      <c r="O315" s="55" t="s">
        <v>266</v>
      </c>
      <c r="P315" s="55" t="s">
        <v>934</v>
      </c>
      <c r="Q315" s="55" t="s">
        <v>350</v>
      </c>
      <c r="R315" s="85">
        <v>4</v>
      </c>
      <c r="S315" s="55" t="s">
        <v>332</v>
      </c>
      <c r="T315" s="74" t="s">
        <v>935</v>
      </c>
      <c r="U315" s="74" t="s">
        <v>351</v>
      </c>
      <c r="V315" s="74">
        <v>44350</v>
      </c>
      <c r="W315" s="74">
        <v>44379</v>
      </c>
      <c r="X315" s="55">
        <v>10185118</v>
      </c>
      <c r="Y315" s="55" t="s">
        <v>130</v>
      </c>
      <c r="AB315" s="74" t="s">
        <v>130</v>
      </c>
      <c r="AC315" s="55" t="s">
        <v>130</v>
      </c>
      <c r="AL315" s="74"/>
      <c r="AM315" s="74"/>
      <c r="AW315" s="74"/>
      <c r="AX315" s="74"/>
    </row>
    <row r="316" spans="1:50" ht="13" x14ac:dyDescent="0.15">
      <c r="A316" s="55" t="str">
        <f>HYPERLINK("http://reports.ofsted.gov.uk/inspection-reports/find-inspection-report/provider/CARE/1250521","Ofsted Social Care Provider Webpage")</f>
        <v>Ofsted Social Care Provider Webpage</v>
      </c>
      <c r="B316" s="55">
        <v>1250521</v>
      </c>
      <c r="D316" s="55" t="s">
        <v>373</v>
      </c>
      <c r="E316" s="74">
        <v>42864</v>
      </c>
      <c r="F316" s="55" t="s">
        <v>344</v>
      </c>
      <c r="G316" s="55" t="s">
        <v>360</v>
      </c>
      <c r="H316" s="55" t="s">
        <v>360</v>
      </c>
      <c r="I316" s="55" t="s">
        <v>360</v>
      </c>
      <c r="J316" s="55" t="s">
        <v>360</v>
      </c>
      <c r="K316" s="55" t="s">
        <v>360</v>
      </c>
      <c r="L316" s="55" t="s">
        <v>360</v>
      </c>
      <c r="M316" s="55" t="s">
        <v>150</v>
      </c>
      <c r="N316" s="55" t="s">
        <v>150</v>
      </c>
      <c r="O316" s="55" t="s">
        <v>203</v>
      </c>
      <c r="P316" s="55" t="s">
        <v>800</v>
      </c>
      <c r="Q316" s="55" t="s">
        <v>350</v>
      </c>
      <c r="R316" s="85">
        <v>4</v>
      </c>
      <c r="S316" s="55">
        <v>0</v>
      </c>
      <c r="T316" s="74" t="s">
        <v>483</v>
      </c>
      <c r="U316" s="74" t="s">
        <v>351</v>
      </c>
      <c r="V316" s="74">
        <v>44579</v>
      </c>
      <c r="W316" s="74">
        <v>44622</v>
      </c>
      <c r="X316" s="55">
        <v>10185147</v>
      </c>
      <c r="Y316" s="55" t="s">
        <v>132</v>
      </c>
      <c r="AB316" s="74" t="s">
        <v>132</v>
      </c>
      <c r="AC316" s="55" t="s">
        <v>132</v>
      </c>
      <c r="AL316" s="74"/>
      <c r="AM316" s="74"/>
      <c r="AW316" s="74"/>
      <c r="AX316" s="74"/>
    </row>
    <row r="317" spans="1:50" ht="13" x14ac:dyDescent="0.15">
      <c r="A317" s="55" t="str">
        <f>HYPERLINK("http://reports.ofsted.gov.uk/inspection-reports/find-inspection-report/provider/CARE/1250902","Ofsted Social Care Provider Webpage")</f>
        <v>Ofsted Social Care Provider Webpage</v>
      </c>
      <c r="B317" s="55">
        <v>1250902</v>
      </c>
      <c r="D317" s="55" t="s">
        <v>373</v>
      </c>
      <c r="E317" s="74">
        <v>42775</v>
      </c>
      <c r="F317" s="55" t="s">
        <v>344</v>
      </c>
      <c r="G317" s="55" t="s">
        <v>360</v>
      </c>
      <c r="H317" s="55" t="s">
        <v>360</v>
      </c>
      <c r="I317" s="55" t="s">
        <v>360</v>
      </c>
      <c r="J317" s="55" t="s">
        <v>360</v>
      </c>
      <c r="K317" s="55" t="s">
        <v>360</v>
      </c>
      <c r="L317" s="55" t="s">
        <v>360</v>
      </c>
      <c r="M317" s="55" t="s">
        <v>150</v>
      </c>
      <c r="N317" s="55" t="s">
        <v>150</v>
      </c>
      <c r="O317" s="55" t="s">
        <v>190</v>
      </c>
      <c r="P317" s="55" t="s">
        <v>936</v>
      </c>
      <c r="Q317" s="55" t="s">
        <v>350</v>
      </c>
      <c r="R317" s="85">
        <v>4</v>
      </c>
      <c r="S317" s="55">
        <v>0</v>
      </c>
      <c r="T317" s="74" t="s">
        <v>755</v>
      </c>
      <c r="U317" s="74" t="s">
        <v>351</v>
      </c>
      <c r="V317" s="74">
        <v>44391</v>
      </c>
      <c r="W317" s="74">
        <v>44439</v>
      </c>
      <c r="X317" s="55">
        <v>10186202</v>
      </c>
      <c r="Y317" s="55" t="s">
        <v>132</v>
      </c>
      <c r="AB317" s="74" t="s">
        <v>132</v>
      </c>
      <c r="AC317" s="55" t="s">
        <v>132</v>
      </c>
      <c r="AL317" s="74"/>
      <c r="AM317" s="74"/>
      <c r="AW317" s="74"/>
      <c r="AX317" s="74"/>
    </row>
    <row r="318" spans="1:50" ht="13" x14ac:dyDescent="0.15">
      <c r="A318" s="55" t="str">
        <f>HYPERLINK("http://reports.ofsted.gov.uk/inspection-reports/find-inspection-report/provider/CARE/1250915","Ofsted Social Care Provider Webpage")</f>
        <v>Ofsted Social Care Provider Webpage</v>
      </c>
      <c r="B318" s="55">
        <v>1250915</v>
      </c>
      <c r="D318" s="55" t="s">
        <v>373</v>
      </c>
      <c r="E318" s="74">
        <v>42810</v>
      </c>
      <c r="F318" s="55" t="s">
        <v>344</v>
      </c>
      <c r="G318" s="55" t="s">
        <v>360</v>
      </c>
      <c r="H318" s="55" t="s">
        <v>360</v>
      </c>
      <c r="I318" s="55" t="s">
        <v>360</v>
      </c>
      <c r="J318" s="55" t="s">
        <v>360</v>
      </c>
      <c r="K318" s="55" t="s">
        <v>360</v>
      </c>
      <c r="L318" s="55" t="s">
        <v>360</v>
      </c>
      <c r="M318" s="55" t="s">
        <v>144</v>
      </c>
      <c r="N318" s="55" t="s">
        <v>144</v>
      </c>
      <c r="O318" s="55" t="s">
        <v>245</v>
      </c>
      <c r="P318" s="55" t="s">
        <v>245</v>
      </c>
      <c r="Q318" s="55" t="s">
        <v>350</v>
      </c>
      <c r="R318" s="85">
        <v>3</v>
      </c>
      <c r="S318" s="55">
        <v>0</v>
      </c>
      <c r="T318" s="74" t="s">
        <v>613</v>
      </c>
      <c r="U318" s="74" t="s">
        <v>351</v>
      </c>
      <c r="V318" s="74">
        <v>44614</v>
      </c>
      <c r="W318" s="74">
        <v>44656</v>
      </c>
      <c r="X318" s="55">
        <v>10185991</v>
      </c>
      <c r="Y318" s="55" t="s">
        <v>132</v>
      </c>
      <c r="AB318" s="74" t="s">
        <v>132</v>
      </c>
      <c r="AC318" s="55" t="s">
        <v>132</v>
      </c>
      <c r="AL318" s="74"/>
      <c r="AM318" s="74"/>
      <c r="AW318" s="74"/>
      <c r="AX318" s="74"/>
    </row>
    <row r="319" spans="1:50" ht="13" x14ac:dyDescent="0.15">
      <c r="A319" s="55" t="str">
        <f>HYPERLINK("http://reports.ofsted.gov.uk/inspection-reports/find-inspection-report/provider/CARE/1250931","Ofsted Social Care Provider Webpage")</f>
        <v>Ofsted Social Care Provider Webpage</v>
      </c>
      <c r="B319" s="55">
        <v>1250931</v>
      </c>
      <c r="D319" s="55" t="s">
        <v>373</v>
      </c>
      <c r="E319" s="74">
        <v>42788</v>
      </c>
      <c r="F319" s="55" t="s">
        <v>344</v>
      </c>
      <c r="G319" s="55" t="s">
        <v>360</v>
      </c>
      <c r="H319" s="55" t="s">
        <v>360</v>
      </c>
      <c r="I319" s="55" t="s">
        <v>360</v>
      </c>
      <c r="J319" s="55" t="s">
        <v>360</v>
      </c>
      <c r="K319" s="55" t="s">
        <v>360</v>
      </c>
      <c r="L319" s="55" t="s">
        <v>360</v>
      </c>
      <c r="M319" s="55" t="s">
        <v>150</v>
      </c>
      <c r="N319" s="55" t="s">
        <v>150</v>
      </c>
      <c r="O319" s="55" t="s">
        <v>181</v>
      </c>
      <c r="P319" s="55" t="s">
        <v>937</v>
      </c>
      <c r="Q319" s="55" t="s">
        <v>350</v>
      </c>
      <c r="R319" s="85">
        <v>6</v>
      </c>
      <c r="S319" s="55">
        <v>0</v>
      </c>
      <c r="T319" s="74" t="s">
        <v>574</v>
      </c>
      <c r="U319" s="74" t="s">
        <v>351</v>
      </c>
      <c r="V319" s="74">
        <v>44474</v>
      </c>
      <c r="W319" s="74">
        <v>44544</v>
      </c>
      <c r="X319" s="55">
        <v>10186131</v>
      </c>
      <c r="Y319" s="55" t="s">
        <v>132</v>
      </c>
      <c r="AB319" s="74" t="s">
        <v>130</v>
      </c>
      <c r="AC319" s="55" t="s">
        <v>130</v>
      </c>
      <c r="AL319" s="74"/>
      <c r="AM319" s="74"/>
    </row>
    <row r="320" spans="1:50" ht="13" x14ac:dyDescent="0.15">
      <c r="A320" s="55" t="str">
        <f>HYPERLINK("http://reports.ofsted.gov.uk/inspection-reports/find-inspection-report/provider/CARE/1250931","Ofsted Social Care Provider Webpage")</f>
        <v>Ofsted Social Care Provider Webpage</v>
      </c>
      <c r="B320" s="55">
        <v>1250931</v>
      </c>
      <c r="D320" s="55" t="s">
        <v>373</v>
      </c>
      <c r="E320" s="74">
        <v>42788</v>
      </c>
      <c r="F320" s="55" t="s">
        <v>344</v>
      </c>
      <c r="G320" s="55" t="s">
        <v>360</v>
      </c>
      <c r="H320" s="55" t="s">
        <v>360</v>
      </c>
      <c r="I320" s="55" t="s">
        <v>360</v>
      </c>
      <c r="J320" s="55" t="s">
        <v>360</v>
      </c>
      <c r="K320" s="55" t="s">
        <v>360</v>
      </c>
      <c r="L320" s="55" t="s">
        <v>360</v>
      </c>
      <c r="M320" s="55" t="s">
        <v>150</v>
      </c>
      <c r="N320" s="55" t="s">
        <v>150</v>
      </c>
      <c r="O320" s="55" t="s">
        <v>181</v>
      </c>
      <c r="P320" s="55" t="s">
        <v>937</v>
      </c>
      <c r="Q320" s="55" t="s">
        <v>350</v>
      </c>
      <c r="R320" s="85">
        <v>6</v>
      </c>
      <c r="S320" s="55">
        <v>0</v>
      </c>
      <c r="T320" s="74" t="s">
        <v>574</v>
      </c>
      <c r="U320" s="74" t="s">
        <v>2053</v>
      </c>
      <c r="V320" s="74">
        <v>44573</v>
      </c>
      <c r="W320" s="74">
        <v>44613</v>
      </c>
      <c r="X320" s="55">
        <v>10218116</v>
      </c>
      <c r="AL320" s="74"/>
      <c r="AM320" s="74"/>
      <c r="AW320" s="74"/>
      <c r="AX320" s="74"/>
    </row>
    <row r="321" spans="1:50" ht="13" x14ac:dyDescent="0.15">
      <c r="A321" s="55" t="str">
        <f>HYPERLINK("http://reports.ofsted.gov.uk/inspection-reports/find-inspection-report/provider/CARE/1251073","Ofsted Social Care Provider Webpage")</f>
        <v>Ofsted Social Care Provider Webpage</v>
      </c>
      <c r="B321" s="55">
        <v>1251073</v>
      </c>
      <c r="D321" s="55" t="s">
        <v>373</v>
      </c>
      <c r="E321" s="74">
        <v>42790</v>
      </c>
      <c r="F321" s="55" t="s">
        <v>344</v>
      </c>
      <c r="G321" s="55" t="s">
        <v>360</v>
      </c>
      <c r="H321" s="55" t="s">
        <v>360</v>
      </c>
      <c r="I321" s="55" t="s">
        <v>360</v>
      </c>
      <c r="J321" s="55" t="s">
        <v>360</v>
      </c>
      <c r="K321" s="55" t="s">
        <v>360</v>
      </c>
      <c r="L321" s="55" t="s">
        <v>360</v>
      </c>
      <c r="M321" s="55" t="s">
        <v>144</v>
      </c>
      <c r="N321" s="55" t="s">
        <v>144</v>
      </c>
      <c r="O321" s="55" t="s">
        <v>217</v>
      </c>
      <c r="P321" s="55" t="s">
        <v>903</v>
      </c>
      <c r="Q321" s="55" t="s">
        <v>380</v>
      </c>
      <c r="R321" s="85">
        <v>5</v>
      </c>
      <c r="S321" s="55">
        <v>0</v>
      </c>
      <c r="T321" s="74" t="s">
        <v>938</v>
      </c>
      <c r="U321" s="74" t="s">
        <v>351</v>
      </c>
      <c r="V321" s="74">
        <v>44614</v>
      </c>
      <c r="W321" s="74">
        <v>44645</v>
      </c>
      <c r="X321" s="55">
        <v>10185110</v>
      </c>
      <c r="Y321" s="55" t="s">
        <v>140</v>
      </c>
      <c r="AB321" s="74" t="s">
        <v>140</v>
      </c>
      <c r="AC321" s="55" t="s">
        <v>140</v>
      </c>
      <c r="AL321" s="74"/>
      <c r="AM321" s="74"/>
      <c r="AW321" s="74"/>
      <c r="AX321" s="74"/>
    </row>
    <row r="322" spans="1:50" ht="13" x14ac:dyDescent="0.15">
      <c r="A322" s="55" t="str">
        <f>HYPERLINK("http://reports.ofsted.gov.uk/inspection-reports/find-inspection-report/provider/CARE/1251076","Ofsted Social Care Provider Webpage")</f>
        <v>Ofsted Social Care Provider Webpage</v>
      </c>
      <c r="B322" s="55">
        <v>1251076</v>
      </c>
      <c r="D322" s="55" t="s">
        <v>373</v>
      </c>
      <c r="E322" s="74">
        <v>42747</v>
      </c>
      <c r="F322" s="55" t="s">
        <v>344</v>
      </c>
      <c r="G322" s="55" t="s">
        <v>360</v>
      </c>
      <c r="H322" s="55" t="s">
        <v>360</v>
      </c>
      <c r="I322" s="55" t="s">
        <v>360</v>
      </c>
      <c r="J322" s="55" t="s">
        <v>360</v>
      </c>
      <c r="K322" s="55" t="s">
        <v>360</v>
      </c>
      <c r="L322" s="55" t="s">
        <v>360</v>
      </c>
      <c r="M322" s="55" t="s">
        <v>172</v>
      </c>
      <c r="N322" s="55" t="s">
        <v>172</v>
      </c>
      <c r="O322" s="55" t="s">
        <v>212</v>
      </c>
      <c r="P322" s="55" t="s">
        <v>547</v>
      </c>
      <c r="Q322" s="55" t="s">
        <v>350</v>
      </c>
      <c r="R322" s="85">
        <v>4</v>
      </c>
      <c r="S322" s="55">
        <v>0</v>
      </c>
      <c r="T322" s="74" t="s">
        <v>489</v>
      </c>
      <c r="U322" s="74" t="s">
        <v>351</v>
      </c>
      <c r="V322" s="74">
        <v>44369</v>
      </c>
      <c r="W322" s="74">
        <v>44412</v>
      </c>
      <c r="X322" s="55">
        <v>10187018</v>
      </c>
      <c r="Y322" s="55" t="s">
        <v>132</v>
      </c>
      <c r="AB322" s="74" t="s">
        <v>132</v>
      </c>
      <c r="AC322" s="55" t="s">
        <v>132</v>
      </c>
      <c r="AL322" s="74"/>
      <c r="AM322" s="74"/>
      <c r="AW322" s="74"/>
      <c r="AX322" s="74"/>
    </row>
    <row r="323" spans="1:50" ht="13" x14ac:dyDescent="0.15">
      <c r="A323" s="55" t="str">
        <f>HYPERLINK("http://reports.ofsted.gov.uk/inspection-reports/find-inspection-report/provider/CARE/1251364","Ofsted Social Care Provider Webpage")</f>
        <v>Ofsted Social Care Provider Webpage</v>
      </c>
      <c r="B323" s="55">
        <v>1251364</v>
      </c>
      <c r="D323" s="55" t="s">
        <v>373</v>
      </c>
      <c r="E323" s="74">
        <v>42881</v>
      </c>
      <c r="F323" s="55" t="s">
        <v>344</v>
      </c>
      <c r="G323" s="55" t="s">
        <v>360</v>
      </c>
      <c r="H323" s="55" t="s">
        <v>360</v>
      </c>
      <c r="I323" s="55" t="s">
        <v>360</v>
      </c>
      <c r="J323" s="55" t="s">
        <v>360</v>
      </c>
      <c r="K323" s="55" t="s">
        <v>360</v>
      </c>
      <c r="L323" s="55" t="s">
        <v>360</v>
      </c>
      <c r="M323" s="55" t="s">
        <v>129</v>
      </c>
      <c r="N323" s="55" t="s">
        <v>129</v>
      </c>
      <c r="O323" s="55" t="s">
        <v>160</v>
      </c>
      <c r="P323" s="55" t="s">
        <v>447</v>
      </c>
      <c r="Q323" s="55" t="s">
        <v>350</v>
      </c>
      <c r="R323" s="85">
        <v>6</v>
      </c>
      <c r="S323" s="55">
        <v>0</v>
      </c>
      <c r="T323" s="74" t="s">
        <v>939</v>
      </c>
      <c r="U323" s="74" t="s">
        <v>351</v>
      </c>
      <c r="V323" s="74">
        <v>44356</v>
      </c>
      <c r="W323" s="74">
        <v>44393</v>
      </c>
      <c r="X323" s="55">
        <v>10185134</v>
      </c>
      <c r="Y323" s="55" t="s">
        <v>132</v>
      </c>
      <c r="AB323" s="74" t="s">
        <v>132</v>
      </c>
      <c r="AC323" s="55" t="s">
        <v>132</v>
      </c>
      <c r="AL323" s="74"/>
      <c r="AM323" s="74"/>
      <c r="AW323" s="74"/>
      <c r="AX323" s="74"/>
    </row>
    <row r="324" spans="1:50" ht="13" x14ac:dyDescent="0.15">
      <c r="A324" s="55" t="str">
        <f>HYPERLINK("http://reports.ofsted.gov.uk/inspection-reports/find-inspection-report/provider/CARE/1252023","Ofsted Social Care Provider Webpage")</f>
        <v>Ofsted Social Care Provider Webpage</v>
      </c>
      <c r="B324" s="55">
        <v>1252023</v>
      </c>
      <c r="D324" s="55" t="s">
        <v>373</v>
      </c>
      <c r="E324" s="74">
        <v>42893</v>
      </c>
      <c r="F324" s="55" t="s">
        <v>344</v>
      </c>
      <c r="G324" s="55" t="s">
        <v>360</v>
      </c>
      <c r="H324" s="55" t="s">
        <v>360</v>
      </c>
      <c r="I324" s="55" t="s">
        <v>360</v>
      </c>
      <c r="J324" s="55" t="s">
        <v>360</v>
      </c>
      <c r="K324" s="55" t="s">
        <v>360</v>
      </c>
      <c r="L324" s="55" t="s">
        <v>360</v>
      </c>
      <c r="M324" s="55" t="s">
        <v>172</v>
      </c>
      <c r="N324" s="55" t="s">
        <v>172</v>
      </c>
      <c r="O324" s="55" t="s">
        <v>212</v>
      </c>
      <c r="P324" s="55" t="s">
        <v>547</v>
      </c>
      <c r="Q324" s="55" t="s">
        <v>350</v>
      </c>
      <c r="R324" s="85">
        <v>3</v>
      </c>
      <c r="S324" s="55">
        <v>0</v>
      </c>
      <c r="T324" s="74" t="s">
        <v>950</v>
      </c>
      <c r="U324" s="74" t="s">
        <v>351</v>
      </c>
      <c r="V324" s="74">
        <v>44362</v>
      </c>
      <c r="W324" s="74">
        <v>44391</v>
      </c>
      <c r="X324" s="55">
        <v>10185996</v>
      </c>
      <c r="Y324" s="55" t="s">
        <v>132</v>
      </c>
      <c r="AB324" s="74" t="s">
        <v>130</v>
      </c>
      <c r="AC324" s="55" t="s">
        <v>132</v>
      </c>
      <c r="AL324" s="74"/>
      <c r="AM324" s="74"/>
      <c r="AW324" s="74"/>
      <c r="AX324" s="74"/>
    </row>
    <row r="325" spans="1:50" ht="13" x14ac:dyDescent="0.15">
      <c r="A325" s="55" t="str">
        <f>HYPERLINK("http://reports.ofsted.gov.uk/inspection-reports/find-inspection-report/provider/CARE/1252095","Ofsted Social Care Provider Webpage")</f>
        <v>Ofsted Social Care Provider Webpage</v>
      </c>
      <c r="B325" s="55">
        <v>1252095</v>
      </c>
      <c r="D325" s="55" t="s">
        <v>373</v>
      </c>
      <c r="E325" s="74">
        <v>42794</v>
      </c>
      <c r="F325" s="55" t="s">
        <v>344</v>
      </c>
      <c r="G325" s="55" t="s">
        <v>360</v>
      </c>
      <c r="H325" s="55" t="s">
        <v>360</v>
      </c>
      <c r="I325" s="55" t="s">
        <v>360</v>
      </c>
      <c r="J325" s="55" t="s">
        <v>360</v>
      </c>
      <c r="K325" s="55" t="s">
        <v>360</v>
      </c>
      <c r="L325" s="55" t="s">
        <v>360</v>
      </c>
      <c r="M325" s="55" t="s">
        <v>378</v>
      </c>
      <c r="N325" s="55" t="s">
        <v>134</v>
      </c>
      <c r="O325" s="55" t="s">
        <v>158</v>
      </c>
      <c r="P325" s="55" t="s">
        <v>480</v>
      </c>
      <c r="Q325" s="55" t="s">
        <v>350</v>
      </c>
      <c r="R325" s="85">
        <v>2</v>
      </c>
      <c r="S325" s="55">
        <v>0</v>
      </c>
      <c r="T325" s="74" t="s">
        <v>951</v>
      </c>
      <c r="U325" s="74" t="s">
        <v>351</v>
      </c>
      <c r="V325" s="74">
        <v>44614</v>
      </c>
      <c r="W325" s="74">
        <v>44652</v>
      </c>
      <c r="X325" s="55">
        <v>10186599</v>
      </c>
      <c r="Y325" s="55" t="s">
        <v>132</v>
      </c>
      <c r="AB325" s="74" t="s">
        <v>132</v>
      </c>
      <c r="AC325" s="55" t="s">
        <v>132</v>
      </c>
      <c r="AL325" s="74"/>
      <c r="AM325" s="74"/>
    </row>
    <row r="326" spans="1:50" ht="13" x14ac:dyDescent="0.15">
      <c r="A326" s="55" t="str">
        <f>HYPERLINK("http://reports.ofsted.gov.uk/inspection-reports/find-inspection-report/provider/CARE/1252937","Ofsted Social Care Provider Webpage")</f>
        <v>Ofsted Social Care Provider Webpage</v>
      </c>
      <c r="B326" s="55">
        <v>1252937</v>
      </c>
      <c r="D326" s="55" t="s">
        <v>373</v>
      </c>
      <c r="E326" s="74">
        <v>42796</v>
      </c>
      <c r="F326" s="55" t="s">
        <v>344</v>
      </c>
      <c r="G326" s="55" t="s">
        <v>360</v>
      </c>
      <c r="H326" s="55" t="s">
        <v>360</v>
      </c>
      <c r="I326" s="55" t="s">
        <v>360</v>
      </c>
      <c r="J326" s="55" t="s">
        <v>360</v>
      </c>
      <c r="K326" s="55" t="s">
        <v>360</v>
      </c>
      <c r="L326" s="55" t="s">
        <v>360</v>
      </c>
      <c r="M326" s="55" t="s">
        <v>150</v>
      </c>
      <c r="N326" s="55" t="s">
        <v>150</v>
      </c>
      <c r="O326" s="55" t="s">
        <v>285</v>
      </c>
      <c r="P326" s="55" t="s">
        <v>565</v>
      </c>
      <c r="Q326" s="55" t="s">
        <v>350</v>
      </c>
      <c r="R326" s="85">
        <v>4</v>
      </c>
      <c r="S326" s="55">
        <v>0</v>
      </c>
      <c r="T326" s="74" t="s">
        <v>574</v>
      </c>
      <c r="U326" s="74" t="s">
        <v>351</v>
      </c>
      <c r="V326" s="74">
        <v>44403</v>
      </c>
      <c r="W326" s="74">
        <v>44483</v>
      </c>
      <c r="X326" s="55">
        <v>10185799</v>
      </c>
      <c r="Y326" s="55" t="s">
        <v>132</v>
      </c>
      <c r="AB326" s="74" t="s">
        <v>130</v>
      </c>
      <c r="AC326" s="55" t="s">
        <v>132</v>
      </c>
      <c r="AL326" s="74"/>
      <c r="AM326" s="74"/>
    </row>
    <row r="327" spans="1:50" ht="13" x14ac:dyDescent="0.15">
      <c r="A327" s="55" t="str">
        <f>HYPERLINK("http://reports.ofsted.gov.uk/inspection-reports/find-inspection-report/provider/CARE/1253008","Ofsted Social Care Provider Webpage")</f>
        <v>Ofsted Social Care Provider Webpage</v>
      </c>
      <c r="B327" s="55">
        <v>1253008</v>
      </c>
      <c r="D327" s="55" t="s">
        <v>373</v>
      </c>
      <c r="E327" s="74">
        <v>42894</v>
      </c>
      <c r="F327" s="55" t="s">
        <v>344</v>
      </c>
      <c r="G327" s="55" t="s">
        <v>360</v>
      </c>
      <c r="H327" s="55" t="s">
        <v>360</v>
      </c>
      <c r="I327" s="55" t="s">
        <v>360</v>
      </c>
      <c r="J327" s="55" t="s">
        <v>360</v>
      </c>
      <c r="K327" s="55" t="s">
        <v>360</v>
      </c>
      <c r="L327" s="55" t="s">
        <v>360</v>
      </c>
      <c r="M327" s="55" t="s">
        <v>378</v>
      </c>
      <c r="N327" s="55" t="s">
        <v>134</v>
      </c>
      <c r="O327" s="55" t="s">
        <v>175</v>
      </c>
      <c r="P327" s="55" t="s">
        <v>678</v>
      </c>
      <c r="Q327" s="55" t="s">
        <v>350</v>
      </c>
      <c r="R327" s="85">
        <v>2</v>
      </c>
      <c r="S327" s="55">
        <v>0</v>
      </c>
      <c r="T327" s="74" t="s">
        <v>517</v>
      </c>
      <c r="U327" s="74" t="s">
        <v>351</v>
      </c>
      <c r="V327" s="74">
        <v>44403</v>
      </c>
      <c r="W327" s="74">
        <v>44431</v>
      </c>
      <c r="X327" s="55">
        <v>10185948</v>
      </c>
      <c r="Y327" s="55" t="s">
        <v>130</v>
      </c>
      <c r="AB327" s="74" t="s">
        <v>130</v>
      </c>
      <c r="AC327" s="55" t="s">
        <v>130</v>
      </c>
      <c r="AL327" s="74"/>
      <c r="AM327" s="74"/>
    </row>
    <row r="328" spans="1:50" ht="13" x14ac:dyDescent="0.15">
      <c r="A328" s="55" t="str">
        <f>HYPERLINK("http://reports.ofsted.gov.uk/inspection-reports/find-inspection-report/provider/CARE/1253008","Ofsted Social Care Provider Webpage")</f>
        <v>Ofsted Social Care Provider Webpage</v>
      </c>
      <c r="B328" s="55">
        <v>1253008</v>
      </c>
      <c r="D328" s="55" t="s">
        <v>373</v>
      </c>
      <c r="E328" s="74">
        <v>42894</v>
      </c>
      <c r="F328" s="55" t="s">
        <v>344</v>
      </c>
      <c r="G328" s="55" t="s">
        <v>360</v>
      </c>
      <c r="H328" s="55" t="s">
        <v>360</v>
      </c>
      <c r="I328" s="55" t="s">
        <v>360</v>
      </c>
      <c r="J328" s="55" t="s">
        <v>360</v>
      </c>
      <c r="K328" s="55" t="s">
        <v>360</v>
      </c>
      <c r="L328" s="55" t="s">
        <v>360</v>
      </c>
      <c r="M328" s="55" t="s">
        <v>378</v>
      </c>
      <c r="N328" s="55" t="s">
        <v>134</v>
      </c>
      <c r="O328" s="55" t="s">
        <v>175</v>
      </c>
      <c r="P328" s="55" t="s">
        <v>678</v>
      </c>
      <c r="Q328" s="55" t="s">
        <v>350</v>
      </c>
      <c r="R328" s="85">
        <v>2</v>
      </c>
      <c r="S328" s="55">
        <v>0</v>
      </c>
      <c r="T328" s="74" t="s">
        <v>517</v>
      </c>
      <c r="U328" s="74" t="s">
        <v>6703</v>
      </c>
      <c r="V328" s="74">
        <v>44574</v>
      </c>
      <c r="W328" s="74">
        <v>44607</v>
      </c>
      <c r="X328" s="55">
        <v>10209366</v>
      </c>
      <c r="Y328" s="55" t="s">
        <v>6706</v>
      </c>
      <c r="AL328" s="74"/>
      <c r="AM328" s="74"/>
      <c r="AW328" s="74"/>
      <c r="AX328" s="74"/>
    </row>
    <row r="329" spans="1:50" ht="13" x14ac:dyDescent="0.15">
      <c r="A329" s="55" t="str">
        <f>HYPERLINK("http://reports.ofsted.gov.uk/inspection-reports/find-inspection-report/provider/CARE/1253501","Ofsted Social Care Provider Webpage")</f>
        <v>Ofsted Social Care Provider Webpage</v>
      </c>
      <c r="B329" s="55">
        <v>1253501</v>
      </c>
      <c r="D329" s="55" t="s">
        <v>373</v>
      </c>
      <c r="E329" s="74">
        <v>42765</v>
      </c>
      <c r="F329" s="55" t="s">
        <v>344</v>
      </c>
      <c r="G329" s="55" t="s">
        <v>360</v>
      </c>
      <c r="H329" s="55" t="s">
        <v>360</v>
      </c>
      <c r="I329" s="55" t="s">
        <v>360</v>
      </c>
      <c r="J329" s="55" t="s">
        <v>360</v>
      </c>
      <c r="K329" s="55" t="s">
        <v>360</v>
      </c>
      <c r="L329" s="55" t="s">
        <v>360</v>
      </c>
      <c r="M329" s="55" t="s">
        <v>172</v>
      </c>
      <c r="N329" s="55" t="s">
        <v>172</v>
      </c>
      <c r="O329" s="55" t="s">
        <v>212</v>
      </c>
      <c r="P329" s="55" t="s">
        <v>547</v>
      </c>
      <c r="Q329" s="55" t="s">
        <v>350</v>
      </c>
      <c r="R329" s="85">
        <v>3</v>
      </c>
      <c r="S329" s="55">
        <v>0</v>
      </c>
      <c r="T329" s="74" t="s">
        <v>489</v>
      </c>
      <c r="U329" s="74" t="s">
        <v>351</v>
      </c>
      <c r="V329" s="74">
        <v>44544</v>
      </c>
      <c r="W329" s="74">
        <v>44588</v>
      </c>
      <c r="X329" s="55">
        <v>10187026</v>
      </c>
      <c r="Y329" s="55" t="s">
        <v>140</v>
      </c>
      <c r="AB329" s="74" t="s">
        <v>140</v>
      </c>
      <c r="AC329" s="55" t="s">
        <v>140</v>
      </c>
      <c r="AL329" s="74"/>
      <c r="AM329" s="74"/>
      <c r="AW329" s="74"/>
      <c r="AX329" s="74"/>
    </row>
    <row r="330" spans="1:50" ht="13" x14ac:dyDescent="0.15">
      <c r="A330" s="55" t="str">
        <f t="shared" ref="A330:A337" si="0">HYPERLINK("http://reports.ofsted.gov.uk/inspection-reports/find-inspection-report/provider/CARE/1253623","Ofsted Social Care Provider Webpage")</f>
        <v>Ofsted Social Care Provider Webpage</v>
      </c>
      <c r="B330" s="55">
        <v>1253623</v>
      </c>
      <c r="D330" s="55" t="s">
        <v>373</v>
      </c>
      <c r="E330" s="74">
        <v>42923</v>
      </c>
      <c r="F330" s="55" t="s">
        <v>344</v>
      </c>
      <c r="G330" s="55" t="s">
        <v>360</v>
      </c>
      <c r="H330" s="55" t="s">
        <v>360</v>
      </c>
      <c r="I330" s="55" t="s">
        <v>360</v>
      </c>
      <c r="J330" s="55" t="s">
        <v>360</v>
      </c>
      <c r="K330" s="55" t="s">
        <v>360</v>
      </c>
      <c r="L330" s="55" t="s">
        <v>360</v>
      </c>
      <c r="M330" s="55" t="s">
        <v>142</v>
      </c>
      <c r="N330" s="55" t="s">
        <v>142</v>
      </c>
      <c r="O330" s="55" t="s">
        <v>141</v>
      </c>
      <c r="P330" s="55" t="s">
        <v>795</v>
      </c>
      <c r="Q330" s="55" t="s">
        <v>350</v>
      </c>
      <c r="R330" s="85">
        <v>2</v>
      </c>
      <c r="S330" s="55">
        <v>0</v>
      </c>
      <c r="T330" s="74" t="s">
        <v>954</v>
      </c>
      <c r="U330" s="74" t="s">
        <v>2053</v>
      </c>
      <c r="V330" s="74">
        <v>44361</v>
      </c>
      <c r="W330" s="74">
        <v>44390</v>
      </c>
      <c r="X330" s="55">
        <v>10195136</v>
      </c>
      <c r="AL330" s="74"/>
      <c r="AM330" s="74"/>
      <c r="AW330" s="74"/>
      <c r="AX330" s="74"/>
    </row>
    <row r="331" spans="1:50" ht="13" x14ac:dyDescent="0.15">
      <c r="A331" s="55" t="str">
        <f t="shared" si="0"/>
        <v>Ofsted Social Care Provider Webpage</v>
      </c>
      <c r="B331" s="55">
        <v>1253623</v>
      </c>
      <c r="D331" s="55" t="s">
        <v>373</v>
      </c>
      <c r="E331" s="74">
        <v>42923</v>
      </c>
      <c r="F331" s="55" t="s">
        <v>344</v>
      </c>
      <c r="G331" s="55" t="s">
        <v>360</v>
      </c>
      <c r="H331" s="55" t="s">
        <v>360</v>
      </c>
      <c r="I331" s="55" t="s">
        <v>360</v>
      </c>
      <c r="J331" s="55" t="s">
        <v>360</v>
      </c>
      <c r="K331" s="55" t="s">
        <v>360</v>
      </c>
      <c r="L331" s="55" t="s">
        <v>360</v>
      </c>
      <c r="M331" s="55" t="s">
        <v>142</v>
      </c>
      <c r="N331" s="55" t="s">
        <v>142</v>
      </c>
      <c r="O331" s="55" t="s">
        <v>141</v>
      </c>
      <c r="P331" s="55" t="s">
        <v>795</v>
      </c>
      <c r="Q331" s="55" t="s">
        <v>350</v>
      </c>
      <c r="R331" s="85">
        <v>2</v>
      </c>
      <c r="S331" s="55">
        <v>0</v>
      </c>
      <c r="T331" s="74" t="s">
        <v>954</v>
      </c>
      <c r="U331" s="74" t="s">
        <v>2053</v>
      </c>
      <c r="V331" s="74">
        <v>44509</v>
      </c>
      <c r="W331" s="74">
        <v>44544</v>
      </c>
      <c r="X331" s="55">
        <v>10209641</v>
      </c>
      <c r="AL331" s="74"/>
      <c r="AM331" s="74"/>
      <c r="AW331" s="74"/>
      <c r="AX331" s="74"/>
    </row>
    <row r="332" spans="1:50" ht="13" x14ac:dyDescent="0.15">
      <c r="A332" s="55" t="str">
        <f t="shared" si="0"/>
        <v>Ofsted Social Care Provider Webpage</v>
      </c>
      <c r="B332" s="55">
        <v>1253623</v>
      </c>
      <c r="D332" s="55" t="s">
        <v>373</v>
      </c>
      <c r="E332" s="74">
        <v>42923</v>
      </c>
      <c r="F332" s="55" t="s">
        <v>344</v>
      </c>
      <c r="G332" s="55" t="s">
        <v>360</v>
      </c>
      <c r="H332" s="55" t="s">
        <v>360</v>
      </c>
      <c r="I332" s="55" t="s">
        <v>360</v>
      </c>
      <c r="J332" s="55" t="s">
        <v>360</v>
      </c>
      <c r="K332" s="55" t="s">
        <v>360</v>
      </c>
      <c r="L332" s="55" t="s">
        <v>360</v>
      </c>
      <c r="M332" s="55" t="s">
        <v>142</v>
      </c>
      <c r="N332" s="55" t="s">
        <v>142</v>
      </c>
      <c r="O332" s="55" t="s">
        <v>141</v>
      </c>
      <c r="P332" s="55" t="s">
        <v>795</v>
      </c>
      <c r="Q332" s="55" t="s">
        <v>350</v>
      </c>
      <c r="R332" s="85">
        <v>2</v>
      </c>
      <c r="S332" s="55">
        <v>0</v>
      </c>
      <c r="T332" s="74" t="s">
        <v>954</v>
      </c>
      <c r="U332" s="74" t="s">
        <v>2053</v>
      </c>
      <c r="V332" s="74">
        <v>44431</v>
      </c>
      <c r="W332" s="74">
        <v>44463</v>
      </c>
      <c r="X332" s="55">
        <v>10203108</v>
      </c>
      <c r="AL332" s="74"/>
      <c r="AM332" s="74"/>
      <c r="AW332" s="74"/>
      <c r="AX332" s="74"/>
    </row>
    <row r="333" spans="1:50" ht="13" x14ac:dyDescent="0.15">
      <c r="A333" s="55" t="str">
        <f t="shared" si="0"/>
        <v>Ofsted Social Care Provider Webpage</v>
      </c>
      <c r="B333" s="55">
        <v>1253623</v>
      </c>
      <c r="D333" s="55" t="s">
        <v>373</v>
      </c>
      <c r="E333" s="74">
        <v>42923</v>
      </c>
      <c r="F333" s="55" t="s">
        <v>344</v>
      </c>
      <c r="G333" s="55" t="s">
        <v>360</v>
      </c>
      <c r="H333" s="55" t="s">
        <v>360</v>
      </c>
      <c r="I333" s="55" t="s">
        <v>360</v>
      </c>
      <c r="J333" s="55" t="s">
        <v>360</v>
      </c>
      <c r="K333" s="55" t="s">
        <v>360</v>
      </c>
      <c r="L333" s="55" t="s">
        <v>360</v>
      </c>
      <c r="M333" s="55" t="s">
        <v>142</v>
      </c>
      <c r="N333" s="55" t="s">
        <v>142</v>
      </c>
      <c r="O333" s="55" t="s">
        <v>141</v>
      </c>
      <c r="P333" s="55" t="s">
        <v>795</v>
      </c>
      <c r="Q333" s="55" t="s">
        <v>350</v>
      </c>
      <c r="R333" s="85">
        <v>2</v>
      </c>
      <c r="S333" s="55">
        <v>0</v>
      </c>
      <c r="T333" s="74" t="s">
        <v>954</v>
      </c>
      <c r="U333" s="74" t="s">
        <v>351</v>
      </c>
      <c r="V333" s="74">
        <v>44314</v>
      </c>
      <c r="W333" s="74">
        <v>44362</v>
      </c>
      <c r="X333" s="55">
        <v>10187674</v>
      </c>
      <c r="Y333" s="55" t="s">
        <v>146</v>
      </c>
      <c r="AB333" s="74" t="s">
        <v>146</v>
      </c>
      <c r="AC333" s="55" t="s">
        <v>146</v>
      </c>
      <c r="AL333" s="74"/>
      <c r="AM333" s="74"/>
      <c r="AW333" s="74"/>
      <c r="AX333" s="74"/>
    </row>
    <row r="334" spans="1:50" ht="13" x14ac:dyDescent="0.15">
      <c r="A334" s="55" t="str">
        <f t="shared" si="0"/>
        <v>Ofsted Social Care Provider Webpage</v>
      </c>
      <c r="B334" s="55">
        <v>1253623</v>
      </c>
      <c r="D334" s="55" t="s">
        <v>373</v>
      </c>
      <c r="E334" s="74">
        <v>42923</v>
      </c>
      <c r="F334" s="55" t="s">
        <v>344</v>
      </c>
      <c r="G334" s="55" t="s">
        <v>360</v>
      </c>
      <c r="H334" s="55" t="s">
        <v>360</v>
      </c>
      <c r="I334" s="55" t="s">
        <v>360</v>
      </c>
      <c r="J334" s="55" t="s">
        <v>360</v>
      </c>
      <c r="K334" s="55" t="s">
        <v>360</v>
      </c>
      <c r="L334" s="55" t="s">
        <v>360</v>
      </c>
      <c r="M334" s="55" t="s">
        <v>142</v>
      </c>
      <c r="N334" s="55" t="s">
        <v>142</v>
      </c>
      <c r="O334" s="55" t="s">
        <v>141</v>
      </c>
      <c r="P334" s="55" t="s">
        <v>795</v>
      </c>
      <c r="Q334" s="55" t="s">
        <v>350</v>
      </c>
      <c r="R334" s="85">
        <v>2</v>
      </c>
      <c r="S334" s="55">
        <v>0</v>
      </c>
      <c r="T334" s="74" t="s">
        <v>954</v>
      </c>
      <c r="U334" s="74" t="s">
        <v>6703</v>
      </c>
      <c r="V334" s="74">
        <v>44614</v>
      </c>
      <c r="W334" s="74">
        <v>44652</v>
      </c>
      <c r="X334" s="55">
        <v>10187389</v>
      </c>
      <c r="Y334" s="55" t="s">
        <v>6709</v>
      </c>
      <c r="AL334" s="74"/>
      <c r="AM334" s="74"/>
      <c r="AW334" s="74"/>
      <c r="AX334" s="74"/>
    </row>
    <row r="335" spans="1:50" ht="13" x14ac:dyDescent="0.15">
      <c r="A335" s="55" t="str">
        <f t="shared" si="0"/>
        <v>Ofsted Social Care Provider Webpage</v>
      </c>
      <c r="B335" s="55">
        <v>1253623</v>
      </c>
      <c r="D335" s="55" t="s">
        <v>373</v>
      </c>
      <c r="E335" s="74">
        <v>42923</v>
      </c>
      <c r="F335" s="55" t="s">
        <v>344</v>
      </c>
      <c r="G335" s="55" t="s">
        <v>360</v>
      </c>
      <c r="H335" s="55" t="s">
        <v>360</v>
      </c>
      <c r="I335" s="55" t="s">
        <v>360</v>
      </c>
      <c r="J335" s="55" t="s">
        <v>360</v>
      </c>
      <c r="K335" s="55" t="s">
        <v>360</v>
      </c>
      <c r="L335" s="55" t="s">
        <v>360</v>
      </c>
      <c r="M335" s="55" t="s">
        <v>142</v>
      </c>
      <c r="N335" s="55" t="s">
        <v>142</v>
      </c>
      <c r="O335" s="55" t="s">
        <v>141</v>
      </c>
      <c r="P335" s="55" t="s">
        <v>795</v>
      </c>
      <c r="Q335" s="55" t="s">
        <v>350</v>
      </c>
      <c r="R335" s="85">
        <v>2</v>
      </c>
      <c r="S335" s="55">
        <v>0</v>
      </c>
      <c r="T335" s="74" t="s">
        <v>954</v>
      </c>
      <c r="U335" s="74" t="s">
        <v>2053</v>
      </c>
      <c r="V335" s="74">
        <v>44566</v>
      </c>
      <c r="W335" s="74">
        <v>44595</v>
      </c>
      <c r="X335" s="55">
        <v>10213764</v>
      </c>
      <c r="AL335" s="74"/>
      <c r="AM335" s="74"/>
    </row>
    <row r="336" spans="1:50" ht="13" x14ac:dyDescent="0.15">
      <c r="A336" s="55" t="str">
        <f t="shared" si="0"/>
        <v>Ofsted Social Care Provider Webpage</v>
      </c>
      <c r="B336" s="55">
        <v>1253623</v>
      </c>
      <c r="D336" s="55" t="s">
        <v>373</v>
      </c>
      <c r="E336" s="74">
        <v>42923</v>
      </c>
      <c r="F336" s="55" t="s">
        <v>344</v>
      </c>
      <c r="G336" s="55" t="s">
        <v>360</v>
      </c>
      <c r="H336" s="55" t="s">
        <v>360</v>
      </c>
      <c r="I336" s="55" t="s">
        <v>360</v>
      </c>
      <c r="J336" s="55" t="s">
        <v>360</v>
      </c>
      <c r="K336" s="55" t="s">
        <v>360</v>
      </c>
      <c r="L336" s="55" t="s">
        <v>360</v>
      </c>
      <c r="M336" s="55" t="s">
        <v>142</v>
      </c>
      <c r="N336" s="55" t="s">
        <v>142</v>
      </c>
      <c r="O336" s="55" t="s">
        <v>141</v>
      </c>
      <c r="P336" s="55" t="s">
        <v>795</v>
      </c>
      <c r="Q336" s="55" t="s">
        <v>350</v>
      </c>
      <c r="R336" s="85">
        <v>2</v>
      </c>
      <c r="S336" s="55">
        <v>0</v>
      </c>
      <c r="T336" s="74" t="s">
        <v>954</v>
      </c>
      <c r="U336" s="74" t="s">
        <v>2053</v>
      </c>
      <c r="V336" s="74">
        <v>44474</v>
      </c>
      <c r="W336" s="74">
        <v>44498</v>
      </c>
      <c r="X336" s="55">
        <v>10205683</v>
      </c>
      <c r="AL336" s="74"/>
      <c r="AM336" s="74"/>
    </row>
    <row r="337" spans="1:50" ht="13" x14ac:dyDescent="0.15">
      <c r="A337" s="55" t="str">
        <f t="shared" si="0"/>
        <v>Ofsted Social Care Provider Webpage</v>
      </c>
      <c r="B337" s="55">
        <v>1253623</v>
      </c>
      <c r="D337" s="55" t="s">
        <v>373</v>
      </c>
      <c r="E337" s="74">
        <v>42923</v>
      </c>
      <c r="F337" s="55" t="s">
        <v>344</v>
      </c>
      <c r="G337" s="55" t="s">
        <v>360</v>
      </c>
      <c r="H337" s="55" t="s">
        <v>360</v>
      </c>
      <c r="I337" s="55" t="s">
        <v>360</v>
      </c>
      <c r="J337" s="55" t="s">
        <v>360</v>
      </c>
      <c r="K337" s="55" t="s">
        <v>360</v>
      </c>
      <c r="L337" s="55" t="s">
        <v>360</v>
      </c>
      <c r="M337" s="55" t="s">
        <v>142</v>
      </c>
      <c r="N337" s="55" t="s">
        <v>142</v>
      </c>
      <c r="O337" s="55" t="s">
        <v>141</v>
      </c>
      <c r="P337" s="55" t="s">
        <v>795</v>
      </c>
      <c r="Q337" s="55" t="s">
        <v>350</v>
      </c>
      <c r="R337" s="85">
        <v>2</v>
      </c>
      <c r="S337" s="55">
        <v>0</v>
      </c>
      <c r="T337" s="74" t="s">
        <v>954</v>
      </c>
      <c r="U337" s="74" t="s">
        <v>2053</v>
      </c>
      <c r="V337" s="74">
        <v>44399</v>
      </c>
      <c r="W337" s="74">
        <v>44426</v>
      </c>
      <c r="X337" s="55">
        <v>10198002</v>
      </c>
      <c r="AL337" s="74"/>
      <c r="AM337" s="74"/>
      <c r="AW337" s="74"/>
      <c r="AX337" s="74"/>
    </row>
    <row r="338" spans="1:50" ht="13" x14ac:dyDescent="0.15">
      <c r="A338" s="55" t="str">
        <f>HYPERLINK("http://reports.ofsted.gov.uk/inspection-reports/find-inspection-report/provider/CARE/1253711","Ofsted Social Care Provider Webpage")</f>
        <v>Ofsted Social Care Provider Webpage</v>
      </c>
      <c r="B338" s="55">
        <v>1253711</v>
      </c>
      <c r="D338" s="55" t="s">
        <v>373</v>
      </c>
      <c r="E338" s="74">
        <v>42926</v>
      </c>
      <c r="F338" s="55" t="s">
        <v>344</v>
      </c>
      <c r="G338" s="55" t="s">
        <v>360</v>
      </c>
      <c r="H338" s="55" t="s">
        <v>360</v>
      </c>
      <c r="I338" s="55" t="s">
        <v>360</v>
      </c>
      <c r="J338" s="55" t="s">
        <v>360</v>
      </c>
      <c r="K338" s="55" t="s">
        <v>360</v>
      </c>
      <c r="L338" s="55" t="s">
        <v>360</v>
      </c>
      <c r="M338" s="55" t="s">
        <v>142</v>
      </c>
      <c r="N338" s="55" t="s">
        <v>142</v>
      </c>
      <c r="O338" s="55" t="s">
        <v>141</v>
      </c>
      <c r="P338" s="55" t="s">
        <v>660</v>
      </c>
      <c r="Q338" s="55" t="s">
        <v>350</v>
      </c>
      <c r="R338" s="85">
        <v>3</v>
      </c>
      <c r="S338" s="55">
        <v>0</v>
      </c>
      <c r="T338" s="74" t="s">
        <v>642</v>
      </c>
      <c r="U338" s="74" t="s">
        <v>351</v>
      </c>
      <c r="V338" s="74">
        <v>44404</v>
      </c>
      <c r="W338" s="74">
        <v>44462</v>
      </c>
      <c r="X338" s="55">
        <v>10186688</v>
      </c>
      <c r="Y338" s="55" t="s">
        <v>130</v>
      </c>
      <c r="AB338" s="74" t="s">
        <v>130</v>
      </c>
      <c r="AC338" s="55" t="s">
        <v>130</v>
      </c>
      <c r="AL338" s="74"/>
      <c r="AM338" s="74"/>
    </row>
    <row r="339" spans="1:50" ht="13" x14ac:dyDescent="0.15">
      <c r="A339" s="55" t="str">
        <f>HYPERLINK("http://reports.ofsted.gov.uk/inspection-reports/find-inspection-report/provider/CARE/1253711","Ofsted Social Care Provider Webpage")</f>
        <v>Ofsted Social Care Provider Webpage</v>
      </c>
      <c r="B339" s="55">
        <v>1253711</v>
      </c>
      <c r="D339" s="55" t="s">
        <v>373</v>
      </c>
      <c r="E339" s="74">
        <v>42926</v>
      </c>
      <c r="F339" s="55" t="s">
        <v>344</v>
      </c>
      <c r="G339" s="55" t="s">
        <v>360</v>
      </c>
      <c r="H339" s="55" t="s">
        <v>360</v>
      </c>
      <c r="I339" s="55" t="s">
        <v>360</v>
      </c>
      <c r="J339" s="55" t="s">
        <v>360</v>
      </c>
      <c r="K339" s="55" t="s">
        <v>360</v>
      </c>
      <c r="L339" s="55" t="s">
        <v>360</v>
      </c>
      <c r="M339" s="55" t="s">
        <v>142</v>
      </c>
      <c r="N339" s="55" t="s">
        <v>142</v>
      </c>
      <c r="O339" s="55" t="s">
        <v>141</v>
      </c>
      <c r="P339" s="55" t="s">
        <v>660</v>
      </c>
      <c r="Q339" s="55" t="s">
        <v>350</v>
      </c>
      <c r="R339" s="85">
        <v>3</v>
      </c>
      <c r="S339" s="55">
        <v>0</v>
      </c>
      <c r="T339" s="74" t="s">
        <v>642</v>
      </c>
      <c r="U339" s="74" t="s">
        <v>6703</v>
      </c>
      <c r="V339" s="74">
        <v>44614</v>
      </c>
      <c r="W339" s="74">
        <v>44658</v>
      </c>
      <c r="X339" s="55">
        <v>10214345</v>
      </c>
      <c r="Y339" s="55" t="s">
        <v>6706</v>
      </c>
      <c r="AL339" s="74"/>
      <c r="AM339" s="74"/>
      <c r="AW339" s="74"/>
      <c r="AX339" s="74"/>
    </row>
    <row r="340" spans="1:50" ht="13" x14ac:dyDescent="0.15">
      <c r="A340" s="55" t="str">
        <f>HYPERLINK("http://reports.ofsted.gov.uk/inspection-reports/find-inspection-report/provider/CARE/1253716","Ofsted Social Care Provider Webpage")</f>
        <v>Ofsted Social Care Provider Webpage</v>
      </c>
      <c r="B340" s="55">
        <v>1253716</v>
      </c>
      <c r="D340" s="55" t="s">
        <v>373</v>
      </c>
      <c r="E340" s="74">
        <v>42788</v>
      </c>
      <c r="F340" s="55" t="s">
        <v>344</v>
      </c>
      <c r="G340" s="55" t="s">
        <v>360</v>
      </c>
      <c r="H340" s="55" t="s">
        <v>360</v>
      </c>
      <c r="I340" s="55" t="s">
        <v>360</v>
      </c>
      <c r="J340" s="55" t="s">
        <v>360</v>
      </c>
      <c r="K340" s="55" t="s">
        <v>360</v>
      </c>
      <c r="L340" s="55" t="s">
        <v>360</v>
      </c>
      <c r="M340" s="55" t="s">
        <v>150</v>
      </c>
      <c r="N340" s="55" t="s">
        <v>150</v>
      </c>
      <c r="O340" s="55" t="s">
        <v>285</v>
      </c>
      <c r="P340" s="55" t="s">
        <v>575</v>
      </c>
      <c r="Q340" s="55" t="s">
        <v>350</v>
      </c>
      <c r="R340" s="85">
        <v>4</v>
      </c>
      <c r="S340" s="55">
        <v>0</v>
      </c>
      <c r="T340" s="74" t="s">
        <v>574</v>
      </c>
      <c r="U340" s="74" t="s">
        <v>351</v>
      </c>
      <c r="V340" s="74">
        <v>44510</v>
      </c>
      <c r="W340" s="74">
        <v>44566</v>
      </c>
      <c r="X340" s="55">
        <v>10186363</v>
      </c>
      <c r="Y340" s="55" t="s">
        <v>140</v>
      </c>
      <c r="AB340" s="74" t="s">
        <v>140</v>
      </c>
      <c r="AC340" s="55" t="s">
        <v>140</v>
      </c>
      <c r="AL340" s="74"/>
      <c r="AM340" s="74"/>
      <c r="AW340" s="74"/>
      <c r="AX340" s="74"/>
    </row>
    <row r="341" spans="1:50" ht="13" x14ac:dyDescent="0.15">
      <c r="A341" s="55" t="str">
        <f>HYPERLINK("http://reports.ofsted.gov.uk/inspection-reports/find-inspection-report/provider/CARE/1253975","Ofsted Social Care Provider Webpage")</f>
        <v>Ofsted Social Care Provider Webpage</v>
      </c>
      <c r="B341" s="55">
        <v>1253975</v>
      </c>
      <c r="D341" s="55" t="s">
        <v>373</v>
      </c>
      <c r="E341" s="74">
        <v>42912</v>
      </c>
      <c r="F341" s="55" t="s">
        <v>344</v>
      </c>
      <c r="G341" s="55" t="s">
        <v>360</v>
      </c>
      <c r="H341" s="55" t="s">
        <v>360</v>
      </c>
      <c r="I341" s="55" t="s">
        <v>360</v>
      </c>
      <c r="J341" s="55" t="s">
        <v>360</v>
      </c>
      <c r="K341" s="55" t="s">
        <v>360</v>
      </c>
      <c r="L341" s="55" t="s">
        <v>360</v>
      </c>
      <c r="M341" s="55" t="s">
        <v>144</v>
      </c>
      <c r="N341" s="55" t="s">
        <v>144</v>
      </c>
      <c r="O341" s="55" t="s">
        <v>209</v>
      </c>
      <c r="P341" s="55" t="s">
        <v>484</v>
      </c>
      <c r="Q341" s="55" t="s">
        <v>350</v>
      </c>
      <c r="R341" s="85">
        <v>2</v>
      </c>
      <c r="S341" s="55">
        <v>0</v>
      </c>
      <c r="T341" s="74" t="s">
        <v>955</v>
      </c>
      <c r="U341" s="74" t="s">
        <v>351</v>
      </c>
      <c r="V341" s="74">
        <v>44356</v>
      </c>
      <c r="W341" s="74">
        <v>44383</v>
      </c>
      <c r="X341" s="55">
        <v>10186581</v>
      </c>
      <c r="Y341" s="55" t="s">
        <v>132</v>
      </c>
      <c r="AB341" s="74" t="s">
        <v>132</v>
      </c>
      <c r="AC341" s="55" t="s">
        <v>132</v>
      </c>
      <c r="AL341" s="74"/>
      <c r="AM341" s="74"/>
      <c r="AW341" s="74"/>
      <c r="AX341" s="74"/>
    </row>
    <row r="342" spans="1:50" ht="13" x14ac:dyDescent="0.15">
      <c r="A342" s="55" t="str">
        <f>HYPERLINK("http://reports.ofsted.gov.uk/inspection-reports/find-inspection-report/provider/CARE/1254055","Ofsted Social Care Provider Webpage")</f>
        <v>Ofsted Social Care Provider Webpage</v>
      </c>
      <c r="B342" s="55">
        <v>1254055</v>
      </c>
      <c r="D342" s="55" t="s">
        <v>373</v>
      </c>
      <c r="E342" s="74">
        <v>42968</v>
      </c>
      <c r="F342" s="55" t="s">
        <v>344</v>
      </c>
      <c r="G342" s="55" t="s">
        <v>360</v>
      </c>
      <c r="H342" s="55" t="s">
        <v>360</v>
      </c>
      <c r="I342" s="55" t="s">
        <v>360</v>
      </c>
      <c r="J342" s="55" t="s">
        <v>360</v>
      </c>
      <c r="K342" s="55" t="s">
        <v>360</v>
      </c>
      <c r="L342" s="55" t="s">
        <v>360</v>
      </c>
      <c r="M342" s="55" t="s">
        <v>144</v>
      </c>
      <c r="N342" s="55" t="s">
        <v>144</v>
      </c>
      <c r="O342" s="55" t="s">
        <v>145</v>
      </c>
      <c r="P342" s="55" t="s">
        <v>525</v>
      </c>
      <c r="Q342" s="55" t="s">
        <v>350</v>
      </c>
      <c r="R342" s="85">
        <v>4</v>
      </c>
      <c r="S342" s="55">
        <v>0</v>
      </c>
      <c r="T342" s="74" t="s">
        <v>485</v>
      </c>
      <c r="U342" s="74" t="s">
        <v>351</v>
      </c>
      <c r="V342" s="74">
        <v>44621</v>
      </c>
      <c r="W342" s="74">
        <v>44678</v>
      </c>
      <c r="X342" s="55">
        <v>10187617</v>
      </c>
      <c r="Y342" s="55" t="s">
        <v>132</v>
      </c>
      <c r="AB342" s="74" t="s">
        <v>132</v>
      </c>
      <c r="AC342" s="55" t="s">
        <v>130</v>
      </c>
      <c r="AL342" s="74"/>
      <c r="AM342" s="74"/>
      <c r="AW342" s="74"/>
      <c r="AX342" s="74"/>
    </row>
    <row r="343" spans="1:50" ht="13" x14ac:dyDescent="0.15">
      <c r="A343" s="55" t="str">
        <f>HYPERLINK("http://reports.ofsted.gov.uk/inspection-reports/find-inspection-report/provider/CARE/1254258","Ofsted Social Care Provider Webpage")</f>
        <v>Ofsted Social Care Provider Webpage</v>
      </c>
      <c r="B343" s="55">
        <v>1254258</v>
      </c>
      <c r="D343" s="55" t="s">
        <v>373</v>
      </c>
      <c r="E343" s="74">
        <v>42871</v>
      </c>
      <c r="F343" s="55" t="s">
        <v>344</v>
      </c>
      <c r="G343" s="55" t="s">
        <v>360</v>
      </c>
      <c r="H343" s="55" t="s">
        <v>360</v>
      </c>
      <c r="I343" s="55" t="s">
        <v>360</v>
      </c>
      <c r="J343" s="55" t="s">
        <v>360</v>
      </c>
      <c r="K343" s="55" t="s">
        <v>360</v>
      </c>
      <c r="L343" s="55" t="s">
        <v>360</v>
      </c>
      <c r="M343" s="55" t="s">
        <v>144</v>
      </c>
      <c r="N343" s="55" t="s">
        <v>144</v>
      </c>
      <c r="O343" s="55" t="s">
        <v>168</v>
      </c>
      <c r="P343" s="55" t="s">
        <v>834</v>
      </c>
      <c r="Q343" s="55" t="s">
        <v>350</v>
      </c>
      <c r="R343" s="85">
        <v>4</v>
      </c>
      <c r="S343" s="55">
        <v>0</v>
      </c>
      <c r="T343" s="74" t="s">
        <v>435</v>
      </c>
      <c r="U343" s="74" t="s">
        <v>351</v>
      </c>
      <c r="V343" s="74">
        <v>44635</v>
      </c>
      <c r="W343" s="74">
        <v>44679</v>
      </c>
      <c r="X343" s="55">
        <v>10186048</v>
      </c>
      <c r="Y343" s="55" t="s">
        <v>132</v>
      </c>
      <c r="AB343" s="74" t="s">
        <v>132</v>
      </c>
      <c r="AC343" s="55" t="s">
        <v>140</v>
      </c>
      <c r="AL343" s="74"/>
      <c r="AM343" s="74"/>
      <c r="AW343" s="74"/>
      <c r="AX343" s="74"/>
    </row>
    <row r="344" spans="1:50" ht="13" x14ac:dyDescent="0.15">
      <c r="A344" s="55" t="str">
        <f>HYPERLINK("http://reports.ofsted.gov.uk/inspection-reports/find-inspection-report/provider/CARE/1254308","Ofsted Social Care Provider Webpage")</f>
        <v>Ofsted Social Care Provider Webpage</v>
      </c>
      <c r="B344" s="55">
        <v>1254308</v>
      </c>
      <c r="D344" s="55" t="s">
        <v>373</v>
      </c>
      <c r="E344" s="74">
        <v>42879</v>
      </c>
      <c r="F344" s="55" t="s">
        <v>344</v>
      </c>
      <c r="G344" s="55" t="s">
        <v>360</v>
      </c>
      <c r="H344" s="55" t="s">
        <v>360</v>
      </c>
      <c r="I344" s="55" t="s">
        <v>360</v>
      </c>
      <c r="J344" s="55" t="s">
        <v>360</v>
      </c>
      <c r="K344" s="55" t="s">
        <v>360</v>
      </c>
      <c r="L344" s="55" t="s">
        <v>360</v>
      </c>
      <c r="M344" s="55" t="s">
        <v>172</v>
      </c>
      <c r="N344" s="55" t="s">
        <v>172</v>
      </c>
      <c r="O344" s="55" t="s">
        <v>173</v>
      </c>
      <c r="P344" s="55" t="s">
        <v>961</v>
      </c>
      <c r="Q344" s="55" t="s">
        <v>350</v>
      </c>
      <c r="R344" s="85">
        <v>5</v>
      </c>
      <c r="S344" s="55">
        <v>0</v>
      </c>
      <c r="T344" s="74" t="s">
        <v>962</v>
      </c>
      <c r="U344" s="74" t="s">
        <v>351</v>
      </c>
      <c r="V344" s="74">
        <v>44509</v>
      </c>
      <c r="W344" s="74">
        <v>44537</v>
      </c>
      <c r="X344" s="55">
        <v>10186214</v>
      </c>
      <c r="Y344" s="55" t="s">
        <v>132</v>
      </c>
      <c r="AB344" s="74" t="s">
        <v>132</v>
      </c>
      <c r="AC344" s="55" t="s">
        <v>132</v>
      </c>
      <c r="AL344" s="74"/>
      <c r="AM344" s="74"/>
      <c r="AW344" s="74"/>
      <c r="AX344" s="74"/>
    </row>
    <row r="345" spans="1:50" ht="13" x14ac:dyDescent="0.15">
      <c r="A345" s="55" t="str">
        <f>HYPERLINK("http://reports.ofsted.gov.uk/inspection-reports/find-inspection-report/provider/CARE/1254316","Ofsted Social Care Provider Webpage")</f>
        <v>Ofsted Social Care Provider Webpage</v>
      </c>
      <c r="B345" s="55">
        <v>1254316</v>
      </c>
      <c r="D345" s="55" t="s">
        <v>373</v>
      </c>
      <c r="E345" s="74">
        <v>42984</v>
      </c>
      <c r="F345" s="55" t="s">
        <v>344</v>
      </c>
      <c r="G345" s="55" t="s">
        <v>360</v>
      </c>
      <c r="H345" s="55" t="s">
        <v>360</v>
      </c>
      <c r="I345" s="55" t="s">
        <v>360</v>
      </c>
      <c r="J345" s="55" t="s">
        <v>360</v>
      </c>
      <c r="K345" s="55" t="s">
        <v>360</v>
      </c>
      <c r="L345" s="55" t="s">
        <v>360</v>
      </c>
      <c r="M345" s="55" t="s">
        <v>378</v>
      </c>
      <c r="N345" s="55" t="s">
        <v>134</v>
      </c>
      <c r="O345" s="55" t="s">
        <v>204</v>
      </c>
      <c r="P345" s="55" t="s">
        <v>929</v>
      </c>
      <c r="Q345" s="55" t="s">
        <v>350</v>
      </c>
      <c r="R345" s="85">
        <v>4</v>
      </c>
      <c r="S345" s="55">
        <v>0</v>
      </c>
      <c r="T345" s="74" t="s">
        <v>963</v>
      </c>
      <c r="U345" s="74" t="s">
        <v>351</v>
      </c>
      <c r="V345" s="74">
        <v>44607</v>
      </c>
      <c r="W345" s="74">
        <v>44658</v>
      </c>
      <c r="X345" s="55">
        <v>10185070</v>
      </c>
      <c r="Y345" s="55" t="s">
        <v>130</v>
      </c>
      <c r="AB345" s="74" t="s">
        <v>130</v>
      </c>
      <c r="AC345" s="55" t="s">
        <v>130</v>
      </c>
      <c r="AL345" s="74"/>
      <c r="AM345" s="74"/>
      <c r="AW345" s="74"/>
      <c r="AX345" s="74"/>
    </row>
    <row r="346" spans="1:50" ht="13" x14ac:dyDescent="0.15">
      <c r="A346" s="55" t="str">
        <f>HYPERLINK("http://reports.ofsted.gov.uk/inspection-reports/find-inspection-report/provider/CARE/1254555","Ofsted Social Care Provider Webpage")</f>
        <v>Ofsted Social Care Provider Webpage</v>
      </c>
      <c r="B346" s="55">
        <v>1254555</v>
      </c>
      <c r="D346" s="55" t="s">
        <v>373</v>
      </c>
      <c r="E346" s="74">
        <v>42835</v>
      </c>
      <c r="F346" s="55" t="s">
        <v>344</v>
      </c>
      <c r="G346" s="55" t="s">
        <v>360</v>
      </c>
      <c r="H346" s="55" t="s">
        <v>360</v>
      </c>
      <c r="I346" s="55" t="s">
        <v>360</v>
      </c>
      <c r="J346" s="55" t="s">
        <v>360</v>
      </c>
      <c r="K346" s="55" t="s">
        <v>360</v>
      </c>
      <c r="L346" s="55" t="s">
        <v>360</v>
      </c>
      <c r="M346" s="55" t="s">
        <v>144</v>
      </c>
      <c r="N346" s="55" t="s">
        <v>144</v>
      </c>
      <c r="O346" s="55" t="s">
        <v>209</v>
      </c>
      <c r="P346" s="55" t="s">
        <v>561</v>
      </c>
      <c r="Q346" s="55" t="s">
        <v>350</v>
      </c>
      <c r="R346" s="85">
        <v>2</v>
      </c>
      <c r="S346" s="55">
        <v>0</v>
      </c>
      <c r="T346" s="74" t="s">
        <v>490</v>
      </c>
      <c r="U346" s="74" t="s">
        <v>351</v>
      </c>
      <c r="V346" s="74">
        <v>44321</v>
      </c>
      <c r="W346" s="74">
        <v>44340</v>
      </c>
      <c r="X346" s="55">
        <v>10187155</v>
      </c>
      <c r="Y346" s="55" t="s">
        <v>132</v>
      </c>
      <c r="AB346" s="74" t="s">
        <v>132</v>
      </c>
      <c r="AC346" s="55" t="s">
        <v>132</v>
      </c>
      <c r="AL346" s="74"/>
      <c r="AM346" s="74"/>
      <c r="AW346" s="74"/>
      <c r="AX346" s="74"/>
    </row>
    <row r="347" spans="1:50" ht="13" x14ac:dyDescent="0.15">
      <c r="A347" s="55" t="str">
        <f>HYPERLINK("http://reports.ofsted.gov.uk/inspection-reports/find-inspection-report/provider/CARE/1254740","Ofsted Social Care Provider Webpage")</f>
        <v>Ofsted Social Care Provider Webpage</v>
      </c>
      <c r="B347" s="55">
        <v>1254740</v>
      </c>
      <c r="D347" s="55" t="s">
        <v>373</v>
      </c>
      <c r="E347" s="74">
        <v>42832</v>
      </c>
      <c r="F347" s="55" t="s">
        <v>344</v>
      </c>
      <c r="G347" s="55" t="s">
        <v>360</v>
      </c>
      <c r="H347" s="55" t="s">
        <v>360</v>
      </c>
      <c r="I347" s="55" t="s">
        <v>360</v>
      </c>
      <c r="J347" s="55" t="s">
        <v>360</v>
      </c>
      <c r="K347" s="55" t="s">
        <v>360</v>
      </c>
      <c r="L347" s="55" t="s">
        <v>360</v>
      </c>
      <c r="M347" s="55" t="s">
        <v>136</v>
      </c>
      <c r="N347" s="55" t="s">
        <v>136</v>
      </c>
      <c r="O347" s="55" t="s">
        <v>239</v>
      </c>
      <c r="P347" s="55" t="s">
        <v>964</v>
      </c>
      <c r="Q347" s="55" t="s">
        <v>350</v>
      </c>
      <c r="R347" s="85">
        <v>2</v>
      </c>
      <c r="S347" s="55">
        <v>0</v>
      </c>
      <c r="T347" s="74" t="s">
        <v>739</v>
      </c>
      <c r="U347" s="74" t="s">
        <v>6703</v>
      </c>
      <c r="V347" s="74">
        <v>44525</v>
      </c>
      <c r="W347" s="74">
        <v>44582</v>
      </c>
      <c r="X347" s="55">
        <v>10214436</v>
      </c>
      <c r="Y347" s="55" t="s">
        <v>6705</v>
      </c>
      <c r="AL347" s="74"/>
      <c r="AM347" s="74"/>
      <c r="AW347" s="74"/>
      <c r="AX347" s="74"/>
    </row>
    <row r="348" spans="1:50" ht="13" x14ac:dyDescent="0.15">
      <c r="A348" s="55" t="str">
        <f>HYPERLINK("http://reports.ofsted.gov.uk/inspection-reports/find-inspection-report/provider/CARE/1254740","Ofsted Social Care Provider Webpage")</f>
        <v>Ofsted Social Care Provider Webpage</v>
      </c>
      <c r="B348" s="55">
        <v>1254740</v>
      </c>
      <c r="D348" s="55" t="s">
        <v>373</v>
      </c>
      <c r="E348" s="74">
        <v>42832</v>
      </c>
      <c r="F348" s="55" t="s">
        <v>344</v>
      </c>
      <c r="G348" s="55" t="s">
        <v>360</v>
      </c>
      <c r="H348" s="55" t="s">
        <v>360</v>
      </c>
      <c r="I348" s="55" t="s">
        <v>360</v>
      </c>
      <c r="J348" s="55" t="s">
        <v>360</v>
      </c>
      <c r="K348" s="55" t="s">
        <v>360</v>
      </c>
      <c r="L348" s="55" t="s">
        <v>360</v>
      </c>
      <c r="M348" s="55" t="s">
        <v>136</v>
      </c>
      <c r="N348" s="55" t="s">
        <v>136</v>
      </c>
      <c r="O348" s="55" t="s">
        <v>239</v>
      </c>
      <c r="P348" s="55" t="s">
        <v>964</v>
      </c>
      <c r="Q348" s="55" t="s">
        <v>350</v>
      </c>
      <c r="R348" s="85">
        <v>2</v>
      </c>
      <c r="S348" s="55">
        <v>0</v>
      </c>
      <c r="T348" s="74" t="s">
        <v>739</v>
      </c>
      <c r="U348" s="74" t="s">
        <v>351</v>
      </c>
      <c r="V348" s="74">
        <v>44356</v>
      </c>
      <c r="W348" s="74">
        <v>44389</v>
      </c>
      <c r="X348" s="55">
        <v>10186092</v>
      </c>
      <c r="Y348" s="55" t="s">
        <v>130</v>
      </c>
      <c r="AB348" s="74" t="s">
        <v>130</v>
      </c>
      <c r="AC348" s="55" t="s">
        <v>130</v>
      </c>
      <c r="AL348" s="74"/>
      <c r="AM348" s="74"/>
      <c r="AW348" s="74"/>
      <c r="AX348" s="74"/>
    </row>
    <row r="349" spans="1:50" ht="13" x14ac:dyDescent="0.15">
      <c r="A349" s="55" t="str">
        <f>HYPERLINK("http://reports.ofsted.gov.uk/inspection-reports/find-inspection-report/provider/CARE/1254745","Ofsted Social Care Provider Webpage")</f>
        <v>Ofsted Social Care Provider Webpage</v>
      </c>
      <c r="B349" s="55">
        <v>1254745</v>
      </c>
      <c r="D349" s="55" t="s">
        <v>373</v>
      </c>
      <c r="E349" s="74">
        <v>42879</v>
      </c>
      <c r="F349" s="55" t="s">
        <v>344</v>
      </c>
      <c r="G349" s="55" t="s">
        <v>360</v>
      </c>
      <c r="H349" s="55" t="s">
        <v>360</v>
      </c>
      <c r="I349" s="55" t="s">
        <v>360</v>
      </c>
      <c r="J349" s="55" t="s">
        <v>360</v>
      </c>
      <c r="K349" s="55" t="s">
        <v>360</v>
      </c>
      <c r="L349" s="55" t="s">
        <v>360</v>
      </c>
      <c r="M349" s="55" t="s">
        <v>172</v>
      </c>
      <c r="N349" s="55" t="s">
        <v>172</v>
      </c>
      <c r="O349" s="55" t="s">
        <v>234</v>
      </c>
      <c r="P349" s="55" t="s">
        <v>965</v>
      </c>
      <c r="Q349" s="55" t="s">
        <v>350</v>
      </c>
      <c r="R349" s="85">
        <v>5</v>
      </c>
      <c r="S349" s="55">
        <v>0</v>
      </c>
      <c r="T349" s="74" t="s">
        <v>962</v>
      </c>
      <c r="U349" s="74" t="s">
        <v>351</v>
      </c>
      <c r="V349" s="74">
        <v>44306</v>
      </c>
      <c r="W349" s="74">
        <v>44342</v>
      </c>
      <c r="X349" s="55">
        <v>10187514</v>
      </c>
      <c r="Y349" s="55" t="s">
        <v>130</v>
      </c>
      <c r="AB349" s="74" t="s">
        <v>130</v>
      </c>
      <c r="AC349" s="55" t="s">
        <v>130</v>
      </c>
      <c r="AL349" s="74"/>
      <c r="AM349" s="74"/>
      <c r="AW349" s="74"/>
      <c r="AX349" s="74"/>
    </row>
    <row r="350" spans="1:50" ht="13" x14ac:dyDescent="0.15">
      <c r="A350" s="55" t="str">
        <f>HYPERLINK("http://reports.ofsted.gov.uk/inspection-reports/find-inspection-report/provider/CARE/1254780","Ofsted Social Care Provider Webpage")</f>
        <v>Ofsted Social Care Provider Webpage</v>
      </c>
      <c r="B350" s="55">
        <v>1254780</v>
      </c>
      <c r="D350" s="55" t="s">
        <v>373</v>
      </c>
      <c r="E350" s="74">
        <v>42933</v>
      </c>
      <c r="F350" s="55" t="s">
        <v>6707</v>
      </c>
      <c r="G350" s="55" t="s">
        <v>360</v>
      </c>
      <c r="H350" s="55" t="s">
        <v>360</v>
      </c>
      <c r="I350" s="55" t="s">
        <v>360</v>
      </c>
      <c r="J350" s="55" t="s">
        <v>360</v>
      </c>
      <c r="K350" s="55" t="s">
        <v>360</v>
      </c>
      <c r="L350" s="55" t="s">
        <v>360</v>
      </c>
      <c r="M350" s="55" t="s">
        <v>142</v>
      </c>
      <c r="N350" s="55" t="s">
        <v>142</v>
      </c>
      <c r="O350" s="55" t="s">
        <v>278</v>
      </c>
      <c r="P350" s="55" t="s">
        <v>1126</v>
      </c>
      <c r="Q350" s="55" t="s">
        <v>350</v>
      </c>
      <c r="R350" s="85">
        <v>4</v>
      </c>
      <c r="S350" s="55">
        <v>0</v>
      </c>
      <c r="T350" s="74" t="s">
        <v>6710</v>
      </c>
      <c r="U350" s="74" t="s">
        <v>2053</v>
      </c>
      <c r="V350" s="74">
        <v>44327</v>
      </c>
      <c r="W350" s="74">
        <v>44361</v>
      </c>
      <c r="X350" s="55">
        <v>10195137</v>
      </c>
      <c r="AL350" s="74"/>
      <c r="AM350" s="74"/>
      <c r="AW350" s="74"/>
      <c r="AX350" s="74"/>
    </row>
    <row r="351" spans="1:50" ht="13" x14ac:dyDescent="0.15">
      <c r="A351" s="55" t="str">
        <f>HYPERLINK("http://reports.ofsted.gov.uk/inspection-reports/find-inspection-report/provider/CARE/1254782","Ofsted Social Care Provider Webpage")</f>
        <v>Ofsted Social Care Provider Webpage</v>
      </c>
      <c r="B351" s="55">
        <v>1254782</v>
      </c>
      <c r="D351" s="55" t="s">
        <v>373</v>
      </c>
      <c r="E351" s="74">
        <v>42895</v>
      </c>
      <c r="F351" s="55" t="s">
        <v>344</v>
      </c>
      <c r="G351" s="55" t="s">
        <v>360</v>
      </c>
      <c r="H351" s="55" t="s">
        <v>360</v>
      </c>
      <c r="I351" s="55" t="s">
        <v>360</v>
      </c>
      <c r="J351" s="55" t="s">
        <v>360</v>
      </c>
      <c r="K351" s="55" t="s">
        <v>360</v>
      </c>
      <c r="L351" s="55" t="s">
        <v>360</v>
      </c>
      <c r="M351" s="55" t="s">
        <v>150</v>
      </c>
      <c r="N351" s="55" t="s">
        <v>150</v>
      </c>
      <c r="O351" s="55" t="s">
        <v>190</v>
      </c>
      <c r="P351" s="55" t="s">
        <v>966</v>
      </c>
      <c r="Q351" s="55" t="s">
        <v>380</v>
      </c>
      <c r="R351" s="85">
        <v>4</v>
      </c>
      <c r="S351" s="55">
        <v>0</v>
      </c>
      <c r="T351" s="74" t="s">
        <v>967</v>
      </c>
      <c r="U351" s="74" t="s">
        <v>351</v>
      </c>
      <c r="V351" s="74">
        <v>44488</v>
      </c>
      <c r="W351" s="74">
        <v>44565</v>
      </c>
      <c r="X351" s="55">
        <v>10185401</v>
      </c>
      <c r="Y351" s="55" t="s">
        <v>146</v>
      </c>
      <c r="AB351" s="74" t="s">
        <v>146</v>
      </c>
      <c r="AC351" s="55" t="s">
        <v>146</v>
      </c>
      <c r="AL351" s="74"/>
      <c r="AM351" s="74"/>
    </row>
    <row r="352" spans="1:50" ht="13" x14ac:dyDescent="0.15">
      <c r="A352" s="55" t="str">
        <f>HYPERLINK("http://reports.ofsted.gov.uk/inspection-reports/find-inspection-report/provider/CARE/1254782","Ofsted Social Care Provider Webpage")</f>
        <v>Ofsted Social Care Provider Webpage</v>
      </c>
      <c r="B352" s="55">
        <v>1254782</v>
      </c>
      <c r="D352" s="55" t="s">
        <v>373</v>
      </c>
      <c r="E352" s="74">
        <v>42895</v>
      </c>
      <c r="F352" s="55" t="s">
        <v>344</v>
      </c>
      <c r="G352" s="55" t="s">
        <v>360</v>
      </c>
      <c r="H352" s="55" t="s">
        <v>360</v>
      </c>
      <c r="I352" s="55" t="s">
        <v>360</v>
      </c>
      <c r="J352" s="55" t="s">
        <v>360</v>
      </c>
      <c r="K352" s="55" t="s">
        <v>360</v>
      </c>
      <c r="L352" s="55" t="s">
        <v>360</v>
      </c>
      <c r="M352" s="55" t="s">
        <v>150</v>
      </c>
      <c r="N352" s="55" t="s">
        <v>150</v>
      </c>
      <c r="O352" s="55" t="s">
        <v>190</v>
      </c>
      <c r="P352" s="55" t="s">
        <v>966</v>
      </c>
      <c r="Q352" s="55" t="s">
        <v>380</v>
      </c>
      <c r="R352" s="85">
        <v>4</v>
      </c>
      <c r="S352" s="55">
        <v>0</v>
      </c>
      <c r="T352" s="74" t="s">
        <v>967</v>
      </c>
      <c r="U352" s="74" t="s">
        <v>2053</v>
      </c>
      <c r="V352" s="74">
        <v>44568</v>
      </c>
      <c r="W352" s="74">
        <v>44613</v>
      </c>
      <c r="X352" s="55">
        <v>10220775</v>
      </c>
      <c r="AL352" s="74"/>
      <c r="AM352" s="74"/>
    </row>
    <row r="353" spans="1:50" ht="13" x14ac:dyDescent="0.15">
      <c r="A353" s="55" t="str">
        <f>HYPERLINK("http://reports.ofsted.gov.uk/inspection-reports/find-inspection-report/provider/CARE/1254835","Ofsted Social Care Provider Webpage")</f>
        <v>Ofsted Social Care Provider Webpage</v>
      </c>
      <c r="B353" s="55">
        <v>1254835</v>
      </c>
      <c r="D353" s="55" t="s">
        <v>373</v>
      </c>
      <c r="E353" s="74">
        <v>42825</v>
      </c>
      <c r="F353" s="55" t="s">
        <v>344</v>
      </c>
      <c r="G353" s="55" t="s">
        <v>360</v>
      </c>
      <c r="H353" s="55" t="s">
        <v>360</v>
      </c>
      <c r="I353" s="55" t="s">
        <v>360</v>
      </c>
      <c r="J353" s="55" t="s">
        <v>360</v>
      </c>
      <c r="K353" s="55" t="s">
        <v>360</v>
      </c>
      <c r="L353" s="55" t="s">
        <v>360</v>
      </c>
      <c r="M353" s="55" t="s">
        <v>378</v>
      </c>
      <c r="N353" s="55" t="s">
        <v>170</v>
      </c>
      <c r="O353" s="55" t="s">
        <v>267</v>
      </c>
      <c r="P353" s="55" t="s">
        <v>975</v>
      </c>
      <c r="Q353" s="55" t="s">
        <v>362</v>
      </c>
      <c r="R353" s="85">
        <v>6</v>
      </c>
      <c r="S353" s="55">
        <v>0</v>
      </c>
      <c r="T353" s="74" t="s">
        <v>973</v>
      </c>
      <c r="U353" s="74" t="s">
        <v>351</v>
      </c>
      <c r="V353" s="74">
        <v>44572</v>
      </c>
      <c r="W353" s="74">
        <v>44613</v>
      </c>
      <c r="X353" s="55">
        <v>10186810</v>
      </c>
      <c r="Y353" s="55" t="s">
        <v>140</v>
      </c>
      <c r="AB353" s="74" t="s">
        <v>132</v>
      </c>
      <c r="AC353" s="55" t="s">
        <v>132</v>
      </c>
      <c r="AL353" s="74"/>
      <c r="AM353" s="74"/>
      <c r="AW353" s="74"/>
      <c r="AX353" s="74"/>
    </row>
    <row r="354" spans="1:50" ht="13" x14ac:dyDescent="0.15">
      <c r="A354" s="55" t="str">
        <f>HYPERLINK("http://reports.ofsted.gov.uk/inspection-reports/find-inspection-report/provider/CARE/1254837","Ofsted Social Care Provider Webpage")</f>
        <v>Ofsted Social Care Provider Webpage</v>
      </c>
      <c r="B354" s="55">
        <v>1254837</v>
      </c>
      <c r="D354" s="55" t="s">
        <v>373</v>
      </c>
      <c r="E354" s="74">
        <v>42825</v>
      </c>
      <c r="F354" s="55" t="s">
        <v>344</v>
      </c>
      <c r="G354" s="55" t="s">
        <v>360</v>
      </c>
      <c r="H354" s="55" t="s">
        <v>360</v>
      </c>
      <c r="I354" s="55" t="s">
        <v>360</v>
      </c>
      <c r="J354" s="55" t="s">
        <v>360</v>
      </c>
      <c r="K354" s="55" t="s">
        <v>360</v>
      </c>
      <c r="L354" s="55" t="s">
        <v>360</v>
      </c>
      <c r="M354" s="55" t="s">
        <v>378</v>
      </c>
      <c r="N354" s="55" t="s">
        <v>170</v>
      </c>
      <c r="O354" s="55" t="s">
        <v>267</v>
      </c>
      <c r="P354" s="55" t="s">
        <v>972</v>
      </c>
      <c r="Q354" s="55" t="s">
        <v>362</v>
      </c>
      <c r="R354" s="85">
        <v>6</v>
      </c>
      <c r="S354" s="55">
        <v>0</v>
      </c>
      <c r="T354" s="74" t="s">
        <v>973</v>
      </c>
      <c r="U354" s="74" t="s">
        <v>351</v>
      </c>
      <c r="V354" s="74">
        <v>44355</v>
      </c>
      <c r="W354" s="74">
        <v>44390</v>
      </c>
      <c r="X354" s="55">
        <v>10185862</v>
      </c>
      <c r="Y354" s="55" t="s">
        <v>132</v>
      </c>
      <c r="AB354" s="74" t="s">
        <v>132</v>
      </c>
      <c r="AC354" s="55" t="s">
        <v>140</v>
      </c>
      <c r="AL354" s="74"/>
      <c r="AM354" s="74"/>
      <c r="AW354" s="74"/>
      <c r="AX354" s="74"/>
    </row>
    <row r="355" spans="1:50" ht="13" x14ac:dyDescent="0.15">
      <c r="A355" s="55" t="str">
        <f>HYPERLINK("http://reports.ofsted.gov.uk/inspection-reports/find-inspection-report/provider/CARE/1254840","Ofsted Social Care Provider Webpage")</f>
        <v>Ofsted Social Care Provider Webpage</v>
      </c>
      <c r="B355" s="55">
        <v>1254840</v>
      </c>
      <c r="D355" s="55" t="s">
        <v>373</v>
      </c>
      <c r="E355" s="74">
        <v>43105</v>
      </c>
      <c r="F355" s="55" t="s">
        <v>344</v>
      </c>
      <c r="G355" s="55" t="s">
        <v>360</v>
      </c>
      <c r="H355" s="55" t="s">
        <v>360</v>
      </c>
      <c r="I355" s="55" t="s">
        <v>360</v>
      </c>
      <c r="J355" s="55" t="s">
        <v>360</v>
      </c>
      <c r="K355" s="55" t="s">
        <v>360</v>
      </c>
      <c r="L355" s="55" t="s">
        <v>360</v>
      </c>
      <c r="M355" s="55" t="s">
        <v>142</v>
      </c>
      <c r="N355" s="55" t="s">
        <v>142</v>
      </c>
      <c r="O355" s="55" t="s">
        <v>292</v>
      </c>
      <c r="P355" s="55" t="s">
        <v>976</v>
      </c>
      <c r="Q355" s="55" t="s">
        <v>350</v>
      </c>
      <c r="R355" s="85">
        <v>3</v>
      </c>
      <c r="S355" s="55">
        <v>0</v>
      </c>
      <c r="T355" s="74" t="s">
        <v>574</v>
      </c>
      <c r="U355" s="74" t="s">
        <v>351</v>
      </c>
      <c r="V355" s="74">
        <v>44335</v>
      </c>
      <c r="W355" s="74">
        <v>44369</v>
      </c>
      <c r="X355" s="55">
        <v>10185162</v>
      </c>
      <c r="Y355" s="55" t="s">
        <v>132</v>
      </c>
      <c r="AB355" s="74" t="s">
        <v>132</v>
      </c>
      <c r="AC355" s="55" t="s">
        <v>132</v>
      </c>
      <c r="AL355" s="74"/>
      <c r="AM355" s="74"/>
    </row>
    <row r="356" spans="1:50" ht="13" x14ac:dyDescent="0.15">
      <c r="A356" s="55" t="str">
        <f>HYPERLINK("http://reports.ofsted.gov.uk/inspection-reports/find-inspection-report/provider/CARE/1254841","Ofsted Social Care Provider Webpage")</f>
        <v>Ofsted Social Care Provider Webpage</v>
      </c>
      <c r="B356" s="55">
        <v>1254841</v>
      </c>
      <c r="D356" s="55" t="s">
        <v>373</v>
      </c>
      <c r="E356" s="74">
        <v>42825</v>
      </c>
      <c r="F356" s="55" t="s">
        <v>344</v>
      </c>
      <c r="G356" s="55" t="s">
        <v>360</v>
      </c>
      <c r="H356" s="55" t="s">
        <v>360</v>
      </c>
      <c r="I356" s="55" t="s">
        <v>360</v>
      </c>
      <c r="J356" s="55" t="s">
        <v>360</v>
      </c>
      <c r="K356" s="55" t="s">
        <v>360</v>
      </c>
      <c r="L356" s="55" t="s">
        <v>360</v>
      </c>
      <c r="M356" s="55" t="s">
        <v>378</v>
      </c>
      <c r="N356" s="55" t="s">
        <v>170</v>
      </c>
      <c r="O356" s="55" t="s">
        <v>267</v>
      </c>
      <c r="P356" s="55" t="s">
        <v>975</v>
      </c>
      <c r="Q356" s="55" t="s">
        <v>362</v>
      </c>
      <c r="R356" s="85">
        <v>6</v>
      </c>
      <c r="S356" s="55">
        <v>0</v>
      </c>
      <c r="T356" s="74" t="s">
        <v>973</v>
      </c>
      <c r="U356" s="74" t="s">
        <v>351</v>
      </c>
      <c r="V356" s="74">
        <v>44544</v>
      </c>
      <c r="W356" s="74">
        <v>44610</v>
      </c>
      <c r="X356" s="55">
        <v>10185509</v>
      </c>
      <c r="Y356" s="55" t="s">
        <v>140</v>
      </c>
      <c r="AB356" s="74" t="s">
        <v>132</v>
      </c>
      <c r="AC356" s="55" t="s">
        <v>140</v>
      </c>
      <c r="AL356" s="74"/>
      <c r="AM356" s="74"/>
    </row>
    <row r="357" spans="1:50" ht="13" x14ac:dyDescent="0.15">
      <c r="A357" s="55" t="str">
        <f>HYPERLINK("http://reports.ofsted.gov.uk/inspection-reports/find-inspection-report/provider/CARE/1254843","Ofsted Social Care Provider Webpage")</f>
        <v>Ofsted Social Care Provider Webpage</v>
      </c>
      <c r="B357" s="55">
        <v>1254843</v>
      </c>
      <c r="D357" s="55" t="s">
        <v>373</v>
      </c>
      <c r="E357" s="74">
        <v>42825</v>
      </c>
      <c r="F357" s="55" t="s">
        <v>344</v>
      </c>
      <c r="G357" s="55" t="s">
        <v>360</v>
      </c>
      <c r="H357" s="55" t="s">
        <v>360</v>
      </c>
      <c r="I357" s="55" t="s">
        <v>360</v>
      </c>
      <c r="J357" s="55" t="s">
        <v>360</v>
      </c>
      <c r="K357" s="55" t="s">
        <v>360</v>
      </c>
      <c r="L357" s="55" t="s">
        <v>360</v>
      </c>
      <c r="M357" s="55" t="s">
        <v>378</v>
      </c>
      <c r="N357" s="55" t="s">
        <v>170</v>
      </c>
      <c r="O357" s="55" t="s">
        <v>267</v>
      </c>
      <c r="P357" s="55" t="s">
        <v>972</v>
      </c>
      <c r="Q357" s="55" t="s">
        <v>362</v>
      </c>
      <c r="R357" s="85">
        <v>6</v>
      </c>
      <c r="S357" s="55">
        <v>0</v>
      </c>
      <c r="T357" s="74" t="s">
        <v>973</v>
      </c>
      <c r="U357" s="74" t="s">
        <v>351</v>
      </c>
      <c r="V357" s="74">
        <v>44320</v>
      </c>
      <c r="W357" s="74">
        <v>44354</v>
      </c>
      <c r="X357" s="55">
        <v>10186441</v>
      </c>
      <c r="Y357" s="55" t="s">
        <v>130</v>
      </c>
      <c r="AB357" s="74" t="s">
        <v>130</v>
      </c>
      <c r="AC357" s="55" t="s">
        <v>130</v>
      </c>
      <c r="AL357" s="74"/>
      <c r="AM357" s="74"/>
      <c r="AW357" s="74"/>
      <c r="AX357" s="74"/>
    </row>
    <row r="358" spans="1:50" ht="13" x14ac:dyDescent="0.15">
      <c r="A358" s="55" t="str">
        <f>HYPERLINK("http://reports.ofsted.gov.uk/inspection-reports/find-inspection-report/provider/CARE/1254843","Ofsted Social Care Provider Webpage")</f>
        <v>Ofsted Social Care Provider Webpage</v>
      </c>
      <c r="B358" s="55">
        <v>1254843</v>
      </c>
      <c r="D358" s="55" t="s">
        <v>373</v>
      </c>
      <c r="E358" s="74">
        <v>42825</v>
      </c>
      <c r="F358" s="55" t="s">
        <v>344</v>
      </c>
      <c r="G358" s="55" t="s">
        <v>360</v>
      </c>
      <c r="H358" s="55" t="s">
        <v>360</v>
      </c>
      <c r="I358" s="55" t="s">
        <v>360</v>
      </c>
      <c r="J358" s="55" t="s">
        <v>360</v>
      </c>
      <c r="K358" s="55" t="s">
        <v>360</v>
      </c>
      <c r="L358" s="55" t="s">
        <v>360</v>
      </c>
      <c r="M358" s="55" t="s">
        <v>378</v>
      </c>
      <c r="N358" s="55" t="s">
        <v>170</v>
      </c>
      <c r="O358" s="55" t="s">
        <v>267</v>
      </c>
      <c r="P358" s="55" t="s">
        <v>972</v>
      </c>
      <c r="Q358" s="55" t="s">
        <v>362</v>
      </c>
      <c r="R358" s="85">
        <v>6</v>
      </c>
      <c r="S358" s="55">
        <v>0</v>
      </c>
      <c r="T358" s="74" t="s">
        <v>973</v>
      </c>
      <c r="U358" s="74" t="s">
        <v>6703</v>
      </c>
      <c r="V358" s="74">
        <v>44567</v>
      </c>
      <c r="W358" s="74">
        <v>44599</v>
      </c>
      <c r="X358" s="55">
        <v>10209355</v>
      </c>
      <c r="Y358" s="55" t="s">
        <v>6706</v>
      </c>
      <c r="AL358" s="74"/>
      <c r="AM358" s="74"/>
      <c r="AW358" s="74"/>
      <c r="AX358" s="74"/>
    </row>
    <row r="359" spans="1:50" ht="13" x14ac:dyDescent="0.15">
      <c r="A359" s="55" t="str">
        <f>HYPERLINK("http://reports.ofsted.gov.uk/inspection-reports/find-inspection-report/provider/CARE/1254864","Ofsted Social Care Provider Webpage")</f>
        <v>Ofsted Social Care Provider Webpage</v>
      </c>
      <c r="B359" s="55">
        <v>1254864</v>
      </c>
      <c r="D359" s="55" t="s">
        <v>373</v>
      </c>
      <c r="E359" s="74">
        <v>42879</v>
      </c>
      <c r="F359" s="55" t="s">
        <v>344</v>
      </c>
      <c r="G359" s="55" t="s">
        <v>360</v>
      </c>
      <c r="H359" s="55" t="s">
        <v>360</v>
      </c>
      <c r="I359" s="55" t="s">
        <v>360</v>
      </c>
      <c r="J359" s="55" t="s">
        <v>360</v>
      </c>
      <c r="K359" s="55" t="s">
        <v>360</v>
      </c>
      <c r="L359" s="55" t="s">
        <v>360</v>
      </c>
      <c r="M359" s="55" t="s">
        <v>172</v>
      </c>
      <c r="N359" s="55" t="s">
        <v>172</v>
      </c>
      <c r="O359" s="55" t="s">
        <v>235</v>
      </c>
      <c r="P359" s="55" t="s">
        <v>948</v>
      </c>
      <c r="Q359" s="55" t="s">
        <v>350</v>
      </c>
      <c r="R359" s="85">
        <v>3</v>
      </c>
      <c r="S359" s="55">
        <v>0</v>
      </c>
      <c r="T359" s="74" t="s">
        <v>962</v>
      </c>
      <c r="U359" s="74" t="s">
        <v>351</v>
      </c>
      <c r="V359" s="74">
        <v>44502</v>
      </c>
      <c r="W359" s="74">
        <v>44533</v>
      </c>
      <c r="X359" s="55">
        <v>10186029</v>
      </c>
      <c r="Y359" s="55" t="s">
        <v>132</v>
      </c>
      <c r="AB359" s="74" t="s">
        <v>132</v>
      </c>
      <c r="AC359" s="55" t="s">
        <v>132</v>
      </c>
      <c r="AL359" s="74"/>
      <c r="AM359" s="74"/>
      <c r="AW359" s="74"/>
      <c r="AX359" s="74"/>
    </row>
    <row r="360" spans="1:50" ht="13" x14ac:dyDescent="0.15">
      <c r="A360" s="55" t="str">
        <f>HYPERLINK("http://reports.ofsted.gov.uk/inspection-reports/find-inspection-report/provider/CARE/1255095","Ofsted Social Care Provider Webpage")</f>
        <v>Ofsted Social Care Provider Webpage</v>
      </c>
      <c r="B360" s="55">
        <v>1255095</v>
      </c>
      <c r="D360" s="55" t="s">
        <v>373</v>
      </c>
      <c r="E360" s="74">
        <v>42920</v>
      </c>
      <c r="F360" s="55" t="s">
        <v>6707</v>
      </c>
      <c r="G360" s="55" t="s">
        <v>360</v>
      </c>
      <c r="H360" s="55" t="s">
        <v>360</v>
      </c>
      <c r="I360" s="55" t="s">
        <v>360</v>
      </c>
      <c r="J360" s="55" t="s">
        <v>360</v>
      </c>
      <c r="K360" s="55" t="s">
        <v>360</v>
      </c>
      <c r="L360" s="55" t="s">
        <v>360</v>
      </c>
      <c r="M360" s="55" t="s">
        <v>142</v>
      </c>
      <c r="N360" s="55" t="s">
        <v>142</v>
      </c>
      <c r="O360" s="55" t="s">
        <v>262</v>
      </c>
      <c r="P360" s="55" t="s">
        <v>488</v>
      </c>
      <c r="Q360" s="55" t="s">
        <v>350</v>
      </c>
      <c r="R360" s="85">
        <v>3</v>
      </c>
      <c r="S360" s="55">
        <v>0</v>
      </c>
      <c r="T360" s="74" t="s">
        <v>6711</v>
      </c>
      <c r="U360" s="74" t="s">
        <v>351</v>
      </c>
      <c r="V360" s="74">
        <v>44301</v>
      </c>
      <c r="W360" s="74">
        <v>44337</v>
      </c>
      <c r="X360" s="55">
        <v>10185267</v>
      </c>
      <c r="Y360" s="55" t="s">
        <v>146</v>
      </c>
      <c r="AB360" s="74" t="s">
        <v>146</v>
      </c>
      <c r="AC360" s="55" t="s">
        <v>146</v>
      </c>
      <c r="AL360" s="74"/>
      <c r="AM360" s="74"/>
      <c r="AW360" s="74"/>
      <c r="AX360" s="74"/>
    </row>
    <row r="361" spans="1:50" ht="13" x14ac:dyDescent="0.15">
      <c r="A361" s="55" t="str">
        <f>HYPERLINK("http://reports.ofsted.gov.uk/inspection-reports/find-inspection-report/provider/CARE/1255139","Ofsted Social Care Provider Webpage")</f>
        <v>Ofsted Social Care Provider Webpage</v>
      </c>
      <c r="B361" s="55">
        <v>1255139</v>
      </c>
      <c r="D361" s="55" t="s">
        <v>373</v>
      </c>
      <c r="E361" s="74">
        <v>42879</v>
      </c>
      <c r="F361" s="55" t="s">
        <v>344</v>
      </c>
      <c r="G361" s="55" t="s">
        <v>360</v>
      </c>
      <c r="H361" s="55" t="s">
        <v>360</v>
      </c>
      <c r="I361" s="55" t="s">
        <v>360</v>
      </c>
      <c r="J361" s="55" t="s">
        <v>360</v>
      </c>
      <c r="K361" s="55" t="s">
        <v>360</v>
      </c>
      <c r="L361" s="55" t="s">
        <v>360</v>
      </c>
      <c r="M361" s="55" t="s">
        <v>172</v>
      </c>
      <c r="N361" s="55" t="s">
        <v>172</v>
      </c>
      <c r="O361" s="55" t="s">
        <v>234</v>
      </c>
      <c r="P361" s="55" t="s">
        <v>965</v>
      </c>
      <c r="Q361" s="55" t="s">
        <v>350</v>
      </c>
      <c r="R361" s="85">
        <v>6</v>
      </c>
      <c r="S361" s="55">
        <v>0</v>
      </c>
      <c r="T361" s="74" t="s">
        <v>962</v>
      </c>
      <c r="U361" s="74" t="s">
        <v>351</v>
      </c>
      <c r="V361" s="74">
        <v>44593</v>
      </c>
      <c r="W361" s="74">
        <v>44628</v>
      </c>
      <c r="X361" s="55">
        <v>10185330</v>
      </c>
      <c r="Y361" s="55" t="s">
        <v>132</v>
      </c>
      <c r="AB361" s="74" t="s">
        <v>132</v>
      </c>
      <c r="AC361" s="55" t="s">
        <v>132</v>
      </c>
      <c r="AL361" s="74"/>
      <c r="AM361" s="74"/>
    </row>
    <row r="362" spans="1:50" ht="13" x14ac:dyDescent="0.15">
      <c r="A362" s="55" t="str">
        <f>HYPERLINK("http://reports.ofsted.gov.uk/inspection-reports/find-inspection-report/provider/CARE/1255407","Ofsted Social Care Provider Webpage")</f>
        <v>Ofsted Social Care Provider Webpage</v>
      </c>
      <c r="B362" s="55">
        <v>1255407</v>
      </c>
      <c r="D362" s="55" t="s">
        <v>373</v>
      </c>
      <c r="E362" s="74">
        <v>42996</v>
      </c>
      <c r="F362" s="55" t="s">
        <v>344</v>
      </c>
      <c r="G362" s="55" t="s">
        <v>360</v>
      </c>
      <c r="H362" s="55" t="s">
        <v>360</v>
      </c>
      <c r="I362" s="55" t="s">
        <v>360</v>
      </c>
      <c r="J362" s="55" t="s">
        <v>360</v>
      </c>
      <c r="K362" s="55" t="s">
        <v>360</v>
      </c>
      <c r="L362" s="55" t="s">
        <v>360</v>
      </c>
      <c r="M362" s="55" t="s">
        <v>136</v>
      </c>
      <c r="N362" s="55" t="s">
        <v>136</v>
      </c>
      <c r="O362" s="55" t="s">
        <v>174</v>
      </c>
      <c r="P362" s="55" t="s">
        <v>982</v>
      </c>
      <c r="Q362" s="55" t="s">
        <v>350</v>
      </c>
      <c r="R362" s="85">
        <v>4</v>
      </c>
      <c r="S362" s="55">
        <v>0</v>
      </c>
      <c r="T362" s="74" t="s">
        <v>858</v>
      </c>
      <c r="U362" s="74" t="s">
        <v>351</v>
      </c>
      <c r="V362" s="74">
        <v>44446</v>
      </c>
      <c r="W362" s="74">
        <v>44476</v>
      </c>
      <c r="X362" s="55">
        <v>10187096</v>
      </c>
      <c r="Y362" s="55" t="s">
        <v>132</v>
      </c>
      <c r="AB362" s="74" t="s">
        <v>132</v>
      </c>
      <c r="AC362" s="55" t="s">
        <v>132</v>
      </c>
      <c r="AL362" s="74"/>
      <c r="AM362" s="74"/>
      <c r="AW362" s="74"/>
      <c r="AX362" s="74"/>
    </row>
    <row r="363" spans="1:50" ht="13" x14ac:dyDescent="0.15">
      <c r="A363" s="55" t="str">
        <f>HYPERLINK("http://reports.ofsted.gov.uk/inspection-reports/find-inspection-report/provider/CARE/1255743","Ofsted Social Care Provider Webpage")</f>
        <v>Ofsted Social Care Provider Webpage</v>
      </c>
      <c r="B363" s="55">
        <v>1255743</v>
      </c>
      <c r="D363" s="55" t="s">
        <v>373</v>
      </c>
      <c r="E363" s="74">
        <v>42879</v>
      </c>
      <c r="F363" s="55" t="s">
        <v>344</v>
      </c>
      <c r="G363" s="55" t="s">
        <v>360</v>
      </c>
      <c r="H363" s="55" t="s">
        <v>360</v>
      </c>
      <c r="I363" s="55" t="s">
        <v>360</v>
      </c>
      <c r="J363" s="55" t="s">
        <v>360</v>
      </c>
      <c r="K363" s="55" t="s">
        <v>360</v>
      </c>
      <c r="L363" s="55" t="s">
        <v>360</v>
      </c>
      <c r="M363" s="55" t="s">
        <v>172</v>
      </c>
      <c r="N363" s="55" t="s">
        <v>172</v>
      </c>
      <c r="O363" s="55" t="s">
        <v>171</v>
      </c>
      <c r="P363" s="55" t="s">
        <v>983</v>
      </c>
      <c r="Q363" s="55" t="s">
        <v>350</v>
      </c>
      <c r="R363" s="85">
        <v>5</v>
      </c>
      <c r="S363" s="55">
        <v>0</v>
      </c>
      <c r="T363" s="74" t="s">
        <v>962</v>
      </c>
      <c r="U363" s="74" t="s">
        <v>351</v>
      </c>
      <c r="V363" s="74">
        <v>44342</v>
      </c>
      <c r="W363" s="74">
        <v>44370</v>
      </c>
      <c r="X363" s="55">
        <v>10185659</v>
      </c>
      <c r="Y363" s="55" t="s">
        <v>132</v>
      </c>
      <c r="AB363" s="74" t="s">
        <v>132</v>
      </c>
      <c r="AC363" s="55" t="s">
        <v>132</v>
      </c>
      <c r="AL363" s="74"/>
      <c r="AM363" s="74"/>
      <c r="AW363" s="74"/>
      <c r="AX363" s="74"/>
    </row>
    <row r="364" spans="1:50" ht="13" x14ac:dyDescent="0.15">
      <c r="A364" s="55" t="str">
        <f>HYPERLINK("http://reports.ofsted.gov.uk/inspection-reports/find-inspection-report/provider/CARE/1255744","Ofsted Social Care Provider Webpage")</f>
        <v>Ofsted Social Care Provider Webpage</v>
      </c>
      <c r="B364" s="55">
        <v>1255744</v>
      </c>
      <c r="D364" s="55" t="s">
        <v>373</v>
      </c>
      <c r="E364" s="74">
        <v>42879</v>
      </c>
      <c r="F364" s="55" t="s">
        <v>344</v>
      </c>
      <c r="G364" s="55" t="s">
        <v>360</v>
      </c>
      <c r="H364" s="55" t="s">
        <v>360</v>
      </c>
      <c r="I364" s="55" t="s">
        <v>360</v>
      </c>
      <c r="J364" s="55" t="s">
        <v>360</v>
      </c>
      <c r="K364" s="55" t="s">
        <v>360</v>
      </c>
      <c r="L364" s="55" t="s">
        <v>360</v>
      </c>
      <c r="M364" s="55" t="s">
        <v>142</v>
      </c>
      <c r="N364" s="55" t="s">
        <v>142</v>
      </c>
      <c r="O364" s="55" t="s">
        <v>293</v>
      </c>
      <c r="P364" s="55" t="s">
        <v>984</v>
      </c>
      <c r="Q364" s="55" t="s">
        <v>350</v>
      </c>
      <c r="R364" s="85">
        <v>3</v>
      </c>
      <c r="S364" s="55">
        <v>0</v>
      </c>
      <c r="T364" s="74" t="s">
        <v>962</v>
      </c>
      <c r="U364" s="74" t="s">
        <v>351</v>
      </c>
      <c r="V364" s="74">
        <v>44538</v>
      </c>
      <c r="W364" s="74">
        <v>44585</v>
      </c>
      <c r="X364" s="55">
        <v>10186860</v>
      </c>
      <c r="Y364" s="55" t="s">
        <v>132</v>
      </c>
      <c r="AB364" s="74" t="s">
        <v>130</v>
      </c>
      <c r="AC364" s="55" t="s">
        <v>132</v>
      </c>
      <c r="AL364" s="74"/>
      <c r="AM364" s="74"/>
      <c r="AW364" s="74"/>
      <c r="AX364" s="74"/>
    </row>
    <row r="365" spans="1:50" ht="13" x14ac:dyDescent="0.15">
      <c r="A365" s="55" t="str">
        <f>HYPERLINK("http://reports.ofsted.gov.uk/inspection-reports/find-inspection-report/provider/CARE/1255745","Ofsted Social Care Provider Webpage")</f>
        <v>Ofsted Social Care Provider Webpage</v>
      </c>
      <c r="B365" s="55">
        <v>1255745</v>
      </c>
      <c r="D365" s="55" t="s">
        <v>373</v>
      </c>
      <c r="E365" s="74">
        <v>42879</v>
      </c>
      <c r="F365" s="55" t="s">
        <v>344</v>
      </c>
      <c r="G365" s="55" t="s">
        <v>360</v>
      </c>
      <c r="H365" s="55" t="s">
        <v>360</v>
      </c>
      <c r="I365" s="55" t="s">
        <v>360</v>
      </c>
      <c r="J365" s="55" t="s">
        <v>360</v>
      </c>
      <c r="K365" s="55" t="s">
        <v>360</v>
      </c>
      <c r="L365" s="55" t="s">
        <v>360</v>
      </c>
      <c r="M365" s="55" t="s">
        <v>172</v>
      </c>
      <c r="N365" s="55" t="s">
        <v>172</v>
      </c>
      <c r="O365" s="55" t="s">
        <v>284</v>
      </c>
      <c r="P365" s="55" t="s">
        <v>985</v>
      </c>
      <c r="Q365" s="55" t="s">
        <v>350</v>
      </c>
      <c r="R365" s="85">
        <v>5</v>
      </c>
      <c r="S365" s="55">
        <v>0</v>
      </c>
      <c r="T365" s="74" t="s">
        <v>962</v>
      </c>
      <c r="U365" s="74" t="s">
        <v>351</v>
      </c>
      <c r="V365" s="74">
        <v>44460</v>
      </c>
      <c r="W365" s="74">
        <v>44494</v>
      </c>
      <c r="X365" s="55">
        <v>10186032</v>
      </c>
      <c r="Y365" s="55" t="s">
        <v>140</v>
      </c>
      <c r="AB365" s="74" t="s">
        <v>132</v>
      </c>
      <c r="AC365" s="55" t="s">
        <v>140</v>
      </c>
      <c r="AL365" s="74"/>
      <c r="AM365" s="74"/>
      <c r="AW365" s="74"/>
      <c r="AX365" s="74"/>
    </row>
    <row r="366" spans="1:50" ht="13" x14ac:dyDescent="0.15">
      <c r="A366" s="55" t="str">
        <f>HYPERLINK("http://reports.ofsted.gov.uk/inspection-reports/find-inspection-report/provider/CARE/1255746","Ofsted Social Care Provider Webpage")</f>
        <v>Ofsted Social Care Provider Webpage</v>
      </c>
      <c r="B366" s="55">
        <v>1255746</v>
      </c>
      <c r="D366" s="55" t="s">
        <v>373</v>
      </c>
      <c r="E366" s="74">
        <v>42879</v>
      </c>
      <c r="F366" s="55" t="s">
        <v>344</v>
      </c>
      <c r="G366" s="55" t="s">
        <v>360</v>
      </c>
      <c r="H366" s="55" t="s">
        <v>360</v>
      </c>
      <c r="I366" s="55" t="s">
        <v>360</v>
      </c>
      <c r="J366" s="55" t="s">
        <v>360</v>
      </c>
      <c r="K366" s="55" t="s">
        <v>360</v>
      </c>
      <c r="L366" s="55" t="s">
        <v>360</v>
      </c>
      <c r="M366" s="55" t="s">
        <v>138</v>
      </c>
      <c r="N366" s="55" t="s">
        <v>138</v>
      </c>
      <c r="O366" s="55" t="s">
        <v>137</v>
      </c>
      <c r="P366" s="55" t="s">
        <v>137</v>
      </c>
      <c r="Q366" s="55" t="s">
        <v>350</v>
      </c>
      <c r="R366" s="85">
        <v>5</v>
      </c>
      <c r="S366" s="55">
        <v>0</v>
      </c>
      <c r="T366" s="74" t="s">
        <v>962</v>
      </c>
      <c r="U366" s="74" t="s">
        <v>351</v>
      </c>
      <c r="V366" s="74">
        <v>44565</v>
      </c>
      <c r="W366" s="74">
        <v>44601</v>
      </c>
      <c r="X366" s="55">
        <v>10185914</v>
      </c>
      <c r="Y366" s="55" t="s">
        <v>132</v>
      </c>
      <c r="AB366" s="74" t="s">
        <v>132</v>
      </c>
      <c r="AC366" s="55" t="s">
        <v>132</v>
      </c>
      <c r="AL366" s="74"/>
      <c r="AM366" s="74"/>
      <c r="AW366" s="74"/>
      <c r="AX366" s="74"/>
    </row>
    <row r="367" spans="1:50" ht="13" x14ac:dyDescent="0.15">
      <c r="A367" s="55" t="str">
        <f>HYPERLINK("http://reports.ofsted.gov.uk/inspection-reports/find-inspection-report/provider/CARE/1255747","Ofsted Social Care Provider Webpage")</f>
        <v>Ofsted Social Care Provider Webpage</v>
      </c>
      <c r="B367" s="55">
        <v>1255747</v>
      </c>
      <c r="D367" s="55" t="s">
        <v>373</v>
      </c>
      <c r="E367" s="74">
        <v>42879</v>
      </c>
      <c r="F367" s="55" t="s">
        <v>344</v>
      </c>
      <c r="G367" s="55" t="s">
        <v>360</v>
      </c>
      <c r="H367" s="55" t="s">
        <v>360</v>
      </c>
      <c r="I367" s="55" t="s">
        <v>360</v>
      </c>
      <c r="J367" s="55" t="s">
        <v>360</v>
      </c>
      <c r="K367" s="55" t="s">
        <v>360</v>
      </c>
      <c r="L367" s="55" t="s">
        <v>360</v>
      </c>
      <c r="M367" s="55" t="s">
        <v>172</v>
      </c>
      <c r="N367" s="55" t="s">
        <v>172</v>
      </c>
      <c r="O367" s="55" t="s">
        <v>284</v>
      </c>
      <c r="P367" s="55" t="s">
        <v>986</v>
      </c>
      <c r="Q367" s="55" t="s">
        <v>350</v>
      </c>
      <c r="R367" s="85">
        <v>5</v>
      </c>
      <c r="S367" s="55">
        <v>0</v>
      </c>
      <c r="T367" s="74" t="s">
        <v>962</v>
      </c>
      <c r="U367" s="74" t="s">
        <v>351</v>
      </c>
      <c r="V367" s="74">
        <v>44355</v>
      </c>
      <c r="W367" s="74">
        <v>44382</v>
      </c>
      <c r="X367" s="55">
        <v>10186958</v>
      </c>
      <c r="Y367" s="55" t="s">
        <v>132</v>
      </c>
      <c r="AB367" s="74" t="s">
        <v>132</v>
      </c>
      <c r="AC367" s="55" t="s">
        <v>132</v>
      </c>
      <c r="AL367" s="74"/>
      <c r="AM367" s="74"/>
    </row>
    <row r="368" spans="1:50" ht="13" x14ac:dyDescent="0.15">
      <c r="A368" s="55" t="str">
        <f>HYPERLINK("http://reports.ofsted.gov.uk/inspection-reports/find-inspection-report/provider/CARE/1255748","Ofsted Social Care Provider Webpage")</f>
        <v>Ofsted Social Care Provider Webpage</v>
      </c>
      <c r="B368" s="55">
        <v>1255748</v>
      </c>
      <c r="D368" s="55" t="s">
        <v>373</v>
      </c>
      <c r="E368" s="74">
        <v>42879</v>
      </c>
      <c r="F368" s="55" t="s">
        <v>344</v>
      </c>
      <c r="G368" s="55" t="s">
        <v>360</v>
      </c>
      <c r="H368" s="55" t="s">
        <v>360</v>
      </c>
      <c r="I368" s="55" t="s">
        <v>360</v>
      </c>
      <c r="J368" s="55" t="s">
        <v>360</v>
      </c>
      <c r="K368" s="55" t="s">
        <v>360</v>
      </c>
      <c r="L368" s="55" t="s">
        <v>360</v>
      </c>
      <c r="M368" s="55" t="s">
        <v>172</v>
      </c>
      <c r="N368" s="55" t="s">
        <v>172</v>
      </c>
      <c r="O368" s="55" t="s">
        <v>234</v>
      </c>
      <c r="P368" s="55" t="s">
        <v>369</v>
      </c>
      <c r="Q368" s="55" t="s">
        <v>350</v>
      </c>
      <c r="R368" s="85">
        <v>5</v>
      </c>
      <c r="S368" s="55">
        <v>0</v>
      </c>
      <c r="T368" s="74" t="s">
        <v>962</v>
      </c>
      <c r="U368" s="74" t="s">
        <v>351</v>
      </c>
      <c r="V368" s="74">
        <v>44419</v>
      </c>
      <c r="W368" s="74">
        <v>44459</v>
      </c>
      <c r="X368" s="55">
        <v>10186203</v>
      </c>
      <c r="Y368" s="55" t="s">
        <v>132</v>
      </c>
      <c r="AB368" s="74" t="s">
        <v>132</v>
      </c>
      <c r="AC368" s="55" t="s">
        <v>132</v>
      </c>
      <c r="AL368" s="74"/>
      <c r="AM368" s="74"/>
      <c r="AW368" s="74"/>
      <c r="AX368" s="74"/>
    </row>
    <row r="369" spans="1:50" ht="13" x14ac:dyDescent="0.15">
      <c r="A369" s="55" t="str">
        <f>HYPERLINK("http://reports.ofsted.gov.uk/inspection-reports/find-inspection-report/provider/CARE/1255823","Ofsted Social Care Provider Webpage")</f>
        <v>Ofsted Social Care Provider Webpage</v>
      </c>
      <c r="B369" s="55">
        <v>1255823</v>
      </c>
      <c r="D369" s="55" t="s">
        <v>373</v>
      </c>
      <c r="E369" s="74">
        <v>42906</v>
      </c>
      <c r="F369" s="55" t="s">
        <v>344</v>
      </c>
      <c r="G369" s="55" t="s">
        <v>360</v>
      </c>
      <c r="H369" s="55" t="s">
        <v>360</v>
      </c>
      <c r="I369" s="55" t="s">
        <v>360</v>
      </c>
      <c r="J369" s="55" t="s">
        <v>360</v>
      </c>
      <c r="K369" s="55" t="s">
        <v>360</v>
      </c>
      <c r="L369" s="55" t="s">
        <v>360</v>
      </c>
      <c r="M369" s="55" t="s">
        <v>150</v>
      </c>
      <c r="N369" s="55" t="s">
        <v>150</v>
      </c>
      <c r="O369" s="55" t="s">
        <v>190</v>
      </c>
      <c r="P369" s="55" t="s">
        <v>749</v>
      </c>
      <c r="Q369" s="55" t="s">
        <v>380</v>
      </c>
      <c r="R369" s="85">
        <v>5</v>
      </c>
      <c r="S369" s="55">
        <v>0</v>
      </c>
      <c r="T369" s="74" t="s">
        <v>967</v>
      </c>
      <c r="U369" s="74" t="s">
        <v>351</v>
      </c>
      <c r="V369" s="74">
        <v>44433</v>
      </c>
      <c r="W369" s="74">
        <v>44483</v>
      </c>
      <c r="X369" s="55">
        <v>10185111</v>
      </c>
      <c r="Y369" s="55" t="s">
        <v>132</v>
      </c>
      <c r="AB369" s="74" t="s">
        <v>132</v>
      </c>
      <c r="AC369" s="55" t="s">
        <v>130</v>
      </c>
      <c r="AL369" s="74"/>
      <c r="AM369" s="74"/>
      <c r="AW369" s="74"/>
      <c r="AX369" s="74"/>
    </row>
    <row r="370" spans="1:50" ht="13" x14ac:dyDescent="0.15">
      <c r="A370" s="55" t="str">
        <f>HYPERLINK("http://reports.ofsted.gov.uk/inspection-reports/find-inspection-report/provider/CARE/1256058","Ofsted Social Care Provider Webpage")</f>
        <v>Ofsted Social Care Provider Webpage</v>
      </c>
      <c r="B370" s="55">
        <v>1256058</v>
      </c>
      <c r="D370" s="55" t="s">
        <v>373</v>
      </c>
      <c r="E370" s="74">
        <v>42879</v>
      </c>
      <c r="F370" s="55" t="s">
        <v>728</v>
      </c>
      <c r="G370" s="55" t="s">
        <v>360</v>
      </c>
      <c r="H370" s="55" t="s">
        <v>360</v>
      </c>
      <c r="I370" s="55" t="s">
        <v>360</v>
      </c>
      <c r="J370" s="55" t="s">
        <v>360</v>
      </c>
      <c r="K370" s="55" t="s">
        <v>360</v>
      </c>
      <c r="L370" s="55" t="s">
        <v>360</v>
      </c>
      <c r="M370" s="55" t="s">
        <v>150</v>
      </c>
      <c r="N370" s="55" t="s">
        <v>150</v>
      </c>
      <c r="O370" s="55" t="s">
        <v>237</v>
      </c>
      <c r="P370" s="55" t="s">
        <v>990</v>
      </c>
      <c r="Q370" s="55" t="s">
        <v>350</v>
      </c>
      <c r="R370" s="85">
        <v>5</v>
      </c>
      <c r="S370" s="55">
        <v>0</v>
      </c>
      <c r="T370" s="74" t="s">
        <v>962</v>
      </c>
      <c r="U370" s="74" t="s">
        <v>2053</v>
      </c>
      <c r="V370" s="74">
        <v>44525</v>
      </c>
      <c r="W370" s="74">
        <v>44579</v>
      </c>
      <c r="X370" s="55">
        <v>10215900</v>
      </c>
      <c r="AL370" s="74"/>
      <c r="AM370" s="74"/>
      <c r="AW370" s="74"/>
      <c r="AX370" s="74"/>
    </row>
    <row r="371" spans="1:50" ht="13" x14ac:dyDescent="0.15">
      <c r="A371" s="55" t="str">
        <f>HYPERLINK("http://reports.ofsted.gov.uk/inspection-reports/find-inspection-report/provider/CARE/1256058","Ofsted Social Care Provider Webpage")</f>
        <v>Ofsted Social Care Provider Webpage</v>
      </c>
      <c r="B371" s="55">
        <v>1256058</v>
      </c>
      <c r="D371" s="55" t="s">
        <v>373</v>
      </c>
      <c r="E371" s="74">
        <v>42879</v>
      </c>
      <c r="F371" s="55" t="s">
        <v>728</v>
      </c>
      <c r="G371" s="55" t="s">
        <v>360</v>
      </c>
      <c r="H371" s="55" t="s">
        <v>360</v>
      </c>
      <c r="I371" s="55" t="s">
        <v>360</v>
      </c>
      <c r="J371" s="55" t="s">
        <v>360</v>
      </c>
      <c r="K371" s="55" t="s">
        <v>360</v>
      </c>
      <c r="L371" s="55" t="s">
        <v>360</v>
      </c>
      <c r="M371" s="55" t="s">
        <v>150</v>
      </c>
      <c r="N371" s="55" t="s">
        <v>150</v>
      </c>
      <c r="O371" s="55" t="s">
        <v>237</v>
      </c>
      <c r="P371" s="55" t="s">
        <v>990</v>
      </c>
      <c r="Q371" s="55" t="s">
        <v>350</v>
      </c>
      <c r="R371" s="85">
        <v>5</v>
      </c>
      <c r="S371" s="55">
        <v>0</v>
      </c>
      <c r="T371" s="74" t="s">
        <v>962</v>
      </c>
      <c r="U371" s="74" t="s">
        <v>2053</v>
      </c>
      <c r="V371" s="74">
        <v>44567</v>
      </c>
      <c r="W371" s="74">
        <v>44615</v>
      </c>
      <c r="X371" s="55">
        <v>10217680</v>
      </c>
      <c r="AL371" s="74"/>
      <c r="AM371" s="74"/>
      <c r="AW371" s="74"/>
      <c r="AX371" s="74"/>
    </row>
    <row r="372" spans="1:50" ht="13" x14ac:dyDescent="0.15">
      <c r="A372" s="55" t="str">
        <f>HYPERLINK("http://reports.ofsted.gov.uk/inspection-reports/find-inspection-report/provider/CARE/1256058","Ofsted Social Care Provider Webpage")</f>
        <v>Ofsted Social Care Provider Webpage</v>
      </c>
      <c r="B372" s="55">
        <v>1256058</v>
      </c>
      <c r="D372" s="55" t="s">
        <v>373</v>
      </c>
      <c r="E372" s="74">
        <v>42879</v>
      </c>
      <c r="F372" s="55" t="s">
        <v>728</v>
      </c>
      <c r="G372" s="55" t="s">
        <v>360</v>
      </c>
      <c r="H372" s="55" t="s">
        <v>360</v>
      </c>
      <c r="I372" s="55" t="s">
        <v>360</v>
      </c>
      <c r="J372" s="55" t="s">
        <v>360</v>
      </c>
      <c r="K372" s="55" t="s">
        <v>360</v>
      </c>
      <c r="L372" s="55" t="s">
        <v>360</v>
      </c>
      <c r="M372" s="55" t="s">
        <v>150</v>
      </c>
      <c r="N372" s="55" t="s">
        <v>150</v>
      </c>
      <c r="O372" s="55" t="s">
        <v>237</v>
      </c>
      <c r="P372" s="55" t="s">
        <v>990</v>
      </c>
      <c r="Q372" s="55" t="s">
        <v>350</v>
      </c>
      <c r="R372" s="85">
        <v>5</v>
      </c>
      <c r="S372" s="55">
        <v>0</v>
      </c>
      <c r="T372" s="74" t="s">
        <v>962</v>
      </c>
      <c r="U372" s="74" t="s">
        <v>2053</v>
      </c>
      <c r="V372" s="74">
        <v>44599</v>
      </c>
      <c r="W372" s="74">
        <v>44643</v>
      </c>
      <c r="X372" s="55">
        <v>10220236</v>
      </c>
      <c r="AL372" s="74"/>
      <c r="AM372" s="74"/>
      <c r="AW372" s="74"/>
      <c r="AX372" s="74"/>
    </row>
    <row r="373" spans="1:50" ht="13" x14ac:dyDescent="0.15">
      <c r="A373" s="55" t="str">
        <f>HYPERLINK("http://reports.ofsted.gov.uk/inspection-reports/find-inspection-report/provider/CARE/1256058","Ofsted Social Care Provider Webpage")</f>
        <v>Ofsted Social Care Provider Webpage</v>
      </c>
      <c r="B373" s="55">
        <v>1256058</v>
      </c>
      <c r="D373" s="55" t="s">
        <v>373</v>
      </c>
      <c r="E373" s="74">
        <v>42879</v>
      </c>
      <c r="F373" s="55" t="s">
        <v>728</v>
      </c>
      <c r="G373" s="55" t="s">
        <v>360</v>
      </c>
      <c r="H373" s="55" t="s">
        <v>360</v>
      </c>
      <c r="I373" s="55" t="s">
        <v>360</v>
      </c>
      <c r="J373" s="55" t="s">
        <v>360</v>
      </c>
      <c r="K373" s="55" t="s">
        <v>360</v>
      </c>
      <c r="L373" s="55" t="s">
        <v>360</v>
      </c>
      <c r="M373" s="55" t="s">
        <v>150</v>
      </c>
      <c r="N373" s="55" t="s">
        <v>150</v>
      </c>
      <c r="O373" s="55" t="s">
        <v>237</v>
      </c>
      <c r="P373" s="55" t="s">
        <v>990</v>
      </c>
      <c r="Q373" s="55" t="s">
        <v>350</v>
      </c>
      <c r="R373" s="85">
        <v>5</v>
      </c>
      <c r="S373" s="55">
        <v>0</v>
      </c>
      <c r="T373" s="74" t="s">
        <v>962</v>
      </c>
      <c r="U373" s="74" t="s">
        <v>351</v>
      </c>
      <c r="V373" s="74">
        <v>44334</v>
      </c>
      <c r="W373" s="74">
        <v>44376</v>
      </c>
      <c r="X373" s="55">
        <v>10186316</v>
      </c>
      <c r="Y373" s="55" t="s">
        <v>132</v>
      </c>
      <c r="AB373" s="74" t="s">
        <v>140</v>
      </c>
      <c r="AC373" s="55" t="s">
        <v>132</v>
      </c>
      <c r="AL373" s="74"/>
      <c r="AM373" s="74"/>
    </row>
    <row r="374" spans="1:50" ht="13" x14ac:dyDescent="0.15">
      <c r="A374" s="55" t="str">
        <f>HYPERLINK("http://reports.ofsted.gov.uk/inspection-reports/find-inspection-report/provider/CARE/1256059","Ofsted Social Care Provider Webpage")</f>
        <v>Ofsted Social Care Provider Webpage</v>
      </c>
      <c r="B374" s="55">
        <v>1256059</v>
      </c>
      <c r="D374" s="55" t="s">
        <v>373</v>
      </c>
      <c r="E374" s="74">
        <v>42879</v>
      </c>
      <c r="F374" s="55" t="s">
        <v>344</v>
      </c>
      <c r="G374" s="55" t="s">
        <v>360</v>
      </c>
      <c r="H374" s="55" t="s">
        <v>360</v>
      </c>
      <c r="I374" s="55" t="s">
        <v>360</v>
      </c>
      <c r="J374" s="55" t="s">
        <v>360</v>
      </c>
      <c r="K374" s="55" t="s">
        <v>360</v>
      </c>
      <c r="L374" s="55" t="s">
        <v>360</v>
      </c>
      <c r="M374" s="55" t="s">
        <v>172</v>
      </c>
      <c r="N374" s="55" t="s">
        <v>172</v>
      </c>
      <c r="O374" s="55" t="s">
        <v>228</v>
      </c>
      <c r="P374" s="55" t="s">
        <v>991</v>
      </c>
      <c r="Q374" s="55" t="s">
        <v>350</v>
      </c>
      <c r="R374" s="85">
        <v>5</v>
      </c>
      <c r="S374" s="55">
        <v>0</v>
      </c>
      <c r="T374" s="74" t="s">
        <v>962</v>
      </c>
      <c r="U374" s="74" t="s">
        <v>351</v>
      </c>
      <c r="V374" s="74">
        <v>44587</v>
      </c>
      <c r="W374" s="74">
        <v>44620</v>
      </c>
      <c r="X374" s="55">
        <v>10187478</v>
      </c>
      <c r="Y374" s="55" t="s">
        <v>132</v>
      </c>
      <c r="AB374" s="74" t="s">
        <v>132</v>
      </c>
      <c r="AC374" s="55" t="s">
        <v>132</v>
      </c>
      <c r="AL374" s="74"/>
      <c r="AM374" s="74"/>
      <c r="AW374" s="74"/>
      <c r="AX374" s="74"/>
    </row>
    <row r="375" spans="1:50" ht="13" x14ac:dyDescent="0.15">
      <c r="A375" s="55" t="str">
        <f>HYPERLINK("http://reports.ofsted.gov.uk/inspection-reports/find-inspection-report/provider/CARE/1256060","Ofsted Social Care Provider Webpage")</f>
        <v>Ofsted Social Care Provider Webpage</v>
      </c>
      <c r="B375" s="55">
        <v>1256060</v>
      </c>
      <c r="D375" s="55" t="s">
        <v>373</v>
      </c>
      <c r="E375" s="74">
        <v>42879</v>
      </c>
      <c r="F375" s="55" t="s">
        <v>344</v>
      </c>
      <c r="G375" s="55" t="s">
        <v>360</v>
      </c>
      <c r="H375" s="55" t="s">
        <v>360</v>
      </c>
      <c r="I375" s="55" t="s">
        <v>360</v>
      </c>
      <c r="J375" s="55" t="s">
        <v>360</v>
      </c>
      <c r="K375" s="55" t="s">
        <v>360</v>
      </c>
      <c r="L375" s="55" t="s">
        <v>360</v>
      </c>
      <c r="M375" s="55" t="s">
        <v>172</v>
      </c>
      <c r="N375" s="55" t="s">
        <v>172</v>
      </c>
      <c r="O375" s="55" t="s">
        <v>284</v>
      </c>
      <c r="P375" s="55" t="s">
        <v>357</v>
      </c>
      <c r="Q375" s="55" t="s">
        <v>350</v>
      </c>
      <c r="R375" s="85">
        <v>5</v>
      </c>
      <c r="S375" s="55">
        <v>0</v>
      </c>
      <c r="T375" s="74" t="s">
        <v>962</v>
      </c>
      <c r="U375" s="74" t="s">
        <v>351</v>
      </c>
      <c r="V375" s="74">
        <v>44447</v>
      </c>
      <c r="W375" s="74">
        <v>44477</v>
      </c>
      <c r="X375" s="55">
        <v>10185689</v>
      </c>
      <c r="Y375" s="55" t="s">
        <v>132</v>
      </c>
      <c r="AB375" s="74" t="s">
        <v>132</v>
      </c>
      <c r="AC375" s="55" t="s">
        <v>132</v>
      </c>
      <c r="AL375" s="74"/>
      <c r="AM375" s="74"/>
      <c r="AW375" s="74"/>
      <c r="AX375" s="74"/>
    </row>
    <row r="376" spans="1:50" ht="13" x14ac:dyDescent="0.15">
      <c r="A376" s="55" t="str">
        <f>HYPERLINK("http://reports.ofsted.gov.uk/inspection-reports/find-inspection-report/provider/CARE/1256061","Ofsted Social Care Provider Webpage")</f>
        <v>Ofsted Social Care Provider Webpage</v>
      </c>
      <c r="B376" s="55">
        <v>1256061</v>
      </c>
      <c r="D376" s="55" t="s">
        <v>373</v>
      </c>
      <c r="E376" s="74">
        <v>42879</v>
      </c>
      <c r="F376" s="55" t="s">
        <v>344</v>
      </c>
      <c r="G376" s="55" t="s">
        <v>360</v>
      </c>
      <c r="H376" s="55" t="s">
        <v>360</v>
      </c>
      <c r="I376" s="55" t="s">
        <v>360</v>
      </c>
      <c r="J376" s="55" t="s">
        <v>360</v>
      </c>
      <c r="K376" s="55" t="s">
        <v>360</v>
      </c>
      <c r="L376" s="55" t="s">
        <v>360</v>
      </c>
      <c r="M376" s="55" t="s">
        <v>172</v>
      </c>
      <c r="N376" s="55" t="s">
        <v>172</v>
      </c>
      <c r="O376" s="55" t="s">
        <v>228</v>
      </c>
      <c r="P376" s="55" t="s">
        <v>459</v>
      </c>
      <c r="Q376" s="55" t="s">
        <v>350</v>
      </c>
      <c r="R376" s="85">
        <v>5</v>
      </c>
      <c r="S376" s="55">
        <v>0</v>
      </c>
      <c r="T376" s="74" t="s">
        <v>962</v>
      </c>
      <c r="U376" s="74" t="s">
        <v>351</v>
      </c>
      <c r="V376" s="74">
        <v>44362</v>
      </c>
      <c r="W376" s="74">
        <v>44399</v>
      </c>
      <c r="X376" s="55">
        <v>10186113</v>
      </c>
      <c r="Y376" s="55" t="s">
        <v>132</v>
      </c>
      <c r="AB376" s="74" t="s">
        <v>132</v>
      </c>
      <c r="AC376" s="55" t="s">
        <v>132</v>
      </c>
      <c r="AL376" s="74"/>
      <c r="AM376" s="74"/>
      <c r="AW376" s="74"/>
      <c r="AX376" s="74"/>
    </row>
    <row r="377" spans="1:50" ht="13" x14ac:dyDescent="0.15">
      <c r="A377" s="55" t="str">
        <f>HYPERLINK("http://reports.ofsted.gov.uk/inspection-reports/find-inspection-report/provider/CARE/1256064","Ofsted Social Care Provider Webpage")</f>
        <v>Ofsted Social Care Provider Webpage</v>
      </c>
      <c r="B377" s="55">
        <v>1256064</v>
      </c>
      <c r="D377" s="55" t="s">
        <v>693</v>
      </c>
      <c r="E377" s="74">
        <v>42816</v>
      </c>
      <c r="F377" s="55" t="s">
        <v>344</v>
      </c>
      <c r="G377" s="55" t="s">
        <v>992</v>
      </c>
      <c r="H377" s="55" t="s">
        <v>993</v>
      </c>
      <c r="I377" s="55" t="s">
        <v>354</v>
      </c>
      <c r="J377" s="55" t="s">
        <v>994</v>
      </c>
      <c r="K377" s="55" t="s">
        <v>255</v>
      </c>
      <c r="L377" s="55" t="s">
        <v>995</v>
      </c>
      <c r="M377" s="55" t="s">
        <v>136</v>
      </c>
      <c r="N377" s="55" t="s">
        <v>136</v>
      </c>
      <c r="O377" s="55" t="s">
        <v>255</v>
      </c>
      <c r="P377" s="55" t="s">
        <v>583</v>
      </c>
      <c r="Q377" s="55" t="s">
        <v>350</v>
      </c>
      <c r="R377" s="85">
        <v>66</v>
      </c>
      <c r="S377" s="55">
        <v>0</v>
      </c>
      <c r="T377" s="74" t="s">
        <v>992</v>
      </c>
      <c r="U377" s="74" t="s">
        <v>351</v>
      </c>
      <c r="V377" s="74">
        <v>44608</v>
      </c>
      <c r="W377" s="74">
        <v>44652</v>
      </c>
      <c r="X377" s="55">
        <v>10183255</v>
      </c>
      <c r="Y377" s="55" t="s">
        <v>132</v>
      </c>
      <c r="AB377" s="74" t="s">
        <v>132</v>
      </c>
      <c r="AC377" s="55" t="s">
        <v>132</v>
      </c>
      <c r="AL377" s="74"/>
      <c r="AM377" s="74"/>
    </row>
    <row r="378" spans="1:50" ht="13" x14ac:dyDescent="0.15">
      <c r="A378" s="55" t="str">
        <f>HYPERLINK("http://reports.ofsted.gov.uk/inspection-reports/find-inspection-report/provider/CARE/1256134","Ofsted Social Care Provider Webpage")</f>
        <v>Ofsted Social Care Provider Webpage</v>
      </c>
      <c r="B378" s="55">
        <v>1256134</v>
      </c>
      <c r="D378" s="55" t="s">
        <v>373</v>
      </c>
      <c r="E378" s="74">
        <v>42893</v>
      </c>
      <c r="F378" s="55" t="s">
        <v>344</v>
      </c>
      <c r="G378" s="55" t="s">
        <v>360</v>
      </c>
      <c r="H378" s="55" t="s">
        <v>360</v>
      </c>
      <c r="I378" s="55" t="s">
        <v>360</v>
      </c>
      <c r="J378" s="55" t="s">
        <v>360</v>
      </c>
      <c r="K378" s="55" t="s">
        <v>360</v>
      </c>
      <c r="L378" s="55" t="s">
        <v>360</v>
      </c>
      <c r="M378" s="55" t="s">
        <v>144</v>
      </c>
      <c r="N378" s="55" t="s">
        <v>144</v>
      </c>
      <c r="O378" s="55" t="s">
        <v>236</v>
      </c>
      <c r="P378" s="55" t="s">
        <v>996</v>
      </c>
      <c r="Q378" s="55" t="s">
        <v>350</v>
      </c>
      <c r="R378" s="85">
        <v>4</v>
      </c>
      <c r="S378" s="55">
        <v>0</v>
      </c>
      <c r="T378" s="74" t="s">
        <v>863</v>
      </c>
      <c r="U378" s="74" t="s">
        <v>351</v>
      </c>
      <c r="V378" s="74">
        <v>44608</v>
      </c>
      <c r="W378" s="74">
        <v>44655</v>
      </c>
      <c r="X378" s="55">
        <v>10186187</v>
      </c>
      <c r="Y378" s="55" t="s">
        <v>132</v>
      </c>
      <c r="AB378" s="74" t="s">
        <v>132</v>
      </c>
      <c r="AC378" s="55" t="s">
        <v>132</v>
      </c>
      <c r="AL378" s="74"/>
      <c r="AM378" s="74"/>
    </row>
    <row r="379" spans="1:50" ht="13" x14ac:dyDescent="0.15">
      <c r="A379" s="55" t="str">
        <f>HYPERLINK("http://reports.ofsted.gov.uk/inspection-reports/find-inspection-report/provider/CARE/1256135","Ofsted Social Care Provider Webpage")</f>
        <v>Ofsted Social Care Provider Webpage</v>
      </c>
      <c r="B379" s="55">
        <v>1256135</v>
      </c>
      <c r="D379" s="55" t="s">
        <v>373</v>
      </c>
      <c r="E379" s="74">
        <v>42879</v>
      </c>
      <c r="F379" s="55" t="s">
        <v>344</v>
      </c>
      <c r="G379" s="55" t="s">
        <v>360</v>
      </c>
      <c r="H379" s="55" t="s">
        <v>360</v>
      </c>
      <c r="I379" s="55" t="s">
        <v>360</v>
      </c>
      <c r="J379" s="55" t="s">
        <v>360</v>
      </c>
      <c r="K379" s="55" t="s">
        <v>360</v>
      </c>
      <c r="L379" s="55" t="s">
        <v>360</v>
      </c>
      <c r="M379" s="55" t="s">
        <v>142</v>
      </c>
      <c r="N379" s="55" t="s">
        <v>142</v>
      </c>
      <c r="O379" s="55" t="s">
        <v>262</v>
      </c>
      <c r="P379" s="55" t="s">
        <v>949</v>
      </c>
      <c r="Q379" s="55" t="s">
        <v>350</v>
      </c>
      <c r="R379" s="85">
        <v>3</v>
      </c>
      <c r="S379" s="55">
        <v>0</v>
      </c>
      <c r="T379" s="74" t="s">
        <v>962</v>
      </c>
      <c r="U379" s="74" t="s">
        <v>6703</v>
      </c>
      <c r="V379" s="74">
        <v>44622</v>
      </c>
      <c r="W379" s="74">
        <v>44680</v>
      </c>
      <c r="X379" s="55">
        <v>10217225</v>
      </c>
      <c r="Y379" s="55" t="s">
        <v>6705</v>
      </c>
      <c r="AL379" s="74"/>
      <c r="AM379" s="74"/>
      <c r="AW379" s="74"/>
      <c r="AX379" s="74"/>
    </row>
    <row r="380" spans="1:50" ht="13" x14ac:dyDescent="0.15">
      <c r="A380" s="55" t="str">
        <f>HYPERLINK("http://reports.ofsted.gov.uk/inspection-reports/find-inspection-report/provider/CARE/1256135","Ofsted Social Care Provider Webpage")</f>
        <v>Ofsted Social Care Provider Webpage</v>
      </c>
      <c r="B380" s="55">
        <v>1256135</v>
      </c>
      <c r="D380" s="55" t="s">
        <v>373</v>
      </c>
      <c r="E380" s="74">
        <v>42879</v>
      </c>
      <c r="F380" s="55" t="s">
        <v>344</v>
      </c>
      <c r="G380" s="55" t="s">
        <v>360</v>
      </c>
      <c r="H380" s="55" t="s">
        <v>360</v>
      </c>
      <c r="I380" s="55" t="s">
        <v>360</v>
      </c>
      <c r="J380" s="55" t="s">
        <v>360</v>
      </c>
      <c r="K380" s="55" t="s">
        <v>360</v>
      </c>
      <c r="L380" s="55" t="s">
        <v>360</v>
      </c>
      <c r="M380" s="55" t="s">
        <v>142</v>
      </c>
      <c r="N380" s="55" t="s">
        <v>142</v>
      </c>
      <c r="O380" s="55" t="s">
        <v>262</v>
      </c>
      <c r="P380" s="55" t="s">
        <v>949</v>
      </c>
      <c r="Q380" s="55" t="s">
        <v>350</v>
      </c>
      <c r="R380" s="85">
        <v>3</v>
      </c>
      <c r="S380" s="55">
        <v>0</v>
      </c>
      <c r="T380" s="74" t="s">
        <v>962</v>
      </c>
      <c r="U380" s="74" t="s">
        <v>351</v>
      </c>
      <c r="V380" s="74">
        <v>44425</v>
      </c>
      <c r="W380" s="74">
        <v>44468</v>
      </c>
      <c r="X380" s="55">
        <v>10185643</v>
      </c>
      <c r="Y380" s="55" t="s">
        <v>130</v>
      </c>
      <c r="AB380" s="74" t="s">
        <v>130</v>
      </c>
      <c r="AC380" s="55" t="s">
        <v>130</v>
      </c>
      <c r="AL380" s="74"/>
      <c r="AM380" s="74"/>
      <c r="AW380" s="74"/>
      <c r="AX380" s="74"/>
    </row>
    <row r="381" spans="1:50" ht="13" x14ac:dyDescent="0.15">
      <c r="A381" s="55" t="str">
        <f>HYPERLINK("http://reports.ofsted.gov.uk/inspection-reports/find-inspection-report/provider/CARE/1256367","Ofsted Social Care Provider Webpage")</f>
        <v>Ofsted Social Care Provider Webpage</v>
      </c>
      <c r="B381" s="55">
        <v>1256367</v>
      </c>
      <c r="D381" s="55" t="s">
        <v>373</v>
      </c>
      <c r="E381" s="74">
        <v>42879</v>
      </c>
      <c r="F381" s="55" t="s">
        <v>344</v>
      </c>
      <c r="G381" s="55" t="s">
        <v>360</v>
      </c>
      <c r="H381" s="55" t="s">
        <v>360</v>
      </c>
      <c r="I381" s="55" t="s">
        <v>360</v>
      </c>
      <c r="J381" s="55" t="s">
        <v>360</v>
      </c>
      <c r="K381" s="55" t="s">
        <v>360</v>
      </c>
      <c r="L381" s="55" t="s">
        <v>360</v>
      </c>
      <c r="M381" s="55" t="s">
        <v>172</v>
      </c>
      <c r="N381" s="55" t="s">
        <v>172</v>
      </c>
      <c r="O381" s="55" t="s">
        <v>284</v>
      </c>
      <c r="P381" s="55" t="s">
        <v>985</v>
      </c>
      <c r="Q381" s="55" t="s">
        <v>350</v>
      </c>
      <c r="R381" s="85">
        <v>5</v>
      </c>
      <c r="S381" s="55">
        <v>0</v>
      </c>
      <c r="T381" s="74" t="s">
        <v>962</v>
      </c>
      <c r="U381" s="74" t="s">
        <v>351</v>
      </c>
      <c r="V381" s="74">
        <v>44384</v>
      </c>
      <c r="W381" s="74">
        <v>44414</v>
      </c>
      <c r="X381" s="55">
        <v>10185321</v>
      </c>
      <c r="Y381" s="55" t="s">
        <v>132</v>
      </c>
      <c r="AB381" s="74" t="s">
        <v>132</v>
      </c>
      <c r="AC381" s="55" t="s">
        <v>130</v>
      </c>
      <c r="AL381" s="74"/>
      <c r="AM381" s="74"/>
      <c r="AW381" s="74"/>
      <c r="AX381" s="74"/>
    </row>
    <row r="382" spans="1:50" ht="13" x14ac:dyDescent="0.15">
      <c r="A382" s="55" t="str">
        <f>HYPERLINK("http://reports.ofsted.gov.uk/inspection-reports/find-inspection-report/provider/CARE/1256404","Ofsted Social Care Provider Webpage")</f>
        <v>Ofsted Social Care Provider Webpage</v>
      </c>
      <c r="B382" s="55">
        <v>1256404</v>
      </c>
      <c r="D382" s="55" t="s">
        <v>373</v>
      </c>
      <c r="E382" s="74">
        <v>42879</v>
      </c>
      <c r="F382" s="55" t="s">
        <v>344</v>
      </c>
      <c r="G382" s="55" t="s">
        <v>360</v>
      </c>
      <c r="H382" s="55" t="s">
        <v>360</v>
      </c>
      <c r="I382" s="55" t="s">
        <v>360</v>
      </c>
      <c r="J382" s="55" t="s">
        <v>360</v>
      </c>
      <c r="K382" s="55" t="s">
        <v>360</v>
      </c>
      <c r="L382" s="55" t="s">
        <v>360</v>
      </c>
      <c r="M382" s="55" t="s">
        <v>172</v>
      </c>
      <c r="N382" s="55" t="s">
        <v>172</v>
      </c>
      <c r="O382" s="55" t="s">
        <v>235</v>
      </c>
      <c r="P382" s="55" t="s">
        <v>855</v>
      </c>
      <c r="Q382" s="55" t="s">
        <v>350</v>
      </c>
      <c r="R382" s="85">
        <v>5</v>
      </c>
      <c r="S382" s="55">
        <v>0</v>
      </c>
      <c r="T382" s="74" t="s">
        <v>962</v>
      </c>
      <c r="U382" s="74" t="s">
        <v>351</v>
      </c>
      <c r="V382" s="74">
        <v>44495</v>
      </c>
      <c r="W382" s="74">
        <v>44525</v>
      </c>
      <c r="X382" s="55">
        <v>10186532</v>
      </c>
      <c r="Y382" s="55" t="s">
        <v>132</v>
      </c>
      <c r="AB382" s="74" t="s">
        <v>132</v>
      </c>
      <c r="AC382" s="55" t="s">
        <v>140</v>
      </c>
      <c r="AL382" s="74"/>
      <c r="AM382" s="74"/>
      <c r="AW382" s="74"/>
      <c r="AX382" s="74"/>
    </row>
    <row r="383" spans="1:50" ht="13" x14ac:dyDescent="0.15">
      <c r="A383" s="55" t="str">
        <f>HYPERLINK("http://reports.ofsted.gov.uk/inspection-reports/find-inspection-report/provider/CARE/1256417","Ofsted Social Care Provider Webpage")</f>
        <v>Ofsted Social Care Provider Webpage</v>
      </c>
      <c r="B383" s="55">
        <v>1256417</v>
      </c>
      <c r="D383" s="55" t="s">
        <v>373</v>
      </c>
      <c r="E383" s="74">
        <v>42951</v>
      </c>
      <c r="F383" s="55" t="s">
        <v>344</v>
      </c>
      <c r="G383" s="55" t="s">
        <v>360</v>
      </c>
      <c r="H383" s="55" t="s">
        <v>360</v>
      </c>
      <c r="I383" s="55" t="s">
        <v>360</v>
      </c>
      <c r="J383" s="55" t="s">
        <v>360</v>
      </c>
      <c r="K383" s="55" t="s">
        <v>360</v>
      </c>
      <c r="L383" s="55" t="s">
        <v>360</v>
      </c>
      <c r="M383" s="55" t="s">
        <v>150</v>
      </c>
      <c r="N383" s="55" t="s">
        <v>150</v>
      </c>
      <c r="O383" s="55" t="s">
        <v>203</v>
      </c>
      <c r="P383" s="55" t="s">
        <v>800</v>
      </c>
      <c r="Q383" s="55" t="s">
        <v>350</v>
      </c>
      <c r="R383" s="85">
        <v>7</v>
      </c>
      <c r="S383" s="55">
        <v>0</v>
      </c>
      <c r="T383" s="74" t="s">
        <v>483</v>
      </c>
      <c r="U383" s="74" t="s">
        <v>351</v>
      </c>
      <c r="V383" s="74">
        <v>44636</v>
      </c>
      <c r="W383" s="74">
        <v>44678</v>
      </c>
      <c r="X383" s="55">
        <v>10186870</v>
      </c>
      <c r="Y383" s="55" t="s">
        <v>140</v>
      </c>
      <c r="AB383" s="74" t="s">
        <v>132</v>
      </c>
      <c r="AC383" s="55" t="s">
        <v>140</v>
      </c>
      <c r="AL383" s="74"/>
      <c r="AM383" s="74"/>
      <c r="AW383" s="74"/>
      <c r="AX383" s="74"/>
    </row>
    <row r="384" spans="1:50" ht="13" x14ac:dyDescent="0.15">
      <c r="A384" s="55" t="str">
        <f>HYPERLINK("http://reports.ofsted.gov.uk/inspection-reports/find-inspection-report/provider/CARE/1256452","Ofsted Social Care Provider Webpage")</f>
        <v>Ofsted Social Care Provider Webpage</v>
      </c>
      <c r="B384" s="55">
        <v>1256452</v>
      </c>
      <c r="D384" s="55" t="s">
        <v>373</v>
      </c>
      <c r="E384" s="74">
        <v>42929</v>
      </c>
      <c r="F384" s="55" t="s">
        <v>344</v>
      </c>
      <c r="G384" s="55" t="s">
        <v>360</v>
      </c>
      <c r="H384" s="55" t="s">
        <v>360</v>
      </c>
      <c r="I384" s="55" t="s">
        <v>360</v>
      </c>
      <c r="J384" s="55" t="s">
        <v>360</v>
      </c>
      <c r="K384" s="55" t="s">
        <v>360</v>
      </c>
      <c r="L384" s="55" t="s">
        <v>360</v>
      </c>
      <c r="M384" s="55" t="s">
        <v>138</v>
      </c>
      <c r="N384" s="55" t="s">
        <v>138</v>
      </c>
      <c r="O384" s="55" t="s">
        <v>183</v>
      </c>
      <c r="P384" s="55" t="s">
        <v>907</v>
      </c>
      <c r="Q384" s="55" t="s">
        <v>350</v>
      </c>
      <c r="R384" s="85">
        <v>5</v>
      </c>
      <c r="S384" s="55">
        <v>0</v>
      </c>
      <c r="T384" s="74" t="s">
        <v>997</v>
      </c>
      <c r="U384" s="74" t="s">
        <v>351</v>
      </c>
      <c r="V384" s="74">
        <v>44431</v>
      </c>
      <c r="W384" s="74">
        <v>44455</v>
      </c>
      <c r="X384" s="55">
        <v>10186682</v>
      </c>
      <c r="Y384" s="55" t="s">
        <v>132</v>
      </c>
      <c r="AB384" s="74" t="s">
        <v>132</v>
      </c>
      <c r="AC384" s="55" t="s">
        <v>132</v>
      </c>
      <c r="AL384" s="74"/>
      <c r="AM384" s="74"/>
      <c r="AW384" s="74"/>
      <c r="AX384" s="74"/>
    </row>
    <row r="385" spans="1:50" ht="13" x14ac:dyDescent="0.15">
      <c r="A385" s="55" t="str">
        <f>HYPERLINK("http://reports.ofsted.gov.uk/inspection-reports/find-inspection-report/provider/CARE/1256500","Ofsted Social Care Provider Webpage")</f>
        <v>Ofsted Social Care Provider Webpage</v>
      </c>
      <c r="B385" s="55">
        <v>1256500</v>
      </c>
      <c r="D385" s="55" t="s">
        <v>373</v>
      </c>
      <c r="E385" s="74">
        <v>42897</v>
      </c>
      <c r="F385" s="55" t="s">
        <v>344</v>
      </c>
      <c r="G385" s="55" t="s">
        <v>360</v>
      </c>
      <c r="H385" s="55" t="s">
        <v>360</v>
      </c>
      <c r="I385" s="55" t="s">
        <v>360</v>
      </c>
      <c r="J385" s="55" t="s">
        <v>360</v>
      </c>
      <c r="K385" s="55" t="s">
        <v>360</v>
      </c>
      <c r="L385" s="55" t="s">
        <v>360</v>
      </c>
      <c r="M385" s="55" t="s">
        <v>378</v>
      </c>
      <c r="N385" s="55" t="s">
        <v>134</v>
      </c>
      <c r="O385" s="55" t="s">
        <v>232</v>
      </c>
      <c r="P385" s="55" t="s">
        <v>595</v>
      </c>
      <c r="Q385" s="55" t="s">
        <v>380</v>
      </c>
      <c r="R385" s="85">
        <v>6</v>
      </c>
      <c r="S385" s="55" t="s">
        <v>332</v>
      </c>
      <c r="T385" s="74" t="s">
        <v>998</v>
      </c>
      <c r="U385" s="74" t="s">
        <v>351</v>
      </c>
      <c r="V385" s="74">
        <v>44511</v>
      </c>
      <c r="W385" s="74">
        <v>44547</v>
      </c>
      <c r="X385" s="55">
        <v>10185458</v>
      </c>
      <c r="Y385" s="55" t="s">
        <v>140</v>
      </c>
      <c r="AB385" s="74" t="s">
        <v>140</v>
      </c>
      <c r="AC385" s="55" t="s">
        <v>132</v>
      </c>
      <c r="AL385" s="74"/>
      <c r="AM385" s="74"/>
      <c r="AW385" s="74"/>
      <c r="AX385" s="74"/>
    </row>
    <row r="386" spans="1:50" ht="13" x14ac:dyDescent="0.15">
      <c r="A386" s="55" t="str">
        <f>HYPERLINK("http://reports.ofsted.gov.uk/inspection-reports/find-inspection-report/provider/CARE/1256608","Ofsted Social Care Provider Webpage")</f>
        <v>Ofsted Social Care Provider Webpage</v>
      </c>
      <c r="B386" s="55">
        <v>1256608</v>
      </c>
      <c r="D386" s="55" t="s">
        <v>373</v>
      </c>
      <c r="E386" s="74">
        <v>42920</v>
      </c>
      <c r="F386" s="55" t="s">
        <v>344</v>
      </c>
      <c r="G386" s="55" t="s">
        <v>360</v>
      </c>
      <c r="H386" s="55" t="s">
        <v>360</v>
      </c>
      <c r="I386" s="55" t="s">
        <v>360</v>
      </c>
      <c r="J386" s="55" t="s">
        <v>360</v>
      </c>
      <c r="K386" s="55" t="s">
        <v>360</v>
      </c>
      <c r="L386" s="55" t="s">
        <v>360</v>
      </c>
      <c r="M386" s="55" t="s">
        <v>378</v>
      </c>
      <c r="N386" s="55" t="s">
        <v>134</v>
      </c>
      <c r="O386" s="55" t="s">
        <v>175</v>
      </c>
      <c r="P386" s="55" t="s">
        <v>932</v>
      </c>
      <c r="Q386" s="55" t="s">
        <v>350</v>
      </c>
      <c r="R386" s="85">
        <v>3</v>
      </c>
      <c r="S386" s="55">
        <v>0</v>
      </c>
      <c r="T386" s="74" t="s">
        <v>933</v>
      </c>
      <c r="U386" s="74" t="s">
        <v>351</v>
      </c>
      <c r="V386" s="74">
        <v>44530</v>
      </c>
      <c r="W386" s="74">
        <v>44582</v>
      </c>
      <c r="X386" s="55">
        <v>10187243</v>
      </c>
      <c r="Y386" s="55" t="s">
        <v>140</v>
      </c>
      <c r="AB386" s="74" t="s">
        <v>140</v>
      </c>
      <c r="AC386" s="55" t="s">
        <v>140</v>
      </c>
      <c r="AL386" s="74"/>
      <c r="AM386" s="74"/>
    </row>
    <row r="387" spans="1:50" ht="13" x14ac:dyDescent="0.15">
      <c r="A387" s="55" t="str">
        <f>HYPERLINK("http://reports.ofsted.gov.uk/inspection-reports/find-inspection-report/provider/CARE/1256610","Ofsted Social Care Provider Webpage")</f>
        <v>Ofsted Social Care Provider Webpage</v>
      </c>
      <c r="B387" s="55">
        <v>1256610</v>
      </c>
      <c r="D387" s="55" t="s">
        <v>373</v>
      </c>
      <c r="E387" s="74">
        <v>42879</v>
      </c>
      <c r="F387" s="55" t="s">
        <v>344</v>
      </c>
      <c r="G387" s="55" t="s">
        <v>360</v>
      </c>
      <c r="H387" s="55" t="s">
        <v>360</v>
      </c>
      <c r="I387" s="55" t="s">
        <v>360</v>
      </c>
      <c r="J387" s="55" t="s">
        <v>360</v>
      </c>
      <c r="K387" s="55" t="s">
        <v>360</v>
      </c>
      <c r="L387" s="55" t="s">
        <v>360</v>
      </c>
      <c r="M387" s="55" t="s">
        <v>172</v>
      </c>
      <c r="N387" s="55" t="s">
        <v>172</v>
      </c>
      <c r="O387" s="55" t="s">
        <v>234</v>
      </c>
      <c r="P387" s="55" t="s">
        <v>965</v>
      </c>
      <c r="Q387" s="55" t="s">
        <v>350</v>
      </c>
      <c r="R387" s="85">
        <v>3</v>
      </c>
      <c r="S387" s="55">
        <v>0</v>
      </c>
      <c r="T387" s="74" t="s">
        <v>962</v>
      </c>
      <c r="U387" s="74" t="s">
        <v>351</v>
      </c>
      <c r="V387" s="74">
        <v>44460</v>
      </c>
      <c r="W387" s="74">
        <v>44494</v>
      </c>
      <c r="X387" s="55">
        <v>10186371</v>
      </c>
      <c r="Y387" s="55" t="s">
        <v>132</v>
      </c>
      <c r="AB387" s="74" t="s">
        <v>132</v>
      </c>
      <c r="AC387" s="55" t="s">
        <v>132</v>
      </c>
      <c r="AL387" s="74"/>
      <c r="AM387" s="74"/>
    </row>
    <row r="388" spans="1:50" ht="13" x14ac:dyDescent="0.15">
      <c r="A388" s="55" t="str">
        <f>HYPERLINK("http://reports.ofsted.gov.uk/inspection-reports/find-inspection-report/provider/CARE/1256638","Ofsted Social Care Provider Webpage")</f>
        <v>Ofsted Social Care Provider Webpage</v>
      </c>
      <c r="B388" s="55">
        <v>1256638</v>
      </c>
      <c r="D388" s="55" t="s">
        <v>373</v>
      </c>
      <c r="E388" s="74">
        <v>43032</v>
      </c>
      <c r="F388" s="55" t="s">
        <v>344</v>
      </c>
      <c r="G388" s="55" t="s">
        <v>360</v>
      </c>
      <c r="H388" s="55" t="s">
        <v>360</v>
      </c>
      <c r="I388" s="55" t="s">
        <v>360</v>
      </c>
      <c r="J388" s="55" t="s">
        <v>360</v>
      </c>
      <c r="K388" s="55" t="s">
        <v>360</v>
      </c>
      <c r="L388" s="55" t="s">
        <v>360</v>
      </c>
      <c r="M388" s="55" t="s">
        <v>142</v>
      </c>
      <c r="N388" s="55" t="s">
        <v>142</v>
      </c>
      <c r="O388" s="55" t="s">
        <v>262</v>
      </c>
      <c r="P388" s="55" t="s">
        <v>916</v>
      </c>
      <c r="Q388" s="55" t="s">
        <v>350</v>
      </c>
      <c r="R388" s="85">
        <v>3</v>
      </c>
      <c r="S388" s="55">
        <v>0</v>
      </c>
      <c r="T388" s="74" t="s">
        <v>504</v>
      </c>
      <c r="U388" s="74" t="s">
        <v>351</v>
      </c>
      <c r="V388" s="74">
        <v>44522</v>
      </c>
      <c r="W388" s="74">
        <v>44572</v>
      </c>
      <c r="X388" s="55">
        <v>10186658</v>
      </c>
      <c r="Y388" s="55" t="s">
        <v>132</v>
      </c>
      <c r="AB388" s="74" t="s">
        <v>132</v>
      </c>
      <c r="AC388" s="55" t="s">
        <v>132</v>
      </c>
      <c r="AL388" s="74"/>
      <c r="AM388" s="74"/>
      <c r="AW388" s="74"/>
      <c r="AX388" s="74"/>
    </row>
    <row r="389" spans="1:50" ht="13" x14ac:dyDescent="0.15">
      <c r="A389" s="55" t="str">
        <f>HYPERLINK("http://reports.ofsted.gov.uk/inspection-reports/find-inspection-report/provider/CARE/1256639","Ofsted Social Care Provider Webpage")</f>
        <v>Ofsted Social Care Provider Webpage</v>
      </c>
      <c r="B389" s="55">
        <v>1256639</v>
      </c>
      <c r="D389" s="55" t="s">
        <v>373</v>
      </c>
      <c r="E389" s="74">
        <v>42950</v>
      </c>
      <c r="F389" s="55" t="s">
        <v>344</v>
      </c>
      <c r="G389" s="55" t="s">
        <v>360</v>
      </c>
      <c r="H389" s="55" t="s">
        <v>360</v>
      </c>
      <c r="I389" s="55" t="s">
        <v>360</v>
      </c>
      <c r="J389" s="55" t="s">
        <v>360</v>
      </c>
      <c r="K389" s="55" t="s">
        <v>360</v>
      </c>
      <c r="L389" s="55" t="s">
        <v>360</v>
      </c>
      <c r="M389" s="55" t="s">
        <v>136</v>
      </c>
      <c r="N389" s="55" t="s">
        <v>136</v>
      </c>
      <c r="O389" s="55" t="s">
        <v>185</v>
      </c>
      <c r="P389" s="55" t="s">
        <v>898</v>
      </c>
      <c r="Q389" s="55" t="s">
        <v>350</v>
      </c>
      <c r="R389" s="85">
        <v>4</v>
      </c>
      <c r="S389" s="55">
        <v>0</v>
      </c>
      <c r="T389" s="74" t="s">
        <v>768</v>
      </c>
      <c r="U389" s="74" t="s">
        <v>351</v>
      </c>
      <c r="V389" s="74">
        <v>44592</v>
      </c>
      <c r="W389" s="74">
        <v>44634</v>
      </c>
      <c r="X389" s="55">
        <v>10185868</v>
      </c>
      <c r="Y389" s="55" t="s">
        <v>130</v>
      </c>
      <c r="AB389" s="74" t="s">
        <v>130</v>
      </c>
      <c r="AC389" s="55" t="s">
        <v>130</v>
      </c>
      <c r="AL389" s="74"/>
      <c r="AM389" s="74"/>
      <c r="AW389" s="74"/>
      <c r="AX389" s="74"/>
    </row>
    <row r="390" spans="1:50" ht="13" x14ac:dyDescent="0.15">
      <c r="A390" s="55" t="str">
        <f>HYPERLINK("http://reports.ofsted.gov.uk/inspection-reports/find-inspection-report/provider/CARE/1256658","Ofsted Social Care Provider Webpage")</f>
        <v>Ofsted Social Care Provider Webpage</v>
      </c>
      <c r="B390" s="55">
        <v>1256658</v>
      </c>
      <c r="D390" s="55" t="s">
        <v>373</v>
      </c>
      <c r="E390" s="74">
        <v>42920</v>
      </c>
      <c r="F390" s="55" t="s">
        <v>344</v>
      </c>
      <c r="G390" s="55" t="s">
        <v>360</v>
      </c>
      <c r="H390" s="55" t="s">
        <v>360</v>
      </c>
      <c r="I390" s="55" t="s">
        <v>360</v>
      </c>
      <c r="J390" s="55" t="s">
        <v>360</v>
      </c>
      <c r="K390" s="55" t="s">
        <v>360</v>
      </c>
      <c r="L390" s="55" t="s">
        <v>360</v>
      </c>
      <c r="M390" s="55" t="s">
        <v>144</v>
      </c>
      <c r="N390" s="55" t="s">
        <v>144</v>
      </c>
      <c r="O390" s="55" t="s">
        <v>188</v>
      </c>
      <c r="P390" s="55" t="s">
        <v>188</v>
      </c>
      <c r="Q390" s="55" t="s">
        <v>350</v>
      </c>
      <c r="R390" s="85">
        <v>2</v>
      </c>
      <c r="S390" s="55">
        <v>0</v>
      </c>
      <c r="T390" s="74" t="s">
        <v>729</v>
      </c>
      <c r="U390" s="74" t="s">
        <v>6703</v>
      </c>
      <c r="V390" s="74">
        <v>44587</v>
      </c>
      <c r="W390" s="74">
        <v>44620</v>
      </c>
      <c r="X390" s="55">
        <v>10210599</v>
      </c>
      <c r="Y390" s="55" t="s">
        <v>6704</v>
      </c>
      <c r="AL390" s="74"/>
      <c r="AM390" s="74"/>
      <c r="AW390" s="74"/>
      <c r="AX390" s="74"/>
    </row>
    <row r="391" spans="1:50" ht="13" x14ac:dyDescent="0.15">
      <c r="A391" s="55" t="str">
        <f>HYPERLINK("http://reports.ofsted.gov.uk/inspection-reports/find-inspection-report/provider/CARE/1256658","Ofsted Social Care Provider Webpage")</f>
        <v>Ofsted Social Care Provider Webpage</v>
      </c>
      <c r="B391" s="55">
        <v>1256658</v>
      </c>
      <c r="D391" s="55" t="s">
        <v>373</v>
      </c>
      <c r="E391" s="74">
        <v>42920</v>
      </c>
      <c r="F391" s="55" t="s">
        <v>344</v>
      </c>
      <c r="G391" s="55" t="s">
        <v>360</v>
      </c>
      <c r="H391" s="55" t="s">
        <v>360</v>
      </c>
      <c r="I391" s="55" t="s">
        <v>360</v>
      </c>
      <c r="J391" s="55" t="s">
        <v>360</v>
      </c>
      <c r="K391" s="55" t="s">
        <v>360</v>
      </c>
      <c r="L391" s="55" t="s">
        <v>360</v>
      </c>
      <c r="M391" s="55" t="s">
        <v>144</v>
      </c>
      <c r="N391" s="55" t="s">
        <v>144</v>
      </c>
      <c r="O391" s="55" t="s">
        <v>188</v>
      </c>
      <c r="P391" s="55" t="s">
        <v>188</v>
      </c>
      <c r="Q391" s="55" t="s">
        <v>350</v>
      </c>
      <c r="R391" s="85">
        <v>2</v>
      </c>
      <c r="S391" s="55">
        <v>0</v>
      </c>
      <c r="T391" s="74" t="s">
        <v>729</v>
      </c>
      <c r="U391" s="74" t="s">
        <v>351</v>
      </c>
      <c r="V391" s="74">
        <v>44488</v>
      </c>
      <c r="W391" s="74">
        <v>44518</v>
      </c>
      <c r="X391" s="55">
        <v>10187179</v>
      </c>
      <c r="Y391" s="55" t="s">
        <v>130</v>
      </c>
      <c r="AB391" s="74" t="s">
        <v>130</v>
      </c>
      <c r="AC391" s="55" t="s">
        <v>130</v>
      </c>
      <c r="AL391" s="74"/>
      <c r="AM391" s="74"/>
    </row>
    <row r="392" spans="1:50" ht="13" x14ac:dyDescent="0.15">
      <c r="A392" s="55" t="str">
        <f>HYPERLINK("http://reports.ofsted.gov.uk/inspection-reports/find-inspection-report/provider/CARE/1256660","Ofsted Social Care Provider Webpage")</f>
        <v>Ofsted Social Care Provider Webpage</v>
      </c>
      <c r="B392" s="55">
        <v>1256660</v>
      </c>
      <c r="D392" s="55" t="s">
        <v>373</v>
      </c>
      <c r="E392" s="74">
        <v>43258</v>
      </c>
      <c r="F392" s="55" t="s">
        <v>344</v>
      </c>
      <c r="G392" s="55" t="s">
        <v>360</v>
      </c>
      <c r="H392" s="55" t="s">
        <v>360</v>
      </c>
      <c r="I392" s="55" t="s">
        <v>360</v>
      </c>
      <c r="J392" s="55" t="s">
        <v>360</v>
      </c>
      <c r="K392" s="55" t="s">
        <v>360</v>
      </c>
      <c r="L392" s="55" t="s">
        <v>360</v>
      </c>
      <c r="M392" s="55" t="s">
        <v>138</v>
      </c>
      <c r="N392" s="55" t="s">
        <v>138</v>
      </c>
      <c r="O392" s="55" t="s">
        <v>259</v>
      </c>
      <c r="P392" s="55" t="s">
        <v>637</v>
      </c>
      <c r="Q392" s="55" t="s">
        <v>350</v>
      </c>
      <c r="R392" s="85">
        <v>5</v>
      </c>
      <c r="S392" s="55">
        <v>0</v>
      </c>
      <c r="T392" s="74" t="s">
        <v>644</v>
      </c>
      <c r="U392" s="74" t="s">
        <v>351</v>
      </c>
      <c r="V392" s="74">
        <v>44307</v>
      </c>
      <c r="W392" s="74">
        <v>44335</v>
      </c>
      <c r="X392" s="55">
        <v>10187497</v>
      </c>
      <c r="Y392" s="55" t="s">
        <v>146</v>
      </c>
      <c r="AB392" s="74" t="s">
        <v>146</v>
      </c>
      <c r="AC392" s="55" t="s">
        <v>146</v>
      </c>
      <c r="AL392" s="74"/>
      <c r="AM392" s="74"/>
      <c r="AW392" s="74"/>
      <c r="AX392" s="74"/>
    </row>
    <row r="393" spans="1:50" ht="13" x14ac:dyDescent="0.15">
      <c r="A393" s="55" t="str">
        <f>HYPERLINK("http://reports.ofsted.gov.uk/inspection-reports/find-inspection-report/provider/CARE/1256660","Ofsted Social Care Provider Webpage")</f>
        <v>Ofsted Social Care Provider Webpage</v>
      </c>
      <c r="B393" s="55">
        <v>1256660</v>
      </c>
      <c r="D393" s="55" t="s">
        <v>373</v>
      </c>
      <c r="E393" s="74">
        <v>43258</v>
      </c>
      <c r="F393" s="55" t="s">
        <v>344</v>
      </c>
      <c r="G393" s="55" t="s">
        <v>360</v>
      </c>
      <c r="H393" s="55" t="s">
        <v>360</v>
      </c>
      <c r="I393" s="55" t="s">
        <v>360</v>
      </c>
      <c r="J393" s="55" t="s">
        <v>360</v>
      </c>
      <c r="K393" s="55" t="s">
        <v>360</v>
      </c>
      <c r="L393" s="55" t="s">
        <v>360</v>
      </c>
      <c r="M393" s="55" t="s">
        <v>138</v>
      </c>
      <c r="N393" s="55" t="s">
        <v>138</v>
      </c>
      <c r="O393" s="55" t="s">
        <v>259</v>
      </c>
      <c r="P393" s="55" t="s">
        <v>637</v>
      </c>
      <c r="Q393" s="55" t="s">
        <v>350</v>
      </c>
      <c r="R393" s="85">
        <v>5</v>
      </c>
      <c r="S393" s="55">
        <v>0</v>
      </c>
      <c r="T393" s="74" t="s">
        <v>644</v>
      </c>
      <c r="U393" s="74" t="s">
        <v>351</v>
      </c>
      <c r="V393" s="74">
        <v>44350</v>
      </c>
      <c r="W393" s="74">
        <v>44376</v>
      </c>
      <c r="X393" s="55">
        <v>10194130</v>
      </c>
      <c r="Y393" s="55" t="s">
        <v>130</v>
      </c>
      <c r="AB393" s="74" t="s">
        <v>130</v>
      </c>
      <c r="AC393" s="55" t="s">
        <v>130</v>
      </c>
      <c r="AL393" s="74"/>
      <c r="AM393" s="74"/>
    </row>
    <row r="394" spans="1:50" ht="13" x14ac:dyDescent="0.15">
      <c r="A394" s="55" t="str">
        <f>HYPERLINK("http://reports.ofsted.gov.uk/inspection-reports/find-inspection-report/provider/CARE/1256660","Ofsted Social Care Provider Webpage")</f>
        <v>Ofsted Social Care Provider Webpage</v>
      </c>
      <c r="B394" s="55">
        <v>1256660</v>
      </c>
      <c r="D394" s="55" t="s">
        <v>373</v>
      </c>
      <c r="E394" s="74">
        <v>43258</v>
      </c>
      <c r="F394" s="55" t="s">
        <v>344</v>
      </c>
      <c r="G394" s="55" t="s">
        <v>360</v>
      </c>
      <c r="H394" s="55" t="s">
        <v>360</v>
      </c>
      <c r="I394" s="55" t="s">
        <v>360</v>
      </c>
      <c r="J394" s="55" t="s">
        <v>360</v>
      </c>
      <c r="K394" s="55" t="s">
        <v>360</v>
      </c>
      <c r="L394" s="55" t="s">
        <v>360</v>
      </c>
      <c r="M394" s="55" t="s">
        <v>138</v>
      </c>
      <c r="N394" s="55" t="s">
        <v>138</v>
      </c>
      <c r="O394" s="55" t="s">
        <v>259</v>
      </c>
      <c r="P394" s="55" t="s">
        <v>637</v>
      </c>
      <c r="Q394" s="55" t="s">
        <v>350</v>
      </c>
      <c r="R394" s="85">
        <v>5</v>
      </c>
      <c r="S394" s="55">
        <v>0</v>
      </c>
      <c r="T394" s="74" t="s">
        <v>644</v>
      </c>
      <c r="U394" s="74" t="s">
        <v>2053</v>
      </c>
      <c r="V394" s="74">
        <v>44629</v>
      </c>
      <c r="W394" s="74">
        <v>44665</v>
      </c>
      <c r="X394" s="55">
        <v>10230284</v>
      </c>
      <c r="AL394" s="74"/>
      <c r="AM394" s="74"/>
      <c r="AW394" s="74"/>
      <c r="AX394" s="74"/>
    </row>
    <row r="395" spans="1:50" ht="13" x14ac:dyDescent="0.15">
      <c r="A395" s="55" t="str">
        <f>HYPERLINK("http://reports.ofsted.gov.uk/inspection-reports/find-inspection-report/provider/CARE/1256771","Ofsted Social Care Provider Webpage")</f>
        <v>Ofsted Social Care Provider Webpage</v>
      </c>
      <c r="B395" s="55">
        <v>1256771</v>
      </c>
      <c r="D395" s="55" t="s">
        <v>373</v>
      </c>
      <c r="E395" s="74">
        <v>42909</v>
      </c>
      <c r="F395" s="55" t="s">
        <v>344</v>
      </c>
      <c r="G395" s="55" t="s">
        <v>360</v>
      </c>
      <c r="H395" s="55" t="s">
        <v>360</v>
      </c>
      <c r="I395" s="55" t="s">
        <v>360</v>
      </c>
      <c r="J395" s="55" t="s">
        <v>360</v>
      </c>
      <c r="K395" s="55" t="s">
        <v>360</v>
      </c>
      <c r="L395" s="55" t="s">
        <v>360</v>
      </c>
      <c r="M395" s="55" t="s">
        <v>136</v>
      </c>
      <c r="N395" s="55" t="s">
        <v>136</v>
      </c>
      <c r="O395" s="55" t="s">
        <v>174</v>
      </c>
      <c r="P395" s="55" t="s">
        <v>1010</v>
      </c>
      <c r="Q395" s="55" t="s">
        <v>350</v>
      </c>
      <c r="R395" s="85">
        <v>3</v>
      </c>
      <c r="S395" s="55">
        <v>0</v>
      </c>
      <c r="T395" s="74" t="s">
        <v>858</v>
      </c>
      <c r="U395" s="74" t="s">
        <v>351</v>
      </c>
      <c r="V395" s="74">
        <v>44474</v>
      </c>
      <c r="W395" s="74">
        <v>44510</v>
      </c>
      <c r="X395" s="55">
        <v>10187590</v>
      </c>
      <c r="Y395" s="55" t="s">
        <v>140</v>
      </c>
      <c r="AB395" s="74" t="s">
        <v>140</v>
      </c>
      <c r="AC395" s="55" t="s">
        <v>140</v>
      </c>
      <c r="AL395" s="74"/>
      <c r="AM395" s="74"/>
    </row>
    <row r="396" spans="1:50" ht="13" x14ac:dyDescent="0.15">
      <c r="A396" s="55" t="str">
        <f>HYPERLINK("http://reports.ofsted.gov.uk/inspection-reports/find-inspection-report/provider/CARE/1256904","Ofsted Social Care Provider Webpage")</f>
        <v>Ofsted Social Care Provider Webpage</v>
      </c>
      <c r="B396" s="55">
        <v>1256904</v>
      </c>
      <c r="D396" s="55" t="s">
        <v>373</v>
      </c>
      <c r="E396" s="74">
        <v>42848</v>
      </c>
      <c r="F396" s="55" t="s">
        <v>344</v>
      </c>
      <c r="G396" s="55" t="s">
        <v>360</v>
      </c>
      <c r="H396" s="55" t="s">
        <v>360</v>
      </c>
      <c r="I396" s="55" t="s">
        <v>360</v>
      </c>
      <c r="J396" s="55" t="s">
        <v>360</v>
      </c>
      <c r="K396" s="55" t="s">
        <v>360</v>
      </c>
      <c r="L396" s="55" t="s">
        <v>360</v>
      </c>
      <c r="M396" s="55" t="s">
        <v>144</v>
      </c>
      <c r="N396" s="55" t="s">
        <v>144</v>
      </c>
      <c r="O396" s="55" t="s">
        <v>209</v>
      </c>
      <c r="P396" s="55" t="s">
        <v>561</v>
      </c>
      <c r="Q396" s="55" t="s">
        <v>350</v>
      </c>
      <c r="R396" s="85">
        <v>3</v>
      </c>
      <c r="S396" s="55">
        <v>0</v>
      </c>
      <c r="T396" s="74" t="s">
        <v>490</v>
      </c>
      <c r="U396" s="74" t="s">
        <v>351</v>
      </c>
      <c r="V396" s="74">
        <v>44334</v>
      </c>
      <c r="W396" s="74">
        <v>44357</v>
      </c>
      <c r="X396" s="55">
        <v>10185714</v>
      </c>
      <c r="Y396" s="55" t="s">
        <v>132</v>
      </c>
      <c r="AB396" s="74" t="s">
        <v>132</v>
      </c>
      <c r="AC396" s="55" t="s">
        <v>132</v>
      </c>
      <c r="AL396" s="74"/>
      <c r="AM396" s="74"/>
    </row>
    <row r="397" spans="1:50" ht="13" x14ac:dyDescent="0.15">
      <c r="A397" s="55" t="str">
        <f>HYPERLINK("http://reports.ofsted.gov.uk/inspection-reports/find-inspection-report/provider/CARE/1256973","Ofsted Social Care Provider Webpage")</f>
        <v>Ofsted Social Care Provider Webpage</v>
      </c>
      <c r="B397" s="55">
        <v>1256973</v>
      </c>
      <c r="D397" s="55" t="s">
        <v>373</v>
      </c>
      <c r="E397" s="74">
        <v>42951</v>
      </c>
      <c r="F397" s="55" t="s">
        <v>344</v>
      </c>
      <c r="G397" s="55" t="s">
        <v>360</v>
      </c>
      <c r="H397" s="55" t="s">
        <v>360</v>
      </c>
      <c r="I397" s="55" t="s">
        <v>360</v>
      </c>
      <c r="J397" s="55" t="s">
        <v>360</v>
      </c>
      <c r="K397" s="55" t="s">
        <v>360</v>
      </c>
      <c r="L397" s="55" t="s">
        <v>360</v>
      </c>
      <c r="M397" s="55" t="s">
        <v>150</v>
      </c>
      <c r="N397" s="55" t="s">
        <v>150</v>
      </c>
      <c r="O397" s="55" t="s">
        <v>268</v>
      </c>
      <c r="P397" s="55" t="s">
        <v>395</v>
      </c>
      <c r="Q397" s="55" t="s">
        <v>350</v>
      </c>
      <c r="R397" s="85">
        <v>6</v>
      </c>
      <c r="S397" s="55">
        <v>0</v>
      </c>
      <c r="T397" s="74" t="s">
        <v>1011</v>
      </c>
      <c r="U397" s="74" t="s">
        <v>2053</v>
      </c>
      <c r="V397" s="74">
        <v>44539</v>
      </c>
      <c r="W397" s="74">
        <v>44588</v>
      </c>
      <c r="X397" s="55">
        <v>10216416</v>
      </c>
      <c r="AL397" s="74"/>
      <c r="AM397" s="74"/>
      <c r="AW397" s="74"/>
      <c r="AX397" s="74"/>
    </row>
    <row r="398" spans="1:50" ht="13" x14ac:dyDescent="0.15">
      <c r="A398" s="55" t="str">
        <f>HYPERLINK("http://reports.ofsted.gov.uk/inspection-reports/find-inspection-report/provider/CARE/1256973","Ofsted Social Care Provider Webpage")</f>
        <v>Ofsted Social Care Provider Webpage</v>
      </c>
      <c r="B398" s="55">
        <v>1256973</v>
      </c>
      <c r="D398" s="55" t="s">
        <v>373</v>
      </c>
      <c r="E398" s="74">
        <v>42951</v>
      </c>
      <c r="F398" s="55" t="s">
        <v>344</v>
      </c>
      <c r="G398" s="55" t="s">
        <v>360</v>
      </c>
      <c r="H398" s="55" t="s">
        <v>360</v>
      </c>
      <c r="I398" s="55" t="s">
        <v>360</v>
      </c>
      <c r="J398" s="55" t="s">
        <v>360</v>
      </c>
      <c r="K398" s="55" t="s">
        <v>360</v>
      </c>
      <c r="L398" s="55" t="s">
        <v>360</v>
      </c>
      <c r="M398" s="55" t="s">
        <v>150</v>
      </c>
      <c r="N398" s="55" t="s">
        <v>150</v>
      </c>
      <c r="O398" s="55" t="s">
        <v>268</v>
      </c>
      <c r="P398" s="55" t="s">
        <v>395</v>
      </c>
      <c r="Q398" s="55" t="s">
        <v>350</v>
      </c>
      <c r="R398" s="85">
        <v>6</v>
      </c>
      <c r="S398" s="55">
        <v>0</v>
      </c>
      <c r="T398" s="74" t="s">
        <v>1011</v>
      </c>
      <c r="U398" s="74" t="s">
        <v>351</v>
      </c>
      <c r="V398" s="74">
        <v>44431</v>
      </c>
      <c r="W398" s="74">
        <v>44462</v>
      </c>
      <c r="X398" s="55">
        <v>10187133</v>
      </c>
      <c r="Y398" s="55" t="s">
        <v>132</v>
      </c>
      <c r="AB398" s="74" t="s">
        <v>132</v>
      </c>
      <c r="AC398" s="55" t="s">
        <v>130</v>
      </c>
      <c r="AL398" s="74"/>
      <c r="AM398" s="74"/>
      <c r="AW398" s="74"/>
      <c r="AX398" s="74"/>
    </row>
    <row r="399" spans="1:50" ht="13" x14ac:dyDescent="0.15">
      <c r="A399" s="55" t="str">
        <f>HYPERLINK("http://reports.ofsted.gov.uk/inspection-reports/find-inspection-report/provider/CARE/1256973","Ofsted Social Care Provider Webpage")</f>
        <v>Ofsted Social Care Provider Webpage</v>
      </c>
      <c r="B399" s="55">
        <v>1256973</v>
      </c>
      <c r="D399" s="55" t="s">
        <v>373</v>
      </c>
      <c r="E399" s="74">
        <v>42951</v>
      </c>
      <c r="F399" s="55" t="s">
        <v>344</v>
      </c>
      <c r="G399" s="55" t="s">
        <v>360</v>
      </c>
      <c r="H399" s="55" t="s">
        <v>360</v>
      </c>
      <c r="I399" s="55" t="s">
        <v>360</v>
      </c>
      <c r="J399" s="55" t="s">
        <v>360</v>
      </c>
      <c r="K399" s="55" t="s">
        <v>360</v>
      </c>
      <c r="L399" s="55" t="s">
        <v>360</v>
      </c>
      <c r="M399" s="55" t="s">
        <v>150</v>
      </c>
      <c r="N399" s="55" t="s">
        <v>150</v>
      </c>
      <c r="O399" s="55" t="s">
        <v>268</v>
      </c>
      <c r="P399" s="55" t="s">
        <v>395</v>
      </c>
      <c r="Q399" s="55" t="s">
        <v>350</v>
      </c>
      <c r="R399" s="85">
        <v>6</v>
      </c>
      <c r="S399" s="55">
        <v>0</v>
      </c>
      <c r="T399" s="74" t="s">
        <v>1011</v>
      </c>
      <c r="U399" s="74" t="s">
        <v>2053</v>
      </c>
      <c r="V399" s="74">
        <v>44588</v>
      </c>
      <c r="W399" s="74">
        <v>44628</v>
      </c>
      <c r="X399" s="55">
        <v>10218034</v>
      </c>
      <c r="AL399" s="74"/>
      <c r="AM399" s="74"/>
      <c r="AW399" s="74"/>
      <c r="AX399" s="74"/>
    </row>
    <row r="400" spans="1:50" ht="13" x14ac:dyDescent="0.15">
      <c r="A400" s="55" t="str">
        <f>HYPERLINK("http://reports.ofsted.gov.uk/inspection-reports/find-inspection-report/provider/CARE/1256973","Ofsted Social Care Provider Webpage")</f>
        <v>Ofsted Social Care Provider Webpage</v>
      </c>
      <c r="B400" s="55">
        <v>1256973</v>
      </c>
      <c r="D400" s="55" t="s">
        <v>373</v>
      </c>
      <c r="E400" s="74">
        <v>42951</v>
      </c>
      <c r="F400" s="55" t="s">
        <v>344</v>
      </c>
      <c r="G400" s="55" t="s">
        <v>360</v>
      </c>
      <c r="H400" s="55" t="s">
        <v>360</v>
      </c>
      <c r="I400" s="55" t="s">
        <v>360</v>
      </c>
      <c r="J400" s="55" t="s">
        <v>360</v>
      </c>
      <c r="K400" s="55" t="s">
        <v>360</v>
      </c>
      <c r="L400" s="55" t="s">
        <v>360</v>
      </c>
      <c r="M400" s="55" t="s">
        <v>150</v>
      </c>
      <c r="N400" s="55" t="s">
        <v>150</v>
      </c>
      <c r="O400" s="55" t="s">
        <v>268</v>
      </c>
      <c r="P400" s="55" t="s">
        <v>395</v>
      </c>
      <c r="Q400" s="55" t="s">
        <v>350</v>
      </c>
      <c r="R400" s="85">
        <v>6</v>
      </c>
      <c r="S400" s="55">
        <v>0</v>
      </c>
      <c r="T400" s="74" t="s">
        <v>1011</v>
      </c>
      <c r="U400" s="74" t="s">
        <v>2053</v>
      </c>
      <c r="V400" s="74">
        <v>44525</v>
      </c>
      <c r="W400" s="74">
        <v>44581</v>
      </c>
      <c r="X400" s="55">
        <v>10214850</v>
      </c>
      <c r="AL400" s="74"/>
      <c r="AM400" s="74"/>
      <c r="AW400" s="74"/>
      <c r="AX400" s="74"/>
    </row>
    <row r="401" spans="1:50" ht="13" x14ac:dyDescent="0.15">
      <c r="A401" s="55" t="str">
        <f>HYPERLINK("http://reports.ofsted.gov.uk/inspection-reports/find-inspection-report/provider/CARE/1257013","Ofsted Social Care Provider Webpage")</f>
        <v>Ofsted Social Care Provider Webpage</v>
      </c>
      <c r="B401" s="55">
        <v>1257013</v>
      </c>
      <c r="D401" s="55" t="s">
        <v>373</v>
      </c>
      <c r="E401" s="74">
        <v>42936</v>
      </c>
      <c r="F401" s="55" t="s">
        <v>344</v>
      </c>
      <c r="G401" s="55" t="s">
        <v>360</v>
      </c>
      <c r="H401" s="55" t="s">
        <v>360</v>
      </c>
      <c r="I401" s="55" t="s">
        <v>360</v>
      </c>
      <c r="J401" s="55" t="s">
        <v>360</v>
      </c>
      <c r="K401" s="55" t="s">
        <v>360</v>
      </c>
      <c r="L401" s="55" t="s">
        <v>360</v>
      </c>
      <c r="M401" s="55" t="s">
        <v>172</v>
      </c>
      <c r="N401" s="55" t="s">
        <v>172</v>
      </c>
      <c r="O401" s="55" t="s">
        <v>234</v>
      </c>
      <c r="P401" s="55" t="s">
        <v>965</v>
      </c>
      <c r="Q401" s="55" t="s">
        <v>350</v>
      </c>
      <c r="R401" s="85">
        <v>6</v>
      </c>
      <c r="S401" s="55">
        <v>0</v>
      </c>
      <c r="T401" s="74" t="s">
        <v>517</v>
      </c>
      <c r="U401" s="74" t="s">
        <v>351</v>
      </c>
      <c r="V401" s="74">
        <v>44363</v>
      </c>
      <c r="W401" s="74">
        <v>44400</v>
      </c>
      <c r="X401" s="55">
        <v>10186521</v>
      </c>
      <c r="Y401" s="55" t="s">
        <v>132</v>
      </c>
      <c r="AB401" s="74" t="s">
        <v>132</v>
      </c>
      <c r="AC401" s="55" t="s">
        <v>132</v>
      </c>
      <c r="AL401" s="74"/>
      <c r="AM401" s="74"/>
      <c r="AW401" s="74"/>
      <c r="AX401" s="74"/>
    </row>
    <row r="402" spans="1:50" ht="13" x14ac:dyDescent="0.15">
      <c r="A402" s="55" t="str">
        <f>HYPERLINK("http://reports.ofsted.gov.uk/inspection-reports/find-inspection-report/provider/CARE/1257013","Ofsted Social Care Provider Webpage")</f>
        <v>Ofsted Social Care Provider Webpage</v>
      </c>
      <c r="B402" s="55">
        <v>1257013</v>
      </c>
      <c r="D402" s="55" t="s">
        <v>373</v>
      </c>
      <c r="E402" s="74">
        <v>42936</v>
      </c>
      <c r="F402" s="55" t="s">
        <v>344</v>
      </c>
      <c r="G402" s="55" t="s">
        <v>360</v>
      </c>
      <c r="H402" s="55" t="s">
        <v>360</v>
      </c>
      <c r="I402" s="55" t="s">
        <v>360</v>
      </c>
      <c r="J402" s="55" t="s">
        <v>360</v>
      </c>
      <c r="K402" s="55" t="s">
        <v>360</v>
      </c>
      <c r="L402" s="55" t="s">
        <v>360</v>
      </c>
      <c r="M402" s="55" t="s">
        <v>172</v>
      </c>
      <c r="N402" s="55" t="s">
        <v>172</v>
      </c>
      <c r="O402" s="55" t="s">
        <v>234</v>
      </c>
      <c r="P402" s="55" t="s">
        <v>965</v>
      </c>
      <c r="Q402" s="55" t="s">
        <v>350</v>
      </c>
      <c r="R402" s="85">
        <v>6</v>
      </c>
      <c r="S402" s="55">
        <v>0</v>
      </c>
      <c r="T402" s="74" t="s">
        <v>517</v>
      </c>
      <c r="U402" s="74" t="s">
        <v>2053</v>
      </c>
      <c r="V402" s="74">
        <v>44523</v>
      </c>
      <c r="W402" s="74">
        <v>44565</v>
      </c>
      <c r="X402" s="55">
        <v>10214449</v>
      </c>
      <c r="AL402" s="74"/>
      <c r="AM402" s="74"/>
      <c r="AW402" s="74"/>
      <c r="AX402" s="74"/>
    </row>
    <row r="403" spans="1:50" ht="13" x14ac:dyDescent="0.15">
      <c r="A403" s="55" t="str">
        <f>HYPERLINK("http://reports.ofsted.gov.uk/inspection-reports/find-inspection-report/provider/CARE/1257022","Ofsted Social Care Provider Webpage")</f>
        <v>Ofsted Social Care Provider Webpage</v>
      </c>
      <c r="B403" s="55">
        <v>1257022</v>
      </c>
      <c r="D403" s="55" t="s">
        <v>373</v>
      </c>
      <c r="E403" s="74">
        <v>42941</v>
      </c>
      <c r="F403" s="55" t="s">
        <v>344</v>
      </c>
      <c r="G403" s="55" t="s">
        <v>360</v>
      </c>
      <c r="H403" s="55" t="s">
        <v>360</v>
      </c>
      <c r="I403" s="55" t="s">
        <v>360</v>
      </c>
      <c r="J403" s="55" t="s">
        <v>360</v>
      </c>
      <c r="K403" s="55" t="s">
        <v>360</v>
      </c>
      <c r="L403" s="55" t="s">
        <v>360</v>
      </c>
      <c r="M403" s="55" t="s">
        <v>129</v>
      </c>
      <c r="N403" s="55" t="s">
        <v>129</v>
      </c>
      <c r="O403" s="55" t="s">
        <v>194</v>
      </c>
      <c r="P403" s="55" t="s">
        <v>1012</v>
      </c>
      <c r="Q403" s="55" t="s">
        <v>350</v>
      </c>
      <c r="R403" s="85">
        <v>6</v>
      </c>
      <c r="S403" s="55">
        <v>0</v>
      </c>
      <c r="T403" s="74" t="s">
        <v>1013</v>
      </c>
      <c r="U403" s="74" t="s">
        <v>351</v>
      </c>
      <c r="V403" s="74">
        <v>44328</v>
      </c>
      <c r="W403" s="74">
        <v>44358</v>
      </c>
      <c r="X403" s="55">
        <v>10187011</v>
      </c>
      <c r="Y403" s="55" t="s">
        <v>132</v>
      </c>
      <c r="AB403" s="74" t="s">
        <v>132</v>
      </c>
      <c r="AC403" s="55" t="s">
        <v>132</v>
      </c>
      <c r="AL403" s="74"/>
      <c r="AM403" s="74"/>
    </row>
    <row r="404" spans="1:50" ht="13" x14ac:dyDescent="0.15">
      <c r="A404" s="55" t="str">
        <f>HYPERLINK("http://reports.ofsted.gov.uk/inspection-reports/find-inspection-report/provider/CARE/1257065","Ofsted Social Care Provider Webpage")</f>
        <v>Ofsted Social Care Provider Webpage</v>
      </c>
      <c r="B404" s="55">
        <v>1257065</v>
      </c>
      <c r="D404" s="55" t="s">
        <v>373</v>
      </c>
      <c r="E404" s="74">
        <v>42908</v>
      </c>
      <c r="F404" s="55" t="s">
        <v>344</v>
      </c>
      <c r="G404" s="55" t="s">
        <v>360</v>
      </c>
      <c r="H404" s="55" t="s">
        <v>360</v>
      </c>
      <c r="I404" s="55" t="s">
        <v>360</v>
      </c>
      <c r="J404" s="55" t="s">
        <v>360</v>
      </c>
      <c r="K404" s="55" t="s">
        <v>360</v>
      </c>
      <c r="L404" s="55" t="s">
        <v>360</v>
      </c>
      <c r="M404" s="55" t="s">
        <v>150</v>
      </c>
      <c r="N404" s="55" t="s">
        <v>150</v>
      </c>
      <c r="O404" s="55" t="s">
        <v>190</v>
      </c>
      <c r="P404" s="55" t="s">
        <v>371</v>
      </c>
      <c r="Q404" s="55" t="s">
        <v>380</v>
      </c>
      <c r="R404" s="85">
        <v>4</v>
      </c>
      <c r="S404" s="55">
        <v>0</v>
      </c>
      <c r="T404" s="74" t="s">
        <v>967</v>
      </c>
      <c r="U404" s="74" t="s">
        <v>351</v>
      </c>
      <c r="V404" s="74">
        <v>44523</v>
      </c>
      <c r="W404" s="74">
        <v>44574</v>
      </c>
      <c r="X404" s="55">
        <v>10185542</v>
      </c>
      <c r="Y404" s="55" t="s">
        <v>140</v>
      </c>
      <c r="AB404" s="74" t="s">
        <v>140</v>
      </c>
      <c r="AC404" s="55" t="s">
        <v>140</v>
      </c>
      <c r="AL404" s="74"/>
      <c r="AM404" s="74"/>
      <c r="AW404" s="74"/>
      <c r="AX404" s="74"/>
    </row>
    <row r="405" spans="1:50" ht="13" x14ac:dyDescent="0.15">
      <c r="A405" s="55" t="str">
        <f>HYPERLINK("http://reports.ofsted.gov.uk/inspection-reports/find-inspection-report/provider/CARE/1257074","Ofsted Social Care Provider Webpage")</f>
        <v>Ofsted Social Care Provider Webpage</v>
      </c>
      <c r="B405" s="55">
        <v>1257074</v>
      </c>
      <c r="D405" s="55" t="s">
        <v>373</v>
      </c>
      <c r="E405" s="74">
        <v>43018</v>
      </c>
      <c r="F405" s="55" t="s">
        <v>344</v>
      </c>
      <c r="G405" s="55" t="s">
        <v>360</v>
      </c>
      <c r="H405" s="55" t="s">
        <v>360</v>
      </c>
      <c r="I405" s="55" t="s">
        <v>360</v>
      </c>
      <c r="J405" s="55" t="s">
        <v>360</v>
      </c>
      <c r="K405" s="55" t="s">
        <v>360</v>
      </c>
      <c r="L405" s="55" t="s">
        <v>360</v>
      </c>
      <c r="M405" s="55" t="s">
        <v>142</v>
      </c>
      <c r="N405" s="55" t="s">
        <v>142</v>
      </c>
      <c r="O405" s="55" t="s">
        <v>195</v>
      </c>
      <c r="P405" s="55" t="s">
        <v>518</v>
      </c>
      <c r="Q405" s="55" t="s">
        <v>350</v>
      </c>
      <c r="R405" s="85">
        <v>8</v>
      </c>
      <c r="S405" s="55">
        <v>0</v>
      </c>
      <c r="T405" s="74" t="s">
        <v>1014</v>
      </c>
      <c r="U405" s="74" t="s">
        <v>351</v>
      </c>
      <c r="V405" s="74">
        <v>44538</v>
      </c>
      <c r="W405" s="74">
        <v>44586</v>
      </c>
      <c r="X405" s="55">
        <v>10185965</v>
      </c>
      <c r="Y405" s="55" t="s">
        <v>140</v>
      </c>
      <c r="AB405" s="74" t="s">
        <v>132</v>
      </c>
      <c r="AC405" s="55" t="s">
        <v>140</v>
      </c>
      <c r="AL405" s="74"/>
      <c r="AM405" s="74"/>
    </row>
    <row r="406" spans="1:50" ht="13" x14ac:dyDescent="0.15">
      <c r="A406" s="55" t="str">
        <f>HYPERLINK("http://reports.ofsted.gov.uk/inspection-reports/find-inspection-report/provider/CARE/1257101","Ofsted Social Care Provider Webpage")</f>
        <v>Ofsted Social Care Provider Webpage</v>
      </c>
      <c r="B406" s="55">
        <v>1257101</v>
      </c>
      <c r="D406" s="55" t="s">
        <v>373</v>
      </c>
      <c r="E406" s="74">
        <v>42948</v>
      </c>
      <c r="F406" s="55" t="s">
        <v>344</v>
      </c>
      <c r="G406" s="55" t="s">
        <v>360</v>
      </c>
      <c r="H406" s="55" t="s">
        <v>360</v>
      </c>
      <c r="I406" s="55" t="s">
        <v>360</v>
      </c>
      <c r="J406" s="55" t="s">
        <v>360</v>
      </c>
      <c r="K406" s="55" t="s">
        <v>360</v>
      </c>
      <c r="L406" s="55" t="s">
        <v>360</v>
      </c>
      <c r="M406" s="55" t="s">
        <v>129</v>
      </c>
      <c r="N406" s="55" t="s">
        <v>129</v>
      </c>
      <c r="O406" s="55" t="s">
        <v>139</v>
      </c>
      <c r="P406" s="55" t="s">
        <v>1015</v>
      </c>
      <c r="Q406" s="55" t="s">
        <v>350</v>
      </c>
      <c r="R406" s="85">
        <v>3</v>
      </c>
      <c r="S406" s="55">
        <v>0</v>
      </c>
      <c r="T406" s="74" t="s">
        <v>1016</v>
      </c>
      <c r="U406" s="74" t="s">
        <v>351</v>
      </c>
      <c r="V406" s="74">
        <v>44334</v>
      </c>
      <c r="W406" s="74">
        <v>44372</v>
      </c>
      <c r="X406" s="55">
        <v>10186277</v>
      </c>
      <c r="Y406" s="55" t="s">
        <v>132</v>
      </c>
      <c r="AB406" s="74" t="s">
        <v>132</v>
      </c>
      <c r="AC406" s="55" t="s">
        <v>132</v>
      </c>
      <c r="AL406" s="74"/>
      <c r="AM406" s="74"/>
    </row>
    <row r="407" spans="1:50" ht="13" x14ac:dyDescent="0.15">
      <c r="A407" s="55" t="str">
        <f>HYPERLINK("http://reports.ofsted.gov.uk/inspection-reports/find-inspection-report/provider/CARE/1257202","Ofsted Social Care Provider Webpage")</f>
        <v>Ofsted Social Care Provider Webpage</v>
      </c>
      <c r="B407" s="55">
        <v>1257202</v>
      </c>
      <c r="D407" s="55" t="s">
        <v>373</v>
      </c>
      <c r="E407" s="74">
        <v>43088</v>
      </c>
      <c r="F407" s="55" t="s">
        <v>344</v>
      </c>
      <c r="G407" s="55" t="s">
        <v>360</v>
      </c>
      <c r="H407" s="55" t="s">
        <v>360</v>
      </c>
      <c r="I407" s="55" t="s">
        <v>360</v>
      </c>
      <c r="J407" s="55" t="s">
        <v>360</v>
      </c>
      <c r="K407" s="55" t="s">
        <v>360</v>
      </c>
      <c r="L407" s="55" t="s">
        <v>360</v>
      </c>
      <c r="M407" s="55" t="s">
        <v>142</v>
      </c>
      <c r="N407" s="55" t="s">
        <v>142</v>
      </c>
      <c r="O407" s="55" t="s">
        <v>262</v>
      </c>
      <c r="P407" s="55" t="s">
        <v>692</v>
      </c>
      <c r="Q407" s="55" t="s">
        <v>350</v>
      </c>
      <c r="R407" s="85">
        <v>4</v>
      </c>
      <c r="S407" s="55">
        <v>0</v>
      </c>
      <c r="T407" s="74" t="s">
        <v>1019</v>
      </c>
      <c r="U407" s="74" t="s">
        <v>351</v>
      </c>
      <c r="V407" s="74">
        <v>44567</v>
      </c>
      <c r="W407" s="74">
        <v>44603</v>
      </c>
      <c r="X407" s="55">
        <v>10186331</v>
      </c>
      <c r="Y407" s="55" t="s">
        <v>132</v>
      </c>
      <c r="AB407" s="74" t="s">
        <v>132</v>
      </c>
      <c r="AC407" s="55" t="s">
        <v>132</v>
      </c>
      <c r="AL407" s="74"/>
      <c r="AM407" s="74"/>
      <c r="AW407" s="74"/>
      <c r="AX407" s="74"/>
    </row>
    <row r="408" spans="1:50" ht="13" x14ac:dyDescent="0.15">
      <c r="A408" s="55" t="str">
        <f>HYPERLINK("http://reports.ofsted.gov.uk/inspection-reports/find-inspection-report/provider/CARE/1257289","Ofsted Social Care Provider Webpage")</f>
        <v>Ofsted Social Care Provider Webpage</v>
      </c>
      <c r="B408" s="55">
        <v>1257289</v>
      </c>
      <c r="D408" s="55" t="s">
        <v>373</v>
      </c>
      <c r="E408" s="74">
        <v>42943</v>
      </c>
      <c r="F408" s="55" t="s">
        <v>344</v>
      </c>
      <c r="G408" s="55" t="s">
        <v>360</v>
      </c>
      <c r="H408" s="55" t="s">
        <v>360</v>
      </c>
      <c r="I408" s="55" t="s">
        <v>360</v>
      </c>
      <c r="J408" s="55" t="s">
        <v>360</v>
      </c>
      <c r="K408" s="55" t="s">
        <v>360</v>
      </c>
      <c r="L408" s="55" t="s">
        <v>360</v>
      </c>
      <c r="M408" s="55" t="s">
        <v>129</v>
      </c>
      <c r="N408" s="55" t="s">
        <v>129</v>
      </c>
      <c r="O408" s="55" t="s">
        <v>213</v>
      </c>
      <c r="P408" s="55" t="s">
        <v>1020</v>
      </c>
      <c r="Q408" s="55" t="s">
        <v>362</v>
      </c>
      <c r="R408" s="85">
        <v>5</v>
      </c>
      <c r="S408" s="55" t="s">
        <v>332</v>
      </c>
      <c r="T408" s="74" t="s">
        <v>1021</v>
      </c>
      <c r="U408" s="74" t="s">
        <v>351</v>
      </c>
      <c r="V408" s="74">
        <v>44398</v>
      </c>
      <c r="W408" s="74">
        <v>44428</v>
      </c>
      <c r="X408" s="55">
        <v>10186713</v>
      </c>
      <c r="Y408" s="55" t="s">
        <v>132</v>
      </c>
      <c r="AB408" s="74" t="s">
        <v>132</v>
      </c>
      <c r="AC408" s="55" t="s">
        <v>132</v>
      </c>
      <c r="AL408" s="74"/>
      <c r="AM408" s="74"/>
      <c r="AW408" s="74"/>
      <c r="AX408" s="74"/>
    </row>
    <row r="409" spans="1:50" ht="13" x14ac:dyDescent="0.15">
      <c r="A409" s="55" t="str">
        <f>HYPERLINK("http://reports.ofsted.gov.uk/inspection-reports/find-inspection-report/provider/CARE/1257573","Ofsted Social Care Provider Webpage")</f>
        <v>Ofsted Social Care Provider Webpage</v>
      </c>
      <c r="B409" s="55">
        <v>1257573</v>
      </c>
      <c r="D409" s="55" t="s">
        <v>373</v>
      </c>
      <c r="E409" s="74">
        <v>42908</v>
      </c>
      <c r="F409" s="55" t="s">
        <v>344</v>
      </c>
      <c r="G409" s="55" t="s">
        <v>360</v>
      </c>
      <c r="H409" s="55" t="s">
        <v>360</v>
      </c>
      <c r="I409" s="55" t="s">
        <v>360</v>
      </c>
      <c r="J409" s="55" t="s">
        <v>360</v>
      </c>
      <c r="K409" s="55" t="s">
        <v>360</v>
      </c>
      <c r="L409" s="55" t="s">
        <v>360</v>
      </c>
      <c r="M409" s="55" t="s">
        <v>150</v>
      </c>
      <c r="N409" s="55" t="s">
        <v>150</v>
      </c>
      <c r="O409" s="55" t="s">
        <v>190</v>
      </c>
      <c r="P409" s="55" t="s">
        <v>500</v>
      </c>
      <c r="Q409" s="55" t="s">
        <v>380</v>
      </c>
      <c r="R409" s="85">
        <v>5</v>
      </c>
      <c r="S409" s="55">
        <v>0</v>
      </c>
      <c r="T409" s="74" t="s">
        <v>967</v>
      </c>
      <c r="U409" s="74" t="s">
        <v>351</v>
      </c>
      <c r="V409" s="74">
        <v>44322</v>
      </c>
      <c r="W409" s="74">
        <v>44368</v>
      </c>
      <c r="X409" s="55">
        <v>10185740</v>
      </c>
      <c r="Y409" s="55" t="s">
        <v>140</v>
      </c>
      <c r="AB409" s="74" t="s">
        <v>140</v>
      </c>
      <c r="AC409" s="55" t="s">
        <v>140</v>
      </c>
      <c r="AL409" s="74"/>
      <c r="AM409" s="74"/>
      <c r="AW409" s="74"/>
      <c r="AX409" s="74"/>
    </row>
    <row r="410" spans="1:50" ht="13" x14ac:dyDescent="0.15">
      <c r="A410" s="55" t="str">
        <f>HYPERLINK("http://reports.ofsted.gov.uk/inspection-reports/find-inspection-report/provider/CARE/1257706","Ofsted Social Care Provider Webpage")</f>
        <v>Ofsted Social Care Provider Webpage</v>
      </c>
      <c r="B410" s="55">
        <v>1257706</v>
      </c>
      <c r="D410" s="55" t="s">
        <v>373</v>
      </c>
      <c r="E410" s="74">
        <v>43263</v>
      </c>
      <c r="F410" s="55" t="s">
        <v>344</v>
      </c>
      <c r="G410" s="55" t="s">
        <v>360</v>
      </c>
      <c r="H410" s="55" t="s">
        <v>360</v>
      </c>
      <c r="I410" s="55" t="s">
        <v>360</v>
      </c>
      <c r="J410" s="55" t="s">
        <v>360</v>
      </c>
      <c r="K410" s="55" t="s">
        <v>360</v>
      </c>
      <c r="L410" s="55" t="s">
        <v>360</v>
      </c>
      <c r="M410" s="55" t="s">
        <v>378</v>
      </c>
      <c r="N410" s="55" t="s">
        <v>134</v>
      </c>
      <c r="O410" s="55" t="s">
        <v>158</v>
      </c>
      <c r="P410" s="55" t="s">
        <v>912</v>
      </c>
      <c r="Q410" s="55" t="s">
        <v>350</v>
      </c>
      <c r="R410" s="85">
        <v>2</v>
      </c>
      <c r="S410" s="55">
        <v>0</v>
      </c>
      <c r="T410" s="74" t="s">
        <v>1023</v>
      </c>
      <c r="U410" s="74" t="s">
        <v>351</v>
      </c>
      <c r="V410" s="74">
        <v>44361</v>
      </c>
      <c r="W410" s="74">
        <v>44390</v>
      </c>
      <c r="X410" s="55">
        <v>10185358</v>
      </c>
      <c r="Y410" s="55" t="s">
        <v>132</v>
      </c>
      <c r="AB410" s="74" t="s">
        <v>132</v>
      </c>
      <c r="AC410" s="55" t="s">
        <v>130</v>
      </c>
      <c r="AL410" s="74"/>
      <c r="AM410" s="74"/>
    </row>
    <row r="411" spans="1:50" ht="13" x14ac:dyDescent="0.15">
      <c r="A411" s="55" t="str">
        <f>HYPERLINK("http://reports.ofsted.gov.uk/inspection-reports/find-inspection-report/provider/CARE/1257739","Ofsted Social Care Provider Webpage")</f>
        <v>Ofsted Social Care Provider Webpage</v>
      </c>
      <c r="B411" s="55">
        <v>1257739</v>
      </c>
      <c r="D411" s="55" t="s">
        <v>373</v>
      </c>
      <c r="E411" s="74">
        <v>42957</v>
      </c>
      <c r="F411" s="55" t="s">
        <v>344</v>
      </c>
      <c r="G411" s="55" t="s">
        <v>360</v>
      </c>
      <c r="H411" s="55" t="s">
        <v>360</v>
      </c>
      <c r="I411" s="55" t="s">
        <v>360</v>
      </c>
      <c r="J411" s="55" t="s">
        <v>360</v>
      </c>
      <c r="K411" s="55" t="s">
        <v>360</v>
      </c>
      <c r="L411" s="55" t="s">
        <v>360</v>
      </c>
      <c r="M411" s="55" t="s">
        <v>144</v>
      </c>
      <c r="N411" s="55" t="s">
        <v>144</v>
      </c>
      <c r="O411" s="55" t="s">
        <v>209</v>
      </c>
      <c r="P411" s="55" t="s">
        <v>650</v>
      </c>
      <c r="Q411" s="55" t="s">
        <v>350</v>
      </c>
      <c r="R411" s="85">
        <v>3</v>
      </c>
      <c r="S411" s="55">
        <v>0</v>
      </c>
      <c r="T411" s="74" t="s">
        <v>377</v>
      </c>
      <c r="U411" s="74" t="s">
        <v>351</v>
      </c>
      <c r="V411" s="74">
        <v>44537</v>
      </c>
      <c r="W411" s="74">
        <v>44593</v>
      </c>
      <c r="X411" s="55">
        <v>10186377</v>
      </c>
      <c r="Y411" s="55" t="s">
        <v>130</v>
      </c>
      <c r="AB411" s="74" t="s">
        <v>130</v>
      </c>
      <c r="AC411" s="55" t="s">
        <v>146</v>
      </c>
      <c r="AL411" s="74"/>
      <c r="AM411" s="74"/>
      <c r="AW411" s="74"/>
      <c r="AX411" s="74"/>
    </row>
    <row r="412" spans="1:50" ht="13" x14ac:dyDescent="0.15">
      <c r="A412" s="55" t="str">
        <f>HYPERLINK("http://reports.ofsted.gov.uk/inspection-reports/find-inspection-report/provider/CARE/1257740","Ofsted Social Care Provider Webpage")</f>
        <v>Ofsted Social Care Provider Webpage</v>
      </c>
      <c r="B412" s="55">
        <v>1257740</v>
      </c>
      <c r="D412" s="55" t="s">
        <v>373</v>
      </c>
      <c r="E412" s="74">
        <v>42947</v>
      </c>
      <c r="F412" s="55" t="s">
        <v>344</v>
      </c>
      <c r="G412" s="55" t="s">
        <v>360</v>
      </c>
      <c r="H412" s="55" t="s">
        <v>360</v>
      </c>
      <c r="I412" s="55" t="s">
        <v>360</v>
      </c>
      <c r="J412" s="55" t="s">
        <v>360</v>
      </c>
      <c r="K412" s="55" t="s">
        <v>360</v>
      </c>
      <c r="L412" s="55" t="s">
        <v>360</v>
      </c>
      <c r="M412" s="55" t="s">
        <v>142</v>
      </c>
      <c r="N412" s="55" t="s">
        <v>142</v>
      </c>
      <c r="O412" s="55" t="s">
        <v>262</v>
      </c>
      <c r="P412" s="55" t="s">
        <v>949</v>
      </c>
      <c r="Q412" s="55" t="s">
        <v>350</v>
      </c>
      <c r="R412" s="85">
        <v>4</v>
      </c>
      <c r="S412" s="55">
        <v>0</v>
      </c>
      <c r="T412" s="74" t="s">
        <v>1024</v>
      </c>
      <c r="U412" s="74" t="s">
        <v>351</v>
      </c>
      <c r="V412" s="74">
        <v>44622</v>
      </c>
      <c r="W412" s="74">
        <v>44663</v>
      </c>
      <c r="X412" s="55">
        <v>10185126</v>
      </c>
      <c r="Y412" s="55" t="s">
        <v>132</v>
      </c>
      <c r="AB412" s="74" t="s">
        <v>132</v>
      </c>
      <c r="AC412" s="55" t="s">
        <v>132</v>
      </c>
      <c r="AL412" s="74"/>
      <c r="AM412" s="74"/>
      <c r="AW412" s="74"/>
      <c r="AX412" s="74"/>
    </row>
    <row r="413" spans="1:50" ht="13" x14ac:dyDescent="0.15">
      <c r="A413" s="55" t="str">
        <f>HYPERLINK("http://reports.ofsted.gov.uk/inspection-reports/find-inspection-report/provider/CARE/1257796","Ofsted Social Care Provider Webpage")</f>
        <v>Ofsted Social Care Provider Webpage</v>
      </c>
      <c r="B413" s="55">
        <v>1257796</v>
      </c>
      <c r="D413" s="55" t="s">
        <v>373</v>
      </c>
      <c r="E413" s="74">
        <v>42886</v>
      </c>
      <c r="F413" s="55" t="s">
        <v>344</v>
      </c>
      <c r="G413" s="55" t="s">
        <v>360</v>
      </c>
      <c r="H413" s="55" t="s">
        <v>360</v>
      </c>
      <c r="I413" s="55" t="s">
        <v>360</v>
      </c>
      <c r="J413" s="55" t="s">
        <v>360</v>
      </c>
      <c r="K413" s="55" t="s">
        <v>360</v>
      </c>
      <c r="L413" s="55" t="s">
        <v>360</v>
      </c>
      <c r="M413" s="55" t="s">
        <v>138</v>
      </c>
      <c r="N413" s="55" t="s">
        <v>138</v>
      </c>
      <c r="O413" s="55" t="s">
        <v>159</v>
      </c>
      <c r="P413" s="55" t="s">
        <v>1025</v>
      </c>
      <c r="Q413" s="55" t="s">
        <v>350</v>
      </c>
      <c r="R413" s="85">
        <v>12</v>
      </c>
      <c r="S413" s="55">
        <v>0</v>
      </c>
      <c r="T413" s="74" t="s">
        <v>385</v>
      </c>
      <c r="U413" s="74" t="s">
        <v>351</v>
      </c>
      <c r="V413" s="74">
        <v>44306</v>
      </c>
      <c r="W413" s="74">
        <v>44328</v>
      </c>
      <c r="X413" s="55">
        <v>10186397</v>
      </c>
      <c r="Y413" s="55" t="s">
        <v>132</v>
      </c>
      <c r="AB413" s="74" t="s">
        <v>132</v>
      </c>
      <c r="AC413" s="55" t="s">
        <v>132</v>
      </c>
      <c r="AL413" s="74"/>
      <c r="AM413" s="74"/>
      <c r="AW413" s="74"/>
      <c r="AX413" s="74"/>
    </row>
    <row r="414" spans="1:50" ht="13" x14ac:dyDescent="0.15">
      <c r="A414" s="55" t="str">
        <f>HYPERLINK("http://reports.ofsted.gov.uk/inspection-reports/find-inspection-report/provider/CARE/1257929","Ofsted Social Care Provider Webpage")</f>
        <v>Ofsted Social Care Provider Webpage</v>
      </c>
      <c r="B414" s="55">
        <v>1257929</v>
      </c>
      <c r="C414" s="55">
        <v>146516</v>
      </c>
      <c r="D414" s="55" t="s">
        <v>398</v>
      </c>
      <c r="E414" s="74">
        <v>43626</v>
      </c>
      <c r="F414" s="55" t="s">
        <v>344</v>
      </c>
      <c r="G414" s="55" t="s">
        <v>1026</v>
      </c>
      <c r="H414" s="55" t="s">
        <v>1027</v>
      </c>
      <c r="I414" s="55" t="s">
        <v>1028</v>
      </c>
      <c r="J414" s="55" t="s">
        <v>402</v>
      </c>
      <c r="L414" s="55" t="s">
        <v>1029</v>
      </c>
      <c r="M414" s="55" t="s">
        <v>150</v>
      </c>
      <c r="N414" s="55" t="s">
        <v>150</v>
      </c>
      <c r="O414" s="55" t="s">
        <v>237</v>
      </c>
      <c r="P414" s="55" t="s">
        <v>404</v>
      </c>
      <c r="Q414" s="55" t="s">
        <v>350</v>
      </c>
      <c r="R414" s="85">
        <v>300</v>
      </c>
      <c r="S414" s="55">
        <v>0</v>
      </c>
      <c r="T414" s="74" t="s">
        <v>1030</v>
      </c>
      <c r="U414" s="74" t="s">
        <v>351</v>
      </c>
      <c r="V414" s="74">
        <v>44488</v>
      </c>
      <c r="W414" s="74">
        <v>44537</v>
      </c>
      <c r="X414" s="55">
        <v>10183228</v>
      </c>
      <c r="Y414" s="55" t="s">
        <v>132</v>
      </c>
      <c r="AB414" s="74" t="s">
        <v>132</v>
      </c>
      <c r="AC414" s="55" t="s">
        <v>132</v>
      </c>
      <c r="AL414" s="74"/>
      <c r="AM414" s="74"/>
      <c r="AW414" s="74"/>
      <c r="AX414" s="74"/>
    </row>
    <row r="415" spans="1:50" ht="13" x14ac:dyDescent="0.15">
      <c r="A415" s="55" t="str">
        <f>HYPERLINK("http://reports.ofsted.gov.uk/inspection-reports/find-inspection-report/provider/CARE/1258026","Ofsted Social Care Provider Webpage")</f>
        <v>Ofsted Social Care Provider Webpage</v>
      </c>
      <c r="B415" s="55">
        <v>1258026</v>
      </c>
      <c r="D415" s="55" t="s">
        <v>373</v>
      </c>
      <c r="E415" s="74">
        <v>43002</v>
      </c>
      <c r="F415" s="55" t="s">
        <v>6707</v>
      </c>
      <c r="G415" s="55" t="s">
        <v>360</v>
      </c>
      <c r="H415" s="55" t="s">
        <v>360</v>
      </c>
      <c r="I415" s="55" t="s">
        <v>360</v>
      </c>
      <c r="J415" s="55" t="s">
        <v>360</v>
      </c>
      <c r="K415" s="55" t="s">
        <v>360</v>
      </c>
      <c r="L415" s="55" t="s">
        <v>360</v>
      </c>
      <c r="M415" s="55" t="s">
        <v>142</v>
      </c>
      <c r="N415" s="55" t="s">
        <v>142</v>
      </c>
      <c r="O415" s="55" t="s">
        <v>141</v>
      </c>
      <c r="P415" s="55" t="s">
        <v>641</v>
      </c>
      <c r="Q415" s="55" t="s">
        <v>350</v>
      </c>
      <c r="R415" s="85">
        <v>2</v>
      </c>
      <c r="S415" s="55">
        <v>0</v>
      </c>
      <c r="T415" s="74" t="s">
        <v>6712</v>
      </c>
      <c r="U415" s="74" t="s">
        <v>351</v>
      </c>
      <c r="V415" s="74">
        <v>44536</v>
      </c>
      <c r="W415" s="74">
        <v>44595</v>
      </c>
      <c r="X415" s="55">
        <v>10185842</v>
      </c>
      <c r="Y415" s="55" t="s">
        <v>146</v>
      </c>
      <c r="AB415" s="74" t="s">
        <v>146</v>
      </c>
      <c r="AC415" s="55" t="s">
        <v>146</v>
      </c>
      <c r="AL415" s="74"/>
      <c r="AM415" s="74"/>
      <c r="AW415" s="74"/>
      <c r="AX415" s="74"/>
    </row>
    <row r="416" spans="1:50" ht="13" x14ac:dyDescent="0.15">
      <c r="A416" s="55" t="str">
        <f>HYPERLINK("http://reports.ofsted.gov.uk/inspection-reports/find-inspection-report/provider/CARE/1258026","Ofsted Social Care Provider Webpage")</f>
        <v>Ofsted Social Care Provider Webpage</v>
      </c>
      <c r="B416" s="55">
        <v>1258026</v>
      </c>
      <c r="D416" s="55" t="s">
        <v>373</v>
      </c>
      <c r="E416" s="74">
        <v>43002</v>
      </c>
      <c r="F416" s="55" t="s">
        <v>6707</v>
      </c>
      <c r="G416" s="55" t="s">
        <v>360</v>
      </c>
      <c r="H416" s="55" t="s">
        <v>360</v>
      </c>
      <c r="I416" s="55" t="s">
        <v>360</v>
      </c>
      <c r="J416" s="55" t="s">
        <v>360</v>
      </c>
      <c r="K416" s="55" t="s">
        <v>360</v>
      </c>
      <c r="L416" s="55" t="s">
        <v>360</v>
      </c>
      <c r="M416" s="55" t="s">
        <v>142</v>
      </c>
      <c r="N416" s="55" t="s">
        <v>142</v>
      </c>
      <c r="O416" s="55" t="s">
        <v>141</v>
      </c>
      <c r="P416" s="55" t="s">
        <v>641</v>
      </c>
      <c r="Q416" s="55" t="s">
        <v>350</v>
      </c>
      <c r="R416" s="85">
        <v>2</v>
      </c>
      <c r="S416" s="55">
        <v>0</v>
      </c>
      <c r="T416" s="74" t="s">
        <v>6712</v>
      </c>
      <c r="U416" s="74" t="s">
        <v>2053</v>
      </c>
      <c r="V416" s="74">
        <v>44551</v>
      </c>
      <c r="W416" s="74">
        <v>44599</v>
      </c>
      <c r="X416" s="55">
        <v>10217178</v>
      </c>
      <c r="AL416" s="74"/>
      <c r="AM416" s="74"/>
      <c r="AW416" s="74"/>
      <c r="AX416" s="74"/>
    </row>
    <row r="417" spans="1:50" ht="13" x14ac:dyDescent="0.15">
      <c r="A417" s="55" t="str">
        <f>HYPERLINK("http://reports.ofsted.gov.uk/inspection-reports/find-inspection-report/provider/CARE/1258089","Ofsted Social Care Provider Webpage")</f>
        <v>Ofsted Social Care Provider Webpage</v>
      </c>
      <c r="B417" s="55">
        <v>1258089</v>
      </c>
      <c r="D417" s="55" t="s">
        <v>373</v>
      </c>
      <c r="E417" s="74">
        <v>43133</v>
      </c>
      <c r="F417" s="55" t="s">
        <v>344</v>
      </c>
      <c r="G417" s="55" t="s">
        <v>360</v>
      </c>
      <c r="H417" s="55" t="s">
        <v>360</v>
      </c>
      <c r="I417" s="55" t="s">
        <v>360</v>
      </c>
      <c r="J417" s="55" t="s">
        <v>360</v>
      </c>
      <c r="K417" s="55" t="s">
        <v>360</v>
      </c>
      <c r="L417" s="55" t="s">
        <v>360</v>
      </c>
      <c r="M417" s="55" t="s">
        <v>378</v>
      </c>
      <c r="N417" s="55" t="s">
        <v>134</v>
      </c>
      <c r="O417" s="55" t="s">
        <v>277</v>
      </c>
      <c r="P417" s="55" t="s">
        <v>1034</v>
      </c>
      <c r="Q417" s="55" t="s">
        <v>350</v>
      </c>
      <c r="R417" s="85">
        <v>4</v>
      </c>
      <c r="S417" s="55">
        <v>0</v>
      </c>
      <c r="T417" s="74" t="s">
        <v>489</v>
      </c>
      <c r="U417" s="74" t="s">
        <v>351</v>
      </c>
      <c r="V417" s="74">
        <v>44333</v>
      </c>
      <c r="W417" s="74">
        <v>44369</v>
      </c>
      <c r="X417" s="55">
        <v>10185172</v>
      </c>
      <c r="Y417" s="55" t="s">
        <v>130</v>
      </c>
      <c r="AB417" s="74" t="s">
        <v>130</v>
      </c>
      <c r="AC417" s="55" t="s">
        <v>130</v>
      </c>
      <c r="AL417" s="74"/>
      <c r="AM417" s="74"/>
    </row>
    <row r="418" spans="1:50" ht="13" x14ac:dyDescent="0.15">
      <c r="A418" s="55" t="str">
        <f>HYPERLINK("http://reports.ofsted.gov.uk/inspection-reports/find-inspection-report/provider/CARE/1258089","Ofsted Social Care Provider Webpage")</f>
        <v>Ofsted Social Care Provider Webpage</v>
      </c>
      <c r="B418" s="55">
        <v>1258089</v>
      </c>
      <c r="D418" s="55" t="s">
        <v>373</v>
      </c>
      <c r="E418" s="74">
        <v>43133</v>
      </c>
      <c r="F418" s="55" t="s">
        <v>344</v>
      </c>
      <c r="G418" s="55" t="s">
        <v>360</v>
      </c>
      <c r="H418" s="55" t="s">
        <v>360</v>
      </c>
      <c r="I418" s="55" t="s">
        <v>360</v>
      </c>
      <c r="J418" s="55" t="s">
        <v>360</v>
      </c>
      <c r="K418" s="55" t="s">
        <v>360</v>
      </c>
      <c r="L418" s="55" t="s">
        <v>360</v>
      </c>
      <c r="M418" s="55" t="s">
        <v>378</v>
      </c>
      <c r="N418" s="55" t="s">
        <v>134</v>
      </c>
      <c r="O418" s="55" t="s">
        <v>277</v>
      </c>
      <c r="P418" s="55" t="s">
        <v>1034</v>
      </c>
      <c r="Q418" s="55" t="s">
        <v>350</v>
      </c>
      <c r="R418" s="85">
        <v>4</v>
      </c>
      <c r="S418" s="55">
        <v>0</v>
      </c>
      <c r="T418" s="74" t="s">
        <v>489</v>
      </c>
      <c r="U418" s="74" t="s">
        <v>6703</v>
      </c>
      <c r="V418" s="74">
        <v>44595</v>
      </c>
      <c r="W418" s="74">
        <v>44641</v>
      </c>
      <c r="X418" s="55">
        <v>10143052</v>
      </c>
      <c r="Y418" s="55" t="s">
        <v>6705</v>
      </c>
      <c r="AL418" s="74"/>
      <c r="AM418" s="74"/>
      <c r="AW418" s="74"/>
      <c r="AX418" s="74"/>
    </row>
    <row r="419" spans="1:50" ht="13" x14ac:dyDescent="0.15">
      <c r="A419" s="55" t="str">
        <f>HYPERLINK("http://reports.ofsted.gov.uk/inspection-reports/find-inspection-report/provider/CARE/1258091","Ofsted Social Care Provider Webpage")</f>
        <v>Ofsted Social Care Provider Webpage</v>
      </c>
      <c r="B419" s="55">
        <v>1258091</v>
      </c>
      <c r="D419" s="55" t="s">
        <v>373</v>
      </c>
      <c r="E419" s="74">
        <v>42967</v>
      </c>
      <c r="F419" s="55" t="s">
        <v>344</v>
      </c>
      <c r="G419" s="55" t="s">
        <v>360</v>
      </c>
      <c r="H419" s="55" t="s">
        <v>360</v>
      </c>
      <c r="I419" s="55" t="s">
        <v>360</v>
      </c>
      <c r="J419" s="55" t="s">
        <v>360</v>
      </c>
      <c r="K419" s="55" t="s">
        <v>360</v>
      </c>
      <c r="L419" s="55" t="s">
        <v>360</v>
      </c>
      <c r="M419" s="55" t="s">
        <v>142</v>
      </c>
      <c r="N419" s="55" t="s">
        <v>142</v>
      </c>
      <c r="O419" s="55" t="s">
        <v>262</v>
      </c>
      <c r="P419" s="55" t="s">
        <v>1035</v>
      </c>
      <c r="Q419" s="55" t="s">
        <v>350</v>
      </c>
      <c r="R419" s="85">
        <v>5</v>
      </c>
      <c r="S419" s="55">
        <v>0</v>
      </c>
      <c r="T419" s="74" t="s">
        <v>385</v>
      </c>
      <c r="U419" s="74" t="s">
        <v>351</v>
      </c>
      <c r="V419" s="74">
        <v>44412</v>
      </c>
      <c r="W419" s="74">
        <v>44461</v>
      </c>
      <c r="X419" s="55">
        <v>10187044</v>
      </c>
      <c r="Y419" s="55" t="s">
        <v>146</v>
      </c>
      <c r="AB419" s="74" t="s">
        <v>146</v>
      </c>
      <c r="AC419" s="55" t="s">
        <v>146</v>
      </c>
      <c r="AL419" s="74"/>
      <c r="AM419" s="74"/>
      <c r="AW419" s="74"/>
      <c r="AX419" s="74"/>
    </row>
    <row r="420" spans="1:50" ht="13" x14ac:dyDescent="0.15">
      <c r="A420" s="55" t="str">
        <f>HYPERLINK("http://reports.ofsted.gov.uk/inspection-reports/find-inspection-report/provider/CARE/1258091","Ofsted Social Care Provider Webpage")</f>
        <v>Ofsted Social Care Provider Webpage</v>
      </c>
      <c r="B420" s="55">
        <v>1258091</v>
      </c>
      <c r="D420" s="55" t="s">
        <v>373</v>
      </c>
      <c r="E420" s="74">
        <v>42967</v>
      </c>
      <c r="F420" s="55" t="s">
        <v>344</v>
      </c>
      <c r="G420" s="55" t="s">
        <v>360</v>
      </c>
      <c r="H420" s="55" t="s">
        <v>360</v>
      </c>
      <c r="I420" s="55" t="s">
        <v>360</v>
      </c>
      <c r="J420" s="55" t="s">
        <v>360</v>
      </c>
      <c r="K420" s="55" t="s">
        <v>360</v>
      </c>
      <c r="L420" s="55" t="s">
        <v>360</v>
      </c>
      <c r="M420" s="55" t="s">
        <v>142</v>
      </c>
      <c r="N420" s="55" t="s">
        <v>142</v>
      </c>
      <c r="O420" s="55" t="s">
        <v>262</v>
      </c>
      <c r="P420" s="55" t="s">
        <v>1035</v>
      </c>
      <c r="Q420" s="55" t="s">
        <v>350</v>
      </c>
      <c r="R420" s="85">
        <v>5</v>
      </c>
      <c r="S420" s="55">
        <v>0</v>
      </c>
      <c r="T420" s="74" t="s">
        <v>385</v>
      </c>
      <c r="U420" s="74" t="s">
        <v>351</v>
      </c>
      <c r="V420" s="74">
        <v>44516</v>
      </c>
      <c r="W420" s="74">
        <v>44581</v>
      </c>
      <c r="X420" s="55">
        <v>10205475</v>
      </c>
      <c r="Y420" s="55" t="s">
        <v>130</v>
      </c>
      <c r="AB420" s="74" t="s">
        <v>130</v>
      </c>
      <c r="AC420" s="55" t="s">
        <v>130</v>
      </c>
      <c r="AL420" s="74"/>
      <c r="AM420" s="74"/>
      <c r="AW420" s="74"/>
      <c r="AX420" s="74"/>
    </row>
    <row r="421" spans="1:50" ht="13" x14ac:dyDescent="0.15">
      <c r="A421" s="55" t="str">
        <f>HYPERLINK("http://reports.ofsted.gov.uk/inspection-reports/find-inspection-report/provider/CARE/1258091","Ofsted Social Care Provider Webpage")</f>
        <v>Ofsted Social Care Provider Webpage</v>
      </c>
      <c r="B421" s="55">
        <v>1258091</v>
      </c>
      <c r="D421" s="55" t="s">
        <v>373</v>
      </c>
      <c r="E421" s="74">
        <v>42967</v>
      </c>
      <c r="F421" s="55" t="s">
        <v>344</v>
      </c>
      <c r="G421" s="55" t="s">
        <v>360</v>
      </c>
      <c r="H421" s="55" t="s">
        <v>360</v>
      </c>
      <c r="I421" s="55" t="s">
        <v>360</v>
      </c>
      <c r="J421" s="55" t="s">
        <v>360</v>
      </c>
      <c r="K421" s="55" t="s">
        <v>360</v>
      </c>
      <c r="L421" s="55" t="s">
        <v>360</v>
      </c>
      <c r="M421" s="55" t="s">
        <v>142</v>
      </c>
      <c r="N421" s="55" t="s">
        <v>142</v>
      </c>
      <c r="O421" s="55" t="s">
        <v>262</v>
      </c>
      <c r="P421" s="55" t="s">
        <v>1035</v>
      </c>
      <c r="Q421" s="55" t="s">
        <v>350</v>
      </c>
      <c r="R421" s="85">
        <v>5</v>
      </c>
      <c r="S421" s="55">
        <v>0</v>
      </c>
      <c r="T421" s="74" t="s">
        <v>385</v>
      </c>
      <c r="U421" s="74" t="s">
        <v>2053</v>
      </c>
      <c r="V421" s="74">
        <v>44462</v>
      </c>
      <c r="W421" s="74">
        <v>44503</v>
      </c>
      <c r="X421" s="55">
        <v>10205012</v>
      </c>
      <c r="AL421" s="74"/>
      <c r="AM421" s="74"/>
      <c r="AW421" s="74"/>
      <c r="AX421" s="74"/>
    </row>
    <row r="422" spans="1:50" ht="13" x14ac:dyDescent="0.15">
      <c r="A422" s="55" t="str">
        <f>HYPERLINK("http://reports.ofsted.gov.uk/inspection-reports/find-inspection-report/provider/CARE/1258092","Ofsted Social Care Provider Webpage")</f>
        <v>Ofsted Social Care Provider Webpage</v>
      </c>
      <c r="B422" s="55">
        <v>1258092</v>
      </c>
      <c r="D422" s="55" t="s">
        <v>373</v>
      </c>
      <c r="E422" s="74">
        <v>42977</v>
      </c>
      <c r="F422" s="55" t="s">
        <v>344</v>
      </c>
      <c r="G422" s="55" t="s">
        <v>360</v>
      </c>
      <c r="H422" s="55" t="s">
        <v>360</v>
      </c>
      <c r="I422" s="55" t="s">
        <v>360</v>
      </c>
      <c r="J422" s="55" t="s">
        <v>360</v>
      </c>
      <c r="K422" s="55" t="s">
        <v>360</v>
      </c>
      <c r="L422" s="55" t="s">
        <v>360</v>
      </c>
      <c r="M422" s="55" t="s">
        <v>138</v>
      </c>
      <c r="N422" s="55" t="s">
        <v>138</v>
      </c>
      <c r="O422" s="55" t="s">
        <v>183</v>
      </c>
      <c r="P422" s="55" t="s">
        <v>508</v>
      </c>
      <c r="Q422" s="55" t="s">
        <v>350</v>
      </c>
      <c r="R422" s="85">
        <v>4</v>
      </c>
      <c r="S422" s="55">
        <v>0</v>
      </c>
      <c r="T422" s="74" t="s">
        <v>385</v>
      </c>
      <c r="U422" s="74" t="s">
        <v>351</v>
      </c>
      <c r="V422" s="74">
        <v>44326</v>
      </c>
      <c r="W422" s="74">
        <v>44351</v>
      </c>
      <c r="X422" s="55">
        <v>10187148</v>
      </c>
      <c r="Y422" s="55" t="s">
        <v>132</v>
      </c>
      <c r="AB422" s="74" t="s">
        <v>132</v>
      </c>
      <c r="AC422" s="55" t="s">
        <v>132</v>
      </c>
      <c r="AL422" s="74"/>
      <c r="AM422" s="74"/>
      <c r="AW422" s="74"/>
      <c r="AX422" s="74"/>
    </row>
    <row r="423" spans="1:50" ht="13" x14ac:dyDescent="0.15">
      <c r="A423" s="55" t="str">
        <f>HYPERLINK("http://reports.ofsted.gov.uk/inspection-reports/find-inspection-report/provider/CARE/1258134","Ofsted Social Care Provider Webpage")</f>
        <v>Ofsted Social Care Provider Webpage</v>
      </c>
      <c r="B423" s="55">
        <v>1258134</v>
      </c>
      <c r="D423" s="55" t="s">
        <v>373</v>
      </c>
      <c r="E423" s="74">
        <v>42961</v>
      </c>
      <c r="F423" s="55" t="s">
        <v>344</v>
      </c>
      <c r="G423" s="55" t="s">
        <v>360</v>
      </c>
      <c r="H423" s="55" t="s">
        <v>360</v>
      </c>
      <c r="I423" s="55" t="s">
        <v>360</v>
      </c>
      <c r="J423" s="55" t="s">
        <v>360</v>
      </c>
      <c r="K423" s="55" t="s">
        <v>360</v>
      </c>
      <c r="L423" s="55" t="s">
        <v>360</v>
      </c>
      <c r="M423" s="55" t="s">
        <v>172</v>
      </c>
      <c r="N423" s="55" t="s">
        <v>172</v>
      </c>
      <c r="O423" s="55" t="s">
        <v>235</v>
      </c>
      <c r="P423" s="55" t="s">
        <v>1036</v>
      </c>
      <c r="Q423" s="55" t="s">
        <v>350</v>
      </c>
      <c r="R423" s="85">
        <v>5</v>
      </c>
      <c r="S423" s="55">
        <v>0</v>
      </c>
      <c r="T423" s="74" t="s">
        <v>962</v>
      </c>
      <c r="U423" s="74" t="s">
        <v>351</v>
      </c>
      <c r="V423" s="74">
        <v>44391</v>
      </c>
      <c r="W423" s="74">
        <v>44419</v>
      </c>
      <c r="X423" s="55">
        <v>10186415</v>
      </c>
      <c r="Y423" s="55" t="s">
        <v>132</v>
      </c>
      <c r="AB423" s="74" t="s">
        <v>132</v>
      </c>
      <c r="AC423" s="55" t="s">
        <v>132</v>
      </c>
      <c r="AL423" s="74"/>
      <c r="AM423" s="74"/>
      <c r="AW423" s="74"/>
      <c r="AX423" s="74"/>
    </row>
    <row r="424" spans="1:50" ht="13" x14ac:dyDescent="0.15">
      <c r="A424" s="55" t="str">
        <f>HYPERLINK("http://reports.ofsted.gov.uk/inspection-reports/find-inspection-report/provider/CARE/1258276","Ofsted Social Care Provider Webpage")</f>
        <v>Ofsted Social Care Provider Webpage</v>
      </c>
      <c r="B424" s="55">
        <v>1258276</v>
      </c>
      <c r="D424" s="55" t="s">
        <v>373</v>
      </c>
      <c r="E424" s="74">
        <v>42887</v>
      </c>
      <c r="F424" s="55" t="s">
        <v>344</v>
      </c>
      <c r="G424" s="55" t="s">
        <v>360</v>
      </c>
      <c r="H424" s="55" t="s">
        <v>360</v>
      </c>
      <c r="I424" s="55" t="s">
        <v>360</v>
      </c>
      <c r="J424" s="55" t="s">
        <v>360</v>
      </c>
      <c r="K424" s="55" t="s">
        <v>360</v>
      </c>
      <c r="L424" s="55" t="s">
        <v>360</v>
      </c>
      <c r="M424" s="55" t="s">
        <v>138</v>
      </c>
      <c r="N424" s="55" t="s">
        <v>138</v>
      </c>
      <c r="O424" s="55" t="s">
        <v>266</v>
      </c>
      <c r="P424" s="55" t="s">
        <v>934</v>
      </c>
      <c r="Q424" s="55" t="s">
        <v>350</v>
      </c>
      <c r="R424" s="85">
        <v>6</v>
      </c>
      <c r="S424" s="55" t="s">
        <v>332</v>
      </c>
      <c r="T424" s="74" t="s">
        <v>935</v>
      </c>
      <c r="U424" s="74" t="s">
        <v>351</v>
      </c>
      <c r="V424" s="74">
        <v>44398</v>
      </c>
      <c r="W424" s="74">
        <v>44433</v>
      </c>
      <c r="X424" s="55">
        <v>10186358</v>
      </c>
      <c r="Y424" s="55" t="s">
        <v>130</v>
      </c>
      <c r="AB424" s="74" t="s">
        <v>130</v>
      </c>
      <c r="AC424" s="55" t="s">
        <v>146</v>
      </c>
      <c r="AL424" s="74"/>
      <c r="AM424" s="74"/>
      <c r="AW424" s="74"/>
      <c r="AX424" s="74"/>
    </row>
    <row r="425" spans="1:50" ht="13" x14ac:dyDescent="0.15">
      <c r="A425" s="55" t="str">
        <f>HYPERLINK("http://reports.ofsted.gov.uk/inspection-reports/find-inspection-report/provider/CARE/1258276","Ofsted Social Care Provider Webpage")</f>
        <v>Ofsted Social Care Provider Webpage</v>
      </c>
      <c r="B425" s="55">
        <v>1258276</v>
      </c>
      <c r="D425" s="55" t="s">
        <v>373</v>
      </c>
      <c r="E425" s="74">
        <v>42887</v>
      </c>
      <c r="F425" s="55" t="s">
        <v>344</v>
      </c>
      <c r="G425" s="55" t="s">
        <v>360</v>
      </c>
      <c r="H425" s="55" t="s">
        <v>360</v>
      </c>
      <c r="I425" s="55" t="s">
        <v>360</v>
      </c>
      <c r="J425" s="55" t="s">
        <v>360</v>
      </c>
      <c r="K425" s="55" t="s">
        <v>360</v>
      </c>
      <c r="L425" s="55" t="s">
        <v>360</v>
      </c>
      <c r="M425" s="55" t="s">
        <v>138</v>
      </c>
      <c r="N425" s="55" t="s">
        <v>138</v>
      </c>
      <c r="O425" s="55" t="s">
        <v>266</v>
      </c>
      <c r="P425" s="55" t="s">
        <v>934</v>
      </c>
      <c r="Q425" s="55" t="s">
        <v>350</v>
      </c>
      <c r="R425" s="85">
        <v>6</v>
      </c>
      <c r="S425" s="55" t="s">
        <v>332</v>
      </c>
      <c r="T425" s="74" t="s">
        <v>935</v>
      </c>
      <c r="U425" s="74" t="s">
        <v>6703</v>
      </c>
      <c r="V425" s="74">
        <v>44641</v>
      </c>
      <c r="W425" s="74">
        <v>44680</v>
      </c>
      <c r="X425" s="55">
        <v>10232369</v>
      </c>
      <c r="Y425" s="55" t="s">
        <v>6705</v>
      </c>
      <c r="AL425" s="74"/>
      <c r="AM425" s="74"/>
      <c r="AW425" s="74"/>
      <c r="AX425" s="74"/>
    </row>
    <row r="426" spans="1:50" ht="13" x14ac:dyDescent="0.15">
      <c r="A426" s="55" t="str">
        <f>HYPERLINK("http://reports.ofsted.gov.uk/inspection-reports/find-inspection-report/provider/CARE/1258343","Ofsted Social Care Provider Webpage")</f>
        <v>Ofsted Social Care Provider Webpage</v>
      </c>
      <c r="B426" s="55">
        <v>1258343</v>
      </c>
      <c r="D426" s="55" t="s">
        <v>373</v>
      </c>
      <c r="E426" s="74">
        <v>42997</v>
      </c>
      <c r="F426" s="55" t="s">
        <v>344</v>
      </c>
      <c r="G426" s="55" t="s">
        <v>360</v>
      </c>
      <c r="H426" s="55" t="s">
        <v>360</v>
      </c>
      <c r="I426" s="55" t="s">
        <v>360</v>
      </c>
      <c r="J426" s="55" t="s">
        <v>360</v>
      </c>
      <c r="K426" s="55" t="s">
        <v>360</v>
      </c>
      <c r="L426" s="55" t="s">
        <v>360</v>
      </c>
      <c r="M426" s="55" t="s">
        <v>136</v>
      </c>
      <c r="N426" s="55" t="s">
        <v>136</v>
      </c>
      <c r="O426" s="55" t="s">
        <v>288</v>
      </c>
      <c r="P426" s="55" t="s">
        <v>1037</v>
      </c>
      <c r="Q426" s="55" t="s">
        <v>350</v>
      </c>
      <c r="R426" s="85">
        <v>4</v>
      </c>
      <c r="S426" s="55">
        <v>0</v>
      </c>
      <c r="T426" s="74" t="s">
        <v>888</v>
      </c>
      <c r="U426" s="74" t="s">
        <v>351</v>
      </c>
      <c r="V426" s="74">
        <v>44404</v>
      </c>
      <c r="W426" s="74">
        <v>44452</v>
      </c>
      <c r="X426" s="55">
        <v>10187115</v>
      </c>
      <c r="Y426" s="55" t="s">
        <v>132</v>
      </c>
      <c r="AB426" s="74" t="s">
        <v>132</v>
      </c>
      <c r="AC426" s="55" t="s">
        <v>132</v>
      </c>
      <c r="AL426" s="74"/>
      <c r="AM426" s="74"/>
      <c r="AW426" s="74"/>
      <c r="AX426" s="74"/>
    </row>
    <row r="427" spans="1:50" ht="13" x14ac:dyDescent="0.15">
      <c r="A427" s="55" t="str">
        <f>HYPERLINK("http://reports.ofsted.gov.uk/inspection-reports/find-inspection-report/provider/CARE/1258386","Ofsted Social Care Provider Webpage")</f>
        <v>Ofsted Social Care Provider Webpage</v>
      </c>
      <c r="B427" s="55">
        <v>1258386</v>
      </c>
      <c r="D427" s="55" t="s">
        <v>373</v>
      </c>
      <c r="E427" s="74">
        <v>42982</v>
      </c>
      <c r="F427" s="55" t="s">
        <v>344</v>
      </c>
      <c r="G427" s="55" t="s">
        <v>360</v>
      </c>
      <c r="H427" s="55" t="s">
        <v>360</v>
      </c>
      <c r="I427" s="55" t="s">
        <v>360</v>
      </c>
      <c r="J427" s="55" t="s">
        <v>360</v>
      </c>
      <c r="K427" s="55" t="s">
        <v>360</v>
      </c>
      <c r="L427" s="55" t="s">
        <v>360</v>
      </c>
      <c r="M427" s="55" t="s">
        <v>150</v>
      </c>
      <c r="N427" s="55" t="s">
        <v>150</v>
      </c>
      <c r="O427" s="55" t="s">
        <v>203</v>
      </c>
      <c r="P427" s="55" t="s">
        <v>1038</v>
      </c>
      <c r="Q427" s="55" t="s">
        <v>350</v>
      </c>
      <c r="R427" s="85">
        <v>3</v>
      </c>
      <c r="S427" s="55">
        <v>0</v>
      </c>
      <c r="T427" s="74" t="s">
        <v>1039</v>
      </c>
      <c r="U427" s="74" t="s">
        <v>351</v>
      </c>
      <c r="V427" s="74">
        <v>44418</v>
      </c>
      <c r="W427" s="74">
        <v>44452</v>
      </c>
      <c r="X427" s="55">
        <v>10187167</v>
      </c>
      <c r="Y427" s="55" t="s">
        <v>132</v>
      </c>
      <c r="AB427" s="74" t="s">
        <v>132</v>
      </c>
      <c r="AC427" s="55" t="s">
        <v>130</v>
      </c>
      <c r="AL427" s="74"/>
      <c r="AM427" s="74"/>
      <c r="AW427" s="74"/>
      <c r="AX427" s="74"/>
    </row>
    <row r="428" spans="1:50" ht="13" x14ac:dyDescent="0.15">
      <c r="A428" s="55" t="str">
        <f>HYPERLINK("http://reports.ofsted.gov.uk/inspection-reports/find-inspection-report/provider/CARE/1258434","Ofsted Social Care Provider Webpage")</f>
        <v>Ofsted Social Care Provider Webpage</v>
      </c>
      <c r="B428" s="55">
        <v>1258434</v>
      </c>
      <c r="D428" s="55" t="s">
        <v>373</v>
      </c>
      <c r="E428" s="74">
        <v>43089</v>
      </c>
      <c r="F428" s="55" t="s">
        <v>344</v>
      </c>
      <c r="G428" s="55" t="s">
        <v>360</v>
      </c>
      <c r="H428" s="55" t="s">
        <v>360</v>
      </c>
      <c r="I428" s="55" t="s">
        <v>360</v>
      </c>
      <c r="J428" s="55" t="s">
        <v>360</v>
      </c>
      <c r="K428" s="55" t="s">
        <v>360</v>
      </c>
      <c r="L428" s="55" t="s">
        <v>360</v>
      </c>
      <c r="M428" s="55" t="s">
        <v>142</v>
      </c>
      <c r="N428" s="55" t="s">
        <v>142</v>
      </c>
      <c r="O428" s="55" t="s">
        <v>278</v>
      </c>
      <c r="P428" s="55" t="s">
        <v>1042</v>
      </c>
      <c r="Q428" s="55" t="s">
        <v>350</v>
      </c>
      <c r="R428" s="85">
        <v>4</v>
      </c>
      <c r="S428" s="55">
        <v>0</v>
      </c>
      <c r="T428" s="74" t="s">
        <v>489</v>
      </c>
      <c r="U428" s="74" t="s">
        <v>351</v>
      </c>
      <c r="V428" s="74">
        <v>44572</v>
      </c>
      <c r="W428" s="74">
        <v>44622</v>
      </c>
      <c r="X428" s="55">
        <v>10186964</v>
      </c>
      <c r="Y428" s="55" t="s">
        <v>132</v>
      </c>
      <c r="AB428" s="74" t="s">
        <v>132</v>
      </c>
      <c r="AC428" s="55" t="s">
        <v>132</v>
      </c>
      <c r="AL428" s="74"/>
      <c r="AM428" s="74"/>
    </row>
    <row r="429" spans="1:50" ht="13" x14ac:dyDescent="0.15">
      <c r="A429" s="55" t="str">
        <f>HYPERLINK("http://reports.ofsted.gov.uk/inspection-reports/find-inspection-report/provider/CARE/1258436","Ofsted Social Care Provider Webpage")</f>
        <v>Ofsted Social Care Provider Webpage</v>
      </c>
      <c r="B429" s="55">
        <v>1258436</v>
      </c>
      <c r="D429" s="55" t="s">
        <v>389</v>
      </c>
      <c r="E429" s="74">
        <v>42989</v>
      </c>
      <c r="F429" s="55" t="s">
        <v>344</v>
      </c>
      <c r="G429" s="55" t="s">
        <v>1043</v>
      </c>
      <c r="H429" s="55" t="s">
        <v>1044</v>
      </c>
      <c r="I429" s="55" t="s">
        <v>1045</v>
      </c>
      <c r="J429" s="55" t="s">
        <v>1046</v>
      </c>
      <c r="K429" s="55" t="s">
        <v>142</v>
      </c>
      <c r="L429" s="55" t="s">
        <v>1047</v>
      </c>
      <c r="M429" s="55" t="s">
        <v>142</v>
      </c>
      <c r="N429" s="55" t="s">
        <v>142</v>
      </c>
      <c r="O429" s="55" t="s">
        <v>254</v>
      </c>
      <c r="P429" s="55" t="s">
        <v>1048</v>
      </c>
      <c r="Q429" s="55" t="s">
        <v>350</v>
      </c>
      <c r="S429" s="55">
        <v>0</v>
      </c>
      <c r="T429" s="74" t="s">
        <v>1043</v>
      </c>
      <c r="U429" s="74" t="s">
        <v>351</v>
      </c>
      <c r="V429" s="74">
        <v>44494</v>
      </c>
      <c r="W429" s="74">
        <v>44543</v>
      </c>
      <c r="X429" s="55">
        <v>10209982</v>
      </c>
      <c r="Y429" s="55" t="s">
        <v>140</v>
      </c>
      <c r="AL429" s="74"/>
      <c r="AM429" s="74"/>
      <c r="AW429" s="74"/>
      <c r="AX429" s="74"/>
    </row>
    <row r="430" spans="1:50" ht="13" x14ac:dyDescent="0.15">
      <c r="A430" s="55" t="str">
        <f>HYPERLINK("http://reports.ofsted.gov.uk/inspection-reports/find-inspection-report/provider/CARE/1258463","Ofsted Social Care Provider Webpage")</f>
        <v>Ofsted Social Care Provider Webpage</v>
      </c>
      <c r="B430" s="55">
        <v>1258463</v>
      </c>
      <c r="D430" s="55" t="s">
        <v>373</v>
      </c>
      <c r="E430" s="74">
        <v>43039</v>
      </c>
      <c r="F430" s="55" t="s">
        <v>344</v>
      </c>
      <c r="G430" s="55" t="s">
        <v>360</v>
      </c>
      <c r="H430" s="55" t="s">
        <v>360</v>
      </c>
      <c r="I430" s="55" t="s">
        <v>360</v>
      </c>
      <c r="J430" s="55" t="s">
        <v>360</v>
      </c>
      <c r="K430" s="55" t="s">
        <v>360</v>
      </c>
      <c r="L430" s="55" t="s">
        <v>360</v>
      </c>
      <c r="M430" s="55" t="s">
        <v>150</v>
      </c>
      <c r="N430" s="55" t="s">
        <v>150</v>
      </c>
      <c r="O430" s="55" t="s">
        <v>203</v>
      </c>
      <c r="P430" s="55" t="s">
        <v>593</v>
      </c>
      <c r="Q430" s="55" t="s">
        <v>350</v>
      </c>
      <c r="R430" s="85">
        <v>1</v>
      </c>
      <c r="S430" s="55">
        <v>0</v>
      </c>
      <c r="T430" s="74" t="s">
        <v>594</v>
      </c>
      <c r="U430" s="74" t="s">
        <v>351</v>
      </c>
      <c r="V430" s="74">
        <v>44410</v>
      </c>
      <c r="W430" s="74">
        <v>44454</v>
      </c>
      <c r="X430" s="55">
        <v>10186445</v>
      </c>
      <c r="Y430" s="55" t="s">
        <v>132</v>
      </c>
      <c r="AB430" s="74" t="s">
        <v>130</v>
      </c>
      <c r="AC430" s="55" t="s">
        <v>130</v>
      </c>
      <c r="AL430" s="74"/>
      <c r="AM430" s="74"/>
      <c r="AW430" s="74"/>
      <c r="AX430" s="74"/>
    </row>
    <row r="431" spans="1:50" ht="13" x14ac:dyDescent="0.15">
      <c r="A431" s="55" t="str">
        <f>HYPERLINK("http://reports.ofsted.gov.uk/inspection-reports/find-inspection-report/provider/CARE/1258627","Ofsted Social Care Provider Webpage")</f>
        <v>Ofsted Social Care Provider Webpage</v>
      </c>
      <c r="B431" s="55">
        <v>1258627</v>
      </c>
      <c r="D431" s="55" t="s">
        <v>373</v>
      </c>
      <c r="E431" s="74">
        <v>42926</v>
      </c>
      <c r="F431" s="55" t="s">
        <v>344</v>
      </c>
      <c r="G431" s="55" t="s">
        <v>360</v>
      </c>
      <c r="H431" s="55" t="s">
        <v>360</v>
      </c>
      <c r="I431" s="55" t="s">
        <v>360</v>
      </c>
      <c r="J431" s="55" t="s">
        <v>360</v>
      </c>
      <c r="K431" s="55" t="s">
        <v>360</v>
      </c>
      <c r="L431" s="55" t="s">
        <v>360</v>
      </c>
      <c r="M431" s="55" t="s">
        <v>378</v>
      </c>
      <c r="N431" s="55" t="s">
        <v>134</v>
      </c>
      <c r="O431" s="55" t="s">
        <v>175</v>
      </c>
      <c r="P431" s="55" t="s">
        <v>932</v>
      </c>
      <c r="Q431" s="55" t="s">
        <v>362</v>
      </c>
      <c r="R431" s="85">
        <v>4</v>
      </c>
      <c r="S431" s="55">
        <v>0</v>
      </c>
      <c r="T431" s="74" t="s">
        <v>1049</v>
      </c>
      <c r="U431" s="74" t="s">
        <v>351</v>
      </c>
      <c r="V431" s="74">
        <v>44327</v>
      </c>
      <c r="W431" s="74">
        <v>44364</v>
      </c>
      <c r="X431" s="55">
        <v>10185120</v>
      </c>
      <c r="Y431" s="55" t="s">
        <v>132</v>
      </c>
      <c r="AB431" s="74" t="s">
        <v>132</v>
      </c>
      <c r="AC431" s="55" t="s">
        <v>132</v>
      </c>
      <c r="AL431" s="74"/>
      <c r="AM431" s="74"/>
      <c r="AW431" s="74"/>
      <c r="AX431" s="74"/>
    </row>
    <row r="432" spans="1:50" ht="13" x14ac:dyDescent="0.15">
      <c r="A432" s="55" t="str">
        <f>HYPERLINK("http://reports.ofsted.gov.uk/inspection-reports/find-inspection-report/provider/CARE/1258658","Ofsted Social Care Provider Webpage")</f>
        <v>Ofsted Social Care Provider Webpage</v>
      </c>
      <c r="B432" s="55">
        <v>1258658</v>
      </c>
      <c r="D432" s="55" t="s">
        <v>373</v>
      </c>
      <c r="E432" s="74">
        <v>42993</v>
      </c>
      <c r="F432" s="55" t="s">
        <v>344</v>
      </c>
      <c r="G432" s="55" t="s">
        <v>360</v>
      </c>
      <c r="H432" s="55" t="s">
        <v>360</v>
      </c>
      <c r="I432" s="55" t="s">
        <v>360</v>
      </c>
      <c r="J432" s="55" t="s">
        <v>360</v>
      </c>
      <c r="K432" s="55" t="s">
        <v>360</v>
      </c>
      <c r="L432" s="55" t="s">
        <v>360</v>
      </c>
      <c r="M432" s="55" t="s">
        <v>138</v>
      </c>
      <c r="N432" s="55" t="s">
        <v>138</v>
      </c>
      <c r="O432" s="55" t="s">
        <v>183</v>
      </c>
      <c r="P432" s="55" t="s">
        <v>1050</v>
      </c>
      <c r="Q432" s="55" t="s">
        <v>350</v>
      </c>
      <c r="R432" s="85">
        <v>4</v>
      </c>
      <c r="S432" s="55">
        <v>0</v>
      </c>
      <c r="T432" s="74" t="s">
        <v>617</v>
      </c>
      <c r="U432" s="74" t="s">
        <v>2053</v>
      </c>
      <c r="V432" s="74">
        <v>44321</v>
      </c>
      <c r="W432" s="74">
        <v>44348</v>
      </c>
      <c r="X432" s="55">
        <v>10194075</v>
      </c>
      <c r="AL432" s="74"/>
      <c r="AM432" s="74"/>
    </row>
    <row r="433" spans="1:50" ht="13" x14ac:dyDescent="0.15">
      <c r="A433" s="55" t="str">
        <f>HYPERLINK("http://reports.ofsted.gov.uk/inspection-reports/find-inspection-report/provider/CARE/1258658","Ofsted Social Care Provider Webpage")</f>
        <v>Ofsted Social Care Provider Webpage</v>
      </c>
      <c r="B433" s="55">
        <v>1258658</v>
      </c>
      <c r="D433" s="55" t="s">
        <v>373</v>
      </c>
      <c r="E433" s="74">
        <v>42993</v>
      </c>
      <c r="F433" s="55" t="s">
        <v>344</v>
      </c>
      <c r="G433" s="55" t="s">
        <v>360</v>
      </c>
      <c r="H433" s="55" t="s">
        <v>360</v>
      </c>
      <c r="I433" s="55" t="s">
        <v>360</v>
      </c>
      <c r="J433" s="55" t="s">
        <v>360</v>
      </c>
      <c r="K433" s="55" t="s">
        <v>360</v>
      </c>
      <c r="L433" s="55" t="s">
        <v>360</v>
      </c>
      <c r="M433" s="55" t="s">
        <v>138</v>
      </c>
      <c r="N433" s="55" t="s">
        <v>138</v>
      </c>
      <c r="O433" s="55" t="s">
        <v>183</v>
      </c>
      <c r="P433" s="55" t="s">
        <v>1050</v>
      </c>
      <c r="Q433" s="55" t="s">
        <v>350</v>
      </c>
      <c r="R433" s="85">
        <v>4</v>
      </c>
      <c r="S433" s="55">
        <v>0</v>
      </c>
      <c r="T433" s="74" t="s">
        <v>617</v>
      </c>
      <c r="U433" s="74" t="s">
        <v>351</v>
      </c>
      <c r="V433" s="74">
        <v>44361</v>
      </c>
      <c r="W433" s="74">
        <v>44432</v>
      </c>
      <c r="X433" s="55">
        <v>10186543</v>
      </c>
      <c r="Y433" s="55" t="s">
        <v>130</v>
      </c>
      <c r="AB433" s="74" t="s">
        <v>130</v>
      </c>
      <c r="AC433" s="55" t="s">
        <v>130</v>
      </c>
      <c r="AL433" s="74"/>
      <c r="AM433" s="74"/>
      <c r="AW433" s="74"/>
      <c r="AX433" s="74"/>
    </row>
    <row r="434" spans="1:50" ht="13" x14ac:dyDescent="0.15">
      <c r="A434" s="55" t="str">
        <f>HYPERLINK("http://reports.ofsted.gov.uk/inspection-reports/find-inspection-report/provider/CARE/1258658","Ofsted Social Care Provider Webpage")</f>
        <v>Ofsted Social Care Provider Webpage</v>
      </c>
      <c r="B434" s="55">
        <v>1258658</v>
      </c>
      <c r="D434" s="55" t="s">
        <v>373</v>
      </c>
      <c r="E434" s="74">
        <v>42993</v>
      </c>
      <c r="F434" s="55" t="s">
        <v>344</v>
      </c>
      <c r="G434" s="55" t="s">
        <v>360</v>
      </c>
      <c r="H434" s="55" t="s">
        <v>360</v>
      </c>
      <c r="I434" s="55" t="s">
        <v>360</v>
      </c>
      <c r="J434" s="55" t="s">
        <v>360</v>
      </c>
      <c r="K434" s="55" t="s">
        <v>360</v>
      </c>
      <c r="L434" s="55" t="s">
        <v>360</v>
      </c>
      <c r="M434" s="55" t="s">
        <v>138</v>
      </c>
      <c r="N434" s="55" t="s">
        <v>138</v>
      </c>
      <c r="O434" s="55" t="s">
        <v>183</v>
      </c>
      <c r="P434" s="55" t="s">
        <v>1050</v>
      </c>
      <c r="Q434" s="55" t="s">
        <v>350</v>
      </c>
      <c r="R434" s="85">
        <v>4</v>
      </c>
      <c r="S434" s="55">
        <v>0</v>
      </c>
      <c r="T434" s="74" t="s">
        <v>617</v>
      </c>
      <c r="U434" s="74" t="s">
        <v>6703</v>
      </c>
      <c r="V434" s="74">
        <v>44628</v>
      </c>
      <c r="W434" s="74">
        <v>44670</v>
      </c>
      <c r="X434" s="55">
        <v>10205266</v>
      </c>
      <c r="Y434" s="55" t="s">
        <v>6706</v>
      </c>
      <c r="AL434" s="74"/>
      <c r="AM434" s="74"/>
    </row>
    <row r="435" spans="1:50" ht="13" x14ac:dyDescent="0.15">
      <c r="A435" s="55" t="str">
        <f>HYPERLINK("http://reports.ofsted.gov.uk/inspection-reports/find-inspection-report/provider/CARE/1258658","Ofsted Social Care Provider Webpage")</f>
        <v>Ofsted Social Care Provider Webpage</v>
      </c>
      <c r="B435" s="55">
        <v>1258658</v>
      </c>
      <c r="D435" s="55" t="s">
        <v>373</v>
      </c>
      <c r="E435" s="74">
        <v>42993</v>
      </c>
      <c r="F435" s="55" t="s">
        <v>344</v>
      </c>
      <c r="G435" s="55" t="s">
        <v>360</v>
      </c>
      <c r="H435" s="55" t="s">
        <v>360</v>
      </c>
      <c r="I435" s="55" t="s">
        <v>360</v>
      </c>
      <c r="J435" s="55" t="s">
        <v>360</v>
      </c>
      <c r="K435" s="55" t="s">
        <v>360</v>
      </c>
      <c r="L435" s="55" t="s">
        <v>360</v>
      </c>
      <c r="M435" s="55" t="s">
        <v>138</v>
      </c>
      <c r="N435" s="55" t="s">
        <v>138</v>
      </c>
      <c r="O435" s="55" t="s">
        <v>183</v>
      </c>
      <c r="P435" s="55" t="s">
        <v>1050</v>
      </c>
      <c r="Q435" s="55" t="s">
        <v>350</v>
      </c>
      <c r="R435" s="85">
        <v>4</v>
      </c>
      <c r="S435" s="55">
        <v>0</v>
      </c>
      <c r="T435" s="74" t="s">
        <v>617</v>
      </c>
      <c r="U435" s="74" t="s">
        <v>2053</v>
      </c>
      <c r="V435" s="74">
        <v>44287</v>
      </c>
      <c r="W435" s="74">
        <v>44315</v>
      </c>
      <c r="X435" s="55">
        <v>10188973</v>
      </c>
      <c r="AL435" s="74"/>
      <c r="AM435" s="74"/>
      <c r="AW435" s="74"/>
      <c r="AX435" s="74"/>
    </row>
    <row r="436" spans="1:50" ht="13" x14ac:dyDescent="0.15">
      <c r="A436" s="55" t="str">
        <f>HYPERLINK("http://reports.ofsted.gov.uk/inspection-reports/find-inspection-report/provider/CARE/1258769","Ofsted Social Care Provider Webpage")</f>
        <v>Ofsted Social Care Provider Webpage</v>
      </c>
      <c r="B436" s="55">
        <v>1258769</v>
      </c>
      <c r="D436" s="55" t="s">
        <v>479</v>
      </c>
      <c r="E436" s="74">
        <v>42943</v>
      </c>
      <c r="F436" s="55" t="s">
        <v>6707</v>
      </c>
      <c r="G436" s="55" t="s">
        <v>360</v>
      </c>
      <c r="H436" s="55" t="s">
        <v>360</v>
      </c>
      <c r="I436" s="55" t="s">
        <v>360</v>
      </c>
      <c r="J436" s="55" t="s">
        <v>360</v>
      </c>
      <c r="K436" s="55" t="s">
        <v>360</v>
      </c>
      <c r="L436" s="55" t="s">
        <v>360</v>
      </c>
      <c r="M436" s="55" t="s">
        <v>144</v>
      </c>
      <c r="N436" s="55" t="s">
        <v>144</v>
      </c>
      <c r="O436" s="55" t="s">
        <v>209</v>
      </c>
      <c r="P436" s="55" t="s">
        <v>534</v>
      </c>
      <c r="Q436" s="55" t="s">
        <v>350</v>
      </c>
      <c r="R436" s="85">
        <v>10</v>
      </c>
      <c r="S436" s="55">
        <v>0</v>
      </c>
      <c r="T436" s="74" t="s">
        <v>863</v>
      </c>
      <c r="U436" s="74" t="s">
        <v>2053</v>
      </c>
      <c r="V436" s="74">
        <v>44609</v>
      </c>
      <c r="W436" s="74">
        <v>44678</v>
      </c>
      <c r="X436" s="55">
        <v>10225875</v>
      </c>
      <c r="AL436" s="74"/>
      <c r="AM436" s="74"/>
      <c r="AW436" s="74"/>
      <c r="AX436" s="74"/>
    </row>
    <row r="437" spans="1:50" ht="13" x14ac:dyDescent="0.15">
      <c r="A437" s="55" t="str">
        <f>HYPERLINK("http://reports.ofsted.gov.uk/inspection-reports/find-inspection-report/provider/CARE/1258769","Ofsted Social Care Provider Webpage")</f>
        <v>Ofsted Social Care Provider Webpage</v>
      </c>
      <c r="B437" s="55">
        <v>1258769</v>
      </c>
      <c r="D437" s="55" t="s">
        <v>479</v>
      </c>
      <c r="E437" s="74">
        <v>42943</v>
      </c>
      <c r="F437" s="55" t="s">
        <v>6707</v>
      </c>
      <c r="G437" s="55" t="s">
        <v>360</v>
      </c>
      <c r="H437" s="55" t="s">
        <v>360</v>
      </c>
      <c r="I437" s="55" t="s">
        <v>360</v>
      </c>
      <c r="J437" s="55" t="s">
        <v>360</v>
      </c>
      <c r="K437" s="55" t="s">
        <v>360</v>
      </c>
      <c r="L437" s="55" t="s">
        <v>360</v>
      </c>
      <c r="M437" s="55" t="s">
        <v>144</v>
      </c>
      <c r="N437" s="55" t="s">
        <v>144</v>
      </c>
      <c r="O437" s="55" t="s">
        <v>209</v>
      </c>
      <c r="P437" s="55" t="s">
        <v>534</v>
      </c>
      <c r="Q437" s="55" t="s">
        <v>350</v>
      </c>
      <c r="R437" s="85">
        <v>10</v>
      </c>
      <c r="S437" s="55">
        <v>0</v>
      </c>
      <c r="T437" s="74" t="s">
        <v>863</v>
      </c>
      <c r="U437" s="74" t="s">
        <v>2053</v>
      </c>
      <c r="V437" s="74">
        <v>44312</v>
      </c>
      <c r="W437" s="74">
        <v>44342</v>
      </c>
      <c r="X437" s="55">
        <v>10189188</v>
      </c>
      <c r="AL437" s="74"/>
      <c r="AM437" s="74"/>
      <c r="AW437" s="74"/>
      <c r="AX437" s="74"/>
    </row>
    <row r="438" spans="1:50" ht="13" x14ac:dyDescent="0.15">
      <c r="A438" s="55" t="str">
        <f>HYPERLINK("http://reports.ofsted.gov.uk/inspection-reports/find-inspection-report/provider/CARE/1258831","Ofsted Social Care Provider Webpage")</f>
        <v>Ofsted Social Care Provider Webpage</v>
      </c>
      <c r="B438" s="55">
        <v>1258831</v>
      </c>
      <c r="D438" s="55" t="s">
        <v>373</v>
      </c>
      <c r="E438" s="74">
        <v>42951</v>
      </c>
      <c r="F438" s="55" t="s">
        <v>344</v>
      </c>
      <c r="G438" s="55" t="s">
        <v>360</v>
      </c>
      <c r="H438" s="55" t="s">
        <v>360</v>
      </c>
      <c r="I438" s="55" t="s">
        <v>360</v>
      </c>
      <c r="J438" s="55" t="s">
        <v>360</v>
      </c>
      <c r="K438" s="55" t="s">
        <v>360</v>
      </c>
      <c r="L438" s="55" t="s">
        <v>360</v>
      </c>
      <c r="M438" s="55" t="s">
        <v>150</v>
      </c>
      <c r="N438" s="55" t="s">
        <v>150</v>
      </c>
      <c r="O438" s="55" t="s">
        <v>190</v>
      </c>
      <c r="P438" s="55" t="s">
        <v>830</v>
      </c>
      <c r="Q438" s="55" t="s">
        <v>350</v>
      </c>
      <c r="R438" s="85">
        <v>3</v>
      </c>
      <c r="S438" s="55">
        <v>0</v>
      </c>
      <c r="T438" s="74" t="s">
        <v>1051</v>
      </c>
      <c r="U438" s="74" t="s">
        <v>351</v>
      </c>
      <c r="V438" s="74">
        <v>44588</v>
      </c>
      <c r="W438" s="74">
        <v>44628</v>
      </c>
      <c r="X438" s="55">
        <v>10187614</v>
      </c>
      <c r="Y438" s="55" t="s">
        <v>132</v>
      </c>
      <c r="AB438" s="74" t="s">
        <v>132</v>
      </c>
      <c r="AC438" s="55" t="s">
        <v>132</v>
      </c>
      <c r="AL438" s="74"/>
      <c r="AM438" s="74"/>
      <c r="AW438" s="74"/>
      <c r="AX438" s="74"/>
    </row>
    <row r="439" spans="1:50" ht="13" x14ac:dyDescent="0.15">
      <c r="A439" s="55" t="str">
        <f>HYPERLINK("http://reports.ofsted.gov.uk/inspection-reports/find-inspection-report/provider/CARE/1258894","Ofsted Social Care Provider Webpage")</f>
        <v>Ofsted Social Care Provider Webpage</v>
      </c>
      <c r="B439" s="55">
        <v>1258894</v>
      </c>
      <c r="D439" s="55" t="s">
        <v>373</v>
      </c>
      <c r="E439" s="74">
        <v>42950</v>
      </c>
      <c r="F439" s="55" t="s">
        <v>344</v>
      </c>
      <c r="G439" s="55" t="s">
        <v>360</v>
      </c>
      <c r="H439" s="55" t="s">
        <v>360</v>
      </c>
      <c r="I439" s="55" t="s">
        <v>360</v>
      </c>
      <c r="J439" s="55" t="s">
        <v>360</v>
      </c>
      <c r="K439" s="55" t="s">
        <v>360</v>
      </c>
      <c r="L439" s="55" t="s">
        <v>360</v>
      </c>
      <c r="M439" s="55" t="s">
        <v>172</v>
      </c>
      <c r="N439" s="55" t="s">
        <v>172</v>
      </c>
      <c r="O439" s="55" t="s">
        <v>211</v>
      </c>
      <c r="P439" s="55" t="s">
        <v>1062</v>
      </c>
      <c r="Q439" s="55" t="s">
        <v>350</v>
      </c>
      <c r="R439" s="85">
        <v>6</v>
      </c>
      <c r="S439" s="55">
        <v>0</v>
      </c>
      <c r="T439" s="74" t="s">
        <v>1063</v>
      </c>
      <c r="U439" s="74" t="s">
        <v>351</v>
      </c>
      <c r="V439" s="74">
        <v>44453</v>
      </c>
      <c r="W439" s="74">
        <v>44488</v>
      </c>
      <c r="X439" s="55">
        <v>10187297</v>
      </c>
      <c r="Y439" s="55" t="s">
        <v>132</v>
      </c>
      <c r="AB439" s="74" t="s">
        <v>132</v>
      </c>
      <c r="AC439" s="55" t="s">
        <v>132</v>
      </c>
      <c r="AL439" s="74"/>
      <c r="AM439" s="74"/>
    </row>
    <row r="440" spans="1:50" ht="13" x14ac:dyDescent="0.15">
      <c r="A440" s="55" t="str">
        <f>HYPERLINK("http://reports.ofsted.gov.uk/inspection-reports/find-inspection-report/provider/CARE/1258975","Ofsted Social Care Provider Webpage")</f>
        <v>Ofsted Social Care Provider Webpage</v>
      </c>
      <c r="B440" s="55">
        <v>1258975</v>
      </c>
      <c r="D440" s="55" t="s">
        <v>373</v>
      </c>
      <c r="E440" s="74">
        <v>43024</v>
      </c>
      <c r="F440" s="55" t="s">
        <v>344</v>
      </c>
      <c r="G440" s="55" t="s">
        <v>360</v>
      </c>
      <c r="H440" s="55" t="s">
        <v>360</v>
      </c>
      <c r="I440" s="55" t="s">
        <v>360</v>
      </c>
      <c r="J440" s="55" t="s">
        <v>360</v>
      </c>
      <c r="K440" s="55" t="s">
        <v>360</v>
      </c>
      <c r="L440" s="55" t="s">
        <v>360</v>
      </c>
      <c r="M440" s="55" t="s">
        <v>144</v>
      </c>
      <c r="N440" s="55" t="s">
        <v>144</v>
      </c>
      <c r="O440" s="55" t="s">
        <v>236</v>
      </c>
      <c r="P440" s="55" t="s">
        <v>996</v>
      </c>
      <c r="Q440" s="55" t="s">
        <v>350</v>
      </c>
      <c r="R440" s="85">
        <v>3</v>
      </c>
      <c r="S440" s="55">
        <v>0</v>
      </c>
      <c r="T440" s="74" t="s">
        <v>1064</v>
      </c>
      <c r="U440" s="74" t="s">
        <v>351</v>
      </c>
      <c r="V440" s="74">
        <v>44579</v>
      </c>
      <c r="W440" s="74">
        <v>44614</v>
      </c>
      <c r="X440" s="55">
        <v>10185247</v>
      </c>
      <c r="Y440" s="55" t="s">
        <v>140</v>
      </c>
      <c r="AB440" s="74" t="s">
        <v>140</v>
      </c>
      <c r="AC440" s="55" t="s">
        <v>140</v>
      </c>
      <c r="AL440" s="74"/>
      <c r="AM440" s="74"/>
    </row>
    <row r="441" spans="1:50" ht="13" x14ac:dyDescent="0.15">
      <c r="A441" s="55" t="str">
        <f>HYPERLINK("http://reports.ofsted.gov.uk/inspection-reports/find-inspection-report/provider/CARE/1259061","Ofsted Social Care Provider Webpage")</f>
        <v>Ofsted Social Care Provider Webpage</v>
      </c>
      <c r="B441" s="55">
        <v>1259061</v>
      </c>
      <c r="D441" s="55" t="s">
        <v>373</v>
      </c>
      <c r="E441" s="74">
        <v>42986</v>
      </c>
      <c r="F441" s="55" t="s">
        <v>344</v>
      </c>
      <c r="G441" s="55" t="s">
        <v>360</v>
      </c>
      <c r="H441" s="55" t="s">
        <v>360</v>
      </c>
      <c r="I441" s="55" t="s">
        <v>360</v>
      </c>
      <c r="J441" s="55" t="s">
        <v>360</v>
      </c>
      <c r="K441" s="55" t="s">
        <v>360</v>
      </c>
      <c r="L441" s="55" t="s">
        <v>360</v>
      </c>
      <c r="M441" s="55" t="s">
        <v>144</v>
      </c>
      <c r="N441" s="55" t="s">
        <v>144</v>
      </c>
      <c r="O441" s="55" t="s">
        <v>209</v>
      </c>
      <c r="P441" s="55" t="s">
        <v>484</v>
      </c>
      <c r="Q441" s="55" t="s">
        <v>350</v>
      </c>
      <c r="R441" s="85">
        <v>2</v>
      </c>
      <c r="S441" s="55">
        <v>0</v>
      </c>
      <c r="T441" s="74" t="s">
        <v>1065</v>
      </c>
      <c r="U441" s="74" t="s">
        <v>351</v>
      </c>
      <c r="V441" s="74">
        <v>44600</v>
      </c>
      <c r="W441" s="74">
        <v>44643</v>
      </c>
      <c r="X441" s="55">
        <v>10185259</v>
      </c>
      <c r="Y441" s="55" t="s">
        <v>132</v>
      </c>
      <c r="AB441" s="74" t="s">
        <v>130</v>
      </c>
      <c r="AC441" s="55" t="s">
        <v>132</v>
      </c>
      <c r="AL441" s="74"/>
      <c r="AM441" s="74"/>
    </row>
    <row r="442" spans="1:50" ht="13" x14ac:dyDescent="0.15">
      <c r="A442" s="55" t="str">
        <f>HYPERLINK("http://reports.ofsted.gov.uk/inspection-reports/find-inspection-report/provider/CARE/1259114","Ofsted Social Care Provider Webpage")</f>
        <v>Ofsted Social Care Provider Webpage</v>
      </c>
      <c r="B442" s="55">
        <v>1259114</v>
      </c>
      <c r="D442" s="55" t="s">
        <v>373</v>
      </c>
      <c r="E442" s="74">
        <v>43125</v>
      </c>
      <c r="F442" s="55" t="s">
        <v>344</v>
      </c>
      <c r="G442" s="55" t="s">
        <v>360</v>
      </c>
      <c r="H442" s="55" t="s">
        <v>360</v>
      </c>
      <c r="I442" s="55" t="s">
        <v>360</v>
      </c>
      <c r="J442" s="55" t="s">
        <v>360</v>
      </c>
      <c r="K442" s="55" t="s">
        <v>360</v>
      </c>
      <c r="L442" s="55" t="s">
        <v>360</v>
      </c>
      <c r="M442" s="55" t="s">
        <v>142</v>
      </c>
      <c r="N442" s="55" t="s">
        <v>142</v>
      </c>
      <c r="O442" s="55" t="s">
        <v>262</v>
      </c>
      <c r="P442" s="55" t="s">
        <v>916</v>
      </c>
      <c r="Q442" s="55" t="s">
        <v>350</v>
      </c>
      <c r="R442" s="85">
        <v>3</v>
      </c>
      <c r="S442" s="55">
        <v>0</v>
      </c>
      <c r="T442" s="74" t="s">
        <v>917</v>
      </c>
      <c r="U442" s="74" t="s">
        <v>351</v>
      </c>
      <c r="V442" s="74">
        <v>44488</v>
      </c>
      <c r="W442" s="74">
        <v>44522</v>
      </c>
      <c r="X442" s="55">
        <v>10185737</v>
      </c>
      <c r="Y442" s="55" t="s">
        <v>130</v>
      </c>
      <c r="AB442" s="74" t="s">
        <v>130</v>
      </c>
      <c r="AC442" s="55" t="s">
        <v>130</v>
      </c>
      <c r="AL442" s="74"/>
      <c r="AM442" s="74"/>
      <c r="AW442" s="74"/>
      <c r="AX442" s="74"/>
    </row>
    <row r="443" spans="1:50" ht="13" x14ac:dyDescent="0.15">
      <c r="A443" s="55" t="str">
        <f>HYPERLINK("http://reports.ofsted.gov.uk/inspection-reports/find-inspection-report/provider/CARE/1259118","Ofsted Social Care Provider Webpage")</f>
        <v>Ofsted Social Care Provider Webpage</v>
      </c>
      <c r="B443" s="55">
        <v>1259118</v>
      </c>
      <c r="D443" s="55" t="s">
        <v>373</v>
      </c>
      <c r="E443" s="74">
        <v>42901</v>
      </c>
      <c r="F443" s="55" t="s">
        <v>344</v>
      </c>
      <c r="G443" s="55" t="s">
        <v>360</v>
      </c>
      <c r="H443" s="55" t="s">
        <v>360</v>
      </c>
      <c r="I443" s="55" t="s">
        <v>360</v>
      </c>
      <c r="J443" s="55" t="s">
        <v>360</v>
      </c>
      <c r="K443" s="55" t="s">
        <v>360</v>
      </c>
      <c r="L443" s="55" t="s">
        <v>360</v>
      </c>
      <c r="M443" s="55" t="s">
        <v>142</v>
      </c>
      <c r="N443" s="55" t="s">
        <v>142</v>
      </c>
      <c r="O443" s="55" t="s">
        <v>265</v>
      </c>
      <c r="P443" s="55" t="s">
        <v>1066</v>
      </c>
      <c r="Q443" s="55" t="s">
        <v>380</v>
      </c>
      <c r="R443" s="85">
        <v>2</v>
      </c>
      <c r="S443" s="55">
        <v>0</v>
      </c>
      <c r="T443" s="74" t="s">
        <v>1067</v>
      </c>
      <c r="U443" s="74" t="s">
        <v>351</v>
      </c>
      <c r="V443" s="74">
        <v>44376</v>
      </c>
      <c r="W443" s="74">
        <v>44407</v>
      </c>
      <c r="X443" s="55">
        <v>10187296</v>
      </c>
      <c r="Y443" s="55" t="s">
        <v>132</v>
      </c>
      <c r="AB443" s="74" t="s">
        <v>132</v>
      </c>
      <c r="AC443" s="55" t="s">
        <v>132</v>
      </c>
      <c r="AL443" s="74"/>
      <c r="AM443" s="74"/>
    </row>
    <row r="444" spans="1:50" ht="13" x14ac:dyDescent="0.15">
      <c r="A444" s="55" t="str">
        <f>HYPERLINK("http://reports.ofsted.gov.uk/inspection-reports/find-inspection-report/provider/CARE/1259178","Ofsted Social Care Provider Webpage")</f>
        <v>Ofsted Social Care Provider Webpage</v>
      </c>
      <c r="B444" s="55">
        <v>1259178</v>
      </c>
      <c r="D444" s="55" t="s">
        <v>373</v>
      </c>
      <c r="E444" s="74">
        <v>43146</v>
      </c>
      <c r="F444" s="55" t="s">
        <v>344</v>
      </c>
      <c r="G444" s="55" t="s">
        <v>360</v>
      </c>
      <c r="H444" s="55" t="s">
        <v>360</v>
      </c>
      <c r="I444" s="55" t="s">
        <v>360</v>
      </c>
      <c r="J444" s="55" t="s">
        <v>360</v>
      </c>
      <c r="K444" s="55" t="s">
        <v>360</v>
      </c>
      <c r="L444" s="55" t="s">
        <v>360</v>
      </c>
      <c r="M444" s="55" t="s">
        <v>142</v>
      </c>
      <c r="N444" s="55" t="s">
        <v>142</v>
      </c>
      <c r="O444" s="55" t="s">
        <v>141</v>
      </c>
      <c r="P444" s="55" t="s">
        <v>573</v>
      </c>
      <c r="Q444" s="55" t="s">
        <v>350</v>
      </c>
      <c r="R444" s="85">
        <v>2</v>
      </c>
      <c r="S444" s="55">
        <v>0</v>
      </c>
      <c r="T444" s="74" t="s">
        <v>1068</v>
      </c>
      <c r="U444" s="74" t="s">
        <v>351</v>
      </c>
      <c r="V444" s="74">
        <v>44348</v>
      </c>
      <c r="W444" s="74">
        <v>44404</v>
      </c>
      <c r="X444" s="55">
        <v>10187136</v>
      </c>
      <c r="Y444" s="55" t="s">
        <v>132</v>
      </c>
      <c r="AB444" s="74" t="s">
        <v>132</v>
      </c>
      <c r="AC444" s="55" t="s">
        <v>130</v>
      </c>
      <c r="AL444" s="74"/>
      <c r="AM444" s="74"/>
    </row>
    <row r="445" spans="1:50" ht="13" x14ac:dyDescent="0.15">
      <c r="A445" s="55" t="str">
        <f>HYPERLINK("http://reports.ofsted.gov.uk/inspection-reports/find-inspection-report/provider/CARE/1259184","Ofsted Social Care Provider Webpage")</f>
        <v>Ofsted Social Care Provider Webpage</v>
      </c>
      <c r="B445" s="55">
        <v>1259184</v>
      </c>
      <c r="D445" s="55" t="s">
        <v>373</v>
      </c>
      <c r="E445" s="74">
        <v>43131</v>
      </c>
      <c r="F445" s="55" t="s">
        <v>344</v>
      </c>
      <c r="G445" s="55" t="s">
        <v>360</v>
      </c>
      <c r="H445" s="55" t="s">
        <v>360</v>
      </c>
      <c r="I445" s="55" t="s">
        <v>360</v>
      </c>
      <c r="J445" s="55" t="s">
        <v>360</v>
      </c>
      <c r="K445" s="55" t="s">
        <v>360</v>
      </c>
      <c r="L445" s="55" t="s">
        <v>360</v>
      </c>
      <c r="M445" s="55" t="s">
        <v>172</v>
      </c>
      <c r="N445" s="55" t="s">
        <v>172</v>
      </c>
      <c r="O445" s="55" t="s">
        <v>173</v>
      </c>
      <c r="P445" s="55" t="s">
        <v>1069</v>
      </c>
      <c r="Q445" s="55" t="s">
        <v>350</v>
      </c>
      <c r="R445" s="85">
        <v>4</v>
      </c>
      <c r="S445" s="55">
        <v>0</v>
      </c>
      <c r="T445" s="74" t="s">
        <v>1070</v>
      </c>
      <c r="U445" s="74" t="s">
        <v>351</v>
      </c>
      <c r="V445" s="74">
        <v>44440</v>
      </c>
      <c r="W445" s="74">
        <v>44477</v>
      </c>
      <c r="X445" s="55">
        <v>10185522</v>
      </c>
      <c r="Y445" s="55" t="s">
        <v>140</v>
      </c>
      <c r="AB445" s="74" t="s">
        <v>132</v>
      </c>
      <c r="AC445" s="55" t="s">
        <v>132</v>
      </c>
      <c r="AL445" s="74"/>
      <c r="AM445" s="74"/>
    </row>
    <row r="446" spans="1:50" ht="13" x14ac:dyDescent="0.15">
      <c r="A446" s="55" t="str">
        <f>HYPERLINK("http://reports.ofsted.gov.uk/inspection-reports/find-inspection-report/provider/CARE/1259216","Ofsted Social Care Provider Webpage")</f>
        <v>Ofsted Social Care Provider Webpage</v>
      </c>
      <c r="B446" s="55">
        <v>1259216</v>
      </c>
      <c r="D446" s="55" t="s">
        <v>373</v>
      </c>
      <c r="E446" s="74">
        <v>42935</v>
      </c>
      <c r="F446" s="55" t="s">
        <v>344</v>
      </c>
      <c r="G446" s="55" t="s">
        <v>360</v>
      </c>
      <c r="H446" s="55" t="s">
        <v>360</v>
      </c>
      <c r="I446" s="55" t="s">
        <v>360</v>
      </c>
      <c r="J446" s="55" t="s">
        <v>360</v>
      </c>
      <c r="K446" s="55" t="s">
        <v>360</v>
      </c>
      <c r="L446" s="55" t="s">
        <v>360</v>
      </c>
      <c r="M446" s="55" t="s">
        <v>136</v>
      </c>
      <c r="N446" s="55" t="s">
        <v>136</v>
      </c>
      <c r="O446" s="55" t="s">
        <v>174</v>
      </c>
      <c r="P446" s="55" t="s">
        <v>651</v>
      </c>
      <c r="Q446" s="55" t="s">
        <v>350</v>
      </c>
      <c r="R446" s="85">
        <v>1</v>
      </c>
      <c r="S446" s="55">
        <v>0</v>
      </c>
      <c r="T446" s="74" t="s">
        <v>652</v>
      </c>
      <c r="U446" s="74" t="s">
        <v>351</v>
      </c>
      <c r="V446" s="74">
        <v>44544</v>
      </c>
      <c r="W446" s="74">
        <v>44593</v>
      </c>
      <c r="X446" s="55">
        <v>10185272</v>
      </c>
      <c r="Y446" s="55" t="s">
        <v>132</v>
      </c>
      <c r="AB446" s="74" t="s">
        <v>132</v>
      </c>
      <c r="AC446" s="55" t="s">
        <v>132</v>
      </c>
      <c r="AL446" s="74"/>
      <c r="AM446" s="74"/>
    </row>
    <row r="447" spans="1:50" ht="13" x14ac:dyDescent="0.15">
      <c r="A447" s="55" t="str">
        <f>HYPERLINK("http://reports.ofsted.gov.uk/inspection-reports/find-inspection-report/provider/CARE/1259419","Ofsted Social Care Provider Webpage")</f>
        <v>Ofsted Social Care Provider Webpage</v>
      </c>
      <c r="B447" s="55">
        <v>1259419</v>
      </c>
      <c r="D447" s="55" t="s">
        <v>373</v>
      </c>
      <c r="E447" s="74">
        <v>43049</v>
      </c>
      <c r="F447" s="55" t="s">
        <v>344</v>
      </c>
      <c r="G447" s="55" t="s">
        <v>360</v>
      </c>
      <c r="H447" s="55" t="s">
        <v>360</v>
      </c>
      <c r="I447" s="55" t="s">
        <v>360</v>
      </c>
      <c r="J447" s="55" t="s">
        <v>360</v>
      </c>
      <c r="K447" s="55" t="s">
        <v>360</v>
      </c>
      <c r="L447" s="55" t="s">
        <v>360</v>
      </c>
      <c r="M447" s="55" t="s">
        <v>172</v>
      </c>
      <c r="N447" s="55" t="s">
        <v>172</v>
      </c>
      <c r="O447" s="55" t="s">
        <v>212</v>
      </c>
      <c r="P447" s="55" t="s">
        <v>714</v>
      </c>
      <c r="Q447" s="55" t="s">
        <v>350</v>
      </c>
      <c r="R447" s="85">
        <v>1</v>
      </c>
      <c r="S447" s="55">
        <v>0</v>
      </c>
      <c r="T447" s="74" t="s">
        <v>861</v>
      </c>
      <c r="U447" s="74" t="s">
        <v>351</v>
      </c>
      <c r="V447" s="74">
        <v>44545</v>
      </c>
      <c r="W447" s="74">
        <v>44595</v>
      </c>
      <c r="X447" s="55">
        <v>10185571</v>
      </c>
      <c r="Y447" s="55" t="s">
        <v>132</v>
      </c>
      <c r="AB447" s="74" t="s">
        <v>132</v>
      </c>
      <c r="AC447" s="55" t="s">
        <v>132</v>
      </c>
      <c r="AL447" s="74"/>
      <c r="AM447" s="74"/>
      <c r="AW447" s="74"/>
      <c r="AX447" s="74"/>
    </row>
    <row r="448" spans="1:50" ht="13" x14ac:dyDescent="0.15">
      <c r="A448" s="55" t="str">
        <f>HYPERLINK("http://reports.ofsted.gov.uk/inspection-reports/find-inspection-report/provider/CARE/1259547","Ofsted Social Care Provider Webpage")</f>
        <v>Ofsted Social Care Provider Webpage</v>
      </c>
      <c r="B448" s="55">
        <v>1259547</v>
      </c>
      <c r="D448" s="55" t="s">
        <v>373</v>
      </c>
      <c r="E448" s="74">
        <v>43010</v>
      </c>
      <c r="F448" s="55" t="s">
        <v>344</v>
      </c>
      <c r="G448" s="55" t="s">
        <v>360</v>
      </c>
      <c r="H448" s="55" t="s">
        <v>360</v>
      </c>
      <c r="I448" s="55" t="s">
        <v>360</v>
      </c>
      <c r="J448" s="55" t="s">
        <v>360</v>
      </c>
      <c r="K448" s="55" t="s">
        <v>360</v>
      </c>
      <c r="L448" s="55" t="s">
        <v>360</v>
      </c>
      <c r="M448" s="55" t="s">
        <v>172</v>
      </c>
      <c r="N448" s="55" t="s">
        <v>172</v>
      </c>
      <c r="O448" s="55" t="s">
        <v>228</v>
      </c>
      <c r="P448" s="55" t="s">
        <v>991</v>
      </c>
      <c r="Q448" s="55" t="s">
        <v>350</v>
      </c>
      <c r="R448" s="85">
        <v>3</v>
      </c>
      <c r="S448" s="55">
        <v>0</v>
      </c>
      <c r="T448" s="74" t="s">
        <v>1079</v>
      </c>
      <c r="U448" s="74" t="s">
        <v>351</v>
      </c>
      <c r="V448" s="74">
        <v>44615</v>
      </c>
      <c r="W448" s="74">
        <v>44663</v>
      </c>
      <c r="X448" s="55">
        <v>10186912</v>
      </c>
      <c r="Y448" s="55" t="s">
        <v>132</v>
      </c>
      <c r="AB448" s="74" t="s">
        <v>132</v>
      </c>
      <c r="AC448" s="55" t="s">
        <v>132</v>
      </c>
      <c r="AL448" s="74"/>
      <c r="AM448" s="74"/>
    </row>
    <row r="449" spans="1:50" ht="13" x14ac:dyDescent="0.15">
      <c r="A449" s="55" t="str">
        <f>HYPERLINK("http://reports.ofsted.gov.uk/inspection-reports/find-inspection-report/provider/CARE/1259551","Ofsted Social Care Provider Webpage")</f>
        <v>Ofsted Social Care Provider Webpage</v>
      </c>
      <c r="B449" s="55">
        <v>1259551</v>
      </c>
      <c r="D449" s="55" t="s">
        <v>373</v>
      </c>
      <c r="E449" s="74">
        <v>42990</v>
      </c>
      <c r="F449" s="55" t="s">
        <v>344</v>
      </c>
      <c r="G449" s="55" t="s">
        <v>360</v>
      </c>
      <c r="H449" s="55" t="s">
        <v>360</v>
      </c>
      <c r="I449" s="55" t="s">
        <v>360</v>
      </c>
      <c r="J449" s="55" t="s">
        <v>360</v>
      </c>
      <c r="K449" s="55" t="s">
        <v>360</v>
      </c>
      <c r="L449" s="55" t="s">
        <v>360</v>
      </c>
      <c r="M449" s="55" t="s">
        <v>138</v>
      </c>
      <c r="N449" s="55" t="s">
        <v>138</v>
      </c>
      <c r="O449" s="55" t="s">
        <v>238</v>
      </c>
      <c r="P449" s="55" t="s">
        <v>1080</v>
      </c>
      <c r="Q449" s="55" t="s">
        <v>350</v>
      </c>
      <c r="R449" s="85">
        <v>5</v>
      </c>
      <c r="S449" s="55">
        <v>0</v>
      </c>
      <c r="T449" s="74" t="s">
        <v>1079</v>
      </c>
      <c r="U449" s="74" t="s">
        <v>351</v>
      </c>
      <c r="V449" s="74">
        <v>44341</v>
      </c>
      <c r="W449" s="74">
        <v>44363</v>
      </c>
      <c r="X449" s="55">
        <v>10187193</v>
      </c>
      <c r="Y449" s="55" t="s">
        <v>132</v>
      </c>
      <c r="AB449" s="74" t="s">
        <v>132</v>
      </c>
      <c r="AC449" s="55" t="s">
        <v>132</v>
      </c>
      <c r="AL449" s="74"/>
      <c r="AM449" s="74"/>
      <c r="AW449" s="74"/>
      <c r="AX449" s="74"/>
    </row>
    <row r="450" spans="1:50" ht="13" x14ac:dyDescent="0.15">
      <c r="A450" s="55" t="str">
        <f>HYPERLINK("http://reports.ofsted.gov.uk/inspection-reports/find-inspection-report/provider/CARE/1259631","Ofsted Social Care Provider Webpage")</f>
        <v>Ofsted Social Care Provider Webpage</v>
      </c>
      <c r="B450" s="55">
        <v>1259631</v>
      </c>
      <c r="D450" s="55" t="s">
        <v>373</v>
      </c>
      <c r="E450" s="74">
        <v>43021</v>
      </c>
      <c r="F450" s="55" t="s">
        <v>344</v>
      </c>
      <c r="G450" s="55" t="s">
        <v>360</v>
      </c>
      <c r="H450" s="55" t="s">
        <v>360</v>
      </c>
      <c r="I450" s="55" t="s">
        <v>360</v>
      </c>
      <c r="J450" s="55" t="s">
        <v>360</v>
      </c>
      <c r="K450" s="55" t="s">
        <v>360</v>
      </c>
      <c r="L450" s="55" t="s">
        <v>360</v>
      </c>
      <c r="M450" s="55" t="s">
        <v>378</v>
      </c>
      <c r="N450" s="55" t="s">
        <v>134</v>
      </c>
      <c r="O450" s="55" t="s">
        <v>151</v>
      </c>
      <c r="P450" s="55" t="s">
        <v>862</v>
      </c>
      <c r="Q450" s="55" t="s">
        <v>350</v>
      </c>
      <c r="R450" s="85">
        <v>7</v>
      </c>
      <c r="S450" s="55">
        <v>0</v>
      </c>
      <c r="T450" s="74" t="s">
        <v>435</v>
      </c>
      <c r="U450" s="74" t="s">
        <v>351</v>
      </c>
      <c r="V450" s="74">
        <v>44620</v>
      </c>
      <c r="W450" s="74">
        <v>44664</v>
      </c>
      <c r="X450" s="55">
        <v>10185228</v>
      </c>
      <c r="Y450" s="55" t="s">
        <v>132</v>
      </c>
      <c r="AB450" s="74" t="s">
        <v>130</v>
      </c>
      <c r="AC450" s="55" t="s">
        <v>132</v>
      </c>
      <c r="AL450" s="74"/>
      <c r="AM450" s="74"/>
    </row>
    <row r="451" spans="1:50" ht="13" x14ac:dyDescent="0.15">
      <c r="A451" s="55" t="str">
        <f>HYPERLINK("http://reports.ofsted.gov.uk/inspection-reports/find-inspection-report/provider/CARE/1259734","Ofsted Social Care Provider Webpage")</f>
        <v>Ofsted Social Care Provider Webpage</v>
      </c>
      <c r="B451" s="55">
        <v>1259734</v>
      </c>
      <c r="D451" s="55" t="s">
        <v>373</v>
      </c>
      <c r="E451" s="74">
        <v>42989</v>
      </c>
      <c r="F451" s="55" t="s">
        <v>344</v>
      </c>
      <c r="G451" s="55" t="s">
        <v>360</v>
      </c>
      <c r="H451" s="55" t="s">
        <v>360</v>
      </c>
      <c r="I451" s="55" t="s">
        <v>360</v>
      </c>
      <c r="J451" s="55" t="s">
        <v>360</v>
      </c>
      <c r="K451" s="55" t="s">
        <v>360</v>
      </c>
      <c r="L451" s="55" t="s">
        <v>360</v>
      </c>
      <c r="M451" s="55" t="s">
        <v>150</v>
      </c>
      <c r="N451" s="55" t="s">
        <v>150</v>
      </c>
      <c r="O451" s="55" t="s">
        <v>190</v>
      </c>
      <c r="P451" s="55" t="s">
        <v>830</v>
      </c>
      <c r="Q451" s="55" t="s">
        <v>380</v>
      </c>
      <c r="R451" s="85">
        <v>4</v>
      </c>
      <c r="S451" s="55">
        <v>0</v>
      </c>
      <c r="T451" s="74" t="s">
        <v>967</v>
      </c>
      <c r="U451" s="74" t="s">
        <v>351</v>
      </c>
      <c r="V451" s="74">
        <v>44424</v>
      </c>
      <c r="W451" s="74">
        <v>44468</v>
      </c>
      <c r="X451" s="55">
        <v>10185256</v>
      </c>
      <c r="Y451" s="55" t="s">
        <v>132</v>
      </c>
      <c r="AB451" s="74" t="s">
        <v>132</v>
      </c>
      <c r="AC451" s="55" t="s">
        <v>132</v>
      </c>
      <c r="AL451" s="74"/>
      <c r="AM451" s="74"/>
    </row>
    <row r="452" spans="1:50" ht="13" x14ac:dyDescent="0.15">
      <c r="A452" s="55" t="str">
        <f>HYPERLINK("http://reports.ofsted.gov.uk/inspection-reports/find-inspection-report/provider/CARE/1260700","Ofsted Social Care Provider Webpage")</f>
        <v>Ofsted Social Care Provider Webpage</v>
      </c>
      <c r="B452" s="55">
        <v>1260700</v>
      </c>
      <c r="D452" s="55" t="s">
        <v>373</v>
      </c>
      <c r="E452" s="74">
        <v>43018</v>
      </c>
      <c r="F452" s="55" t="s">
        <v>344</v>
      </c>
      <c r="G452" s="55" t="s">
        <v>360</v>
      </c>
      <c r="H452" s="55" t="s">
        <v>360</v>
      </c>
      <c r="I452" s="55" t="s">
        <v>360</v>
      </c>
      <c r="J452" s="55" t="s">
        <v>360</v>
      </c>
      <c r="K452" s="55" t="s">
        <v>360</v>
      </c>
      <c r="L452" s="55" t="s">
        <v>360</v>
      </c>
      <c r="M452" s="55" t="s">
        <v>172</v>
      </c>
      <c r="N452" s="55" t="s">
        <v>172</v>
      </c>
      <c r="O452" s="55" t="s">
        <v>212</v>
      </c>
      <c r="P452" s="55" t="s">
        <v>592</v>
      </c>
      <c r="Q452" s="55" t="s">
        <v>350</v>
      </c>
      <c r="R452" s="85">
        <v>4</v>
      </c>
      <c r="S452" s="55">
        <v>0</v>
      </c>
      <c r="T452" s="74" t="s">
        <v>1091</v>
      </c>
      <c r="U452" s="74" t="s">
        <v>351</v>
      </c>
      <c r="V452" s="74">
        <v>44356</v>
      </c>
      <c r="W452" s="74">
        <v>44403</v>
      </c>
      <c r="X452" s="55">
        <v>10185785</v>
      </c>
      <c r="Y452" s="55" t="s">
        <v>146</v>
      </c>
      <c r="AB452" s="74" t="s">
        <v>146</v>
      </c>
      <c r="AC452" s="55" t="s">
        <v>146</v>
      </c>
      <c r="AL452" s="74"/>
      <c r="AM452" s="74"/>
    </row>
    <row r="453" spans="1:50" ht="13" x14ac:dyDescent="0.15">
      <c r="A453" s="55" t="str">
        <f>HYPERLINK("http://reports.ofsted.gov.uk/inspection-reports/find-inspection-report/provider/CARE/1260700","Ofsted Social Care Provider Webpage")</f>
        <v>Ofsted Social Care Provider Webpage</v>
      </c>
      <c r="B453" s="55">
        <v>1260700</v>
      </c>
      <c r="D453" s="55" t="s">
        <v>373</v>
      </c>
      <c r="E453" s="74">
        <v>43018</v>
      </c>
      <c r="F453" s="55" t="s">
        <v>344</v>
      </c>
      <c r="G453" s="55" t="s">
        <v>360</v>
      </c>
      <c r="H453" s="55" t="s">
        <v>360</v>
      </c>
      <c r="I453" s="55" t="s">
        <v>360</v>
      </c>
      <c r="J453" s="55" t="s">
        <v>360</v>
      </c>
      <c r="K453" s="55" t="s">
        <v>360</v>
      </c>
      <c r="L453" s="55" t="s">
        <v>360</v>
      </c>
      <c r="M453" s="55" t="s">
        <v>172</v>
      </c>
      <c r="N453" s="55" t="s">
        <v>172</v>
      </c>
      <c r="O453" s="55" t="s">
        <v>212</v>
      </c>
      <c r="P453" s="55" t="s">
        <v>592</v>
      </c>
      <c r="Q453" s="55" t="s">
        <v>350</v>
      </c>
      <c r="R453" s="85">
        <v>4</v>
      </c>
      <c r="S453" s="55">
        <v>0</v>
      </c>
      <c r="T453" s="74" t="s">
        <v>1091</v>
      </c>
      <c r="U453" s="74" t="s">
        <v>351</v>
      </c>
      <c r="V453" s="74">
        <v>44412</v>
      </c>
      <c r="W453" s="74">
        <v>44460</v>
      </c>
      <c r="X453" s="55">
        <v>10198150</v>
      </c>
      <c r="Y453" s="55" t="s">
        <v>130</v>
      </c>
      <c r="AB453" s="74" t="s">
        <v>130</v>
      </c>
      <c r="AC453" s="55" t="s">
        <v>130</v>
      </c>
      <c r="AL453" s="74"/>
      <c r="AM453" s="74"/>
    </row>
    <row r="454" spans="1:50" ht="13" x14ac:dyDescent="0.15">
      <c r="A454" s="55" t="str">
        <f>HYPERLINK("http://reports.ofsted.gov.uk/inspection-reports/find-inspection-report/provider/CARE/1261138","Ofsted Social Care Provider Webpage")</f>
        <v>Ofsted Social Care Provider Webpage</v>
      </c>
      <c r="B454" s="55">
        <v>1261138</v>
      </c>
      <c r="D454" s="55" t="s">
        <v>373</v>
      </c>
      <c r="E454" s="74">
        <v>42976</v>
      </c>
      <c r="F454" s="55" t="s">
        <v>344</v>
      </c>
      <c r="G454" s="55" t="s">
        <v>360</v>
      </c>
      <c r="H454" s="55" t="s">
        <v>360</v>
      </c>
      <c r="I454" s="55" t="s">
        <v>360</v>
      </c>
      <c r="J454" s="55" t="s">
        <v>360</v>
      </c>
      <c r="K454" s="55" t="s">
        <v>360</v>
      </c>
      <c r="L454" s="55" t="s">
        <v>360</v>
      </c>
      <c r="M454" s="55" t="s">
        <v>144</v>
      </c>
      <c r="N454" s="55" t="s">
        <v>144</v>
      </c>
      <c r="O454" s="55" t="s">
        <v>157</v>
      </c>
      <c r="P454" s="55" t="s">
        <v>1092</v>
      </c>
      <c r="Q454" s="55" t="s">
        <v>350</v>
      </c>
      <c r="R454" s="85">
        <v>5</v>
      </c>
      <c r="S454" s="55">
        <v>0</v>
      </c>
      <c r="T454" s="74" t="s">
        <v>1093</v>
      </c>
      <c r="U454" s="74" t="s">
        <v>351</v>
      </c>
      <c r="V454" s="74">
        <v>44579</v>
      </c>
      <c r="W454" s="74">
        <v>44608</v>
      </c>
      <c r="X454" s="55">
        <v>10186568</v>
      </c>
      <c r="Y454" s="55" t="s">
        <v>132</v>
      </c>
      <c r="AB454" s="74" t="s">
        <v>132</v>
      </c>
      <c r="AC454" s="55" t="s">
        <v>132</v>
      </c>
      <c r="AL454" s="74"/>
      <c r="AM454" s="74"/>
      <c r="AW454" s="74"/>
      <c r="AX454" s="74"/>
    </row>
    <row r="455" spans="1:50" ht="13" x14ac:dyDescent="0.15">
      <c r="A455" s="55" t="str">
        <f>HYPERLINK("http://reports.ofsted.gov.uk/inspection-reports/find-inspection-report/provider/CARE/1262657","Ofsted Social Care Provider Webpage")</f>
        <v>Ofsted Social Care Provider Webpage</v>
      </c>
      <c r="B455" s="55">
        <v>1262657</v>
      </c>
      <c r="D455" s="55" t="s">
        <v>373</v>
      </c>
      <c r="E455" s="74">
        <v>42996</v>
      </c>
      <c r="F455" s="55" t="s">
        <v>344</v>
      </c>
      <c r="G455" s="55" t="s">
        <v>360</v>
      </c>
      <c r="H455" s="55" t="s">
        <v>360</v>
      </c>
      <c r="I455" s="55" t="s">
        <v>360</v>
      </c>
      <c r="J455" s="55" t="s">
        <v>360</v>
      </c>
      <c r="K455" s="55" t="s">
        <v>360</v>
      </c>
      <c r="L455" s="55" t="s">
        <v>360</v>
      </c>
      <c r="M455" s="55" t="s">
        <v>144</v>
      </c>
      <c r="N455" s="55" t="s">
        <v>144</v>
      </c>
      <c r="O455" s="55" t="s">
        <v>209</v>
      </c>
      <c r="P455" s="55" t="s">
        <v>544</v>
      </c>
      <c r="Q455" s="55" t="s">
        <v>350</v>
      </c>
      <c r="R455" s="85">
        <v>2</v>
      </c>
      <c r="S455" s="55">
        <v>0</v>
      </c>
      <c r="T455" s="74" t="s">
        <v>485</v>
      </c>
      <c r="U455" s="74" t="s">
        <v>351</v>
      </c>
      <c r="V455" s="74">
        <v>44623</v>
      </c>
      <c r="W455" s="74">
        <v>44670</v>
      </c>
      <c r="X455" s="55">
        <v>10185491</v>
      </c>
      <c r="Y455" s="55" t="s">
        <v>132</v>
      </c>
      <c r="AB455" s="74" t="s">
        <v>132</v>
      </c>
      <c r="AC455" s="55" t="s">
        <v>132</v>
      </c>
      <c r="AL455" s="74"/>
      <c r="AM455" s="74"/>
      <c r="AW455" s="74"/>
      <c r="AX455" s="74"/>
    </row>
    <row r="456" spans="1:50" ht="13" x14ac:dyDescent="0.15">
      <c r="A456" s="55" t="str">
        <f>HYPERLINK("http://reports.ofsted.gov.uk/inspection-reports/find-inspection-report/provider/CARE/1262827","Ofsted Social Care Provider Webpage")</f>
        <v>Ofsted Social Care Provider Webpage</v>
      </c>
      <c r="B456" s="55">
        <v>1262827</v>
      </c>
      <c r="D456" s="55" t="s">
        <v>451</v>
      </c>
      <c r="E456" s="74">
        <v>42989</v>
      </c>
      <c r="F456" s="55" t="s">
        <v>344</v>
      </c>
      <c r="G456" s="55" t="s">
        <v>1094</v>
      </c>
      <c r="H456" s="55" t="s">
        <v>1095</v>
      </c>
      <c r="I456" s="55" t="s">
        <v>354</v>
      </c>
      <c r="J456" s="55" t="s">
        <v>145</v>
      </c>
      <c r="L456" s="55" t="s">
        <v>1096</v>
      </c>
      <c r="M456" s="55" t="s">
        <v>144</v>
      </c>
      <c r="N456" s="55" t="s">
        <v>144</v>
      </c>
      <c r="O456" s="55" t="s">
        <v>145</v>
      </c>
      <c r="P456" s="55" t="s">
        <v>525</v>
      </c>
      <c r="Q456" s="55" t="s">
        <v>350</v>
      </c>
      <c r="R456" s="85">
        <v>5</v>
      </c>
      <c r="S456" s="55">
        <v>0</v>
      </c>
      <c r="T456" s="74" t="s">
        <v>1097</v>
      </c>
      <c r="U456" s="74" t="s">
        <v>351</v>
      </c>
      <c r="V456" s="74">
        <v>44614</v>
      </c>
      <c r="W456" s="74">
        <v>44658</v>
      </c>
      <c r="X456" s="55">
        <v>10204715</v>
      </c>
      <c r="Y456" s="55" t="s">
        <v>132</v>
      </c>
      <c r="AB456" s="74" t="s">
        <v>132</v>
      </c>
      <c r="AC456" s="55" t="s">
        <v>130</v>
      </c>
      <c r="AL456" s="74"/>
      <c r="AM456" s="74"/>
      <c r="AW456" s="74"/>
      <c r="AX456" s="74"/>
    </row>
    <row r="457" spans="1:50" ht="13" x14ac:dyDescent="0.15">
      <c r="A457" s="55" t="str">
        <f>HYPERLINK("http://reports.ofsted.gov.uk/inspection-reports/find-inspection-report/provider/CARE/1262935","Ofsted Social Care Provider Webpage")</f>
        <v>Ofsted Social Care Provider Webpage</v>
      </c>
      <c r="B457" s="55">
        <v>1262935</v>
      </c>
      <c r="D457" s="55" t="s">
        <v>373</v>
      </c>
      <c r="E457" s="74">
        <v>42965</v>
      </c>
      <c r="F457" s="55" t="s">
        <v>344</v>
      </c>
      <c r="G457" s="55" t="s">
        <v>360</v>
      </c>
      <c r="H457" s="55" t="s">
        <v>360</v>
      </c>
      <c r="I457" s="55" t="s">
        <v>360</v>
      </c>
      <c r="J457" s="55" t="s">
        <v>360</v>
      </c>
      <c r="K457" s="55" t="s">
        <v>360</v>
      </c>
      <c r="L457" s="55" t="s">
        <v>360</v>
      </c>
      <c r="M457" s="55" t="s">
        <v>144</v>
      </c>
      <c r="N457" s="55" t="s">
        <v>144</v>
      </c>
      <c r="O457" s="55" t="s">
        <v>168</v>
      </c>
      <c r="P457" s="55" t="s">
        <v>913</v>
      </c>
      <c r="Q457" s="55" t="s">
        <v>350</v>
      </c>
      <c r="R457" s="85">
        <v>6</v>
      </c>
      <c r="S457" s="55">
        <v>0</v>
      </c>
      <c r="T457" s="74" t="s">
        <v>1098</v>
      </c>
      <c r="U457" s="74" t="s">
        <v>351</v>
      </c>
      <c r="V457" s="74">
        <v>44461</v>
      </c>
      <c r="W457" s="74">
        <v>44509</v>
      </c>
      <c r="X457" s="55">
        <v>10186732</v>
      </c>
      <c r="Y457" s="55" t="s">
        <v>132</v>
      </c>
      <c r="AB457" s="74" t="s">
        <v>132</v>
      </c>
      <c r="AC457" s="55" t="s">
        <v>132</v>
      </c>
      <c r="AL457" s="74"/>
      <c r="AM457" s="74"/>
    </row>
    <row r="458" spans="1:50" ht="13" x14ac:dyDescent="0.15">
      <c r="A458" s="55" t="str">
        <f>HYPERLINK("http://reports.ofsted.gov.uk/inspection-reports/find-inspection-report/provider/CARE/1263120","Ofsted Social Care Provider Webpage")</f>
        <v>Ofsted Social Care Provider Webpage</v>
      </c>
      <c r="B458" s="55">
        <v>1263120</v>
      </c>
      <c r="D458" s="55" t="s">
        <v>373</v>
      </c>
      <c r="E458" s="74">
        <v>43000</v>
      </c>
      <c r="F458" s="55" t="s">
        <v>344</v>
      </c>
      <c r="G458" s="55" t="s">
        <v>360</v>
      </c>
      <c r="H458" s="55" t="s">
        <v>360</v>
      </c>
      <c r="I458" s="55" t="s">
        <v>360</v>
      </c>
      <c r="J458" s="55" t="s">
        <v>360</v>
      </c>
      <c r="K458" s="55" t="s">
        <v>360</v>
      </c>
      <c r="L458" s="55" t="s">
        <v>360</v>
      </c>
      <c r="M458" s="55" t="s">
        <v>144</v>
      </c>
      <c r="N458" s="55" t="s">
        <v>144</v>
      </c>
      <c r="O458" s="55" t="s">
        <v>290</v>
      </c>
      <c r="P458" s="55" t="s">
        <v>1099</v>
      </c>
      <c r="Q458" s="55" t="s">
        <v>350</v>
      </c>
      <c r="R458" s="85">
        <v>4</v>
      </c>
      <c r="S458" s="55">
        <v>0</v>
      </c>
      <c r="T458" s="74" t="s">
        <v>1100</v>
      </c>
      <c r="U458" s="74" t="s">
        <v>351</v>
      </c>
      <c r="V458" s="74">
        <v>44517</v>
      </c>
      <c r="W458" s="74">
        <v>44565</v>
      </c>
      <c r="X458" s="55">
        <v>10206356</v>
      </c>
      <c r="Y458" s="55" t="s">
        <v>130</v>
      </c>
      <c r="AB458" s="74" t="s">
        <v>130</v>
      </c>
      <c r="AC458" s="55" t="s">
        <v>130</v>
      </c>
      <c r="AL458" s="74"/>
      <c r="AM458" s="74"/>
    </row>
    <row r="459" spans="1:50" ht="13" x14ac:dyDescent="0.15">
      <c r="A459" s="55" t="str">
        <f>HYPERLINK("http://reports.ofsted.gov.uk/inspection-reports/find-inspection-report/provider/CARE/1263120","Ofsted Social Care Provider Webpage")</f>
        <v>Ofsted Social Care Provider Webpage</v>
      </c>
      <c r="B459" s="55">
        <v>1263120</v>
      </c>
      <c r="D459" s="55" t="s">
        <v>373</v>
      </c>
      <c r="E459" s="74">
        <v>43000</v>
      </c>
      <c r="F459" s="55" t="s">
        <v>344</v>
      </c>
      <c r="G459" s="55" t="s">
        <v>360</v>
      </c>
      <c r="H459" s="55" t="s">
        <v>360</v>
      </c>
      <c r="I459" s="55" t="s">
        <v>360</v>
      </c>
      <c r="J459" s="55" t="s">
        <v>360</v>
      </c>
      <c r="K459" s="55" t="s">
        <v>360</v>
      </c>
      <c r="L459" s="55" t="s">
        <v>360</v>
      </c>
      <c r="M459" s="55" t="s">
        <v>144</v>
      </c>
      <c r="N459" s="55" t="s">
        <v>144</v>
      </c>
      <c r="O459" s="55" t="s">
        <v>290</v>
      </c>
      <c r="P459" s="55" t="s">
        <v>1099</v>
      </c>
      <c r="Q459" s="55" t="s">
        <v>350</v>
      </c>
      <c r="R459" s="85">
        <v>4</v>
      </c>
      <c r="S459" s="55">
        <v>0</v>
      </c>
      <c r="T459" s="74" t="s">
        <v>1100</v>
      </c>
      <c r="U459" s="74" t="s">
        <v>2053</v>
      </c>
      <c r="V459" s="74">
        <v>44463</v>
      </c>
      <c r="W459" s="74">
        <v>44491</v>
      </c>
      <c r="X459" s="55">
        <v>10207539</v>
      </c>
      <c r="AL459" s="74"/>
      <c r="AM459" s="74"/>
      <c r="AW459" s="74"/>
      <c r="AX459" s="74"/>
    </row>
    <row r="460" spans="1:50" ht="13" x14ac:dyDescent="0.15">
      <c r="A460" s="55" t="str">
        <f>HYPERLINK("http://reports.ofsted.gov.uk/inspection-reports/find-inspection-report/provider/CARE/1263120","Ofsted Social Care Provider Webpage")</f>
        <v>Ofsted Social Care Provider Webpage</v>
      </c>
      <c r="B460" s="55">
        <v>1263120</v>
      </c>
      <c r="D460" s="55" t="s">
        <v>373</v>
      </c>
      <c r="E460" s="74">
        <v>43000</v>
      </c>
      <c r="F460" s="55" t="s">
        <v>344</v>
      </c>
      <c r="G460" s="55" t="s">
        <v>360</v>
      </c>
      <c r="H460" s="55" t="s">
        <v>360</v>
      </c>
      <c r="I460" s="55" t="s">
        <v>360</v>
      </c>
      <c r="J460" s="55" t="s">
        <v>360</v>
      </c>
      <c r="K460" s="55" t="s">
        <v>360</v>
      </c>
      <c r="L460" s="55" t="s">
        <v>360</v>
      </c>
      <c r="M460" s="55" t="s">
        <v>144</v>
      </c>
      <c r="N460" s="55" t="s">
        <v>144</v>
      </c>
      <c r="O460" s="55" t="s">
        <v>290</v>
      </c>
      <c r="P460" s="55" t="s">
        <v>1099</v>
      </c>
      <c r="Q460" s="55" t="s">
        <v>350</v>
      </c>
      <c r="R460" s="85">
        <v>4</v>
      </c>
      <c r="S460" s="55">
        <v>0</v>
      </c>
      <c r="T460" s="74" t="s">
        <v>1100</v>
      </c>
      <c r="U460" s="74" t="s">
        <v>351</v>
      </c>
      <c r="V460" s="74">
        <v>44404</v>
      </c>
      <c r="W460" s="74">
        <v>44449</v>
      </c>
      <c r="X460" s="55">
        <v>10185163</v>
      </c>
      <c r="Y460" s="55" t="s">
        <v>146</v>
      </c>
      <c r="AB460" s="74" t="s">
        <v>146</v>
      </c>
      <c r="AC460" s="55" t="s">
        <v>146</v>
      </c>
      <c r="AL460" s="74"/>
      <c r="AM460" s="74"/>
      <c r="AW460" s="74"/>
      <c r="AX460" s="74"/>
    </row>
    <row r="461" spans="1:50" ht="13" x14ac:dyDescent="0.15">
      <c r="A461" s="55" t="str">
        <f>HYPERLINK("http://reports.ofsted.gov.uk/inspection-reports/find-inspection-report/provider/CARE/1263124","Ofsted Social Care Provider Webpage")</f>
        <v>Ofsted Social Care Provider Webpage</v>
      </c>
      <c r="B461" s="55">
        <v>1263124</v>
      </c>
      <c r="D461" s="55" t="s">
        <v>373</v>
      </c>
      <c r="E461" s="74">
        <v>43004</v>
      </c>
      <c r="F461" s="55" t="s">
        <v>344</v>
      </c>
      <c r="G461" s="55" t="s">
        <v>360</v>
      </c>
      <c r="H461" s="55" t="s">
        <v>360</v>
      </c>
      <c r="I461" s="55" t="s">
        <v>360</v>
      </c>
      <c r="J461" s="55" t="s">
        <v>360</v>
      </c>
      <c r="K461" s="55" t="s">
        <v>360</v>
      </c>
      <c r="L461" s="55" t="s">
        <v>360</v>
      </c>
      <c r="M461" s="55" t="s">
        <v>136</v>
      </c>
      <c r="N461" s="55" t="s">
        <v>136</v>
      </c>
      <c r="O461" s="55" t="s">
        <v>288</v>
      </c>
      <c r="P461" s="55" t="s">
        <v>1101</v>
      </c>
      <c r="Q461" s="55" t="s">
        <v>350</v>
      </c>
      <c r="R461" s="85">
        <v>5</v>
      </c>
      <c r="S461" s="55">
        <v>0</v>
      </c>
      <c r="T461" s="74" t="s">
        <v>1102</v>
      </c>
      <c r="U461" s="74" t="s">
        <v>2053</v>
      </c>
      <c r="V461" s="74">
        <v>44411</v>
      </c>
      <c r="W461" s="74">
        <v>44446</v>
      </c>
      <c r="X461" s="55">
        <v>10202519</v>
      </c>
      <c r="AL461" s="74"/>
      <c r="AM461" s="74"/>
      <c r="AW461" s="74"/>
      <c r="AX461" s="74"/>
    </row>
    <row r="462" spans="1:50" ht="13" x14ac:dyDescent="0.15">
      <c r="A462" s="55" t="str">
        <f>HYPERLINK("http://reports.ofsted.gov.uk/inspection-reports/find-inspection-report/provider/CARE/1263124","Ofsted Social Care Provider Webpage")</f>
        <v>Ofsted Social Care Provider Webpage</v>
      </c>
      <c r="B462" s="55">
        <v>1263124</v>
      </c>
      <c r="D462" s="55" t="s">
        <v>373</v>
      </c>
      <c r="E462" s="74">
        <v>43004</v>
      </c>
      <c r="F462" s="55" t="s">
        <v>344</v>
      </c>
      <c r="G462" s="55" t="s">
        <v>360</v>
      </c>
      <c r="H462" s="55" t="s">
        <v>360</v>
      </c>
      <c r="I462" s="55" t="s">
        <v>360</v>
      </c>
      <c r="J462" s="55" t="s">
        <v>360</v>
      </c>
      <c r="K462" s="55" t="s">
        <v>360</v>
      </c>
      <c r="L462" s="55" t="s">
        <v>360</v>
      </c>
      <c r="M462" s="55" t="s">
        <v>136</v>
      </c>
      <c r="N462" s="55" t="s">
        <v>136</v>
      </c>
      <c r="O462" s="55" t="s">
        <v>288</v>
      </c>
      <c r="P462" s="55" t="s">
        <v>1101</v>
      </c>
      <c r="Q462" s="55" t="s">
        <v>350</v>
      </c>
      <c r="R462" s="85">
        <v>5</v>
      </c>
      <c r="S462" s="55">
        <v>0</v>
      </c>
      <c r="T462" s="74" t="s">
        <v>1102</v>
      </c>
      <c r="U462" s="74" t="s">
        <v>351</v>
      </c>
      <c r="V462" s="74">
        <v>44375</v>
      </c>
      <c r="W462" s="74">
        <v>44414</v>
      </c>
      <c r="X462" s="55">
        <v>10185905</v>
      </c>
      <c r="Y462" s="55" t="s">
        <v>146</v>
      </c>
      <c r="AB462" s="74" t="s">
        <v>146</v>
      </c>
      <c r="AC462" s="55" t="s">
        <v>146</v>
      </c>
      <c r="AL462" s="74"/>
      <c r="AM462" s="74"/>
      <c r="AW462" s="74"/>
      <c r="AX462" s="74"/>
    </row>
    <row r="463" spans="1:50" ht="13" x14ac:dyDescent="0.15">
      <c r="A463" s="55" t="str">
        <f>HYPERLINK("http://reports.ofsted.gov.uk/inspection-reports/find-inspection-report/provider/CARE/1263124","Ofsted Social Care Provider Webpage")</f>
        <v>Ofsted Social Care Provider Webpage</v>
      </c>
      <c r="B463" s="55">
        <v>1263124</v>
      </c>
      <c r="D463" s="55" t="s">
        <v>373</v>
      </c>
      <c r="E463" s="74">
        <v>43004</v>
      </c>
      <c r="F463" s="55" t="s">
        <v>344</v>
      </c>
      <c r="G463" s="55" t="s">
        <v>360</v>
      </c>
      <c r="H463" s="55" t="s">
        <v>360</v>
      </c>
      <c r="I463" s="55" t="s">
        <v>360</v>
      </c>
      <c r="J463" s="55" t="s">
        <v>360</v>
      </c>
      <c r="K463" s="55" t="s">
        <v>360</v>
      </c>
      <c r="L463" s="55" t="s">
        <v>360</v>
      </c>
      <c r="M463" s="55" t="s">
        <v>136</v>
      </c>
      <c r="N463" s="55" t="s">
        <v>136</v>
      </c>
      <c r="O463" s="55" t="s">
        <v>288</v>
      </c>
      <c r="P463" s="55" t="s">
        <v>1101</v>
      </c>
      <c r="Q463" s="55" t="s">
        <v>350</v>
      </c>
      <c r="R463" s="85">
        <v>5</v>
      </c>
      <c r="S463" s="55">
        <v>0</v>
      </c>
      <c r="T463" s="74" t="s">
        <v>1102</v>
      </c>
      <c r="U463" s="74" t="s">
        <v>351</v>
      </c>
      <c r="V463" s="74">
        <v>44487</v>
      </c>
      <c r="W463" s="74">
        <v>44529</v>
      </c>
      <c r="X463" s="55">
        <v>10201928</v>
      </c>
      <c r="Y463" s="55" t="s">
        <v>130</v>
      </c>
      <c r="AB463" s="74" t="s">
        <v>130</v>
      </c>
      <c r="AC463" s="55" t="s">
        <v>130</v>
      </c>
      <c r="AL463" s="74"/>
      <c r="AM463" s="74"/>
      <c r="AW463" s="74"/>
      <c r="AX463" s="74"/>
    </row>
    <row r="464" spans="1:50" ht="13" x14ac:dyDescent="0.15">
      <c r="A464" s="55" t="str">
        <f>HYPERLINK("http://reports.ofsted.gov.uk/inspection-reports/find-inspection-report/provider/CARE/1263126","Ofsted Social Care Provider Webpage")</f>
        <v>Ofsted Social Care Provider Webpage</v>
      </c>
      <c r="B464" s="55">
        <v>1263126</v>
      </c>
      <c r="D464" s="55" t="s">
        <v>373</v>
      </c>
      <c r="E464" s="74">
        <v>42951</v>
      </c>
      <c r="F464" s="55" t="s">
        <v>344</v>
      </c>
      <c r="G464" s="55" t="s">
        <v>360</v>
      </c>
      <c r="H464" s="55" t="s">
        <v>360</v>
      </c>
      <c r="I464" s="55" t="s">
        <v>360</v>
      </c>
      <c r="J464" s="55" t="s">
        <v>360</v>
      </c>
      <c r="K464" s="55" t="s">
        <v>360</v>
      </c>
      <c r="L464" s="55" t="s">
        <v>360</v>
      </c>
      <c r="M464" s="55" t="s">
        <v>144</v>
      </c>
      <c r="N464" s="55" t="s">
        <v>144</v>
      </c>
      <c r="O464" s="55" t="s">
        <v>168</v>
      </c>
      <c r="P464" s="55" t="s">
        <v>708</v>
      </c>
      <c r="Q464" s="55" t="s">
        <v>350</v>
      </c>
      <c r="R464" s="85">
        <v>2</v>
      </c>
      <c r="S464" s="55">
        <v>0</v>
      </c>
      <c r="T464" s="74" t="s">
        <v>709</v>
      </c>
      <c r="U464" s="74" t="s">
        <v>351</v>
      </c>
      <c r="V464" s="74">
        <v>44427</v>
      </c>
      <c r="W464" s="74">
        <v>44461</v>
      </c>
      <c r="X464" s="55">
        <v>10185014</v>
      </c>
      <c r="Y464" s="55" t="s">
        <v>132</v>
      </c>
      <c r="AB464" s="74" t="s">
        <v>132</v>
      </c>
      <c r="AC464" s="55" t="s">
        <v>132</v>
      </c>
      <c r="AL464" s="74"/>
      <c r="AM464" s="74"/>
      <c r="AW464" s="74"/>
      <c r="AX464" s="74"/>
    </row>
    <row r="465" spans="1:50" ht="13" x14ac:dyDescent="0.15">
      <c r="A465" s="55" t="str">
        <f>HYPERLINK("http://reports.ofsted.gov.uk/inspection-reports/find-inspection-report/provider/CARE/1263199","Ofsted Social Care Provider Webpage")</f>
        <v>Ofsted Social Care Provider Webpage</v>
      </c>
      <c r="B465" s="55">
        <v>1263199</v>
      </c>
      <c r="D465" s="55" t="s">
        <v>373</v>
      </c>
      <c r="E465" s="74">
        <v>43006</v>
      </c>
      <c r="F465" s="55" t="s">
        <v>344</v>
      </c>
      <c r="G465" s="55" t="s">
        <v>360</v>
      </c>
      <c r="H465" s="55" t="s">
        <v>360</v>
      </c>
      <c r="I465" s="55" t="s">
        <v>360</v>
      </c>
      <c r="J465" s="55" t="s">
        <v>360</v>
      </c>
      <c r="K465" s="55" t="s">
        <v>360</v>
      </c>
      <c r="L465" s="55" t="s">
        <v>360</v>
      </c>
      <c r="M465" s="55" t="s">
        <v>144</v>
      </c>
      <c r="N465" s="55" t="s">
        <v>144</v>
      </c>
      <c r="O465" s="55" t="s">
        <v>287</v>
      </c>
      <c r="P465" s="55" t="s">
        <v>1103</v>
      </c>
      <c r="Q465" s="55" t="s">
        <v>350</v>
      </c>
      <c r="R465" s="85">
        <v>6</v>
      </c>
      <c r="S465" s="55">
        <v>0</v>
      </c>
      <c r="T465" s="74" t="s">
        <v>435</v>
      </c>
      <c r="U465" s="74" t="s">
        <v>351</v>
      </c>
      <c r="V465" s="74">
        <v>44621</v>
      </c>
      <c r="W465" s="74">
        <v>44662</v>
      </c>
      <c r="X465" s="55">
        <v>10185586</v>
      </c>
      <c r="Y465" s="55" t="s">
        <v>132</v>
      </c>
      <c r="AB465" s="74" t="s">
        <v>132</v>
      </c>
      <c r="AC465" s="55" t="s">
        <v>140</v>
      </c>
      <c r="AL465" s="74"/>
      <c r="AM465" s="74"/>
      <c r="AW465" s="74"/>
      <c r="AX465" s="74"/>
    </row>
    <row r="466" spans="1:50" ht="13" x14ac:dyDescent="0.15">
      <c r="A466" s="55" t="str">
        <f>HYPERLINK("http://reports.ofsted.gov.uk/inspection-reports/find-inspection-report/provider/CARE/1263201","Ofsted Social Care Provider Webpage")</f>
        <v>Ofsted Social Care Provider Webpage</v>
      </c>
      <c r="B466" s="55">
        <v>1263201</v>
      </c>
      <c r="D466" s="55" t="s">
        <v>373</v>
      </c>
      <c r="E466" s="74">
        <v>42982</v>
      </c>
      <c r="F466" s="55" t="s">
        <v>344</v>
      </c>
      <c r="G466" s="55" t="s">
        <v>360</v>
      </c>
      <c r="H466" s="55" t="s">
        <v>360</v>
      </c>
      <c r="I466" s="55" t="s">
        <v>360</v>
      </c>
      <c r="J466" s="55" t="s">
        <v>360</v>
      </c>
      <c r="K466" s="55" t="s">
        <v>360</v>
      </c>
      <c r="L466" s="55" t="s">
        <v>360</v>
      </c>
      <c r="M466" s="55" t="s">
        <v>378</v>
      </c>
      <c r="N466" s="55" t="s">
        <v>134</v>
      </c>
      <c r="O466" s="55" t="s">
        <v>246</v>
      </c>
      <c r="P466" s="55" t="s">
        <v>1104</v>
      </c>
      <c r="Q466" s="55" t="s">
        <v>350</v>
      </c>
      <c r="R466" s="85">
        <v>4</v>
      </c>
      <c r="S466" s="55">
        <v>0</v>
      </c>
      <c r="T466" s="74" t="s">
        <v>1105</v>
      </c>
      <c r="U466" s="74" t="s">
        <v>351</v>
      </c>
      <c r="V466" s="74">
        <v>44488</v>
      </c>
      <c r="W466" s="74">
        <v>44532</v>
      </c>
      <c r="X466" s="55">
        <v>10186635</v>
      </c>
      <c r="Y466" s="55" t="s">
        <v>132</v>
      </c>
      <c r="AB466" s="74" t="s">
        <v>132</v>
      </c>
      <c r="AC466" s="55" t="s">
        <v>132</v>
      </c>
      <c r="AL466" s="74"/>
      <c r="AM466" s="74"/>
    </row>
    <row r="467" spans="1:50" ht="13" x14ac:dyDescent="0.15">
      <c r="A467" s="55" t="str">
        <f>HYPERLINK("http://reports.ofsted.gov.uk/inspection-reports/find-inspection-report/provider/CARE/1263329","Ofsted Social Care Provider Webpage")</f>
        <v>Ofsted Social Care Provider Webpage</v>
      </c>
      <c r="B467" s="55">
        <v>1263329</v>
      </c>
      <c r="D467" s="55" t="s">
        <v>373</v>
      </c>
      <c r="E467" s="74">
        <v>42991</v>
      </c>
      <c r="F467" s="55" t="s">
        <v>344</v>
      </c>
      <c r="G467" s="55" t="s">
        <v>360</v>
      </c>
      <c r="H467" s="55" t="s">
        <v>360</v>
      </c>
      <c r="I467" s="55" t="s">
        <v>360</v>
      </c>
      <c r="J467" s="55" t="s">
        <v>360</v>
      </c>
      <c r="K467" s="55" t="s">
        <v>360</v>
      </c>
      <c r="L467" s="55" t="s">
        <v>360</v>
      </c>
      <c r="M467" s="55" t="s">
        <v>142</v>
      </c>
      <c r="N467" s="55" t="s">
        <v>142</v>
      </c>
      <c r="O467" s="55" t="s">
        <v>262</v>
      </c>
      <c r="P467" s="55" t="s">
        <v>692</v>
      </c>
      <c r="Q467" s="55" t="s">
        <v>350</v>
      </c>
      <c r="R467" s="85">
        <v>1</v>
      </c>
      <c r="S467" s="55">
        <v>0</v>
      </c>
      <c r="T467" s="74" t="s">
        <v>1106</v>
      </c>
      <c r="U467" s="74" t="s">
        <v>351</v>
      </c>
      <c r="V467" s="74">
        <v>44621</v>
      </c>
      <c r="W467" s="74">
        <v>44663</v>
      </c>
      <c r="X467" s="55">
        <v>10185441</v>
      </c>
      <c r="Y467" s="55" t="s">
        <v>132</v>
      </c>
      <c r="AB467" s="74" t="s">
        <v>132</v>
      </c>
      <c r="AC467" s="55" t="s">
        <v>132</v>
      </c>
      <c r="AL467" s="74"/>
      <c r="AM467" s="74"/>
      <c r="AW467" s="74"/>
      <c r="AX467" s="74"/>
    </row>
    <row r="468" spans="1:50" ht="13" x14ac:dyDescent="0.15">
      <c r="A468" s="55" t="str">
        <f>HYPERLINK("http://reports.ofsted.gov.uk/inspection-reports/find-inspection-report/provider/CARE/1263425","Ofsted Social Care Provider Webpage")</f>
        <v>Ofsted Social Care Provider Webpage</v>
      </c>
      <c r="B468" s="55">
        <v>1263425</v>
      </c>
      <c r="D468" s="55" t="s">
        <v>373</v>
      </c>
      <c r="E468" s="74">
        <v>43368</v>
      </c>
      <c r="F468" s="55" t="s">
        <v>344</v>
      </c>
      <c r="G468" s="55" t="s">
        <v>360</v>
      </c>
      <c r="H468" s="55" t="s">
        <v>360</v>
      </c>
      <c r="I468" s="55" t="s">
        <v>360</v>
      </c>
      <c r="J468" s="55" t="s">
        <v>360</v>
      </c>
      <c r="K468" s="55" t="s">
        <v>360</v>
      </c>
      <c r="L468" s="55" t="s">
        <v>360</v>
      </c>
      <c r="M468" s="55" t="s">
        <v>144</v>
      </c>
      <c r="N468" s="55" t="s">
        <v>144</v>
      </c>
      <c r="O468" s="55" t="s">
        <v>263</v>
      </c>
      <c r="P468" s="55" t="s">
        <v>876</v>
      </c>
      <c r="Q468" s="55" t="s">
        <v>350</v>
      </c>
      <c r="R468" s="85">
        <v>2</v>
      </c>
      <c r="S468" s="55">
        <v>0</v>
      </c>
      <c r="T468" s="74" t="s">
        <v>1107</v>
      </c>
      <c r="U468" s="74" t="s">
        <v>351</v>
      </c>
      <c r="V468" s="74">
        <v>44377</v>
      </c>
      <c r="W468" s="74">
        <v>44410</v>
      </c>
      <c r="X468" s="55">
        <v>10186008</v>
      </c>
      <c r="Y468" s="55" t="s">
        <v>132</v>
      </c>
      <c r="AB468" s="74" t="s">
        <v>132</v>
      </c>
      <c r="AC468" s="55" t="s">
        <v>132</v>
      </c>
      <c r="AL468" s="74"/>
      <c r="AM468" s="74"/>
    </row>
    <row r="469" spans="1:50" ht="13" x14ac:dyDescent="0.15">
      <c r="A469" s="55" t="str">
        <f>HYPERLINK("http://reports.ofsted.gov.uk/inspection-reports/find-inspection-report/provider/CARE/1263505","Ofsted Social Care Provider Webpage")</f>
        <v>Ofsted Social Care Provider Webpage</v>
      </c>
      <c r="B469" s="55">
        <v>1263505</v>
      </c>
      <c r="D469" s="55" t="s">
        <v>373</v>
      </c>
      <c r="E469" s="74">
        <v>43039</v>
      </c>
      <c r="F469" s="55" t="s">
        <v>344</v>
      </c>
      <c r="G469" s="55" t="s">
        <v>360</v>
      </c>
      <c r="H469" s="55" t="s">
        <v>360</v>
      </c>
      <c r="I469" s="55" t="s">
        <v>360</v>
      </c>
      <c r="J469" s="55" t="s">
        <v>360</v>
      </c>
      <c r="K469" s="55" t="s">
        <v>360</v>
      </c>
      <c r="L469" s="55" t="s">
        <v>360</v>
      </c>
      <c r="M469" s="55" t="s">
        <v>172</v>
      </c>
      <c r="N469" s="55" t="s">
        <v>172</v>
      </c>
      <c r="O469" s="55" t="s">
        <v>212</v>
      </c>
      <c r="P469" s="55" t="s">
        <v>514</v>
      </c>
      <c r="Q469" s="55" t="s">
        <v>350</v>
      </c>
      <c r="R469" s="85">
        <v>4</v>
      </c>
      <c r="S469" s="55">
        <v>0</v>
      </c>
      <c r="T469" s="74" t="s">
        <v>515</v>
      </c>
      <c r="U469" s="74" t="s">
        <v>351</v>
      </c>
      <c r="V469" s="74">
        <v>44503</v>
      </c>
      <c r="W469" s="74">
        <v>44538</v>
      </c>
      <c r="X469" s="55">
        <v>10186892</v>
      </c>
      <c r="Y469" s="55" t="s">
        <v>132</v>
      </c>
      <c r="AB469" s="74" t="s">
        <v>132</v>
      </c>
      <c r="AC469" s="55" t="s">
        <v>132</v>
      </c>
      <c r="AL469" s="74"/>
      <c r="AM469" s="74"/>
      <c r="AW469" s="74"/>
      <c r="AX469" s="74"/>
    </row>
    <row r="470" spans="1:50" ht="13" x14ac:dyDescent="0.15">
      <c r="A470" s="55" t="str">
        <f>HYPERLINK("http://reports.ofsted.gov.uk/inspection-reports/find-inspection-report/provider/CARE/1263505","Ofsted Social Care Provider Webpage")</f>
        <v>Ofsted Social Care Provider Webpage</v>
      </c>
      <c r="B470" s="55">
        <v>1263505</v>
      </c>
      <c r="D470" s="55" t="s">
        <v>373</v>
      </c>
      <c r="E470" s="74">
        <v>43039</v>
      </c>
      <c r="F470" s="55" t="s">
        <v>344</v>
      </c>
      <c r="G470" s="55" t="s">
        <v>360</v>
      </c>
      <c r="H470" s="55" t="s">
        <v>360</v>
      </c>
      <c r="I470" s="55" t="s">
        <v>360</v>
      </c>
      <c r="J470" s="55" t="s">
        <v>360</v>
      </c>
      <c r="K470" s="55" t="s">
        <v>360</v>
      </c>
      <c r="L470" s="55" t="s">
        <v>360</v>
      </c>
      <c r="M470" s="55" t="s">
        <v>172</v>
      </c>
      <c r="N470" s="55" t="s">
        <v>172</v>
      </c>
      <c r="O470" s="55" t="s">
        <v>212</v>
      </c>
      <c r="P470" s="55" t="s">
        <v>514</v>
      </c>
      <c r="Q470" s="55" t="s">
        <v>350</v>
      </c>
      <c r="R470" s="85">
        <v>4</v>
      </c>
      <c r="S470" s="55">
        <v>0</v>
      </c>
      <c r="T470" s="74" t="s">
        <v>515</v>
      </c>
      <c r="U470" s="74" t="s">
        <v>2053</v>
      </c>
      <c r="V470" s="74">
        <v>44602</v>
      </c>
      <c r="W470" s="74">
        <v>44645</v>
      </c>
      <c r="X470" s="55">
        <v>10225321</v>
      </c>
      <c r="AL470" s="74"/>
      <c r="AM470" s="74"/>
    </row>
    <row r="471" spans="1:50" ht="13" x14ac:dyDescent="0.15">
      <c r="A471" s="55" t="str">
        <f>HYPERLINK("http://reports.ofsted.gov.uk/inspection-reports/find-inspection-report/provider/CARE/1263673","Ofsted Social Care Provider Webpage")</f>
        <v>Ofsted Social Care Provider Webpage</v>
      </c>
      <c r="B471" s="55">
        <v>1263673</v>
      </c>
      <c r="D471" s="55" t="s">
        <v>373</v>
      </c>
      <c r="E471" s="74">
        <v>42996</v>
      </c>
      <c r="F471" s="55" t="s">
        <v>344</v>
      </c>
      <c r="G471" s="55" t="s">
        <v>360</v>
      </c>
      <c r="H471" s="55" t="s">
        <v>360</v>
      </c>
      <c r="I471" s="55" t="s">
        <v>360</v>
      </c>
      <c r="J471" s="55" t="s">
        <v>360</v>
      </c>
      <c r="K471" s="55" t="s">
        <v>360</v>
      </c>
      <c r="L471" s="55" t="s">
        <v>360</v>
      </c>
      <c r="M471" s="55" t="s">
        <v>378</v>
      </c>
      <c r="N471" s="55" t="s">
        <v>134</v>
      </c>
      <c r="O471" s="55" t="s">
        <v>158</v>
      </c>
      <c r="P471" s="55" t="s">
        <v>480</v>
      </c>
      <c r="Q471" s="55" t="s">
        <v>350</v>
      </c>
      <c r="R471" s="85">
        <v>3</v>
      </c>
      <c r="S471" s="55">
        <v>0</v>
      </c>
      <c r="T471" s="74" t="s">
        <v>951</v>
      </c>
      <c r="U471" s="74" t="s">
        <v>351</v>
      </c>
      <c r="V471" s="74">
        <v>44572</v>
      </c>
      <c r="W471" s="74">
        <v>44602</v>
      </c>
      <c r="X471" s="55">
        <v>10185329</v>
      </c>
      <c r="Y471" s="55" t="s">
        <v>132</v>
      </c>
      <c r="AB471" s="74" t="s">
        <v>132</v>
      </c>
      <c r="AC471" s="55" t="s">
        <v>132</v>
      </c>
      <c r="AL471" s="74"/>
      <c r="AM471" s="74"/>
      <c r="AW471" s="74"/>
      <c r="AX471" s="74"/>
    </row>
    <row r="472" spans="1:50" ht="13" x14ac:dyDescent="0.15">
      <c r="A472" s="55" t="str">
        <f>HYPERLINK("http://reports.ofsted.gov.uk/inspection-reports/find-inspection-report/provider/CARE/1263766","Ofsted Social Care Provider Webpage")</f>
        <v>Ofsted Social Care Provider Webpage</v>
      </c>
      <c r="B472" s="55">
        <v>1263766</v>
      </c>
      <c r="D472" s="55" t="s">
        <v>373</v>
      </c>
      <c r="E472" s="74">
        <v>43031</v>
      </c>
      <c r="F472" s="55" t="s">
        <v>344</v>
      </c>
      <c r="G472" s="55" t="s">
        <v>360</v>
      </c>
      <c r="H472" s="55" t="s">
        <v>360</v>
      </c>
      <c r="I472" s="55" t="s">
        <v>360</v>
      </c>
      <c r="J472" s="55" t="s">
        <v>360</v>
      </c>
      <c r="K472" s="55" t="s">
        <v>360</v>
      </c>
      <c r="L472" s="55" t="s">
        <v>360</v>
      </c>
      <c r="M472" s="55" t="s">
        <v>144</v>
      </c>
      <c r="N472" s="55" t="s">
        <v>144</v>
      </c>
      <c r="O472" s="55" t="s">
        <v>271</v>
      </c>
      <c r="P472" s="55" t="s">
        <v>1120</v>
      </c>
      <c r="Q472" s="55" t="s">
        <v>380</v>
      </c>
      <c r="R472" s="85">
        <v>4</v>
      </c>
      <c r="S472" s="55">
        <v>0</v>
      </c>
      <c r="T472" s="74" t="s">
        <v>1121</v>
      </c>
      <c r="U472" s="74" t="s">
        <v>351</v>
      </c>
      <c r="V472" s="74">
        <v>44593</v>
      </c>
      <c r="W472" s="74">
        <v>44635</v>
      </c>
      <c r="X472" s="55">
        <v>10187055</v>
      </c>
      <c r="Y472" s="55" t="s">
        <v>130</v>
      </c>
      <c r="AB472" s="74" t="s">
        <v>130</v>
      </c>
      <c r="AC472" s="55" t="s">
        <v>146</v>
      </c>
      <c r="AL472" s="74"/>
      <c r="AM472" s="74"/>
      <c r="AW472" s="74"/>
      <c r="AX472" s="74"/>
    </row>
    <row r="473" spans="1:50" ht="13" x14ac:dyDescent="0.15">
      <c r="A473" s="55" t="str">
        <f>HYPERLINK("http://reports.ofsted.gov.uk/inspection-reports/find-inspection-report/provider/CARE/1263768","Ofsted Social Care Provider Webpage")</f>
        <v>Ofsted Social Care Provider Webpage</v>
      </c>
      <c r="B473" s="55">
        <v>1263768</v>
      </c>
      <c r="D473" s="55" t="s">
        <v>373</v>
      </c>
      <c r="E473" s="74">
        <v>43031</v>
      </c>
      <c r="F473" s="55" t="s">
        <v>344</v>
      </c>
      <c r="G473" s="55" t="s">
        <v>360</v>
      </c>
      <c r="H473" s="55" t="s">
        <v>360</v>
      </c>
      <c r="I473" s="55" t="s">
        <v>360</v>
      </c>
      <c r="J473" s="55" t="s">
        <v>360</v>
      </c>
      <c r="K473" s="55" t="s">
        <v>360</v>
      </c>
      <c r="L473" s="55" t="s">
        <v>360</v>
      </c>
      <c r="M473" s="55" t="s">
        <v>144</v>
      </c>
      <c r="N473" s="55" t="s">
        <v>144</v>
      </c>
      <c r="O473" s="55" t="s">
        <v>271</v>
      </c>
      <c r="P473" s="55" t="s">
        <v>1122</v>
      </c>
      <c r="Q473" s="55" t="s">
        <v>380</v>
      </c>
      <c r="R473" s="85">
        <v>3</v>
      </c>
      <c r="S473" s="55">
        <v>0</v>
      </c>
      <c r="T473" s="74" t="s">
        <v>1121</v>
      </c>
      <c r="U473" s="74" t="s">
        <v>351</v>
      </c>
      <c r="V473" s="74">
        <v>44481</v>
      </c>
      <c r="W473" s="74">
        <v>44523</v>
      </c>
      <c r="X473" s="55">
        <v>10185620</v>
      </c>
      <c r="Y473" s="55" t="s">
        <v>132</v>
      </c>
      <c r="AB473" s="74" t="s">
        <v>132</v>
      </c>
      <c r="AC473" s="55" t="s">
        <v>130</v>
      </c>
      <c r="AL473" s="74"/>
      <c r="AM473" s="74"/>
      <c r="AW473" s="74"/>
      <c r="AX473" s="74"/>
    </row>
    <row r="474" spans="1:50" ht="13" x14ac:dyDescent="0.15">
      <c r="A474" s="55" t="str">
        <f>HYPERLINK("http://reports.ofsted.gov.uk/inspection-reports/find-inspection-report/provider/CARE/1263773","Ofsted Social Care Provider Webpage")</f>
        <v>Ofsted Social Care Provider Webpage</v>
      </c>
      <c r="B474" s="55">
        <v>1263773</v>
      </c>
      <c r="D474" s="55" t="s">
        <v>373</v>
      </c>
      <c r="E474" s="74">
        <v>43070</v>
      </c>
      <c r="F474" s="55" t="s">
        <v>344</v>
      </c>
      <c r="G474" s="55" t="s">
        <v>360</v>
      </c>
      <c r="H474" s="55" t="s">
        <v>360</v>
      </c>
      <c r="I474" s="55" t="s">
        <v>360</v>
      </c>
      <c r="J474" s="55" t="s">
        <v>360</v>
      </c>
      <c r="K474" s="55" t="s">
        <v>360</v>
      </c>
      <c r="L474" s="55" t="s">
        <v>360</v>
      </c>
      <c r="M474" s="55" t="s">
        <v>172</v>
      </c>
      <c r="N474" s="55" t="s">
        <v>172</v>
      </c>
      <c r="O474" s="55" t="s">
        <v>212</v>
      </c>
      <c r="P474" s="55" t="s">
        <v>592</v>
      </c>
      <c r="Q474" s="55" t="s">
        <v>350</v>
      </c>
      <c r="R474" s="85">
        <v>4</v>
      </c>
      <c r="S474" s="55">
        <v>0</v>
      </c>
      <c r="T474" s="74" t="s">
        <v>515</v>
      </c>
      <c r="U474" s="74" t="s">
        <v>351</v>
      </c>
      <c r="V474" s="74">
        <v>44320</v>
      </c>
      <c r="W474" s="74">
        <v>44351</v>
      </c>
      <c r="X474" s="55">
        <v>10186484</v>
      </c>
      <c r="Y474" s="55" t="s">
        <v>132</v>
      </c>
      <c r="AB474" s="74" t="s">
        <v>132</v>
      </c>
      <c r="AC474" s="55" t="s">
        <v>140</v>
      </c>
      <c r="AL474" s="74"/>
      <c r="AM474" s="74"/>
      <c r="AW474" s="74"/>
      <c r="AX474" s="74"/>
    </row>
    <row r="475" spans="1:50" ht="13" x14ac:dyDescent="0.15">
      <c r="A475" s="55" t="str">
        <f>HYPERLINK("http://reports.ofsted.gov.uk/inspection-reports/find-inspection-report/provider/CARE/1263776","Ofsted Social Care Provider Webpage")</f>
        <v>Ofsted Social Care Provider Webpage</v>
      </c>
      <c r="B475" s="55">
        <v>1263776</v>
      </c>
      <c r="D475" s="55" t="s">
        <v>373</v>
      </c>
      <c r="E475" s="74">
        <v>42982</v>
      </c>
      <c r="F475" s="55" t="s">
        <v>344</v>
      </c>
      <c r="G475" s="55" t="s">
        <v>360</v>
      </c>
      <c r="H475" s="55" t="s">
        <v>360</v>
      </c>
      <c r="I475" s="55" t="s">
        <v>360</v>
      </c>
      <c r="J475" s="55" t="s">
        <v>360</v>
      </c>
      <c r="K475" s="55" t="s">
        <v>360</v>
      </c>
      <c r="L475" s="55" t="s">
        <v>360</v>
      </c>
      <c r="M475" s="55" t="s">
        <v>138</v>
      </c>
      <c r="N475" s="55" t="s">
        <v>138</v>
      </c>
      <c r="O475" s="55" t="s">
        <v>224</v>
      </c>
      <c r="P475" s="55" t="s">
        <v>1123</v>
      </c>
      <c r="Q475" s="55" t="s">
        <v>350</v>
      </c>
      <c r="R475" s="85">
        <v>2</v>
      </c>
      <c r="S475" s="55">
        <v>0</v>
      </c>
      <c r="T475" s="74" t="s">
        <v>1124</v>
      </c>
      <c r="U475" s="74" t="s">
        <v>351</v>
      </c>
      <c r="V475" s="74">
        <v>44305</v>
      </c>
      <c r="W475" s="74">
        <v>44333</v>
      </c>
      <c r="X475" s="55">
        <v>10186648</v>
      </c>
      <c r="Y475" s="55" t="s">
        <v>132</v>
      </c>
      <c r="AB475" s="74" t="s">
        <v>132</v>
      </c>
      <c r="AC475" s="55" t="s">
        <v>132</v>
      </c>
      <c r="AL475" s="74"/>
      <c r="AM475" s="74"/>
      <c r="AW475" s="74"/>
      <c r="AX475" s="74"/>
    </row>
    <row r="476" spans="1:50" ht="13" x14ac:dyDescent="0.15">
      <c r="A476" s="55" t="str">
        <f>HYPERLINK("http://reports.ofsted.gov.uk/inspection-reports/find-inspection-report/provider/CARE/1263837","Ofsted Social Care Provider Webpage")</f>
        <v>Ofsted Social Care Provider Webpage</v>
      </c>
      <c r="B476" s="55">
        <v>1263837</v>
      </c>
      <c r="D476" s="55" t="s">
        <v>373</v>
      </c>
      <c r="E476" s="74">
        <v>43012</v>
      </c>
      <c r="F476" s="55" t="s">
        <v>344</v>
      </c>
      <c r="G476" s="55" t="s">
        <v>360</v>
      </c>
      <c r="H476" s="55" t="s">
        <v>360</v>
      </c>
      <c r="I476" s="55" t="s">
        <v>360</v>
      </c>
      <c r="J476" s="55" t="s">
        <v>360</v>
      </c>
      <c r="K476" s="55" t="s">
        <v>360</v>
      </c>
      <c r="L476" s="55" t="s">
        <v>360</v>
      </c>
      <c r="M476" s="55" t="s">
        <v>172</v>
      </c>
      <c r="N476" s="55" t="s">
        <v>172</v>
      </c>
      <c r="O476" s="55" t="s">
        <v>171</v>
      </c>
      <c r="P476" s="55" t="s">
        <v>1125</v>
      </c>
      <c r="Q476" s="55" t="s">
        <v>350</v>
      </c>
      <c r="R476" s="85">
        <v>3</v>
      </c>
      <c r="S476" s="55">
        <v>0</v>
      </c>
      <c r="T476" s="74" t="s">
        <v>515</v>
      </c>
      <c r="U476" s="74" t="s">
        <v>351</v>
      </c>
      <c r="V476" s="74">
        <v>44403</v>
      </c>
      <c r="W476" s="74">
        <v>44431</v>
      </c>
      <c r="X476" s="55">
        <v>10187228</v>
      </c>
      <c r="Y476" s="55" t="s">
        <v>132</v>
      </c>
      <c r="AB476" s="74" t="s">
        <v>132</v>
      </c>
      <c r="AC476" s="55" t="s">
        <v>132</v>
      </c>
      <c r="AL476" s="74"/>
      <c r="AM476" s="74"/>
    </row>
    <row r="477" spans="1:50" ht="13" x14ac:dyDescent="0.15">
      <c r="A477" s="55" t="str">
        <f>HYPERLINK("http://reports.ofsted.gov.uk/inspection-reports/find-inspection-report/provider/CARE/1263977","Ofsted Social Care Provider Webpage")</f>
        <v>Ofsted Social Care Provider Webpage</v>
      </c>
      <c r="B477" s="55">
        <v>1263977</v>
      </c>
      <c r="D477" s="55" t="s">
        <v>373</v>
      </c>
      <c r="E477" s="74">
        <v>43075</v>
      </c>
      <c r="F477" s="55" t="s">
        <v>344</v>
      </c>
      <c r="G477" s="55" t="s">
        <v>360</v>
      </c>
      <c r="H477" s="55" t="s">
        <v>360</v>
      </c>
      <c r="I477" s="55" t="s">
        <v>360</v>
      </c>
      <c r="J477" s="55" t="s">
        <v>360</v>
      </c>
      <c r="K477" s="55" t="s">
        <v>360</v>
      </c>
      <c r="L477" s="55" t="s">
        <v>360</v>
      </c>
      <c r="M477" s="55" t="s">
        <v>142</v>
      </c>
      <c r="N477" s="55" t="s">
        <v>142</v>
      </c>
      <c r="O477" s="55" t="s">
        <v>278</v>
      </c>
      <c r="P477" s="55" t="s">
        <v>1126</v>
      </c>
      <c r="Q477" s="55" t="s">
        <v>350</v>
      </c>
      <c r="R477" s="85">
        <v>8</v>
      </c>
      <c r="S477" s="55">
        <v>0</v>
      </c>
      <c r="T477" s="74" t="s">
        <v>1127</v>
      </c>
      <c r="U477" s="74" t="s">
        <v>351</v>
      </c>
      <c r="V477" s="74">
        <v>44370</v>
      </c>
      <c r="W477" s="74">
        <v>44420</v>
      </c>
      <c r="X477" s="55">
        <v>10186447</v>
      </c>
      <c r="Y477" s="55" t="s">
        <v>130</v>
      </c>
      <c r="AB477" s="74" t="s">
        <v>130</v>
      </c>
      <c r="AC477" s="55" t="s">
        <v>130</v>
      </c>
      <c r="AL477" s="74"/>
      <c r="AM477" s="74"/>
    </row>
    <row r="478" spans="1:50" ht="13" x14ac:dyDescent="0.15">
      <c r="A478" s="55" t="str">
        <f>HYPERLINK("http://reports.ofsted.gov.uk/inspection-reports/find-inspection-report/provider/CARE/1264016","Ofsted Social Care Provider Webpage")</f>
        <v>Ofsted Social Care Provider Webpage</v>
      </c>
      <c r="B478" s="55">
        <v>1264016</v>
      </c>
      <c r="D478" s="55" t="s">
        <v>373</v>
      </c>
      <c r="E478" s="74">
        <v>42985</v>
      </c>
      <c r="F478" s="55" t="s">
        <v>344</v>
      </c>
      <c r="G478" s="55" t="s">
        <v>360</v>
      </c>
      <c r="H478" s="55" t="s">
        <v>360</v>
      </c>
      <c r="I478" s="55" t="s">
        <v>360</v>
      </c>
      <c r="J478" s="55" t="s">
        <v>360</v>
      </c>
      <c r="K478" s="55" t="s">
        <v>360</v>
      </c>
      <c r="L478" s="55" t="s">
        <v>360</v>
      </c>
      <c r="M478" s="55" t="s">
        <v>129</v>
      </c>
      <c r="N478" s="55" t="s">
        <v>129</v>
      </c>
      <c r="O478" s="55" t="s">
        <v>279</v>
      </c>
      <c r="P478" s="55" t="s">
        <v>1128</v>
      </c>
      <c r="Q478" s="55" t="s">
        <v>350</v>
      </c>
      <c r="R478" s="85">
        <v>6</v>
      </c>
      <c r="S478" s="55">
        <v>0</v>
      </c>
      <c r="T478" s="74" t="s">
        <v>1129</v>
      </c>
      <c r="U478" s="74" t="s">
        <v>351</v>
      </c>
      <c r="V478" s="74">
        <v>44602</v>
      </c>
      <c r="W478" s="74">
        <v>44664</v>
      </c>
      <c r="X478" s="55">
        <v>10186285</v>
      </c>
      <c r="Y478" s="55" t="s">
        <v>132</v>
      </c>
      <c r="AB478" s="74" t="s">
        <v>132</v>
      </c>
      <c r="AC478" s="55" t="s">
        <v>132</v>
      </c>
      <c r="AL478" s="74"/>
      <c r="AM478" s="74"/>
      <c r="AW478" s="74"/>
      <c r="AX478" s="74"/>
    </row>
    <row r="479" spans="1:50" ht="13" x14ac:dyDescent="0.15">
      <c r="A479" s="55" t="str">
        <f>HYPERLINK("http://reports.ofsted.gov.uk/inspection-reports/find-inspection-report/provider/CARE/1264048","Ofsted Social Care Provider Webpage")</f>
        <v>Ofsted Social Care Provider Webpage</v>
      </c>
      <c r="B479" s="55">
        <v>1264048</v>
      </c>
      <c r="D479" s="55" t="s">
        <v>373</v>
      </c>
      <c r="E479" s="74">
        <v>42990</v>
      </c>
      <c r="F479" s="55" t="s">
        <v>344</v>
      </c>
      <c r="G479" s="55" t="s">
        <v>360</v>
      </c>
      <c r="H479" s="55" t="s">
        <v>360</v>
      </c>
      <c r="I479" s="55" t="s">
        <v>360</v>
      </c>
      <c r="J479" s="55" t="s">
        <v>360</v>
      </c>
      <c r="K479" s="55" t="s">
        <v>360</v>
      </c>
      <c r="L479" s="55" t="s">
        <v>360</v>
      </c>
      <c r="M479" s="55" t="s">
        <v>129</v>
      </c>
      <c r="N479" s="55" t="s">
        <v>129</v>
      </c>
      <c r="O479" s="55" t="s">
        <v>152</v>
      </c>
      <c r="P479" s="55" t="s">
        <v>1130</v>
      </c>
      <c r="Q479" s="55" t="s">
        <v>350</v>
      </c>
      <c r="R479" s="85">
        <v>4</v>
      </c>
      <c r="S479" s="55">
        <v>0</v>
      </c>
      <c r="T479" s="74" t="s">
        <v>1131</v>
      </c>
      <c r="U479" s="74" t="s">
        <v>6703</v>
      </c>
      <c r="V479" s="74">
        <v>44594</v>
      </c>
      <c r="W479" s="74">
        <v>44634</v>
      </c>
      <c r="X479" s="55">
        <v>10209398</v>
      </c>
      <c r="Y479" s="55" t="s">
        <v>6704</v>
      </c>
      <c r="AL479" s="74"/>
      <c r="AM479" s="74"/>
      <c r="AW479" s="74"/>
      <c r="AX479" s="74"/>
    </row>
    <row r="480" spans="1:50" ht="13" x14ac:dyDescent="0.15">
      <c r="A480" s="55" t="str">
        <f>HYPERLINK("http://reports.ofsted.gov.uk/inspection-reports/find-inspection-report/provider/CARE/1264048","Ofsted Social Care Provider Webpage")</f>
        <v>Ofsted Social Care Provider Webpage</v>
      </c>
      <c r="B480" s="55">
        <v>1264048</v>
      </c>
      <c r="D480" s="55" t="s">
        <v>373</v>
      </c>
      <c r="E480" s="74">
        <v>42990</v>
      </c>
      <c r="F480" s="55" t="s">
        <v>344</v>
      </c>
      <c r="G480" s="55" t="s">
        <v>360</v>
      </c>
      <c r="H480" s="55" t="s">
        <v>360</v>
      </c>
      <c r="I480" s="55" t="s">
        <v>360</v>
      </c>
      <c r="J480" s="55" t="s">
        <v>360</v>
      </c>
      <c r="K480" s="55" t="s">
        <v>360</v>
      </c>
      <c r="L480" s="55" t="s">
        <v>360</v>
      </c>
      <c r="M480" s="55" t="s">
        <v>129</v>
      </c>
      <c r="N480" s="55" t="s">
        <v>129</v>
      </c>
      <c r="O480" s="55" t="s">
        <v>152</v>
      </c>
      <c r="P480" s="55" t="s">
        <v>1130</v>
      </c>
      <c r="Q480" s="55" t="s">
        <v>350</v>
      </c>
      <c r="R480" s="85">
        <v>4</v>
      </c>
      <c r="S480" s="55">
        <v>0</v>
      </c>
      <c r="T480" s="74" t="s">
        <v>1131</v>
      </c>
      <c r="U480" s="74" t="s">
        <v>351</v>
      </c>
      <c r="V480" s="74">
        <v>44327</v>
      </c>
      <c r="W480" s="74">
        <v>44372</v>
      </c>
      <c r="X480" s="55">
        <v>10187061</v>
      </c>
      <c r="Y480" s="55" t="s">
        <v>130</v>
      </c>
      <c r="AB480" s="74" t="s">
        <v>130</v>
      </c>
      <c r="AC480" s="55" t="s">
        <v>130</v>
      </c>
      <c r="AL480" s="74"/>
      <c r="AM480" s="74"/>
      <c r="AW480" s="74"/>
      <c r="AX480" s="74"/>
    </row>
    <row r="481" spans="1:50" ht="13" x14ac:dyDescent="0.15">
      <c r="A481" s="55" t="str">
        <f>HYPERLINK("http://reports.ofsted.gov.uk/inspection-reports/find-inspection-report/provider/CARE/1264286","Ofsted Social Care Provider Webpage")</f>
        <v>Ofsted Social Care Provider Webpage</v>
      </c>
      <c r="B481" s="55">
        <v>1264286</v>
      </c>
      <c r="D481" s="55" t="s">
        <v>373</v>
      </c>
      <c r="E481" s="74">
        <v>43069</v>
      </c>
      <c r="F481" s="55" t="s">
        <v>344</v>
      </c>
      <c r="G481" s="55" t="s">
        <v>360</v>
      </c>
      <c r="H481" s="55" t="s">
        <v>360</v>
      </c>
      <c r="I481" s="55" t="s">
        <v>360</v>
      </c>
      <c r="J481" s="55" t="s">
        <v>360</v>
      </c>
      <c r="K481" s="55" t="s">
        <v>360</v>
      </c>
      <c r="L481" s="55" t="s">
        <v>360</v>
      </c>
      <c r="M481" s="55" t="s">
        <v>138</v>
      </c>
      <c r="N481" s="55" t="s">
        <v>138</v>
      </c>
      <c r="O481" s="55" t="s">
        <v>137</v>
      </c>
      <c r="P481" s="55" t="s">
        <v>137</v>
      </c>
      <c r="Q481" s="55" t="s">
        <v>350</v>
      </c>
      <c r="R481" s="85">
        <v>4</v>
      </c>
      <c r="S481" s="55">
        <v>0</v>
      </c>
      <c r="T481" s="74" t="s">
        <v>515</v>
      </c>
      <c r="U481" s="74" t="s">
        <v>351</v>
      </c>
      <c r="V481" s="74">
        <v>44460</v>
      </c>
      <c r="W481" s="74">
        <v>44480</v>
      </c>
      <c r="X481" s="55">
        <v>10185730</v>
      </c>
      <c r="Y481" s="55" t="s">
        <v>132</v>
      </c>
      <c r="AB481" s="74" t="s">
        <v>132</v>
      </c>
      <c r="AC481" s="55" t="s">
        <v>132</v>
      </c>
      <c r="AL481" s="74"/>
      <c r="AM481" s="74"/>
    </row>
    <row r="482" spans="1:50" ht="13" x14ac:dyDescent="0.15">
      <c r="A482" s="55" t="str">
        <f>HYPERLINK("http://reports.ofsted.gov.uk/inspection-reports/find-inspection-report/provider/CARE/1264333","Ofsted Social Care Provider Webpage")</f>
        <v>Ofsted Social Care Provider Webpage</v>
      </c>
      <c r="B482" s="55">
        <v>1264333</v>
      </c>
      <c r="D482" s="55" t="s">
        <v>373</v>
      </c>
      <c r="E482" s="74">
        <v>43216</v>
      </c>
      <c r="F482" s="55" t="s">
        <v>344</v>
      </c>
      <c r="G482" s="55" t="s">
        <v>360</v>
      </c>
      <c r="H482" s="55" t="s">
        <v>360</v>
      </c>
      <c r="I482" s="55" t="s">
        <v>360</v>
      </c>
      <c r="J482" s="55" t="s">
        <v>360</v>
      </c>
      <c r="K482" s="55" t="s">
        <v>360</v>
      </c>
      <c r="L482" s="55" t="s">
        <v>360</v>
      </c>
      <c r="M482" s="55" t="s">
        <v>144</v>
      </c>
      <c r="N482" s="55" t="s">
        <v>144</v>
      </c>
      <c r="O482" s="55" t="s">
        <v>209</v>
      </c>
      <c r="P482" s="55" t="s">
        <v>545</v>
      </c>
      <c r="Q482" s="55" t="s">
        <v>350</v>
      </c>
      <c r="R482" s="85">
        <v>3</v>
      </c>
      <c r="S482" s="55">
        <v>0</v>
      </c>
      <c r="T482" s="74" t="s">
        <v>493</v>
      </c>
      <c r="U482" s="74" t="s">
        <v>351</v>
      </c>
      <c r="V482" s="74">
        <v>44523</v>
      </c>
      <c r="W482" s="74">
        <v>44571</v>
      </c>
      <c r="X482" s="55">
        <v>10187119</v>
      </c>
      <c r="Y482" s="55" t="s">
        <v>132</v>
      </c>
      <c r="AB482" s="74" t="s">
        <v>132</v>
      </c>
      <c r="AC482" s="55" t="s">
        <v>140</v>
      </c>
      <c r="AL482" s="74"/>
      <c r="AM482" s="74"/>
      <c r="AW482" s="74"/>
      <c r="AX482" s="74"/>
    </row>
    <row r="483" spans="1:50" ht="13" x14ac:dyDescent="0.15">
      <c r="A483" s="55" t="str">
        <f>HYPERLINK("http://reports.ofsted.gov.uk/inspection-reports/find-inspection-report/provider/CARE/1264335","Ofsted Social Care Provider Webpage")</f>
        <v>Ofsted Social Care Provider Webpage</v>
      </c>
      <c r="B483" s="55">
        <v>1264335</v>
      </c>
      <c r="D483" s="55" t="s">
        <v>389</v>
      </c>
      <c r="E483" s="74">
        <v>43091</v>
      </c>
      <c r="F483" s="55" t="s">
        <v>344</v>
      </c>
      <c r="G483" s="55" t="s">
        <v>1132</v>
      </c>
      <c r="H483" s="55" t="s">
        <v>1133</v>
      </c>
      <c r="I483" s="55" t="s">
        <v>1134</v>
      </c>
      <c r="J483" s="55" t="s">
        <v>1060</v>
      </c>
      <c r="L483" s="55" t="s">
        <v>1135</v>
      </c>
      <c r="M483" s="55" t="s">
        <v>142</v>
      </c>
      <c r="N483" s="55" t="s">
        <v>142</v>
      </c>
      <c r="O483" s="55" t="s">
        <v>293</v>
      </c>
      <c r="P483" s="55" t="s">
        <v>1136</v>
      </c>
      <c r="Q483" s="55" t="s">
        <v>350</v>
      </c>
      <c r="S483" s="55">
        <v>0</v>
      </c>
      <c r="T483" s="74" t="s">
        <v>1132</v>
      </c>
      <c r="U483" s="74" t="s">
        <v>351</v>
      </c>
      <c r="V483" s="74">
        <v>44459</v>
      </c>
      <c r="W483" s="74">
        <v>44496</v>
      </c>
      <c r="X483" s="55">
        <v>10183292</v>
      </c>
      <c r="Y483" s="55" t="s">
        <v>132</v>
      </c>
      <c r="AB483" s="74" t="s">
        <v>132</v>
      </c>
      <c r="AC483" s="55" t="s">
        <v>132</v>
      </c>
      <c r="AL483" s="74"/>
      <c r="AM483" s="74"/>
    </row>
    <row r="484" spans="1:50" ht="13" x14ac:dyDescent="0.15">
      <c r="A484" s="55" t="str">
        <f>HYPERLINK("http://reports.ofsted.gov.uk/inspection-reports/find-inspection-report/provider/CARE/1264438","Ofsted Social Care Provider Webpage")</f>
        <v>Ofsted Social Care Provider Webpage</v>
      </c>
      <c r="B484" s="55">
        <v>1264438</v>
      </c>
      <c r="D484" s="55" t="s">
        <v>373</v>
      </c>
      <c r="E484" s="74">
        <v>43082</v>
      </c>
      <c r="F484" s="55" t="s">
        <v>344</v>
      </c>
      <c r="G484" s="55" t="s">
        <v>360</v>
      </c>
      <c r="H484" s="55" t="s">
        <v>360</v>
      </c>
      <c r="I484" s="55" t="s">
        <v>360</v>
      </c>
      <c r="J484" s="55" t="s">
        <v>360</v>
      </c>
      <c r="K484" s="55" t="s">
        <v>360</v>
      </c>
      <c r="L484" s="55" t="s">
        <v>360</v>
      </c>
      <c r="M484" s="55" t="s">
        <v>378</v>
      </c>
      <c r="N484" s="55" t="s">
        <v>134</v>
      </c>
      <c r="O484" s="55" t="s">
        <v>175</v>
      </c>
      <c r="P484" s="55" t="s">
        <v>678</v>
      </c>
      <c r="Q484" s="55" t="s">
        <v>350</v>
      </c>
      <c r="R484" s="85">
        <v>4</v>
      </c>
      <c r="S484" s="55">
        <v>0</v>
      </c>
      <c r="T484" s="74" t="s">
        <v>861</v>
      </c>
      <c r="U484" s="74" t="s">
        <v>351</v>
      </c>
      <c r="V484" s="74">
        <v>44537</v>
      </c>
      <c r="W484" s="74">
        <v>44586</v>
      </c>
      <c r="X484" s="55">
        <v>10206918</v>
      </c>
      <c r="Y484" s="55" t="s">
        <v>132</v>
      </c>
      <c r="AB484" s="74" t="s">
        <v>132</v>
      </c>
      <c r="AC484" s="55" t="s">
        <v>132</v>
      </c>
      <c r="AL484" s="74"/>
      <c r="AM484" s="74"/>
      <c r="AW484" s="74"/>
      <c r="AX484" s="74"/>
    </row>
    <row r="485" spans="1:50" ht="13" x14ac:dyDescent="0.15">
      <c r="A485" s="55" t="str">
        <f>HYPERLINK("http://reports.ofsted.gov.uk/inspection-reports/find-inspection-report/provider/CARE/1264438","Ofsted Social Care Provider Webpage")</f>
        <v>Ofsted Social Care Provider Webpage</v>
      </c>
      <c r="B485" s="55">
        <v>1264438</v>
      </c>
      <c r="D485" s="55" t="s">
        <v>373</v>
      </c>
      <c r="E485" s="74">
        <v>43082</v>
      </c>
      <c r="F485" s="55" t="s">
        <v>344</v>
      </c>
      <c r="G485" s="55" t="s">
        <v>360</v>
      </c>
      <c r="H485" s="55" t="s">
        <v>360</v>
      </c>
      <c r="I485" s="55" t="s">
        <v>360</v>
      </c>
      <c r="J485" s="55" t="s">
        <v>360</v>
      </c>
      <c r="K485" s="55" t="s">
        <v>360</v>
      </c>
      <c r="L485" s="55" t="s">
        <v>360</v>
      </c>
      <c r="M485" s="55" t="s">
        <v>378</v>
      </c>
      <c r="N485" s="55" t="s">
        <v>134</v>
      </c>
      <c r="O485" s="55" t="s">
        <v>175</v>
      </c>
      <c r="P485" s="55" t="s">
        <v>678</v>
      </c>
      <c r="Q485" s="55" t="s">
        <v>350</v>
      </c>
      <c r="R485" s="85">
        <v>4</v>
      </c>
      <c r="S485" s="55">
        <v>0</v>
      </c>
      <c r="T485" s="74" t="s">
        <v>861</v>
      </c>
      <c r="U485" s="74" t="s">
        <v>2053</v>
      </c>
      <c r="V485" s="74">
        <v>44483</v>
      </c>
      <c r="W485" s="74">
        <v>44531</v>
      </c>
      <c r="X485" s="55">
        <v>10207524</v>
      </c>
      <c r="AL485" s="74"/>
      <c r="AM485" s="74"/>
      <c r="AW485" s="74"/>
      <c r="AX485" s="74"/>
    </row>
    <row r="486" spans="1:50" ht="13" x14ac:dyDescent="0.15">
      <c r="A486" s="55" t="str">
        <f>HYPERLINK("http://reports.ofsted.gov.uk/inspection-reports/find-inspection-report/provider/CARE/1264438","Ofsted Social Care Provider Webpage")</f>
        <v>Ofsted Social Care Provider Webpage</v>
      </c>
      <c r="B486" s="55">
        <v>1264438</v>
      </c>
      <c r="D486" s="55" t="s">
        <v>373</v>
      </c>
      <c r="E486" s="74">
        <v>43082</v>
      </c>
      <c r="F486" s="55" t="s">
        <v>344</v>
      </c>
      <c r="G486" s="55" t="s">
        <v>360</v>
      </c>
      <c r="H486" s="55" t="s">
        <v>360</v>
      </c>
      <c r="I486" s="55" t="s">
        <v>360</v>
      </c>
      <c r="J486" s="55" t="s">
        <v>360</v>
      </c>
      <c r="K486" s="55" t="s">
        <v>360</v>
      </c>
      <c r="L486" s="55" t="s">
        <v>360</v>
      </c>
      <c r="M486" s="55" t="s">
        <v>378</v>
      </c>
      <c r="N486" s="55" t="s">
        <v>134</v>
      </c>
      <c r="O486" s="55" t="s">
        <v>175</v>
      </c>
      <c r="P486" s="55" t="s">
        <v>678</v>
      </c>
      <c r="Q486" s="55" t="s">
        <v>350</v>
      </c>
      <c r="R486" s="85">
        <v>4</v>
      </c>
      <c r="S486" s="55">
        <v>0</v>
      </c>
      <c r="T486" s="74" t="s">
        <v>861</v>
      </c>
      <c r="U486" s="74" t="s">
        <v>351</v>
      </c>
      <c r="V486" s="74">
        <v>44445</v>
      </c>
      <c r="W486" s="74">
        <v>44481</v>
      </c>
      <c r="X486" s="55">
        <v>10186622</v>
      </c>
      <c r="Y486" s="55" t="s">
        <v>146</v>
      </c>
      <c r="AB486" s="74" t="s">
        <v>146</v>
      </c>
      <c r="AC486" s="55" t="s">
        <v>146</v>
      </c>
      <c r="AL486" s="74"/>
      <c r="AM486" s="74"/>
    </row>
    <row r="487" spans="1:50" ht="13" x14ac:dyDescent="0.15">
      <c r="A487" s="55" t="str">
        <f>HYPERLINK("http://reports.ofsted.gov.uk/inspection-reports/find-inspection-report/provider/CARE/1264537","Ofsted Social Care Provider Webpage")</f>
        <v>Ofsted Social Care Provider Webpage</v>
      </c>
      <c r="B487" s="55">
        <v>1264537</v>
      </c>
      <c r="D487" s="55" t="s">
        <v>373</v>
      </c>
      <c r="E487" s="74">
        <v>43068</v>
      </c>
      <c r="F487" s="55" t="s">
        <v>344</v>
      </c>
      <c r="G487" s="55" t="s">
        <v>360</v>
      </c>
      <c r="H487" s="55" t="s">
        <v>360</v>
      </c>
      <c r="I487" s="55" t="s">
        <v>360</v>
      </c>
      <c r="J487" s="55" t="s">
        <v>360</v>
      </c>
      <c r="K487" s="55" t="s">
        <v>360</v>
      </c>
      <c r="L487" s="55" t="s">
        <v>360</v>
      </c>
      <c r="M487" s="55" t="s">
        <v>144</v>
      </c>
      <c r="N487" s="55" t="s">
        <v>144</v>
      </c>
      <c r="O487" s="55" t="s">
        <v>287</v>
      </c>
      <c r="P487" s="55" t="s">
        <v>287</v>
      </c>
      <c r="Q487" s="55" t="s">
        <v>350</v>
      </c>
      <c r="R487" s="85">
        <v>5</v>
      </c>
      <c r="S487" s="55">
        <v>0</v>
      </c>
      <c r="T487" s="74" t="s">
        <v>863</v>
      </c>
      <c r="U487" s="74" t="s">
        <v>351</v>
      </c>
      <c r="V487" s="74">
        <v>44502</v>
      </c>
      <c r="W487" s="74">
        <v>44550</v>
      </c>
      <c r="X487" s="55">
        <v>10186802</v>
      </c>
      <c r="Y487" s="55" t="s">
        <v>132</v>
      </c>
      <c r="AB487" s="74" t="s">
        <v>132</v>
      </c>
      <c r="AC487" s="55" t="s">
        <v>132</v>
      </c>
      <c r="AL487" s="74"/>
      <c r="AM487" s="74"/>
      <c r="AW487" s="74"/>
      <c r="AX487" s="74"/>
    </row>
    <row r="488" spans="1:50" ht="13" x14ac:dyDescent="0.15">
      <c r="A488" s="55" t="str">
        <f>HYPERLINK("http://reports.ofsted.gov.uk/inspection-reports/find-inspection-report/provider/CARE/1264538","Ofsted Social Care Provider Webpage")</f>
        <v>Ofsted Social Care Provider Webpage</v>
      </c>
      <c r="B488" s="55">
        <v>1264538</v>
      </c>
      <c r="D488" s="55" t="s">
        <v>373</v>
      </c>
      <c r="E488" s="74">
        <v>43025</v>
      </c>
      <c r="F488" s="55" t="s">
        <v>344</v>
      </c>
      <c r="G488" s="55" t="s">
        <v>360</v>
      </c>
      <c r="H488" s="55" t="s">
        <v>360</v>
      </c>
      <c r="I488" s="55" t="s">
        <v>360</v>
      </c>
      <c r="J488" s="55" t="s">
        <v>360</v>
      </c>
      <c r="K488" s="55" t="s">
        <v>360</v>
      </c>
      <c r="L488" s="55" t="s">
        <v>360</v>
      </c>
      <c r="M488" s="55" t="s">
        <v>144</v>
      </c>
      <c r="N488" s="55" t="s">
        <v>144</v>
      </c>
      <c r="O488" s="55" t="s">
        <v>209</v>
      </c>
      <c r="P488" s="55" t="s">
        <v>736</v>
      </c>
      <c r="Q488" s="55" t="s">
        <v>350</v>
      </c>
      <c r="R488" s="85">
        <v>3</v>
      </c>
      <c r="S488" s="55">
        <v>0</v>
      </c>
      <c r="T488" s="74" t="s">
        <v>737</v>
      </c>
      <c r="U488" s="74" t="s">
        <v>351</v>
      </c>
      <c r="V488" s="74">
        <v>44530</v>
      </c>
      <c r="W488" s="74">
        <v>44575</v>
      </c>
      <c r="X488" s="55">
        <v>10185357</v>
      </c>
      <c r="Y488" s="55" t="s">
        <v>132</v>
      </c>
      <c r="AB488" s="74" t="s">
        <v>132</v>
      </c>
      <c r="AC488" s="55" t="s">
        <v>132</v>
      </c>
      <c r="AL488" s="74"/>
      <c r="AM488" s="74"/>
      <c r="AW488" s="74"/>
      <c r="AX488" s="74"/>
    </row>
    <row r="489" spans="1:50" ht="13" x14ac:dyDescent="0.15">
      <c r="A489" s="55" t="str">
        <f>HYPERLINK("http://reports.ofsted.gov.uk/inspection-reports/find-inspection-report/provider/CARE/1264696","Ofsted Social Care Provider Webpage")</f>
        <v>Ofsted Social Care Provider Webpage</v>
      </c>
      <c r="B489" s="55">
        <v>1264696</v>
      </c>
      <c r="D489" s="55" t="s">
        <v>373</v>
      </c>
      <c r="E489" s="74">
        <v>43112</v>
      </c>
      <c r="F489" s="55" t="s">
        <v>6713</v>
      </c>
      <c r="G489" s="55" t="s">
        <v>360</v>
      </c>
      <c r="H489" s="55" t="s">
        <v>360</v>
      </c>
      <c r="I489" s="55" t="s">
        <v>360</v>
      </c>
      <c r="J489" s="55" t="s">
        <v>360</v>
      </c>
      <c r="K489" s="55" t="s">
        <v>360</v>
      </c>
      <c r="L489" s="55" t="s">
        <v>360</v>
      </c>
      <c r="M489" s="55" t="s">
        <v>144</v>
      </c>
      <c r="N489" s="55" t="s">
        <v>144</v>
      </c>
      <c r="O489" s="55" t="s">
        <v>236</v>
      </c>
      <c r="P489" s="55" t="s">
        <v>2088</v>
      </c>
      <c r="Q489" s="55" t="s">
        <v>350</v>
      </c>
      <c r="R489" s="85">
        <v>2</v>
      </c>
      <c r="S489" s="55">
        <v>0</v>
      </c>
      <c r="T489" s="74" t="s">
        <v>6714</v>
      </c>
      <c r="U489" s="74" t="s">
        <v>2053</v>
      </c>
      <c r="V489" s="74">
        <v>44386</v>
      </c>
      <c r="W489" s="74">
        <v>44418</v>
      </c>
      <c r="X489" s="55">
        <v>10201554</v>
      </c>
      <c r="AL489" s="74"/>
      <c r="AM489" s="74"/>
    </row>
    <row r="490" spans="1:50" ht="13" x14ac:dyDescent="0.15">
      <c r="A490" s="55" t="str">
        <f>HYPERLINK("http://reports.ofsted.gov.uk/inspection-reports/find-inspection-report/provider/CARE/1264696","Ofsted Social Care Provider Webpage")</f>
        <v>Ofsted Social Care Provider Webpage</v>
      </c>
      <c r="B490" s="55">
        <v>1264696</v>
      </c>
      <c r="D490" s="55" t="s">
        <v>373</v>
      </c>
      <c r="E490" s="74">
        <v>43112</v>
      </c>
      <c r="F490" s="55" t="s">
        <v>6713</v>
      </c>
      <c r="G490" s="55" t="s">
        <v>360</v>
      </c>
      <c r="H490" s="55" t="s">
        <v>360</v>
      </c>
      <c r="I490" s="55" t="s">
        <v>360</v>
      </c>
      <c r="J490" s="55" t="s">
        <v>360</v>
      </c>
      <c r="K490" s="55" t="s">
        <v>360</v>
      </c>
      <c r="L490" s="55" t="s">
        <v>360</v>
      </c>
      <c r="M490" s="55" t="s">
        <v>144</v>
      </c>
      <c r="N490" s="55" t="s">
        <v>144</v>
      </c>
      <c r="O490" s="55" t="s">
        <v>236</v>
      </c>
      <c r="P490" s="55" t="s">
        <v>2088</v>
      </c>
      <c r="Q490" s="55" t="s">
        <v>350</v>
      </c>
      <c r="R490" s="85">
        <v>2</v>
      </c>
      <c r="S490" s="55">
        <v>0</v>
      </c>
      <c r="T490" s="74" t="s">
        <v>6714</v>
      </c>
      <c r="U490" s="74" t="s">
        <v>2053</v>
      </c>
      <c r="V490" s="74">
        <v>44306</v>
      </c>
      <c r="W490" s="74">
        <v>44344</v>
      </c>
      <c r="X490" s="55">
        <v>10192827</v>
      </c>
      <c r="AL490" s="74"/>
      <c r="AM490" s="74"/>
    </row>
    <row r="491" spans="1:50" ht="13" x14ac:dyDescent="0.15">
      <c r="A491" s="55" t="str">
        <f>HYPERLINK("http://reports.ofsted.gov.uk/inspection-reports/find-inspection-report/provider/CARE/1264756","Ofsted Social Care Provider Webpage")</f>
        <v>Ofsted Social Care Provider Webpage</v>
      </c>
      <c r="B491" s="55">
        <v>1264756</v>
      </c>
      <c r="D491" s="55" t="s">
        <v>373</v>
      </c>
      <c r="E491" s="74">
        <v>43029</v>
      </c>
      <c r="F491" s="55" t="s">
        <v>344</v>
      </c>
      <c r="G491" s="55" t="s">
        <v>360</v>
      </c>
      <c r="H491" s="55" t="s">
        <v>360</v>
      </c>
      <c r="I491" s="55" t="s">
        <v>360</v>
      </c>
      <c r="J491" s="55" t="s">
        <v>360</v>
      </c>
      <c r="K491" s="55" t="s">
        <v>360</v>
      </c>
      <c r="L491" s="55" t="s">
        <v>360</v>
      </c>
      <c r="M491" s="55" t="s">
        <v>136</v>
      </c>
      <c r="N491" s="55" t="s">
        <v>136</v>
      </c>
      <c r="O491" s="55" t="s">
        <v>174</v>
      </c>
      <c r="P491" s="55" t="s">
        <v>982</v>
      </c>
      <c r="Q491" s="55" t="s">
        <v>350</v>
      </c>
      <c r="R491" s="85">
        <v>2</v>
      </c>
      <c r="S491" s="55">
        <v>0</v>
      </c>
      <c r="T491" s="74" t="s">
        <v>1151</v>
      </c>
      <c r="U491" s="74" t="s">
        <v>351</v>
      </c>
      <c r="V491" s="74">
        <v>44357</v>
      </c>
      <c r="W491" s="74">
        <v>44390</v>
      </c>
      <c r="X491" s="55">
        <v>10186299</v>
      </c>
      <c r="Y491" s="55" t="s">
        <v>146</v>
      </c>
      <c r="AB491" s="74" t="s">
        <v>146</v>
      </c>
      <c r="AC491" s="55" t="s">
        <v>146</v>
      </c>
      <c r="AL491" s="74"/>
      <c r="AM491" s="74"/>
      <c r="AW491" s="74"/>
      <c r="AX491" s="74"/>
    </row>
    <row r="492" spans="1:50" ht="13" x14ac:dyDescent="0.15">
      <c r="A492" s="55" t="str">
        <f>HYPERLINK("http://reports.ofsted.gov.uk/inspection-reports/find-inspection-report/provider/CARE/1264756","Ofsted Social Care Provider Webpage")</f>
        <v>Ofsted Social Care Provider Webpage</v>
      </c>
      <c r="B492" s="55">
        <v>1264756</v>
      </c>
      <c r="D492" s="55" t="s">
        <v>373</v>
      </c>
      <c r="E492" s="74">
        <v>43029</v>
      </c>
      <c r="F492" s="55" t="s">
        <v>344</v>
      </c>
      <c r="G492" s="55" t="s">
        <v>360</v>
      </c>
      <c r="H492" s="55" t="s">
        <v>360</v>
      </c>
      <c r="I492" s="55" t="s">
        <v>360</v>
      </c>
      <c r="J492" s="55" t="s">
        <v>360</v>
      </c>
      <c r="K492" s="55" t="s">
        <v>360</v>
      </c>
      <c r="L492" s="55" t="s">
        <v>360</v>
      </c>
      <c r="M492" s="55" t="s">
        <v>136</v>
      </c>
      <c r="N492" s="55" t="s">
        <v>136</v>
      </c>
      <c r="O492" s="55" t="s">
        <v>174</v>
      </c>
      <c r="P492" s="55" t="s">
        <v>982</v>
      </c>
      <c r="Q492" s="55" t="s">
        <v>350</v>
      </c>
      <c r="R492" s="85">
        <v>2</v>
      </c>
      <c r="S492" s="55">
        <v>0</v>
      </c>
      <c r="T492" s="74" t="s">
        <v>1151</v>
      </c>
      <c r="U492" s="74" t="s">
        <v>2053</v>
      </c>
      <c r="V492" s="74">
        <v>44390</v>
      </c>
      <c r="W492" s="74">
        <v>44417</v>
      </c>
      <c r="X492" s="55">
        <v>10199103</v>
      </c>
      <c r="AL492" s="74"/>
      <c r="AM492" s="74"/>
      <c r="AW492" s="74"/>
      <c r="AX492" s="74"/>
    </row>
    <row r="493" spans="1:50" ht="13" x14ac:dyDescent="0.15">
      <c r="A493" s="55" t="str">
        <f>HYPERLINK("http://reports.ofsted.gov.uk/inspection-reports/find-inspection-report/provider/CARE/1264756","Ofsted Social Care Provider Webpage")</f>
        <v>Ofsted Social Care Provider Webpage</v>
      </c>
      <c r="B493" s="55">
        <v>1264756</v>
      </c>
      <c r="D493" s="55" t="s">
        <v>373</v>
      </c>
      <c r="E493" s="74">
        <v>43029</v>
      </c>
      <c r="F493" s="55" t="s">
        <v>344</v>
      </c>
      <c r="G493" s="55" t="s">
        <v>360</v>
      </c>
      <c r="H493" s="55" t="s">
        <v>360</v>
      </c>
      <c r="I493" s="55" t="s">
        <v>360</v>
      </c>
      <c r="J493" s="55" t="s">
        <v>360</v>
      </c>
      <c r="K493" s="55" t="s">
        <v>360</v>
      </c>
      <c r="L493" s="55" t="s">
        <v>360</v>
      </c>
      <c r="M493" s="55" t="s">
        <v>136</v>
      </c>
      <c r="N493" s="55" t="s">
        <v>136</v>
      </c>
      <c r="O493" s="55" t="s">
        <v>174</v>
      </c>
      <c r="P493" s="55" t="s">
        <v>982</v>
      </c>
      <c r="Q493" s="55" t="s">
        <v>350</v>
      </c>
      <c r="R493" s="85">
        <v>2</v>
      </c>
      <c r="S493" s="55">
        <v>0</v>
      </c>
      <c r="T493" s="74" t="s">
        <v>1151</v>
      </c>
      <c r="U493" s="74" t="s">
        <v>351</v>
      </c>
      <c r="V493" s="74">
        <v>44453</v>
      </c>
      <c r="W493" s="74">
        <v>44480</v>
      </c>
      <c r="X493" s="55">
        <v>10203861</v>
      </c>
      <c r="Y493" s="55" t="s">
        <v>132</v>
      </c>
      <c r="AB493" s="74" t="s">
        <v>132</v>
      </c>
      <c r="AC493" s="55" t="s">
        <v>130</v>
      </c>
      <c r="AL493" s="74"/>
      <c r="AM493" s="74"/>
      <c r="AW493" s="74"/>
      <c r="AX493" s="74"/>
    </row>
    <row r="494" spans="1:50" ht="13" x14ac:dyDescent="0.15">
      <c r="A494" s="55" t="str">
        <f>HYPERLINK("http://reports.ofsted.gov.uk/inspection-reports/find-inspection-report/provider/CARE/1264840","Ofsted Social Care Provider Webpage")</f>
        <v>Ofsted Social Care Provider Webpage</v>
      </c>
      <c r="B494" s="55">
        <v>1264840</v>
      </c>
      <c r="D494" s="55" t="s">
        <v>373</v>
      </c>
      <c r="E494" s="74">
        <v>43073</v>
      </c>
      <c r="F494" s="55" t="s">
        <v>344</v>
      </c>
      <c r="G494" s="55" t="s">
        <v>360</v>
      </c>
      <c r="H494" s="55" t="s">
        <v>360</v>
      </c>
      <c r="I494" s="55" t="s">
        <v>360</v>
      </c>
      <c r="J494" s="55" t="s">
        <v>360</v>
      </c>
      <c r="K494" s="55" t="s">
        <v>360</v>
      </c>
      <c r="L494" s="55" t="s">
        <v>360</v>
      </c>
      <c r="M494" s="55" t="s">
        <v>142</v>
      </c>
      <c r="N494" s="55" t="s">
        <v>142</v>
      </c>
      <c r="O494" s="55" t="s">
        <v>166</v>
      </c>
      <c r="P494" s="55" t="s">
        <v>1152</v>
      </c>
      <c r="Q494" s="55" t="s">
        <v>350</v>
      </c>
      <c r="R494" s="85">
        <v>3</v>
      </c>
      <c r="S494" s="55">
        <v>0</v>
      </c>
      <c r="T494" s="74" t="s">
        <v>517</v>
      </c>
      <c r="U494" s="74" t="s">
        <v>351</v>
      </c>
      <c r="V494" s="74">
        <v>44425</v>
      </c>
      <c r="W494" s="74">
        <v>44473</v>
      </c>
      <c r="X494" s="55">
        <v>10186206</v>
      </c>
      <c r="Y494" s="55" t="s">
        <v>132</v>
      </c>
      <c r="AB494" s="74" t="s">
        <v>132</v>
      </c>
      <c r="AC494" s="55" t="s">
        <v>130</v>
      </c>
      <c r="AL494" s="74"/>
      <c r="AM494" s="74"/>
    </row>
    <row r="495" spans="1:50" ht="13" x14ac:dyDescent="0.15">
      <c r="A495" s="55" t="str">
        <f>HYPERLINK("http://reports.ofsted.gov.uk/inspection-reports/find-inspection-report/provider/CARE/1264841","Ofsted Social Care Provider Webpage")</f>
        <v>Ofsted Social Care Provider Webpage</v>
      </c>
      <c r="B495" s="55">
        <v>1264841</v>
      </c>
      <c r="D495" s="55" t="s">
        <v>373</v>
      </c>
      <c r="E495" s="74">
        <v>43087</v>
      </c>
      <c r="F495" s="55" t="s">
        <v>344</v>
      </c>
      <c r="G495" s="55" t="s">
        <v>360</v>
      </c>
      <c r="H495" s="55" t="s">
        <v>360</v>
      </c>
      <c r="I495" s="55" t="s">
        <v>360</v>
      </c>
      <c r="J495" s="55" t="s">
        <v>360</v>
      </c>
      <c r="K495" s="55" t="s">
        <v>360</v>
      </c>
      <c r="L495" s="55" t="s">
        <v>360</v>
      </c>
      <c r="M495" s="55" t="s">
        <v>129</v>
      </c>
      <c r="N495" s="55" t="s">
        <v>129</v>
      </c>
      <c r="O495" s="55" t="s">
        <v>139</v>
      </c>
      <c r="P495" s="55" t="s">
        <v>1153</v>
      </c>
      <c r="Q495" s="55" t="s">
        <v>362</v>
      </c>
      <c r="R495" s="85">
        <v>10</v>
      </c>
      <c r="S495" s="55" t="s">
        <v>332</v>
      </c>
      <c r="T495" s="74" t="s">
        <v>1154</v>
      </c>
      <c r="U495" s="74" t="s">
        <v>351</v>
      </c>
      <c r="V495" s="74">
        <v>44525</v>
      </c>
      <c r="W495" s="74">
        <v>44579</v>
      </c>
      <c r="X495" s="55">
        <v>10185710</v>
      </c>
      <c r="Y495" s="55" t="s">
        <v>132</v>
      </c>
      <c r="AB495" s="74" t="s">
        <v>132</v>
      </c>
      <c r="AC495" s="55" t="s">
        <v>132</v>
      </c>
      <c r="AL495" s="74"/>
      <c r="AM495" s="74"/>
      <c r="AW495" s="74"/>
      <c r="AX495" s="74"/>
    </row>
    <row r="496" spans="1:50" ht="13" x14ac:dyDescent="0.15">
      <c r="A496" s="55" t="str">
        <f>HYPERLINK("http://reports.ofsted.gov.uk/inspection-reports/find-inspection-report/provider/CARE/1265010","Ofsted Social Care Provider Webpage")</f>
        <v>Ofsted Social Care Provider Webpage</v>
      </c>
      <c r="B496" s="55">
        <v>1265010</v>
      </c>
      <c r="D496" s="55" t="s">
        <v>389</v>
      </c>
      <c r="E496" s="74">
        <v>43083</v>
      </c>
      <c r="F496" s="55" t="s">
        <v>344</v>
      </c>
      <c r="G496" s="55" t="s">
        <v>1155</v>
      </c>
      <c r="H496" s="55" t="s">
        <v>1156</v>
      </c>
      <c r="I496" s="55" t="s">
        <v>1157</v>
      </c>
      <c r="J496" s="55" t="s">
        <v>129</v>
      </c>
      <c r="K496" s="55" t="s">
        <v>1158</v>
      </c>
      <c r="L496" s="55" t="s">
        <v>1159</v>
      </c>
      <c r="M496" s="55" t="s">
        <v>129</v>
      </c>
      <c r="N496" s="55" t="s">
        <v>129</v>
      </c>
      <c r="O496" s="55" t="s">
        <v>213</v>
      </c>
      <c r="P496" s="55" t="s">
        <v>1160</v>
      </c>
      <c r="Q496" s="55" t="s">
        <v>350</v>
      </c>
      <c r="S496" s="55">
        <v>0</v>
      </c>
      <c r="T496" s="74" t="s">
        <v>1155</v>
      </c>
      <c r="U496" s="74" t="s">
        <v>351</v>
      </c>
      <c r="V496" s="74">
        <v>44340</v>
      </c>
      <c r="W496" s="74">
        <v>44389</v>
      </c>
      <c r="X496" s="55">
        <v>10183264</v>
      </c>
      <c r="Y496" s="55" t="s">
        <v>132</v>
      </c>
      <c r="AB496" s="74" t="s">
        <v>132</v>
      </c>
      <c r="AC496" s="55" t="s">
        <v>130</v>
      </c>
      <c r="AL496" s="74"/>
      <c r="AM496" s="74"/>
      <c r="AW496" s="74"/>
      <c r="AX496" s="74"/>
    </row>
    <row r="497" spans="1:50" ht="13" x14ac:dyDescent="0.15">
      <c r="A497" s="55" t="str">
        <f>HYPERLINK("http://reports.ofsted.gov.uk/inspection-reports/find-inspection-report/provider/CARE/1265092","Ofsted Social Care Provider Webpage")</f>
        <v>Ofsted Social Care Provider Webpage</v>
      </c>
      <c r="B497" s="55">
        <v>1265092</v>
      </c>
      <c r="D497" s="55" t="s">
        <v>373</v>
      </c>
      <c r="E497" s="74">
        <v>43103</v>
      </c>
      <c r="F497" s="55" t="s">
        <v>344</v>
      </c>
      <c r="G497" s="55" t="s">
        <v>360</v>
      </c>
      <c r="H497" s="55" t="s">
        <v>360</v>
      </c>
      <c r="I497" s="55" t="s">
        <v>360</v>
      </c>
      <c r="J497" s="55" t="s">
        <v>360</v>
      </c>
      <c r="K497" s="55" t="s">
        <v>360</v>
      </c>
      <c r="L497" s="55" t="s">
        <v>360</v>
      </c>
      <c r="M497" s="55" t="s">
        <v>144</v>
      </c>
      <c r="N497" s="55" t="s">
        <v>144</v>
      </c>
      <c r="O497" s="55" t="s">
        <v>147</v>
      </c>
      <c r="P497" s="55" t="s">
        <v>674</v>
      </c>
      <c r="Q497" s="55" t="s">
        <v>350</v>
      </c>
      <c r="R497" s="85">
        <v>7</v>
      </c>
      <c r="S497" s="55">
        <v>0</v>
      </c>
      <c r="T497" s="74" t="s">
        <v>1161</v>
      </c>
      <c r="U497" s="74" t="s">
        <v>351</v>
      </c>
      <c r="V497" s="74">
        <v>44418</v>
      </c>
      <c r="W497" s="74">
        <v>44453</v>
      </c>
      <c r="X497" s="55">
        <v>10187293</v>
      </c>
      <c r="Y497" s="55" t="s">
        <v>132</v>
      </c>
      <c r="AB497" s="74" t="s">
        <v>132</v>
      </c>
      <c r="AC497" s="55" t="s">
        <v>132</v>
      </c>
      <c r="AL497" s="74"/>
      <c r="AM497" s="74"/>
      <c r="AW497" s="74"/>
      <c r="AX497" s="74"/>
    </row>
    <row r="498" spans="1:50" ht="13" x14ac:dyDescent="0.15">
      <c r="A498" s="55" t="str">
        <f>HYPERLINK("http://reports.ofsted.gov.uk/inspection-reports/find-inspection-report/provider/CARE/1265096","Ofsted Social Care Provider Webpage")</f>
        <v>Ofsted Social Care Provider Webpage</v>
      </c>
      <c r="B498" s="55">
        <v>1265096</v>
      </c>
      <c r="D498" s="55" t="s">
        <v>373</v>
      </c>
      <c r="E498" s="74">
        <v>43209</v>
      </c>
      <c r="F498" s="55" t="s">
        <v>344</v>
      </c>
      <c r="G498" s="55" t="s">
        <v>360</v>
      </c>
      <c r="H498" s="55" t="s">
        <v>360</v>
      </c>
      <c r="I498" s="55" t="s">
        <v>360</v>
      </c>
      <c r="J498" s="55" t="s">
        <v>360</v>
      </c>
      <c r="K498" s="55" t="s">
        <v>360</v>
      </c>
      <c r="L498" s="55" t="s">
        <v>360</v>
      </c>
      <c r="M498" s="55" t="s">
        <v>142</v>
      </c>
      <c r="N498" s="55" t="s">
        <v>142</v>
      </c>
      <c r="O498" s="55" t="s">
        <v>292</v>
      </c>
      <c r="P498" s="55" t="s">
        <v>1162</v>
      </c>
      <c r="Q498" s="55" t="s">
        <v>350</v>
      </c>
      <c r="R498" s="85">
        <v>2</v>
      </c>
      <c r="S498" s="55">
        <v>0</v>
      </c>
      <c r="T498" s="74" t="s">
        <v>1163</v>
      </c>
      <c r="U498" s="74" t="s">
        <v>351</v>
      </c>
      <c r="V498" s="74">
        <v>44510</v>
      </c>
      <c r="W498" s="74">
        <v>44559</v>
      </c>
      <c r="X498" s="55">
        <v>10186974</v>
      </c>
      <c r="Y498" s="55" t="s">
        <v>132</v>
      </c>
      <c r="AB498" s="74" t="s">
        <v>132</v>
      </c>
      <c r="AC498" s="55" t="s">
        <v>130</v>
      </c>
      <c r="AL498" s="74"/>
      <c r="AM498" s="74"/>
      <c r="AW498" s="74"/>
      <c r="AX498" s="74"/>
    </row>
    <row r="499" spans="1:50" ht="13" x14ac:dyDescent="0.15">
      <c r="A499" s="55" t="str">
        <f>HYPERLINK("http://reports.ofsted.gov.uk/inspection-reports/find-inspection-report/provider/CARE/1265128","Ofsted Social Care Provider Webpage")</f>
        <v>Ofsted Social Care Provider Webpage</v>
      </c>
      <c r="B499" s="55">
        <v>1265128</v>
      </c>
      <c r="D499" s="55" t="s">
        <v>373</v>
      </c>
      <c r="E499" s="74">
        <v>43053</v>
      </c>
      <c r="F499" s="55" t="s">
        <v>344</v>
      </c>
      <c r="G499" s="55" t="s">
        <v>360</v>
      </c>
      <c r="H499" s="55" t="s">
        <v>360</v>
      </c>
      <c r="I499" s="55" t="s">
        <v>360</v>
      </c>
      <c r="J499" s="55" t="s">
        <v>360</v>
      </c>
      <c r="K499" s="55" t="s">
        <v>360</v>
      </c>
      <c r="L499" s="55" t="s">
        <v>360</v>
      </c>
      <c r="M499" s="55" t="s">
        <v>144</v>
      </c>
      <c r="N499" s="55" t="s">
        <v>144</v>
      </c>
      <c r="O499" s="55" t="s">
        <v>209</v>
      </c>
      <c r="P499" s="55" t="s">
        <v>544</v>
      </c>
      <c r="Q499" s="55" t="s">
        <v>350</v>
      </c>
      <c r="R499" s="85">
        <v>2</v>
      </c>
      <c r="S499" s="55">
        <v>0</v>
      </c>
      <c r="T499" s="74" t="s">
        <v>485</v>
      </c>
      <c r="U499" s="74" t="s">
        <v>351</v>
      </c>
      <c r="V499" s="74">
        <v>44510</v>
      </c>
      <c r="W499" s="74">
        <v>44559</v>
      </c>
      <c r="X499" s="55">
        <v>10187284</v>
      </c>
      <c r="Y499" s="55" t="s">
        <v>132</v>
      </c>
      <c r="AB499" s="74" t="s">
        <v>132</v>
      </c>
      <c r="AC499" s="55" t="s">
        <v>132</v>
      </c>
      <c r="AL499" s="74"/>
      <c r="AM499" s="74"/>
    </row>
    <row r="500" spans="1:50" ht="13" x14ac:dyDescent="0.15">
      <c r="A500" s="55" t="str">
        <f>HYPERLINK("http://reports.ofsted.gov.uk/inspection-reports/find-inspection-report/provider/CARE/1266267","Ofsted Social Care Provider Webpage")</f>
        <v>Ofsted Social Care Provider Webpage</v>
      </c>
      <c r="B500" s="55">
        <v>1266267</v>
      </c>
      <c r="D500" s="55" t="s">
        <v>373</v>
      </c>
      <c r="E500" s="74">
        <v>43228</v>
      </c>
      <c r="F500" s="55" t="s">
        <v>344</v>
      </c>
      <c r="G500" s="55" t="s">
        <v>360</v>
      </c>
      <c r="H500" s="55" t="s">
        <v>360</v>
      </c>
      <c r="I500" s="55" t="s">
        <v>360</v>
      </c>
      <c r="J500" s="55" t="s">
        <v>360</v>
      </c>
      <c r="K500" s="55" t="s">
        <v>360</v>
      </c>
      <c r="L500" s="55" t="s">
        <v>360</v>
      </c>
      <c r="M500" s="55" t="s">
        <v>142</v>
      </c>
      <c r="N500" s="55" t="s">
        <v>142</v>
      </c>
      <c r="O500" s="55" t="s">
        <v>292</v>
      </c>
      <c r="P500" s="55" t="s">
        <v>976</v>
      </c>
      <c r="Q500" s="55" t="s">
        <v>350</v>
      </c>
      <c r="R500" s="85">
        <v>6</v>
      </c>
      <c r="S500" s="55" t="s">
        <v>332</v>
      </c>
      <c r="T500" s="74" t="s">
        <v>1164</v>
      </c>
      <c r="U500" s="74" t="s">
        <v>351</v>
      </c>
      <c r="V500" s="74">
        <v>44515</v>
      </c>
      <c r="W500" s="74">
        <v>44559</v>
      </c>
      <c r="X500" s="55">
        <v>10187067</v>
      </c>
      <c r="Y500" s="55" t="s">
        <v>132</v>
      </c>
      <c r="AB500" s="74" t="s">
        <v>132</v>
      </c>
      <c r="AC500" s="55" t="s">
        <v>132</v>
      </c>
      <c r="AL500" s="74"/>
      <c r="AM500" s="74"/>
      <c r="AW500" s="74"/>
      <c r="AX500" s="74"/>
    </row>
    <row r="501" spans="1:50" ht="13" x14ac:dyDescent="0.15">
      <c r="A501" s="55" t="str">
        <f>HYPERLINK("http://reports.ofsted.gov.uk/inspection-reports/find-inspection-report/provider/CARE/1266835","Ofsted Social Care Provider Webpage")</f>
        <v>Ofsted Social Care Provider Webpage</v>
      </c>
      <c r="B501" s="55">
        <v>1266835</v>
      </c>
      <c r="D501" s="55" t="s">
        <v>373</v>
      </c>
      <c r="E501" s="74">
        <v>43033</v>
      </c>
      <c r="F501" s="55" t="s">
        <v>344</v>
      </c>
      <c r="G501" s="55" t="s">
        <v>360</v>
      </c>
      <c r="H501" s="55" t="s">
        <v>360</v>
      </c>
      <c r="I501" s="55" t="s">
        <v>360</v>
      </c>
      <c r="J501" s="55" t="s">
        <v>360</v>
      </c>
      <c r="K501" s="55" t="s">
        <v>360</v>
      </c>
      <c r="L501" s="55" t="s">
        <v>360</v>
      </c>
      <c r="M501" s="55" t="s">
        <v>136</v>
      </c>
      <c r="N501" s="55" t="s">
        <v>136</v>
      </c>
      <c r="O501" s="55" t="s">
        <v>135</v>
      </c>
      <c r="P501" s="55" t="s">
        <v>1165</v>
      </c>
      <c r="Q501" s="55" t="s">
        <v>362</v>
      </c>
      <c r="R501" s="85">
        <v>5</v>
      </c>
      <c r="S501" s="55" t="s">
        <v>332</v>
      </c>
      <c r="T501" s="74" t="s">
        <v>367</v>
      </c>
      <c r="U501" s="74" t="s">
        <v>351</v>
      </c>
      <c r="V501" s="74">
        <v>44545</v>
      </c>
      <c r="W501" s="74">
        <v>44589</v>
      </c>
      <c r="X501" s="55">
        <v>10185226</v>
      </c>
      <c r="Y501" s="55" t="s">
        <v>130</v>
      </c>
      <c r="AB501" s="74" t="s">
        <v>130</v>
      </c>
      <c r="AC501" s="55" t="s">
        <v>130</v>
      </c>
      <c r="AL501" s="74"/>
      <c r="AM501" s="74"/>
    </row>
    <row r="502" spans="1:50" ht="13" x14ac:dyDescent="0.15">
      <c r="A502" s="55" t="str">
        <f>HYPERLINK("http://reports.ofsted.gov.uk/inspection-reports/find-inspection-report/provider/CARE/1266838","Ofsted Social Care Provider Webpage")</f>
        <v>Ofsted Social Care Provider Webpage</v>
      </c>
      <c r="B502" s="55">
        <v>1266838</v>
      </c>
      <c r="D502" s="55" t="s">
        <v>373</v>
      </c>
      <c r="E502" s="74">
        <v>43061</v>
      </c>
      <c r="F502" s="55" t="s">
        <v>344</v>
      </c>
      <c r="G502" s="55" t="s">
        <v>360</v>
      </c>
      <c r="H502" s="55" t="s">
        <v>360</v>
      </c>
      <c r="I502" s="55" t="s">
        <v>360</v>
      </c>
      <c r="J502" s="55" t="s">
        <v>360</v>
      </c>
      <c r="K502" s="55" t="s">
        <v>360</v>
      </c>
      <c r="L502" s="55" t="s">
        <v>360</v>
      </c>
      <c r="M502" s="55" t="s">
        <v>144</v>
      </c>
      <c r="N502" s="55" t="s">
        <v>144</v>
      </c>
      <c r="O502" s="55" t="s">
        <v>168</v>
      </c>
      <c r="P502" s="55" t="s">
        <v>913</v>
      </c>
      <c r="Q502" s="55" t="s">
        <v>350</v>
      </c>
      <c r="R502" s="85">
        <v>3</v>
      </c>
      <c r="S502" s="55">
        <v>0</v>
      </c>
      <c r="T502" s="74" t="s">
        <v>709</v>
      </c>
      <c r="U502" s="74" t="s">
        <v>351</v>
      </c>
      <c r="V502" s="74">
        <v>44628</v>
      </c>
      <c r="W502" s="74">
        <v>44673</v>
      </c>
      <c r="X502" s="55">
        <v>10185048</v>
      </c>
      <c r="Y502" s="55" t="s">
        <v>132</v>
      </c>
      <c r="AB502" s="74" t="s">
        <v>132</v>
      </c>
      <c r="AC502" s="55" t="s">
        <v>130</v>
      </c>
      <c r="AL502" s="74"/>
      <c r="AM502" s="74"/>
      <c r="AW502" s="74"/>
      <c r="AX502" s="74"/>
    </row>
    <row r="503" spans="1:50" ht="13" x14ac:dyDescent="0.15">
      <c r="A503" s="55" t="str">
        <f>HYPERLINK("http://reports.ofsted.gov.uk/inspection-reports/find-inspection-report/provider/CARE/1267324","Ofsted Social Care Provider Webpage")</f>
        <v>Ofsted Social Care Provider Webpage</v>
      </c>
      <c r="B503" s="55">
        <v>1267324</v>
      </c>
      <c r="D503" s="55" t="s">
        <v>389</v>
      </c>
      <c r="E503" s="74">
        <v>43166</v>
      </c>
      <c r="F503" s="55" t="s">
        <v>344</v>
      </c>
      <c r="G503" s="55" t="s">
        <v>1175</v>
      </c>
      <c r="H503" s="55" t="s">
        <v>1145</v>
      </c>
      <c r="I503" s="55" t="s">
        <v>1146</v>
      </c>
      <c r="J503" s="55" t="s">
        <v>1147</v>
      </c>
      <c r="L503" s="55" t="s">
        <v>1148</v>
      </c>
      <c r="M503" s="55" t="s">
        <v>142</v>
      </c>
      <c r="N503" s="55" t="s">
        <v>142</v>
      </c>
      <c r="O503" s="55" t="s">
        <v>249</v>
      </c>
      <c r="P503" s="55" t="s">
        <v>1149</v>
      </c>
      <c r="Q503" s="55" t="s">
        <v>362</v>
      </c>
      <c r="S503" s="55">
        <v>0</v>
      </c>
      <c r="T503" s="74" t="s">
        <v>1150</v>
      </c>
      <c r="U503" s="74" t="s">
        <v>351</v>
      </c>
      <c r="V503" s="74">
        <v>44410</v>
      </c>
      <c r="W503" s="74">
        <v>44446</v>
      </c>
      <c r="X503" s="55">
        <v>10183275</v>
      </c>
      <c r="Y503" s="55" t="s">
        <v>132</v>
      </c>
      <c r="AB503" s="74" t="s">
        <v>132</v>
      </c>
      <c r="AC503" s="55" t="s">
        <v>132</v>
      </c>
      <c r="AL503" s="74"/>
      <c r="AM503" s="74"/>
      <c r="AW503" s="74"/>
      <c r="AX503" s="74"/>
    </row>
    <row r="504" spans="1:50" ht="13" x14ac:dyDescent="0.15">
      <c r="A504" s="55" t="str">
        <f>HYPERLINK("http://reports.ofsted.gov.uk/inspection-reports/find-inspection-report/provider/CARE/1267532","Ofsted Social Care Provider Webpage")</f>
        <v>Ofsted Social Care Provider Webpage</v>
      </c>
      <c r="B504" s="55">
        <v>1267532</v>
      </c>
      <c r="C504" s="55">
        <v>135792</v>
      </c>
      <c r="D504" s="55" t="s">
        <v>398</v>
      </c>
      <c r="E504" s="74">
        <v>43054</v>
      </c>
      <c r="F504" s="55" t="s">
        <v>344</v>
      </c>
      <c r="G504" s="55" t="s">
        <v>1176</v>
      </c>
      <c r="H504" s="55" t="s">
        <v>1177</v>
      </c>
      <c r="I504" s="55" t="s">
        <v>1178</v>
      </c>
      <c r="J504" s="55" t="s">
        <v>1179</v>
      </c>
      <c r="L504" s="55" t="s">
        <v>1180</v>
      </c>
      <c r="M504" s="55" t="s">
        <v>142</v>
      </c>
      <c r="N504" s="55" t="s">
        <v>142</v>
      </c>
      <c r="O504" s="55" t="s">
        <v>249</v>
      </c>
      <c r="P504" s="55" t="s">
        <v>1181</v>
      </c>
      <c r="Q504" s="55" t="s">
        <v>350</v>
      </c>
      <c r="R504" s="85">
        <v>30</v>
      </c>
      <c r="S504" s="55">
        <v>0</v>
      </c>
      <c r="T504" s="74" t="s">
        <v>1176</v>
      </c>
      <c r="U504" s="74" t="s">
        <v>6715</v>
      </c>
      <c r="V504" s="74">
        <v>44335</v>
      </c>
      <c r="W504" s="74">
        <v>44369</v>
      </c>
      <c r="X504" s="55">
        <v>10192835</v>
      </c>
      <c r="AL504" s="74"/>
      <c r="AM504" s="74"/>
      <c r="AW504" s="74"/>
      <c r="AX504" s="74"/>
    </row>
    <row r="505" spans="1:50" ht="13" x14ac:dyDescent="0.15">
      <c r="A505" s="55" t="str">
        <f>HYPERLINK("http://reports.ofsted.gov.uk/inspection-reports/find-inspection-report/provider/CARE/1267532","Ofsted Social Care Provider Webpage")</f>
        <v>Ofsted Social Care Provider Webpage</v>
      </c>
      <c r="B505" s="55">
        <v>1267532</v>
      </c>
      <c r="C505" s="55">
        <v>135792</v>
      </c>
      <c r="D505" s="55" t="s">
        <v>398</v>
      </c>
      <c r="E505" s="74">
        <v>43054</v>
      </c>
      <c r="F505" s="55" t="s">
        <v>344</v>
      </c>
      <c r="G505" s="55" t="s">
        <v>1176</v>
      </c>
      <c r="H505" s="55" t="s">
        <v>1177</v>
      </c>
      <c r="I505" s="55" t="s">
        <v>1178</v>
      </c>
      <c r="J505" s="55" t="s">
        <v>1179</v>
      </c>
      <c r="L505" s="55" t="s">
        <v>1180</v>
      </c>
      <c r="M505" s="55" t="s">
        <v>142</v>
      </c>
      <c r="N505" s="55" t="s">
        <v>142</v>
      </c>
      <c r="O505" s="55" t="s">
        <v>249</v>
      </c>
      <c r="P505" s="55" t="s">
        <v>1181</v>
      </c>
      <c r="Q505" s="55" t="s">
        <v>350</v>
      </c>
      <c r="R505" s="85">
        <v>30</v>
      </c>
      <c r="S505" s="55">
        <v>0</v>
      </c>
      <c r="T505" s="74" t="s">
        <v>1176</v>
      </c>
      <c r="U505" s="74" t="s">
        <v>2053</v>
      </c>
      <c r="V505" s="74">
        <v>44524</v>
      </c>
      <c r="W505" s="74">
        <v>44571</v>
      </c>
      <c r="X505" s="55">
        <v>10213027</v>
      </c>
      <c r="AL505" s="74"/>
      <c r="AM505" s="74"/>
      <c r="AW505" s="74"/>
      <c r="AX505" s="74"/>
    </row>
    <row r="506" spans="1:50" ht="13" x14ac:dyDescent="0.15">
      <c r="A506" s="55" t="str">
        <f>HYPERLINK("http://reports.ofsted.gov.uk/inspection-reports/find-inspection-report/provider/CARE/1267537","Ofsted Social Care Provider Webpage")</f>
        <v>Ofsted Social Care Provider Webpage</v>
      </c>
      <c r="B506" s="55">
        <v>1267537</v>
      </c>
      <c r="D506" s="55" t="s">
        <v>373</v>
      </c>
      <c r="E506" s="74">
        <v>43080</v>
      </c>
      <c r="F506" s="55" t="s">
        <v>344</v>
      </c>
      <c r="G506" s="55" t="s">
        <v>360</v>
      </c>
      <c r="H506" s="55" t="s">
        <v>360</v>
      </c>
      <c r="I506" s="55" t="s">
        <v>360</v>
      </c>
      <c r="J506" s="55" t="s">
        <v>360</v>
      </c>
      <c r="K506" s="55" t="s">
        <v>360</v>
      </c>
      <c r="L506" s="55" t="s">
        <v>360</v>
      </c>
      <c r="M506" s="55" t="s">
        <v>172</v>
      </c>
      <c r="N506" s="55" t="s">
        <v>172</v>
      </c>
      <c r="O506" s="55" t="s">
        <v>173</v>
      </c>
      <c r="P506" s="55" t="s">
        <v>860</v>
      </c>
      <c r="Q506" s="55" t="s">
        <v>350</v>
      </c>
      <c r="R506" s="85">
        <v>3</v>
      </c>
      <c r="S506" s="55">
        <v>0</v>
      </c>
      <c r="T506" s="74" t="s">
        <v>520</v>
      </c>
      <c r="U506" s="74" t="s">
        <v>351</v>
      </c>
      <c r="V506" s="74">
        <v>44525</v>
      </c>
      <c r="W506" s="74">
        <v>44566</v>
      </c>
      <c r="X506" s="55">
        <v>10186344</v>
      </c>
      <c r="Y506" s="55" t="s">
        <v>140</v>
      </c>
      <c r="AB506" s="74" t="s">
        <v>132</v>
      </c>
      <c r="AC506" s="55" t="s">
        <v>140</v>
      </c>
      <c r="AL506" s="74"/>
      <c r="AM506" s="74"/>
    </row>
    <row r="507" spans="1:50" ht="13" x14ac:dyDescent="0.15">
      <c r="A507" s="55" t="str">
        <f>HYPERLINK("http://reports.ofsted.gov.uk/inspection-reports/find-inspection-report/provider/CARE/1267650","Ofsted Social Care Provider Webpage")</f>
        <v>Ofsted Social Care Provider Webpage</v>
      </c>
      <c r="B507" s="55">
        <v>1267650</v>
      </c>
      <c r="D507" s="55" t="s">
        <v>373</v>
      </c>
      <c r="E507" s="74">
        <v>43108</v>
      </c>
      <c r="F507" s="55" t="s">
        <v>344</v>
      </c>
      <c r="G507" s="55" t="s">
        <v>360</v>
      </c>
      <c r="H507" s="55" t="s">
        <v>360</v>
      </c>
      <c r="I507" s="55" t="s">
        <v>360</v>
      </c>
      <c r="J507" s="55" t="s">
        <v>360</v>
      </c>
      <c r="K507" s="55" t="s">
        <v>360</v>
      </c>
      <c r="L507" s="55" t="s">
        <v>360</v>
      </c>
      <c r="M507" s="55" t="s">
        <v>378</v>
      </c>
      <c r="N507" s="55" t="s">
        <v>170</v>
      </c>
      <c r="O507" s="55" t="s">
        <v>233</v>
      </c>
      <c r="P507" s="55" t="s">
        <v>379</v>
      </c>
      <c r="Q507" s="55" t="s">
        <v>350</v>
      </c>
      <c r="R507" s="85">
        <v>3</v>
      </c>
      <c r="S507" s="55">
        <v>0</v>
      </c>
      <c r="T507" s="74" t="s">
        <v>1182</v>
      </c>
      <c r="U507" s="74" t="s">
        <v>351</v>
      </c>
      <c r="V507" s="74">
        <v>44621</v>
      </c>
      <c r="W507" s="74">
        <v>44658</v>
      </c>
      <c r="X507" s="55">
        <v>10187542</v>
      </c>
      <c r="Y507" s="55" t="s">
        <v>132</v>
      </c>
      <c r="AB507" s="74" t="s">
        <v>132</v>
      </c>
      <c r="AC507" s="55" t="s">
        <v>140</v>
      </c>
      <c r="AL507" s="74"/>
      <c r="AM507" s="74"/>
    </row>
    <row r="508" spans="1:50" ht="13" x14ac:dyDescent="0.15">
      <c r="A508" s="55" t="str">
        <f>HYPERLINK("http://reports.ofsted.gov.uk/inspection-reports/find-inspection-report/provider/CARE/1268518","Ofsted Social Care Provider Webpage")</f>
        <v>Ofsted Social Care Provider Webpage</v>
      </c>
      <c r="B508" s="55">
        <v>1268518</v>
      </c>
      <c r="D508" s="55" t="s">
        <v>373</v>
      </c>
      <c r="E508" s="74">
        <v>43069</v>
      </c>
      <c r="F508" s="55" t="s">
        <v>344</v>
      </c>
      <c r="G508" s="55" t="s">
        <v>360</v>
      </c>
      <c r="H508" s="55" t="s">
        <v>360</v>
      </c>
      <c r="I508" s="55" t="s">
        <v>360</v>
      </c>
      <c r="J508" s="55" t="s">
        <v>360</v>
      </c>
      <c r="K508" s="55" t="s">
        <v>360</v>
      </c>
      <c r="L508" s="55" t="s">
        <v>360</v>
      </c>
      <c r="M508" s="55" t="s">
        <v>136</v>
      </c>
      <c r="N508" s="55" t="s">
        <v>136</v>
      </c>
      <c r="O508" s="55" t="s">
        <v>239</v>
      </c>
      <c r="P508" s="55" t="s">
        <v>738</v>
      </c>
      <c r="Q508" s="55" t="s">
        <v>350</v>
      </c>
      <c r="R508" s="85">
        <v>2</v>
      </c>
      <c r="S508" s="55">
        <v>0</v>
      </c>
      <c r="T508" s="74" t="s">
        <v>739</v>
      </c>
      <c r="U508" s="74" t="s">
        <v>351</v>
      </c>
      <c r="V508" s="74">
        <v>44384</v>
      </c>
      <c r="W508" s="74">
        <v>44412</v>
      </c>
      <c r="X508" s="55">
        <v>10186369</v>
      </c>
      <c r="Y508" s="55" t="s">
        <v>132</v>
      </c>
      <c r="AB508" s="74" t="s">
        <v>140</v>
      </c>
      <c r="AC508" s="55" t="s">
        <v>132</v>
      </c>
      <c r="AL508" s="74"/>
      <c r="AM508" s="74"/>
    </row>
    <row r="509" spans="1:50" ht="13" x14ac:dyDescent="0.15">
      <c r="A509" s="55" t="str">
        <f>HYPERLINK("http://reports.ofsted.gov.uk/inspection-reports/find-inspection-report/provider/CARE/1268530","Ofsted Social Care Provider Webpage")</f>
        <v>Ofsted Social Care Provider Webpage</v>
      </c>
      <c r="B509" s="55">
        <v>1268530</v>
      </c>
      <c r="D509" s="55" t="s">
        <v>373</v>
      </c>
      <c r="E509" s="74">
        <v>43075</v>
      </c>
      <c r="F509" s="55" t="s">
        <v>344</v>
      </c>
      <c r="G509" s="55" t="s">
        <v>360</v>
      </c>
      <c r="H509" s="55" t="s">
        <v>360</v>
      </c>
      <c r="I509" s="55" t="s">
        <v>360</v>
      </c>
      <c r="J509" s="55" t="s">
        <v>360</v>
      </c>
      <c r="K509" s="55" t="s">
        <v>360</v>
      </c>
      <c r="L509" s="55" t="s">
        <v>360</v>
      </c>
      <c r="M509" s="55" t="s">
        <v>172</v>
      </c>
      <c r="N509" s="55" t="s">
        <v>172</v>
      </c>
      <c r="O509" s="55" t="s">
        <v>284</v>
      </c>
      <c r="P509" s="55" t="s">
        <v>986</v>
      </c>
      <c r="Q509" s="55" t="s">
        <v>350</v>
      </c>
      <c r="R509" s="85">
        <v>3</v>
      </c>
      <c r="S509" s="55">
        <v>0</v>
      </c>
      <c r="T509" s="74" t="s">
        <v>668</v>
      </c>
      <c r="U509" s="74" t="s">
        <v>2053</v>
      </c>
      <c r="V509" s="74">
        <v>44474</v>
      </c>
      <c r="W509" s="74">
        <v>44509</v>
      </c>
      <c r="X509" s="55">
        <v>10209157</v>
      </c>
      <c r="AL509" s="74"/>
      <c r="AM509" s="74"/>
    </row>
    <row r="510" spans="1:50" ht="13" x14ac:dyDescent="0.15">
      <c r="A510" s="55" t="str">
        <f>HYPERLINK("http://reports.ofsted.gov.uk/inspection-reports/find-inspection-report/provider/CARE/1268530","Ofsted Social Care Provider Webpage")</f>
        <v>Ofsted Social Care Provider Webpage</v>
      </c>
      <c r="B510" s="55">
        <v>1268530</v>
      </c>
      <c r="D510" s="55" t="s">
        <v>373</v>
      </c>
      <c r="E510" s="74">
        <v>43075</v>
      </c>
      <c r="F510" s="55" t="s">
        <v>344</v>
      </c>
      <c r="G510" s="55" t="s">
        <v>360</v>
      </c>
      <c r="H510" s="55" t="s">
        <v>360</v>
      </c>
      <c r="I510" s="55" t="s">
        <v>360</v>
      </c>
      <c r="J510" s="55" t="s">
        <v>360</v>
      </c>
      <c r="K510" s="55" t="s">
        <v>360</v>
      </c>
      <c r="L510" s="55" t="s">
        <v>360</v>
      </c>
      <c r="M510" s="55" t="s">
        <v>172</v>
      </c>
      <c r="N510" s="55" t="s">
        <v>172</v>
      </c>
      <c r="O510" s="55" t="s">
        <v>284</v>
      </c>
      <c r="P510" s="55" t="s">
        <v>986</v>
      </c>
      <c r="Q510" s="55" t="s">
        <v>350</v>
      </c>
      <c r="R510" s="85">
        <v>3</v>
      </c>
      <c r="S510" s="55">
        <v>0</v>
      </c>
      <c r="T510" s="74" t="s">
        <v>668</v>
      </c>
      <c r="U510" s="74" t="s">
        <v>351</v>
      </c>
      <c r="V510" s="74">
        <v>44432</v>
      </c>
      <c r="W510" s="74">
        <v>44470</v>
      </c>
      <c r="X510" s="55">
        <v>10186041</v>
      </c>
      <c r="Y510" s="55" t="s">
        <v>146</v>
      </c>
      <c r="AB510" s="74" t="s">
        <v>146</v>
      </c>
      <c r="AC510" s="55" t="s">
        <v>146</v>
      </c>
      <c r="AL510" s="74"/>
      <c r="AM510" s="74"/>
    </row>
    <row r="511" spans="1:50" ht="13" x14ac:dyDescent="0.15">
      <c r="A511" s="55" t="str">
        <f>HYPERLINK("http://reports.ofsted.gov.uk/inspection-reports/find-inspection-report/provider/CARE/1268530","Ofsted Social Care Provider Webpage")</f>
        <v>Ofsted Social Care Provider Webpage</v>
      </c>
      <c r="B511" s="55">
        <v>1268530</v>
      </c>
      <c r="D511" s="55" t="s">
        <v>373</v>
      </c>
      <c r="E511" s="74">
        <v>43075</v>
      </c>
      <c r="F511" s="55" t="s">
        <v>344</v>
      </c>
      <c r="G511" s="55" t="s">
        <v>360</v>
      </c>
      <c r="H511" s="55" t="s">
        <v>360</v>
      </c>
      <c r="I511" s="55" t="s">
        <v>360</v>
      </c>
      <c r="J511" s="55" t="s">
        <v>360</v>
      </c>
      <c r="K511" s="55" t="s">
        <v>360</v>
      </c>
      <c r="L511" s="55" t="s">
        <v>360</v>
      </c>
      <c r="M511" s="55" t="s">
        <v>172</v>
      </c>
      <c r="N511" s="55" t="s">
        <v>172</v>
      </c>
      <c r="O511" s="55" t="s">
        <v>284</v>
      </c>
      <c r="P511" s="55" t="s">
        <v>986</v>
      </c>
      <c r="Q511" s="55" t="s">
        <v>350</v>
      </c>
      <c r="R511" s="85">
        <v>3</v>
      </c>
      <c r="S511" s="55">
        <v>0</v>
      </c>
      <c r="T511" s="74" t="s">
        <v>668</v>
      </c>
      <c r="U511" s="74" t="s">
        <v>351</v>
      </c>
      <c r="V511" s="74">
        <v>44537</v>
      </c>
      <c r="W511" s="74">
        <v>44582</v>
      </c>
      <c r="X511" s="55">
        <v>10205925</v>
      </c>
      <c r="Y511" s="55" t="s">
        <v>130</v>
      </c>
      <c r="AB511" s="74" t="s">
        <v>130</v>
      </c>
      <c r="AC511" s="55" t="s">
        <v>130</v>
      </c>
      <c r="AL511" s="74"/>
      <c r="AM511" s="74"/>
    </row>
    <row r="512" spans="1:50" ht="13" x14ac:dyDescent="0.15">
      <c r="A512" s="55" t="str">
        <f>HYPERLINK("http://reports.ofsted.gov.uk/inspection-reports/find-inspection-report/provider/CARE/1268535","Ofsted Social Care Provider Webpage")</f>
        <v>Ofsted Social Care Provider Webpage</v>
      </c>
      <c r="B512" s="55">
        <v>1268535</v>
      </c>
      <c r="D512" s="55" t="s">
        <v>373</v>
      </c>
      <c r="E512" s="74">
        <v>43283</v>
      </c>
      <c r="F512" s="55" t="s">
        <v>344</v>
      </c>
      <c r="G512" s="55" t="s">
        <v>360</v>
      </c>
      <c r="H512" s="55" t="s">
        <v>360</v>
      </c>
      <c r="I512" s="55" t="s">
        <v>360</v>
      </c>
      <c r="J512" s="55" t="s">
        <v>360</v>
      </c>
      <c r="K512" s="55" t="s">
        <v>360</v>
      </c>
      <c r="L512" s="55" t="s">
        <v>360</v>
      </c>
      <c r="M512" s="55" t="s">
        <v>142</v>
      </c>
      <c r="N512" s="55" t="s">
        <v>142</v>
      </c>
      <c r="O512" s="55" t="s">
        <v>292</v>
      </c>
      <c r="P512" s="55" t="s">
        <v>1052</v>
      </c>
      <c r="Q512" s="55" t="s">
        <v>350</v>
      </c>
      <c r="R512" s="85">
        <v>3</v>
      </c>
      <c r="S512" s="55">
        <v>0</v>
      </c>
      <c r="T512" s="74" t="s">
        <v>1185</v>
      </c>
      <c r="U512" s="74" t="s">
        <v>351</v>
      </c>
      <c r="V512" s="74">
        <v>44446</v>
      </c>
      <c r="W512" s="74">
        <v>44487</v>
      </c>
      <c r="X512" s="55">
        <v>10186016</v>
      </c>
      <c r="Y512" s="55" t="s">
        <v>132</v>
      </c>
      <c r="AB512" s="74" t="s">
        <v>132</v>
      </c>
      <c r="AC512" s="55" t="s">
        <v>132</v>
      </c>
      <c r="AL512" s="74"/>
      <c r="AM512" s="74"/>
    </row>
    <row r="513" spans="1:50" ht="13" x14ac:dyDescent="0.15">
      <c r="A513" s="55" t="str">
        <f>HYPERLINK("http://reports.ofsted.gov.uk/inspection-reports/find-inspection-report/provider/CARE/1268886","Ofsted Social Care Provider Webpage")</f>
        <v>Ofsted Social Care Provider Webpage</v>
      </c>
      <c r="B513" s="55">
        <v>1268886</v>
      </c>
      <c r="D513" s="55" t="s">
        <v>373</v>
      </c>
      <c r="E513" s="74">
        <v>43243</v>
      </c>
      <c r="F513" s="55" t="s">
        <v>344</v>
      </c>
      <c r="G513" s="55" t="s">
        <v>360</v>
      </c>
      <c r="H513" s="55" t="s">
        <v>360</v>
      </c>
      <c r="I513" s="55" t="s">
        <v>360</v>
      </c>
      <c r="J513" s="55" t="s">
        <v>360</v>
      </c>
      <c r="K513" s="55" t="s">
        <v>360</v>
      </c>
      <c r="L513" s="55" t="s">
        <v>360</v>
      </c>
      <c r="M513" s="55" t="s">
        <v>129</v>
      </c>
      <c r="N513" s="55" t="s">
        <v>129</v>
      </c>
      <c r="O513" s="55" t="s">
        <v>242</v>
      </c>
      <c r="P513" s="55" t="s">
        <v>1192</v>
      </c>
      <c r="Q513" s="55" t="s">
        <v>350</v>
      </c>
      <c r="R513" s="85">
        <v>6</v>
      </c>
      <c r="S513" s="55">
        <v>0</v>
      </c>
      <c r="T513" s="74" t="s">
        <v>1193</v>
      </c>
      <c r="U513" s="74" t="s">
        <v>351</v>
      </c>
      <c r="V513" s="74">
        <v>44587</v>
      </c>
      <c r="W513" s="74">
        <v>44622</v>
      </c>
      <c r="X513" s="55">
        <v>10187595</v>
      </c>
      <c r="Y513" s="55" t="s">
        <v>132</v>
      </c>
      <c r="AB513" s="74" t="s">
        <v>130</v>
      </c>
      <c r="AC513" s="55" t="s">
        <v>132</v>
      </c>
      <c r="AL513" s="74"/>
      <c r="AM513" s="74"/>
      <c r="AW513" s="74"/>
      <c r="AX513" s="74"/>
    </row>
    <row r="514" spans="1:50" ht="13" x14ac:dyDescent="0.15">
      <c r="A514" s="55" t="str">
        <f>HYPERLINK("http://reports.ofsted.gov.uk/inspection-reports/find-inspection-report/provider/CARE/1269072","Ofsted Social Care Provider Webpage")</f>
        <v>Ofsted Social Care Provider Webpage</v>
      </c>
      <c r="B514" s="55">
        <v>1269072</v>
      </c>
      <c r="D514" s="55" t="s">
        <v>373</v>
      </c>
      <c r="E514" s="74">
        <v>43105</v>
      </c>
      <c r="F514" s="55" t="s">
        <v>344</v>
      </c>
      <c r="G514" s="55" t="s">
        <v>360</v>
      </c>
      <c r="H514" s="55" t="s">
        <v>360</v>
      </c>
      <c r="I514" s="55" t="s">
        <v>360</v>
      </c>
      <c r="J514" s="55" t="s">
        <v>360</v>
      </c>
      <c r="K514" s="55" t="s">
        <v>360</v>
      </c>
      <c r="L514" s="55" t="s">
        <v>360</v>
      </c>
      <c r="M514" s="55" t="s">
        <v>142</v>
      </c>
      <c r="N514" s="55" t="s">
        <v>142</v>
      </c>
      <c r="O514" s="55" t="s">
        <v>293</v>
      </c>
      <c r="P514" s="55" t="s">
        <v>1136</v>
      </c>
      <c r="Q514" s="55" t="s">
        <v>350</v>
      </c>
      <c r="R514" s="85">
        <v>3</v>
      </c>
      <c r="S514" s="55">
        <v>0</v>
      </c>
      <c r="T514" s="74" t="s">
        <v>768</v>
      </c>
      <c r="U514" s="74" t="s">
        <v>351</v>
      </c>
      <c r="V514" s="74">
        <v>44418</v>
      </c>
      <c r="W514" s="74">
        <v>44461</v>
      </c>
      <c r="X514" s="55">
        <v>10185578</v>
      </c>
      <c r="Y514" s="55" t="s">
        <v>132</v>
      </c>
      <c r="AB514" s="74" t="s">
        <v>132</v>
      </c>
      <c r="AC514" s="55" t="s">
        <v>130</v>
      </c>
      <c r="AL514" s="74"/>
      <c r="AM514" s="74"/>
      <c r="AW514" s="74"/>
      <c r="AX514" s="74"/>
    </row>
    <row r="515" spans="1:50" ht="13" x14ac:dyDescent="0.15">
      <c r="A515" s="55" t="str">
        <f>HYPERLINK("http://reports.ofsted.gov.uk/inspection-reports/find-inspection-report/provider/CARE/1269215","Ofsted Social Care Provider Webpage")</f>
        <v>Ofsted Social Care Provider Webpage</v>
      </c>
      <c r="B515" s="55">
        <v>1269215</v>
      </c>
      <c r="D515" s="55" t="s">
        <v>373</v>
      </c>
      <c r="E515" s="74">
        <v>43133</v>
      </c>
      <c r="F515" s="55" t="s">
        <v>344</v>
      </c>
      <c r="G515" s="55" t="s">
        <v>360</v>
      </c>
      <c r="H515" s="55" t="s">
        <v>360</v>
      </c>
      <c r="I515" s="55" t="s">
        <v>360</v>
      </c>
      <c r="J515" s="55" t="s">
        <v>360</v>
      </c>
      <c r="K515" s="55" t="s">
        <v>360</v>
      </c>
      <c r="L515" s="55" t="s">
        <v>360</v>
      </c>
      <c r="M515" s="55" t="s">
        <v>144</v>
      </c>
      <c r="N515" s="55" t="s">
        <v>144</v>
      </c>
      <c r="O515" s="55" t="s">
        <v>168</v>
      </c>
      <c r="P515" s="55" t="s">
        <v>834</v>
      </c>
      <c r="Q515" s="55" t="s">
        <v>350</v>
      </c>
      <c r="R515" s="85">
        <v>3</v>
      </c>
      <c r="S515" s="55">
        <v>0</v>
      </c>
      <c r="T515" s="74" t="s">
        <v>493</v>
      </c>
      <c r="U515" s="74" t="s">
        <v>351</v>
      </c>
      <c r="V515" s="74">
        <v>44342</v>
      </c>
      <c r="W515" s="74">
        <v>44383</v>
      </c>
      <c r="X515" s="55">
        <v>10186215</v>
      </c>
      <c r="Y515" s="55" t="s">
        <v>132</v>
      </c>
      <c r="AB515" s="74" t="s">
        <v>132</v>
      </c>
      <c r="AC515" s="55" t="s">
        <v>130</v>
      </c>
      <c r="AL515" s="74"/>
      <c r="AM515" s="74"/>
    </row>
    <row r="516" spans="1:50" ht="13" x14ac:dyDescent="0.15">
      <c r="A516" s="55" t="str">
        <f>HYPERLINK("http://reports.ofsted.gov.uk/inspection-reports/find-inspection-report/provider/CARE/1269421","Ofsted Social Care Provider Webpage")</f>
        <v>Ofsted Social Care Provider Webpage</v>
      </c>
      <c r="B516" s="55">
        <v>1269421</v>
      </c>
      <c r="D516" s="55" t="s">
        <v>373</v>
      </c>
      <c r="E516" s="74">
        <v>43123</v>
      </c>
      <c r="F516" s="55" t="s">
        <v>344</v>
      </c>
      <c r="G516" s="55" t="s">
        <v>360</v>
      </c>
      <c r="H516" s="55" t="s">
        <v>360</v>
      </c>
      <c r="I516" s="55" t="s">
        <v>360</v>
      </c>
      <c r="J516" s="55" t="s">
        <v>360</v>
      </c>
      <c r="K516" s="55" t="s">
        <v>360</v>
      </c>
      <c r="L516" s="55" t="s">
        <v>360</v>
      </c>
      <c r="M516" s="55" t="s">
        <v>172</v>
      </c>
      <c r="N516" s="55" t="s">
        <v>172</v>
      </c>
      <c r="O516" s="55" t="s">
        <v>173</v>
      </c>
      <c r="P516" s="55" t="s">
        <v>1198</v>
      </c>
      <c r="Q516" s="55" t="s">
        <v>350</v>
      </c>
      <c r="R516" s="85">
        <v>3</v>
      </c>
      <c r="S516" s="55">
        <v>0</v>
      </c>
      <c r="T516" s="74" t="s">
        <v>450</v>
      </c>
      <c r="U516" s="74" t="s">
        <v>351</v>
      </c>
      <c r="V516" s="74">
        <v>44565</v>
      </c>
      <c r="W516" s="74">
        <v>44593</v>
      </c>
      <c r="X516" s="55">
        <v>10186623</v>
      </c>
      <c r="Y516" s="55" t="s">
        <v>132</v>
      </c>
      <c r="AB516" s="74" t="s">
        <v>132</v>
      </c>
      <c r="AC516" s="55" t="s">
        <v>132</v>
      </c>
      <c r="AL516" s="74"/>
      <c r="AM516" s="74"/>
    </row>
    <row r="517" spans="1:50" ht="13" x14ac:dyDescent="0.15">
      <c r="A517" s="55" t="str">
        <f>HYPERLINK("http://reports.ofsted.gov.uk/inspection-reports/find-inspection-report/provider/CARE/1269505","Ofsted Social Care Provider Webpage")</f>
        <v>Ofsted Social Care Provider Webpage</v>
      </c>
      <c r="B517" s="55">
        <v>1269505</v>
      </c>
      <c r="D517" s="55" t="s">
        <v>373</v>
      </c>
      <c r="E517" s="74">
        <v>43151</v>
      </c>
      <c r="F517" s="55" t="s">
        <v>344</v>
      </c>
      <c r="G517" s="55" t="s">
        <v>360</v>
      </c>
      <c r="H517" s="55" t="s">
        <v>360</v>
      </c>
      <c r="I517" s="55" t="s">
        <v>360</v>
      </c>
      <c r="J517" s="55" t="s">
        <v>360</v>
      </c>
      <c r="K517" s="55" t="s">
        <v>360</v>
      </c>
      <c r="L517" s="55" t="s">
        <v>360</v>
      </c>
      <c r="M517" s="55" t="s">
        <v>138</v>
      </c>
      <c r="N517" s="55" t="s">
        <v>138</v>
      </c>
      <c r="O517" s="55" t="s">
        <v>161</v>
      </c>
      <c r="P517" s="55" t="s">
        <v>761</v>
      </c>
      <c r="Q517" s="55" t="s">
        <v>350</v>
      </c>
      <c r="R517" s="85">
        <v>4</v>
      </c>
      <c r="S517" s="55">
        <v>0</v>
      </c>
      <c r="T517" s="74" t="s">
        <v>762</v>
      </c>
      <c r="U517" s="74" t="s">
        <v>351</v>
      </c>
      <c r="V517" s="74">
        <v>44601</v>
      </c>
      <c r="W517" s="74">
        <v>44643</v>
      </c>
      <c r="X517" s="55">
        <v>10185432</v>
      </c>
      <c r="Y517" s="55" t="s">
        <v>132</v>
      </c>
      <c r="AB517" s="74" t="s">
        <v>132</v>
      </c>
      <c r="AC517" s="55" t="s">
        <v>132</v>
      </c>
      <c r="AL517" s="74"/>
      <c r="AM517" s="74"/>
      <c r="AW517" s="74"/>
      <c r="AX517" s="74"/>
    </row>
    <row r="518" spans="1:50" ht="13" x14ac:dyDescent="0.15">
      <c r="A518" s="55" t="str">
        <f>HYPERLINK("http://reports.ofsted.gov.uk/inspection-reports/find-inspection-report/provider/CARE/1269565","Ofsted Social Care Provider Webpage")</f>
        <v>Ofsted Social Care Provider Webpage</v>
      </c>
      <c r="B518" s="55">
        <v>1269565</v>
      </c>
      <c r="D518" s="55" t="s">
        <v>373</v>
      </c>
      <c r="E518" s="74">
        <v>43124</v>
      </c>
      <c r="F518" s="55" t="s">
        <v>344</v>
      </c>
      <c r="G518" s="55" t="s">
        <v>360</v>
      </c>
      <c r="H518" s="55" t="s">
        <v>360</v>
      </c>
      <c r="I518" s="55" t="s">
        <v>360</v>
      </c>
      <c r="J518" s="55" t="s">
        <v>360</v>
      </c>
      <c r="K518" s="55" t="s">
        <v>360</v>
      </c>
      <c r="L518" s="55" t="s">
        <v>360</v>
      </c>
      <c r="M518" s="55" t="s">
        <v>129</v>
      </c>
      <c r="N518" s="55" t="s">
        <v>129</v>
      </c>
      <c r="O518" s="55" t="s">
        <v>189</v>
      </c>
      <c r="P518" s="55" t="s">
        <v>1199</v>
      </c>
      <c r="Q518" s="55" t="s">
        <v>362</v>
      </c>
      <c r="R518" s="85">
        <v>4</v>
      </c>
      <c r="S518" s="55">
        <v>0</v>
      </c>
      <c r="T518" s="74" t="s">
        <v>1200</v>
      </c>
      <c r="U518" s="74" t="s">
        <v>2053</v>
      </c>
      <c r="V518" s="74">
        <v>44342</v>
      </c>
      <c r="W518" s="74">
        <v>44377</v>
      </c>
      <c r="X518" s="55">
        <v>10196670</v>
      </c>
      <c r="AL518" s="74"/>
      <c r="AM518" s="74"/>
      <c r="AW518" s="74"/>
      <c r="AX518" s="74"/>
    </row>
    <row r="519" spans="1:50" ht="13" x14ac:dyDescent="0.15">
      <c r="A519" s="55" t="str">
        <f>HYPERLINK("http://reports.ofsted.gov.uk/inspection-reports/find-inspection-report/provider/CARE/1269565","Ofsted Social Care Provider Webpage")</f>
        <v>Ofsted Social Care Provider Webpage</v>
      </c>
      <c r="B519" s="55">
        <v>1269565</v>
      </c>
      <c r="D519" s="55" t="s">
        <v>373</v>
      </c>
      <c r="E519" s="74">
        <v>43124</v>
      </c>
      <c r="F519" s="55" t="s">
        <v>344</v>
      </c>
      <c r="G519" s="55" t="s">
        <v>360</v>
      </c>
      <c r="H519" s="55" t="s">
        <v>360</v>
      </c>
      <c r="I519" s="55" t="s">
        <v>360</v>
      </c>
      <c r="J519" s="55" t="s">
        <v>360</v>
      </c>
      <c r="K519" s="55" t="s">
        <v>360</v>
      </c>
      <c r="L519" s="55" t="s">
        <v>360</v>
      </c>
      <c r="M519" s="55" t="s">
        <v>129</v>
      </c>
      <c r="N519" s="55" t="s">
        <v>129</v>
      </c>
      <c r="O519" s="55" t="s">
        <v>189</v>
      </c>
      <c r="P519" s="55" t="s">
        <v>1199</v>
      </c>
      <c r="Q519" s="55" t="s">
        <v>362</v>
      </c>
      <c r="R519" s="85">
        <v>4</v>
      </c>
      <c r="S519" s="55">
        <v>0</v>
      </c>
      <c r="T519" s="74" t="s">
        <v>1200</v>
      </c>
      <c r="U519" s="74" t="s">
        <v>351</v>
      </c>
      <c r="V519" s="74">
        <v>44431</v>
      </c>
      <c r="W519" s="74">
        <v>44468</v>
      </c>
      <c r="X519" s="55">
        <v>10186780</v>
      </c>
      <c r="Y519" s="55" t="s">
        <v>132</v>
      </c>
      <c r="AB519" s="74" t="s">
        <v>132</v>
      </c>
      <c r="AC519" s="55" t="s">
        <v>130</v>
      </c>
      <c r="AL519" s="74"/>
      <c r="AM519" s="74"/>
      <c r="AW519" s="74"/>
      <c r="AX519" s="74"/>
    </row>
    <row r="520" spans="1:50" ht="13" x14ac:dyDescent="0.15">
      <c r="A520" s="55" t="str">
        <f>HYPERLINK("http://reports.ofsted.gov.uk/inspection-reports/find-inspection-report/provider/CARE/1269966","Ofsted Social Care Provider Webpage")</f>
        <v>Ofsted Social Care Provider Webpage</v>
      </c>
      <c r="B520" s="55">
        <v>1269966</v>
      </c>
      <c r="D520" s="55" t="s">
        <v>373</v>
      </c>
      <c r="E520" s="74">
        <v>43147</v>
      </c>
      <c r="F520" s="55" t="s">
        <v>344</v>
      </c>
      <c r="G520" s="55" t="s">
        <v>360</v>
      </c>
      <c r="H520" s="55" t="s">
        <v>360</v>
      </c>
      <c r="I520" s="55" t="s">
        <v>360</v>
      </c>
      <c r="J520" s="55" t="s">
        <v>360</v>
      </c>
      <c r="K520" s="55" t="s">
        <v>360</v>
      </c>
      <c r="L520" s="55" t="s">
        <v>360</v>
      </c>
      <c r="M520" s="55" t="s">
        <v>129</v>
      </c>
      <c r="N520" s="55" t="s">
        <v>129</v>
      </c>
      <c r="O520" s="55" t="s">
        <v>128</v>
      </c>
      <c r="P520" s="55" t="s">
        <v>1201</v>
      </c>
      <c r="Q520" s="55" t="s">
        <v>350</v>
      </c>
      <c r="R520" s="85">
        <v>5</v>
      </c>
      <c r="S520" s="55">
        <v>0</v>
      </c>
      <c r="T520" s="74" t="s">
        <v>1202</v>
      </c>
      <c r="U520" s="74" t="s">
        <v>351</v>
      </c>
      <c r="V520" s="74">
        <v>44488</v>
      </c>
      <c r="W520" s="74">
        <v>44525</v>
      </c>
      <c r="X520" s="55">
        <v>10185888</v>
      </c>
      <c r="Y520" s="55" t="s">
        <v>132</v>
      </c>
      <c r="AB520" s="74" t="s">
        <v>132</v>
      </c>
      <c r="AC520" s="55" t="s">
        <v>132</v>
      </c>
      <c r="AL520" s="74"/>
      <c r="AM520" s="74"/>
      <c r="AW520" s="74"/>
      <c r="AX520" s="74"/>
    </row>
    <row r="521" spans="1:50" ht="13" x14ac:dyDescent="0.15">
      <c r="A521" s="55" t="str">
        <f>HYPERLINK("http://reports.ofsted.gov.uk/inspection-reports/find-inspection-report/provider/CARE/1270002","Ofsted Social Care Provider Webpage")</f>
        <v>Ofsted Social Care Provider Webpage</v>
      </c>
      <c r="B521" s="55">
        <v>1270002</v>
      </c>
      <c r="D521" s="55" t="s">
        <v>373</v>
      </c>
      <c r="E521" s="74">
        <v>43242</v>
      </c>
      <c r="F521" s="55" t="s">
        <v>344</v>
      </c>
      <c r="G521" s="55" t="s">
        <v>360</v>
      </c>
      <c r="H521" s="55" t="s">
        <v>360</v>
      </c>
      <c r="I521" s="55" t="s">
        <v>360</v>
      </c>
      <c r="J521" s="55" t="s">
        <v>360</v>
      </c>
      <c r="K521" s="55" t="s">
        <v>360</v>
      </c>
      <c r="L521" s="55" t="s">
        <v>360</v>
      </c>
      <c r="M521" s="55" t="s">
        <v>144</v>
      </c>
      <c r="N521" s="55" t="s">
        <v>144</v>
      </c>
      <c r="O521" s="55" t="s">
        <v>215</v>
      </c>
      <c r="P521" s="55" t="s">
        <v>1203</v>
      </c>
      <c r="Q521" s="55" t="s">
        <v>350</v>
      </c>
      <c r="R521" s="85">
        <v>2</v>
      </c>
      <c r="S521" s="55">
        <v>0</v>
      </c>
      <c r="T521" s="74" t="s">
        <v>1204</v>
      </c>
      <c r="U521" s="74" t="s">
        <v>351</v>
      </c>
      <c r="V521" s="74">
        <v>44572</v>
      </c>
      <c r="W521" s="74">
        <v>44624</v>
      </c>
      <c r="X521" s="55">
        <v>10185830</v>
      </c>
      <c r="Y521" s="55" t="s">
        <v>132</v>
      </c>
      <c r="AB521" s="74" t="s">
        <v>132</v>
      </c>
      <c r="AC521" s="55" t="s">
        <v>132</v>
      </c>
      <c r="AL521" s="74"/>
      <c r="AM521" s="74"/>
      <c r="AW521" s="74"/>
      <c r="AX521" s="74"/>
    </row>
    <row r="522" spans="1:50" ht="13" x14ac:dyDescent="0.15">
      <c r="A522" s="55" t="str">
        <f>HYPERLINK("http://reports.ofsted.gov.uk/inspection-reports/find-inspection-report/provider/CARE/1270297","Ofsted Social Care Provider Webpage")</f>
        <v>Ofsted Social Care Provider Webpage</v>
      </c>
      <c r="B522" s="55">
        <v>1270297</v>
      </c>
      <c r="D522" s="55" t="s">
        <v>373</v>
      </c>
      <c r="E522" s="74">
        <v>43063</v>
      </c>
      <c r="F522" s="55" t="s">
        <v>344</v>
      </c>
      <c r="G522" s="55" t="s">
        <v>360</v>
      </c>
      <c r="H522" s="55" t="s">
        <v>360</v>
      </c>
      <c r="I522" s="55" t="s">
        <v>360</v>
      </c>
      <c r="J522" s="55" t="s">
        <v>360</v>
      </c>
      <c r="K522" s="55" t="s">
        <v>360</v>
      </c>
      <c r="L522" s="55" t="s">
        <v>360</v>
      </c>
      <c r="M522" s="55" t="s">
        <v>144</v>
      </c>
      <c r="N522" s="55" t="s">
        <v>144</v>
      </c>
      <c r="O522" s="55" t="s">
        <v>157</v>
      </c>
      <c r="P522" s="55" t="s">
        <v>1092</v>
      </c>
      <c r="Q522" s="55" t="s">
        <v>350</v>
      </c>
      <c r="R522" s="85">
        <v>3</v>
      </c>
      <c r="S522" s="55">
        <v>0</v>
      </c>
      <c r="T522" s="74" t="s">
        <v>490</v>
      </c>
      <c r="U522" s="74" t="s">
        <v>351</v>
      </c>
      <c r="V522" s="74">
        <v>44327</v>
      </c>
      <c r="W522" s="74">
        <v>44354</v>
      </c>
      <c r="X522" s="55">
        <v>10186738</v>
      </c>
      <c r="Y522" s="55" t="s">
        <v>132</v>
      </c>
      <c r="AB522" s="74" t="s">
        <v>132</v>
      </c>
      <c r="AC522" s="55" t="s">
        <v>132</v>
      </c>
      <c r="AL522" s="74"/>
      <c r="AM522" s="74"/>
      <c r="AW522" s="74"/>
      <c r="AX522" s="74"/>
    </row>
    <row r="523" spans="1:50" ht="13" x14ac:dyDescent="0.15">
      <c r="A523" s="55" t="str">
        <f>HYPERLINK("http://reports.ofsted.gov.uk/inspection-reports/find-inspection-report/provider/CARE/1270298","Ofsted Social Care Provider Webpage")</f>
        <v>Ofsted Social Care Provider Webpage</v>
      </c>
      <c r="B523" s="55">
        <v>1270298</v>
      </c>
      <c r="D523" s="55" t="s">
        <v>373</v>
      </c>
      <c r="E523" s="74">
        <v>43242</v>
      </c>
      <c r="F523" s="55" t="s">
        <v>344</v>
      </c>
      <c r="G523" s="55" t="s">
        <v>360</v>
      </c>
      <c r="H523" s="55" t="s">
        <v>360</v>
      </c>
      <c r="I523" s="55" t="s">
        <v>360</v>
      </c>
      <c r="J523" s="55" t="s">
        <v>360</v>
      </c>
      <c r="K523" s="55" t="s">
        <v>360</v>
      </c>
      <c r="L523" s="55" t="s">
        <v>360</v>
      </c>
      <c r="M523" s="55" t="s">
        <v>142</v>
      </c>
      <c r="N523" s="55" t="s">
        <v>142</v>
      </c>
      <c r="O523" s="55" t="s">
        <v>262</v>
      </c>
      <c r="P523" s="55" t="s">
        <v>692</v>
      </c>
      <c r="Q523" s="55" t="s">
        <v>350</v>
      </c>
      <c r="R523" s="85">
        <v>4</v>
      </c>
      <c r="S523" s="55">
        <v>0</v>
      </c>
      <c r="T523" s="74" t="s">
        <v>1205</v>
      </c>
      <c r="U523" s="74" t="s">
        <v>351</v>
      </c>
      <c r="V523" s="74">
        <v>44397</v>
      </c>
      <c r="W523" s="74">
        <v>44435</v>
      </c>
      <c r="X523" s="55">
        <v>10186487</v>
      </c>
      <c r="Y523" s="55" t="s">
        <v>140</v>
      </c>
      <c r="AB523" s="74" t="s">
        <v>140</v>
      </c>
      <c r="AC523" s="55" t="s">
        <v>140</v>
      </c>
      <c r="AL523" s="74"/>
      <c r="AM523" s="74"/>
      <c r="AW523" s="74"/>
      <c r="AX523" s="74"/>
    </row>
    <row r="524" spans="1:50" ht="13" x14ac:dyDescent="0.15">
      <c r="A524" s="55" t="str">
        <f>HYPERLINK("http://reports.ofsted.gov.uk/inspection-reports/find-inspection-report/provider/CARE/1270301","Ofsted Social Care Provider Webpage")</f>
        <v>Ofsted Social Care Provider Webpage</v>
      </c>
      <c r="B524" s="55">
        <v>1270301</v>
      </c>
      <c r="D524" s="55" t="s">
        <v>373</v>
      </c>
      <c r="E524" s="74">
        <v>43139</v>
      </c>
      <c r="F524" s="55" t="s">
        <v>344</v>
      </c>
      <c r="G524" s="55" t="s">
        <v>360</v>
      </c>
      <c r="H524" s="55" t="s">
        <v>360</v>
      </c>
      <c r="I524" s="55" t="s">
        <v>360</v>
      </c>
      <c r="J524" s="55" t="s">
        <v>360</v>
      </c>
      <c r="K524" s="55" t="s">
        <v>360</v>
      </c>
      <c r="L524" s="55" t="s">
        <v>360</v>
      </c>
      <c r="M524" s="55" t="s">
        <v>144</v>
      </c>
      <c r="N524" s="55" t="s">
        <v>144</v>
      </c>
      <c r="O524" s="55" t="s">
        <v>209</v>
      </c>
      <c r="P524" s="55" t="s">
        <v>544</v>
      </c>
      <c r="Q524" s="55" t="s">
        <v>350</v>
      </c>
      <c r="R524" s="85">
        <v>3</v>
      </c>
      <c r="S524" s="55">
        <v>0</v>
      </c>
      <c r="T524" s="74" t="s">
        <v>816</v>
      </c>
      <c r="U524" s="74" t="s">
        <v>351</v>
      </c>
      <c r="V524" s="74">
        <v>44474</v>
      </c>
      <c r="W524" s="74">
        <v>44503</v>
      </c>
      <c r="X524" s="55">
        <v>10186930</v>
      </c>
      <c r="Y524" s="55" t="s">
        <v>132</v>
      </c>
      <c r="AB524" s="74" t="s">
        <v>132</v>
      </c>
      <c r="AC524" s="55" t="s">
        <v>132</v>
      </c>
      <c r="AL524" s="74"/>
      <c r="AM524" s="74"/>
    </row>
    <row r="525" spans="1:50" ht="13" x14ac:dyDescent="0.15">
      <c r="A525" s="55" t="str">
        <f>HYPERLINK("http://reports.ofsted.gov.uk/inspection-reports/find-inspection-report/provider/CARE/1270393","Ofsted Social Care Provider Webpage")</f>
        <v>Ofsted Social Care Provider Webpage</v>
      </c>
      <c r="B525" s="55">
        <v>1270393</v>
      </c>
      <c r="D525" s="55" t="s">
        <v>373</v>
      </c>
      <c r="E525" s="74">
        <v>43169</v>
      </c>
      <c r="F525" s="55" t="s">
        <v>344</v>
      </c>
      <c r="G525" s="55" t="s">
        <v>360</v>
      </c>
      <c r="H525" s="55" t="s">
        <v>360</v>
      </c>
      <c r="I525" s="55" t="s">
        <v>360</v>
      </c>
      <c r="J525" s="55" t="s">
        <v>360</v>
      </c>
      <c r="K525" s="55" t="s">
        <v>360</v>
      </c>
      <c r="L525" s="55" t="s">
        <v>360</v>
      </c>
      <c r="M525" s="55" t="s">
        <v>378</v>
      </c>
      <c r="N525" s="55" t="s">
        <v>134</v>
      </c>
      <c r="O525" s="55" t="s">
        <v>246</v>
      </c>
      <c r="P525" s="55" t="s">
        <v>1104</v>
      </c>
      <c r="Q525" s="55" t="s">
        <v>350</v>
      </c>
      <c r="R525" s="85">
        <v>3</v>
      </c>
      <c r="S525" s="55">
        <v>0</v>
      </c>
      <c r="T525" s="74" t="s">
        <v>758</v>
      </c>
      <c r="U525" s="74" t="s">
        <v>351</v>
      </c>
      <c r="V525" s="74">
        <v>44467</v>
      </c>
      <c r="W525" s="74">
        <v>44497</v>
      </c>
      <c r="X525" s="55">
        <v>10187178</v>
      </c>
      <c r="Y525" s="55" t="s">
        <v>132</v>
      </c>
      <c r="AB525" s="74" t="s">
        <v>132</v>
      </c>
      <c r="AC525" s="55" t="s">
        <v>132</v>
      </c>
      <c r="AL525" s="74"/>
      <c r="AM525" s="74"/>
    </row>
    <row r="526" spans="1:50" ht="13" x14ac:dyDescent="0.15">
      <c r="A526" s="55" t="str">
        <f>HYPERLINK("http://reports.ofsted.gov.uk/inspection-reports/find-inspection-report/provider/CARE/1270568","Ofsted Social Care Provider Webpage")</f>
        <v>Ofsted Social Care Provider Webpage</v>
      </c>
      <c r="B526" s="55">
        <v>1270568</v>
      </c>
      <c r="D526" s="55" t="s">
        <v>373</v>
      </c>
      <c r="E526" s="74">
        <v>43237</v>
      </c>
      <c r="F526" s="55" t="s">
        <v>344</v>
      </c>
      <c r="G526" s="55" t="s">
        <v>360</v>
      </c>
      <c r="H526" s="55" t="s">
        <v>360</v>
      </c>
      <c r="I526" s="55" t="s">
        <v>360</v>
      </c>
      <c r="J526" s="55" t="s">
        <v>360</v>
      </c>
      <c r="K526" s="55" t="s">
        <v>360</v>
      </c>
      <c r="L526" s="55" t="s">
        <v>360</v>
      </c>
      <c r="M526" s="55" t="s">
        <v>378</v>
      </c>
      <c r="N526" s="55" t="s">
        <v>134</v>
      </c>
      <c r="O526" s="55" t="s">
        <v>277</v>
      </c>
      <c r="P526" s="55" t="s">
        <v>277</v>
      </c>
      <c r="Q526" s="55" t="s">
        <v>350</v>
      </c>
      <c r="R526" s="85">
        <v>4</v>
      </c>
      <c r="S526" s="55">
        <v>0</v>
      </c>
      <c r="T526" s="74" t="s">
        <v>1206</v>
      </c>
      <c r="U526" s="74" t="s">
        <v>351</v>
      </c>
      <c r="V526" s="74">
        <v>44594</v>
      </c>
      <c r="W526" s="74">
        <v>44638</v>
      </c>
      <c r="X526" s="55">
        <v>10185538</v>
      </c>
      <c r="Y526" s="55" t="s">
        <v>132</v>
      </c>
      <c r="AB526" s="74" t="s">
        <v>132</v>
      </c>
      <c r="AC526" s="55" t="s">
        <v>132</v>
      </c>
      <c r="AL526" s="74"/>
      <c r="AM526" s="74"/>
      <c r="AW526" s="74"/>
      <c r="AX526" s="74"/>
    </row>
    <row r="527" spans="1:50" ht="13" x14ac:dyDescent="0.15">
      <c r="A527" s="55" t="str">
        <f>HYPERLINK("http://reports.ofsted.gov.uk/inspection-reports/find-inspection-report/provider/CARE/1270731","Ofsted Social Care Provider Webpage")</f>
        <v>Ofsted Social Care Provider Webpage</v>
      </c>
      <c r="B527" s="55">
        <v>1270731</v>
      </c>
      <c r="D527" s="55" t="s">
        <v>373</v>
      </c>
      <c r="E527" s="74">
        <v>43200</v>
      </c>
      <c r="F527" s="55" t="s">
        <v>344</v>
      </c>
      <c r="G527" s="55" t="s">
        <v>360</v>
      </c>
      <c r="H527" s="55" t="s">
        <v>360</v>
      </c>
      <c r="I527" s="55" t="s">
        <v>360</v>
      </c>
      <c r="J527" s="55" t="s">
        <v>360</v>
      </c>
      <c r="K527" s="55" t="s">
        <v>360</v>
      </c>
      <c r="L527" s="55" t="s">
        <v>360</v>
      </c>
      <c r="M527" s="55" t="s">
        <v>144</v>
      </c>
      <c r="N527" s="55" t="s">
        <v>144</v>
      </c>
      <c r="O527" s="55" t="s">
        <v>215</v>
      </c>
      <c r="P527" s="55" t="s">
        <v>1207</v>
      </c>
      <c r="Q527" s="55" t="s">
        <v>350</v>
      </c>
      <c r="R527" s="85">
        <v>3</v>
      </c>
      <c r="S527" s="55">
        <v>0</v>
      </c>
      <c r="T527" s="74" t="s">
        <v>1208</v>
      </c>
      <c r="U527" s="74" t="s">
        <v>351</v>
      </c>
      <c r="V527" s="74">
        <v>44321</v>
      </c>
      <c r="W527" s="74">
        <v>44362</v>
      </c>
      <c r="X527" s="55">
        <v>10185757</v>
      </c>
      <c r="Y527" s="55" t="s">
        <v>132</v>
      </c>
      <c r="AB527" s="74" t="s">
        <v>132</v>
      </c>
      <c r="AC527" s="55" t="s">
        <v>132</v>
      </c>
      <c r="AL527" s="74"/>
      <c r="AM527" s="74"/>
      <c r="AW527" s="74"/>
      <c r="AX527" s="74"/>
    </row>
    <row r="528" spans="1:50" ht="13" x14ac:dyDescent="0.15">
      <c r="A528" s="55" t="str">
        <f>HYPERLINK("http://reports.ofsted.gov.uk/inspection-reports/find-inspection-report/provider/CARE/1270744","Ofsted Social Care Provider Webpage")</f>
        <v>Ofsted Social Care Provider Webpage</v>
      </c>
      <c r="B528" s="55">
        <v>1270744</v>
      </c>
      <c r="D528" s="55" t="s">
        <v>373</v>
      </c>
      <c r="E528" s="74">
        <v>43153</v>
      </c>
      <c r="F528" s="55" t="s">
        <v>344</v>
      </c>
      <c r="G528" s="55" t="s">
        <v>360</v>
      </c>
      <c r="H528" s="55" t="s">
        <v>360</v>
      </c>
      <c r="I528" s="55" t="s">
        <v>360</v>
      </c>
      <c r="J528" s="55" t="s">
        <v>360</v>
      </c>
      <c r="K528" s="55" t="s">
        <v>360</v>
      </c>
      <c r="L528" s="55" t="s">
        <v>360</v>
      </c>
      <c r="M528" s="55" t="s">
        <v>150</v>
      </c>
      <c r="N528" s="55" t="s">
        <v>150</v>
      </c>
      <c r="O528" s="55" t="s">
        <v>181</v>
      </c>
      <c r="P528" s="55" t="s">
        <v>1142</v>
      </c>
      <c r="Q528" s="55" t="s">
        <v>350</v>
      </c>
      <c r="R528" s="85">
        <v>4</v>
      </c>
      <c r="S528" s="55">
        <v>0</v>
      </c>
      <c r="T528" s="74" t="s">
        <v>1209</v>
      </c>
      <c r="U528" s="74" t="s">
        <v>351</v>
      </c>
      <c r="V528" s="74">
        <v>44531</v>
      </c>
      <c r="W528" s="74">
        <v>44586</v>
      </c>
      <c r="X528" s="55">
        <v>10186571</v>
      </c>
      <c r="Y528" s="55" t="s">
        <v>132</v>
      </c>
      <c r="AB528" s="74" t="s">
        <v>132</v>
      </c>
      <c r="AC528" s="55" t="s">
        <v>130</v>
      </c>
      <c r="AL528" s="74"/>
      <c r="AM528" s="74"/>
      <c r="AW528" s="74"/>
      <c r="AX528" s="74"/>
    </row>
    <row r="529" spans="1:50" ht="13" x14ac:dyDescent="0.15">
      <c r="A529" s="55" t="str">
        <f>HYPERLINK("http://reports.ofsted.gov.uk/inspection-reports/find-inspection-report/provider/CARE/1270767","Ofsted Social Care Provider Webpage")</f>
        <v>Ofsted Social Care Provider Webpage</v>
      </c>
      <c r="B529" s="55">
        <v>1270767</v>
      </c>
      <c r="D529" s="55" t="s">
        <v>373</v>
      </c>
      <c r="E529" s="74">
        <v>43147</v>
      </c>
      <c r="F529" s="55" t="s">
        <v>344</v>
      </c>
      <c r="G529" s="55" t="s">
        <v>360</v>
      </c>
      <c r="H529" s="55" t="s">
        <v>360</v>
      </c>
      <c r="I529" s="55" t="s">
        <v>360</v>
      </c>
      <c r="J529" s="55" t="s">
        <v>360</v>
      </c>
      <c r="K529" s="55" t="s">
        <v>360</v>
      </c>
      <c r="L529" s="55" t="s">
        <v>360</v>
      </c>
      <c r="M529" s="55" t="s">
        <v>172</v>
      </c>
      <c r="N529" s="55" t="s">
        <v>172</v>
      </c>
      <c r="O529" s="55" t="s">
        <v>235</v>
      </c>
      <c r="P529" s="55" t="s">
        <v>628</v>
      </c>
      <c r="Q529" s="55" t="s">
        <v>350</v>
      </c>
      <c r="R529" s="85">
        <v>4</v>
      </c>
      <c r="S529" s="55">
        <v>0</v>
      </c>
      <c r="T529" s="74" t="s">
        <v>1210</v>
      </c>
      <c r="U529" s="74" t="s">
        <v>351</v>
      </c>
      <c r="V529" s="74">
        <v>44299</v>
      </c>
      <c r="W529" s="74">
        <v>44334</v>
      </c>
      <c r="X529" s="55">
        <v>10185446</v>
      </c>
      <c r="Y529" s="55" t="s">
        <v>132</v>
      </c>
      <c r="AB529" s="74" t="s">
        <v>132</v>
      </c>
      <c r="AC529" s="55" t="s">
        <v>132</v>
      </c>
      <c r="AL529" s="74"/>
      <c r="AM529" s="74"/>
      <c r="AW529" s="74"/>
      <c r="AX529" s="74"/>
    </row>
    <row r="530" spans="1:50" ht="13" x14ac:dyDescent="0.15">
      <c r="A530" s="55" t="str">
        <f>HYPERLINK("http://reports.ofsted.gov.uk/inspection-reports/find-inspection-report/provider/CARE/1270802","Ofsted Social Care Provider Webpage")</f>
        <v>Ofsted Social Care Provider Webpage</v>
      </c>
      <c r="B530" s="55">
        <v>1270802</v>
      </c>
      <c r="D530" s="55" t="s">
        <v>373</v>
      </c>
      <c r="E530" s="74">
        <v>43122</v>
      </c>
      <c r="F530" s="55" t="s">
        <v>344</v>
      </c>
      <c r="G530" s="55" t="s">
        <v>360</v>
      </c>
      <c r="H530" s="55" t="s">
        <v>360</v>
      </c>
      <c r="I530" s="55" t="s">
        <v>360</v>
      </c>
      <c r="J530" s="55" t="s">
        <v>360</v>
      </c>
      <c r="K530" s="55" t="s">
        <v>360</v>
      </c>
      <c r="L530" s="55" t="s">
        <v>360</v>
      </c>
      <c r="M530" s="55" t="s">
        <v>144</v>
      </c>
      <c r="N530" s="55" t="s">
        <v>144</v>
      </c>
      <c r="O530" s="55" t="s">
        <v>209</v>
      </c>
      <c r="P530" s="55" t="s">
        <v>736</v>
      </c>
      <c r="Q530" s="55" t="s">
        <v>350</v>
      </c>
      <c r="R530" s="85">
        <v>3</v>
      </c>
      <c r="S530" s="55">
        <v>0</v>
      </c>
      <c r="T530" s="74" t="s">
        <v>737</v>
      </c>
      <c r="U530" s="74" t="s">
        <v>351</v>
      </c>
      <c r="V530" s="74">
        <v>44510</v>
      </c>
      <c r="W530" s="74">
        <v>44559</v>
      </c>
      <c r="X530" s="55">
        <v>10185115</v>
      </c>
      <c r="Y530" s="55" t="s">
        <v>140</v>
      </c>
      <c r="AB530" s="74" t="s">
        <v>140</v>
      </c>
      <c r="AC530" s="55" t="s">
        <v>140</v>
      </c>
      <c r="AL530" s="74"/>
      <c r="AM530" s="74"/>
      <c r="AW530" s="74"/>
      <c r="AX530" s="74"/>
    </row>
    <row r="531" spans="1:50" ht="13" x14ac:dyDescent="0.15">
      <c r="A531" s="55" t="str">
        <f>HYPERLINK("http://reports.ofsted.gov.uk/inspection-reports/find-inspection-report/provider/CARE/1271135","Ofsted Social Care Provider Webpage")</f>
        <v>Ofsted Social Care Provider Webpage</v>
      </c>
      <c r="B531" s="55">
        <v>1271135</v>
      </c>
      <c r="D531" s="55" t="s">
        <v>373</v>
      </c>
      <c r="E531" s="74">
        <v>43146</v>
      </c>
      <c r="F531" s="55" t="s">
        <v>344</v>
      </c>
      <c r="G531" s="55" t="s">
        <v>360</v>
      </c>
      <c r="H531" s="55" t="s">
        <v>360</v>
      </c>
      <c r="I531" s="55" t="s">
        <v>360</v>
      </c>
      <c r="J531" s="55" t="s">
        <v>360</v>
      </c>
      <c r="K531" s="55" t="s">
        <v>360</v>
      </c>
      <c r="L531" s="55" t="s">
        <v>360</v>
      </c>
      <c r="M531" s="55" t="s">
        <v>144</v>
      </c>
      <c r="N531" s="55" t="s">
        <v>144</v>
      </c>
      <c r="O531" s="55" t="s">
        <v>263</v>
      </c>
      <c r="P531" s="55" t="s">
        <v>1211</v>
      </c>
      <c r="Q531" s="55" t="s">
        <v>380</v>
      </c>
      <c r="R531" s="85">
        <v>7</v>
      </c>
      <c r="S531" s="55">
        <v>0</v>
      </c>
      <c r="T531" s="74" t="s">
        <v>1212</v>
      </c>
      <c r="U531" s="74" t="s">
        <v>351</v>
      </c>
      <c r="V531" s="74">
        <v>44426</v>
      </c>
      <c r="W531" s="74">
        <v>44468</v>
      </c>
      <c r="X531" s="55">
        <v>10185343</v>
      </c>
      <c r="Y531" s="55" t="s">
        <v>132</v>
      </c>
      <c r="AB531" s="74" t="s">
        <v>132</v>
      </c>
      <c r="AC531" s="55" t="s">
        <v>132</v>
      </c>
      <c r="AL531" s="74"/>
      <c r="AM531" s="74"/>
      <c r="AW531" s="74"/>
      <c r="AX531" s="74"/>
    </row>
    <row r="532" spans="1:50" ht="13" x14ac:dyDescent="0.15">
      <c r="A532" s="55" t="str">
        <f>HYPERLINK("http://reports.ofsted.gov.uk/inspection-reports/find-inspection-report/provider/CARE/1271182","Ofsted Social Care Provider Webpage")</f>
        <v>Ofsted Social Care Provider Webpage</v>
      </c>
      <c r="B532" s="55">
        <v>1271182</v>
      </c>
      <c r="D532" s="55" t="s">
        <v>373</v>
      </c>
      <c r="E532" s="74">
        <v>43258</v>
      </c>
      <c r="F532" s="55" t="s">
        <v>344</v>
      </c>
      <c r="G532" s="55" t="s">
        <v>360</v>
      </c>
      <c r="H532" s="55" t="s">
        <v>360</v>
      </c>
      <c r="I532" s="55" t="s">
        <v>360</v>
      </c>
      <c r="J532" s="55" t="s">
        <v>360</v>
      </c>
      <c r="K532" s="55" t="s">
        <v>360</v>
      </c>
      <c r="L532" s="55" t="s">
        <v>360</v>
      </c>
      <c r="M532" s="55" t="s">
        <v>138</v>
      </c>
      <c r="N532" s="55" t="s">
        <v>138</v>
      </c>
      <c r="O532" s="55" t="s">
        <v>183</v>
      </c>
      <c r="P532" s="55" t="s">
        <v>907</v>
      </c>
      <c r="Q532" s="55" t="s">
        <v>350</v>
      </c>
      <c r="R532" s="85">
        <v>5</v>
      </c>
      <c r="S532" s="55">
        <v>0</v>
      </c>
      <c r="T532" s="74" t="s">
        <v>1213</v>
      </c>
      <c r="U532" s="74" t="s">
        <v>351</v>
      </c>
      <c r="V532" s="74">
        <v>44501</v>
      </c>
      <c r="W532" s="74">
        <v>44531</v>
      </c>
      <c r="X532" s="55">
        <v>10185786</v>
      </c>
      <c r="Y532" s="55" t="s">
        <v>132</v>
      </c>
      <c r="AB532" s="74" t="s">
        <v>132</v>
      </c>
      <c r="AC532" s="55" t="s">
        <v>132</v>
      </c>
      <c r="AL532" s="74"/>
      <c r="AM532" s="74"/>
    </row>
    <row r="533" spans="1:50" ht="13" x14ac:dyDescent="0.15">
      <c r="A533" s="55" t="str">
        <f>HYPERLINK("http://reports.ofsted.gov.uk/inspection-reports/find-inspection-report/provider/CARE/1271213","Ofsted Social Care Provider Webpage")</f>
        <v>Ofsted Social Care Provider Webpage</v>
      </c>
      <c r="B533" s="55">
        <v>1271213</v>
      </c>
      <c r="D533" s="55" t="s">
        <v>373</v>
      </c>
      <c r="E533" s="74">
        <v>43238</v>
      </c>
      <c r="F533" s="55" t="s">
        <v>344</v>
      </c>
      <c r="G533" s="55" t="s">
        <v>360</v>
      </c>
      <c r="H533" s="55" t="s">
        <v>360</v>
      </c>
      <c r="I533" s="55" t="s">
        <v>360</v>
      </c>
      <c r="J533" s="55" t="s">
        <v>360</v>
      </c>
      <c r="K533" s="55" t="s">
        <v>360</v>
      </c>
      <c r="L533" s="55" t="s">
        <v>360</v>
      </c>
      <c r="M533" s="55" t="s">
        <v>144</v>
      </c>
      <c r="N533" s="55" t="s">
        <v>144</v>
      </c>
      <c r="O533" s="55" t="s">
        <v>209</v>
      </c>
      <c r="P533" s="55" t="s">
        <v>545</v>
      </c>
      <c r="Q533" s="55" t="s">
        <v>350</v>
      </c>
      <c r="R533" s="85">
        <v>4</v>
      </c>
      <c r="S533" s="55">
        <v>0</v>
      </c>
      <c r="T533" s="74" t="s">
        <v>377</v>
      </c>
      <c r="U533" s="74" t="s">
        <v>351</v>
      </c>
      <c r="V533" s="74">
        <v>44600</v>
      </c>
      <c r="W533" s="74">
        <v>44648</v>
      </c>
      <c r="X533" s="55">
        <v>10198244</v>
      </c>
      <c r="Y533" s="55" t="s">
        <v>132</v>
      </c>
      <c r="AB533" s="74" t="s">
        <v>132</v>
      </c>
      <c r="AC533" s="55" t="s">
        <v>130</v>
      </c>
      <c r="AL533" s="74"/>
      <c r="AM533" s="74"/>
      <c r="AW533" s="74"/>
      <c r="AX533" s="74"/>
    </row>
    <row r="534" spans="1:50" ht="13" x14ac:dyDescent="0.15">
      <c r="A534" s="55" t="str">
        <f>HYPERLINK("http://reports.ofsted.gov.uk/inspection-reports/find-inspection-report/provider/CARE/1271234","Ofsted Social Care Provider Webpage")</f>
        <v>Ofsted Social Care Provider Webpage</v>
      </c>
      <c r="B534" s="55">
        <v>1271234</v>
      </c>
      <c r="D534" s="55" t="s">
        <v>373</v>
      </c>
      <c r="E534" s="74">
        <v>43196</v>
      </c>
      <c r="F534" s="55" t="s">
        <v>344</v>
      </c>
      <c r="G534" s="55" t="s">
        <v>360</v>
      </c>
      <c r="H534" s="55" t="s">
        <v>360</v>
      </c>
      <c r="I534" s="55" t="s">
        <v>360</v>
      </c>
      <c r="J534" s="55" t="s">
        <v>360</v>
      </c>
      <c r="K534" s="55" t="s">
        <v>360</v>
      </c>
      <c r="L534" s="55" t="s">
        <v>360</v>
      </c>
      <c r="M534" s="55" t="s">
        <v>142</v>
      </c>
      <c r="N534" s="55" t="s">
        <v>142</v>
      </c>
      <c r="O534" s="55" t="s">
        <v>262</v>
      </c>
      <c r="P534" s="55" t="s">
        <v>1215</v>
      </c>
      <c r="Q534" s="55" t="s">
        <v>350</v>
      </c>
      <c r="R534" s="85">
        <v>3</v>
      </c>
      <c r="S534" s="55">
        <v>0</v>
      </c>
      <c r="T534" s="74" t="s">
        <v>1216</v>
      </c>
      <c r="U534" s="74" t="s">
        <v>2053</v>
      </c>
      <c r="V534" s="74">
        <v>44566</v>
      </c>
      <c r="W534" s="74">
        <v>44601</v>
      </c>
      <c r="X534" s="55">
        <v>10216208</v>
      </c>
      <c r="AL534" s="74"/>
      <c r="AM534" s="74"/>
      <c r="AW534" s="74"/>
      <c r="AX534" s="74"/>
    </row>
    <row r="535" spans="1:50" ht="13" x14ac:dyDescent="0.15">
      <c r="A535" s="55" t="str">
        <f>HYPERLINK("http://reports.ofsted.gov.uk/inspection-reports/find-inspection-report/provider/CARE/1271234","Ofsted Social Care Provider Webpage")</f>
        <v>Ofsted Social Care Provider Webpage</v>
      </c>
      <c r="B535" s="55">
        <v>1271234</v>
      </c>
      <c r="D535" s="55" t="s">
        <v>373</v>
      </c>
      <c r="E535" s="74">
        <v>43196</v>
      </c>
      <c r="F535" s="55" t="s">
        <v>344</v>
      </c>
      <c r="G535" s="55" t="s">
        <v>360</v>
      </c>
      <c r="H535" s="55" t="s">
        <v>360</v>
      </c>
      <c r="I535" s="55" t="s">
        <v>360</v>
      </c>
      <c r="J535" s="55" t="s">
        <v>360</v>
      </c>
      <c r="K535" s="55" t="s">
        <v>360</v>
      </c>
      <c r="L535" s="55" t="s">
        <v>360</v>
      </c>
      <c r="M535" s="55" t="s">
        <v>142</v>
      </c>
      <c r="N535" s="55" t="s">
        <v>142</v>
      </c>
      <c r="O535" s="55" t="s">
        <v>262</v>
      </c>
      <c r="P535" s="55" t="s">
        <v>1215</v>
      </c>
      <c r="Q535" s="55" t="s">
        <v>350</v>
      </c>
      <c r="R535" s="85">
        <v>3</v>
      </c>
      <c r="S535" s="55">
        <v>0</v>
      </c>
      <c r="T535" s="74" t="s">
        <v>1216</v>
      </c>
      <c r="U535" s="74" t="s">
        <v>351</v>
      </c>
      <c r="V535" s="74">
        <v>44509</v>
      </c>
      <c r="W535" s="74">
        <v>44565</v>
      </c>
      <c r="X535" s="55">
        <v>10185721</v>
      </c>
      <c r="Y535" s="55" t="s">
        <v>146</v>
      </c>
      <c r="AB535" s="74" t="s">
        <v>146</v>
      </c>
      <c r="AC535" s="55" t="s">
        <v>146</v>
      </c>
      <c r="AL535" s="74"/>
      <c r="AM535" s="74"/>
      <c r="AW535" s="74"/>
      <c r="AX535" s="74"/>
    </row>
    <row r="536" spans="1:50" ht="13" x14ac:dyDescent="0.15">
      <c r="A536" s="55" t="str">
        <f>HYPERLINK("http://reports.ofsted.gov.uk/inspection-reports/find-inspection-report/provider/CARE/1271234","Ofsted Social Care Provider Webpage")</f>
        <v>Ofsted Social Care Provider Webpage</v>
      </c>
      <c r="B536" s="55">
        <v>1271234</v>
      </c>
      <c r="D536" s="55" t="s">
        <v>373</v>
      </c>
      <c r="E536" s="74">
        <v>43196</v>
      </c>
      <c r="F536" s="55" t="s">
        <v>344</v>
      </c>
      <c r="G536" s="55" t="s">
        <v>360</v>
      </c>
      <c r="H536" s="55" t="s">
        <v>360</v>
      </c>
      <c r="I536" s="55" t="s">
        <v>360</v>
      </c>
      <c r="J536" s="55" t="s">
        <v>360</v>
      </c>
      <c r="K536" s="55" t="s">
        <v>360</v>
      </c>
      <c r="L536" s="55" t="s">
        <v>360</v>
      </c>
      <c r="M536" s="55" t="s">
        <v>142</v>
      </c>
      <c r="N536" s="55" t="s">
        <v>142</v>
      </c>
      <c r="O536" s="55" t="s">
        <v>262</v>
      </c>
      <c r="P536" s="55" t="s">
        <v>1215</v>
      </c>
      <c r="Q536" s="55" t="s">
        <v>350</v>
      </c>
      <c r="R536" s="85">
        <v>3</v>
      </c>
      <c r="S536" s="55">
        <v>0</v>
      </c>
      <c r="T536" s="74" t="s">
        <v>1216</v>
      </c>
      <c r="U536" s="74" t="s">
        <v>351</v>
      </c>
      <c r="V536" s="74">
        <v>44621</v>
      </c>
      <c r="W536" s="74">
        <v>44670</v>
      </c>
      <c r="X536" s="55">
        <v>10216209</v>
      </c>
      <c r="Y536" s="55" t="s">
        <v>132</v>
      </c>
      <c r="AB536" s="74" t="s">
        <v>132</v>
      </c>
      <c r="AC536" s="55" t="s">
        <v>130</v>
      </c>
      <c r="AL536" s="74"/>
      <c r="AM536" s="74"/>
    </row>
    <row r="537" spans="1:50" ht="13" x14ac:dyDescent="0.15">
      <c r="A537" s="55" t="str">
        <f>HYPERLINK("http://reports.ofsted.gov.uk/inspection-reports/find-inspection-report/provider/CARE/1271375","Ofsted Social Care Provider Webpage")</f>
        <v>Ofsted Social Care Provider Webpage</v>
      </c>
      <c r="B537" s="55">
        <v>1271375</v>
      </c>
      <c r="D537" s="55" t="s">
        <v>373</v>
      </c>
      <c r="E537" s="74">
        <v>43171</v>
      </c>
      <c r="F537" s="55" t="s">
        <v>344</v>
      </c>
      <c r="G537" s="55" t="s">
        <v>360</v>
      </c>
      <c r="H537" s="55" t="s">
        <v>360</v>
      </c>
      <c r="I537" s="55" t="s">
        <v>360</v>
      </c>
      <c r="J537" s="55" t="s">
        <v>360</v>
      </c>
      <c r="K537" s="55" t="s">
        <v>360</v>
      </c>
      <c r="L537" s="55" t="s">
        <v>360</v>
      </c>
      <c r="M537" s="55" t="s">
        <v>144</v>
      </c>
      <c r="N537" s="55" t="s">
        <v>144</v>
      </c>
      <c r="O537" s="55" t="s">
        <v>209</v>
      </c>
      <c r="P537" s="55" t="s">
        <v>555</v>
      </c>
      <c r="Q537" s="55" t="s">
        <v>350</v>
      </c>
      <c r="R537" s="85">
        <v>3</v>
      </c>
      <c r="S537" s="55">
        <v>0</v>
      </c>
      <c r="T537" s="74" t="s">
        <v>485</v>
      </c>
      <c r="U537" s="74" t="s">
        <v>351</v>
      </c>
      <c r="V537" s="74">
        <v>44398</v>
      </c>
      <c r="W537" s="74">
        <v>44433</v>
      </c>
      <c r="X537" s="55">
        <v>10185370</v>
      </c>
      <c r="Y537" s="55" t="s">
        <v>132</v>
      </c>
      <c r="AB537" s="74" t="s">
        <v>132</v>
      </c>
      <c r="AC537" s="55" t="s">
        <v>132</v>
      </c>
      <c r="AL537" s="74"/>
      <c r="AM537" s="74"/>
    </row>
    <row r="538" spans="1:50" ht="13" x14ac:dyDescent="0.15">
      <c r="A538" s="55" t="str">
        <f>HYPERLINK("http://reports.ofsted.gov.uk/inspection-reports/find-inspection-report/provider/CARE/1271380","Ofsted Social Care Provider Webpage")</f>
        <v>Ofsted Social Care Provider Webpage</v>
      </c>
      <c r="B538" s="55">
        <v>1271380</v>
      </c>
      <c r="D538" s="55" t="s">
        <v>373</v>
      </c>
      <c r="E538" s="74">
        <v>43306</v>
      </c>
      <c r="F538" s="55" t="s">
        <v>344</v>
      </c>
      <c r="G538" s="55" t="s">
        <v>360</v>
      </c>
      <c r="H538" s="55" t="s">
        <v>360</v>
      </c>
      <c r="I538" s="55" t="s">
        <v>360</v>
      </c>
      <c r="J538" s="55" t="s">
        <v>360</v>
      </c>
      <c r="K538" s="55" t="s">
        <v>360</v>
      </c>
      <c r="L538" s="55" t="s">
        <v>360</v>
      </c>
      <c r="M538" s="55" t="s">
        <v>150</v>
      </c>
      <c r="N538" s="55" t="s">
        <v>150</v>
      </c>
      <c r="O538" s="55" t="s">
        <v>156</v>
      </c>
      <c r="P538" s="55" t="s">
        <v>1217</v>
      </c>
      <c r="Q538" s="55" t="s">
        <v>362</v>
      </c>
      <c r="R538" s="85">
        <v>6</v>
      </c>
      <c r="S538" s="55" t="s">
        <v>332</v>
      </c>
      <c r="T538" s="74" t="s">
        <v>367</v>
      </c>
      <c r="U538" s="74" t="s">
        <v>351</v>
      </c>
      <c r="V538" s="74">
        <v>44600</v>
      </c>
      <c r="W538" s="74">
        <v>44643</v>
      </c>
      <c r="X538" s="55">
        <v>10187351</v>
      </c>
      <c r="Y538" s="55" t="s">
        <v>132</v>
      </c>
      <c r="AB538" s="74" t="s">
        <v>132</v>
      </c>
      <c r="AC538" s="55" t="s">
        <v>132</v>
      </c>
      <c r="AL538" s="74"/>
      <c r="AM538" s="74"/>
    </row>
    <row r="539" spans="1:50" ht="13" x14ac:dyDescent="0.15">
      <c r="A539" s="55" t="str">
        <f>HYPERLINK("http://reports.ofsted.gov.uk/inspection-reports/find-inspection-report/provider/CARE/1271383","Ofsted Social Care Provider Webpage")</f>
        <v>Ofsted Social Care Provider Webpage</v>
      </c>
      <c r="B539" s="55">
        <v>1271383</v>
      </c>
      <c r="D539" s="55" t="s">
        <v>373</v>
      </c>
      <c r="E539" s="74">
        <v>43220</v>
      </c>
      <c r="F539" s="55" t="s">
        <v>344</v>
      </c>
      <c r="G539" s="55" t="s">
        <v>360</v>
      </c>
      <c r="H539" s="55" t="s">
        <v>360</v>
      </c>
      <c r="I539" s="55" t="s">
        <v>360</v>
      </c>
      <c r="J539" s="55" t="s">
        <v>360</v>
      </c>
      <c r="K539" s="55" t="s">
        <v>360</v>
      </c>
      <c r="L539" s="55" t="s">
        <v>360</v>
      </c>
      <c r="M539" s="55" t="s">
        <v>172</v>
      </c>
      <c r="N539" s="55" t="s">
        <v>172</v>
      </c>
      <c r="O539" s="55" t="s">
        <v>234</v>
      </c>
      <c r="P539" s="55" t="s">
        <v>457</v>
      </c>
      <c r="Q539" s="55" t="s">
        <v>362</v>
      </c>
      <c r="R539" s="85">
        <v>3</v>
      </c>
      <c r="S539" s="55">
        <v>0</v>
      </c>
      <c r="T539" s="74" t="s">
        <v>458</v>
      </c>
      <c r="U539" s="74" t="s">
        <v>351</v>
      </c>
      <c r="V539" s="74">
        <v>44509</v>
      </c>
      <c r="W539" s="74">
        <v>44538</v>
      </c>
      <c r="X539" s="55">
        <v>10186529</v>
      </c>
      <c r="Y539" s="55" t="s">
        <v>132</v>
      </c>
      <c r="AB539" s="74" t="s">
        <v>132</v>
      </c>
      <c r="AC539" s="55" t="s">
        <v>132</v>
      </c>
      <c r="AL539" s="74"/>
      <c r="AM539" s="74"/>
      <c r="AW539" s="74"/>
      <c r="AX539" s="74"/>
    </row>
    <row r="540" spans="1:50" ht="13" x14ac:dyDescent="0.15">
      <c r="A540" s="55" t="str">
        <f>HYPERLINK("http://reports.ofsted.gov.uk/inspection-reports/find-inspection-report/provider/CARE/1271467","Ofsted Social Care Provider Webpage")</f>
        <v>Ofsted Social Care Provider Webpage</v>
      </c>
      <c r="B540" s="55">
        <v>1271467</v>
      </c>
      <c r="D540" s="55" t="s">
        <v>373</v>
      </c>
      <c r="E540" s="74">
        <v>43173</v>
      </c>
      <c r="F540" s="55" t="s">
        <v>344</v>
      </c>
      <c r="G540" s="55" t="s">
        <v>360</v>
      </c>
      <c r="H540" s="55" t="s">
        <v>360</v>
      </c>
      <c r="I540" s="55" t="s">
        <v>360</v>
      </c>
      <c r="J540" s="55" t="s">
        <v>360</v>
      </c>
      <c r="K540" s="55" t="s">
        <v>360</v>
      </c>
      <c r="L540" s="55" t="s">
        <v>360</v>
      </c>
      <c r="M540" s="55" t="s">
        <v>136</v>
      </c>
      <c r="N540" s="55" t="s">
        <v>136</v>
      </c>
      <c r="O540" s="55" t="s">
        <v>174</v>
      </c>
      <c r="P540" s="55" t="s">
        <v>857</v>
      </c>
      <c r="Q540" s="55" t="s">
        <v>350</v>
      </c>
      <c r="R540" s="85">
        <v>3</v>
      </c>
      <c r="S540" s="55">
        <v>0</v>
      </c>
      <c r="T540" s="74" t="s">
        <v>450</v>
      </c>
      <c r="U540" s="74" t="s">
        <v>351</v>
      </c>
      <c r="V540" s="74">
        <v>44504</v>
      </c>
      <c r="W540" s="74">
        <v>44539</v>
      </c>
      <c r="X540" s="55">
        <v>10185381</v>
      </c>
      <c r="Y540" s="55" t="s">
        <v>132</v>
      </c>
      <c r="AB540" s="74" t="s">
        <v>132</v>
      </c>
      <c r="AC540" s="55" t="s">
        <v>130</v>
      </c>
      <c r="AL540" s="74"/>
      <c r="AM540" s="74"/>
    </row>
    <row r="541" spans="1:50" ht="13" x14ac:dyDescent="0.15">
      <c r="A541" s="55" t="str">
        <f>HYPERLINK("http://reports.ofsted.gov.uk/inspection-reports/find-inspection-report/provider/CARE/1271519","Ofsted Social Care Provider Webpage")</f>
        <v>Ofsted Social Care Provider Webpage</v>
      </c>
      <c r="B541" s="55">
        <v>1271519</v>
      </c>
      <c r="D541" s="55" t="s">
        <v>373</v>
      </c>
      <c r="E541" s="74">
        <v>43305</v>
      </c>
      <c r="F541" s="55" t="s">
        <v>344</v>
      </c>
      <c r="G541" s="55" t="s">
        <v>360</v>
      </c>
      <c r="H541" s="55" t="s">
        <v>360</v>
      </c>
      <c r="I541" s="55" t="s">
        <v>360</v>
      </c>
      <c r="J541" s="55" t="s">
        <v>360</v>
      </c>
      <c r="K541" s="55" t="s">
        <v>360</v>
      </c>
      <c r="L541" s="55" t="s">
        <v>360</v>
      </c>
      <c r="M541" s="55" t="s">
        <v>142</v>
      </c>
      <c r="N541" s="55" t="s">
        <v>142</v>
      </c>
      <c r="O541" s="55" t="s">
        <v>278</v>
      </c>
      <c r="P541" s="55" t="s">
        <v>1042</v>
      </c>
      <c r="Q541" s="55" t="s">
        <v>350</v>
      </c>
      <c r="R541" s="85">
        <v>3</v>
      </c>
      <c r="S541" s="55">
        <v>0</v>
      </c>
      <c r="T541" s="74" t="s">
        <v>954</v>
      </c>
      <c r="U541" s="74" t="s">
        <v>6703</v>
      </c>
      <c r="V541" s="74">
        <v>44531</v>
      </c>
      <c r="W541" s="74">
        <v>44579</v>
      </c>
      <c r="X541" s="55">
        <v>10216198</v>
      </c>
      <c r="Y541" s="55" t="s">
        <v>6704</v>
      </c>
      <c r="AL541" s="74"/>
      <c r="AM541" s="74"/>
    </row>
    <row r="542" spans="1:50" ht="13" x14ac:dyDescent="0.15">
      <c r="A542" s="55" t="str">
        <f>HYPERLINK("http://reports.ofsted.gov.uk/inspection-reports/find-inspection-report/provider/CARE/1271519","Ofsted Social Care Provider Webpage")</f>
        <v>Ofsted Social Care Provider Webpage</v>
      </c>
      <c r="B542" s="55">
        <v>1271519</v>
      </c>
      <c r="D542" s="55" t="s">
        <v>373</v>
      </c>
      <c r="E542" s="74">
        <v>43305</v>
      </c>
      <c r="F542" s="55" t="s">
        <v>344</v>
      </c>
      <c r="G542" s="55" t="s">
        <v>360</v>
      </c>
      <c r="H542" s="55" t="s">
        <v>360</v>
      </c>
      <c r="I542" s="55" t="s">
        <v>360</v>
      </c>
      <c r="J542" s="55" t="s">
        <v>360</v>
      </c>
      <c r="K542" s="55" t="s">
        <v>360</v>
      </c>
      <c r="L542" s="55" t="s">
        <v>360</v>
      </c>
      <c r="M542" s="55" t="s">
        <v>142</v>
      </c>
      <c r="N542" s="55" t="s">
        <v>142</v>
      </c>
      <c r="O542" s="55" t="s">
        <v>278</v>
      </c>
      <c r="P542" s="55" t="s">
        <v>1042</v>
      </c>
      <c r="Q542" s="55" t="s">
        <v>350</v>
      </c>
      <c r="R542" s="85">
        <v>3</v>
      </c>
      <c r="S542" s="55">
        <v>0</v>
      </c>
      <c r="T542" s="74" t="s">
        <v>954</v>
      </c>
      <c r="U542" s="74" t="s">
        <v>351</v>
      </c>
      <c r="V542" s="74">
        <v>44335</v>
      </c>
      <c r="W542" s="74">
        <v>44364</v>
      </c>
      <c r="X542" s="55">
        <v>10187338</v>
      </c>
      <c r="Y542" s="55" t="s">
        <v>132</v>
      </c>
      <c r="AB542" s="74" t="s">
        <v>132</v>
      </c>
      <c r="AC542" s="55" t="s">
        <v>130</v>
      </c>
      <c r="AL542" s="74"/>
      <c r="AM542" s="74"/>
    </row>
    <row r="543" spans="1:50" ht="13" x14ac:dyDescent="0.15">
      <c r="A543" s="55" t="str">
        <f>HYPERLINK("http://reports.ofsted.gov.uk/inspection-reports/find-inspection-report/provider/CARE/1271519","Ofsted Social Care Provider Webpage")</f>
        <v>Ofsted Social Care Provider Webpage</v>
      </c>
      <c r="B543" s="55">
        <v>1271519</v>
      </c>
      <c r="D543" s="55" t="s">
        <v>373</v>
      </c>
      <c r="E543" s="74">
        <v>43305</v>
      </c>
      <c r="F543" s="55" t="s">
        <v>344</v>
      </c>
      <c r="G543" s="55" t="s">
        <v>360</v>
      </c>
      <c r="H543" s="55" t="s">
        <v>360</v>
      </c>
      <c r="I543" s="55" t="s">
        <v>360</v>
      </c>
      <c r="J543" s="55" t="s">
        <v>360</v>
      </c>
      <c r="K543" s="55" t="s">
        <v>360</v>
      </c>
      <c r="L543" s="55" t="s">
        <v>360</v>
      </c>
      <c r="M543" s="55" t="s">
        <v>142</v>
      </c>
      <c r="N543" s="55" t="s">
        <v>142</v>
      </c>
      <c r="O543" s="55" t="s">
        <v>278</v>
      </c>
      <c r="P543" s="55" t="s">
        <v>1042</v>
      </c>
      <c r="Q543" s="55" t="s">
        <v>350</v>
      </c>
      <c r="R543" s="85">
        <v>3</v>
      </c>
      <c r="S543" s="55">
        <v>0</v>
      </c>
      <c r="T543" s="74" t="s">
        <v>954</v>
      </c>
      <c r="U543" s="74" t="s">
        <v>2053</v>
      </c>
      <c r="V543" s="74">
        <v>44579</v>
      </c>
      <c r="W543" s="74">
        <v>44622</v>
      </c>
      <c r="X543" s="55">
        <v>10216586</v>
      </c>
      <c r="AL543" s="74"/>
      <c r="AM543" s="74"/>
    </row>
    <row r="544" spans="1:50" ht="13" x14ac:dyDescent="0.15">
      <c r="A544" s="55" t="str">
        <f>HYPERLINK("http://reports.ofsted.gov.uk/inspection-reports/find-inspection-report/provider/CARE/1271581","Ofsted Social Care Provider Webpage")</f>
        <v>Ofsted Social Care Provider Webpage</v>
      </c>
      <c r="B544" s="55">
        <v>1271581</v>
      </c>
      <c r="D544" s="55" t="s">
        <v>373</v>
      </c>
      <c r="E544" s="74">
        <v>43194</v>
      </c>
      <c r="F544" s="55" t="s">
        <v>344</v>
      </c>
      <c r="G544" s="55" t="s">
        <v>360</v>
      </c>
      <c r="H544" s="55" t="s">
        <v>360</v>
      </c>
      <c r="I544" s="55" t="s">
        <v>360</v>
      </c>
      <c r="J544" s="55" t="s">
        <v>360</v>
      </c>
      <c r="K544" s="55" t="s">
        <v>360</v>
      </c>
      <c r="L544" s="55" t="s">
        <v>360</v>
      </c>
      <c r="M544" s="55" t="s">
        <v>144</v>
      </c>
      <c r="N544" s="55" t="s">
        <v>144</v>
      </c>
      <c r="O544" s="55" t="s">
        <v>147</v>
      </c>
      <c r="P544" s="55" t="s">
        <v>387</v>
      </c>
      <c r="Q544" s="55" t="s">
        <v>350</v>
      </c>
      <c r="R544" s="85">
        <v>2</v>
      </c>
      <c r="S544" s="55">
        <v>0</v>
      </c>
      <c r="T544" s="74" t="s">
        <v>1218</v>
      </c>
      <c r="U544" s="74" t="s">
        <v>351</v>
      </c>
      <c r="V544" s="74">
        <v>44530</v>
      </c>
      <c r="W544" s="74">
        <v>44571</v>
      </c>
      <c r="X544" s="55">
        <v>10186985</v>
      </c>
      <c r="Y544" s="55" t="s">
        <v>132</v>
      </c>
      <c r="AB544" s="74" t="s">
        <v>132</v>
      </c>
      <c r="AC544" s="55" t="s">
        <v>132</v>
      </c>
      <c r="AL544" s="74"/>
      <c r="AM544" s="74"/>
    </row>
    <row r="545" spans="1:50" ht="13" x14ac:dyDescent="0.15">
      <c r="A545" s="55" t="str">
        <f>HYPERLINK("http://reports.ofsted.gov.uk/inspection-reports/find-inspection-report/provider/CARE/1271587","Ofsted Social Care Provider Webpage")</f>
        <v>Ofsted Social Care Provider Webpage</v>
      </c>
      <c r="B545" s="55">
        <v>1271587</v>
      </c>
      <c r="D545" s="55" t="s">
        <v>373</v>
      </c>
      <c r="E545" s="74">
        <v>43196</v>
      </c>
      <c r="F545" s="55" t="s">
        <v>344</v>
      </c>
      <c r="G545" s="55" t="s">
        <v>360</v>
      </c>
      <c r="H545" s="55" t="s">
        <v>360</v>
      </c>
      <c r="I545" s="55" t="s">
        <v>360</v>
      </c>
      <c r="J545" s="55" t="s">
        <v>360</v>
      </c>
      <c r="K545" s="55" t="s">
        <v>360</v>
      </c>
      <c r="L545" s="55" t="s">
        <v>360</v>
      </c>
      <c r="M545" s="55" t="s">
        <v>142</v>
      </c>
      <c r="N545" s="55" t="s">
        <v>142</v>
      </c>
      <c r="O545" s="55" t="s">
        <v>195</v>
      </c>
      <c r="P545" s="55" t="s">
        <v>747</v>
      </c>
      <c r="Q545" s="55" t="s">
        <v>350</v>
      </c>
      <c r="R545" s="85">
        <v>4</v>
      </c>
      <c r="S545" s="55">
        <v>0</v>
      </c>
      <c r="T545" s="74" t="s">
        <v>1219</v>
      </c>
      <c r="U545" s="74" t="s">
        <v>351</v>
      </c>
      <c r="V545" s="74">
        <v>44306</v>
      </c>
      <c r="W545" s="74">
        <v>44326</v>
      </c>
      <c r="X545" s="55">
        <v>10185612</v>
      </c>
      <c r="Y545" s="55" t="s">
        <v>132</v>
      </c>
      <c r="AB545" s="74" t="s">
        <v>132</v>
      </c>
      <c r="AC545" s="55" t="s">
        <v>132</v>
      </c>
      <c r="AL545" s="74"/>
      <c r="AM545" s="74"/>
    </row>
    <row r="546" spans="1:50" ht="13" x14ac:dyDescent="0.15">
      <c r="A546" s="55" t="str">
        <f>HYPERLINK("http://reports.ofsted.gov.uk/inspection-reports/find-inspection-report/provider/CARE/1271666","Ofsted Social Care Provider Webpage")</f>
        <v>Ofsted Social Care Provider Webpage</v>
      </c>
      <c r="B546" s="55">
        <v>1271666</v>
      </c>
      <c r="D546" s="55" t="s">
        <v>373</v>
      </c>
      <c r="E546" s="74">
        <v>43185</v>
      </c>
      <c r="F546" s="55" t="s">
        <v>344</v>
      </c>
      <c r="G546" s="55" t="s">
        <v>360</v>
      </c>
      <c r="H546" s="55" t="s">
        <v>360</v>
      </c>
      <c r="I546" s="55" t="s">
        <v>360</v>
      </c>
      <c r="J546" s="55" t="s">
        <v>360</v>
      </c>
      <c r="K546" s="55" t="s">
        <v>360</v>
      </c>
      <c r="L546" s="55" t="s">
        <v>360</v>
      </c>
      <c r="M546" s="55" t="s">
        <v>378</v>
      </c>
      <c r="N546" s="55" t="s">
        <v>134</v>
      </c>
      <c r="O546" s="55" t="s">
        <v>151</v>
      </c>
      <c r="P546" s="55" t="s">
        <v>862</v>
      </c>
      <c r="Q546" s="55" t="s">
        <v>380</v>
      </c>
      <c r="R546" s="85">
        <v>4</v>
      </c>
      <c r="S546" s="55">
        <v>0</v>
      </c>
      <c r="T546" s="74" t="s">
        <v>1220</v>
      </c>
      <c r="U546" s="74" t="s">
        <v>351</v>
      </c>
      <c r="V546" s="74">
        <v>44440</v>
      </c>
      <c r="W546" s="74">
        <v>44475</v>
      </c>
      <c r="X546" s="55">
        <v>10186045</v>
      </c>
      <c r="Y546" s="55" t="s">
        <v>132</v>
      </c>
      <c r="AB546" s="74" t="s">
        <v>132</v>
      </c>
      <c r="AC546" s="55" t="s">
        <v>130</v>
      </c>
      <c r="AL546" s="74"/>
      <c r="AM546" s="74"/>
    </row>
    <row r="547" spans="1:50" ht="13" x14ac:dyDescent="0.15">
      <c r="A547" s="55" t="str">
        <f>HYPERLINK("http://reports.ofsted.gov.uk/inspection-reports/find-inspection-report/provider/CARE/1271979","Ofsted Social Care Provider Webpage")</f>
        <v>Ofsted Social Care Provider Webpage</v>
      </c>
      <c r="B547" s="55">
        <v>1271979</v>
      </c>
      <c r="D547" s="55" t="s">
        <v>373</v>
      </c>
      <c r="E547" s="74">
        <v>43185</v>
      </c>
      <c r="F547" s="55" t="s">
        <v>344</v>
      </c>
      <c r="G547" s="55" t="s">
        <v>360</v>
      </c>
      <c r="H547" s="55" t="s">
        <v>360</v>
      </c>
      <c r="I547" s="55" t="s">
        <v>360</v>
      </c>
      <c r="J547" s="55" t="s">
        <v>360</v>
      </c>
      <c r="K547" s="55" t="s">
        <v>360</v>
      </c>
      <c r="L547" s="55" t="s">
        <v>360</v>
      </c>
      <c r="M547" s="55" t="s">
        <v>138</v>
      </c>
      <c r="N547" s="55" t="s">
        <v>138</v>
      </c>
      <c r="O547" s="55" t="s">
        <v>224</v>
      </c>
      <c r="P547" s="55" t="s">
        <v>374</v>
      </c>
      <c r="Q547" s="55" t="s">
        <v>350</v>
      </c>
      <c r="R547" s="85">
        <v>3</v>
      </c>
      <c r="S547" s="55">
        <v>0</v>
      </c>
      <c r="T547" s="74" t="s">
        <v>1221</v>
      </c>
      <c r="U547" s="74" t="s">
        <v>351</v>
      </c>
      <c r="V547" s="74">
        <v>44544</v>
      </c>
      <c r="W547" s="74">
        <v>44588</v>
      </c>
      <c r="X547" s="55">
        <v>10185671</v>
      </c>
      <c r="Y547" s="55" t="s">
        <v>132</v>
      </c>
      <c r="AB547" s="74" t="s">
        <v>132</v>
      </c>
      <c r="AC547" s="55" t="s">
        <v>132</v>
      </c>
      <c r="AL547" s="74"/>
      <c r="AM547" s="74"/>
      <c r="AW547" s="74"/>
      <c r="AX547" s="74"/>
    </row>
    <row r="548" spans="1:50" ht="13" x14ac:dyDescent="0.15">
      <c r="A548" s="55" t="str">
        <f>HYPERLINK("http://reports.ofsted.gov.uk/inspection-reports/find-inspection-report/provider/CARE/1271998","Ofsted Social Care Provider Webpage")</f>
        <v>Ofsted Social Care Provider Webpage</v>
      </c>
      <c r="B548" s="55">
        <v>1271998</v>
      </c>
      <c r="D548" s="55" t="s">
        <v>373</v>
      </c>
      <c r="E548" s="74">
        <v>43243</v>
      </c>
      <c r="F548" s="55" t="s">
        <v>344</v>
      </c>
      <c r="G548" s="55" t="s">
        <v>360</v>
      </c>
      <c r="H548" s="55" t="s">
        <v>360</v>
      </c>
      <c r="I548" s="55" t="s">
        <v>360</v>
      </c>
      <c r="J548" s="55" t="s">
        <v>360</v>
      </c>
      <c r="K548" s="55" t="s">
        <v>360</v>
      </c>
      <c r="L548" s="55" t="s">
        <v>360</v>
      </c>
      <c r="M548" s="55" t="s">
        <v>144</v>
      </c>
      <c r="N548" s="55" t="s">
        <v>144</v>
      </c>
      <c r="O548" s="55" t="s">
        <v>209</v>
      </c>
      <c r="P548" s="55" t="s">
        <v>555</v>
      </c>
      <c r="Q548" s="55" t="s">
        <v>350</v>
      </c>
      <c r="R548" s="85">
        <v>3</v>
      </c>
      <c r="S548" s="55">
        <v>0</v>
      </c>
      <c r="T548" s="74" t="s">
        <v>377</v>
      </c>
      <c r="U548" s="74" t="s">
        <v>351</v>
      </c>
      <c r="V548" s="74">
        <v>44475</v>
      </c>
      <c r="W548" s="74">
        <v>44526</v>
      </c>
      <c r="X548" s="55">
        <v>10186812</v>
      </c>
      <c r="Y548" s="55" t="s">
        <v>146</v>
      </c>
      <c r="AB548" s="74" t="s">
        <v>146</v>
      </c>
      <c r="AC548" s="55" t="s">
        <v>146</v>
      </c>
      <c r="AL548" s="74"/>
      <c r="AM548" s="74"/>
    </row>
    <row r="549" spans="1:50" ht="13" x14ac:dyDescent="0.15">
      <c r="A549" s="55" t="str">
        <f>HYPERLINK("http://reports.ofsted.gov.uk/inspection-reports/find-inspection-report/provider/CARE/1271998","Ofsted Social Care Provider Webpage")</f>
        <v>Ofsted Social Care Provider Webpage</v>
      </c>
      <c r="B549" s="55">
        <v>1271998</v>
      </c>
      <c r="D549" s="55" t="s">
        <v>373</v>
      </c>
      <c r="E549" s="74">
        <v>43243</v>
      </c>
      <c r="F549" s="55" t="s">
        <v>344</v>
      </c>
      <c r="G549" s="55" t="s">
        <v>360</v>
      </c>
      <c r="H549" s="55" t="s">
        <v>360</v>
      </c>
      <c r="I549" s="55" t="s">
        <v>360</v>
      </c>
      <c r="J549" s="55" t="s">
        <v>360</v>
      </c>
      <c r="K549" s="55" t="s">
        <v>360</v>
      </c>
      <c r="L549" s="55" t="s">
        <v>360</v>
      </c>
      <c r="M549" s="55" t="s">
        <v>144</v>
      </c>
      <c r="N549" s="55" t="s">
        <v>144</v>
      </c>
      <c r="O549" s="55" t="s">
        <v>209</v>
      </c>
      <c r="P549" s="55" t="s">
        <v>555</v>
      </c>
      <c r="Q549" s="55" t="s">
        <v>350</v>
      </c>
      <c r="R549" s="85">
        <v>3</v>
      </c>
      <c r="S549" s="55">
        <v>0</v>
      </c>
      <c r="T549" s="74" t="s">
        <v>377</v>
      </c>
      <c r="U549" s="74" t="s">
        <v>351</v>
      </c>
      <c r="V549" s="74">
        <v>44580</v>
      </c>
      <c r="W549" s="74">
        <v>44615</v>
      </c>
      <c r="X549" s="55">
        <v>10214432</v>
      </c>
      <c r="Y549" s="55" t="s">
        <v>130</v>
      </c>
      <c r="AB549" s="74" t="s">
        <v>130</v>
      </c>
      <c r="AC549" s="55" t="s">
        <v>146</v>
      </c>
      <c r="AL549" s="74"/>
      <c r="AM549" s="74"/>
      <c r="AW549" s="74"/>
      <c r="AX549" s="74"/>
    </row>
    <row r="550" spans="1:50" ht="13" x14ac:dyDescent="0.15">
      <c r="A550" s="55" t="str">
        <f>HYPERLINK("http://reports.ofsted.gov.uk/inspection-reports/find-inspection-report/provider/CARE/1271998","Ofsted Social Care Provider Webpage")</f>
        <v>Ofsted Social Care Provider Webpage</v>
      </c>
      <c r="B550" s="55">
        <v>1271998</v>
      </c>
      <c r="D550" s="55" t="s">
        <v>373</v>
      </c>
      <c r="E550" s="74">
        <v>43243</v>
      </c>
      <c r="F550" s="55" t="s">
        <v>344</v>
      </c>
      <c r="G550" s="55" t="s">
        <v>360</v>
      </c>
      <c r="H550" s="55" t="s">
        <v>360</v>
      </c>
      <c r="I550" s="55" t="s">
        <v>360</v>
      </c>
      <c r="J550" s="55" t="s">
        <v>360</v>
      </c>
      <c r="K550" s="55" t="s">
        <v>360</v>
      </c>
      <c r="L550" s="55" t="s">
        <v>360</v>
      </c>
      <c r="M550" s="55" t="s">
        <v>144</v>
      </c>
      <c r="N550" s="55" t="s">
        <v>144</v>
      </c>
      <c r="O550" s="55" t="s">
        <v>209</v>
      </c>
      <c r="P550" s="55" t="s">
        <v>555</v>
      </c>
      <c r="Q550" s="55" t="s">
        <v>350</v>
      </c>
      <c r="R550" s="85">
        <v>3</v>
      </c>
      <c r="S550" s="55">
        <v>0</v>
      </c>
      <c r="T550" s="74" t="s">
        <v>377</v>
      </c>
      <c r="U550" s="74" t="s">
        <v>2053</v>
      </c>
      <c r="V550" s="74">
        <v>44518</v>
      </c>
      <c r="W550" s="74">
        <v>44565</v>
      </c>
      <c r="X550" s="55">
        <v>10214431</v>
      </c>
      <c r="AL550" s="74"/>
      <c r="AM550" s="74"/>
      <c r="AW550" s="74"/>
      <c r="AX550" s="74"/>
    </row>
    <row r="551" spans="1:50" ht="13" x14ac:dyDescent="0.15">
      <c r="A551" s="55" t="str">
        <f>HYPERLINK("http://reports.ofsted.gov.uk/inspection-reports/find-inspection-report/provider/CARE/1272220","Ofsted Social Care Provider Webpage")</f>
        <v>Ofsted Social Care Provider Webpage</v>
      </c>
      <c r="B551" s="55">
        <v>1272220</v>
      </c>
      <c r="D551" s="55" t="s">
        <v>373</v>
      </c>
      <c r="E551" s="74">
        <v>43229</v>
      </c>
      <c r="F551" s="55" t="s">
        <v>344</v>
      </c>
      <c r="G551" s="55" t="s">
        <v>360</v>
      </c>
      <c r="H551" s="55" t="s">
        <v>360</v>
      </c>
      <c r="I551" s="55" t="s">
        <v>360</v>
      </c>
      <c r="J551" s="55" t="s">
        <v>360</v>
      </c>
      <c r="K551" s="55" t="s">
        <v>360</v>
      </c>
      <c r="L551" s="55" t="s">
        <v>360</v>
      </c>
      <c r="M551" s="55" t="s">
        <v>378</v>
      </c>
      <c r="N551" s="55" t="s">
        <v>170</v>
      </c>
      <c r="O551" s="55" t="s">
        <v>243</v>
      </c>
      <c r="P551" s="55" t="s">
        <v>1222</v>
      </c>
      <c r="Q551" s="55" t="s">
        <v>350</v>
      </c>
      <c r="R551" s="85">
        <v>2</v>
      </c>
      <c r="S551" s="55">
        <v>0</v>
      </c>
      <c r="T551" s="74" t="s">
        <v>1223</v>
      </c>
      <c r="U551" s="74" t="s">
        <v>351</v>
      </c>
      <c r="V551" s="74">
        <v>44340</v>
      </c>
      <c r="W551" s="74">
        <v>44384</v>
      </c>
      <c r="X551" s="55">
        <v>10185713</v>
      </c>
      <c r="Y551" s="55" t="s">
        <v>130</v>
      </c>
      <c r="AB551" s="74" t="s">
        <v>130</v>
      </c>
      <c r="AC551" s="55" t="s">
        <v>130</v>
      </c>
      <c r="AL551" s="74"/>
      <c r="AM551" s="74"/>
    </row>
    <row r="552" spans="1:50" ht="13" x14ac:dyDescent="0.15">
      <c r="A552" s="55" t="str">
        <f>HYPERLINK("http://reports.ofsted.gov.uk/inspection-reports/find-inspection-report/provider/CARE/1272220","Ofsted Social Care Provider Webpage")</f>
        <v>Ofsted Social Care Provider Webpage</v>
      </c>
      <c r="B552" s="55">
        <v>1272220</v>
      </c>
      <c r="D552" s="55" t="s">
        <v>373</v>
      </c>
      <c r="E552" s="74">
        <v>43229</v>
      </c>
      <c r="F552" s="55" t="s">
        <v>344</v>
      </c>
      <c r="G552" s="55" t="s">
        <v>360</v>
      </c>
      <c r="H552" s="55" t="s">
        <v>360</v>
      </c>
      <c r="I552" s="55" t="s">
        <v>360</v>
      </c>
      <c r="J552" s="55" t="s">
        <v>360</v>
      </c>
      <c r="K552" s="55" t="s">
        <v>360</v>
      </c>
      <c r="L552" s="55" t="s">
        <v>360</v>
      </c>
      <c r="M552" s="55" t="s">
        <v>378</v>
      </c>
      <c r="N552" s="55" t="s">
        <v>170</v>
      </c>
      <c r="O552" s="55" t="s">
        <v>243</v>
      </c>
      <c r="P552" s="55" t="s">
        <v>1222</v>
      </c>
      <c r="Q552" s="55" t="s">
        <v>350</v>
      </c>
      <c r="R552" s="85">
        <v>2</v>
      </c>
      <c r="S552" s="55">
        <v>0</v>
      </c>
      <c r="T552" s="74" t="s">
        <v>1223</v>
      </c>
      <c r="U552" s="74" t="s">
        <v>6703</v>
      </c>
      <c r="V552" s="74">
        <v>44566</v>
      </c>
      <c r="W552" s="74">
        <v>44596</v>
      </c>
      <c r="X552" s="55">
        <v>10212759</v>
      </c>
      <c r="Y552" s="55" t="s">
        <v>6706</v>
      </c>
      <c r="AL552" s="74"/>
      <c r="AM552" s="74"/>
      <c r="AW552" s="74"/>
      <c r="AX552" s="74"/>
    </row>
    <row r="553" spans="1:50" ht="13" x14ac:dyDescent="0.15">
      <c r="A553" s="55" t="str">
        <f>HYPERLINK("http://reports.ofsted.gov.uk/inspection-reports/find-inspection-report/provider/CARE/1272461","Ofsted Social Care Provider Webpage")</f>
        <v>Ofsted Social Care Provider Webpage</v>
      </c>
      <c r="B553" s="55">
        <v>1272461</v>
      </c>
      <c r="D553" s="55" t="s">
        <v>373</v>
      </c>
      <c r="E553" s="74">
        <v>43148</v>
      </c>
      <c r="F553" s="55" t="s">
        <v>344</v>
      </c>
      <c r="G553" s="55" t="s">
        <v>360</v>
      </c>
      <c r="H553" s="55" t="s">
        <v>360</v>
      </c>
      <c r="I553" s="55" t="s">
        <v>360</v>
      </c>
      <c r="J553" s="55" t="s">
        <v>360</v>
      </c>
      <c r="K553" s="55" t="s">
        <v>360</v>
      </c>
      <c r="L553" s="55" t="s">
        <v>360</v>
      </c>
      <c r="M553" s="55" t="s">
        <v>129</v>
      </c>
      <c r="N553" s="55" t="s">
        <v>129</v>
      </c>
      <c r="O553" s="55" t="s">
        <v>191</v>
      </c>
      <c r="P553" s="55" t="s">
        <v>1224</v>
      </c>
      <c r="Q553" s="55" t="s">
        <v>350</v>
      </c>
      <c r="R553" s="85">
        <v>4</v>
      </c>
      <c r="S553" s="55">
        <v>0</v>
      </c>
      <c r="T553" s="74" t="s">
        <v>939</v>
      </c>
      <c r="U553" s="74" t="s">
        <v>351</v>
      </c>
      <c r="V553" s="74">
        <v>44622</v>
      </c>
      <c r="W553" s="74">
        <v>44678</v>
      </c>
      <c r="X553" s="55">
        <v>10185137</v>
      </c>
      <c r="Y553" s="55" t="s">
        <v>140</v>
      </c>
      <c r="AB553" s="74" t="s">
        <v>140</v>
      </c>
      <c r="AC553" s="55" t="s">
        <v>140</v>
      </c>
      <c r="AL553" s="74"/>
      <c r="AM553" s="74"/>
    </row>
    <row r="554" spans="1:50" ht="13" x14ac:dyDescent="0.15">
      <c r="A554" s="55" t="str">
        <f>HYPERLINK("http://reports.ofsted.gov.uk/inspection-reports/find-inspection-report/provider/CARE/1272657","Ofsted Social Care Provider Webpage")</f>
        <v>Ofsted Social Care Provider Webpage</v>
      </c>
      <c r="B554" s="55">
        <v>1272657</v>
      </c>
      <c r="D554" s="55" t="s">
        <v>373</v>
      </c>
      <c r="E554" s="74">
        <v>43258</v>
      </c>
      <c r="F554" s="55" t="s">
        <v>344</v>
      </c>
      <c r="G554" s="55" t="s">
        <v>360</v>
      </c>
      <c r="H554" s="55" t="s">
        <v>360</v>
      </c>
      <c r="I554" s="55" t="s">
        <v>360</v>
      </c>
      <c r="J554" s="55" t="s">
        <v>360</v>
      </c>
      <c r="K554" s="55" t="s">
        <v>360</v>
      </c>
      <c r="L554" s="55" t="s">
        <v>360</v>
      </c>
      <c r="M554" s="55" t="s">
        <v>138</v>
      </c>
      <c r="N554" s="55" t="s">
        <v>138</v>
      </c>
      <c r="O554" s="55" t="s">
        <v>266</v>
      </c>
      <c r="P554" s="55" t="s">
        <v>449</v>
      </c>
      <c r="Q554" s="55" t="s">
        <v>350</v>
      </c>
      <c r="R554" s="85">
        <v>4</v>
      </c>
      <c r="S554" s="55">
        <v>0</v>
      </c>
      <c r="T554" s="74" t="s">
        <v>1225</v>
      </c>
      <c r="U554" s="74" t="s">
        <v>351</v>
      </c>
      <c r="V554" s="74">
        <v>44488</v>
      </c>
      <c r="W554" s="74">
        <v>44523</v>
      </c>
      <c r="X554" s="55">
        <v>10185191</v>
      </c>
      <c r="Y554" s="55" t="s">
        <v>130</v>
      </c>
      <c r="AB554" s="74" t="s">
        <v>130</v>
      </c>
      <c r="AC554" s="55" t="s">
        <v>146</v>
      </c>
      <c r="AL554" s="74"/>
      <c r="AM554" s="74"/>
    </row>
    <row r="555" spans="1:50" ht="13" x14ac:dyDescent="0.15">
      <c r="A555" s="55" t="str">
        <f>HYPERLINK("http://reports.ofsted.gov.uk/inspection-reports/find-inspection-report/provider/CARE/1273485","Ofsted Social Care Provider Webpage")</f>
        <v>Ofsted Social Care Provider Webpage</v>
      </c>
      <c r="B555" s="55">
        <v>1273485</v>
      </c>
      <c r="D555" s="55" t="s">
        <v>373</v>
      </c>
      <c r="E555" s="74">
        <v>43180</v>
      </c>
      <c r="F555" s="55" t="s">
        <v>344</v>
      </c>
      <c r="G555" s="55" t="s">
        <v>360</v>
      </c>
      <c r="H555" s="55" t="s">
        <v>360</v>
      </c>
      <c r="I555" s="55" t="s">
        <v>360</v>
      </c>
      <c r="J555" s="55" t="s">
        <v>360</v>
      </c>
      <c r="K555" s="55" t="s">
        <v>360</v>
      </c>
      <c r="L555" s="55" t="s">
        <v>360</v>
      </c>
      <c r="M555" s="55" t="s">
        <v>142</v>
      </c>
      <c r="N555" s="55" t="s">
        <v>142</v>
      </c>
      <c r="O555" s="55" t="s">
        <v>141</v>
      </c>
      <c r="P555" s="55" t="s">
        <v>1226</v>
      </c>
      <c r="Q555" s="55" t="s">
        <v>362</v>
      </c>
      <c r="R555" s="85">
        <v>7</v>
      </c>
      <c r="S555" s="55" t="s">
        <v>332</v>
      </c>
      <c r="T555" s="74" t="s">
        <v>1227</v>
      </c>
      <c r="U555" s="74" t="s">
        <v>351</v>
      </c>
      <c r="V555" s="74">
        <v>44446</v>
      </c>
      <c r="W555" s="74">
        <v>44482</v>
      </c>
      <c r="X555" s="55">
        <v>10187466</v>
      </c>
      <c r="Y555" s="55" t="s">
        <v>132</v>
      </c>
      <c r="AB555" s="74" t="s">
        <v>132</v>
      </c>
      <c r="AC555" s="55" t="s">
        <v>132</v>
      </c>
      <c r="AL555" s="74"/>
      <c r="AM555" s="74"/>
      <c r="AW555" s="74"/>
      <c r="AX555" s="74"/>
    </row>
    <row r="556" spans="1:50" ht="13" x14ac:dyDescent="0.15">
      <c r="A556" s="55" t="str">
        <f>HYPERLINK("http://reports.ofsted.gov.uk/inspection-reports/find-inspection-report/provider/CARE/1273497","Ofsted Social Care Provider Webpage")</f>
        <v>Ofsted Social Care Provider Webpage</v>
      </c>
      <c r="B556" s="55">
        <v>1273497</v>
      </c>
      <c r="D556" s="55" t="s">
        <v>373</v>
      </c>
      <c r="E556" s="74">
        <v>43179</v>
      </c>
      <c r="F556" s="55" t="s">
        <v>344</v>
      </c>
      <c r="G556" s="55" t="s">
        <v>360</v>
      </c>
      <c r="H556" s="55" t="s">
        <v>360</v>
      </c>
      <c r="I556" s="55" t="s">
        <v>360</v>
      </c>
      <c r="J556" s="55" t="s">
        <v>360</v>
      </c>
      <c r="K556" s="55" t="s">
        <v>360</v>
      </c>
      <c r="L556" s="55" t="s">
        <v>360</v>
      </c>
      <c r="M556" s="55" t="s">
        <v>142</v>
      </c>
      <c r="N556" s="55" t="s">
        <v>142</v>
      </c>
      <c r="O556" s="55" t="s">
        <v>141</v>
      </c>
      <c r="P556" s="55" t="s">
        <v>774</v>
      </c>
      <c r="Q556" s="55" t="s">
        <v>362</v>
      </c>
      <c r="R556" s="85">
        <v>3</v>
      </c>
      <c r="S556" s="55" t="s">
        <v>332</v>
      </c>
      <c r="T556" s="74" t="s">
        <v>1227</v>
      </c>
      <c r="U556" s="74" t="s">
        <v>351</v>
      </c>
      <c r="V556" s="74">
        <v>44299</v>
      </c>
      <c r="W556" s="74">
        <v>44329</v>
      </c>
      <c r="X556" s="55">
        <v>10185445</v>
      </c>
      <c r="Y556" s="55" t="s">
        <v>130</v>
      </c>
      <c r="AB556" s="74" t="s">
        <v>130</v>
      </c>
      <c r="AC556" s="55" t="s">
        <v>130</v>
      </c>
      <c r="AL556" s="74"/>
      <c r="AM556" s="74"/>
      <c r="AW556" s="74"/>
      <c r="AX556" s="74"/>
    </row>
    <row r="557" spans="1:50" ht="13" x14ac:dyDescent="0.15">
      <c r="A557" s="55" t="str">
        <f>HYPERLINK("http://reports.ofsted.gov.uk/inspection-reports/find-inspection-report/provider/CARE/1273497","Ofsted Social Care Provider Webpage")</f>
        <v>Ofsted Social Care Provider Webpage</v>
      </c>
      <c r="B557" s="55">
        <v>1273497</v>
      </c>
      <c r="D557" s="55" t="s">
        <v>373</v>
      </c>
      <c r="E557" s="74">
        <v>43179</v>
      </c>
      <c r="F557" s="55" t="s">
        <v>344</v>
      </c>
      <c r="G557" s="55" t="s">
        <v>360</v>
      </c>
      <c r="H557" s="55" t="s">
        <v>360</v>
      </c>
      <c r="I557" s="55" t="s">
        <v>360</v>
      </c>
      <c r="J557" s="55" t="s">
        <v>360</v>
      </c>
      <c r="K557" s="55" t="s">
        <v>360</v>
      </c>
      <c r="L557" s="55" t="s">
        <v>360</v>
      </c>
      <c r="M557" s="55" t="s">
        <v>142</v>
      </c>
      <c r="N557" s="55" t="s">
        <v>142</v>
      </c>
      <c r="O557" s="55" t="s">
        <v>141</v>
      </c>
      <c r="P557" s="55" t="s">
        <v>774</v>
      </c>
      <c r="Q557" s="55" t="s">
        <v>362</v>
      </c>
      <c r="R557" s="85">
        <v>3</v>
      </c>
      <c r="S557" s="55" t="s">
        <v>332</v>
      </c>
      <c r="T557" s="74" t="s">
        <v>1227</v>
      </c>
      <c r="U557" s="74" t="s">
        <v>2053</v>
      </c>
      <c r="V557" s="74">
        <v>44349</v>
      </c>
      <c r="W557" s="74">
        <v>44371</v>
      </c>
      <c r="X557" s="55">
        <v>10188801</v>
      </c>
      <c r="AL557" s="74"/>
      <c r="AM557" s="74"/>
      <c r="AW557" s="74"/>
      <c r="AX557" s="74"/>
    </row>
    <row r="558" spans="1:50" ht="13" x14ac:dyDescent="0.15">
      <c r="A558" s="55" t="str">
        <f>HYPERLINK("http://reports.ofsted.gov.uk/inspection-reports/find-inspection-report/provider/CARE/1273497","Ofsted Social Care Provider Webpage")</f>
        <v>Ofsted Social Care Provider Webpage</v>
      </c>
      <c r="B558" s="55">
        <v>1273497</v>
      </c>
      <c r="D558" s="55" t="s">
        <v>373</v>
      </c>
      <c r="E558" s="74">
        <v>43179</v>
      </c>
      <c r="F558" s="55" t="s">
        <v>344</v>
      </c>
      <c r="G558" s="55" t="s">
        <v>360</v>
      </c>
      <c r="H558" s="55" t="s">
        <v>360</v>
      </c>
      <c r="I558" s="55" t="s">
        <v>360</v>
      </c>
      <c r="J558" s="55" t="s">
        <v>360</v>
      </c>
      <c r="K558" s="55" t="s">
        <v>360</v>
      </c>
      <c r="L558" s="55" t="s">
        <v>360</v>
      </c>
      <c r="M558" s="55" t="s">
        <v>142</v>
      </c>
      <c r="N558" s="55" t="s">
        <v>142</v>
      </c>
      <c r="O558" s="55" t="s">
        <v>141</v>
      </c>
      <c r="P558" s="55" t="s">
        <v>774</v>
      </c>
      <c r="Q558" s="55" t="s">
        <v>362</v>
      </c>
      <c r="R558" s="85">
        <v>3</v>
      </c>
      <c r="S558" s="55" t="s">
        <v>332</v>
      </c>
      <c r="T558" s="74" t="s">
        <v>1227</v>
      </c>
      <c r="U558" s="74" t="s">
        <v>6703</v>
      </c>
      <c r="V558" s="74">
        <v>44620</v>
      </c>
      <c r="W558" s="74">
        <v>44664</v>
      </c>
      <c r="X558" s="55">
        <v>10217230</v>
      </c>
      <c r="Y558" s="55" t="s">
        <v>6706</v>
      </c>
      <c r="AL558" s="74"/>
      <c r="AM558" s="74"/>
      <c r="AW558" s="74"/>
      <c r="AX558" s="74"/>
    </row>
    <row r="559" spans="1:50" ht="13" x14ac:dyDescent="0.15">
      <c r="A559" s="55" t="str">
        <f>HYPERLINK("http://reports.ofsted.gov.uk/inspection-reports/find-inspection-report/provider/CARE/1273591","Ofsted Social Care Provider Webpage")</f>
        <v>Ofsted Social Care Provider Webpage</v>
      </c>
      <c r="B559" s="55">
        <v>1273591</v>
      </c>
      <c r="D559" s="55" t="s">
        <v>389</v>
      </c>
      <c r="E559" s="74">
        <v>43178</v>
      </c>
      <c r="F559" s="55" t="s">
        <v>344</v>
      </c>
      <c r="G559" s="55" t="s">
        <v>1232</v>
      </c>
      <c r="H559" s="55" t="s">
        <v>1229</v>
      </c>
      <c r="I559" s="55" t="s">
        <v>354</v>
      </c>
      <c r="J559" s="55" t="s">
        <v>141</v>
      </c>
      <c r="K559" s="55" t="s">
        <v>142</v>
      </c>
      <c r="L559" s="55" t="s">
        <v>1230</v>
      </c>
      <c r="M559" s="55" t="s">
        <v>142</v>
      </c>
      <c r="N559" s="55" t="s">
        <v>142</v>
      </c>
      <c r="O559" s="55" t="s">
        <v>141</v>
      </c>
      <c r="P559" s="55" t="s">
        <v>1231</v>
      </c>
      <c r="Q559" s="55" t="s">
        <v>362</v>
      </c>
      <c r="S559" s="55">
        <v>0</v>
      </c>
      <c r="T559" s="74" t="s">
        <v>1227</v>
      </c>
      <c r="U559" s="74" t="s">
        <v>351</v>
      </c>
      <c r="V559" s="74">
        <v>44424</v>
      </c>
      <c r="W559" s="74">
        <v>44463</v>
      </c>
      <c r="X559" s="55">
        <v>10183274</v>
      </c>
      <c r="Y559" s="55" t="s">
        <v>132</v>
      </c>
      <c r="AB559" s="74" t="s">
        <v>132</v>
      </c>
      <c r="AC559" s="55" t="s">
        <v>130</v>
      </c>
      <c r="AL559" s="74"/>
      <c r="AM559" s="74"/>
      <c r="AW559" s="74"/>
      <c r="AX559" s="74"/>
    </row>
    <row r="560" spans="1:50" ht="13" x14ac:dyDescent="0.15">
      <c r="A560" s="55" t="str">
        <f>HYPERLINK("http://reports.ofsted.gov.uk/inspection-reports/find-inspection-report/provider/CARE/1273658","Ofsted Social Care Provider Webpage")</f>
        <v>Ofsted Social Care Provider Webpage</v>
      </c>
      <c r="B560" s="55">
        <v>1273658</v>
      </c>
      <c r="D560" s="55" t="s">
        <v>373</v>
      </c>
      <c r="E560" s="74">
        <v>43179</v>
      </c>
      <c r="F560" s="55" t="s">
        <v>344</v>
      </c>
      <c r="G560" s="55" t="s">
        <v>360</v>
      </c>
      <c r="H560" s="55" t="s">
        <v>360</v>
      </c>
      <c r="I560" s="55" t="s">
        <v>360</v>
      </c>
      <c r="J560" s="55" t="s">
        <v>360</v>
      </c>
      <c r="K560" s="55" t="s">
        <v>360</v>
      </c>
      <c r="L560" s="55" t="s">
        <v>360</v>
      </c>
      <c r="M560" s="55" t="s">
        <v>142</v>
      </c>
      <c r="N560" s="55" t="s">
        <v>142</v>
      </c>
      <c r="O560" s="55" t="s">
        <v>141</v>
      </c>
      <c r="P560" s="55" t="s">
        <v>774</v>
      </c>
      <c r="Q560" s="55" t="s">
        <v>362</v>
      </c>
      <c r="R560" s="85">
        <v>16</v>
      </c>
      <c r="S560" s="55">
        <v>0</v>
      </c>
      <c r="T560" s="74" t="s">
        <v>1227</v>
      </c>
      <c r="U560" s="74" t="s">
        <v>351</v>
      </c>
      <c r="V560" s="74">
        <v>44467</v>
      </c>
      <c r="W560" s="74">
        <v>44510</v>
      </c>
      <c r="X560" s="55">
        <v>10185645</v>
      </c>
      <c r="Y560" s="55" t="s">
        <v>132</v>
      </c>
      <c r="AB560" s="74" t="s">
        <v>132</v>
      </c>
      <c r="AC560" s="55" t="s">
        <v>130</v>
      </c>
      <c r="AL560" s="74"/>
      <c r="AM560" s="74"/>
      <c r="AW560" s="74"/>
      <c r="AX560" s="74"/>
    </row>
    <row r="561" spans="1:50" ht="13" x14ac:dyDescent="0.15">
      <c r="A561" s="55" t="str">
        <f>HYPERLINK("http://reports.ofsted.gov.uk/inspection-reports/find-inspection-report/provider/CARE/1273663","Ofsted Social Care Provider Webpage")</f>
        <v>Ofsted Social Care Provider Webpage</v>
      </c>
      <c r="B561" s="55">
        <v>1273663</v>
      </c>
      <c r="D561" s="55" t="s">
        <v>373</v>
      </c>
      <c r="E561" s="74">
        <v>43179</v>
      </c>
      <c r="F561" s="55" t="s">
        <v>344</v>
      </c>
      <c r="G561" s="55" t="s">
        <v>360</v>
      </c>
      <c r="H561" s="55" t="s">
        <v>360</v>
      </c>
      <c r="I561" s="55" t="s">
        <v>360</v>
      </c>
      <c r="J561" s="55" t="s">
        <v>360</v>
      </c>
      <c r="K561" s="55" t="s">
        <v>360</v>
      </c>
      <c r="L561" s="55" t="s">
        <v>360</v>
      </c>
      <c r="M561" s="55" t="s">
        <v>142</v>
      </c>
      <c r="N561" s="55" t="s">
        <v>142</v>
      </c>
      <c r="O561" s="55" t="s">
        <v>141</v>
      </c>
      <c r="P561" s="55" t="s">
        <v>1231</v>
      </c>
      <c r="Q561" s="55" t="s">
        <v>362</v>
      </c>
      <c r="R561" s="85">
        <v>12</v>
      </c>
      <c r="S561" s="55">
        <v>0</v>
      </c>
      <c r="T561" s="74" t="s">
        <v>1227</v>
      </c>
      <c r="U561" s="74" t="s">
        <v>351</v>
      </c>
      <c r="V561" s="74">
        <v>44356</v>
      </c>
      <c r="W561" s="74">
        <v>44411</v>
      </c>
      <c r="X561" s="55">
        <v>10185398</v>
      </c>
      <c r="Y561" s="55" t="s">
        <v>130</v>
      </c>
      <c r="AB561" s="74" t="s">
        <v>130</v>
      </c>
      <c r="AC561" s="55" t="s">
        <v>130</v>
      </c>
      <c r="AL561" s="74"/>
      <c r="AM561" s="74"/>
      <c r="AW561" s="74"/>
      <c r="AX561" s="74"/>
    </row>
    <row r="562" spans="1:50" ht="13" x14ac:dyDescent="0.15">
      <c r="A562" s="55" t="str">
        <f>HYPERLINK("http://reports.ofsted.gov.uk/inspection-reports/find-inspection-report/provider/CARE/1273663","Ofsted Social Care Provider Webpage")</f>
        <v>Ofsted Social Care Provider Webpage</v>
      </c>
      <c r="B562" s="55">
        <v>1273663</v>
      </c>
      <c r="D562" s="55" t="s">
        <v>373</v>
      </c>
      <c r="E562" s="74">
        <v>43179</v>
      </c>
      <c r="F562" s="55" t="s">
        <v>344</v>
      </c>
      <c r="G562" s="55" t="s">
        <v>360</v>
      </c>
      <c r="H562" s="55" t="s">
        <v>360</v>
      </c>
      <c r="I562" s="55" t="s">
        <v>360</v>
      </c>
      <c r="J562" s="55" t="s">
        <v>360</v>
      </c>
      <c r="K562" s="55" t="s">
        <v>360</v>
      </c>
      <c r="L562" s="55" t="s">
        <v>360</v>
      </c>
      <c r="M562" s="55" t="s">
        <v>142</v>
      </c>
      <c r="N562" s="55" t="s">
        <v>142</v>
      </c>
      <c r="O562" s="55" t="s">
        <v>141</v>
      </c>
      <c r="P562" s="55" t="s">
        <v>1231</v>
      </c>
      <c r="Q562" s="55" t="s">
        <v>362</v>
      </c>
      <c r="R562" s="85">
        <v>12</v>
      </c>
      <c r="S562" s="55">
        <v>0</v>
      </c>
      <c r="T562" s="74" t="s">
        <v>1227</v>
      </c>
      <c r="U562" s="74" t="s">
        <v>2053</v>
      </c>
      <c r="V562" s="74">
        <v>44628</v>
      </c>
      <c r="W562" s="74">
        <v>44670</v>
      </c>
      <c r="X562" s="55">
        <v>10220232</v>
      </c>
      <c r="AL562" s="74"/>
      <c r="AM562" s="74"/>
    </row>
    <row r="563" spans="1:50" ht="13" x14ac:dyDescent="0.15">
      <c r="A563" s="55" t="str">
        <f>HYPERLINK("http://reports.ofsted.gov.uk/inspection-reports/find-inspection-report/provider/CARE/1273663","Ofsted Social Care Provider Webpage")</f>
        <v>Ofsted Social Care Provider Webpage</v>
      </c>
      <c r="B563" s="55">
        <v>1273663</v>
      </c>
      <c r="D563" s="55" t="s">
        <v>373</v>
      </c>
      <c r="E563" s="74">
        <v>43179</v>
      </c>
      <c r="F563" s="55" t="s">
        <v>344</v>
      </c>
      <c r="G563" s="55" t="s">
        <v>360</v>
      </c>
      <c r="H563" s="55" t="s">
        <v>360</v>
      </c>
      <c r="I563" s="55" t="s">
        <v>360</v>
      </c>
      <c r="J563" s="55" t="s">
        <v>360</v>
      </c>
      <c r="K563" s="55" t="s">
        <v>360</v>
      </c>
      <c r="L563" s="55" t="s">
        <v>360</v>
      </c>
      <c r="M563" s="55" t="s">
        <v>142</v>
      </c>
      <c r="N563" s="55" t="s">
        <v>142</v>
      </c>
      <c r="O563" s="55" t="s">
        <v>141</v>
      </c>
      <c r="P563" s="55" t="s">
        <v>1231</v>
      </c>
      <c r="Q563" s="55" t="s">
        <v>362</v>
      </c>
      <c r="R563" s="85">
        <v>12</v>
      </c>
      <c r="S563" s="55">
        <v>0</v>
      </c>
      <c r="T563" s="74" t="s">
        <v>1227</v>
      </c>
      <c r="U563" s="74" t="s">
        <v>6703</v>
      </c>
      <c r="V563" s="74">
        <v>44572</v>
      </c>
      <c r="W563" s="74">
        <v>44607</v>
      </c>
      <c r="X563" s="55">
        <v>10217229</v>
      </c>
      <c r="Y563" s="55" t="s">
        <v>6706</v>
      </c>
      <c r="AL563" s="74"/>
      <c r="AM563" s="74"/>
      <c r="AW563" s="74"/>
      <c r="AX563" s="74"/>
    </row>
    <row r="564" spans="1:50" ht="13" x14ac:dyDescent="0.15">
      <c r="A564" s="55" t="str">
        <f>HYPERLINK("http://reports.ofsted.gov.uk/inspection-reports/find-inspection-report/provider/CARE/1273719","Ofsted Social Care Provider Webpage")</f>
        <v>Ofsted Social Care Provider Webpage</v>
      </c>
      <c r="B564" s="55">
        <v>1273719</v>
      </c>
      <c r="D564" s="55" t="s">
        <v>373</v>
      </c>
      <c r="E564" s="74">
        <v>43255</v>
      </c>
      <c r="F564" s="55" t="s">
        <v>344</v>
      </c>
      <c r="G564" s="55" t="s">
        <v>360</v>
      </c>
      <c r="H564" s="55" t="s">
        <v>360</v>
      </c>
      <c r="I564" s="55" t="s">
        <v>360</v>
      </c>
      <c r="J564" s="55" t="s">
        <v>360</v>
      </c>
      <c r="K564" s="55" t="s">
        <v>360</v>
      </c>
      <c r="L564" s="55" t="s">
        <v>360</v>
      </c>
      <c r="M564" s="55" t="s">
        <v>129</v>
      </c>
      <c r="N564" s="55" t="s">
        <v>129</v>
      </c>
      <c r="O564" s="55" t="s">
        <v>167</v>
      </c>
      <c r="P564" s="55" t="s">
        <v>866</v>
      </c>
      <c r="Q564" s="55" t="s">
        <v>350</v>
      </c>
      <c r="R564" s="85">
        <v>3</v>
      </c>
      <c r="S564" s="55">
        <v>0</v>
      </c>
      <c r="T564" s="74" t="s">
        <v>1233</v>
      </c>
      <c r="U564" s="74" t="s">
        <v>351</v>
      </c>
      <c r="V564" s="74">
        <v>44501</v>
      </c>
      <c r="W564" s="74">
        <v>44547</v>
      </c>
      <c r="X564" s="55">
        <v>10185535</v>
      </c>
      <c r="Y564" s="55" t="s">
        <v>140</v>
      </c>
      <c r="AB564" s="74" t="s">
        <v>132</v>
      </c>
      <c r="AC564" s="55" t="s">
        <v>140</v>
      </c>
      <c r="AL564" s="74"/>
      <c r="AM564" s="74"/>
    </row>
    <row r="565" spans="1:50" ht="13" x14ac:dyDescent="0.15">
      <c r="A565" s="55" t="str">
        <f>HYPERLINK("http://reports.ofsted.gov.uk/inspection-reports/find-inspection-report/provider/CARE/1273769","Ofsted Social Care Provider Webpage")</f>
        <v>Ofsted Social Care Provider Webpage</v>
      </c>
      <c r="B565" s="55">
        <v>1273769</v>
      </c>
      <c r="D565" s="55" t="s">
        <v>373</v>
      </c>
      <c r="E565" s="74">
        <v>43424</v>
      </c>
      <c r="F565" s="55" t="s">
        <v>344</v>
      </c>
      <c r="G565" s="55" t="s">
        <v>360</v>
      </c>
      <c r="H565" s="55" t="s">
        <v>360</v>
      </c>
      <c r="I565" s="55" t="s">
        <v>360</v>
      </c>
      <c r="J565" s="55" t="s">
        <v>360</v>
      </c>
      <c r="K565" s="55" t="s">
        <v>360</v>
      </c>
      <c r="L565" s="55" t="s">
        <v>360</v>
      </c>
      <c r="M565" s="55" t="s">
        <v>142</v>
      </c>
      <c r="N565" s="55" t="s">
        <v>142</v>
      </c>
      <c r="O565" s="55" t="s">
        <v>292</v>
      </c>
      <c r="P565" s="55" t="s">
        <v>1162</v>
      </c>
      <c r="Q565" s="55" t="s">
        <v>350</v>
      </c>
      <c r="R565" s="85">
        <v>3</v>
      </c>
      <c r="S565" s="55">
        <v>0</v>
      </c>
      <c r="T565" s="74" t="s">
        <v>1234</v>
      </c>
      <c r="U565" s="74" t="s">
        <v>351</v>
      </c>
      <c r="V565" s="74">
        <v>44314</v>
      </c>
      <c r="W565" s="74">
        <v>44365</v>
      </c>
      <c r="X565" s="55">
        <v>10186545</v>
      </c>
      <c r="Y565" s="55" t="s">
        <v>130</v>
      </c>
      <c r="AB565" s="74" t="s">
        <v>130</v>
      </c>
      <c r="AC565" s="55" t="s">
        <v>130</v>
      </c>
      <c r="AL565" s="74"/>
      <c r="AM565" s="74"/>
    </row>
    <row r="566" spans="1:50" ht="13" x14ac:dyDescent="0.15">
      <c r="A566" s="55" t="str">
        <f>HYPERLINK("http://reports.ofsted.gov.uk/inspection-reports/find-inspection-report/provider/CARE/1273769","Ofsted Social Care Provider Webpage")</f>
        <v>Ofsted Social Care Provider Webpage</v>
      </c>
      <c r="B566" s="55">
        <v>1273769</v>
      </c>
      <c r="D566" s="55" t="s">
        <v>373</v>
      </c>
      <c r="E566" s="74">
        <v>43424</v>
      </c>
      <c r="F566" s="55" t="s">
        <v>344</v>
      </c>
      <c r="G566" s="55" t="s">
        <v>360</v>
      </c>
      <c r="H566" s="55" t="s">
        <v>360</v>
      </c>
      <c r="I566" s="55" t="s">
        <v>360</v>
      </c>
      <c r="J566" s="55" t="s">
        <v>360</v>
      </c>
      <c r="K566" s="55" t="s">
        <v>360</v>
      </c>
      <c r="L566" s="55" t="s">
        <v>360</v>
      </c>
      <c r="M566" s="55" t="s">
        <v>142</v>
      </c>
      <c r="N566" s="55" t="s">
        <v>142</v>
      </c>
      <c r="O566" s="55" t="s">
        <v>292</v>
      </c>
      <c r="P566" s="55" t="s">
        <v>1162</v>
      </c>
      <c r="Q566" s="55" t="s">
        <v>350</v>
      </c>
      <c r="R566" s="85">
        <v>3</v>
      </c>
      <c r="S566" s="55">
        <v>0</v>
      </c>
      <c r="T566" s="74" t="s">
        <v>1234</v>
      </c>
      <c r="U566" s="74" t="s">
        <v>2053</v>
      </c>
      <c r="V566" s="74">
        <v>44503</v>
      </c>
      <c r="W566" s="74">
        <v>44539</v>
      </c>
      <c r="X566" s="55">
        <v>10209740</v>
      </c>
      <c r="AL566" s="74"/>
      <c r="AM566" s="74"/>
      <c r="AW566" s="74"/>
      <c r="AX566" s="74"/>
    </row>
    <row r="567" spans="1:50" ht="13" x14ac:dyDescent="0.15">
      <c r="A567" s="55" t="str">
        <f>HYPERLINK("http://reports.ofsted.gov.uk/inspection-reports/find-inspection-report/provider/CARE/1273769","Ofsted Social Care Provider Webpage")</f>
        <v>Ofsted Social Care Provider Webpage</v>
      </c>
      <c r="B567" s="55">
        <v>1273769</v>
      </c>
      <c r="D567" s="55" t="s">
        <v>373</v>
      </c>
      <c r="E567" s="74">
        <v>43424</v>
      </c>
      <c r="F567" s="55" t="s">
        <v>344</v>
      </c>
      <c r="G567" s="55" t="s">
        <v>360</v>
      </c>
      <c r="H567" s="55" t="s">
        <v>360</v>
      </c>
      <c r="I567" s="55" t="s">
        <v>360</v>
      </c>
      <c r="J567" s="55" t="s">
        <v>360</v>
      </c>
      <c r="K567" s="55" t="s">
        <v>360</v>
      </c>
      <c r="L567" s="55" t="s">
        <v>360</v>
      </c>
      <c r="M567" s="55" t="s">
        <v>142</v>
      </c>
      <c r="N567" s="55" t="s">
        <v>142</v>
      </c>
      <c r="O567" s="55" t="s">
        <v>292</v>
      </c>
      <c r="P567" s="55" t="s">
        <v>1162</v>
      </c>
      <c r="Q567" s="55" t="s">
        <v>350</v>
      </c>
      <c r="R567" s="85">
        <v>3</v>
      </c>
      <c r="S567" s="55">
        <v>0</v>
      </c>
      <c r="T567" s="74" t="s">
        <v>1234</v>
      </c>
      <c r="U567" s="74" t="s">
        <v>6703</v>
      </c>
      <c r="V567" s="74">
        <v>44455</v>
      </c>
      <c r="W567" s="74">
        <v>44494</v>
      </c>
      <c r="X567" s="55">
        <v>10206923</v>
      </c>
      <c r="Y567" s="55" t="s">
        <v>6704</v>
      </c>
      <c r="AL567" s="74"/>
      <c r="AM567" s="74"/>
      <c r="AW567" s="74"/>
      <c r="AX567" s="74"/>
    </row>
    <row r="568" spans="1:50" ht="13" x14ac:dyDescent="0.15">
      <c r="A568" s="55" t="str">
        <f>HYPERLINK("http://reports.ofsted.gov.uk/inspection-reports/find-inspection-report/provider/CARE/1274093","Ofsted Social Care Provider Webpage")</f>
        <v>Ofsted Social Care Provider Webpage</v>
      </c>
      <c r="B568" s="55">
        <v>1274093</v>
      </c>
      <c r="D568" s="55" t="s">
        <v>373</v>
      </c>
      <c r="E568" s="74">
        <v>43258</v>
      </c>
      <c r="F568" s="55" t="s">
        <v>344</v>
      </c>
      <c r="G568" s="55" t="s">
        <v>360</v>
      </c>
      <c r="H568" s="55" t="s">
        <v>360</v>
      </c>
      <c r="I568" s="55" t="s">
        <v>360</v>
      </c>
      <c r="J568" s="55" t="s">
        <v>360</v>
      </c>
      <c r="K568" s="55" t="s">
        <v>360</v>
      </c>
      <c r="L568" s="55" t="s">
        <v>360</v>
      </c>
      <c r="M568" s="55" t="s">
        <v>172</v>
      </c>
      <c r="N568" s="55" t="s">
        <v>172</v>
      </c>
      <c r="O568" s="55" t="s">
        <v>228</v>
      </c>
      <c r="P568" s="55" t="s">
        <v>991</v>
      </c>
      <c r="Q568" s="55" t="s">
        <v>350</v>
      </c>
      <c r="R568" s="85">
        <v>5</v>
      </c>
      <c r="S568" s="55">
        <v>0</v>
      </c>
      <c r="T568" s="74" t="s">
        <v>962</v>
      </c>
      <c r="U568" s="74" t="s">
        <v>351</v>
      </c>
      <c r="V568" s="74">
        <v>44516</v>
      </c>
      <c r="W568" s="74">
        <v>44559</v>
      </c>
      <c r="X568" s="55">
        <v>10186373</v>
      </c>
      <c r="Y568" s="55" t="s">
        <v>132</v>
      </c>
      <c r="AB568" s="74" t="s">
        <v>132</v>
      </c>
      <c r="AC568" s="55" t="s">
        <v>132</v>
      </c>
      <c r="AL568" s="74"/>
      <c r="AM568" s="74"/>
      <c r="AW568" s="74"/>
      <c r="AX568" s="74"/>
    </row>
    <row r="569" spans="1:50" ht="13" x14ac:dyDescent="0.15">
      <c r="A569" s="55" t="str">
        <f>HYPERLINK("http://reports.ofsted.gov.uk/inspection-reports/find-inspection-report/provider/CARE/1274341","Ofsted Social Care Provider Webpage")</f>
        <v>Ofsted Social Care Provider Webpage</v>
      </c>
      <c r="B569" s="55">
        <v>1274341</v>
      </c>
      <c r="D569" s="55" t="s">
        <v>373</v>
      </c>
      <c r="E569" s="74">
        <v>43213</v>
      </c>
      <c r="F569" s="55" t="s">
        <v>344</v>
      </c>
      <c r="G569" s="55" t="s">
        <v>360</v>
      </c>
      <c r="H569" s="55" t="s">
        <v>360</v>
      </c>
      <c r="I569" s="55" t="s">
        <v>360</v>
      </c>
      <c r="J569" s="55" t="s">
        <v>360</v>
      </c>
      <c r="K569" s="55" t="s">
        <v>360</v>
      </c>
      <c r="L569" s="55" t="s">
        <v>360</v>
      </c>
      <c r="M569" s="55" t="s">
        <v>136</v>
      </c>
      <c r="N569" s="55" t="s">
        <v>136</v>
      </c>
      <c r="O569" s="55" t="s">
        <v>288</v>
      </c>
      <c r="P569" s="55" t="s">
        <v>1235</v>
      </c>
      <c r="Q569" s="55" t="s">
        <v>350</v>
      </c>
      <c r="R569" s="85">
        <v>3</v>
      </c>
      <c r="S569" s="55">
        <v>0</v>
      </c>
      <c r="T569" s="74" t="s">
        <v>1236</v>
      </c>
      <c r="U569" s="74" t="s">
        <v>6703</v>
      </c>
      <c r="V569" s="74">
        <v>44621</v>
      </c>
      <c r="W569" s="74">
        <v>44664</v>
      </c>
      <c r="X569" s="55">
        <v>10212849</v>
      </c>
      <c r="Y569" s="55" t="s">
        <v>6706</v>
      </c>
      <c r="AL569" s="74"/>
      <c r="AM569" s="74"/>
    </row>
    <row r="570" spans="1:50" ht="13" x14ac:dyDescent="0.15">
      <c r="A570" s="55" t="str">
        <f>HYPERLINK("http://reports.ofsted.gov.uk/inspection-reports/find-inspection-report/provider/CARE/1274341","Ofsted Social Care Provider Webpage")</f>
        <v>Ofsted Social Care Provider Webpage</v>
      </c>
      <c r="B570" s="55">
        <v>1274341</v>
      </c>
      <c r="D570" s="55" t="s">
        <v>373</v>
      </c>
      <c r="E570" s="74">
        <v>43213</v>
      </c>
      <c r="F570" s="55" t="s">
        <v>344</v>
      </c>
      <c r="G570" s="55" t="s">
        <v>360</v>
      </c>
      <c r="H570" s="55" t="s">
        <v>360</v>
      </c>
      <c r="I570" s="55" t="s">
        <v>360</v>
      </c>
      <c r="J570" s="55" t="s">
        <v>360</v>
      </c>
      <c r="K570" s="55" t="s">
        <v>360</v>
      </c>
      <c r="L570" s="55" t="s">
        <v>360</v>
      </c>
      <c r="M570" s="55" t="s">
        <v>136</v>
      </c>
      <c r="N570" s="55" t="s">
        <v>136</v>
      </c>
      <c r="O570" s="55" t="s">
        <v>288</v>
      </c>
      <c r="P570" s="55" t="s">
        <v>1235</v>
      </c>
      <c r="Q570" s="55" t="s">
        <v>350</v>
      </c>
      <c r="R570" s="85">
        <v>3</v>
      </c>
      <c r="S570" s="55">
        <v>0</v>
      </c>
      <c r="T570" s="74" t="s">
        <v>1236</v>
      </c>
      <c r="U570" s="74" t="s">
        <v>351</v>
      </c>
      <c r="V570" s="74">
        <v>44336</v>
      </c>
      <c r="W570" s="74">
        <v>44375</v>
      </c>
      <c r="X570" s="55">
        <v>10187077</v>
      </c>
      <c r="Y570" s="55" t="s">
        <v>130</v>
      </c>
      <c r="AB570" s="74" t="s">
        <v>130</v>
      </c>
      <c r="AC570" s="55" t="s">
        <v>130</v>
      </c>
      <c r="AL570" s="74"/>
      <c r="AM570" s="74"/>
    </row>
    <row r="571" spans="1:50" ht="13" x14ac:dyDescent="0.15">
      <c r="A571" s="55" t="str">
        <f>HYPERLINK("http://reports.ofsted.gov.uk/inspection-reports/find-inspection-report/provider/CARE/1274670","Ofsted Social Care Provider Webpage")</f>
        <v>Ofsted Social Care Provider Webpage</v>
      </c>
      <c r="B571" s="55">
        <v>1274670</v>
      </c>
      <c r="D571" s="55" t="s">
        <v>373</v>
      </c>
      <c r="E571" s="74">
        <v>43215</v>
      </c>
      <c r="F571" s="55" t="s">
        <v>344</v>
      </c>
      <c r="G571" s="55" t="s">
        <v>360</v>
      </c>
      <c r="H571" s="55" t="s">
        <v>360</v>
      </c>
      <c r="I571" s="55" t="s">
        <v>360</v>
      </c>
      <c r="J571" s="55" t="s">
        <v>360</v>
      </c>
      <c r="K571" s="55" t="s">
        <v>360</v>
      </c>
      <c r="L571" s="55" t="s">
        <v>360</v>
      </c>
      <c r="M571" s="55" t="s">
        <v>142</v>
      </c>
      <c r="N571" s="55" t="s">
        <v>142</v>
      </c>
      <c r="O571" s="55" t="s">
        <v>262</v>
      </c>
      <c r="P571" s="55" t="s">
        <v>523</v>
      </c>
      <c r="Q571" s="55" t="s">
        <v>350</v>
      </c>
      <c r="R571" s="85">
        <v>2</v>
      </c>
      <c r="S571" s="55">
        <v>0</v>
      </c>
      <c r="T571" s="74" t="s">
        <v>517</v>
      </c>
      <c r="U571" s="74" t="s">
        <v>351</v>
      </c>
      <c r="V571" s="74">
        <v>44488</v>
      </c>
      <c r="W571" s="74">
        <v>44533</v>
      </c>
      <c r="X571" s="55">
        <v>10187345</v>
      </c>
      <c r="Y571" s="55" t="s">
        <v>130</v>
      </c>
      <c r="AB571" s="74" t="s">
        <v>130</v>
      </c>
      <c r="AC571" s="55" t="s">
        <v>130</v>
      </c>
      <c r="AL571" s="74"/>
      <c r="AM571" s="74"/>
    </row>
    <row r="572" spans="1:50" ht="13" x14ac:dyDescent="0.15">
      <c r="A572" s="55" t="str">
        <f>HYPERLINK("http://reports.ofsted.gov.uk/inspection-reports/find-inspection-report/provider/CARE/1274672","Ofsted Social Care Provider Webpage")</f>
        <v>Ofsted Social Care Provider Webpage</v>
      </c>
      <c r="B572" s="55">
        <v>1274672</v>
      </c>
      <c r="D572" s="55" t="s">
        <v>373</v>
      </c>
      <c r="E572" s="74">
        <v>43444</v>
      </c>
      <c r="F572" s="55" t="s">
        <v>344</v>
      </c>
      <c r="G572" s="55" t="s">
        <v>360</v>
      </c>
      <c r="H572" s="55" t="s">
        <v>360</v>
      </c>
      <c r="I572" s="55" t="s">
        <v>360</v>
      </c>
      <c r="J572" s="55" t="s">
        <v>360</v>
      </c>
      <c r="K572" s="55" t="s">
        <v>360</v>
      </c>
      <c r="L572" s="55" t="s">
        <v>360</v>
      </c>
      <c r="M572" s="55" t="s">
        <v>378</v>
      </c>
      <c r="N572" s="55" t="s">
        <v>134</v>
      </c>
      <c r="O572" s="55" t="s">
        <v>206</v>
      </c>
      <c r="P572" s="55" t="s">
        <v>760</v>
      </c>
      <c r="Q572" s="55" t="s">
        <v>350</v>
      </c>
      <c r="R572" s="85">
        <v>2</v>
      </c>
      <c r="S572" s="55">
        <v>0</v>
      </c>
      <c r="T572" s="74" t="s">
        <v>1237</v>
      </c>
      <c r="U572" s="74" t="s">
        <v>351</v>
      </c>
      <c r="V572" s="74">
        <v>44468</v>
      </c>
      <c r="W572" s="74">
        <v>44508</v>
      </c>
      <c r="X572" s="55">
        <v>10185954</v>
      </c>
      <c r="Y572" s="55" t="s">
        <v>132</v>
      </c>
      <c r="AB572" s="74" t="s">
        <v>132</v>
      </c>
      <c r="AC572" s="55" t="s">
        <v>132</v>
      </c>
      <c r="AL572" s="74"/>
      <c r="AM572" s="74"/>
      <c r="AW572" s="74"/>
      <c r="AX572" s="74"/>
    </row>
    <row r="573" spans="1:50" ht="13" x14ac:dyDescent="0.15">
      <c r="A573" s="55" t="str">
        <f>HYPERLINK("http://reports.ofsted.gov.uk/inspection-reports/find-inspection-report/provider/CARE/1274846","Ofsted Social Care Provider Webpage")</f>
        <v>Ofsted Social Care Provider Webpage</v>
      </c>
      <c r="B573" s="55">
        <v>1274846</v>
      </c>
      <c r="D573" s="55" t="s">
        <v>373</v>
      </c>
      <c r="E573" s="74">
        <v>43279</v>
      </c>
      <c r="F573" s="55" t="s">
        <v>344</v>
      </c>
      <c r="G573" s="55" t="s">
        <v>360</v>
      </c>
      <c r="H573" s="55" t="s">
        <v>360</v>
      </c>
      <c r="I573" s="55" t="s">
        <v>360</v>
      </c>
      <c r="J573" s="55" t="s">
        <v>360</v>
      </c>
      <c r="K573" s="55" t="s">
        <v>360</v>
      </c>
      <c r="L573" s="55" t="s">
        <v>360</v>
      </c>
      <c r="M573" s="55" t="s">
        <v>138</v>
      </c>
      <c r="N573" s="55" t="s">
        <v>138</v>
      </c>
      <c r="O573" s="55" t="s">
        <v>159</v>
      </c>
      <c r="P573" s="55" t="s">
        <v>1025</v>
      </c>
      <c r="Q573" s="55" t="s">
        <v>350</v>
      </c>
      <c r="R573" s="85">
        <v>6</v>
      </c>
      <c r="S573" s="55">
        <v>0</v>
      </c>
      <c r="T573" s="74" t="s">
        <v>1039</v>
      </c>
      <c r="U573" s="74" t="s">
        <v>351</v>
      </c>
      <c r="V573" s="74">
        <v>44431</v>
      </c>
      <c r="W573" s="74">
        <v>44461</v>
      </c>
      <c r="X573" s="55">
        <v>10186105</v>
      </c>
      <c r="Y573" s="55" t="s">
        <v>130</v>
      </c>
      <c r="AB573" s="74" t="s">
        <v>130</v>
      </c>
      <c r="AC573" s="55" t="s">
        <v>130</v>
      </c>
      <c r="AL573" s="74"/>
      <c r="AM573" s="74"/>
      <c r="AW573" s="74"/>
      <c r="AX573" s="74"/>
    </row>
    <row r="574" spans="1:50" ht="13" x14ac:dyDescent="0.15">
      <c r="A574" s="55" t="str">
        <f>HYPERLINK("http://reports.ofsted.gov.uk/inspection-reports/find-inspection-report/provider/CARE/1274846","Ofsted Social Care Provider Webpage")</f>
        <v>Ofsted Social Care Provider Webpage</v>
      </c>
      <c r="B574" s="55">
        <v>1274846</v>
      </c>
      <c r="D574" s="55" t="s">
        <v>373</v>
      </c>
      <c r="E574" s="74">
        <v>43279</v>
      </c>
      <c r="F574" s="55" t="s">
        <v>344</v>
      </c>
      <c r="G574" s="55" t="s">
        <v>360</v>
      </c>
      <c r="H574" s="55" t="s">
        <v>360</v>
      </c>
      <c r="I574" s="55" t="s">
        <v>360</v>
      </c>
      <c r="J574" s="55" t="s">
        <v>360</v>
      </c>
      <c r="K574" s="55" t="s">
        <v>360</v>
      </c>
      <c r="L574" s="55" t="s">
        <v>360</v>
      </c>
      <c r="M574" s="55" t="s">
        <v>138</v>
      </c>
      <c r="N574" s="55" t="s">
        <v>138</v>
      </c>
      <c r="O574" s="55" t="s">
        <v>159</v>
      </c>
      <c r="P574" s="55" t="s">
        <v>1025</v>
      </c>
      <c r="Q574" s="55" t="s">
        <v>350</v>
      </c>
      <c r="R574" s="85">
        <v>6</v>
      </c>
      <c r="S574" s="55">
        <v>0</v>
      </c>
      <c r="T574" s="74" t="s">
        <v>1039</v>
      </c>
      <c r="U574" s="74" t="s">
        <v>6703</v>
      </c>
      <c r="V574" s="74">
        <v>44621</v>
      </c>
      <c r="W574" s="74">
        <v>44656</v>
      </c>
      <c r="X574" s="55">
        <v>10210192</v>
      </c>
      <c r="Y574" s="55" t="s">
        <v>6705</v>
      </c>
      <c r="AL574" s="74"/>
      <c r="AM574" s="74"/>
      <c r="AW574" s="74"/>
      <c r="AX574" s="74"/>
    </row>
    <row r="575" spans="1:50" ht="13" x14ac:dyDescent="0.15">
      <c r="A575" s="55" t="str">
        <f>HYPERLINK("http://reports.ofsted.gov.uk/inspection-reports/find-inspection-report/provider/CARE/1275188","Ofsted Social Care Provider Webpage")</f>
        <v>Ofsted Social Care Provider Webpage</v>
      </c>
      <c r="B575" s="55">
        <v>1275188</v>
      </c>
      <c r="D575" s="55" t="s">
        <v>373</v>
      </c>
      <c r="E575" s="74">
        <v>43288</v>
      </c>
      <c r="F575" s="55" t="s">
        <v>344</v>
      </c>
      <c r="G575" s="55" t="s">
        <v>360</v>
      </c>
      <c r="H575" s="55" t="s">
        <v>360</v>
      </c>
      <c r="I575" s="55" t="s">
        <v>360</v>
      </c>
      <c r="J575" s="55" t="s">
        <v>360</v>
      </c>
      <c r="K575" s="55" t="s">
        <v>360</v>
      </c>
      <c r="L575" s="55" t="s">
        <v>360</v>
      </c>
      <c r="M575" s="55" t="s">
        <v>378</v>
      </c>
      <c r="N575" s="55" t="s">
        <v>134</v>
      </c>
      <c r="O575" s="55" t="s">
        <v>210</v>
      </c>
      <c r="P575" s="55" t="s">
        <v>1250</v>
      </c>
      <c r="Q575" s="55" t="s">
        <v>350</v>
      </c>
      <c r="R575" s="85">
        <v>1</v>
      </c>
      <c r="S575" s="55">
        <v>0</v>
      </c>
      <c r="T575" s="74" t="s">
        <v>1251</v>
      </c>
      <c r="U575" s="74" t="s">
        <v>351</v>
      </c>
      <c r="V575" s="74">
        <v>44544</v>
      </c>
      <c r="W575" s="74">
        <v>44592</v>
      </c>
      <c r="X575" s="55">
        <v>10187550</v>
      </c>
      <c r="Y575" s="55" t="s">
        <v>132</v>
      </c>
      <c r="AB575" s="74" t="s">
        <v>132</v>
      </c>
      <c r="AC575" s="55" t="s">
        <v>132</v>
      </c>
      <c r="AL575" s="74"/>
      <c r="AM575" s="74"/>
      <c r="AW575" s="74"/>
      <c r="AX575" s="74"/>
    </row>
    <row r="576" spans="1:50" ht="13" x14ac:dyDescent="0.15">
      <c r="A576" s="55" t="str">
        <f>HYPERLINK("http://reports.ofsted.gov.uk/inspection-reports/find-inspection-report/provider/CARE/1275189","Ofsted Social Care Provider Webpage")</f>
        <v>Ofsted Social Care Provider Webpage</v>
      </c>
      <c r="B576" s="55">
        <v>1275189</v>
      </c>
      <c r="D576" s="55" t="s">
        <v>373</v>
      </c>
      <c r="E576" s="74">
        <v>43288</v>
      </c>
      <c r="F576" s="55" t="s">
        <v>344</v>
      </c>
      <c r="G576" s="55" t="s">
        <v>360</v>
      </c>
      <c r="H576" s="55" t="s">
        <v>360</v>
      </c>
      <c r="I576" s="55" t="s">
        <v>360</v>
      </c>
      <c r="J576" s="55" t="s">
        <v>360</v>
      </c>
      <c r="K576" s="55" t="s">
        <v>360</v>
      </c>
      <c r="L576" s="55" t="s">
        <v>360</v>
      </c>
      <c r="M576" s="55" t="s">
        <v>378</v>
      </c>
      <c r="N576" s="55" t="s">
        <v>134</v>
      </c>
      <c r="O576" s="55" t="s">
        <v>210</v>
      </c>
      <c r="P576" s="55" t="s">
        <v>1250</v>
      </c>
      <c r="Q576" s="55" t="s">
        <v>350</v>
      </c>
      <c r="R576" s="85">
        <v>1</v>
      </c>
      <c r="S576" s="55">
        <v>0</v>
      </c>
      <c r="T576" s="74" t="s">
        <v>1251</v>
      </c>
      <c r="U576" s="74" t="s">
        <v>351</v>
      </c>
      <c r="V576" s="74">
        <v>44607</v>
      </c>
      <c r="W576" s="74">
        <v>44673</v>
      </c>
      <c r="X576" s="55">
        <v>10185661</v>
      </c>
      <c r="Y576" s="55" t="s">
        <v>132</v>
      </c>
      <c r="AB576" s="74" t="s">
        <v>132</v>
      </c>
      <c r="AC576" s="55" t="s">
        <v>132</v>
      </c>
      <c r="AL576" s="74"/>
      <c r="AM576" s="74"/>
      <c r="AW576" s="74"/>
      <c r="AX576" s="74"/>
    </row>
    <row r="577" spans="1:50" ht="13" x14ac:dyDescent="0.15">
      <c r="A577" s="55" t="str">
        <f>HYPERLINK("http://reports.ofsted.gov.uk/inspection-reports/find-inspection-report/provider/CARE/1275228","Ofsted Social Care Provider Webpage")</f>
        <v>Ofsted Social Care Provider Webpage</v>
      </c>
      <c r="B577" s="55">
        <v>1275228</v>
      </c>
      <c r="D577" s="55" t="s">
        <v>373</v>
      </c>
      <c r="E577" s="74">
        <v>43220</v>
      </c>
      <c r="F577" s="55" t="s">
        <v>344</v>
      </c>
      <c r="G577" s="55" t="s">
        <v>360</v>
      </c>
      <c r="H577" s="55" t="s">
        <v>360</v>
      </c>
      <c r="I577" s="55" t="s">
        <v>360</v>
      </c>
      <c r="J577" s="55" t="s">
        <v>360</v>
      </c>
      <c r="K577" s="55" t="s">
        <v>360</v>
      </c>
      <c r="L577" s="55" t="s">
        <v>360</v>
      </c>
      <c r="M577" s="55" t="s">
        <v>172</v>
      </c>
      <c r="N577" s="55" t="s">
        <v>172</v>
      </c>
      <c r="O577" s="55" t="s">
        <v>284</v>
      </c>
      <c r="P577" s="55" t="s">
        <v>357</v>
      </c>
      <c r="Q577" s="55" t="s">
        <v>350</v>
      </c>
      <c r="R577" s="85">
        <v>2</v>
      </c>
      <c r="S577" s="55">
        <v>0</v>
      </c>
      <c r="T577" s="74" t="s">
        <v>962</v>
      </c>
      <c r="U577" s="74" t="s">
        <v>351</v>
      </c>
      <c r="V577" s="74">
        <v>44579</v>
      </c>
      <c r="W577" s="74">
        <v>44614</v>
      </c>
      <c r="X577" s="55">
        <v>10185935</v>
      </c>
      <c r="Y577" s="55" t="s">
        <v>132</v>
      </c>
      <c r="AB577" s="74" t="s">
        <v>132</v>
      </c>
      <c r="AC577" s="55" t="s">
        <v>132</v>
      </c>
      <c r="AL577" s="74"/>
      <c r="AM577" s="74"/>
      <c r="AW577" s="74"/>
      <c r="AX577" s="74"/>
    </row>
    <row r="578" spans="1:50" ht="13" x14ac:dyDescent="0.15">
      <c r="A578" s="55" t="str">
        <f>HYPERLINK("http://reports.ofsted.gov.uk/inspection-reports/find-inspection-report/provider/CARE/1275500","Ofsted Social Care Provider Webpage")</f>
        <v>Ofsted Social Care Provider Webpage</v>
      </c>
      <c r="B578" s="55">
        <v>1275500</v>
      </c>
      <c r="D578" s="55" t="s">
        <v>373</v>
      </c>
      <c r="E578" s="74">
        <v>43347</v>
      </c>
      <c r="F578" s="55" t="s">
        <v>344</v>
      </c>
      <c r="G578" s="55" t="s">
        <v>360</v>
      </c>
      <c r="H578" s="55" t="s">
        <v>360</v>
      </c>
      <c r="I578" s="55" t="s">
        <v>360</v>
      </c>
      <c r="J578" s="55" t="s">
        <v>360</v>
      </c>
      <c r="K578" s="55" t="s">
        <v>360</v>
      </c>
      <c r="L578" s="55" t="s">
        <v>360</v>
      </c>
      <c r="M578" s="55" t="s">
        <v>150</v>
      </c>
      <c r="N578" s="55" t="s">
        <v>150</v>
      </c>
      <c r="O578" s="55" t="s">
        <v>181</v>
      </c>
      <c r="P578" s="55" t="s">
        <v>626</v>
      </c>
      <c r="Q578" s="55" t="s">
        <v>350</v>
      </c>
      <c r="R578" s="85">
        <v>2</v>
      </c>
      <c r="S578" s="55">
        <v>0</v>
      </c>
      <c r="T578" s="74" t="s">
        <v>1209</v>
      </c>
      <c r="U578" s="74" t="s">
        <v>351</v>
      </c>
      <c r="V578" s="74">
        <v>44587</v>
      </c>
      <c r="W578" s="74">
        <v>44624</v>
      </c>
      <c r="X578" s="55">
        <v>10187175</v>
      </c>
      <c r="Y578" s="55" t="s">
        <v>140</v>
      </c>
      <c r="AB578" s="74" t="s">
        <v>140</v>
      </c>
      <c r="AC578" s="55" t="s">
        <v>140</v>
      </c>
      <c r="AL578" s="74"/>
      <c r="AM578" s="74"/>
    </row>
    <row r="579" spans="1:50" ht="13" x14ac:dyDescent="0.15">
      <c r="A579" s="55" t="str">
        <f>HYPERLINK("http://reports.ofsted.gov.uk/inspection-reports/find-inspection-report/provider/CARE/1275569","Ofsted Social Care Provider Webpage")</f>
        <v>Ofsted Social Care Provider Webpage</v>
      </c>
      <c r="B579" s="55">
        <v>1275569</v>
      </c>
      <c r="D579" s="55" t="s">
        <v>479</v>
      </c>
      <c r="E579" s="74">
        <v>43269</v>
      </c>
      <c r="F579" s="55" t="s">
        <v>344</v>
      </c>
      <c r="G579" s="55" t="s">
        <v>360</v>
      </c>
      <c r="H579" s="55" t="s">
        <v>360</v>
      </c>
      <c r="I579" s="55" t="s">
        <v>360</v>
      </c>
      <c r="J579" s="55" t="s">
        <v>360</v>
      </c>
      <c r="K579" s="55" t="s">
        <v>360</v>
      </c>
      <c r="L579" s="55" t="s">
        <v>360</v>
      </c>
      <c r="M579" s="55" t="s">
        <v>150</v>
      </c>
      <c r="N579" s="55" t="s">
        <v>150</v>
      </c>
      <c r="O579" s="55" t="s">
        <v>237</v>
      </c>
      <c r="P579" s="55" t="s">
        <v>869</v>
      </c>
      <c r="Q579" s="55" t="s">
        <v>350</v>
      </c>
      <c r="R579" s="85">
        <v>31</v>
      </c>
      <c r="S579" s="55">
        <v>0</v>
      </c>
      <c r="T579" s="74" t="s">
        <v>1252</v>
      </c>
      <c r="U579" s="74" t="s">
        <v>351</v>
      </c>
      <c r="V579" s="74">
        <v>44307</v>
      </c>
      <c r="W579" s="74">
        <v>44351</v>
      </c>
      <c r="X579" s="55">
        <v>10187289</v>
      </c>
      <c r="Y579" s="55" t="s">
        <v>140</v>
      </c>
      <c r="AB579" s="74" t="s">
        <v>140</v>
      </c>
      <c r="AC579" s="55" t="s">
        <v>132</v>
      </c>
      <c r="AL579" s="74"/>
      <c r="AM579" s="74"/>
      <c r="AW579" s="74"/>
      <c r="AX579" s="74"/>
    </row>
    <row r="580" spans="1:50" ht="13" x14ac:dyDescent="0.15">
      <c r="A580" s="55" t="str">
        <f>HYPERLINK("http://reports.ofsted.gov.uk/inspection-reports/find-inspection-report/provider/CARE/1275966","Ofsted Social Care Provider Webpage")</f>
        <v>Ofsted Social Care Provider Webpage</v>
      </c>
      <c r="B580" s="55">
        <v>1275966</v>
      </c>
      <c r="D580" s="55" t="s">
        <v>373</v>
      </c>
      <c r="E580" s="74">
        <v>43301</v>
      </c>
      <c r="F580" s="55" t="s">
        <v>344</v>
      </c>
      <c r="G580" s="55" t="s">
        <v>360</v>
      </c>
      <c r="H580" s="55" t="s">
        <v>360</v>
      </c>
      <c r="I580" s="55" t="s">
        <v>360</v>
      </c>
      <c r="J580" s="55" t="s">
        <v>360</v>
      </c>
      <c r="K580" s="55" t="s">
        <v>360</v>
      </c>
      <c r="L580" s="55" t="s">
        <v>360</v>
      </c>
      <c r="M580" s="55" t="s">
        <v>142</v>
      </c>
      <c r="N580" s="55" t="s">
        <v>142</v>
      </c>
      <c r="O580" s="55" t="s">
        <v>262</v>
      </c>
      <c r="P580" s="55" t="s">
        <v>916</v>
      </c>
      <c r="Q580" s="55" t="s">
        <v>350</v>
      </c>
      <c r="R580" s="85">
        <v>6</v>
      </c>
      <c r="S580" s="55">
        <v>0</v>
      </c>
      <c r="T580" s="74" t="s">
        <v>1253</v>
      </c>
      <c r="U580" s="74" t="s">
        <v>351</v>
      </c>
      <c r="V580" s="74">
        <v>44355</v>
      </c>
      <c r="W580" s="74">
        <v>44386</v>
      </c>
      <c r="X580" s="55">
        <v>10185687</v>
      </c>
      <c r="Y580" s="55" t="s">
        <v>132</v>
      </c>
      <c r="AB580" s="74" t="s">
        <v>132</v>
      </c>
      <c r="AC580" s="55" t="s">
        <v>130</v>
      </c>
      <c r="AL580" s="74"/>
      <c r="AM580" s="74"/>
      <c r="AW580" s="74"/>
      <c r="AX580" s="74"/>
    </row>
    <row r="581" spans="1:50" ht="13" x14ac:dyDescent="0.15">
      <c r="A581" s="55" t="str">
        <f>HYPERLINK("http://reports.ofsted.gov.uk/inspection-reports/find-inspection-report/provider/CARE/1276010","Ofsted Social Care Provider Webpage")</f>
        <v>Ofsted Social Care Provider Webpage</v>
      </c>
      <c r="B581" s="55">
        <v>1276010</v>
      </c>
      <c r="D581" s="55" t="s">
        <v>373</v>
      </c>
      <c r="E581" s="74">
        <v>43234</v>
      </c>
      <c r="F581" s="55" t="s">
        <v>344</v>
      </c>
      <c r="G581" s="55" t="s">
        <v>360</v>
      </c>
      <c r="H581" s="55" t="s">
        <v>360</v>
      </c>
      <c r="I581" s="55" t="s">
        <v>360</v>
      </c>
      <c r="J581" s="55" t="s">
        <v>360</v>
      </c>
      <c r="K581" s="55" t="s">
        <v>360</v>
      </c>
      <c r="L581" s="55" t="s">
        <v>360</v>
      </c>
      <c r="M581" s="55" t="s">
        <v>142</v>
      </c>
      <c r="N581" s="55" t="s">
        <v>142</v>
      </c>
      <c r="O581" s="55" t="s">
        <v>252</v>
      </c>
      <c r="P581" s="55" t="s">
        <v>388</v>
      </c>
      <c r="Q581" s="55" t="s">
        <v>350</v>
      </c>
      <c r="R581" s="85">
        <v>3</v>
      </c>
      <c r="S581" s="55">
        <v>0</v>
      </c>
      <c r="T581" s="74" t="s">
        <v>1260</v>
      </c>
      <c r="U581" s="74" t="s">
        <v>351</v>
      </c>
      <c r="V581" s="74">
        <v>44536</v>
      </c>
      <c r="W581" s="74">
        <v>44581</v>
      </c>
      <c r="X581" s="55">
        <v>10185364</v>
      </c>
      <c r="Y581" s="55" t="s">
        <v>132</v>
      </c>
      <c r="AB581" s="74" t="s">
        <v>132</v>
      </c>
      <c r="AC581" s="55" t="s">
        <v>130</v>
      </c>
      <c r="AL581" s="74"/>
      <c r="AM581" s="74"/>
      <c r="AW581" s="74"/>
      <c r="AX581" s="74"/>
    </row>
    <row r="582" spans="1:50" ht="13" x14ac:dyDescent="0.15">
      <c r="A582" s="55" t="str">
        <f>HYPERLINK("http://reports.ofsted.gov.uk/inspection-reports/find-inspection-report/provider/CARE/1276111","Ofsted Social Care Provider Webpage")</f>
        <v>Ofsted Social Care Provider Webpage</v>
      </c>
      <c r="B582" s="55">
        <v>1276111</v>
      </c>
      <c r="D582" s="55" t="s">
        <v>373</v>
      </c>
      <c r="E582" s="74">
        <v>43319</v>
      </c>
      <c r="F582" s="55" t="s">
        <v>344</v>
      </c>
      <c r="G582" s="55" t="s">
        <v>360</v>
      </c>
      <c r="H582" s="55" t="s">
        <v>360</v>
      </c>
      <c r="I582" s="55" t="s">
        <v>360</v>
      </c>
      <c r="J582" s="55" t="s">
        <v>360</v>
      </c>
      <c r="K582" s="55" t="s">
        <v>360</v>
      </c>
      <c r="L582" s="55" t="s">
        <v>360</v>
      </c>
      <c r="M582" s="55" t="s">
        <v>142</v>
      </c>
      <c r="N582" s="55" t="s">
        <v>142</v>
      </c>
      <c r="O582" s="55" t="s">
        <v>141</v>
      </c>
      <c r="P582" s="55" t="s">
        <v>774</v>
      </c>
      <c r="Q582" s="55" t="s">
        <v>350</v>
      </c>
      <c r="R582" s="85">
        <v>5</v>
      </c>
      <c r="S582" s="55">
        <v>0</v>
      </c>
      <c r="T582" s="74" t="s">
        <v>1261</v>
      </c>
      <c r="U582" s="74" t="s">
        <v>351</v>
      </c>
      <c r="V582" s="74">
        <v>44405</v>
      </c>
      <c r="W582" s="74">
        <v>44433</v>
      </c>
      <c r="X582" s="55">
        <v>10186516</v>
      </c>
      <c r="Y582" s="55" t="s">
        <v>132</v>
      </c>
      <c r="AB582" s="74" t="s">
        <v>132</v>
      </c>
      <c r="AC582" s="55" t="s">
        <v>132</v>
      </c>
      <c r="AL582" s="74"/>
      <c r="AM582" s="74"/>
      <c r="AW582" s="74"/>
      <c r="AX582" s="74"/>
    </row>
    <row r="583" spans="1:50" ht="13" x14ac:dyDescent="0.15">
      <c r="A583" s="55" t="str">
        <f>HYPERLINK("http://reports.ofsted.gov.uk/inspection-reports/find-inspection-report/provider/CARE/1276216","Ofsted Social Care Provider Webpage")</f>
        <v>Ofsted Social Care Provider Webpage</v>
      </c>
      <c r="B583" s="55">
        <v>1276216</v>
      </c>
      <c r="D583" s="55" t="s">
        <v>373</v>
      </c>
      <c r="E583" s="74">
        <v>43304</v>
      </c>
      <c r="F583" s="55" t="s">
        <v>344</v>
      </c>
      <c r="G583" s="55" t="s">
        <v>360</v>
      </c>
      <c r="H583" s="55" t="s">
        <v>360</v>
      </c>
      <c r="I583" s="55" t="s">
        <v>360</v>
      </c>
      <c r="J583" s="55" t="s">
        <v>360</v>
      </c>
      <c r="K583" s="55" t="s">
        <v>360</v>
      </c>
      <c r="L583" s="55" t="s">
        <v>360</v>
      </c>
      <c r="M583" s="55" t="s">
        <v>142</v>
      </c>
      <c r="N583" s="55" t="s">
        <v>142</v>
      </c>
      <c r="O583" s="55" t="s">
        <v>262</v>
      </c>
      <c r="P583" s="55" t="s">
        <v>916</v>
      </c>
      <c r="Q583" s="55" t="s">
        <v>350</v>
      </c>
      <c r="R583" s="85">
        <v>3</v>
      </c>
      <c r="S583" s="55">
        <v>0</v>
      </c>
      <c r="T583" s="74" t="s">
        <v>489</v>
      </c>
      <c r="U583" s="74" t="s">
        <v>351</v>
      </c>
      <c r="V583" s="74">
        <v>44508</v>
      </c>
      <c r="W583" s="74">
        <v>44540</v>
      </c>
      <c r="X583" s="55">
        <v>10185748</v>
      </c>
      <c r="Y583" s="55" t="s">
        <v>132</v>
      </c>
      <c r="AB583" s="74" t="s">
        <v>132</v>
      </c>
      <c r="AC583" s="55" t="s">
        <v>132</v>
      </c>
      <c r="AL583" s="74"/>
      <c r="AM583" s="74"/>
      <c r="AW583" s="74"/>
      <c r="AX583" s="74"/>
    </row>
    <row r="584" spans="1:50" ht="13" x14ac:dyDescent="0.15">
      <c r="A584" s="55" t="str">
        <f>HYPERLINK("http://reports.ofsted.gov.uk/inspection-reports/find-inspection-report/provider/CARE/1276249","Ofsted Social Care Provider Webpage")</f>
        <v>Ofsted Social Care Provider Webpage</v>
      </c>
      <c r="B584" s="55">
        <v>1276249</v>
      </c>
      <c r="D584" s="55" t="s">
        <v>373</v>
      </c>
      <c r="E584" s="74">
        <v>43249</v>
      </c>
      <c r="F584" s="55" t="s">
        <v>344</v>
      </c>
      <c r="G584" s="55" t="s">
        <v>360</v>
      </c>
      <c r="H584" s="55" t="s">
        <v>360</v>
      </c>
      <c r="I584" s="55" t="s">
        <v>360</v>
      </c>
      <c r="J584" s="55" t="s">
        <v>360</v>
      </c>
      <c r="K584" s="55" t="s">
        <v>360</v>
      </c>
      <c r="L584" s="55" t="s">
        <v>360</v>
      </c>
      <c r="M584" s="55" t="s">
        <v>172</v>
      </c>
      <c r="N584" s="55" t="s">
        <v>172</v>
      </c>
      <c r="O584" s="55" t="s">
        <v>212</v>
      </c>
      <c r="P584" s="55" t="s">
        <v>798</v>
      </c>
      <c r="Q584" s="55" t="s">
        <v>350</v>
      </c>
      <c r="R584" s="85">
        <v>3</v>
      </c>
      <c r="S584" s="55">
        <v>0</v>
      </c>
      <c r="T584" s="74" t="s">
        <v>517</v>
      </c>
      <c r="U584" s="74" t="s">
        <v>351</v>
      </c>
      <c r="V584" s="74">
        <v>44312</v>
      </c>
      <c r="W584" s="74">
        <v>44356</v>
      </c>
      <c r="X584" s="55">
        <v>10187203</v>
      </c>
      <c r="Y584" s="55" t="s">
        <v>130</v>
      </c>
      <c r="AB584" s="74" t="s">
        <v>130</v>
      </c>
      <c r="AC584" s="55" t="s">
        <v>130</v>
      </c>
      <c r="AL584" s="74"/>
      <c r="AM584" s="74"/>
      <c r="AW584" s="74"/>
      <c r="AX584" s="74"/>
    </row>
    <row r="585" spans="1:50" ht="13" x14ac:dyDescent="0.15">
      <c r="A585" s="55" t="str">
        <f>HYPERLINK("http://reports.ofsted.gov.uk/inspection-reports/find-inspection-report/provider/CARE/1276249","Ofsted Social Care Provider Webpage")</f>
        <v>Ofsted Social Care Provider Webpage</v>
      </c>
      <c r="B585" s="55">
        <v>1276249</v>
      </c>
      <c r="D585" s="55" t="s">
        <v>373</v>
      </c>
      <c r="E585" s="74">
        <v>43249</v>
      </c>
      <c r="F585" s="55" t="s">
        <v>344</v>
      </c>
      <c r="G585" s="55" t="s">
        <v>360</v>
      </c>
      <c r="H585" s="55" t="s">
        <v>360</v>
      </c>
      <c r="I585" s="55" t="s">
        <v>360</v>
      </c>
      <c r="J585" s="55" t="s">
        <v>360</v>
      </c>
      <c r="K585" s="55" t="s">
        <v>360</v>
      </c>
      <c r="L585" s="55" t="s">
        <v>360</v>
      </c>
      <c r="M585" s="55" t="s">
        <v>172</v>
      </c>
      <c r="N585" s="55" t="s">
        <v>172</v>
      </c>
      <c r="O585" s="55" t="s">
        <v>212</v>
      </c>
      <c r="P585" s="55" t="s">
        <v>798</v>
      </c>
      <c r="Q585" s="55" t="s">
        <v>350</v>
      </c>
      <c r="R585" s="85">
        <v>3</v>
      </c>
      <c r="S585" s="55">
        <v>0</v>
      </c>
      <c r="T585" s="74" t="s">
        <v>517</v>
      </c>
      <c r="U585" s="74" t="s">
        <v>6703</v>
      </c>
      <c r="V585" s="74">
        <v>44602</v>
      </c>
      <c r="W585" s="74">
        <v>44642</v>
      </c>
      <c r="X585" s="55">
        <v>10209973</v>
      </c>
      <c r="Y585" s="55" t="s">
        <v>6706</v>
      </c>
      <c r="AL585" s="74"/>
      <c r="AM585" s="74"/>
      <c r="AW585" s="74"/>
      <c r="AX585" s="74"/>
    </row>
    <row r="586" spans="1:50" ht="13" x14ac:dyDescent="0.15">
      <c r="A586" s="55" t="str">
        <f>HYPERLINK("http://reports.ofsted.gov.uk/inspection-reports/find-inspection-report/provider/CARE/1276421","Ofsted Social Care Provider Webpage")</f>
        <v>Ofsted Social Care Provider Webpage</v>
      </c>
      <c r="B586" s="55">
        <v>1276421</v>
      </c>
      <c r="D586" s="55" t="s">
        <v>373</v>
      </c>
      <c r="E586" s="74">
        <v>43328</v>
      </c>
      <c r="F586" s="55" t="s">
        <v>344</v>
      </c>
      <c r="G586" s="55" t="s">
        <v>360</v>
      </c>
      <c r="H586" s="55" t="s">
        <v>360</v>
      </c>
      <c r="I586" s="55" t="s">
        <v>360</v>
      </c>
      <c r="J586" s="55" t="s">
        <v>360</v>
      </c>
      <c r="K586" s="55" t="s">
        <v>360</v>
      </c>
      <c r="L586" s="55" t="s">
        <v>360</v>
      </c>
      <c r="M586" s="55" t="s">
        <v>378</v>
      </c>
      <c r="N586" s="55" t="s">
        <v>170</v>
      </c>
      <c r="O586" s="55" t="s">
        <v>178</v>
      </c>
      <c r="P586" s="55" t="s">
        <v>952</v>
      </c>
      <c r="Q586" s="55" t="s">
        <v>350</v>
      </c>
      <c r="R586" s="85">
        <v>4</v>
      </c>
      <c r="S586" s="55">
        <v>0</v>
      </c>
      <c r="T586" s="74" t="s">
        <v>1262</v>
      </c>
      <c r="U586" s="74" t="s">
        <v>351</v>
      </c>
      <c r="V586" s="74">
        <v>44599</v>
      </c>
      <c r="W586" s="74">
        <v>44641</v>
      </c>
      <c r="X586" s="55">
        <v>10186542</v>
      </c>
      <c r="Y586" s="55" t="s">
        <v>132</v>
      </c>
      <c r="AB586" s="74" t="s">
        <v>132</v>
      </c>
      <c r="AC586" s="55" t="s">
        <v>132</v>
      </c>
      <c r="AL586" s="74"/>
      <c r="AM586" s="74"/>
    </row>
    <row r="587" spans="1:50" ht="13" x14ac:dyDescent="0.15">
      <c r="A587" s="55" t="str">
        <f>HYPERLINK("http://reports.ofsted.gov.uk/inspection-reports/find-inspection-report/provider/CARE/1276442","Ofsted Social Care Provider Webpage")</f>
        <v>Ofsted Social Care Provider Webpage</v>
      </c>
      <c r="B587" s="55">
        <v>1276442</v>
      </c>
      <c r="D587" s="55" t="s">
        <v>373</v>
      </c>
      <c r="E587" s="74">
        <v>43356</v>
      </c>
      <c r="F587" s="55" t="s">
        <v>344</v>
      </c>
      <c r="G587" s="55" t="s">
        <v>360</v>
      </c>
      <c r="H587" s="55" t="s">
        <v>360</v>
      </c>
      <c r="I587" s="55" t="s">
        <v>360</v>
      </c>
      <c r="J587" s="55" t="s">
        <v>360</v>
      </c>
      <c r="K587" s="55" t="s">
        <v>360</v>
      </c>
      <c r="L587" s="55" t="s">
        <v>360</v>
      </c>
      <c r="M587" s="55" t="s">
        <v>150</v>
      </c>
      <c r="N587" s="55" t="s">
        <v>150</v>
      </c>
      <c r="O587" s="55" t="s">
        <v>203</v>
      </c>
      <c r="P587" s="55" t="s">
        <v>1263</v>
      </c>
      <c r="Q587" s="55" t="s">
        <v>350</v>
      </c>
      <c r="R587" s="85">
        <v>3</v>
      </c>
      <c r="S587" s="55">
        <v>0</v>
      </c>
      <c r="T587" s="74" t="s">
        <v>489</v>
      </c>
      <c r="U587" s="74" t="s">
        <v>2053</v>
      </c>
      <c r="V587" s="74">
        <v>44411</v>
      </c>
      <c r="W587" s="74">
        <v>44455</v>
      </c>
      <c r="X587" s="55">
        <v>10203192</v>
      </c>
      <c r="AL587" s="74"/>
      <c r="AM587" s="74"/>
      <c r="AW587" s="74"/>
      <c r="AX587" s="74"/>
    </row>
    <row r="588" spans="1:50" ht="13" x14ac:dyDescent="0.15">
      <c r="A588" s="55" t="str">
        <f>HYPERLINK("http://reports.ofsted.gov.uk/inspection-reports/find-inspection-report/provider/CARE/1276442","Ofsted Social Care Provider Webpage")</f>
        <v>Ofsted Social Care Provider Webpage</v>
      </c>
      <c r="B588" s="55">
        <v>1276442</v>
      </c>
      <c r="D588" s="55" t="s">
        <v>373</v>
      </c>
      <c r="E588" s="74">
        <v>43356</v>
      </c>
      <c r="F588" s="55" t="s">
        <v>344</v>
      </c>
      <c r="G588" s="55" t="s">
        <v>360</v>
      </c>
      <c r="H588" s="55" t="s">
        <v>360</v>
      </c>
      <c r="I588" s="55" t="s">
        <v>360</v>
      </c>
      <c r="J588" s="55" t="s">
        <v>360</v>
      </c>
      <c r="K588" s="55" t="s">
        <v>360</v>
      </c>
      <c r="L588" s="55" t="s">
        <v>360</v>
      </c>
      <c r="M588" s="55" t="s">
        <v>150</v>
      </c>
      <c r="N588" s="55" t="s">
        <v>150</v>
      </c>
      <c r="O588" s="55" t="s">
        <v>203</v>
      </c>
      <c r="P588" s="55" t="s">
        <v>1263</v>
      </c>
      <c r="Q588" s="55" t="s">
        <v>350</v>
      </c>
      <c r="R588" s="85">
        <v>3</v>
      </c>
      <c r="S588" s="55">
        <v>0</v>
      </c>
      <c r="T588" s="74" t="s">
        <v>489</v>
      </c>
      <c r="U588" s="74" t="s">
        <v>351</v>
      </c>
      <c r="V588" s="74">
        <v>44377</v>
      </c>
      <c r="W588" s="74">
        <v>44439</v>
      </c>
      <c r="X588" s="55">
        <v>10187525</v>
      </c>
      <c r="Y588" s="55" t="s">
        <v>146</v>
      </c>
      <c r="AB588" s="74" t="s">
        <v>146</v>
      </c>
      <c r="AC588" s="55" t="s">
        <v>146</v>
      </c>
      <c r="AL588" s="74"/>
      <c r="AM588" s="74"/>
      <c r="AW588" s="74"/>
      <c r="AX588" s="74"/>
    </row>
    <row r="589" spans="1:50" ht="13" x14ac:dyDescent="0.15">
      <c r="A589" s="55" t="str">
        <f>HYPERLINK("http://reports.ofsted.gov.uk/inspection-reports/find-inspection-report/provider/CARE/1276442","Ofsted Social Care Provider Webpage")</f>
        <v>Ofsted Social Care Provider Webpage</v>
      </c>
      <c r="B589" s="55">
        <v>1276442</v>
      </c>
      <c r="D589" s="55" t="s">
        <v>373</v>
      </c>
      <c r="E589" s="74">
        <v>43356</v>
      </c>
      <c r="F589" s="55" t="s">
        <v>344</v>
      </c>
      <c r="G589" s="55" t="s">
        <v>360</v>
      </c>
      <c r="H589" s="55" t="s">
        <v>360</v>
      </c>
      <c r="I589" s="55" t="s">
        <v>360</v>
      </c>
      <c r="J589" s="55" t="s">
        <v>360</v>
      </c>
      <c r="K589" s="55" t="s">
        <v>360</v>
      </c>
      <c r="L589" s="55" t="s">
        <v>360</v>
      </c>
      <c r="M589" s="55" t="s">
        <v>150</v>
      </c>
      <c r="N589" s="55" t="s">
        <v>150</v>
      </c>
      <c r="O589" s="55" t="s">
        <v>203</v>
      </c>
      <c r="P589" s="55" t="s">
        <v>1263</v>
      </c>
      <c r="Q589" s="55" t="s">
        <v>350</v>
      </c>
      <c r="R589" s="85">
        <v>3</v>
      </c>
      <c r="S589" s="55">
        <v>0</v>
      </c>
      <c r="T589" s="74" t="s">
        <v>489</v>
      </c>
      <c r="U589" s="74" t="s">
        <v>351</v>
      </c>
      <c r="V589" s="74">
        <v>44482</v>
      </c>
      <c r="W589" s="74">
        <v>44525</v>
      </c>
      <c r="X589" s="55">
        <v>10205000</v>
      </c>
      <c r="Y589" s="55" t="s">
        <v>132</v>
      </c>
      <c r="AB589" s="74" t="s">
        <v>132</v>
      </c>
      <c r="AC589" s="55" t="s">
        <v>132</v>
      </c>
      <c r="AL589" s="74"/>
      <c r="AM589" s="74"/>
      <c r="AW589" s="74"/>
      <c r="AX589" s="74"/>
    </row>
    <row r="590" spans="1:50" ht="13" x14ac:dyDescent="0.15">
      <c r="A590" s="55" t="str">
        <f>HYPERLINK("http://reports.ofsted.gov.uk/inspection-reports/find-inspection-report/provider/CARE/1276600","Ofsted Social Care Provider Webpage")</f>
        <v>Ofsted Social Care Provider Webpage</v>
      </c>
      <c r="B590" s="55">
        <v>1276600</v>
      </c>
      <c r="C590" s="55">
        <v>119027</v>
      </c>
      <c r="D590" s="55" t="s">
        <v>413</v>
      </c>
      <c r="E590" s="74">
        <v>43135</v>
      </c>
      <c r="F590" s="55" t="s">
        <v>344</v>
      </c>
      <c r="G590" s="55" t="s">
        <v>1264</v>
      </c>
      <c r="H590" s="55" t="s">
        <v>1265</v>
      </c>
      <c r="I590" s="55" t="s">
        <v>1266</v>
      </c>
      <c r="J590" s="55" t="s">
        <v>1038</v>
      </c>
      <c r="K590" s="55" t="s">
        <v>203</v>
      </c>
      <c r="L590" s="55" t="s">
        <v>1267</v>
      </c>
      <c r="M590" s="55" t="s">
        <v>150</v>
      </c>
      <c r="N590" s="55" t="s">
        <v>150</v>
      </c>
      <c r="O590" s="55" t="s">
        <v>203</v>
      </c>
      <c r="P590" s="55" t="s">
        <v>1268</v>
      </c>
      <c r="Q590" s="55" t="s">
        <v>362</v>
      </c>
      <c r="R590" s="85">
        <v>10</v>
      </c>
      <c r="S590" s="55">
        <v>0</v>
      </c>
      <c r="T590" s="74" t="s">
        <v>824</v>
      </c>
      <c r="U590" s="74" t="s">
        <v>351</v>
      </c>
      <c r="V590" s="74">
        <v>44615</v>
      </c>
      <c r="W590" s="74">
        <v>44679</v>
      </c>
      <c r="X590" s="55">
        <v>10183557</v>
      </c>
      <c r="Y590" s="55" t="s">
        <v>140</v>
      </c>
      <c r="AB590" s="74" t="s">
        <v>140</v>
      </c>
      <c r="AC590" s="55" t="s">
        <v>140</v>
      </c>
      <c r="AL590" s="74"/>
      <c r="AM590" s="74"/>
      <c r="AW590" s="74"/>
      <c r="AX590" s="74"/>
    </row>
    <row r="591" spans="1:50" ht="13" x14ac:dyDescent="0.15">
      <c r="A591" s="55" t="str">
        <f>HYPERLINK("http://reports.ofsted.gov.uk/inspection-reports/find-inspection-report/provider/CARE/1276719","Ofsted Social Care Provider Webpage")</f>
        <v>Ofsted Social Care Provider Webpage</v>
      </c>
      <c r="B591" s="55">
        <v>1276719</v>
      </c>
      <c r="D591" s="55" t="s">
        <v>373</v>
      </c>
      <c r="E591" s="74">
        <v>43236</v>
      </c>
      <c r="F591" s="55" t="s">
        <v>344</v>
      </c>
      <c r="G591" s="55" t="s">
        <v>360</v>
      </c>
      <c r="H591" s="55" t="s">
        <v>360</v>
      </c>
      <c r="I591" s="55" t="s">
        <v>360</v>
      </c>
      <c r="J591" s="55" t="s">
        <v>360</v>
      </c>
      <c r="K591" s="55" t="s">
        <v>360</v>
      </c>
      <c r="L591" s="55" t="s">
        <v>360</v>
      </c>
      <c r="M591" s="55" t="s">
        <v>136</v>
      </c>
      <c r="N591" s="55" t="s">
        <v>136</v>
      </c>
      <c r="O591" s="55" t="s">
        <v>165</v>
      </c>
      <c r="P591" s="55" t="s">
        <v>1269</v>
      </c>
      <c r="Q591" s="55" t="s">
        <v>350</v>
      </c>
      <c r="R591" s="85">
        <v>3</v>
      </c>
      <c r="S591" s="55">
        <v>0</v>
      </c>
      <c r="T591" s="74" t="s">
        <v>1270</v>
      </c>
      <c r="U591" s="74" t="s">
        <v>351</v>
      </c>
      <c r="V591" s="74">
        <v>44336</v>
      </c>
      <c r="W591" s="74">
        <v>44385</v>
      </c>
      <c r="X591" s="55">
        <v>10187419</v>
      </c>
      <c r="Y591" s="55" t="s">
        <v>132</v>
      </c>
      <c r="AB591" s="74" t="s">
        <v>132</v>
      </c>
      <c r="AC591" s="55" t="s">
        <v>132</v>
      </c>
      <c r="AL591" s="74"/>
      <c r="AM591" s="74"/>
      <c r="AW591" s="74"/>
      <c r="AX591" s="74"/>
    </row>
    <row r="592" spans="1:50" ht="13" x14ac:dyDescent="0.15">
      <c r="A592" s="55" t="str">
        <f>HYPERLINK("http://reports.ofsted.gov.uk/inspection-reports/find-inspection-report/provider/CARE/1276719","Ofsted Social Care Provider Webpage")</f>
        <v>Ofsted Social Care Provider Webpage</v>
      </c>
      <c r="B592" s="55">
        <v>1276719</v>
      </c>
      <c r="D592" s="55" t="s">
        <v>373</v>
      </c>
      <c r="E592" s="74">
        <v>43236</v>
      </c>
      <c r="F592" s="55" t="s">
        <v>344</v>
      </c>
      <c r="G592" s="55" t="s">
        <v>360</v>
      </c>
      <c r="H592" s="55" t="s">
        <v>360</v>
      </c>
      <c r="I592" s="55" t="s">
        <v>360</v>
      </c>
      <c r="J592" s="55" t="s">
        <v>360</v>
      </c>
      <c r="K592" s="55" t="s">
        <v>360</v>
      </c>
      <c r="L592" s="55" t="s">
        <v>360</v>
      </c>
      <c r="M592" s="55" t="s">
        <v>136</v>
      </c>
      <c r="N592" s="55" t="s">
        <v>136</v>
      </c>
      <c r="O592" s="55" t="s">
        <v>165</v>
      </c>
      <c r="P592" s="55" t="s">
        <v>1269</v>
      </c>
      <c r="Q592" s="55" t="s">
        <v>350</v>
      </c>
      <c r="R592" s="85">
        <v>3</v>
      </c>
      <c r="S592" s="55">
        <v>0</v>
      </c>
      <c r="T592" s="74" t="s">
        <v>1270</v>
      </c>
      <c r="U592" s="74" t="s">
        <v>2053</v>
      </c>
      <c r="V592" s="74">
        <v>44531</v>
      </c>
      <c r="W592" s="74">
        <v>44560</v>
      </c>
      <c r="X592" s="55">
        <v>10216241</v>
      </c>
      <c r="AL592" s="74"/>
      <c r="AM592" s="74"/>
    </row>
    <row r="593" spans="1:50" ht="13" x14ac:dyDescent="0.15">
      <c r="A593" s="55" t="str">
        <f>HYPERLINK("http://reports.ofsted.gov.uk/inspection-reports/find-inspection-report/provider/CARE/1276911","Ofsted Social Care Provider Webpage")</f>
        <v>Ofsted Social Care Provider Webpage</v>
      </c>
      <c r="B593" s="55">
        <v>1276911</v>
      </c>
      <c r="D593" s="55" t="s">
        <v>373</v>
      </c>
      <c r="E593" s="74">
        <v>43402</v>
      </c>
      <c r="F593" s="55" t="s">
        <v>344</v>
      </c>
      <c r="G593" s="55" t="s">
        <v>360</v>
      </c>
      <c r="H593" s="55" t="s">
        <v>360</v>
      </c>
      <c r="I593" s="55" t="s">
        <v>360</v>
      </c>
      <c r="J593" s="55" t="s">
        <v>360</v>
      </c>
      <c r="K593" s="55" t="s">
        <v>360</v>
      </c>
      <c r="L593" s="55" t="s">
        <v>360</v>
      </c>
      <c r="M593" s="55" t="s">
        <v>142</v>
      </c>
      <c r="N593" s="55" t="s">
        <v>142</v>
      </c>
      <c r="O593" s="55" t="s">
        <v>262</v>
      </c>
      <c r="P593" s="55" t="s">
        <v>850</v>
      </c>
      <c r="Q593" s="55" t="s">
        <v>350</v>
      </c>
      <c r="R593" s="85">
        <v>2</v>
      </c>
      <c r="S593" s="55">
        <v>0</v>
      </c>
      <c r="T593" s="74" t="s">
        <v>619</v>
      </c>
      <c r="U593" s="74" t="s">
        <v>351</v>
      </c>
      <c r="V593" s="74">
        <v>44326</v>
      </c>
      <c r="W593" s="74">
        <v>44361</v>
      </c>
      <c r="X593" s="55">
        <v>10186141</v>
      </c>
      <c r="Y593" s="55" t="s">
        <v>132</v>
      </c>
      <c r="AB593" s="74" t="s">
        <v>132</v>
      </c>
      <c r="AC593" s="55" t="s">
        <v>132</v>
      </c>
      <c r="AL593" s="74"/>
      <c r="AM593" s="74"/>
    </row>
    <row r="594" spans="1:50" ht="13" x14ac:dyDescent="0.15">
      <c r="A594" s="55" t="str">
        <f>HYPERLINK("http://reports.ofsted.gov.uk/inspection-reports/find-inspection-report/provider/CARE/1277041","Ofsted Social Care Provider Webpage")</f>
        <v>Ofsted Social Care Provider Webpage</v>
      </c>
      <c r="B594" s="55">
        <v>1277041</v>
      </c>
      <c r="D594" s="55" t="s">
        <v>373</v>
      </c>
      <c r="E594" s="74">
        <v>43263</v>
      </c>
      <c r="F594" s="55" t="s">
        <v>344</v>
      </c>
      <c r="G594" s="55" t="s">
        <v>360</v>
      </c>
      <c r="H594" s="55" t="s">
        <v>360</v>
      </c>
      <c r="I594" s="55" t="s">
        <v>360</v>
      </c>
      <c r="J594" s="55" t="s">
        <v>360</v>
      </c>
      <c r="K594" s="55" t="s">
        <v>360</v>
      </c>
      <c r="L594" s="55" t="s">
        <v>360</v>
      </c>
      <c r="M594" s="55" t="s">
        <v>172</v>
      </c>
      <c r="N594" s="55" t="s">
        <v>172</v>
      </c>
      <c r="O594" s="55" t="s">
        <v>234</v>
      </c>
      <c r="P594" s="55" t="s">
        <v>457</v>
      </c>
      <c r="Q594" s="55" t="s">
        <v>380</v>
      </c>
      <c r="R594" s="85">
        <v>2</v>
      </c>
      <c r="S594" s="55">
        <v>0</v>
      </c>
      <c r="T594" s="74" t="s">
        <v>1271</v>
      </c>
      <c r="U594" s="74" t="s">
        <v>351</v>
      </c>
      <c r="V594" s="74">
        <v>44390</v>
      </c>
      <c r="W594" s="74">
        <v>44417</v>
      </c>
      <c r="X594" s="55">
        <v>10185280</v>
      </c>
      <c r="Y594" s="55" t="s">
        <v>132</v>
      </c>
      <c r="AB594" s="74" t="s">
        <v>132</v>
      </c>
      <c r="AC594" s="55" t="s">
        <v>130</v>
      </c>
      <c r="AL594" s="74"/>
      <c r="AM594" s="74"/>
      <c r="AW594" s="74"/>
      <c r="AX594" s="74"/>
    </row>
    <row r="595" spans="1:50" ht="13" x14ac:dyDescent="0.15">
      <c r="A595" s="55" t="str">
        <f>HYPERLINK("http://reports.ofsted.gov.uk/inspection-reports/find-inspection-report/provider/CARE/1277045","Ofsted Social Care Provider Webpage")</f>
        <v>Ofsted Social Care Provider Webpage</v>
      </c>
      <c r="B595" s="55">
        <v>1277045</v>
      </c>
      <c r="D595" s="55" t="s">
        <v>373</v>
      </c>
      <c r="E595" s="74">
        <v>43315</v>
      </c>
      <c r="F595" s="55" t="s">
        <v>344</v>
      </c>
      <c r="G595" s="55" t="s">
        <v>360</v>
      </c>
      <c r="H595" s="55" t="s">
        <v>360</v>
      </c>
      <c r="I595" s="55" t="s">
        <v>360</v>
      </c>
      <c r="J595" s="55" t="s">
        <v>360</v>
      </c>
      <c r="K595" s="55" t="s">
        <v>360</v>
      </c>
      <c r="L595" s="55" t="s">
        <v>360</v>
      </c>
      <c r="M595" s="55" t="s">
        <v>136</v>
      </c>
      <c r="N595" s="55" t="s">
        <v>136</v>
      </c>
      <c r="O595" s="55" t="s">
        <v>165</v>
      </c>
      <c r="P595" s="55" t="s">
        <v>1269</v>
      </c>
      <c r="Q595" s="55" t="s">
        <v>350</v>
      </c>
      <c r="R595" s="85">
        <v>4</v>
      </c>
      <c r="S595" s="55">
        <v>0</v>
      </c>
      <c r="T595" s="74" t="s">
        <v>1105</v>
      </c>
      <c r="U595" s="74" t="s">
        <v>351</v>
      </c>
      <c r="V595" s="74">
        <v>44481</v>
      </c>
      <c r="W595" s="74">
        <v>44519</v>
      </c>
      <c r="X595" s="55">
        <v>10186562</v>
      </c>
      <c r="Y595" s="55" t="s">
        <v>132</v>
      </c>
      <c r="AB595" s="74" t="s">
        <v>132</v>
      </c>
      <c r="AC595" s="55" t="s">
        <v>132</v>
      </c>
      <c r="AL595" s="74"/>
      <c r="AM595" s="74"/>
    </row>
    <row r="596" spans="1:50" ht="13" x14ac:dyDescent="0.15">
      <c r="A596" s="55" t="str">
        <f>HYPERLINK("http://reports.ofsted.gov.uk/inspection-reports/find-inspection-report/provider/CARE/1277049","Ofsted Social Care Provider Webpage")</f>
        <v>Ofsted Social Care Provider Webpage</v>
      </c>
      <c r="B596" s="55">
        <v>1277049</v>
      </c>
      <c r="D596" s="55" t="s">
        <v>373</v>
      </c>
      <c r="E596" s="74">
        <v>43307</v>
      </c>
      <c r="F596" s="55" t="s">
        <v>344</v>
      </c>
      <c r="G596" s="55" t="s">
        <v>360</v>
      </c>
      <c r="H596" s="55" t="s">
        <v>360</v>
      </c>
      <c r="I596" s="55" t="s">
        <v>360</v>
      </c>
      <c r="J596" s="55" t="s">
        <v>360</v>
      </c>
      <c r="K596" s="55" t="s">
        <v>360</v>
      </c>
      <c r="L596" s="55" t="s">
        <v>360</v>
      </c>
      <c r="M596" s="55" t="s">
        <v>144</v>
      </c>
      <c r="N596" s="55" t="s">
        <v>144</v>
      </c>
      <c r="O596" s="55" t="s">
        <v>287</v>
      </c>
      <c r="P596" s="55" t="s">
        <v>815</v>
      </c>
      <c r="Q596" s="55" t="s">
        <v>350</v>
      </c>
      <c r="R596" s="85">
        <v>2</v>
      </c>
      <c r="S596" s="55">
        <v>0</v>
      </c>
      <c r="T596" s="74" t="s">
        <v>1272</v>
      </c>
      <c r="U596" s="74" t="s">
        <v>351</v>
      </c>
      <c r="V596" s="74">
        <v>44516</v>
      </c>
      <c r="W596" s="74">
        <v>44579</v>
      </c>
      <c r="X596" s="55">
        <v>10185106</v>
      </c>
      <c r="Y596" s="55" t="s">
        <v>146</v>
      </c>
      <c r="AB596" s="74" t="s">
        <v>146</v>
      </c>
      <c r="AC596" s="55" t="s">
        <v>146</v>
      </c>
      <c r="AL596" s="74"/>
      <c r="AM596" s="74"/>
    </row>
    <row r="597" spans="1:50" ht="13" x14ac:dyDescent="0.15">
      <c r="A597" s="55" t="str">
        <f>HYPERLINK("http://reports.ofsted.gov.uk/inspection-reports/find-inspection-report/provider/CARE/1277049","Ofsted Social Care Provider Webpage")</f>
        <v>Ofsted Social Care Provider Webpage</v>
      </c>
      <c r="B597" s="55">
        <v>1277049</v>
      </c>
      <c r="D597" s="55" t="s">
        <v>373</v>
      </c>
      <c r="E597" s="74">
        <v>43307</v>
      </c>
      <c r="F597" s="55" t="s">
        <v>344</v>
      </c>
      <c r="G597" s="55" t="s">
        <v>360</v>
      </c>
      <c r="H597" s="55" t="s">
        <v>360</v>
      </c>
      <c r="I597" s="55" t="s">
        <v>360</v>
      </c>
      <c r="J597" s="55" t="s">
        <v>360</v>
      </c>
      <c r="K597" s="55" t="s">
        <v>360</v>
      </c>
      <c r="L597" s="55" t="s">
        <v>360</v>
      </c>
      <c r="M597" s="55" t="s">
        <v>144</v>
      </c>
      <c r="N597" s="55" t="s">
        <v>144</v>
      </c>
      <c r="O597" s="55" t="s">
        <v>287</v>
      </c>
      <c r="P597" s="55" t="s">
        <v>815</v>
      </c>
      <c r="Q597" s="55" t="s">
        <v>350</v>
      </c>
      <c r="R597" s="85">
        <v>2</v>
      </c>
      <c r="S597" s="55">
        <v>0</v>
      </c>
      <c r="T597" s="74" t="s">
        <v>1272</v>
      </c>
      <c r="U597" s="74" t="s">
        <v>2053</v>
      </c>
      <c r="V597" s="74">
        <v>44547</v>
      </c>
      <c r="W597" s="74">
        <v>44595</v>
      </c>
      <c r="X597" s="55">
        <v>10214856</v>
      </c>
      <c r="AL597" s="74"/>
      <c r="AM597" s="74"/>
      <c r="AW597" s="74"/>
      <c r="AX597" s="74"/>
    </row>
    <row r="598" spans="1:50" ht="13" x14ac:dyDescent="0.15">
      <c r="A598" s="55" t="str">
        <f>HYPERLINK("http://reports.ofsted.gov.uk/inspection-reports/find-inspection-report/provider/CARE/1277076","Ofsted Social Care Provider Webpage")</f>
        <v>Ofsted Social Care Provider Webpage</v>
      </c>
      <c r="B598" s="55">
        <v>1277076</v>
      </c>
      <c r="D598" s="55" t="s">
        <v>389</v>
      </c>
      <c r="E598" s="74">
        <v>43325</v>
      </c>
      <c r="F598" s="55" t="s">
        <v>344</v>
      </c>
      <c r="G598" s="55" t="s">
        <v>1273</v>
      </c>
      <c r="H598" s="55" t="s">
        <v>1274</v>
      </c>
      <c r="I598" s="55" t="s">
        <v>1275</v>
      </c>
      <c r="J598" s="55" t="s">
        <v>141</v>
      </c>
      <c r="L598" s="55" t="s">
        <v>1276</v>
      </c>
      <c r="M598" s="55" t="s">
        <v>142</v>
      </c>
      <c r="N598" s="55" t="s">
        <v>142</v>
      </c>
      <c r="O598" s="55" t="s">
        <v>141</v>
      </c>
      <c r="P598" s="55" t="s">
        <v>1226</v>
      </c>
      <c r="Q598" s="55" t="s">
        <v>350</v>
      </c>
      <c r="S598" s="55">
        <v>0</v>
      </c>
      <c r="T598" s="74" t="s">
        <v>1273</v>
      </c>
      <c r="U598" s="74" t="s">
        <v>351</v>
      </c>
      <c r="V598" s="74">
        <v>44326</v>
      </c>
      <c r="W598" s="74">
        <v>44357</v>
      </c>
      <c r="X598" s="55">
        <v>10183291</v>
      </c>
      <c r="Y598" s="55" t="s">
        <v>130</v>
      </c>
      <c r="AB598" s="74" t="s">
        <v>130</v>
      </c>
      <c r="AC598" s="55" t="s">
        <v>146</v>
      </c>
      <c r="AL598" s="74"/>
      <c r="AM598" s="74"/>
    </row>
    <row r="599" spans="1:50" ht="13" x14ac:dyDescent="0.15">
      <c r="A599" s="55" t="str">
        <f>HYPERLINK("http://reports.ofsted.gov.uk/inspection-reports/find-inspection-report/provider/CARE/1277076","Ofsted Social Care Provider Webpage")</f>
        <v>Ofsted Social Care Provider Webpage</v>
      </c>
      <c r="B599" s="55">
        <v>1277076</v>
      </c>
      <c r="D599" s="55" t="s">
        <v>389</v>
      </c>
      <c r="E599" s="74">
        <v>43325</v>
      </c>
      <c r="F599" s="55" t="s">
        <v>344</v>
      </c>
      <c r="G599" s="55" t="s">
        <v>1273</v>
      </c>
      <c r="H599" s="55" t="s">
        <v>1274</v>
      </c>
      <c r="I599" s="55" t="s">
        <v>1275</v>
      </c>
      <c r="J599" s="55" t="s">
        <v>141</v>
      </c>
      <c r="L599" s="55" t="s">
        <v>1276</v>
      </c>
      <c r="M599" s="55" t="s">
        <v>142</v>
      </c>
      <c r="N599" s="55" t="s">
        <v>142</v>
      </c>
      <c r="O599" s="55" t="s">
        <v>141</v>
      </c>
      <c r="P599" s="55" t="s">
        <v>1226</v>
      </c>
      <c r="Q599" s="55" t="s">
        <v>350</v>
      </c>
      <c r="S599" s="55">
        <v>0</v>
      </c>
      <c r="T599" s="74" t="s">
        <v>1273</v>
      </c>
      <c r="U599" s="74" t="s">
        <v>2053</v>
      </c>
      <c r="V599" s="74">
        <v>44453</v>
      </c>
      <c r="W599" s="74">
        <v>44482</v>
      </c>
      <c r="X599" s="55">
        <v>10195780</v>
      </c>
      <c r="AL599" s="74"/>
      <c r="AM599" s="74"/>
      <c r="AW599" s="74"/>
      <c r="AX599" s="74"/>
    </row>
    <row r="600" spans="1:50" ht="13" x14ac:dyDescent="0.15">
      <c r="A600" s="55" t="str">
        <f>HYPERLINK("http://reports.ofsted.gov.uk/inspection-reports/find-inspection-report/provider/CARE/1277079","Ofsted Social Care Provider Webpage")</f>
        <v>Ofsted Social Care Provider Webpage</v>
      </c>
      <c r="B600" s="55">
        <v>1277079</v>
      </c>
      <c r="D600" s="55" t="s">
        <v>373</v>
      </c>
      <c r="E600" s="74">
        <v>43206</v>
      </c>
      <c r="F600" s="55" t="s">
        <v>344</v>
      </c>
      <c r="G600" s="55" t="s">
        <v>360</v>
      </c>
      <c r="H600" s="55" t="s">
        <v>360</v>
      </c>
      <c r="I600" s="55" t="s">
        <v>360</v>
      </c>
      <c r="J600" s="55" t="s">
        <v>360</v>
      </c>
      <c r="K600" s="55" t="s">
        <v>360</v>
      </c>
      <c r="L600" s="55" t="s">
        <v>360</v>
      </c>
      <c r="M600" s="55" t="s">
        <v>378</v>
      </c>
      <c r="N600" s="55" t="s">
        <v>134</v>
      </c>
      <c r="O600" s="55" t="s">
        <v>158</v>
      </c>
      <c r="P600" s="55" t="s">
        <v>912</v>
      </c>
      <c r="Q600" s="55" t="s">
        <v>350</v>
      </c>
      <c r="R600" s="85">
        <v>2</v>
      </c>
      <c r="S600" s="55">
        <v>0</v>
      </c>
      <c r="T600" s="74" t="s">
        <v>951</v>
      </c>
      <c r="U600" s="74" t="s">
        <v>351</v>
      </c>
      <c r="V600" s="74">
        <v>44635</v>
      </c>
      <c r="W600" s="74">
        <v>44680</v>
      </c>
      <c r="X600" s="55">
        <v>10186525</v>
      </c>
      <c r="Y600" s="55" t="s">
        <v>132</v>
      </c>
      <c r="AB600" s="74" t="s">
        <v>132</v>
      </c>
      <c r="AC600" s="55" t="s">
        <v>140</v>
      </c>
      <c r="AL600" s="74"/>
      <c r="AM600" s="74"/>
      <c r="AW600" s="74"/>
      <c r="AX600" s="74"/>
    </row>
    <row r="601" spans="1:50" ht="13" x14ac:dyDescent="0.15">
      <c r="A601" s="55" t="str">
        <f>HYPERLINK("http://reports.ofsted.gov.uk/inspection-reports/find-inspection-report/provider/CARE/1277158","Ofsted Social Care Provider Webpage")</f>
        <v>Ofsted Social Care Provider Webpage</v>
      </c>
      <c r="B601" s="55">
        <v>1277158</v>
      </c>
      <c r="D601" s="55" t="s">
        <v>373</v>
      </c>
      <c r="E601" s="74">
        <v>43279</v>
      </c>
      <c r="F601" s="55" t="s">
        <v>344</v>
      </c>
      <c r="G601" s="55" t="s">
        <v>360</v>
      </c>
      <c r="H601" s="55" t="s">
        <v>360</v>
      </c>
      <c r="I601" s="55" t="s">
        <v>360</v>
      </c>
      <c r="J601" s="55" t="s">
        <v>360</v>
      </c>
      <c r="K601" s="55" t="s">
        <v>360</v>
      </c>
      <c r="L601" s="55" t="s">
        <v>360</v>
      </c>
      <c r="M601" s="55" t="s">
        <v>144</v>
      </c>
      <c r="N601" s="55" t="s">
        <v>144</v>
      </c>
      <c r="O601" s="55" t="s">
        <v>145</v>
      </c>
      <c r="P601" s="55" t="s">
        <v>484</v>
      </c>
      <c r="Q601" s="55" t="s">
        <v>350</v>
      </c>
      <c r="R601" s="85">
        <v>2</v>
      </c>
      <c r="S601" s="55">
        <v>0</v>
      </c>
      <c r="T601" s="74" t="s">
        <v>955</v>
      </c>
      <c r="U601" s="74" t="s">
        <v>351</v>
      </c>
      <c r="V601" s="74">
        <v>44517</v>
      </c>
      <c r="W601" s="74">
        <v>44550</v>
      </c>
      <c r="X601" s="55">
        <v>10185066</v>
      </c>
      <c r="Y601" s="55" t="s">
        <v>130</v>
      </c>
      <c r="AB601" s="74" t="s">
        <v>130</v>
      </c>
      <c r="AC601" s="55" t="s">
        <v>130</v>
      </c>
      <c r="AL601" s="74"/>
      <c r="AM601" s="74"/>
      <c r="AW601" s="74"/>
      <c r="AX601" s="74"/>
    </row>
    <row r="602" spans="1:50" ht="13" x14ac:dyDescent="0.15">
      <c r="A602" s="55" t="str">
        <f>HYPERLINK("http://reports.ofsted.gov.uk/inspection-reports/find-inspection-report/provider/CARE/1277304","Ofsted Social Care Provider Webpage")</f>
        <v>Ofsted Social Care Provider Webpage</v>
      </c>
      <c r="B602" s="55">
        <v>1277304</v>
      </c>
      <c r="D602" s="55" t="s">
        <v>373</v>
      </c>
      <c r="E602" s="74">
        <v>43228</v>
      </c>
      <c r="F602" s="55" t="s">
        <v>344</v>
      </c>
      <c r="G602" s="55" t="s">
        <v>360</v>
      </c>
      <c r="H602" s="55" t="s">
        <v>360</v>
      </c>
      <c r="I602" s="55" t="s">
        <v>360</v>
      </c>
      <c r="J602" s="55" t="s">
        <v>360</v>
      </c>
      <c r="K602" s="55" t="s">
        <v>360</v>
      </c>
      <c r="L602" s="55" t="s">
        <v>360</v>
      </c>
      <c r="M602" s="55" t="s">
        <v>136</v>
      </c>
      <c r="N602" s="55" t="s">
        <v>136</v>
      </c>
      <c r="O602" s="55" t="s">
        <v>239</v>
      </c>
      <c r="P602" s="55" t="s">
        <v>738</v>
      </c>
      <c r="Q602" s="55" t="s">
        <v>350</v>
      </c>
      <c r="R602" s="85">
        <v>2</v>
      </c>
      <c r="S602" s="55">
        <v>0</v>
      </c>
      <c r="T602" s="74" t="s">
        <v>739</v>
      </c>
      <c r="U602" s="74" t="s">
        <v>351</v>
      </c>
      <c r="V602" s="74">
        <v>44307</v>
      </c>
      <c r="W602" s="74">
        <v>44341</v>
      </c>
      <c r="X602" s="55">
        <v>10185174</v>
      </c>
      <c r="Y602" s="55" t="s">
        <v>130</v>
      </c>
      <c r="AB602" s="74" t="s">
        <v>130</v>
      </c>
      <c r="AC602" s="55" t="s">
        <v>130</v>
      </c>
      <c r="AL602" s="74"/>
      <c r="AM602" s="74"/>
    </row>
    <row r="603" spans="1:50" ht="13" x14ac:dyDescent="0.15">
      <c r="A603" s="55" t="str">
        <f>HYPERLINK("http://reports.ofsted.gov.uk/inspection-reports/find-inspection-report/provider/CARE/1277304","Ofsted Social Care Provider Webpage")</f>
        <v>Ofsted Social Care Provider Webpage</v>
      </c>
      <c r="B603" s="55">
        <v>1277304</v>
      </c>
      <c r="D603" s="55" t="s">
        <v>373</v>
      </c>
      <c r="E603" s="74">
        <v>43228</v>
      </c>
      <c r="F603" s="55" t="s">
        <v>344</v>
      </c>
      <c r="G603" s="55" t="s">
        <v>360</v>
      </c>
      <c r="H603" s="55" t="s">
        <v>360</v>
      </c>
      <c r="I603" s="55" t="s">
        <v>360</v>
      </c>
      <c r="J603" s="55" t="s">
        <v>360</v>
      </c>
      <c r="K603" s="55" t="s">
        <v>360</v>
      </c>
      <c r="L603" s="55" t="s">
        <v>360</v>
      </c>
      <c r="M603" s="55" t="s">
        <v>136</v>
      </c>
      <c r="N603" s="55" t="s">
        <v>136</v>
      </c>
      <c r="O603" s="55" t="s">
        <v>239</v>
      </c>
      <c r="P603" s="55" t="s">
        <v>738</v>
      </c>
      <c r="Q603" s="55" t="s">
        <v>350</v>
      </c>
      <c r="R603" s="85">
        <v>2</v>
      </c>
      <c r="S603" s="55">
        <v>0</v>
      </c>
      <c r="T603" s="74" t="s">
        <v>739</v>
      </c>
      <c r="U603" s="74" t="s">
        <v>6703</v>
      </c>
      <c r="V603" s="74">
        <v>44551</v>
      </c>
      <c r="W603" s="74">
        <v>44594</v>
      </c>
      <c r="X603" s="55">
        <v>10214437</v>
      </c>
      <c r="Y603" s="55" t="s">
        <v>6705</v>
      </c>
      <c r="AL603" s="74"/>
      <c r="AM603" s="74"/>
      <c r="AW603" s="74"/>
      <c r="AX603" s="74"/>
    </row>
    <row r="604" spans="1:50" ht="13" x14ac:dyDescent="0.15">
      <c r="A604" s="55" t="str">
        <f>HYPERLINK("http://reports.ofsted.gov.uk/inspection-reports/find-inspection-report/provider/CARE/1277380","Ofsted Social Care Provider Webpage")</f>
        <v>Ofsted Social Care Provider Webpage</v>
      </c>
      <c r="B604" s="55">
        <v>1277380</v>
      </c>
      <c r="D604" s="55" t="s">
        <v>373</v>
      </c>
      <c r="E604" s="74">
        <v>43273</v>
      </c>
      <c r="F604" s="55" t="s">
        <v>344</v>
      </c>
      <c r="G604" s="55" t="s">
        <v>360</v>
      </c>
      <c r="H604" s="55" t="s">
        <v>360</v>
      </c>
      <c r="I604" s="55" t="s">
        <v>360</v>
      </c>
      <c r="J604" s="55" t="s">
        <v>360</v>
      </c>
      <c r="K604" s="55" t="s">
        <v>360</v>
      </c>
      <c r="L604" s="55" t="s">
        <v>360</v>
      </c>
      <c r="M604" s="55" t="s">
        <v>378</v>
      </c>
      <c r="N604" s="55" t="s">
        <v>134</v>
      </c>
      <c r="O604" s="55" t="s">
        <v>232</v>
      </c>
      <c r="P604" s="55" t="s">
        <v>496</v>
      </c>
      <c r="Q604" s="55" t="s">
        <v>350</v>
      </c>
      <c r="R604" s="85">
        <v>5</v>
      </c>
      <c r="S604" s="55">
        <v>0</v>
      </c>
      <c r="T604" s="74" t="s">
        <v>863</v>
      </c>
      <c r="U604" s="74" t="s">
        <v>351</v>
      </c>
      <c r="V604" s="74">
        <v>44511</v>
      </c>
      <c r="W604" s="74">
        <v>44565</v>
      </c>
      <c r="X604" s="55">
        <v>10187381</v>
      </c>
      <c r="Y604" s="55" t="s">
        <v>132</v>
      </c>
      <c r="AB604" s="74" t="s">
        <v>132</v>
      </c>
      <c r="AC604" s="55" t="s">
        <v>132</v>
      </c>
      <c r="AL604" s="74"/>
      <c r="AM604" s="74"/>
      <c r="AW604" s="74"/>
      <c r="AX604" s="74"/>
    </row>
    <row r="605" spans="1:50" ht="13" x14ac:dyDescent="0.15">
      <c r="A605" s="55" t="str">
        <f>HYPERLINK("http://reports.ofsted.gov.uk/inspection-reports/find-inspection-report/provider/CARE/1277449","Ofsted Social Care Provider Webpage")</f>
        <v>Ofsted Social Care Provider Webpage</v>
      </c>
      <c r="B605" s="55">
        <v>1277449</v>
      </c>
      <c r="D605" s="55" t="s">
        <v>373</v>
      </c>
      <c r="E605" s="74">
        <v>43397</v>
      </c>
      <c r="F605" s="55" t="s">
        <v>6707</v>
      </c>
      <c r="G605" s="55" t="s">
        <v>360</v>
      </c>
      <c r="H605" s="55" t="s">
        <v>360</v>
      </c>
      <c r="I605" s="55" t="s">
        <v>360</v>
      </c>
      <c r="J605" s="55" t="s">
        <v>360</v>
      </c>
      <c r="K605" s="55" t="s">
        <v>360</v>
      </c>
      <c r="L605" s="55" t="s">
        <v>360</v>
      </c>
      <c r="M605" s="55" t="s">
        <v>142</v>
      </c>
      <c r="N605" s="55" t="s">
        <v>142</v>
      </c>
      <c r="O605" s="55" t="s">
        <v>292</v>
      </c>
      <c r="P605" s="55" t="s">
        <v>976</v>
      </c>
      <c r="Q605" s="55" t="s">
        <v>350</v>
      </c>
      <c r="R605" s="85">
        <v>5</v>
      </c>
      <c r="S605" s="55">
        <v>0</v>
      </c>
      <c r="T605" s="74" t="s">
        <v>6716</v>
      </c>
      <c r="U605" s="74" t="s">
        <v>2053</v>
      </c>
      <c r="V605" s="74">
        <v>44307</v>
      </c>
      <c r="W605" s="74">
        <v>44363</v>
      </c>
      <c r="X605" s="55">
        <v>10188142</v>
      </c>
      <c r="AL605" s="74"/>
      <c r="AM605" s="74"/>
      <c r="AW605" s="74"/>
      <c r="AX605" s="74"/>
    </row>
    <row r="606" spans="1:50" ht="13" x14ac:dyDescent="0.15">
      <c r="A606" s="55" t="str">
        <f>HYPERLINK("http://reports.ofsted.gov.uk/inspection-reports/find-inspection-report/provider/CARE/1277449","Ofsted Social Care Provider Webpage")</f>
        <v>Ofsted Social Care Provider Webpage</v>
      </c>
      <c r="B606" s="55">
        <v>1277449</v>
      </c>
      <c r="D606" s="55" t="s">
        <v>373</v>
      </c>
      <c r="E606" s="74">
        <v>43397</v>
      </c>
      <c r="F606" s="55" t="s">
        <v>6707</v>
      </c>
      <c r="G606" s="55" t="s">
        <v>360</v>
      </c>
      <c r="H606" s="55" t="s">
        <v>360</v>
      </c>
      <c r="I606" s="55" t="s">
        <v>360</v>
      </c>
      <c r="J606" s="55" t="s">
        <v>360</v>
      </c>
      <c r="K606" s="55" t="s">
        <v>360</v>
      </c>
      <c r="L606" s="55" t="s">
        <v>360</v>
      </c>
      <c r="M606" s="55" t="s">
        <v>142</v>
      </c>
      <c r="N606" s="55" t="s">
        <v>142</v>
      </c>
      <c r="O606" s="55" t="s">
        <v>292</v>
      </c>
      <c r="P606" s="55" t="s">
        <v>976</v>
      </c>
      <c r="Q606" s="55" t="s">
        <v>350</v>
      </c>
      <c r="R606" s="85">
        <v>5</v>
      </c>
      <c r="S606" s="55">
        <v>0</v>
      </c>
      <c r="T606" s="74" t="s">
        <v>6716</v>
      </c>
      <c r="U606" s="74" t="s">
        <v>2053</v>
      </c>
      <c r="V606" s="74">
        <v>44434</v>
      </c>
      <c r="W606" s="74">
        <v>44475</v>
      </c>
      <c r="X606" s="55">
        <v>10205494</v>
      </c>
      <c r="AL606" s="74"/>
      <c r="AM606" s="74"/>
      <c r="AW606" s="74"/>
      <c r="AX606" s="74"/>
    </row>
    <row r="607" spans="1:50" ht="13" x14ac:dyDescent="0.15">
      <c r="A607" s="55" t="str">
        <f>HYPERLINK("http://reports.ofsted.gov.uk/inspection-reports/find-inspection-report/provider/CARE/1277449","Ofsted Social Care Provider Webpage")</f>
        <v>Ofsted Social Care Provider Webpage</v>
      </c>
      <c r="B607" s="55">
        <v>1277449</v>
      </c>
      <c r="D607" s="55" t="s">
        <v>373</v>
      </c>
      <c r="E607" s="74">
        <v>43397</v>
      </c>
      <c r="F607" s="55" t="s">
        <v>6707</v>
      </c>
      <c r="G607" s="55" t="s">
        <v>360</v>
      </c>
      <c r="H607" s="55" t="s">
        <v>360</v>
      </c>
      <c r="I607" s="55" t="s">
        <v>360</v>
      </c>
      <c r="J607" s="55" t="s">
        <v>360</v>
      </c>
      <c r="K607" s="55" t="s">
        <v>360</v>
      </c>
      <c r="L607" s="55" t="s">
        <v>360</v>
      </c>
      <c r="M607" s="55" t="s">
        <v>142</v>
      </c>
      <c r="N607" s="55" t="s">
        <v>142</v>
      </c>
      <c r="O607" s="55" t="s">
        <v>292</v>
      </c>
      <c r="P607" s="55" t="s">
        <v>976</v>
      </c>
      <c r="Q607" s="55" t="s">
        <v>350</v>
      </c>
      <c r="R607" s="85">
        <v>5</v>
      </c>
      <c r="S607" s="55">
        <v>0</v>
      </c>
      <c r="T607" s="74" t="s">
        <v>6716</v>
      </c>
      <c r="U607" s="74" t="s">
        <v>2053</v>
      </c>
      <c r="V607" s="74">
        <v>44392</v>
      </c>
      <c r="W607" s="74">
        <v>44446</v>
      </c>
      <c r="X607" s="55">
        <v>10203186</v>
      </c>
      <c r="AL607" s="74"/>
      <c r="AM607" s="74"/>
      <c r="AW607" s="74"/>
      <c r="AX607" s="74"/>
    </row>
    <row r="608" spans="1:50" ht="13" x14ac:dyDescent="0.15">
      <c r="A608" s="55" t="str">
        <f>HYPERLINK("http://reports.ofsted.gov.uk/inspection-reports/find-inspection-report/provider/CARE/1277449","Ofsted Social Care Provider Webpage")</f>
        <v>Ofsted Social Care Provider Webpage</v>
      </c>
      <c r="B608" s="55">
        <v>1277449</v>
      </c>
      <c r="D608" s="55" t="s">
        <v>373</v>
      </c>
      <c r="E608" s="74">
        <v>43397</v>
      </c>
      <c r="F608" s="55" t="s">
        <v>6707</v>
      </c>
      <c r="G608" s="55" t="s">
        <v>360</v>
      </c>
      <c r="H608" s="55" t="s">
        <v>360</v>
      </c>
      <c r="I608" s="55" t="s">
        <v>360</v>
      </c>
      <c r="J608" s="55" t="s">
        <v>360</v>
      </c>
      <c r="K608" s="55" t="s">
        <v>360</v>
      </c>
      <c r="L608" s="55" t="s">
        <v>360</v>
      </c>
      <c r="M608" s="55" t="s">
        <v>142</v>
      </c>
      <c r="N608" s="55" t="s">
        <v>142</v>
      </c>
      <c r="O608" s="55" t="s">
        <v>292</v>
      </c>
      <c r="P608" s="55" t="s">
        <v>976</v>
      </c>
      <c r="Q608" s="55" t="s">
        <v>350</v>
      </c>
      <c r="R608" s="85">
        <v>5</v>
      </c>
      <c r="S608" s="55">
        <v>0</v>
      </c>
      <c r="T608" s="74" t="s">
        <v>6716</v>
      </c>
      <c r="U608" s="74" t="s">
        <v>2053</v>
      </c>
      <c r="V608" s="74">
        <v>44349</v>
      </c>
      <c r="W608" s="74">
        <v>44392</v>
      </c>
      <c r="X608" s="55">
        <v>10193636</v>
      </c>
      <c r="AL608" s="74"/>
      <c r="AM608" s="74"/>
      <c r="AW608" s="74"/>
      <c r="AX608" s="74"/>
    </row>
    <row r="609" spans="1:50" ht="13" x14ac:dyDescent="0.15">
      <c r="A609" s="55" t="str">
        <f>HYPERLINK("http://reports.ofsted.gov.uk/inspection-reports/find-inspection-report/provider/CARE/1277453","Ofsted Social Care Provider Webpage")</f>
        <v>Ofsted Social Care Provider Webpage</v>
      </c>
      <c r="B609" s="55">
        <v>1277453</v>
      </c>
      <c r="D609" s="55" t="s">
        <v>373</v>
      </c>
      <c r="E609" s="74">
        <v>43293</v>
      </c>
      <c r="F609" s="55" t="s">
        <v>344</v>
      </c>
      <c r="G609" s="55" t="s">
        <v>360</v>
      </c>
      <c r="H609" s="55" t="s">
        <v>360</v>
      </c>
      <c r="I609" s="55" t="s">
        <v>360</v>
      </c>
      <c r="J609" s="55" t="s">
        <v>360</v>
      </c>
      <c r="K609" s="55" t="s">
        <v>360</v>
      </c>
      <c r="L609" s="55" t="s">
        <v>360</v>
      </c>
      <c r="M609" s="55" t="s">
        <v>150</v>
      </c>
      <c r="N609" s="55" t="s">
        <v>150</v>
      </c>
      <c r="O609" s="55" t="s">
        <v>156</v>
      </c>
      <c r="P609" s="55" t="s">
        <v>1277</v>
      </c>
      <c r="Q609" s="55" t="s">
        <v>380</v>
      </c>
      <c r="R609" s="85">
        <v>5</v>
      </c>
      <c r="S609" s="55">
        <v>0</v>
      </c>
      <c r="T609" s="74" t="s">
        <v>1278</v>
      </c>
      <c r="U609" s="74" t="s">
        <v>351</v>
      </c>
      <c r="V609" s="74">
        <v>44405</v>
      </c>
      <c r="W609" s="74">
        <v>44449</v>
      </c>
      <c r="X609" s="55">
        <v>10187188</v>
      </c>
      <c r="Y609" s="55" t="s">
        <v>132</v>
      </c>
      <c r="AB609" s="74" t="s">
        <v>130</v>
      </c>
      <c r="AC609" s="55" t="s">
        <v>132</v>
      </c>
      <c r="AL609" s="74"/>
      <c r="AM609" s="74"/>
      <c r="AW609" s="74"/>
      <c r="AX609" s="74"/>
    </row>
    <row r="610" spans="1:50" ht="13" x14ac:dyDescent="0.15">
      <c r="A610" s="55" t="str">
        <f>HYPERLINK("http://reports.ofsted.gov.uk/inspection-reports/find-inspection-report/provider/CARE/1277479","Ofsted Social Care Provider Webpage")</f>
        <v>Ofsted Social Care Provider Webpage</v>
      </c>
      <c r="B610" s="55">
        <v>1277479</v>
      </c>
      <c r="D610" s="55" t="s">
        <v>373</v>
      </c>
      <c r="E610" s="74">
        <v>43285</v>
      </c>
      <c r="F610" s="55" t="s">
        <v>344</v>
      </c>
      <c r="G610" s="55" t="s">
        <v>360</v>
      </c>
      <c r="H610" s="55" t="s">
        <v>360</v>
      </c>
      <c r="I610" s="55" t="s">
        <v>360</v>
      </c>
      <c r="J610" s="55" t="s">
        <v>360</v>
      </c>
      <c r="K610" s="55" t="s">
        <v>360</v>
      </c>
      <c r="L610" s="55" t="s">
        <v>360</v>
      </c>
      <c r="M610" s="55" t="s">
        <v>172</v>
      </c>
      <c r="N610" s="55" t="s">
        <v>172</v>
      </c>
      <c r="O610" s="55" t="s">
        <v>228</v>
      </c>
      <c r="P610" s="55" t="s">
        <v>459</v>
      </c>
      <c r="Q610" s="55" t="s">
        <v>350</v>
      </c>
      <c r="R610" s="85">
        <v>2</v>
      </c>
      <c r="S610" s="55">
        <v>0</v>
      </c>
      <c r="T610" s="74" t="s">
        <v>904</v>
      </c>
      <c r="U610" s="74" t="s">
        <v>351</v>
      </c>
      <c r="V610" s="74">
        <v>44306</v>
      </c>
      <c r="W610" s="74">
        <v>44371</v>
      </c>
      <c r="X610" s="55">
        <v>10186903</v>
      </c>
      <c r="Y610" s="55" t="s">
        <v>132</v>
      </c>
      <c r="AB610" s="74" t="s">
        <v>132</v>
      </c>
      <c r="AC610" s="55" t="s">
        <v>132</v>
      </c>
      <c r="AL610" s="74"/>
      <c r="AM610" s="74"/>
      <c r="AW610" s="74"/>
      <c r="AX610" s="74"/>
    </row>
    <row r="611" spans="1:50" ht="13" x14ac:dyDescent="0.15">
      <c r="A611" s="55" t="str">
        <f>HYPERLINK("http://reports.ofsted.gov.uk/inspection-reports/find-inspection-report/provider/CARE/1277552","Ofsted Social Care Provider Webpage")</f>
        <v>Ofsted Social Care Provider Webpage</v>
      </c>
      <c r="B611" s="55">
        <v>1277552</v>
      </c>
      <c r="D611" s="55" t="s">
        <v>373</v>
      </c>
      <c r="E611" s="74">
        <v>43264</v>
      </c>
      <c r="F611" s="55" t="s">
        <v>344</v>
      </c>
      <c r="G611" s="55" t="s">
        <v>360</v>
      </c>
      <c r="H611" s="55" t="s">
        <v>360</v>
      </c>
      <c r="I611" s="55" t="s">
        <v>360</v>
      </c>
      <c r="J611" s="55" t="s">
        <v>360</v>
      </c>
      <c r="K611" s="55" t="s">
        <v>360</v>
      </c>
      <c r="L611" s="55" t="s">
        <v>360</v>
      </c>
      <c r="M611" s="55" t="s">
        <v>142</v>
      </c>
      <c r="N611" s="55" t="s">
        <v>142</v>
      </c>
      <c r="O611" s="55" t="s">
        <v>293</v>
      </c>
      <c r="P611" s="55" t="s">
        <v>1280</v>
      </c>
      <c r="Q611" s="55" t="s">
        <v>350</v>
      </c>
      <c r="R611" s="85">
        <v>2</v>
      </c>
      <c r="S611" s="55">
        <v>0</v>
      </c>
      <c r="T611" s="74" t="s">
        <v>1281</v>
      </c>
      <c r="U611" s="74" t="s">
        <v>351</v>
      </c>
      <c r="V611" s="74">
        <v>44495</v>
      </c>
      <c r="W611" s="74">
        <v>44538</v>
      </c>
      <c r="X611" s="55">
        <v>10185124</v>
      </c>
      <c r="Y611" s="55" t="s">
        <v>132</v>
      </c>
      <c r="AB611" s="74" t="s">
        <v>132</v>
      </c>
      <c r="AC611" s="55" t="s">
        <v>132</v>
      </c>
      <c r="AL611" s="74"/>
      <c r="AM611" s="74"/>
      <c r="AW611" s="74"/>
      <c r="AX611" s="74"/>
    </row>
    <row r="612" spans="1:50" ht="13" x14ac:dyDescent="0.15">
      <c r="A612" s="55" t="str">
        <f>HYPERLINK("http://reports.ofsted.gov.uk/inspection-reports/find-inspection-report/provider/CARE/1277584","Ofsted Social Care Provider Webpage")</f>
        <v>Ofsted Social Care Provider Webpage</v>
      </c>
      <c r="B612" s="55">
        <v>1277584</v>
      </c>
      <c r="D612" s="55" t="s">
        <v>373</v>
      </c>
      <c r="E612" s="74">
        <v>43241</v>
      </c>
      <c r="F612" s="55" t="s">
        <v>344</v>
      </c>
      <c r="G612" s="55" t="s">
        <v>360</v>
      </c>
      <c r="H612" s="55" t="s">
        <v>360</v>
      </c>
      <c r="I612" s="55" t="s">
        <v>360</v>
      </c>
      <c r="J612" s="55" t="s">
        <v>360</v>
      </c>
      <c r="K612" s="55" t="s">
        <v>360</v>
      </c>
      <c r="L612" s="55" t="s">
        <v>360</v>
      </c>
      <c r="M612" s="55" t="s">
        <v>136</v>
      </c>
      <c r="N612" s="55" t="s">
        <v>136</v>
      </c>
      <c r="O612" s="55" t="s">
        <v>255</v>
      </c>
      <c r="P612" s="55" t="s">
        <v>583</v>
      </c>
      <c r="Q612" s="55" t="s">
        <v>350</v>
      </c>
      <c r="R612" s="85">
        <v>3</v>
      </c>
      <c r="S612" s="55">
        <v>0</v>
      </c>
      <c r="T612" s="74" t="s">
        <v>1282</v>
      </c>
      <c r="U612" s="74" t="s">
        <v>6703</v>
      </c>
      <c r="V612" s="74">
        <v>44567</v>
      </c>
      <c r="W612" s="74">
        <v>44601</v>
      </c>
      <c r="X612" s="55">
        <v>10215860</v>
      </c>
      <c r="Y612" s="55" t="s">
        <v>6706</v>
      </c>
      <c r="AL612" s="74"/>
      <c r="AM612" s="74"/>
      <c r="AW612" s="74"/>
      <c r="AX612" s="74"/>
    </row>
    <row r="613" spans="1:50" ht="13" x14ac:dyDescent="0.15">
      <c r="A613" s="55" t="str">
        <f>HYPERLINK("http://reports.ofsted.gov.uk/inspection-reports/find-inspection-report/provider/CARE/1277584","Ofsted Social Care Provider Webpage")</f>
        <v>Ofsted Social Care Provider Webpage</v>
      </c>
      <c r="B613" s="55">
        <v>1277584</v>
      </c>
      <c r="D613" s="55" t="s">
        <v>373</v>
      </c>
      <c r="E613" s="74">
        <v>43241</v>
      </c>
      <c r="F613" s="55" t="s">
        <v>344</v>
      </c>
      <c r="G613" s="55" t="s">
        <v>360</v>
      </c>
      <c r="H613" s="55" t="s">
        <v>360</v>
      </c>
      <c r="I613" s="55" t="s">
        <v>360</v>
      </c>
      <c r="J613" s="55" t="s">
        <v>360</v>
      </c>
      <c r="K613" s="55" t="s">
        <v>360</v>
      </c>
      <c r="L613" s="55" t="s">
        <v>360</v>
      </c>
      <c r="M613" s="55" t="s">
        <v>136</v>
      </c>
      <c r="N613" s="55" t="s">
        <v>136</v>
      </c>
      <c r="O613" s="55" t="s">
        <v>255</v>
      </c>
      <c r="P613" s="55" t="s">
        <v>583</v>
      </c>
      <c r="Q613" s="55" t="s">
        <v>350</v>
      </c>
      <c r="R613" s="85">
        <v>3</v>
      </c>
      <c r="S613" s="55">
        <v>0</v>
      </c>
      <c r="T613" s="74" t="s">
        <v>1282</v>
      </c>
      <c r="U613" s="74" t="s">
        <v>351</v>
      </c>
      <c r="V613" s="74">
        <v>44447</v>
      </c>
      <c r="W613" s="74">
        <v>44488</v>
      </c>
      <c r="X613" s="55">
        <v>10185362</v>
      </c>
      <c r="Y613" s="55" t="s">
        <v>130</v>
      </c>
      <c r="AB613" s="74" t="s">
        <v>130</v>
      </c>
      <c r="AC613" s="55" t="s">
        <v>130</v>
      </c>
      <c r="AL613" s="74"/>
      <c r="AM613" s="74"/>
      <c r="AW613" s="74"/>
      <c r="AX613" s="74"/>
    </row>
    <row r="614" spans="1:50" ht="13" x14ac:dyDescent="0.15">
      <c r="A614" s="55" t="str">
        <f>HYPERLINK("http://reports.ofsted.gov.uk/inspection-reports/find-inspection-report/provider/CARE/1277726","Ofsted Social Care Provider Webpage")</f>
        <v>Ofsted Social Care Provider Webpage</v>
      </c>
      <c r="B614" s="55">
        <v>1277726</v>
      </c>
      <c r="D614" s="55" t="s">
        <v>373</v>
      </c>
      <c r="E614" s="74">
        <v>43276</v>
      </c>
      <c r="F614" s="55" t="s">
        <v>344</v>
      </c>
      <c r="G614" s="55" t="s">
        <v>360</v>
      </c>
      <c r="H614" s="55" t="s">
        <v>360</v>
      </c>
      <c r="I614" s="55" t="s">
        <v>360</v>
      </c>
      <c r="J614" s="55" t="s">
        <v>360</v>
      </c>
      <c r="K614" s="55" t="s">
        <v>360</v>
      </c>
      <c r="L614" s="55" t="s">
        <v>360</v>
      </c>
      <c r="M614" s="55" t="s">
        <v>172</v>
      </c>
      <c r="N614" s="55" t="s">
        <v>172</v>
      </c>
      <c r="O614" s="55" t="s">
        <v>235</v>
      </c>
      <c r="P614" s="55" t="s">
        <v>628</v>
      </c>
      <c r="Q614" s="55" t="s">
        <v>350</v>
      </c>
      <c r="R614" s="85">
        <v>6</v>
      </c>
      <c r="S614" s="55">
        <v>0</v>
      </c>
      <c r="T614" s="74" t="s">
        <v>1290</v>
      </c>
      <c r="U614" s="74" t="s">
        <v>351</v>
      </c>
      <c r="V614" s="74">
        <v>44474</v>
      </c>
      <c r="W614" s="74">
        <v>44510</v>
      </c>
      <c r="X614" s="55">
        <v>10187435</v>
      </c>
      <c r="Y614" s="55" t="s">
        <v>132</v>
      </c>
      <c r="AB614" s="74" t="s">
        <v>130</v>
      </c>
      <c r="AC614" s="55" t="s">
        <v>132</v>
      </c>
      <c r="AL614" s="74"/>
      <c r="AM614" s="74"/>
    </row>
    <row r="615" spans="1:50" ht="13" x14ac:dyDescent="0.15">
      <c r="A615" s="55" t="str">
        <f>HYPERLINK("http://reports.ofsted.gov.uk/inspection-reports/find-inspection-report/provider/CARE/1277734","Ofsted Social Care Provider Webpage")</f>
        <v>Ofsted Social Care Provider Webpage</v>
      </c>
      <c r="B615" s="55">
        <v>1277734</v>
      </c>
      <c r="D615" s="55" t="s">
        <v>373</v>
      </c>
      <c r="E615" s="74">
        <v>43626</v>
      </c>
      <c r="F615" s="55" t="s">
        <v>344</v>
      </c>
      <c r="G615" s="55" t="s">
        <v>360</v>
      </c>
      <c r="H615" s="55" t="s">
        <v>360</v>
      </c>
      <c r="I615" s="55" t="s">
        <v>360</v>
      </c>
      <c r="J615" s="55" t="s">
        <v>360</v>
      </c>
      <c r="K615" s="55" t="s">
        <v>360</v>
      </c>
      <c r="L615" s="55" t="s">
        <v>360</v>
      </c>
      <c r="M615" s="55" t="s">
        <v>142</v>
      </c>
      <c r="N615" s="55" t="s">
        <v>142</v>
      </c>
      <c r="O615" s="55" t="s">
        <v>272</v>
      </c>
      <c r="P615" s="55" t="s">
        <v>1291</v>
      </c>
      <c r="Q615" s="55" t="s">
        <v>350</v>
      </c>
      <c r="R615" s="85">
        <v>3</v>
      </c>
      <c r="S615" s="55">
        <v>0</v>
      </c>
      <c r="T615" s="74" t="s">
        <v>489</v>
      </c>
      <c r="U615" s="74" t="s">
        <v>351</v>
      </c>
      <c r="V615" s="74">
        <v>44510</v>
      </c>
      <c r="W615" s="74">
        <v>44533</v>
      </c>
      <c r="X615" s="55">
        <v>10186773</v>
      </c>
      <c r="Y615" s="55" t="s">
        <v>132</v>
      </c>
      <c r="AB615" s="74" t="s">
        <v>132</v>
      </c>
      <c r="AC615" s="55" t="s">
        <v>140</v>
      </c>
      <c r="AL615" s="74"/>
      <c r="AM615" s="74"/>
      <c r="AW615" s="74"/>
      <c r="AX615" s="74"/>
    </row>
    <row r="616" spans="1:50" ht="13" x14ac:dyDescent="0.15">
      <c r="A616" s="55" t="str">
        <f>HYPERLINK("http://reports.ofsted.gov.uk/inspection-reports/find-inspection-report/provider/CARE/1277861","Ofsted Social Care Provider Webpage")</f>
        <v>Ofsted Social Care Provider Webpage</v>
      </c>
      <c r="B616" s="55">
        <v>1277861</v>
      </c>
      <c r="D616" s="55" t="s">
        <v>373</v>
      </c>
      <c r="E616" s="74">
        <v>43257</v>
      </c>
      <c r="F616" s="55" t="s">
        <v>344</v>
      </c>
      <c r="G616" s="55" t="s">
        <v>360</v>
      </c>
      <c r="H616" s="55" t="s">
        <v>360</v>
      </c>
      <c r="I616" s="55" t="s">
        <v>360</v>
      </c>
      <c r="J616" s="55" t="s">
        <v>360</v>
      </c>
      <c r="K616" s="55" t="s">
        <v>360</v>
      </c>
      <c r="L616" s="55" t="s">
        <v>360</v>
      </c>
      <c r="M616" s="55" t="s">
        <v>136</v>
      </c>
      <c r="N616" s="55" t="s">
        <v>136</v>
      </c>
      <c r="O616" s="55" t="s">
        <v>185</v>
      </c>
      <c r="P616" s="55" t="s">
        <v>1292</v>
      </c>
      <c r="Q616" s="55" t="s">
        <v>350</v>
      </c>
      <c r="R616" s="85">
        <v>5</v>
      </c>
      <c r="S616" s="55">
        <v>0</v>
      </c>
      <c r="T616" s="74" t="s">
        <v>1293</v>
      </c>
      <c r="U616" s="74" t="s">
        <v>351</v>
      </c>
      <c r="V616" s="74">
        <v>44328</v>
      </c>
      <c r="W616" s="74">
        <v>44382</v>
      </c>
      <c r="X616" s="55">
        <v>10185450</v>
      </c>
      <c r="Y616" s="55" t="s">
        <v>132</v>
      </c>
      <c r="AB616" s="74" t="s">
        <v>132</v>
      </c>
      <c r="AC616" s="55" t="s">
        <v>132</v>
      </c>
      <c r="AL616" s="74"/>
      <c r="AM616" s="74"/>
    </row>
    <row r="617" spans="1:50" ht="13" x14ac:dyDescent="0.15">
      <c r="A617" s="55" t="str">
        <f>HYPERLINK("http://reports.ofsted.gov.uk/inspection-reports/find-inspection-report/provider/CARE/1278017","Ofsted Social Care Provider Webpage")</f>
        <v>Ofsted Social Care Provider Webpage</v>
      </c>
      <c r="B617" s="55">
        <v>1278017</v>
      </c>
      <c r="D617" s="55" t="s">
        <v>373</v>
      </c>
      <c r="E617" s="74">
        <v>43406</v>
      </c>
      <c r="F617" s="55" t="s">
        <v>344</v>
      </c>
      <c r="G617" s="55" t="s">
        <v>360</v>
      </c>
      <c r="H617" s="55" t="s">
        <v>360</v>
      </c>
      <c r="I617" s="55" t="s">
        <v>360</v>
      </c>
      <c r="J617" s="55" t="s">
        <v>360</v>
      </c>
      <c r="K617" s="55" t="s">
        <v>360</v>
      </c>
      <c r="L617" s="55" t="s">
        <v>360</v>
      </c>
      <c r="M617" s="55" t="s">
        <v>138</v>
      </c>
      <c r="N617" s="55" t="s">
        <v>138</v>
      </c>
      <c r="O617" s="55" t="s">
        <v>224</v>
      </c>
      <c r="P617" s="55" t="s">
        <v>1294</v>
      </c>
      <c r="Q617" s="55" t="s">
        <v>350</v>
      </c>
      <c r="R617" s="85">
        <v>8</v>
      </c>
      <c r="S617" s="55">
        <v>0</v>
      </c>
      <c r="T617" s="74" t="s">
        <v>450</v>
      </c>
      <c r="U617" s="74" t="s">
        <v>351</v>
      </c>
      <c r="V617" s="74">
        <v>44299</v>
      </c>
      <c r="W617" s="74">
        <v>44326</v>
      </c>
      <c r="X617" s="55">
        <v>10186164</v>
      </c>
      <c r="Y617" s="55" t="s">
        <v>130</v>
      </c>
      <c r="AB617" s="74" t="s">
        <v>130</v>
      </c>
      <c r="AC617" s="55" t="s">
        <v>130</v>
      </c>
      <c r="AL617" s="74"/>
      <c r="AM617" s="74"/>
    </row>
    <row r="618" spans="1:50" ht="13" x14ac:dyDescent="0.15">
      <c r="A618" s="55" t="str">
        <f>HYPERLINK("http://reports.ofsted.gov.uk/inspection-reports/find-inspection-report/provider/CARE/1278017","Ofsted Social Care Provider Webpage")</f>
        <v>Ofsted Social Care Provider Webpage</v>
      </c>
      <c r="B618" s="55">
        <v>1278017</v>
      </c>
      <c r="D618" s="55" t="s">
        <v>373</v>
      </c>
      <c r="E618" s="74">
        <v>43406</v>
      </c>
      <c r="F618" s="55" t="s">
        <v>344</v>
      </c>
      <c r="G618" s="55" t="s">
        <v>360</v>
      </c>
      <c r="H618" s="55" t="s">
        <v>360</v>
      </c>
      <c r="I618" s="55" t="s">
        <v>360</v>
      </c>
      <c r="J618" s="55" t="s">
        <v>360</v>
      </c>
      <c r="K618" s="55" t="s">
        <v>360</v>
      </c>
      <c r="L618" s="55" t="s">
        <v>360</v>
      </c>
      <c r="M618" s="55" t="s">
        <v>138</v>
      </c>
      <c r="N618" s="55" t="s">
        <v>138</v>
      </c>
      <c r="O618" s="55" t="s">
        <v>224</v>
      </c>
      <c r="P618" s="55" t="s">
        <v>1294</v>
      </c>
      <c r="Q618" s="55" t="s">
        <v>350</v>
      </c>
      <c r="R618" s="85">
        <v>8</v>
      </c>
      <c r="S618" s="55">
        <v>0</v>
      </c>
      <c r="T618" s="74" t="s">
        <v>450</v>
      </c>
      <c r="U618" s="74" t="s">
        <v>6703</v>
      </c>
      <c r="V618" s="74">
        <v>44599</v>
      </c>
      <c r="W618" s="74">
        <v>44635</v>
      </c>
      <c r="X618" s="55">
        <v>10205267</v>
      </c>
      <c r="Y618" s="55" t="s">
        <v>6705</v>
      </c>
      <c r="AL618" s="74"/>
      <c r="AM618" s="74"/>
      <c r="AW618" s="74"/>
      <c r="AX618" s="74"/>
    </row>
    <row r="619" spans="1:50" ht="13" x14ac:dyDescent="0.15">
      <c r="A619" s="55" t="str">
        <f>HYPERLINK("http://reports.ofsted.gov.uk/inspection-reports/find-inspection-report/provider/CARE/1278020","Ofsted Social Care Provider Webpage")</f>
        <v>Ofsted Social Care Provider Webpage</v>
      </c>
      <c r="B619" s="55">
        <v>1278020</v>
      </c>
      <c r="D619" s="55" t="s">
        <v>373</v>
      </c>
      <c r="E619" s="74">
        <v>43291</v>
      </c>
      <c r="F619" s="55" t="s">
        <v>344</v>
      </c>
      <c r="G619" s="55" t="s">
        <v>360</v>
      </c>
      <c r="H619" s="55" t="s">
        <v>360</v>
      </c>
      <c r="I619" s="55" t="s">
        <v>360</v>
      </c>
      <c r="J619" s="55" t="s">
        <v>360</v>
      </c>
      <c r="K619" s="55" t="s">
        <v>360</v>
      </c>
      <c r="L619" s="55" t="s">
        <v>360</v>
      </c>
      <c r="M619" s="55" t="s">
        <v>136</v>
      </c>
      <c r="N619" s="55" t="s">
        <v>136</v>
      </c>
      <c r="O619" s="55" t="s">
        <v>174</v>
      </c>
      <c r="P619" s="55" t="s">
        <v>1010</v>
      </c>
      <c r="Q619" s="55" t="s">
        <v>350</v>
      </c>
      <c r="R619" s="85">
        <v>3</v>
      </c>
      <c r="S619" s="55">
        <v>0</v>
      </c>
      <c r="T619" s="74" t="s">
        <v>1295</v>
      </c>
      <c r="U619" s="74" t="s">
        <v>351</v>
      </c>
      <c r="V619" s="74">
        <v>44628</v>
      </c>
      <c r="W619" s="74">
        <v>44671</v>
      </c>
      <c r="X619" s="55">
        <v>10185512</v>
      </c>
      <c r="Y619" s="55" t="s">
        <v>132</v>
      </c>
      <c r="AB619" s="74" t="s">
        <v>132</v>
      </c>
      <c r="AC619" s="55" t="s">
        <v>130</v>
      </c>
      <c r="AL619" s="74"/>
      <c r="AM619" s="74"/>
      <c r="AW619" s="74"/>
      <c r="AX619" s="74"/>
    </row>
    <row r="620" spans="1:50" ht="13" x14ac:dyDescent="0.15">
      <c r="A620" s="55" t="str">
        <f>HYPERLINK("http://reports.ofsted.gov.uk/inspection-reports/find-inspection-report/provider/CARE/1278022","Ofsted Social Care Provider Webpage")</f>
        <v>Ofsted Social Care Provider Webpage</v>
      </c>
      <c r="B620" s="55">
        <v>1278022</v>
      </c>
      <c r="D620" s="55" t="s">
        <v>373</v>
      </c>
      <c r="E620" s="74">
        <v>43238</v>
      </c>
      <c r="F620" s="55" t="s">
        <v>344</v>
      </c>
      <c r="G620" s="55" t="s">
        <v>360</v>
      </c>
      <c r="H620" s="55" t="s">
        <v>360</v>
      </c>
      <c r="I620" s="55" t="s">
        <v>360</v>
      </c>
      <c r="J620" s="55" t="s">
        <v>360</v>
      </c>
      <c r="K620" s="55" t="s">
        <v>360</v>
      </c>
      <c r="L620" s="55" t="s">
        <v>360</v>
      </c>
      <c r="M620" s="55" t="s">
        <v>144</v>
      </c>
      <c r="N620" s="55" t="s">
        <v>144</v>
      </c>
      <c r="O620" s="55" t="s">
        <v>250</v>
      </c>
      <c r="P620" s="55" t="s">
        <v>361</v>
      </c>
      <c r="Q620" s="55" t="s">
        <v>350</v>
      </c>
      <c r="R620" s="85">
        <v>2</v>
      </c>
      <c r="S620" s="55">
        <v>0</v>
      </c>
      <c r="T620" s="74" t="s">
        <v>1296</v>
      </c>
      <c r="U620" s="74" t="s">
        <v>351</v>
      </c>
      <c r="V620" s="74">
        <v>44600</v>
      </c>
      <c r="W620" s="74">
        <v>44648</v>
      </c>
      <c r="X620" s="55">
        <v>10186553</v>
      </c>
      <c r="Y620" s="55" t="s">
        <v>146</v>
      </c>
      <c r="AB620" s="74" t="s">
        <v>146</v>
      </c>
      <c r="AC620" s="55" t="s">
        <v>146</v>
      </c>
      <c r="AL620" s="74"/>
      <c r="AM620" s="74"/>
    </row>
    <row r="621" spans="1:50" ht="13" x14ac:dyDescent="0.15">
      <c r="A621" s="55" t="str">
        <f>HYPERLINK("http://reports.ofsted.gov.uk/inspection-reports/find-inspection-report/provider/CARE/1278217","Ofsted Social Care Provider Webpage")</f>
        <v>Ofsted Social Care Provider Webpage</v>
      </c>
      <c r="B621" s="55">
        <v>1278217</v>
      </c>
      <c r="D621" s="55" t="s">
        <v>373</v>
      </c>
      <c r="E621" s="74">
        <v>43453</v>
      </c>
      <c r="F621" s="55" t="s">
        <v>344</v>
      </c>
      <c r="G621" s="55" t="s">
        <v>360</v>
      </c>
      <c r="H621" s="55" t="s">
        <v>360</v>
      </c>
      <c r="I621" s="55" t="s">
        <v>360</v>
      </c>
      <c r="J621" s="55" t="s">
        <v>360</v>
      </c>
      <c r="K621" s="55" t="s">
        <v>360</v>
      </c>
      <c r="L621" s="55" t="s">
        <v>360</v>
      </c>
      <c r="M621" s="55" t="s">
        <v>378</v>
      </c>
      <c r="N621" s="55" t="s">
        <v>170</v>
      </c>
      <c r="O621" s="55" t="s">
        <v>193</v>
      </c>
      <c r="P621" s="55" t="s">
        <v>193</v>
      </c>
      <c r="Q621" s="55" t="s">
        <v>350</v>
      </c>
      <c r="R621" s="85">
        <v>2</v>
      </c>
      <c r="S621" s="55">
        <v>0</v>
      </c>
      <c r="T621" s="74" t="s">
        <v>1297</v>
      </c>
      <c r="U621" s="74" t="s">
        <v>6703</v>
      </c>
      <c r="V621" s="74">
        <v>44609</v>
      </c>
      <c r="W621" s="74">
        <v>44664</v>
      </c>
      <c r="X621" s="55">
        <v>10212765</v>
      </c>
      <c r="Y621" s="55" t="s">
        <v>6706</v>
      </c>
      <c r="AL621" s="74"/>
      <c r="AM621" s="74"/>
      <c r="AW621" s="74"/>
      <c r="AX621" s="74"/>
    </row>
    <row r="622" spans="1:50" ht="13" x14ac:dyDescent="0.15">
      <c r="A622" s="55" t="str">
        <f>HYPERLINK("http://reports.ofsted.gov.uk/inspection-reports/find-inspection-report/provider/CARE/1278217","Ofsted Social Care Provider Webpage")</f>
        <v>Ofsted Social Care Provider Webpage</v>
      </c>
      <c r="B622" s="55">
        <v>1278217</v>
      </c>
      <c r="D622" s="55" t="s">
        <v>373</v>
      </c>
      <c r="E622" s="74">
        <v>43453</v>
      </c>
      <c r="F622" s="55" t="s">
        <v>344</v>
      </c>
      <c r="G622" s="55" t="s">
        <v>360</v>
      </c>
      <c r="H622" s="55" t="s">
        <v>360</v>
      </c>
      <c r="I622" s="55" t="s">
        <v>360</v>
      </c>
      <c r="J622" s="55" t="s">
        <v>360</v>
      </c>
      <c r="K622" s="55" t="s">
        <v>360</v>
      </c>
      <c r="L622" s="55" t="s">
        <v>360</v>
      </c>
      <c r="M622" s="55" t="s">
        <v>378</v>
      </c>
      <c r="N622" s="55" t="s">
        <v>170</v>
      </c>
      <c r="O622" s="55" t="s">
        <v>193</v>
      </c>
      <c r="P622" s="55" t="s">
        <v>193</v>
      </c>
      <c r="Q622" s="55" t="s">
        <v>350</v>
      </c>
      <c r="R622" s="85">
        <v>2</v>
      </c>
      <c r="S622" s="55">
        <v>0</v>
      </c>
      <c r="T622" s="74" t="s">
        <v>1297</v>
      </c>
      <c r="U622" s="74" t="s">
        <v>351</v>
      </c>
      <c r="V622" s="74">
        <v>44461</v>
      </c>
      <c r="W622" s="74">
        <v>44533</v>
      </c>
      <c r="X622" s="55">
        <v>10187189</v>
      </c>
      <c r="Y622" s="55" t="s">
        <v>130</v>
      </c>
      <c r="AB622" s="74" t="s">
        <v>130</v>
      </c>
      <c r="AC622" s="55" t="s">
        <v>130</v>
      </c>
      <c r="AL622" s="74"/>
      <c r="AM622" s="74"/>
      <c r="AW622" s="74"/>
      <c r="AX622" s="74"/>
    </row>
    <row r="623" spans="1:50" ht="13" x14ac:dyDescent="0.15">
      <c r="A623" s="55" t="str">
        <f>HYPERLINK("http://reports.ofsted.gov.uk/inspection-reports/find-inspection-report/provider/CARE/1278421","Ofsted Social Care Provider Webpage")</f>
        <v>Ofsted Social Care Provider Webpage</v>
      </c>
      <c r="B623" s="55">
        <v>1278421</v>
      </c>
      <c r="D623" s="55" t="s">
        <v>373</v>
      </c>
      <c r="E623" s="74">
        <v>43349</v>
      </c>
      <c r="F623" s="55" t="s">
        <v>344</v>
      </c>
      <c r="G623" s="55" t="s">
        <v>360</v>
      </c>
      <c r="H623" s="55" t="s">
        <v>360</v>
      </c>
      <c r="I623" s="55" t="s">
        <v>360</v>
      </c>
      <c r="J623" s="55" t="s">
        <v>360</v>
      </c>
      <c r="K623" s="55" t="s">
        <v>360</v>
      </c>
      <c r="L623" s="55" t="s">
        <v>360</v>
      </c>
      <c r="M623" s="55" t="s">
        <v>142</v>
      </c>
      <c r="N623" s="55" t="s">
        <v>142</v>
      </c>
      <c r="O623" s="55" t="s">
        <v>141</v>
      </c>
      <c r="P623" s="55" t="s">
        <v>1231</v>
      </c>
      <c r="Q623" s="55" t="s">
        <v>350</v>
      </c>
      <c r="R623" s="85">
        <v>4</v>
      </c>
      <c r="S623" s="55">
        <v>0</v>
      </c>
      <c r="T623" s="74" t="s">
        <v>960</v>
      </c>
      <c r="U623" s="74" t="s">
        <v>351</v>
      </c>
      <c r="V623" s="74">
        <v>44356</v>
      </c>
      <c r="W623" s="74">
        <v>44392</v>
      </c>
      <c r="X623" s="55">
        <v>10186632</v>
      </c>
      <c r="Y623" s="55" t="s">
        <v>132</v>
      </c>
      <c r="AB623" s="74" t="s">
        <v>132</v>
      </c>
      <c r="AC623" s="55" t="s">
        <v>132</v>
      </c>
      <c r="AL623" s="74"/>
      <c r="AM623" s="74"/>
      <c r="AW623" s="74"/>
      <c r="AX623" s="74"/>
    </row>
    <row r="624" spans="1:50" ht="13" x14ac:dyDescent="0.15">
      <c r="A624" s="55" t="str">
        <f>HYPERLINK("http://reports.ofsted.gov.uk/inspection-reports/find-inspection-report/provider/CARE/1278708","Ofsted Social Care Provider Webpage")</f>
        <v>Ofsted Social Care Provider Webpage</v>
      </c>
      <c r="B624" s="55">
        <v>1278708</v>
      </c>
      <c r="D624" s="55" t="s">
        <v>373</v>
      </c>
      <c r="E624" s="74">
        <v>43308</v>
      </c>
      <c r="F624" s="55" t="s">
        <v>344</v>
      </c>
      <c r="G624" s="55" t="s">
        <v>360</v>
      </c>
      <c r="H624" s="55" t="s">
        <v>360</v>
      </c>
      <c r="I624" s="55" t="s">
        <v>360</v>
      </c>
      <c r="J624" s="55" t="s">
        <v>360</v>
      </c>
      <c r="K624" s="55" t="s">
        <v>360</v>
      </c>
      <c r="L624" s="55" t="s">
        <v>360</v>
      </c>
      <c r="M624" s="55" t="s">
        <v>172</v>
      </c>
      <c r="N624" s="55" t="s">
        <v>172</v>
      </c>
      <c r="O624" s="55" t="s">
        <v>228</v>
      </c>
      <c r="P624" s="55" t="s">
        <v>459</v>
      </c>
      <c r="Q624" s="55" t="s">
        <v>350</v>
      </c>
      <c r="R624" s="85">
        <v>1</v>
      </c>
      <c r="S624" s="55">
        <v>0</v>
      </c>
      <c r="T624" s="74" t="s">
        <v>962</v>
      </c>
      <c r="U624" s="74" t="s">
        <v>351</v>
      </c>
      <c r="V624" s="74">
        <v>44426</v>
      </c>
      <c r="W624" s="74">
        <v>44456</v>
      </c>
      <c r="X624" s="55">
        <v>10186845</v>
      </c>
      <c r="Y624" s="55" t="s">
        <v>140</v>
      </c>
      <c r="AB624" s="74" t="s">
        <v>132</v>
      </c>
      <c r="AC624" s="55" t="s">
        <v>132</v>
      </c>
      <c r="AL624" s="74"/>
      <c r="AM624" s="74"/>
      <c r="AW624" s="74"/>
      <c r="AX624" s="74"/>
    </row>
    <row r="625" spans="1:50" ht="13" x14ac:dyDescent="0.15">
      <c r="A625" s="55" t="str">
        <f>HYPERLINK("http://reports.ofsted.gov.uk/inspection-reports/find-inspection-report/provider/CARE/1278753","Ofsted Social Care Provider Webpage")</f>
        <v>Ofsted Social Care Provider Webpage</v>
      </c>
      <c r="B625" s="55">
        <v>1278753</v>
      </c>
      <c r="D625" s="55" t="s">
        <v>373</v>
      </c>
      <c r="E625" s="74">
        <v>43349</v>
      </c>
      <c r="F625" s="55" t="s">
        <v>344</v>
      </c>
      <c r="G625" s="55" t="s">
        <v>360</v>
      </c>
      <c r="H625" s="55" t="s">
        <v>360</v>
      </c>
      <c r="I625" s="55" t="s">
        <v>360</v>
      </c>
      <c r="J625" s="55" t="s">
        <v>360</v>
      </c>
      <c r="K625" s="55" t="s">
        <v>360</v>
      </c>
      <c r="L625" s="55" t="s">
        <v>360</v>
      </c>
      <c r="M625" s="55" t="s">
        <v>144</v>
      </c>
      <c r="N625" s="55" t="s">
        <v>144</v>
      </c>
      <c r="O625" s="55" t="s">
        <v>236</v>
      </c>
      <c r="P625" s="55" t="s">
        <v>996</v>
      </c>
      <c r="Q625" s="55" t="s">
        <v>350</v>
      </c>
      <c r="R625" s="85">
        <v>3</v>
      </c>
      <c r="S625" s="55">
        <v>0</v>
      </c>
      <c r="T625" s="74" t="s">
        <v>1064</v>
      </c>
      <c r="U625" s="74" t="s">
        <v>351</v>
      </c>
      <c r="V625" s="74">
        <v>44530</v>
      </c>
      <c r="W625" s="74">
        <v>44571</v>
      </c>
      <c r="X625" s="55">
        <v>10185604</v>
      </c>
      <c r="Y625" s="55" t="s">
        <v>140</v>
      </c>
      <c r="AB625" s="74" t="s">
        <v>140</v>
      </c>
      <c r="AC625" s="55" t="s">
        <v>140</v>
      </c>
      <c r="AL625" s="74"/>
      <c r="AM625" s="74"/>
    </row>
    <row r="626" spans="1:50" ht="13" x14ac:dyDescent="0.15">
      <c r="A626" s="55" t="str">
        <f>HYPERLINK("http://reports.ofsted.gov.uk/inspection-reports/find-inspection-report/provider/CARE/1278806","Ofsted Social Care Provider Webpage")</f>
        <v>Ofsted Social Care Provider Webpage</v>
      </c>
      <c r="B626" s="55">
        <v>1278806</v>
      </c>
      <c r="D626" s="55" t="s">
        <v>373</v>
      </c>
      <c r="E626" s="74">
        <v>43349</v>
      </c>
      <c r="F626" s="55" t="s">
        <v>344</v>
      </c>
      <c r="G626" s="55" t="s">
        <v>360</v>
      </c>
      <c r="H626" s="55" t="s">
        <v>360</v>
      </c>
      <c r="I626" s="55" t="s">
        <v>360</v>
      </c>
      <c r="J626" s="55" t="s">
        <v>360</v>
      </c>
      <c r="K626" s="55" t="s">
        <v>360</v>
      </c>
      <c r="L626" s="55" t="s">
        <v>360</v>
      </c>
      <c r="M626" s="55" t="s">
        <v>142</v>
      </c>
      <c r="N626" s="55" t="s">
        <v>142</v>
      </c>
      <c r="O626" s="55" t="s">
        <v>166</v>
      </c>
      <c r="P626" s="55" t="s">
        <v>1301</v>
      </c>
      <c r="Q626" s="55" t="s">
        <v>380</v>
      </c>
      <c r="R626" s="85">
        <v>4</v>
      </c>
      <c r="S626" s="55">
        <v>0</v>
      </c>
      <c r="T626" s="74" t="s">
        <v>1302</v>
      </c>
      <c r="U626" s="74" t="s">
        <v>351</v>
      </c>
      <c r="V626" s="74">
        <v>44635</v>
      </c>
      <c r="W626" s="74">
        <v>44677</v>
      </c>
      <c r="X626" s="55">
        <v>10185864</v>
      </c>
      <c r="Y626" s="55" t="s">
        <v>132</v>
      </c>
      <c r="AB626" s="74" t="s">
        <v>132</v>
      </c>
      <c r="AC626" s="55" t="s">
        <v>132</v>
      </c>
      <c r="AL626" s="74"/>
      <c r="AM626" s="74"/>
    </row>
    <row r="627" spans="1:50" ht="13" x14ac:dyDescent="0.15">
      <c r="A627" s="55" t="str">
        <f>HYPERLINK("http://reports.ofsted.gov.uk/inspection-reports/find-inspection-report/provider/CARE/1278873","Ofsted Social Care Provider Webpage")</f>
        <v>Ofsted Social Care Provider Webpage</v>
      </c>
      <c r="B627" s="55">
        <v>1278873</v>
      </c>
      <c r="D627" s="55" t="s">
        <v>373</v>
      </c>
      <c r="E627" s="74">
        <v>43367</v>
      </c>
      <c r="F627" s="55" t="s">
        <v>344</v>
      </c>
      <c r="G627" s="55" t="s">
        <v>360</v>
      </c>
      <c r="H627" s="55" t="s">
        <v>360</v>
      </c>
      <c r="I627" s="55" t="s">
        <v>360</v>
      </c>
      <c r="J627" s="55" t="s">
        <v>360</v>
      </c>
      <c r="K627" s="55" t="s">
        <v>360</v>
      </c>
      <c r="L627" s="55" t="s">
        <v>360</v>
      </c>
      <c r="M627" s="55" t="s">
        <v>138</v>
      </c>
      <c r="N627" s="55" t="s">
        <v>138</v>
      </c>
      <c r="O627" s="55" t="s">
        <v>183</v>
      </c>
      <c r="P627" s="55" t="s">
        <v>664</v>
      </c>
      <c r="Q627" s="55" t="s">
        <v>350</v>
      </c>
      <c r="R627" s="85">
        <v>6</v>
      </c>
      <c r="S627" s="55">
        <v>0</v>
      </c>
      <c r="T627" s="74" t="s">
        <v>1303</v>
      </c>
      <c r="U627" s="74" t="s">
        <v>351</v>
      </c>
      <c r="V627" s="74">
        <v>44474</v>
      </c>
      <c r="W627" s="74">
        <v>44510</v>
      </c>
      <c r="X627" s="55">
        <v>10186420</v>
      </c>
      <c r="Y627" s="55" t="s">
        <v>132</v>
      </c>
      <c r="AB627" s="74" t="s">
        <v>132</v>
      </c>
      <c r="AC627" s="55" t="s">
        <v>132</v>
      </c>
      <c r="AL627" s="74"/>
      <c r="AM627" s="74"/>
      <c r="AW627" s="74"/>
      <c r="AX627" s="74"/>
    </row>
    <row r="628" spans="1:50" ht="13" x14ac:dyDescent="0.15">
      <c r="A628" s="55" t="str">
        <f>HYPERLINK("http://reports.ofsted.gov.uk/inspection-reports/find-inspection-report/provider/CARE/1278959","Ofsted Social Care Provider Webpage")</f>
        <v>Ofsted Social Care Provider Webpage</v>
      </c>
      <c r="B628" s="55">
        <v>1278959</v>
      </c>
      <c r="D628" s="55" t="s">
        <v>373</v>
      </c>
      <c r="E628" s="74">
        <v>43235</v>
      </c>
      <c r="F628" s="55" t="s">
        <v>344</v>
      </c>
      <c r="G628" s="55" t="s">
        <v>360</v>
      </c>
      <c r="H628" s="55" t="s">
        <v>360</v>
      </c>
      <c r="I628" s="55" t="s">
        <v>360</v>
      </c>
      <c r="J628" s="55" t="s">
        <v>360</v>
      </c>
      <c r="K628" s="55" t="s">
        <v>360</v>
      </c>
      <c r="L628" s="55" t="s">
        <v>360</v>
      </c>
      <c r="M628" s="55" t="s">
        <v>129</v>
      </c>
      <c r="N628" s="55" t="s">
        <v>129</v>
      </c>
      <c r="O628" s="55" t="s">
        <v>152</v>
      </c>
      <c r="P628" s="55" t="s">
        <v>1130</v>
      </c>
      <c r="Q628" s="55" t="s">
        <v>350</v>
      </c>
      <c r="R628" s="85">
        <v>3</v>
      </c>
      <c r="S628" s="55">
        <v>0</v>
      </c>
      <c r="T628" s="74" t="s">
        <v>1304</v>
      </c>
      <c r="U628" s="74" t="s">
        <v>351</v>
      </c>
      <c r="V628" s="74">
        <v>44586</v>
      </c>
      <c r="W628" s="74">
        <v>44621</v>
      </c>
      <c r="X628" s="55">
        <v>10185166</v>
      </c>
      <c r="Y628" s="55" t="s">
        <v>130</v>
      </c>
      <c r="AB628" s="74" t="s">
        <v>130</v>
      </c>
      <c r="AC628" s="55" t="s">
        <v>130</v>
      </c>
      <c r="AL628" s="74"/>
      <c r="AM628" s="74"/>
    </row>
    <row r="629" spans="1:50" ht="13" x14ac:dyDescent="0.15">
      <c r="A629" s="55" t="str">
        <f>HYPERLINK("http://reports.ofsted.gov.uk/inspection-reports/find-inspection-report/provider/CARE/1278966","Ofsted Social Care Provider Webpage")</f>
        <v>Ofsted Social Care Provider Webpage</v>
      </c>
      <c r="B629" s="55">
        <v>1278966</v>
      </c>
      <c r="D629" s="55" t="s">
        <v>479</v>
      </c>
      <c r="E629" s="74">
        <v>43332</v>
      </c>
      <c r="F629" s="55" t="s">
        <v>344</v>
      </c>
      <c r="G629" s="55" t="s">
        <v>360</v>
      </c>
      <c r="H629" s="55" t="s">
        <v>360</v>
      </c>
      <c r="I629" s="55" t="s">
        <v>360</v>
      </c>
      <c r="J629" s="55" t="s">
        <v>360</v>
      </c>
      <c r="K629" s="55" t="s">
        <v>360</v>
      </c>
      <c r="L629" s="55" t="s">
        <v>360</v>
      </c>
      <c r="M629" s="55" t="s">
        <v>172</v>
      </c>
      <c r="N629" s="55" t="s">
        <v>172</v>
      </c>
      <c r="O629" s="55" t="s">
        <v>173</v>
      </c>
      <c r="P629" s="55" t="s">
        <v>1305</v>
      </c>
      <c r="Q629" s="55" t="s">
        <v>350</v>
      </c>
      <c r="R629" s="85">
        <v>6</v>
      </c>
      <c r="S629" s="55">
        <v>0</v>
      </c>
      <c r="T629" s="74" t="s">
        <v>1306</v>
      </c>
      <c r="U629" s="74" t="s">
        <v>351</v>
      </c>
      <c r="V629" s="74">
        <v>44600</v>
      </c>
      <c r="W629" s="74">
        <v>44644</v>
      </c>
      <c r="X629" s="55">
        <v>10185074</v>
      </c>
      <c r="Y629" s="55" t="s">
        <v>132</v>
      </c>
      <c r="AB629" s="74" t="s">
        <v>132</v>
      </c>
      <c r="AC629" s="55" t="s">
        <v>132</v>
      </c>
      <c r="AL629" s="74"/>
      <c r="AM629" s="74"/>
      <c r="AW629" s="74"/>
      <c r="AX629" s="74"/>
    </row>
    <row r="630" spans="1:50" ht="13" x14ac:dyDescent="0.15">
      <c r="A630" s="55" t="str">
        <f>HYPERLINK("http://reports.ofsted.gov.uk/inspection-reports/find-inspection-report/provider/CARE/1280210","Ofsted Social Care Provider Webpage")</f>
        <v>Ofsted Social Care Provider Webpage</v>
      </c>
      <c r="B630" s="55">
        <v>1280210</v>
      </c>
      <c r="D630" s="55" t="s">
        <v>373</v>
      </c>
      <c r="E630" s="74">
        <v>43314</v>
      </c>
      <c r="F630" s="55" t="s">
        <v>344</v>
      </c>
      <c r="G630" s="55" t="s">
        <v>360</v>
      </c>
      <c r="H630" s="55" t="s">
        <v>360</v>
      </c>
      <c r="I630" s="55" t="s">
        <v>360</v>
      </c>
      <c r="J630" s="55" t="s">
        <v>360</v>
      </c>
      <c r="K630" s="55" t="s">
        <v>360</v>
      </c>
      <c r="L630" s="55" t="s">
        <v>360</v>
      </c>
      <c r="M630" s="55" t="s">
        <v>142</v>
      </c>
      <c r="N630" s="55" t="s">
        <v>142</v>
      </c>
      <c r="O630" s="55" t="s">
        <v>262</v>
      </c>
      <c r="P630" s="55" t="s">
        <v>488</v>
      </c>
      <c r="Q630" s="55" t="s">
        <v>350</v>
      </c>
      <c r="R630" s="85">
        <v>2</v>
      </c>
      <c r="S630" s="55">
        <v>0</v>
      </c>
      <c r="T630" s="74" t="s">
        <v>1307</v>
      </c>
      <c r="U630" s="74" t="s">
        <v>351</v>
      </c>
      <c r="V630" s="74">
        <v>44341</v>
      </c>
      <c r="W630" s="74">
        <v>44375</v>
      </c>
      <c r="X630" s="55">
        <v>10185460</v>
      </c>
      <c r="Y630" s="55" t="s">
        <v>132</v>
      </c>
      <c r="AB630" s="74" t="s">
        <v>132</v>
      </c>
      <c r="AC630" s="55" t="s">
        <v>132</v>
      </c>
      <c r="AL630" s="74"/>
      <c r="AM630" s="74"/>
      <c r="AW630" s="74"/>
      <c r="AX630" s="74"/>
    </row>
    <row r="631" spans="1:50" ht="13" x14ac:dyDescent="0.15">
      <c r="A631" s="55" t="str">
        <f>HYPERLINK("http://reports.ofsted.gov.uk/inspection-reports/find-inspection-report/provider/CARE/1280370","Ofsted Social Care Provider Webpage")</f>
        <v>Ofsted Social Care Provider Webpage</v>
      </c>
      <c r="B631" s="55">
        <v>1280370</v>
      </c>
      <c r="D631" s="55" t="s">
        <v>373</v>
      </c>
      <c r="E631" s="74">
        <v>43297</v>
      </c>
      <c r="F631" s="55" t="s">
        <v>344</v>
      </c>
      <c r="G631" s="55" t="s">
        <v>360</v>
      </c>
      <c r="H631" s="55" t="s">
        <v>360</v>
      </c>
      <c r="I631" s="55" t="s">
        <v>360</v>
      </c>
      <c r="J631" s="55" t="s">
        <v>360</v>
      </c>
      <c r="K631" s="55" t="s">
        <v>360</v>
      </c>
      <c r="L631" s="55" t="s">
        <v>360</v>
      </c>
      <c r="M631" s="55" t="s">
        <v>144</v>
      </c>
      <c r="N631" s="55" t="s">
        <v>144</v>
      </c>
      <c r="O631" s="55" t="s">
        <v>236</v>
      </c>
      <c r="P631" s="55" t="s">
        <v>996</v>
      </c>
      <c r="Q631" s="55" t="s">
        <v>350</v>
      </c>
      <c r="R631" s="85">
        <v>2</v>
      </c>
      <c r="S631" s="55">
        <v>0</v>
      </c>
      <c r="T631" s="74" t="s">
        <v>711</v>
      </c>
      <c r="U631" s="74" t="s">
        <v>351</v>
      </c>
      <c r="V631" s="74">
        <v>44546</v>
      </c>
      <c r="W631" s="74">
        <v>44589</v>
      </c>
      <c r="X631" s="55">
        <v>10186832</v>
      </c>
      <c r="Y631" s="55" t="s">
        <v>140</v>
      </c>
      <c r="AB631" s="74" t="s">
        <v>140</v>
      </c>
      <c r="AC631" s="55" t="s">
        <v>140</v>
      </c>
      <c r="AL631" s="74"/>
      <c r="AM631" s="74"/>
      <c r="AW631" s="74"/>
      <c r="AX631" s="74"/>
    </row>
    <row r="632" spans="1:50" ht="13" x14ac:dyDescent="0.15">
      <c r="A632" s="55" t="str">
        <f>HYPERLINK("http://reports.ofsted.gov.uk/inspection-reports/find-inspection-report/provider/CARE/1280371","Ofsted Social Care Provider Webpage")</f>
        <v>Ofsted Social Care Provider Webpage</v>
      </c>
      <c r="B632" s="55">
        <v>1280371</v>
      </c>
      <c r="D632" s="55" t="s">
        <v>373</v>
      </c>
      <c r="E632" s="74">
        <v>43297</v>
      </c>
      <c r="F632" s="55" t="s">
        <v>344</v>
      </c>
      <c r="G632" s="55" t="s">
        <v>360</v>
      </c>
      <c r="H632" s="55" t="s">
        <v>360</v>
      </c>
      <c r="I632" s="55" t="s">
        <v>360</v>
      </c>
      <c r="J632" s="55" t="s">
        <v>360</v>
      </c>
      <c r="K632" s="55" t="s">
        <v>360</v>
      </c>
      <c r="L632" s="55" t="s">
        <v>360</v>
      </c>
      <c r="M632" s="55" t="s">
        <v>144</v>
      </c>
      <c r="N632" s="55" t="s">
        <v>144</v>
      </c>
      <c r="O632" s="55" t="s">
        <v>236</v>
      </c>
      <c r="P632" s="55" t="s">
        <v>996</v>
      </c>
      <c r="Q632" s="55" t="s">
        <v>350</v>
      </c>
      <c r="R632" s="85">
        <v>2</v>
      </c>
      <c r="S632" s="55">
        <v>0</v>
      </c>
      <c r="T632" s="74" t="s">
        <v>711</v>
      </c>
      <c r="U632" s="74" t="s">
        <v>351</v>
      </c>
      <c r="V632" s="74">
        <v>44593</v>
      </c>
      <c r="W632" s="74">
        <v>44622</v>
      </c>
      <c r="X632" s="55">
        <v>10186696</v>
      </c>
      <c r="Y632" s="55" t="s">
        <v>132</v>
      </c>
      <c r="AB632" s="74" t="s">
        <v>132</v>
      </c>
      <c r="AC632" s="55" t="s">
        <v>140</v>
      </c>
      <c r="AL632" s="74"/>
      <c r="AM632" s="74"/>
      <c r="AW632" s="74"/>
      <c r="AX632" s="74"/>
    </row>
    <row r="633" spans="1:50" ht="13" x14ac:dyDescent="0.15">
      <c r="A633" s="55" t="str">
        <f>HYPERLINK("http://reports.ofsted.gov.uk/inspection-reports/find-inspection-report/provider/CARE/1280412","Ofsted Social Care Provider Webpage")</f>
        <v>Ofsted Social Care Provider Webpage</v>
      </c>
      <c r="B633" s="55">
        <v>1280412</v>
      </c>
      <c r="D633" s="55" t="s">
        <v>373</v>
      </c>
      <c r="E633" s="74">
        <v>43276</v>
      </c>
      <c r="F633" s="55" t="s">
        <v>344</v>
      </c>
      <c r="G633" s="55" t="s">
        <v>360</v>
      </c>
      <c r="H633" s="55" t="s">
        <v>360</v>
      </c>
      <c r="I633" s="55" t="s">
        <v>360</v>
      </c>
      <c r="J633" s="55" t="s">
        <v>360</v>
      </c>
      <c r="K633" s="55" t="s">
        <v>360</v>
      </c>
      <c r="L633" s="55" t="s">
        <v>360</v>
      </c>
      <c r="M633" s="55" t="s">
        <v>144</v>
      </c>
      <c r="N633" s="55" t="s">
        <v>144</v>
      </c>
      <c r="O633" s="55" t="s">
        <v>287</v>
      </c>
      <c r="P633" s="55" t="s">
        <v>1103</v>
      </c>
      <c r="Q633" s="55" t="s">
        <v>350</v>
      </c>
      <c r="R633" s="85">
        <v>4</v>
      </c>
      <c r="S633" s="55">
        <v>0</v>
      </c>
      <c r="T633" s="74" t="s">
        <v>1100</v>
      </c>
      <c r="U633" s="74" t="s">
        <v>351</v>
      </c>
      <c r="V633" s="74">
        <v>44566</v>
      </c>
      <c r="W633" s="74">
        <v>44603</v>
      </c>
      <c r="X633" s="55">
        <v>10186624</v>
      </c>
      <c r="Y633" s="55" t="s">
        <v>146</v>
      </c>
      <c r="AB633" s="74" t="s">
        <v>146</v>
      </c>
      <c r="AC633" s="55" t="s">
        <v>146</v>
      </c>
      <c r="AL633" s="74"/>
      <c r="AM633" s="74"/>
      <c r="AW633" s="74"/>
      <c r="AX633" s="74"/>
    </row>
    <row r="634" spans="1:50" ht="13" x14ac:dyDescent="0.15">
      <c r="A634" s="55" t="str">
        <f>HYPERLINK("http://reports.ofsted.gov.uk/inspection-reports/find-inspection-report/provider/CARE/1280478","Ofsted Social Care Provider Webpage")</f>
        <v>Ofsted Social Care Provider Webpage</v>
      </c>
      <c r="B634" s="55">
        <v>1280478</v>
      </c>
      <c r="D634" s="55" t="s">
        <v>373</v>
      </c>
      <c r="E634" s="74">
        <v>43792</v>
      </c>
      <c r="F634" s="55" t="s">
        <v>344</v>
      </c>
      <c r="G634" s="55" t="s">
        <v>360</v>
      </c>
      <c r="H634" s="55" t="s">
        <v>360</v>
      </c>
      <c r="I634" s="55" t="s">
        <v>360</v>
      </c>
      <c r="J634" s="55" t="s">
        <v>360</v>
      </c>
      <c r="K634" s="55" t="s">
        <v>360</v>
      </c>
      <c r="L634" s="55" t="s">
        <v>360</v>
      </c>
      <c r="M634" s="55" t="s">
        <v>142</v>
      </c>
      <c r="N634" s="55" t="s">
        <v>142</v>
      </c>
      <c r="O634" s="55" t="s">
        <v>262</v>
      </c>
      <c r="P634" s="55" t="s">
        <v>850</v>
      </c>
      <c r="Q634" s="55" t="s">
        <v>350</v>
      </c>
      <c r="R634" s="85">
        <v>2</v>
      </c>
      <c r="S634" s="55">
        <v>0</v>
      </c>
      <c r="T634" s="74" t="s">
        <v>1216</v>
      </c>
      <c r="U634" s="74" t="s">
        <v>2053</v>
      </c>
      <c r="V634" s="74">
        <v>44341</v>
      </c>
      <c r="W634" s="74">
        <v>44393</v>
      </c>
      <c r="X634" s="55">
        <v>10196645</v>
      </c>
      <c r="AL634" s="74"/>
      <c r="AM634" s="74"/>
      <c r="AW634" s="74"/>
      <c r="AX634" s="74"/>
    </row>
    <row r="635" spans="1:50" ht="13" x14ac:dyDescent="0.15">
      <c r="A635" s="55" t="str">
        <f>HYPERLINK("http://reports.ofsted.gov.uk/inspection-reports/find-inspection-report/provider/CARE/1280478","Ofsted Social Care Provider Webpage")</f>
        <v>Ofsted Social Care Provider Webpage</v>
      </c>
      <c r="B635" s="55">
        <v>1280478</v>
      </c>
      <c r="D635" s="55" t="s">
        <v>373</v>
      </c>
      <c r="E635" s="74">
        <v>43792</v>
      </c>
      <c r="F635" s="55" t="s">
        <v>344</v>
      </c>
      <c r="G635" s="55" t="s">
        <v>360</v>
      </c>
      <c r="H635" s="55" t="s">
        <v>360</v>
      </c>
      <c r="I635" s="55" t="s">
        <v>360</v>
      </c>
      <c r="J635" s="55" t="s">
        <v>360</v>
      </c>
      <c r="K635" s="55" t="s">
        <v>360</v>
      </c>
      <c r="L635" s="55" t="s">
        <v>360</v>
      </c>
      <c r="M635" s="55" t="s">
        <v>142</v>
      </c>
      <c r="N635" s="55" t="s">
        <v>142</v>
      </c>
      <c r="O635" s="55" t="s">
        <v>262</v>
      </c>
      <c r="P635" s="55" t="s">
        <v>850</v>
      </c>
      <c r="Q635" s="55" t="s">
        <v>350</v>
      </c>
      <c r="R635" s="85">
        <v>2</v>
      </c>
      <c r="S635" s="55">
        <v>0</v>
      </c>
      <c r="T635" s="74" t="s">
        <v>1216</v>
      </c>
      <c r="U635" s="74" t="s">
        <v>6703</v>
      </c>
      <c r="V635" s="74">
        <v>44586</v>
      </c>
      <c r="W635" s="74">
        <v>44615</v>
      </c>
      <c r="X635" s="55">
        <v>10185723</v>
      </c>
      <c r="Y635" s="55" t="s">
        <v>6709</v>
      </c>
      <c r="AL635" s="74"/>
      <c r="AM635" s="74"/>
    </row>
    <row r="636" spans="1:50" ht="13" x14ac:dyDescent="0.15">
      <c r="A636" s="55" t="str">
        <f>HYPERLINK("http://reports.ofsted.gov.uk/inspection-reports/find-inspection-report/provider/CARE/1280478","Ofsted Social Care Provider Webpage")</f>
        <v>Ofsted Social Care Provider Webpage</v>
      </c>
      <c r="B636" s="55">
        <v>1280478</v>
      </c>
      <c r="D636" s="55" t="s">
        <v>373</v>
      </c>
      <c r="E636" s="74">
        <v>43792</v>
      </c>
      <c r="F636" s="55" t="s">
        <v>344</v>
      </c>
      <c r="G636" s="55" t="s">
        <v>360</v>
      </c>
      <c r="H636" s="55" t="s">
        <v>360</v>
      </c>
      <c r="I636" s="55" t="s">
        <v>360</v>
      </c>
      <c r="J636" s="55" t="s">
        <v>360</v>
      </c>
      <c r="K636" s="55" t="s">
        <v>360</v>
      </c>
      <c r="L636" s="55" t="s">
        <v>360</v>
      </c>
      <c r="M636" s="55" t="s">
        <v>142</v>
      </c>
      <c r="N636" s="55" t="s">
        <v>142</v>
      </c>
      <c r="O636" s="55" t="s">
        <v>262</v>
      </c>
      <c r="P636" s="55" t="s">
        <v>850</v>
      </c>
      <c r="Q636" s="55" t="s">
        <v>350</v>
      </c>
      <c r="R636" s="85">
        <v>2</v>
      </c>
      <c r="S636" s="55">
        <v>0</v>
      </c>
      <c r="T636" s="74" t="s">
        <v>1216</v>
      </c>
      <c r="U636" s="74" t="s">
        <v>2053</v>
      </c>
      <c r="V636" s="74">
        <v>44447</v>
      </c>
      <c r="W636" s="74">
        <v>44488</v>
      </c>
      <c r="X636" s="55">
        <v>10206373</v>
      </c>
      <c r="AL636" s="74"/>
      <c r="AM636" s="74"/>
      <c r="AW636" s="74"/>
      <c r="AX636" s="74"/>
    </row>
    <row r="637" spans="1:50" ht="13" x14ac:dyDescent="0.15">
      <c r="A637" s="55" t="str">
        <f>HYPERLINK("http://reports.ofsted.gov.uk/inspection-reports/find-inspection-report/provider/CARE/1280530","Ofsted Social Care Provider Webpage")</f>
        <v>Ofsted Social Care Provider Webpage</v>
      </c>
      <c r="B637" s="55">
        <v>1280530</v>
      </c>
      <c r="D637" s="55" t="s">
        <v>389</v>
      </c>
      <c r="E637" s="74">
        <v>43455</v>
      </c>
      <c r="F637" s="55" t="s">
        <v>344</v>
      </c>
      <c r="G637" s="55" t="s">
        <v>1314</v>
      </c>
      <c r="H637" s="55" t="s">
        <v>1315</v>
      </c>
      <c r="I637" s="55" t="s">
        <v>1316</v>
      </c>
      <c r="J637" s="55" t="s">
        <v>1147</v>
      </c>
      <c r="K637" s="55" t="s">
        <v>142</v>
      </c>
      <c r="L637" s="55" t="s">
        <v>1317</v>
      </c>
      <c r="M637" s="55" t="s">
        <v>142</v>
      </c>
      <c r="N637" s="55" t="s">
        <v>142</v>
      </c>
      <c r="O637" s="55" t="s">
        <v>249</v>
      </c>
      <c r="P637" s="55" t="s">
        <v>1318</v>
      </c>
      <c r="Q637" s="55" t="s">
        <v>350</v>
      </c>
      <c r="S637" s="55">
        <v>0</v>
      </c>
      <c r="T637" s="74" t="s">
        <v>1314</v>
      </c>
      <c r="U637" s="74" t="s">
        <v>351</v>
      </c>
      <c r="V637" s="74">
        <v>44466</v>
      </c>
      <c r="W637" s="74">
        <v>44495</v>
      </c>
      <c r="X637" s="55">
        <v>10183203</v>
      </c>
      <c r="Y637" s="55" t="s">
        <v>132</v>
      </c>
      <c r="AB637" s="74" t="s">
        <v>132</v>
      </c>
      <c r="AC637" s="55" t="s">
        <v>130</v>
      </c>
      <c r="AL637" s="74"/>
      <c r="AM637" s="74"/>
      <c r="AW637" s="74"/>
      <c r="AX637" s="74"/>
    </row>
    <row r="638" spans="1:50" ht="13" x14ac:dyDescent="0.15">
      <c r="A638" s="55" t="str">
        <f>HYPERLINK("http://reports.ofsted.gov.uk/inspection-reports/find-inspection-report/provider/CARE/1280623","Ofsted Social Care Provider Webpage")</f>
        <v>Ofsted Social Care Provider Webpage</v>
      </c>
      <c r="B638" s="55">
        <v>1280623</v>
      </c>
      <c r="D638" s="55" t="s">
        <v>373</v>
      </c>
      <c r="E638" s="74">
        <v>43389</v>
      </c>
      <c r="F638" s="55" t="s">
        <v>344</v>
      </c>
      <c r="G638" s="55" t="s">
        <v>360</v>
      </c>
      <c r="H638" s="55" t="s">
        <v>360</v>
      </c>
      <c r="I638" s="55" t="s">
        <v>360</v>
      </c>
      <c r="J638" s="55" t="s">
        <v>360</v>
      </c>
      <c r="K638" s="55" t="s">
        <v>360</v>
      </c>
      <c r="L638" s="55" t="s">
        <v>360</v>
      </c>
      <c r="M638" s="55" t="s">
        <v>142</v>
      </c>
      <c r="N638" s="55" t="s">
        <v>142</v>
      </c>
      <c r="O638" s="55" t="s">
        <v>292</v>
      </c>
      <c r="P638" s="55" t="s">
        <v>976</v>
      </c>
      <c r="Q638" s="55" t="s">
        <v>350</v>
      </c>
      <c r="R638" s="85">
        <v>3</v>
      </c>
      <c r="S638" s="55">
        <v>0</v>
      </c>
      <c r="T638" s="74" t="s">
        <v>1320</v>
      </c>
      <c r="U638" s="74" t="s">
        <v>351</v>
      </c>
      <c r="V638" s="74">
        <v>44307</v>
      </c>
      <c r="W638" s="74">
        <v>44348</v>
      </c>
      <c r="X638" s="55">
        <v>10187628</v>
      </c>
      <c r="Y638" s="55" t="s">
        <v>130</v>
      </c>
      <c r="AB638" s="74" t="s">
        <v>130</v>
      </c>
      <c r="AC638" s="55" t="s">
        <v>130</v>
      </c>
      <c r="AL638" s="74"/>
      <c r="AM638" s="74"/>
    </row>
    <row r="639" spans="1:50" ht="13" x14ac:dyDescent="0.15">
      <c r="A639" s="55" t="str">
        <f>HYPERLINK("http://reports.ofsted.gov.uk/inspection-reports/find-inspection-report/provider/CARE/1280629","Ofsted Social Care Provider Webpage")</f>
        <v>Ofsted Social Care Provider Webpage</v>
      </c>
      <c r="B639" s="55">
        <v>1280629</v>
      </c>
      <c r="D639" s="55" t="s">
        <v>373</v>
      </c>
      <c r="E639" s="74">
        <v>43313</v>
      </c>
      <c r="F639" s="55" t="s">
        <v>344</v>
      </c>
      <c r="G639" s="55" t="s">
        <v>360</v>
      </c>
      <c r="H639" s="55" t="s">
        <v>360</v>
      </c>
      <c r="I639" s="55" t="s">
        <v>360</v>
      </c>
      <c r="J639" s="55" t="s">
        <v>360</v>
      </c>
      <c r="K639" s="55" t="s">
        <v>360</v>
      </c>
      <c r="L639" s="55" t="s">
        <v>360</v>
      </c>
      <c r="M639" s="55" t="s">
        <v>142</v>
      </c>
      <c r="N639" s="55" t="s">
        <v>142</v>
      </c>
      <c r="O639" s="55" t="s">
        <v>262</v>
      </c>
      <c r="P639" s="55" t="s">
        <v>618</v>
      </c>
      <c r="Q639" s="55" t="s">
        <v>350</v>
      </c>
      <c r="R639" s="85">
        <v>3</v>
      </c>
      <c r="S639" s="55">
        <v>0</v>
      </c>
      <c r="T639" s="74" t="s">
        <v>385</v>
      </c>
      <c r="U639" s="74" t="s">
        <v>351</v>
      </c>
      <c r="V639" s="74">
        <v>44544</v>
      </c>
      <c r="W639" s="74">
        <v>44589</v>
      </c>
      <c r="X639" s="55">
        <v>10185157</v>
      </c>
      <c r="Y639" s="55" t="s">
        <v>132</v>
      </c>
      <c r="AB639" s="74" t="s">
        <v>132</v>
      </c>
      <c r="AC639" s="55" t="s">
        <v>132</v>
      </c>
      <c r="AL639" s="74"/>
      <c r="AM639" s="74"/>
      <c r="AW639" s="74"/>
      <c r="AX639" s="74"/>
    </row>
    <row r="640" spans="1:50" ht="13" x14ac:dyDescent="0.15">
      <c r="A640" s="55" t="str">
        <f>HYPERLINK("http://reports.ofsted.gov.uk/inspection-reports/find-inspection-report/provider/CARE/2483691","Ofsted Social Care Provider Webpage")</f>
        <v>Ofsted Social Care Provider Webpage</v>
      </c>
      <c r="B640" s="55">
        <v>2483691</v>
      </c>
      <c r="D640" s="55" t="s">
        <v>373</v>
      </c>
      <c r="E640" s="74">
        <v>43342</v>
      </c>
      <c r="F640" s="55" t="s">
        <v>344</v>
      </c>
      <c r="G640" s="55" t="s">
        <v>360</v>
      </c>
      <c r="H640" s="55" t="s">
        <v>360</v>
      </c>
      <c r="I640" s="55" t="s">
        <v>360</v>
      </c>
      <c r="J640" s="55" t="s">
        <v>360</v>
      </c>
      <c r="K640" s="55" t="s">
        <v>360</v>
      </c>
      <c r="L640" s="55" t="s">
        <v>360</v>
      </c>
      <c r="M640" s="55" t="s">
        <v>150</v>
      </c>
      <c r="N640" s="55" t="s">
        <v>150</v>
      </c>
      <c r="O640" s="55" t="s">
        <v>153</v>
      </c>
      <c r="P640" s="55" t="s">
        <v>1331</v>
      </c>
      <c r="Q640" s="55" t="s">
        <v>350</v>
      </c>
      <c r="R640" s="85">
        <v>6</v>
      </c>
      <c r="S640" s="55">
        <v>0</v>
      </c>
      <c r="T640" s="74" t="s">
        <v>1332</v>
      </c>
      <c r="U640" s="74" t="s">
        <v>351</v>
      </c>
      <c r="V640" s="74">
        <v>44328</v>
      </c>
      <c r="W640" s="74">
        <v>44368</v>
      </c>
      <c r="X640" s="55">
        <v>10187504</v>
      </c>
      <c r="Y640" s="55" t="s">
        <v>132</v>
      </c>
      <c r="AB640" s="74" t="s">
        <v>130</v>
      </c>
      <c r="AC640" s="55" t="s">
        <v>132</v>
      </c>
      <c r="AL640" s="74"/>
      <c r="AM640" s="74"/>
      <c r="AW640" s="74"/>
      <c r="AX640" s="74"/>
    </row>
    <row r="641" spans="1:50" ht="13" x14ac:dyDescent="0.15">
      <c r="A641" s="55" t="str">
        <f>HYPERLINK("http://reports.ofsted.gov.uk/inspection-reports/find-inspection-report/provider/CARE/2483693","Ofsted Social Care Provider Webpage")</f>
        <v>Ofsted Social Care Provider Webpage</v>
      </c>
      <c r="B641" s="55">
        <v>2483693</v>
      </c>
      <c r="D641" s="55" t="s">
        <v>373</v>
      </c>
      <c r="E641" s="74">
        <v>43303</v>
      </c>
      <c r="F641" s="55" t="s">
        <v>344</v>
      </c>
      <c r="G641" s="55" t="s">
        <v>360</v>
      </c>
      <c r="H641" s="55" t="s">
        <v>360</v>
      </c>
      <c r="I641" s="55" t="s">
        <v>360</v>
      </c>
      <c r="J641" s="55" t="s">
        <v>360</v>
      </c>
      <c r="K641" s="55" t="s">
        <v>360</v>
      </c>
      <c r="L641" s="55" t="s">
        <v>360</v>
      </c>
      <c r="M641" s="55" t="s">
        <v>172</v>
      </c>
      <c r="N641" s="55" t="s">
        <v>172</v>
      </c>
      <c r="O641" s="55" t="s">
        <v>212</v>
      </c>
      <c r="P641" s="55" t="s">
        <v>798</v>
      </c>
      <c r="Q641" s="55" t="s">
        <v>350</v>
      </c>
      <c r="R641" s="85">
        <v>3</v>
      </c>
      <c r="S641" s="55">
        <v>0</v>
      </c>
      <c r="T641" s="74" t="s">
        <v>517</v>
      </c>
      <c r="U641" s="74" t="s">
        <v>351</v>
      </c>
      <c r="V641" s="74">
        <v>44473</v>
      </c>
      <c r="W641" s="74">
        <v>44495</v>
      </c>
      <c r="X641" s="55">
        <v>10185647</v>
      </c>
      <c r="Y641" s="55" t="s">
        <v>140</v>
      </c>
      <c r="AB641" s="74" t="s">
        <v>132</v>
      </c>
      <c r="AC641" s="55" t="s">
        <v>140</v>
      </c>
      <c r="AL641" s="74"/>
      <c r="AM641" s="74"/>
      <c r="AW641" s="74"/>
      <c r="AX641" s="74"/>
    </row>
    <row r="642" spans="1:50" ht="13" x14ac:dyDescent="0.15">
      <c r="A642" s="55" t="str">
        <f>HYPERLINK("http://reports.ofsted.gov.uk/inspection-reports/find-inspection-report/provider/CARE/2483715","Ofsted Social Care Provider Webpage")</f>
        <v>Ofsted Social Care Provider Webpage</v>
      </c>
      <c r="B642" s="55">
        <v>2483715</v>
      </c>
      <c r="D642" s="55" t="s">
        <v>373</v>
      </c>
      <c r="E642" s="74">
        <v>43307</v>
      </c>
      <c r="F642" s="55" t="s">
        <v>344</v>
      </c>
      <c r="G642" s="55" t="s">
        <v>360</v>
      </c>
      <c r="H642" s="55" t="s">
        <v>360</v>
      </c>
      <c r="I642" s="55" t="s">
        <v>360</v>
      </c>
      <c r="J642" s="55" t="s">
        <v>360</v>
      </c>
      <c r="K642" s="55" t="s">
        <v>360</v>
      </c>
      <c r="L642" s="55" t="s">
        <v>360</v>
      </c>
      <c r="M642" s="55" t="s">
        <v>150</v>
      </c>
      <c r="N642" s="55" t="s">
        <v>150</v>
      </c>
      <c r="O642" s="55" t="s">
        <v>283</v>
      </c>
      <c r="P642" s="55" t="s">
        <v>1333</v>
      </c>
      <c r="Q642" s="55" t="s">
        <v>350</v>
      </c>
      <c r="R642" s="85">
        <v>5</v>
      </c>
      <c r="S642" s="55">
        <v>0</v>
      </c>
      <c r="T642" s="74" t="s">
        <v>890</v>
      </c>
      <c r="U642" s="74" t="s">
        <v>351</v>
      </c>
      <c r="V642" s="74">
        <v>44515</v>
      </c>
      <c r="W642" s="74">
        <v>44581</v>
      </c>
      <c r="X642" s="55">
        <v>10186998</v>
      </c>
      <c r="Y642" s="55" t="s">
        <v>132</v>
      </c>
      <c r="AB642" s="74" t="s">
        <v>132</v>
      </c>
      <c r="AC642" s="55" t="s">
        <v>132</v>
      </c>
      <c r="AL642" s="74"/>
      <c r="AM642" s="74"/>
    </row>
    <row r="643" spans="1:50" ht="13" x14ac:dyDescent="0.15">
      <c r="A643" s="55" t="str">
        <f>HYPERLINK("http://reports.ofsted.gov.uk/inspection-reports/find-inspection-report/provider/CARE/2483718","Ofsted Social Care Provider Webpage")</f>
        <v>Ofsted Social Care Provider Webpage</v>
      </c>
      <c r="B643" s="55">
        <v>2483718</v>
      </c>
      <c r="D643" s="55" t="s">
        <v>373</v>
      </c>
      <c r="E643" s="74">
        <v>43412</v>
      </c>
      <c r="F643" s="55" t="s">
        <v>344</v>
      </c>
      <c r="G643" s="55" t="s">
        <v>360</v>
      </c>
      <c r="H643" s="55" t="s">
        <v>360</v>
      </c>
      <c r="I643" s="55" t="s">
        <v>360</v>
      </c>
      <c r="J643" s="55" t="s">
        <v>360</v>
      </c>
      <c r="K643" s="55" t="s">
        <v>360</v>
      </c>
      <c r="L643" s="55" t="s">
        <v>360</v>
      </c>
      <c r="M643" s="55" t="s">
        <v>378</v>
      </c>
      <c r="N643" s="55" t="s">
        <v>170</v>
      </c>
      <c r="O643" s="55" t="s">
        <v>264</v>
      </c>
      <c r="P643" s="55" t="s">
        <v>1334</v>
      </c>
      <c r="Q643" s="55" t="s">
        <v>350</v>
      </c>
      <c r="R643" s="85">
        <v>5</v>
      </c>
      <c r="S643" s="55">
        <v>0</v>
      </c>
      <c r="T643" s="74" t="s">
        <v>1335</v>
      </c>
      <c r="U643" s="74" t="s">
        <v>351</v>
      </c>
      <c r="V643" s="74">
        <v>44580</v>
      </c>
      <c r="W643" s="74">
        <v>44623</v>
      </c>
      <c r="X643" s="55">
        <v>10187370</v>
      </c>
      <c r="Y643" s="55" t="s">
        <v>132</v>
      </c>
      <c r="AB643" s="74" t="s">
        <v>132</v>
      </c>
      <c r="AC643" s="55" t="s">
        <v>132</v>
      </c>
      <c r="AL643" s="74"/>
      <c r="AM643" s="74"/>
      <c r="AW643" s="74"/>
      <c r="AX643" s="74"/>
    </row>
    <row r="644" spans="1:50" ht="13" x14ac:dyDescent="0.15">
      <c r="A644" s="55" t="str">
        <f>HYPERLINK("http://reports.ofsted.gov.uk/inspection-reports/find-inspection-report/provider/CARE/2483789","Ofsted Social Care Provider Webpage")</f>
        <v>Ofsted Social Care Provider Webpage</v>
      </c>
      <c r="B644" s="55">
        <v>2483789</v>
      </c>
      <c r="D644" s="55" t="s">
        <v>373</v>
      </c>
      <c r="E644" s="74">
        <v>43342</v>
      </c>
      <c r="F644" s="55" t="s">
        <v>344</v>
      </c>
      <c r="G644" s="55" t="s">
        <v>360</v>
      </c>
      <c r="H644" s="55" t="s">
        <v>360</v>
      </c>
      <c r="I644" s="55" t="s">
        <v>360</v>
      </c>
      <c r="J644" s="55" t="s">
        <v>360</v>
      </c>
      <c r="K644" s="55" t="s">
        <v>360</v>
      </c>
      <c r="L644" s="55" t="s">
        <v>360</v>
      </c>
      <c r="M644" s="55" t="s">
        <v>144</v>
      </c>
      <c r="N644" s="55" t="s">
        <v>144</v>
      </c>
      <c r="O644" s="55" t="s">
        <v>290</v>
      </c>
      <c r="P644" s="55" t="s">
        <v>909</v>
      </c>
      <c r="Q644" s="55" t="s">
        <v>350</v>
      </c>
      <c r="R644" s="85">
        <v>3</v>
      </c>
      <c r="S644" s="55">
        <v>0</v>
      </c>
      <c r="T644" s="74" t="s">
        <v>1342</v>
      </c>
      <c r="U644" s="74" t="s">
        <v>351</v>
      </c>
      <c r="V644" s="74">
        <v>44370</v>
      </c>
      <c r="W644" s="74">
        <v>44403</v>
      </c>
      <c r="X644" s="55">
        <v>10186128</v>
      </c>
      <c r="Y644" s="55" t="s">
        <v>132</v>
      </c>
      <c r="AB644" s="74" t="s">
        <v>130</v>
      </c>
      <c r="AC644" s="55" t="s">
        <v>132</v>
      </c>
      <c r="AL644" s="74"/>
      <c r="AM644" s="74"/>
      <c r="AW644" s="74"/>
      <c r="AX644" s="74"/>
    </row>
    <row r="645" spans="1:50" ht="13" x14ac:dyDescent="0.15">
      <c r="A645" s="55" t="str">
        <f>HYPERLINK("http://reports.ofsted.gov.uk/inspection-reports/find-inspection-report/provider/CARE/2483823","Ofsted Social Care Provider Webpage")</f>
        <v>Ofsted Social Care Provider Webpage</v>
      </c>
      <c r="B645" s="55">
        <v>2483823</v>
      </c>
      <c r="D645" s="55" t="s">
        <v>373</v>
      </c>
      <c r="E645" s="74">
        <v>43402</v>
      </c>
      <c r="F645" s="55" t="s">
        <v>344</v>
      </c>
      <c r="G645" s="55" t="s">
        <v>360</v>
      </c>
      <c r="H645" s="55" t="s">
        <v>360</v>
      </c>
      <c r="I645" s="55" t="s">
        <v>360</v>
      </c>
      <c r="J645" s="55" t="s">
        <v>360</v>
      </c>
      <c r="K645" s="55" t="s">
        <v>360</v>
      </c>
      <c r="L645" s="55" t="s">
        <v>360</v>
      </c>
      <c r="M645" s="55" t="s">
        <v>172</v>
      </c>
      <c r="N645" s="55" t="s">
        <v>172</v>
      </c>
      <c r="O645" s="55" t="s">
        <v>212</v>
      </c>
      <c r="P645" s="55" t="s">
        <v>798</v>
      </c>
      <c r="Q645" s="55" t="s">
        <v>350</v>
      </c>
      <c r="R645" s="85">
        <v>3</v>
      </c>
      <c r="S645" s="55">
        <v>0</v>
      </c>
      <c r="T645" s="74" t="s">
        <v>517</v>
      </c>
      <c r="U645" s="74" t="s">
        <v>351</v>
      </c>
      <c r="V645" s="74">
        <v>44579</v>
      </c>
      <c r="W645" s="74">
        <v>44610</v>
      </c>
      <c r="X645" s="55">
        <v>10187577</v>
      </c>
      <c r="Y645" s="55" t="s">
        <v>132</v>
      </c>
      <c r="AB645" s="74" t="s">
        <v>132</v>
      </c>
      <c r="AC645" s="55" t="s">
        <v>130</v>
      </c>
      <c r="AL645" s="74"/>
      <c r="AM645" s="74"/>
      <c r="AW645" s="74"/>
      <c r="AX645" s="74"/>
    </row>
    <row r="646" spans="1:50" ht="13" x14ac:dyDescent="0.15">
      <c r="A646" s="55" t="str">
        <f>HYPERLINK("http://reports.ofsted.gov.uk/inspection-reports/find-inspection-report/provider/CARE/2483830","Ofsted Social Care Provider Webpage")</f>
        <v>Ofsted Social Care Provider Webpage</v>
      </c>
      <c r="B646" s="55">
        <v>2483830</v>
      </c>
      <c r="D646" s="55" t="s">
        <v>373</v>
      </c>
      <c r="E646" s="74">
        <v>43390</v>
      </c>
      <c r="F646" s="55" t="s">
        <v>344</v>
      </c>
      <c r="G646" s="55" t="s">
        <v>360</v>
      </c>
      <c r="H646" s="55" t="s">
        <v>360</v>
      </c>
      <c r="I646" s="55" t="s">
        <v>360</v>
      </c>
      <c r="J646" s="55" t="s">
        <v>360</v>
      </c>
      <c r="K646" s="55" t="s">
        <v>360</v>
      </c>
      <c r="L646" s="55" t="s">
        <v>360</v>
      </c>
      <c r="M646" s="55" t="s">
        <v>378</v>
      </c>
      <c r="N646" s="55" t="s">
        <v>134</v>
      </c>
      <c r="O646" s="55" t="s">
        <v>277</v>
      </c>
      <c r="P646" s="55" t="s">
        <v>461</v>
      </c>
      <c r="Q646" s="55" t="s">
        <v>350</v>
      </c>
      <c r="R646" s="85">
        <v>3</v>
      </c>
      <c r="S646" s="55">
        <v>0</v>
      </c>
      <c r="T646" s="74" t="s">
        <v>462</v>
      </c>
      <c r="U646" s="74" t="s">
        <v>351</v>
      </c>
      <c r="V646" s="74">
        <v>44567</v>
      </c>
      <c r="W646" s="74">
        <v>44614</v>
      </c>
      <c r="X646" s="55">
        <v>10185904</v>
      </c>
      <c r="Y646" s="55" t="s">
        <v>130</v>
      </c>
      <c r="AB646" s="74" t="s">
        <v>130</v>
      </c>
      <c r="AC646" s="55" t="s">
        <v>130</v>
      </c>
      <c r="AL646" s="74"/>
      <c r="AM646" s="74"/>
      <c r="AW646" s="74"/>
      <c r="AX646" s="74"/>
    </row>
    <row r="647" spans="1:50" ht="13" x14ac:dyDescent="0.15">
      <c r="A647" s="55" t="str">
        <f t="shared" ref="A647:A652" si="1">HYPERLINK("http://reports.ofsted.gov.uk/inspection-reports/find-inspection-report/provider/CARE/2483881","Ofsted Social Care Provider Webpage")</f>
        <v>Ofsted Social Care Provider Webpage</v>
      </c>
      <c r="B647" s="55">
        <v>2483881</v>
      </c>
      <c r="D647" s="55" t="s">
        <v>373</v>
      </c>
      <c r="E647" s="74">
        <v>43335</v>
      </c>
      <c r="F647" s="55" t="s">
        <v>344</v>
      </c>
      <c r="G647" s="55" t="s">
        <v>360</v>
      </c>
      <c r="H647" s="55" t="s">
        <v>360</v>
      </c>
      <c r="I647" s="55" t="s">
        <v>360</v>
      </c>
      <c r="J647" s="55" t="s">
        <v>360</v>
      </c>
      <c r="K647" s="55" t="s">
        <v>360</v>
      </c>
      <c r="L647" s="55" t="s">
        <v>360</v>
      </c>
      <c r="M647" s="55" t="s">
        <v>172</v>
      </c>
      <c r="N647" s="55" t="s">
        <v>172</v>
      </c>
      <c r="O647" s="55" t="s">
        <v>211</v>
      </c>
      <c r="P647" s="55" t="s">
        <v>1343</v>
      </c>
      <c r="Q647" s="55" t="s">
        <v>350</v>
      </c>
      <c r="R647" s="85">
        <v>4</v>
      </c>
      <c r="S647" s="55">
        <v>0</v>
      </c>
      <c r="T647" s="74" t="s">
        <v>1344</v>
      </c>
      <c r="U647" s="74" t="s">
        <v>2053</v>
      </c>
      <c r="V647" s="74">
        <v>44293</v>
      </c>
      <c r="W647" s="74">
        <v>44321</v>
      </c>
      <c r="X647" s="55">
        <v>10182324</v>
      </c>
      <c r="AL647" s="74"/>
      <c r="AM647" s="74"/>
      <c r="AW647" s="74"/>
      <c r="AX647" s="74"/>
    </row>
    <row r="648" spans="1:50" ht="13" x14ac:dyDescent="0.15">
      <c r="A648" s="55" t="str">
        <f t="shared" si="1"/>
        <v>Ofsted Social Care Provider Webpage</v>
      </c>
      <c r="B648" s="55">
        <v>2483881</v>
      </c>
      <c r="D648" s="55" t="s">
        <v>373</v>
      </c>
      <c r="E648" s="74">
        <v>43335</v>
      </c>
      <c r="F648" s="55" t="s">
        <v>344</v>
      </c>
      <c r="G648" s="55" t="s">
        <v>360</v>
      </c>
      <c r="H648" s="55" t="s">
        <v>360</v>
      </c>
      <c r="I648" s="55" t="s">
        <v>360</v>
      </c>
      <c r="J648" s="55" t="s">
        <v>360</v>
      </c>
      <c r="K648" s="55" t="s">
        <v>360</v>
      </c>
      <c r="L648" s="55" t="s">
        <v>360</v>
      </c>
      <c r="M648" s="55" t="s">
        <v>172</v>
      </c>
      <c r="N648" s="55" t="s">
        <v>172</v>
      </c>
      <c r="O648" s="55" t="s">
        <v>211</v>
      </c>
      <c r="P648" s="55" t="s">
        <v>1343</v>
      </c>
      <c r="Q648" s="55" t="s">
        <v>350</v>
      </c>
      <c r="R648" s="85">
        <v>4</v>
      </c>
      <c r="S648" s="55">
        <v>0</v>
      </c>
      <c r="T648" s="74" t="s">
        <v>1344</v>
      </c>
      <c r="U648" s="74" t="s">
        <v>351</v>
      </c>
      <c r="V648" s="74">
        <v>44340</v>
      </c>
      <c r="W648" s="74">
        <v>44383</v>
      </c>
      <c r="X648" s="55">
        <v>10186322</v>
      </c>
      <c r="Y648" s="55" t="s">
        <v>130</v>
      </c>
      <c r="AB648" s="74" t="s">
        <v>130</v>
      </c>
      <c r="AC648" s="55" t="s">
        <v>130</v>
      </c>
      <c r="AL648" s="74"/>
      <c r="AM648" s="74"/>
      <c r="AW648" s="74"/>
      <c r="AX648" s="74"/>
    </row>
    <row r="649" spans="1:50" ht="13" x14ac:dyDescent="0.15">
      <c r="A649" s="55" t="str">
        <f t="shared" si="1"/>
        <v>Ofsted Social Care Provider Webpage</v>
      </c>
      <c r="B649" s="55">
        <v>2483881</v>
      </c>
      <c r="D649" s="55" t="s">
        <v>373</v>
      </c>
      <c r="E649" s="74">
        <v>43335</v>
      </c>
      <c r="F649" s="55" t="s">
        <v>344</v>
      </c>
      <c r="G649" s="55" t="s">
        <v>360</v>
      </c>
      <c r="H649" s="55" t="s">
        <v>360</v>
      </c>
      <c r="I649" s="55" t="s">
        <v>360</v>
      </c>
      <c r="J649" s="55" t="s">
        <v>360</v>
      </c>
      <c r="K649" s="55" t="s">
        <v>360</v>
      </c>
      <c r="L649" s="55" t="s">
        <v>360</v>
      </c>
      <c r="M649" s="55" t="s">
        <v>172</v>
      </c>
      <c r="N649" s="55" t="s">
        <v>172</v>
      </c>
      <c r="O649" s="55" t="s">
        <v>211</v>
      </c>
      <c r="P649" s="55" t="s">
        <v>1343</v>
      </c>
      <c r="Q649" s="55" t="s">
        <v>350</v>
      </c>
      <c r="R649" s="85">
        <v>4</v>
      </c>
      <c r="S649" s="55">
        <v>0</v>
      </c>
      <c r="T649" s="74" t="s">
        <v>1344</v>
      </c>
      <c r="U649" s="74" t="s">
        <v>6703</v>
      </c>
      <c r="V649" s="74">
        <v>44488</v>
      </c>
      <c r="W649" s="74">
        <v>44538</v>
      </c>
      <c r="X649" s="55">
        <v>10207054</v>
      </c>
      <c r="Y649" s="55" t="s">
        <v>6706</v>
      </c>
      <c r="AL649" s="74"/>
      <c r="AM649" s="74"/>
    </row>
    <row r="650" spans="1:50" ht="13" x14ac:dyDescent="0.15">
      <c r="A650" s="55" t="str">
        <f t="shared" si="1"/>
        <v>Ofsted Social Care Provider Webpage</v>
      </c>
      <c r="B650" s="55">
        <v>2483881</v>
      </c>
      <c r="D650" s="55" t="s">
        <v>373</v>
      </c>
      <c r="E650" s="74">
        <v>43335</v>
      </c>
      <c r="F650" s="55" t="s">
        <v>344</v>
      </c>
      <c r="G650" s="55" t="s">
        <v>360</v>
      </c>
      <c r="H650" s="55" t="s">
        <v>360</v>
      </c>
      <c r="I650" s="55" t="s">
        <v>360</v>
      </c>
      <c r="J650" s="55" t="s">
        <v>360</v>
      </c>
      <c r="K650" s="55" t="s">
        <v>360</v>
      </c>
      <c r="L650" s="55" t="s">
        <v>360</v>
      </c>
      <c r="M650" s="55" t="s">
        <v>172</v>
      </c>
      <c r="N650" s="55" t="s">
        <v>172</v>
      </c>
      <c r="O650" s="55" t="s">
        <v>211</v>
      </c>
      <c r="P650" s="55" t="s">
        <v>1343</v>
      </c>
      <c r="Q650" s="55" t="s">
        <v>350</v>
      </c>
      <c r="R650" s="85">
        <v>4</v>
      </c>
      <c r="S650" s="55">
        <v>0</v>
      </c>
      <c r="T650" s="74" t="s">
        <v>1344</v>
      </c>
      <c r="U650" s="74" t="s">
        <v>2053</v>
      </c>
      <c r="V650" s="74">
        <v>44628</v>
      </c>
      <c r="W650" s="74">
        <v>44670</v>
      </c>
      <c r="X650" s="55">
        <v>10221915</v>
      </c>
      <c r="AL650" s="74"/>
      <c r="AM650" s="74"/>
    </row>
    <row r="651" spans="1:50" ht="13" x14ac:dyDescent="0.15">
      <c r="A651" s="55" t="str">
        <f t="shared" si="1"/>
        <v>Ofsted Social Care Provider Webpage</v>
      </c>
      <c r="B651" s="55">
        <v>2483881</v>
      </c>
      <c r="D651" s="55" t="s">
        <v>373</v>
      </c>
      <c r="E651" s="74">
        <v>43335</v>
      </c>
      <c r="F651" s="55" t="s">
        <v>344</v>
      </c>
      <c r="G651" s="55" t="s">
        <v>360</v>
      </c>
      <c r="H651" s="55" t="s">
        <v>360</v>
      </c>
      <c r="I651" s="55" t="s">
        <v>360</v>
      </c>
      <c r="J651" s="55" t="s">
        <v>360</v>
      </c>
      <c r="K651" s="55" t="s">
        <v>360</v>
      </c>
      <c r="L651" s="55" t="s">
        <v>360</v>
      </c>
      <c r="M651" s="55" t="s">
        <v>172</v>
      </c>
      <c r="N651" s="55" t="s">
        <v>172</v>
      </c>
      <c r="O651" s="55" t="s">
        <v>211</v>
      </c>
      <c r="P651" s="55" t="s">
        <v>1343</v>
      </c>
      <c r="Q651" s="55" t="s">
        <v>350</v>
      </c>
      <c r="R651" s="85">
        <v>4</v>
      </c>
      <c r="S651" s="55">
        <v>0</v>
      </c>
      <c r="T651" s="74" t="s">
        <v>1344</v>
      </c>
      <c r="U651" s="74" t="s">
        <v>2053</v>
      </c>
      <c r="V651" s="74">
        <v>44543</v>
      </c>
      <c r="W651" s="74">
        <v>44580</v>
      </c>
      <c r="X651" s="55">
        <v>10217173</v>
      </c>
      <c r="AL651" s="74"/>
      <c r="AM651" s="74"/>
      <c r="AW651" s="74"/>
      <c r="AX651" s="74"/>
    </row>
    <row r="652" spans="1:50" ht="13" x14ac:dyDescent="0.15">
      <c r="A652" s="55" t="str">
        <f t="shared" si="1"/>
        <v>Ofsted Social Care Provider Webpage</v>
      </c>
      <c r="B652" s="55">
        <v>2483881</v>
      </c>
      <c r="D652" s="55" t="s">
        <v>373</v>
      </c>
      <c r="E652" s="74">
        <v>43335</v>
      </c>
      <c r="F652" s="55" t="s">
        <v>344</v>
      </c>
      <c r="G652" s="55" t="s">
        <v>360</v>
      </c>
      <c r="H652" s="55" t="s">
        <v>360</v>
      </c>
      <c r="I652" s="55" t="s">
        <v>360</v>
      </c>
      <c r="J652" s="55" t="s">
        <v>360</v>
      </c>
      <c r="K652" s="55" t="s">
        <v>360</v>
      </c>
      <c r="L652" s="55" t="s">
        <v>360</v>
      </c>
      <c r="M652" s="55" t="s">
        <v>172</v>
      </c>
      <c r="N652" s="55" t="s">
        <v>172</v>
      </c>
      <c r="O652" s="55" t="s">
        <v>211</v>
      </c>
      <c r="P652" s="55" t="s">
        <v>1343</v>
      </c>
      <c r="Q652" s="55" t="s">
        <v>350</v>
      </c>
      <c r="R652" s="85">
        <v>4</v>
      </c>
      <c r="S652" s="55">
        <v>0</v>
      </c>
      <c r="T652" s="74" t="s">
        <v>1344</v>
      </c>
      <c r="U652" s="74" t="s">
        <v>2053</v>
      </c>
      <c r="V652" s="74">
        <v>44586</v>
      </c>
      <c r="W652" s="74">
        <v>44622</v>
      </c>
      <c r="X652" s="55">
        <v>10220788</v>
      </c>
      <c r="AL652" s="74"/>
      <c r="AM652" s="74"/>
      <c r="AW652" s="74"/>
      <c r="AX652" s="74"/>
    </row>
    <row r="653" spans="1:50" ht="13" x14ac:dyDescent="0.15">
      <c r="A653" s="55" t="str">
        <f>HYPERLINK("http://reports.ofsted.gov.uk/inspection-reports/find-inspection-report/provider/CARE/2484055","Ofsted Social Care Provider Webpage")</f>
        <v>Ofsted Social Care Provider Webpage</v>
      </c>
      <c r="B653" s="55">
        <v>2484055</v>
      </c>
      <c r="D653" s="55" t="s">
        <v>373</v>
      </c>
      <c r="E653" s="74">
        <v>43333</v>
      </c>
      <c r="F653" s="55" t="s">
        <v>344</v>
      </c>
      <c r="G653" s="55" t="s">
        <v>360</v>
      </c>
      <c r="H653" s="55" t="s">
        <v>360</v>
      </c>
      <c r="I653" s="55" t="s">
        <v>360</v>
      </c>
      <c r="J653" s="55" t="s">
        <v>360</v>
      </c>
      <c r="K653" s="55" t="s">
        <v>360</v>
      </c>
      <c r="L653" s="55" t="s">
        <v>360</v>
      </c>
      <c r="M653" s="55" t="s">
        <v>172</v>
      </c>
      <c r="N653" s="55" t="s">
        <v>172</v>
      </c>
      <c r="O653" s="55" t="s">
        <v>214</v>
      </c>
      <c r="P653" s="55" t="s">
        <v>1345</v>
      </c>
      <c r="Q653" s="55" t="s">
        <v>350</v>
      </c>
      <c r="R653" s="85">
        <v>4</v>
      </c>
      <c r="S653" s="55">
        <v>0</v>
      </c>
      <c r="T653" s="74" t="s">
        <v>799</v>
      </c>
      <c r="U653" s="74" t="s">
        <v>2053</v>
      </c>
      <c r="V653" s="74">
        <v>44586</v>
      </c>
      <c r="W653" s="74">
        <v>44609</v>
      </c>
      <c r="X653" s="55">
        <v>10207471</v>
      </c>
      <c r="AL653" s="74"/>
      <c r="AM653" s="74"/>
      <c r="AW653" s="74"/>
      <c r="AX653" s="74"/>
    </row>
    <row r="654" spans="1:50" ht="13" x14ac:dyDescent="0.15">
      <c r="A654" s="55" t="str">
        <f t="shared" ref="A654:A659" si="2">HYPERLINK("http://reports.ofsted.gov.uk/inspection-reports/find-inspection-report/provider/CARE/2484180","Ofsted Social Care Provider Webpage")</f>
        <v>Ofsted Social Care Provider Webpage</v>
      </c>
      <c r="B654" s="55">
        <v>2484180</v>
      </c>
      <c r="D654" s="55" t="s">
        <v>373</v>
      </c>
      <c r="E654" s="74">
        <v>43392</v>
      </c>
      <c r="F654" s="55" t="s">
        <v>344</v>
      </c>
      <c r="G654" s="55" t="s">
        <v>360</v>
      </c>
      <c r="H654" s="55" t="s">
        <v>360</v>
      </c>
      <c r="I654" s="55" t="s">
        <v>360</v>
      </c>
      <c r="J654" s="55" t="s">
        <v>360</v>
      </c>
      <c r="K654" s="55" t="s">
        <v>360</v>
      </c>
      <c r="L654" s="55" t="s">
        <v>360</v>
      </c>
      <c r="M654" s="55" t="s">
        <v>142</v>
      </c>
      <c r="N654" s="55" t="s">
        <v>142</v>
      </c>
      <c r="O654" s="55" t="s">
        <v>272</v>
      </c>
      <c r="P654" s="55" t="s">
        <v>1291</v>
      </c>
      <c r="Q654" s="55" t="s">
        <v>350</v>
      </c>
      <c r="R654" s="85">
        <v>2</v>
      </c>
      <c r="S654" s="55">
        <v>0</v>
      </c>
      <c r="T654" s="74" t="s">
        <v>1260</v>
      </c>
      <c r="U654" s="74" t="s">
        <v>351</v>
      </c>
      <c r="V654" s="74">
        <v>44566</v>
      </c>
      <c r="W654" s="74">
        <v>44596</v>
      </c>
      <c r="X654" s="55">
        <v>10216306</v>
      </c>
      <c r="Y654" s="55" t="s">
        <v>130</v>
      </c>
      <c r="AB654" s="74" t="s">
        <v>130</v>
      </c>
      <c r="AC654" s="55" t="s">
        <v>130</v>
      </c>
      <c r="AL654" s="74"/>
      <c r="AM654" s="74"/>
      <c r="AW654" s="74"/>
      <c r="AX654" s="74"/>
    </row>
    <row r="655" spans="1:50" ht="13" x14ac:dyDescent="0.15">
      <c r="A655" s="55" t="str">
        <f t="shared" si="2"/>
        <v>Ofsted Social Care Provider Webpage</v>
      </c>
      <c r="B655" s="55">
        <v>2484180</v>
      </c>
      <c r="D655" s="55" t="s">
        <v>373</v>
      </c>
      <c r="E655" s="74">
        <v>43392</v>
      </c>
      <c r="F655" s="55" t="s">
        <v>344</v>
      </c>
      <c r="G655" s="55" t="s">
        <v>360</v>
      </c>
      <c r="H655" s="55" t="s">
        <v>360</v>
      </c>
      <c r="I655" s="55" t="s">
        <v>360</v>
      </c>
      <c r="J655" s="55" t="s">
        <v>360</v>
      </c>
      <c r="K655" s="55" t="s">
        <v>360</v>
      </c>
      <c r="L655" s="55" t="s">
        <v>360</v>
      </c>
      <c r="M655" s="55" t="s">
        <v>142</v>
      </c>
      <c r="N655" s="55" t="s">
        <v>142</v>
      </c>
      <c r="O655" s="55" t="s">
        <v>272</v>
      </c>
      <c r="P655" s="55" t="s">
        <v>1291</v>
      </c>
      <c r="Q655" s="55" t="s">
        <v>350</v>
      </c>
      <c r="R655" s="85">
        <v>2</v>
      </c>
      <c r="S655" s="55">
        <v>0</v>
      </c>
      <c r="T655" s="74" t="s">
        <v>1260</v>
      </c>
      <c r="U655" s="74" t="s">
        <v>2053</v>
      </c>
      <c r="V655" s="74">
        <v>44427</v>
      </c>
      <c r="W655" s="74">
        <v>44467</v>
      </c>
      <c r="X655" s="55">
        <v>10204754</v>
      </c>
      <c r="AL655" s="74"/>
      <c r="AM655" s="74"/>
      <c r="AW655" s="74"/>
      <c r="AX655" s="74"/>
    </row>
    <row r="656" spans="1:50" ht="13" x14ac:dyDescent="0.15">
      <c r="A656" s="55" t="str">
        <f t="shared" si="2"/>
        <v>Ofsted Social Care Provider Webpage</v>
      </c>
      <c r="B656" s="55">
        <v>2484180</v>
      </c>
      <c r="D656" s="55" t="s">
        <v>373</v>
      </c>
      <c r="E656" s="74">
        <v>43392</v>
      </c>
      <c r="F656" s="55" t="s">
        <v>344</v>
      </c>
      <c r="G656" s="55" t="s">
        <v>360</v>
      </c>
      <c r="H656" s="55" t="s">
        <v>360</v>
      </c>
      <c r="I656" s="55" t="s">
        <v>360</v>
      </c>
      <c r="J656" s="55" t="s">
        <v>360</v>
      </c>
      <c r="K656" s="55" t="s">
        <v>360</v>
      </c>
      <c r="L656" s="55" t="s">
        <v>360</v>
      </c>
      <c r="M656" s="55" t="s">
        <v>142</v>
      </c>
      <c r="N656" s="55" t="s">
        <v>142</v>
      </c>
      <c r="O656" s="55" t="s">
        <v>272</v>
      </c>
      <c r="P656" s="55" t="s">
        <v>1291</v>
      </c>
      <c r="Q656" s="55" t="s">
        <v>350</v>
      </c>
      <c r="R656" s="85">
        <v>2</v>
      </c>
      <c r="S656" s="55">
        <v>0</v>
      </c>
      <c r="T656" s="74" t="s">
        <v>1260</v>
      </c>
      <c r="U656" s="74" t="s">
        <v>2053</v>
      </c>
      <c r="V656" s="74">
        <v>44442</v>
      </c>
      <c r="W656" s="74">
        <v>44469</v>
      </c>
      <c r="X656" s="55">
        <v>10205462</v>
      </c>
      <c r="AL656" s="74"/>
      <c r="AM656" s="74"/>
      <c r="AW656" s="74"/>
      <c r="AX656" s="74"/>
    </row>
    <row r="657" spans="1:50" ht="13" x14ac:dyDescent="0.15">
      <c r="A657" s="55" t="str">
        <f t="shared" si="2"/>
        <v>Ofsted Social Care Provider Webpage</v>
      </c>
      <c r="B657" s="55">
        <v>2484180</v>
      </c>
      <c r="D657" s="55" t="s">
        <v>373</v>
      </c>
      <c r="E657" s="74">
        <v>43392</v>
      </c>
      <c r="F657" s="55" t="s">
        <v>344</v>
      </c>
      <c r="G657" s="55" t="s">
        <v>360</v>
      </c>
      <c r="H657" s="55" t="s">
        <v>360</v>
      </c>
      <c r="I657" s="55" t="s">
        <v>360</v>
      </c>
      <c r="J657" s="55" t="s">
        <v>360</v>
      </c>
      <c r="K657" s="55" t="s">
        <v>360</v>
      </c>
      <c r="L657" s="55" t="s">
        <v>360</v>
      </c>
      <c r="M657" s="55" t="s">
        <v>142</v>
      </c>
      <c r="N657" s="55" t="s">
        <v>142</v>
      </c>
      <c r="O657" s="55" t="s">
        <v>272</v>
      </c>
      <c r="P657" s="55" t="s">
        <v>1291</v>
      </c>
      <c r="Q657" s="55" t="s">
        <v>350</v>
      </c>
      <c r="R657" s="85">
        <v>2</v>
      </c>
      <c r="S657" s="55">
        <v>0</v>
      </c>
      <c r="T657" s="74" t="s">
        <v>1260</v>
      </c>
      <c r="U657" s="74" t="s">
        <v>351</v>
      </c>
      <c r="V657" s="74">
        <v>44377</v>
      </c>
      <c r="W657" s="74">
        <v>44413</v>
      </c>
      <c r="X657" s="55">
        <v>10187307</v>
      </c>
      <c r="Y657" s="55" t="s">
        <v>146</v>
      </c>
      <c r="AB657" s="74" t="s">
        <v>146</v>
      </c>
      <c r="AC657" s="55" t="s">
        <v>146</v>
      </c>
      <c r="AL657" s="74"/>
      <c r="AM657" s="74"/>
      <c r="AW657" s="74"/>
      <c r="AX657" s="74"/>
    </row>
    <row r="658" spans="1:50" ht="13" x14ac:dyDescent="0.15">
      <c r="A658" s="55" t="str">
        <f t="shared" si="2"/>
        <v>Ofsted Social Care Provider Webpage</v>
      </c>
      <c r="B658" s="55">
        <v>2484180</v>
      </c>
      <c r="D658" s="55" t="s">
        <v>373</v>
      </c>
      <c r="E658" s="74">
        <v>43392</v>
      </c>
      <c r="F658" s="55" t="s">
        <v>344</v>
      </c>
      <c r="G658" s="55" t="s">
        <v>360</v>
      </c>
      <c r="H658" s="55" t="s">
        <v>360</v>
      </c>
      <c r="I658" s="55" t="s">
        <v>360</v>
      </c>
      <c r="J658" s="55" t="s">
        <v>360</v>
      </c>
      <c r="K658" s="55" t="s">
        <v>360</v>
      </c>
      <c r="L658" s="55" t="s">
        <v>360</v>
      </c>
      <c r="M658" s="55" t="s">
        <v>142</v>
      </c>
      <c r="N658" s="55" t="s">
        <v>142</v>
      </c>
      <c r="O658" s="55" t="s">
        <v>272</v>
      </c>
      <c r="P658" s="55" t="s">
        <v>1291</v>
      </c>
      <c r="Q658" s="55" t="s">
        <v>350</v>
      </c>
      <c r="R658" s="85">
        <v>2</v>
      </c>
      <c r="S658" s="55">
        <v>0</v>
      </c>
      <c r="T658" s="74" t="s">
        <v>1260</v>
      </c>
      <c r="U658" s="74" t="s">
        <v>2053</v>
      </c>
      <c r="V658" s="74">
        <v>44516</v>
      </c>
      <c r="W658" s="74">
        <v>44547</v>
      </c>
      <c r="X658" s="55">
        <v>10212734</v>
      </c>
      <c r="AL658" s="74"/>
      <c r="AM658" s="74"/>
    </row>
    <row r="659" spans="1:50" ht="13" x14ac:dyDescent="0.15">
      <c r="A659" s="55" t="str">
        <f t="shared" si="2"/>
        <v>Ofsted Social Care Provider Webpage</v>
      </c>
      <c r="B659" s="55">
        <v>2484180</v>
      </c>
      <c r="D659" s="55" t="s">
        <v>373</v>
      </c>
      <c r="E659" s="74">
        <v>43392</v>
      </c>
      <c r="F659" s="55" t="s">
        <v>344</v>
      </c>
      <c r="G659" s="55" t="s">
        <v>360</v>
      </c>
      <c r="H659" s="55" t="s">
        <v>360</v>
      </c>
      <c r="I659" s="55" t="s">
        <v>360</v>
      </c>
      <c r="J659" s="55" t="s">
        <v>360</v>
      </c>
      <c r="K659" s="55" t="s">
        <v>360</v>
      </c>
      <c r="L659" s="55" t="s">
        <v>360</v>
      </c>
      <c r="M659" s="55" t="s">
        <v>142</v>
      </c>
      <c r="N659" s="55" t="s">
        <v>142</v>
      </c>
      <c r="O659" s="55" t="s">
        <v>272</v>
      </c>
      <c r="P659" s="55" t="s">
        <v>1291</v>
      </c>
      <c r="Q659" s="55" t="s">
        <v>350</v>
      </c>
      <c r="R659" s="85">
        <v>2</v>
      </c>
      <c r="S659" s="55">
        <v>0</v>
      </c>
      <c r="T659" s="74" t="s">
        <v>1260</v>
      </c>
      <c r="U659" s="74" t="s">
        <v>351</v>
      </c>
      <c r="V659" s="74">
        <v>44475</v>
      </c>
      <c r="W659" s="74">
        <v>44511</v>
      </c>
      <c r="X659" s="55">
        <v>10202066</v>
      </c>
      <c r="Y659" s="55" t="s">
        <v>146</v>
      </c>
      <c r="AB659" s="74" t="s">
        <v>146</v>
      </c>
      <c r="AC659" s="55" t="s">
        <v>146</v>
      </c>
      <c r="AL659" s="74"/>
      <c r="AM659" s="74"/>
      <c r="AW659" s="74"/>
      <c r="AX659" s="74"/>
    </row>
    <row r="660" spans="1:50" ht="13" x14ac:dyDescent="0.15">
      <c r="A660" s="55" t="str">
        <f>HYPERLINK("http://reports.ofsted.gov.uk/inspection-reports/find-inspection-report/provider/CARE/2484185","Ofsted Social Care Provider Webpage")</f>
        <v>Ofsted Social Care Provider Webpage</v>
      </c>
      <c r="B660" s="55">
        <v>2484185</v>
      </c>
      <c r="D660" s="55" t="s">
        <v>389</v>
      </c>
      <c r="E660" s="74">
        <v>43532</v>
      </c>
      <c r="F660" s="55" t="s">
        <v>344</v>
      </c>
      <c r="G660" s="55" t="s">
        <v>1346</v>
      </c>
      <c r="H660" s="55" t="s">
        <v>1347</v>
      </c>
      <c r="I660" s="55" t="s">
        <v>1348</v>
      </c>
      <c r="J660" s="55" t="s">
        <v>1349</v>
      </c>
      <c r="K660" s="55" t="s">
        <v>1350</v>
      </c>
      <c r="L660" s="55" t="s">
        <v>1351</v>
      </c>
      <c r="M660" s="55" t="s">
        <v>172</v>
      </c>
      <c r="N660" s="55" t="s">
        <v>172</v>
      </c>
      <c r="O660" s="55" t="s">
        <v>284</v>
      </c>
      <c r="P660" s="55" t="s">
        <v>985</v>
      </c>
      <c r="Q660" s="55" t="s">
        <v>350</v>
      </c>
      <c r="S660" s="55">
        <v>0</v>
      </c>
      <c r="T660" s="74" t="s">
        <v>1352</v>
      </c>
      <c r="U660" s="74" t="s">
        <v>351</v>
      </c>
      <c r="V660" s="74">
        <v>44410</v>
      </c>
      <c r="W660" s="74">
        <v>44447</v>
      </c>
      <c r="X660" s="55">
        <v>10183258</v>
      </c>
      <c r="Y660" s="55" t="s">
        <v>132</v>
      </c>
      <c r="AB660" s="74" t="s">
        <v>132</v>
      </c>
      <c r="AC660" s="55" t="s">
        <v>130</v>
      </c>
      <c r="AL660" s="74"/>
      <c r="AM660" s="74"/>
      <c r="AW660" s="74"/>
      <c r="AX660" s="74"/>
    </row>
    <row r="661" spans="1:50" ht="13" x14ac:dyDescent="0.15">
      <c r="A661" s="55" t="str">
        <f>HYPERLINK("http://reports.ofsted.gov.uk/inspection-reports/find-inspection-report/provider/CARE/2484441","Ofsted Social Care Provider Webpage")</f>
        <v>Ofsted Social Care Provider Webpage</v>
      </c>
      <c r="B661" s="55">
        <v>2484441</v>
      </c>
      <c r="D661" s="55" t="s">
        <v>373</v>
      </c>
      <c r="E661" s="74">
        <v>43318</v>
      </c>
      <c r="F661" s="55" t="s">
        <v>344</v>
      </c>
      <c r="G661" s="55" t="s">
        <v>360</v>
      </c>
      <c r="H661" s="55" t="s">
        <v>360</v>
      </c>
      <c r="I661" s="55" t="s">
        <v>360</v>
      </c>
      <c r="J661" s="55" t="s">
        <v>360</v>
      </c>
      <c r="K661" s="55" t="s">
        <v>360</v>
      </c>
      <c r="L661" s="55" t="s">
        <v>360</v>
      </c>
      <c r="M661" s="55" t="s">
        <v>142</v>
      </c>
      <c r="N661" s="55" t="s">
        <v>142</v>
      </c>
      <c r="O661" s="55" t="s">
        <v>265</v>
      </c>
      <c r="P661" s="55" t="s">
        <v>1066</v>
      </c>
      <c r="Q661" s="55" t="s">
        <v>380</v>
      </c>
      <c r="R661" s="85">
        <v>2</v>
      </c>
      <c r="S661" s="55">
        <v>0</v>
      </c>
      <c r="T661" s="74" t="s">
        <v>1067</v>
      </c>
      <c r="U661" s="74" t="s">
        <v>351</v>
      </c>
      <c r="V661" s="74">
        <v>44453</v>
      </c>
      <c r="W661" s="74">
        <v>44487</v>
      </c>
      <c r="X661" s="55">
        <v>10186335</v>
      </c>
      <c r="Y661" s="55" t="s">
        <v>132</v>
      </c>
      <c r="AB661" s="74" t="s">
        <v>132</v>
      </c>
      <c r="AC661" s="55" t="s">
        <v>132</v>
      </c>
      <c r="AL661" s="74"/>
      <c r="AM661" s="74"/>
    </row>
    <row r="662" spans="1:50" ht="13" x14ac:dyDescent="0.15">
      <c r="A662" s="55" t="str">
        <f>HYPERLINK("http://reports.ofsted.gov.uk/inspection-reports/find-inspection-report/provider/CARE/2484443","Ofsted Social Care Provider Webpage")</f>
        <v>Ofsted Social Care Provider Webpage</v>
      </c>
      <c r="B662" s="55">
        <v>2484443</v>
      </c>
      <c r="D662" s="55" t="s">
        <v>373</v>
      </c>
      <c r="E662" s="74">
        <v>43332</v>
      </c>
      <c r="F662" s="55" t="s">
        <v>344</v>
      </c>
      <c r="G662" s="55" t="s">
        <v>360</v>
      </c>
      <c r="H662" s="55" t="s">
        <v>360</v>
      </c>
      <c r="I662" s="55" t="s">
        <v>360</v>
      </c>
      <c r="J662" s="55" t="s">
        <v>360</v>
      </c>
      <c r="K662" s="55" t="s">
        <v>360</v>
      </c>
      <c r="L662" s="55" t="s">
        <v>360</v>
      </c>
      <c r="M662" s="55" t="s">
        <v>136</v>
      </c>
      <c r="N662" s="55" t="s">
        <v>136</v>
      </c>
      <c r="O662" s="55" t="s">
        <v>255</v>
      </c>
      <c r="P662" s="55" t="s">
        <v>609</v>
      </c>
      <c r="Q662" s="55" t="s">
        <v>350</v>
      </c>
      <c r="R662" s="85">
        <v>3</v>
      </c>
      <c r="S662" s="55">
        <v>0</v>
      </c>
      <c r="T662" s="74" t="s">
        <v>1151</v>
      </c>
      <c r="U662" s="74" t="s">
        <v>351</v>
      </c>
      <c r="V662" s="74">
        <v>44580</v>
      </c>
      <c r="W662" s="74">
        <v>44624</v>
      </c>
      <c r="X662" s="55">
        <v>10186026</v>
      </c>
      <c r="Y662" s="55" t="s">
        <v>146</v>
      </c>
      <c r="AB662" s="74" t="s">
        <v>146</v>
      </c>
      <c r="AC662" s="55" t="s">
        <v>146</v>
      </c>
      <c r="AL662" s="74"/>
      <c r="AM662" s="74"/>
    </row>
    <row r="663" spans="1:50" ht="13" x14ac:dyDescent="0.15">
      <c r="A663" s="55" t="str">
        <f>HYPERLINK("http://reports.ofsted.gov.uk/inspection-reports/find-inspection-report/provider/CARE/2484443","Ofsted Social Care Provider Webpage")</f>
        <v>Ofsted Social Care Provider Webpage</v>
      </c>
      <c r="B663" s="55">
        <v>2484443</v>
      </c>
      <c r="D663" s="55" t="s">
        <v>373</v>
      </c>
      <c r="E663" s="74">
        <v>43332</v>
      </c>
      <c r="F663" s="55" t="s">
        <v>344</v>
      </c>
      <c r="G663" s="55" t="s">
        <v>360</v>
      </c>
      <c r="H663" s="55" t="s">
        <v>360</v>
      </c>
      <c r="I663" s="55" t="s">
        <v>360</v>
      </c>
      <c r="J663" s="55" t="s">
        <v>360</v>
      </c>
      <c r="K663" s="55" t="s">
        <v>360</v>
      </c>
      <c r="L663" s="55" t="s">
        <v>360</v>
      </c>
      <c r="M663" s="55" t="s">
        <v>136</v>
      </c>
      <c r="N663" s="55" t="s">
        <v>136</v>
      </c>
      <c r="O663" s="55" t="s">
        <v>255</v>
      </c>
      <c r="P663" s="55" t="s">
        <v>609</v>
      </c>
      <c r="Q663" s="55" t="s">
        <v>350</v>
      </c>
      <c r="R663" s="85">
        <v>3</v>
      </c>
      <c r="S663" s="55">
        <v>0</v>
      </c>
      <c r="T663" s="74" t="s">
        <v>1151</v>
      </c>
      <c r="U663" s="74" t="s">
        <v>2053</v>
      </c>
      <c r="V663" s="74">
        <v>44607</v>
      </c>
      <c r="W663" s="74">
        <v>44638</v>
      </c>
      <c r="X663" s="55">
        <v>10221026</v>
      </c>
      <c r="AL663" s="74"/>
      <c r="AM663" s="74"/>
      <c r="AW663" s="74"/>
      <c r="AX663" s="74"/>
    </row>
    <row r="664" spans="1:50" ht="13" x14ac:dyDescent="0.15">
      <c r="A664" s="55" t="str">
        <f>HYPERLINK("http://reports.ofsted.gov.uk/inspection-reports/find-inspection-report/provider/CARE/2484586","Ofsted Social Care Provider Webpage")</f>
        <v>Ofsted Social Care Provider Webpage</v>
      </c>
      <c r="B664" s="55">
        <v>2484586</v>
      </c>
      <c r="D664" s="55" t="s">
        <v>373</v>
      </c>
      <c r="E664" s="74">
        <v>43318</v>
      </c>
      <c r="F664" s="55" t="s">
        <v>344</v>
      </c>
      <c r="G664" s="55" t="s">
        <v>360</v>
      </c>
      <c r="H664" s="55" t="s">
        <v>360</v>
      </c>
      <c r="I664" s="55" t="s">
        <v>360</v>
      </c>
      <c r="J664" s="55" t="s">
        <v>360</v>
      </c>
      <c r="K664" s="55" t="s">
        <v>360</v>
      </c>
      <c r="L664" s="55" t="s">
        <v>360</v>
      </c>
      <c r="M664" s="55" t="s">
        <v>142</v>
      </c>
      <c r="N664" s="55" t="s">
        <v>142</v>
      </c>
      <c r="O664" s="55" t="s">
        <v>265</v>
      </c>
      <c r="P664" s="55" t="s">
        <v>1066</v>
      </c>
      <c r="Q664" s="55" t="s">
        <v>380</v>
      </c>
      <c r="R664" s="85">
        <v>2</v>
      </c>
      <c r="S664" s="55">
        <v>0</v>
      </c>
      <c r="T664" s="74" t="s">
        <v>1067</v>
      </c>
      <c r="U664" s="74" t="s">
        <v>351</v>
      </c>
      <c r="V664" s="74">
        <v>44383</v>
      </c>
      <c r="W664" s="74">
        <v>44432</v>
      </c>
      <c r="X664" s="55">
        <v>10187262</v>
      </c>
      <c r="Y664" s="55" t="s">
        <v>132</v>
      </c>
      <c r="AB664" s="74" t="s">
        <v>132</v>
      </c>
      <c r="AC664" s="55" t="s">
        <v>132</v>
      </c>
      <c r="AL664" s="74"/>
      <c r="AM664" s="74"/>
      <c r="AW664" s="74"/>
      <c r="AX664" s="74"/>
    </row>
    <row r="665" spans="1:50" ht="13" x14ac:dyDescent="0.15">
      <c r="A665" s="55" t="str">
        <f>HYPERLINK("http://reports.ofsted.gov.uk/inspection-reports/find-inspection-report/provider/CARE/2484682","Ofsted Social Care Provider Webpage")</f>
        <v>Ofsted Social Care Provider Webpage</v>
      </c>
      <c r="B665" s="55">
        <v>2484682</v>
      </c>
      <c r="D665" s="55" t="s">
        <v>373</v>
      </c>
      <c r="E665" s="74">
        <v>43318</v>
      </c>
      <c r="F665" s="55" t="s">
        <v>344</v>
      </c>
      <c r="G665" s="55" t="s">
        <v>360</v>
      </c>
      <c r="H665" s="55" t="s">
        <v>360</v>
      </c>
      <c r="I665" s="55" t="s">
        <v>360</v>
      </c>
      <c r="J665" s="55" t="s">
        <v>360</v>
      </c>
      <c r="K665" s="55" t="s">
        <v>360</v>
      </c>
      <c r="L665" s="55" t="s">
        <v>360</v>
      </c>
      <c r="M665" s="55" t="s">
        <v>144</v>
      </c>
      <c r="N665" s="55" t="s">
        <v>144</v>
      </c>
      <c r="O665" s="55" t="s">
        <v>157</v>
      </c>
      <c r="P665" s="55" t="s">
        <v>1092</v>
      </c>
      <c r="Q665" s="55" t="s">
        <v>350</v>
      </c>
      <c r="R665" s="85">
        <v>3</v>
      </c>
      <c r="S665" s="55">
        <v>0</v>
      </c>
      <c r="T665" s="74" t="s">
        <v>490</v>
      </c>
      <c r="U665" s="74" t="s">
        <v>351</v>
      </c>
      <c r="V665" s="74">
        <v>44306</v>
      </c>
      <c r="W665" s="74">
        <v>44334</v>
      </c>
      <c r="X665" s="55">
        <v>10187418</v>
      </c>
      <c r="Y665" s="55" t="s">
        <v>132</v>
      </c>
      <c r="AB665" s="74" t="s">
        <v>132</v>
      </c>
      <c r="AC665" s="55" t="s">
        <v>132</v>
      </c>
      <c r="AL665" s="74"/>
      <c r="AM665" s="74"/>
      <c r="AW665" s="74"/>
      <c r="AX665" s="74"/>
    </row>
    <row r="666" spans="1:50" ht="13" x14ac:dyDescent="0.15">
      <c r="A666" s="55" t="str">
        <f>HYPERLINK("http://reports.ofsted.gov.uk/inspection-reports/find-inspection-report/provider/CARE/2490729","Ofsted Social Care Provider Webpage")</f>
        <v>Ofsted Social Care Provider Webpage</v>
      </c>
      <c r="B666" s="55">
        <v>2490729</v>
      </c>
      <c r="D666" s="55" t="s">
        <v>373</v>
      </c>
      <c r="E666" s="74">
        <v>43627</v>
      </c>
      <c r="F666" s="55" t="s">
        <v>344</v>
      </c>
      <c r="G666" s="55" t="s">
        <v>360</v>
      </c>
      <c r="H666" s="55" t="s">
        <v>360</v>
      </c>
      <c r="I666" s="55" t="s">
        <v>360</v>
      </c>
      <c r="J666" s="55" t="s">
        <v>360</v>
      </c>
      <c r="K666" s="55" t="s">
        <v>360</v>
      </c>
      <c r="L666" s="55" t="s">
        <v>360</v>
      </c>
      <c r="M666" s="55" t="s">
        <v>142</v>
      </c>
      <c r="N666" s="55" t="s">
        <v>142</v>
      </c>
      <c r="O666" s="55" t="s">
        <v>262</v>
      </c>
      <c r="P666" s="55" t="s">
        <v>916</v>
      </c>
      <c r="Q666" s="55" t="s">
        <v>350</v>
      </c>
      <c r="R666" s="85">
        <v>3</v>
      </c>
      <c r="S666" s="55">
        <v>0</v>
      </c>
      <c r="T666" s="74" t="s">
        <v>489</v>
      </c>
      <c r="U666" s="74" t="s">
        <v>351</v>
      </c>
      <c r="V666" s="74">
        <v>44362</v>
      </c>
      <c r="W666" s="74">
        <v>44441</v>
      </c>
      <c r="X666" s="55">
        <v>10186103</v>
      </c>
      <c r="Y666" s="55" t="s">
        <v>132</v>
      </c>
      <c r="AB666" s="74" t="s">
        <v>132</v>
      </c>
      <c r="AC666" s="55" t="s">
        <v>132</v>
      </c>
      <c r="AL666" s="74"/>
      <c r="AM666" s="74"/>
      <c r="AW666" s="74"/>
      <c r="AX666" s="74"/>
    </row>
    <row r="667" spans="1:50" ht="13" x14ac:dyDescent="0.15">
      <c r="A667" s="55" t="str">
        <f>HYPERLINK("http://reports.ofsted.gov.uk/inspection-reports/find-inspection-report/provider/CARE/2490894","Ofsted Social Care Provider Webpage")</f>
        <v>Ofsted Social Care Provider Webpage</v>
      </c>
      <c r="B667" s="55">
        <v>2490894</v>
      </c>
      <c r="D667" s="55" t="s">
        <v>373</v>
      </c>
      <c r="E667" s="74">
        <v>43543</v>
      </c>
      <c r="F667" s="55" t="s">
        <v>344</v>
      </c>
      <c r="G667" s="55" t="s">
        <v>360</v>
      </c>
      <c r="H667" s="55" t="s">
        <v>360</v>
      </c>
      <c r="I667" s="55" t="s">
        <v>360</v>
      </c>
      <c r="J667" s="55" t="s">
        <v>360</v>
      </c>
      <c r="K667" s="55" t="s">
        <v>360</v>
      </c>
      <c r="L667" s="55" t="s">
        <v>360</v>
      </c>
      <c r="M667" s="55" t="s">
        <v>378</v>
      </c>
      <c r="N667" s="55" t="s">
        <v>170</v>
      </c>
      <c r="O667" s="55" t="s">
        <v>193</v>
      </c>
      <c r="P667" s="55" t="s">
        <v>193</v>
      </c>
      <c r="Q667" s="55" t="s">
        <v>380</v>
      </c>
      <c r="R667" s="85">
        <v>2</v>
      </c>
      <c r="S667" s="55">
        <v>0</v>
      </c>
      <c r="T667" s="74" t="s">
        <v>1353</v>
      </c>
      <c r="U667" s="74" t="s">
        <v>351</v>
      </c>
      <c r="V667" s="74">
        <v>44341</v>
      </c>
      <c r="W667" s="74">
        <v>44393</v>
      </c>
      <c r="X667" s="55">
        <v>10185013</v>
      </c>
      <c r="Y667" s="55" t="s">
        <v>132</v>
      </c>
      <c r="AB667" s="74" t="s">
        <v>130</v>
      </c>
      <c r="AC667" s="55" t="s">
        <v>130</v>
      </c>
      <c r="AL667" s="74"/>
      <c r="AM667" s="74"/>
      <c r="AW667" s="74"/>
      <c r="AX667" s="74"/>
    </row>
    <row r="668" spans="1:50" ht="13" x14ac:dyDescent="0.15">
      <c r="A668" s="55" t="str">
        <f>HYPERLINK("http://reports.ofsted.gov.uk/inspection-reports/find-inspection-report/provider/CARE/2490938","Ofsted Social Care Provider Webpage")</f>
        <v>Ofsted Social Care Provider Webpage</v>
      </c>
      <c r="B668" s="55">
        <v>2490938</v>
      </c>
      <c r="D668" s="55" t="s">
        <v>373</v>
      </c>
      <c r="E668" s="74">
        <v>43319</v>
      </c>
      <c r="F668" s="55" t="s">
        <v>344</v>
      </c>
      <c r="G668" s="55" t="s">
        <v>360</v>
      </c>
      <c r="H668" s="55" t="s">
        <v>360</v>
      </c>
      <c r="I668" s="55" t="s">
        <v>360</v>
      </c>
      <c r="J668" s="55" t="s">
        <v>360</v>
      </c>
      <c r="K668" s="55" t="s">
        <v>360</v>
      </c>
      <c r="L668" s="55" t="s">
        <v>360</v>
      </c>
      <c r="M668" s="55" t="s">
        <v>129</v>
      </c>
      <c r="N668" s="55" t="s">
        <v>129</v>
      </c>
      <c r="O668" s="55" t="s">
        <v>197</v>
      </c>
      <c r="P668" s="55" t="s">
        <v>532</v>
      </c>
      <c r="Q668" s="55" t="s">
        <v>380</v>
      </c>
      <c r="R668" s="85">
        <v>5</v>
      </c>
      <c r="S668" s="55">
        <v>0</v>
      </c>
      <c r="T668" s="74" t="s">
        <v>1354</v>
      </c>
      <c r="U668" s="74" t="s">
        <v>351</v>
      </c>
      <c r="V668" s="74">
        <v>44454</v>
      </c>
      <c r="W668" s="74">
        <v>44503</v>
      </c>
      <c r="X668" s="55">
        <v>10186399</v>
      </c>
      <c r="Y668" s="55" t="s">
        <v>130</v>
      </c>
      <c r="AB668" s="74" t="s">
        <v>130</v>
      </c>
      <c r="AC668" s="55" t="s">
        <v>130</v>
      </c>
      <c r="AL668" s="74"/>
      <c r="AM668" s="74"/>
      <c r="AW668" s="74"/>
      <c r="AX668" s="74"/>
    </row>
    <row r="669" spans="1:50" ht="13" x14ac:dyDescent="0.15">
      <c r="A669" s="55" t="str">
        <f>HYPERLINK("http://reports.ofsted.gov.uk/inspection-reports/find-inspection-report/provider/CARE/2490938","Ofsted Social Care Provider Webpage")</f>
        <v>Ofsted Social Care Provider Webpage</v>
      </c>
      <c r="B669" s="55">
        <v>2490938</v>
      </c>
      <c r="D669" s="55" t="s">
        <v>373</v>
      </c>
      <c r="E669" s="74">
        <v>43319</v>
      </c>
      <c r="F669" s="55" t="s">
        <v>344</v>
      </c>
      <c r="G669" s="55" t="s">
        <v>360</v>
      </c>
      <c r="H669" s="55" t="s">
        <v>360</v>
      </c>
      <c r="I669" s="55" t="s">
        <v>360</v>
      </c>
      <c r="J669" s="55" t="s">
        <v>360</v>
      </c>
      <c r="K669" s="55" t="s">
        <v>360</v>
      </c>
      <c r="L669" s="55" t="s">
        <v>360</v>
      </c>
      <c r="M669" s="55" t="s">
        <v>129</v>
      </c>
      <c r="N669" s="55" t="s">
        <v>129</v>
      </c>
      <c r="O669" s="55" t="s">
        <v>197</v>
      </c>
      <c r="P669" s="55" t="s">
        <v>532</v>
      </c>
      <c r="Q669" s="55" t="s">
        <v>380</v>
      </c>
      <c r="R669" s="85">
        <v>5</v>
      </c>
      <c r="S669" s="55">
        <v>0</v>
      </c>
      <c r="T669" s="74" t="s">
        <v>1354</v>
      </c>
      <c r="U669" s="74" t="s">
        <v>6703</v>
      </c>
      <c r="V669" s="74">
        <v>44607</v>
      </c>
      <c r="W669" s="74">
        <v>44659</v>
      </c>
      <c r="X669" s="55">
        <v>10209394</v>
      </c>
      <c r="Y669" s="55" t="s">
        <v>6706</v>
      </c>
      <c r="AL669" s="74"/>
      <c r="AM669" s="74"/>
      <c r="AW669" s="74"/>
      <c r="AX669" s="74"/>
    </row>
    <row r="670" spans="1:50" ht="13" x14ac:dyDescent="0.15">
      <c r="A670" s="55" t="str">
        <f>HYPERLINK("http://reports.ofsted.gov.uk/inspection-reports/find-inspection-report/provider/CARE/2490939","Ofsted Social Care Provider Webpage")</f>
        <v>Ofsted Social Care Provider Webpage</v>
      </c>
      <c r="B670" s="55">
        <v>2490939</v>
      </c>
      <c r="D670" s="55" t="s">
        <v>373</v>
      </c>
      <c r="E670" s="74">
        <v>43657</v>
      </c>
      <c r="F670" s="55" t="s">
        <v>344</v>
      </c>
      <c r="G670" s="55" t="s">
        <v>360</v>
      </c>
      <c r="H670" s="55" t="s">
        <v>360</v>
      </c>
      <c r="I670" s="55" t="s">
        <v>360</v>
      </c>
      <c r="J670" s="55" t="s">
        <v>360</v>
      </c>
      <c r="K670" s="55" t="s">
        <v>360</v>
      </c>
      <c r="L670" s="55" t="s">
        <v>360</v>
      </c>
      <c r="M670" s="55" t="s">
        <v>142</v>
      </c>
      <c r="N670" s="55" t="s">
        <v>142</v>
      </c>
      <c r="O670" s="55" t="s">
        <v>262</v>
      </c>
      <c r="P670" s="55" t="s">
        <v>850</v>
      </c>
      <c r="Q670" s="55" t="s">
        <v>350</v>
      </c>
      <c r="R670" s="85">
        <v>1</v>
      </c>
      <c r="S670" s="55">
        <v>0</v>
      </c>
      <c r="T670" s="74" t="s">
        <v>910</v>
      </c>
      <c r="U670" s="74" t="s">
        <v>351</v>
      </c>
      <c r="V670" s="74">
        <v>44509</v>
      </c>
      <c r="W670" s="74">
        <v>44544</v>
      </c>
      <c r="X670" s="55">
        <v>10185747</v>
      </c>
      <c r="Y670" s="55" t="s">
        <v>132</v>
      </c>
      <c r="AB670" s="74" t="s">
        <v>132</v>
      </c>
      <c r="AC670" s="55" t="s">
        <v>132</v>
      </c>
      <c r="AL670" s="74"/>
      <c r="AM670" s="74"/>
      <c r="AW670" s="74"/>
      <c r="AX670" s="74"/>
    </row>
    <row r="671" spans="1:50" ht="13" x14ac:dyDescent="0.15">
      <c r="A671" s="55" t="str">
        <f>HYPERLINK("http://reports.ofsted.gov.uk/inspection-reports/find-inspection-report/provider/CARE/2490994","Ofsted Social Care Provider Webpage")</f>
        <v>Ofsted Social Care Provider Webpage</v>
      </c>
      <c r="B671" s="55">
        <v>2490994</v>
      </c>
      <c r="D671" s="55" t="s">
        <v>373</v>
      </c>
      <c r="E671" s="74">
        <v>43509</v>
      </c>
      <c r="F671" s="55" t="s">
        <v>344</v>
      </c>
      <c r="G671" s="55" t="s">
        <v>360</v>
      </c>
      <c r="H671" s="55" t="s">
        <v>360</v>
      </c>
      <c r="I671" s="55" t="s">
        <v>360</v>
      </c>
      <c r="J671" s="55" t="s">
        <v>360</v>
      </c>
      <c r="K671" s="55" t="s">
        <v>360</v>
      </c>
      <c r="L671" s="55" t="s">
        <v>360</v>
      </c>
      <c r="M671" s="55" t="s">
        <v>172</v>
      </c>
      <c r="N671" s="55" t="s">
        <v>172</v>
      </c>
      <c r="O671" s="55" t="s">
        <v>235</v>
      </c>
      <c r="P671" s="55" t="s">
        <v>1355</v>
      </c>
      <c r="Q671" s="55" t="s">
        <v>350</v>
      </c>
      <c r="R671" s="85">
        <v>3</v>
      </c>
      <c r="S671" s="55">
        <v>0</v>
      </c>
      <c r="T671" s="74" t="s">
        <v>1356</v>
      </c>
      <c r="U671" s="74" t="s">
        <v>351</v>
      </c>
      <c r="V671" s="74">
        <v>44592</v>
      </c>
      <c r="W671" s="74">
        <v>44628</v>
      </c>
      <c r="X671" s="55">
        <v>10186747</v>
      </c>
      <c r="Y671" s="55" t="s">
        <v>132</v>
      </c>
      <c r="AB671" s="74" t="s">
        <v>132</v>
      </c>
      <c r="AC671" s="55" t="s">
        <v>132</v>
      </c>
      <c r="AL671" s="74"/>
      <c r="AM671" s="74"/>
      <c r="AW671" s="74"/>
      <c r="AX671" s="74"/>
    </row>
    <row r="672" spans="1:50" ht="13" x14ac:dyDescent="0.15">
      <c r="A672" s="55" t="str">
        <f>HYPERLINK("http://reports.ofsted.gov.uk/inspection-reports/find-inspection-report/provider/CARE/2490996","Ofsted Social Care Provider Webpage")</f>
        <v>Ofsted Social Care Provider Webpage</v>
      </c>
      <c r="B672" s="55">
        <v>2490996</v>
      </c>
      <c r="D672" s="55" t="s">
        <v>373</v>
      </c>
      <c r="E672" s="74">
        <v>43382</v>
      </c>
      <c r="F672" s="55" t="s">
        <v>344</v>
      </c>
      <c r="G672" s="55" t="s">
        <v>360</v>
      </c>
      <c r="H672" s="55" t="s">
        <v>360</v>
      </c>
      <c r="I672" s="55" t="s">
        <v>360</v>
      </c>
      <c r="J672" s="55" t="s">
        <v>360</v>
      </c>
      <c r="K672" s="55" t="s">
        <v>360</v>
      </c>
      <c r="L672" s="55" t="s">
        <v>360</v>
      </c>
      <c r="M672" s="55" t="s">
        <v>378</v>
      </c>
      <c r="N672" s="55" t="s">
        <v>134</v>
      </c>
      <c r="O672" s="55" t="s">
        <v>206</v>
      </c>
      <c r="P672" s="55" t="s">
        <v>710</v>
      </c>
      <c r="Q672" s="55" t="s">
        <v>350</v>
      </c>
      <c r="R672" s="85">
        <v>3</v>
      </c>
      <c r="S672" s="55">
        <v>0</v>
      </c>
      <c r="T672" s="74" t="s">
        <v>489</v>
      </c>
      <c r="U672" s="74" t="s">
        <v>351</v>
      </c>
      <c r="V672" s="74">
        <v>44614</v>
      </c>
      <c r="W672" s="74">
        <v>44659</v>
      </c>
      <c r="X672" s="55">
        <v>10185527</v>
      </c>
      <c r="Y672" s="55" t="s">
        <v>132</v>
      </c>
      <c r="AB672" s="74" t="s">
        <v>132</v>
      </c>
      <c r="AC672" s="55" t="s">
        <v>132</v>
      </c>
      <c r="AL672" s="74"/>
      <c r="AM672" s="74"/>
      <c r="AW672" s="74"/>
      <c r="AX672" s="74"/>
    </row>
    <row r="673" spans="1:50" ht="13" x14ac:dyDescent="0.15">
      <c r="A673" s="55" t="str">
        <f>HYPERLINK("http://reports.ofsted.gov.uk/inspection-reports/find-inspection-report/provider/CARE/2490998","Ofsted Social Care Provider Webpage")</f>
        <v>Ofsted Social Care Provider Webpage</v>
      </c>
      <c r="B673" s="55">
        <v>2490998</v>
      </c>
      <c r="D673" s="55" t="s">
        <v>373</v>
      </c>
      <c r="E673" s="74">
        <v>43433</v>
      </c>
      <c r="F673" s="55" t="s">
        <v>344</v>
      </c>
      <c r="G673" s="55" t="s">
        <v>360</v>
      </c>
      <c r="H673" s="55" t="s">
        <v>360</v>
      </c>
      <c r="I673" s="55" t="s">
        <v>360</v>
      </c>
      <c r="J673" s="55" t="s">
        <v>360</v>
      </c>
      <c r="K673" s="55" t="s">
        <v>360</v>
      </c>
      <c r="L673" s="55" t="s">
        <v>360</v>
      </c>
      <c r="M673" s="55" t="s">
        <v>144</v>
      </c>
      <c r="N673" s="55" t="s">
        <v>144</v>
      </c>
      <c r="O673" s="55" t="s">
        <v>145</v>
      </c>
      <c r="P673" s="55" t="s">
        <v>484</v>
      </c>
      <c r="Q673" s="55" t="s">
        <v>350</v>
      </c>
      <c r="R673" s="85">
        <v>2</v>
      </c>
      <c r="S673" s="55">
        <v>0</v>
      </c>
      <c r="T673" s="74" t="s">
        <v>485</v>
      </c>
      <c r="U673" s="74" t="s">
        <v>351</v>
      </c>
      <c r="V673" s="74">
        <v>44440</v>
      </c>
      <c r="W673" s="74">
        <v>44473</v>
      </c>
      <c r="X673" s="55">
        <v>10187500</v>
      </c>
      <c r="Y673" s="55" t="s">
        <v>132</v>
      </c>
      <c r="AB673" s="74" t="s">
        <v>132</v>
      </c>
      <c r="AC673" s="55" t="s">
        <v>132</v>
      </c>
      <c r="AL673" s="74"/>
      <c r="AM673" s="74"/>
      <c r="AW673" s="74"/>
      <c r="AX673" s="74"/>
    </row>
    <row r="674" spans="1:50" ht="13" x14ac:dyDescent="0.15">
      <c r="A674" s="55" t="str">
        <f>HYPERLINK("http://reports.ofsted.gov.uk/inspection-reports/find-inspection-report/provider/CARE/2490999","Ofsted Social Care Provider Webpage")</f>
        <v>Ofsted Social Care Provider Webpage</v>
      </c>
      <c r="B674" s="55">
        <v>2490999</v>
      </c>
      <c r="D674" s="55" t="s">
        <v>373</v>
      </c>
      <c r="E674" s="74">
        <v>43377</v>
      </c>
      <c r="F674" s="55" t="s">
        <v>344</v>
      </c>
      <c r="G674" s="55" t="s">
        <v>360</v>
      </c>
      <c r="H674" s="55" t="s">
        <v>360</v>
      </c>
      <c r="I674" s="55" t="s">
        <v>360</v>
      </c>
      <c r="J674" s="55" t="s">
        <v>360</v>
      </c>
      <c r="K674" s="55" t="s">
        <v>360</v>
      </c>
      <c r="L674" s="55" t="s">
        <v>360</v>
      </c>
      <c r="M674" s="55" t="s">
        <v>172</v>
      </c>
      <c r="N674" s="55" t="s">
        <v>172</v>
      </c>
      <c r="O674" s="55" t="s">
        <v>212</v>
      </c>
      <c r="P674" s="55" t="s">
        <v>883</v>
      </c>
      <c r="Q674" s="55" t="s">
        <v>350</v>
      </c>
      <c r="R674" s="85">
        <v>3</v>
      </c>
      <c r="S674" s="55">
        <v>0</v>
      </c>
      <c r="T674" s="74" t="s">
        <v>1357</v>
      </c>
      <c r="U674" s="74" t="s">
        <v>351</v>
      </c>
      <c r="V674" s="74">
        <v>44510</v>
      </c>
      <c r="W674" s="74">
        <v>44547</v>
      </c>
      <c r="X674" s="55">
        <v>10187222</v>
      </c>
      <c r="Y674" s="55" t="s">
        <v>132</v>
      </c>
      <c r="AB674" s="74" t="s">
        <v>132</v>
      </c>
      <c r="AC674" s="55" t="s">
        <v>132</v>
      </c>
      <c r="AL674" s="74"/>
      <c r="AM674" s="74"/>
      <c r="AW674" s="74"/>
      <c r="AX674" s="74"/>
    </row>
    <row r="675" spans="1:50" ht="13" x14ac:dyDescent="0.15">
      <c r="A675" s="55" t="str">
        <f>HYPERLINK("http://reports.ofsted.gov.uk/inspection-reports/find-inspection-report/provider/CARE/2491037","Ofsted Social Care Provider Webpage")</f>
        <v>Ofsted Social Care Provider Webpage</v>
      </c>
      <c r="B675" s="55">
        <v>2491037</v>
      </c>
      <c r="D675" s="55" t="s">
        <v>373</v>
      </c>
      <c r="E675" s="74">
        <v>43437</v>
      </c>
      <c r="F675" s="55" t="s">
        <v>344</v>
      </c>
      <c r="G675" s="55" t="s">
        <v>360</v>
      </c>
      <c r="H675" s="55" t="s">
        <v>360</v>
      </c>
      <c r="I675" s="55" t="s">
        <v>360</v>
      </c>
      <c r="J675" s="55" t="s">
        <v>360</v>
      </c>
      <c r="K675" s="55" t="s">
        <v>360</v>
      </c>
      <c r="L675" s="55" t="s">
        <v>360</v>
      </c>
      <c r="M675" s="55" t="s">
        <v>172</v>
      </c>
      <c r="N675" s="55" t="s">
        <v>172</v>
      </c>
      <c r="O675" s="55" t="s">
        <v>234</v>
      </c>
      <c r="P675" s="55" t="s">
        <v>457</v>
      </c>
      <c r="Q675" s="55" t="s">
        <v>350</v>
      </c>
      <c r="R675" s="85">
        <v>3</v>
      </c>
      <c r="S675" s="55">
        <v>0</v>
      </c>
      <c r="T675" s="74" t="s">
        <v>1358</v>
      </c>
      <c r="U675" s="74" t="s">
        <v>351</v>
      </c>
      <c r="V675" s="74">
        <v>44440</v>
      </c>
      <c r="W675" s="74">
        <v>44473</v>
      </c>
      <c r="X675" s="55">
        <v>10185936</v>
      </c>
      <c r="Y675" s="55" t="s">
        <v>132</v>
      </c>
      <c r="AB675" s="74" t="s">
        <v>132</v>
      </c>
      <c r="AC675" s="55" t="s">
        <v>130</v>
      </c>
      <c r="AL675" s="74"/>
      <c r="AM675" s="74"/>
      <c r="AW675" s="74"/>
      <c r="AX675" s="74"/>
    </row>
    <row r="676" spans="1:50" ht="13" x14ac:dyDescent="0.15">
      <c r="A676" s="55" t="str">
        <f>HYPERLINK("http://reports.ofsted.gov.uk/inspection-reports/find-inspection-report/provider/CARE/2491059","Ofsted Social Care Provider Webpage")</f>
        <v>Ofsted Social Care Provider Webpage</v>
      </c>
      <c r="B676" s="55">
        <v>2491059</v>
      </c>
      <c r="D676" s="55" t="s">
        <v>373</v>
      </c>
      <c r="E676" s="74">
        <v>43388</v>
      </c>
      <c r="F676" s="55" t="s">
        <v>344</v>
      </c>
      <c r="G676" s="55" t="s">
        <v>360</v>
      </c>
      <c r="H676" s="55" t="s">
        <v>360</v>
      </c>
      <c r="I676" s="55" t="s">
        <v>360</v>
      </c>
      <c r="J676" s="55" t="s">
        <v>360</v>
      </c>
      <c r="K676" s="55" t="s">
        <v>360</v>
      </c>
      <c r="L676" s="55" t="s">
        <v>360</v>
      </c>
      <c r="M676" s="55" t="s">
        <v>136</v>
      </c>
      <c r="N676" s="55" t="s">
        <v>136</v>
      </c>
      <c r="O676" s="55" t="s">
        <v>255</v>
      </c>
      <c r="P676" s="55" t="s">
        <v>583</v>
      </c>
      <c r="Q676" s="55" t="s">
        <v>350</v>
      </c>
      <c r="R676" s="85">
        <v>3</v>
      </c>
      <c r="S676" s="55">
        <v>0</v>
      </c>
      <c r="T676" s="74" t="s">
        <v>1359</v>
      </c>
      <c r="U676" s="74" t="s">
        <v>6703</v>
      </c>
      <c r="V676" s="74">
        <v>44635</v>
      </c>
      <c r="W676" s="74">
        <v>44680</v>
      </c>
      <c r="X676" s="55">
        <v>10213250</v>
      </c>
      <c r="Y676" s="55" t="s">
        <v>6706</v>
      </c>
      <c r="AL676" s="74"/>
      <c r="AM676" s="74"/>
      <c r="AW676" s="74"/>
      <c r="AX676" s="74"/>
    </row>
    <row r="677" spans="1:50" ht="13" x14ac:dyDescent="0.15">
      <c r="A677" s="55" t="str">
        <f>HYPERLINK("http://reports.ofsted.gov.uk/inspection-reports/find-inspection-report/provider/CARE/2491059","Ofsted Social Care Provider Webpage")</f>
        <v>Ofsted Social Care Provider Webpage</v>
      </c>
      <c r="B677" s="55">
        <v>2491059</v>
      </c>
      <c r="D677" s="55" t="s">
        <v>373</v>
      </c>
      <c r="E677" s="74">
        <v>43388</v>
      </c>
      <c r="F677" s="55" t="s">
        <v>344</v>
      </c>
      <c r="G677" s="55" t="s">
        <v>360</v>
      </c>
      <c r="H677" s="55" t="s">
        <v>360</v>
      </c>
      <c r="I677" s="55" t="s">
        <v>360</v>
      </c>
      <c r="J677" s="55" t="s">
        <v>360</v>
      </c>
      <c r="K677" s="55" t="s">
        <v>360</v>
      </c>
      <c r="L677" s="55" t="s">
        <v>360</v>
      </c>
      <c r="M677" s="55" t="s">
        <v>136</v>
      </c>
      <c r="N677" s="55" t="s">
        <v>136</v>
      </c>
      <c r="O677" s="55" t="s">
        <v>255</v>
      </c>
      <c r="P677" s="55" t="s">
        <v>583</v>
      </c>
      <c r="Q677" s="55" t="s">
        <v>350</v>
      </c>
      <c r="R677" s="85">
        <v>3</v>
      </c>
      <c r="S677" s="55">
        <v>0</v>
      </c>
      <c r="T677" s="74" t="s">
        <v>1359</v>
      </c>
      <c r="U677" s="74" t="s">
        <v>351</v>
      </c>
      <c r="V677" s="74">
        <v>44474</v>
      </c>
      <c r="W677" s="74">
        <v>44505</v>
      </c>
      <c r="X677" s="55">
        <v>10186859</v>
      </c>
      <c r="Y677" s="55" t="s">
        <v>130</v>
      </c>
      <c r="AB677" s="74" t="s">
        <v>130</v>
      </c>
      <c r="AC677" s="55" t="s">
        <v>130</v>
      </c>
      <c r="AL677" s="74"/>
      <c r="AM677" s="74"/>
      <c r="AW677" s="74"/>
      <c r="AX677" s="74"/>
    </row>
    <row r="678" spans="1:50" ht="13" x14ac:dyDescent="0.15">
      <c r="A678" s="55" t="str">
        <f>HYPERLINK("http://reports.ofsted.gov.uk/inspection-reports/find-inspection-report/provider/CARE/2491062","Ofsted Social Care Provider Webpage")</f>
        <v>Ofsted Social Care Provider Webpage</v>
      </c>
      <c r="B678" s="55">
        <v>2491062</v>
      </c>
      <c r="D678" s="55" t="s">
        <v>373</v>
      </c>
      <c r="E678" s="74">
        <v>43398</v>
      </c>
      <c r="F678" s="55" t="s">
        <v>344</v>
      </c>
      <c r="G678" s="55" t="s">
        <v>360</v>
      </c>
      <c r="H678" s="55" t="s">
        <v>360</v>
      </c>
      <c r="I678" s="55" t="s">
        <v>360</v>
      </c>
      <c r="J678" s="55" t="s">
        <v>360</v>
      </c>
      <c r="K678" s="55" t="s">
        <v>360</v>
      </c>
      <c r="L678" s="55" t="s">
        <v>360</v>
      </c>
      <c r="M678" s="55" t="s">
        <v>138</v>
      </c>
      <c r="N678" s="55" t="s">
        <v>138</v>
      </c>
      <c r="O678" s="55" t="s">
        <v>196</v>
      </c>
      <c r="P678" s="55" t="s">
        <v>1360</v>
      </c>
      <c r="Q678" s="55" t="s">
        <v>350</v>
      </c>
      <c r="R678" s="85">
        <v>2</v>
      </c>
      <c r="S678" s="55">
        <v>0</v>
      </c>
      <c r="T678" s="74" t="s">
        <v>1361</v>
      </c>
      <c r="U678" s="74" t="s">
        <v>351</v>
      </c>
      <c r="V678" s="74">
        <v>44460</v>
      </c>
      <c r="W678" s="74">
        <v>44487</v>
      </c>
      <c r="X678" s="55">
        <v>10185406</v>
      </c>
      <c r="Y678" s="55" t="s">
        <v>132</v>
      </c>
      <c r="AB678" s="74" t="s">
        <v>132</v>
      </c>
      <c r="AC678" s="55" t="s">
        <v>130</v>
      </c>
      <c r="AL678" s="74"/>
      <c r="AM678" s="74"/>
      <c r="AW678" s="74"/>
      <c r="AX678" s="74"/>
    </row>
    <row r="679" spans="1:50" ht="13" x14ac:dyDescent="0.15">
      <c r="A679" s="55" t="str">
        <f>HYPERLINK("http://reports.ofsted.gov.uk/inspection-reports/find-inspection-report/provider/CARE/2494551","Ofsted Social Care Provider Webpage")</f>
        <v>Ofsted Social Care Provider Webpage</v>
      </c>
      <c r="B679" s="55">
        <v>2494551</v>
      </c>
      <c r="D679" s="55" t="s">
        <v>373</v>
      </c>
      <c r="E679" s="74">
        <v>43423</v>
      </c>
      <c r="F679" s="55" t="s">
        <v>344</v>
      </c>
      <c r="G679" s="55" t="s">
        <v>360</v>
      </c>
      <c r="H679" s="55" t="s">
        <v>360</v>
      </c>
      <c r="I679" s="55" t="s">
        <v>360</v>
      </c>
      <c r="J679" s="55" t="s">
        <v>360</v>
      </c>
      <c r="K679" s="55" t="s">
        <v>360</v>
      </c>
      <c r="L679" s="55" t="s">
        <v>360</v>
      </c>
      <c r="M679" s="55" t="s">
        <v>378</v>
      </c>
      <c r="N679" s="55" t="s">
        <v>134</v>
      </c>
      <c r="O679" s="55" t="s">
        <v>277</v>
      </c>
      <c r="P679" s="55" t="s">
        <v>1362</v>
      </c>
      <c r="Q679" s="55" t="s">
        <v>350</v>
      </c>
      <c r="R679" s="85">
        <v>7</v>
      </c>
      <c r="S679" s="55">
        <v>0</v>
      </c>
      <c r="T679" s="74" t="s">
        <v>435</v>
      </c>
      <c r="U679" s="74" t="s">
        <v>351</v>
      </c>
      <c r="V679" s="74">
        <v>44578</v>
      </c>
      <c r="W679" s="74">
        <v>44623</v>
      </c>
      <c r="X679" s="55">
        <v>10185950</v>
      </c>
      <c r="Y679" s="55" t="s">
        <v>132</v>
      </c>
      <c r="AB679" s="74" t="s">
        <v>140</v>
      </c>
      <c r="AC679" s="55" t="s">
        <v>132</v>
      </c>
      <c r="AL679" s="74"/>
      <c r="AM679" s="74"/>
      <c r="AW679" s="74"/>
      <c r="AX679" s="74"/>
    </row>
    <row r="680" spans="1:50" ht="13" x14ac:dyDescent="0.15">
      <c r="A680" s="55" t="str">
        <f>HYPERLINK("http://reports.ofsted.gov.uk/inspection-reports/find-inspection-report/provider/CARE/2494873","Ofsted Social Care Provider Webpage")</f>
        <v>Ofsted Social Care Provider Webpage</v>
      </c>
      <c r="B680" s="55">
        <v>2494873</v>
      </c>
      <c r="D680" s="55" t="s">
        <v>373</v>
      </c>
      <c r="E680" s="74">
        <v>43445</v>
      </c>
      <c r="F680" s="55" t="s">
        <v>344</v>
      </c>
      <c r="G680" s="55" t="s">
        <v>360</v>
      </c>
      <c r="H680" s="55" t="s">
        <v>360</v>
      </c>
      <c r="I680" s="55" t="s">
        <v>360</v>
      </c>
      <c r="J680" s="55" t="s">
        <v>360</v>
      </c>
      <c r="K680" s="55" t="s">
        <v>360</v>
      </c>
      <c r="L680" s="55" t="s">
        <v>360</v>
      </c>
      <c r="M680" s="55" t="s">
        <v>142</v>
      </c>
      <c r="N680" s="55" t="s">
        <v>142</v>
      </c>
      <c r="O680" s="55" t="s">
        <v>249</v>
      </c>
      <c r="P680" s="55" t="s">
        <v>1318</v>
      </c>
      <c r="Q680" s="55" t="s">
        <v>350</v>
      </c>
      <c r="R680" s="85">
        <v>3</v>
      </c>
      <c r="S680" s="55">
        <v>0</v>
      </c>
      <c r="T680" s="74" t="s">
        <v>1364</v>
      </c>
      <c r="U680" s="74" t="s">
        <v>351</v>
      </c>
      <c r="V680" s="74">
        <v>44494</v>
      </c>
      <c r="W680" s="74">
        <v>44538</v>
      </c>
      <c r="X680" s="55">
        <v>10186559</v>
      </c>
      <c r="Y680" s="55" t="s">
        <v>132</v>
      </c>
      <c r="AB680" s="74" t="s">
        <v>132</v>
      </c>
      <c r="AC680" s="55" t="s">
        <v>132</v>
      </c>
      <c r="AL680" s="74"/>
      <c r="AM680" s="74"/>
      <c r="AW680" s="74"/>
      <c r="AX680" s="74"/>
    </row>
    <row r="681" spans="1:50" ht="13" x14ac:dyDescent="0.15">
      <c r="A681" s="55" t="str">
        <f>HYPERLINK("http://reports.ofsted.gov.uk/inspection-reports/find-inspection-report/provider/CARE/2494881","Ofsted Social Care Provider Webpage")</f>
        <v>Ofsted Social Care Provider Webpage</v>
      </c>
      <c r="B681" s="55">
        <v>2494881</v>
      </c>
      <c r="D681" s="55" t="s">
        <v>373</v>
      </c>
      <c r="E681" s="74">
        <v>43476</v>
      </c>
      <c r="F681" s="55" t="s">
        <v>6707</v>
      </c>
      <c r="G681" s="55" t="s">
        <v>360</v>
      </c>
      <c r="H681" s="55" t="s">
        <v>360</v>
      </c>
      <c r="I681" s="55" t="s">
        <v>360</v>
      </c>
      <c r="J681" s="55" t="s">
        <v>360</v>
      </c>
      <c r="K681" s="55" t="s">
        <v>360</v>
      </c>
      <c r="L681" s="55" t="s">
        <v>360</v>
      </c>
      <c r="M681" s="55" t="s">
        <v>142</v>
      </c>
      <c r="N681" s="55" t="s">
        <v>142</v>
      </c>
      <c r="O681" s="55" t="s">
        <v>292</v>
      </c>
      <c r="P681" s="55" t="s">
        <v>1052</v>
      </c>
      <c r="Q681" s="55" t="s">
        <v>350</v>
      </c>
      <c r="R681" s="85">
        <v>3</v>
      </c>
      <c r="S681" s="55">
        <v>0</v>
      </c>
      <c r="T681" s="74" t="s">
        <v>1320</v>
      </c>
      <c r="U681" s="74" t="s">
        <v>2053</v>
      </c>
      <c r="V681" s="74">
        <v>44362</v>
      </c>
      <c r="W681" s="74">
        <v>44392</v>
      </c>
      <c r="X681" s="55">
        <v>10193445</v>
      </c>
      <c r="AL681" s="74"/>
      <c r="AM681" s="74"/>
      <c r="AW681" s="74"/>
      <c r="AX681" s="74"/>
    </row>
    <row r="682" spans="1:50" ht="13" x14ac:dyDescent="0.15">
      <c r="A682" s="55" t="str">
        <f>HYPERLINK("http://reports.ofsted.gov.uk/inspection-reports/find-inspection-report/provider/CARE/2494881","Ofsted Social Care Provider Webpage")</f>
        <v>Ofsted Social Care Provider Webpage</v>
      </c>
      <c r="B682" s="55">
        <v>2494881</v>
      </c>
      <c r="D682" s="55" t="s">
        <v>373</v>
      </c>
      <c r="E682" s="74">
        <v>43476</v>
      </c>
      <c r="F682" s="55" t="s">
        <v>6707</v>
      </c>
      <c r="G682" s="55" t="s">
        <v>360</v>
      </c>
      <c r="H682" s="55" t="s">
        <v>360</v>
      </c>
      <c r="I682" s="55" t="s">
        <v>360</v>
      </c>
      <c r="J682" s="55" t="s">
        <v>360</v>
      </c>
      <c r="K682" s="55" t="s">
        <v>360</v>
      </c>
      <c r="L682" s="55" t="s">
        <v>360</v>
      </c>
      <c r="M682" s="55" t="s">
        <v>142</v>
      </c>
      <c r="N682" s="55" t="s">
        <v>142</v>
      </c>
      <c r="O682" s="55" t="s">
        <v>292</v>
      </c>
      <c r="P682" s="55" t="s">
        <v>1052</v>
      </c>
      <c r="Q682" s="55" t="s">
        <v>350</v>
      </c>
      <c r="R682" s="85">
        <v>3</v>
      </c>
      <c r="S682" s="55">
        <v>0</v>
      </c>
      <c r="T682" s="74" t="s">
        <v>1320</v>
      </c>
      <c r="U682" s="74" t="s">
        <v>2053</v>
      </c>
      <c r="V682" s="74">
        <v>44321</v>
      </c>
      <c r="W682" s="74">
        <v>44355</v>
      </c>
      <c r="X682" s="55">
        <v>10182949</v>
      </c>
      <c r="AL682" s="74"/>
      <c r="AM682" s="74"/>
      <c r="AW682" s="74"/>
      <c r="AX682" s="74"/>
    </row>
    <row r="683" spans="1:50" ht="13" x14ac:dyDescent="0.15">
      <c r="A683" s="55" t="str">
        <f>HYPERLINK("http://reports.ofsted.gov.uk/inspection-reports/find-inspection-report/provider/CARE/2494881","Ofsted Social Care Provider Webpage")</f>
        <v>Ofsted Social Care Provider Webpage</v>
      </c>
      <c r="B683" s="55">
        <v>2494881</v>
      </c>
      <c r="D683" s="55" t="s">
        <v>373</v>
      </c>
      <c r="E683" s="74">
        <v>43476</v>
      </c>
      <c r="F683" s="55" t="s">
        <v>6707</v>
      </c>
      <c r="G683" s="55" t="s">
        <v>360</v>
      </c>
      <c r="H683" s="55" t="s">
        <v>360</v>
      </c>
      <c r="I683" s="55" t="s">
        <v>360</v>
      </c>
      <c r="J683" s="55" t="s">
        <v>360</v>
      </c>
      <c r="K683" s="55" t="s">
        <v>360</v>
      </c>
      <c r="L683" s="55" t="s">
        <v>360</v>
      </c>
      <c r="M683" s="55" t="s">
        <v>142</v>
      </c>
      <c r="N683" s="55" t="s">
        <v>142</v>
      </c>
      <c r="O683" s="55" t="s">
        <v>292</v>
      </c>
      <c r="P683" s="55" t="s">
        <v>1052</v>
      </c>
      <c r="Q683" s="55" t="s">
        <v>350</v>
      </c>
      <c r="R683" s="85">
        <v>3</v>
      </c>
      <c r="S683" s="55">
        <v>0</v>
      </c>
      <c r="T683" s="74" t="s">
        <v>1320</v>
      </c>
      <c r="U683" s="74" t="s">
        <v>2053</v>
      </c>
      <c r="V683" s="74">
        <v>44445</v>
      </c>
      <c r="W683" s="74">
        <v>44475</v>
      </c>
      <c r="X683" s="55">
        <v>10206372</v>
      </c>
      <c r="AL683" s="74"/>
      <c r="AM683" s="74"/>
      <c r="AW683" s="74"/>
      <c r="AX683" s="74"/>
    </row>
    <row r="684" spans="1:50" ht="13" x14ac:dyDescent="0.15">
      <c r="A684" s="55" t="str">
        <f>HYPERLINK("http://reports.ofsted.gov.uk/inspection-reports/find-inspection-report/provider/CARE/2494881","Ofsted Social Care Provider Webpage")</f>
        <v>Ofsted Social Care Provider Webpage</v>
      </c>
      <c r="B684" s="55">
        <v>2494881</v>
      </c>
      <c r="D684" s="55" t="s">
        <v>373</v>
      </c>
      <c r="E684" s="74">
        <v>43476</v>
      </c>
      <c r="F684" s="55" t="s">
        <v>6707</v>
      </c>
      <c r="G684" s="55" t="s">
        <v>360</v>
      </c>
      <c r="H684" s="55" t="s">
        <v>360</v>
      </c>
      <c r="I684" s="55" t="s">
        <v>360</v>
      </c>
      <c r="J684" s="55" t="s">
        <v>360</v>
      </c>
      <c r="K684" s="55" t="s">
        <v>360</v>
      </c>
      <c r="L684" s="55" t="s">
        <v>360</v>
      </c>
      <c r="M684" s="55" t="s">
        <v>142</v>
      </c>
      <c r="N684" s="55" t="s">
        <v>142</v>
      </c>
      <c r="O684" s="55" t="s">
        <v>292</v>
      </c>
      <c r="P684" s="55" t="s">
        <v>1052</v>
      </c>
      <c r="Q684" s="55" t="s">
        <v>350</v>
      </c>
      <c r="R684" s="85">
        <v>3</v>
      </c>
      <c r="S684" s="55">
        <v>0</v>
      </c>
      <c r="T684" s="74" t="s">
        <v>1320</v>
      </c>
      <c r="U684" s="74" t="s">
        <v>2053</v>
      </c>
      <c r="V684" s="74">
        <v>44412</v>
      </c>
      <c r="W684" s="74">
        <v>44454</v>
      </c>
      <c r="X684" s="55">
        <v>10198618</v>
      </c>
      <c r="AL684" s="74"/>
      <c r="AM684" s="74"/>
      <c r="AW684" s="74"/>
      <c r="AX684" s="74"/>
    </row>
    <row r="685" spans="1:50" ht="13" x14ac:dyDescent="0.15">
      <c r="A685" s="55" t="str">
        <f>HYPERLINK("http://reports.ofsted.gov.uk/inspection-reports/find-inspection-report/provider/CARE/2494962","Ofsted Social Care Provider Webpage")</f>
        <v>Ofsted Social Care Provider Webpage</v>
      </c>
      <c r="B685" s="55">
        <v>2494962</v>
      </c>
      <c r="D685" s="55" t="s">
        <v>373</v>
      </c>
      <c r="E685" s="74">
        <v>43474</v>
      </c>
      <c r="F685" s="55" t="s">
        <v>344</v>
      </c>
      <c r="G685" s="55" t="s">
        <v>360</v>
      </c>
      <c r="H685" s="55" t="s">
        <v>360</v>
      </c>
      <c r="I685" s="55" t="s">
        <v>360</v>
      </c>
      <c r="J685" s="55" t="s">
        <v>360</v>
      </c>
      <c r="K685" s="55" t="s">
        <v>360</v>
      </c>
      <c r="L685" s="55" t="s">
        <v>360</v>
      </c>
      <c r="M685" s="55" t="s">
        <v>378</v>
      </c>
      <c r="N685" s="55" t="s">
        <v>134</v>
      </c>
      <c r="O685" s="55" t="s">
        <v>206</v>
      </c>
      <c r="P685" s="55" t="s">
        <v>750</v>
      </c>
      <c r="Q685" s="55" t="s">
        <v>350</v>
      </c>
      <c r="R685" s="85">
        <v>4</v>
      </c>
      <c r="S685" s="55">
        <v>0</v>
      </c>
      <c r="T685" s="74" t="s">
        <v>489</v>
      </c>
      <c r="U685" s="74" t="s">
        <v>351</v>
      </c>
      <c r="V685" s="74">
        <v>44629</v>
      </c>
      <c r="W685" s="74">
        <v>44676</v>
      </c>
      <c r="X685" s="55">
        <v>10185311</v>
      </c>
      <c r="Y685" s="55" t="s">
        <v>132</v>
      </c>
      <c r="AB685" s="74" t="s">
        <v>132</v>
      </c>
      <c r="AC685" s="55" t="s">
        <v>140</v>
      </c>
      <c r="AL685" s="74"/>
      <c r="AM685" s="74"/>
      <c r="AW685" s="74"/>
      <c r="AX685" s="74"/>
    </row>
    <row r="686" spans="1:50" ht="13" x14ac:dyDescent="0.15">
      <c r="A686" s="55" t="str">
        <f>HYPERLINK("http://reports.ofsted.gov.uk/inspection-reports/find-inspection-report/provider/CARE/2495335","Ofsted Social Care Provider Webpage")</f>
        <v>Ofsted Social Care Provider Webpage</v>
      </c>
      <c r="B686" s="55">
        <v>2495335</v>
      </c>
      <c r="D686" s="55" t="s">
        <v>373</v>
      </c>
      <c r="E686" s="74">
        <v>43385</v>
      </c>
      <c r="F686" s="55" t="s">
        <v>344</v>
      </c>
      <c r="G686" s="55" t="s">
        <v>360</v>
      </c>
      <c r="H686" s="55" t="s">
        <v>360</v>
      </c>
      <c r="I686" s="55" t="s">
        <v>360</v>
      </c>
      <c r="J686" s="55" t="s">
        <v>360</v>
      </c>
      <c r="K686" s="55" t="s">
        <v>360</v>
      </c>
      <c r="L686" s="55" t="s">
        <v>360</v>
      </c>
      <c r="M686" s="55" t="s">
        <v>144</v>
      </c>
      <c r="N686" s="55" t="s">
        <v>144</v>
      </c>
      <c r="O686" s="55" t="s">
        <v>188</v>
      </c>
      <c r="P686" s="55" t="s">
        <v>188</v>
      </c>
      <c r="Q686" s="55" t="s">
        <v>350</v>
      </c>
      <c r="R686" s="85">
        <v>4</v>
      </c>
      <c r="S686" s="55">
        <v>0</v>
      </c>
      <c r="T686" s="74" t="s">
        <v>1365</v>
      </c>
      <c r="U686" s="74" t="s">
        <v>351</v>
      </c>
      <c r="V686" s="74">
        <v>44306</v>
      </c>
      <c r="W686" s="74">
        <v>44341</v>
      </c>
      <c r="X686" s="55">
        <v>10186417</v>
      </c>
      <c r="Y686" s="55" t="s">
        <v>146</v>
      </c>
      <c r="AB686" s="74" t="s">
        <v>146</v>
      </c>
      <c r="AC686" s="55" t="s">
        <v>146</v>
      </c>
      <c r="AL686" s="74"/>
      <c r="AM686" s="74"/>
      <c r="AW686" s="74"/>
      <c r="AX686" s="74"/>
    </row>
    <row r="687" spans="1:50" ht="13" x14ac:dyDescent="0.15">
      <c r="A687" s="55" t="str">
        <f>HYPERLINK("http://reports.ofsted.gov.uk/inspection-reports/find-inspection-report/provider/CARE/2495335","Ofsted Social Care Provider Webpage")</f>
        <v>Ofsted Social Care Provider Webpage</v>
      </c>
      <c r="B687" s="55">
        <v>2495335</v>
      </c>
      <c r="D687" s="55" t="s">
        <v>373</v>
      </c>
      <c r="E687" s="74">
        <v>43385</v>
      </c>
      <c r="F687" s="55" t="s">
        <v>344</v>
      </c>
      <c r="G687" s="55" t="s">
        <v>360</v>
      </c>
      <c r="H687" s="55" t="s">
        <v>360</v>
      </c>
      <c r="I687" s="55" t="s">
        <v>360</v>
      </c>
      <c r="J687" s="55" t="s">
        <v>360</v>
      </c>
      <c r="K687" s="55" t="s">
        <v>360</v>
      </c>
      <c r="L687" s="55" t="s">
        <v>360</v>
      </c>
      <c r="M687" s="55" t="s">
        <v>144</v>
      </c>
      <c r="N687" s="55" t="s">
        <v>144</v>
      </c>
      <c r="O687" s="55" t="s">
        <v>188</v>
      </c>
      <c r="P687" s="55" t="s">
        <v>188</v>
      </c>
      <c r="Q687" s="55" t="s">
        <v>350</v>
      </c>
      <c r="R687" s="85">
        <v>4</v>
      </c>
      <c r="S687" s="55">
        <v>0</v>
      </c>
      <c r="T687" s="74" t="s">
        <v>1365</v>
      </c>
      <c r="U687" s="74" t="s">
        <v>351</v>
      </c>
      <c r="V687" s="74">
        <v>44355</v>
      </c>
      <c r="W687" s="74">
        <v>44389</v>
      </c>
      <c r="X687" s="55">
        <v>10194734</v>
      </c>
      <c r="Y687" s="55" t="s">
        <v>130</v>
      </c>
      <c r="AB687" s="74" t="s">
        <v>130</v>
      </c>
      <c r="AC687" s="55" t="s">
        <v>130</v>
      </c>
      <c r="AL687" s="74"/>
      <c r="AM687" s="74"/>
    </row>
    <row r="688" spans="1:50" ht="13" x14ac:dyDescent="0.15">
      <c r="A688" s="55" t="str">
        <f>HYPERLINK("http://reports.ofsted.gov.uk/inspection-reports/find-inspection-report/provider/CARE/2495371","Ofsted Social Care Provider Webpage")</f>
        <v>Ofsted Social Care Provider Webpage</v>
      </c>
      <c r="B688" s="55">
        <v>2495371</v>
      </c>
      <c r="D688" s="55" t="s">
        <v>373</v>
      </c>
      <c r="E688" s="74">
        <v>43383</v>
      </c>
      <c r="F688" s="55" t="s">
        <v>344</v>
      </c>
      <c r="G688" s="55" t="s">
        <v>360</v>
      </c>
      <c r="H688" s="55" t="s">
        <v>360</v>
      </c>
      <c r="I688" s="55" t="s">
        <v>360</v>
      </c>
      <c r="J688" s="55" t="s">
        <v>360</v>
      </c>
      <c r="K688" s="55" t="s">
        <v>360</v>
      </c>
      <c r="L688" s="55" t="s">
        <v>360</v>
      </c>
      <c r="M688" s="55" t="s">
        <v>172</v>
      </c>
      <c r="N688" s="55" t="s">
        <v>172</v>
      </c>
      <c r="O688" s="55" t="s">
        <v>228</v>
      </c>
      <c r="P688" s="55" t="s">
        <v>423</v>
      </c>
      <c r="Q688" s="55" t="s">
        <v>350</v>
      </c>
      <c r="R688" s="85">
        <v>3</v>
      </c>
      <c r="S688" s="55">
        <v>0</v>
      </c>
      <c r="T688" s="74" t="s">
        <v>1366</v>
      </c>
      <c r="U688" s="74" t="s">
        <v>351</v>
      </c>
      <c r="V688" s="74">
        <v>44348</v>
      </c>
      <c r="W688" s="74">
        <v>44383</v>
      </c>
      <c r="X688" s="55">
        <v>10187159</v>
      </c>
      <c r="Y688" s="55" t="s">
        <v>132</v>
      </c>
      <c r="AB688" s="74" t="s">
        <v>132</v>
      </c>
      <c r="AC688" s="55" t="s">
        <v>130</v>
      </c>
      <c r="AL688" s="74"/>
      <c r="AM688" s="74"/>
      <c r="AW688" s="74"/>
      <c r="AX688" s="74"/>
    </row>
    <row r="689" spans="1:50" ht="13" x14ac:dyDescent="0.15">
      <c r="A689" s="55" t="str">
        <f>HYPERLINK("http://reports.ofsted.gov.uk/inspection-reports/find-inspection-report/provider/CARE/2495375","Ofsted Social Care Provider Webpage")</f>
        <v>Ofsted Social Care Provider Webpage</v>
      </c>
      <c r="B689" s="55">
        <v>2495375</v>
      </c>
      <c r="D689" s="55" t="s">
        <v>373</v>
      </c>
      <c r="E689" s="74">
        <v>43423</v>
      </c>
      <c r="F689" s="55" t="s">
        <v>344</v>
      </c>
      <c r="G689" s="55" t="s">
        <v>360</v>
      </c>
      <c r="H689" s="55" t="s">
        <v>360</v>
      </c>
      <c r="I689" s="55" t="s">
        <v>360</v>
      </c>
      <c r="J689" s="55" t="s">
        <v>360</v>
      </c>
      <c r="K689" s="55" t="s">
        <v>360</v>
      </c>
      <c r="L689" s="55" t="s">
        <v>360</v>
      </c>
      <c r="M689" s="55" t="s">
        <v>129</v>
      </c>
      <c r="N689" s="55" t="s">
        <v>129</v>
      </c>
      <c r="O689" s="55" t="s">
        <v>280</v>
      </c>
      <c r="P689" s="55" t="s">
        <v>1367</v>
      </c>
      <c r="Q689" s="55" t="s">
        <v>362</v>
      </c>
      <c r="R689" s="85">
        <v>9</v>
      </c>
      <c r="S689" s="55">
        <v>0</v>
      </c>
      <c r="T689" s="74" t="s">
        <v>432</v>
      </c>
      <c r="U689" s="74" t="s">
        <v>351</v>
      </c>
      <c r="V689" s="74">
        <v>44328</v>
      </c>
      <c r="W689" s="74">
        <v>44376</v>
      </c>
      <c r="X689" s="55">
        <v>10186295</v>
      </c>
      <c r="Y689" s="55" t="s">
        <v>132</v>
      </c>
      <c r="AB689" s="74" t="s">
        <v>132</v>
      </c>
      <c r="AC689" s="55" t="s">
        <v>132</v>
      </c>
      <c r="AL689" s="74"/>
      <c r="AM689" s="74"/>
    </row>
    <row r="690" spans="1:50" ht="13" x14ac:dyDescent="0.15">
      <c r="A690" s="55" t="str">
        <f>HYPERLINK("http://reports.ofsted.gov.uk/inspection-reports/find-inspection-report/provider/CARE/2495377","Ofsted Social Care Provider Webpage")</f>
        <v>Ofsted Social Care Provider Webpage</v>
      </c>
      <c r="B690" s="55">
        <v>2495377</v>
      </c>
      <c r="D690" s="55" t="s">
        <v>479</v>
      </c>
      <c r="E690" s="74">
        <v>43369</v>
      </c>
      <c r="F690" s="55" t="s">
        <v>344</v>
      </c>
      <c r="G690" s="55" t="s">
        <v>360</v>
      </c>
      <c r="H690" s="55" t="s">
        <v>360</v>
      </c>
      <c r="I690" s="55" t="s">
        <v>360</v>
      </c>
      <c r="J690" s="55" t="s">
        <v>360</v>
      </c>
      <c r="K690" s="55" t="s">
        <v>360</v>
      </c>
      <c r="L690" s="55" t="s">
        <v>360</v>
      </c>
      <c r="M690" s="55" t="s">
        <v>138</v>
      </c>
      <c r="N690" s="55" t="s">
        <v>138</v>
      </c>
      <c r="O690" s="55" t="s">
        <v>196</v>
      </c>
      <c r="P690" s="55" t="s">
        <v>1368</v>
      </c>
      <c r="Q690" s="55" t="s">
        <v>362</v>
      </c>
      <c r="R690" s="85">
        <v>58</v>
      </c>
      <c r="S690" s="55">
        <v>0</v>
      </c>
      <c r="T690" s="74" t="s">
        <v>1369</v>
      </c>
      <c r="U690" s="74" t="s">
        <v>2053</v>
      </c>
      <c r="V690" s="74">
        <v>44523</v>
      </c>
      <c r="W690" s="74">
        <v>44551</v>
      </c>
      <c r="X690" s="55">
        <v>10209962</v>
      </c>
      <c r="AL690" s="74"/>
      <c r="AM690" s="74"/>
    </row>
    <row r="691" spans="1:50" ht="13" x14ac:dyDescent="0.15">
      <c r="A691" s="55" t="str">
        <f>HYPERLINK("http://reports.ofsted.gov.uk/inspection-reports/find-inspection-report/provider/CARE/2495377","Ofsted Social Care Provider Webpage")</f>
        <v>Ofsted Social Care Provider Webpage</v>
      </c>
      <c r="B691" s="55">
        <v>2495377</v>
      </c>
      <c r="D691" s="55" t="s">
        <v>479</v>
      </c>
      <c r="E691" s="74">
        <v>43369</v>
      </c>
      <c r="F691" s="55" t="s">
        <v>344</v>
      </c>
      <c r="G691" s="55" t="s">
        <v>360</v>
      </c>
      <c r="H691" s="55" t="s">
        <v>360</v>
      </c>
      <c r="I691" s="55" t="s">
        <v>360</v>
      </c>
      <c r="J691" s="55" t="s">
        <v>360</v>
      </c>
      <c r="K691" s="55" t="s">
        <v>360</v>
      </c>
      <c r="L691" s="55" t="s">
        <v>360</v>
      </c>
      <c r="M691" s="55" t="s">
        <v>138</v>
      </c>
      <c r="N691" s="55" t="s">
        <v>138</v>
      </c>
      <c r="O691" s="55" t="s">
        <v>196</v>
      </c>
      <c r="P691" s="55" t="s">
        <v>1368</v>
      </c>
      <c r="Q691" s="55" t="s">
        <v>362</v>
      </c>
      <c r="R691" s="85">
        <v>58</v>
      </c>
      <c r="S691" s="55">
        <v>0</v>
      </c>
      <c r="T691" s="74" t="s">
        <v>1369</v>
      </c>
      <c r="U691" s="74" t="s">
        <v>351</v>
      </c>
      <c r="V691" s="74">
        <v>44474</v>
      </c>
      <c r="W691" s="74">
        <v>44509</v>
      </c>
      <c r="X691" s="55">
        <v>10187017</v>
      </c>
      <c r="Y691" s="55" t="s">
        <v>146</v>
      </c>
      <c r="AB691" s="74" t="s">
        <v>146</v>
      </c>
      <c r="AC691" s="55" t="s">
        <v>146</v>
      </c>
      <c r="AL691" s="74"/>
      <c r="AM691" s="74"/>
      <c r="AW691" s="74"/>
      <c r="AX691" s="74"/>
    </row>
    <row r="692" spans="1:50" ht="13" x14ac:dyDescent="0.15">
      <c r="A692" s="55" t="str">
        <f>HYPERLINK("http://reports.ofsted.gov.uk/inspection-reports/find-inspection-report/provider/CARE/2495377","Ofsted Social Care Provider Webpage")</f>
        <v>Ofsted Social Care Provider Webpage</v>
      </c>
      <c r="B692" s="55">
        <v>2495377</v>
      </c>
      <c r="D692" s="55" t="s">
        <v>479</v>
      </c>
      <c r="E692" s="74">
        <v>43369</v>
      </c>
      <c r="F692" s="55" t="s">
        <v>344</v>
      </c>
      <c r="G692" s="55" t="s">
        <v>360</v>
      </c>
      <c r="H692" s="55" t="s">
        <v>360</v>
      </c>
      <c r="I692" s="55" t="s">
        <v>360</v>
      </c>
      <c r="J692" s="55" t="s">
        <v>360</v>
      </c>
      <c r="K692" s="55" t="s">
        <v>360</v>
      </c>
      <c r="L692" s="55" t="s">
        <v>360</v>
      </c>
      <c r="M692" s="55" t="s">
        <v>138</v>
      </c>
      <c r="N692" s="55" t="s">
        <v>138</v>
      </c>
      <c r="O692" s="55" t="s">
        <v>196</v>
      </c>
      <c r="P692" s="55" t="s">
        <v>1368</v>
      </c>
      <c r="Q692" s="55" t="s">
        <v>362</v>
      </c>
      <c r="R692" s="85">
        <v>58</v>
      </c>
      <c r="S692" s="55">
        <v>0</v>
      </c>
      <c r="T692" s="74" t="s">
        <v>1369</v>
      </c>
      <c r="U692" s="74" t="s">
        <v>351</v>
      </c>
      <c r="V692" s="74">
        <v>44585</v>
      </c>
      <c r="W692" s="74">
        <v>44613</v>
      </c>
      <c r="X692" s="55">
        <v>10209963</v>
      </c>
      <c r="Y692" s="55" t="s">
        <v>130</v>
      </c>
      <c r="AB692" s="74" t="s">
        <v>130</v>
      </c>
      <c r="AC692" s="55" t="s">
        <v>130</v>
      </c>
      <c r="AL692" s="74"/>
      <c r="AM692" s="74"/>
    </row>
    <row r="693" spans="1:50" ht="13" x14ac:dyDescent="0.15">
      <c r="A693" s="55" t="str">
        <f>HYPERLINK("http://reports.ofsted.gov.uk/inspection-reports/find-inspection-report/provider/CARE/2495377","Ofsted Social Care Provider Webpage")</f>
        <v>Ofsted Social Care Provider Webpage</v>
      </c>
      <c r="B693" s="55">
        <v>2495377</v>
      </c>
      <c r="D693" s="55" t="s">
        <v>479</v>
      </c>
      <c r="E693" s="74">
        <v>43369</v>
      </c>
      <c r="F693" s="55" t="s">
        <v>344</v>
      </c>
      <c r="G693" s="55" t="s">
        <v>360</v>
      </c>
      <c r="H693" s="55" t="s">
        <v>360</v>
      </c>
      <c r="I693" s="55" t="s">
        <v>360</v>
      </c>
      <c r="J693" s="55" t="s">
        <v>360</v>
      </c>
      <c r="K693" s="55" t="s">
        <v>360</v>
      </c>
      <c r="L693" s="55" t="s">
        <v>360</v>
      </c>
      <c r="M693" s="55" t="s">
        <v>138</v>
      </c>
      <c r="N693" s="55" t="s">
        <v>138</v>
      </c>
      <c r="O693" s="55" t="s">
        <v>196</v>
      </c>
      <c r="P693" s="55" t="s">
        <v>1368</v>
      </c>
      <c r="Q693" s="55" t="s">
        <v>362</v>
      </c>
      <c r="R693" s="85">
        <v>58</v>
      </c>
      <c r="S693" s="55">
        <v>0</v>
      </c>
      <c r="T693" s="74" t="s">
        <v>1369</v>
      </c>
      <c r="U693" s="74" t="s">
        <v>2053</v>
      </c>
      <c r="V693" s="74">
        <v>44362</v>
      </c>
      <c r="W693" s="74">
        <v>44385</v>
      </c>
      <c r="X693" s="55">
        <v>10197972</v>
      </c>
      <c r="AL693" s="74"/>
      <c r="AM693" s="74"/>
      <c r="AW693" s="74"/>
      <c r="AX693" s="74"/>
    </row>
    <row r="694" spans="1:50" ht="13" x14ac:dyDescent="0.15">
      <c r="A694" s="55" t="str">
        <f>HYPERLINK("http://reports.ofsted.gov.uk/inspection-reports/find-inspection-report/provider/CARE/2495377","Ofsted Social Care Provider Webpage")</f>
        <v>Ofsted Social Care Provider Webpage</v>
      </c>
      <c r="B694" s="55">
        <v>2495377</v>
      </c>
      <c r="D694" s="55" t="s">
        <v>479</v>
      </c>
      <c r="E694" s="74">
        <v>43369</v>
      </c>
      <c r="F694" s="55" t="s">
        <v>344</v>
      </c>
      <c r="G694" s="55" t="s">
        <v>360</v>
      </c>
      <c r="H694" s="55" t="s">
        <v>360</v>
      </c>
      <c r="I694" s="55" t="s">
        <v>360</v>
      </c>
      <c r="J694" s="55" t="s">
        <v>360</v>
      </c>
      <c r="K694" s="55" t="s">
        <v>360</v>
      </c>
      <c r="L694" s="55" t="s">
        <v>360</v>
      </c>
      <c r="M694" s="55" t="s">
        <v>138</v>
      </c>
      <c r="N694" s="55" t="s">
        <v>138</v>
      </c>
      <c r="O694" s="55" t="s">
        <v>196</v>
      </c>
      <c r="P694" s="55" t="s">
        <v>1368</v>
      </c>
      <c r="Q694" s="55" t="s">
        <v>362</v>
      </c>
      <c r="R694" s="85">
        <v>58</v>
      </c>
      <c r="S694" s="55">
        <v>0</v>
      </c>
      <c r="T694" s="74" t="s">
        <v>1369</v>
      </c>
      <c r="U694" s="74" t="s">
        <v>2053</v>
      </c>
      <c r="V694" s="74">
        <v>44491</v>
      </c>
      <c r="W694" s="74">
        <v>44519</v>
      </c>
      <c r="X694" s="55">
        <v>10209961</v>
      </c>
      <c r="AL694" s="74"/>
      <c r="AM694" s="74"/>
      <c r="AW694" s="74"/>
      <c r="AX694" s="74"/>
    </row>
    <row r="695" spans="1:50" ht="13" x14ac:dyDescent="0.15">
      <c r="A695" s="55" t="str">
        <f>HYPERLINK("http://reports.ofsted.gov.uk/inspection-reports/find-inspection-report/provider/CARE/2495397","Ofsted Social Care Provider Webpage")</f>
        <v>Ofsted Social Care Provider Webpage</v>
      </c>
      <c r="B695" s="55">
        <v>2495397</v>
      </c>
      <c r="D695" s="55" t="s">
        <v>373</v>
      </c>
      <c r="E695" s="74">
        <v>43376</v>
      </c>
      <c r="F695" s="55" t="s">
        <v>344</v>
      </c>
      <c r="G695" s="55" t="s">
        <v>360</v>
      </c>
      <c r="H695" s="55" t="s">
        <v>360</v>
      </c>
      <c r="I695" s="55" t="s">
        <v>360</v>
      </c>
      <c r="J695" s="55" t="s">
        <v>360</v>
      </c>
      <c r="K695" s="55" t="s">
        <v>360</v>
      </c>
      <c r="L695" s="55" t="s">
        <v>360</v>
      </c>
      <c r="M695" s="55" t="s">
        <v>144</v>
      </c>
      <c r="N695" s="55" t="s">
        <v>144</v>
      </c>
      <c r="O695" s="55" t="s">
        <v>209</v>
      </c>
      <c r="P695" s="55" t="s">
        <v>544</v>
      </c>
      <c r="Q695" s="55" t="s">
        <v>350</v>
      </c>
      <c r="R695" s="85">
        <v>2</v>
      </c>
      <c r="S695" s="55">
        <v>0</v>
      </c>
      <c r="T695" s="74" t="s">
        <v>816</v>
      </c>
      <c r="U695" s="74" t="s">
        <v>351</v>
      </c>
      <c r="V695" s="74">
        <v>44461</v>
      </c>
      <c r="W695" s="74">
        <v>44508</v>
      </c>
      <c r="X695" s="55">
        <v>10185977</v>
      </c>
      <c r="Y695" s="55" t="s">
        <v>132</v>
      </c>
      <c r="AB695" s="74" t="s">
        <v>132</v>
      </c>
      <c r="AC695" s="55" t="s">
        <v>132</v>
      </c>
      <c r="AL695" s="74"/>
      <c r="AM695" s="74"/>
      <c r="AW695" s="74"/>
      <c r="AX695" s="74"/>
    </row>
    <row r="696" spans="1:50" ht="13" x14ac:dyDescent="0.15">
      <c r="A696" s="55" t="str">
        <f>HYPERLINK("http://reports.ofsted.gov.uk/inspection-reports/find-inspection-report/provider/CARE/2495504","Ofsted Social Care Provider Webpage")</f>
        <v>Ofsted Social Care Provider Webpage</v>
      </c>
      <c r="B696" s="55">
        <v>2495504</v>
      </c>
      <c r="D696" s="55" t="s">
        <v>373</v>
      </c>
      <c r="E696" s="74">
        <v>43382</v>
      </c>
      <c r="F696" s="55" t="s">
        <v>344</v>
      </c>
      <c r="G696" s="55" t="s">
        <v>360</v>
      </c>
      <c r="H696" s="55" t="s">
        <v>360</v>
      </c>
      <c r="I696" s="55" t="s">
        <v>360</v>
      </c>
      <c r="J696" s="55" t="s">
        <v>360</v>
      </c>
      <c r="K696" s="55" t="s">
        <v>360</v>
      </c>
      <c r="L696" s="55" t="s">
        <v>360</v>
      </c>
      <c r="M696" s="55" t="s">
        <v>172</v>
      </c>
      <c r="N696" s="55" t="s">
        <v>172</v>
      </c>
      <c r="O696" s="55" t="s">
        <v>173</v>
      </c>
      <c r="P696" s="55" t="s">
        <v>1069</v>
      </c>
      <c r="Q696" s="55" t="s">
        <v>350</v>
      </c>
      <c r="R696" s="85">
        <v>1</v>
      </c>
      <c r="S696" s="55">
        <v>0</v>
      </c>
      <c r="T696" s="74" t="s">
        <v>1370</v>
      </c>
      <c r="U696" s="74" t="s">
        <v>351</v>
      </c>
      <c r="V696" s="74">
        <v>44419</v>
      </c>
      <c r="W696" s="74">
        <v>44454</v>
      </c>
      <c r="X696" s="55">
        <v>10187622</v>
      </c>
      <c r="Y696" s="55" t="s">
        <v>132</v>
      </c>
      <c r="AB696" s="74" t="s">
        <v>132</v>
      </c>
      <c r="AC696" s="55" t="s">
        <v>130</v>
      </c>
      <c r="AL696" s="74"/>
      <c r="AM696" s="74"/>
      <c r="AW696" s="74"/>
      <c r="AX696" s="74"/>
    </row>
    <row r="697" spans="1:50" ht="13" x14ac:dyDescent="0.15">
      <c r="A697" s="55" t="str">
        <f>HYPERLINK("http://reports.ofsted.gov.uk/inspection-reports/find-inspection-report/provider/CARE/2495513","Ofsted Social Care Provider Webpage")</f>
        <v>Ofsted Social Care Provider Webpage</v>
      </c>
      <c r="B697" s="55">
        <v>2495513</v>
      </c>
      <c r="D697" s="55" t="s">
        <v>373</v>
      </c>
      <c r="E697" s="74">
        <v>43452</v>
      </c>
      <c r="F697" s="55" t="s">
        <v>344</v>
      </c>
      <c r="G697" s="55" t="s">
        <v>360</v>
      </c>
      <c r="H697" s="55" t="s">
        <v>360</v>
      </c>
      <c r="I697" s="55" t="s">
        <v>360</v>
      </c>
      <c r="J697" s="55" t="s">
        <v>360</v>
      </c>
      <c r="K697" s="55" t="s">
        <v>360</v>
      </c>
      <c r="L697" s="55" t="s">
        <v>360</v>
      </c>
      <c r="M697" s="55" t="s">
        <v>144</v>
      </c>
      <c r="N697" s="55" t="s">
        <v>144</v>
      </c>
      <c r="O697" s="55" t="s">
        <v>145</v>
      </c>
      <c r="P697" s="55" t="s">
        <v>525</v>
      </c>
      <c r="Q697" s="55" t="s">
        <v>350</v>
      </c>
      <c r="R697" s="85">
        <v>2</v>
      </c>
      <c r="S697" s="55">
        <v>0</v>
      </c>
      <c r="T697" s="74" t="s">
        <v>485</v>
      </c>
      <c r="U697" s="74" t="s">
        <v>351</v>
      </c>
      <c r="V697" s="74">
        <v>44460</v>
      </c>
      <c r="W697" s="74">
        <v>44495</v>
      </c>
      <c r="X697" s="55">
        <v>10186897</v>
      </c>
      <c r="Y697" s="55" t="s">
        <v>140</v>
      </c>
      <c r="AB697" s="74" t="s">
        <v>140</v>
      </c>
      <c r="AC697" s="55" t="s">
        <v>140</v>
      </c>
      <c r="AL697" s="74"/>
      <c r="AM697" s="74"/>
      <c r="AW697" s="74"/>
      <c r="AX697" s="74"/>
    </row>
    <row r="698" spans="1:50" ht="13" x14ac:dyDescent="0.15">
      <c r="A698" s="55" t="str">
        <f>HYPERLINK("http://reports.ofsted.gov.uk/inspection-reports/find-inspection-report/provider/CARE/2495951","Ofsted Social Care Provider Webpage")</f>
        <v>Ofsted Social Care Provider Webpage</v>
      </c>
      <c r="B698" s="55">
        <v>2495951</v>
      </c>
      <c r="D698" s="55" t="s">
        <v>373</v>
      </c>
      <c r="E698" s="74">
        <v>43389</v>
      </c>
      <c r="F698" s="55" t="s">
        <v>344</v>
      </c>
      <c r="G698" s="55" t="s">
        <v>360</v>
      </c>
      <c r="H698" s="55" t="s">
        <v>360</v>
      </c>
      <c r="I698" s="55" t="s">
        <v>360</v>
      </c>
      <c r="J698" s="55" t="s">
        <v>360</v>
      </c>
      <c r="K698" s="55" t="s">
        <v>360</v>
      </c>
      <c r="L698" s="55" t="s">
        <v>360</v>
      </c>
      <c r="M698" s="55" t="s">
        <v>172</v>
      </c>
      <c r="N698" s="55" t="s">
        <v>172</v>
      </c>
      <c r="O698" s="55" t="s">
        <v>212</v>
      </c>
      <c r="P698" s="55" t="s">
        <v>842</v>
      </c>
      <c r="Q698" s="55" t="s">
        <v>350</v>
      </c>
      <c r="R698" s="85">
        <v>3</v>
      </c>
      <c r="S698" s="55">
        <v>0</v>
      </c>
      <c r="T698" s="74" t="s">
        <v>950</v>
      </c>
      <c r="U698" s="74" t="s">
        <v>351</v>
      </c>
      <c r="V698" s="74">
        <v>44314</v>
      </c>
      <c r="W698" s="74">
        <v>44351</v>
      </c>
      <c r="X698" s="55">
        <v>10187537</v>
      </c>
      <c r="Y698" s="55" t="s">
        <v>132</v>
      </c>
      <c r="AB698" s="74" t="s">
        <v>130</v>
      </c>
      <c r="AC698" s="55" t="s">
        <v>130</v>
      </c>
      <c r="AL698" s="74"/>
      <c r="AM698" s="74"/>
      <c r="AW698" s="74"/>
      <c r="AX698" s="74"/>
    </row>
    <row r="699" spans="1:50" ht="13" x14ac:dyDescent="0.15">
      <c r="A699" s="55" t="str">
        <f>HYPERLINK("http://reports.ofsted.gov.uk/inspection-reports/find-inspection-report/provider/CARE/2495967","Ofsted Social Care Provider Webpage")</f>
        <v>Ofsted Social Care Provider Webpage</v>
      </c>
      <c r="B699" s="55">
        <v>2495967</v>
      </c>
      <c r="D699" s="55" t="s">
        <v>373</v>
      </c>
      <c r="E699" s="74">
        <v>43535</v>
      </c>
      <c r="F699" s="55" t="s">
        <v>344</v>
      </c>
      <c r="G699" s="55" t="s">
        <v>360</v>
      </c>
      <c r="H699" s="55" t="s">
        <v>360</v>
      </c>
      <c r="I699" s="55" t="s">
        <v>360</v>
      </c>
      <c r="J699" s="55" t="s">
        <v>360</v>
      </c>
      <c r="K699" s="55" t="s">
        <v>360</v>
      </c>
      <c r="L699" s="55" t="s">
        <v>360</v>
      </c>
      <c r="M699" s="55" t="s">
        <v>142</v>
      </c>
      <c r="N699" s="55" t="s">
        <v>142</v>
      </c>
      <c r="O699" s="55" t="s">
        <v>262</v>
      </c>
      <c r="P699" s="55" t="s">
        <v>488</v>
      </c>
      <c r="Q699" s="55" t="s">
        <v>350</v>
      </c>
      <c r="R699" s="85">
        <v>3</v>
      </c>
      <c r="S699" s="55">
        <v>0</v>
      </c>
      <c r="T699" s="74" t="s">
        <v>1371</v>
      </c>
      <c r="U699" s="74" t="s">
        <v>351</v>
      </c>
      <c r="V699" s="74">
        <v>44447</v>
      </c>
      <c r="W699" s="74">
        <v>44524</v>
      </c>
      <c r="X699" s="55">
        <v>10187247</v>
      </c>
      <c r="Y699" s="55" t="s">
        <v>140</v>
      </c>
      <c r="AB699" s="74" t="s">
        <v>140</v>
      </c>
      <c r="AC699" s="55" t="s">
        <v>140</v>
      </c>
      <c r="AL699" s="74"/>
      <c r="AM699" s="74"/>
      <c r="AW699" s="74"/>
      <c r="AX699" s="74"/>
    </row>
    <row r="700" spans="1:50" ht="13" x14ac:dyDescent="0.15">
      <c r="A700" s="55" t="str">
        <f>HYPERLINK("http://reports.ofsted.gov.uk/inspection-reports/find-inspection-report/provider/CARE/2496251","Ofsted Social Care Provider Webpage")</f>
        <v>Ofsted Social Care Provider Webpage</v>
      </c>
      <c r="B700" s="55">
        <v>2496251</v>
      </c>
      <c r="D700" s="55" t="s">
        <v>373</v>
      </c>
      <c r="E700" s="74">
        <v>43409</v>
      </c>
      <c r="F700" s="55" t="s">
        <v>344</v>
      </c>
      <c r="G700" s="55" t="s">
        <v>360</v>
      </c>
      <c r="H700" s="55" t="s">
        <v>360</v>
      </c>
      <c r="I700" s="55" t="s">
        <v>360</v>
      </c>
      <c r="J700" s="55" t="s">
        <v>360</v>
      </c>
      <c r="K700" s="55" t="s">
        <v>360</v>
      </c>
      <c r="L700" s="55" t="s">
        <v>360</v>
      </c>
      <c r="M700" s="55" t="s">
        <v>144</v>
      </c>
      <c r="N700" s="55" t="s">
        <v>144</v>
      </c>
      <c r="O700" s="55" t="s">
        <v>250</v>
      </c>
      <c r="P700" s="55" t="s">
        <v>1372</v>
      </c>
      <c r="Q700" s="55" t="s">
        <v>350</v>
      </c>
      <c r="R700" s="85">
        <v>4</v>
      </c>
      <c r="S700" s="55">
        <v>0</v>
      </c>
      <c r="T700" s="74" t="s">
        <v>1373</v>
      </c>
      <c r="U700" s="74" t="s">
        <v>351</v>
      </c>
      <c r="V700" s="74">
        <v>44523</v>
      </c>
      <c r="W700" s="74">
        <v>44571</v>
      </c>
      <c r="X700" s="55">
        <v>10186252</v>
      </c>
      <c r="Y700" s="55" t="s">
        <v>132</v>
      </c>
      <c r="AB700" s="74" t="s">
        <v>132</v>
      </c>
      <c r="AC700" s="55" t="s">
        <v>132</v>
      </c>
      <c r="AL700" s="74"/>
      <c r="AM700" s="74"/>
      <c r="AW700" s="74"/>
      <c r="AX700" s="74"/>
    </row>
    <row r="701" spans="1:50" ht="13" x14ac:dyDescent="0.15">
      <c r="A701" s="55" t="str">
        <f>HYPERLINK("http://reports.ofsted.gov.uk/inspection-reports/find-inspection-report/provider/CARE/2496288","Ofsted Social Care Provider Webpage")</f>
        <v>Ofsted Social Care Provider Webpage</v>
      </c>
      <c r="B701" s="55">
        <v>2496288</v>
      </c>
      <c r="D701" s="55" t="s">
        <v>373</v>
      </c>
      <c r="E701" s="74">
        <v>43629</v>
      </c>
      <c r="F701" s="55" t="s">
        <v>6707</v>
      </c>
      <c r="G701" s="55" t="s">
        <v>360</v>
      </c>
      <c r="H701" s="55" t="s">
        <v>360</v>
      </c>
      <c r="I701" s="55" t="s">
        <v>360</v>
      </c>
      <c r="J701" s="55" t="s">
        <v>360</v>
      </c>
      <c r="K701" s="55" t="s">
        <v>360</v>
      </c>
      <c r="L701" s="55" t="s">
        <v>360</v>
      </c>
      <c r="M701" s="55" t="s">
        <v>142</v>
      </c>
      <c r="N701" s="55" t="s">
        <v>142</v>
      </c>
      <c r="O701" s="55" t="s">
        <v>292</v>
      </c>
      <c r="P701" s="55" t="s">
        <v>976</v>
      </c>
      <c r="Q701" s="55" t="s">
        <v>380</v>
      </c>
      <c r="R701" s="85">
        <v>4</v>
      </c>
      <c r="S701" s="55">
        <v>0</v>
      </c>
      <c r="T701" s="74" t="s">
        <v>3963</v>
      </c>
      <c r="U701" s="74" t="s">
        <v>2053</v>
      </c>
      <c r="V701" s="74">
        <v>44369</v>
      </c>
      <c r="W701" s="74">
        <v>44392</v>
      </c>
      <c r="X701" s="55">
        <v>10193532</v>
      </c>
      <c r="AL701" s="74"/>
      <c r="AM701" s="74"/>
    </row>
    <row r="702" spans="1:50" ht="13" x14ac:dyDescent="0.15">
      <c r="A702" s="55" t="str">
        <f>HYPERLINK("http://reports.ofsted.gov.uk/inspection-reports/find-inspection-report/provider/CARE/2496288","Ofsted Social Care Provider Webpage")</f>
        <v>Ofsted Social Care Provider Webpage</v>
      </c>
      <c r="B702" s="55">
        <v>2496288</v>
      </c>
      <c r="D702" s="55" t="s">
        <v>373</v>
      </c>
      <c r="E702" s="74">
        <v>43629</v>
      </c>
      <c r="F702" s="55" t="s">
        <v>6707</v>
      </c>
      <c r="G702" s="55" t="s">
        <v>360</v>
      </c>
      <c r="H702" s="55" t="s">
        <v>360</v>
      </c>
      <c r="I702" s="55" t="s">
        <v>360</v>
      </c>
      <c r="J702" s="55" t="s">
        <v>360</v>
      </c>
      <c r="K702" s="55" t="s">
        <v>360</v>
      </c>
      <c r="L702" s="55" t="s">
        <v>360</v>
      </c>
      <c r="M702" s="55" t="s">
        <v>142</v>
      </c>
      <c r="N702" s="55" t="s">
        <v>142</v>
      </c>
      <c r="O702" s="55" t="s">
        <v>292</v>
      </c>
      <c r="P702" s="55" t="s">
        <v>976</v>
      </c>
      <c r="Q702" s="55" t="s">
        <v>380</v>
      </c>
      <c r="R702" s="85">
        <v>4</v>
      </c>
      <c r="S702" s="55">
        <v>0</v>
      </c>
      <c r="T702" s="74" t="s">
        <v>3963</v>
      </c>
      <c r="U702" s="74" t="s">
        <v>351</v>
      </c>
      <c r="V702" s="74">
        <v>44307</v>
      </c>
      <c r="W702" s="74">
        <v>44348</v>
      </c>
      <c r="X702" s="55">
        <v>10186150</v>
      </c>
      <c r="Y702" s="55" t="s">
        <v>146</v>
      </c>
      <c r="AB702" s="74" t="s">
        <v>146</v>
      </c>
      <c r="AC702" s="55" t="s">
        <v>146</v>
      </c>
      <c r="AL702" s="74"/>
      <c r="AM702" s="74"/>
    </row>
    <row r="703" spans="1:50" ht="13" x14ac:dyDescent="0.15">
      <c r="A703" s="55" t="str">
        <f>HYPERLINK("http://reports.ofsted.gov.uk/inspection-reports/find-inspection-report/provider/CARE/2496288","Ofsted Social Care Provider Webpage")</f>
        <v>Ofsted Social Care Provider Webpage</v>
      </c>
      <c r="B703" s="55">
        <v>2496288</v>
      </c>
      <c r="D703" s="55" t="s">
        <v>373</v>
      </c>
      <c r="E703" s="74">
        <v>43629</v>
      </c>
      <c r="F703" s="55" t="s">
        <v>6707</v>
      </c>
      <c r="G703" s="55" t="s">
        <v>360</v>
      </c>
      <c r="H703" s="55" t="s">
        <v>360</v>
      </c>
      <c r="I703" s="55" t="s">
        <v>360</v>
      </c>
      <c r="J703" s="55" t="s">
        <v>360</v>
      </c>
      <c r="K703" s="55" t="s">
        <v>360</v>
      </c>
      <c r="L703" s="55" t="s">
        <v>360</v>
      </c>
      <c r="M703" s="55" t="s">
        <v>142</v>
      </c>
      <c r="N703" s="55" t="s">
        <v>142</v>
      </c>
      <c r="O703" s="55" t="s">
        <v>292</v>
      </c>
      <c r="P703" s="55" t="s">
        <v>976</v>
      </c>
      <c r="Q703" s="55" t="s">
        <v>380</v>
      </c>
      <c r="R703" s="85">
        <v>4</v>
      </c>
      <c r="S703" s="55">
        <v>0</v>
      </c>
      <c r="T703" s="74" t="s">
        <v>3963</v>
      </c>
      <c r="U703" s="74" t="s">
        <v>351</v>
      </c>
      <c r="V703" s="74">
        <v>44410</v>
      </c>
      <c r="W703" s="74">
        <v>44446</v>
      </c>
      <c r="X703" s="55">
        <v>10198679</v>
      </c>
      <c r="Y703" s="55" t="s">
        <v>130</v>
      </c>
      <c r="AB703" s="74" t="s">
        <v>130</v>
      </c>
      <c r="AC703" s="55" t="s">
        <v>146</v>
      </c>
      <c r="AL703" s="74"/>
      <c r="AM703" s="74"/>
    </row>
    <row r="704" spans="1:50" ht="13" x14ac:dyDescent="0.15">
      <c r="A704" s="55" t="str">
        <f>HYPERLINK("http://reports.ofsted.gov.uk/inspection-reports/find-inspection-report/provider/CARE/2496625","Ofsted Social Care Provider Webpage")</f>
        <v>Ofsted Social Care Provider Webpage</v>
      </c>
      <c r="B704" s="55">
        <v>2496625</v>
      </c>
      <c r="D704" s="55" t="s">
        <v>373</v>
      </c>
      <c r="E704" s="74">
        <v>43410</v>
      </c>
      <c r="F704" s="55" t="s">
        <v>344</v>
      </c>
      <c r="G704" s="55" t="s">
        <v>360</v>
      </c>
      <c r="H704" s="55" t="s">
        <v>360</v>
      </c>
      <c r="I704" s="55" t="s">
        <v>360</v>
      </c>
      <c r="J704" s="55" t="s">
        <v>360</v>
      </c>
      <c r="K704" s="55" t="s">
        <v>360</v>
      </c>
      <c r="L704" s="55" t="s">
        <v>360</v>
      </c>
      <c r="M704" s="55" t="s">
        <v>378</v>
      </c>
      <c r="N704" s="55" t="s">
        <v>170</v>
      </c>
      <c r="O704" s="55" t="s">
        <v>184</v>
      </c>
      <c r="P704" s="55" t="s">
        <v>184</v>
      </c>
      <c r="Q704" s="55" t="s">
        <v>350</v>
      </c>
      <c r="R704" s="85">
        <v>2</v>
      </c>
      <c r="S704" s="55">
        <v>0</v>
      </c>
      <c r="T704" s="74" t="s">
        <v>385</v>
      </c>
      <c r="U704" s="74" t="s">
        <v>351</v>
      </c>
      <c r="V704" s="74">
        <v>44488</v>
      </c>
      <c r="W704" s="74">
        <v>44519</v>
      </c>
      <c r="X704" s="55">
        <v>10186667</v>
      </c>
      <c r="Y704" s="55" t="s">
        <v>132</v>
      </c>
      <c r="AB704" s="74" t="s">
        <v>132</v>
      </c>
      <c r="AC704" s="55" t="s">
        <v>132</v>
      </c>
      <c r="AL704" s="74"/>
      <c r="AM704" s="74"/>
    </row>
    <row r="705" spans="1:50" ht="13" x14ac:dyDescent="0.15">
      <c r="A705" s="55" t="str">
        <f>HYPERLINK("http://reports.ofsted.gov.uk/inspection-reports/find-inspection-report/provider/CARE/2496627","Ofsted Social Care Provider Webpage")</f>
        <v>Ofsted Social Care Provider Webpage</v>
      </c>
      <c r="B705" s="55">
        <v>2496627</v>
      </c>
      <c r="D705" s="55" t="s">
        <v>373</v>
      </c>
      <c r="E705" s="74">
        <v>43402</v>
      </c>
      <c r="F705" s="55" t="s">
        <v>344</v>
      </c>
      <c r="G705" s="55" t="s">
        <v>360</v>
      </c>
      <c r="H705" s="55" t="s">
        <v>360</v>
      </c>
      <c r="I705" s="55" t="s">
        <v>360</v>
      </c>
      <c r="J705" s="55" t="s">
        <v>360</v>
      </c>
      <c r="K705" s="55" t="s">
        <v>360</v>
      </c>
      <c r="L705" s="55" t="s">
        <v>360</v>
      </c>
      <c r="M705" s="55" t="s">
        <v>378</v>
      </c>
      <c r="N705" s="55" t="s">
        <v>170</v>
      </c>
      <c r="O705" s="55" t="s">
        <v>178</v>
      </c>
      <c r="P705" s="55" t="s">
        <v>1374</v>
      </c>
      <c r="Q705" s="55" t="s">
        <v>350</v>
      </c>
      <c r="R705" s="85">
        <v>3</v>
      </c>
      <c r="S705" s="55">
        <v>0</v>
      </c>
      <c r="T705" s="74" t="s">
        <v>435</v>
      </c>
      <c r="U705" s="74" t="s">
        <v>351</v>
      </c>
      <c r="V705" s="74">
        <v>44593</v>
      </c>
      <c r="W705" s="74">
        <v>44637</v>
      </c>
      <c r="X705" s="55">
        <v>10185858</v>
      </c>
      <c r="Y705" s="55" t="s">
        <v>132</v>
      </c>
      <c r="AB705" s="74" t="s">
        <v>132</v>
      </c>
      <c r="AC705" s="55" t="s">
        <v>132</v>
      </c>
      <c r="AL705" s="74"/>
      <c r="AM705" s="74"/>
    </row>
    <row r="706" spans="1:50" ht="13" x14ac:dyDescent="0.15">
      <c r="A706" s="55" t="str">
        <f>HYPERLINK("http://reports.ofsted.gov.uk/inspection-reports/find-inspection-report/provider/CARE/2496764","Ofsted Social Care Provider Webpage")</f>
        <v>Ofsted Social Care Provider Webpage</v>
      </c>
      <c r="B706" s="55">
        <v>2496764</v>
      </c>
      <c r="D706" s="55" t="s">
        <v>373</v>
      </c>
      <c r="E706" s="74">
        <v>43432</v>
      </c>
      <c r="F706" s="55" t="s">
        <v>344</v>
      </c>
      <c r="G706" s="55" t="s">
        <v>360</v>
      </c>
      <c r="H706" s="55" t="s">
        <v>360</v>
      </c>
      <c r="I706" s="55" t="s">
        <v>360</v>
      </c>
      <c r="J706" s="55" t="s">
        <v>360</v>
      </c>
      <c r="K706" s="55" t="s">
        <v>360</v>
      </c>
      <c r="L706" s="55" t="s">
        <v>360</v>
      </c>
      <c r="M706" s="55" t="s">
        <v>172</v>
      </c>
      <c r="N706" s="55" t="s">
        <v>172</v>
      </c>
      <c r="O706" s="55" t="s">
        <v>234</v>
      </c>
      <c r="P706" s="55" t="s">
        <v>965</v>
      </c>
      <c r="Q706" s="55" t="s">
        <v>350</v>
      </c>
      <c r="R706" s="85">
        <v>4</v>
      </c>
      <c r="S706" s="55">
        <v>0</v>
      </c>
      <c r="T706" s="74" t="s">
        <v>1375</v>
      </c>
      <c r="U706" s="74" t="s">
        <v>351</v>
      </c>
      <c r="V706" s="74">
        <v>44404</v>
      </c>
      <c r="W706" s="74">
        <v>44447</v>
      </c>
      <c r="X706" s="55">
        <v>10187305</v>
      </c>
      <c r="Y706" s="55" t="s">
        <v>140</v>
      </c>
      <c r="AB706" s="74" t="s">
        <v>132</v>
      </c>
      <c r="AC706" s="55" t="s">
        <v>140</v>
      </c>
      <c r="AL706" s="74"/>
      <c r="AM706" s="74"/>
    </row>
    <row r="707" spans="1:50" ht="13" x14ac:dyDescent="0.15">
      <c r="A707" s="55" t="str">
        <f>HYPERLINK("http://reports.ofsted.gov.uk/inspection-reports/find-inspection-report/provider/CARE/2496864","Ofsted Social Care Provider Webpage")</f>
        <v>Ofsted Social Care Provider Webpage</v>
      </c>
      <c r="B707" s="55">
        <v>2496864</v>
      </c>
      <c r="D707" s="55" t="s">
        <v>373</v>
      </c>
      <c r="E707" s="74">
        <v>43349</v>
      </c>
      <c r="F707" s="55" t="s">
        <v>344</v>
      </c>
      <c r="G707" s="55" t="s">
        <v>360</v>
      </c>
      <c r="H707" s="55" t="s">
        <v>360</v>
      </c>
      <c r="I707" s="55" t="s">
        <v>360</v>
      </c>
      <c r="J707" s="55" t="s">
        <v>360</v>
      </c>
      <c r="K707" s="55" t="s">
        <v>360</v>
      </c>
      <c r="L707" s="55" t="s">
        <v>360</v>
      </c>
      <c r="M707" s="55" t="s">
        <v>378</v>
      </c>
      <c r="N707" s="55" t="s">
        <v>170</v>
      </c>
      <c r="O707" s="55" t="s">
        <v>233</v>
      </c>
      <c r="P707" s="55" t="s">
        <v>1376</v>
      </c>
      <c r="Q707" s="55" t="s">
        <v>350</v>
      </c>
      <c r="R707" s="85">
        <v>2</v>
      </c>
      <c r="S707" s="55">
        <v>0</v>
      </c>
      <c r="T707" s="74" t="s">
        <v>385</v>
      </c>
      <c r="U707" s="74" t="s">
        <v>351</v>
      </c>
      <c r="V707" s="74">
        <v>44600</v>
      </c>
      <c r="W707" s="74">
        <v>44641</v>
      </c>
      <c r="X707" s="55">
        <v>10185468</v>
      </c>
      <c r="Y707" s="55" t="s">
        <v>132</v>
      </c>
      <c r="AB707" s="74" t="s">
        <v>132</v>
      </c>
      <c r="AC707" s="55" t="s">
        <v>132</v>
      </c>
      <c r="AL707" s="74"/>
      <c r="AM707" s="74"/>
      <c r="AW707" s="74"/>
      <c r="AX707" s="74"/>
    </row>
    <row r="708" spans="1:50" ht="13" x14ac:dyDescent="0.15">
      <c r="A708" s="55" t="str">
        <f>HYPERLINK("http://reports.ofsted.gov.uk/inspection-reports/find-inspection-report/provider/CARE/2497049","Ofsted Social Care Provider Webpage")</f>
        <v>Ofsted Social Care Provider Webpage</v>
      </c>
      <c r="B708" s="55">
        <v>2497049</v>
      </c>
      <c r="D708" s="55" t="s">
        <v>373</v>
      </c>
      <c r="E708" s="74">
        <v>43558</v>
      </c>
      <c r="F708" s="55" t="s">
        <v>344</v>
      </c>
      <c r="G708" s="55" t="s">
        <v>360</v>
      </c>
      <c r="H708" s="55" t="s">
        <v>360</v>
      </c>
      <c r="I708" s="55" t="s">
        <v>360</v>
      </c>
      <c r="J708" s="55" t="s">
        <v>360</v>
      </c>
      <c r="K708" s="55" t="s">
        <v>360</v>
      </c>
      <c r="L708" s="55" t="s">
        <v>360</v>
      </c>
      <c r="M708" s="55" t="s">
        <v>142</v>
      </c>
      <c r="N708" s="55" t="s">
        <v>142</v>
      </c>
      <c r="O708" s="55" t="s">
        <v>141</v>
      </c>
      <c r="P708" s="55" t="s">
        <v>612</v>
      </c>
      <c r="Q708" s="55" t="s">
        <v>350</v>
      </c>
      <c r="R708" s="85">
        <v>2</v>
      </c>
      <c r="S708" s="55">
        <v>0</v>
      </c>
      <c r="T708" s="74" t="s">
        <v>1377</v>
      </c>
      <c r="U708" s="74" t="s">
        <v>351</v>
      </c>
      <c r="V708" s="74">
        <v>44455</v>
      </c>
      <c r="W708" s="74">
        <v>44490</v>
      </c>
      <c r="X708" s="55">
        <v>10186560</v>
      </c>
      <c r="Y708" s="55" t="s">
        <v>132</v>
      </c>
      <c r="AB708" s="74" t="s">
        <v>132</v>
      </c>
      <c r="AC708" s="55" t="s">
        <v>132</v>
      </c>
      <c r="AL708" s="74"/>
      <c r="AM708" s="74"/>
      <c r="AW708" s="74"/>
      <c r="AX708" s="74"/>
    </row>
    <row r="709" spans="1:50" ht="13" x14ac:dyDescent="0.15">
      <c r="A709" s="55" t="str">
        <f>HYPERLINK("http://reports.ofsted.gov.uk/inspection-reports/find-inspection-report/provider/CARE/2497156","Ofsted Social Care Provider Webpage")</f>
        <v>Ofsted Social Care Provider Webpage</v>
      </c>
      <c r="B709" s="55">
        <v>2497156</v>
      </c>
      <c r="D709" s="55" t="s">
        <v>373</v>
      </c>
      <c r="E709" s="74">
        <v>43483</v>
      </c>
      <c r="F709" s="55" t="s">
        <v>6707</v>
      </c>
      <c r="G709" s="55" t="s">
        <v>360</v>
      </c>
      <c r="H709" s="55" t="s">
        <v>360</v>
      </c>
      <c r="I709" s="55" t="s">
        <v>360</v>
      </c>
      <c r="J709" s="55" t="s">
        <v>360</v>
      </c>
      <c r="K709" s="55" t="s">
        <v>360</v>
      </c>
      <c r="L709" s="55" t="s">
        <v>360</v>
      </c>
      <c r="M709" s="55" t="s">
        <v>142</v>
      </c>
      <c r="N709" s="55" t="s">
        <v>142</v>
      </c>
      <c r="O709" s="55" t="s">
        <v>292</v>
      </c>
      <c r="P709" s="55" t="s">
        <v>1052</v>
      </c>
      <c r="Q709" s="55" t="s">
        <v>350</v>
      </c>
      <c r="R709" s="85">
        <v>4</v>
      </c>
      <c r="S709" s="55">
        <v>0</v>
      </c>
      <c r="T709" s="74" t="s">
        <v>574</v>
      </c>
      <c r="U709" s="74" t="s">
        <v>351</v>
      </c>
      <c r="V709" s="74">
        <v>44321</v>
      </c>
      <c r="W709" s="74">
        <v>44375</v>
      </c>
      <c r="X709" s="55">
        <v>10187150</v>
      </c>
      <c r="Y709" s="55" t="s">
        <v>146</v>
      </c>
      <c r="AB709" s="74" t="s">
        <v>146</v>
      </c>
      <c r="AC709" s="55" t="s">
        <v>146</v>
      </c>
      <c r="AL709" s="74"/>
      <c r="AM709" s="74"/>
      <c r="AW709" s="74"/>
      <c r="AX709" s="74"/>
    </row>
    <row r="710" spans="1:50" ht="13" x14ac:dyDescent="0.15">
      <c r="A710" s="55" t="str">
        <f>HYPERLINK("http://reports.ofsted.gov.uk/inspection-reports/find-inspection-report/provider/CARE/2497538","Ofsted Social Care Provider Webpage")</f>
        <v>Ofsted Social Care Provider Webpage</v>
      </c>
      <c r="B710" s="55">
        <v>2497538</v>
      </c>
      <c r="D710" s="55" t="s">
        <v>373</v>
      </c>
      <c r="E710" s="74">
        <v>43511</v>
      </c>
      <c r="F710" s="55" t="s">
        <v>344</v>
      </c>
      <c r="G710" s="55" t="s">
        <v>360</v>
      </c>
      <c r="H710" s="55" t="s">
        <v>360</v>
      </c>
      <c r="I710" s="55" t="s">
        <v>360</v>
      </c>
      <c r="J710" s="55" t="s">
        <v>360</v>
      </c>
      <c r="K710" s="55" t="s">
        <v>360</v>
      </c>
      <c r="L710" s="55" t="s">
        <v>360</v>
      </c>
      <c r="M710" s="55" t="s">
        <v>138</v>
      </c>
      <c r="N710" s="55" t="s">
        <v>138</v>
      </c>
      <c r="O710" s="55" t="s">
        <v>159</v>
      </c>
      <c r="P710" s="55" t="s">
        <v>1025</v>
      </c>
      <c r="Q710" s="55" t="s">
        <v>350</v>
      </c>
      <c r="R710" s="85">
        <v>5</v>
      </c>
      <c r="S710" s="55">
        <v>0</v>
      </c>
      <c r="T710" s="74" t="s">
        <v>1378</v>
      </c>
      <c r="U710" s="74" t="s">
        <v>351</v>
      </c>
      <c r="V710" s="74">
        <v>44468</v>
      </c>
      <c r="W710" s="74">
        <v>44488</v>
      </c>
      <c r="X710" s="55">
        <v>10185494</v>
      </c>
      <c r="Y710" s="55" t="s">
        <v>132</v>
      </c>
      <c r="AB710" s="74" t="s">
        <v>132</v>
      </c>
      <c r="AC710" s="55" t="s">
        <v>132</v>
      </c>
      <c r="AL710" s="74"/>
      <c r="AM710" s="74"/>
      <c r="AW710" s="74"/>
      <c r="AX710" s="74"/>
    </row>
    <row r="711" spans="1:50" ht="13" x14ac:dyDescent="0.15">
      <c r="A711" s="55" t="str">
        <f>HYPERLINK("http://reports.ofsted.gov.uk/inspection-reports/find-inspection-report/provider/CARE/2499314","Ofsted Social Care Provider Webpage")</f>
        <v>Ofsted Social Care Provider Webpage</v>
      </c>
      <c r="B711" s="55">
        <v>2499314</v>
      </c>
      <c r="D711" s="55" t="s">
        <v>468</v>
      </c>
      <c r="E711" s="74">
        <v>43378</v>
      </c>
      <c r="F711" s="55" t="s">
        <v>344</v>
      </c>
      <c r="G711" s="55" t="s">
        <v>1383</v>
      </c>
      <c r="H711" s="55" t="s">
        <v>1384</v>
      </c>
      <c r="I711" s="55" t="s">
        <v>1385</v>
      </c>
      <c r="J711" s="55" t="s">
        <v>1386</v>
      </c>
      <c r="K711" s="55" t="s">
        <v>288</v>
      </c>
      <c r="L711" s="55" t="s">
        <v>1387</v>
      </c>
      <c r="M711" s="55" t="s">
        <v>136</v>
      </c>
      <c r="N711" s="55" t="s">
        <v>136</v>
      </c>
      <c r="O711" s="55" t="s">
        <v>288</v>
      </c>
      <c r="P711" s="55" t="s">
        <v>1388</v>
      </c>
      <c r="Q711" s="55" t="s">
        <v>380</v>
      </c>
      <c r="S711" s="55">
        <v>0</v>
      </c>
      <c r="T711" s="74" t="s">
        <v>1389</v>
      </c>
      <c r="U711" s="74" t="s">
        <v>351</v>
      </c>
      <c r="V711" s="74">
        <v>44585</v>
      </c>
      <c r="W711" s="74">
        <v>44634</v>
      </c>
      <c r="X711" s="55">
        <v>10183246</v>
      </c>
      <c r="Y711" s="55" t="s">
        <v>132</v>
      </c>
      <c r="AB711" s="74" t="s">
        <v>132</v>
      </c>
      <c r="AC711" s="55" t="s">
        <v>130</v>
      </c>
      <c r="AL711" s="74"/>
      <c r="AM711" s="74"/>
      <c r="AW711" s="74"/>
      <c r="AX711" s="74"/>
    </row>
    <row r="712" spans="1:50" ht="13" x14ac:dyDescent="0.15">
      <c r="A712" s="55" t="str">
        <f>HYPERLINK("http://reports.ofsted.gov.uk/inspection-reports/find-inspection-report/provider/CARE/2500044","Ofsted Social Care Provider Webpage")</f>
        <v>Ofsted Social Care Provider Webpage</v>
      </c>
      <c r="B712" s="55">
        <v>2500044</v>
      </c>
      <c r="D712" s="55" t="s">
        <v>373</v>
      </c>
      <c r="E712" s="74">
        <v>43447</v>
      </c>
      <c r="F712" s="55" t="s">
        <v>344</v>
      </c>
      <c r="G712" s="55" t="s">
        <v>360</v>
      </c>
      <c r="H712" s="55" t="s">
        <v>360</v>
      </c>
      <c r="I712" s="55" t="s">
        <v>360</v>
      </c>
      <c r="J712" s="55" t="s">
        <v>360</v>
      </c>
      <c r="K712" s="55" t="s">
        <v>360</v>
      </c>
      <c r="L712" s="55" t="s">
        <v>360</v>
      </c>
      <c r="M712" s="55" t="s">
        <v>172</v>
      </c>
      <c r="N712" s="55" t="s">
        <v>172</v>
      </c>
      <c r="O712" s="55" t="s">
        <v>173</v>
      </c>
      <c r="P712" s="55" t="s">
        <v>1069</v>
      </c>
      <c r="Q712" s="55" t="s">
        <v>350</v>
      </c>
      <c r="R712" s="85">
        <v>2</v>
      </c>
      <c r="S712" s="55">
        <v>0</v>
      </c>
      <c r="T712" s="74" t="s">
        <v>861</v>
      </c>
      <c r="U712" s="74" t="s">
        <v>351</v>
      </c>
      <c r="V712" s="74">
        <v>44600</v>
      </c>
      <c r="W712" s="74">
        <v>44641</v>
      </c>
      <c r="X712" s="55">
        <v>10186123</v>
      </c>
      <c r="Y712" s="55" t="s">
        <v>140</v>
      </c>
      <c r="AB712" s="74" t="s">
        <v>132</v>
      </c>
      <c r="AC712" s="55" t="s">
        <v>140</v>
      </c>
      <c r="AL712" s="74"/>
      <c r="AM712" s="74"/>
      <c r="AW712" s="74"/>
      <c r="AX712" s="74"/>
    </row>
    <row r="713" spans="1:50" ht="13" x14ac:dyDescent="0.15">
      <c r="A713" s="55" t="str">
        <f>HYPERLINK("http://reports.ofsted.gov.uk/inspection-reports/find-inspection-report/provider/CARE/2500668","Ofsted Social Care Provider Webpage")</f>
        <v>Ofsted Social Care Provider Webpage</v>
      </c>
      <c r="B713" s="55">
        <v>2500668</v>
      </c>
      <c r="D713" s="55" t="s">
        <v>373</v>
      </c>
      <c r="E713" s="74">
        <v>43376</v>
      </c>
      <c r="F713" s="55" t="s">
        <v>344</v>
      </c>
      <c r="G713" s="55" t="s">
        <v>360</v>
      </c>
      <c r="H713" s="55" t="s">
        <v>360</v>
      </c>
      <c r="I713" s="55" t="s">
        <v>360</v>
      </c>
      <c r="J713" s="55" t="s">
        <v>360</v>
      </c>
      <c r="K713" s="55" t="s">
        <v>360</v>
      </c>
      <c r="L713" s="55" t="s">
        <v>360</v>
      </c>
      <c r="M713" s="55" t="s">
        <v>144</v>
      </c>
      <c r="N713" s="55" t="s">
        <v>144</v>
      </c>
      <c r="O713" s="55" t="s">
        <v>215</v>
      </c>
      <c r="P713" s="55" t="s">
        <v>1008</v>
      </c>
      <c r="Q713" s="55" t="s">
        <v>350</v>
      </c>
      <c r="R713" s="85">
        <v>3</v>
      </c>
      <c r="S713" s="55">
        <v>0</v>
      </c>
      <c r="T713" s="74" t="s">
        <v>793</v>
      </c>
      <c r="U713" s="74" t="s">
        <v>351</v>
      </c>
      <c r="V713" s="74">
        <v>44586</v>
      </c>
      <c r="W713" s="74">
        <v>44636</v>
      </c>
      <c r="X713" s="55">
        <v>10186398</v>
      </c>
      <c r="Y713" s="55" t="s">
        <v>132</v>
      </c>
      <c r="AB713" s="74" t="s">
        <v>132</v>
      </c>
      <c r="AC713" s="55" t="s">
        <v>132</v>
      </c>
      <c r="AL713" s="74"/>
      <c r="AM713" s="74"/>
      <c r="AW713" s="74"/>
      <c r="AX713" s="74"/>
    </row>
    <row r="714" spans="1:50" ht="13" x14ac:dyDescent="0.15">
      <c r="A714" s="55" t="str">
        <f>HYPERLINK("http://reports.ofsted.gov.uk/inspection-reports/find-inspection-report/provider/CARE/2501397","Ofsted Social Care Provider Webpage")</f>
        <v>Ofsted Social Care Provider Webpage</v>
      </c>
      <c r="B714" s="55">
        <v>2501397</v>
      </c>
      <c r="D714" s="55" t="s">
        <v>373</v>
      </c>
      <c r="E714" s="74">
        <v>43437</v>
      </c>
      <c r="F714" s="55" t="s">
        <v>344</v>
      </c>
      <c r="G714" s="55" t="s">
        <v>360</v>
      </c>
      <c r="H714" s="55" t="s">
        <v>360</v>
      </c>
      <c r="I714" s="55" t="s">
        <v>360</v>
      </c>
      <c r="J714" s="55" t="s">
        <v>360</v>
      </c>
      <c r="K714" s="55" t="s">
        <v>360</v>
      </c>
      <c r="L714" s="55" t="s">
        <v>360</v>
      </c>
      <c r="M714" s="55" t="s">
        <v>172</v>
      </c>
      <c r="N714" s="55" t="s">
        <v>172</v>
      </c>
      <c r="O714" s="55" t="s">
        <v>235</v>
      </c>
      <c r="P714" s="55" t="s">
        <v>1396</v>
      </c>
      <c r="Q714" s="55" t="s">
        <v>350</v>
      </c>
      <c r="R714" s="85">
        <v>1</v>
      </c>
      <c r="S714" s="55">
        <v>0</v>
      </c>
      <c r="T714" s="74" t="s">
        <v>517</v>
      </c>
      <c r="U714" s="74" t="s">
        <v>351</v>
      </c>
      <c r="V714" s="74">
        <v>44334</v>
      </c>
      <c r="W714" s="74">
        <v>44358</v>
      </c>
      <c r="X714" s="55">
        <v>10187361</v>
      </c>
      <c r="Y714" s="55" t="s">
        <v>132</v>
      </c>
      <c r="AB714" s="74" t="s">
        <v>132</v>
      </c>
      <c r="AC714" s="55" t="s">
        <v>132</v>
      </c>
      <c r="AL714" s="74"/>
      <c r="AM714" s="74"/>
      <c r="AW714" s="74"/>
      <c r="AX714" s="74"/>
    </row>
    <row r="715" spans="1:50" ht="13" x14ac:dyDescent="0.15">
      <c r="A715" s="55" t="str">
        <f>HYPERLINK("http://reports.ofsted.gov.uk/inspection-reports/find-inspection-report/provider/CARE/2501555","Ofsted Social Care Provider Webpage")</f>
        <v>Ofsted Social Care Provider Webpage</v>
      </c>
      <c r="B715" s="55">
        <v>2501555</v>
      </c>
      <c r="D715" s="55" t="s">
        <v>479</v>
      </c>
      <c r="E715" s="74">
        <v>43528</v>
      </c>
      <c r="F715" s="55" t="s">
        <v>344</v>
      </c>
      <c r="G715" s="55" t="s">
        <v>360</v>
      </c>
      <c r="H715" s="55" t="s">
        <v>360</v>
      </c>
      <c r="I715" s="55" t="s">
        <v>360</v>
      </c>
      <c r="J715" s="55" t="s">
        <v>360</v>
      </c>
      <c r="K715" s="55" t="s">
        <v>360</v>
      </c>
      <c r="L715" s="55" t="s">
        <v>360</v>
      </c>
      <c r="M715" s="55" t="s">
        <v>142</v>
      </c>
      <c r="N715" s="55" t="s">
        <v>142</v>
      </c>
      <c r="O715" s="55" t="s">
        <v>252</v>
      </c>
      <c r="P715" s="55" t="s">
        <v>503</v>
      </c>
      <c r="Q715" s="55" t="s">
        <v>350</v>
      </c>
      <c r="R715" s="85">
        <v>15</v>
      </c>
      <c r="S715" s="55">
        <v>0</v>
      </c>
      <c r="T715" s="74" t="s">
        <v>1260</v>
      </c>
      <c r="U715" s="74" t="s">
        <v>351</v>
      </c>
      <c r="V715" s="74">
        <v>44467</v>
      </c>
      <c r="W715" s="74">
        <v>44509</v>
      </c>
      <c r="X715" s="55">
        <v>10186643</v>
      </c>
      <c r="Y715" s="55" t="s">
        <v>130</v>
      </c>
      <c r="AB715" s="74" t="s">
        <v>130</v>
      </c>
      <c r="AC715" s="55" t="s">
        <v>130</v>
      </c>
      <c r="AL715" s="74"/>
      <c r="AM715" s="74"/>
      <c r="AW715" s="74"/>
      <c r="AX715" s="74"/>
    </row>
    <row r="716" spans="1:50" ht="13" x14ac:dyDescent="0.15">
      <c r="A716" s="55" t="str">
        <f>HYPERLINK("http://reports.ofsted.gov.uk/inspection-reports/find-inspection-report/provider/CARE/2501566","Ofsted Social Care Provider Webpage")</f>
        <v>Ofsted Social Care Provider Webpage</v>
      </c>
      <c r="B716" s="55">
        <v>2501566</v>
      </c>
      <c r="D716" s="55" t="s">
        <v>373</v>
      </c>
      <c r="E716" s="74">
        <v>43517</v>
      </c>
      <c r="F716" s="55" t="s">
        <v>344</v>
      </c>
      <c r="G716" s="55" t="s">
        <v>360</v>
      </c>
      <c r="H716" s="55" t="s">
        <v>360</v>
      </c>
      <c r="I716" s="55" t="s">
        <v>360</v>
      </c>
      <c r="J716" s="55" t="s">
        <v>360</v>
      </c>
      <c r="K716" s="55" t="s">
        <v>360</v>
      </c>
      <c r="L716" s="55" t="s">
        <v>360</v>
      </c>
      <c r="M716" s="55" t="s">
        <v>142</v>
      </c>
      <c r="N716" s="55" t="s">
        <v>142</v>
      </c>
      <c r="O716" s="55" t="s">
        <v>262</v>
      </c>
      <c r="P716" s="55" t="s">
        <v>618</v>
      </c>
      <c r="Q716" s="55" t="s">
        <v>350</v>
      </c>
      <c r="R716" s="85">
        <v>3</v>
      </c>
      <c r="S716" s="55">
        <v>0</v>
      </c>
      <c r="T716" s="74" t="s">
        <v>1397</v>
      </c>
      <c r="U716" s="74" t="s">
        <v>351</v>
      </c>
      <c r="V716" s="74">
        <v>44362</v>
      </c>
      <c r="W716" s="74">
        <v>44400</v>
      </c>
      <c r="X716" s="55">
        <v>10187457</v>
      </c>
      <c r="Y716" s="55" t="s">
        <v>132</v>
      </c>
      <c r="AB716" s="74" t="s">
        <v>132</v>
      </c>
      <c r="AC716" s="55" t="s">
        <v>132</v>
      </c>
      <c r="AL716" s="74"/>
      <c r="AM716" s="74"/>
    </row>
    <row r="717" spans="1:50" ht="13" x14ac:dyDescent="0.15">
      <c r="A717" s="55" t="str">
        <f>HYPERLINK("http://reports.ofsted.gov.uk/inspection-reports/find-inspection-report/provider/CARE/2501791","Ofsted Social Care Provider Webpage")</f>
        <v>Ofsted Social Care Provider Webpage</v>
      </c>
      <c r="B717" s="55">
        <v>2501791</v>
      </c>
      <c r="D717" s="55" t="s">
        <v>373</v>
      </c>
      <c r="E717" s="74">
        <v>43658</v>
      </c>
      <c r="F717" s="55" t="s">
        <v>344</v>
      </c>
      <c r="G717" s="55" t="s">
        <v>360</v>
      </c>
      <c r="H717" s="55" t="s">
        <v>360</v>
      </c>
      <c r="I717" s="55" t="s">
        <v>360</v>
      </c>
      <c r="J717" s="55" t="s">
        <v>360</v>
      </c>
      <c r="K717" s="55" t="s">
        <v>360</v>
      </c>
      <c r="L717" s="55" t="s">
        <v>360</v>
      </c>
      <c r="M717" s="55" t="s">
        <v>150</v>
      </c>
      <c r="N717" s="55" t="s">
        <v>150</v>
      </c>
      <c r="O717" s="55" t="s">
        <v>203</v>
      </c>
      <c r="P717" s="55" t="s">
        <v>853</v>
      </c>
      <c r="Q717" s="55" t="s">
        <v>350</v>
      </c>
      <c r="R717" s="85">
        <v>3</v>
      </c>
      <c r="S717" s="55">
        <v>0</v>
      </c>
      <c r="T717" s="74" t="s">
        <v>517</v>
      </c>
      <c r="U717" s="74" t="s">
        <v>351</v>
      </c>
      <c r="V717" s="74">
        <v>44356</v>
      </c>
      <c r="W717" s="74">
        <v>44413</v>
      </c>
      <c r="X717" s="55">
        <v>10187391</v>
      </c>
      <c r="Y717" s="55" t="s">
        <v>132</v>
      </c>
      <c r="AB717" s="74" t="s">
        <v>132</v>
      </c>
      <c r="AC717" s="55" t="s">
        <v>130</v>
      </c>
      <c r="AL717" s="74"/>
      <c r="AM717" s="74"/>
      <c r="AW717" s="74"/>
      <c r="AX717" s="74"/>
    </row>
    <row r="718" spans="1:50" ht="13" x14ac:dyDescent="0.15">
      <c r="A718" s="55" t="str">
        <f>HYPERLINK("http://reports.ofsted.gov.uk/inspection-reports/find-inspection-report/provider/CARE/2502176","Ofsted Social Care Provider Webpage")</f>
        <v>Ofsted Social Care Provider Webpage</v>
      </c>
      <c r="B718" s="55">
        <v>2502176</v>
      </c>
      <c r="D718" s="55" t="s">
        <v>373</v>
      </c>
      <c r="E718" s="74">
        <v>43469</v>
      </c>
      <c r="F718" s="55" t="s">
        <v>344</v>
      </c>
      <c r="G718" s="55" t="s">
        <v>360</v>
      </c>
      <c r="H718" s="55" t="s">
        <v>360</v>
      </c>
      <c r="I718" s="55" t="s">
        <v>360</v>
      </c>
      <c r="J718" s="55" t="s">
        <v>360</v>
      </c>
      <c r="K718" s="55" t="s">
        <v>360</v>
      </c>
      <c r="L718" s="55" t="s">
        <v>360</v>
      </c>
      <c r="M718" s="55" t="s">
        <v>378</v>
      </c>
      <c r="N718" s="55" t="s">
        <v>170</v>
      </c>
      <c r="O718" s="55" t="s">
        <v>178</v>
      </c>
      <c r="P718" s="55" t="s">
        <v>1374</v>
      </c>
      <c r="Q718" s="55" t="s">
        <v>350</v>
      </c>
      <c r="R718" s="85">
        <v>3</v>
      </c>
      <c r="S718" s="55">
        <v>0</v>
      </c>
      <c r="T718" s="74" t="s">
        <v>1398</v>
      </c>
      <c r="U718" s="74" t="s">
        <v>351</v>
      </c>
      <c r="V718" s="74">
        <v>44306</v>
      </c>
      <c r="W718" s="74">
        <v>44334</v>
      </c>
      <c r="X718" s="55">
        <v>10186537</v>
      </c>
      <c r="Y718" s="55" t="s">
        <v>132</v>
      </c>
      <c r="AB718" s="74" t="s">
        <v>132</v>
      </c>
      <c r="AC718" s="55" t="s">
        <v>130</v>
      </c>
      <c r="AL718" s="74"/>
      <c r="AM718" s="74"/>
      <c r="AW718" s="74"/>
      <c r="AX718" s="74"/>
    </row>
    <row r="719" spans="1:50" ht="13" x14ac:dyDescent="0.15">
      <c r="A719" s="55" t="str">
        <f>HYPERLINK("http://reports.ofsted.gov.uk/inspection-reports/find-inspection-report/provider/CARE/2502314","Ofsted Social Care Provider Webpage")</f>
        <v>Ofsted Social Care Provider Webpage</v>
      </c>
      <c r="B719" s="55">
        <v>2502314</v>
      </c>
      <c r="D719" s="55" t="s">
        <v>373</v>
      </c>
      <c r="E719" s="74">
        <v>43494</v>
      </c>
      <c r="F719" s="55" t="s">
        <v>344</v>
      </c>
      <c r="G719" s="55" t="s">
        <v>360</v>
      </c>
      <c r="H719" s="55" t="s">
        <v>360</v>
      </c>
      <c r="I719" s="55" t="s">
        <v>360</v>
      </c>
      <c r="J719" s="55" t="s">
        <v>360</v>
      </c>
      <c r="K719" s="55" t="s">
        <v>360</v>
      </c>
      <c r="L719" s="55" t="s">
        <v>360</v>
      </c>
      <c r="M719" s="55" t="s">
        <v>142</v>
      </c>
      <c r="N719" s="55" t="s">
        <v>142</v>
      </c>
      <c r="O719" s="55" t="s">
        <v>252</v>
      </c>
      <c r="P719" s="55" t="s">
        <v>503</v>
      </c>
      <c r="Q719" s="55" t="s">
        <v>350</v>
      </c>
      <c r="R719" s="85">
        <v>3</v>
      </c>
      <c r="S719" s="55">
        <v>0</v>
      </c>
      <c r="T719" s="74" t="s">
        <v>385</v>
      </c>
      <c r="U719" s="74" t="s">
        <v>351</v>
      </c>
      <c r="V719" s="74">
        <v>44404</v>
      </c>
      <c r="W719" s="74">
        <v>44439</v>
      </c>
      <c r="X719" s="55">
        <v>10185956</v>
      </c>
      <c r="Y719" s="55" t="s">
        <v>132</v>
      </c>
      <c r="AB719" s="74" t="s">
        <v>132</v>
      </c>
      <c r="AC719" s="55" t="s">
        <v>132</v>
      </c>
      <c r="AL719" s="74"/>
      <c r="AM719" s="74"/>
      <c r="AW719" s="74"/>
      <c r="AX719" s="74"/>
    </row>
    <row r="720" spans="1:50" ht="13" x14ac:dyDescent="0.15">
      <c r="A720" s="55" t="str">
        <f>HYPERLINK("http://reports.ofsted.gov.uk/inspection-reports/find-inspection-report/provider/CARE/2502331","Ofsted Social Care Provider Webpage")</f>
        <v>Ofsted Social Care Provider Webpage</v>
      </c>
      <c r="B720" s="55">
        <v>2502331</v>
      </c>
      <c r="D720" s="55" t="s">
        <v>389</v>
      </c>
      <c r="E720" s="74">
        <v>43496</v>
      </c>
      <c r="F720" s="55" t="s">
        <v>344</v>
      </c>
      <c r="G720" s="55" t="s">
        <v>1399</v>
      </c>
      <c r="H720" s="55" t="s">
        <v>1400</v>
      </c>
      <c r="I720" s="55" t="s">
        <v>1401</v>
      </c>
      <c r="J720" s="55" t="s">
        <v>241</v>
      </c>
      <c r="K720" s="55" t="s">
        <v>1402</v>
      </c>
      <c r="L720" s="55" t="s">
        <v>1403</v>
      </c>
      <c r="M720" s="55" t="s">
        <v>150</v>
      </c>
      <c r="N720" s="55" t="s">
        <v>150</v>
      </c>
      <c r="O720" s="55" t="s">
        <v>241</v>
      </c>
      <c r="P720" s="55" t="s">
        <v>486</v>
      </c>
      <c r="Q720" s="55" t="s">
        <v>362</v>
      </c>
      <c r="S720" s="55">
        <v>0</v>
      </c>
      <c r="T720" s="74" t="s">
        <v>1404</v>
      </c>
      <c r="U720" s="74" t="s">
        <v>351</v>
      </c>
      <c r="V720" s="74">
        <v>44579</v>
      </c>
      <c r="W720" s="74">
        <v>44623</v>
      </c>
      <c r="X720" s="55">
        <v>10183271</v>
      </c>
      <c r="Y720" s="55" t="s">
        <v>132</v>
      </c>
      <c r="AB720" s="74" t="s">
        <v>132</v>
      </c>
      <c r="AC720" s="55" t="s">
        <v>132</v>
      </c>
      <c r="AL720" s="74"/>
      <c r="AM720" s="74"/>
      <c r="AW720" s="74"/>
      <c r="AX720" s="74"/>
    </row>
    <row r="721" spans="1:50" ht="13" x14ac:dyDescent="0.15">
      <c r="A721" s="55" t="str">
        <f>HYPERLINK("http://reports.ofsted.gov.uk/inspection-reports/find-inspection-report/provider/CARE/2502333","Ofsted Social Care Provider Webpage")</f>
        <v>Ofsted Social Care Provider Webpage</v>
      </c>
      <c r="B721" s="55">
        <v>2502333</v>
      </c>
      <c r="D721" s="55" t="s">
        <v>373</v>
      </c>
      <c r="E721" s="74">
        <v>43433</v>
      </c>
      <c r="F721" s="55" t="s">
        <v>344</v>
      </c>
      <c r="G721" s="55" t="s">
        <v>360</v>
      </c>
      <c r="H721" s="55" t="s">
        <v>360</v>
      </c>
      <c r="I721" s="55" t="s">
        <v>360</v>
      </c>
      <c r="J721" s="55" t="s">
        <v>360</v>
      </c>
      <c r="K721" s="55" t="s">
        <v>360</v>
      </c>
      <c r="L721" s="55" t="s">
        <v>360</v>
      </c>
      <c r="M721" s="55" t="s">
        <v>150</v>
      </c>
      <c r="N721" s="55" t="s">
        <v>150</v>
      </c>
      <c r="O721" s="55" t="s">
        <v>241</v>
      </c>
      <c r="P721" s="55" t="s">
        <v>486</v>
      </c>
      <c r="Q721" s="55" t="s">
        <v>362</v>
      </c>
      <c r="R721" s="85">
        <v>7</v>
      </c>
      <c r="S721" s="55" t="s">
        <v>332</v>
      </c>
      <c r="T721" s="74" t="s">
        <v>1404</v>
      </c>
      <c r="U721" s="74" t="s">
        <v>351</v>
      </c>
      <c r="V721" s="74">
        <v>44397</v>
      </c>
      <c r="W721" s="74">
        <v>44448</v>
      </c>
      <c r="X721" s="55">
        <v>10185536</v>
      </c>
      <c r="Y721" s="55" t="s">
        <v>140</v>
      </c>
      <c r="AB721" s="74" t="s">
        <v>140</v>
      </c>
      <c r="AC721" s="55" t="s">
        <v>140</v>
      </c>
      <c r="AL721" s="74"/>
      <c r="AM721" s="74"/>
      <c r="AW721" s="74"/>
      <c r="AX721" s="74"/>
    </row>
    <row r="722" spans="1:50" ht="13" x14ac:dyDescent="0.15">
      <c r="A722" s="55" t="str">
        <f>HYPERLINK("http://reports.ofsted.gov.uk/inspection-reports/find-inspection-report/provider/CARE/2502334","Ofsted Social Care Provider Webpage")</f>
        <v>Ofsted Social Care Provider Webpage</v>
      </c>
      <c r="B722" s="55">
        <v>2502334</v>
      </c>
      <c r="D722" s="55" t="s">
        <v>373</v>
      </c>
      <c r="E722" s="74">
        <v>43433</v>
      </c>
      <c r="F722" s="55" t="s">
        <v>344</v>
      </c>
      <c r="G722" s="55" t="s">
        <v>360</v>
      </c>
      <c r="H722" s="55" t="s">
        <v>360</v>
      </c>
      <c r="I722" s="55" t="s">
        <v>360</v>
      </c>
      <c r="J722" s="55" t="s">
        <v>360</v>
      </c>
      <c r="K722" s="55" t="s">
        <v>360</v>
      </c>
      <c r="L722" s="55" t="s">
        <v>360</v>
      </c>
      <c r="M722" s="55" t="s">
        <v>150</v>
      </c>
      <c r="N722" s="55" t="s">
        <v>150</v>
      </c>
      <c r="O722" s="55" t="s">
        <v>241</v>
      </c>
      <c r="P722" s="55" t="s">
        <v>486</v>
      </c>
      <c r="Q722" s="55" t="s">
        <v>362</v>
      </c>
      <c r="R722" s="85">
        <v>5</v>
      </c>
      <c r="S722" s="55">
        <v>0</v>
      </c>
      <c r="T722" s="74" t="s">
        <v>1404</v>
      </c>
      <c r="U722" s="74" t="s">
        <v>351</v>
      </c>
      <c r="V722" s="74">
        <v>44370</v>
      </c>
      <c r="W722" s="74">
        <v>44432</v>
      </c>
      <c r="X722" s="55">
        <v>10186729</v>
      </c>
      <c r="Y722" s="55" t="s">
        <v>132</v>
      </c>
      <c r="AB722" s="74" t="s">
        <v>132</v>
      </c>
      <c r="AC722" s="55" t="s">
        <v>132</v>
      </c>
      <c r="AL722" s="74"/>
      <c r="AM722" s="74"/>
      <c r="AW722" s="74"/>
      <c r="AX722" s="74"/>
    </row>
    <row r="723" spans="1:50" ht="13" x14ac:dyDescent="0.15">
      <c r="A723" s="55" t="str">
        <f>HYPERLINK("http://reports.ofsted.gov.uk/inspection-reports/find-inspection-report/provider/CARE/2502382","Ofsted Social Care Provider Webpage")</f>
        <v>Ofsted Social Care Provider Webpage</v>
      </c>
      <c r="B723" s="55">
        <v>2502382</v>
      </c>
      <c r="D723" s="55" t="s">
        <v>479</v>
      </c>
      <c r="E723" s="74">
        <v>43403</v>
      </c>
      <c r="F723" s="55" t="s">
        <v>344</v>
      </c>
      <c r="G723" s="55" t="s">
        <v>360</v>
      </c>
      <c r="H723" s="55" t="s">
        <v>360</v>
      </c>
      <c r="I723" s="55" t="s">
        <v>360</v>
      </c>
      <c r="J723" s="55" t="s">
        <v>360</v>
      </c>
      <c r="K723" s="55" t="s">
        <v>360</v>
      </c>
      <c r="L723" s="55" t="s">
        <v>360</v>
      </c>
      <c r="M723" s="55" t="s">
        <v>150</v>
      </c>
      <c r="N723" s="55" t="s">
        <v>150</v>
      </c>
      <c r="O723" s="55" t="s">
        <v>268</v>
      </c>
      <c r="P723" s="55" t="s">
        <v>639</v>
      </c>
      <c r="Q723" s="55" t="s">
        <v>362</v>
      </c>
      <c r="R723" s="85">
        <v>40</v>
      </c>
      <c r="S723" s="55">
        <v>0</v>
      </c>
      <c r="T723" s="74" t="s">
        <v>1405</v>
      </c>
      <c r="U723" s="74" t="s">
        <v>351</v>
      </c>
      <c r="V723" s="74">
        <v>44306</v>
      </c>
      <c r="W723" s="74">
        <v>44355</v>
      </c>
      <c r="X723" s="55">
        <v>10187023</v>
      </c>
      <c r="Y723" s="55" t="s">
        <v>132</v>
      </c>
      <c r="AB723" s="74" t="s">
        <v>132</v>
      </c>
      <c r="AC723" s="55" t="s">
        <v>132</v>
      </c>
      <c r="AL723" s="74"/>
      <c r="AM723" s="74"/>
      <c r="AW723" s="74"/>
      <c r="AX723" s="74"/>
    </row>
    <row r="724" spans="1:50" ht="13" x14ac:dyDescent="0.15">
      <c r="A724" s="55" t="str">
        <f>HYPERLINK("http://reports.ofsted.gov.uk/inspection-reports/find-inspection-report/provider/CARE/2502918","Ofsted Social Care Provider Webpage")</f>
        <v>Ofsted Social Care Provider Webpage</v>
      </c>
      <c r="B724" s="55">
        <v>2502918</v>
      </c>
      <c r="D724" s="55" t="s">
        <v>373</v>
      </c>
      <c r="E724" s="74">
        <v>43486</v>
      </c>
      <c r="F724" s="55" t="s">
        <v>344</v>
      </c>
      <c r="G724" s="55" t="s">
        <v>360</v>
      </c>
      <c r="H724" s="55" t="s">
        <v>360</v>
      </c>
      <c r="I724" s="55" t="s">
        <v>360</v>
      </c>
      <c r="J724" s="55" t="s">
        <v>360</v>
      </c>
      <c r="K724" s="55" t="s">
        <v>360</v>
      </c>
      <c r="L724" s="55" t="s">
        <v>360</v>
      </c>
      <c r="M724" s="55" t="s">
        <v>172</v>
      </c>
      <c r="N724" s="55" t="s">
        <v>172</v>
      </c>
      <c r="O724" s="55" t="s">
        <v>228</v>
      </c>
      <c r="P724" s="55" t="s">
        <v>423</v>
      </c>
      <c r="Q724" s="55" t="s">
        <v>350</v>
      </c>
      <c r="R724" s="85">
        <v>2</v>
      </c>
      <c r="S724" s="55">
        <v>0</v>
      </c>
      <c r="T724" s="74" t="s">
        <v>1366</v>
      </c>
      <c r="U724" s="74" t="s">
        <v>351</v>
      </c>
      <c r="V724" s="74">
        <v>44383</v>
      </c>
      <c r="W724" s="74">
        <v>44433</v>
      </c>
      <c r="X724" s="55">
        <v>10186662</v>
      </c>
      <c r="Y724" s="55" t="s">
        <v>132</v>
      </c>
      <c r="AB724" s="74" t="s">
        <v>130</v>
      </c>
      <c r="AC724" s="55" t="s">
        <v>132</v>
      </c>
      <c r="AL724" s="74"/>
      <c r="AM724" s="74"/>
    </row>
    <row r="725" spans="1:50" ht="13" x14ac:dyDescent="0.15">
      <c r="A725" s="55" t="str">
        <f>HYPERLINK("http://reports.ofsted.gov.uk/inspection-reports/find-inspection-report/provider/CARE/2503031","Ofsted Social Care Provider Webpage")</f>
        <v>Ofsted Social Care Provider Webpage</v>
      </c>
      <c r="B725" s="55">
        <v>2503031</v>
      </c>
      <c r="D725" s="55" t="s">
        <v>373</v>
      </c>
      <c r="E725" s="74">
        <v>43495</v>
      </c>
      <c r="F725" s="55" t="s">
        <v>344</v>
      </c>
      <c r="G725" s="55" t="s">
        <v>360</v>
      </c>
      <c r="H725" s="55" t="s">
        <v>360</v>
      </c>
      <c r="I725" s="55" t="s">
        <v>360</v>
      </c>
      <c r="J725" s="55" t="s">
        <v>360</v>
      </c>
      <c r="K725" s="55" t="s">
        <v>360</v>
      </c>
      <c r="L725" s="55" t="s">
        <v>360</v>
      </c>
      <c r="M725" s="55" t="s">
        <v>142</v>
      </c>
      <c r="N725" s="55" t="s">
        <v>142</v>
      </c>
      <c r="O725" s="55" t="s">
        <v>177</v>
      </c>
      <c r="P725" s="55" t="s">
        <v>1406</v>
      </c>
      <c r="Q725" s="55" t="s">
        <v>350</v>
      </c>
      <c r="R725" s="85">
        <v>3</v>
      </c>
      <c r="S725" s="55">
        <v>0</v>
      </c>
      <c r="T725" s="74" t="s">
        <v>1407</v>
      </c>
      <c r="U725" s="74" t="s">
        <v>351</v>
      </c>
      <c r="V725" s="74">
        <v>44566</v>
      </c>
      <c r="W725" s="74">
        <v>44603</v>
      </c>
      <c r="X725" s="55">
        <v>10187003</v>
      </c>
      <c r="Y725" s="55" t="s">
        <v>130</v>
      </c>
      <c r="AB725" s="74" t="s">
        <v>130</v>
      </c>
      <c r="AC725" s="55" t="s">
        <v>130</v>
      </c>
      <c r="AL725" s="74"/>
      <c r="AM725" s="74"/>
      <c r="AW725" s="74"/>
      <c r="AX725" s="74"/>
    </row>
    <row r="726" spans="1:50" ht="13" x14ac:dyDescent="0.15">
      <c r="A726" s="55" t="str">
        <f>HYPERLINK("http://reports.ofsted.gov.uk/inspection-reports/find-inspection-report/provider/CARE/2503076","Ofsted Social Care Provider Webpage")</f>
        <v>Ofsted Social Care Provider Webpage</v>
      </c>
      <c r="B726" s="55">
        <v>2503076</v>
      </c>
      <c r="D726" s="55" t="s">
        <v>373</v>
      </c>
      <c r="E726" s="74">
        <v>43513</v>
      </c>
      <c r="F726" s="55" t="s">
        <v>344</v>
      </c>
      <c r="G726" s="55" t="s">
        <v>360</v>
      </c>
      <c r="H726" s="55" t="s">
        <v>360</v>
      </c>
      <c r="I726" s="55" t="s">
        <v>360</v>
      </c>
      <c r="J726" s="55" t="s">
        <v>360</v>
      </c>
      <c r="K726" s="55" t="s">
        <v>360</v>
      </c>
      <c r="L726" s="55" t="s">
        <v>360</v>
      </c>
      <c r="M726" s="55" t="s">
        <v>142</v>
      </c>
      <c r="N726" s="55" t="s">
        <v>142</v>
      </c>
      <c r="O726" s="55" t="s">
        <v>262</v>
      </c>
      <c r="P726" s="55" t="s">
        <v>523</v>
      </c>
      <c r="Q726" s="55" t="s">
        <v>350</v>
      </c>
      <c r="R726" s="85">
        <v>3</v>
      </c>
      <c r="S726" s="55">
        <v>0</v>
      </c>
      <c r="T726" s="74" t="s">
        <v>524</v>
      </c>
      <c r="U726" s="74" t="s">
        <v>351</v>
      </c>
      <c r="V726" s="74">
        <v>44587</v>
      </c>
      <c r="W726" s="74">
        <v>44643</v>
      </c>
      <c r="X726" s="55">
        <v>10187197</v>
      </c>
      <c r="Y726" s="55" t="s">
        <v>130</v>
      </c>
      <c r="AB726" s="74" t="s">
        <v>130</v>
      </c>
      <c r="AC726" s="55" t="s">
        <v>146</v>
      </c>
      <c r="AL726" s="74"/>
      <c r="AM726" s="74"/>
      <c r="AW726" s="74"/>
      <c r="AX726" s="74"/>
    </row>
    <row r="727" spans="1:50" ht="13" x14ac:dyDescent="0.15">
      <c r="A727" s="55" t="str">
        <f>HYPERLINK("http://reports.ofsted.gov.uk/inspection-reports/find-inspection-report/provider/CARE/2503142","Ofsted Social Care Provider Webpage")</f>
        <v>Ofsted Social Care Provider Webpage</v>
      </c>
      <c r="B727" s="55">
        <v>2503142</v>
      </c>
      <c r="D727" s="55" t="s">
        <v>373</v>
      </c>
      <c r="E727" s="74">
        <v>43565</v>
      </c>
      <c r="F727" s="55" t="s">
        <v>344</v>
      </c>
      <c r="G727" s="55" t="s">
        <v>360</v>
      </c>
      <c r="H727" s="55" t="s">
        <v>360</v>
      </c>
      <c r="I727" s="55" t="s">
        <v>360</v>
      </c>
      <c r="J727" s="55" t="s">
        <v>360</v>
      </c>
      <c r="K727" s="55" t="s">
        <v>360</v>
      </c>
      <c r="L727" s="55" t="s">
        <v>360</v>
      </c>
      <c r="M727" s="55" t="s">
        <v>129</v>
      </c>
      <c r="N727" s="55" t="s">
        <v>129</v>
      </c>
      <c r="O727" s="55" t="s">
        <v>182</v>
      </c>
      <c r="P727" s="55" t="s">
        <v>1412</v>
      </c>
      <c r="Q727" s="55" t="s">
        <v>350</v>
      </c>
      <c r="R727" s="85">
        <v>4</v>
      </c>
      <c r="S727" s="55">
        <v>0</v>
      </c>
      <c r="T727" s="74" t="s">
        <v>1413</v>
      </c>
      <c r="U727" s="74" t="s">
        <v>351</v>
      </c>
      <c r="V727" s="74">
        <v>44313</v>
      </c>
      <c r="W727" s="74">
        <v>44341</v>
      </c>
      <c r="X727" s="55">
        <v>10186980</v>
      </c>
      <c r="Y727" s="55" t="s">
        <v>132</v>
      </c>
      <c r="AB727" s="74" t="s">
        <v>132</v>
      </c>
      <c r="AC727" s="55" t="s">
        <v>132</v>
      </c>
      <c r="AL727" s="74"/>
      <c r="AM727" s="74"/>
    </row>
    <row r="728" spans="1:50" ht="13" x14ac:dyDescent="0.15">
      <c r="A728" s="55" t="str">
        <f>HYPERLINK("http://reports.ofsted.gov.uk/inspection-reports/find-inspection-report/provider/CARE/2503143","Ofsted Social Care Provider Webpage")</f>
        <v>Ofsted Social Care Provider Webpage</v>
      </c>
      <c r="B728" s="55">
        <v>2503143</v>
      </c>
      <c r="D728" s="55" t="s">
        <v>373</v>
      </c>
      <c r="E728" s="74">
        <v>43742</v>
      </c>
      <c r="F728" s="55" t="s">
        <v>344</v>
      </c>
      <c r="G728" s="55" t="s">
        <v>360</v>
      </c>
      <c r="H728" s="55" t="s">
        <v>360</v>
      </c>
      <c r="I728" s="55" t="s">
        <v>360</v>
      </c>
      <c r="J728" s="55" t="s">
        <v>360</v>
      </c>
      <c r="K728" s="55" t="s">
        <v>360</v>
      </c>
      <c r="L728" s="55" t="s">
        <v>360</v>
      </c>
      <c r="M728" s="55" t="s">
        <v>129</v>
      </c>
      <c r="N728" s="55" t="s">
        <v>129</v>
      </c>
      <c r="O728" s="55" t="s">
        <v>182</v>
      </c>
      <c r="P728" s="55" t="s">
        <v>1412</v>
      </c>
      <c r="Q728" s="55" t="s">
        <v>350</v>
      </c>
      <c r="R728" s="85">
        <v>4</v>
      </c>
      <c r="S728" s="55">
        <v>0</v>
      </c>
      <c r="T728" s="74" t="s">
        <v>1413</v>
      </c>
      <c r="U728" s="74" t="s">
        <v>6703</v>
      </c>
      <c r="V728" s="74">
        <v>44572</v>
      </c>
      <c r="W728" s="74">
        <v>44600</v>
      </c>
      <c r="X728" s="55">
        <v>10209396</v>
      </c>
      <c r="Y728" s="55" t="s">
        <v>6705</v>
      </c>
      <c r="AL728" s="74"/>
      <c r="AM728" s="74"/>
    </row>
    <row r="729" spans="1:50" ht="13" x14ac:dyDescent="0.15">
      <c r="A729" s="55" t="str">
        <f>HYPERLINK("http://reports.ofsted.gov.uk/inspection-reports/find-inspection-report/provider/CARE/2503143","Ofsted Social Care Provider Webpage")</f>
        <v>Ofsted Social Care Provider Webpage</v>
      </c>
      <c r="B729" s="55">
        <v>2503143</v>
      </c>
      <c r="D729" s="55" t="s">
        <v>373</v>
      </c>
      <c r="E729" s="74">
        <v>43742</v>
      </c>
      <c r="F729" s="55" t="s">
        <v>344</v>
      </c>
      <c r="G729" s="55" t="s">
        <v>360</v>
      </c>
      <c r="H729" s="55" t="s">
        <v>360</v>
      </c>
      <c r="I729" s="55" t="s">
        <v>360</v>
      </c>
      <c r="J729" s="55" t="s">
        <v>360</v>
      </c>
      <c r="K729" s="55" t="s">
        <v>360</v>
      </c>
      <c r="L729" s="55" t="s">
        <v>360</v>
      </c>
      <c r="M729" s="55" t="s">
        <v>129</v>
      </c>
      <c r="N729" s="55" t="s">
        <v>129</v>
      </c>
      <c r="O729" s="55" t="s">
        <v>182</v>
      </c>
      <c r="P729" s="55" t="s">
        <v>1412</v>
      </c>
      <c r="Q729" s="55" t="s">
        <v>350</v>
      </c>
      <c r="R729" s="85">
        <v>4</v>
      </c>
      <c r="S729" s="55">
        <v>0</v>
      </c>
      <c r="T729" s="74" t="s">
        <v>1413</v>
      </c>
      <c r="U729" s="74" t="s">
        <v>351</v>
      </c>
      <c r="V729" s="74">
        <v>44452</v>
      </c>
      <c r="W729" s="74">
        <v>44481</v>
      </c>
      <c r="X729" s="55">
        <v>10186981</v>
      </c>
      <c r="Y729" s="55" t="s">
        <v>130</v>
      </c>
      <c r="AB729" s="74" t="s">
        <v>130</v>
      </c>
      <c r="AC729" s="55" t="s">
        <v>130</v>
      </c>
      <c r="AL729" s="74"/>
      <c r="AM729" s="74"/>
    </row>
    <row r="730" spans="1:50" ht="13" x14ac:dyDescent="0.15">
      <c r="A730" s="55" t="str">
        <f>HYPERLINK("http://reports.ofsted.gov.uk/inspection-reports/find-inspection-report/provider/CARE/2503598","Ofsted Social Care Provider Webpage")</f>
        <v>Ofsted Social Care Provider Webpage</v>
      </c>
      <c r="B730" s="55">
        <v>2503598</v>
      </c>
      <c r="D730" s="55" t="s">
        <v>373</v>
      </c>
      <c r="E730" s="74">
        <v>43544</v>
      </c>
      <c r="F730" s="55" t="s">
        <v>344</v>
      </c>
      <c r="G730" s="55" t="s">
        <v>360</v>
      </c>
      <c r="H730" s="55" t="s">
        <v>360</v>
      </c>
      <c r="I730" s="55" t="s">
        <v>360</v>
      </c>
      <c r="J730" s="55" t="s">
        <v>360</v>
      </c>
      <c r="K730" s="55" t="s">
        <v>360</v>
      </c>
      <c r="L730" s="55" t="s">
        <v>360</v>
      </c>
      <c r="M730" s="55" t="s">
        <v>142</v>
      </c>
      <c r="N730" s="55" t="s">
        <v>142</v>
      </c>
      <c r="O730" s="55" t="s">
        <v>141</v>
      </c>
      <c r="P730" s="55" t="s">
        <v>641</v>
      </c>
      <c r="Q730" s="55" t="s">
        <v>350</v>
      </c>
      <c r="R730" s="85">
        <v>5</v>
      </c>
      <c r="S730" s="55">
        <v>0</v>
      </c>
      <c r="T730" s="74" t="s">
        <v>1415</v>
      </c>
      <c r="U730" s="74" t="s">
        <v>351</v>
      </c>
      <c r="V730" s="74">
        <v>44376</v>
      </c>
      <c r="W730" s="74">
        <v>44412</v>
      </c>
      <c r="X730" s="55">
        <v>10186686</v>
      </c>
      <c r="Y730" s="55" t="s">
        <v>130</v>
      </c>
      <c r="AB730" s="74" t="s">
        <v>130</v>
      </c>
      <c r="AC730" s="55" t="s">
        <v>130</v>
      </c>
      <c r="AL730" s="74"/>
      <c r="AM730" s="74"/>
    </row>
    <row r="731" spans="1:50" ht="13" x14ac:dyDescent="0.15">
      <c r="A731" s="55" t="str">
        <f>HYPERLINK("http://reports.ofsted.gov.uk/inspection-reports/find-inspection-report/provider/CARE/2503605","Ofsted Social Care Provider Webpage")</f>
        <v>Ofsted Social Care Provider Webpage</v>
      </c>
      <c r="B731" s="55">
        <v>2503605</v>
      </c>
      <c r="D731" s="55" t="s">
        <v>373</v>
      </c>
      <c r="E731" s="74">
        <v>43454</v>
      </c>
      <c r="F731" s="55" t="s">
        <v>344</v>
      </c>
      <c r="G731" s="55" t="s">
        <v>360</v>
      </c>
      <c r="H731" s="55" t="s">
        <v>360</v>
      </c>
      <c r="I731" s="55" t="s">
        <v>360</v>
      </c>
      <c r="J731" s="55" t="s">
        <v>360</v>
      </c>
      <c r="K731" s="55" t="s">
        <v>360</v>
      </c>
      <c r="L731" s="55" t="s">
        <v>360</v>
      </c>
      <c r="M731" s="55" t="s">
        <v>142</v>
      </c>
      <c r="N731" s="55" t="s">
        <v>142</v>
      </c>
      <c r="O731" s="55" t="s">
        <v>278</v>
      </c>
      <c r="P731" s="55" t="s">
        <v>1042</v>
      </c>
      <c r="Q731" s="55" t="s">
        <v>350</v>
      </c>
      <c r="R731" s="85">
        <v>6</v>
      </c>
      <c r="S731" s="55">
        <v>0</v>
      </c>
      <c r="T731" s="74" t="s">
        <v>1416</v>
      </c>
      <c r="U731" s="74" t="s">
        <v>351</v>
      </c>
      <c r="V731" s="74">
        <v>44314</v>
      </c>
      <c r="W731" s="74">
        <v>44341</v>
      </c>
      <c r="X731" s="55">
        <v>10185249</v>
      </c>
      <c r="Y731" s="55" t="s">
        <v>132</v>
      </c>
      <c r="AB731" s="74" t="s">
        <v>132</v>
      </c>
      <c r="AC731" s="55" t="s">
        <v>132</v>
      </c>
      <c r="AL731" s="74"/>
      <c r="AM731" s="74"/>
      <c r="AW731" s="74"/>
      <c r="AX731" s="74"/>
    </row>
    <row r="732" spans="1:50" ht="13" x14ac:dyDescent="0.15">
      <c r="A732" s="55" t="str">
        <f>HYPERLINK("http://reports.ofsted.gov.uk/inspection-reports/find-inspection-report/provider/CARE/2503710","Ofsted Social Care Provider Webpage")</f>
        <v>Ofsted Social Care Provider Webpage</v>
      </c>
      <c r="B732" s="55">
        <v>2503710</v>
      </c>
      <c r="D732" s="55" t="s">
        <v>373</v>
      </c>
      <c r="E732" s="74">
        <v>43559</v>
      </c>
      <c r="F732" s="55" t="s">
        <v>344</v>
      </c>
      <c r="G732" s="55" t="s">
        <v>360</v>
      </c>
      <c r="H732" s="55" t="s">
        <v>360</v>
      </c>
      <c r="I732" s="55" t="s">
        <v>360</v>
      </c>
      <c r="J732" s="55" t="s">
        <v>360</v>
      </c>
      <c r="K732" s="55" t="s">
        <v>360</v>
      </c>
      <c r="L732" s="55" t="s">
        <v>360</v>
      </c>
      <c r="M732" s="55" t="s">
        <v>142</v>
      </c>
      <c r="N732" s="55" t="s">
        <v>142</v>
      </c>
      <c r="O732" s="55" t="s">
        <v>293</v>
      </c>
      <c r="P732" s="55" t="s">
        <v>984</v>
      </c>
      <c r="Q732" s="55" t="s">
        <v>350</v>
      </c>
      <c r="R732" s="85">
        <v>4</v>
      </c>
      <c r="S732" s="55">
        <v>0</v>
      </c>
      <c r="T732" s="74" t="s">
        <v>1417</v>
      </c>
      <c r="U732" s="74" t="s">
        <v>351</v>
      </c>
      <c r="V732" s="74">
        <v>44606</v>
      </c>
      <c r="W732" s="74">
        <v>44644</v>
      </c>
      <c r="X732" s="55">
        <v>10186361</v>
      </c>
      <c r="Y732" s="55" t="s">
        <v>132</v>
      </c>
      <c r="AB732" s="74" t="s">
        <v>132</v>
      </c>
      <c r="AC732" s="55" t="s">
        <v>132</v>
      </c>
      <c r="AL732" s="74"/>
      <c r="AM732" s="74"/>
      <c r="AW732" s="74"/>
      <c r="AX732" s="74"/>
    </row>
    <row r="733" spans="1:50" ht="13" x14ac:dyDescent="0.15">
      <c r="A733" s="55" t="str">
        <f>HYPERLINK("http://reports.ofsted.gov.uk/inspection-reports/find-inspection-report/provider/CARE/2503915","Ofsted Social Care Provider Webpage")</f>
        <v>Ofsted Social Care Provider Webpage</v>
      </c>
      <c r="B733" s="55">
        <v>2503915</v>
      </c>
      <c r="D733" s="55" t="s">
        <v>373</v>
      </c>
      <c r="E733" s="74">
        <v>43627</v>
      </c>
      <c r="F733" s="55" t="s">
        <v>344</v>
      </c>
      <c r="G733" s="55" t="s">
        <v>360</v>
      </c>
      <c r="H733" s="55" t="s">
        <v>360</v>
      </c>
      <c r="I733" s="55" t="s">
        <v>360</v>
      </c>
      <c r="J733" s="55" t="s">
        <v>360</v>
      </c>
      <c r="K733" s="55" t="s">
        <v>360</v>
      </c>
      <c r="L733" s="55" t="s">
        <v>360</v>
      </c>
      <c r="M733" s="55" t="s">
        <v>142</v>
      </c>
      <c r="N733" s="55" t="s">
        <v>142</v>
      </c>
      <c r="O733" s="55" t="s">
        <v>262</v>
      </c>
      <c r="P733" s="55" t="s">
        <v>850</v>
      </c>
      <c r="Q733" s="55" t="s">
        <v>350</v>
      </c>
      <c r="R733" s="85">
        <v>3</v>
      </c>
      <c r="S733" s="55">
        <v>0</v>
      </c>
      <c r="T733" s="74" t="s">
        <v>541</v>
      </c>
      <c r="U733" s="74" t="s">
        <v>351</v>
      </c>
      <c r="V733" s="74">
        <v>44327</v>
      </c>
      <c r="W733" s="74">
        <v>44363</v>
      </c>
      <c r="X733" s="55">
        <v>10186446</v>
      </c>
      <c r="Y733" s="55" t="s">
        <v>132</v>
      </c>
      <c r="AB733" s="74" t="s">
        <v>132</v>
      </c>
      <c r="AC733" s="55" t="s">
        <v>132</v>
      </c>
      <c r="AL733" s="74"/>
      <c r="AM733" s="74"/>
      <c r="AW733" s="74"/>
      <c r="AX733" s="74"/>
    </row>
    <row r="734" spans="1:50" ht="13" x14ac:dyDescent="0.15">
      <c r="A734" s="55" t="str">
        <f>HYPERLINK("http://reports.ofsted.gov.uk/inspection-reports/find-inspection-report/provider/CARE/2504082","Ofsted Social Care Provider Webpage")</f>
        <v>Ofsted Social Care Provider Webpage</v>
      </c>
      <c r="B734" s="55">
        <v>2504082</v>
      </c>
      <c r="D734" s="55" t="s">
        <v>373</v>
      </c>
      <c r="E734" s="74">
        <v>43503</v>
      </c>
      <c r="F734" s="55" t="s">
        <v>344</v>
      </c>
      <c r="G734" s="55" t="s">
        <v>360</v>
      </c>
      <c r="H734" s="55" t="s">
        <v>360</v>
      </c>
      <c r="I734" s="55" t="s">
        <v>360</v>
      </c>
      <c r="J734" s="55" t="s">
        <v>360</v>
      </c>
      <c r="K734" s="55" t="s">
        <v>360</v>
      </c>
      <c r="L734" s="55" t="s">
        <v>360</v>
      </c>
      <c r="M734" s="55" t="s">
        <v>144</v>
      </c>
      <c r="N734" s="55" t="s">
        <v>144</v>
      </c>
      <c r="O734" s="55" t="s">
        <v>209</v>
      </c>
      <c r="P734" s="55" t="s">
        <v>650</v>
      </c>
      <c r="Q734" s="55" t="s">
        <v>350</v>
      </c>
      <c r="R734" s="85">
        <v>2</v>
      </c>
      <c r="S734" s="55">
        <v>0</v>
      </c>
      <c r="T734" s="74" t="s">
        <v>485</v>
      </c>
      <c r="U734" s="74" t="s">
        <v>351</v>
      </c>
      <c r="V734" s="74">
        <v>44398</v>
      </c>
      <c r="W734" s="74">
        <v>44424</v>
      </c>
      <c r="X734" s="55">
        <v>10186003</v>
      </c>
      <c r="Y734" s="55" t="s">
        <v>132</v>
      </c>
      <c r="AB734" s="74" t="s">
        <v>132</v>
      </c>
      <c r="AC734" s="55" t="s">
        <v>132</v>
      </c>
      <c r="AL734" s="74"/>
      <c r="AM734" s="74"/>
      <c r="AW734" s="74"/>
      <c r="AX734" s="74"/>
    </row>
    <row r="735" spans="1:50" ht="13" x14ac:dyDescent="0.15">
      <c r="A735" s="55" t="str">
        <f>HYPERLINK("http://reports.ofsted.gov.uk/inspection-reports/find-inspection-report/provider/CARE/2504093","Ofsted Social Care Provider Webpage")</f>
        <v>Ofsted Social Care Provider Webpage</v>
      </c>
      <c r="B735" s="55">
        <v>2504093</v>
      </c>
      <c r="D735" s="55" t="s">
        <v>373</v>
      </c>
      <c r="E735" s="74">
        <v>43489</v>
      </c>
      <c r="F735" s="55" t="s">
        <v>344</v>
      </c>
      <c r="G735" s="55" t="s">
        <v>360</v>
      </c>
      <c r="H735" s="55" t="s">
        <v>360</v>
      </c>
      <c r="I735" s="55" t="s">
        <v>360</v>
      </c>
      <c r="J735" s="55" t="s">
        <v>360</v>
      </c>
      <c r="K735" s="55" t="s">
        <v>360</v>
      </c>
      <c r="L735" s="55" t="s">
        <v>360</v>
      </c>
      <c r="M735" s="55" t="s">
        <v>144</v>
      </c>
      <c r="N735" s="55" t="s">
        <v>144</v>
      </c>
      <c r="O735" s="55" t="s">
        <v>281</v>
      </c>
      <c r="P735" s="55" t="s">
        <v>725</v>
      </c>
      <c r="Q735" s="55" t="s">
        <v>350</v>
      </c>
      <c r="R735" s="85">
        <v>5</v>
      </c>
      <c r="S735" s="55">
        <v>0</v>
      </c>
      <c r="T735" s="74" t="s">
        <v>863</v>
      </c>
      <c r="U735" s="74" t="s">
        <v>351</v>
      </c>
      <c r="V735" s="74">
        <v>44313</v>
      </c>
      <c r="W735" s="74">
        <v>44355</v>
      </c>
      <c r="X735" s="55">
        <v>10185552</v>
      </c>
      <c r="Y735" s="55" t="s">
        <v>132</v>
      </c>
      <c r="AB735" s="74" t="s">
        <v>132</v>
      </c>
      <c r="AC735" s="55" t="s">
        <v>130</v>
      </c>
      <c r="AL735" s="74"/>
      <c r="AM735" s="74"/>
      <c r="AW735" s="74"/>
      <c r="AX735" s="74"/>
    </row>
    <row r="736" spans="1:50" ht="13" x14ac:dyDescent="0.15">
      <c r="A736" s="55" t="str">
        <f>HYPERLINK("http://reports.ofsted.gov.uk/inspection-reports/find-inspection-report/provider/CARE/2504478","Ofsted Social Care Provider Webpage")</f>
        <v>Ofsted Social Care Provider Webpage</v>
      </c>
      <c r="B736" s="55">
        <v>2504478</v>
      </c>
      <c r="D736" s="55" t="s">
        <v>451</v>
      </c>
      <c r="E736" s="74">
        <v>43586</v>
      </c>
      <c r="F736" s="55" t="s">
        <v>344</v>
      </c>
      <c r="G736" s="55" t="s">
        <v>1418</v>
      </c>
      <c r="H736" s="55" t="s">
        <v>1419</v>
      </c>
      <c r="I736" s="55" t="s">
        <v>354</v>
      </c>
      <c r="J736" s="55" t="s">
        <v>1420</v>
      </c>
      <c r="K736" s="55" t="s">
        <v>293</v>
      </c>
      <c r="L736" s="55" t="s">
        <v>1421</v>
      </c>
      <c r="M736" s="55" t="s">
        <v>142</v>
      </c>
      <c r="N736" s="55" t="s">
        <v>142</v>
      </c>
      <c r="O736" s="55" t="s">
        <v>293</v>
      </c>
      <c r="P736" s="55" t="s">
        <v>1422</v>
      </c>
      <c r="Q736" s="55" t="s">
        <v>350</v>
      </c>
      <c r="R736" s="85">
        <v>6</v>
      </c>
      <c r="S736" s="55">
        <v>0</v>
      </c>
      <c r="T736" s="74" t="s">
        <v>1423</v>
      </c>
      <c r="U736" s="74" t="s">
        <v>351</v>
      </c>
      <c r="V736" s="74">
        <v>44327</v>
      </c>
      <c r="W736" s="74">
        <v>44357</v>
      </c>
      <c r="X736" s="55">
        <v>10183241</v>
      </c>
      <c r="Y736" s="55" t="s">
        <v>132</v>
      </c>
      <c r="AB736" s="74" t="s">
        <v>132</v>
      </c>
      <c r="AC736" s="55" t="s">
        <v>132</v>
      </c>
      <c r="AL736" s="74"/>
      <c r="AM736" s="74"/>
      <c r="AW736" s="74"/>
      <c r="AX736" s="74"/>
    </row>
    <row r="737" spans="1:50" ht="13" x14ac:dyDescent="0.15">
      <c r="A737" s="55" t="str">
        <f>HYPERLINK("http://reports.ofsted.gov.uk/inspection-reports/find-inspection-report/provider/CARE/2504494","Ofsted Social Care Provider Webpage")</f>
        <v>Ofsted Social Care Provider Webpage</v>
      </c>
      <c r="B737" s="55">
        <v>2504494</v>
      </c>
      <c r="D737" s="55" t="s">
        <v>373</v>
      </c>
      <c r="E737" s="74">
        <v>43516</v>
      </c>
      <c r="F737" s="55" t="s">
        <v>344</v>
      </c>
      <c r="G737" s="55" t="s">
        <v>360</v>
      </c>
      <c r="H737" s="55" t="s">
        <v>360</v>
      </c>
      <c r="I737" s="55" t="s">
        <v>360</v>
      </c>
      <c r="J737" s="55" t="s">
        <v>360</v>
      </c>
      <c r="K737" s="55" t="s">
        <v>360</v>
      </c>
      <c r="L737" s="55" t="s">
        <v>360</v>
      </c>
      <c r="M737" s="55" t="s">
        <v>172</v>
      </c>
      <c r="N737" s="55" t="s">
        <v>172</v>
      </c>
      <c r="O737" s="55" t="s">
        <v>212</v>
      </c>
      <c r="P737" s="55" t="s">
        <v>514</v>
      </c>
      <c r="Q737" s="55" t="s">
        <v>350</v>
      </c>
      <c r="R737" s="85">
        <v>4</v>
      </c>
      <c r="S737" s="55">
        <v>0</v>
      </c>
      <c r="T737" s="74" t="s">
        <v>1424</v>
      </c>
      <c r="U737" s="74" t="s">
        <v>351</v>
      </c>
      <c r="V737" s="74">
        <v>44404</v>
      </c>
      <c r="W737" s="74">
        <v>44447</v>
      </c>
      <c r="X737" s="55">
        <v>10187484</v>
      </c>
      <c r="Y737" s="55" t="s">
        <v>132</v>
      </c>
      <c r="AB737" s="74" t="s">
        <v>132</v>
      </c>
      <c r="AC737" s="55" t="s">
        <v>132</v>
      </c>
      <c r="AL737" s="74"/>
      <c r="AM737" s="74"/>
      <c r="AW737" s="74"/>
      <c r="AX737" s="74"/>
    </row>
    <row r="738" spans="1:50" ht="13" x14ac:dyDescent="0.15">
      <c r="A738" s="55" t="str">
        <f>HYPERLINK("http://reports.ofsted.gov.uk/inspection-reports/find-inspection-report/provider/CARE/2504775","Ofsted Social Care Provider Webpage")</f>
        <v>Ofsted Social Care Provider Webpage</v>
      </c>
      <c r="B738" s="55">
        <v>2504775</v>
      </c>
      <c r="D738" s="55" t="s">
        <v>373</v>
      </c>
      <c r="E738" s="74">
        <v>43508</v>
      </c>
      <c r="F738" s="55" t="s">
        <v>344</v>
      </c>
      <c r="G738" s="55" t="s">
        <v>360</v>
      </c>
      <c r="H738" s="55" t="s">
        <v>360</v>
      </c>
      <c r="I738" s="55" t="s">
        <v>360</v>
      </c>
      <c r="J738" s="55" t="s">
        <v>360</v>
      </c>
      <c r="K738" s="55" t="s">
        <v>360</v>
      </c>
      <c r="L738" s="55" t="s">
        <v>360</v>
      </c>
      <c r="M738" s="55" t="s">
        <v>150</v>
      </c>
      <c r="N738" s="55" t="s">
        <v>150</v>
      </c>
      <c r="O738" s="55" t="s">
        <v>190</v>
      </c>
      <c r="P738" s="55" t="s">
        <v>830</v>
      </c>
      <c r="Q738" s="55" t="s">
        <v>350</v>
      </c>
      <c r="R738" s="85">
        <v>4</v>
      </c>
      <c r="S738" s="55" t="s">
        <v>332</v>
      </c>
      <c r="T738" s="74" t="s">
        <v>1425</v>
      </c>
      <c r="U738" s="74" t="s">
        <v>351</v>
      </c>
      <c r="V738" s="74">
        <v>44501</v>
      </c>
      <c r="W738" s="74">
        <v>44547</v>
      </c>
      <c r="X738" s="55">
        <v>10186786</v>
      </c>
      <c r="Y738" s="55" t="s">
        <v>132</v>
      </c>
      <c r="AB738" s="74" t="s">
        <v>132</v>
      </c>
      <c r="AC738" s="55" t="s">
        <v>132</v>
      </c>
      <c r="AL738" s="74"/>
      <c r="AM738" s="74"/>
      <c r="AW738" s="74"/>
      <c r="AX738" s="74"/>
    </row>
    <row r="739" spans="1:50" ht="13" x14ac:dyDescent="0.15">
      <c r="A739" s="55" t="str">
        <f>HYPERLINK("http://reports.ofsted.gov.uk/inspection-reports/find-inspection-report/provider/CARE/2505172","Ofsted Social Care Provider Webpage")</f>
        <v>Ofsted Social Care Provider Webpage</v>
      </c>
      <c r="B739" s="55">
        <v>2505172</v>
      </c>
      <c r="D739" s="55" t="s">
        <v>373</v>
      </c>
      <c r="E739" s="74">
        <v>43564</v>
      </c>
      <c r="F739" s="55" t="s">
        <v>344</v>
      </c>
      <c r="G739" s="55" t="s">
        <v>360</v>
      </c>
      <c r="H739" s="55" t="s">
        <v>360</v>
      </c>
      <c r="I739" s="55" t="s">
        <v>360</v>
      </c>
      <c r="J739" s="55" t="s">
        <v>360</v>
      </c>
      <c r="K739" s="55" t="s">
        <v>360</v>
      </c>
      <c r="L739" s="55" t="s">
        <v>360</v>
      </c>
      <c r="M739" s="55" t="s">
        <v>129</v>
      </c>
      <c r="N739" s="55" t="s">
        <v>129</v>
      </c>
      <c r="O739" s="55" t="s">
        <v>192</v>
      </c>
      <c r="P739" s="55" t="s">
        <v>1191</v>
      </c>
      <c r="Q739" s="55" t="s">
        <v>350</v>
      </c>
      <c r="R739" s="85">
        <v>2</v>
      </c>
      <c r="S739" s="55">
        <v>0</v>
      </c>
      <c r="T739" s="74" t="s">
        <v>1018</v>
      </c>
      <c r="U739" s="74" t="s">
        <v>6703</v>
      </c>
      <c r="V739" s="74">
        <v>44602</v>
      </c>
      <c r="W739" s="74">
        <v>44648</v>
      </c>
      <c r="X739" s="55">
        <v>10216422</v>
      </c>
      <c r="Y739" s="55" t="s">
        <v>6704</v>
      </c>
      <c r="AL739" s="74"/>
      <c r="AM739" s="74"/>
    </row>
    <row r="740" spans="1:50" ht="13" x14ac:dyDescent="0.15">
      <c r="A740" s="55" t="str">
        <f>HYPERLINK("http://reports.ofsted.gov.uk/inspection-reports/find-inspection-report/provider/CARE/2505172","Ofsted Social Care Provider Webpage")</f>
        <v>Ofsted Social Care Provider Webpage</v>
      </c>
      <c r="B740" s="55">
        <v>2505172</v>
      </c>
      <c r="D740" s="55" t="s">
        <v>373</v>
      </c>
      <c r="E740" s="74">
        <v>43564</v>
      </c>
      <c r="F740" s="55" t="s">
        <v>344</v>
      </c>
      <c r="G740" s="55" t="s">
        <v>360</v>
      </c>
      <c r="H740" s="55" t="s">
        <v>360</v>
      </c>
      <c r="I740" s="55" t="s">
        <v>360</v>
      </c>
      <c r="J740" s="55" t="s">
        <v>360</v>
      </c>
      <c r="K740" s="55" t="s">
        <v>360</v>
      </c>
      <c r="L740" s="55" t="s">
        <v>360</v>
      </c>
      <c r="M740" s="55" t="s">
        <v>129</v>
      </c>
      <c r="N740" s="55" t="s">
        <v>129</v>
      </c>
      <c r="O740" s="55" t="s">
        <v>192</v>
      </c>
      <c r="P740" s="55" t="s">
        <v>1191</v>
      </c>
      <c r="Q740" s="55" t="s">
        <v>350</v>
      </c>
      <c r="R740" s="85">
        <v>2</v>
      </c>
      <c r="S740" s="55">
        <v>0</v>
      </c>
      <c r="T740" s="74" t="s">
        <v>1018</v>
      </c>
      <c r="U740" s="74" t="s">
        <v>351</v>
      </c>
      <c r="V740" s="74">
        <v>44509</v>
      </c>
      <c r="W740" s="74">
        <v>44592</v>
      </c>
      <c r="X740" s="55">
        <v>10186317</v>
      </c>
      <c r="Y740" s="55" t="s">
        <v>130</v>
      </c>
      <c r="AB740" s="74" t="s">
        <v>130</v>
      </c>
      <c r="AC740" s="55" t="s">
        <v>146</v>
      </c>
      <c r="AL740" s="74"/>
      <c r="AM740" s="74"/>
      <c r="AW740" s="74"/>
      <c r="AX740" s="74"/>
    </row>
    <row r="741" spans="1:50" ht="13" x14ac:dyDescent="0.15">
      <c r="A741" s="55" t="str">
        <f>HYPERLINK("http://reports.ofsted.gov.uk/inspection-reports/find-inspection-report/provider/CARE/2505378","Ofsted Social Care Provider Webpage")</f>
        <v>Ofsted Social Care Provider Webpage</v>
      </c>
      <c r="B741" s="55">
        <v>2505378</v>
      </c>
      <c r="D741" s="55" t="s">
        <v>373</v>
      </c>
      <c r="E741" s="74">
        <v>43484</v>
      </c>
      <c r="F741" s="55" t="s">
        <v>344</v>
      </c>
      <c r="G741" s="55" t="s">
        <v>360</v>
      </c>
      <c r="H741" s="55" t="s">
        <v>360</v>
      </c>
      <c r="I741" s="55" t="s">
        <v>360</v>
      </c>
      <c r="J741" s="55" t="s">
        <v>360</v>
      </c>
      <c r="K741" s="55" t="s">
        <v>360</v>
      </c>
      <c r="L741" s="55" t="s">
        <v>360</v>
      </c>
      <c r="M741" s="55" t="s">
        <v>172</v>
      </c>
      <c r="N741" s="55" t="s">
        <v>172</v>
      </c>
      <c r="O741" s="55" t="s">
        <v>214</v>
      </c>
      <c r="P741" s="55" t="s">
        <v>1426</v>
      </c>
      <c r="Q741" s="55" t="s">
        <v>350</v>
      </c>
      <c r="R741" s="85">
        <v>3</v>
      </c>
      <c r="S741" s="55">
        <v>0</v>
      </c>
      <c r="T741" s="74" t="s">
        <v>517</v>
      </c>
      <c r="U741" s="74" t="s">
        <v>351</v>
      </c>
      <c r="V741" s="74">
        <v>44467</v>
      </c>
      <c r="W741" s="74">
        <v>44496</v>
      </c>
      <c r="X741" s="55">
        <v>10186488</v>
      </c>
      <c r="Y741" s="55" t="s">
        <v>132</v>
      </c>
      <c r="AB741" s="74" t="s">
        <v>132</v>
      </c>
      <c r="AC741" s="55" t="s">
        <v>132</v>
      </c>
      <c r="AL741" s="74"/>
      <c r="AM741" s="74"/>
    </row>
    <row r="742" spans="1:50" ht="13" x14ac:dyDescent="0.15">
      <c r="A742" s="55" t="str">
        <f>HYPERLINK("http://reports.ofsted.gov.uk/inspection-reports/find-inspection-report/provider/CARE/2506101","Ofsted Social Care Provider Webpage")</f>
        <v>Ofsted Social Care Provider Webpage</v>
      </c>
      <c r="B742" s="55">
        <v>2506101</v>
      </c>
      <c r="D742" s="55" t="s">
        <v>373</v>
      </c>
      <c r="E742" s="74">
        <v>43552</v>
      </c>
      <c r="F742" s="55" t="s">
        <v>344</v>
      </c>
      <c r="G742" s="55" t="s">
        <v>360</v>
      </c>
      <c r="H742" s="55" t="s">
        <v>360</v>
      </c>
      <c r="I742" s="55" t="s">
        <v>360</v>
      </c>
      <c r="J742" s="55" t="s">
        <v>360</v>
      </c>
      <c r="K742" s="55" t="s">
        <v>360</v>
      </c>
      <c r="L742" s="55" t="s">
        <v>360</v>
      </c>
      <c r="M742" s="55" t="s">
        <v>129</v>
      </c>
      <c r="N742" s="55" t="s">
        <v>129</v>
      </c>
      <c r="O742" s="55" t="s">
        <v>201</v>
      </c>
      <c r="P742" s="55" t="s">
        <v>1427</v>
      </c>
      <c r="Q742" s="55" t="s">
        <v>350</v>
      </c>
      <c r="R742" s="85">
        <v>5</v>
      </c>
      <c r="S742" s="55">
        <v>0</v>
      </c>
      <c r="T742" s="74" t="s">
        <v>939</v>
      </c>
      <c r="U742" s="74" t="s">
        <v>351</v>
      </c>
      <c r="V742" s="74">
        <v>44608</v>
      </c>
      <c r="W742" s="74">
        <v>44651</v>
      </c>
      <c r="X742" s="55">
        <v>10185138</v>
      </c>
      <c r="Y742" s="55" t="s">
        <v>132</v>
      </c>
      <c r="AB742" s="74" t="s">
        <v>132</v>
      </c>
      <c r="AC742" s="55" t="s">
        <v>132</v>
      </c>
      <c r="AL742" s="74"/>
      <c r="AM742" s="74"/>
      <c r="AW742" s="74"/>
      <c r="AX742" s="74"/>
    </row>
    <row r="743" spans="1:50" ht="13" x14ac:dyDescent="0.15">
      <c r="A743" s="55" t="str">
        <f>HYPERLINK("http://reports.ofsted.gov.uk/inspection-reports/find-inspection-report/provider/CARE/2506232","Ofsted Social Care Provider Webpage")</f>
        <v>Ofsted Social Care Provider Webpage</v>
      </c>
      <c r="B743" s="55">
        <v>2506232</v>
      </c>
      <c r="D743" s="55" t="s">
        <v>373</v>
      </c>
      <c r="E743" s="74">
        <v>43509</v>
      </c>
      <c r="F743" s="55" t="s">
        <v>344</v>
      </c>
      <c r="G743" s="55" t="s">
        <v>360</v>
      </c>
      <c r="H743" s="55" t="s">
        <v>360</v>
      </c>
      <c r="I743" s="55" t="s">
        <v>360</v>
      </c>
      <c r="J743" s="55" t="s">
        <v>360</v>
      </c>
      <c r="K743" s="55" t="s">
        <v>360</v>
      </c>
      <c r="L743" s="55" t="s">
        <v>360</v>
      </c>
      <c r="M743" s="55" t="s">
        <v>150</v>
      </c>
      <c r="N743" s="55" t="s">
        <v>150</v>
      </c>
      <c r="O743" s="55" t="s">
        <v>190</v>
      </c>
      <c r="P743" s="55" t="s">
        <v>1428</v>
      </c>
      <c r="Q743" s="55" t="s">
        <v>350</v>
      </c>
      <c r="R743" s="85">
        <v>3</v>
      </c>
      <c r="S743" s="55">
        <v>0</v>
      </c>
      <c r="T743" s="74" t="s">
        <v>755</v>
      </c>
      <c r="U743" s="74" t="s">
        <v>351</v>
      </c>
      <c r="V743" s="74">
        <v>44538</v>
      </c>
      <c r="W743" s="74">
        <v>44599</v>
      </c>
      <c r="X743" s="55">
        <v>10187271</v>
      </c>
      <c r="Y743" s="55" t="s">
        <v>132</v>
      </c>
      <c r="AB743" s="74" t="s">
        <v>132</v>
      </c>
      <c r="AC743" s="55" t="s">
        <v>132</v>
      </c>
      <c r="AL743" s="74"/>
      <c r="AM743" s="74"/>
      <c r="AW743" s="74"/>
      <c r="AX743" s="74"/>
    </row>
    <row r="744" spans="1:50" ht="13" x14ac:dyDescent="0.15">
      <c r="A744" s="55" t="str">
        <f>HYPERLINK("http://reports.ofsted.gov.uk/inspection-reports/find-inspection-report/provider/CARE/2506856","Ofsted Social Care Provider Webpage")</f>
        <v>Ofsted Social Care Provider Webpage</v>
      </c>
      <c r="B744" s="55">
        <v>2506856</v>
      </c>
      <c r="D744" s="55" t="s">
        <v>373</v>
      </c>
      <c r="E744" s="74">
        <v>43487</v>
      </c>
      <c r="F744" s="55" t="s">
        <v>344</v>
      </c>
      <c r="G744" s="55" t="s">
        <v>360</v>
      </c>
      <c r="H744" s="55" t="s">
        <v>360</v>
      </c>
      <c r="I744" s="55" t="s">
        <v>360</v>
      </c>
      <c r="J744" s="55" t="s">
        <v>360</v>
      </c>
      <c r="K744" s="55" t="s">
        <v>360</v>
      </c>
      <c r="L744" s="55" t="s">
        <v>360</v>
      </c>
      <c r="M744" s="55" t="s">
        <v>144</v>
      </c>
      <c r="N744" s="55" t="s">
        <v>144</v>
      </c>
      <c r="O744" s="55" t="s">
        <v>168</v>
      </c>
      <c r="P744" s="55" t="s">
        <v>708</v>
      </c>
      <c r="Q744" s="55" t="s">
        <v>350</v>
      </c>
      <c r="R744" s="85">
        <v>3</v>
      </c>
      <c r="S744" s="55">
        <v>0</v>
      </c>
      <c r="T744" s="74" t="s">
        <v>709</v>
      </c>
      <c r="U744" s="74" t="s">
        <v>351</v>
      </c>
      <c r="V744" s="74">
        <v>44377</v>
      </c>
      <c r="W744" s="74">
        <v>44413</v>
      </c>
      <c r="X744" s="55">
        <v>10185940</v>
      </c>
      <c r="Y744" s="55" t="s">
        <v>132</v>
      </c>
      <c r="AB744" s="74" t="s">
        <v>132</v>
      </c>
      <c r="AC744" s="55" t="s">
        <v>132</v>
      </c>
      <c r="AL744" s="74"/>
      <c r="AM744" s="74"/>
      <c r="AW744" s="74"/>
      <c r="AX744" s="74"/>
    </row>
    <row r="745" spans="1:50" ht="13" x14ac:dyDescent="0.15">
      <c r="A745" s="55" t="str">
        <f>HYPERLINK("http://reports.ofsted.gov.uk/inspection-reports/find-inspection-report/provider/CARE/2507350","Ofsted Social Care Provider Webpage")</f>
        <v>Ofsted Social Care Provider Webpage</v>
      </c>
      <c r="B745" s="55">
        <v>2507350</v>
      </c>
      <c r="D745" s="55" t="s">
        <v>373</v>
      </c>
      <c r="E745" s="74">
        <v>43564</v>
      </c>
      <c r="F745" s="55" t="s">
        <v>344</v>
      </c>
      <c r="G745" s="55" t="s">
        <v>360</v>
      </c>
      <c r="H745" s="55" t="s">
        <v>360</v>
      </c>
      <c r="I745" s="55" t="s">
        <v>360</v>
      </c>
      <c r="J745" s="55" t="s">
        <v>360</v>
      </c>
      <c r="K745" s="55" t="s">
        <v>360</v>
      </c>
      <c r="L745" s="55" t="s">
        <v>360</v>
      </c>
      <c r="M745" s="55" t="s">
        <v>172</v>
      </c>
      <c r="N745" s="55" t="s">
        <v>172</v>
      </c>
      <c r="O745" s="55" t="s">
        <v>211</v>
      </c>
      <c r="P745" s="55" t="s">
        <v>1343</v>
      </c>
      <c r="Q745" s="55" t="s">
        <v>362</v>
      </c>
      <c r="R745" s="85">
        <v>3</v>
      </c>
      <c r="S745" s="55">
        <v>0</v>
      </c>
      <c r="T745" s="74" t="s">
        <v>1429</v>
      </c>
      <c r="U745" s="74" t="s">
        <v>351</v>
      </c>
      <c r="V745" s="74">
        <v>44431</v>
      </c>
      <c r="W745" s="74">
        <v>44467</v>
      </c>
      <c r="X745" s="55">
        <v>10186759</v>
      </c>
      <c r="Y745" s="55" t="s">
        <v>130</v>
      </c>
      <c r="AB745" s="74" t="s">
        <v>130</v>
      </c>
      <c r="AC745" s="55" t="s">
        <v>130</v>
      </c>
      <c r="AL745" s="74"/>
      <c r="AM745" s="74"/>
      <c r="AW745" s="74"/>
      <c r="AX745" s="74"/>
    </row>
    <row r="746" spans="1:50" ht="13" x14ac:dyDescent="0.15">
      <c r="A746" s="55" t="str">
        <f>HYPERLINK("http://reports.ofsted.gov.uk/inspection-reports/find-inspection-report/provider/CARE/2507350","Ofsted Social Care Provider Webpage")</f>
        <v>Ofsted Social Care Provider Webpage</v>
      </c>
      <c r="B746" s="55">
        <v>2507350</v>
      </c>
      <c r="D746" s="55" t="s">
        <v>373</v>
      </c>
      <c r="E746" s="74">
        <v>43564</v>
      </c>
      <c r="F746" s="55" t="s">
        <v>344</v>
      </c>
      <c r="G746" s="55" t="s">
        <v>360</v>
      </c>
      <c r="H746" s="55" t="s">
        <v>360</v>
      </c>
      <c r="I746" s="55" t="s">
        <v>360</v>
      </c>
      <c r="J746" s="55" t="s">
        <v>360</v>
      </c>
      <c r="K746" s="55" t="s">
        <v>360</v>
      </c>
      <c r="L746" s="55" t="s">
        <v>360</v>
      </c>
      <c r="M746" s="55" t="s">
        <v>172</v>
      </c>
      <c r="N746" s="55" t="s">
        <v>172</v>
      </c>
      <c r="O746" s="55" t="s">
        <v>211</v>
      </c>
      <c r="P746" s="55" t="s">
        <v>1343</v>
      </c>
      <c r="Q746" s="55" t="s">
        <v>362</v>
      </c>
      <c r="R746" s="85">
        <v>3</v>
      </c>
      <c r="S746" s="55">
        <v>0</v>
      </c>
      <c r="T746" s="74" t="s">
        <v>1429</v>
      </c>
      <c r="U746" s="74" t="s">
        <v>6703</v>
      </c>
      <c r="V746" s="74">
        <v>44607</v>
      </c>
      <c r="W746" s="74">
        <v>44651</v>
      </c>
      <c r="X746" s="55">
        <v>10218121</v>
      </c>
      <c r="Y746" s="55" t="s">
        <v>6705</v>
      </c>
      <c r="AL746" s="74"/>
      <c r="AM746" s="74"/>
    </row>
    <row r="747" spans="1:50" ht="13" x14ac:dyDescent="0.15">
      <c r="A747" s="55" t="str">
        <f>HYPERLINK("http://reports.ofsted.gov.uk/inspection-reports/find-inspection-report/provider/CARE/2507361","Ofsted Social Care Provider Webpage")</f>
        <v>Ofsted Social Care Provider Webpage</v>
      </c>
      <c r="B747" s="55">
        <v>2507361</v>
      </c>
      <c r="D747" s="55" t="s">
        <v>373</v>
      </c>
      <c r="E747" s="74">
        <v>43564</v>
      </c>
      <c r="F747" s="55" t="s">
        <v>344</v>
      </c>
      <c r="G747" s="55" t="s">
        <v>360</v>
      </c>
      <c r="H747" s="55" t="s">
        <v>360</v>
      </c>
      <c r="I747" s="55" t="s">
        <v>360</v>
      </c>
      <c r="J747" s="55" t="s">
        <v>360</v>
      </c>
      <c r="K747" s="55" t="s">
        <v>360</v>
      </c>
      <c r="L747" s="55" t="s">
        <v>360</v>
      </c>
      <c r="M747" s="55" t="s">
        <v>142</v>
      </c>
      <c r="N747" s="55" t="s">
        <v>142</v>
      </c>
      <c r="O747" s="55" t="s">
        <v>252</v>
      </c>
      <c r="P747" s="55" t="s">
        <v>503</v>
      </c>
      <c r="Q747" s="55" t="s">
        <v>350</v>
      </c>
      <c r="R747" s="85">
        <v>2</v>
      </c>
      <c r="S747" s="55">
        <v>0</v>
      </c>
      <c r="T747" s="74" t="s">
        <v>504</v>
      </c>
      <c r="U747" s="74" t="s">
        <v>351</v>
      </c>
      <c r="V747" s="74">
        <v>44508</v>
      </c>
      <c r="W747" s="74">
        <v>44551</v>
      </c>
      <c r="X747" s="55">
        <v>10186588</v>
      </c>
      <c r="Y747" s="55" t="s">
        <v>140</v>
      </c>
      <c r="AB747" s="74" t="s">
        <v>140</v>
      </c>
      <c r="AC747" s="55" t="s">
        <v>140</v>
      </c>
      <c r="AL747" s="74"/>
      <c r="AM747" s="74"/>
      <c r="AW747" s="74"/>
      <c r="AX747" s="74"/>
    </row>
    <row r="748" spans="1:50" ht="13" x14ac:dyDescent="0.15">
      <c r="A748" s="55" t="str">
        <f>HYPERLINK("http://reports.ofsted.gov.uk/inspection-reports/find-inspection-report/provider/CARE/2507393","Ofsted Social Care Provider Webpage")</f>
        <v>Ofsted Social Care Provider Webpage</v>
      </c>
      <c r="B748" s="55">
        <v>2507393</v>
      </c>
      <c r="D748" s="55" t="s">
        <v>373</v>
      </c>
      <c r="E748" s="74">
        <v>43713</v>
      </c>
      <c r="F748" s="55" t="s">
        <v>344</v>
      </c>
      <c r="G748" s="55" t="s">
        <v>360</v>
      </c>
      <c r="H748" s="55" t="s">
        <v>360</v>
      </c>
      <c r="I748" s="55" t="s">
        <v>360</v>
      </c>
      <c r="J748" s="55" t="s">
        <v>360</v>
      </c>
      <c r="K748" s="55" t="s">
        <v>360</v>
      </c>
      <c r="L748" s="55" t="s">
        <v>360</v>
      </c>
      <c r="M748" s="55" t="s">
        <v>142</v>
      </c>
      <c r="N748" s="55" t="s">
        <v>142</v>
      </c>
      <c r="O748" s="55" t="s">
        <v>262</v>
      </c>
      <c r="P748" s="55" t="s">
        <v>488</v>
      </c>
      <c r="Q748" s="55" t="s">
        <v>350</v>
      </c>
      <c r="R748" s="85">
        <v>2</v>
      </c>
      <c r="S748" s="55">
        <v>0</v>
      </c>
      <c r="T748" s="74" t="s">
        <v>1430</v>
      </c>
      <c r="U748" s="74" t="s">
        <v>351</v>
      </c>
      <c r="V748" s="74">
        <v>44572</v>
      </c>
      <c r="W748" s="74">
        <v>44634</v>
      </c>
      <c r="X748" s="55">
        <v>10186137</v>
      </c>
      <c r="Y748" s="55" t="s">
        <v>132</v>
      </c>
      <c r="AB748" s="74" t="s">
        <v>130</v>
      </c>
      <c r="AC748" s="55" t="s">
        <v>132</v>
      </c>
      <c r="AL748" s="74"/>
      <c r="AM748" s="74"/>
      <c r="AW748" s="74"/>
      <c r="AX748" s="74"/>
    </row>
    <row r="749" spans="1:50" ht="13" x14ac:dyDescent="0.15">
      <c r="A749" s="55" t="str">
        <f>HYPERLINK("http://reports.ofsted.gov.uk/inspection-reports/find-inspection-report/provider/CARE/2507631","Ofsted Social Care Provider Webpage")</f>
        <v>Ofsted Social Care Provider Webpage</v>
      </c>
      <c r="B749" s="55">
        <v>2507631</v>
      </c>
      <c r="D749" s="55" t="s">
        <v>373</v>
      </c>
      <c r="E749" s="74">
        <v>43469</v>
      </c>
      <c r="F749" s="55" t="s">
        <v>344</v>
      </c>
      <c r="G749" s="55" t="s">
        <v>360</v>
      </c>
      <c r="H749" s="55" t="s">
        <v>360</v>
      </c>
      <c r="I749" s="55" t="s">
        <v>360</v>
      </c>
      <c r="J749" s="55" t="s">
        <v>360</v>
      </c>
      <c r="K749" s="55" t="s">
        <v>360</v>
      </c>
      <c r="L749" s="55" t="s">
        <v>360</v>
      </c>
      <c r="M749" s="55" t="s">
        <v>136</v>
      </c>
      <c r="N749" s="55" t="s">
        <v>136</v>
      </c>
      <c r="O749" s="55" t="s">
        <v>255</v>
      </c>
      <c r="P749" s="55" t="s">
        <v>757</v>
      </c>
      <c r="Q749" s="55" t="s">
        <v>350</v>
      </c>
      <c r="R749" s="85">
        <v>4</v>
      </c>
      <c r="S749" s="55">
        <v>0</v>
      </c>
      <c r="T749" s="74" t="s">
        <v>789</v>
      </c>
      <c r="U749" s="74" t="s">
        <v>351</v>
      </c>
      <c r="V749" s="74">
        <v>44404</v>
      </c>
      <c r="W749" s="74">
        <v>44442</v>
      </c>
      <c r="X749" s="55">
        <v>10186284</v>
      </c>
      <c r="Y749" s="55" t="s">
        <v>130</v>
      </c>
      <c r="AB749" s="74" t="s">
        <v>130</v>
      </c>
      <c r="AC749" s="55" t="s">
        <v>130</v>
      </c>
      <c r="AL749" s="74"/>
      <c r="AM749" s="74"/>
      <c r="AW749" s="74"/>
      <c r="AX749" s="74"/>
    </row>
    <row r="750" spans="1:50" ht="13" x14ac:dyDescent="0.15">
      <c r="A750" s="55" t="str">
        <f>HYPERLINK("http://reports.ofsted.gov.uk/inspection-reports/find-inspection-report/provider/CARE/2507724","Ofsted Social Care Provider Webpage")</f>
        <v>Ofsted Social Care Provider Webpage</v>
      </c>
      <c r="B750" s="55">
        <v>2507724</v>
      </c>
      <c r="D750" s="55" t="s">
        <v>373</v>
      </c>
      <c r="E750" s="74">
        <v>43539</v>
      </c>
      <c r="F750" s="55" t="s">
        <v>344</v>
      </c>
      <c r="G750" s="55" t="s">
        <v>360</v>
      </c>
      <c r="H750" s="55" t="s">
        <v>360</v>
      </c>
      <c r="I750" s="55" t="s">
        <v>360</v>
      </c>
      <c r="J750" s="55" t="s">
        <v>360</v>
      </c>
      <c r="K750" s="55" t="s">
        <v>360</v>
      </c>
      <c r="L750" s="55" t="s">
        <v>360</v>
      </c>
      <c r="M750" s="55" t="s">
        <v>142</v>
      </c>
      <c r="N750" s="55" t="s">
        <v>142</v>
      </c>
      <c r="O750" s="55" t="s">
        <v>166</v>
      </c>
      <c r="P750" s="55" t="s">
        <v>1301</v>
      </c>
      <c r="Q750" s="55" t="s">
        <v>380</v>
      </c>
      <c r="R750" s="85">
        <v>4</v>
      </c>
      <c r="S750" s="55">
        <v>0</v>
      </c>
      <c r="T750" s="74" t="s">
        <v>1302</v>
      </c>
      <c r="U750" s="74" t="s">
        <v>351</v>
      </c>
      <c r="V750" s="74">
        <v>44587</v>
      </c>
      <c r="W750" s="74">
        <v>44642</v>
      </c>
      <c r="X750" s="55">
        <v>10185338</v>
      </c>
      <c r="Y750" s="55" t="s">
        <v>130</v>
      </c>
      <c r="AB750" s="74" t="s">
        <v>130</v>
      </c>
      <c r="AC750" s="55" t="s">
        <v>130</v>
      </c>
      <c r="AL750" s="74"/>
      <c r="AM750" s="74"/>
      <c r="AW750" s="74"/>
      <c r="AX750" s="74"/>
    </row>
    <row r="751" spans="1:50" ht="13" x14ac:dyDescent="0.15">
      <c r="A751" s="55" t="str">
        <f>HYPERLINK("http://reports.ofsted.gov.uk/inspection-reports/find-inspection-report/provider/CARE/2508153","Ofsted Social Care Provider Webpage")</f>
        <v>Ofsted Social Care Provider Webpage</v>
      </c>
      <c r="B751" s="55">
        <v>2508153</v>
      </c>
      <c r="D751" s="55" t="s">
        <v>373</v>
      </c>
      <c r="E751" s="74">
        <v>43501</v>
      </c>
      <c r="F751" s="55" t="s">
        <v>344</v>
      </c>
      <c r="G751" s="55" t="s">
        <v>360</v>
      </c>
      <c r="H751" s="55" t="s">
        <v>360</v>
      </c>
      <c r="I751" s="55" t="s">
        <v>360</v>
      </c>
      <c r="J751" s="55" t="s">
        <v>360</v>
      </c>
      <c r="K751" s="55" t="s">
        <v>360</v>
      </c>
      <c r="L751" s="55" t="s">
        <v>360</v>
      </c>
      <c r="M751" s="55" t="s">
        <v>144</v>
      </c>
      <c r="N751" s="55" t="s">
        <v>144</v>
      </c>
      <c r="O751" s="55" t="s">
        <v>145</v>
      </c>
      <c r="P751" s="55" t="s">
        <v>525</v>
      </c>
      <c r="Q751" s="55" t="s">
        <v>350</v>
      </c>
      <c r="R751" s="85">
        <v>2</v>
      </c>
      <c r="S751" s="55">
        <v>0</v>
      </c>
      <c r="T751" s="74" t="s">
        <v>485</v>
      </c>
      <c r="U751" s="74" t="s">
        <v>351</v>
      </c>
      <c r="V751" s="74">
        <v>44630</v>
      </c>
      <c r="W751" s="74">
        <v>44672</v>
      </c>
      <c r="X751" s="55">
        <v>10186463</v>
      </c>
      <c r="Y751" s="55" t="s">
        <v>140</v>
      </c>
      <c r="AB751" s="74" t="s">
        <v>140</v>
      </c>
      <c r="AC751" s="55" t="s">
        <v>140</v>
      </c>
      <c r="AL751" s="74"/>
      <c r="AM751" s="74"/>
      <c r="AW751" s="74"/>
      <c r="AX751" s="74"/>
    </row>
    <row r="752" spans="1:50" ht="13" x14ac:dyDescent="0.15">
      <c r="A752" s="55" t="str">
        <f>HYPERLINK("http://reports.ofsted.gov.uk/inspection-reports/find-inspection-report/provider/CARE/2508344","Ofsted Social Care Provider Webpage")</f>
        <v>Ofsted Social Care Provider Webpage</v>
      </c>
      <c r="B752" s="55">
        <v>2508344</v>
      </c>
      <c r="D752" s="55" t="s">
        <v>373</v>
      </c>
      <c r="E752" s="74">
        <v>43545</v>
      </c>
      <c r="F752" s="55" t="s">
        <v>344</v>
      </c>
      <c r="G752" s="55" t="s">
        <v>360</v>
      </c>
      <c r="H752" s="55" t="s">
        <v>360</v>
      </c>
      <c r="I752" s="55" t="s">
        <v>360</v>
      </c>
      <c r="J752" s="55" t="s">
        <v>360</v>
      </c>
      <c r="K752" s="55" t="s">
        <v>360</v>
      </c>
      <c r="L752" s="55" t="s">
        <v>360</v>
      </c>
      <c r="M752" s="55" t="s">
        <v>172</v>
      </c>
      <c r="N752" s="55" t="s">
        <v>172</v>
      </c>
      <c r="O752" s="55" t="s">
        <v>173</v>
      </c>
      <c r="P752" s="55" t="s">
        <v>1198</v>
      </c>
      <c r="Q752" s="55" t="s">
        <v>380</v>
      </c>
      <c r="R752" s="85">
        <v>2</v>
      </c>
      <c r="S752" s="55">
        <v>0</v>
      </c>
      <c r="T752" s="74" t="s">
        <v>1431</v>
      </c>
      <c r="U752" s="74" t="s">
        <v>351</v>
      </c>
      <c r="V752" s="74">
        <v>44495</v>
      </c>
      <c r="W752" s="74">
        <v>44533</v>
      </c>
      <c r="X752" s="55">
        <v>10186304</v>
      </c>
      <c r="Y752" s="55" t="s">
        <v>140</v>
      </c>
      <c r="AB752" s="74" t="s">
        <v>140</v>
      </c>
      <c r="AC752" s="55" t="s">
        <v>140</v>
      </c>
      <c r="AL752" s="74"/>
      <c r="AM752" s="74"/>
      <c r="AW752" s="74"/>
      <c r="AX752" s="74"/>
    </row>
    <row r="753" spans="1:50" ht="13" x14ac:dyDescent="0.15">
      <c r="A753" s="55" t="str">
        <f>HYPERLINK("http://reports.ofsted.gov.uk/inspection-reports/find-inspection-report/provider/CARE/2508451","Ofsted Social Care Provider Webpage")</f>
        <v>Ofsted Social Care Provider Webpage</v>
      </c>
      <c r="B753" s="55">
        <v>2508451</v>
      </c>
      <c r="D753" s="55" t="s">
        <v>373</v>
      </c>
      <c r="E753" s="74">
        <v>43451</v>
      </c>
      <c r="F753" s="55" t="s">
        <v>344</v>
      </c>
      <c r="G753" s="55" t="s">
        <v>360</v>
      </c>
      <c r="H753" s="55" t="s">
        <v>360</v>
      </c>
      <c r="I753" s="55" t="s">
        <v>360</v>
      </c>
      <c r="J753" s="55" t="s">
        <v>360</v>
      </c>
      <c r="K753" s="55" t="s">
        <v>360</v>
      </c>
      <c r="L753" s="55" t="s">
        <v>360</v>
      </c>
      <c r="M753" s="55" t="s">
        <v>150</v>
      </c>
      <c r="N753" s="55" t="s">
        <v>150</v>
      </c>
      <c r="O753" s="55" t="s">
        <v>190</v>
      </c>
      <c r="P753" s="55" t="s">
        <v>966</v>
      </c>
      <c r="Q753" s="55" t="s">
        <v>380</v>
      </c>
      <c r="R753" s="85">
        <v>4</v>
      </c>
      <c r="S753" s="55">
        <v>0</v>
      </c>
      <c r="T753" s="74" t="s">
        <v>967</v>
      </c>
      <c r="U753" s="74" t="s">
        <v>351</v>
      </c>
      <c r="V753" s="74">
        <v>44454</v>
      </c>
      <c r="W753" s="74">
        <v>44496</v>
      </c>
      <c r="X753" s="55">
        <v>10185060</v>
      </c>
      <c r="Y753" s="55" t="s">
        <v>130</v>
      </c>
      <c r="AB753" s="74" t="s">
        <v>130</v>
      </c>
      <c r="AC753" s="55" t="s">
        <v>130</v>
      </c>
      <c r="AL753" s="74"/>
      <c r="AM753" s="74"/>
    </row>
    <row r="754" spans="1:50" ht="13" x14ac:dyDescent="0.15">
      <c r="A754" s="55" t="str">
        <f>HYPERLINK("http://reports.ofsted.gov.uk/inspection-reports/find-inspection-report/provider/CARE/2508456","Ofsted Social Care Provider Webpage")</f>
        <v>Ofsted Social Care Provider Webpage</v>
      </c>
      <c r="B754" s="55">
        <v>2508456</v>
      </c>
      <c r="D754" s="55" t="s">
        <v>373</v>
      </c>
      <c r="E754" s="74">
        <v>43579</v>
      </c>
      <c r="F754" s="55" t="s">
        <v>344</v>
      </c>
      <c r="G754" s="55" t="s">
        <v>360</v>
      </c>
      <c r="H754" s="55" t="s">
        <v>360</v>
      </c>
      <c r="I754" s="55" t="s">
        <v>360</v>
      </c>
      <c r="J754" s="55" t="s">
        <v>360</v>
      </c>
      <c r="K754" s="55" t="s">
        <v>360</v>
      </c>
      <c r="L754" s="55" t="s">
        <v>360</v>
      </c>
      <c r="M754" s="55" t="s">
        <v>142</v>
      </c>
      <c r="N754" s="55" t="s">
        <v>142</v>
      </c>
      <c r="O754" s="55" t="s">
        <v>262</v>
      </c>
      <c r="P754" s="55" t="s">
        <v>1215</v>
      </c>
      <c r="Q754" s="55" t="s">
        <v>350</v>
      </c>
      <c r="R754" s="85">
        <v>3</v>
      </c>
      <c r="S754" s="55">
        <v>0</v>
      </c>
      <c r="T754" s="74" t="s">
        <v>917</v>
      </c>
      <c r="U754" s="74" t="s">
        <v>351</v>
      </c>
      <c r="V754" s="74">
        <v>44459</v>
      </c>
      <c r="W754" s="74">
        <v>44501</v>
      </c>
      <c r="X754" s="55">
        <v>10186621</v>
      </c>
      <c r="Y754" s="55" t="s">
        <v>140</v>
      </c>
      <c r="AB754" s="74" t="s">
        <v>140</v>
      </c>
      <c r="AC754" s="55" t="s">
        <v>132</v>
      </c>
      <c r="AL754" s="74"/>
      <c r="AM754" s="74"/>
      <c r="AW754" s="74"/>
      <c r="AX754" s="74"/>
    </row>
    <row r="755" spans="1:50" ht="13" x14ac:dyDescent="0.15">
      <c r="A755" s="55" t="str">
        <f>HYPERLINK("http://reports.ofsted.gov.uk/inspection-reports/find-inspection-report/provider/CARE/2508513","Ofsted Social Care Provider Webpage")</f>
        <v>Ofsted Social Care Provider Webpage</v>
      </c>
      <c r="B755" s="55">
        <v>2508513</v>
      </c>
      <c r="D755" s="55" t="s">
        <v>373</v>
      </c>
      <c r="E755" s="74">
        <v>43487</v>
      </c>
      <c r="F755" s="55" t="s">
        <v>344</v>
      </c>
      <c r="G755" s="55" t="s">
        <v>360</v>
      </c>
      <c r="H755" s="55" t="s">
        <v>360</v>
      </c>
      <c r="I755" s="55" t="s">
        <v>360</v>
      </c>
      <c r="J755" s="55" t="s">
        <v>360</v>
      </c>
      <c r="K755" s="55" t="s">
        <v>360</v>
      </c>
      <c r="L755" s="55" t="s">
        <v>360</v>
      </c>
      <c r="M755" s="55" t="s">
        <v>144</v>
      </c>
      <c r="N755" s="55" t="s">
        <v>144</v>
      </c>
      <c r="O755" s="55" t="s">
        <v>168</v>
      </c>
      <c r="P755" s="55" t="s">
        <v>708</v>
      </c>
      <c r="Q755" s="55" t="s">
        <v>380</v>
      </c>
      <c r="R755" s="85">
        <v>6</v>
      </c>
      <c r="S755" s="55">
        <v>0</v>
      </c>
      <c r="T755" s="74" t="s">
        <v>1432</v>
      </c>
      <c r="U755" s="74" t="s">
        <v>351</v>
      </c>
      <c r="V755" s="74">
        <v>44398</v>
      </c>
      <c r="W755" s="74">
        <v>44434</v>
      </c>
      <c r="X755" s="55">
        <v>10185012</v>
      </c>
      <c r="Y755" s="55" t="s">
        <v>132</v>
      </c>
      <c r="AB755" s="74" t="s">
        <v>132</v>
      </c>
      <c r="AC755" s="55" t="s">
        <v>132</v>
      </c>
      <c r="AL755" s="74"/>
      <c r="AM755" s="74"/>
      <c r="AW755" s="74"/>
      <c r="AX755" s="74"/>
    </row>
    <row r="756" spans="1:50" ht="13" x14ac:dyDescent="0.15">
      <c r="A756" s="55" t="str">
        <f>HYPERLINK("http://reports.ofsted.gov.uk/inspection-reports/find-inspection-report/provider/CARE/2508525","Ofsted Social Care Provider Webpage")</f>
        <v>Ofsted Social Care Provider Webpage</v>
      </c>
      <c r="B756" s="55">
        <v>2508525</v>
      </c>
      <c r="D756" s="55" t="s">
        <v>373</v>
      </c>
      <c r="E756" s="74">
        <v>43524</v>
      </c>
      <c r="F756" s="55" t="s">
        <v>344</v>
      </c>
      <c r="G756" s="55" t="s">
        <v>360</v>
      </c>
      <c r="H756" s="55" t="s">
        <v>360</v>
      </c>
      <c r="I756" s="55" t="s">
        <v>360</v>
      </c>
      <c r="J756" s="55" t="s">
        <v>360</v>
      </c>
      <c r="K756" s="55" t="s">
        <v>360</v>
      </c>
      <c r="L756" s="55" t="s">
        <v>360</v>
      </c>
      <c r="M756" s="55" t="s">
        <v>172</v>
      </c>
      <c r="N756" s="55" t="s">
        <v>172</v>
      </c>
      <c r="O756" s="55" t="s">
        <v>235</v>
      </c>
      <c r="P756" s="55" t="s">
        <v>948</v>
      </c>
      <c r="Q756" s="55" t="s">
        <v>350</v>
      </c>
      <c r="R756" s="85">
        <v>4</v>
      </c>
      <c r="S756" s="55">
        <v>0</v>
      </c>
      <c r="T756" s="74" t="s">
        <v>1433</v>
      </c>
      <c r="U756" s="74" t="s">
        <v>351</v>
      </c>
      <c r="V756" s="74">
        <v>44621</v>
      </c>
      <c r="W756" s="74">
        <v>44657</v>
      </c>
      <c r="X756" s="55">
        <v>10186283</v>
      </c>
      <c r="Y756" s="55" t="s">
        <v>132</v>
      </c>
      <c r="AB756" s="74" t="s">
        <v>132</v>
      </c>
      <c r="AC756" s="55" t="s">
        <v>140</v>
      </c>
      <c r="AL756" s="74"/>
      <c r="AM756" s="74"/>
      <c r="AW756" s="74"/>
      <c r="AX756" s="74"/>
    </row>
    <row r="757" spans="1:50" ht="13" x14ac:dyDescent="0.15">
      <c r="A757" s="55" t="str">
        <f>HYPERLINK("http://reports.ofsted.gov.uk/inspection-reports/find-inspection-report/provider/CARE/2508601","Ofsted Social Care Provider Webpage")</f>
        <v>Ofsted Social Care Provider Webpage</v>
      </c>
      <c r="B757" s="55">
        <v>2508601</v>
      </c>
      <c r="D757" s="55" t="s">
        <v>373</v>
      </c>
      <c r="E757" s="74">
        <v>43566</v>
      </c>
      <c r="F757" s="55" t="s">
        <v>344</v>
      </c>
      <c r="G757" s="55" t="s">
        <v>360</v>
      </c>
      <c r="H757" s="55" t="s">
        <v>360</v>
      </c>
      <c r="I757" s="55" t="s">
        <v>360</v>
      </c>
      <c r="J757" s="55" t="s">
        <v>360</v>
      </c>
      <c r="K757" s="55" t="s">
        <v>360</v>
      </c>
      <c r="L757" s="55" t="s">
        <v>360</v>
      </c>
      <c r="M757" s="55" t="s">
        <v>144</v>
      </c>
      <c r="N757" s="55" t="s">
        <v>144</v>
      </c>
      <c r="O757" s="55" t="s">
        <v>209</v>
      </c>
      <c r="P757" s="55" t="s">
        <v>597</v>
      </c>
      <c r="Q757" s="55" t="s">
        <v>350</v>
      </c>
      <c r="R757" s="85">
        <v>3</v>
      </c>
      <c r="S757" s="55">
        <v>0</v>
      </c>
      <c r="T757" s="74" t="s">
        <v>886</v>
      </c>
      <c r="U757" s="74" t="s">
        <v>351</v>
      </c>
      <c r="V757" s="74">
        <v>44306</v>
      </c>
      <c r="W757" s="74">
        <v>44335</v>
      </c>
      <c r="X757" s="55">
        <v>10186554</v>
      </c>
      <c r="Y757" s="55" t="s">
        <v>132</v>
      </c>
      <c r="AB757" s="74" t="s">
        <v>132</v>
      </c>
      <c r="AC757" s="55" t="s">
        <v>132</v>
      </c>
      <c r="AL757" s="74"/>
      <c r="AM757" s="74"/>
      <c r="AW757" s="74"/>
      <c r="AX757" s="74"/>
    </row>
    <row r="758" spans="1:50" ht="13" x14ac:dyDescent="0.15">
      <c r="A758" s="55" t="str">
        <f>HYPERLINK("http://reports.ofsted.gov.uk/inspection-reports/find-inspection-report/provider/CARE/2509056","Ofsted Social Care Provider Webpage")</f>
        <v>Ofsted Social Care Provider Webpage</v>
      </c>
      <c r="B758" s="55">
        <v>2509056</v>
      </c>
      <c r="D758" s="55" t="s">
        <v>389</v>
      </c>
      <c r="E758" s="74">
        <v>43788</v>
      </c>
      <c r="F758" s="55" t="s">
        <v>344</v>
      </c>
      <c r="G758" s="55" t="s">
        <v>1434</v>
      </c>
      <c r="H758" s="55" t="s">
        <v>1435</v>
      </c>
      <c r="I758" s="55" t="s">
        <v>1436</v>
      </c>
      <c r="J758" s="55" t="s">
        <v>1437</v>
      </c>
      <c r="K758" s="55" t="s">
        <v>262</v>
      </c>
      <c r="L758" s="55" t="s">
        <v>1438</v>
      </c>
      <c r="M758" s="55" t="s">
        <v>142</v>
      </c>
      <c r="N758" s="55" t="s">
        <v>142</v>
      </c>
      <c r="O758" s="55" t="s">
        <v>262</v>
      </c>
      <c r="P758" s="55" t="s">
        <v>1215</v>
      </c>
      <c r="Q758" s="55" t="s">
        <v>350</v>
      </c>
      <c r="S758" s="55">
        <v>0</v>
      </c>
      <c r="T758" s="74" t="s">
        <v>1439</v>
      </c>
      <c r="U758" s="74" t="s">
        <v>351</v>
      </c>
      <c r="V758" s="74">
        <v>44480</v>
      </c>
      <c r="W758" s="74">
        <v>44529</v>
      </c>
      <c r="X758" s="55">
        <v>10183208</v>
      </c>
      <c r="Y758" s="55" t="s">
        <v>132</v>
      </c>
      <c r="AB758" s="74" t="s">
        <v>132</v>
      </c>
      <c r="AC758" s="55" t="s">
        <v>132</v>
      </c>
      <c r="AL758" s="74"/>
      <c r="AM758" s="74"/>
      <c r="AW758" s="74"/>
      <c r="AX758" s="74"/>
    </row>
    <row r="759" spans="1:50" ht="13" x14ac:dyDescent="0.15">
      <c r="A759" s="55" t="str">
        <f>HYPERLINK("http://reports.ofsted.gov.uk/inspection-reports/find-inspection-report/provider/CARE/2509269","Ofsted Social Care Provider Webpage")</f>
        <v>Ofsted Social Care Provider Webpage</v>
      </c>
      <c r="B759" s="55">
        <v>2509269</v>
      </c>
      <c r="D759" s="55" t="s">
        <v>373</v>
      </c>
      <c r="E759" s="74">
        <v>43496</v>
      </c>
      <c r="F759" s="55" t="s">
        <v>344</v>
      </c>
      <c r="G759" s="55" t="s">
        <v>360</v>
      </c>
      <c r="H759" s="55" t="s">
        <v>360</v>
      </c>
      <c r="I759" s="55" t="s">
        <v>360</v>
      </c>
      <c r="J759" s="55" t="s">
        <v>360</v>
      </c>
      <c r="K759" s="55" t="s">
        <v>360</v>
      </c>
      <c r="L759" s="55" t="s">
        <v>360</v>
      </c>
      <c r="M759" s="55" t="s">
        <v>144</v>
      </c>
      <c r="N759" s="55" t="s">
        <v>144</v>
      </c>
      <c r="O759" s="55" t="s">
        <v>209</v>
      </c>
      <c r="P759" s="55" t="s">
        <v>544</v>
      </c>
      <c r="Q759" s="55" t="s">
        <v>350</v>
      </c>
      <c r="R759" s="85">
        <v>3</v>
      </c>
      <c r="S759" s="55">
        <v>0</v>
      </c>
      <c r="T759" s="74" t="s">
        <v>737</v>
      </c>
      <c r="U759" s="74" t="s">
        <v>351</v>
      </c>
      <c r="V759" s="74">
        <v>44356</v>
      </c>
      <c r="W759" s="74">
        <v>44391</v>
      </c>
      <c r="X759" s="55">
        <v>10186336</v>
      </c>
      <c r="Y759" s="55" t="s">
        <v>132</v>
      </c>
      <c r="AB759" s="74" t="s">
        <v>132</v>
      </c>
      <c r="AC759" s="55" t="s">
        <v>132</v>
      </c>
      <c r="AL759" s="74"/>
      <c r="AM759" s="74"/>
    </row>
    <row r="760" spans="1:50" ht="13" x14ac:dyDescent="0.15">
      <c r="A760" s="55" t="str">
        <f>HYPERLINK("http://reports.ofsted.gov.uk/inspection-reports/find-inspection-report/provider/CARE/2509280","Ofsted Social Care Provider Webpage")</f>
        <v>Ofsted Social Care Provider Webpage</v>
      </c>
      <c r="B760" s="55">
        <v>2509280</v>
      </c>
      <c r="D760" s="55" t="s">
        <v>373</v>
      </c>
      <c r="E760" s="74">
        <v>43529</v>
      </c>
      <c r="F760" s="55" t="s">
        <v>344</v>
      </c>
      <c r="G760" s="55" t="s">
        <v>360</v>
      </c>
      <c r="H760" s="55" t="s">
        <v>360</v>
      </c>
      <c r="I760" s="55" t="s">
        <v>360</v>
      </c>
      <c r="J760" s="55" t="s">
        <v>360</v>
      </c>
      <c r="K760" s="55" t="s">
        <v>360</v>
      </c>
      <c r="L760" s="55" t="s">
        <v>360</v>
      </c>
      <c r="M760" s="55" t="s">
        <v>378</v>
      </c>
      <c r="N760" s="55" t="s">
        <v>134</v>
      </c>
      <c r="O760" s="55" t="s">
        <v>158</v>
      </c>
      <c r="P760" s="55" t="s">
        <v>480</v>
      </c>
      <c r="Q760" s="55" t="s">
        <v>350</v>
      </c>
      <c r="R760" s="85">
        <v>2</v>
      </c>
      <c r="S760" s="55">
        <v>0</v>
      </c>
      <c r="T760" s="74" t="s">
        <v>485</v>
      </c>
      <c r="U760" s="74" t="s">
        <v>351</v>
      </c>
      <c r="V760" s="74">
        <v>44606</v>
      </c>
      <c r="W760" s="74">
        <v>44662</v>
      </c>
      <c r="X760" s="55">
        <v>10185241</v>
      </c>
      <c r="Y760" s="55" t="s">
        <v>130</v>
      </c>
      <c r="AB760" s="74" t="s">
        <v>132</v>
      </c>
      <c r="AC760" s="55" t="s">
        <v>130</v>
      </c>
      <c r="AL760" s="74"/>
      <c r="AM760" s="74"/>
      <c r="AW760" s="74"/>
      <c r="AX760" s="74"/>
    </row>
    <row r="761" spans="1:50" ht="13" x14ac:dyDescent="0.15">
      <c r="A761" s="55" t="str">
        <f>HYPERLINK("http://reports.ofsted.gov.uk/inspection-reports/find-inspection-report/provider/CARE/2509298","Ofsted Social Care Provider Webpage")</f>
        <v>Ofsted Social Care Provider Webpage</v>
      </c>
      <c r="B761" s="55">
        <v>2509298</v>
      </c>
      <c r="D761" s="55" t="s">
        <v>373</v>
      </c>
      <c r="E761" s="74">
        <v>43529</v>
      </c>
      <c r="F761" s="55" t="s">
        <v>344</v>
      </c>
      <c r="G761" s="55" t="s">
        <v>360</v>
      </c>
      <c r="H761" s="55" t="s">
        <v>360</v>
      </c>
      <c r="I761" s="55" t="s">
        <v>360</v>
      </c>
      <c r="J761" s="55" t="s">
        <v>360</v>
      </c>
      <c r="K761" s="55" t="s">
        <v>360</v>
      </c>
      <c r="L761" s="55" t="s">
        <v>360</v>
      </c>
      <c r="M761" s="55" t="s">
        <v>378</v>
      </c>
      <c r="N761" s="55" t="s">
        <v>134</v>
      </c>
      <c r="O761" s="55" t="s">
        <v>277</v>
      </c>
      <c r="P761" s="55" t="s">
        <v>277</v>
      </c>
      <c r="Q761" s="55" t="s">
        <v>350</v>
      </c>
      <c r="R761" s="85">
        <v>7</v>
      </c>
      <c r="S761" s="55">
        <v>0</v>
      </c>
      <c r="T761" s="74" t="s">
        <v>435</v>
      </c>
      <c r="U761" s="74" t="s">
        <v>351</v>
      </c>
      <c r="V761" s="74">
        <v>44579</v>
      </c>
      <c r="W761" s="74">
        <v>44600</v>
      </c>
      <c r="X761" s="55">
        <v>10185392</v>
      </c>
      <c r="Y761" s="55" t="s">
        <v>132</v>
      </c>
      <c r="AB761" s="74" t="s">
        <v>132</v>
      </c>
      <c r="AC761" s="55" t="s">
        <v>132</v>
      </c>
      <c r="AL761" s="74"/>
      <c r="AM761" s="74"/>
      <c r="AW761" s="74"/>
      <c r="AX761" s="74"/>
    </row>
    <row r="762" spans="1:50" ht="13" x14ac:dyDescent="0.15">
      <c r="A762" s="55" t="str">
        <f>HYPERLINK("http://reports.ofsted.gov.uk/inspection-reports/find-inspection-report/provider/CARE/2509300","Ofsted Social Care Provider Webpage")</f>
        <v>Ofsted Social Care Provider Webpage</v>
      </c>
      <c r="B762" s="55">
        <v>2509300</v>
      </c>
      <c r="D762" s="55" t="s">
        <v>373</v>
      </c>
      <c r="E762" s="74">
        <v>43549</v>
      </c>
      <c r="F762" s="55" t="s">
        <v>344</v>
      </c>
      <c r="G762" s="55" t="s">
        <v>360</v>
      </c>
      <c r="H762" s="55" t="s">
        <v>360</v>
      </c>
      <c r="I762" s="55" t="s">
        <v>360</v>
      </c>
      <c r="J762" s="55" t="s">
        <v>360</v>
      </c>
      <c r="K762" s="55" t="s">
        <v>360</v>
      </c>
      <c r="L762" s="55" t="s">
        <v>360</v>
      </c>
      <c r="M762" s="55" t="s">
        <v>142</v>
      </c>
      <c r="N762" s="55" t="s">
        <v>142</v>
      </c>
      <c r="O762" s="55" t="s">
        <v>282</v>
      </c>
      <c r="P762" s="55" t="s">
        <v>355</v>
      </c>
      <c r="Q762" s="55" t="s">
        <v>350</v>
      </c>
      <c r="R762" s="85">
        <v>7</v>
      </c>
      <c r="S762" s="55">
        <v>0</v>
      </c>
      <c r="T762" s="74" t="s">
        <v>435</v>
      </c>
      <c r="U762" s="74" t="s">
        <v>351</v>
      </c>
      <c r="V762" s="74">
        <v>44307</v>
      </c>
      <c r="W762" s="74">
        <v>44362</v>
      </c>
      <c r="X762" s="55">
        <v>10187455</v>
      </c>
      <c r="Y762" s="55" t="s">
        <v>132</v>
      </c>
      <c r="AB762" s="74" t="s">
        <v>130</v>
      </c>
      <c r="AC762" s="55" t="s">
        <v>132</v>
      </c>
      <c r="AL762" s="74"/>
      <c r="AM762" s="74"/>
      <c r="AW762" s="74"/>
      <c r="AX762" s="74"/>
    </row>
    <row r="763" spans="1:50" ht="13" x14ac:dyDescent="0.15">
      <c r="A763" s="55" t="str">
        <f>HYPERLINK("http://reports.ofsted.gov.uk/inspection-reports/find-inspection-report/provider/CARE/2509300","Ofsted Social Care Provider Webpage")</f>
        <v>Ofsted Social Care Provider Webpage</v>
      </c>
      <c r="B763" s="55">
        <v>2509300</v>
      </c>
      <c r="D763" s="55" t="s">
        <v>373</v>
      </c>
      <c r="E763" s="74">
        <v>43549</v>
      </c>
      <c r="F763" s="55" t="s">
        <v>344</v>
      </c>
      <c r="G763" s="55" t="s">
        <v>360</v>
      </c>
      <c r="H763" s="55" t="s">
        <v>360</v>
      </c>
      <c r="I763" s="55" t="s">
        <v>360</v>
      </c>
      <c r="J763" s="55" t="s">
        <v>360</v>
      </c>
      <c r="K763" s="55" t="s">
        <v>360</v>
      </c>
      <c r="L763" s="55" t="s">
        <v>360</v>
      </c>
      <c r="M763" s="55" t="s">
        <v>142</v>
      </c>
      <c r="N763" s="55" t="s">
        <v>142</v>
      </c>
      <c r="O763" s="55" t="s">
        <v>282</v>
      </c>
      <c r="P763" s="55" t="s">
        <v>355</v>
      </c>
      <c r="Q763" s="55" t="s">
        <v>350</v>
      </c>
      <c r="R763" s="85">
        <v>7</v>
      </c>
      <c r="S763" s="55">
        <v>0</v>
      </c>
      <c r="T763" s="74" t="s">
        <v>435</v>
      </c>
      <c r="U763" s="74" t="s">
        <v>6703</v>
      </c>
      <c r="V763" s="74">
        <v>44572</v>
      </c>
      <c r="W763" s="74">
        <v>44596</v>
      </c>
      <c r="X763" s="55">
        <v>10218027</v>
      </c>
      <c r="Y763" s="55" t="s">
        <v>6704</v>
      </c>
      <c r="AL763" s="74"/>
      <c r="AM763" s="74"/>
      <c r="AW763" s="74"/>
      <c r="AX763" s="74"/>
    </row>
    <row r="764" spans="1:50" ht="13" x14ac:dyDescent="0.15">
      <c r="A764" s="55" t="str">
        <f>HYPERLINK("http://reports.ofsted.gov.uk/inspection-reports/find-inspection-report/provider/CARE/2509365","Ofsted Social Care Provider Webpage")</f>
        <v>Ofsted Social Care Provider Webpage</v>
      </c>
      <c r="B764" s="55">
        <v>2509365</v>
      </c>
      <c r="D764" s="55" t="s">
        <v>373</v>
      </c>
      <c r="E764" s="74">
        <v>43542</v>
      </c>
      <c r="F764" s="55" t="s">
        <v>344</v>
      </c>
      <c r="G764" s="55" t="s">
        <v>360</v>
      </c>
      <c r="H764" s="55" t="s">
        <v>360</v>
      </c>
      <c r="I764" s="55" t="s">
        <v>360</v>
      </c>
      <c r="J764" s="55" t="s">
        <v>360</v>
      </c>
      <c r="K764" s="55" t="s">
        <v>360</v>
      </c>
      <c r="L764" s="55" t="s">
        <v>360</v>
      </c>
      <c r="M764" s="55" t="s">
        <v>378</v>
      </c>
      <c r="N764" s="55" t="s">
        <v>134</v>
      </c>
      <c r="O764" s="55" t="s">
        <v>232</v>
      </c>
      <c r="P764" s="55" t="s">
        <v>412</v>
      </c>
      <c r="Q764" s="55" t="s">
        <v>350</v>
      </c>
      <c r="R764" s="85">
        <v>2</v>
      </c>
      <c r="S764" s="55">
        <v>0</v>
      </c>
      <c r="T764" s="74" t="s">
        <v>493</v>
      </c>
      <c r="U764" s="74" t="s">
        <v>351</v>
      </c>
      <c r="V764" s="74">
        <v>44566</v>
      </c>
      <c r="W764" s="74">
        <v>44603</v>
      </c>
      <c r="X764" s="55">
        <v>10187544</v>
      </c>
      <c r="Y764" s="55" t="s">
        <v>132</v>
      </c>
      <c r="AB764" s="74" t="s">
        <v>132</v>
      </c>
      <c r="AC764" s="55" t="s">
        <v>132</v>
      </c>
      <c r="AL764" s="74"/>
      <c r="AM764" s="74"/>
    </row>
    <row r="765" spans="1:50" ht="13" x14ac:dyDescent="0.15">
      <c r="A765" s="55" t="str">
        <f>HYPERLINK("http://reports.ofsted.gov.uk/inspection-reports/find-inspection-report/provider/CARE/2509366","Ofsted Social Care Provider Webpage")</f>
        <v>Ofsted Social Care Provider Webpage</v>
      </c>
      <c r="B765" s="55">
        <v>2509366</v>
      </c>
      <c r="D765" s="55" t="s">
        <v>373</v>
      </c>
      <c r="E765" s="74">
        <v>43542</v>
      </c>
      <c r="F765" s="55" t="s">
        <v>344</v>
      </c>
      <c r="G765" s="55" t="s">
        <v>360</v>
      </c>
      <c r="H765" s="55" t="s">
        <v>360</v>
      </c>
      <c r="I765" s="55" t="s">
        <v>360</v>
      </c>
      <c r="J765" s="55" t="s">
        <v>360</v>
      </c>
      <c r="K765" s="55" t="s">
        <v>360</v>
      </c>
      <c r="L765" s="55" t="s">
        <v>360</v>
      </c>
      <c r="M765" s="55" t="s">
        <v>378</v>
      </c>
      <c r="N765" s="55" t="s">
        <v>134</v>
      </c>
      <c r="O765" s="55" t="s">
        <v>277</v>
      </c>
      <c r="P765" s="55" t="s">
        <v>1362</v>
      </c>
      <c r="Q765" s="55" t="s">
        <v>350</v>
      </c>
      <c r="R765" s="85">
        <v>2</v>
      </c>
      <c r="S765" s="55">
        <v>0</v>
      </c>
      <c r="T765" s="74" t="s">
        <v>493</v>
      </c>
      <c r="U765" s="74" t="s">
        <v>351</v>
      </c>
      <c r="V765" s="74">
        <v>44628</v>
      </c>
      <c r="W765" s="74">
        <v>44672</v>
      </c>
      <c r="X765" s="55">
        <v>10185419</v>
      </c>
      <c r="Y765" s="55" t="s">
        <v>130</v>
      </c>
      <c r="AB765" s="74" t="s">
        <v>130</v>
      </c>
      <c r="AC765" s="55" t="s">
        <v>130</v>
      </c>
      <c r="AL765" s="74"/>
      <c r="AM765" s="74"/>
      <c r="AW765" s="74"/>
      <c r="AX765" s="74"/>
    </row>
    <row r="766" spans="1:50" ht="13" x14ac:dyDescent="0.15">
      <c r="A766" s="55" t="str">
        <f>HYPERLINK("http://reports.ofsted.gov.uk/inspection-reports/find-inspection-report/provider/CARE/2509367","Ofsted Social Care Provider Webpage")</f>
        <v>Ofsted Social Care Provider Webpage</v>
      </c>
      <c r="B766" s="55">
        <v>2509367</v>
      </c>
      <c r="D766" s="55" t="s">
        <v>373</v>
      </c>
      <c r="E766" s="74">
        <v>43546</v>
      </c>
      <c r="F766" s="55" t="s">
        <v>344</v>
      </c>
      <c r="G766" s="55" t="s">
        <v>360</v>
      </c>
      <c r="H766" s="55" t="s">
        <v>360</v>
      </c>
      <c r="I766" s="55" t="s">
        <v>360</v>
      </c>
      <c r="J766" s="55" t="s">
        <v>360</v>
      </c>
      <c r="K766" s="55" t="s">
        <v>360</v>
      </c>
      <c r="L766" s="55" t="s">
        <v>360</v>
      </c>
      <c r="M766" s="55" t="s">
        <v>378</v>
      </c>
      <c r="N766" s="55" t="s">
        <v>134</v>
      </c>
      <c r="O766" s="55" t="s">
        <v>277</v>
      </c>
      <c r="P766" s="55" t="s">
        <v>1362</v>
      </c>
      <c r="Q766" s="55" t="s">
        <v>350</v>
      </c>
      <c r="R766" s="85">
        <v>3</v>
      </c>
      <c r="S766" s="55">
        <v>0</v>
      </c>
      <c r="T766" s="74" t="s">
        <v>493</v>
      </c>
      <c r="U766" s="74" t="s">
        <v>351</v>
      </c>
      <c r="V766" s="74">
        <v>44593</v>
      </c>
      <c r="W766" s="74">
        <v>44642</v>
      </c>
      <c r="X766" s="55">
        <v>10187579</v>
      </c>
      <c r="Y766" s="55" t="s">
        <v>146</v>
      </c>
      <c r="AB766" s="74" t="s">
        <v>146</v>
      </c>
      <c r="AC766" s="55" t="s">
        <v>146</v>
      </c>
      <c r="AL766" s="74"/>
      <c r="AM766" s="74"/>
    </row>
    <row r="767" spans="1:50" ht="13" x14ac:dyDescent="0.15">
      <c r="A767" s="55" t="str">
        <f>HYPERLINK("http://reports.ofsted.gov.uk/inspection-reports/find-inspection-report/provider/CARE/2509381","Ofsted Social Care Provider Webpage")</f>
        <v>Ofsted Social Care Provider Webpage</v>
      </c>
      <c r="B767" s="55">
        <v>2509381</v>
      </c>
      <c r="D767" s="55" t="s">
        <v>373</v>
      </c>
      <c r="E767" s="74">
        <v>43657</v>
      </c>
      <c r="F767" s="55" t="s">
        <v>344</v>
      </c>
      <c r="G767" s="55" t="s">
        <v>360</v>
      </c>
      <c r="H767" s="55" t="s">
        <v>360</v>
      </c>
      <c r="I767" s="55" t="s">
        <v>360</v>
      </c>
      <c r="J767" s="55" t="s">
        <v>360</v>
      </c>
      <c r="K767" s="55" t="s">
        <v>360</v>
      </c>
      <c r="L767" s="55" t="s">
        <v>360</v>
      </c>
      <c r="M767" s="55" t="s">
        <v>144</v>
      </c>
      <c r="N767" s="55" t="s">
        <v>144</v>
      </c>
      <c r="O767" s="55" t="s">
        <v>215</v>
      </c>
      <c r="P767" s="55" t="s">
        <v>1440</v>
      </c>
      <c r="Q767" s="55" t="s">
        <v>350</v>
      </c>
      <c r="R767" s="85">
        <v>2</v>
      </c>
      <c r="S767" s="55">
        <v>0</v>
      </c>
      <c r="T767" s="74" t="s">
        <v>1441</v>
      </c>
      <c r="U767" s="74" t="s">
        <v>351</v>
      </c>
      <c r="V767" s="74">
        <v>44608</v>
      </c>
      <c r="W767" s="74">
        <v>44662</v>
      </c>
      <c r="X767" s="55">
        <v>10187089</v>
      </c>
      <c r="Y767" s="55" t="s">
        <v>130</v>
      </c>
      <c r="AB767" s="74" t="s">
        <v>130</v>
      </c>
      <c r="AC767" s="55" t="s">
        <v>130</v>
      </c>
      <c r="AL767" s="74"/>
      <c r="AM767" s="74"/>
      <c r="AW767" s="74"/>
      <c r="AX767" s="74"/>
    </row>
    <row r="768" spans="1:50" ht="13" x14ac:dyDescent="0.15">
      <c r="A768" s="55" t="str">
        <f>HYPERLINK("http://reports.ofsted.gov.uk/inspection-reports/find-inspection-report/provider/CARE/2509452","Ofsted Social Care Provider Webpage")</f>
        <v>Ofsted Social Care Provider Webpage</v>
      </c>
      <c r="B768" s="55">
        <v>2509452</v>
      </c>
      <c r="D768" s="55" t="s">
        <v>373</v>
      </c>
      <c r="E768" s="74">
        <v>43535</v>
      </c>
      <c r="F768" s="55" t="s">
        <v>344</v>
      </c>
      <c r="G768" s="55" t="s">
        <v>360</v>
      </c>
      <c r="H768" s="55" t="s">
        <v>360</v>
      </c>
      <c r="I768" s="55" t="s">
        <v>360</v>
      </c>
      <c r="J768" s="55" t="s">
        <v>360</v>
      </c>
      <c r="K768" s="55" t="s">
        <v>360</v>
      </c>
      <c r="L768" s="55" t="s">
        <v>360</v>
      </c>
      <c r="M768" s="55" t="s">
        <v>144</v>
      </c>
      <c r="N768" s="55" t="s">
        <v>144</v>
      </c>
      <c r="O768" s="55" t="s">
        <v>287</v>
      </c>
      <c r="P768" s="55" t="s">
        <v>1103</v>
      </c>
      <c r="Q768" s="55" t="s">
        <v>350</v>
      </c>
      <c r="R768" s="85">
        <v>3</v>
      </c>
      <c r="S768" s="55">
        <v>0</v>
      </c>
      <c r="T768" s="74" t="s">
        <v>489</v>
      </c>
      <c r="U768" s="74" t="s">
        <v>351</v>
      </c>
      <c r="V768" s="74">
        <v>44635</v>
      </c>
      <c r="W768" s="74">
        <v>44678</v>
      </c>
      <c r="X768" s="55">
        <v>10185588</v>
      </c>
      <c r="Y768" s="55" t="s">
        <v>132</v>
      </c>
      <c r="AB768" s="74" t="s">
        <v>132</v>
      </c>
      <c r="AC768" s="55" t="s">
        <v>132</v>
      </c>
      <c r="AL768" s="74"/>
      <c r="AM768" s="74"/>
      <c r="AW768" s="74"/>
      <c r="AX768" s="74"/>
    </row>
    <row r="769" spans="1:50" ht="13" x14ac:dyDescent="0.15">
      <c r="A769" s="55" t="str">
        <f>HYPERLINK("http://reports.ofsted.gov.uk/inspection-reports/find-inspection-report/provider/CARE/2509473","Ofsted Social Care Provider Webpage")</f>
        <v>Ofsted Social Care Provider Webpage</v>
      </c>
      <c r="B769" s="55">
        <v>2509473</v>
      </c>
      <c r="D769" s="55" t="s">
        <v>373</v>
      </c>
      <c r="E769" s="74">
        <v>43508</v>
      </c>
      <c r="F769" s="55" t="s">
        <v>344</v>
      </c>
      <c r="G769" s="55" t="s">
        <v>360</v>
      </c>
      <c r="H769" s="55" t="s">
        <v>360</v>
      </c>
      <c r="I769" s="55" t="s">
        <v>360</v>
      </c>
      <c r="J769" s="55" t="s">
        <v>360</v>
      </c>
      <c r="K769" s="55" t="s">
        <v>360</v>
      </c>
      <c r="L769" s="55" t="s">
        <v>360</v>
      </c>
      <c r="M769" s="55" t="s">
        <v>150</v>
      </c>
      <c r="N769" s="55" t="s">
        <v>150</v>
      </c>
      <c r="O769" s="55" t="s">
        <v>203</v>
      </c>
      <c r="P769" s="55" t="s">
        <v>593</v>
      </c>
      <c r="Q769" s="55" t="s">
        <v>350</v>
      </c>
      <c r="R769" s="85">
        <v>4</v>
      </c>
      <c r="S769" s="55">
        <v>0</v>
      </c>
      <c r="T769" s="74" t="s">
        <v>1442</v>
      </c>
      <c r="U769" s="74" t="s">
        <v>351</v>
      </c>
      <c r="V769" s="74">
        <v>44531</v>
      </c>
      <c r="W769" s="74">
        <v>44593</v>
      </c>
      <c r="X769" s="55">
        <v>10187460</v>
      </c>
      <c r="Y769" s="55" t="s">
        <v>132</v>
      </c>
      <c r="AB769" s="74" t="s">
        <v>132</v>
      </c>
      <c r="AC769" s="55" t="s">
        <v>132</v>
      </c>
      <c r="AL769" s="74"/>
      <c r="AM769" s="74"/>
      <c r="AW769" s="74"/>
      <c r="AX769" s="74"/>
    </row>
    <row r="770" spans="1:50" ht="13" x14ac:dyDescent="0.15">
      <c r="A770" s="55" t="str">
        <f>HYPERLINK("http://reports.ofsted.gov.uk/inspection-reports/find-inspection-report/provider/CARE/2509670","Ofsted Social Care Provider Webpage")</f>
        <v>Ofsted Social Care Provider Webpage</v>
      </c>
      <c r="B770" s="55">
        <v>2509670</v>
      </c>
      <c r="D770" s="55" t="s">
        <v>373</v>
      </c>
      <c r="E770" s="74">
        <v>43552</v>
      </c>
      <c r="F770" s="55" t="s">
        <v>344</v>
      </c>
      <c r="G770" s="55" t="s">
        <v>360</v>
      </c>
      <c r="H770" s="55" t="s">
        <v>360</v>
      </c>
      <c r="I770" s="55" t="s">
        <v>360</v>
      </c>
      <c r="J770" s="55" t="s">
        <v>360</v>
      </c>
      <c r="K770" s="55" t="s">
        <v>360</v>
      </c>
      <c r="L770" s="55" t="s">
        <v>360</v>
      </c>
      <c r="M770" s="55" t="s">
        <v>144</v>
      </c>
      <c r="N770" s="55" t="s">
        <v>144</v>
      </c>
      <c r="O770" s="55" t="s">
        <v>263</v>
      </c>
      <c r="P770" s="55" t="s">
        <v>263</v>
      </c>
      <c r="Q770" s="55" t="s">
        <v>350</v>
      </c>
      <c r="R770" s="85">
        <v>4</v>
      </c>
      <c r="S770" s="55">
        <v>0</v>
      </c>
      <c r="T770" s="74" t="s">
        <v>1446</v>
      </c>
      <c r="U770" s="74" t="s">
        <v>351</v>
      </c>
      <c r="V770" s="74">
        <v>44356</v>
      </c>
      <c r="W770" s="74">
        <v>44399</v>
      </c>
      <c r="X770" s="55">
        <v>10186292</v>
      </c>
      <c r="Y770" s="55" t="s">
        <v>132</v>
      </c>
      <c r="AB770" s="74" t="s">
        <v>132</v>
      </c>
      <c r="AC770" s="55" t="s">
        <v>132</v>
      </c>
      <c r="AL770" s="74"/>
      <c r="AM770" s="74"/>
      <c r="AW770" s="74"/>
      <c r="AX770" s="74"/>
    </row>
    <row r="771" spans="1:50" ht="13" x14ac:dyDescent="0.15">
      <c r="A771" s="55" t="str">
        <f>HYPERLINK("http://reports.ofsted.gov.uk/inspection-reports/find-inspection-report/provider/CARE/2509684","Ofsted Social Care Provider Webpage")</f>
        <v>Ofsted Social Care Provider Webpage</v>
      </c>
      <c r="B771" s="55">
        <v>2509684</v>
      </c>
      <c r="D771" s="55" t="s">
        <v>373</v>
      </c>
      <c r="E771" s="74">
        <v>43434</v>
      </c>
      <c r="F771" s="55" t="s">
        <v>344</v>
      </c>
      <c r="G771" s="55" t="s">
        <v>360</v>
      </c>
      <c r="H771" s="55" t="s">
        <v>360</v>
      </c>
      <c r="I771" s="55" t="s">
        <v>360</v>
      </c>
      <c r="J771" s="55" t="s">
        <v>360</v>
      </c>
      <c r="K771" s="55" t="s">
        <v>360</v>
      </c>
      <c r="L771" s="55" t="s">
        <v>360</v>
      </c>
      <c r="M771" s="55" t="s">
        <v>136</v>
      </c>
      <c r="N771" s="55" t="s">
        <v>136</v>
      </c>
      <c r="O771" s="55" t="s">
        <v>255</v>
      </c>
      <c r="P771" s="55" t="s">
        <v>1447</v>
      </c>
      <c r="Q771" s="55" t="s">
        <v>350</v>
      </c>
      <c r="R771" s="85">
        <v>4</v>
      </c>
      <c r="S771" s="55">
        <v>0</v>
      </c>
      <c r="T771" s="74" t="s">
        <v>739</v>
      </c>
      <c r="U771" s="74" t="s">
        <v>351</v>
      </c>
      <c r="V771" s="74">
        <v>44600</v>
      </c>
      <c r="W771" s="74">
        <v>44648</v>
      </c>
      <c r="X771" s="55">
        <v>10186818</v>
      </c>
      <c r="Y771" s="55" t="s">
        <v>132</v>
      </c>
      <c r="AB771" s="74" t="s">
        <v>132</v>
      </c>
      <c r="AC771" s="55" t="s">
        <v>132</v>
      </c>
      <c r="AL771" s="74"/>
      <c r="AM771" s="74"/>
      <c r="AW771" s="74"/>
      <c r="AX771" s="74"/>
    </row>
    <row r="772" spans="1:50" ht="13" x14ac:dyDescent="0.15">
      <c r="A772" s="55" t="str">
        <f>HYPERLINK("http://reports.ofsted.gov.uk/inspection-reports/find-inspection-report/provider/CARE/2509731","Ofsted Social Care Provider Webpage")</f>
        <v>Ofsted Social Care Provider Webpage</v>
      </c>
      <c r="B772" s="55">
        <v>2509731</v>
      </c>
      <c r="D772" s="55" t="s">
        <v>373</v>
      </c>
      <c r="E772" s="74">
        <v>43563</v>
      </c>
      <c r="F772" s="55" t="s">
        <v>344</v>
      </c>
      <c r="G772" s="55" t="s">
        <v>360</v>
      </c>
      <c r="H772" s="55" t="s">
        <v>360</v>
      </c>
      <c r="I772" s="55" t="s">
        <v>360</v>
      </c>
      <c r="J772" s="55" t="s">
        <v>360</v>
      </c>
      <c r="K772" s="55" t="s">
        <v>360</v>
      </c>
      <c r="L772" s="55" t="s">
        <v>360</v>
      </c>
      <c r="M772" s="55" t="s">
        <v>142</v>
      </c>
      <c r="N772" s="55" t="s">
        <v>142</v>
      </c>
      <c r="O772" s="55" t="s">
        <v>262</v>
      </c>
      <c r="P772" s="55" t="s">
        <v>850</v>
      </c>
      <c r="Q772" s="55" t="s">
        <v>350</v>
      </c>
      <c r="R772" s="85">
        <v>3</v>
      </c>
      <c r="S772" s="55">
        <v>0</v>
      </c>
      <c r="T772" s="74" t="s">
        <v>1448</v>
      </c>
      <c r="U772" s="74" t="s">
        <v>351</v>
      </c>
      <c r="V772" s="74">
        <v>44369</v>
      </c>
      <c r="W772" s="74">
        <v>44399</v>
      </c>
      <c r="X772" s="55">
        <v>10185601</v>
      </c>
      <c r="Y772" s="55" t="s">
        <v>132</v>
      </c>
      <c r="AB772" s="74" t="s">
        <v>132</v>
      </c>
      <c r="AC772" s="55" t="s">
        <v>132</v>
      </c>
      <c r="AL772" s="74"/>
      <c r="AM772" s="74"/>
    </row>
    <row r="773" spans="1:50" ht="13" x14ac:dyDescent="0.15">
      <c r="A773" s="55" t="str">
        <f>HYPERLINK("http://reports.ofsted.gov.uk/inspection-reports/find-inspection-report/provider/CARE/2509802","Ofsted Social Care Provider Webpage")</f>
        <v>Ofsted Social Care Provider Webpage</v>
      </c>
      <c r="B773" s="55">
        <v>2509802</v>
      </c>
      <c r="D773" s="55" t="s">
        <v>373</v>
      </c>
      <c r="E773" s="74">
        <v>43703</v>
      </c>
      <c r="F773" s="55" t="s">
        <v>344</v>
      </c>
      <c r="G773" s="55" t="s">
        <v>360</v>
      </c>
      <c r="H773" s="55" t="s">
        <v>360</v>
      </c>
      <c r="I773" s="55" t="s">
        <v>360</v>
      </c>
      <c r="J773" s="55" t="s">
        <v>360</v>
      </c>
      <c r="K773" s="55" t="s">
        <v>360</v>
      </c>
      <c r="L773" s="55" t="s">
        <v>360</v>
      </c>
      <c r="M773" s="55" t="s">
        <v>144</v>
      </c>
      <c r="N773" s="55" t="s">
        <v>144</v>
      </c>
      <c r="O773" s="55" t="s">
        <v>261</v>
      </c>
      <c r="P773" s="55" t="s">
        <v>792</v>
      </c>
      <c r="Q773" s="55" t="s">
        <v>350</v>
      </c>
      <c r="R773" s="85">
        <v>3</v>
      </c>
      <c r="S773" s="55">
        <v>0</v>
      </c>
      <c r="T773" s="74" t="s">
        <v>1449</v>
      </c>
      <c r="U773" s="74" t="s">
        <v>351</v>
      </c>
      <c r="V773" s="74">
        <v>44418</v>
      </c>
      <c r="W773" s="74">
        <v>44454</v>
      </c>
      <c r="X773" s="55">
        <v>10187033</v>
      </c>
      <c r="Y773" s="55" t="s">
        <v>132</v>
      </c>
      <c r="AB773" s="74" t="s">
        <v>132</v>
      </c>
      <c r="AC773" s="55" t="s">
        <v>132</v>
      </c>
      <c r="AL773" s="74"/>
      <c r="AM773" s="74"/>
      <c r="AW773" s="74"/>
      <c r="AX773" s="74"/>
    </row>
    <row r="774" spans="1:50" ht="13" x14ac:dyDescent="0.15">
      <c r="A774" s="55" t="str">
        <f>HYPERLINK("http://reports.ofsted.gov.uk/inspection-reports/find-inspection-report/provider/CARE/2509838","Ofsted Social Care Provider Webpage")</f>
        <v>Ofsted Social Care Provider Webpage</v>
      </c>
      <c r="B774" s="55">
        <v>2509838</v>
      </c>
      <c r="D774" s="55" t="s">
        <v>373</v>
      </c>
      <c r="E774" s="74">
        <v>43509</v>
      </c>
      <c r="F774" s="55" t="s">
        <v>344</v>
      </c>
      <c r="G774" s="55" t="s">
        <v>360</v>
      </c>
      <c r="H774" s="55" t="s">
        <v>360</v>
      </c>
      <c r="I774" s="55" t="s">
        <v>360</v>
      </c>
      <c r="J774" s="55" t="s">
        <v>360</v>
      </c>
      <c r="K774" s="55" t="s">
        <v>360</v>
      </c>
      <c r="L774" s="55" t="s">
        <v>360</v>
      </c>
      <c r="M774" s="55" t="s">
        <v>144</v>
      </c>
      <c r="N774" s="55" t="s">
        <v>144</v>
      </c>
      <c r="O774" s="55" t="s">
        <v>147</v>
      </c>
      <c r="P774" s="55" t="s">
        <v>807</v>
      </c>
      <c r="Q774" s="55" t="s">
        <v>350</v>
      </c>
      <c r="R774" s="85">
        <v>3</v>
      </c>
      <c r="S774" s="55">
        <v>0</v>
      </c>
      <c r="T774" s="74" t="s">
        <v>440</v>
      </c>
      <c r="U774" s="74" t="s">
        <v>351</v>
      </c>
      <c r="V774" s="74">
        <v>44315</v>
      </c>
      <c r="W774" s="74">
        <v>44358</v>
      </c>
      <c r="X774" s="55">
        <v>10187246</v>
      </c>
      <c r="Y774" s="55" t="s">
        <v>140</v>
      </c>
      <c r="AB774" s="74" t="s">
        <v>132</v>
      </c>
      <c r="AC774" s="55" t="s">
        <v>140</v>
      </c>
      <c r="AL774" s="74"/>
      <c r="AM774" s="74"/>
      <c r="AW774" s="74"/>
      <c r="AX774" s="74"/>
    </row>
    <row r="775" spans="1:50" ht="13" x14ac:dyDescent="0.15">
      <c r="A775" s="55" t="str">
        <f>HYPERLINK("http://reports.ofsted.gov.uk/inspection-reports/find-inspection-report/provider/CARE/2509892","Ofsted Social Care Provider Webpage")</f>
        <v>Ofsted Social Care Provider Webpage</v>
      </c>
      <c r="B775" s="55">
        <v>2509892</v>
      </c>
      <c r="D775" s="55" t="s">
        <v>373</v>
      </c>
      <c r="E775" s="74">
        <v>44028</v>
      </c>
      <c r="F775" s="55" t="s">
        <v>344</v>
      </c>
      <c r="G775" s="55" t="s">
        <v>360</v>
      </c>
      <c r="H775" s="55" t="s">
        <v>360</v>
      </c>
      <c r="I775" s="55" t="s">
        <v>360</v>
      </c>
      <c r="J775" s="55" t="s">
        <v>360</v>
      </c>
      <c r="K775" s="55" t="s">
        <v>360</v>
      </c>
      <c r="L775" s="55" t="s">
        <v>360</v>
      </c>
      <c r="M775" s="55" t="s">
        <v>378</v>
      </c>
      <c r="N775" s="55" t="s">
        <v>170</v>
      </c>
      <c r="O775" s="55" t="s">
        <v>178</v>
      </c>
      <c r="P775" s="55" t="s">
        <v>1450</v>
      </c>
      <c r="Q775" s="55" t="s">
        <v>350</v>
      </c>
      <c r="R775" s="85">
        <v>4</v>
      </c>
      <c r="S775" s="55">
        <v>0</v>
      </c>
      <c r="T775" s="74" t="s">
        <v>1236</v>
      </c>
      <c r="U775" s="74" t="s">
        <v>6703</v>
      </c>
      <c r="V775" s="74">
        <v>44544</v>
      </c>
      <c r="W775" s="74">
        <v>44592</v>
      </c>
      <c r="X775" s="55">
        <v>10210091</v>
      </c>
      <c r="Y775" s="55" t="s">
        <v>6706</v>
      </c>
      <c r="AL775" s="74"/>
      <c r="AM775" s="74"/>
      <c r="AW775" s="74"/>
      <c r="AX775" s="74"/>
    </row>
    <row r="776" spans="1:50" ht="13" x14ac:dyDescent="0.15">
      <c r="A776" s="55" t="str">
        <f>HYPERLINK("http://reports.ofsted.gov.uk/inspection-reports/find-inspection-report/provider/CARE/2509892","Ofsted Social Care Provider Webpage")</f>
        <v>Ofsted Social Care Provider Webpage</v>
      </c>
      <c r="B776" s="55">
        <v>2509892</v>
      </c>
      <c r="D776" s="55" t="s">
        <v>373</v>
      </c>
      <c r="E776" s="74">
        <v>44028</v>
      </c>
      <c r="F776" s="55" t="s">
        <v>344</v>
      </c>
      <c r="G776" s="55" t="s">
        <v>360</v>
      </c>
      <c r="H776" s="55" t="s">
        <v>360</v>
      </c>
      <c r="I776" s="55" t="s">
        <v>360</v>
      </c>
      <c r="J776" s="55" t="s">
        <v>360</v>
      </c>
      <c r="K776" s="55" t="s">
        <v>360</v>
      </c>
      <c r="L776" s="55" t="s">
        <v>360</v>
      </c>
      <c r="M776" s="55" t="s">
        <v>378</v>
      </c>
      <c r="N776" s="55" t="s">
        <v>170</v>
      </c>
      <c r="O776" s="55" t="s">
        <v>178</v>
      </c>
      <c r="P776" s="55" t="s">
        <v>1450</v>
      </c>
      <c r="Q776" s="55" t="s">
        <v>350</v>
      </c>
      <c r="R776" s="85">
        <v>4</v>
      </c>
      <c r="S776" s="55">
        <v>0</v>
      </c>
      <c r="T776" s="74" t="s">
        <v>1236</v>
      </c>
      <c r="U776" s="74" t="s">
        <v>351</v>
      </c>
      <c r="V776" s="74">
        <v>44313</v>
      </c>
      <c r="W776" s="74">
        <v>44350</v>
      </c>
      <c r="X776" s="55">
        <v>10187272</v>
      </c>
      <c r="Y776" s="55" t="s">
        <v>130</v>
      </c>
      <c r="AB776" s="74" t="s">
        <v>130</v>
      </c>
      <c r="AC776" s="55" t="s">
        <v>130</v>
      </c>
      <c r="AL776" s="74"/>
      <c r="AM776" s="74"/>
      <c r="AW776" s="74"/>
      <c r="AX776" s="74"/>
    </row>
    <row r="777" spans="1:50" ht="13" x14ac:dyDescent="0.15">
      <c r="A777" s="55" t="str">
        <f>HYPERLINK("http://reports.ofsted.gov.uk/inspection-reports/find-inspection-report/provider/CARE/2509967","Ofsted Social Care Provider Webpage")</f>
        <v>Ofsted Social Care Provider Webpage</v>
      </c>
      <c r="B777" s="55">
        <v>2509967</v>
      </c>
      <c r="D777" s="55" t="s">
        <v>389</v>
      </c>
      <c r="E777" s="74">
        <v>43753</v>
      </c>
      <c r="F777" s="55" t="s">
        <v>344</v>
      </c>
      <c r="G777" s="55" t="s">
        <v>1451</v>
      </c>
      <c r="H777" s="55" t="s">
        <v>1452</v>
      </c>
      <c r="I777" s="55" t="s">
        <v>1453</v>
      </c>
      <c r="J777" s="55" t="s">
        <v>1179</v>
      </c>
      <c r="L777" s="55" t="s">
        <v>1454</v>
      </c>
      <c r="M777" s="55" t="s">
        <v>142</v>
      </c>
      <c r="N777" s="55" t="s">
        <v>142</v>
      </c>
      <c r="O777" s="55" t="s">
        <v>249</v>
      </c>
      <c r="P777" s="55" t="s">
        <v>1181</v>
      </c>
      <c r="Q777" s="55" t="s">
        <v>350</v>
      </c>
      <c r="S777" s="55">
        <v>0</v>
      </c>
      <c r="T777" s="74" t="s">
        <v>1451</v>
      </c>
      <c r="U777" s="74" t="s">
        <v>351</v>
      </c>
      <c r="V777" s="74">
        <v>44585</v>
      </c>
      <c r="W777" s="74">
        <v>44634</v>
      </c>
      <c r="X777" s="55">
        <v>10183207</v>
      </c>
      <c r="Y777" s="55" t="s">
        <v>132</v>
      </c>
      <c r="AB777" s="74" t="s">
        <v>132</v>
      </c>
      <c r="AC777" s="55" t="s">
        <v>130</v>
      </c>
      <c r="AL777" s="74"/>
      <c r="AM777" s="74"/>
      <c r="AW777" s="74"/>
      <c r="AX777" s="74"/>
    </row>
    <row r="778" spans="1:50" ht="13" x14ac:dyDescent="0.15">
      <c r="A778" s="55" t="str">
        <f>HYPERLINK("http://reports.ofsted.gov.uk/inspection-reports/find-inspection-report/provider/CARE/2510199","Ofsted Social Care Provider Webpage")</f>
        <v>Ofsted Social Care Provider Webpage</v>
      </c>
      <c r="B778" s="55">
        <v>2510199</v>
      </c>
      <c r="D778" s="55" t="s">
        <v>373</v>
      </c>
      <c r="E778" s="74">
        <v>43617</v>
      </c>
      <c r="F778" s="55" t="s">
        <v>344</v>
      </c>
      <c r="G778" s="55" t="s">
        <v>360</v>
      </c>
      <c r="H778" s="55" t="s">
        <v>360</v>
      </c>
      <c r="I778" s="55" t="s">
        <v>360</v>
      </c>
      <c r="J778" s="55" t="s">
        <v>360</v>
      </c>
      <c r="K778" s="55" t="s">
        <v>360</v>
      </c>
      <c r="L778" s="55" t="s">
        <v>360</v>
      </c>
      <c r="M778" s="55" t="s">
        <v>142</v>
      </c>
      <c r="N778" s="55" t="s">
        <v>142</v>
      </c>
      <c r="O778" s="55" t="s">
        <v>278</v>
      </c>
      <c r="P778" s="55" t="s">
        <v>1042</v>
      </c>
      <c r="Q778" s="55" t="s">
        <v>362</v>
      </c>
      <c r="R778" s="85">
        <v>4</v>
      </c>
      <c r="S778" s="55">
        <v>0</v>
      </c>
      <c r="T778" s="74" t="s">
        <v>432</v>
      </c>
      <c r="U778" s="74" t="s">
        <v>351</v>
      </c>
      <c r="V778" s="74">
        <v>44396</v>
      </c>
      <c r="W778" s="74">
        <v>44467</v>
      </c>
      <c r="X778" s="55">
        <v>10186720</v>
      </c>
      <c r="Y778" s="55" t="s">
        <v>132</v>
      </c>
      <c r="AB778" s="74" t="s">
        <v>130</v>
      </c>
      <c r="AC778" s="55" t="s">
        <v>132</v>
      </c>
      <c r="AL778" s="74"/>
      <c r="AM778" s="74"/>
      <c r="AW778" s="74"/>
      <c r="AX778" s="74"/>
    </row>
    <row r="779" spans="1:50" ht="13" x14ac:dyDescent="0.15">
      <c r="A779" s="55" t="str">
        <f>HYPERLINK("http://reports.ofsted.gov.uk/inspection-reports/find-inspection-report/provider/CARE/2510201","Ofsted Social Care Provider Webpage")</f>
        <v>Ofsted Social Care Provider Webpage</v>
      </c>
      <c r="B779" s="55">
        <v>2510201</v>
      </c>
      <c r="D779" s="55" t="s">
        <v>373</v>
      </c>
      <c r="E779" s="74">
        <v>43592</v>
      </c>
      <c r="F779" s="55" t="s">
        <v>344</v>
      </c>
      <c r="G779" s="55" t="s">
        <v>360</v>
      </c>
      <c r="H779" s="55" t="s">
        <v>360</v>
      </c>
      <c r="I779" s="55" t="s">
        <v>360</v>
      </c>
      <c r="J779" s="55" t="s">
        <v>360</v>
      </c>
      <c r="K779" s="55" t="s">
        <v>360</v>
      </c>
      <c r="L779" s="55" t="s">
        <v>360</v>
      </c>
      <c r="M779" s="55" t="s">
        <v>144</v>
      </c>
      <c r="N779" s="55" t="s">
        <v>144</v>
      </c>
      <c r="O779" s="55" t="s">
        <v>145</v>
      </c>
      <c r="P779" s="55" t="s">
        <v>525</v>
      </c>
      <c r="Q779" s="55" t="s">
        <v>350</v>
      </c>
      <c r="R779" s="85">
        <v>2</v>
      </c>
      <c r="S779" s="55">
        <v>0</v>
      </c>
      <c r="T779" s="74" t="s">
        <v>1065</v>
      </c>
      <c r="U779" s="74" t="s">
        <v>351</v>
      </c>
      <c r="V779" s="74">
        <v>44599</v>
      </c>
      <c r="W779" s="74">
        <v>44641</v>
      </c>
      <c r="X779" s="55">
        <v>10185622</v>
      </c>
      <c r="Y779" s="55" t="s">
        <v>132</v>
      </c>
      <c r="AB779" s="74" t="s">
        <v>132</v>
      </c>
      <c r="AC779" s="55" t="s">
        <v>132</v>
      </c>
      <c r="AL779" s="74"/>
      <c r="AM779" s="74"/>
      <c r="AW779" s="74"/>
      <c r="AX779" s="74"/>
    </row>
    <row r="780" spans="1:50" ht="13" x14ac:dyDescent="0.15">
      <c r="A780" s="55" t="str">
        <f>HYPERLINK("http://reports.ofsted.gov.uk/inspection-reports/find-inspection-report/provider/CARE/2510315","Ofsted Social Care Provider Webpage")</f>
        <v>Ofsted Social Care Provider Webpage</v>
      </c>
      <c r="B780" s="55">
        <v>2510315</v>
      </c>
      <c r="D780" s="55" t="s">
        <v>373</v>
      </c>
      <c r="E780" s="74">
        <v>43626</v>
      </c>
      <c r="F780" s="55" t="s">
        <v>344</v>
      </c>
      <c r="G780" s="55" t="s">
        <v>360</v>
      </c>
      <c r="H780" s="55" t="s">
        <v>360</v>
      </c>
      <c r="I780" s="55" t="s">
        <v>360</v>
      </c>
      <c r="J780" s="55" t="s">
        <v>360</v>
      </c>
      <c r="K780" s="55" t="s">
        <v>360</v>
      </c>
      <c r="L780" s="55" t="s">
        <v>360</v>
      </c>
      <c r="M780" s="55" t="s">
        <v>138</v>
      </c>
      <c r="N780" s="55" t="s">
        <v>138</v>
      </c>
      <c r="O780" s="55" t="s">
        <v>238</v>
      </c>
      <c r="P780" s="55" t="s">
        <v>238</v>
      </c>
      <c r="Q780" s="55" t="s">
        <v>350</v>
      </c>
      <c r="R780" s="85">
        <v>3</v>
      </c>
      <c r="S780" s="55">
        <v>0</v>
      </c>
      <c r="T780" s="74" t="s">
        <v>1079</v>
      </c>
      <c r="U780" s="74" t="s">
        <v>351</v>
      </c>
      <c r="V780" s="74">
        <v>44453</v>
      </c>
      <c r="W780" s="74">
        <v>44480</v>
      </c>
      <c r="X780" s="55">
        <v>10186495</v>
      </c>
      <c r="Y780" s="55" t="s">
        <v>132</v>
      </c>
      <c r="AB780" s="74" t="s">
        <v>132</v>
      </c>
      <c r="AC780" s="55" t="s">
        <v>132</v>
      </c>
      <c r="AL780" s="74"/>
      <c r="AM780" s="74"/>
      <c r="AW780" s="74"/>
      <c r="AX780" s="74"/>
    </row>
    <row r="781" spans="1:50" ht="13" x14ac:dyDescent="0.15">
      <c r="A781" s="55" t="str">
        <f>HYPERLINK("http://reports.ofsted.gov.uk/inspection-reports/find-inspection-report/provider/CARE/2510323","Ofsted Social Care Provider Webpage")</f>
        <v>Ofsted Social Care Provider Webpage</v>
      </c>
      <c r="B781" s="55">
        <v>2510323</v>
      </c>
      <c r="D781" s="55" t="s">
        <v>373</v>
      </c>
      <c r="E781" s="74">
        <v>43549</v>
      </c>
      <c r="F781" s="55" t="s">
        <v>344</v>
      </c>
      <c r="G781" s="55" t="s">
        <v>360</v>
      </c>
      <c r="H781" s="55" t="s">
        <v>360</v>
      </c>
      <c r="I781" s="55" t="s">
        <v>360</v>
      </c>
      <c r="J781" s="55" t="s">
        <v>360</v>
      </c>
      <c r="K781" s="55" t="s">
        <v>360</v>
      </c>
      <c r="L781" s="55" t="s">
        <v>360</v>
      </c>
      <c r="M781" s="55" t="s">
        <v>138</v>
      </c>
      <c r="N781" s="55" t="s">
        <v>138</v>
      </c>
      <c r="O781" s="55" t="s">
        <v>196</v>
      </c>
      <c r="P781" s="55" t="s">
        <v>441</v>
      </c>
      <c r="Q781" s="55" t="s">
        <v>362</v>
      </c>
      <c r="R781" s="85">
        <v>5</v>
      </c>
      <c r="S781" s="55">
        <v>0</v>
      </c>
      <c r="T781" s="74" t="s">
        <v>1459</v>
      </c>
      <c r="U781" s="74" t="s">
        <v>351</v>
      </c>
      <c r="V781" s="74">
        <v>44334</v>
      </c>
      <c r="W781" s="74">
        <v>44365</v>
      </c>
      <c r="X781" s="55">
        <v>10187601</v>
      </c>
      <c r="Y781" s="55" t="s">
        <v>140</v>
      </c>
      <c r="AB781" s="74" t="s">
        <v>140</v>
      </c>
      <c r="AC781" s="55" t="s">
        <v>132</v>
      </c>
      <c r="AL781" s="74"/>
      <c r="AM781" s="74"/>
      <c r="AW781" s="74"/>
      <c r="AX781" s="74"/>
    </row>
    <row r="782" spans="1:50" ht="13" x14ac:dyDescent="0.15">
      <c r="A782" s="55" t="str">
        <f>HYPERLINK("http://reports.ofsted.gov.uk/inspection-reports/find-inspection-report/provider/CARE/2510324","Ofsted Social Care Provider Webpage")</f>
        <v>Ofsted Social Care Provider Webpage</v>
      </c>
      <c r="B782" s="55">
        <v>2510324</v>
      </c>
      <c r="D782" s="55" t="s">
        <v>373</v>
      </c>
      <c r="E782" s="74">
        <v>43537</v>
      </c>
      <c r="F782" s="55" t="s">
        <v>344</v>
      </c>
      <c r="G782" s="55" t="s">
        <v>360</v>
      </c>
      <c r="H782" s="55" t="s">
        <v>360</v>
      </c>
      <c r="I782" s="55" t="s">
        <v>360</v>
      </c>
      <c r="J782" s="55" t="s">
        <v>360</v>
      </c>
      <c r="K782" s="55" t="s">
        <v>360</v>
      </c>
      <c r="L782" s="55" t="s">
        <v>360</v>
      </c>
      <c r="M782" s="55" t="s">
        <v>150</v>
      </c>
      <c r="N782" s="55" t="s">
        <v>150</v>
      </c>
      <c r="O782" s="55" t="s">
        <v>199</v>
      </c>
      <c r="P782" s="55" t="s">
        <v>199</v>
      </c>
      <c r="Q782" s="55" t="s">
        <v>350</v>
      </c>
      <c r="R782" s="85">
        <v>4</v>
      </c>
      <c r="S782" s="55">
        <v>0</v>
      </c>
      <c r="T782" s="74" t="s">
        <v>1460</v>
      </c>
      <c r="U782" s="74" t="s">
        <v>2053</v>
      </c>
      <c r="V782" s="74">
        <v>44306</v>
      </c>
      <c r="W782" s="74">
        <v>44343</v>
      </c>
      <c r="X782" s="55">
        <v>10188247</v>
      </c>
      <c r="AL782" s="74"/>
      <c r="AM782" s="74"/>
    </row>
    <row r="783" spans="1:50" ht="13" x14ac:dyDescent="0.15">
      <c r="A783" s="55" t="str">
        <f>HYPERLINK("http://reports.ofsted.gov.uk/inspection-reports/find-inspection-report/provider/CARE/2510324","Ofsted Social Care Provider Webpage")</f>
        <v>Ofsted Social Care Provider Webpage</v>
      </c>
      <c r="B783" s="55">
        <v>2510324</v>
      </c>
      <c r="D783" s="55" t="s">
        <v>373</v>
      </c>
      <c r="E783" s="74">
        <v>43537</v>
      </c>
      <c r="F783" s="55" t="s">
        <v>344</v>
      </c>
      <c r="G783" s="55" t="s">
        <v>360</v>
      </c>
      <c r="H783" s="55" t="s">
        <v>360</v>
      </c>
      <c r="I783" s="55" t="s">
        <v>360</v>
      </c>
      <c r="J783" s="55" t="s">
        <v>360</v>
      </c>
      <c r="K783" s="55" t="s">
        <v>360</v>
      </c>
      <c r="L783" s="55" t="s">
        <v>360</v>
      </c>
      <c r="M783" s="55" t="s">
        <v>150</v>
      </c>
      <c r="N783" s="55" t="s">
        <v>150</v>
      </c>
      <c r="O783" s="55" t="s">
        <v>199</v>
      </c>
      <c r="P783" s="55" t="s">
        <v>199</v>
      </c>
      <c r="Q783" s="55" t="s">
        <v>350</v>
      </c>
      <c r="R783" s="85">
        <v>4</v>
      </c>
      <c r="S783" s="55">
        <v>0</v>
      </c>
      <c r="T783" s="74" t="s">
        <v>1460</v>
      </c>
      <c r="U783" s="74" t="s">
        <v>2053</v>
      </c>
      <c r="V783" s="74">
        <v>44343</v>
      </c>
      <c r="W783" s="74">
        <v>44378</v>
      </c>
      <c r="X783" s="55">
        <v>10195658</v>
      </c>
      <c r="AL783" s="74"/>
      <c r="AM783" s="74"/>
      <c r="AW783" s="74"/>
      <c r="AX783" s="74"/>
    </row>
    <row r="784" spans="1:50" ht="13" x14ac:dyDescent="0.15">
      <c r="A784" s="55" t="str">
        <f>HYPERLINK("http://reports.ofsted.gov.uk/inspection-reports/find-inspection-report/provider/CARE/2510324","Ofsted Social Care Provider Webpage")</f>
        <v>Ofsted Social Care Provider Webpage</v>
      </c>
      <c r="B784" s="55">
        <v>2510324</v>
      </c>
      <c r="D784" s="55" t="s">
        <v>373</v>
      </c>
      <c r="E784" s="74">
        <v>43537</v>
      </c>
      <c r="F784" s="55" t="s">
        <v>344</v>
      </c>
      <c r="G784" s="55" t="s">
        <v>360</v>
      </c>
      <c r="H784" s="55" t="s">
        <v>360</v>
      </c>
      <c r="I784" s="55" t="s">
        <v>360</v>
      </c>
      <c r="J784" s="55" t="s">
        <v>360</v>
      </c>
      <c r="K784" s="55" t="s">
        <v>360</v>
      </c>
      <c r="L784" s="55" t="s">
        <v>360</v>
      </c>
      <c r="M784" s="55" t="s">
        <v>150</v>
      </c>
      <c r="N784" s="55" t="s">
        <v>150</v>
      </c>
      <c r="O784" s="55" t="s">
        <v>199</v>
      </c>
      <c r="P784" s="55" t="s">
        <v>199</v>
      </c>
      <c r="Q784" s="55" t="s">
        <v>350</v>
      </c>
      <c r="R784" s="85">
        <v>4</v>
      </c>
      <c r="S784" s="55">
        <v>0</v>
      </c>
      <c r="T784" s="74" t="s">
        <v>1460</v>
      </c>
      <c r="U784" s="74" t="s">
        <v>2053</v>
      </c>
      <c r="V784" s="74">
        <v>44586</v>
      </c>
      <c r="W784" s="74">
        <v>44623</v>
      </c>
      <c r="X784" s="55">
        <v>10221251</v>
      </c>
      <c r="AL784" s="74"/>
      <c r="AM784" s="74"/>
      <c r="AW784" s="74"/>
      <c r="AX784" s="74"/>
    </row>
    <row r="785" spans="1:50" ht="13" x14ac:dyDescent="0.15">
      <c r="A785" s="55" t="str">
        <f>HYPERLINK("http://reports.ofsted.gov.uk/inspection-reports/find-inspection-report/provider/CARE/2510328","Ofsted Social Care Provider Webpage")</f>
        <v>Ofsted Social Care Provider Webpage</v>
      </c>
      <c r="B785" s="55">
        <v>2510328</v>
      </c>
      <c r="D785" s="55" t="s">
        <v>373</v>
      </c>
      <c r="E785" s="74">
        <v>43585</v>
      </c>
      <c r="F785" s="55" t="s">
        <v>344</v>
      </c>
      <c r="G785" s="55" t="s">
        <v>360</v>
      </c>
      <c r="H785" s="55" t="s">
        <v>360</v>
      </c>
      <c r="I785" s="55" t="s">
        <v>360</v>
      </c>
      <c r="J785" s="55" t="s">
        <v>360</v>
      </c>
      <c r="K785" s="55" t="s">
        <v>360</v>
      </c>
      <c r="L785" s="55" t="s">
        <v>360</v>
      </c>
      <c r="M785" s="55" t="s">
        <v>142</v>
      </c>
      <c r="N785" s="55" t="s">
        <v>142</v>
      </c>
      <c r="O785" s="55" t="s">
        <v>141</v>
      </c>
      <c r="P785" s="55" t="s">
        <v>641</v>
      </c>
      <c r="Q785" s="55" t="s">
        <v>350</v>
      </c>
      <c r="R785" s="85">
        <v>3</v>
      </c>
      <c r="S785" s="55">
        <v>0</v>
      </c>
      <c r="T785" s="74" t="s">
        <v>1461</v>
      </c>
      <c r="U785" s="74" t="s">
        <v>351</v>
      </c>
      <c r="V785" s="74">
        <v>44587</v>
      </c>
      <c r="W785" s="74">
        <v>44641</v>
      </c>
      <c r="X785" s="55">
        <v>10219489</v>
      </c>
      <c r="Y785" s="55" t="s">
        <v>130</v>
      </c>
      <c r="AB785" s="74" t="s">
        <v>130</v>
      </c>
      <c r="AC785" s="55" t="s">
        <v>130</v>
      </c>
      <c r="AL785" s="74"/>
      <c r="AM785" s="74"/>
      <c r="AW785" s="74"/>
      <c r="AX785" s="74"/>
    </row>
    <row r="786" spans="1:50" ht="13" x14ac:dyDescent="0.15">
      <c r="A786" s="55" t="str">
        <f>HYPERLINK("http://reports.ofsted.gov.uk/inspection-reports/find-inspection-report/provider/CARE/2510328","Ofsted Social Care Provider Webpage")</f>
        <v>Ofsted Social Care Provider Webpage</v>
      </c>
      <c r="B786" s="55">
        <v>2510328</v>
      </c>
      <c r="D786" s="55" t="s">
        <v>373</v>
      </c>
      <c r="E786" s="74">
        <v>43585</v>
      </c>
      <c r="F786" s="55" t="s">
        <v>344</v>
      </c>
      <c r="G786" s="55" t="s">
        <v>360</v>
      </c>
      <c r="H786" s="55" t="s">
        <v>360</v>
      </c>
      <c r="I786" s="55" t="s">
        <v>360</v>
      </c>
      <c r="J786" s="55" t="s">
        <v>360</v>
      </c>
      <c r="K786" s="55" t="s">
        <v>360</v>
      </c>
      <c r="L786" s="55" t="s">
        <v>360</v>
      </c>
      <c r="M786" s="55" t="s">
        <v>142</v>
      </c>
      <c r="N786" s="55" t="s">
        <v>142</v>
      </c>
      <c r="O786" s="55" t="s">
        <v>141</v>
      </c>
      <c r="P786" s="55" t="s">
        <v>641</v>
      </c>
      <c r="Q786" s="55" t="s">
        <v>350</v>
      </c>
      <c r="R786" s="85">
        <v>3</v>
      </c>
      <c r="S786" s="55">
        <v>0</v>
      </c>
      <c r="T786" s="74" t="s">
        <v>1461</v>
      </c>
      <c r="U786" s="74" t="s">
        <v>351</v>
      </c>
      <c r="V786" s="74">
        <v>44503</v>
      </c>
      <c r="W786" s="74">
        <v>44550</v>
      </c>
      <c r="X786" s="55">
        <v>10185368</v>
      </c>
      <c r="Y786" s="55" t="s">
        <v>146</v>
      </c>
      <c r="AB786" s="74" t="s">
        <v>146</v>
      </c>
      <c r="AC786" s="55" t="s">
        <v>146</v>
      </c>
      <c r="AL786" s="74"/>
      <c r="AM786" s="74"/>
      <c r="AW786" s="74"/>
      <c r="AX786" s="74"/>
    </row>
    <row r="787" spans="1:50" ht="13" x14ac:dyDescent="0.15">
      <c r="A787" s="55" t="str">
        <f>HYPERLINK("http://reports.ofsted.gov.uk/inspection-reports/find-inspection-report/provider/CARE/2510328","Ofsted Social Care Provider Webpage")</f>
        <v>Ofsted Social Care Provider Webpage</v>
      </c>
      <c r="B787" s="55">
        <v>2510328</v>
      </c>
      <c r="D787" s="55" t="s">
        <v>373</v>
      </c>
      <c r="E787" s="74">
        <v>43585</v>
      </c>
      <c r="F787" s="55" t="s">
        <v>344</v>
      </c>
      <c r="G787" s="55" t="s">
        <v>360</v>
      </c>
      <c r="H787" s="55" t="s">
        <v>360</v>
      </c>
      <c r="I787" s="55" t="s">
        <v>360</v>
      </c>
      <c r="J787" s="55" t="s">
        <v>360</v>
      </c>
      <c r="K787" s="55" t="s">
        <v>360</v>
      </c>
      <c r="L787" s="55" t="s">
        <v>360</v>
      </c>
      <c r="M787" s="55" t="s">
        <v>142</v>
      </c>
      <c r="N787" s="55" t="s">
        <v>142</v>
      </c>
      <c r="O787" s="55" t="s">
        <v>141</v>
      </c>
      <c r="P787" s="55" t="s">
        <v>641</v>
      </c>
      <c r="Q787" s="55" t="s">
        <v>350</v>
      </c>
      <c r="R787" s="85">
        <v>3</v>
      </c>
      <c r="S787" s="55">
        <v>0</v>
      </c>
      <c r="T787" s="74" t="s">
        <v>1461</v>
      </c>
      <c r="U787" s="74" t="s">
        <v>2053</v>
      </c>
      <c r="V787" s="74">
        <v>44544</v>
      </c>
      <c r="W787" s="74">
        <v>44589</v>
      </c>
      <c r="X787" s="55">
        <v>10213774</v>
      </c>
      <c r="AL787" s="74"/>
      <c r="AM787" s="74"/>
      <c r="AW787" s="74"/>
      <c r="AX787" s="74"/>
    </row>
    <row r="788" spans="1:50" ht="13" x14ac:dyDescent="0.15">
      <c r="A788" s="55" t="str">
        <f>HYPERLINK("http://reports.ofsted.gov.uk/inspection-reports/find-inspection-report/provider/CARE/2510604","Ofsted Social Care Provider Webpage")</f>
        <v>Ofsted Social Care Provider Webpage</v>
      </c>
      <c r="B788" s="55">
        <v>2510604</v>
      </c>
      <c r="D788" s="55" t="s">
        <v>373</v>
      </c>
      <c r="E788" s="74">
        <v>43650</v>
      </c>
      <c r="F788" s="55" t="s">
        <v>344</v>
      </c>
      <c r="G788" s="55" t="s">
        <v>360</v>
      </c>
      <c r="H788" s="55" t="s">
        <v>360</v>
      </c>
      <c r="I788" s="55" t="s">
        <v>360</v>
      </c>
      <c r="J788" s="55" t="s">
        <v>360</v>
      </c>
      <c r="K788" s="55" t="s">
        <v>360</v>
      </c>
      <c r="L788" s="55" t="s">
        <v>360</v>
      </c>
      <c r="M788" s="55" t="s">
        <v>144</v>
      </c>
      <c r="N788" s="55" t="s">
        <v>144</v>
      </c>
      <c r="O788" s="55" t="s">
        <v>157</v>
      </c>
      <c r="P788" s="55" t="s">
        <v>1462</v>
      </c>
      <c r="Q788" s="55" t="s">
        <v>350</v>
      </c>
      <c r="R788" s="85">
        <v>4</v>
      </c>
      <c r="S788" s="55">
        <v>0</v>
      </c>
      <c r="T788" s="74" t="s">
        <v>1218</v>
      </c>
      <c r="U788" s="74" t="s">
        <v>351</v>
      </c>
      <c r="V788" s="74">
        <v>44327</v>
      </c>
      <c r="W788" s="74">
        <v>44357</v>
      </c>
      <c r="X788" s="55">
        <v>10185952</v>
      </c>
      <c r="Y788" s="55" t="s">
        <v>130</v>
      </c>
      <c r="AB788" s="74" t="s">
        <v>130</v>
      </c>
      <c r="AC788" s="55" t="s">
        <v>130</v>
      </c>
      <c r="AL788" s="74"/>
      <c r="AM788" s="74"/>
      <c r="AW788" s="74"/>
      <c r="AX788" s="74"/>
    </row>
    <row r="789" spans="1:50" ht="13" x14ac:dyDescent="0.15">
      <c r="A789" s="55" t="str">
        <f>HYPERLINK("http://reports.ofsted.gov.uk/inspection-reports/find-inspection-report/provider/CARE/2510737","Ofsted Social Care Provider Webpage")</f>
        <v>Ofsted Social Care Provider Webpage</v>
      </c>
      <c r="B789" s="55">
        <v>2510737</v>
      </c>
      <c r="D789" s="55" t="s">
        <v>373</v>
      </c>
      <c r="E789" s="74">
        <v>43602</v>
      </c>
      <c r="F789" s="55" t="s">
        <v>344</v>
      </c>
      <c r="G789" s="55" t="s">
        <v>360</v>
      </c>
      <c r="H789" s="55" t="s">
        <v>360</v>
      </c>
      <c r="I789" s="55" t="s">
        <v>360</v>
      </c>
      <c r="J789" s="55" t="s">
        <v>360</v>
      </c>
      <c r="K789" s="55" t="s">
        <v>360</v>
      </c>
      <c r="L789" s="55" t="s">
        <v>360</v>
      </c>
      <c r="M789" s="55" t="s">
        <v>144</v>
      </c>
      <c r="N789" s="55" t="s">
        <v>144</v>
      </c>
      <c r="O789" s="55" t="s">
        <v>250</v>
      </c>
      <c r="P789" s="55" t="s">
        <v>759</v>
      </c>
      <c r="Q789" s="55" t="s">
        <v>350</v>
      </c>
      <c r="R789" s="85">
        <v>2</v>
      </c>
      <c r="S789" s="55">
        <v>0</v>
      </c>
      <c r="T789" s="74" t="s">
        <v>1463</v>
      </c>
      <c r="U789" s="74" t="s">
        <v>351</v>
      </c>
      <c r="V789" s="74">
        <v>44622</v>
      </c>
      <c r="W789" s="74">
        <v>44673</v>
      </c>
      <c r="X789" s="55">
        <v>10187626</v>
      </c>
      <c r="Y789" s="55" t="s">
        <v>132</v>
      </c>
      <c r="AB789" s="74" t="s">
        <v>132</v>
      </c>
      <c r="AC789" s="55" t="s">
        <v>132</v>
      </c>
      <c r="AL789" s="74"/>
      <c r="AM789" s="74"/>
      <c r="AW789" s="74"/>
      <c r="AX789" s="74"/>
    </row>
    <row r="790" spans="1:50" ht="13" x14ac:dyDescent="0.15">
      <c r="A790" s="55" t="str">
        <f>HYPERLINK("http://reports.ofsted.gov.uk/inspection-reports/find-inspection-report/provider/CARE/2510847","Ofsted Social Care Provider Webpage")</f>
        <v>Ofsted Social Care Provider Webpage</v>
      </c>
      <c r="B790" s="55">
        <v>2510847</v>
      </c>
      <c r="D790" s="55" t="s">
        <v>373</v>
      </c>
      <c r="E790" s="74">
        <v>43572</v>
      </c>
      <c r="F790" s="55" t="s">
        <v>344</v>
      </c>
      <c r="G790" s="55" t="s">
        <v>360</v>
      </c>
      <c r="H790" s="55" t="s">
        <v>360</v>
      </c>
      <c r="I790" s="55" t="s">
        <v>360</v>
      </c>
      <c r="J790" s="55" t="s">
        <v>360</v>
      </c>
      <c r="K790" s="55" t="s">
        <v>360</v>
      </c>
      <c r="L790" s="55" t="s">
        <v>360</v>
      </c>
      <c r="M790" s="55" t="s">
        <v>144</v>
      </c>
      <c r="N790" s="55" t="s">
        <v>144</v>
      </c>
      <c r="O790" s="55" t="s">
        <v>209</v>
      </c>
      <c r="P790" s="55" t="s">
        <v>364</v>
      </c>
      <c r="Q790" s="55" t="s">
        <v>350</v>
      </c>
      <c r="R790" s="85">
        <v>1</v>
      </c>
      <c r="S790" s="55">
        <v>0</v>
      </c>
      <c r="T790" s="74" t="s">
        <v>1279</v>
      </c>
      <c r="U790" s="74" t="s">
        <v>351</v>
      </c>
      <c r="V790" s="74">
        <v>44594</v>
      </c>
      <c r="W790" s="74">
        <v>44649</v>
      </c>
      <c r="X790" s="55">
        <v>10186883</v>
      </c>
      <c r="Y790" s="55" t="s">
        <v>146</v>
      </c>
      <c r="AB790" s="74" t="s">
        <v>146</v>
      </c>
      <c r="AC790" s="55" t="s">
        <v>146</v>
      </c>
      <c r="AL790" s="74"/>
      <c r="AM790" s="74"/>
      <c r="AW790" s="74"/>
      <c r="AX790" s="74"/>
    </row>
    <row r="791" spans="1:50" ht="13" x14ac:dyDescent="0.15">
      <c r="A791" s="55" t="str">
        <f>HYPERLINK("http://reports.ofsted.gov.uk/inspection-reports/find-inspection-report/provider/CARE/2511289","Ofsted Social Care Provider Webpage")</f>
        <v>Ofsted Social Care Provider Webpage</v>
      </c>
      <c r="B791" s="55">
        <v>2511289</v>
      </c>
      <c r="D791" s="55" t="s">
        <v>373</v>
      </c>
      <c r="E791" s="74">
        <v>43486</v>
      </c>
      <c r="F791" s="55" t="s">
        <v>344</v>
      </c>
      <c r="G791" s="55" t="s">
        <v>360</v>
      </c>
      <c r="H791" s="55" t="s">
        <v>360</v>
      </c>
      <c r="I791" s="55" t="s">
        <v>360</v>
      </c>
      <c r="J791" s="55" t="s">
        <v>360</v>
      </c>
      <c r="K791" s="55" t="s">
        <v>360</v>
      </c>
      <c r="L791" s="55" t="s">
        <v>360</v>
      </c>
      <c r="M791" s="55" t="s">
        <v>136</v>
      </c>
      <c r="N791" s="55" t="s">
        <v>136</v>
      </c>
      <c r="O791" s="55" t="s">
        <v>239</v>
      </c>
      <c r="P791" s="55" t="s">
        <v>738</v>
      </c>
      <c r="Q791" s="55" t="s">
        <v>350</v>
      </c>
      <c r="R791" s="85">
        <v>1</v>
      </c>
      <c r="S791" s="55">
        <v>0</v>
      </c>
      <c r="T791" s="74" t="s">
        <v>385</v>
      </c>
      <c r="U791" s="74" t="s">
        <v>351</v>
      </c>
      <c r="V791" s="74">
        <v>44377</v>
      </c>
      <c r="W791" s="74">
        <v>44412</v>
      </c>
      <c r="X791" s="55">
        <v>10186653</v>
      </c>
      <c r="Y791" s="55" t="s">
        <v>132</v>
      </c>
      <c r="AB791" s="74" t="s">
        <v>132</v>
      </c>
      <c r="AC791" s="55" t="s">
        <v>132</v>
      </c>
      <c r="AL791" s="74"/>
      <c r="AM791" s="74"/>
    </row>
    <row r="792" spans="1:50" ht="13" x14ac:dyDescent="0.15">
      <c r="A792" s="55" t="str">
        <f>HYPERLINK("http://reports.ofsted.gov.uk/inspection-reports/find-inspection-report/provider/CARE/2511614","Ofsted Social Care Provider Webpage")</f>
        <v>Ofsted Social Care Provider Webpage</v>
      </c>
      <c r="B792" s="55">
        <v>2511614</v>
      </c>
      <c r="D792" s="55" t="s">
        <v>373</v>
      </c>
      <c r="E792" s="74">
        <v>43516</v>
      </c>
      <c r="F792" s="55" t="s">
        <v>344</v>
      </c>
      <c r="G792" s="55" t="s">
        <v>360</v>
      </c>
      <c r="H792" s="55" t="s">
        <v>360</v>
      </c>
      <c r="I792" s="55" t="s">
        <v>360</v>
      </c>
      <c r="J792" s="55" t="s">
        <v>360</v>
      </c>
      <c r="K792" s="55" t="s">
        <v>360</v>
      </c>
      <c r="L792" s="55" t="s">
        <v>360</v>
      </c>
      <c r="M792" s="55" t="s">
        <v>144</v>
      </c>
      <c r="N792" s="55" t="s">
        <v>144</v>
      </c>
      <c r="O792" s="55" t="s">
        <v>209</v>
      </c>
      <c r="P792" s="55" t="s">
        <v>545</v>
      </c>
      <c r="Q792" s="55" t="s">
        <v>350</v>
      </c>
      <c r="R792" s="85">
        <v>3</v>
      </c>
      <c r="S792" s="55">
        <v>0</v>
      </c>
      <c r="T792" s="74" t="s">
        <v>778</v>
      </c>
      <c r="U792" s="74" t="s">
        <v>351</v>
      </c>
      <c r="V792" s="74">
        <v>44370</v>
      </c>
      <c r="W792" s="74">
        <v>44432</v>
      </c>
      <c r="X792" s="55">
        <v>10186237</v>
      </c>
      <c r="Y792" s="55" t="s">
        <v>132</v>
      </c>
      <c r="AB792" s="74" t="s">
        <v>132</v>
      </c>
      <c r="AC792" s="55" t="s">
        <v>130</v>
      </c>
      <c r="AL792" s="74"/>
      <c r="AM792" s="74"/>
      <c r="AW792" s="74"/>
      <c r="AX792" s="74"/>
    </row>
    <row r="793" spans="1:50" ht="13" x14ac:dyDescent="0.15">
      <c r="A793" s="55" t="str">
        <f>HYPERLINK("http://reports.ofsted.gov.uk/inspection-reports/find-inspection-report/provider/CARE/2511662","Ofsted Social Care Provider Webpage")</f>
        <v>Ofsted Social Care Provider Webpage</v>
      </c>
      <c r="B793" s="55">
        <v>2511662</v>
      </c>
      <c r="D793" s="55" t="s">
        <v>373</v>
      </c>
      <c r="E793" s="74">
        <v>43612</v>
      </c>
      <c r="F793" s="55" t="s">
        <v>344</v>
      </c>
      <c r="G793" s="55" t="s">
        <v>360</v>
      </c>
      <c r="H793" s="55" t="s">
        <v>360</v>
      </c>
      <c r="I793" s="55" t="s">
        <v>360</v>
      </c>
      <c r="J793" s="55" t="s">
        <v>360</v>
      </c>
      <c r="K793" s="55" t="s">
        <v>360</v>
      </c>
      <c r="L793" s="55" t="s">
        <v>360</v>
      </c>
      <c r="M793" s="55" t="s">
        <v>144</v>
      </c>
      <c r="N793" s="55" t="s">
        <v>144</v>
      </c>
      <c r="O793" s="55" t="s">
        <v>209</v>
      </c>
      <c r="P793" s="55" t="s">
        <v>629</v>
      </c>
      <c r="Q793" s="55" t="s">
        <v>350</v>
      </c>
      <c r="R793" s="85">
        <v>2</v>
      </c>
      <c r="S793" s="55">
        <v>0</v>
      </c>
      <c r="T793" s="74" t="s">
        <v>485</v>
      </c>
      <c r="U793" s="74" t="s">
        <v>351</v>
      </c>
      <c r="V793" s="74">
        <v>44593</v>
      </c>
      <c r="W793" s="74">
        <v>44638</v>
      </c>
      <c r="X793" s="55">
        <v>10186673</v>
      </c>
      <c r="Y793" s="55" t="s">
        <v>132</v>
      </c>
      <c r="AB793" s="74" t="s">
        <v>132</v>
      </c>
      <c r="AC793" s="55" t="s">
        <v>132</v>
      </c>
      <c r="AL793" s="74"/>
      <c r="AM793" s="74"/>
      <c r="AW793" s="74"/>
      <c r="AX793" s="74"/>
    </row>
    <row r="794" spans="1:50" ht="13" x14ac:dyDescent="0.15">
      <c r="A794" s="55" t="str">
        <f>HYPERLINK("http://reports.ofsted.gov.uk/inspection-reports/find-inspection-report/provider/CARE/2512898","Ofsted Social Care Provider Webpage")</f>
        <v>Ofsted Social Care Provider Webpage</v>
      </c>
      <c r="B794" s="55">
        <v>2512898</v>
      </c>
      <c r="D794" s="55" t="s">
        <v>373</v>
      </c>
      <c r="E794" s="74">
        <v>43543</v>
      </c>
      <c r="F794" s="55" t="s">
        <v>344</v>
      </c>
      <c r="G794" s="55" t="s">
        <v>360</v>
      </c>
      <c r="H794" s="55" t="s">
        <v>360</v>
      </c>
      <c r="I794" s="55" t="s">
        <v>360</v>
      </c>
      <c r="J794" s="55" t="s">
        <v>360</v>
      </c>
      <c r="K794" s="55" t="s">
        <v>360</v>
      </c>
      <c r="L794" s="55" t="s">
        <v>360</v>
      </c>
      <c r="M794" s="55" t="s">
        <v>172</v>
      </c>
      <c r="N794" s="55" t="s">
        <v>172</v>
      </c>
      <c r="O794" s="55" t="s">
        <v>171</v>
      </c>
      <c r="P794" s="55" t="s">
        <v>983</v>
      </c>
      <c r="Q794" s="55" t="s">
        <v>350</v>
      </c>
      <c r="R794" s="85">
        <v>2</v>
      </c>
      <c r="S794" s="55">
        <v>0</v>
      </c>
      <c r="T794" s="74" t="s">
        <v>1473</v>
      </c>
      <c r="U794" s="74" t="s">
        <v>351</v>
      </c>
      <c r="V794" s="74">
        <v>44523</v>
      </c>
      <c r="W794" s="74">
        <v>44565</v>
      </c>
      <c r="X794" s="55">
        <v>10187301</v>
      </c>
      <c r="Y794" s="55" t="s">
        <v>132</v>
      </c>
      <c r="AB794" s="74" t="s">
        <v>132</v>
      </c>
      <c r="AC794" s="55" t="s">
        <v>140</v>
      </c>
      <c r="AL794" s="74"/>
      <c r="AM794" s="74"/>
      <c r="AW794" s="74"/>
      <c r="AX794" s="74"/>
    </row>
    <row r="795" spans="1:50" ht="13" x14ac:dyDescent="0.15">
      <c r="A795" s="55" t="str">
        <f>HYPERLINK("http://reports.ofsted.gov.uk/inspection-reports/find-inspection-report/provider/CARE/2513339","Ofsted Social Care Provider Webpage")</f>
        <v>Ofsted Social Care Provider Webpage</v>
      </c>
      <c r="B795" s="55">
        <v>2513339</v>
      </c>
      <c r="D795" s="55" t="s">
        <v>373</v>
      </c>
      <c r="E795" s="74">
        <v>43493</v>
      </c>
      <c r="F795" s="55" t="s">
        <v>344</v>
      </c>
      <c r="G795" s="55" t="s">
        <v>360</v>
      </c>
      <c r="H795" s="55" t="s">
        <v>360</v>
      </c>
      <c r="I795" s="55" t="s">
        <v>360</v>
      </c>
      <c r="J795" s="55" t="s">
        <v>360</v>
      </c>
      <c r="K795" s="55" t="s">
        <v>360</v>
      </c>
      <c r="L795" s="55" t="s">
        <v>360</v>
      </c>
      <c r="M795" s="55" t="s">
        <v>138</v>
      </c>
      <c r="N795" s="55" t="s">
        <v>138</v>
      </c>
      <c r="O795" s="55" t="s">
        <v>161</v>
      </c>
      <c r="P795" s="55" t="s">
        <v>822</v>
      </c>
      <c r="Q795" s="55" t="s">
        <v>380</v>
      </c>
      <c r="R795" s="85">
        <v>5</v>
      </c>
      <c r="S795" s="55">
        <v>0</v>
      </c>
      <c r="T795" s="74" t="s">
        <v>1474</v>
      </c>
      <c r="U795" s="74" t="s">
        <v>351</v>
      </c>
      <c r="V795" s="74">
        <v>44538</v>
      </c>
      <c r="W795" s="74">
        <v>44581</v>
      </c>
      <c r="X795" s="55">
        <v>10185030</v>
      </c>
      <c r="Y795" s="55" t="s">
        <v>132</v>
      </c>
      <c r="AB795" s="74" t="s">
        <v>132</v>
      </c>
      <c r="AC795" s="55" t="s">
        <v>132</v>
      </c>
      <c r="AL795" s="74"/>
      <c r="AM795" s="74"/>
      <c r="AW795" s="74"/>
      <c r="AX795" s="74"/>
    </row>
    <row r="796" spans="1:50" ht="13" x14ac:dyDescent="0.15">
      <c r="A796" s="55" t="str">
        <f>HYPERLINK("http://reports.ofsted.gov.uk/inspection-reports/find-inspection-report/provider/CARE/2513340","Ofsted Social Care Provider Webpage")</f>
        <v>Ofsted Social Care Provider Webpage</v>
      </c>
      <c r="B796" s="55">
        <v>2513340</v>
      </c>
      <c r="D796" s="55" t="s">
        <v>373</v>
      </c>
      <c r="E796" s="74">
        <v>43843</v>
      </c>
      <c r="F796" s="55" t="s">
        <v>344</v>
      </c>
      <c r="G796" s="55" t="s">
        <v>360</v>
      </c>
      <c r="H796" s="55" t="s">
        <v>360</v>
      </c>
      <c r="I796" s="55" t="s">
        <v>360</v>
      </c>
      <c r="J796" s="55" t="s">
        <v>360</v>
      </c>
      <c r="K796" s="55" t="s">
        <v>360</v>
      </c>
      <c r="L796" s="55" t="s">
        <v>360</v>
      </c>
      <c r="M796" s="55" t="s">
        <v>142</v>
      </c>
      <c r="N796" s="55" t="s">
        <v>142</v>
      </c>
      <c r="O796" s="55" t="s">
        <v>292</v>
      </c>
      <c r="P796" s="55" t="s">
        <v>1162</v>
      </c>
      <c r="Q796" s="55" t="s">
        <v>350</v>
      </c>
      <c r="R796" s="85">
        <v>2</v>
      </c>
      <c r="S796" s="55">
        <v>0</v>
      </c>
      <c r="T796" s="74" t="s">
        <v>843</v>
      </c>
      <c r="U796" s="74" t="s">
        <v>2053</v>
      </c>
      <c r="V796" s="74">
        <v>44532</v>
      </c>
      <c r="W796" s="74">
        <v>44572</v>
      </c>
      <c r="X796" s="55">
        <v>10212780</v>
      </c>
      <c r="AL796" s="74"/>
      <c r="AM796" s="74"/>
    </row>
    <row r="797" spans="1:50" ht="13" x14ac:dyDescent="0.15">
      <c r="A797" s="55" t="str">
        <f>HYPERLINK("http://reports.ofsted.gov.uk/inspection-reports/find-inspection-report/provider/CARE/2513340","Ofsted Social Care Provider Webpage")</f>
        <v>Ofsted Social Care Provider Webpage</v>
      </c>
      <c r="B797" s="55">
        <v>2513340</v>
      </c>
      <c r="D797" s="55" t="s">
        <v>373</v>
      </c>
      <c r="E797" s="74">
        <v>43843</v>
      </c>
      <c r="F797" s="55" t="s">
        <v>344</v>
      </c>
      <c r="G797" s="55" t="s">
        <v>360</v>
      </c>
      <c r="H797" s="55" t="s">
        <v>360</v>
      </c>
      <c r="I797" s="55" t="s">
        <v>360</v>
      </c>
      <c r="J797" s="55" t="s">
        <v>360</v>
      </c>
      <c r="K797" s="55" t="s">
        <v>360</v>
      </c>
      <c r="L797" s="55" t="s">
        <v>360</v>
      </c>
      <c r="M797" s="55" t="s">
        <v>142</v>
      </c>
      <c r="N797" s="55" t="s">
        <v>142</v>
      </c>
      <c r="O797" s="55" t="s">
        <v>292</v>
      </c>
      <c r="P797" s="55" t="s">
        <v>1162</v>
      </c>
      <c r="Q797" s="55" t="s">
        <v>350</v>
      </c>
      <c r="R797" s="85">
        <v>2</v>
      </c>
      <c r="S797" s="55">
        <v>0</v>
      </c>
      <c r="T797" s="74" t="s">
        <v>843</v>
      </c>
      <c r="U797" s="74" t="s">
        <v>351</v>
      </c>
      <c r="V797" s="74">
        <v>44487</v>
      </c>
      <c r="W797" s="74">
        <v>44531</v>
      </c>
      <c r="X797" s="55">
        <v>10185738</v>
      </c>
      <c r="Y797" s="55" t="s">
        <v>146</v>
      </c>
      <c r="AB797" s="74" t="s">
        <v>146</v>
      </c>
      <c r="AC797" s="55" t="s">
        <v>146</v>
      </c>
      <c r="AL797" s="74"/>
      <c r="AM797" s="74"/>
      <c r="AW797" s="74"/>
      <c r="AX797" s="74"/>
    </row>
    <row r="798" spans="1:50" ht="13" x14ac:dyDescent="0.15">
      <c r="A798" s="55" t="str">
        <f>HYPERLINK("http://reports.ofsted.gov.uk/inspection-reports/find-inspection-report/provider/CARE/2513340","Ofsted Social Care Provider Webpage")</f>
        <v>Ofsted Social Care Provider Webpage</v>
      </c>
      <c r="B798" s="55">
        <v>2513340</v>
      </c>
      <c r="D798" s="55" t="s">
        <v>373</v>
      </c>
      <c r="E798" s="74">
        <v>43843</v>
      </c>
      <c r="F798" s="55" t="s">
        <v>344</v>
      </c>
      <c r="G798" s="55" t="s">
        <v>360</v>
      </c>
      <c r="H798" s="55" t="s">
        <v>360</v>
      </c>
      <c r="I798" s="55" t="s">
        <v>360</v>
      </c>
      <c r="J798" s="55" t="s">
        <v>360</v>
      </c>
      <c r="K798" s="55" t="s">
        <v>360</v>
      </c>
      <c r="L798" s="55" t="s">
        <v>360</v>
      </c>
      <c r="M798" s="55" t="s">
        <v>142</v>
      </c>
      <c r="N798" s="55" t="s">
        <v>142</v>
      </c>
      <c r="O798" s="55" t="s">
        <v>292</v>
      </c>
      <c r="P798" s="55" t="s">
        <v>1162</v>
      </c>
      <c r="Q798" s="55" t="s">
        <v>350</v>
      </c>
      <c r="R798" s="85">
        <v>2</v>
      </c>
      <c r="S798" s="55">
        <v>0</v>
      </c>
      <c r="T798" s="74" t="s">
        <v>843</v>
      </c>
      <c r="U798" s="74" t="s">
        <v>351</v>
      </c>
      <c r="V798" s="74">
        <v>44572</v>
      </c>
      <c r="W798" s="74">
        <v>44613</v>
      </c>
      <c r="X798" s="55">
        <v>10213742</v>
      </c>
      <c r="Y798" s="55" t="s">
        <v>130</v>
      </c>
      <c r="AB798" s="74" t="s">
        <v>130</v>
      </c>
      <c r="AC798" s="55" t="s">
        <v>130</v>
      </c>
      <c r="AL798" s="74"/>
      <c r="AM798" s="74"/>
    </row>
    <row r="799" spans="1:50" ht="13" x14ac:dyDescent="0.15">
      <c r="A799" s="55" t="str">
        <f>HYPERLINK("http://reports.ofsted.gov.uk/inspection-reports/find-inspection-report/provider/CARE/2513341","Ofsted Social Care Provider Webpage")</f>
        <v>Ofsted Social Care Provider Webpage</v>
      </c>
      <c r="B799" s="55">
        <v>2513341</v>
      </c>
      <c r="D799" s="55" t="s">
        <v>373</v>
      </c>
      <c r="E799" s="74">
        <v>43683</v>
      </c>
      <c r="F799" s="55" t="s">
        <v>344</v>
      </c>
      <c r="G799" s="55" t="s">
        <v>360</v>
      </c>
      <c r="H799" s="55" t="s">
        <v>360</v>
      </c>
      <c r="I799" s="55" t="s">
        <v>360</v>
      </c>
      <c r="J799" s="55" t="s">
        <v>360</v>
      </c>
      <c r="K799" s="55" t="s">
        <v>360</v>
      </c>
      <c r="L799" s="55" t="s">
        <v>360</v>
      </c>
      <c r="M799" s="55" t="s">
        <v>142</v>
      </c>
      <c r="N799" s="55" t="s">
        <v>142</v>
      </c>
      <c r="O799" s="55" t="s">
        <v>195</v>
      </c>
      <c r="P799" s="55" t="s">
        <v>747</v>
      </c>
      <c r="Q799" s="55" t="s">
        <v>350</v>
      </c>
      <c r="R799" s="85">
        <v>5</v>
      </c>
      <c r="S799" s="55">
        <v>0</v>
      </c>
      <c r="T799" s="74" t="s">
        <v>843</v>
      </c>
      <c r="U799" s="74" t="s">
        <v>351</v>
      </c>
      <c r="V799" s="74">
        <v>44384</v>
      </c>
      <c r="W799" s="74">
        <v>44435</v>
      </c>
      <c r="X799" s="55">
        <v>10185534</v>
      </c>
      <c r="Y799" s="55" t="s">
        <v>140</v>
      </c>
      <c r="AB799" s="74" t="s">
        <v>140</v>
      </c>
      <c r="AC799" s="55" t="s">
        <v>140</v>
      </c>
      <c r="AL799" s="74"/>
      <c r="AM799" s="74"/>
      <c r="AW799" s="74"/>
      <c r="AX799" s="74"/>
    </row>
    <row r="800" spans="1:50" ht="13" x14ac:dyDescent="0.15">
      <c r="A800" s="55" t="str">
        <f>HYPERLINK("http://reports.ofsted.gov.uk/inspection-reports/find-inspection-report/provider/CARE/2515370","Ofsted Social Care Provider Webpage")</f>
        <v>Ofsted Social Care Provider Webpage</v>
      </c>
      <c r="B800" s="55">
        <v>2515370</v>
      </c>
      <c r="D800" s="55" t="s">
        <v>373</v>
      </c>
      <c r="E800" s="74">
        <v>43578</v>
      </c>
      <c r="F800" s="55" t="s">
        <v>344</v>
      </c>
      <c r="G800" s="55" t="s">
        <v>360</v>
      </c>
      <c r="H800" s="55" t="s">
        <v>360</v>
      </c>
      <c r="I800" s="55" t="s">
        <v>360</v>
      </c>
      <c r="J800" s="55" t="s">
        <v>360</v>
      </c>
      <c r="K800" s="55" t="s">
        <v>360</v>
      </c>
      <c r="L800" s="55" t="s">
        <v>360</v>
      </c>
      <c r="M800" s="55" t="s">
        <v>150</v>
      </c>
      <c r="N800" s="55" t="s">
        <v>150</v>
      </c>
      <c r="O800" s="55" t="s">
        <v>237</v>
      </c>
      <c r="P800" s="55" t="s">
        <v>990</v>
      </c>
      <c r="Q800" s="55" t="s">
        <v>350</v>
      </c>
      <c r="R800" s="85">
        <v>2</v>
      </c>
      <c r="S800" s="55">
        <v>0</v>
      </c>
      <c r="T800" s="74" t="s">
        <v>962</v>
      </c>
      <c r="U800" s="74" t="s">
        <v>2053</v>
      </c>
      <c r="V800" s="74">
        <v>44550</v>
      </c>
      <c r="W800" s="74">
        <v>44608</v>
      </c>
      <c r="X800" s="55">
        <v>10214364</v>
      </c>
      <c r="AL800" s="74"/>
      <c r="AM800" s="74"/>
    </row>
    <row r="801" spans="1:50" ht="13" x14ac:dyDescent="0.15">
      <c r="A801" s="55" t="str">
        <f>HYPERLINK("http://reports.ofsted.gov.uk/inspection-reports/find-inspection-report/provider/CARE/2515370","Ofsted Social Care Provider Webpage")</f>
        <v>Ofsted Social Care Provider Webpage</v>
      </c>
      <c r="B801" s="55">
        <v>2515370</v>
      </c>
      <c r="D801" s="55" t="s">
        <v>373</v>
      </c>
      <c r="E801" s="74">
        <v>43578</v>
      </c>
      <c r="F801" s="55" t="s">
        <v>344</v>
      </c>
      <c r="G801" s="55" t="s">
        <v>360</v>
      </c>
      <c r="H801" s="55" t="s">
        <v>360</v>
      </c>
      <c r="I801" s="55" t="s">
        <v>360</v>
      </c>
      <c r="J801" s="55" t="s">
        <v>360</v>
      </c>
      <c r="K801" s="55" t="s">
        <v>360</v>
      </c>
      <c r="L801" s="55" t="s">
        <v>360</v>
      </c>
      <c r="M801" s="55" t="s">
        <v>150</v>
      </c>
      <c r="N801" s="55" t="s">
        <v>150</v>
      </c>
      <c r="O801" s="55" t="s">
        <v>237</v>
      </c>
      <c r="P801" s="55" t="s">
        <v>990</v>
      </c>
      <c r="Q801" s="55" t="s">
        <v>350</v>
      </c>
      <c r="R801" s="85">
        <v>2</v>
      </c>
      <c r="S801" s="55">
        <v>0</v>
      </c>
      <c r="T801" s="74" t="s">
        <v>962</v>
      </c>
      <c r="U801" s="74" t="s">
        <v>351</v>
      </c>
      <c r="V801" s="74">
        <v>44586</v>
      </c>
      <c r="W801" s="74">
        <v>44634</v>
      </c>
      <c r="X801" s="55">
        <v>10214365</v>
      </c>
      <c r="Y801" s="55" t="s">
        <v>146</v>
      </c>
      <c r="AB801" s="74" t="s">
        <v>146</v>
      </c>
      <c r="AC801" s="55" t="s">
        <v>146</v>
      </c>
      <c r="AL801" s="74"/>
      <c r="AM801" s="74"/>
      <c r="AW801" s="74"/>
      <c r="AX801" s="74"/>
    </row>
    <row r="802" spans="1:50" ht="13" x14ac:dyDescent="0.15">
      <c r="A802" s="55" t="str">
        <f>HYPERLINK("http://reports.ofsted.gov.uk/inspection-reports/find-inspection-report/provider/CARE/2515370","Ofsted Social Care Provider Webpage")</f>
        <v>Ofsted Social Care Provider Webpage</v>
      </c>
      <c r="B802" s="55">
        <v>2515370</v>
      </c>
      <c r="D802" s="55" t="s">
        <v>373</v>
      </c>
      <c r="E802" s="74">
        <v>43578</v>
      </c>
      <c r="F802" s="55" t="s">
        <v>344</v>
      </c>
      <c r="G802" s="55" t="s">
        <v>360</v>
      </c>
      <c r="H802" s="55" t="s">
        <v>360</v>
      </c>
      <c r="I802" s="55" t="s">
        <v>360</v>
      </c>
      <c r="J802" s="55" t="s">
        <v>360</v>
      </c>
      <c r="K802" s="55" t="s">
        <v>360</v>
      </c>
      <c r="L802" s="55" t="s">
        <v>360</v>
      </c>
      <c r="M802" s="55" t="s">
        <v>150</v>
      </c>
      <c r="N802" s="55" t="s">
        <v>150</v>
      </c>
      <c r="O802" s="55" t="s">
        <v>237</v>
      </c>
      <c r="P802" s="55" t="s">
        <v>990</v>
      </c>
      <c r="Q802" s="55" t="s">
        <v>350</v>
      </c>
      <c r="R802" s="85">
        <v>2</v>
      </c>
      <c r="S802" s="55">
        <v>0</v>
      </c>
      <c r="T802" s="74" t="s">
        <v>962</v>
      </c>
      <c r="U802" s="74" t="s">
        <v>351</v>
      </c>
      <c r="V802" s="74">
        <v>44509</v>
      </c>
      <c r="W802" s="74">
        <v>44550</v>
      </c>
      <c r="X802" s="55">
        <v>10186232</v>
      </c>
      <c r="Y802" s="55" t="s">
        <v>146</v>
      </c>
      <c r="AB802" s="74" t="s">
        <v>146</v>
      </c>
      <c r="AC802" s="55" t="s">
        <v>146</v>
      </c>
      <c r="AL802" s="74"/>
      <c r="AM802" s="74"/>
      <c r="AW802" s="74"/>
      <c r="AX802" s="74"/>
    </row>
    <row r="803" spans="1:50" ht="13" x14ac:dyDescent="0.15">
      <c r="A803" s="55" t="str">
        <f>HYPERLINK("http://reports.ofsted.gov.uk/inspection-reports/find-inspection-report/provider/CARE/2515380","Ofsted Social Care Provider Webpage")</f>
        <v>Ofsted Social Care Provider Webpage</v>
      </c>
      <c r="B803" s="55">
        <v>2515380</v>
      </c>
      <c r="D803" s="55" t="s">
        <v>373</v>
      </c>
      <c r="E803" s="74">
        <v>43507</v>
      </c>
      <c r="F803" s="55" t="s">
        <v>344</v>
      </c>
      <c r="G803" s="55" t="s">
        <v>360</v>
      </c>
      <c r="H803" s="55" t="s">
        <v>360</v>
      </c>
      <c r="I803" s="55" t="s">
        <v>360</v>
      </c>
      <c r="J803" s="55" t="s">
        <v>360</v>
      </c>
      <c r="K803" s="55" t="s">
        <v>360</v>
      </c>
      <c r="L803" s="55" t="s">
        <v>360</v>
      </c>
      <c r="M803" s="55" t="s">
        <v>172</v>
      </c>
      <c r="N803" s="55" t="s">
        <v>172</v>
      </c>
      <c r="O803" s="55" t="s">
        <v>284</v>
      </c>
      <c r="P803" s="55" t="s">
        <v>1475</v>
      </c>
      <c r="Q803" s="55" t="s">
        <v>350</v>
      </c>
      <c r="R803" s="85">
        <v>2</v>
      </c>
      <c r="S803" s="55">
        <v>0</v>
      </c>
      <c r="T803" s="74" t="s">
        <v>962</v>
      </c>
      <c r="U803" s="74" t="s">
        <v>351</v>
      </c>
      <c r="V803" s="74">
        <v>44586</v>
      </c>
      <c r="W803" s="74">
        <v>44630</v>
      </c>
      <c r="X803" s="55">
        <v>10186061</v>
      </c>
      <c r="Y803" s="55" t="s">
        <v>130</v>
      </c>
      <c r="AB803" s="74" t="s">
        <v>130</v>
      </c>
      <c r="AC803" s="55" t="s">
        <v>130</v>
      </c>
      <c r="AL803" s="74"/>
      <c r="AM803" s="74"/>
      <c r="AW803" s="74"/>
      <c r="AX803" s="74"/>
    </row>
    <row r="804" spans="1:50" ht="13" x14ac:dyDescent="0.15">
      <c r="A804" s="55" t="str">
        <f>HYPERLINK("http://reports.ofsted.gov.uk/inspection-reports/find-inspection-report/provider/CARE/2515609","Ofsted Social Care Provider Webpage")</f>
        <v>Ofsted Social Care Provider Webpage</v>
      </c>
      <c r="B804" s="55">
        <v>2515609</v>
      </c>
      <c r="D804" s="55" t="s">
        <v>373</v>
      </c>
      <c r="E804" s="74">
        <v>43517</v>
      </c>
      <c r="F804" s="55" t="s">
        <v>344</v>
      </c>
      <c r="G804" s="55" t="s">
        <v>360</v>
      </c>
      <c r="H804" s="55" t="s">
        <v>360</v>
      </c>
      <c r="I804" s="55" t="s">
        <v>360</v>
      </c>
      <c r="J804" s="55" t="s">
        <v>360</v>
      </c>
      <c r="K804" s="55" t="s">
        <v>360</v>
      </c>
      <c r="L804" s="55" t="s">
        <v>360</v>
      </c>
      <c r="M804" s="55" t="s">
        <v>142</v>
      </c>
      <c r="N804" s="55" t="s">
        <v>142</v>
      </c>
      <c r="O804" s="55" t="s">
        <v>166</v>
      </c>
      <c r="P804" s="55" t="s">
        <v>1476</v>
      </c>
      <c r="Q804" s="55" t="s">
        <v>350</v>
      </c>
      <c r="R804" s="85">
        <v>2</v>
      </c>
      <c r="S804" s="55">
        <v>0</v>
      </c>
      <c r="T804" s="74" t="s">
        <v>1164</v>
      </c>
      <c r="U804" s="74" t="s">
        <v>351</v>
      </c>
      <c r="V804" s="74">
        <v>44481</v>
      </c>
      <c r="W804" s="74">
        <v>44522</v>
      </c>
      <c r="X804" s="55">
        <v>10185961</v>
      </c>
      <c r="Y804" s="55" t="s">
        <v>130</v>
      </c>
      <c r="AB804" s="74" t="s">
        <v>130</v>
      </c>
      <c r="AC804" s="55" t="s">
        <v>146</v>
      </c>
      <c r="AL804" s="74"/>
      <c r="AM804" s="74"/>
      <c r="AW804" s="74"/>
      <c r="AX804" s="74"/>
    </row>
    <row r="805" spans="1:50" ht="13" x14ac:dyDescent="0.15">
      <c r="A805" s="55" t="str">
        <f>HYPERLINK("http://reports.ofsted.gov.uk/inspection-reports/find-inspection-report/provider/CARE/2515609","Ofsted Social Care Provider Webpage")</f>
        <v>Ofsted Social Care Provider Webpage</v>
      </c>
      <c r="B805" s="55">
        <v>2515609</v>
      </c>
      <c r="D805" s="55" t="s">
        <v>373</v>
      </c>
      <c r="E805" s="74">
        <v>43517</v>
      </c>
      <c r="F805" s="55" t="s">
        <v>344</v>
      </c>
      <c r="G805" s="55" t="s">
        <v>360</v>
      </c>
      <c r="H805" s="55" t="s">
        <v>360</v>
      </c>
      <c r="I805" s="55" t="s">
        <v>360</v>
      </c>
      <c r="J805" s="55" t="s">
        <v>360</v>
      </c>
      <c r="K805" s="55" t="s">
        <v>360</v>
      </c>
      <c r="L805" s="55" t="s">
        <v>360</v>
      </c>
      <c r="M805" s="55" t="s">
        <v>142</v>
      </c>
      <c r="N805" s="55" t="s">
        <v>142</v>
      </c>
      <c r="O805" s="55" t="s">
        <v>166</v>
      </c>
      <c r="P805" s="55" t="s">
        <v>1476</v>
      </c>
      <c r="Q805" s="55" t="s">
        <v>350</v>
      </c>
      <c r="R805" s="85">
        <v>2</v>
      </c>
      <c r="S805" s="55">
        <v>0</v>
      </c>
      <c r="T805" s="74" t="s">
        <v>1164</v>
      </c>
      <c r="U805" s="74" t="s">
        <v>6703</v>
      </c>
      <c r="V805" s="74">
        <v>44595</v>
      </c>
      <c r="W805" s="74">
        <v>44636</v>
      </c>
      <c r="X805" s="55">
        <v>10217241</v>
      </c>
      <c r="Y805" s="55" t="s">
        <v>6706</v>
      </c>
      <c r="AL805" s="74"/>
      <c r="AM805" s="74"/>
      <c r="AW805" s="74"/>
      <c r="AX805" s="74"/>
    </row>
    <row r="806" spans="1:50" ht="13" x14ac:dyDescent="0.15">
      <c r="A806" s="55" t="str">
        <f>HYPERLINK("http://reports.ofsted.gov.uk/inspection-reports/find-inspection-report/provider/CARE/2515613","Ofsted Social Care Provider Webpage")</f>
        <v>Ofsted Social Care Provider Webpage</v>
      </c>
      <c r="B806" s="55">
        <v>2515613</v>
      </c>
      <c r="D806" s="55" t="s">
        <v>373</v>
      </c>
      <c r="E806" s="74">
        <v>43562</v>
      </c>
      <c r="F806" s="55" t="s">
        <v>344</v>
      </c>
      <c r="G806" s="55" t="s">
        <v>360</v>
      </c>
      <c r="H806" s="55" t="s">
        <v>360</v>
      </c>
      <c r="I806" s="55" t="s">
        <v>360</v>
      </c>
      <c r="J806" s="55" t="s">
        <v>360</v>
      </c>
      <c r="K806" s="55" t="s">
        <v>360</v>
      </c>
      <c r="L806" s="55" t="s">
        <v>360</v>
      </c>
      <c r="M806" s="55" t="s">
        <v>142</v>
      </c>
      <c r="N806" s="55" t="s">
        <v>142</v>
      </c>
      <c r="O806" s="55" t="s">
        <v>262</v>
      </c>
      <c r="P806" s="55" t="s">
        <v>488</v>
      </c>
      <c r="Q806" s="55" t="s">
        <v>350</v>
      </c>
      <c r="R806" s="85">
        <v>2</v>
      </c>
      <c r="S806" s="55">
        <v>0</v>
      </c>
      <c r="T806" s="74" t="s">
        <v>1307</v>
      </c>
      <c r="U806" s="74" t="s">
        <v>351</v>
      </c>
      <c r="V806" s="74">
        <v>44425</v>
      </c>
      <c r="W806" s="74">
        <v>44467</v>
      </c>
      <c r="X806" s="55">
        <v>10186347</v>
      </c>
      <c r="Y806" s="55" t="s">
        <v>132</v>
      </c>
      <c r="AB806" s="74" t="s">
        <v>132</v>
      </c>
      <c r="AC806" s="55" t="s">
        <v>132</v>
      </c>
      <c r="AL806" s="74"/>
      <c r="AM806" s="74"/>
      <c r="AW806" s="74"/>
      <c r="AX806" s="74"/>
    </row>
    <row r="807" spans="1:50" ht="13" x14ac:dyDescent="0.15">
      <c r="A807" s="55" t="str">
        <f>HYPERLINK("http://reports.ofsted.gov.uk/inspection-reports/find-inspection-report/provider/CARE/2516349","Ofsted Social Care Provider Webpage")</f>
        <v>Ofsted Social Care Provider Webpage</v>
      </c>
      <c r="B807" s="55">
        <v>2516349</v>
      </c>
      <c r="D807" s="55" t="s">
        <v>373</v>
      </c>
      <c r="E807" s="74">
        <v>43690</v>
      </c>
      <c r="F807" s="55" t="s">
        <v>344</v>
      </c>
      <c r="G807" s="55" t="s">
        <v>360</v>
      </c>
      <c r="H807" s="55" t="s">
        <v>360</v>
      </c>
      <c r="I807" s="55" t="s">
        <v>360</v>
      </c>
      <c r="J807" s="55" t="s">
        <v>360</v>
      </c>
      <c r="K807" s="55" t="s">
        <v>360</v>
      </c>
      <c r="L807" s="55" t="s">
        <v>360</v>
      </c>
      <c r="M807" s="55" t="s">
        <v>144</v>
      </c>
      <c r="N807" s="55" t="s">
        <v>144</v>
      </c>
      <c r="O807" s="55" t="s">
        <v>145</v>
      </c>
      <c r="P807" s="55" t="s">
        <v>525</v>
      </c>
      <c r="Q807" s="55" t="s">
        <v>350</v>
      </c>
      <c r="R807" s="85">
        <v>2</v>
      </c>
      <c r="S807" s="55">
        <v>0</v>
      </c>
      <c r="T807" s="74" t="s">
        <v>1065</v>
      </c>
      <c r="U807" s="74" t="s">
        <v>351</v>
      </c>
      <c r="V807" s="74">
        <v>44628</v>
      </c>
      <c r="W807" s="74">
        <v>44670</v>
      </c>
      <c r="X807" s="55">
        <v>10187471</v>
      </c>
      <c r="Y807" s="55" t="s">
        <v>132</v>
      </c>
      <c r="AB807" s="74" t="s">
        <v>132</v>
      </c>
      <c r="AC807" s="55" t="s">
        <v>132</v>
      </c>
      <c r="AL807" s="74"/>
      <c r="AM807" s="74"/>
      <c r="AW807" s="74"/>
      <c r="AX807" s="74"/>
    </row>
    <row r="808" spans="1:50" ht="13" x14ac:dyDescent="0.15">
      <c r="A808" s="55" t="str">
        <f>HYPERLINK("http://reports.ofsted.gov.uk/inspection-reports/find-inspection-report/provider/CARE/2516553","Ofsted Social Care Provider Webpage")</f>
        <v>Ofsted Social Care Provider Webpage</v>
      </c>
      <c r="B808" s="55">
        <v>2516553</v>
      </c>
      <c r="D808" s="55" t="s">
        <v>373</v>
      </c>
      <c r="E808" s="74">
        <v>43587</v>
      </c>
      <c r="F808" s="55" t="s">
        <v>344</v>
      </c>
      <c r="G808" s="55" t="s">
        <v>360</v>
      </c>
      <c r="H808" s="55" t="s">
        <v>360</v>
      </c>
      <c r="I808" s="55" t="s">
        <v>360</v>
      </c>
      <c r="J808" s="55" t="s">
        <v>360</v>
      </c>
      <c r="K808" s="55" t="s">
        <v>360</v>
      </c>
      <c r="L808" s="55" t="s">
        <v>360</v>
      </c>
      <c r="M808" s="55" t="s">
        <v>142</v>
      </c>
      <c r="N808" s="55" t="s">
        <v>142</v>
      </c>
      <c r="O808" s="55" t="s">
        <v>141</v>
      </c>
      <c r="P808" s="55" t="s">
        <v>573</v>
      </c>
      <c r="Q808" s="55" t="s">
        <v>350</v>
      </c>
      <c r="R808" s="85">
        <v>3</v>
      </c>
      <c r="S808" s="55">
        <v>0</v>
      </c>
      <c r="T808" s="74" t="s">
        <v>642</v>
      </c>
      <c r="U808" s="74" t="s">
        <v>6703</v>
      </c>
      <c r="V808" s="74">
        <v>44615</v>
      </c>
      <c r="W808" s="74">
        <v>44658</v>
      </c>
      <c r="X808" s="55">
        <v>10226757</v>
      </c>
      <c r="Y808" s="55" t="s">
        <v>6704</v>
      </c>
      <c r="AL808" s="74"/>
      <c r="AM808" s="74"/>
      <c r="AW808" s="74"/>
      <c r="AX808" s="74"/>
    </row>
    <row r="809" spans="1:50" ht="13" x14ac:dyDescent="0.15">
      <c r="A809" s="55" t="str">
        <f>HYPERLINK("http://reports.ofsted.gov.uk/inspection-reports/find-inspection-report/provider/CARE/2516553","Ofsted Social Care Provider Webpage")</f>
        <v>Ofsted Social Care Provider Webpage</v>
      </c>
      <c r="B809" s="55">
        <v>2516553</v>
      </c>
      <c r="D809" s="55" t="s">
        <v>373</v>
      </c>
      <c r="E809" s="74">
        <v>43587</v>
      </c>
      <c r="F809" s="55" t="s">
        <v>344</v>
      </c>
      <c r="G809" s="55" t="s">
        <v>360</v>
      </c>
      <c r="H809" s="55" t="s">
        <v>360</v>
      </c>
      <c r="I809" s="55" t="s">
        <v>360</v>
      </c>
      <c r="J809" s="55" t="s">
        <v>360</v>
      </c>
      <c r="K809" s="55" t="s">
        <v>360</v>
      </c>
      <c r="L809" s="55" t="s">
        <v>360</v>
      </c>
      <c r="M809" s="55" t="s">
        <v>142</v>
      </c>
      <c r="N809" s="55" t="s">
        <v>142</v>
      </c>
      <c r="O809" s="55" t="s">
        <v>141</v>
      </c>
      <c r="P809" s="55" t="s">
        <v>573</v>
      </c>
      <c r="Q809" s="55" t="s">
        <v>350</v>
      </c>
      <c r="R809" s="85">
        <v>3</v>
      </c>
      <c r="S809" s="55">
        <v>0</v>
      </c>
      <c r="T809" s="74" t="s">
        <v>642</v>
      </c>
      <c r="U809" s="74" t="s">
        <v>351</v>
      </c>
      <c r="V809" s="74">
        <v>44460</v>
      </c>
      <c r="W809" s="74">
        <v>44515</v>
      </c>
      <c r="X809" s="55">
        <v>10185463</v>
      </c>
      <c r="Y809" s="55" t="s">
        <v>132</v>
      </c>
      <c r="AB809" s="74" t="s">
        <v>132</v>
      </c>
      <c r="AC809" s="55" t="s">
        <v>130</v>
      </c>
      <c r="AL809" s="74"/>
      <c r="AM809" s="74"/>
      <c r="AW809" s="74"/>
      <c r="AX809" s="74"/>
    </row>
    <row r="810" spans="1:50" ht="13" x14ac:dyDescent="0.15">
      <c r="A810" s="55" t="str">
        <f>HYPERLINK("http://reports.ofsted.gov.uk/inspection-reports/find-inspection-report/provider/CARE/2516658","Ofsted Social Care Provider Webpage")</f>
        <v>Ofsted Social Care Provider Webpage</v>
      </c>
      <c r="B810" s="55">
        <v>2516658</v>
      </c>
      <c r="D810" s="55" t="s">
        <v>373</v>
      </c>
      <c r="E810" s="74">
        <v>43707</v>
      </c>
      <c r="F810" s="55" t="s">
        <v>6707</v>
      </c>
      <c r="G810" s="55" t="s">
        <v>360</v>
      </c>
      <c r="H810" s="55" t="s">
        <v>360</v>
      </c>
      <c r="I810" s="55" t="s">
        <v>360</v>
      </c>
      <c r="J810" s="55" t="s">
        <v>360</v>
      </c>
      <c r="K810" s="55" t="s">
        <v>360</v>
      </c>
      <c r="L810" s="55" t="s">
        <v>360</v>
      </c>
      <c r="M810" s="55" t="s">
        <v>378</v>
      </c>
      <c r="N810" s="55" t="s">
        <v>134</v>
      </c>
      <c r="O810" s="55" t="s">
        <v>133</v>
      </c>
      <c r="P810" s="55" t="s">
        <v>1804</v>
      </c>
      <c r="Q810" s="55" t="s">
        <v>350</v>
      </c>
      <c r="R810" s="85">
        <v>1</v>
      </c>
      <c r="S810" s="55">
        <v>0</v>
      </c>
      <c r="T810" s="74" t="s">
        <v>6717</v>
      </c>
      <c r="U810" s="74" t="s">
        <v>2053</v>
      </c>
      <c r="V810" s="74">
        <v>44397</v>
      </c>
      <c r="W810" s="74">
        <v>44445</v>
      </c>
      <c r="X810" s="55">
        <v>10201551</v>
      </c>
      <c r="AL810" s="74"/>
      <c r="AM810" s="74"/>
      <c r="AW810" s="74"/>
      <c r="AX810" s="74"/>
    </row>
    <row r="811" spans="1:50" ht="13" x14ac:dyDescent="0.15">
      <c r="A811" s="55" t="str">
        <f>HYPERLINK("http://reports.ofsted.gov.uk/inspection-reports/find-inspection-report/provider/CARE/2516658","Ofsted Social Care Provider Webpage")</f>
        <v>Ofsted Social Care Provider Webpage</v>
      </c>
      <c r="B811" s="55">
        <v>2516658</v>
      </c>
      <c r="D811" s="55" t="s">
        <v>373</v>
      </c>
      <c r="E811" s="74">
        <v>43707</v>
      </c>
      <c r="F811" s="55" t="s">
        <v>6707</v>
      </c>
      <c r="G811" s="55" t="s">
        <v>360</v>
      </c>
      <c r="H811" s="55" t="s">
        <v>360</v>
      </c>
      <c r="I811" s="55" t="s">
        <v>360</v>
      </c>
      <c r="J811" s="55" t="s">
        <v>360</v>
      </c>
      <c r="K811" s="55" t="s">
        <v>360</v>
      </c>
      <c r="L811" s="55" t="s">
        <v>360</v>
      </c>
      <c r="M811" s="55" t="s">
        <v>378</v>
      </c>
      <c r="N811" s="55" t="s">
        <v>134</v>
      </c>
      <c r="O811" s="55" t="s">
        <v>133</v>
      </c>
      <c r="P811" s="55" t="s">
        <v>1804</v>
      </c>
      <c r="Q811" s="55" t="s">
        <v>350</v>
      </c>
      <c r="R811" s="85">
        <v>1</v>
      </c>
      <c r="S811" s="55">
        <v>0</v>
      </c>
      <c r="T811" s="74" t="s">
        <v>6717</v>
      </c>
      <c r="U811" s="74" t="s">
        <v>351</v>
      </c>
      <c r="V811" s="74">
        <v>44335</v>
      </c>
      <c r="W811" s="74">
        <v>44397</v>
      </c>
      <c r="X811" s="55">
        <v>10185340</v>
      </c>
      <c r="Y811" s="55" t="s">
        <v>130</v>
      </c>
      <c r="AB811" s="74" t="s">
        <v>130</v>
      </c>
      <c r="AC811" s="55" t="s">
        <v>130</v>
      </c>
      <c r="AL811" s="74"/>
      <c r="AM811" s="74"/>
      <c r="AW811" s="74"/>
      <c r="AX811" s="74"/>
    </row>
    <row r="812" spans="1:50" ht="13" x14ac:dyDescent="0.15">
      <c r="A812" s="55" t="str">
        <f>HYPERLINK("http://reports.ofsted.gov.uk/inspection-reports/find-inspection-report/provider/CARE/2516984","Ofsted Social Care Provider Webpage")</f>
        <v>Ofsted Social Care Provider Webpage</v>
      </c>
      <c r="B812" s="55">
        <v>2516984</v>
      </c>
      <c r="D812" s="55" t="s">
        <v>373</v>
      </c>
      <c r="E812" s="74">
        <v>43621</v>
      </c>
      <c r="F812" s="55" t="s">
        <v>344</v>
      </c>
      <c r="G812" s="55" t="s">
        <v>360</v>
      </c>
      <c r="H812" s="55" t="s">
        <v>360</v>
      </c>
      <c r="I812" s="55" t="s">
        <v>360</v>
      </c>
      <c r="J812" s="55" t="s">
        <v>360</v>
      </c>
      <c r="K812" s="55" t="s">
        <v>360</v>
      </c>
      <c r="L812" s="55" t="s">
        <v>360</v>
      </c>
      <c r="M812" s="55" t="s">
        <v>142</v>
      </c>
      <c r="N812" s="55" t="s">
        <v>142</v>
      </c>
      <c r="O812" s="55" t="s">
        <v>293</v>
      </c>
      <c r="P812" s="55" t="s">
        <v>984</v>
      </c>
      <c r="Q812" s="55" t="s">
        <v>851</v>
      </c>
      <c r="R812" s="85">
        <v>5</v>
      </c>
      <c r="S812" s="55" t="s">
        <v>332</v>
      </c>
      <c r="T812" s="74" t="s">
        <v>1477</v>
      </c>
      <c r="U812" s="74" t="s">
        <v>351</v>
      </c>
      <c r="V812" s="74">
        <v>44355</v>
      </c>
      <c r="W812" s="74">
        <v>44379</v>
      </c>
      <c r="X812" s="55">
        <v>10186967</v>
      </c>
      <c r="Y812" s="55" t="s">
        <v>132</v>
      </c>
      <c r="AB812" s="74" t="s">
        <v>132</v>
      </c>
      <c r="AC812" s="55" t="s">
        <v>132</v>
      </c>
      <c r="AL812" s="74"/>
      <c r="AM812" s="74"/>
      <c r="AW812" s="74"/>
      <c r="AX812" s="74"/>
    </row>
    <row r="813" spans="1:50" ht="13" x14ac:dyDescent="0.15">
      <c r="A813" s="55" t="str">
        <f>HYPERLINK("http://reports.ofsted.gov.uk/inspection-reports/find-inspection-report/provider/CARE/2517046","Ofsted Social Care Provider Webpage")</f>
        <v>Ofsted Social Care Provider Webpage</v>
      </c>
      <c r="B813" s="55">
        <v>2517046</v>
      </c>
      <c r="D813" s="55" t="s">
        <v>373</v>
      </c>
      <c r="E813" s="74">
        <v>43497</v>
      </c>
      <c r="F813" s="55" t="s">
        <v>344</v>
      </c>
      <c r="G813" s="55" t="s">
        <v>360</v>
      </c>
      <c r="H813" s="55" t="s">
        <v>360</v>
      </c>
      <c r="I813" s="55" t="s">
        <v>360</v>
      </c>
      <c r="J813" s="55" t="s">
        <v>360</v>
      </c>
      <c r="K813" s="55" t="s">
        <v>360</v>
      </c>
      <c r="L813" s="55" t="s">
        <v>360</v>
      </c>
      <c r="M813" s="55" t="s">
        <v>378</v>
      </c>
      <c r="N813" s="55" t="s">
        <v>134</v>
      </c>
      <c r="O813" s="55" t="s">
        <v>204</v>
      </c>
      <c r="P813" s="55" t="s">
        <v>1478</v>
      </c>
      <c r="Q813" s="55" t="s">
        <v>380</v>
      </c>
      <c r="R813" s="85">
        <v>1</v>
      </c>
      <c r="S813" s="55">
        <v>0</v>
      </c>
      <c r="T813" s="74" t="s">
        <v>1479</v>
      </c>
      <c r="U813" s="74" t="s">
        <v>351</v>
      </c>
      <c r="V813" s="74">
        <v>44369</v>
      </c>
      <c r="W813" s="74">
        <v>44404</v>
      </c>
      <c r="X813" s="55">
        <v>10185046</v>
      </c>
      <c r="Y813" s="55" t="s">
        <v>140</v>
      </c>
      <c r="AB813" s="74" t="s">
        <v>132</v>
      </c>
      <c r="AC813" s="55" t="s">
        <v>140</v>
      </c>
      <c r="AL813" s="74"/>
      <c r="AM813" s="74"/>
      <c r="AW813" s="74"/>
      <c r="AX813" s="74"/>
    </row>
    <row r="814" spans="1:50" ht="13" x14ac:dyDescent="0.15">
      <c r="A814" s="55" t="str">
        <f>HYPERLINK("http://reports.ofsted.gov.uk/inspection-reports/find-inspection-report/provider/CARE/2517054","Ofsted Social Care Provider Webpage")</f>
        <v>Ofsted Social Care Provider Webpage</v>
      </c>
      <c r="B814" s="55">
        <v>2517054</v>
      </c>
      <c r="D814" s="55" t="s">
        <v>373</v>
      </c>
      <c r="E814" s="74">
        <v>43872</v>
      </c>
      <c r="F814" s="55" t="s">
        <v>344</v>
      </c>
      <c r="G814" s="55" t="s">
        <v>360</v>
      </c>
      <c r="H814" s="55" t="s">
        <v>360</v>
      </c>
      <c r="I814" s="55" t="s">
        <v>360</v>
      </c>
      <c r="J814" s="55" t="s">
        <v>360</v>
      </c>
      <c r="K814" s="55" t="s">
        <v>360</v>
      </c>
      <c r="L814" s="55" t="s">
        <v>360</v>
      </c>
      <c r="M814" s="55" t="s">
        <v>129</v>
      </c>
      <c r="N814" s="55" t="s">
        <v>129</v>
      </c>
      <c r="O814" s="55" t="s">
        <v>213</v>
      </c>
      <c r="P814" s="55" t="s">
        <v>1160</v>
      </c>
      <c r="Q814" s="55" t="s">
        <v>350</v>
      </c>
      <c r="R814" s="85">
        <v>3</v>
      </c>
      <c r="S814" s="55">
        <v>0</v>
      </c>
      <c r="T814" s="74" t="s">
        <v>1480</v>
      </c>
      <c r="U814" s="74" t="s">
        <v>351</v>
      </c>
      <c r="V814" s="74">
        <v>44474</v>
      </c>
      <c r="W814" s="74">
        <v>44525</v>
      </c>
      <c r="X814" s="55">
        <v>10186189</v>
      </c>
      <c r="Y814" s="55" t="s">
        <v>132</v>
      </c>
      <c r="AB814" s="74" t="s">
        <v>132</v>
      </c>
      <c r="AC814" s="55" t="s">
        <v>132</v>
      </c>
      <c r="AL814" s="74"/>
      <c r="AM814" s="74"/>
      <c r="AW814" s="74"/>
      <c r="AX814" s="74"/>
    </row>
    <row r="815" spans="1:50" ht="13" x14ac:dyDescent="0.15">
      <c r="A815" s="55" t="str">
        <f>HYPERLINK("http://reports.ofsted.gov.uk/inspection-reports/find-inspection-report/provider/CARE/2517184","Ofsted Social Care Provider Webpage")</f>
        <v>Ofsted Social Care Provider Webpage</v>
      </c>
      <c r="B815" s="55">
        <v>2517184</v>
      </c>
      <c r="D815" s="55" t="s">
        <v>373</v>
      </c>
      <c r="E815" s="74">
        <v>43545</v>
      </c>
      <c r="F815" s="55" t="s">
        <v>344</v>
      </c>
      <c r="G815" s="55" t="s">
        <v>360</v>
      </c>
      <c r="H815" s="55" t="s">
        <v>360</v>
      </c>
      <c r="I815" s="55" t="s">
        <v>360</v>
      </c>
      <c r="J815" s="55" t="s">
        <v>360</v>
      </c>
      <c r="K815" s="55" t="s">
        <v>360</v>
      </c>
      <c r="L815" s="55" t="s">
        <v>360</v>
      </c>
      <c r="M815" s="55" t="s">
        <v>378</v>
      </c>
      <c r="N815" s="55" t="s">
        <v>170</v>
      </c>
      <c r="O815" s="55" t="s">
        <v>178</v>
      </c>
      <c r="P815" s="55" t="s">
        <v>434</v>
      </c>
      <c r="Q815" s="55" t="s">
        <v>350</v>
      </c>
      <c r="R815" s="85">
        <v>2</v>
      </c>
      <c r="S815" s="55">
        <v>0</v>
      </c>
      <c r="T815" s="74" t="s">
        <v>1481</v>
      </c>
      <c r="U815" s="74" t="s">
        <v>351</v>
      </c>
      <c r="V815" s="74">
        <v>44573</v>
      </c>
      <c r="W815" s="74">
        <v>44603</v>
      </c>
      <c r="X815" s="55">
        <v>10186076</v>
      </c>
      <c r="Y815" s="55" t="s">
        <v>132</v>
      </c>
      <c r="AB815" s="74" t="s">
        <v>132</v>
      </c>
      <c r="AC815" s="55" t="s">
        <v>140</v>
      </c>
      <c r="AL815" s="74"/>
      <c r="AM815" s="74"/>
      <c r="AW815" s="74"/>
      <c r="AX815" s="74"/>
    </row>
    <row r="816" spans="1:50" ht="13" x14ac:dyDescent="0.15">
      <c r="A816" s="55" t="str">
        <f>HYPERLINK("http://reports.ofsted.gov.uk/inspection-reports/find-inspection-report/provider/CARE/2517299","Ofsted Social Care Provider Webpage")</f>
        <v>Ofsted Social Care Provider Webpage</v>
      </c>
      <c r="B816" s="55">
        <v>2517299</v>
      </c>
      <c r="D816" s="55" t="s">
        <v>373</v>
      </c>
      <c r="E816" s="74">
        <v>43589</v>
      </c>
      <c r="F816" s="55" t="s">
        <v>344</v>
      </c>
      <c r="G816" s="55" t="s">
        <v>360</v>
      </c>
      <c r="H816" s="55" t="s">
        <v>360</v>
      </c>
      <c r="I816" s="55" t="s">
        <v>360</v>
      </c>
      <c r="J816" s="55" t="s">
        <v>360</v>
      </c>
      <c r="K816" s="55" t="s">
        <v>360</v>
      </c>
      <c r="L816" s="55" t="s">
        <v>360</v>
      </c>
      <c r="M816" s="55" t="s">
        <v>150</v>
      </c>
      <c r="N816" s="55" t="s">
        <v>150</v>
      </c>
      <c r="O816" s="55" t="s">
        <v>156</v>
      </c>
      <c r="P816" s="55" t="s">
        <v>1277</v>
      </c>
      <c r="Q816" s="55" t="s">
        <v>380</v>
      </c>
      <c r="R816" s="85">
        <v>5</v>
      </c>
      <c r="S816" s="55">
        <v>0</v>
      </c>
      <c r="T816" s="74" t="s">
        <v>1278</v>
      </c>
      <c r="U816" s="74" t="s">
        <v>351</v>
      </c>
      <c r="V816" s="74">
        <v>44475</v>
      </c>
      <c r="W816" s="74">
        <v>44526</v>
      </c>
      <c r="X816" s="55">
        <v>10187485</v>
      </c>
      <c r="Y816" s="55" t="s">
        <v>132</v>
      </c>
      <c r="AB816" s="74" t="s">
        <v>132</v>
      </c>
      <c r="AC816" s="55" t="s">
        <v>132</v>
      </c>
      <c r="AL816" s="74"/>
      <c r="AM816" s="74"/>
      <c r="AW816" s="74"/>
      <c r="AX816" s="74"/>
    </row>
    <row r="817" spans="1:50" ht="13" x14ac:dyDescent="0.15">
      <c r="A817" s="55" t="str">
        <f>HYPERLINK("http://reports.ofsted.gov.uk/inspection-reports/find-inspection-report/provider/CARE/2517429","Ofsted Social Care Provider Webpage")</f>
        <v>Ofsted Social Care Provider Webpage</v>
      </c>
      <c r="B817" s="55">
        <v>2517429</v>
      </c>
      <c r="D817" s="55" t="s">
        <v>373</v>
      </c>
      <c r="E817" s="74">
        <v>43729</v>
      </c>
      <c r="F817" s="55" t="s">
        <v>344</v>
      </c>
      <c r="G817" s="55" t="s">
        <v>360</v>
      </c>
      <c r="H817" s="55" t="s">
        <v>360</v>
      </c>
      <c r="I817" s="55" t="s">
        <v>360</v>
      </c>
      <c r="J817" s="55" t="s">
        <v>360</v>
      </c>
      <c r="K817" s="55" t="s">
        <v>360</v>
      </c>
      <c r="L817" s="55" t="s">
        <v>360</v>
      </c>
      <c r="M817" s="55" t="s">
        <v>144</v>
      </c>
      <c r="N817" s="55" t="s">
        <v>144</v>
      </c>
      <c r="O817" s="55" t="s">
        <v>145</v>
      </c>
      <c r="P817" s="55" t="s">
        <v>525</v>
      </c>
      <c r="Q817" s="55" t="s">
        <v>350</v>
      </c>
      <c r="R817" s="85">
        <v>2</v>
      </c>
      <c r="S817" s="55">
        <v>0</v>
      </c>
      <c r="T817" s="74" t="s">
        <v>1482</v>
      </c>
      <c r="U817" s="74" t="s">
        <v>351</v>
      </c>
      <c r="V817" s="74">
        <v>44397</v>
      </c>
      <c r="W817" s="74">
        <v>44434</v>
      </c>
      <c r="X817" s="55">
        <v>10186908</v>
      </c>
      <c r="Y817" s="55" t="s">
        <v>140</v>
      </c>
      <c r="AB817" s="74" t="s">
        <v>140</v>
      </c>
      <c r="AC817" s="55" t="s">
        <v>140</v>
      </c>
      <c r="AL817" s="74"/>
      <c r="AM817" s="74"/>
      <c r="AW817" s="74"/>
      <c r="AX817" s="74"/>
    </row>
    <row r="818" spans="1:50" ht="13" x14ac:dyDescent="0.15">
      <c r="A818" s="55" t="str">
        <f>HYPERLINK("http://reports.ofsted.gov.uk/inspection-reports/find-inspection-report/provider/CARE/2517433","Ofsted Social Care Provider Webpage")</f>
        <v>Ofsted Social Care Provider Webpage</v>
      </c>
      <c r="B818" s="55">
        <v>2517433</v>
      </c>
      <c r="D818" s="55" t="s">
        <v>373</v>
      </c>
      <c r="E818" s="74">
        <v>43679</v>
      </c>
      <c r="F818" s="55" t="s">
        <v>6707</v>
      </c>
      <c r="G818" s="55" t="s">
        <v>360</v>
      </c>
      <c r="H818" s="55" t="s">
        <v>360</v>
      </c>
      <c r="I818" s="55" t="s">
        <v>360</v>
      </c>
      <c r="J818" s="55" t="s">
        <v>360</v>
      </c>
      <c r="K818" s="55" t="s">
        <v>360</v>
      </c>
      <c r="L818" s="55" t="s">
        <v>360</v>
      </c>
      <c r="M818" s="55" t="s">
        <v>172</v>
      </c>
      <c r="N818" s="55" t="s">
        <v>172</v>
      </c>
      <c r="O818" s="55" t="s">
        <v>173</v>
      </c>
      <c r="P818" s="55" t="s">
        <v>1069</v>
      </c>
      <c r="Q818" s="55" t="s">
        <v>350</v>
      </c>
      <c r="R818" s="85">
        <v>4</v>
      </c>
      <c r="S818" s="55">
        <v>0</v>
      </c>
      <c r="T818" s="74" t="s">
        <v>6718</v>
      </c>
      <c r="U818" s="74" t="s">
        <v>351</v>
      </c>
      <c r="V818" s="74">
        <v>44307</v>
      </c>
      <c r="W818" s="74">
        <v>44336</v>
      </c>
      <c r="X818" s="55">
        <v>10187126</v>
      </c>
      <c r="Y818" s="55" t="s">
        <v>146</v>
      </c>
      <c r="AB818" s="74" t="s">
        <v>146</v>
      </c>
      <c r="AC818" s="55" t="s">
        <v>146</v>
      </c>
      <c r="AL818" s="74"/>
      <c r="AM818" s="74"/>
      <c r="AW818" s="74"/>
      <c r="AX818" s="74"/>
    </row>
    <row r="819" spans="1:50" ht="13" x14ac:dyDescent="0.15">
      <c r="A819" s="55" t="str">
        <f>HYPERLINK("http://reports.ofsted.gov.uk/inspection-reports/find-inspection-report/provider/CARE/2517443","Ofsted Social Care Provider Webpage")</f>
        <v>Ofsted Social Care Provider Webpage</v>
      </c>
      <c r="B819" s="55">
        <v>2517443</v>
      </c>
      <c r="D819" s="55" t="s">
        <v>373</v>
      </c>
      <c r="E819" s="74">
        <v>43872</v>
      </c>
      <c r="F819" s="55" t="s">
        <v>344</v>
      </c>
      <c r="G819" s="55" t="s">
        <v>360</v>
      </c>
      <c r="H819" s="55" t="s">
        <v>360</v>
      </c>
      <c r="I819" s="55" t="s">
        <v>360</v>
      </c>
      <c r="J819" s="55" t="s">
        <v>360</v>
      </c>
      <c r="K819" s="55" t="s">
        <v>360</v>
      </c>
      <c r="L819" s="55" t="s">
        <v>360</v>
      </c>
      <c r="M819" s="55" t="s">
        <v>378</v>
      </c>
      <c r="N819" s="55" t="s">
        <v>134</v>
      </c>
      <c r="O819" s="55" t="s">
        <v>180</v>
      </c>
      <c r="P819" s="55" t="s">
        <v>1483</v>
      </c>
      <c r="Q819" s="55" t="s">
        <v>350</v>
      </c>
      <c r="R819" s="85">
        <v>1</v>
      </c>
      <c r="S819" s="55">
        <v>0</v>
      </c>
      <c r="T819" s="74" t="s">
        <v>1484</v>
      </c>
      <c r="U819" s="74" t="s">
        <v>351</v>
      </c>
      <c r="V819" s="74">
        <v>44510</v>
      </c>
      <c r="W819" s="74">
        <v>44546</v>
      </c>
      <c r="X819" s="55">
        <v>10186023</v>
      </c>
      <c r="Y819" s="55" t="s">
        <v>130</v>
      </c>
      <c r="AB819" s="74" t="s">
        <v>130</v>
      </c>
      <c r="AC819" s="55" t="s">
        <v>130</v>
      </c>
      <c r="AL819" s="74"/>
      <c r="AM819" s="74"/>
      <c r="AW819" s="74"/>
      <c r="AX819" s="74"/>
    </row>
    <row r="820" spans="1:50" ht="13" x14ac:dyDescent="0.15">
      <c r="A820" s="55" t="str">
        <f>HYPERLINK("http://reports.ofsted.gov.uk/inspection-reports/find-inspection-report/provider/CARE/2517443","Ofsted Social Care Provider Webpage")</f>
        <v>Ofsted Social Care Provider Webpage</v>
      </c>
      <c r="B820" s="55">
        <v>2517443</v>
      </c>
      <c r="D820" s="55" t="s">
        <v>373</v>
      </c>
      <c r="E820" s="74">
        <v>43872</v>
      </c>
      <c r="F820" s="55" t="s">
        <v>344</v>
      </c>
      <c r="G820" s="55" t="s">
        <v>360</v>
      </c>
      <c r="H820" s="55" t="s">
        <v>360</v>
      </c>
      <c r="I820" s="55" t="s">
        <v>360</v>
      </c>
      <c r="J820" s="55" t="s">
        <v>360</v>
      </c>
      <c r="K820" s="55" t="s">
        <v>360</v>
      </c>
      <c r="L820" s="55" t="s">
        <v>360</v>
      </c>
      <c r="M820" s="55" t="s">
        <v>378</v>
      </c>
      <c r="N820" s="55" t="s">
        <v>134</v>
      </c>
      <c r="O820" s="55" t="s">
        <v>180</v>
      </c>
      <c r="P820" s="55" t="s">
        <v>1483</v>
      </c>
      <c r="Q820" s="55" t="s">
        <v>350</v>
      </c>
      <c r="R820" s="85">
        <v>1</v>
      </c>
      <c r="S820" s="55">
        <v>0</v>
      </c>
      <c r="T820" s="74" t="s">
        <v>1484</v>
      </c>
      <c r="U820" s="74" t="s">
        <v>6703</v>
      </c>
      <c r="V820" s="74">
        <v>44603</v>
      </c>
      <c r="W820" s="74">
        <v>44651</v>
      </c>
      <c r="X820" s="55">
        <v>10219917</v>
      </c>
      <c r="Y820" s="55" t="s">
        <v>6704</v>
      </c>
      <c r="AL820" s="74"/>
      <c r="AM820" s="74"/>
      <c r="AW820" s="74"/>
      <c r="AX820" s="74"/>
    </row>
    <row r="821" spans="1:50" ht="13" x14ac:dyDescent="0.15">
      <c r="A821" s="55" t="str">
        <f>HYPERLINK("http://reports.ofsted.gov.uk/inspection-reports/find-inspection-report/provider/CARE/2519081","Ofsted Social Care Provider Webpage")</f>
        <v>Ofsted Social Care Provider Webpage</v>
      </c>
      <c r="B821" s="55">
        <v>2519081</v>
      </c>
      <c r="D821" s="55" t="s">
        <v>373</v>
      </c>
      <c r="E821" s="74">
        <v>43622</v>
      </c>
      <c r="F821" s="55" t="s">
        <v>344</v>
      </c>
      <c r="G821" s="55" t="s">
        <v>360</v>
      </c>
      <c r="H821" s="55" t="s">
        <v>360</v>
      </c>
      <c r="I821" s="55" t="s">
        <v>360</v>
      </c>
      <c r="J821" s="55" t="s">
        <v>360</v>
      </c>
      <c r="K821" s="55" t="s">
        <v>360</v>
      </c>
      <c r="L821" s="55" t="s">
        <v>360</v>
      </c>
      <c r="M821" s="55" t="s">
        <v>378</v>
      </c>
      <c r="N821" s="55" t="s">
        <v>170</v>
      </c>
      <c r="O821" s="55" t="s">
        <v>184</v>
      </c>
      <c r="P821" s="55" t="s">
        <v>676</v>
      </c>
      <c r="Q821" s="55" t="s">
        <v>350</v>
      </c>
      <c r="R821" s="85">
        <v>5</v>
      </c>
      <c r="S821" s="55">
        <v>0</v>
      </c>
      <c r="T821" s="74" t="s">
        <v>1485</v>
      </c>
      <c r="U821" s="74" t="s">
        <v>351</v>
      </c>
      <c r="V821" s="74">
        <v>44369</v>
      </c>
      <c r="W821" s="74">
        <v>44398</v>
      </c>
      <c r="X821" s="55">
        <v>10186425</v>
      </c>
      <c r="Y821" s="55" t="s">
        <v>132</v>
      </c>
      <c r="AB821" s="74" t="s">
        <v>132</v>
      </c>
      <c r="AC821" s="55" t="s">
        <v>132</v>
      </c>
      <c r="AL821" s="74"/>
      <c r="AM821" s="74"/>
      <c r="AW821" s="74"/>
      <c r="AX821" s="74"/>
    </row>
    <row r="822" spans="1:50" ht="13" x14ac:dyDescent="0.15">
      <c r="A822" s="55" t="str">
        <f>HYPERLINK("http://reports.ofsted.gov.uk/inspection-reports/find-inspection-report/provider/CARE/2519196","Ofsted Social Care Provider Webpage")</f>
        <v>Ofsted Social Care Provider Webpage</v>
      </c>
      <c r="B822" s="55">
        <v>2519196</v>
      </c>
      <c r="D822" s="55" t="s">
        <v>373</v>
      </c>
      <c r="E822" s="74">
        <v>43761</v>
      </c>
      <c r="F822" s="55" t="s">
        <v>344</v>
      </c>
      <c r="G822" s="55" t="s">
        <v>360</v>
      </c>
      <c r="H822" s="55" t="s">
        <v>360</v>
      </c>
      <c r="I822" s="55" t="s">
        <v>360</v>
      </c>
      <c r="J822" s="55" t="s">
        <v>360</v>
      </c>
      <c r="K822" s="55" t="s">
        <v>360</v>
      </c>
      <c r="L822" s="55" t="s">
        <v>360</v>
      </c>
      <c r="M822" s="55" t="s">
        <v>144</v>
      </c>
      <c r="N822" s="55" t="s">
        <v>144</v>
      </c>
      <c r="O822" s="55" t="s">
        <v>209</v>
      </c>
      <c r="P822" s="55" t="s">
        <v>555</v>
      </c>
      <c r="Q822" s="55" t="s">
        <v>350</v>
      </c>
      <c r="R822" s="85">
        <v>3</v>
      </c>
      <c r="S822" s="55">
        <v>0</v>
      </c>
      <c r="T822" s="74" t="s">
        <v>1486</v>
      </c>
      <c r="U822" s="74" t="s">
        <v>351</v>
      </c>
      <c r="V822" s="74">
        <v>44469</v>
      </c>
      <c r="W822" s="74">
        <v>44508</v>
      </c>
      <c r="X822" s="55">
        <v>10187220</v>
      </c>
      <c r="Y822" s="55" t="s">
        <v>132</v>
      </c>
      <c r="AB822" s="74" t="s">
        <v>132</v>
      </c>
      <c r="AC822" s="55" t="s">
        <v>130</v>
      </c>
      <c r="AL822" s="74"/>
      <c r="AM822" s="74"/>
      <c r="AW822" s="74"/>
      <c r="AX822" s="74"/>
    </row>
    <row r="823" spans="1:50" ht="13" x14ac:dyDescent="0.15">
      <c r="A823" s="55" t="str">
        <f>HYPERLINK("http://reports.ofsted.gov.uk/inspection-reports/find-inspection-report/provider/CARE/2519260","Ofsted Social Care Provider Webpage")</f>
        <v>Ofsted Social Care Provider Webpage</v>
      </c>
      <c r="B823" s="55">
        <v>2519260</v>
      </c>
      <c r="D823" s="55" t="s">
        <v>373</v>
      </c>
      <c r="E823" s="74">
        <v>43600</v>
      </c>
      <c r="F823" s="55" t="s">
        <v>344</v>
      </c>
      <c r="G823" s="55" t="s">
        <v>360</v>
      </c>
      <c r="H823" s="55" t="s">
        <v>360</v>
      </c>
      <c r="I823" s="55" t="s">
        <v>360</v>
      </c>
      <c r="J823" s="55" t="s">
        <v>360</v>
      </c>
      <c r="K823" s="55" t="s">
        <v>360</v>
      </c>
      <c r="L823" s="55" t="s">
        <v>360</v>
      </c>
      <c r="M823" s="55" t="s">
        <v>136</v>
      </c>
      <c r="N823" s="55" t="s">
        <v>136</v>
      </c>
      <c r="O823" s="55" t="s">
        <v>288</v>
      </c>
      <c r="P823" s="55" t="s">
        <v>1487</v>
      </c>
      <c r="Q823" s="55" t="s">
        <v>350</v>
      </c>
      <c r="R823" s="85">
        <v>3</v>
      </c>
      <c r="S823" s="55">
        <v>0</v>
      </c>
      <c r="T823" s="74" t="s">
        <v>517</v>
      </c>
      <c r="U823" s="74" t="s">
        <v>351</v>
      </c>
      <c r="V823" s="74">
        <v>44488</v>
      </c>
      <c r="W823" s="74">
        <v>44515</v>
      </c>
      <c r="X823" s="55">
        <v>10186383</v>
      </c>
      <c r="Y823" s="55" t="s">
        <v>132</v>
      </c>
      <c r="AB823" s="74" t="s">
        <v>132</v>
      </c>
      <c r="AC823" s="55" t="s">
        <v>130</v>
      </c>
      <c r="AL823" s="74"/>
      <c r="AM823" s="74"/>
      <c r="AW823" s="74"/>
      <c r="AX823" s="74"/>
    </row>
    <row r="824" spans="1:50" ht="13" x14ac:dyDescent="0.15">
      <c r="A824" s="55" t="str">
        <f>HYPERLINK("http://reports.ofsted.gov.uk/inspection-reports/find-inspection-report/provider/CARE/2519269","Ofsted Social Care Provider Webpage")</f>
        <v>Ofsted Social Care Provider Webpage</v>
      </c>
      <c r="B824" s="55">
        <v>2519269</v>
      </c>
      <c r="D824" s="55" t="s">
        <v>373</v>
      </c>
      <c r="E824" s="74">
        <v>43651</v>
      </c>
      <c r="F824" s="55" t="s">
        <v>344</v>
      </c>
      <c r="G824" s="55" t="s">
        <v>360</v>
      </c>
      <c r="H824" s="55" t="s">
        <v>360</v>
      </c>
      <c r="I824" s="55" t="s">
        <v>360</v>
      </c>
      <c r="J824" s="55" t="s">
        <v>360</v>
      </c>
      <c r="K824" s="55" t="s">
        <v>360</v>
      </c>
      <c r="L824" s="55" t="s">
        <v>360</v>
      </c>
      <c r="M824" s="55" t="s">
        <v>142</v>
      </c>
      <c r="N824" s="55" t="s">
        <v>142</v>
      </c>
      <c r="O824" s="55" t="s">
        <v>292</v>
      </c>
      <c r="P824" s="55" t="s">
        <v>1052</v>
      </c>
      <c r="Q824" s="55" t="s">
        <v>350</v>
      </c>
      <c r="R824" s="85">
        <v>2</v>
      </c>
      <c r="S824" s="55">
        <v>0</v>
      </c>
      <c r="T824" s="74" t="s">
        <v>1488</v>
      </c>
      <c r="U824" s="74" t="s">
        <v>351</v>
      </c>
      <c r="V824" s="74">
        <v>44434</v>
      </c>
      <c r="W824" s="74">
        <v>44462</v>
      </c>
      <c r="X824" s="55">
        <v>10186670</v>
      </c>
      <c r="Y824" s="55" t="s">
        <v>132</v>
      </c>
      <c r="AB824" s="74" t="s">
        <v>132</v>
      </c>
      <c r="AC824" s="55" t="s">
        <v>132</v>
      </c>
      <c r="AL824" s="74"/>
      <c r="AM824" s="74"/>
    </row>
    <row r="825" spans="1:50" ht="13" x14ac:dyDescent="0.15">
      <c r="A825" s="55" t="str">
        <f>HYPERLINK("http://reports.ofsted.gov.uk/inspection-reports/find-inspection-report/provider/CARE/2519592","Ofsted Social Care Provider Webpage")</f>
        <v>Ofsted Social Care Provider Webpage</v>
      </c>
      <c r="B825" s="55">
        <v>2519592</v>
      </c>
      <c r="D825" s="55" t="s">
        <v>373</v>
      </c>
      <c r="E825" s="74">
        <v>43563</v>
      </c>
      <c r="F825" s="55" t="s">
        <v>344</v>
      </c>
      <c r="G825" s="55" t="s">
        <v>360</v>
      </c>
      <c r="H825" s="55" t="s">
        <v>360</v>
      </c>
      <c r="I825" s="55" t="s">
        <v>360</v>
      </c>
      <c r="J825" s="55" t="s">
        <v>360</v>
      </c>
      <c r="K825" s="55" t="s">
        <v>360</v>
      </c>
      <c r="L825" s="55" t="s">
        <v>360</v>
      </c>
      <c r="M825" s="55" t="s">
        <v>144</v>
      </c>
      <c r="N825" s="55" t="s">
        <v>144</v>
      </c>
      <c r="O825" s="55" t="s">
        <v>271</v>
      </c>
      <c r="P825" s="55" t="s">
        <v>1122</v>
      </c>
      <c r="Q825" s="55" t="s">
        <v>350</v>
      </c>
      <c r="R825" s="85">
        <v>4</v>
      </c>
      <c r="S825" s="55">
        <v>0</v>
      </c>
      <c r="T825" s="74" t="s">
        <v>377</v>
      </c>
      <c r="U825" s="74" t="s">
        <v>351</v>
      </c>
      <c r="V825" s="74">
        <v>44515</v>
      </c>
      <c r="W825" s="74">
        <v>44566</v>
      </c>
      <c r="X825" s="55">
        <v>10186209</v>
      </c>
      <c r="Y825" s="55" t="s">
        <v>132</v>
      </c>
      <c r="AB825" s="74" t="s">
        <v>132</v>
      </c>
      <c r="AC825" s="55" t="s">
        <v>130</v>
      </c>
      <c r="AL825" s="74"/>
      <c r="AM825" s="74"/>
      <c r="AW825" s="74"/>
      <c r="AX825" s="74"/>
    </row>
    <row r="826" spans="1:50" ht="13" x14ac:dyDescent="0.15">
      <c r="A826" s="55" t="str">
        <f>HYPERLINK("http://reports.ofsted.gov.uk/inspection-reports/find-inspection-report/provider/CARE/2519919","Ofsted Social Care Provider Webpage")</f>
        <v>Ofsted Social Care Provider Webpage</v>
      </c>
      <c r="B826" s="55">
        <v>2519919</v>
      </c>
      <c r="D826" s="55" t="s">
        <v>373</v>
      </c>
      <c r="E826" s="74">
        <v>43739</v>
      </c>
      <c r="F826" s="55" t="s">
        <v>344</v>
      </c>
      <c r="G826" s="55" t="s">
        <v>360</v>
      </c>
      <c r="H826" s="55" t="s">
        <v>360</v>
      </c>
      <c r="I826" s="55" t="s">
        <v>360</v>
      </c>
      <c r="J826" s="55" t="s">
        <v>360</v>
      </c>
      <c r="K826" s="55" t="s">
        <v>360</v>
      </c>
      <c r="L826" s="55" t="s">
        <v>360</v>
      </c>
      <c r="M826" s="55" t="s">
        <v>142</v>
      </c>
      <c r="N826" s="55" t="s">
        <v>142</v>
      </c>
      <c r="O826" s="55" t="s">
        <v>141</v>
      </c>
      <c r="P826" s="55" t="s">
        <v>573</v>
      </c>
      <c r="Q826" s="55" t="s">
        <v>350</v>
      </c>
      <c r="R826" s="85">
        <v>3</v>
      </c>
      <c r="S826" s="55">
        <v>0</v>
      </c>
      <c r="T826" s="74" t="s">
        <v>1489</v>
      </c>
      <c r="U826" s="74" t="s">
        <v>351</v>
      </c>
      <c r="V826" s="74">
        <v>44341</v>
      </c>
      <c r="W826" s="74">
        <v>44369</v>
      </c>
      <c r="X826" s="55">
        <v>10186520</v>
      </c>
      <c r="Y826" s="55" t="s">
        <v>132</v>
      </c>
      <c r="AB826" s="74" t="s">
        <v>132</v>
      </c>
      <c r="AC826" s="55" t="s">
        <v>132</v>
      </c>
      <c r="AL826" s="74"/>
      <c r="AM826" s="74"/>
      <c r="AW826" s="74"/>
      <c r="AX826" s="74"/>
    </row>
    <row r="827" spans="1:50" ht="13" x14ac:dyDescent="0.15">
      <c r="A827" s="55" t="str">
        <f>HYPERLINK("http://reports.ofsted.gov.uk/inspection-reports/find-inspection-report/provider/CARE/2520922","Ofsted Social Care Provider Webpage")</f>
        <v>Ofsted Social Care Provider Webpage</v>
      </c>
      <c r="B827" s="55">
        <v>2520922</v>
      </c>
      <c r="D827" s="55" t="s">
        <v>373</v>
      </c>
      <c r="E827" s="74">
        <v>43622</v>
      </c>
      <c r="F827" s="55" t="s">
        <v>344</v>
      </c>
      <c r="G827" s="55" t="s">
        <v>360</v>
      </c>
      <c r="H827" s="55" t="s">
        <v>360</v>
      </c>
      <c r="I827" s="55" t="s">
        <v>360</v>
      </c>
      <c r="J827" s="55" t="s">
        <v>360</v>
      </c>
      <c r="K827" s="55" t="s">
        <v>360</v>
      </c>
      <c r="L827" s="55" t="s">
        <v>360</v>
      </c>
      <c r="M827" s="55" t="s">
        <v>378</v>
      </c>
      <c r="N827" s="55" t="s">
        <v>170</v>
      </c>
      <c r="O827" s="55" t="s">
        <v>264</v>
      </c>
      <c r="P827" s="55" t="s">
        <v>437</v>
      </c>
      <c r="Q827" s="55" t="s">
        <v>350</v>
      </c>
      <c r="R827" s="85">
        <v>6</v>
      </c>
      <c r="S827" s="55">
        <v>0</v>
      </c>
      <c r="T827" s="74" t="s">
        <v>522</v>
      </c>
      <c r="U827" s="74" t="s">
        <v>351</v>
      </c>
      <c r="V827" s="74">
        <v>44593</v>
      </c>
      <c r="W827" s="74">
        <v>44636</v>
      </c>
      <c r="X827" s="55">
        <v>10185237</v>
      </c>
      <c r="Y827" s="55" t="s">
        <v>132</v>
      </c>
      <c r="AB827" s="74" t="s">
        <v>132</v>
      </c>
      <c r="AC827" s="55" t="s">
        <v>132</v>
      </c>
      <c r="AL827" s="74"/>
      <c r="AM827" s="74"/>
    </row>
    <row r="828" spans="1:50" ht="13" x14ac:dyDescent="0.15">
      <c r="A828" s="55" t="str">
        <f>HYPERLINK("http://reports.ofsted.gov.uk/inspection-reports/find-inspection-report/provider/CARE/2521953","Ofsted Social Care Provider Webpage")</f>
        <v>Ofsted Social Care Provider Webpage</v>
      </c>
      <c r="B828" s="55">
        <v>2521953</v>
      </c>
      <c r="D828" s="55" t="s">
        <v>373</v>
      </c>
      <c r="E828" s="74">
        <v>43739</v>
      </c>
      <c r="F828" s="55" t="s">
        <v>344</v>
      </c>
      <c r="G828" s="55" t="s">
        <v>360</v>
      </c>
      <c r="H828" s="55" t="s">
        <v>360</v>
      </c>
      <c r="I828" s="55" t="s">
        <v>360</v>
      </c>
      <c r="J828" s="55" t="s">
        <v>360</v>
      </c>
      <c r="K828" s="55" t="s">
        <v>360</v>
      </c>
      <c r="L828" s="55" t="s">
        <v>360</v>
      </c>
      <c r="M828" s="55" t="s">
        <v>144</v>
      </c>
      <c r="N828" s="55" t="s">
        <v>144</v>
      </c>
      <c r="O828" s="55" t="s">
        <v>209</v>
      </c>
      <c r="P828" s="55" t="s">
        <v>484</v>
      </c>
      <c r="Q828" s="55" t="s">
        <v>350</v>
      </c>
      <c r="R828" s="85">
        <v>2</v>
      </c>
      <c r="S828" s="55">
        <v>0</v>
      </c>
      <c r="T828" s="74" t="s">
        <v>493</v>
      </c>
      <c r="U828" s="74" t="s">
        <v>351</v>
      </c>
      <c r="V828" s="74">
        <v>44551</v>
      </c>
      <c r="W828" s="74">
        <v>44608</v>
      </c>
      <c r="X828" s="55">
        <v>10186721</v>
      </c>
      <c r="Y828" s="55" t="s">
        <v>140</v>
      </c>
      <c r="AB828" s="74" t="s">
        <v>140</v>
      </c>
      <c r="AC828" s="55" t="s">
        <v>132</v>
      </c>
      <c r="AL828" s="74"/>
      <c r="AM828" s="74"/>
      <c r="AW828" s="74"/>
      <c r="AX828" s="74"/>
    </row>
    <row r="829" spans="1:50" ht="13" x14ac:dyDescent="0.15">
      <c r="A829" s="55" t="str">
        <f>HYPERLINK("http://reports.ofsted.gov.uk/inspection-reports/find-inspection-report/provider/CARE/2522240","Ofsted Social Care Provider Webpage")</f>
        <v>Ofsted Social Care Provider Webpage</v>
      </c>
      <c r="B829" s="55">
        <v>2522240</v>
      </c>
      <c r="D829" s="55" t="s">
        <v>373</v>
      </c>
      <c r="E829" s="74">
        <v>43594</v>
      </c>
      <c r="F829" s="55" t="s">
        <v>344</v>
      </c>
      <c r="G829" s="55" t="s">
        <v>360</v>
      </c>
      <c r="H829" s="55" t="s">
        <v>360</v>
      </c>
      <c r="I829" s="55" t="s">
        <v>360</v>
      </c>
      <c r="J829" s="55" t="s">
        <v>360</v>
      </c>
      <c r="K829" s="55" t="s">
        <v>360</v>
      </c>
      <c r="L829" s="55" t="s">
        <v>360</v>
      </c>
      <c r="M829" s="55" t="s">
        <v>378</v>
      </c>
      <c r="N829" s="55" t="s">
        <v>170</v>
      </c>
      <c r="O829" s="55" t="s">
        <v>267</v>
      </c>
      <c r="P829" s="55" t="s">
        <v>477</v>
      </c>
      <c r="Q829" s="55" t="s">
        <v>362</v>
      </c>
      <c r="R829" s="85">
        <v>8</v>
      </c>
      <c r="S829" s="55">
        <v>0</v>
      </c>
      <c r="T829" s="74" t="s">
        <v>1490</v>
      </c>
      <c r="U829" s="74" t="s">
        <v>351</v>
      </c>
      <c r="V829" s="74">
        <v>44390</v>
      </c>
      <c r="W829" s="74">
        <v>44433</v>
      </c>
      <c r="X829" s="55">
        <v>10186971</v>
      </c>
      <c r="Y829" s="55" t="s">
        <v>130</v>
      </c>
      <c r="AB829" s="74" t="s">
        <v>130</v>
      </c>
      <c r="AC829" s="55" t="s">
        <v>130</v>
      </c>
      <c r="AL829" s="74"/>
      <c r="AM829" s="74"/>
      <c r="AW829" s="74"/>
      <c r="AX829" s="74"/>
    </row>
    <row r="830" spans="1:50" ht="13" x14ac:dyDescent="0.15">
      <c r="A830" s="55" t="str">
        <f>HYPERLINK("http://reports.ofsted.gov.uk/inspection-reports/find-inspection-report/provider/CARE/2522240","Ofsted Social Care Provider Webpage")</f>
        <v>Ofsted Social Care Provider Webpage</v>
      </c>
      <c r="B830" s="55">
        <v>2522240</v>
      </c>
      <c r="D830" s="55" t="s">
        <v>373</v>
      </c>
      <c r="E830" s="74">
        <v>43594</v>
      </c>
      <c r="F830" s="55" t="s">
        <v>344</v>
      </c>
      <c r="G830" s="55" t="s">
        <v>360</v>
      </c>
      <c r="H830" s="55" t="s">
        <v>360</v>
      </c>
      <c r="I830" s="55" t="s">
        <v>360</v>
      </c>
      <c r="J830" s="55" t="s">
        <v>360</v>
      </c>
      <c r="K830" s="55" t="s">
        <v>360</v>
      </c>
      <c r="L830" s="55" t="s">
        <v>360</v>
      </c>
      <c r="M830" s="55" t="s">
        <v>378</v>
      </c>
      <c r="N830" s="55" t="s">
        <v>170</v>
      </c>
      <c r="O830" s="55" t="s">
        <v>267</v>
      </c>
      <c r="P830" s="55" t="s">
        <v>477</v>
      </c>
      <c r="Q830" s="55" t="s">
        <v>362</v>
      </c>
      <c r="R830" s="85">
        <v>8</v>
      </c>
      <c r="S830" s="55">
        <v>0</v>
      </c>
      <c r="T830" s="74" t="s">
        <v>1490</v>
      </c>
      <c r="U830" s="74" t="s">
        <v>6703</v>
      </c>
      <c r="V830" s="74">
        <v>44543</v>
      </c>
      <c r="W830" s="74">
        <v>44592</v>
      </c>
      <c r="X830" s="55">
        <v>10209357</v>
      </c>
      <c r="Y830" s="55" t="s">
        <v>6706</v>
      </c>
      <c r="AL830" s="74"/>
      <c r="AM830" s="74"/>
      <c r="AW830" s="74"/>
      <c r="AX830" s="74"/>
    </row>
    <row r="831" spans="1:50" ht="13" x14ac:dyDescent="0.15">
      <c r="A831" s="55" t="str">
        <f>HYPERLINK("http://reports.ofsted.gov.uk/inspection-reports/find-inspection-report/provider/CARE/2522361","Ofsted Social Care Provider Webpage")</f>
        <v>Ofsted Social Care Provider Webpage</v>
      </c>
      <c r="B831" s="55">
        <v>2522361</v>
      </c>
      <c r="D831" s="55" t="s">
        <v>451</v>
      </c>
      <c r="E831" s="74">
        <v>43845</v>
      </c>
      <c r="F831" s="55" t="s">
        <v>6713</v>
      </c>
      <c r="G831" s="55" t="s">
        <v>6719</v>
      </c>
      <c r="H831" s="55" t="s">
        <v>6720</v>
      </c>
      <c r="I831" s="55" t="s">
        <v>354</v>
      </c>
      <c r="J831" s="55" t="s">
        <v>6031</v>
      </c>
      <c r="K831" s="55" t="s">
        <v>268</v>
      </c>
      <c r="L831" s="55" t="s">
        <v>6721</v>
      </c>
      <c r="M831" s="55" t="s">
        <v>129</v>
      </c>
      <c r="N831" s="55" t="s">
        <v>129</v>
      </c>
      <c r="O831" s="55" t="s">
        <v>269</v>
      </c>
      <c r="P831" s="55" t="s">
        <v>1951</v>
      </c>
      <c r="Q831" s="55" t="s">
        <v>350</v>
      </c>
      <c r="R831" s="85">
        <v>5</v>
      </c>
      <c r="S831" s="55">
        <v>0</v>
      </c>
      <c r="T831" s="74" t="s">
        <v>6722</v>
      </c>
      <c r="U831" s="74" t="s">
        <v>2053</v>
      </c>
      <c r="V831" s="74">
        <v>44314</v>
      </c>
      <c r="W831" s="74">
        <v>44348</v>
      </c>
      <c r="X831" s="55">
        <v>10188321</v>
      </c>
      <c r="AL831" s="74"/>
      <c r="AM831" s="74"/>
      <c r="AW831" s="74"/>
      <c r="AX831" s="74"/>
    </row>
    <row r="832" spans="1:50" ht="13" x14ac:dyDescent="0.15">
      <c r="A832" s="55" t="str">
        <f>HYPERLINK("http://reports.ofsted.gov.uk/inspection-reports/find-inspection-report/provider/CARE/2522796","Ofsted Social Care Provider Webpage")</f>
        <v>Ofsted Social Care Provider Webpage</v>
      </c>
      <c r="B832" s="55">
        <v>2522796</v>
      </c>
      <c r="D832" s="55" t="s">
        <v>373</v>
      </c>
      <c r="E832" s="74">
        <v>43651</v>
      </c>
      <c r="F832" s="55" t="s">
        <v>344</v>
      </c>
      <c r="G832" s="55" t="s">
        <v>360</v>
      </c>
      <c r="H832" s="55" t="s">
        <v>360</v>
      </c>
      <c r="I832" s="55" t="s">
        <v>360</v>
      </c>
      <c r="J832" s="55" t="s">
        <v>360</v>
      </c>
      <c r="K832" s="55" t="s">
        <v>360</v>
      </c>
      <c r="L832" s="55" t="s">
        <v>360</v>
      </c>
      <c r="M832" s="55" t="s">
        <v>138</v>
      </c>
      <c r="N832" s="55" t="s">
        <v>138</v>
      </c>
      <c r="O832" s="55" t="s">
        <v>238</v>
      </c>
      <c r="P832" s="55" t="s">
        <v>238</v>
      </c>
      <c r="Q832" s="55" t="s">
        <v>350</v>
      </c>
      <c r="R832" s="85">
        <v>6</v>
      </c>
      <c r="S832" s="55">
        <v>0</v>
      </c>
      <c r="T832" s="74" t="s">
        <v>1491</v>
      </c>
      <c r="U832" s="74" t="s">
        <v>351</v>
      </c>
      <c r="V832" s="74">
        <v>44349</v>
      </c>
      <c r="W832" s="74">
        <v>44382</v>
      </c>
      <c r="X832" s="55">
        <v>10186315</v>
      </c>
      <c r="Y832" s="55" t="s">
        <v>132</v>
      </c>
      <c r="AB832" s="74" t="s">
        <v>140</v>
      </c>
      <c r="AC832" s="55" t="s">
        <v>132</v>
      </c>
      <c r="AL832" s="74"/>
      <c r="AM832" s="74"/>
      <c r="AW832" s="74"/>
      <c r="AX832" s="74"/>
    </row>
    <row r="833" spans="1:50" ht="13" x14ac:dyDescent="0.15">
      <c r="A833" s="55" t="str">
        <f>HYPERLINK("http://reports.ofsted.gov.uk/inspection-reports/find-inspection-report/provider/CARE/2523025","Ofsted Social Care Provider Webpage")</f>
        <v>Ofsted Social Care Provider Webpage</v>
      </c>
      <c r="B833" s="55">
        <v>2523025</v>
      </c>
      <c r="D833" s="55" t="s">
        <v>373</v>
      </c>
      <c r="E833" s="74">
        <v>43655</v>
      </c>
      <c r="F833" s="55" t="s">
        <v>344</v>
      </c>
      <c r="G833" s="55" t="s">
        <v>360</v>
      </c>
      <c r="H833" s="55" t="s">
        <v>360</v>
      </c>
      <c r="I833" s="55" t="s">
        <v>360</v>
      </c>
      <c r="J833" s="55" t="s">
        <v>360</v>
      </c>
      <c r="K833" s="55" t="s">
        <v>360</v>
      </c>
      <c r="L833" s="55" t="s">
        <v>360</v>
      </c>
      <c r="M833" s="55" t="s">
        <v>142</v>
      </c>
      <c r="N833" s="55" t="s">
        <v>142</v>
      </c>
      <c r="O833" s="55" t="s">
        <v>141</v>
      </c>
      <c r="P833" s="55" t="s">
        <v>1226</v>
      </c>
      <c r="Q833" s="55" t="s">
        <v>350</v>
      </c>
      <c r="R833" s="85">
        <v>6</v>
      </c>
      <c r="S833" s="55">
        <v>0</v>
      </c>
      <c r="T833" s="74" t="s">
        <v>574</v>
      </c>
      <c r="U833" s="74" t="s">
        <v>351</v>
      </c>
      <c r="V833" s="74">
        <v>44544</v>
      </c>
      <c r="W833" s="74">
        <v>44600</v>
      </c>
      <c r="X833" s="55">
        <v>10185663</v>
      </c>
      <c r="Y833" s="55" t="s">
        <v>140</v>
      </c>
      <c r="AB833" s="74" t="s">
        <v>140</v>
      </c>
      <c r="AC833" s="55" t="s">
        <v>140</v>
      </c>
      <c r="AL833" s="74"/>
      <c r="AM833" s="74"/>
      <c r="AW833" s="74"/>
      <c r="AX833" s="74"/>
    </row>
    <row r="834" spans="1:50" ht="13" x14ac:dyDescent="0.15">
      <c r="A834" s="55" t="str">
        <f>HYPERLINK("http://reports.ofsted.gov.uk/inspection-reports/find-inspection-report/provider/CARE/2523027","Ofsted Social Care Provider Webpage")</f>
        <v>Ofsted Social Care Provider Webpage</v>
      </c>
      <c r="B834" s="55">
        <v>2523027</v>
      </c>
      <c r="D834" s="55" t="s">
        <v>373</v>
      </c>
      <c r="E834" s="74">
        <v>43654</v>
      </c>
      <c r="F834" s="55" t="s">
        <v>344</v>
      </c>
      <c r="G834" s="55" t="s">
        <v>360</v>
      </c>
      <c r="H834" s="55" t="s">
        <v>360</v>
      </c>
      <c r="I834" s="55" t="s">
        <v>360</v>
      </c>
      <c r="J834" s="55" t="s">
        <v>360</v>
      </c>
      <c r="K834" s="55" t="s">
        <v>360</v>
      </c>
      <c r="L834" s="55" t="s">
        <v>360</v>
      </c>
      <c r="M834" s="55" t="s">
        <v>150</v>
      </c>
      <c r="N834" s="55" t="s">
        <v>150</v>
      </c>
      <c r="O834" s="55" t="s">
        <v>241</v>
      </c>
      <c r="P834" s="55" t="s">
        <v>1492</v>
      </c>
      <c r="Q834" s="55" t="s">
        <v>350</v>
      </c>
      <c r="R834" s="85">
        <v>1</v>
      </c>
      <c r="S834" s="55">
        <v>0</v>
      </c>
      <c r="T834" s="74" t="s">
        <v>487</v>
      </c>
      <c r="U834" s="74" t="s">
        <v>2053</v>
      </c>
      <c r="V834" s="74">
        <v>44363</v>
      </c>
      <c r="W834" s="74">
        <v>44426</v>
      </c>
      <c r="X834" s="55">
        <v>10195751</v>
      </c>
      <c r="AL834" s="74"/>
      <c r="AM834" s="74"/>
    </row>
    <row r="835" spans="1:50" ht="13" x14ac:dyDescent="0.15">
      <c r="A835" s="55" t="str">
        <f>HYPERLINK("http://reports.ofsted.gov.uk/inspection-reports/find-inspection-report/provider/CARE/2523027","Ofsted Social Care Provider Webpage")</f>
        <v>Ofsted Social Care Provider Webpage</v>
      </c>
      <c r="B835" s="55">
        <v>2523027</v>
      </c>
      <c r="D835" s="55" t="s">
        <v>373</v>
      </c>
      <c r="E835" s="74">
        <v>43654</v>
      </c>
      <c r="F835" s="55" t="s">
        <v>344</v>
      </c>
      <c r="G835" s="55" t="s">
        <v>360</v>
      </c>
      <c r="H835" s="55" t="s">
        <v>360</v>
      </c>
      <c r="I835" s="55" t="s">
        <v>360</v>
      </c>
      <c r="J835" s="55" t="s">
        <v>360</v>
      </c>
      <c r="K835" s="55" t="s">
        <v>360</v>
      </c>
      <c r="L835" s="55" t="s">
        <v>360</v>
      </c>
      <c r="M835" s="55" t="s">
        <v>150</v>
      </c>
      <c r="N835" s="55" t="s">
        <v>150</v>
      </c>
      <c r="O835" s="55" t="s">
        <v>241</v>
      </c>
      <c r="P835" s="55" t="s">
        <v>1492</v>
      </c>
      <c r="Q835" s="55" t="s">
        <v>350</v>
      </c>
      <c r="R835" s="85">
        <v>1</v>
      </c>
      <c r="S835" s="55">
        <v>0</v>
      </c>
      <c r="T835" s="74" t="s">
        <v>487</v>
      </c>
      <c r="U835" s="74" t="s">
        <v>351</v>
      </c>
      <c r="V835" s="74">
        <v>44327</v>
      </c>
      <c r="W835" s="74">
        <v>44371</v>
      </c>
      <c r="X835" s="55">
        <v>10187508</v>
      </c>
      <c r="Y835" s="55" t="s">
        <v>146</v>
      </c>
      <c r="AB835" s="74" t="s">
        <v>146</v>
      </c>
      <c r="AC835" s="55" t="s">
        <v>146</v>
      </c>
      <c r="AL835" s="74"/>
      <c r="AM835" s="74"/>
    </row>
    <row r="836" spans="1:50" ht="13" x14ac:dyDescent="0.15">
      <c r="A836" s="55" t="str">
        <f>HYPERLINK("http://reports.ofsted.gov.uk/inspection-reports/find-inspection-report/provider/CARE/2523027","Ofsted Social Care Provider Webpage")</f>
        <v>Ofsted Social Care Provider Webpage</v>
      </c>
      <c r="B836" s="55">
        <v>2523027</v>
      </c>
      <c r="D836" s="55" t="s">
        <v>373</v>
      </c>
      <c r="E836" s="74">
        <v>43654</v>
      </c>
      <c r="F836" s="55" t="s">
        <v>344</v>
      </c>
      <c r="G836" s="55" t="s">
        <v>360</v>
      </c>
      <c r="H836" s="55" t="s">
        <v>360</v>
      </c>
      <c r="I836" s="55" t="s">
        <v>360</v>
      </c>
      <c r="J836" s="55" t="s">
        <v>360</v>
      </c>
      <c r="K836" s="55" t="s">
        <v>360</v>
      </c>
      <c r="L836" s="55" t="s">
        <v>360</v>
      </c>
      <c r="M836" s="55" t="s">
        <v>150</v>
      </c>
      <c r="N836" s="55" t="s">
        <v>150</v>
      </c>
      <c r="O836" s="55" t="s">
        <v>241</v>
      </c>
      <c r="P836" s="55" t="s">
        <v>1492</v>
      </c>
      <c r="Q836" s="55" t="s">
        <v>350</v>
      </c>
      <c r="R836" s="85">
        <v>1</v>
      </c>
      <c r="S836" s="55">
        <v>0</v>
      </c>
      <c r="T836" s="74" t="s">
        <v>487</v>
      </c>
      <c r="U836" s="74" t="s">
        <v>351</v>
      </c>
      <c r="V836" s="74">
        <v>44439</v>
      </c>
      <c r="W836" s="74">
        <v>44482</v>
      </c>
      <c r="X836" s="55">
        <v>10195750</v>
      </c>
      <c r="Y836" s="55" t="s">
        <v>130</v>
      </c>
      <c r="AB836" s="74" t="s">
        <v>130</v>
      </c>
      <c r="AC836" s="55" t="s">
        <v>130</v>
      </c>
      <c r="AL836" s="74"/>
      <c r="AM836" s="74"/>
      <c r="AW836" s="74"/>
      <c r="AX836" s="74"/>
    </row>
    <row r="837" spans="1:50" ht="13" x14ac:dyDescent="0.15">
      <c r="A837" s="55" t="str">
        <f>HYPERLINK("http://reports.ofsted.gov.uk/inspection-reports/find-inspection-report/provider/CARE/2523028","Ofsted Social Care Provider Webpage")</f>
        <v>Ofsted Social Care Provider Webpage</v>
      </c>
      <c r="B837" s="55">
        <v>2523028</v>
      </c>
      <c r="D837" s="55" t="s">
        <v>1493</v>
      </c>
      <c r="E837" s="74">
        <v>43613</v>
      </c>
      <c r="F837" s="55" t="s">
        <v>344</v>
      </c>
      <c r="G837" s="55" t="s">
        <v>360</v>
      </c>
      <c r="H837" s="55" t="s">
        <v>360</v>
      </c>
      <c r="I837" s="55" t="s">
        <v>360</v>
      </c>
      <c r="J837" s="55" t="s">
        <v>360</v>
      </c>
      <c r="K837" s="55" t="s">
        <v>360</v>
      </c>
      <c r="L837" s="55" t="s">
        <v>360</v>
      </c>
      <c r="M837" s="55" t="s">
        <v>144</v>
      </c>
      <c r="N837" s="55" t="s">
        <v>144</v>
      </c>
      <c r="O837" s="55" t="s">
        <v>145</v>
      </c>
      <c r="P837" s="55" t="s">
        <v>525</v>
      </c>
      <c r="Q837" s="55" t="s">
        <v>350</v>
      </c>
      <c r="R837" s="85">
        <v>1</v>
      </c>
      <c r="S837" s="55">
        <v>0</v>
      </c>
      <c r="T837" s="74" t="s">
        <v>485</v>
      </c>
      <c r="U837" s="74" t="s">
        <v>351</v>
      </c>
      <c r="V837" s="74">
        <v>44574</v>
      </c>
      <c r="W837" s="74">
        <v>44607</v>
      </c>
      <c r="X837" s="55">
        <v>10185198</v>
      </c>
      <c r="Y837" s="55" t="s">
        <v>132</v>
      </c>
      <c r="AB837" s="74" t="s">
        <v>132</v>
      </c>
      <c r="AC837" s="55" t="s">
        <v>132</v>
      </c>
      <c r="AL837" s="74"/>
      <c r="AM837" s="74"/>
      <c r="AW837" s="74"/>
      <c r="AX837" s="74"/>
    </row>
    <row r="838" spans="1:50" ht="13" x14ac:dyDescent="0.15">
      <c r="A838" s="55" t="str">
        <f>HYPERLINK("http://reports.ofsted.gov.uk/inspection-reports/find-inspection-report/provider/CARE/2523030","Ofsted Social Care Provider Webpage")</f>
        <v>Ofsted Social Care Provider Webpage</v>
      </c>
      <c r="B838" s="55">
        <v>2523030</v>
      </c>
      <c r="D838" s="55" t="s">
        <v>479</v>
      </c>
      <c r="E838" s="74">
        <v>43608</v>
      </c>
      <c r="F838" s="55" t="s">
        <v>344</v>
      </c>
      <c r="G838" s="55" t="s">
        <v>360</v>
      </c>
      <c r="H838" s="55" t="s">
        <v>360</v>
      </c>
      <c r="I838" s="55" t="s">
        <v>360</v>
      </c>
      <c r="J838" s="55" t="s">
        <v>360</v>
      </c>
      <c r="K838" s="55" t="s">
        <v>360</v>
      </c>
      <c r="L838" s="55" t="s">
        <v>360</v>
      </c>
      <c r="M838" s="55" t="s">
        <v>172</v>
      </c>
      <c r="N838" s="55" t="s">
        <v>172</v>
      </c>
      <c r="O838" s="55" t="s">
        <v>214</v>
      </c>
      <c r="P838" s="55" t="s">
        <v>1426</v>
      </c>
      <c r="Q838" s="55" t="s">
        <v>350</v>
      </c>
      <c r="R838" s="85">
        <v>16</v>
      </c>
      <c r="S838" s="55">
        <v>0</v>
      </c>
      <c r="T838" s="74" t="s">
        <v>1494</v>
      </c>
      <c r="U838" s="74" t="s">
        <v>351</v>
      </c>
      <c r="V838" s="74">
        <v>44537</v>
      </c>
      <c r="W838" s="74">
        <v>44580</v>
      </c>
      <c r="X838" s="55">
        <v>10185109</v>
      </c>
      <c r="Y838" s="55" t="s">
        <v>132</v>
      </c>
      <c r="AB838" s="74" t="s">
        <v>132</v>
      </c>
      <c r="AC838" s="55" t="s">
        <v>132</v>
      </c>
      <c r="AL838" s="74"/>
      <c r="AM838" s="74"/>
      <c r="AW838" s="74"/>
      <c r="AX838" s="74"/>
    </row>
    <row r="839" spans="1:50" ht="13" x14ac:dyDescent="0.15">
      <c r="A839" s="55" t="str">
        <f>HYPERLINK("http://reports.ofsted.gov.uk/inspection-reports/find-inspection-report/provider/CARE/2523034","Ofsted Social Care Provider Webpage")</f>
        <v>Ofsted Social Care Provider Webpage</v>
      </c>
      <c r="B839" s="55">
        <v>2523034</v>
      </c>
      <c r="D839" s="55" t="s">
        <v>373</v>
      </c>
      <c r="E839" s="74">
        <v>43658</v>
      </c>
      <c r="F839" s="55" t="s">
        <v>344</v>
      </c>
      <c r="G839" s="55" t="s">
        <v>360</v>
      </c>
      <c r="H839" s="55" t="s">
        <v>360</v>
      </c>
      <c r="I839" s="55" t="s">
        <v>360</v>
      </c>
      <c r="J839" s="55" t="s">
        <v>360</v>
      </c>
      <c r="K839" s="55" t="s">
        <v>360</v>
      </c>
      <c r="L839" s="55" t="s">
        <v>360</v>
      </c>
      <c r="M839" s="55" t="s">
        <v>150</v>
      </c>
      <c r="N839" s="55" t="s">
        <v>150</v>
      </c>
      <c r="O839" s="55" t="s">
        <v>203</v>
      </c>
      <c r="P839" s="55" t="s">
        <v>593</v>
      </c>
      <c r="Q839" s="55" t="s">
        <v>350</v>
      </c>
      <c r="R839" s="85">
        <v>3</v>
      </c>
      <c r="S839" s="55">
        <v>0</v>
      </c>
      <c r="T839" s="74" t="s">
        <v>594</v>
      </c>
      <c r="U839" s="74" t="s">
        <v>351</v>
      </c>
      <c r="V839" s="74">
        <v>44600</v>
      </c>
      <c r="W839" s="74">
        <v>44644</v>
      </c>
      <c r="X839" s="55">
        <v>10186133</v>
      </c>
      <c r="Y839" s="55" t="s">
        <v>132</v>
      </c>
      <c r="AB839" s="74" t="s">
        <v>132</v>
      </c>
      <c r="AC839" s="55" t="s">
        <v>130</v>
      </c>
      <c r="AL839" s="74"/>
      <c r="AM839" s="74"/>
    </row>
    <row r="840" spans="1:50" ht="13" x14ac:dyDescent="0.15">
      <c r="A840" s="55" t="str">
        <f>HYPERLINK("http://reports.ofsted.gov.uk/inspection-reports/find-inspection-report/provider/CARE/2523036","Ofsted Social Care Provider Webpage")</f>
        <v>Ofsted Social Care Provider Webpage</v>
      </c>
      <c r="B840" s="55">
        <v>2523036</v>
      </c>
      <c r="D840" s="55" t="s">
        <v>373</v>
      </c>
      <c r="E840" s="74">
        <v>43650</v>
      </c>
      <c r="F840" s="55" t="s">
        <v>344</v>
      </c>
      <c r="G840" s="55" t="s">
        <v>360</v>
      </c>
      <c r="H840" s="55" t="s">
        <v>360</v>
      </c>
      <c r="I840" s="55" t="s">
        <v>360</v>
      </c>
      <c r="J840" s="55" t="s">
        <v>360</v>
      </c>
      <c r="K840" s="55" t="s">
        <v>360</v>
      </c>
      <c r="L840" s="55" t="s">
        <v>360</v>
      </c>
      <c r="M840" s="55" t="s">
        <v>144</v>
      </c>
      <c r="N840" s="55" t="s">
        <v>144</v>
      </c>
      <c r="O840" s="55" t="s">
        <v>145</v>
      </c>
      <c r="P840" s="55" t="s">
        <v>525</v>
      </c>
      <c r="Q840" s="55" t="s">
        <v>350</v>
      </c>
      <c r="R840" s="85">
        <v>2</v>
      </c>
      <c r="S840" s="55">
        <v>0</v>
      </c>
      <c r="T840" s="74" t="s">
        <v>1065</v>
      </c>
      <c r="U840" s="74" t="s">
        <v>351</v>
      </c>
      <c r="V840" s="74">
        <v>44544</v>
      </c>
      <c r="W840" s="74">
        <v>44587</v>
      </c>
      <c r="X840" s="55">
        <v>10186219</v>
      </c>
      <c r="Y840" s="55" t="s">
        <v>132</v>
      </c>
      <c r="AB840" s="74" t="s">
        <v>132</v>
      </c>
      <c r="AC840" s="55" t="s">
        <v>132</v>
      </c>
      <c r="AL840" s="74"/>
      <c r="AM840" s="74"/>
      <c r="AW840" s="74"/>
      <c r="AX840" s="74"/>
    </row>
    <row r="841" spans="1:50" ht="13" x14ac:dyDescent="0.15">
      <c r="A841" s="55" t="str">
        <f>HYPERLINK("http://reports.ofsted.gov.uk/inspection-reports/find-inspection-report/provider/CARE/2523037","Ofsted Social Care Provider Webpage")</f>
        <v>Ofsted Social Care Provider Webpage</v>
      </c>
      <c r="B841" s="55">
        <v>2523037</v>
      </c>
      <c r="D841" s="55" t="s">
        <v>373</v>
      </c>
      <c r="E841" s="74">
        <v>43572</v>
      </c>
      <c r="F841" s="55" t="s">
        <v>344</v>
      </c>
      <c r="G841" s="55" t="s">
        <v>360</v>
      </c>
      <c r="H841" s="55" t="s">
        <v>360</v>
      </c>
      <c r="I841" s="55" t="s">
        <v>360</v>
      </c>
      <c r="J841" s="55" t="s">
        <v>360</v>
      </c>
      <c r="K841" s="55" t="s">
        <v>360</v>
      </c>
      <c r="L841" s="55" t="s">
        <v>360</v>
      </c>
      <c r="M841" s="55" t="s">
        <v>378</v>
      </c>
      <c r="N841" s="55" t="s">
        <v>134</v>
      </c>
      <c r="O841" s="55" t="s">
        <v>158</v>
      </c>
      <c r="P841" s="55" t="s">
        <v>480</v>
      </c>
      <c r="Q841" s="55" t="s">
        <v>350</v>
      </c>
      <c r="R841" s="85">
        <v>2</v>
      </c>
      <c r="S841" s="55">
        <v>0</v>
      </c>
      <c r="T841" s="74" t="s">
        <v>711</v>
      </c>
      <c r="U841" s="74" t="s">
        <v>351</v>
      </c>
      <c r="V841" s="74">
        <v>44613</v>
      </c>
      <c r="W841" s="74">
        <v>44658</v>
      </c>
      <c r="X841" s="55">
        <v>10185490</v>
      </c>
      <c r="Y841" s="55" t="s">
        <v>140</v>
      </c>
      <c r="AB841" s="74" t="s">
        <v>140</v>
      </c>
      <c r="AC841" s="55" t="s">
        <v>140</v>
      </c>
      <c r="AL841" s="74"/>
      <c r="AM841" s="74"/>
      <c r="AW841" s="74"/>
      <c r="AX841" s="74"/>
    </row>
    <row r="842" spans="1:50" ht="13" x14ac:dyDescent="0.15">
      <c r="A842" s="55" t="str">
        <f>HYPERLINK("http://reports.ofsted.gov.uk/inspection-reports/find-inspection-report/provider/CARE/2523210","Ofsted Social Care Provider Webpage")</f>
        <v>Ofsted Social Care Provider Webpage</v>
      </c>
      <c r="B842" s="55">
        <v>2523210</v>
      </c>
      <c r="D842" s="55" t="s">
        <v>443</v>
      </c>
      <c r="E842" s="74">
        <v>43731</v>
      </c>
      <c r="F842" s="55" t="s">
        <v>344</v>
      </c>
      <c r="G842" s="55" t="s">
        <v>1495</v>
      </c>
      <c r="H842" s="55" t="s">
        <v>1496</v>
      </c>
      <c r="I842" s="55" t="s">
        <v>1497</v>
      </c>
      <c r="J842" s="55" t="s">
        <v>1498</v>
      </c>
      <c r="K842" s="55" t="s">
        <v>183</v>
      </c>
      <c r="L842" s="55" t="s">
        <v>1499</v>
      </c>
      <c r="M842" s="55" t="s">
        <v>138</v>
      </c>
      <c r="N842" s="55" t="s">
        <v>138</v>
      </c>
      <c r="O842" s="55" t="s">
        <v>183</v>
      </c>
      <c r="P842" s="55" t="s">
        <v>730</v>
      </c>
      <c r="Q842" s="55" t="s">
        <v>350</v>
      </c>
      <c r="S842" s="55">
        <v>0</v>
      </c>
      <c r="T842" s="74" t="s">
        <v>1495</v>
      </c>
      <c r="U842" s="74" t="s">
        <v>351</v>
      </c>
      <c r="V842" s="74">
        <v>44299</v>
      </c>
      <c r="W842" s="74">
        <v>44328</v>
      </c>
      <c r="X842" s="55">
        <v>10183213</v>
      </c>
      <c r="Y842" s="55" t="s">
        <v>132</v>
      </c>
      <c r="AB842" s="74" t="s">
        <v>132</v>
      </c>
      <c r="AC842" s="55" t="s">
        <v>132</v>
      </c>
      <c r="AL842" s="74"/>
      <c r="AM842" s="74"/>
      <c r="AW842" s="74"/>
      <c r="AX842" s="74"/>
    </row>
    <row r="843" spans="1:50" ht="13" x14ac:dyDescent="0.15">
      <c r="A843" s="55" t="str">
        <f>HYPERLINK("http://reports.ofsted.gov.uk/inspection-reports/find-inspection-report/provider/CARE/2525634","Ofsted Social Care Provider Webpage")</f>
        <v>Ofsted Social Care Provider Webpage</v>
      </c>
      <c r="B843" s="55">
        <v>2525634</v>
      </c>
      <c r="D843" s="55" t="s">
        <v>373</v>
      </c>
      <c r="E843" s="74">
        <v>43573</v>
      </c>
      <c r="F843" s="55" t="s">
        <v>344</v>
      </c>
      <c r="G843" s="55" t="s">
        <v>360</v>
      </c>
      <c r="H843" s="55" t="s">
        <v>360</v>
      </c>
      <c r="I843" s="55" t="s">
        <v>360</v>
      </c>
      <c r="J843" s="55" t="s">
        <v>360</v>
      </c>
      <c r="K843" s="55" t="s">
        <v>360</v>
      </c>
      <c r="L843" s="55" t="s">
        <v>360</v>
      </c>
      <c r="M843" s="55" t="s">
        <v>138</v>
      </c>
      <c r="N843" s="55" t="s">
        <v>138</v>
      </c>
      <c r="O843" s="55" t="s">
        <v>183</v>
      </c>
      <c r="P843" s="55" t="s">
        <v>1500</v>
      </c>
      <c r="Q843" s="55" t="s">
        <v>350</v>
      </c>
      <c r="R843" s="85">
        <v>5</v>
      </c>
      <c r="S843" s="55">
        <v>0</v>
      </c>
      <c r="T843" s="74" t="s">
        <v>997</v>
      </c>
      <c r="U843" s="74" t="s">
        <v>351</v>
      </c>
      <c r="V843" s="74">
        <v>44466</v>
      </c>
      <c r="W843" s="74">
        <v>44495</v>
      </c>
      <c r="X843" s="55">
        <v>10185518</v>
      </c>
      <c r="Y843" s="55" t="s">
        <v>132</v>
      </c>
      <c r="AB843" s="74" t="s">
        <v>132</v>
      </c>
      <c r="AC843" s="55" t="s">
        <v>132</v>
      </c>
      <c r="AL843" s="74"/>
      <c r="AM843" s="74"/>
      <c r="AW843" s="74"/>
      <c r="AX843" s="74"/>
    </row>
    <row r="844" spans="1:50" ht="13" x14ac:dyDescent="0.15">
      <c r="A844" s="55" t="str">
        <f>HYPERLINK("http://reports.ofsted.gov.uk/inspection-reports/find-inspection-report/provider/CARE/2525807","Ofsted Social Care Provider Webpage")</f>
        <v>Ofsted Social Care Provider Webpage</v>
      </c>
      <c r="B844" s="55">
        <v>2525807</v>
      </c>
      <c r="D844" s="55" t="s">
        <v>373</v>
      </c>
      <c r="E844" s="74">
        <v>43672</v>
      </c>
      <c r="F844" s="55" t="s">
        <v>344</v>
      </c>
      <c r="G844" s="55" t="s">
        <v>360</v>
      </c>
      <c r="H844" s="55" t="s">
        <v>360</v>
      </c>
      <c r="I844" s="55" t="s">
        <v>360</v>
      </c>
      <c r="J844" s="55" t="s">
        <v>360</v>
      </c>
      <c r="K844" s="55" t="s">
        <v>360</v>
      </c>
      <c r="L844" s="55" t="s">
        <v>360</v>
      </c>
      <c r="M844" s="55" t="s">
        <v>142</v>
      </c>
      <c r="N844" s="55" t="s">
        <v>142</v>
      </c>
      <c r="O844" s="55" t="s">
        <v>293</v>
      </c>
      <c r="P844" s="55" t="s">
        <v>984</v>
      </c>
      <c r="Q844" s="55" t="s">
        <v>350</v>
      </c>
      <c r="R844" s="85">
        <v>4</v>
      </c>
      <c r="S844" s="55">
        <v>0</v>
      </c>
      <c r="T844" s="74" t="s">
        <v>1501</v>
      </c>
      <c r="U844" s="74" t="s">
        <v>351</v>
      </c>
      <c r="V844" s="74">
        <v>44592</v>
      </c>
      <c r="W844" s="74">
        <v>44629</v>
      </c>
      <c r="X844" s="55">
        <v>10185289</v>
      </c>
      <c r="Y844" s="55" t="s">
        <v>130</v>
      </c>
      <c r="AB844" s="74" t="s">
        <v>130</v>
      </c>
      <c r="AC844" s="55" t="s">
        <v>146</v>
      </c>
      <c r="AL844" s="74"/>
      <c r="AM844" s="74"/>
      <c r="AW844" s="74"/>
      <c r="AX844" s="74"/>
    </row>
    <row r="845" spans="1:50" ht="13" x14ac:dyDescent="0.15">
      <c r="A845" s="55" t="str">
        <f>HYPERLINK("http://reports.ofsted.gov.uk/inspection-reports/find-inspection-report/provider/CARE/2525831","Ofsted Social Care Provider Webpage")</f>
        <v>Ofsted Social Care Provider Webpage</v>
      </c>
      <c r="B845" s="55">
        <v>2525831</v>
      </c>
      <c r="D845" s="55" t="s">
        <v>373</v>
      </c>
      <c r="E845" s="74">
        <v>43622</v>
      </c>
      <c r="F845" s="55" t="s">
        <v>6707</v>
      </c>
      <c r="G845" s="55" t="s">
        <v>360</v>
      </c>
      <c r="H845" s="55" t="s">
        <v>360</v>
      </c>
      <c r="I845" s="55" t="s">
        <v>360</v>
      </c>
      <c r="J845" s="55" t="s">
        <v>360</v>
      </c>
      <c r="K845" s="55" t="s">
        <v>360</v>
      </c>
      <c r="L845" s="55" t="s">
        <v>360</v>
      </c>
      <c r="M845" s="55" t="s">
        <v>142</v>
      </c>
      <c r="N845" s="55" t="s">
        <v>142</v>
      </c>
      <c r="O845" s="55" t="s">
        <v>282</v>
      </c>
      <c r="P845" s="55" t="s">
        <v>922</v>
      </c>
      <c r="Q845" s="55" t="s">
        <v>350</v>
      </c>
      <c r="R845" s="85">
        <v>4</v>
      </c>
      <c r="S845" s="55">
        <v>0</v>
      </c>
      <c r="T845" s="74" t="s">
        <v>1813</v>
      </c>
      <c r="U845" s="74" t="s">
        <v>351</v>
      </c>
      <c r="V845" s="74">
        <v>44321</v>
      </c>
      <c r="W845" s="74">
        <v>44375</v>
      </c>
      <c r="X845" s="55">
        <v>10187474</v>
      </c>
      <c r="Y845" s="55" t="s">
        <v>146</v>
      </c>
      <c r="AB845" s="74" t="s">
        <v>146</v>
      </c>
      <c r="AC845" s="55" t="s">
        <v>146</v>
      </c>
      <c r="AL845" s="74"/>
      <c r="AM845" s="74"/>
    </row>
    <row r="846" spans="1:50" ht="13" x14ac:dyDescent="0.15">
      <c r="A846" s="55" t="str">
        <f>HYPERLINK("http://reports.ofsted.gov.uk/inspection-reports/find-inspection-report/provider/CARE/2526004","Ofsted Social Care Provider Webpage")</f>
        <v>Ofsted Social Care Provider Webpage</v>
      </c>
      <c r="B846" s="55">
        <v>2526004</v>
      </c>
      <c r="D846" s="55" t="s">
        <v>373</v>
      </c>
      <c r="E846" s="74">
        <v>43579</v>
      </c>
      <c r="F846" s="55" t="s">
        <v>344</v>
      </c>
      <c r="G846" s="55" t="s">
        <v>360</v>
      </c>
      <c r="H846" s="55" t="s">
        <v>360</v>
      </c>
      <c r="I846" s="55" t="s">
        <v>360</v>
      </c>
      <c r="J846" s="55" t="s">
        <v>360</v>
      </c>
      <c r="K846" s="55" t="s">
        <v>360</v>
      </c>
      <c r="L846" s="55" t="s">
        <v>360</v>
      </c>
      <c r="M846" s="55" t="s">
        <v>144</v>
      </c>
      <c r="N846" s="55" t="s">
        <v>144</v>
      </c>
      <c r="O846" s="55" t="s">
        <v>162</v>
      </c>
      <c r="P846" s="55" t="s">
        <v>1502</v>
      </c>
      <c r="Q846" s="55" t="s">
        <v>350</v>
      </c>
      <c r="R846" s="85">
        <v>6</v>
      </c>
      <c r="S846" s="55">
        <v>0</v>
      </c>
      <c r="T846" s="74" t="s">
        <v>1503</v>
      </c>
      <c r="U846" s="74" t="s">
        <v>351</v>
      </c>
      <c r="V846" s="74">
        <v>44621</v>
      </c>
      <c r="W846" s="74">
        <v>44665</v>
      </c>
      <c r="X846" s="55">
        <v>10186212</v>
      </c>
      <c r="Y846" s="55" t="s">
        <v>140</v>
      </c>
      <c r="AB846" s="74" t="s">
        <v>132</v>
      </c>
      <c r="AC846" s="55" t="s">
        <v>140</v>
      </c>
      <c r="AL846" s="74"/>
      <c r="AM846" s="74"/>
      <c r="AW846" s="74"/>
      <c r="AX846" s="74"/>
    </row>
    <row r="847" spans="1:50" ht="13" x14ac:dyDescent="0.15">
      <c r="A847" s="55" t="str">
        <f>HYPERLINK("http://reports.ofsted.gov.uk/inspection-reports/find-inspection-report/provider/CARE/2526435","Ofsted Social Care Provider Webpage")</f>
        <v>Ofsted Social Care Provider Webpage</v>
      </c>
      <c r="B847" s="55">
        <v>2526435</v>
      </c>
      <c r="D847" s="55" t="s">
        <v>373</v>
      </c>
      <c r="E847" s="74">
        <v>43650</v>
      </c>
      <c r="F847" s="55" t="s">
        <v>344</v>
      </c>
      <c r="G847" s="55" t="s">
        <v>360</v>
      </c>
      <c r="H847" s="55" t="s">
        <v>360</v>
      </c>
      <c r="I847" s="55" t="s">
        <v>360</v>
      </c>
      <c r="J847" s="55" t="s">
        <v>360</v>
      </c>
      <c r="K847" s="55" t="s">
        <v>360</v>
      </c>
      <c r="L847" s="55" t="s">
        <v>360</v>
      </c>
      <c r="M847" s="55" t="s">
        <v>138</v>
      </c>
      <c r="N847" s="55" t="s">
        <v>138</v>
      </c>
      <c r="O847" s="55" t="s">
        <v>183</v>
      </c>
      <c r="P847" s="55" t="s">
        <v>1500</v>
      </c>
      <c r="Q847" s="55" t="s">
        <v>350</v>
      </c>
      <c r="R847" s="85">
        <v>3</v>
      </c>
      <c r="S847" s="55">
        <v>0</v>
      </c>
      <c r="T847" s="74" t="s">
        <v>1504</v>
      </c>
      <c r="U847" s="74" t="s">
        <v>6703</v>
      </c>
      <c r="V847" s="74">
        <v>44462</v>
      </c>
      <c r="W847" s="74">
        <v>44487</v>
      </c>
      <c r="X847" s="55">
        <v>10205268</v>
      </c>
      <c r="Y847" s="55" t="s">
        <v>6705</v>
      </c>
      <c r="AL847" s="74"/>
      <c r="AM847" s="74"/>
      <c r="AW847" s="74"/>
      <c r="AX847" s="74"/>
    </row>
    <row r="848" spans="1:50" ht="13" x14ac:dyDescent="0.15">
      <c r="A848" s="55" t="str">
        <f>HYPERLINK("http://reports.ofsted.gov.uk/inspection-reports/find-inspection-report/provider/CARE/2526435","Ofsted Social Care Provider Webpage")</f>
        <v>Ofsted Social Care Provider Webpage</v>
      </c>
      <c r="B848" s="55">
        <v>2526435</v>
      </c>
      <c r="D848" s="55" t="s">
        <v>373</v>
      </c>
      <c r="E848" s="74">
        <v>43650</v>
      </c>
      <c r="F848" s="55" t="s">
        <v>344</v>
      </c>
      <c r="G848" s="55" t="s">
        <v>360</v>
      </c>
      <c r="H848" s="55" t="s">
        <v>360</v>
      </c>
      <c r="I848" s="55" t="s">
        <v>360</v>
      </c>
      <c r="J848" s="55" t="s">
        <v>360</v>
      </c>
      <c r="K848" s="55" t="s">
        <v>360</v>
      </c>
      <c r="L848" s="55" t="s">
        <v>360</v>
      </c>
      <c r="M848" s="55" t="s">
        <v>138</v>
      </c>
      <c r="N848" s="55" t="s">
        <v>138</v>
      </c>
      <c r="O848" s="55" t="s">
        <v>183</v>
      </c>
      <c r="P848" s="55" t="s">
        <v>1500</v>
      </c>
      <c r="Q848" s="55" t="s">
        <v>350</v>
      </c>
      <c r="R848" s="85">
        <v>3</v>
      </c>
      <c r="S848" s="55">
        <v>0</v>
      </c>
      <c r="T848" s="74" t="s">
        <v>1504</v>
      </c>
      <c r="U848" s="74" t="s">
        <v>351</v>
      </c>
      <c r="V848" s="74">
        <v>44314</v>
      </c>
      <c r="W848" s="74">
        <v>44343</v>
      </c>
      <c r="X848" s="55">
        <v>10186926</v>
      </c>
      <c r="Y848" s="55" t="s">
        <v>130</v>
      </c>
      <c r="AB848" s="74" t="s">
        <v>130</v>
      </c>
      <c r="AC848" s="55" t="s">
        <v>130</v>
      </c>
      <c r="AL848" s="74"/>
      <c r="AM848" s="74"/>
      <c r="AW848" s="74"/>
      <c r="AX848" s="74"/>
    </row>
    <row r="849" spans="1:50" ht="13" x14ac:dyDescent="0.15">
      <c r="A849" s="55" t="str">
        <f>HYPERLINK("http://reports.ofsted.gov.uk/inspection-reports/find-inspection-report/provider/CARE/2526875","Ofsted Social Care Provider Webpage")</f>
        <v>Ofsted Social Care Provider Webpage</v>
      </c>
      <c r="B849" s="55">
        <v>2526875</v>
      </c>
      <c r="D849" s="55" t="s">
        <v>373</v>
      </c>
      <c r="E849" s="74">
        <v>43707</v>
      </c>
      <c r="F849" s="55" t="s">
        <v>344</v>
      </c>
      <c r="G849" s="55" t="s">
        <v>360</v>
      </c>
      <c r="H849" s="55" t="s">
        <v>360</v>
      </c>
      <c r="I849" s="55" t="s">
        <v>360</v>
      </c>
      <c r="J849" s="55" t="s">
        <v>360</v>
      </c>
      <c r="K849" s="55" t="s">
        <v>360</v>
      </c>
      <c r="L849" s="55" t="s">
        <v>360</v>
      </c>
      <c r="M849" s="55" t="s">
        <v>142</v>
      </c>
      <c r="N849" s="55" t="s">
        <v>142</v>
      </c>
      <c r="O849" s="55" t="s">
        <v>262</v>
      </c>
      <c r="P849" s="55" t="s">
        <v>618</v>
      </c>
      <c r="Q849" s="55" t="s">
        <v>350</v>
      </c>
      <c r="R849" s="85">
        <v>5</v>
      </c>
      <c r="S849" s="55">
        <v>0</v>
      </c>
      <c r="T849" s="74" t="s">
        <v>1505</v>
      </c>
      <c r="U849" s="74" t="s">
        <v>351</v>
      </c>
      <c r="V849" s="74">
        <v>44579</v>
      </c>
      <c r="W849" s="74">
        <v>44622</v>
      </c>
      <c r="X849" s="55">
        <v>10186659</v>
      </c>
      <c r="Y849" s="55" t="s">
        <v>132</v>
      </c>
      <c r="AB849" s="74" t="s">
        <v>132</v>
      </c>
      <c r="AC849" s="55" t="s">
        <v>132</v>
      </c>
      <c r="AL849" s="74"/>
      <c r="AM849" s="74"/>
      <c r="AW849" s="74"/>
      <c r="AX849" s="74"/>
    </row>
    <row r="850" spans="1:50" ht="13" x14ac:dyDescent="0.15">
      <c r="A850" s="55" t="str">
        <f>HYPERLINK("http://reports.ofsted.gov.uk/inspection-reports/find-inspection-report/provider/CARE/2526893","Ofsted Social Care Provider Webpage")</f>
        <v>Ofsted Social Care Provider Webpage</v>
      </c>
      <c r="B850" s="55">
        <v>2526893</v>
      </c>
      <c r="D850" s="55" t="s">
        <v>373</v>
      </c>
      <c r="E850" s="74">
        <v>43741</v>
      </c>
      <c r="F850" s="55" t="s">
        <v>344</v>
      </c>
      <c r="G850" s="55" t="s">
        <v>360</v>
      </c>
      <c r="H850" s="55" t="s">
        <v>360</v>
      </c>
      <c r="I850" s="55" t="s">
        <v>360</v>
      </c>
      <c r="J850" s="55" t="s">
        <v>360</v>
      </c>
      <c r="K850" s="55" t="s">
        <v>360</v>
      </c>
      <c r="L850" s="55" t="s">
        <v>360</v>
      </c>
      <c r="M850" s="55" t="s">
        <v>142</v>
      </c>
      <c r="N850" s="55" t="s">
        <v>142</v>
      </c>
      <c r="O850" s="55" t="s">
        <v>265</v>
      </c>
      <c r="P850" s="55" t="s">
        <v>1215</v>
      </c>
      <c r="Q850" s="55" t="s">
        <v>350</v>
      </c>
      <c r="R850" s="85">
        <v>4</v>
      </c>
      <c r="S850" s="55">
        <v>0</v>
      </c>
      <c r="T850" s="74" t="s">
        <v>1505</v>
      </c>
      <c r="U850" s="74" t="s">
        <v>351</v>
      </c>
      <c r="V850" s="74">
        <v>44572</v>
      </c>
      <c r="W850" s="74">
        <v>44615</v>
      </c>
      <c r="X850" s="55">
        <v>10185594</v>
      </c>
      <c r="Y850" s="55" t="s">
        <v>132</v>
      </c>
      <c r="AB850" s="74" t="s">
        <v>132</v>
      </c>
      <c r="AC850" s="55" t="s">
        <v>132</v>
      </c>
      <c r="AL850" s="74"/>
      <c r="AM850" s="74"/>
      <c r="AW850" s="74"/>
      <c r="AX850" s="74"/>
    </row>
    <row r="851" spans="1:50" ht="13" x14ac:dyDescent="0.15">
      <c r="A851" s="55" t="str">
        <f>HYPERLINK("http://reports.ofsted.gov.uk/inspection-reports/find-inspection-report/provider/CARE/2526921","Ofsted Social Care Provider Webpage")</f>
        <v>Ofsted Social Care Provider Webpage</v>
      </c>
      <c r="B851" s="55">
        <v>2526921</v>
      </c>
      <c r="D851" s="55" t="s">
        <v>373</v>
      </c>
      <c r="E851" s="74">
        <v>43531</v>
      </c>
      <c r="F851" s="55" t="s">
        <v>344</v>
      </c>
      <c r="G851" s="55" t="s">
        <v>360</v>
      </c>
      <c r="H851" s="55" t="s">
        <v>360</v>
      </c>
      <c r="I851" s="55" t="s">
        <v>360</v>
      </c>
      <c r="J851" s="55" t="s">
        <v>360</v>
      </c>
      <c r="K851" s="55" t="s">
        <v>360</v>
      </c>
      <c r="L851" s="55" t="s">
        <v>360</v>
      </c>
      <c r="M851" s="55" t="s">
        <v>144</v>
      </c>
      <c r="N851" s="55" t="s">
        <v>144</v>
      </c>
      <c r="O851" s="55" t="s">
        <v>168</v>
      </c>
      <c r="P851" s="55" t="s">
        <v>913</v>
      </c>
      <c r="Q851" s="55" t="s">
        <v>350</v>
      </c>
      <c r="R851" s="85">
        <v>5</v>
      </c>
      <c r="S851" s="55">
        <v>0</v>
      </c>
      <c r="T851" s="74" t="s">
        <v>1098</v>
      </c>
      <c r="U851" s="74" t="s">
        <v>351</v>
      </c>
      <c r="V851" s="74">
        <v>44581</v>
      </c>
      <c r="W851" s="74">
        <v>44620</v>
      </c>
      <c r="X851" s="55">
        <v>10187252</v>
      </c>
      <c r="Y851" s="55" t="s">
        <v>132</v>
      </c>
      <c r="AB851" s="74" t="s">
        <v>132</v>
      </c>
      <c r="AC851" s="55" t="s">
        <v>132</v>
      </c>
      <c r="AL851" s="74"/>
      <c r="AM851" s="74"/>
      <c r="AW851" s="74"/>
      <c r="AX851" s="74"/>
    </row>
    <row r="852" spans="1:50" ht="13" x14ac:dyDescent="0.15">
      <c r="A852" s="55" t="str">
        <f>HYPERLINK("http://reports.ofsted.gov.uk/inspection-reports/find-inspection-report/provider/CARE/2526987","Ofsted Social Care Provider Webpage")</f>
        <v>Ofsted Social Care Provider Webpage</v>
      </c>
      <c r="B852" s="55">
        <v>2526987</v>
      </c>
      <c r="D852" s="55" t="s">
        <v>373</v>
      </c>
      <c r="E852" s="74">
        <v>43634</v>
      </c>
      <c r="F852" s="55" t="s">
        <v>344</v>
      </c>
      <c r="G852" s="55" t="s">
        <v>360</v>
      </c>
      <c r="H852" s="55" t="s">
        <v>360</v>
      </c>
      <c r="I852" s="55" t="s">
        <v>360</v>
      </c>
      <c r="J852" s="55" t="s">
        <v>360</v>
      </c>
      <c r="K852" s="55" t="s">
        <v>360</v>
      </c>
      <c r="L852" s="55" t="s">
        <v>360</v>
      </c>
      <c r="M852" s="55" t="s">
        <v>138</v>
      </c>
      <c r="N852" s="55" t="s">
        <v>138</v>
      </c>
      <c r="O852" s="55" t="s">
        <v>196</v>
      </c>
      <c r="P852" s="55" t="s">
        <v>1506</v>
      </c>
      <c r="Q852" s="55" t="s">
        <v>350</v>
      </c>
      <c r="R852" s="85">
        <v>2</v>
      </c>
      <c r="S852" s="55">
        <v>0</v>
      </c>
      <c r="T852" s="74" t="s">
        <v>1507</v>
      </c>
      <c r="U852" s="74" t="s">
        <v>351</v>
      </c>
      <c r="V852" s="74">
        <v>44503</v>
      </c>
      <c r="W852" s="74">
        <v>44538</v>
      </c>
      <c r="X852" s="55">
        <v>10186115</v>
      </c>
      <c r="Y852" s="55" t="s">
        <v>132</v>
      </c>
      <c r="AB852" s="74" t="s">
        <v>132</v>
      </c>
      <c r="AC852" s="55" t="s">
        <v>132</v>
      </c>
      <c r="AL852" s="74"/>
      <c r="AM852" s="74"/>
      <c r="AW852" s="74"/>
      <c r="AX852" s="74"/>
    </row>
    <row r="853" spans="1:50" ht="13" x14ac:dyDescent="0.15">
      <c r="A853" s="55" t="str">
        <f>HYPERLINK("http://reports.ofsted.gov.uk/inspection-reports/find-inspection-report/provider/CARE/2526992","Ofsted Social Care Provider Webpage")</f>
        <v>Ofsted Social Care Provider Webpage</v>
      </c>
      <c r="B853" s="55">
        <v>2526992</v>
      </c>
      <c r="D853" s="55" t="s">
        <v>373</v>
      </c>
      <c r="E853" s="74">
        <v>43709</v>
      </c>
      <c r="F853" s="55" t="s">
        <v>344</v>
      </c>
      <c r="G853" s="55" t="s">
        <v>360</v>
      </c>
      <c r="H853" s="55" t="s">
        <v>360</v>
      </c>
      <c r="I853" s="55" t="s">
        <v>360</v>
      </c>
      <c r="J853" s="55" t="s">
        <v>360</v>
      </c>
      <c r="K853" s="55" t="s">
        <v>360</v>
      </c>
      <c r="L853" s="55" t="s">
        <v>360</v>
      </c>
      <c r="M853" s="55" t="s">
        <v>378</v>
      </c>
      <c r="N853" s="55" t="s">
        <v>134</v>
      </c>
      <c r="O853" s="55" t="s">
        <v>206</v>
      </c>
      <c r="P853" s="55" t="s">
        <v>760</v>
      </c>
      <c r="Q853" s="55" t="s">
        <v>350</v>
      </c>
      <c r="R853" s="85">
        <v>2</v>
      </c>
      <c r="S853" s="55">
        <v>0</v>
      </c>
      <c r="T853" s="74" t="s">
        <v>485</v>
      </c>
      <c r="U853" s="74" t="s">
        <v>351</v>
      </c>
      <c r="V853" s="74">
        <v>44622</v>
      </c>
      <c r="W853" s="74">
        <v>44670</v>
      </c>
      <c r="X853" s="55">
        <v>10185751</v>
      </c>
      <c r="Y853" s="55" t="s">
        <v>132</v>
      </c>
      <c r="AB853" s="74" t="s">
        <v>132</v>
      </c>
      <c r="AC853" s="55" t="s">
        <v>132</v>
      </c>
      <c r="AL853" s="74"/>
      <c r="AM853" s="74"/>
      <c r="AW853" s="74"/>
      <c r="AX853" s="74"/>
    </row>
    <row r="854" spans="1:50" ht="13" x14ac:dyDescent="0.15">
      <c r="A854" s="55" t="str">
        <f>HYPERLINK("http://reports.ofsted.gov.uk/inspection-reports/find-inspection-report/provider/CARE/2527312","Ofsted Social Care Provider Webpage")</f>
        <v>Ofsted Social Care Provider Webpage</v>
      </c>
      <c r="B854" s="55">
        <v>2527312</v>
      </c>
      <c r="D854" s="55" t="s">
        <v>373</v>
      </c>
      <c r="E854" s="74">
        <v>43668</v>
      </c>
      <c r="F854" s="55" t="s">
        <v>344</v>
      </c>
      <c r="G854" s="55" t="s">
        <v>360</v>
      </c>
      <c r="H854" s="55" t="s">
        <v>360</v>
      </c>
      <c r="I854" s="55" t="s">
        <v>360</v>
      </c>
      <c r="J854" s="55" t="s">
        <v>360</v>
      </c>
      <c r="K854" s="55" t="s">
        <v>360</v>
      </c>
      <c r="L854" s="55" t="s">
        <v>360</v>
      </c>
      <c r="M854" s="55" t="s">
        <v>136</v>
      </c>
      <c r="N854" s="55" t="s">
        <v>136</v>
      </c>
      <c r="O854" s="55" t="s">
        <v>174</v>
      </c>
      <c r="P854" s="55" t="s">
        <v>651</v>
      </c>
      <c r="Q854" s="55" t="s">
        <v>350</v>
      </c>
      <c r="R854" s="85">
        <v>2</v>
      </c>
      <c r="S854" s="55">
        <v>0</v>
      </c>
      <c r="T854" s="74" t="s">
        <v>652</v>
      </c>
      <c r="U854" s="74" t="s">
        <v>351</v>
      </c>
      <c r="V854" s="74">
        <v>44397</v>
      </c>
      <c r="W854" s="74">
        <v>44434</v>
      </c>
      <c r="X854" s="55">
        <v>10185523</v>
      </c>
      <c r="Y854" s="55" t="s">
        <v>130</v>
      </c>
      <c r="AB854" s="74" t="s">
        <v>130</v>
      </c>
      <c r="AC854" s="55" t="s">
        <v>130</v>
      </c>
      <c r="AL854" s="74"/>
      <c r="AM854" s="74"/>
    </row>
    <row r="855" spans="1:50" ht="13" x14ac:dyDescent="0.15">
      <c r="A855" s="55" t="str">
        <f>HYPERLINK("http://reports.ofsted.gov.uk/inspection-reports/find-inspection-report/provider/CARE/2527312","Ofsted Social Care Provider Webpage")</f>
        <v>Ofsted Social Care Provider Webpage</v>
      </c>
      <c r="B855" s="55">
        <v>2527312</v>
      </c>
      <c r="D855" s="55" t="s">
        <v>373</v>
      </c>
      <c r="E855" s="74">
        <v>43668</v>
      </c>
      <c r="F855" s="55" t="s">
        <v>344</v>
      </c>
      <c r="G855" s="55" t="s">
        <v>360</v>
      </c>
      <c r="H855" s="55" t="s">
        <v>360</v>
      </c>
      <c r="I855" s="55" t="s">
        <v>360</v>
      </c>
      <c r="J855" s="55" t="s">
        <v>360</v>
      </c>
      <c r="K855" s="55" t="s">
        <v>360</v>
      </c>
      <c r="L855" s="55" t="s">
        <v>360</v>
      </c>
      <c r="M855" s="55" t="s">
        <v>136</v>
      </c>
      <c r="N855" s="55" t="s">
        <v>136</v>
      </c>
      <c r="O855" s="55" t="s">
        <v>174</v>
      </c>
      <c r="P855" s="55" t="s">
        <v>651</v>
      </c>
      <c r="Q855" s="55" t="s">
        <v>350</v>
      </c>
      <c r="R855" s="85">
        <v>2</v>
      </c>
      <c r="S855" s="55">
        <v>0</v>
      </c>
      <c r="T855" s="74" t="s">
        <v>652</v>
      </c>
      <c r="U855" s="74" t="s">
        <v>6703</v>
      </c>
      <c r="V855" s="74">
        <v>44606</v>
      </c>
      <c r="W855" s="74">
        <v>44651</v>
      </c>
      <c r="X855" s="55">
        <v>10209070</v>
      </c>
      <c r="Y855" s="55" t="s">
        <v>6705</v>
      </c>
      <c r="AL855" s="74"/>
      <c r="AM855" s="74"/>
      <c r="AW855" s="74"/>
      <c r="AX855" s="74"/>
    </row>
    <row r="856" spans="1:50" ht="13" x14ac:dyDescent="0.15">
      <c r="A856" s="55" t="str">
        <f>HYPERLINK("http://reports.ofsted.gov.uk/inspection-reports/find-inspection-report/provider/CARE/2527328","Ofsted Social Care Provider Webpage")</f>
        <v>Ofsted Social Care Provider Webpage</v>
      </c>
      <c r="B856" s="55">
        <v>2527328</v>
      </c>
      <c r="D856" s="55" t="s">
        <v>451</v>
      </c>
      <c r="E856" s="74">
        <v>43623</v>
      </c>
      <c r="F856" s="55" t="s">
        <v>344</v>
      </c>
      <c r="G856" s="55" t="s">
        <v>1508</v>
      </c>
      <c r="H856" s="55" t="s">
        <v>1509</v>
      </c>
      <c r="I856" s="55" t="s">
        <v>1510</v>
      </c>
      <c r="J856" s="55" t="s">
        <v>215</v>
      </c>
      <c r="L856" s="55" t="s">
        <v>1511</v>
      </c>
      <c r="M856" s="55" t="s">
        <v>144</v>
      </c>
      <c r="N856" s="55" t="s">
        <v>144</v>
      </c>
      <c r="O856" s="55" t="s">
        <v>215</v>
      </c>
      <c r="P856" s="55" t="s">
        <v>1008</v>
      </c>
      <c r="Q856" s="55" t="s">
        <v>350</v>
      </c>
      <c r="R856" s="85">
        <v>5</v>
      </c>
      <c r="S856" s="55">
        <v>0</v>
      </c>
      <c r="T856" s="74" t="s">
        <v>1508</v>
      </c>
      <c r="U856" s="74" t="s">
        <v>351</v>
      </c>
      <c r="V856" s="74">
        <v>44538</v>
      </c>
      <c r="W856" s="74">
        <v>44600</v>
      </c>
      <c r="X856" s="55">
        <v>10183236</v>
      </c>
      <c r="Y856" s="55" t="s">
        <v>132</v>
      </c>
      <c r="AB856" s="74" t="s">
        <v>132</v>
      </c>
      <c r="AC856" s="55" t="s">
        <v>130</v>
      </c>
      <c r="AL856" s="74"/>
      <c r="AM856" s="74"/>
      <c r="AW856" s="74"/>
      <c r="AX856" s="74"/>
    </row>
    <row r="857" spans="1:50" ht="13" x14ac:dyDescent="0.15">
      <c r="A857" s="55" t="str">
        <f>HYPERLINK("http://reports.ofsted.gov.uk/inspection-reports/find-inspection-report/provider/CARE/2527558","Ofsted Social Care Provider Webpage")</f>
        <v>Ofsted Social Care Provider Webpage</v>
      </c>
      <c r="B857" s="55">
        <v>2527558</v>
      </c>
      <c r="D857" s="55" t="s">
        <v>373</v>
      </c>
      <c r="E857" s="74">
        <v>43860</v>
      </c>
      <c r="F857" s="55" t="s">
        <v>344</v>
      </c>
      <c r="G857" s="55" t="s">
        <v>360</v>
      </c>
      <c r="H857" s="55" t="s">
        <v>360</v>
      </c>
      <c r="I857" s="55" t="s">
        <v>360</v>
      </c>
      <c r="J857" s="55" t="s">
        <v>360</v>
      </c>
      <c r="K857" s="55" t="s">
        <v>360</v>
      </c>
      <c r="L857" s="55" t="s">
        <v>360</v>
      </c>
      <c r="M857" s="55" t="s">
        <v>144</v>
      </c>
      <c r="N857" s="55" t="s">
        <v>144</v>
      </c>
      <c r="O857" s="55" t="s">
        <v>209</v>
      </c>
      <c r="P857" s="55" t="s">
        <v>474</v>
      </c>
      <c r="Q857" s="55" t="s">
        <v>350</v>
      </c>
      <c r="R857" s="85">
        <v>5</v>
      </c>
      <c r="S857" s="55">
        <v>0</v>
      </c>
      <c r="T857" s="74" t="s">
        <v>863</v>
      </c>
      <c r="U857" s="74" t="s">
        <v>351</v>
      </c>
      <c r="V857" s="74">
        <v>44306</v>
      </c>
      <c r="W857" s="74">
        <v>44337</v>
      </c>
      <c r="X857" s="55">
        <v>10186481</v>
      </c>
      <c r="Y857" s="55" t="s">
        <v>130</v>
      </c>
      <c r="AB857" s="74" t="s">
        <v>130</v>
      </c>
      <c r="AC857" s="55" t="s">
        <v>130</v>
      </c>
      <c r="AL857" s="74"/>
      <c r="AM857" s="74"/>
      <c r="AW857" s="74"/>
      <c r="AX857" s="74"/>
    </row>
    <row r="858" spans="1:50" ht="13" x14ac:dyDescent="0.15">
      <c r="A858" s="55" t="str">
        <f>HYPERLINK("http://reports.ofsted.gov.uk/inspection-reports/find-inspection-report/provider/CARE/2527654","Ofsted Social Care Provider Webpage")</f>
        <v>Ofsted Social Care Provider Webpage</v>
      </c>
      <c r="B858" s="55">
        <v>2527654</v>
      </c>
      <c r="D858" s="55" t="s">
        <v>373</v>
      </c>
      <c r="E858" s="74">
        <v>43651</v>
      </c>
      <c r="F858" s="55" t="s">
        <v>344</v>
      </c>
      <c r="G858" s="55" t="s">
        <v>360</v>
      </c>
      <c r="H858" s="55" t="s">
        <v>360</v>
      </c>
      <c r="I858" s="55" t="s">
        <v>360</v>
      </c>
      <c r="J858" s="55" t="s">
        <v>360</v>
      </c>
      <c r="K858" s="55" t="s">
        <v>360</v>
      </c>
      <c r="L858" s="55" t="s">
        <v>360</v>
      </c>
      <c r="M858" s="55" t="s">
        <v>144</v>
      </c>
      <c r="N858" s="55" t="s">
        <v>144</v>
      </c>
      <c r="O858" s="55" t="s">
        <v>290</v>
      </c>
      <c r="P858" s="55" t="s">
        <v>1512</v>
      </c>
      <c r="Q858" s="55" t="s">
        <v>350</v>
      </c>
      <c r="R858" s="85">
        <v>2</v>
      </c>
      <c r="S858" s="55">
        <v>0</v>
      </c>
      <c r="T858" s="74" t="s">
        <v>1513</v>
      </c>
      <c r="U858" s="74" t="s">
        <v>6703</v>
      </c>
      <c r="V858" s="74">
        <v>44585</v>
      </c>
      <c r="W858" s="74">
        <v>44615</v>
      </c>
      <c r="X858" s="55">
        <v>10209618</v>
      </c>
      <c r="Y858" s="55" t="s">
        <v>6704</v>
      </c>
      <c r="AL858" s="74"/>
      <c r="AM858" s="74"/>
      <c r="AW858" s="74"/>
      <c r="AX858" s="74"/>
    </row>
    <row r="859" spans="1:50" ht="13" x14ac:dyDescent="0.15">
      <c r="A859" s="55" t="str">
        <f>HYPERLINK("http://reports.ofsted.gov.uk/inspection-reports/find-inspection-report/provider/CARE/2527654","Ofsted Social Care Provider Webpage")</f>
        <v>Ofsted Social Care Provider Webpage</v>
      </c>
      <c r="B859" s="55">
        <v>2527654</v>
      </c>
      <c r="D859" s="55" t="s">
        <v>373</v>
      </c>
      <c r="E859" s="74">
        <v>43651</v>
      </c>
      <c r="F859" s="55" t="s">
        <v>344</v>
      </c>
      <c r="G859" s="55" t="s">
        <v>360</v>
      </c>
      <c r="H859" s="55" t="s">
        <v>360</v>
      </c>
      <c r="I859" s="55" t="s">
        <v>360</v>
      </c>
      <c r="J859" s="55" t="s">
        <v>360</v>
      </c>
      <c r="K859" s="55" t="s">
        <v>360</v>
      </c>
      <c r="L859" s="55" t="s">
        <v>360</v>
      </c>
      <c r="M859" s="55" t="s">
        <v>144</v>
      </c>
      <c r="N859" s="55" t="s">
        <v>144</v>
      </c>
      <c r="O859" s="55" t="s">
        <v>290</v>
      </c>
      <c r="P859" s="55" t="s">
        <v>1512</v>
      </c>
      <c r="Q859" s="55" t="s">
        <v>350</v>
      </c>
      <c r="R859" s="85">
        <v>2</v>
      </c>
      <c r="S859" s="55">
        <v>0</v>
      </c>
      <c r="T859" s="74" t="s">
        <v>1513</v>
      </c>
      <c r="U859" s="74" t="s">
        <v>351</v>
      </c>
      <c r="V859" s="74">
        <v>44425</v>
      </c>
      <c r="W859" s="74">
        <v>44466</v>
      </c>
      <c r="X859" s="55">
        <v>10186882</v>
      </c>
      <c r="Y859" s="55" t="s">
        <v>130</v>
      </c>
      <c r="AB859" s="74" t="s">
        <v>130</v>
      </c>
      <c r="AC859" s="55" t="s">
        <v>130</v>
      </c>
      <c r="AL859" s="74"/>
      <c r="AM859" s="74"/>
      <c r="AW859" s="74"/>
      <c r="AX859" s="74"/>
    </row>
    <row r="860" spans="1:50" ht="13" x14ac:dyDescent="0.15">
      <c r="A860" s="55" t="str">
        <f>HYPERLINK("http://reports.ofsted.gov.uk/inspection-reports/find-inspection-report/provider/CARE/2527654","Ofsted Social Care Provider Webpage")</f>
        <v>Ofsted Social Care Provider Webpage</v>
      </c>
      <c r="B860" s="55">
        <v>2527654</v>
      </c>
      <c r="D860" s="55" t="s">
        <v>373</v>
      </c>
      <c r="E860" s="74">
        <v>43651</v>
      </c>
      <c r="F860" s="55" t="s">
        <v>344</v>
      </c>
      <c r="G860" s="55" t="s">
        <v>360</v>
      </c>
      <c r="H860" s="55" t="s">
        <v>360</v>
      </c>
      <c r="I860" s="55" t="s">
        <v>360</v>
      </c>
      <c r="J860" s="55" t="s">
        <v>360</v>
      </c>
      <c r="K860" s="55" t="s">
        <v>360</v>
      </c>
      <c r="L860" s="55" t="s">
        <v>360</v>
      </c>
      <c r="M860" s="55" t="s">
        <v>144</v>
      </c>
      <c r="N860" s="55" t="s">
        <v>144</v>
      </c>
      <c r="O860" s="55" t="s">
        <v>290</v>
      </c>
      <c r="P860" s="55" t="s">
        <v>1512</v>
      </c>
      <c r="Q860" s="55" t="s">
        <v>350</v>
      </c>
      <c r="R860" s="85">
        <v>2</v>
      </c>
      <c r="S860" s="55">
        <v>0</v>
      </c>
      <c r="T860" s="74" t="s">
        <v>1513</v>
      </c>
      <c r="U860" s="74" t="s">
        <v>2053</v>
      </c>
      <c r="V860" s="74">
        <v>44620</v>
      </c>
      <c r="W860" s="74">
        <v>44659</v>
      </c>
      <c r="X860" s="55">
        <v>10221237</v>
      </c>
      <c r="AL860" s="74"/>
      <c r="AM860" s="74"/>
    </row>
    <row r="861" spans="1:50" ht="13" x14ac:dyDescent="0.15">
      <c r="A861" s="55" t="str">
        <f>HYPERLINK("http://reports.ofsted.gov.uk/inspection-reports/find-inspection-report/provider/CARE/2528141","Ofsted Social Care Provider Webpage")</f>
        <v>Ofsted Social Care Provider Webpage</v>
      </c>
      <c r="B861" s="55">
        <v>2528141</v>
      </c>
      <c r="D861" s="55" t="s">
        <v>373</v>
      </c>
      <c r="E861" s="74">
        <v>43619</v>
      </c>
      <c r="F861" s="55" t="s">
        <v>344</v>
      </c>
      <c r="G861" s="55" t="s">
        <v>360</v>
      </c>
      <c r="H861" s="55" t="s">
        <v>360</v>
      </c>
      <c r="I861" s="55" t="s">
        <v>360</v>
      </c>
      <c r="J861" s="55" t="s">
        <v>360</v>
      </c>
      <c r="K861" s="55" t="s">
        <v>360</v>
      </c>
      <c r="L861" s="55" t="s">
        <v>360</v>
      </c>
      <c r="M861" s="55" t="s">
        <v>144</v>
      </c>
      <c r="N861" s="55" t="s">
        <v>144</v>
      </c>
      <c r="O861" s="55" t="s">
        <v>209</v>
      </c>
      <c r="P861" s="55" t="s">
        <v>364</v>
      </c>
      <c r="Q861" s="55" t="s">
        <v>350</v>
      </c>
      <c r="R861" s="85">
        <v>1</v>
      </c>
      <c r="S861" s="55">
        <v>0</v>
      </c>
      <c r="T861" s="74" t="s">
        <v>1279</v>
      </c>
      <c r="U861" s="74" t="s">
        <v>351</v>
      </c>
      <c r="V861" s="74">
        <v>44593</v>
      </c>
      <c r="W861" s="74">
        <v>44651</v>
      </c>
      <c r="X861" s="55">
        <v>10185002</v>
      </c>
      <c r="Y861" s="55" t="s">
        <v>146</v>
      </c>
      <c r="AB861" s="74" t="s">
        <v>146</v>
      </c>
      <c r="AC861" s="55" t="s">
        <v>146</v>
      </c>
      <c r="AL861" s="74"/>
      <c r="AM861" s="74"/>
      <c r="AW861" s="74"/>
      <c r="AX861" s="74"/>
    </row>
    <row r="862" spans="1:50" ht="13" x14ac:dyDescent="0.15">
      <c r="A862" s="55" t="str">
        <f>HYPERLINK("http://reports.ofsted.gov.uk/inspection-reports/find-inspection-report/provider/CARE/2528264","Ofsted Social Care Provider Webpage")</f>
        <v>Ofsted Social Care Provider Webpage</v>
      </c>
      <c r="B862" s="55">
        <v>2528264</v>
      </c>
      <c r="D862" s="55" t="s">
        <v>373</v>
      </c>
      <c r="E862" s="74">
        <v>43686</v>
      </c>
      <c r="F862" s="55" t="s">
        <v>344</v>
      </c>
      <c r="G862" s="55" t="s">
        <v>360</v>
      </c>
      <c r="H862" s="55" t="s">
        <v>360</v>
      </c>
      <c r="I862" s="55" t="s">
        <v>360</v>
      </c>
      <c r="J862" s="55" t="s">
        <v>360</v>
      </c>
      <c r="K862" s="55" t="s">
        <v>360</v>
      </c>
      <c r="L862" s="55" t="s">
        <v>360</v>
      </c>
      <c r="M862" s="55" t="s">
        <v>129</v>
      </c>
      <c r="N862" s="55" t="s">
        <v>129</v>
      </c>
      <c r="O862" s="55" t="s">
        <v>242</v>
      </c>
      <c r="P862" s="55" t="s">
        <v>1519</v>
      </c>
      <c r="Q862" s="55" t="s">
        <v>350</v>
      </c>
      <c r="R862" s="85">
        <v>5</v>
      </c>
      <c r="S862" s="55">
        <v>0</v>
      </c>
      <c r="T862" s="74" t="s">
        <v>1520</v>
      </c>
      <c r="U862" s="74" t="s">
        <v>351</v>
      </c>
      <c r="V862" s="74">
        <v>44370</v>
      </c>
      <c r="W862" s="74">
        <v>44398</v>
      </c>
      <c r="X862" s="55">
        <v>10186216</v>
      </c>
      <c r="Y862" s="55" t="s">
        <v>132</v>
      </c>
      <c r="AB862" s="74" t="s">
        <v>132</v>
      </c>
      <c r="AC862" s="55" t="s">
        <v>132</v>
      </c>
      <c r="AL862" s="74"/>
      <c r="AM862" s="74"/>
      <c r="AW862" s="74"/>
      <c r="AX862" s="74"/>
    </row>
    <row r="863" spans="1:50" ht="13" x14ac:dyDescent="0.15">
      <c r="A863" s="55" t="str">
        <f>HYPERLINK("http://reports.ofsted.gov.uk/inspection-reports/find-inspection-report/provider/CARE/2528486","Ofsted Social Care Provider Webpage")</f>
        <v>Ofsted Social Care Provider Webpage</v>
      </c>
      <c r="B863" s="55">
        <v>2528486</v>
      </c>
      <c r="D863" s="55" t="s">
        <v>373</v>
      </c>
      <c r="E863" s="74">
        <v>43587</v>
      </c>
      <c r="F863" s="55" t="s">
        <v>344</v>
      </c>
      <c r="G863" s="55" t="s">
        <v>360</v>
      </c>
      <c r="H863" s="55" t="s">
        <v>360</v>
      </c>
      <c r="I863" s="55" t="s">
        <v>360</v>
      </c>
      <c r="J863" s="55" t="s">
        <v>360</v>
      </c>
      <c r="K863" s="55" t="s">
        <v>360</v>
      </c>
      <c r="L863" s="55" t="s">
        <v>360</v>
      </c>
      <c r="M863" s="55" t="s">
        <v>136</v>
      </c>
      <c r="N863" s="55" t="s">
        <v>136</v>
      </c>
      <c r="O863" s="55" t="s">
        <v>174</v>
      </c>
      <c r="P863" s="55" t="s">
        <v>651</v>
      </c>
      <c r="Q863" s="55" t="s">
        <v>350</v>
      </c>
      <c r="R863" s="85">
        <v>3</v>
      </c>
      <c r="S863" s="55">
        <v>0</v>
      </c>
      <c r="T863" s="74" t="s">
        <v>1521</v>
      </c>
      <c r="U863" s="74" t="s">
        <v>351</v>
      </c>
      <c r="V863" s="74">
        <v>44453</v>
      </c>
      <c r="W863" s="74">
        <v>44502</v>
      </c>
      <c r="X863" s="55">
        <v>10187446</v>
      </c>
      <c r="Y863" s="55" t="s">
        <v>146</v>
      </c>
      <c r="AB863" s="74" t="s">
        <v>146</v>
      </c>
      <c r="AC863" s="55" t="s">
        <v>146</v>
      </c>
      <c r="AL863" s="74"/>
      <c r="AM863" s="74"/>
    </row>
    <row r="864" spans="1:50" ht="13" x14ac:dyDescent="0.15">
      <c r="A864" s="55" t="str">
        <f>HYPERLINK("http://reports.ofsted.gov.uk/inspection-reports/find-inspection-report/provider/CARE/2528486","Ofsted Social Care Provider Webpage")</f>
        <v>Ofsted Social Care Provider Webpage</v>
      </c>
      <c r="B864" s="55">
        <v>2528486</v>
      </c>
      <c r="D864" s="55" t="s">
        <v>373</v>
      </c>
      <c r="E864" s="74">
        <v>43587</v>
      </c>
      <c r="F864" s="55" t="s">
        <v>344</v>
      </c>
      <c r="G864" s="55" t="s">
        <v>360</v>
      </c>
      <c r="H864" s="55" t="s">
        <v>360</v>
      </c>
      <c r="I864" s="55" t="s">
        <v>360</v>
      </c>
      <c r="J864" s="55" t="s">
        <v>360</v>
      </c>
      <c r="K864" s="55" t="s">
        <v>360</v>
      </c>
      <c r="L864" s="55" t="s">
        <v>360</v>
      </c>
      <c r="M864" s="55" t="s">
        <v>136</v>
      </c>
      <c r="N864" s="55" t="s">
        <v>136</v>
      </c>
      <c r="O864" s="55" t="s">
        <v>174</v>
      </c>
      <c r="P864" s="55" t="s">
        <v>651</v>
      </c>
      <c r="Q864" s="55" t="s">
        <v>350</v>
      </c>
      <c r="R864" s="85">
        <v>3</v>
      </c>
      <c r="S864" s="55">
        <v>0</v>
      </c>
      <c r="T864" s="74" t="s">
        <v>1521</v>
      </c>
      <c r="U864" s="74" t="s">
        <v>351</v>
      </c>
      <c r="V864" s="74">
        <v>44565</v>
      </c>
      <c r="W864" s="74">
        <v>44593</v>
      </c>
      <c r="X864" s="55">
        <v>10216207</v>
      </c>
      <c r="Y864" s="55" t="s">
        <v>130</v>
      </c>
      <c r="AB864" s="74" t="s">
        <v>130</v>
      </c>
      <c r="AC864" s="55" t="s">
        <v>130</v>
      </c>
      <c r="AL864" s="74"/>
      <c r="AM864" s="74"/>
      <c r="AW864" s="74"/>
      <c r="AX864" s="74"/>
    </row>
    <row r="865" spans="1:50" ht="13" x14ac:dyDescent="0.15">
      <c r="A865" s="55" t="str">
        <f>HYPERLINK("http://reports.ofsted.gov.uk/inspection-reports/find-inspection-report/provider/CARE/2528486","Ofsted Social Care Provider Webpage")</f>
        <v>Ofsted Social Care Provider Webpage</v>
      </c>
      <c r="B865" s="55">
        <v>2528486</v>
      </c>
      <c r="D865" s="55" t="s">
        <v>373</v>
      </c>
      <c r="E865" s="74">
        <v>43587</v>
      </c>
      <c r="F865" s="55" t="s">
        <v>344</v>
      </c>
      <c r="G865" s="55" t="s">
        <v>360</v>
      </c>
      <c r="H865" s="55" t="s">
        <v>360</v>
      </c>
      <c r="I865" s="55" t="s">
        <v>360</v>
      </c>
      <c r="J865" s="55" t="s">
        <v>360</v>
      </c>
      <c r="K865" s="55" t="s">
        <v>360</v>
      </c>
      <c r="L865" s="55" t="s">
        <v>360</v>
      </c>
      <c r="M865" s="55" t="s">
        <v>136</v>
      </c>
      <c r="N865" s="55" t="s">
        <v>136</v>
      </c>
      <c r="O865" s="55" t="s">
        <v>174</v>
      </c>
      <c r="P865" s="55" t="s">
        <v>651</v>
      </c>
      <c r="Q865" s="55" t="s">
        <v>350</v>
      </c>
      <c r="R865" s="85">
        <v>3</v>
      </c>
      <c r="S865" s="55">
        <v>0</v>
      </c>
      <c r="T865" s="74" t="s">
        <v>1521</v>
      </c>
      <c r="U865" s="74" t="s">
        <v>2053</v>
      </c>
      <c r="V865" s="74">
        <v>44489</v>
      </c>
      <c r="W865" s="74">
        <v>44518</v>
      </c>
      <c r="X865" s="55">
        <v>10207582</v>
      </c>
      <c r="AL865" s="74"/>
      <c r="AM865" s="74"/>
    </row>
    <row r="866" spans="1:50" ht="13" x14ac:dyDescent="0.15">
      <c r="A866" s="55" t="str">
        <f>HYPERLINK("http://reports.ofsted.gov.uk/inspection-reports/find-inspection-report/provider/CARE/2528516","Ofsted Social Care Provider Webpage")</f>
        <v>Ofsted Social Care Provider Webpage</v>
      </c>
      <c r="B866" s="55">
        <v>2528516</v>
      </c>
      <c r="D866" s="55" t="s">
        <v>373</v>
      </c>
      <c r="E866" s="74">
        <v>43615</v>
      </c>
      <c r="F866" s="55" t="s">
        <v>344</v>
      </c>
      <c r="G866" s="55" t="s">
        <v>360</v>
      </c>
      <c r="H866" s="55" t="s">
        <v>360</v>
      </c>
      <c r="I866" s="55" t="s">
        <v>360</v>
      </c>
      <c r="J866" s="55" t="s">
        <v>360</v>
      </c>
      <c r="K866" s="55" t="s">
        <v>360</v>
      </c>
      <c r="L866" s="55" t="s">
        <v>360</v>
      </c>
      <c r="M866" s="55" t="s">
        <v>138</v>
      </c>
      <c r="N866" s="55" t="s">
        <v>138</v>
      </c>
      <c r="O866" s="55" t="s">
        <v>266</v>
      </c>
      <c r="P866" s="55" t="s">
        <v>1522</v>
      </c>
      <c r="Q866" s="55" t="s">
        <v>350</v>
      </c>
      <c r="R866" s="85">
        <v>6</v>
      </c>
      <c r="S866" s="55">
        <v>0</v>
      </c>
      <c r="T866" s="74" t="s">
        <v>574</v>
      </c>
      <c r="U866" s="74" t="s">
        <v>351</v>
      </c>
      <c r="V866" s="74">
        <v>44300</v>
      </c>
      <c r="W866" s="74">
        <v>44327</v>
      </c>
      <c r="X866" s="55">
        <v>10185073</v>
      </c>
      <c r="Y866" s="55" t="s">
        <v>132</v>
      </c>
      <c r="AB866" s="74" t="s">
        <v>132</v>
      </c>
      <c r="AC866" s="55" t="s">
        <v>132</v>
      </c>
      <c r="AL866" s="74"/>
      <c r="AM866" s="74"/>
    </row>
    <row r="867" spans="1:50" ht="13" x14ac:dyDescent="0.15">
      <c r="A867" s="55" t="str">
        <f>HYPERLINK("http://reports.ofsted.gov.uk/inspection-reports/find-inspection-report/provider/CARE/2528634","Ofsted Social Care Provider Webpage")</f>
        <v>Ofsted Social Care Provider Webpage</v>
      </c>
      <c r="B867" s="55">
        <v>2528634</v>
      </c>
      <c r="D867" s="55" t="s">
        <v>373</v>
      </c>
      <c r="E867" s="74">
        <v>43605</v>
      </c>
      <c r="F867" s="55" t="s">
        <v>344</v>
      </c>
      <c r="G867" s="55" t="s">
        <v>360</v>
      </c>
      <c r="H867" s="55" t="s">
        <v>360</v>
      </c>
      <c r="I867" s="55" t="s">
        <v>360</v>
      </c>
      <c r="J867" s="55" t="s">
        <v>360</v>
      </c>
      <c r="K867" s="55" t="s">
        <v>360</v>
      </c>
      <c r="L867" s="55" t="s">
        <v>360</v>
      </c>
      <c r="M867" s="55" t="s">
        <v>378</v>
      </c>
      <c r="N867" s="55" t="s">
        <v>134</v>
      </c>
      <c r="O867" s="55" t="s">
        <v>158</v>
      </c>
      <c r="P867" s="55" t="s">
        <v>912</v>
      </c>
      <c r="Q867" s="55" t="s">
        <v>350</v>
      </c>
      <c r="R867" s="85">
        <v>3</v>
      </c>
      <c r="S867" s="55">
        <v>0</v>
      </c>
      <c r="T867" s="74" t="s">
        <v>951</v>
      </c>
      <c r="U867" s="74" t="s">
        <v>351</v>
      </c>
      <c r="V867" s="74">
        <v>44594</v>
      </c>
      <c r="W867" s="74">
        <v>44635</v>
      </c>
      <c r="X867" s="55">
        <v>10185112</v>
      </c>
      <c r="Y867" s="55" t="s">
        <v>132</v>
      </c>
      <c r="AB867" s="74" t="s">
        <v>132</v>
      </c>
      <c r="AC867" s="55" t="s">
        <v>132</v>
      </c>
      <c r="AL867" s="74"/>
      <c r="AM867" s="74"/>
      <c r="AW867" s="74"/>
      <c r="AX867" s="74"/>
    </row>
    <row r="868" spans="1:50" ht="13" x14ac:dyDescent="0.15">
      <c r="A868" s="55" t="str">
        <f>HYPERLINK("http://reports.ofsted.gov.uk/inspection-reports/find-inspection-report/provider/CARE/2529331","Ofsted Social Care Provider Webpage")</f>
        <v>Ofsted Social Care Provider Webpage</v>
      </c>
      <c r="B868" s="55">
        <v>2529331</v>
      </c>
      <c r="D868" s="55" t="s">
        <v>373</v>
      </c>
      <c r="E868" s="74">
        <v>43952</v>
      </c>
      <c r="F868" s="55" t="s">
        <v>344</v>
      </c>
      <c r="G868" s="55" t="s">
        <v>360</v>
      </c>
      <c r="H868" s="55" t="s">
        <v>360</v>
      </c>
      <c r="I868" s="55" t="s">
        <v>360</v>
      </c>
      <c r="J868" s="55" t="s">
        <v>360</v>
      </c>
      <c r="K868" s="55" t="s">
        <v>360</v>
      </c>
      <c r="L868" s="55" t="s">
        <v>360</v>
      </c>
      <c r="M868" s="55" t="s">
        <v>150</v>
      </c>
      <c r="N868" s="55" t="s">
        <v>150</v>
      </c>
      <c r="O868" s="55" t="s">
        <v>190</v>
      </c>
      <c r="P868" s="55" t="s">
        <v>1523</v>
      </c>
      <c r="Q868" s="55" t="s">
        <v>350</v>
      </c>
      <c r="R868" s="85">
        <v>5</v>
      </c>
      <c r="S868" s="55">
        <v>0</v>
      </c>
      <c r="T868" s="74" t="s">
        <v>1524</v>
      </c>
      <c r="U868" s="74" t="s">
        <v>351</v>
      </c>
      <c r="V868" s="74">
        <v>44427</v>
      </c>
      <c r="W868" s="74">
        <v>44480</v>
      </c>
      <c r="X868" s="55">
        <v>10187414</v>
      </c>
      <c r="Y868" s="55" t="s">
        <v>130</v>
      </c>
      <c r="AB868" s="74" t="s">
        <v>130</v>
      </c>
      <c r="AC868" s="55" t="s">
        <v>146</v>
      </c>
      <c r="AL868" s="74"/>
      <c r="AM868" s="74"/>
      <c r="AW868" s="74"/>
      <c r="AX868" s="74"/>
    </row>
    <row r="869" spans="1:50" ht="13" x14ac:dyDescent="0.15">
      <c r="A869" s="55" t="str">
        <f>HYPERLINK("http://reports.ofsted.gov.uk/inspection-reports/find-inspection-report/provider/CARE/2529331","Ofsted Social Care Provider Webpage")</f>
        <v>Ofsted Social Care Provider Webpage</v>
      </c>
      <c r="B869" s="55">
        <v>2529331</v>
      </c>
      <c r="D869" s="55" t="s">
        <v>373</v>
      </c>
      <c r="E869" s="74">
        <v>43952</v>
      </c>
      <c r="F869" s="55" t="s">
        <v>344</v>
      </c>
      <c r="G869" s="55" t="s">
        <v>360</v>
      </c>
      <c r="H869" s="55" t="s">
        <v>360</v>
      </c>
      <c r="I869" s="55" t="s">
        <v>360</v>
      </c>
      <c r="J869" s="55" t="s">
        <v>360</v>
      </c>
      <c r="K869" s="55" t="s">
        <v>360</v>
      </c>
      <c r="L869" s="55" t="s">
        <v>360</v>
      </c>
      <c r="M869" s="55" t="s">
        <v>150</v>
      </c>
      <c r="N869" s="55" t="s">
        <v>150</v>
      </c>
      <c r="O869" s="55" t="s">
        <v>190</v>
      </c>
      <c r="P869" s="55" t="s">
        <v>1523</v>
      </c>
      <c r="Q869" s="55" t="s">
        <v>350</v>
      </c>
      <c r="R869" s="85">
        <v>5</v>
      </c>
      <c r="S869" s="55">
        <v>0</v>
      </c>
      <c r="T869" s="74" t="s">
        <v>1524</v>
      </c>
      <c r="U869" s="74" t="s">
        <v>6703</v>
      </c>
      <c r="V869" s="74">
        <v>44496</v>
      </c>
      <c r="W869" s="74">
        <v>44539</v>
      </c>
      <c r="X869" s="55">
        <v>10205929</v>
      </c>
      <c r="Y869" s="55" t="s">
        <v>6706</v>
      </c>
      <c r="AL869" s="74"/>
      <c r="AM869" s="74"/>
      <c r="AW869" s="74"/>
      <c r="AX869" s="74"/>
    </row>
    <row r="870" spans="1:50" ht="13" x14ac:dyDescent="0.15">
      <c r="A870" s="55" t="str">
        <f>HYPERLINK("http://reports.ofsted.gov.uk/inspection-reports/find-inspection-report/provider/CARE/2529355","Ofsted Social Care Provider Webpage")</f>
        <v>Ofsted Social Care Provider Webpage</v>
      </c>
      <c r="B870" s="55">
        <v>2529355</v>
      </c>
      <c r="D870" s="55" t="s">
        <v>373</v>
      </c>
      <c r="E870" s="74">
        <v>43690</v>
      </c>
      <c r="F870" s="55" t="s">
        <v>344</v>
      </c>
      <c r="G870" s="55" t="s">
        <v>360</v>
      </c>
      <c r="H870" s="55" t="s">
        <v>360</v>
      </c>
      <c r="I870" s="55" t="s">
        <v>360</v>
      </c>
      <c r="J870" s="55" t="s">
        <v>360</v>
      </c>
      <c r="K870" s="55" t="s">
        <v>360</v>
      </c>
      <c r="L870" s="55" t="s">
        <v>360</v>
      </c>
      <c r="M870" s="55" t="s">
        <v>144</v>
      </c>
      <c r="N870" s="55" t="s">
        <v>144</v>
      </c>
      <c r="O870" s="55" t="s">
        <v>145</v>
      </c>
      <c r="P870" s="55" t="s">
        <v>525</v>
      </c>
      <c r="Q870" s="55" t="s">
        <v>350</v>
      </c>
      <c r="R870" s="85">
        <v>1</v>
      </c>
      <c r="S870" s="55">
        <v>0</v>
      </c>
      <c r="T870" s="74" t="s">
        <v>485</v>
      </c>
      <c r="U870" s="74" t="s">
        <v>351</v>
      </c>
      <c r="V870" s="74">
        <v>44574</v>
      </c>
      <c r="W870" s="74">
        <v>44603</v>
      </c>
      <c r="X870" s="55">
        <v>10187409</v>
      </c>
      <c r="Y870" s="55" t="s">
        <v>132</v>
      </c>
      <c r="AB870" s="74" t="s">
        <v>132</v>
      </c>
      <c r="AC870" s="55" t="s">
        <v>132</v>
      </c>
      <c r="AL870" s="74"/>
      <c r="AM870" s="74"/>
      <c r="AW870" s="74"/>
      <c r="AX870" s="74"/>
    </row>
    <row r="871" spans="1:50" ht="13" x14ac:dyDescent="0.15">
      <c r="A871" s="55" t="str">
        <f>HYPERLINK("http://reports.ofsted.gov.uk/inspection-reports/find-inspection-report/provider/CARE/2529639","Ofsted Social Care Provider Webpage")</f>
        <v>Ofsted Social Care Provider Webpage</v>
      </c>
      <c r="B871" s="55">
        <v>2529639</v>
      </c>
      <c r="D871" s="55" t="s">
        <v>373</v>
      </c>
      <c r="E871" s="74">
        <v>43683</v>
      </c>
      <c r="F871" s="55" t="s">
        <v>344</v>
      </c>
      <c r="G871" s="55" t="s">
        <v>360</v>
      </c>
      <c r="H871" s="55" t="s">
        <v>360</v>
      </c>
      <c r="I871" s="55" t="s">
        <v>360</v>
      </c>
      <c r="J871" s="55" t="s">
        <v>360</v>
      </c>
      <c r="K871" s="55" t="s">
        <v>360</v>
      </c>
      <c r="L871" s="55" t="s">
        <v>360</v>
      </c>
      <c r="M871" s="55" t="s">
        <v>142</v>
      </c>
      <c r="N871" s="55" t="s">
        <v>142</v>
      </c>
      <c r="O871" s="55" t="s">
        <v>166</v>
      </c>
      <c r="P871" s="55" t="s">
        <v>1152</v>
      </c>
      <c r="Q871" s="55" t="s">
        <v>380</v>
      </c>
      <c r="R871" s="85">
        <v>4</v>
      </c>
      <c r="S871" s="55">
        <v>0</v>
      </c>
      <c r="T871" s="74" t="s">
        <v>1302</v>
      </c>
      <c r="U871" s="74" t="s">
        <v>351</v>
      </c>
      <c r="V871" s="74">
        <v>44453</v>
      </c>
      <c r="W871" s="74">
        <v>44495</v>
      </c>
      <c r="X871" s="55">
        <v>10186124</v>
      </c>
      <c r="Y871" s="55" t="s">
        <v>132</v>
      </c>
      <c r="AB871" s="74" t="s">
        <v>132</v>
      </c>
      <c r="AC871" s="55" t="s">
        <v>130</v>
      </c>
      <c r="AL871" s="74"/>
      <c r="AM871" s="74"/>
      <c r="AW871" s="74"/>
      <c r="AX871" s="74"/>
    </row>
    <row r="872" spans="1:50" ht="13" x14ac:dyDescent="0.15">
      <c r="A872" s="55" t="str">
        <f>HYPERLINK("http://reports.ofsted.gov.uk/inspection-reports/find-inspection-report/provider/CARE/2529667","Ofsted Social Care Provider Webpage")</f>
        <v>Ofsted Social Care Provider Webpage</v>
      </c>
      <c r="B872" s="55">
        <v>2529667</v>
      </c>
      <c r="D872" s="55" t="s">
        <v>373</v>
      </c>
      <c r="E872" s="74">
        <v>43539</v>
      </c>
      <c r="F872" s="55" t="s">
        <v>344</v>
      </c>
      <c r="G872" s="55" t="s">
        <v>360</v>
      </c>
      <c r="H872" s="55" t="s">
        <v>360</v>
      </c>
      <c r="I872" s="55" t="s">
        <v>360</v>
      </c>
      <c r="J872" s="55" t="s">
        <v>360</v>
      </c>
      <c r="K872" s="55" t="s">
        <v>360</v>
      </c>
      <c r="L872" s="55" t="s">
        <v>360</v>
      </c>
      <c r="M872" s="55" t="s">
        <v>136</v>
      </c>
      <c r="N872" s="55" t="s">
        <v>136</v>
      </c>
      <c r="O872" s="55" t="s">
        <v>174</v>
      </c>
      <c r="P872" s="55" t="s">
        <v>1526</v>
      </c>
      <c r="Q872" s="55" t="s">
        <v>380</v>
      </c>
      <c r="R872" s="85">
        <v>4</v>
      </c>
      <c r="S872" s="55">
        <v>0</v>
      </c>
      <c r="T872" s="74" t="s">
        <v>1525</v>
      </c>
      <c r="U872" s="74" t="s">
        <v>6703</v>
      </c>
      <c r="V872" s="74">
        <v>44573</v>
      </c>
      <c r="W872" s="74">
        <v>44595</v>
      </c>
      <c r="X872" s="55">
        <v>10215862</v>
      </c>
      <c r="Y872" s="55" t="s">
        <v>6706</v>
      </c>
      <c r="AL872" s="74"/>
      <c r="AM872" s="74"/>
    </row>
    <row r="873" spans="1:50" ht="13" x14ac:dyDescent="0.15">
      <c r="A873" s="55" t="str">
        <f>HYPERLINK("http://reports.ofsted.gov.uk/inspection-reports/find-inspection-report/provider/CARE/2529667","Ofsted Social Care Provider Webpage")</f>
        <v>Ofsted Social Care Provider Webpage</v>
      </c>
      <c r="B873" s="55">
        <v>2529667</v>
      </c>
      <c r="D873" s="55" t="s">
        <v>373</v>
      </c>
      <c r="E873" s="74">
        <v>43539</v>
      </c>
      <c r="F873" s="55" t="s">
        <v>344</v>
      </c>
      <c r="G873" s="55" t="s">
        <v>360</v>
      </c>
      <c r="H873" s="55" t="s">
        <v>360</v>
      </c>
      <c r="I873" s="55" t="s">
        <v>360</v>
      </c>
      <c r="J873" s="55" t="s">
        <v>360</v>
      </c>
      <c r="K873" s="55" t="s">
        <v>360</v>
      </c>
      <c r="L873" s="55" t="s">
        <v>360</v>
      </c>
      <c r="M873" s="55" t="s">
        <v>136</v>
      </c>
      <c r="N873" s="55" t="s">
        <v>136</v>
      </c>
      <c r="O873" s="55" t="s">
        <v>174</v>
      </c>
      <c r="P873" s="55" t="s">
        <v>1526</v>
      </c>
      <c r="Q873" s="55" t="s">
        <v>380</v>
      </c>
      <c r="R873" s="85">
        <v>4</v>
      </c>
      <c r="S873" s="55">
        <v>0</v>
      </c>
      <c r="T873" s="74" t="s">
        <v>1525</v>
      </c>
      <c r="U873" s="74" t="s">
        <v>351</v>
      </c>
      <c r="V873" s="74">
        <v>44391</v>
      </c>
      <c r="W873" s="74">
        <v>44453</v>
      </c>
      <c r="X873" s="55">
        <v>10186389</v>
      </c>
      <c r="Y873" s="55" t="s">
        <v>130</v>
      </c>
      <c r="AB873" s="74" t="s">
        <v>130</v>
      </c>
      <c r="AC873" s="55" t="s">
        <v>130</v>
      </c>
      <c r="AL873" s="74"/>
      <c r="AM873" s="74"/>
      <c r="AW873" s="74"/>
      <c r="AX873" s="74"/>
    </row>
    <row r="874" spans="1:50" ht="13" x14ac:dyDescent="0.15">
      <c r="A874" s="55" t="str">
        <f>HYPERLINK("http://reports.ofsted.gov.uk/inspection-reports/find-inspection-report/provider/CARE/2529785","Ofsted Social Care Provider Webpage")</f>
        <v>Ofsted Social Care Provider Webpage</v>
      </c>
      <c r="B874" s="55">
        <v>2529785</v>
      </c>
      <c r="D874" s="55" t="s">
        <v>373</v>
      </c>
      <c r="E874" s="74">
        <v>43539</v>
      </c>
      <c r="F874" s="55" t="s">
        <v>344</v>
      </c>
      <c r="G874" s="55" t="s">
        <v>360</v>
      </c>
      <c r="H874" s="55" t="s">
        <v>360</v>
      </c>
      <c r="I874" s="55" t="s">
        <v>360</v>
      </c>
      <c r="J874" s="55" t="s">
        <v>360</v>
      </c>
      <c r="K874" s="55" t="s">
        <v>360</v>
      </c>
      <c r="L874" s="55" t="s">
        <v>360</v>
      </c>
      <c r="M874" s="55" t="s">
        <v>136</v>
      </c>
      <c r="N874" s="55" t="s">
        <v>136</v>
      </c>
      <c r="O874" s="55" t="s">
        <v>174</v>
      </c>
      <c r="P874" s="55" t="s">
        <v>1010</v>
      </c>
      <c r="Q874" s="55" t="s">
        <v>380</v>
      </c>
      <c r="R874" s="85">
        <v>5</v>
      </c>
      <c r="S874" s="55" t="s">
        <v>332</v>
      </c>
      <c r="T874" s="74" t="s">
        <v>1525</v>
      </c>
      <c r="U874" s="74" t="s">
        <v>351</v>
      </c>
      <c r="V874" s="74">
        <v>44335</v>
      </c>
      <c r="W874" s="74">
        <v>44378</v>
      </c>
      <c r="X874" s="55">
        <v>10187480</v>
      </c>
      <c r="Y874" s="55" t="s">
        <v>132</v>
      </c>
      <c r="AB874" s="74" t="s">
        <v>132</v>
      </c>
      <c r="AC874" s="55" t="s">
        <v>132</v>
      </c>
      <c r="AL874" s="74"/>
      <c r="AM874" s="74"/>
      <c r="AW874" s="74"/>
      <c r="AX874" s="74"/>
    </row>
    <row r="875" spans="1:50" ht="13" x14ac:dyDescent="0.15">
      <c r="A875" s="55" t="str">
        <f>HYPERLINK("http://reports.ofsted.gov.uk/inspection-reports/find-inspection-report/provider/CARE/2529815","Ofsted Social Care Provider Webpage")</f>
        <v>Ofsted Social Care Provider Webpage</v>
      </c>
      <c r="B875" s="55">
        <v>2529815</v>
      </c>
      <c r="D875" s="55" t="s">
        <v>373</v>
      </c>
      <c r="E875" s="74">
        <v>43683</v>
      </c>
      <c r="F875" s="55" t="s">
        <v>344</v>
      </c>
      <c r="G875" s="55" t="s">
        <v>360</v>
      </c>
      <c r="H875" s="55" t="s">
        <v>360</v>
      </c>
      <c r="I875" s="55" t="s">
        <v>360</v>
      </c>
      <c r="J875" s="55" t="s">
        <v>360</v>
      </c>
      <c r="K875" s="55" t="s">
        <v>360</v>
      </c>
      <c r="L875" s="55" t="s">
        <v>360</v>
      </c>
      <c r="M875" s="55" t="s">
        <v>138</v>
      </c>
      <c r="N875" s="55" t="s">
        <v>138</v>
      </c>
      <c r="O875" s="55" t="s">
        <v>266</v>
      </c>
      <c r="P875" s="55" t="s">
        <v>1522</v>
      </c>
      <c r="Q875" s="55" t="s">
        <v>350</v>
      </c>
      <c r="R875" s="85">
        <v>4</v>
      </c>
      <c r="S875" s="55">
        <v>0</v>
      </c>
      <c r="T875" s="74" t="s">
        <v>1527</v>
      </c>
      <c r="U875" s="74" t="s">
        <v>351</v>
      </c>
      <c r="V875" s="74">
        <v>44371</v>
      </c>
      <c r="W875" s="74">
        <v>44399</v>
      </c>
      <c r="X875" s="55">
        <v>10185733</v>
      </c>
      <c r="Y875" s="55" t="s">
        <v>132</v>
      </c>
      <c r="AB875" s="74" t="s">
        <v>132</v>
      </c>
      <c r="AC875" s="55" t="s">
        <v>132</v>
      </c>
      <c r="AL875" s="74"/>
      <c r="AM875" s="74"/>
      <c r="AW875" s="74"/>
      <c r="AX875" s="74"/>
    </row>
    <row r="876" spans="1:50" ht="13" x14ac:dyDescent="0.15">
      <c r="A876" s="55" t="str">
        <f>HYPERLINK("http://reports.ofsted.gov.uk/inspection-reports/find-inspection-report/provider/CARE/2530021","Ofsted Social Care Provider Webpage")</f>
        <v>Ofsted Social Care Provider Webpage</v>
      </c>
      <c r="B876" s="55">
        <v>2530021</v>
      </c>
      <c r="D876" s="55" t="s">
        <v>479</v>
      </c>
      <c r="E876" s="74">
        <v>43539</v>
      </c>
      <c r="F876" s="55" t="s">
        <v>344</v>
      </c>
      <c r="G876" s="55" t="s">
        <v>360</v>
      </c>
      <c r="H876" s="55" t="s">
        <v>360</v>
      </c>
      <c r="I876" s="55" t="s">
        <v>360</v>
      </c>
      <c r="J876" s="55" t="s">
        <v>360</v>
      </c>
      <c r="K876" s="55" t="s">
        <v>360</v>
      </c>
      <c r="L876" s="55" t="s">
        <v>360</v>
      </c>
      <c r="M876" s="55" t="s">
        <v>136</v>
      </c>
      <c r="N876" s="55" t="s">
        <v>136</v>
      </c>
      <c r="O876" s="55" t="s">
        <v>174</v>
      </c>
      <c r="P876" s="55" t="s">
        <v>982</v>
      </c>
      <c r="Q876" s="55" t="s">
        <v>380</v>
      </c>
      <c r="R876" s="85">
        <v>3</v>
      </c>
      <c r="S876" s="55">
        <v>0</v>
      </c>
      <c r="T876" s="74" t="s">
        <v>1525</v>
      </c>
      <c r="U876" s="74" t="s">
        <v>351</v>
      </c>
      <c r="V876" s="74">
        <v>44474</v>
      </c>
      <c r="W876" s="74">
        <v>44508</v>
      </c>
      <c r="X876" s="55">
        <v>10186000</v>
      </c>
      <c r="Y876" s="55" t="s">
        <v>130</v>
      </c>
      <c r="AB876" s="74" t="s">
        <v>130</v>
      </c>
      <c r="AC876" s="55" t="s">
        <v>130</v>
      </c>
      <c r="AL876" s="74"/>
      <c r="AM876" s="74"/>
      <c r="AW876" s="74"/>
      <c r="AX876" s="74"/>
    </row>
    <row r="877" spans="1:50" ht="13" x14ac:dyDescent="0.15">
      <c r="A877" s="55" t="str">
        <f>HYPERLINK("http://reports.ofsted.gov.uk/inspection-reports/find-inspection-report/provider/CARE/2530021","Ofsted Social Care Provider Webpage")</f>
        <v>Ofsted Social Care Provider Webpage</v>
      </c>
      <c r="B877" s="55">
        <v>2530021</v>
      </c>
      <c r="D877" s="55" t="s">
        <v>479</v>
      </c>
      <c r="E877" s="74">
        <v>43539</v>
      </c>
      <c r="F877" s="55" t="s">
        <v>344</v>
      </c>
      <c r="G877" s="55" t="s">
        <v>360</v>
      </c>
      <c r="H877" s="55" t="s">
        <v>360</v>
      </c>
      <c r="I877" s="55" t="s">
        <v>360</v>
      </c>
      <c r="J877" s="55" t="s">
        <v>360</v>
      </c>
      <c r="K877" s="55" t="s">
        <v>360</v>
      </c>
      <c r="L877" s="55" t="s">
        <v>360</v>
      </c>
      <c r="M877" s="55" t="s">
        <v>136</v>
      </c>
      <c r="N877" s="55" t="s">
        <v>136</v>
      </c>
      <c r="O877" s="55" t="s">
        <v>174</v>
      </c>
      <c r="P877" s="55" t="s">
        <v>982</v>
      </c>
      <c r="Q877" s="55" t="s">
        <v>380</v>
      </c>
      <c r="R877" s="85">
        <v>3</v>
      </c>
      <c r="S877" s="55">
        <v>0</v>
      </c>
      <c r="T877" s="74" t="s">
        <v>1525</v>
      </c>
      <c r="U877" s="74" t="s">
        <v>6703</v>
      </c>
      <c r="V877" s="74">
        <v>44629</v>
      </c>
      <c r="W877" s="74">
        <v>44670</v>
      </c>
      <c r="X877" s="55">
        <v>10215861</v>
      </c>
      <c r="Y877" s="55" t="s">
        <v>6705</v>
      </c>
      <c r="AL877" s="74"/>
      <c r="AM877" s="74"/>
      <c r="AW877" s="74"/>
      <c r="AX877" s="74"/>
    </row>
    <row r="878" spans="1:50" ht="13" x14ac:dyDescent="0.15">
      <c r="A878" s="55" t="str">
        <f>HYPERLINK("http://reports.ofsted.gov.uk/inspection-reports/find-inspection-report/provider/CARE/2530059","Ofsted Social Care Provider Webpage")</f>
        <v>Ofsted Social Care Provider Webpage</v>
      </c>
      <c r="B878" s="55">
        <v>2530059</v>
      </c>
      <c r="D878" s="55" t="s">
        <v>373</v>
      </c>
      <c r="E878" s="74">
        <v>43676</v>
      </c>
      <c r="F878" s="55" t="s">
        <v>344</v>
      </c>
      <c r="G878" s="55" t="s">
        <v>360</v>
      </c>
      <c r="H878" s="55" t="s">
        <v>360</v>
      </c>
      <c r="I878" s="55" t="s">
        <v>360</v>
      </c>
      <c r="J878" s="55" t="s">
        <v>360</v>
      </c>
      <c r="K878" s="55" t="s">
        <v>360</v>
      </c>
      <c r="L878" s="55" t="s">
        <v>360</v>
      </c>
      <c r="M878" s="55" t="s">
        <v>378</v>
      </c>
      <c r="N878" s="55" t="s">
        <v>134</v>
      </c>
      <c r="O878" s="55" t="s">
        <v>210</v>
      </c>
      <c r="P878" s="55" t="s">
        <v>542</v>
      </c>
      <c r="Q878" s="55" t="s">
        <v>350</v>
      </c>
      <c r="R878" s="85">
        <v>2</v>
      </c>
      <c r="S878" s="55">
        <v>0</v>
      </c>
      <c r="T878" s="74" t="s">
        <v>493</v>
      </c>
      <c r="U878" s="74" t="s">
        <v>351</v>
      </c>
      <c r="V878" s="74">
        <v>44622</v>
      </c>
      <c r="W878" s="74">
        <v>44671</v>
      </c>
      <c r="X878" s="55">
        <v>10187410</v>
      </c>
      <c r="Y878" s="55" t="s">
        <v>132</v>
      </c>
      <c r="AB878" s="74" t="s">
        <v>132</v>
      </c>
      <c r="AC878" s="55" t="s">
        <v>132</v>
      </c>
      <c r="AL878" s="74"/>
      <c r="AM878" s="74"/>
      <c r="AW878" s="74"/>
      <c r="AX878" s="74"/>
    </row>
    <row r="879" spans="1:50" ht="13" x14ac:dyDescent="0.15">
      <c r="A879" s="55" t="str">
        <f>HYPERLINK("http://reports.ofsted.gov.uk/inspection-reports/find-inspection-report/provider/CARE/2530086","Ofsted Social Care Provider Webpage")</f>
        <v>Ofsted Social Care Provider Webpage</v>
      </c>
      <c r="B879" s="55">
        <v>2530086</v>
      </c>
      <c r="D879" s="55" t="s">
        <v>373</v>
      </c>
      <c r="E879" s="74">
        <v>43641</v>
      </c>
      <c r="F879" s="55" t="s">
        <v>344</v>
      </c>
      <c r="G879" s="55" t="s">
        <v>360</v>
      </c>
      <c r="H879" s="55" t="s">
        <v>360</v>
      </c>
      <c r="I879" s="55" t="s">
        <v>360</v>
      </c>
      <c r="J879" s="55" t="s">
        <v>360</v>
      </c>
      <c r="K879" s="55" t="s">
        <v>360</v>
      </c>
      <c r="L879" s="55" t="s">
        <v>360</v>
      </c>
      <c r="M879" s="55" t="s">
        <v>378</v>
      </c>
      <c r="N879" s="55" t="s">
        <v>170</v>
      </c>
      <c r="O879" s="55" t="s">
        <v>222</v>
      </c>
      <c r="P879" s="55" t="s">
        <v>521</v>
      </c>
      <c r="Q879" s="55" t="s">
        <v>380</v>
      </c>
      <c r="R879" s="85">
        <v>3</v>
      </c>
      <c r="S879" s="55">
        <v>0</v>
      </c>
      <c r="T879" s="74" t="s">
        <v>687</v>
      </c>
      <c r="U879" s="74" t="s">
        <v>2053</v>
      </c>
      <c r="V879" s="74">
        <v>44363</v>
      </c>
      <c r="W879" s="74">
        <v>44398</v>
      </c>
      <c r="X879" s="55">
        <v>10197706</v>
      </c>
      <c r="AL879" s="74"/>
      <c r="AM879" s="74"/>
    </row>
    <row r="880" spans="1:50" ht="13" x14ac:dyDescent="0.15">
      <c r="A880" s="55" t="str">
        <f>HYPERLINK("http://reports.ofsted.gov.uk/inspection-reports/find-inspection-report/provider/CARE/2530086","Ofsted Social Care Provider Webpage")</f>
        <v>Ofsted Social Care Provider Webpage</v>
      </c>
      <c r="B880" s="55">
        <v>2530086</v>
      </c>
      <c r="D880" s="55" t="s">
        <v>373</v>
      </c>
      <c r="E880" s="74">
        <v>43641</v>
      </c>
      <c r="F880" s="55" t="s">
        <v>344</v>
      </c>
      <c r="G880" s="55" t="s">
        <v>360</v>
      </c>
      <c r="H880" s="55" t="s">
        <v>360</v>
      </c>
      <c r="I880" s="55" t="s">
        <v>360</v>
      </c>
      <c r="J880" s="55" t="s">
        <v>360</v>
      </c>
      <c r="K880" s="55" t="s">
        <v>360</v>
      </c>
      <c r="L880" s="55" t="s">
        <v>360</v>
      </c>
      <c r="M880" s="55" t="s">
        <v>378</v>
      </c>
      <c r="N880" s="55" t="s">
        <v>170</v>
      </c>
      <c r="O880" s="55" t="s">
        <v>222</v>
      </c>
      <c r="P880" s="55" t="s">
        <v>521</v>
      </c>
      <c r="Q880" s="55" t="s">
        <v>380</v>
      </c>
      <c r="R880" s="85">
        <v>3</v>
      </c>
      <c r="S880" s="55">
        <v>0</v>
      </c>
      <c r="T880" s="74" t="s">
        <v>687</v>
      </c>
      <c r="U880" s="74" t="s">
        <v>2053</v>
      </c>
      <c r="V880" s="74">
        <v>44404</v>
      </c>
      <c r="W880" s="74">
        <v>44435</v>
      </c>
      <c r="X880" s="55">
        <v>10199092</v>
      </c>
      <c r="AL880" s="74"/>
      <c r="AM880" s="74"/>
      <c r="AW880" s="74"/>
      <c r="AX880" s="74"/>
    </row>
    <row r="881" spans="1:50" ht="13" x14ac:dyDescent="0.15">
      <c r="A881" s="55" t="str">
        <f>HYPERLINK("http://reports.ofsted.gov.uk/inspection-reports/find-inspection-report/provider/CARE/2530086","Ofsted Social Care Provider Webpage")</f>
        <v>Ofsted Social Care Provider Webpage</v>
      </c>
      <c r="B881" s="55">
        <v>2530086</v>
      </c>
      <c r="D881" s="55" t="s">
        <v>373</v>
      </c>
      <c r="E881" s="74">
        <v>43641</v>
      </c>
      <c r="F881" s="55" t="s">
        <v>344</v>
      </c>
      <c r="G881" s="55" t="s">
        <v>360</v>
      </c>
      <c r="H881" s="55" t="s">
        <v>360</v>
      </c>
      <c r="I881" s="55" t="s">
        <v>360</v>
      </c>
      <c r="J881" s="55" t="s">
        <v>360</v>
      </c>
      <c r="K881" s="55" t="s">
        <v>360</v>
      </c>
      <c r="L881" s="55" t="s">
        <v>360</v>
      </c>
      <c r="M881" s="55" t="s">
        <v>378</v>
      </c>
      <c r="N881" s="55" t="s">
        <v>170</v>
      </c>
      <c r="O881" s="55" t="s">
        <v>222</v>
      </c>
      <c r="P881" s="55" t="s">
        <v>521</v>
      </c>
      <c r="Q881" s="55" t="s">
        <v>380</v>
      </c>
      <c r="R881" s="85">
        <v>3</v>
      </c>
      <c r="S881" s="55">
        <v>0</v>
      </c>
      <c r="T881" s="74" t="s">
        <v>687</v>
      </c>
      <c r="U881" s="74" t="s">
        <v>351</v>
      </c>
      <c r="V881" s="74">
        <v>44306</v>
      </c>
      <c r="W881" s="74">
        <v>44335</v>
      </c>
      <c r="X881" s="55">
        <v>10185951</v>
      </c>
      <c r="Y881" s="55" t="s">
        <v>130</v>
      </c>
      <c r="AB881" s="74" t="s">
        <v>130</v>
      </c>
      <c r="AC881" s="55" t="s">
        <v>130</v>
      </c>
      <c r="AL881" s="74"/>
      <c r="AM881" s="74"/>
      <c r="AW881" s="74"/>
      <c r="AX881" s="74"/>
    </row>
    <row r="882" spans="1:50" ht="13" x14ac:dyDescent="0.15">
      <c r="A882" s="55" t="str">
        <f>HYPERLINK("http://reports.ofsted.gov.uk/inspection-reports/find-inspection-report/provider/CARE/2530253","Ofsted Social Care Provider Webpage")</f>
        <v>Ofsted Social Care Provider Webpage</v>
      </c>
      <c r="B882" s="55">
        <v>2530253</v>
      </c>
      <c r="D882" s="55" t="s">
        <v>373</v>
      </c>
      <c r="E882" s="74">
        <v>43689</v>
      </c>
      <c r="F882" s="55" t="s">
        <v>344</v>
      </c>
      <c r="G882" s="55" t="s">
        <v>360</v>
      </c>
      <c r="H882" s="55" t="s">
        <v>360</v>
      </c>
      <c r="I882" s="55" t="s">
        <v>360</v>
      </c>
      <c r="J882" s="55" t="s">
        <v>360</v>
      </c>
      <c r="K882" s="55" t="s">
        <v>360</v>
      </c>
      <c r="L882" s="55" t="s">
        <v>360</v>
      </c>
      <c r="M882" s="55" t="s">
        <v>378</v>
      </c>
      <c r="N882" s="55" t="s">
        <v>170</v>
      </c>
      <c r="O882" s="55" t="s">
        <v>233</v>
      </c>
      <c r="P882" s="55" t="s">
        <v>379</v>
      </c>
      <c r="Q882" s="55" t="s">
        <v>350</v>
      </c>
      <c r="R882" s="85">
        <v>5</v>
      </c>
      <c r="S882" s="55">
        <v>0</v>
      </c>
      <c r="T882" s="74" t="s">
        <v>1528</v>
      </c>
      <c r="U882" s="74" t="s">
        <v>351</v>
      </c>
      <c r="V882" s="74">
        <v>44363</v>
      </c>
      <c r="W882" s="74">
        <v>44398</v>
      </c>
      <c r="X882" s="55">
        <v>10186796</v>
      </c>
      <c r="Y882" s="55" t="s">
        <v>132</v>
      </c>
      <c r="AB882" s="74" t="s">
        <v>132</v>
      </c>
      <c r="AC882" s="55" t="s">
        <v>132</v>
      </c>
      <c r="AL882" s="74"/>
      <c r="AM882" s="74"/>
      <c r="AW882" s="74"/>
      <c r="AX882" s="74"/>
    </row>
    <row r="883" spans="1:50" ht="13" x14ac:dyDescent="0.15">
      <c r="A883" s="55" t="str">
        <f>HYPERLINK("http://reports.ofsted.gov.uk/inspection-reports/find-inspection-report/provider/CARE/2530832","Ofsted Social Care Provider Webpage")</f>
        <v>Ofsted Social Care Provider Webpage</v>
      </c>
      <c r="B883" s="55">
        <v>2530832</v>
      </c>
      <c r="D883" s="55" t="s">
        <v>373</v>
      </c>
      <c r="E883" s="74">
        <v>43657</v>
      </c>
      <c r="F883" s="55" t="s">
        <v>344</v>
      </c>
      <c r="G883" s="55" t="s">
        <v>360</v>
      </c>
      <c r="H883" s="55" t="s">
        <v>360</v>
      </c>
      <c r="I883" s="55" t="s">
        <v>360</v>
      </c>
      <c r="J883" s="55" t="s">
        <v>360</v>
      </c>
      <c r="K883" s="55" t="s">
        <v>360</v>
      </c>
      <c r="L883" s="55" t="s">
        <v>360</v>
      </c>
      <c r="M883" s="55" t="s">
        <v>142</v>
      </c>
      <c r="N883" s="55" t="s">
        <v>142</v>
      </c>
      <c r="O883" s="55" t="s">
        <v>166</v>
      </c>
      <c r="P883" s="55" t="s">
        <v>1476</v>
      </c>
      <c r="Q883" s="55" t="s">
        <v>350</v>
      </c>
      <c r="R883" s="85">
        <v>4</v>
      </c>
      <c r="S883" s="55">
        <v>0</v>
      </c>
      <c r="T883" s="74" t="s">
        <v>493</v>
      </c>
      <c r="U883" s="74" t="s">
        <v>351</v>
      </c>
      <c r="V883" s="74">
        <v>44628</v>
      </c>
      <c r="W883" s="74">
        <v>44672</v>
      </c>
      <c r="X883" s="55">
        <v>10187566</v>
      </c>
      <c r="Y883" s="55" t="s">
        <v>132</v>
      </c>
      <c r="AB883" s="74" t="s">
        <v>132</v>
      </c>
      <c r="AC883" s="55" t="s">
        <v>132</v>
      </c>
      <c r="AL883" s="74"/>
      <c r="AM883" s="74"/>
    </row>
    <row r="884" spans="1:50" ht="13" x14ac:dyDescent="0.15">
      <c r="A884" s="55" t="str">
        <f>HYPERLINK("http://reports.ofsted.gov.uk/inspection-reports/find-inspection-report/provider/CARE/2530977","Ofsted Social Care Provider Webpage")</f>
        <v>Ofsted Social Care Provider Webpage</v>
      </c>
      <c r="B884" s="55">
        <v>2530977</v>
      </c>
      <c r="D884" s="55" t="s">
        <v>373</v>
      </c>
      <c r="E884" s="74">
        <v>43616</v>
      </c>
      <c r="F884" s="55" t="s">
        <v>6707</v>
      </c>
      <c r="G884" s="55" t="s">
        <v>360</v>
      </c>
      <c r="H884" s="55" t="s">
        <v>360</v>
      </c>
      <c r="I884" s="55" t="s">
        <v>360</v>
      </c>
      <c r="J884" s="55" t="s">
        <v>360</v>
      </c>
      <c r="K884" s="55" t="s">
        <v>360</v>
      </c>
      <c r="L884" s="55" t="s">
        <v>360</v>
      </c>
      <c r="M884" s="55" t="s">
        <v>136</v>
      </c>
      <c r="N884" s="55" t="s">
        <v>136</v>
      </c>
      <c r="O884" s="55" t="s">
        <v>165</v>
      </c>
      <c r="P884" s="55" t="s">
        <v>2318</v>
      </c>
      <c r="Q884" s="55" t="s">
        <v>362</v>
      </c>
      <c r="R884" s="85">
        <v>6</v>
      </c>
      <c r="S884" s="55">
        <v>0</v>
      </c>
      <c r="T884" s="74" t="s">
        <v>6723</v>
      </c>
      <c r="U884" s="74" t="s">
        <v>351</v>
      </c>
      <c r="V884" s="74">
        <v>44446</v>
      </c>
      <c r="W884" s="74">
        <v>44508</v>
      </c>
      <c r="X884" s="55">
        <v>10187124</v>
      </c>
      <c r="Y884" s="55" t="s">
        <v>130</v>
      </c>
      <c r="AB884" s="74" t="s">
        <v>130</v>
      </c>
      <c r="AC884" s="55" t="s">
        <v>130</v>
      </c>
      <c r="AL884" s="74"/>
      <c r="AM884" s="74"/>
    </row>
    <row r="885" spans="1:50" ht="13" x14ac:dyDescent="0.15">
      <c r="A885" s="55" t="str">
        <f>HYPERLINK("http://reports.ofsted.gov.uk/inspection-reports/find-inspection-report/provider/CARE/2531620","Ofsted Social Care Provider Webpage")</f>
        <v>Ofsted Social Care Provider Webpage</v>
      </c>
      <c r="B885" s="55">
        <v>2531620</v>
      </c>
      <c r="D885" s="55" t="s">
        <v>373</v>
      </c>
      <c r="E885" s="74">
        <v>43627</v>
      </c>
      <c r="F885" s="55" t="s">
        <v>344</v>
      </c>
      <c r="G885" s="55" t="s">
        <v>360</v>
      </c>
      <c r="H885" s="55" t="s">
        <v>360</v>
      </c>
      <c r="I885" s="55" t="s">
        <v>360</v>
      </c>
      <c r="J885" s="55" t="s">
        <v>360</v>
      </c>
      <c r="K885" s="55" t="s">
        <v>360</v>
      </c>
      <c r="L885" s="55" t="s">
        <v>360</v>
      </c>
      <c r="M885" s="55" t="s">
        <v>138</v>
      </c>
      <c r="N885" s="55" t="s">
        <v>138</v>
      </c>
      <c r="O885" s="55" t="s">
        <v>159</v>
      </c>
      <c r="P885" s="55" t="s">
        <v>1080</v>
      </c>
      <c r="Q885" s="55" t="s">
        <v>350</v>
      </c>
      <c r="R885" s="85">
        <v>5</v>
      </c>
      <c r="S885" s="55">
        <v>0</v>
      </c>
      <c r="T885" s="74" t="s">
        <v>1529</v>
      </c>
      <c r="U885" s="74" t="s">
        <v>351</v>
      </c>
      <c r="V885" s="74">
        <v>44406</v>
      </c>
      <c r="W885" s="74">
        <v>44439</v>
      </c>
      <c r="X885" s="55">
        <v>10185857</v>
      </c>
      <c r="Y885" s="55" t="s">
        <v>132</v>
      </c>
      <c r="AB885" s="74" t="s">
        <v>132</v>
      </c>
      <c r="AC885" s="55" t="s">
        <v>132</v>
      </c>
      <c r="AL885" s="74"/>
      <c r="AM885" s="74"/>
      <c r="AW885" s="74"/>
      <c r="AX885" s="74"/>
    </row>
    <row r="886" spans="1:50" ht="13" x14ac:dyDescent="0.15">
      <c r="A886" s="55" t="str">
        <f>HYPERLINK("http://reports.ofsted.gov.uk/inspection-reports/find-inspection-report/provider/CARE/2531755","Ofsted Social Care Provider Webpage")</f>
        <v>Ofsted Social Care Provider Webpage</v>
      </c>
      <c r="B886" s="55">
        <v>2531755</v>
      </c>
      <c r="D886" s="55" t="s">
        <v>373</v>
      </c>
      <c r="E886" s="74">
        <v>43697</v>
      </c>
      <c r="F886" s="55" t="s">
        <v>344</v>
      </c>
      <c r="G886" s="55" t="s">
        <v>360</v>
      </c>
      <c r="H886" s="55" t="s">
        <v>360</v>
      </c>
      <c r="I886" s="55" t="s">
        <v>360</v>
      </c>
      <c r="J886" s="55" t="s">
        <v>360</v>
      </c>
      <c r="K886" s="55" t="s">
        <v>360</v>
      </c>
      <c r="L886" s="55" t="s">
        <v>360</v>
      </c>
      <c r="M886" s="55" t="s">
        <v>378</v>
      </c>
      <c r="N886" s="55" t="s">
        <v>134</v>
      </c>
      <c r="O886" s="55" t="s">
        <v>206</v>
      </c>
      <c r="P886" s="55" t="s">
        <v>760</v>
      </c>
      <c r="Q886" s="55" t="s">
        <v>350</v>
      </c>
      <c r="R886" s="85">
        <v>3</v>
      </c>
      <c r="S886" s="55">
        <v>0</v>
      </c>
      <c r="T886" s="74" t="s">
        <v>485</v>
      </c>
      <c r="U886" s="74" t="s">
        <v>351</v>
      </c>
      <c r="V886" s="74">
        <v>44629</v>
      </c>
      <c r="W886" s="74">
        <v>44680</v>
      </c>
      <c r="X886" s="55">
        <v>10187205</v>
      </c>
      <c r="Y886" s="55" t="s">
        <v>132</v>
      </c>
      <c r="AB886" s="74" t="s">
        <v>132</v>
      </c>
      <c r="AC886" s="55" t="s">
        <v>132</v>
      </c>
      <c r="AL886" s="74"/>
      <c r="AM886" s="74"/>
      <c r="AW886" s="74"/>
      <c r="AX886" s="74"/>
    </row>
    <row r="887" spans="1:50" ht="13" x14ac:dyDescent="0.15">
      <c r="A887" s="55" t="str">
        <f>HYPERLINK("http://reports.ofsted.gov.uk/inspection-reports/find-inspection-report/provider/CARE/2531921","Ofsted Social Care Provider Webpage")</f>
        <v>Ofsted Social Care Provider Webpage</v>
      </c>
      <c r="B887" s="55">
        <v>2531921</v>
      </c>
      <c r="D887" s="55" t="s">
        <v>373</v>
      </c>
      <c r="E887" s="74">
        <v>43586</v>
      </c>
      <c r="F887" s="55" t="s">
        <v>344</v>
      </c>
      <c r="G887" s="55" t="s">
        <v>360</v>
      </c>
      <c r="H887" s="55" t="s">
        <v>360</v>
      </c>
      <c r="I887" s="55" t="s">
        <v>360</v>
      </c>
      <c r="J887" s="55" t="s">
        <v>360</v>
      </c>
      <c r="K887" s="55" t="s">
        <v>360</v>
      </c>
      <c r="L887" s="55" t="s">
        <v>360</v>
      </c>
      <c r="M887" s="55" t="s">
        <v>144</v>
      </c>
      <c r="N887" s="55" t="s">
        <v>144</v>
      </c>
      <c r="O887" s="55" t="s">
        <v>209</v>
      </c>
      <c r="P887" s="55" t="s">
        <v>534</v>
      </c>
      <c r="Q887" s="55" t="s">
        <v>350</v>
      </c>
      <c r="R887" s="85">
        <v>4</v>
      </c>
      <c r="S887" s="55">
        <v>0</v>
      </c>
      <c r="T887" s="74" t="s">
        <v>489</v>
      </c>
      <c r="U887" s="74" t="s">
        <v>351</v>
      </c>
      <c r="V887" s="74">
        <v>44446</v>
      </c>
      <c r="W887" s="74">
        <v>44491</v>
      </c>
      <c r="X887" s="55">
        <v>10185087</v>
      </c>
      <c r="Y887" s="55" t="s">
        <v>132</v>
      </c>
      <c r="AB887" s="74" t="s">
        <v>132</v>
      </c>
      <c r="AC887" s="55" t="s">
        <v>132</v>
      </c>
      <c r="AL887" s="74"/>
      <c r="AM887" s="74"/>
      <c r="AW887" s="74"/>
      <c r="AX887" s="74"/>
    </row>
    <row r="888" spans="1:50" ht="13" x14ac:dyDescent="0.15">
      <c r="A888" s="55" t="str">
        <f>HYPERLINK("http://reports.ofsted.gov.uk/inspection-reports/find-inspection-report/provider/CARE/2532036","Ofsted Social Care Provider Webpage")</f>
        <v>Ofsted Social Care Provider Webpage</v>
      </c>
      <c r="B888" s="55">
        <v>2532036</v>
      </c>
      <c r="D888" s="55" t="s">
        <v>373</v>
      </c>
      <c r="E888" s="74">
        <v>43586</v>
      </c>
      <c r="F888" s="55" t="s">
        <v>344</v>
      </c>
      <c r="G888" s="55" t="s">
        <v>360</v>
      </c>
      <c r="H888" s="55" t="s">
        <v>360</v>
      </c>
      <c r="I888" s="55" t="s">
        <v>360</v>
      </c>
      <c r="J888" s="55" t="s">
        <v>360</v>
      </c>
      <c r="K888" s="55" t="s">
        <v>360</v>
      </c>
      <c r="L888" s="55" t="s">
        <v>360</v>
      </c>
      <c r="M888" s="55" t="s">
        <v>144</v>
      </c>
      <c r="N888" s="55" t="s">
        <v>144</v>
      </c>
      <c r="O888" s="55" t="s">
        <v>209</v>
      </c>
      <c r="P888" s="55" t="s">
        <v>544</v>
      </c>
      <c r="Q888" s="55" t="s">
        <v>350</v>
      </c>
      <c r="R888" s="85">
        <v>3</v>
      </c>
      <c r="S888" s="55">
        <v>0</v>
      </c>
      <c r="T888" s="74" t="s">
        <v>489</v>
      </c>
      <c r="U888" s="74" t="s">
        <v>351</v>
      </c>
      <c r="V888" s="74">
        <v>44468</v>
      </c>
      <c r="W888" s="74">
        <v>44510</v>
      </c>
      <c r="X888" s="55">
        <v>10185797</v>
      </c>
      <c r="Y888" s="55" t="s">
        <v>132</v>
      </c>
      <c r="AB888" s="74" t="s">
        <v>132</v>
      </c>
      <c r="AC888" s="55" t="s">
        <v>132</v>
      </c>
      <c r="AL888" s="74"/>
      <c r="AM888" s="74"/>
      <c r="AW888" s="74"/>
      <c r="AX888" s="74"/>
    </row>
    <row r="889" spans="1:50" ht="13" x14ac:dyDescent="0.15">
      <c r="A889" s="55" t="str">
        <f>HYPERLINK("http://reports.ofsted.gov.uk/inspection-reports/find-inspection-report/provider/CARE/2532131","Ofsted Social Care Provider Webpage")</f>
        <v>Ofsted Social Care Provider Webpage</v>
      </c>
      <c r="B889" s="55">
        <v>2532131</v>
      </c>
      <c r="D889" s="55" t="s">
        <v>373</v>
      </c>
      <c r="E889" s="74">
        <v>43658</v>
      </c>
      <c r="F889" s="55" t="s">
        <v>344</v>
      </c>
      <c r="G889" s="55" t="s">
        <v>360</v>
      </c>
      <c r="H889" s="55" t="s">
        <v>360</v>
      </c>
      <c r="I889" s="55" t="s">
        <v>360</v>
      </c>
      <c r="J889" s="55" t="s">
        <v>360</v>
      </c>
      <c r="K889" s="55" t="s">
        <v>360</v>
      </c>
      <c r="L889" s="55" t="s">
        <v>360</v>
      </c>
      <c r="M889" s="55" t="s">
        <v>138</v>
      </c>
      <c r="N889" s="55" t="s">
        <v>138</v>
      </c>
      <c r="O889" s="55" t="s">
        <v>224</v>
      </c>
      <c r="P889" s="55" t="s">
        <v>1530</v>
      </c>
      <c r="Q889" s="55" t="s">
        <v>350</v>
      </c>
      <c r="R889" s="85">
        <v>6</v>
      </c>
      <c r="S889" s="55">
        <v>0</v>
      </c>
      <c r="T889" s="74" t="s">
        <v>1531</v>
      </c>
      <c r="U889" s="74" t="s">
        <v>2053</v>
      </c>
      <c r="V889" s="74">
        <v>44469</v>
      </c>
      <c r="W889" s="74">
        <v>44491</v>
      </c>
      <c r="X889" s="55">
        <v>10206034</v>
      </c>
      <c r="AL889" s="74"/>
      <c r="AM889" s="74"/>
    </row>
    <row r="890" spans="1:50" ht="13" x14ac:dyDescent="0.15">
      <c r="A890" s="55" t="str">
        <f>HYPERLINK("http://reports.ofsted.gov.uk/inspection-reports/find-inspection-report/provider/CARE/2532131","Ofsted Social Care Provider Webpage")</f>
        <v>Ofsted Social Care Provider Webpage</v>
      </c>
      <c r="B890" s="55">
        <v>2532131</v>
      </c>
      <c r="D890" s="55" t="s">
        <v>373</v>
      </c>
      <c r="E890" s="74">
        <v>43658</v>
      </c>
      <c r="F890" s="55" t="s">
        <v>344</v>
      </c>
      <c r="G890" s="55" t="s">
        <v>360</v>
      </c>
      <c r="H890" s="55" t="s">
        <v>360</v>
      </c>
      <c r="I890" s="55" t="s">
        <v>360</v>
      </c>
      <c r="J890" s="55" t="s">
        <v>360</v>
      </c>
      <c r="K890" s="55" t="s">
        <v>360</v>
      </c>
      <c r="L890" s="55" t="s">
        <v>360</v>
      </c>
      <c r="M890" s="55" t="s">
        <v>138</v>
      </c>
      <c r="N890" s="55" t="s">
        <v>138</v>
      </c>
      <c r="O890" s="55" t="s">
        <v>224</v>
      </c>
      <c r="P890" s="55" t="s">
        <v>1530</v>
      </c>
      <c r="Q890" s="55" t="s">
        <v>350</v>
      </c>
      <c r="R890" s="85">
        <v>6</v>
      </c>
      <c r="S890" s="55">
        <v>0</v>
      </c>
      <c r="T890" s="74" t="s">
        <v>1531</v>
      </c>
      <c r="U890" s="74" t="s">
        <v>351</v>
      </c>
      <c r="V890" s="74">
        <v>44432</v>
      </c>
      <c r="W890" s="74">
        <v>44461</v>
      </c>
      <c r="X890" s="55">
        <v>10185199</v>
      </c>
      <c r="Y890" s="55" t="s">
        <v>146</v>
      </c>
      <c r="AB890" s="74" t="s">
        <v>146</v>
      </c>
      <c r="AC890" s="55" t="s">
        <v>146</v>
      </c>
      <c r="AL890" s="74"/>
      <c r="AM890" s="74"/>
      <c r="AW890" s="74"/>
      <c r="AX890" s="74"/>
    </row>
    <row r="891" spans="1:50" ht="13" x14ac:dyDescent="0.15">
      <c r="A891" s="55" t="str">
        <f>HYPERLINK("http://reports.ofsted.gov.uk/inspection-reports/find-inspection-report/provider/CARE/2532131","Ofsted Social Care Provider Webpage")</f>
        <v>Ofsted Social Care Provider Webpage</v>
      </c>
      <c r="B891" s="55">
        <v>2532131</v>
      </c>
      <c r="D891" s="55" t="s">
        <v>373</v>
      </c>
      <c r="E891" s="74">
        <v>43658</v>
      </c>
      <c r="F891" s="55" t="s">
        <v>344</v>
      </c>
      <c r="G891" s="55" t="s">
        <v>360</v>
      </c>
      <c r="H891" s="55" t="s">
        <v>360</v>
      </c>
      <c r="I891" s="55" t="s">
        <v>360</v>
      </c>
      <c r="J891" s="55" t="s">
        <v>360</v>
      </c>
      <c r="K891" s="55" t="s">
        <v>360</v>
      </c>
      <c r="L891" s="55" t="s">
        <v>360</v>
      </c>
      <c r="M891" s="55" t="s">
        <v>138</v>
      </c>
      <c r="N891" s="55" t="s">
        <v>138</v>
      </c>
      <c r="O891" s="55" t="s">
        <v>224</v>
      </c>
      <c r="P891" s="55" t="s">
        <v>1530</v>
      </c>
      <c r="Q891" s="55" t="s">
        <v>350</v>
      </c>
      <c r="R891" s="85">
        <v>6</v>
      </c>
      <c r="S891" s="55">
        <v>0</v>
      </c>
      <c r="T891" s="74" t="s">
        <v>1531</v>
      </c>
      <c r="U891" s="74" t="s">
        <v>351</v>
      </c>
      <c r="V891" s="74">
        <v>44510</v>
      </c>
      <c r="W891" s="74">
        <v>44539</v>
      </c>
      <c r="X891" s="55">
        <v>10206035</v>
      </c>
      <c r="Y891" s="55" t="s">
        <v>132</v>
      </c>
      <c r="AB891" s="74" t="s">
        <v>132</v>
      </c>
      <c r="AC891" s="55" t="s">
        <v>132</v>
      </c>
      <c r="AL891" s="74"/>
      <c r="AM891" s="74"/>
      <c r="AW891" s="74"/>
      <c r="AX891" s="74"/>
    </row>
    <row r="892" spans="1:50" ht="13" x14ac:dyDescent="0.15">
      <c r="A892" s="55" t="str">
        <f>HYPERLINK("http://reports.ofsted.gov.uk/inspection-reports/find-inspection-report/provider/CARE/2532139","Ofsted Social Care Provider Webpage")</f>
        <v>Ofsted Social Care Provider Webpage</v>
      </c>
      <c r="B892" s="55">
        <v>2532139</v>
      </c>
      <c r="D892" s="55" t="s">
        <v>373</v>
      </c>
      <c r="E892" s="74">
        <v>43613</v>
      </c>
      <c r="F892" s="55" t="s">
        <v>344</v>
      </c>
      <c r="G892" s="55" t="s">
        <v>360</v>
      </c>
      <c r="H892" s="55" t="s">
        <v>360</v>
      </c>
      <c r="I892" s="55" t="s">
        <v>360</v>
      </c>
      <c r="J892" s="55" t="s">
        <v>360</v>
      </c>
      <c r="K892" s="55" t="s">
        <v>360</v>
      </c>
      <c r="L892" s="55" t="s">
        <v>360</v>
      </c>
      <c r="M892" s="55" t="s">
        <v>172</v>
      </c>
      <c r="N892" s="55" t="s">
        <v>172</v>
      </c>
      <c r="O892" s="55" t="s">
        <v>284</v>
      </c>
      <c r="P892" s="55" t="s">
        <v>357</v>
      </c>
      <c r="Q892" s="55" t="s">
        <v>350</v>
      </c>
      <c r="R892" s="85">
        <v>3</v>
      </c>
      <c r="S892" s="55">
        <v>0</v>
      </c>
      <c r="T892" s="74" t="s">
        <v>460</v>
      </c>
      <c r="U892" s="74" t="s">
        <v>351</v>
      </c>
      <c r="V892" s="74">
        <v>44382</v>
      </c>
      <c r="W892" s="74">
        <v>44399</v>
      </c>
      <c r="X892" s="55">
        <v>10187335</v>
      </c>
      <c r="Y892" s="55" t="s">
        <v>132</v>
      </c>
      <c r="AB892" s="74" t="s">
        <v>132</v>
      </c>
      <c r="AC892" s="55" t="s">
        <v>132</v>
      </c>
      <c r="AL892" s="74"/>
      <c r="AM892" s="74"/>
    </row>
    <row r="893" spans="1:50" ht="13" x14ac:dyDescent="0.15">
      <c r="A893" s="55" t="str">
        <f>HYPERLINK("http://reports.ofsted.gov.uk/inspection-reports/find-inspection-report/provider/CARE/2532471","Ofsted Social Care Provider Webpage")</f>
        <v>Ofsted Social Care Provider Webpage</v>
      </c>
      <c r="B893" s="55">
        <v>2532471</v>
      </c>
      <c r="D893" s="55" t="s">
        <v>373</v>
      </c>
      <c r="E893" s="74">
        <v>43745</v>
      </c>
      <c r="F893" s="55" t="s">
        <v>344</v>
      </c>
      <c r="G893" s="55" t="s">
        <v>360</v>
      </c>
      <c r="H893" s="55" t="s">
        <v>360</v>
      </c>
      <c r="I893" s="55" t="s">
        <v>360</v>
      </c>
      <c r="J893" s="55" t="s">
        <v>360</v>
      </c>
      <c r="K893" s="55" t="s">
        <v>360</v>
      </c>
      <c r="L893" s="55" t="s">
        <v>360</v>
      </c>
      <c r="M893" s="55" t="s">
        <v>129</v>
      </c>
      <c r="N893" s="55" t="s">
        <v>129</v>
      </c>
      <c r="O893" s="55" t="s">
        <v>128</v>
      </c>
      <c r="P893" s="55" t="s">
        <v>1467</v>
      </c>
      <c r="Q893" s="55" t="s">
        <v>350</v>
      </c>
      <c r="R893" s="85">
        <v>4</v>
      </c>
      <c r="S893" s="55">
        <v>0</v>
      </c>
      <c r="T893" s="74" t="s">
        <v>1532</v>
      </c>
      <c r="U893" s="74" t="s">
        <v>351</v>
      </c>
      <c r="V893" s="74">
        <v>44307</v>
      </c>
      <c r="W893" s="74">
        <v>44349</v>
      </c>
      <c r="X893" s="55">
        <v>10187350</v>
      </c>
      <c r="Y893" s="55" t="s">
        <v>132</v>
      </c>
      <c r="AB893" s="74" t="s">
        <v>132</v>
      </c>
      <c r="AC893" s="55" t="s">
        <v>132</v>
      </c>
      <c r="AL893" s="74"/>
      <c r="AM893" s="74"/>
      <c r="AW893" s="74"/>
      <c r="AX893" s="74"/>
    </row>
    <row r="894" spans="1:50" ht="13" x14ac:dyDescent="0.15">
      <c r="A894" s="55" t="str">
        <f>HYPERLINK("http://reports.ofsted.gov.uk/inspection-reports/find-inspection-report/provider/CARE/2532532","Ofsted Social Care Provider Webpage")</f>
        <v>Ofsted Social Care Provider Webpage</v>
      </c>
      <c r="B894" s="55">
        <v>2532532</v>
      </c>
      <c r="D894" s="55" t="s">
        <v>373</v>
      </c>
      <c r="E894" s="74">
        <v>43664</v>
      </c>
      <c r="F894" s="55" t="s">
        <v>344</v>
      </c>
      <c r="G894" s="55" t="s">
        <v>360</v>
      </c>
      <c r="H894" s="55" t="s">
        <v>360</v>
      </c>
      <c r="I894" s="55" t="s">
        <v>360</v>
      </c>
      <c r="J894" s="55" t="s">
        <v>360</v>
      </c>
      <c r="K894" s="55" t="s">
        <v>360</v>
      </c>
      <c r="L894" s="55" t="s">
        <v>360</v>
      </c>
      <c r="M894" s="55" t="s">
        <v>138</v>
      </c>
      <c r="N894" s="55" t="s">
        <v>138</v>
      </c>
      <c r="O894" s="55" t="s">
        <v>266</v>
      </c>
      <c r="P894" s="55" t="s">
        <v>1522</v>
      </c>
      <c r="Q894" s="55" t="s">
        <v>350</v>
      </c>
      <c r="R894" s="85">
        <v>2</v>
      </c>
      <c r="S894" s="55">
        <v>0</v>
      </c>
      <c r="T894" s="74" t="s">
        <v>1533</v>
      </c>
      <c r="U894" s="74" t="s">
        <v>351</v>
      </c>
      <c r="V894" s="74">
        <v>44474</v>
      </c>
      <c r="W894" s="74">
        <v>44508</v>
      </c>
      <c r="X894" s="55">
        <v>10185973</v>
      </c>
      <c r="Y894" s="55" t="s">
        <v>132</v>
      </c>
      <c r="AB894" s="74" t="s">
        <v>132</v>
      </c>
      <c r="AC894" s="55" t="s">
        <v>132</v>
      </c>
      <c r="AL894" s="74"/>
      <c r="AM894" s="74"/>
    </row>
    <row r="895" spans="1:50" ht="13" x14ac:dyDescent="0.15">
      <c r="A895" s="55" t="str">
        <f>HYPERLINK("http://reports.ofsted.gov.uk/inspection-reports/find-inspection-report/provider/CARE/2532661","Ofsted Social Care Provider Webpage")</f>
        <v>Ofsted Social Care Provider Webpage</v>
      </c>
      <c r="B895" s="55">
        <v>2532661</v>
      </c>
      <c r="D895" s="55" t="s">
        <v>373</v>
      </c>
      <c r="E895" s="74">
        <v>43690</v>
      </c>
      <c r="F895" s="55" t="s">
        <v>344</v>
      </c>
      <c r="G895" s="55" t="s">
        <v>360</v>
      </c>
      <c r="H895" s="55" t="s">
        <v>360</v>
      </c>
      <c r="I895" s="55" t="s">
        <v>360</v>
      </c>
      <c r="J895" s="55" t="s">
        <v>360</v>
      </c>
      <c r="K895" s="55" t="s">
        <v>360</v>
      </c>
      <c r="L895" s="55" t="s">
        <v>360</v>
      </c>
      <c r="M895" s="55" t="s">
        <v>172</v>
      </c>
      <c r="N895" s="55" t="s">
        <v>172</v>
      </c>
      <c r="O895" s="55" t="s">
        <v>234</v>
      </c>
      <c r="P895" s="55" t="s">
        <v>965</v>
      </c>
      <c r="Q895" s="55" t="s">
        <v>350</v>
      </c>
      <c r="R895" s="85">
        <v>3</v>
      </c>
      <c r="S895" s="55">
        <v>0</v>
      </c>
      <c r="T895" s="74" t="s">
        <v>668</v>
      </c>
      <c r="U895" s="74" t="s">
        <v>351</v>
      </c>
      <c r="V895" s="74">
        <v>44530</v>
      </c>
      <c r="W895" s="74">
        <v>44574</v>
      </c>
      <c r="X895" s="55">
        <v>10187573</v>
      </c>
      <c r="Y895" s="55" t="s">
        <v>140</v>
      </c>
      <c r="AB895" s="74" t="s">
        <v>140</v>
      </c>
      <c r="AC895" s="55" t="s">
        <v>140</v>
      </c>
      <c r="AL895" s="74"/>
      <c r="AM895" s="74"/>
    </row>
    <row r="896" spans="1:50" ht="13" x14ac:dyDescent="0.15">
      <c r="A896" s="55" t="str">
        <f>HYPERLINK("http://reports.ofsted.gov.uk/inspection-reports/find-inspection-report/provider/CARE/2533064","Ofsted Social Care Provider Webpage")</f>
        <v>Ofsted Social Care Provider Webpage</v>
      </c>
      <c r="B896" s="55">
        <v>2533064</v>
      </c>
      <c r="D896" s="55" t="s">
        <v>373</v>
      </c>
      <c r="E896" s="74">
        <v>43739</v>
      </c>
      <c r="F896" s="55" t="s">
        <v>344</v>
      </c>
      <c r="G896" s="55" t="s">
        <v>360</v>
      </c>
      <c r="H896" s="55" t="s">
        <v>360</v>
      </c>
      <c r="I896" s="55" t="s">
        <v>360</v>
      </c>
      <c r="J896" s="55" t="s">
        <v>360</v>
      </c>
      <c r="K896" s="55" t="s">
        <v>360</v>
      </c>
      <c r="L896" s="55" t="s">
        <v>360</v>
      </c>
      <c r="M896" s="55" t="s">
        <v>142</v>
      </c>
      <c r="N896" s="55" t="s">
        <v>142</v>
      </c>
      <c r="O896" s="55" t="s">
        <v>141</v>
      </c>
      <c r="P896" s="55" t="s">
        <v>612</v>
      </c>
      <c r="Q896" s="55" t="s">
        <v>350</v>
      </c>
      <c r="R896" s="85">
        <v>3</v>
      </c>
      <c r="S896" s="55">
        <v>0</v>
      </c>
      <c r="T896" s="74" t="s">
        <v>642</v>
      </c>
      <c r="U896" s="74" t="s">
        <v>6703</v>
      </c>
      <c r="V896" s="74">
        <v>44567</v>
      </c>
      <c r="W896" s="74">
        <v>44602</v>
      </c>
      <c r="X896" s="55">
        <v>10214342</v>
      </c>
      <c r="Y896" s="55" t="s">
        <v>6705</v>
      </c>
      <c r="AL896" s="74"/>
      <c r="AM896" s="74"/>
      <c r="AW896" s="74"/>
      <c r="AX896" s="74"/>
    </row>
    <row r="897" spans="1:50" ht="13" x14ac:dyDescent="0.15">
      <c r="A897" s="55" t="str">
        <f>HYPERLINK("http://reports.ofsted.gov.uk/inspection-reports/find-inspection-report/provider/CARE/2533064","Ofsted Social Care Provider Webpage")</f>
        <v>Ofsted Social Care Provider Webpage</v>
      </c>
      <c r="B897" s="55">
        <v>2533064</v>
      </c>
      <c r="D897" s="55" t="s">
        <v>373</v>
      </c>
      <c r="E897" s="74">
        <v>43739</v>
      </c>
      <c r="F897" s="55" t="s">
        <v>344</v>
      </c>
      <c r="G897" s="55" t="s">
        <v>360</v>
      </c>
      <c r="H897" s="55" t="s">
        <v>360</v>
      </c>
      <c r="I897" s="55" t="s">
        <v>360</v>
      </c>
      <c r="J897" s="55" t="s">
        <v>360</v>
      </c>
      <c r="K897" s="55" t="s">
        <v>360</v>
      </c>
      <c r="L897" s="55" t="s">
        <v>360</v>
      </c>
      <c r="M897" s="55" t="s">
        <v>142</v>
      </c>
      <c r="N897" s="55" t="s">
        <v>142</v>
      </c>
      <c r="O897" s="55" t="s">
        <v>141</v>
      </c>
      <c r="P897" s="55" t="s">
        <v>612</v>
      </c>
      <c r="Q897" s="55" t="s">
        <v>350</v>
      </c>
      <c r="R897" s="85">
        <v>3</v>
      </c>
      <c r="S897" s="55">
        <v>0</v>
      </c>
      <c r="T897" s="74" t="s">
        <v>642</v>
      </c>
      <c r="U897" s="74" t="s">
        <v>351</v>
      </c>
      <c r="V897" s="74">
        <v>44321</v>
      </c>
      <c r="W897" s="74">
        <v>44365</v>
      </c>
      <c r="X897" s="55">
        <v>10186332</v>
      </c>
      <c r="Y897" s="55" t="s">
        <v>130</v>
      </c>
      <c r="AB897" s="74" t="s">
        <v>130</v>
      </c>
      <c r="AC897" s="55" t="s">
        <v>130</v>
      </c>
      <c r="AL897" s="74"/>
      <c r="AM897" s="74"/>
      <c r="AW897" s="74"/>
      <c r="AX897" s="74"/>
    </row>
    <row r="898" spans="1:50" ht="13" x14ac:dyDescent="0.15">
      <c r="A898" s="55" t="str">
        <f>HYPERLINK("http://reports.ofsted.gov.uk/inspection-reports/find-inspection-report/provider/CARE/2533109","Ofsted Social Care Provider Webpage")</f>
        <v>Ofsted Social Care Provider Webpage</v>
      </c>
      <c r="B898" s="55">
        <v>2533109</v>
      </c>
      <c r="D898" s="55" t="s">
        <v>389</v>
      </c>
      <c r="E898" s="74">
        <v>43709</v>
      </c>
      <c r="F898" s="55" t="s">
        <v>344</v>
      </c>
      <c r="G898" s="55" t="s">
        <v>1534</v>
      </c>
      <c r="H898" s="55" t="s">
        <v>1535</v>
      </c>
      <c r="I898" s="55" t="s">
        <v>1536</v>
      </c>
      <c r="J898" s="55" t="s">
        <v>1537</v>
      </c>
      <c r="K898" s="55" t="s">
        <v>1240</v>
      </c>
      <c r="L898" s="55" t="s">
        <v>1538</v>
      </c>
      <c r="M898" s="55" t="s">
        <v>378</v>
      </c>
      <c r="N898" s="55" t="s">
        <v>134</v>
      </c>
      <c r="O898" s="55" t="s">
        <v>158</v>
      </c>
      <c r="P898" s="55" t="s">
        <v>912</v>
      </c>
      <c r="Q898" s="55" t="s">
        <v>350</v>
      </c>
      <c r="S898" s="55">
        <v>0</v>
      </c>
      <c r="T898" s="74" t="s">
        <v>726</v>
      </c>
      <c r="U898" s="74" t="s">
        <v>351</v>
      </c>
      <c r="V898" s="74">
        <v>44403</v>
      </c>
      <c r="W898" s="74">
        <v>44445</v>
      </c>
      <c r="X898" s="55">
        <v>10183195</v>
      </c>
      <c r="Y898" s="55" t="s">
        <v>132</v>
      </c>
      <c r="AB898" s="74" t="s">
        <v>132</v>
      </c>
      <c r="AC898" s="55" t="s">
        <v>132</v>
      </c>
      <c r="AL898" s="74"/>
      <c r="AM898" s="74"/>
    </row>
    <row r="899" spans="1:50" ht="13" x14ac:dyDescent="0.15">
      <c r="A899" s="55" t="str">
        <f>HYPERLINK("http://reports.ofsted.gov.uk/inspection-reports/find-inspection-report/provider/CARE/2533483","Ofsted Social Care Provider Webpage")</f>
        <v>Ofsted Social Care Provider Webpage</v>
      </c>
      <c r="B899" s="55">
        <v>2533483</v>
      </c>
      <c r="D899" s="55" t="s">
        <v>373</v>
      </c>
      <c r="E899" s="74">
        <v>43679</v>
      </c>
      <c r="F899" s="55" t="s">
        <v>344</v>
      </c>
      <c r="G899" s="55" t="s">
        <v>360</v>
      </c>
      <c r="H899" s="55" t="s">
        <v>360</v>
      </c>
      <c r="I899" s="55" t="s">
        <v>360</v>
      </c>
      <c r="J899" s="55" t="s">
        <v>360</v>
      </c>
      <c r="K899" s="55" t="s">
        <v>360</v>
      </c>
      <c r="L899" s="55" t="s">
        <v>360</v>
      </c>
      <c r="M899" s="55" t="s">
        <v>378</v>
      </c>
      <c r="N899" s="55" t="s">
        <v>170</v>
      </c>
      <c r="O899" s="55" t="s">
        <v>264</v>
      </c>
      <c r="P899" s="55" t="s">
        <v>437</v>
      </c>
      <c r="Q899" s="55" t="s">
        <v>350</v>
      </c>
      <c r="R899" s="85">
        <v>5</v>
      </c>
      <c r="S899" s="55">
        <v>0</v>
      </c>
      <c r="T899" s="74" t="s">
        <v>435</v>
      </c>
      <c r="U899" s="74" t="s">
        <v>351</v>
      </c>
      <c r="V899" s="74">
        <v>44607</v>
      </c>
      <c r="W899" s="74">
        <v>44651</v>
      </c>
      <c r="X899" s="55">
        <v>10185656</v>
      </c>
      <c r="Y899" s="55" t="s">
        <v>132</v>
      </c>
      <c r="AB899" s="74" t="s">
        <v>132</v>
      </c>
      <c r="AC899" s="55" t="s">
        <v>132</v>
      </c>
      <c r="AL899" s="74"/>
      <c r="AM899" s="74"/>
      <c r="AW899" s="74"/>
      <c r="AX899" s="74"/>
    </row>
    <row r="900" spans="1:50" ht="13" x14ac:dyDescent="0.15">
      <c r="A900" s="55" t="str">
        <f>HYPERLINK("http://reports.ofsted.gov.uk/inspection-reports/find-inspection-report/provider/CARE/2533956","Ofsted Social Care Provider Webpage")</f>
        <v>Ofsted Social Care Provider Webpage</v>
      </c>
      <c r="B900" s="55">
        <v>2533956</v>
      </c>
      <c r="D900" s="55" t="s">
        <v>373</v>
      </c>
      <c r="E900" s="74">
        <v>43614</v>
      </c>
      <c r="F900" s="55" t="s">
        <v>344</v>
      </c>
      <c r="G900" s="55" t="s">
        <v>360</v>
      </c>
      <c r="H900" s="55" t="s">
        <v>360</v>
      </c>
      <c r="I900" s="55" t="s">
        <v>360</v>
      </c>
      <c r="J900" s="55" t="s">
        <v>360</v>
      </c>
      <c r="K900" s="55" t="s">
        <v>360</v>
      </c>
      <c r="L900" s="55" t="s">
        <v>360</v>
      </c>
      <c r="M900" s="55" t="s">
        <v>144</v>
      </c>
      <c r="N900" s="55" t="s">
        <v>144</v>
      </c>
      <c r="O900" s="55" t="s">
        <v>209</v>
      </c>
      <c r="P900" s="55" t="s">
        <v>364</v>
      </c>
      <c r="Q900" s="55" t="s">
        <v>350</v>
      </c>
      <c r="R900" s="85">
        <v>4</v>
      </c>
      <c r="S900" s="55">
        <v>0</v>
      </c>
      <c r="T900" s="74" t="s">
        <v>1539</v>
      </c>
      <c r="U900" s="74" t="s">
        <v>351</v>
      </c>
      <c r="V900" s="74">
        <v>44607</v>
      </c>
      <c r="W900" s="74">
        <v>44655</v>
      </c>
      <c r="X900" s="55">
        <v>10187386</v>
      </c>
      <c r="Y900" s="55" t="s">
        <v>132</v>
      </c>
      <c r="AB900" s="74" t="s">
        <v>132</v>
      </c>
      <c r="AC900" s="55" t="s">
        <v>132</v>
      </c>
      <c r="AL900" s="74"/>
      <c r="AM900" s="74"/>
      <c r="AW900" s="74"/>
      <c r="AX900" s="74"/>
    </row>
    <row r="901" spans="1:50" ht="13" x14ac:dyDescent="0.15">
      <c r="A901" s="55" t="str">
        <f>HYPERLINK("http://reports.ofsted.gov.uk/inspection-reports/find-inspection-report/provider/CARE/2534102","Ofsted Social Care Provider Webpage")</f>
        <v>Ofsted Social Care Provider Webpage</v>
      </c>
      <c r="B901" s="55">
        <v>2534102</v>
      </c>
      <c r="D901" s="55" t="s">
        <v>373</v>
      </c>
      <c r="E901" s="74">
        <v>43678</v>
      </c>
      <c r="F901" s="55" t="s">
        <v>344</v>
      </c>
      <c r="G901" s="55" t="s">
        <v>360</v>
      </c>
      <c r="H901" s="55" t="s">
        <v>360</v>
      </c>
      <c r="I901" s="55" t="s">
        <v>360</v>
      </c>
      <c r="J901" s="55" t="s">
        <v>360</v>
      </c>
      <c r="K901" s="55" t="s">
        <v>360</v>
      </c>
      <c r="L901" s="55" t="s">
        <v>360</v>
      </c>
      <c r="M901" s="55" t="s">
        <v>378</v>
      </c>
      <c r="N901" s="55" t="s">
        <v>170</v>
      </c>
      <c r="O901" s="55" t="s">
        <v>178</v>
      </c>
      <c r="P901" s="55" t="s">
        <v>905</v>
      </c>
      <c r="Q901" s="55" t="s">
        <v>350</v>
      </c>
      <c r="R901" s="85">
        <v>4</v>
      </c>
      <c r="S901" s="55">
        <v>0</v>
      </c>
      <c r="T901" s="74" t="s">
        <v>1485</v>
      </c>
      <c r="U901" s="74" t="s">
        <v>351</v>
      </c>
      <c r="V901" s="74">
        <v>44391</v>
      </c>
      <c r="W901" s="74">
        <v>44452</v>
      </c>
      <c r="X901" s="55">
        <v>10187219</v>
      </c>
      <c r="Y901" s="55" t="s">
        <v>130</v>
      </c>
      <c r="AB901" s="74" t="s">
        <v>130</v>
      </c>
      <c r="AC901" s="55" t="s">
        <v>130</v>
      </c>
      <c r="AL901" s="74"/>
      <c r="AM901" s="74"/>
      <c r="AW901" s="74"/>
      <c r="AX901" s="74"/>
    </row>
    <row r="902" spans="1:50" ht="13" x14ac:dyDescent="0.15">
      <c r="A902" s="55" t="str">
        <f>HYPERLINK("http://reports.ofsted.gov.uk/inspection-reports/find-inspection-report/provider/CARE/2534102","Ofsted Social Care Provider Webpage")</f>
        <v>Ofsted Social Care Provider Webpage</v>
      </c>
      <c r="B902" s="55">
        <v>2534102</v>
      </c>
      <c r="D902" s="55" t="s">
        <v>373</v>
      </c>
      <c r="E902" s="74">
        <v>43678</v>
      </c>
      <c r="F902" s="55" t="s">
        <v>344</v>
      </c>
      <c r="G902" s="55" t="s">
        <v>360</v>
      </c>
      <c r="H902" s="55" t="s">
        <v>360</v>
      </c>
      <c r="I902" s="55" t="s">
        <v>360</v>
      </c>
      <c r="J902" s="55" t="s">
        <v>360</v>
      </c>
      <c r="K902" s="55" t="s">
        <v>360</v>
      </c>
      <c r="L902" s="55" t="s">
        <v>360</v>
      </c>
      <c r="M902" s="55" t="s">
        <v>378</v>
      </c>
      <c r="N902" s="55" t="s">
        <v>170</v>
      </c>
      <c r="O902" s="55" t="s">
        <v>178</v>
      </c>
      <c r="P902" s="55" t="s">
        <v>905</v>
      </c>
      <c r="Q902" s="55" t="s">
        <v>350</v>
      </c>
      <c r="R902" s="85">
        <v>4</v>
      </c>
      <c r="S902" s="55">
        <v>0</v>
      </c>
      <c r="T902" s="74" t="s">
        <v>1485</v>
      </c>
      <c r="U902" s="74" t="s">
        <v>6703</v>
      </c>
      <c r="V902" s="74">
        <v>44571</v>
      </c>
      <c r="W902" s="74">
        <v>44596</v>
      </c>
      <c r="X902" s="55">
        <v>10209418</v>
      </c>
      <c r="Y902" s="55" t="s">
        <v>6706</v>
      </c>
      <c r="AL902" s="74"/>
      <c r="AM902" s="74"/>
      <c r="AW902" s="74"/>
      <c r="AX902" s="74"/>
    </row>
    <row r="903" spans="1:50" ht="13" x14ac:dyDescent="0.15">
      <c r="A903" s="55" t="str">
        <f>HYPERLINK("http://reports.ofsted.gov.uk/inspection-reports/find-inspection-report/provider/CARE/2534179","Ofsted Social Care Provider Webpage")</f>
        <v>Ofsted Social Care Provider Webpage</v>
      </c>
      <c r="B903" s="55">
        <v>2534179</v>
      </c>
      <c r="D903" s="55" t="s">
        <v>373</v>
      </c>
      <c r="E903" s="74">
        <v>43636</v>
      </c>
      <c r="F903" s="55" t="s">
        <v>344</v>
      </c>
      <c r="G903" s="55" t="s">
        <v>360</v>
      </c>
      <c r="H903" s="55" t="s">
        <v>360</v>
      </c>
      <c r="I903" s="55" t="s">
        <v>360</v>
      </c>
      <c r="J903" s="55" t="s">
        <v>360</v>
      </c>
      <c r="K903" s="55" t="s">
        <v>360</v>
      </c>
      <c r="L903" s="55" t="s">
        <v>360</v>
      </c>
      <c r="M903" s="55" t="s">
        <v>144</v>
      </c>
      <c r="N903" s="55" t="s">
        <v>144</v>
      </c>
      <c r="O903" s="55" t="s">
        <v>209</v>
      </c>
      <c r="P903" s="55" t="s">
        <v>561</v>
      </c>
      <c r="Q903" s="55" t="s">
        <v>350</v>
      </c>
      <c r="R903" s="85">
        <v>2</v>
      </c>
      <c r="S903" s="55">
        <v>0</v>
      </c>
      <c r="T903" s="74" t="s">
        <v>490</v>
      </c>
      <c r="U903" s="74" t="s">
        <v>351</v>
      </c>
      <c r="V903" s="74">
        <v>44341</v>
      </c>
      <c r="W903" s="74">
        <v>44382</v>
      </c>
      <c r="X903" s="55">
        <v>10187526</v>
      </c>
      <c r="Y903" s="55" t="s">
        <v>132</v>
      </c>
      <c r="AB903" s="74" t="s">
        <v>132</v>
      </c>
      <c r="AC903" s="55" t="s">
        <v>132</v>
      </c>
      <c r="AL903" s="74"/>
      <c r="AM903" s="74"/>
      <c r="AW903" s="74"/>
      <c r="AX903" s="74"/>
    </row>
    <row r="904" spans="1:50" ht="13" x14ac:dyDescent="0.15">
      <c r="A904" s="55" t="str">
        <f>HYPERLINK("http://reports.ofsted.gov.uk/inspection-reports/find-inspection-report/provider/CARE/2534185","Ofsted Social Care Provider Webpage")</f>
        <v>Ofsted Social Care Provider Webpage</v>
      </c>
      <c r="B904" s="55">
        <v>2534185</v>
      </c>
      <c r="D904" s="55" t="s">
        <v>373</v>
      </c>
      <c r="E904" s="74">
        <v>43764</v>
      </c>
      <c r="F904" s="55" t="s">
        <v>344</v>
      </c>
      <c r="G904" s="55" t="s">
        <v>360</v>
      </c>
      <c r="H904" s="55" t="s">
        <v>360</v>
      </c>
      <c r="I904" s="55" t="s">
        <v>360</v>
      </c>
      <c r="J904" s="55" t="s">
        <v>360</v>
      </c>
      <c r="K904" s="55" t="s">
        <v>360</v>
      </c>
      <c r="L904" s="55" t="s">
        <v>360</v>
      </c>
      <c r="M904" s="55" t="s">
        <v>172</v>
      </c>
      <c r="N904" s="55" t="s">
        <v>172</v>
      </c>
      <c r="O904" s="55" t="s">
        <v>173</v>
      </c>
      <c r="P904" s="55" t="s">
        <v>1540</v>
      </c>
      <c r="Q904" s="55" t="s">
        <v>350</v>
      </c>
      <c r="R904" s="85">
        <v>4</v>
      </c>
      <c r="S904" s="55">
        <v>0</v>
      </c>
      <c r="T904" s="74" t="s">
        <v>1541</v>
      </c>
      <c r="U904" s="74" t="s">
        <v>351</v>
      </c>
      <c r="V904" s="74">
        <v>44306</v>
      </c>
      <c r="W904" s="74">
        <v>44358</v>
      </c>
      <c r="X904" s="55">
        <v>10185551</v>
      </c>
      <c r="Y904" s="55" t="s">
        <v>132</v>
      </c>
      <c r="AB904" s="74" t="s">
        <v>140</v>
      </c>
      <c r="AC904" s="55" t="s">
        <v>140</v>
      </c>
      <c r="AL904" s="74"/>
      <c r="AM904" s="74"/>
    </row>
    <row r="905" spans="1:50" ht="13" x14ac:dyDescent="0.15">
      <c r="A905" s="55" t="str">
        <f>HYPERLINK("http://reports.ofsted.gov.uk/inspection-reports/find-inspection-report/provider/CARE/2534436","Ofsted Social Care Provider Webpage")</f>
        <v>Ofsted Social Care Provider Webpage</v>
      </c>
      <c r="B905" s="55">
        <v>2534436</v>
      </c>
      <c r="D905" s="55" t="s">
        <v>373</v>
      </c>
      <c r="E905" s="74">
        <v>43661</v>
      </c>
      <c r="F905" s="55" t="s">
        <v>344</v>
      </c>
      <c r="G905" s="55" t="s">
        <v>360</v>
      </c>
      <c r="H905" s="55" t="s">
        <v>360</v>
      </c>
      <c r="I905" s="55" t="s">
        <v>360</v>
      </c>
      <c r="J905" s="55" t="s">
        <v>360</v>
      </c>
      <c r="K905" s="55" t="s">
        <v>360</v>
      </c>
      <c r="L905" s="55" t="s">
        <v>360</v>
      </c>
      <c r="M905" s="55" t="s">
        <v>144</v>
      </c>
      <c r="N905" s="55" t="s">
        <v>144</v>
      </c>
      <c r="O905" s="55" t="s">
        <v>209</v>
      </c>
      <c r="P905" s="55" t="s">
        <v>561</v>
      </c>
      <c r="Q905" s="55" t="s">
        <v>350</v>
      </c>
      <c r="R905" s="85">
        <v>3</v>
      </c>
      <c r="S905" s="55">
        <v>0</v>
      </c>
      <c r="T905" s="74" t="s">
        <v>1543</v>
      </c>
      <c r="U905" s="74" t="s">
        <v>351</v>
      </c>
      <c r="V905" s="74">
        <v>44383</v>
      </c>
      <c r="W905" s="74">
        <v>44411</v>
      </c>
      <c r="X905" s="55">
        <v>10185177</v>
      </c>
      <c r="Y905" s="55" t="s">
        <v>132</v>
      </c>
      <c r="AB905" s="74" t="s">
        <v>132</v>
      </c>
      <c r="AC905" s="55" t="s">
        <v>132</v>
      </c>
      <c r="AL905" s="74"/>
      <c r="AM905" s="74"/>
      <c r="AW905" s="74"/>
      <c r="AX905" s="74"/>
    </row>
    <row r="906" spans="1:50" ht="13" x14ac:dyDescent="0.15">
      <c r="A906" s="55" t="str">
        <f>HYPERLINK("http://reports.ofsted.gov.uk/inspection-reports/find-inspection-report/provider/CARE/2534580","Ofsted Social Care Provider Webpage")</f>
        <v>Ofsted Social Care Provider Webpage</v>
      </c>
      <c r="B906" s="55">
        <v>2534580</v>
      </c>
      <c r="D906" s="55" t="s">
        <v>373</v>
      </c>
      <c r="E906" s="74">
        <v>43698</v>
      </c>
      <c r="F906" s="55" t="s">
        <v>344</v>
      </c>
      <c r="G906" s="55" t="s">
        <v>360</v>
      </c>
      <c r="H906" s="55" t="s">
        <v>360</v>
      </c>
      <c r="I906" s="55" t="s">
        <v>360</v>
      </c>
      <c r="J906" s="55" t="s">
        <v>360</v>
      </c>
      <c r="K906" s="55" t="s">
        <v>360</v>
      </c>
      <c r="L906" s="55" t="s">
        <v>360</v>
      </c>
      <c r="M906" s="55" t="s">
        <v>144</v>
      </c>
      <c r="N906" s="55" t="s">
        <v>144</v>
      </c>
      <c r="O906" s="55" t="s">
        <v>209</v>
      </c>
      <c r="P906" s="55" t="s">
        <v>650</v>
      </c>
      <c r="Q906" s="55" t="s">
        <v>350</v>
      </c>
      <c r="R906" s="85">
        <v>2</v>
      </c>
      <c r="S906" s="55">
        <v>0</v>
      </c>
      <c r="T906" s="74" t="s">
        <v>485</v>
      </c>
      <c r="U906" s="74" t="s">
        <v>351</v>
      </c>
      <c r="V906" s="74">
        <v>44502</v>
      </c>
      <c r="W906" s="74">
        <v>44546</v>
      </c>
      <c r="X906" s="55">
        <v>10185566</v>
      </c>
      <c r="Y906" s="55" t="s">
        <v>140</v>
      </c>
      <c r="AB906" s="74" t="s">
        <v>132</v>
      </c>
      <c r="AC906" s="55" t="s">
        <v>140</v>
      </c>
      <c r="AL906" s="74"/>
      <c r="AM906" s="74"/>
      <c r="AW906" s="74"/>
      <c r="AX906" s="74"/>
    </row>
    <row r="907" spans="1:50" ht="13" x14ac:dyDescent="0.15">
      <c r="A907" s="55" t="str">
        <f>HYPERLINK("http://reports.ofsted.gov.uk/inspection-reports/find-inspection-report/provider/CARE/2534589","Ofsted Social Care Provider Webpage")</f>
        <v>Ofsted Social Care Provider Webpage</v>
      </c>
      <c r="B907" s="55">
        <v>2534589</v>
      </c>
      <c r="D907" s="55" t="s">
        <v>373</v>
      </c>
      <c r="E907" s="74">
        <v>43710</v>
      </c>
      <c r="F907" s="55" t="s">
        <v>344</v>
      </c>
      <c r="G907" s="55" t="s">
        <v>360</v>
      </c>
      <c r="H907" s="55" t="s">
        <v>360</v>
      </c>
      <c r="I907" s="55" t="s">
        <v>360</v>
      </c>
      <c r="J907" s="55" t="s">
        <v>360</v>
      </c>
      <c r="K907" s="55" t="s">
        <v>360</v>
      </c>
      <c r="L907" s="55" t="s">
        <v>360</v>
      </c>
      <c r="M907" s="55" t="s">
        <v>136</v>
      </c>
      <c r="N907" s="55" t="s">
        <v>136</v>
      </c>
      <c r="O907" s="55" t="s">
        <v>274</v>
      </c>
      <c r="P907" s="55" t="s">
        <v>274</v>
      </c>
      <c r="Q907" s="55" t="s">
        <v>350</v>
      </c>
      <c r="R907" s="85">
        <v>3</v>
      </c>
      <c r="S907" s="55">
        <v>0</v>
      </c>
      <c r="T907" s="74" t="s">
        <v>1544</v>
      </c>
      <c r="U907" s="74" t="s">
        <v>351</v>
      </c>
      <c r="V907" s="74">
        <v>44446</v>
      </c>
      <c r="W907" s="74">
        <v>44477</v>
      </c>
      <c r="X907" s="55">
        <v>10186231</v>
      </c>
      <c r="Y907" s="55" t="s">
        <v>132</v>
      </c>
      <c r="AB907" s="74" t="s">
        <v>132</v>
      </c>
      <c r="AC907" s="55" t="s">
        <v>132</v>
      </c>
      <c r="AL907" s="74"/>
      <c r="AM907" s="74"/>
    </row>
    <row r="908" spans="1:50" ht="13" x14ac:dyDescent="0.15">
      <c r="A908" s="55" t="str">
        <f>HYPERLINK("http://reports.ofsted.gov.uk/inspection-reports/find-inspection-report/provider/CARE/2534684","Ofsted Social Care Provider Webpage")</f>
        <v>Ofsted Social Care Provider Webpage</v>
      </c>
      <c r="B908" s="55">
        <v>2534684</v>
      </c>
      <c r="D908" s="55" t="s">
        <v>373</v>
      </c>
      <c r="E908" s="74">
        <v>43740</v>
      </c>
      <c r="F908" s="55" t="s">
        <v>344</v>
      </c>
      <c r="G908" s="55" t="s">
        <v>360</v>
      </c>
      <c r="H908" s="55" t="s">
        <v>360</v>
      </c>
      <c r="I908" s="55" t="s">
        <v>360</v>
      </c>
      <c r="J908" s="55" t="s">
        <v>360</v>
      </c>
      <c r="K908" s="55" t="s">
        <v>360</v>
      </c>
      <c r="L908" s="55" t="s">
        <v>360</v>
      </c>
      <c r="M908" s="55" t="s">
        <v>150</v>
      </c>
      <c r="N908" s="55" t="s">
        <v>150</v>
      </c>
      <c r="O908" s="55" t="s">
        <v>283</v>
      </c>
      <c r="P908" s="55" t="s">
        <v>1333</v>
      </c>
      <c r="Q908" s="55" t="s">
        <v>350</v>
      </c>
      <c r="R908" s="85">
        <v>5</v>
      </c>
      <c r="S908" s="55">
        <v>0</v>
      </c>
      <c r="T908" s="74" t="s">
        <v>890</v>
      </c>
      <c r="U908" s="74" t="s">
        <v>351</v>
      </c>
      <c r="V908" s="74">
        <v>44336</v>
      </c>
      <c r="W908" s="74">
        <v>44383</v>
      </c>
      <c r="X908" s="55">
        <v>10186792</v>
      </c>
      <c r="Y908" s="55" t="s">
        <v>132</v>
      </c>
      <c r="AB908" s="74" t="s">
        <v>132</v>
      </c>
      <c r="AC908" s="55" t="s">
        <v>132</v>
      </c>
      <c r="AL908" s="74"/>
      <c r="AM908" s="74"/>
      <c r="AW908" s="74"/>
      <c r="AX908" s="74"/>
    </row>
    <row r="909" spans="1:50" ht="13" x14ac:dyDescent="0.15">
      <c r="A909" s="55" t="str">
        <f>HYPERLINK("http://reports.ofsted.gov.uk/inspection-reports/find-inspection-report/provider/CARE/2534696","Ofsted Social Care Provider Webpage")</f>
        <v>Ofsted Social Care Provider Webpage</v>
      </c>
      <c r="B909" s="55">
        <v>2534696</v>
      </c>
      <c r="D909" s="55" t="s">
        <v>373</v>
      </c>
      <c r="E909" s="74">
        <v>43628</v>
      </c>
      <c r="F909" s="55" t="s">
        <v>344</v>
      </c>
      <c r="G909" s="55" t="s">
        <v>360</v>
      </c>
      <c r="H909" s="55" t="s">
        <v>360</v>
      </c>
      <c r="I909" s="55" t="s">
        <v>360</v>
      </c>
      <c r="J909" s="55" t="s">
        <v>360</v>
      </c>
      <c r="K909" s="55" t="s">
        <v>360</v>
      </c>
      <c r="L909" s="55" t="s">
        <v>360</v>
      </c>
      <c r="M909" s="55" t="s">
        <v>172</v>
      </c>
      <c r="N909" s="55" t="s">
        <v>172</v>
      </c>
      <c r="O909" s="55" t="s">
        <v>235</v>
      </c>
      <c r="P909" s="55" t="s">
        <v>628</v>
      </c>
      <c r="Q909" s="55" t="s">
        <v>350</v>
      </c>
      <c r="R909" s="85">
        <v>2</v>
      </c>
      <c r="S909" s="55">
        <v>0</v>
      </c>
      <c r="T909" s="74" t="s">
        <v>962</v>
      </c>
      <c r="U909" s="74" t="s">
        <v>351</v>
      </c>
      <c r="V909" s="74">
        <v>44405</v>
      </c>
      <c r="W909" s="74">
        <v>44442</v>
      </c>
      <c r="X909" s="55">
        <v>10186661</v>
      </c>
      <c r="Y909" s="55" t="s">
        <v>132</v>
      </c>
      <c r="AB909" s="74" t="s">
        <v>132</v>
      </c>
      <c r="AC909" s="55" t="s">
        <v>132</v>
      </c>
      <c r="AL909" s="74"/>
      <c r="AM909" s="74"/>
    </row>
    <row r="910" spans="1:50" ht="13" x14ac:dyDescent="0.15">
      <c r="A910" s="55" t="str">
        <f>HYPERLINK("http://reports.ofsted.gov.uk/inspection-reports/find-inspection-report/provider/CARE/2534827","Ofsted Social Care Provider Webpage")</f>
        <v>Ofsted Social Care Provider Webpage</v>
      </c>
      <c r="B910" s="55">
        <v>2534827</v>
      </c>
      <c r="D910" s="55" t="s">
        <v>373</v>
      </c>
      <c r="E910" s="74">
        <v>43636</v>
      </c>
      <c r="F910" s="55" t="s">
        <v>344</v>
      </c>
      <c r="G910" s="55" t="s">
        <v>360</v>
      </c>
      <c r="H910" s="55" t="s">
        <v>360</v>
      </c>
      <c r="I910" s="55" t="s">
        <v>360</v>
      </c>
      <c r="J910" s="55" t="s">
        <v>360</v>
      </c>
      <c r="K910" s="55" t="s">
        <v>360</v>
      </c>
      <c r="L910" s="55" t="s">
        <v>360</v>
      </c>
      <c r="M910" s="55" t="s">
        <v>138</v>
      </c>
      <c r="N910" s="55" t="s">
        <v>138</v>
      </c>
      <c r="O910" s="55" t="s">
        <v>161</v>
      </c>
      <c r="P910" s="55" t="s">
        <v>643</v>
      </c>
      <c r="Q910" s="55" t="s">
        <v>350</v>
      </c>
      <c r="R910" s="85">
        <v>4</v>
      </c>
      <c r="S910" s="55">
        <v>0</v>
      </c>
      <c r="T910" s="74" t="s">
        <v>385</v>
      </c>
      <c r="U910" s="74" t="s">
        <v>351</v>
      </c>
      <c r="V910" s="74">
        <v>44412</v>
      </c>
      <c r="W910" s="74">
        <v>44442</v>
      </c>
      <c r="X910" s="55">
        <v>10185873</v>
      </c>
      <c r="Y910" s="55" t="s">
        <v>132</v>
      </c>
      <c r="AB910" s="74" t="s">
        <v>132</v>
      </c>
      <c r="AC910" s="55" t="s">
        <v>132</v>
      </c>
      <c r="AL910" s="74"/>
      <c r="AM910" s="74"/>
      <c r="AW910" s="74"/>
      <c r="AX910" s="74"/>
    </row>
    <row r="911" spans="1:50" ht="13" x14ac:dyDescent="0.15">
      <c r="A911" s="55" t="str">
        <f>HYPERLINK("http://reports.ofsted.gov.uk/inspection-reports/find-inspection-report/provider/CARE/2534829","Ofsted Social Care Provider Webpage")</f>
        <v>Ofsted Social Care Provider Webpage</v>
      </c>
      <c r="B911" s="55">
        <v>2534829</v>
      </c>
      <c r="D911" s="55" t="s">
        <v>373</v>
      </c>
      <c r="E911" s="74">
        <v>43700</v>
      </c>
      <c r="F911" s="55" t="s">
        <v>344</v>
      </c>
      <c r="G911" s="55" t="s">
        <v>360</v>
      </c>
      <c r="H911" s="55" t="s">
        <v>360</v>
      </c>
      <c r="I911" s="55" t="s">
        <v>360</v>
      </c>
      <c r="J911" s="55" t="s">
        <v>360</v>
      </c>
      <c r="K911" s="55" t="s">
        <v>360</v>
      </c>
      <c r="L911" s="55" t="s">
        <v>360</v>
      </c>
      <c r="M911" s="55" t="s">
        <v>144</v>
      </c>
      <c r="N911" s="55" t="s">
        <v>144</v>
      </c>
      <c r="O911" s="55" t="s">
        <v>209</v>
      </c>
      <c r="P911" s="55" t="s">
        <v>544</v>
      </c>
      <c r="Q911" s="55" t="s">
        <v>350</v>
      </c>
      <c r="R911" s="85">
        <v>2</v>
      </c>
      <c r="S911" s="55">
        <v>0</v>
      </c>
      <c r="T911" s="74" t="s">
        <v>778</v>
      </c>
      <c r="U911" s="74" t="s">
        <v>351</v>
      </c>
      <c r="V911" s="74">
        <v>44481</v>
      </c>
      <c r="W911" s="74">
        <v>44523</v>
      </c>
      <c r="X911" s="55">
        <v>10185724</v>
      </c>
      <c r="Y911" s="55" t="s">
        <v>130</v>
      </c>
      <c r="AB911" s="74" t="s">
        <v>130</v>
      </c>
      <c r="AC911" s="55" t="s">
        <v>130</v>
      </c>
      <c r="AL911" s="74"/>
      <c r="AM911" s="74"/>
      <c r="AW911" s="74"/>
      <c r="AX911" s="74"/>
    </row>
    <row r="912" spans="1:50" ht="13" x14ac:dyDescent="0.15">
      <c r="A912" s="55" t="str">
        <f>HYPERLINK("http://reports.ofsted.gov.uk/inspection-reports/find-inspection-report/provider/CARE/2535166","Ofsted Social Care Provider Webpage")</f>
        <v>Ofsted Social Care Provider Webpage</v>
      </c>
      <c r="B912" s="55">
        <v>2535166</v>
      </c>
      <c r="D912" s="55" t="s">
        <v>373</v>
      </c>
      <c r="E912" s="74">
        <v>43683</v>
      </c>
      <c r="F912" s="55" t="s">
        <v>344</v>
      </c>
      <c r="G912" s="55" t="s">
        <v>360</v>
      </c>
      <c r="H912" s="55" t="s">
        <v>360</v>
      </c>
      <c r="I912" s="55" t="s">
        <v>360</v>
      </c>
      <c r="J912" s="55" t="s">
        <v>360</v>
      </c>
      <c r="K912" s="55" t="s">
        <v>360</v>
      </c>
      <c r="L912" s="55" t="s">
        <v>360</v>
      </c>
      <c r="M912" s="55" t="s">
        <v>136</v>
      </c>
      <c r="N912" s="55" t="s">
        <v>136</v>
      </c>
      <c r="O912" s="55" t="s">
        <v>288</v>
      </c>
      <c r="P912" s="55" t="s">
        <v>1388</v>
      </c>
      <c r="Q912" s="55" t="s">
        <v>350</v>
      </c>
      <c r="R912" s="85">
        <v>3</v>
      </c>
      <c r="S912" s="55">
        <v>0</v>
      </c>
      <c r="T912" s="74" t="s">
        <v>450</v>
      </c>
      <c r="U912" s="74" t="s">
        <v>351</v>
      </c>
      <c r="V912" s="74">
        <v>44313</v>
      </c>
      <c r="W912" s="74">
        <v>44336</v>
      </c>
      <c r="X912" s="55">
        <v>10187347</v>
      </c>
      <c r="Y912" s="55" t="s">
        <v>132</v>
      </c>
      <c r="AB912" s="74" t="s">
        <v>132</v>
      </c>
      <c r="AC912" s="55" t="s">
        <v>132</v>
      </c>
      <c r="AL912" s="74"/>
      <c r="AM912" s="74"/>
      <c r="AW912" s="74"/>
      <c r="AX912" s="74"/>
    </row>
    <row r="913" spans="1:50" ht="13" x14ac:dyDescent="0.15">
      <c r="A913" s="55" t="str">
        <f>HYPERLINK("http://reports.ofsted.gov.uk/inspection-reports/find-inspection-report/provider/CARE/2535376","Ofsted Social Care Provider Webpage")</f>
        <v>Ofsted Social Care Provider Webpage</v>
      </c>
      <c r="B913" s="55">
        <v>2535376</v>
      </c>
      <c r="D913" s="55" t="s">
        <v>373</v>
      </c>
      <c r="E913" s="74">
        <v>43678</v>
      </c>
      <c r="F913" s="55" t="s">
        <v>344</v>
      </c>
      <c r="G913" s="55" t="s">
        <v>360</v>
      </c>
      <c r="H913" s="55" t="s">
        <v>360</v>
      </c>
      <c r="I913" s="55" t="s">
        <v>360</v>
      </c>
      <c r="J913" s="55" t="s">
        <v>360</v>
      </c>
      <c r="K913" s="55" t="s">
        <v>360</v>
      </c>
      <c r="L913" s="55" t="s">
        <v>360</v>
      </c>
      <c r="M913" s="55" t="s">
        <v>129</v>
      </c>
      <c r="N913" s="55" t="s">
        <v>129</v>
      </c>
      <c r="O913" s="55" t="s">
        <v>160</v>
      </c>
      <c r="P913" s="55" t="s">
        <v>447</v>
      </c>
      <c r="Q913" s="55" t="s">
        <v>350</v>
      </c>
      <c r="R913" s="85">
        <v>3</v>
      </c>
      <c r="S913" s="55">
        <v>0</v>
      </c>
      <c r="T913" s="74" t="s">
        <v>939</v>
      </c>
      <c r="U913" s="74" t="s">
        <v>351</v>
      </c>
      <c r="V913" s="74">
        <v>44502</v>
      </c>
      <c r="W913" s="74">
        <v>44537</v>
      </c>
      <c r="X913" s="55">
        <v>10185136</v>
      </c>
      <c r="Y913" s="55" t="s">
        <v>132</v>
      </c>
      <c r="AB913" s="74" t="s">
        <v>132</v>
      </c>
      <c r="AC913" s="55" t="s">
        <v>132</v>
      </c>
      <c r="AL913" s="74"/>
      <c r="AM913" s="74"/>
      <c r="AW913" s="74"/>
      <c r="AX913" s="74"/>
    </row>
    <row r="914" spans="1:50" ht="13" x14ac:dyDescent="0.15">
      <c r="A914" s="55" t="str">
        <f>HYPERLINK("http://reports.ofsted.gov.uk/inspection-reports/find-inspection-report/provider/CARE/2535887","Ofsted Social Care Provider Webpage")</f>
        <v>Ofsted Social Care Provider Webpage</v>
      </c>
      <c r="B914" s="55">
        <v>2535887</v>
      </c>
      <c r="D914" s="55" t="s">
        <v>373</v>
      </c>
      <c r="E914" s="74">
        <v>43679</v>
      </c>
      <c r="F914" s="55" t="s">
        <v>344</v>
      </c>
      <c r="G914" s="55" t="s">
        <v>360</v>
      </c>
      <c r="H914" s="55" t="s">
        <v>360</v>
      </c>
      <c r="I914" s="55" t="s">
        <v>360</v>
      </c>
      <c r="J914" s="55" t="s">
        <v>360</v>
      </c>
      <c r="K914" s="55" t="s">
        <v>360</v>
      </c>
      <c r="L914" s="55" t="s">
        <v>360</v>
      </c>
      <c r="M914" s="55" t="s">
        <v>129</v>
      </c>
      <c r="N914" s="55" t="s">
        <v>129</v>
      </c>
      <c r="O914" s="55" t="s">
        <v>194</v>
      </c>
      <c r="P914" s="55" t="s">
        <v>1201</v>
      </c>
      <c r="Q914" s="55" t="s">
        <v>350</v>
      </c>
      <c r="R914" s="85">
        <v>4</v>
      </c>
      <c r="S914" s="55">
        <v>0</v>
      </c>
      <c r="T914" s="74" t="s">
        <v>1545</v>
      </c>
      <c r="U914" s="74" t="s">
        <v>351</v>
      </c>
      <c r="V914" s="74">
        <v>44510</v>
      </c>
      <c r="W914" s="74">
        <v>44544</v>
      </c>
      <c r="X914" s="55">
        <v>10185428</v>
      </c>
      <c r="Y914" s="55" t="s">
        <v>132</v>
      </c>
      <c r="AB914" s="74" t="s">
        <v>132</v>
      </c>
      <c r="AC914" s="55" t="s">
        <v>132</v>
      </c>
      <c r="AL914" s="74"/>
      <c r="AM914" s="74"/>
      <c r="AW914" s="74"/>
      <c r="AX914" s="74"/>
    </row>
    <row r="915" spans="1:50" ht="13" x14ac:dyDescent="0.15">
      <c r="A915" s="55" t="str">
        <f>HYPERLINK("http://reports.ofsted.gov.uk/inspection-reports/find-inspection-report/provider/CARE/2536395","Ofsted Social Care Provider Webpage")</f>
        <v>Ofsted Social Care Provider Webpage</v>
      </c>
      <c r="B915" s="55">
        <v>2536395</v>
      </c>
      <c r="D915" s="55" t="s">
        <v>373</v>
      </c>
      <c r="E915" s="74">
        <v>43619</v>
      </c>
      <c r="F915" s="55" t="s">
        <v>344</v>
      </c>
      <c r="G915" s="55" t="s">
        <v>360</v>
      </c>
      <c r="H915" s="55" t="s">
        <v>360</v>
      </c>
      <c r="I915" s="55" t="s">
        <v>360</v>
      </c>
      <c r="J915" s="55" t="s">
        <v>360</v>
      </c>
      <c r="K915" s="55" t="s">
        <v>360</v>
      </c>
      <c r="L915" s="55" t="s">
        <v>360</v>
      </c>
      <c r="M915" s="55" t="s">
        <v>144</v>
      </c>
      <c r="N915" s="55" t="s">
        <v>144</v>
      </c>
      <c r="O915" s="55" t="s">
        <v>261</v>
      </c>
      <c r="P915" s="55" t="s">
        <v>512</v>
      </c>
      <c r="Q915" s="55" t="s">
        <v>350</v>
      </c>
      <c r="R915" s="85">
        <v>2</v>
      </c>
      <c r="S915" s="55">
        <v>0</v>
      </c>
      <c r="T915" s="74" t="s">
        <v>513</v>
      </c>
      <c r="U915" s="74" t="s">
        <v>351</v>
      </c>
      <c r="V915" s="74">
        <v>44635</v>
      </c>
      <c r="W915" s="74">
        <v>44679</v>
      </c>
      <c r="X915" s="55">
        <v>10185879</v>
      </c>
      <c r="Y915" s="55" t="s">
        <v>132</v>
      </c>
      <c r="AB915" s="74" t="s">
        <v>132</v>
      </c>
      <c r="AC915" s="55" t="s">
        <v>132</v>
      </c>
      <c r="AL915" s="74"/>
      <c r="AM915" s="74"/>
      <c r="AW915" s="74"/>
      <c r="AX915" s="74"/>
    </row>
    <row r="916" spans="1:50" ht="13" x14ac:dyDescent="0.15">
      <c r="A916" s="55" t="str">
        <f>HYPERLINK("http://reports.ofsted.gov.uk/inspection-reports/find-inspection-report/provider/CARE/2536455","Ofsted Social Care Provider Webpage")</f>
        <v>Ofsted Social Care Provider Webpage</v>
      </c>
      <c r="B916" s="55">
        <v>2536455</v>
      </c>
      <c r="D916" s="55" t="s">
        <v>373</v>
      </c>
      <c r="E916" s="74">
        <v>43692</v>
      </c>
      <c r="F916" s="55" t="s">
        <v>344</v>
      </c>
      <c r="G916" s="55" t="s">
        <v>360</v>
      </c>
      <c r="H916" s="55" t="s">
        <v>360</v>
      </c>
      <c r="I916" s="55" t="s">
        <v>360</v>
      </c>
      <c r="J916" s="55" t="s">
        <v>360</v>
      </c>
      <c r="K916" s="55" t="s">
        <v>360</v>
      </c>
      <c r="L916" s="55" t="s">
        <v>360</v>
      </c>
      <c r="M916" s="55" t="s">
        <v>138</v>
      </c>
      <c r="N916" s="55" t="s">
        <v>138</v>
      </c>
      <c r="O916" s="55" t="s">
        <v>161</v>
      </c>
      <c r="P916" s="55" t="s">
        <v>643</v>
      </c>
      <c r="Q916" s="55" t="s">
        <v>350</v>
      </c>
      <c r="R916" s="85">
        <v>5</v>
      </c>
      <c r="S916" s="55">
        <v>0</v>
      </c>
      <c r="T916" s="74" t="s">
        <v>1546</v>
      </c>
      <c r="U916" s="74" t="s">
        <v>351</v>
      </c>
      <c r="V916" s="74">
        <v>44341</v>
      </c>
      <c r="W916" s="74">
        <v>44375</v>
      </c>
      <c r="X916" s="55">
        <v>10187633</v>
      </c>
      <c r="Y916" s="55" t="s">
        <v>132</v>
      </c>
      <c r="AB916" s="74" t="s">
        <v>132</v>
      </c>
      <c r="AC916" s="55" t="s">
        <v>132</v>
      </c>
      <c r="AL916" s="74"/>
      <c r="AM916" s="74"/>
      <c r="AW916" s="74"/>
      <c r="AX916" s="74"/>
    </row>
    <row r="917" spans="1:50" ht="13" x14ac:dyDescent="0.15">
      <c r="A917" s="55" t="str">
        <f>HYPERLINK("http://reports.ofsted.gov.uk/inspection-reports/find-inspection-report/provider/CARE/2536761","Ofsted Social Care Provider Webpage")</f>
        <v>Ofsted Social Care Provider Webpage</v>
      </c>
      <c r="B917" s="55">
        <v>2536761</v>
      </c>
      <c r="D917" s="55" t="s">
        <v>373</v>
      </c>
      <c r="E917" s="74">
        <v>43692</v>
      </c>
      <c r="F917" s="55" t="s">
        <v>344</v>
      </c>
      <c r="G917" s="55" t="s">
        <v>360</v>
      </c>
      <c r="H917" s="55" t="s">
        <v>360</v>
      </c>
      <c r="I917" s="55" t="s">
        <v>360</v>
      </c>
      <c r="J917" s="55" t="s">
        <v>360</v>
      </c>
      <c r="K917" s="55" t="s">
        <v>360</v>
      </c>
      <c r="L917" s="55" t="s">
        <v>360</v>
      </c>
      <c r="M917" s="55" t="s">
        <v>144</v>
      </c>
      <c r="N917" s="55" t="s">
        <v>144</v>
      </c>
      <c r="O917" s="55" t="s">
        <v>287</v>
      </c>
      <c r="P917" s="55" t="s">
        <v>815</v>
      </c>
      <c r="Q917" s="55" t="s">
        <v>350</v>
      </c>
      <c r="R917" s="85">
        <v>3</v>
      </c>
      <c r="S917" s="55">
        <v>0</v>
      </c>
      <c r="T917" s="74" t="s">
        <v>493</v>
      </c>
      <c r="U917" s="74" t="s">
        <v>351</v>
      </c>
      <c r="V917" s="74">
        <v>44586</v>
      </c>
      <c r="W917" s="74">
        <v>44621</v>
      </c>
      <c r="X917" s="55">
        <v>10187491</v>
      </c>
      <c r="Y917" s="55" t="s">
        <v>132</v>
      </c>
      <c r="AB917" s="74" t="s">
        <v>132</v>
      </c>
      <c r="AC917" s="55" t="s">
        <v>132</v>
      </c>
      <c r="AL917" s="74"/>
      <c r="AM917" s="74"/>
      <c r="AW917" s="74"/>
      <c r="AX917" s="74"/>
    </row>
    <row r="918" spans="1:50" ht="13" x14ac:dyDescent="0.15">
      <c r="A918" s="55" t="str">
        <f>HYPERLINK("http://reports.ofsted.gov.uk/inspection-reports/find-inspection-report/provider/CARE/2536967","Ofsted Social Care Provider Webpage")</f>
        <v>Ofsted Social Care Provider Webpage</v>
      </c>
      <c r="B918" s="55">
        <v>2536967</v>
      </c>
      <c r="D918" s="55" t="s">
        <v>373</v>
      </c>
      <c r="E918" s="74">
        <v>43823</v>
      </c>
      <c r="F918" s="55" t="s">
        <v>344</v>
      </c>
      <c r="G918" s="55" t="s">
        <v>360</v>
      </c>
      <c r="H918" s="55" t="s">
        <v>360</v>
      </c>
      <c r="I918" s="55" t="s">
        <v>360</v>
      </c>
      <c r="J918" s="55" t="s">
        <v>360</v>
      </c>
      <c r="K918" s="55" t="s">
        <v>360</v>
      </c>
      <c r="L918" s="55" t="s">
        <v>360</v>
      </c>
      <c r="M918" s="55" t="s">
        <v>150</v>
      </c>
      <c r="N918" s="55" t="s">
        <v>150</v>
      </c>
      <c r="O918" s="55" t="s">
        <v>203</v>
      </c>
      <c r="P918" s="55" t="s">
        <v>1038</v>
      </c>
      <c r="Q918" s="55" t="s">
        <v>380</v>
      </c>
      <c r="R918" s="85">
        <v>3</v>
      </c>
      <c r="S918" s="55">
        <v>0</v>
      </c>
      <c r="T918" s="74" t="s">
        <v>1547</v>
      </c>
      <c r="U918" s="74" t="s">
        <v>2053</v>
      </c>
      <c r="V918" s="74">
        <v>44511</v>
      </c>
      <c r="W918" s="74">
        <v>44559</v>
      </c>
      <c r="X918" s="55">
        <v>10212869</v>
      </c>
      <c r="AL918" s="74"/>
      <c r="AM918" s="74"/>
      <c r="AW918" s="74"/>
      <c r="AX918" s="74"/>
    </row>
    <row r="919" spans="1:50" ht="13" x14ac:dyDescent="0.15">
      <c r="A919" s="55" t="str">
        <f>HYPERLINK("http://reports.ofsted.gov.uk/inspection-reports/find-inspection-report/provider/CARE/2536967","Ofsted Social Care Provider Webpage")</f>
        <v>Ofsted Social Care Provider Webpage</v>
      </c>
      <c r="B919" s="55">
        <v>2536967</v>
      </c>
      <c r="D919" s="55" t="s">
        <v>373</v>
      </c>
      <c r="E919" s="74">
        <v>43823</v>
      </c>
      <c r="F919" s="55" t="s">
        <v>344</v>
      </c>
      <c r="G919" s="55" t="s">
        <v>360</v>
      </c>
      <c r="H919" s="55" t="s">
        <v>360</v>
      </c>
      <c r="I919" s="55" t="s">
        <v>360</v>
      </c>
      <c r="J919" s="55" t="s">
        <v>360</v>
      </c>
      <c r="K919" s="55" t="s">
        <v>360</v>
      </c>
      <c r="L919" s="55" t="s">
        <v>360</v>
      </c>
      <c r="M919" s="55" t="s">
        <v>150</v>
      </c>
      <c r="N919" s="55" t="s">
        <v>150</v>
      </c>
      <c r="O919" s="55" t="s">
        <v>203</v>
      </c>
      <c r="P919" s="55" t="s">
        <v>1038</v>
      </c>
      <c r="Q919" s="55" t="s">
        <v>380</v>
      </c>
      <c r="R919" s="85">
        <v>3</v>
      </c>
      <c r="S919" s="55">
        <v>0</v>
      </c>
      <c r="T919" s="74" t="s">
        <v>1547</v>
      </c>
      <c r="U919" s="74" t="s">
        <v>351</v>
      </c>
      <c r="V919" s="74">
        <v>44418</v>
      </c>
      <c r="W919" s="74">
        <v>44467</v>
      </c>
      <c r="X919" s="55">
        <v>10187291</v>
      </c>
      <c r="Y919" s="55" t="s">
        <v>130</v>
      </c>
      <c r="AB919" s="74" t="s">
        <v>130</v>
      </c>
      <c r="AC919" s="55" t="s">
        <v>146</v>
      </c>
      <c r="AL919" s="74"/>
      <c r="AM919" s="74"/>
    </row>
    <row r="920" spans="1:50" ht="13" x14ac:dyDescent="0.15">
      <c r="A920" s="55" t="str">
        <f>HYPERLINK("http://reports.ofsted.gov.uk/inspection-reports/find-inspection-report/provider/CARE/2536967","Ofsted Social Care Provider Webpage")</f>
        <v>Ofsted Social Care Provider Webpage</v>
      </c>
      <c r="B920" s="55">
        <v>2536967</v>
      </c>
      <c r="D920" s="55" t="s">
        <v>373</v>
      </c>
      <c r="E920" s="74">
        <v>43823</v>
      </c>
      <c r="F920" s="55" t="s">
        <v>344</v>
      </c>
      <c r="G920" s="55" t="s">
        <v>360</v>
      </c>
      <c r="H920" s="55" t="s">
        <v>360</v>
      </c>
      <c r="I920" s="55" t="s">
        <v>360</v>
      </c>
      <c r="J920" s="55" t="s">
        <v>360</v>
      </c>
      <c r="K920" s="55" t="s">
        <v>360</v>
      </c>
      <c r="L920" s="55" t="s">
        <v>360</v>
      </c>
      <c r="M920" s="55" t="s">
        <v>150</v>
      </c>
      <c r="N920" s="55" t="s">
        <v>150</v>
      </c>
      <c r="O920" s="55" t="s">
        <v>203</v>
      </c>
      <c r="P920" s="55" t="s">
        <v>1038</v>
      </c>
      <c r="Q920" s="55" t="s">
        <v>380</v>
      </c>
      <c r="R920" s="85">
        <v>3</v>
      </c>
      <c r="S920" s="55">
        <v>0</v>
      </c>
      <c r="T920" s="74" t="s">
        <v>1547</v>
      </c>
      <c r="U920" s="74" t="s">
        <v>2053</v>
      </c>
      <c r="V920" s="74">
        <v>44572</v>
      </c>
      <c r="W920" s="74">
        <v>44617</v>
      </c>
      <c r="X920" s="55">
        <v>10217169</v>
      </c>
      <c r="AL920" s="74"/>
      <c r="AM920" s="74"/>
      <c r="AW920" s="74"/>
      <c r="AX920" s="74"/>
    </row>
    <row r="921" spans="1:50" ht="13" x14ac:dyDescent="0.15">
      <c r="A921" s="55" t="str">
        <f>HYPERLINK("http://reports.ofsted.gov.uk/inspection-reports/find-inspection-report/provider/CARE/2537058","Ofsted Social Care Provider Webpage")</f>
        <v>Ofsted Social Care Provider Webpage</v>
      </c>
      <c r="B921" s="55">
        <v>2537058</v>
      </c>
      <c r="D921" s="55" t="s">
        <v>373</v>
      </c>
      <c r="E921" s="74">
        <v>43672</v>
      </c>
      <c r="F921" s="55" t="s">
        <v>344</v>
      </c>
      <c r="G921" s="55" t="s">
        <v>360</v>
      </c>
      <c r="H921" s="55" t="s">
        <v>360</v>
      </c>
      <c r="I921" s="55" t="s">
        <v>360</v>
      </c>
      <c r="J921" s="55" t="s">
        <v>360</v>
      </c>
      <c r="K921" s="55" t="s">
        <v>360</v>
      </c>
      <c r="L921" s="55" t="s">
        <v>360</v>
      </c>
      <c r="M921" s="55" t="s">
        <v>144</v>
      </c>
      <c r="N921" s="55" t="s">
        <v>144</v>
      </c>
      <c r="O921" s="55" t="s">
        <v>209</v>
      </c>
      <c r="P921" s="55" t="s">
        <v>555</v>
      </c>
      <c r="Q921" s="55" t="s">
        <v>350</v>
      </c>
      <c r="R921" s="85">
        <v>4</v>
      </c>
      <c r="S921" s="55">
        <v>0</v>
      </c>
      <c r="T921" s="74" t="s">
        <v>485</v>
      </c>
      <c r="U921" s="74" t="s">
        <v>351</v>
      </c>
      <c r="V921" s="74">
        <v>44544</v>
      </c>
      <c r="W921" s="74">
        <v>44609</v>
      </c>
      <c r="X921" s="55">
        <v>10186811</v>
      </c>
      <c r="Y921" s="55" t="s">
        <v>130</v>
      </c>
      <c r="AB921" s="74" t="s">
        <v>130</v>
      </c>
      <c r="AC921" s="55" t="s">
        <v>130</v>
      </c>
      <c r="AL921" s="74"/>
      <c r="AM921" s="74"/>
      <c r="AW921" s="74"/>
      <c r="AX921" s="74"/>
    </row>
    <row r="922" spans="1:50" ht="13" x14ac:dyDescent="0.15">
      <c r="A922" s="55" t="str">
        <f>HYPERLINK("http://reports.ofsted.gov.uk/inspection-reports/find-inspection-report/provider/CARE/2537060","Ofsted Social Care Provider Webpage")</f>
        <v>Ofsted Social Care Provider Webpage</v>
      </c>
      <c r="B922" s="55">
        <v>2537060</v>
      </c>
      <c r="D922" s="55" t="s">
        <v>373</v>
      </c>
      <c r="E922" s="74">
        <v>43699</v>
      </c>
      <c r="F922" s="55" t="s">
        <v>344</v>
      </c>
      <c r="G922" s="55" t="s">
        <v>360</v>
      </c>
      <c r="H922" s="55" t="s">
        <v>360</v>
      </c>
      <c r="I922" s="55" t="s">
        <v>360</v>
      </c>
      <c r="J922" s="55" t="s">
        <v>360</v>
      </c>
      <c r="K922" s="55" t="s">
        <v>360</v>
      </c>
      <c r="L922" s="55" t="s">
        <v>360</v>
      </c>
      <c r="M922" s="55" t="s">
        <v>144</v>
      </c>
      <c r="N922" s="55" t="s">
        <v>144</v>
      </c>
      <c r="O922" s="55" t="s">
        <v>145</v>
      </c>
      <c r="P922" s="55" t="s">
        <v>525</v>
      </c>
      <c r="Q922" s="55" t="s">
        <v>350</v>
      </c>
      <c r="R922" s="85">
        <v>2</v>
      </c>
      <c r="S922" s="55">
        <v>0</v>
      </c>
      <c r="T922" s="74" t="s">
        <v>485</v>
      </c>
      <c r="U922" s="74" t="s">
        <v>351</v>
      </c>
      <c r="V922" s="74">
        <v>44571</v>
      </c>
      <c r="W922" s="74">
        <v>44600</v>
      </c>
      <c r="X922" s="55">
        <v>10187041</v>
      </c>
      <c r="Y922" s="55" t="s">
        <v>132</v>
      </c>
      <c r="AB922" s="74" t="s">
        <v>132</v>
      </c>
      <c r="AC922" s="55" t="s">
        <v>132</v>
      </c>
      <c r="AL922" s="74"/>
      <c r="AM922" s="74"/>
      <c r="AW922" s="74"/>
      <c r="AX922" s="74"/>
    </row>
    <row r="923" spans="1:50" ht="13" x14ac:dyDescent="0.15">
      <c r="A923" s="55" t="str">
        <f>HYPERLINK("http://reports.ofsted.gov.uk/inspection-reports/find-inspection-report/provider/CARE/2537149","Ofsted Social Care Provider Webpage")</f>
        <v>Ofsted Social Care Provider Webpage</v>
      </c>
      <c r="B923" s="55">
        <v>2537149</v>
      </c>
      <c r="D923" s="55" t="s">
        <v>373</v>
      </c>
      <c r="E923" s="74">
        <v>43713</v>
      </c>
      <c r="F923" s="55" t="s">
        <v>344</v>
      </c>
      <c r="G923" s="55" t="s">
        <v>360</v>
      </c>
      <c r="H923" s="55" t="s">
        <v>360</v>
      </c>
      <c r="I923" s="55" t="s">
        <v>360</v>
      </c>
      <c r="J923" s="55" t="s">
        <v>360</v>
      </c>
      <c r="K923" s="55" t="s">
        <v>360</v>
      </c>
      <c r="L923" s="55" t="s">
        <v>360</v>
      </c>
      <c r="M923" s="55" t="s">
        <v>136</v>
      </c>
      <c r="N923" s="55" t="s">
        <v>136</v>
      </c>
      <c r="O923" s="55" t="s">
        <v>230</v>
      </c>
      <c r="P923" s="55" t="s">
        <v>230</v>
      </c>
      <c r="Q923" s="55" t="s">
        <v>362</v>
      </c>
      <c r="R923" s="85">
        <v>4</v>
      </c>
      <c r="S923" s="55">
        <v>0</v>
      </c>
      <c r="T923" s="74" t="s">
        <v>367</v>
      </c>
      <c r="U923" s="74" t="s">
        <v>351</v>
      </c>
      <c r="V923" s="74">
        <v>44348</v>
      </c>
      <c r="W923" s="74">
        <v>44397</v>
      </c>
      <c r="X923" s="55">
        <v>10186639</v>
      </c>
      <c r="Y923" s="55" t="s">
        <v>130</v>
      </c>
      <c r="AB923" s="74" t="s">
        <v>130</v>
      </c>
      <c r="AC923" s="55" t="s">
        <v>130</v>
      </c>
      <c r="AL923" s="74"/>
      <c r="AM923" s="74"/>
    </row>
    <row r="924" spans="1:50" ht="13" x14ac:dyDescent="0.15">
      <c r="A924" s="55" t="str">
        <f>HYPERLINK("http://reports.ofsted.gov.uk/inspection-reports/find-inspection-report/provider/CARE/2537149","Ofsted Social Care Provider Webpage")</f>
        <v>Ofsted Social Care Provider Webpage</v>
      </c>
      <c r="B924" s="55">
        <v>2537149</v>
      </c>
      <c r="D924" s="55" t="s">
        <v>373</v>
      </c>
      <c r="E924" s="74">
        <v>43713</v>
      </c>
      <c r="F924" s="55" t="s">
        <v>344</v>
      </c>
      <c r="G924" s="55" t="s">
        <v>360</v>
      </c>
      <c r="H924" s="55" t="s">
        <v>360</v>
      </c>
      <c r="I924" s="55" t="s">
        <v>360</v>
      </c>
      <c r="J924" s="55" t="s">
        <v>360</v>
      </c>
      <c r="K924" s="55" t="s">
        <v>360</v>
      </c>
      <c r="L924" s="55" t="s">
        <v>360</v>
      </c>
      <c r="M924" s="55" t="s">
        <v>136</v>
      </c>
      <c r="N924" s="55" t="s">
        <v>136</v>
      </c>
      <c r="O924" s="55" t="s">
        <v>230</v>
      </c>
      <c r="P924" s="55" t="s">
        <v>230</v>
      </c>
      <c r="Q924" s="55" t="s">
        <v>362</v>
      </c>
      <c r="R924" s="85">
        <v>4</v>
      </c>
      <c r="S924" s="55">
        <v>0</v>
      </c>
      <c r="T924" s="74" t="s">
        <v>367</v>
      </c>
      <c r="U924" s="74" t="s">
        <v>6703</v>
      </c>
      <c r="V924" s="74">
        <v>44496</v>
      </c>
      <c r="W924" s="74">
        <v>44525</v>
      </c>
      <c r="X924" s="55">
        <v>10210833</v>
      </c>
      <c r="Y924" s="55" t="s">
        <v>6705</v>
      </c>
      <c r="AL924" s="74"/>
      <c r="AM924" s="74"/>
    </row>
    <row r="925" spans="1:50" ht="13" x14ac:dyDescent="0.15">
      <c r="A925" s="55" t="str">
        <f>HYPERLINK("http://reports.ofsted.gov.uk/inspection-reports/find-inspection-report/provider/CARE/2537252","Ofsted Social Care Provider Webpage")</f>
        <v>Ofsted Social Care Provider Webpage</v>
      </c>
      <c r="B925" s="55">
        <v>2537252</v>
      </c>
      <c r="D925" s="55" t="s">
        <v>373</v>
      </c>
      <c r="E925" s="74">
        <v>43628</v>
      </c>
      <c r="F925" s="55" t="s">
        <v>344</v>
      </c>
      <c r="G925" s="55" t="s">
        <v>360</v>
      </c>
      <c r="H925" s="55" t="s">
        <v>360</v>
      </c>
      <c r="I925" s="55" t="s">
        <v>360</v>
      </c>
      <c r="J925" s="55" t="s">
        <v>360</v>
      </c>
      <c r="K925" s="55" t="s">
        <v>360</v>
      </c>
      <c r="L925" s="55" t="s">
        <v>360</v>
      </c>
      <c r="M925" s="55" t="s">
        <v>172</v>
      </c>
      <c r="N925" s="55" t="s">
        <v>172</v>
      </c>
      <c r="O925" s="55" t="s">
        <v>235</v>
      </c>
      <c r="P925" s="55" t="s">
        <v>628</v>
      </c>
      <c r="Q925" s="55" t="s">
        <v>350</v>
      </c>
      <c r="R925" s="85">
        <v>2</v>
      </c>
      <c r="S925" s="55">
        <v>0</v>
      </c>
      <c r="T925" s="74" t="s">
        <v>962</v>
      </c>
      <c r="U925" s="74" t="s">
        <v>351</v>
      </c>
      <c r="V925" s="74">
        <v>44453</v>
      </c>
      <c r="W925" s="74">
        <v>44484</v>
      </c>
      <c r="X925" s="55">
        <v>10187131</v>
      </c>
      <c r="Y925" s="55" t="s">
        <v>132</v>
      </c>
      <c r="AB925" s="74" t="s">
        <v>132</v>
      </c>
      <c r="AC925" s="55" t="s">
        <v>132</v>
      </c>
      <c r="AL925" s="74"/>
      <c r="AM925" s="74"/>
      <c r="AW925" s="74"/>
      <c r="AX925" s="74"/>
    </row>
    <row r="926" spans="1:50" ht="13" x14ac:dyDescent="0.15">
      <c r="A926" s="55" t="str">
        <f>HYPERLINK("http://reports.ofsted.gov.uk/inspection-reports/find-inspection-report/provider/CARE/2537375","Ofsted Social Care Provider Webpage")</f>
        <v>Ofsted Social Care Provider Webpage</v>
      </c>
      <c r="B926" s="55">
        <v>2537375</v>
      </c>
      <c r="D926" s="55" t="s">
        <v>373</v>
      </c>
      <c r="E926" s="74">
        <v>43686</v>
      </c>
      <c r="F926" s="55" t="s">
        <v>344</v>
      </c>
      <c r="G926" s="55" t="s">
        <v>360</v>
      </c>
      <c r="H926" s="55" t="s">
        <v>360</v>
      </c>
      <c r="I926" s="55" t="s">
        <v>360</v>
      </c>
      <c r="J926" s="55" t="s">
        <v>360</v>
      </c>
      <c r="K926" s="55" t="s">
        <v>360</v>
      </c>
      <c r="L926" s="55" t="s">
        <v>360</v>
      </c>
      <c r="M926" s="55" t="s">
        <v>142</v>
      </c>
      <c r="N926" s="55" t="s">
        <v>142</v>
      </c>
      <c r="O926" s="55" t="s">
        <v>262</v>
      </c>
      <c r="P926" s="55" t="s">
        <v>692</v>
      </c>
      <c r="Q926" s="55" t="s">
        <v>350</v>
      </c>
      <c r="R926" s="85">
        <v>3</v>
      </c>
      <c r="S926" s="55">
        <v>0</v>
      </c>
      <c r="T926" s="74" t="s">
        <v>1307</v>
      </c>
      <c r="U926" s="74" t="s">
        <v>351</v>
      </c>
      <c r="V926" s="74">
        <v>44320</v>
      </c>
      <c r="W926" s="74">
        <v>44362</v>
      </c>
      <c r="X926" s="55">
        <v>10187676</v>
      </c>
      <c r="Y926" s="55" t="s">
        <v>132</v>
      </c>
      <c r="AB926" s="74" t="s">
        <v>132</v>
      </c>
      <c r="AC926" s="55" t="s">
        <v>132</v>
      </c>
      <c r="AL926" s="74"/>
      <c r="AM926" s="74"/>
      <c r="AW926" s="74"/>
      <c r="AX926" s="74"/>
    </row>
    <row r="927" spans="1:50" ht="13" x14ac:dyDescent="0.15">
      <c r="A927" s="55" t="str">
        <f>HYPERLINK("http://reports.ofsted.gov.uk/inspection-reports/find-inspection-report/provider/CARE/2537401","Ofsted Social Care Provider Webpage")</f>
        <v>Ofsted Social Care Provider Webpage</v>
      </c>
      <c r="B927" s="55">
        <v>2537401</v>
      </c>
      <c r="D927" s="55" t="s">
        <v>389</v>
      </c>
      <c r="E927" s="74">
        <v>43678</v>
      </c>
      <c r="F927" s="55" t="s">
        <v>344</v>
      </c>
      <c r="G927" s="55" t="s">
        <v>1548</v>
      </c>
      <c r="H927" s="55" t="s">
        <v>1548</v>
      </c>
      <c r="I927" s="55" t="s">
        <v>1549</v>
      </c>
      <c r="J927" s="55" t="s">
        <v>129</v>
      </c>
      <c r="L927" s="55" t="s">
        <v>1550</v>
      </c>
      <c r="M927" s="55" t="s">
        <v>129</v>
      </c>
      <c r="N927" s="55" t="s">
        <v>129</v>
      </c>
      <c r="O927" s="55" t="s">
        <v>242</v>
      </c>
      <c r="P927" s="55" t="s">
        <v>1519</v>
      </c>
      <c r="Q927" s="55" t="s">
        <v>350</v>
      </c>
      <c r="S927" s="55">
        <v>0</v>
      </c>
      <c r="T927" s="74" t="s">
        <v>1551</v>
      </c>
      <c r="U927" s="74" t="s">
        <v>351</v>
      </c>
      <c r="V927" s="74">
        <v>44431</v>
      </c>
      <c r="W927" s="74">
        <v>44480</v>
      </c>
      <c r="X927" s="55">
        <v>10183185</v>
      </c>
      <c r="Y927" s="55" t="s">
        <v>132</v>
      </c>
      <c r="AB927" s="74" t="s">
        <v>132</v>
      </c>
      <c r="AC927" s="55" t="s">
        <v>132</v>
      </c>
      <c r="AL927" s="74"/>
      <c r="AM927" s="74"/>
      <c r="AW927" s="74"/>
      <c r="AX927" s="74"/>
    </row>
    <row r="928" spans="1:50" ht="13" x14ac:dyDescent="0.15">
      <c r="A928" s="55" t="str">
        <f>HYPERLINK("http://reports.ofsted.gov.uk/inspection-reports/find-inspection-report/provider/CARE/2537782","Ofsted Social Care Provider Webpage")</f>
        <v>Ofsted Social Care Provider Webpage</v>
      </c>
      <c r="B928" s="55">
        <v>2537782</v>
      </c>
      <c r="D928" s="55" t="s">
        <v>373</v>
      </c>
      <c r="E928" s="74">
        <v>43756</v>
      </c>
      <c r="F928" s="55" t="s">
        <v>344</v>
      </c>
      <c r="G928" s="55" t="s">
        <v>360</v>
      </c>
      <c r="H928" s="55" t="s">
        <v>360</v>
      </c>
      <c r="I928" s="55" t="s">
        <v>360</v>
      </c>
      <c r="J928" s="55" t="s">
        <v>360</v>
      </c>
      <c r="K928" s="55" t="s">
        <v>360</v>
      </c>
      <c r="L928" s="55" t="s">
        <v>360</v>
      </c>
      <c r="M928" s="55" t="s">
        <v>138</v>
      </c>
      <c r="N928" s="55" t="s">
        <v>138</v>
      </c>
      <c r="O928" s="55" t="s">
        <v>224</v>
      </c>
      <c r="P928" s="55" t="s">
        <v>1552</v>
      </c>
      <c r="Q928" s="55" t="s">
        <v>350</v>
      </c>
      <c r="R928" s="85">
        <v>6</v>
      </c>
      <c r="S928" s="55">
        <v>0</v>
      </c>
      <c r="T928" s="74" t="s">
        <v>1553</v>
      </c>
      <c r="U928" s="74" t="s">
        <v>351</v>
      </c>
      <c r="V928" s="74">
        <v>44361</v>
      </c>
      <c r="W928" s="74">
        <v>44390</v>
      </c>
      <c r="X928" s="55">
        <v>10185139</v>
      </c>
      <c r="Y928" s="55" t="s">
        <v>132</v>
      </c>
      <c r="AB928" s="74" t="s">
        <v>132</v>
      </c>
      <c r="AC928" s="55" t="s">
        <v>130</v>
      </c>
      <c r="AL928" s="74"/>
      <c r="AM928" s="74"/>
      <c r="AW928" s="74"/>
      <c r="AX928" s="74"/>
    </row>
    <row r="929" spans="1:50" ht="13" x14ac:dyDescent="0.15">
      <c r="A929" s="55" t="str">
        <f>HYPERLINK("http://reports.ofsted.gov.uk/inspection-reports/find-inspection-report/provider/CARE/2537801","Ofsted Social Care Provider Webpage")</f>
        <v>Ofsted Social Care Provider Webpage</v>
      </c>
      <c r="B929" s="55">
        <v>2537801</v>
      </c>
      <c r="D929" s="55" t="s">
        <v>373</v>
      </c>
      <c r="E929" s="74">
        <v>43721</v>
      </c>
      <c r="F929" s="55" t="s">
        <v>344</v>
      </c>
      <c r="G929" s="55" t="s">
        <v>360</v>
      </c>
      <c r="H929" s="55" t="s">
        <v>360</v>
      </c>
      <c r="I929" s="55" t="s">
        <v>360</v>
      </c>
      <c r="J929" s="55" t="s">
        <v>360</v>
      </c>
      <c r="K929" s="55" t="s">
        <v>360</v>
      </c>
      <c r="L929" s="55" t="s">
        <v>360</v>
      </c>
      <c r="M929" s="55" t="s">
        <v>144</v>
      </c>
      <c r="N929" s="55" t="s">
        <v>144</v>
      </c>
      <c r="O929" s="55" t="s">
        <v>209</v>
      </c>
      <c r="P929" s="55" t="s">
        <v>736</v>
      </c>
      <c r="Q929" s="55" t="s">
        <v>350</v>
      </c>
      <c r="R929" s="85">
        <v>3</v>
      </c>
      <c r="S929" s="55">
        <v>0</v>
      </c>
      <c r="T929" s="74" t="s">
        <v>598</v>
      </c>
      <c r="U929" s="74" t="s">
        <v>351</v>
      </c>
      <c r="V929" s="74">
        <v>44370</v>
      </c>
      <c r="W929" s="74">
        <v>44404</v>
      </c>
      <c r="X929" s="55">
        <v>10187551</v>
      </c>
      <c r="Y929" s="55" t="s">
        <v>132</v>
      </c>
      <c r="AB929" s="74" t="s">
        <v>132</v>
      </c>
      <c r="AC929" s="55" t="s">
        <v>132</v>
      </c>
      <c r="AL929" s="74"/>
      <c r="AM929" s="74"/>
      <c r="AW929" s="74"/>
      <c r="AX929" s="74"/>
    </row>
    <row r="930" spans="1:50" ht="13" x14ac:dyDescent="0.15">
      <c r="A930" s="55" t="str">
        <f>HYPERLINK("http://reports.ofsted.gov.uk/inspection-reports/find-inspection-report/provider/CARE/2538055","Ofsted Social Care Provider Webpage")</f>
        <v>Ofsted Social Care Provider Webpage</v>
      </c>
      <c r="B930" s="55">
        <v>2538055</v>
      </c>
      <c r="D930" s="55" t="s">
        <v>373</v>
      </c>
      <c r="E930" s="74">
        <v>43700</v>
      </c>
      <c r="F930" s="55" t="s">
        <v>344</v>
      </c>
      <c r="G930" s="55" t="s">
        <v>360</v>
      </c>
      <c r="H930" s="55" t="s">
        <v>360</v>
      </c>
      <c r="I930" s="55" t="s">
        <v>360</v>
      </c>
      <c r="J930" s="55" t="s">
        <v>360</v>
      </c>
      <c r="K930" s="55" t="s">
        <v>360</v>
      </c>
      <c r="L930" s="55" t="s">
        <v>360</v>
      </c>
      <c r="M930" s="55" t="s">
        <v>136</v>
      </c>
      <c r="N930" s="55" t="s">
        <v>136</v>
      </c>
      <c r="O930" s="55" t="s">
        <v>255</v>
      </c>
      <c r="P930" s="55" t="s">
        <v>583</v>
      </c>
      <c r="Q930" s="55" t="s">
        <v>350</v>
      </c>
      <c r="R930" s="85">
        <v>2</v>
      </c>
      <c r="S930" s="55">
        <v>0</v>
      </c>
      <c r="T930" s="74" t="s">
        <v>858</v>
      </c>
      <c r="U930" s="74" t="s">
        <v>351</v>
      </c>
      <c r="V930" s="74">
        <v>44481</v>
      </c>
      <c r="W930" s="74">
        <v>44518</v>
      </c>
      <c r="X930" s="55">
        <v>10187405</v>
      </c>
      <c r="Y930" s="55" t="s">
        <v>130</v>
      </c>
      <c r="AB930" s="74" t="s">
        <v>130</v>
      </c>
      <c r="AC930" s="55" t="s">
        <v>130</v>
      </c>
      <c r="AL930" s="74"/>
      <c r="AM930" s="74"/>
    </row>
    <row r="931" spans="1:50" ht="13" x14ac:dyDescent="0.15">
      <c r="A931" s="55" t="str">
        <f>HYPERLINK("http://reports.ofsted.gov.uk/inspection-reports/find-inspection-report/provider/CARE/2538285","Ofsted Social Care Provider Webpage")</f>
        <v>Ofsted Social Care Provider Webpage</v>
      </c>
      <c r="B931" s="55">
        <v>2538285</v>
      </c>
      <c r="D931" s="55" t="s">
        <v>373</v>
      </c>
      <c r="E931" s="74">
        <v>43795</v>
      </c>
      <c r="F931" s="55" t="s">
        <v>344</v>
      </c>
      <c r="G931" s="55" t="s">
        <v>360</v>
      </c>
      <c r="H931" s="55" t="s">
        <v>360</v>
      </c>
      <c r="I931" s="55" t="s">
        <v>360</v>
      </c>
      <c r="J931" s="55" t="s">
        <v>360</v>
      </c>
      <c r="K931" s="55" t="s">
        <v>360</v>
      </c>
      <c r="L931" s="55" t="s">
        <v>360</v>
      </c>
      <c r="M931" s="55" t="s">
        <v>144</v>
      </c>
      <c r="N931" s="55" t="s">
        <v>144</v>
      </c>
      <c r="O931" s="55" t="s">
        <v>209</v>
      </c>
      <c r="P931" s="55" t="s">
        <v>629</v>
      </c>
      <c r="Q931" s="55" t="s">
        <v>350</v>
      </c>
      <c r="R931" s="85">
        <v>6</v>
      </c>
      <c r="S931" s="55">
        <v>0</v>
      </c>
      <c r="T931" s="74" t="s">
        <v>1554</v>
      </c>
      <c r="U931" s="74" t="s">
        <v>351</v>
      </c>
      <c r="V931" s="74">
        <v>44419</v>
      </c>
      <c r="W931" s="74">
        <v>44463</v>
      </c>
      <c r="X931" s="55">
        <v>10187439</v>
      </c>
      <c r="Y931" s="55" t="s">
        <v>130</v>
      </c>
      <c r="AB931" s="74" t="s">
        <v>130</v>
      </c>
      <c r="AC931" s="55" t="s">
        <v>130</v>
      </c>
      <c r="AL931" s="74"/>
      <c r="AM931" s="74"/>
      <c r="AW931" s="74"/>
      <c r="AX931" s="74"/>
    </row>
    <row r="932" spans="1:50" ht="13" x14ac:dyDescent="0.15">
      <c r="A932" s="55" t="str">
        <f>HYPERLINK("http://reports.ofsted.gov.uk/inspection-reports/find-inspection-report/provider/CARE/2538287","Ofsted Social Care Provider Webpage")</f>
        <v>Ofsted Social Care Provider Webpage</v>
      </c>
      <c r="B932" s="55">
        <v>2538287</v>
      </c>
      <c r="D932" s="55" t="s">
        <v>373</v>
      </c>
      <c r="E932" s="74">
        <v>43656</v>
      </c>
      <c r="F932" s="55" t="s">
        <v>344</v>
      </c>
      <c r="G932" s="55" t="s">
        <v>360</v>
      </c>
      <c r="H932" s="55" t="s">
        <v>360</v>
      </c>
      <c r="I932" s="55" t="s">
        <v>360</v>
      </c>
      <c r="J932" s="55" t="s">
        <v>360</v>
      </c>
      <c r="K932" s="55" t="s">
        <v>360</v>
      </c>
      <c r="L932" s="55" t="s">
        <v>360</v>
      </c>
      <c r="M932" s="55" t="s">
        <v>142</v>
      </c>
      <c r="N932" s="55" t="s">
        <v>142</v>
      </c>
      <c r="O932" s="55" t="s">
        <v>265</v>
      </c>
      <c r="P932" s="55" t="s">
        <v>540</v>
      </c>
      <c r="Q932" s="55" t="s">
        <v>380</v>
      </c>
      <c r="R932" s="85">
        <v>2</v>
      </c>
      <c r="S932" s="55">
        <v>0</v>
      </c>
      <c r="T932" s="74" t="s">
        <v>1067</v>
      </c>
      <c r="U932" s="74" t="s">
        <v>351</v>
      </c>
      <c r="V932" s="74">
        <v>44488</v>
      </c>
      <c r="W932" s="74">
        <v>44526</v>
      </c>
      <c r="X932" s="55">
        <v>10185279</v>
      </c>
      <c r="Y932" s="55" t="s">
        <v>132</v>
      </c>
      <c r="AB932" s="74" t="s">
        <v>130</v>
      </c>
      <c r="AC932" s="55" t="s">
        <v>132</v>
      </c>
      <c r="AL932" s="74"/>
      <c r="AM932" s="74"/>
      <c r="AW932" s="74"/>
      <c r="AX932" s="74"/>
    </row>
    <row r="933" spans="1:50" ht="13" x14ac:dyDescent="0.15">
      <c r="A933" s="55" t="str">
        <f>HYPERLINK("http://reports.ofsted.gov.uk/inspection-reports/find-inspection-report/provider/CARE/2538785","Ofsted Social Care Provider Webpage")</f>
        <v>Ofsted Social Care Provider Webpage</v>
      </c>
      <c r="B933" s="55">
        <v>2538785</v>
      </c>
      <c r="D933" s="55" t="s">
        <v>373</v>
      </c>
      <c r="E933" s="74">
        <v>43739</v>
      </c>
      <c r="F933" s="55" t="s">
        <v>344</v>
      </c>
      <c r="G933" s="55" t="s">
        <v>360</v>
      </c>
      <c r="H933" s="55" t="s">
        <v>360</v>
      </c>
      <c r="I933" s="55" t="s">
        <v>360</v>
      </c>
      <c r="J933" s="55" t="s">
        <v>360</v>
      </c>
      <c r="K933" s="55" t="s">
        <v>360</v>
      </c>
      <c r="L933" s="55" t="s">
        <v>360</v>
      </c>
      <c r="M933" s="55" t="s">
        <v>142</v>
      </c>
      <c r="N933" s="55" t="s">
        <v>142</v>
      </c>
      <c r="O933" s="55" t="s">
        <v>252</v>
      </c>
      <c r="P933" s="55" t="s">
        <v>388</v>
      </c>
      <c r="Q933" s="55" t="s">
        <v>362</v>
      </c>
      <c r="R933" s="85">
        <v>7</v>
      </c>
      <c r="S933" s="55" t="s">
        <v>332</v>
      </c>
      <c r="T933" s="74" t="s">
        <v>367</v>
      </c>
      <c r="U933" s="74" t="s">
        <v>351</v>
      </c>
      <c r="V933" s="74">
        <v>44397</v>
      </c>
      <c r="W933" s="74">
        <v>44452</v>
      </c>
      <c r="X933" s="55">
        <v>10185302</v>
      </c>
      <c r="Y933" s="55" t="s">
        <v>132</v>
      </c>
      <c r="AB933" s="74" t="s">
        <v>130</v>
      </c>
      <c r="AC933" s="55" t="s">
        <v>130</v>
      </c>
      <c r="AL933" s="74"/>
      <c r="AM933" s="74"/>
      <c r="AW933" s="74"/>
      <c r="AX933" s="74"/>
    </row>
    <row r="934" spans="1:50" ht="13" x14ac:dyDescent="0.15">
      <c r="A934" s="55" t="str">
        <f>HYPERLINK("http://reports.ofsted.gov.uk/inspection-reports/find-inspection-report/provider/CARE/2539201","Ofsted Social Care Provider Webpage")</f>
        <v>Ofsted Social Care Provider Webpage</v>
      </c>
      <c r="B934" s="55">
        <v>2539201</v>
      </c>
      <c r="D934" s="55" t="s">
        <v>373</v>
      </c>
      <c r="E934" s="74">
        <v>43705</v>
      </c>
      <c r="F934" s="55" t="s">
        <v>344</v>
      </c>
      <c r="G934" s="55" t="s">
        <v>360</v>
      </c>
      <c r="H934" s="55" t="s">
        <v>360</v>
      </c>
      <c r="I934" s="55" t="s">
        <v>360</v>
      </c>
      <c r="J934" s="55" t="s">
        <v>360</v>
      </c>
      <c r="K934" s="55" t="s">
        <v>360</v>
      </c>
      <c r="L934" s="55" t="s">
        <v>360</v>
      </c>
      <c r="M934" s="55" t="s">
        <v>172</v>
      </c>
      <c r="N934" s="55" t="s">
        <v>172</v>
      </c>
      <c r="O934" s="55" t="s">
        <v>235</v>
      </c>
      <c r="P934" s="55" t="s">
        <v>855</v>
      </c>
      <c r="Q934" s="55" t="s">
        <v>350</v>
      </c>
      <c r="R934" s="85">
        <v>3</v>
      </c>
      <c r="S934" s="55">
        <v>0</v>
      </c>
      <c r="T934" s="74" t="s">
        <v>517</v>
      </c>
      <c r="U934" s="74" t="s">
        <v>6703</v>
      </c>
      <c r="V934" s="74">
        <v>44582</v>
      </c>
      <c r="W934" s="74">
        <v>44610</v>
      </c>
      <c r="X934" s="55">
        <v>10213707</v>
      </c>
      <c r="Y934" s="55" t="s">
        <v>6705</v>
      </c>
      <c r="AL934" s="74"/>
      <c r="AM934" s="74"/>
      <c r="AW934" s="74"/>
      <c r="AX934" s="74"/>
    </row>
    <row r="935" spans="1:50" ht="13" x14ac:dyDescent="0.15">
      <c r="A935" s="55" t="str">
        <f>HYPERLINK("http://reports.ofsted.gov.uk/inspection-reports/find-inspection-report/provider/CARE/2539201","Ofsted Social Care Provider Webpage")</f>
        <v>Ofsted Social Care Provider Webpage</v>
      </c>
      <c r="B935" s="55">
        <v>2539201</v>
      </c>
      <c r="D935" s="55" t="s">
        <v>373</v>
      </c>
      <c r="E935" s="74">
        <v>43705</v>
      </c>
      <c r="F935" s="55" t="s">
        <v>344</v>
      </c>
      <c r="G935" s="55" t="s">
        <v>360</v>
      </c>
      <c r="H935" s="55" t="s">
        <v>360</v>
      </c>
      <c r="I935" s="55" t="s">
        <v>360</v>
      </c>
      <c r="J935" s="55" t="s">
        <v>360</v>
      </c>
      <c r="K935" s="55" t="s">
        <v>360</v>
      </c>
      <c r="L935" s="55" t="s">
        <v>360</v>
      </c>
      <c r="M935" s="55" t="s">
        <v>172</v>
      </c>
      <c r="N935" s="55" t="s">
        <v>172</v>
      </c>
      <c r="O935" s="55" t="s">
        <v>235</v>
      </c>
      <c r="P935" s="55" t="s">
        <v>855</v>
      </c>
      <c r="Q935" s="55" t="s">
        <v>350</v>
      </c>
      <c r="R935" s="85">
        <v>3</v>
      </c>
      <c r="S935" s="55">
        <v>0</v>
      </c>
      <c r="T935" s="74" t="s">
        <v>517</v>
      </c>
      <c r="U935" s="74" t="s">
        <v>351</v>
      </c>
      <c r="V935" s="74">
        <v>44299</v>
      </c>
      <c r="W935" s="74">
        <v>44329</v>
      </c>
      <c r="X935" s="55">
        <v>10185434</v>
      </c>
      <c r="Y935" s="55" t="s">
        <v>130</v>
      </c>
      <c r="AB935" s="74" t="s">
        <v>130</v>
      </c>
      <c r="AC935" s="55" t="s">
        <v>132</v>
      </c>
      <c r="AL935" s="74"/>
      <c r="AM935" s="74"/>
    </row>
    <row r="936" spans="1:50" ht="13" x14ac:dyDescent="0.15">
      <c r="A936" s="55" t="str">
        <f>HYPERLINK("http://reports.ofsted.gov.uk/inspection-reports/find-inspection-report/provider/CARE/2539305","Ofsted Social Care Provider Webpage")</f>
        <v>Ofsted Social Care Provider Webpage</v>
      </c>
      <c r="B936" s="55">
        <v>2539305</v>
      </c>
      <c r="D936" s="55" t="s">
        <v>373</v>
      </c>
      <c r="E936" s="74">
        <v>43672</v>
      </c>
      <c r="F936" s="55" t="s">
        <v>344</v>
      </c>
      <c r="G936" s="55" t="s">
        <v>360</v>
      </c>
      <c r="H936" s="55" t="s">
        <v>360</v>
      </c>
      <c r="I936" s="55" t="s">
        <v>360</v>
      </c>
      <c r="J936" s="55" t="s">
        <v>360</v>
      </c>
      <c r="K936" s="55" t="s">
        <v>360</v>
      </c>
      <c r="L936" s="55" t="s">
        <v>360</v>
      </c>
      <c r="M936" s="55" t="s">
        <v>136</v>
      </c>
      <c r="N936" s="55" t="s">
        <v>136</v>
      </c>
      <c r="O936" s="55" t="s">
        <v>239</v>
      </c>
      <c r="P936" s="55" t="s">
        <v>738</v>
      </c>
      <c r="Q936" s="55" t="s">
        <v>350</v>
      </c>
      <c r="R936" s="85">
        <v>1</v>
      </c>
      <c r="S936" s="55">
        <v>0</v>
      </c>
      <c r="T936" s="74" t="s">
        <v>739</v>
      </c>
      <c r="U936" s="74" t="s">
        <v>351</v>
      </c>
      <c r="V936" s="74">
        <v>44482</v>
      </c>
      <c r="W936" s="74">
        <v>44511</v>
      </c>
      <c r="X936" s="55">
        <v>10185375</v>
      </c>
      <c r="Y936" s="55" t="s">
        <v>132</v>
      </c>
      <c r="AB936" s="74" t="s">
        <v>132</v>
      </c>
      <c r="AC936" s="55" t="s">
        <v>132</v>
      </c>
      <c r="AL936" s="74"/>
      <c r="AM936" s="74"/>
      <c r="AW936" s="74"/>
      <c r="AX936" s="74"/>
    </row>
    <row r="937" spans="1:50" ht="13" x14ac:dyDescent="0.15">
      <c r="A937" s="55" t="str">
        <f>HYPERLINK("http://reports.ofsted.gov.uk/inspection-reports/find-inspection-report/provider/CARE/2539587","Ofsted Social Care Provider Webpage")</f>
        <v>Ofsted Social Care Provider Webpage</v>
      </c>
      <c r="B937" s="55">
        <v>2539587</v>
      </c>
      <c r="D937" s="55" t="s">
        <v>373</v>
      </c>
      <c r="E937" s="74">
        <v>43712</v>
      </c>
      <c r="F937" s="55" t="s">
        <v>344</v>
      </c>
      <c r="G937" s="55" t="s">
        <v>360</v>
      </c>
      <c r="H937" s="55" t="s">
        <v>360</v>
      </c>
      <c r="I937" s="55" t="s">
        <v>360</v>
      </c>
      <c r="J937" s="55" t="s">
        <v>360</v>
      </c>
      <c r="K937" s="55" t="s">
        <v>360</v>
      </c>
      <c r="L937" s="55" t="s">
        <v>360</v>
      </c>
      <c r="M937" s="55" t="s">
        <v>378</v>
      </c>
      <c r="N937" s="55" t="s">
        <v>134</v>
      </c>
      <c r="O937" s="55" t="s">
        <v>277</v>
      </c>
      <c r="P937" s="55" t="s">
        <v>461</v>
      </c>
      <c r="Q937" s="55" t="s">
        <v>350</v>
      </c>
      <c r="R937" s="85">
        <v>8</v>
      </c>
      <c r="S937" s="55">
        <v>0</v>
      </c>
      <c r="T937" s="74" t="s">
        <v>574</v>
      </c>
      <c r="U937" s="74" t="s">
        <v>351</v>
      </c>
      <c r="V937" s="74">
        <v>44489</v>
      </c>
      <c r="W937" s="74">
        <v>44532</v>
      </c>
      <c r="X937" s="55">
        <v>10186338</v>
      </c>
      <c r="Y937" s="55" t="s">
        <v>132</v>
      </c>
      <c r="AB937" s="74" t="s">
        <v>132</v>
      </c>
      <c r="AC937" s="55" t="s">
        <v>132</v>
      </c>
      <c r="AL937" s="74"/>
      <c r="AM937" s="74"/>
    </row>
    <row r="938" spans="1:50" ht="13" x14ac:dyDescent="0.15">
      <c r="A938" s="55" t="str">
        <f>HYPERLINK("http://reports.ofsted.gov.uk/inspection-reports/find-inspection-report/provider/CARE/2539688","Ofsted Social Care Provider Webpage")</f>
        <v>Ofsted Social Care Provider Webpage</v>
      </c>
      <c r="B938" s="55">
        <v>2539688</v>
      </c>
      <c r="D938" s="55" t="s">
        <v>373</v>
      </c>
      <c r="E938" s="74">
        <v>43658</v>
      </c>
      <c r="F938" s="55" t="s">
        <v>344</v>
      </c>
      <c r="G938" s="55" t="s">
        <v>360</v>
      </c>
      <c r="H938" s="55" t="s">
        <v>360</v>
      </c>
      <c r="I938" s="55" t="s">
        <v>360</v>
      </c>
      <c r="J938" s="55" t="s">
        <v>360</v>
      </c>
      <c r="K938" s="55" t="s">
        <v>360</v>
      </c>
      <c r="L938" s="55" t="s">
        <v>360</v>
      </c>
      <c r="M938" s="55" t="s">
        <v>172</v>
      </c>
      <c r="N938" s="55" t="s">
        <v>172</v>
      </c>
      <c r="O938" s="55" t="s">
        <v>173</v>
      </c>
      <c r="P938" s="55" t="s">
        <v>860</v>
      </c>
      <c r="Q938" s="55" t="s">
        <v>350</v>
      </c>
      <c r="R938" s="85">
        <v>3</v>
      </c>
      <c r="S938" s="55">
        <v>0</v>
      </c>
      <c r="T938" s="74" t="s">
        <v>520</v>
      </c>
      <c r="U938" s="74" t="s">
        <v>351</v>
      </c>
      <c r="V938" s="74">
        <v>44621</v>
      </c>
      <c r="W938" s="74">
        <v>44663</v>
      </c>
      <c r="X938" s="55">
        <v>10187073</v>
      </c>
      <c r="Y938" s="55" t="s">
        <v>140</v>
      </c>
      <c r="AB938" s="74" t="s">
        <v>140</v>
      </c>
      <c r="AC938" s="55" t="s">
        <v>140</v>
      </c>
      <c r="AL938" s="74"/>
      <c r="AM938" s="74"/>
      <c r="AW938" s="74"/>
      <c r="AX938" s="74"/>
    </row>
    <row r="939" spans="1:50" ht="13" x14ac:dyDescent="0.15">
      <c r="A939" s="55" t="str">
        <f>HYPERLINK("http://reports.ofsted.gov.uk/inspection-reports/find-inspection-report/provider/CARE/2539752","Ofsted Social Care Provider Webpage")</f>
        <v>Ofsted Social Care Provider Webpage</v>
      </c>
      <c r="B939" s="55">
        <v>2539752</v>
      </c>
      <c r="D939" s="55" t="s">
        <v>373</v>
      </c>
      <c r="E939" s="74">
        <v>43937</v>
      </c>
      <c r="F939" s="55" t="s">
        <v>344</v>
      </c>
      <c r="G939" s="55" t="s">
        <v>360</v>
      </c>
      <c r="H939" s="55" t="s">
        <v>360</v>
      </c>
      <c r="I939" s="55" t="s">
        <v>360</v>
      </c>
      <c r="J939" s="55" t="s">
        <v>360</v>
      </c>
      <c r="K939" s="55" t="s">
        <v>360</v>
      </c>
      <c r="L939" s="55" t="s">
        <v>360</v>
      </c>
      <c r="M939" s="55" t="s">
        <v>150</v>
      </c>
      <c r="N939" s="55" t="s">
        <v>150</v>
      </c>
      <c r="O939" s="55" t="s">
        <v>237</v>
      </c>
      <c r="P939" s="55" t="s">
        <v>859</v>
      </c>
      <c r="Q939" s="55" t="s">
        <v>350</v>
      </c>
      <c r="R939" s="85">
        <v>4</v>
      </c>
      <c r="S939" s="55">
        <v>0</v>
      </c>
      <c r="T939" s="74" t="s">
        <v>843</v>
      </c>
      <c r="U939" s="74" t="s">
        <v>351</v>
      </c>
      <c r="V939" s="74">
        <v>44376</v>
      </c>
      <c r="W939" s="74">
        <v>44407</v>
      </c>
      <c r="X939" s="55">
        <v>10187588</v>
      </c>
      <c r="Y939" s="55" t="s">
        <v>140</v>
      </c>
      <c r="AB939" s="74" t="s">
        <v>132</v>
      </c>
      <c r="AC939" s="55" t="s">
        <v>132</v>
      </c>
      <c r="AL939" s="74"/>
      <c r="AM939" s="74"/>
      <c r="AW939" s="74"/>
      <c r="AX939" s="74"/>
    </row>
    <row r="940" spans="1:50" ht="13" x14ac:dyDescent="0.15">
      <c r="A940" s="55" t="str">
        <f>HYPERLINK("http://reports.ofsted.gov.uk/inspection-reports/find-inspection-report/provider/CARE/2540073","Ofsted Social Care Provider Webpage")</f>
        <v>Ofsted Social Care Provider Webpage</v>
      </c>
      <c r="B940" s="55">
        <v>2540073</v>
      </c>
      <c r="D940" s="55" t="s">
        <v>373</v>
      </c>
      <c r="E940" s="74">
        <v>43752</v>
      </c>
      <c r="F940" s="55" t="s">
        <v>344</v>
      </c>
      <c r="G940" s="55" t="s">
        <v>360</v>
      </c>
      <c r="H940" s="55" t="s">
        <v>360</v>
      </c>
      <c r="I940" s="55" t="s">
        <v>360</v>
      </c>
      <c r="J940" s="55" t="s">
        <v>360</v>
      </c>
      <c r="K940" s="55" t="s">
        <v>360</v>
      </c>
      <c r="L940" s="55" t="s">
        <v>360</v>
      </c>
      <c r="M940" s="55" t="s">
        <v>144</v>
      </c>
      <c r="N940" s="55" t="s">
        <v>144</v>
      </c>
      <c r="O940" s="55" t="s">
        <v>162</v>
      </c>
      <c r="P940" s="55" t="s">
        <v>1502</v>
      </c>
      <c r="Q940" s="55" t="s">
        <v>350</v>
      </c>
      <c r="R940" s="85">
        <v>5</v>
      </c>
      <c r="S940" s="55">
        <v>0</v>
      </c>
      <c r="T940" s="74" t="s">
        <v>1503</v>
      </c>
      <c r="U940" s="74" t="s">
        <v>351</v>
      </c>
      <c r="V940" s="74">
        <v>44503</v>
      </c>
      <c r="W940" s="74">
        <v>44546</v>
      </c>
      <c r="X940" s="55">
        <v>10185553</v>
      </c>
      <c r="Y940" s="55" t="s">
        <v>132</v>
      </c>
      <c r="AB940" s="74" t="s">
        <v>132</v>
      </c>
      <c r="AC940" s="55" t="s">
        <v>132</v>
      </c>
      <c r="AL940" s="74"/>
      <c r="AM940" s="74"/>
      <c r="AW940" s="74"/>
      <c r="AX940" s="74"/>
    </row>
    <row r="941" spans="1:50" ht="13" x14ac:dyDescent="0.15">
      <c r="A941" s="55" t="str">
        <f>HYPERLINK("http://reports.ofsted.gov.uk/inspection-reports/find-inspection-report/provider/CARE/2540092","Ofsted Social Care Provider Webpage")</f>
        <v>Ofsted Social Care Provider Webpage</v>
      </c>
      <c r="B941" s="55">
        <v>2540092</v>
      </c>
      <c r="D941" s="55" t="s">
        <v>373</v>
      </c>
      <c r="E941" s="74">
        <v>44428</v>
      </c>
      <c r="F941" s="55" t="s">
        <v>344</v>
      </c>
      <c r="G941" s="55" t="s">
        <v>360</v>
      </c>
      <c r="H941" s="55" t="s">
        <v>360</v>
      </c>
      <c r="I941" s="55" t="s">
        <v>360</v>
      </c>
      <c r="J941" s="55" t="s">
        <v>360</v>
      </c>
      <c r="K941" s="55" t="s">
        <v>360</v>
      </c>
      <c r="L941" s="55" t="s">
        <v>360</v>
      </c>
      <c r="M941" s="55" t="s">
        <v>142</v>
      </c>
      <c r="N941" s="55" t="s">
        <v>142</v>
      </c>
      <c r="O941" s="55" t="s">
        <v>254</v>
      </c>
      <c r="P941" s="55" t="s">
        <v>254</v>
      </c>
      <c r="Q941" s="55" t="s">
        <v>350</v>
      </c>
      <c r="R941" s="85">
        <v>3</v>
      </c>
      <c r="S941" s="55">
        <v>0</v>
      </c>
      <c r="T941" s="74" t="s">
        <v>1558</v>
      </c>
      <c r="U941" s="74" t="s">
        <v>351</v>
      </c>
      <c r="V941" s="74">
        <v>44601</v>
      </c>
      <c r="W941" s="74">
        <v>44644</v>
      </c>
      <c r="X941" s="55">
        <v>10208732</v>
      </c>
      <c r="Y941" s="55" t="s">
        <v>130</v>
      </c>
      <c r="AB941" s="74" t="s">
        <v>130</v>
      </c>
      <c r="AC941" s="55" t="s">
        <v>130</v>
      </c>
      <c r="AL941" s="74"/>
      <c r="AM941" s="74"/>
      <c r="AW941" s="74"/>
      <c r="AX941" s="74"/>
    </row>
    <row r="942" spans="1:50" ht="13" x14ac:dyDescent="0.15">
      <c r="A942" s="55" t="str">
        <f>HYPERLINK("http://reports.ofsted.gov.uk/inspection-reports/find-inspection-report/provider/CARE/2540285","Ofsted Social Care Provider Webpage")</f>
        <v>Ofsted Social Care Provider Webpage</v>
      </c>
      <c r="B942" s="55">
        <v>2540285</v>
      </c>
      <c r="D942" s="55" t="s">
        <v>373</v>
      </c>
      <c r="E942" s="74">
        <v>43679</v>
      </c>
      <c r="F942" s="55" t="s">
        <v>344</v>
      </c>
      <c r="G942" s="55" t="s">
        <v>360</v>
      </c>
      <c r="H942" s="55" t="s">
        <v>360</v>
      </c>
      <c r="I942" s="55" t="s">
        <v>360</v>
      </c>
      <c r="J942" s="55" t="s">
        <v>360</v>
      </c>
      <c r="K942" s="55" t="s">
        <v>360</v>
      </c>
      <c r="L942" s="55" t="s">
        <v>360</v>
      </c>
      <c r="M942" s="55" t="s">
        <v>129</v>
      </c>
      <c r="N942" s="55" t="s">
        <v>129</v>
      </c>
      <c r="O942" s="55" t="s">
        <v>242</v>
      </c>
      <c r="P942" s="55" t="s">
        <v>1519</v>
      </c>
      <c r="Q942" s="55" t="s">
        <v>350</v>
      </c>
      <c r="R942" s="85">
        <v>8</v>
      </c>
      <c r="S942" s="55">
        <v>0</v>
      </c>
      <c r="T942" s="74" t="s">
        <v>1559</v>
      </c>
      <c r="U942" s="74" t="s">
        <v>351</v>
      </c>
      <c r="V942" s="74">
        <v>44334</v>
      </c>
      <c r="W942" s="74">
        <v>44375</v>
      </c>
      <c r="X942" s="55">
        <v>10185772</v>
      </c>
      <c r="Y942" s="55" t="s">
        <v>132</v>
      </c>
      <c r="AB942" s="74" t="s">
        <v>130</v>
      </c>
      <c r="AC942" s="55" t="s">
        <v>132</v>
      </c>
      <c r="AL942" s="74"/>
      <c r="AM942" s="74"/>
      <c r="AW942" s="74"/>
      <c r="AX942" s="74"/>
    </row>
    <row r="943" spans="1:50" ht="13" x14ac:dyDescent="0.15">
      <c r="A943" s="55" t="str">
        <f>HYPERLINK("http://reports.ofsted.gov.uk/inspection-reports/find-inspection-report/provider/CARE/2540658","Ofsted Social Care Provider Webpage")</f>
        <v>Ofsted Social Care Provider Webpage</v>
      </c>
      <c r="B943" s="55">
        <v>2540658</v>
      </c>
      <c r="D943" s="55" t="s">
        <v>373</v>
      </c>
      <c r="E943" s="74">
        <v>43713</v>
      </c>
      <c r="F943" s="55" t="s">
        <v>344</v>
      </c>
      <c r="G943" s="55" t="s">
        <v>360</v>
      </c>
      <c r="H943" s="55" t="s">
        <v>360</v>
      </c>
      <c r="I943" s="55" t="s">
        <v>360</v>
      </c>
      <c r="J943" s="55" t="s">
        <v>360</v>
      </c>
      <c r="K943" s="55" t="s">
        <v>360</v>
      </c>
      <c r="L943" s="55" t="s">
        <v>360</v>
      </c>
      <c r="M943" s="55" t="s">
        <v>144</v>
      </c>
      <c r="N943" s="55" t="s">
        <v>144</v>
      </c>
      <c r="O943" s="55" t="s">
        <v>290</v>
      </c>
      <c r="P943" s="55" t="s">
        <v>1512</v>
      </c>
      <c r="Q943" s="55" t="s">
        <v>350</v>
      </c>
      <c r="R943" s="85">
        <v>3</v>
      </c>
      <c r="S943" s="55">
        <v>0</v>
      </c>
      <c r="T943" s="74" t="s">
        <v>1560</v>
      </c>
      <c r="U943" s="74" t="s">
        <v>351</v>
      </c>
      <c r="V943" s="74">
        <v>44495</v>
      </c>
      <c r="W943" s="74">
        <v>44536</v>
      </c>
      <c r="X943" s="55">
        <v>10187659</v>
      </c>
      <c r="Y943" s="55" t="s">
        <v>130</v>
      </c>
      <c r="AB943" s="74" t="s">
        <v>130</v>
      </c>
      <c r="AC943" s="55" t="s">
        <v>130</v>
      </c>
      <c r="AL943" s="74"/>
      <c r="AM943" s="74"/>
      <c r="AW943" s="74"/>
      <c r="AX943" s="74"/>
    </row>
    <row r="944" spans="1:50" ht="13" x14ac:dyDescent="0.15">
      <c r="A944" s="55" t="str">
        <f>HYPERLINK("http://reports.ofsted.gov.uk/inspection-reports/find-inspection-report/provider/CARE/2540927","Ofsted Social Care Provider Webpage")</f>
        <v>Ofsted Social Care Provider Webpage</v>
      </c>
      <c r="B944" s="55">
        <v>2540927</v>
      </c>
      <c r="D944" s="55" t="s">
        <v>373</v>
      </c>
      <c r="E944" s="74">
        <v>43670</v>
      </c>
      <c r="F944" s="55" t="s">
        <v>344</v>
      </c>
      <c r="G944" s="55" t="s">
        <v>360</v>
      </c>
      <c r="H944" s="55" t="s">
        <v>360</v>
      </c>
      <c r="I944" s="55" t="s">
        <v>360</v>
      </c>
      <c r="J944" s="55" t="s">
        <v>360</v>
      </c>
      <c r="K944" s="55" t="s">
        <v>360</v>
      </c>
      <c r="L944" s="55" t="s">
        <v>360</v>
      </c>
      <c r="M944" s="55" t="s">
        <v>172</v>
      </c>
      <c r="N944" s="55" t="s">
        <v>172</v>
      </c>
      <c r="O944" s="55" t="s">
        <v>214</v>
      </c>
      <c r="P944" s="55" t="s">
        <v>1561</v>
      </c>
      <c r="Q944" s="55" t="s">
        <v>350</v>
      </c>
      <c r="R944" s="85">
        <v>3</v>
      </c>
      <c r="S944" s="55">
        <v>0</v>
      </c>
      <c r="T944" s="74" t="s">
        <v>517</v>
      </c>
      <c r="U944" s="74" t="s">
        <v>351</v>
      </c>
      <c r="V944" s="74">
        <v>44621</v>
      </c>
      <c r="W944" s="74">
        <v>44658</v>
      </c>
      <c r="X944" s="55">
        <v>10185615</v>
      </c>
      <c r="Y944" s="55" t="s">
        <v>132</v>
      </c>
      <c r="AB944" s="74" t="s">
        <v>132</v>
      </c>
      <c r="AC944" s="55" t="s">
        <v>132</v>
      </c>
      <c r="AL944" s="74"/>
      <c r="AM944" s="74"/>
      <c r="AW944" s="74"/>
      <c r="AX944" s="74"/>
    </row>
    <row r="945" spans="1:50" ht="13" x14ac:dyDescent="0.15">
      <c r="A945" s="55" t="str">
        <f>HYPERLINK("http://reports.ofsted.gov.uk/inspection-reports/find-inspection-report/provider/CARE/2541033","Ofsted Social Care Provider Webpage")</f>
        <v>Ofsted Social Care Provider Webpage</v>
      </c>
      <c r="B945" s="55">
        <v>2541033</v>
      </c>
      <c r="D945" s="55" t="s">
        <v>373</v>
      </c>
      <c r="E945" s="74">
        <v>43713</v>
      </c>
      <c r="F945" s="55" t="s">
        <v>344</v>
      </c>
      <c r="G945" s="55" t="s">
        <v>360</v>
      </c>
      <c r="H945" s="55" t="s">
        <v>360</v>
      </c>
      <c r="I945" s="55" t="s">
        <v>360</v>
      </c>
      <c r="J945" s="55" t="s">
        <v>360</v>
      </c>
      <c r="K945" s="55" t="s">
        <v>360</v>
      </c>
      <c r="L945" s="55" t="s">
        <v>360</v>
      </c>
      <c r="M945" s="55" t="s">
        <v>144</v>
      </c>
      <c r="N945" s="55" t="s">
        <v>144</v>
      </c>
      <c r="O945" s="55" t="s">
        <v>276</v>
      </c>
      <c r="P945" s="55" t="s">
        <v>1562</v>
      </c>
      <c r="Q945" s="55" t="s">
        <v>350</v>
      </c>
      <c r="R945" s="85">
        <v>5</v>
      </c>
      <c r="S945" s="55">
        <v>0</v>
      </c>
      <c r="T945" s="74" t="s">
        <v>1563</v>
      </c>
      <c r="U945" s="74" t="s">
        <v>351</v>
      </c>
      <c r="V945" s="74">
        <v>44314</v>
      </c>
      <c r="W945" s="74">
        <v>44358</v>
      </c>
      <c r="X945" s="55">
        <v>10185901</v>
      </c>
      <c r="Y945" s="55" t="s">
        <v>132</v>
      </c>
      <c r="AB945" s="74" t="s">
        <v>132</v>
      </c>
      <c r="AC945" s="55" t="s">
        <v>132</v>
      </c>
      <c r="AL945" s="74"/>
      <c r="AM945" s="74"/>
      <c r="AW945" s="74"/>
      <c r="AX945" s="74"/>
    </row>
    <row r="946" spans="1:50" ht="13" x14ac:dyDescent="0.15">
      <c r="A946" s="55" t="str">
        <f>HYPERLINK("http://reports.ofsted.gov.uk/inspection-reports/find-inspection-report/provider/CARE/2541440","Ofsted Social Care Provider Webpage")</f>
        <v>Ofsted Social Care Provider Webpage</v>
      </c>
      <c r="B946" s="55">
        <v>2541440</v>
      </c>
      <c r="D946" s="55" t="s">
        <v>373</v>
      </c>
      <c r="E946" s="74">
        <v>43871</v>
      </c>
      <c r="F946" s="55" t="s">
        <v>344</v>
      </c>
      <c r="G946" s="55" t="s">
        <v>360</v>
      </c>
      <c r="H946" s="55" t="s">
        <v>360</v>
      </c>
      <c r="I946" s="55" t="s">
        <v>360</v>
      </c>
      <c r="J946" s="55" t="s">
        <v>360</v>
      </c>
      <c r="K946" s="55" t="s">
        <v>360</v>
      </c>
      <c r="L946" s="55" t="s">
        <v>360</v>
      </c>
      <c r="M946" s="55" t="s">
        <v>142</v>
      </c>
      <c r="N946" s="55" t="s">
        <v>142</v>
      </c>
      <c r="O946" s="55" t="s">
        <v>262</v>
      </c>
      <c r="P946" s="55" t="s">
        <v>949</v>
      </c>
      <c r="Q946" s="55" t="s">
        <v>350</v>
      </c>
      <c r="R946" s="85">
        <v>3</v>
      </c>
      <c r="S946" s="55">
        <v>0</v>
      </c>
      <c r="T946" s="74" t="s">
        <v>1564</v>
      </c>
      <c r="U946" s="74" t="s">
        <v>2053</v>
      </c>
      <c r="V946" s="74">
        <v>44354</v>
      </c>
      <c r="W946" s="74">
        <v>44378</v>
      </c>
      <c r="X946" s="55">
        <v>10192818</v>
      </c>
      <c r="AL946" s="74"/>
      <c r="AM946" s="74"/>
      <c r="AW946" s="74"/>
      <c r="AX946" s="74"/>
    </row>
    <row r="947" spans="1:50" ht="13" x14ac:dyDescent="0.15">
      <c r="A947" s="55" t="str">
        <f>HYPERLINK("http://reports.ofsted.gov.uk/inspection-reports/find-inspection-report/provider/CARE/2541440","Ofsted Social Care Provider Webpage")</f>
        <v>Ofsted Social Care Provider Webpage</v>
      </c>
      <c r="B947" s="55">
        <v>2541440</v>
      </c>
      <c r="D947" s="55" t="s">
        <v>373</v>
      </c>
      <c r="E947" s="74">
        <v>43871</v>
      </c>
      <c r="F947" s="55" t="s">
        <v>344</v>
      </c>
      <c r="G947" s="55" t="s">
        <v>360</v>
      </c>
      <c r="H947" s="55" t="s">
        <v>360</v>
      </c>
      <c r="I947" s="55" t="s">
        <v>360</v>
      </c>
      <c r="J947" s="55" t="s">
        <v>360</v>
      </c>
      <c r="K947" s="55" t="s">
        <v>360</v>
      </c>
      <c r="L947" s="55" t="s">
        <v>360</v>
      </c>
      <c r="M947" s="55" t="s">
        <v>142</v>
      </c>
      <c r="N947" s="55" t="s">
        <v>142</v>
      </c>
      <c r="O947" s="55" t="s">
        <v>262</v>
      </c>
      <c r="P947" s="55" t="s">
        <v>949</v>
      </c>
      <c r="Q947" s="55" t="s">
        <v>350</v>
      </c>
      <c r="R947" s="85">
        <v>3</v>
      </c>
      <c r="S947" s="55">
        <v>0</v>
      </c>
      <c r="T947" s="74" t="s">
        <v>1564</v>
      </c>
      <c r="U947" s="74" t="s">
        <v>351</v>
      </c>
      <c r="V947" s="74">
        <v>44298</v>
      </c>
      <c r="W947" s="74">
        <v>44354</v>
      </c>
      <c r="X947" s="55">
        <v>10186862</v>
      </c>
      <c r="Y947" s="55" t="s">
        <v>130</v>
      </c>
      <c r="AB947" s="74" t="s">
        <v>130</v>
      </c>
      <c r="AC947" s="55" t="s">
        <v>146</v>
      </c>
      <c r="AL947" s="74"/>
      <c r="AM947" s="74"/>
      <c r="AW947" s="74"/>
      <c r="AX947" s="74"/>
    </row>
    <row r="948" spans="1:50" ht="13" x14ac:dyDescent="0.15">
      <c r="A948" s="55" t="str">
        <f>HYPERLINK("http://reports.ofsted.gov.uk/inspection-reports/find-inspection-report/provider/CARE/2541449","Ofsted Social Care Provider Webpage")</f>
        <v>Ofsted Social Care Provider Webpage</v>
      </c>
      <c r="B948" s="55">
        <v>2541449</v>
      </c>
      <c r="D948" s="55" t="s">
        <v>373</v>
      </c>
      <c r="E948" s="74">
        <v>43843</v>
      </c>
      <c r="F948" s="55" t="s">
        <v>344</v>
      </c>
      <c r="G948" s="55" t="s">
        <v>360</v>
      </c>
      <c r="H948" s="55" t="s">
        <v>360</v>
      </c>
      <c r="I948" s="55" t="s">
        <v>360</v>
      </c>
      <c r="J948" s="55" t="s">
        <v>360</v>
      </c>
      <c r="K948" s="55" t="s">
        <v>360</v>
      </c>
      <c r="L948" s="55" t="s">
        <v>360</v>
      </c>
      <c r="M948" s="55" t="s">
        <v>144</v>
      </c>
      <c r="N948" s="55" t="s">
        <v>144</v>
      </c>
      <c r="O948" s="55" t="s">
        <v>162</v>
      </c>
      <c r="P948" s="55" t="s">
        <v>1502</v>
      </c>
      <c r="Q948" s="55" t="s">
        <v>362</v>
      </c>
      <c r="R948" s="85">
        <v>3</v>
      </c>
      <c r="S948" s="55">
        <v>0</v>
      </c>
      <c r="T948" s="74" t="s">
        <v>1565</v>
      </c>
      <c r="U948" s="74" t="s">
        <v>351</v>
      </c>
      <c r="V948" s="74">
        <v>44510</v>
      </c>
      <c r="W948" s="74">
        <v>44559</v>
      </c>
      <c r="X948" s="55">
        <v>10186891</v>
      </c>
      <c r="Y948" s="55" t="s">
        <v>132</v>
      </c>
      <c r="AB948" s="74" t="s">
        <v>130</v>
      </c>
      <c r="AC948" s="55" t="s">
        <v>130</v>
      </c>
      <c r="AL948" s="74"/>
      <c r="AM948" s="74"/>
    </row>
    <row r="949" spans="1:50" ht="13" x14ac:dyDescent="0.15">
      <c r="A949" s="55" t="str">
        <f>HYPERLINK("http://reports.ofsted.gov.uk/inspection-reports/find-inspection-report/provider/CARE/2541467","Ofsted Social Care Provider Webpage")</f>
        <v>Ofsted Social Care Provider Webpage</v>
      </c>
      <c r="B949" s="55">
        <v>2541467</v>
      </c>
      <c r="D949" s="55" t="s">
        <v>373</v>
      </c>
      <c r="E949" s="74">
        <v>43815</v>
      </c>
      <c r="F949" s="55" t="s">
        <v>344</v>
      </c>
      <c r="G949" s="55" t="s">
        <v>360</v>
      </c>
      <c r="H949" s="55" t="s">
        <v>360</v>
      </c>
      <c r="I949" s="55" t="s">
        <v>360</v>
      </c>
      <c r="J949" s="55" t="s">
        <v>360</v>
      </c>
      <c r="K949" s="55" t="s">
        <v>360</v>
      </c>
      <c r="L949" s="55" t="s">
        <v>360</v>
      </c>
      <c r="M949" s="55" t="s">
        <v>144</v>
      </c>
      <c r="N949" s="55" t="s">
        <v>144</v>
      </c>
      <c r="O949" s="55" t="s">
        <v>215</v>
      </c>
      <c r="P949" s="55" t="s">
        <v>1440</v>
      </c>
      <c r="Q949" s="55" t="s">
        <v>350</v>
      </c>
      <c r="R949" s="85">
        <v>4</v>
      </c>
      <c r="S949" s="55">
        <v>0</v>
      </c>
      <c r="T949" s="74" t="s">
        <v>1566</v>
      </c>
      <c r="U949" s="74" t="s">
        <v>351</v>
      </c>
      <c r="V949" s="74">
        <v>44411</v>
      </c>
      <c r="W949" s="74">
        <v>44447</v>
      </c>
      <c r="X949" s="55">
        <v>10195291</v>
      </c>
      <c r="Y949" s="55" t="s">
        <v>130</v>
      </c>
      <c r="AB949" s="74" t="s">
        <v>130</v>
      </c>
      <c r="AC949" s="55" t="s">
        <v>130</v>
      </c>
      <c r="AL949" s="74"/>
      <c r="AM949" s="74"/>
    </row>
    <row r="950" spans="1:50" ht="13" x14ac:dyDescent="0.15">
      <c r="A950" s="55" t="str">
        <f>HYPERLINK("http://reports.ofsted.gov.uk/inspection-reports/find-inspection-report/provider/CARE/2541467","Ofsted Social Care Provider Webpage")</f>
        <v>Ofsted Social Care Provider Webpage</v>
      </c>
      <c r="B950" s="55">
        <v>2541467</v>
      </c>
      <c r="D950" s="55" t="s">
        <v>373</v>
      </c>
      <c r="E950" s="74">
        <v>43815</v>
      </c>
      <c r="F950" s="55" t="s">
        <v>344</v>
      </c>
      <c r="G950" s="55" t="s">
        <v>360</v>
      </c>
      <c r="H950" s="55" t="s">
        <v>360</v>
      </c>
      <c r="I950" s="55" t="s">
        <v>360</v>
      </c>
      <c r="J950" s="55" t="s">
        <v>360</v>
      </c>
      <c r="K950" s="55" t="s">
        <v>360</v>
      </c>
      <c r="L950" s="55" t="s">
        <v>360</v>
      </c>
      <c r="M950" s="55" t="s">
        <v>144</v>
      </c>
      <c r="N950" s="55" t="s">
        <v>144</v>
      </c>
      <c r="O950" s="55" t="s">
        <v>215</v>
      </c>
      <c r="P950" s="55" t="s">
        <v>1440</v>
      </c>
      <c r="Q950" s="55" t="s">
        <v>350</v>
      </c>
      <c r="R950" s="85">
        <v>4</v>
      </c>
      <c r="S950" s="55">
        <v>0</v>
      </c>
      <c r="T950" s="74" t="s">
        <v>1566</v>
      </c>
      <c r="U950" s="74" t="s">
        <v>2053</v>
      </c>
      <c r="V950" s="74">
        <v>44361</v>
      </c>
      <c r="W950" s="74">
        <v>44399</v>
      </c>
      <c r="X950" s="55">
        <v>10195290</v>
      </c>
      <c r="AL950" s="74"/>
      <c r="AM950" s="74"/>
      <c r="AW950" s="74"/>
      <c r="AX950" s="74"/>
    </row>
    <row r="951" spans="1:50" ht="13" x14ac:dyDescent="0.15">
      <c r="A951" s="55" t="str">
        <f>HYPERLINK("http://reports.ofsted.gov.uk/inspection-reports/find-inspection-report/provider/CARE/2541467","Ofsted Social Care Provider Webpage")</f>
        <v>Ofsted Social Care Provider Webpage</v>
      </c>
      <c r="B951" s="55">
        <v>2541467</v>
      </c>
      <c r="D951" s="55" t="s">
        <v>373</v>
      </c>
      <c r="E951" s="74">
        <v>43815</v>
      </c>
      <c r="F951" s="55" t="s">
        <v>344</v>
      </c>
      <c r="G951" s="55" t="s">
        <v>360</v>
      </c>
      <c r="H951" s="55" t="s">
        <v>360</v>
      </c>
      <c r="I951" s="55" t="s">
        <v>360</v>
      </c>
      <c r="J951" s="55" t="s">
        <v>360</v>
      </c>
      <c r="K951" s="55" t="s">
        <v>360</v>
      </c>
      <c r="L951" s="55" t="s">
        <v>360</v>
      </c>
      <c r="M951" s="55" t="s">
        <v>144</v>
      </c>
      <c r="N951" s="55" t="s">
        <v>144</v>
      </c>
      <c r="O951" s="55" t="s">
        <v>215</v>
      </c>
      <c r="P951" s="55" t="s">
        <v>1440</v>
      </c>
      <c r="Q951" s="55" t="s">
        <v>350</v>
      </c>
      <c r="R951" s="85">
        <v>4</v>
      </c>
      <c r="S951" s="55">
        <v>0</v>
      </c>
      <c r="T951" s="74" t="s">
        <v>1566</v>
      </c>
      <c r="U951" s="74" t="s">
        <v>351</v>
      </c>
      <c r="V951" s="74">
        <v>44314</v>
      </c>
      <c r="W951" s="74">
        <v>44365</v>
      </c>
      <c r="X951" s="55">
        <v>10186268</v>
      </c>
      <c r="Y951" s="55" t="s">
        <v>146</v>
      </c>
      <c r="AB951" s="74" t="s">
        <v>146</v>
      </c>
      <c r="AC951" s="55" t="s">
        <v>146</v>
      </c>
      <c r="AL951" s="74"/>
      <c r="AM951" s="74"/>
      <c r="AW951" s="74"/>
      <c r="AX951" s="74"/>
    </row>
    <row r="952" spans="1:50" ht="13" x14ac:dyDescent="0.15">
      <c r="A952" s="55" t="str">
        <f>HYPERLINK("http://reports.ofsted.gov.uk/inspection-reports/find-inspection-report/provider/CARE/2541624","Ofsted Social Care Provider Webpage")</f>
        <v>Ofsted Social Care Provider Webpage</v>
      </c>
      <c r="B952" s="55">
        <v>2541624</v>
      </c>
      <c r="D952" s="55" t="s">
        <v>389</v>
      </c>
      <c r="E952" s="74">
        <v>43741</v>
      </c>
      <c r="F952" s="55" t="s">
        <v>344</v>
      </c>
      <c r="G952" s="55" t="s">
        <v>1390</v>
      </c>
      <c r="H952" s="55" t="s">
        <v>1567</v>
      </c>
      <c r="I952" s="55" t="s">
        <v>1568</v>
      </c>
      <c r="J952" s="55" t="s">
        <v>745</v>
      </c>
      <c r="K952" s="55" t="s">
        <v>1569</v>
      </c>
      <c r="L952" s="55" t="s">
        <v>746</v>
      </c>
      <c r="M952" s="55" t="s">
        <v>142</v>
      </c>
      <c r="N952" s="55" t="s">
        <v>142</v>
      </c>
      <c r="O952" s="55" t="s">
        <v>195</v>
      </c>
      <c r="P952" s="55" t="s">
        <v>747</v>
      </c>
      <c r="Q952" s="55" t="s">
        <v>350</v>
      </c>
      <c r="S952" s="55">
        <v>0</v>
      </c>
      <c r="T952" s="74" t="s">
        <v>1395</v>
      </c>
      <c r="U952" s="74" t="s">
        <v>351</v>
      </c>
      <c r="V952" s="74">
        <v>44522</v>
      </c>
      <c r="W952" s="74">
        <v>44581</v>
      </c>
      <c r="X952" s="55">
        <v>10183206</v>
      </c>
      <c r="Y952" s="55" t="s">
        <v>132</v>
      </c>
      <c r="AB952" s="74" t="s">
        <v>132</v>
      </c>
      <c r="AC952" s="55" t="s">
        <v>132</v>
      </c>
      <c r="AL952" s="74"/>
      <c r="AM952" s="74"/>
      <c r="AW952" s="74"/>
      <c r="AX952" s="74"/>
    </row>
    <row r="953" spans="1:50" ht="13" x14ac:dyDescent="0.15">
      <c r="A953" s="55" t="str">
        <f>HYPERLINK("http://reports.ofsted.gov.uk/inspection-reports/find-inspection-report/provider/CARE/2541993","Ofsted Social Care Provider Webpage")</f>
        <v>Ofsted Social Care Provider Webpage</v>
      </c>
      <c r="B953" s="55">
        <v>2541993</v>
      </c>
      <c r="D953" s="55" t="s">
        <v>373</v>
      </c>
      <c r="E953" s="74">
        <v>43836</v>
      </c>
      <c r="F953" s="55" t="s">
        <v>344</v>
      </c>
      <c r="G953" s="55" t="s">
        <v>360</v>
      </c>
      <c r="H953" s="55" t="s">
        <v>360</v>
      </c>
      <c r="I953" s="55" t="s">
        <v>360</v>
      </c>
      <c r="J953" s="55" t="s">
        <v>360</v>
      </c>
      <c r="K953" s="55" t="s">
        <v>360</v>
      </c>
      <c r="L953" s="55" t="s">
        <v>360</v>
      </c>
      <c r="M953" s="55" t="s">
        <v>172</v>
      </c>
      <c r="N953" s="55" t="s">
        <v>172</v>
      </c>
      <c r="O953" s="55" t="s">
        <v>228</v>
      </c>
      <c r="P953" s="55" t="s">
        <v>423</v>
      </c>
      <c r="Q953" s="55" t="s">
        <v>350</v>
      </c>
      <c r="R953" s="85">
        <v>4</v>
      </c>
      <c r="S953" s="55">
        <v>0</v>
      </c>
      <c r="T953" s="74" t="s">
        <v>668</v>
      </c>
      <c r="U953" s="74" t="s">
        <v>351</v>
      </c>
      <c r="V953" s="74">
        <v>44418</v>
      </c>
      <c r="W953" s="74">
        <v>44446</v>
      </c>
      <c r="X953" s="55">
        <v>10186019</v>
      </c>
      <c r="Y953" s="55" t="s">
        <v>132</v>
      </c>
      <c r="AB953" s="74" t="s">
        <v>132</v>
      </c>
      <c r="AC953" s="55" t="s">
        <v>140</v>
      </c>
      <c r="AL953" s="74"/>
      <c r="AM953" s="74"/>
      <c r="AW953" s="74"/>
      <c r="AX953" s="74"/>
    </row>
    <row r="954" spans="1:50" ht="13" x14ac:dyDescent="0.15">
      <c r="A954" s="55" t="str">
        <f>HYPERLINK("http://reports.ofsted.gov.uk/inspection-reports/find-inspection-report/provider/CARE/2542024","Ofsted Social Care Provider Webpage")</f>
        <v>Ofsted Social Care Provider Webpage</v>
      </c>
      <c r="B954" s="55">
        <v>2542024</v>
      </c>
      <c r="D954" s="55" t="s">
        <v>373</v>
      </c>
      <c r="E954" s="74">
        <v>43707</v>
      </c>
      <c r="F954" s="55" t="s">
        <v>344</v>
      </c>
      <c r="G954" s="55" t="s">
        <v>360</v>
      </c>
      <c r="H954" s="55" t="s">
        <v>360</v>
      </c>
      <c r="I954" s="55" t="s">
        <v>360</v>
      </c>
      <c r="J954" s="55" t="s">
        <v>360</v>
      </c>
      <c r="K954" s="55" t="s">
        <v>360</v>
      </c>
      <c r="L954" s="55" t="s">
        <v>360</v>
      </c>
      <c r="M954" s="55" t="s">
        <v>144</v>
      </c>
      <c r="N954" s="55" t="s">
        <v>144</v>
      </c>
      <c r="O954" s="55" t="s">
        <v>217</v>
      </c>
      <c r="P954" s="55" t="s">
        <v>384</v>
      </c>
      <c r="Q954" s="55" t="s">
        <v>350</v>
      </c>
      <c r="R954" s="85">
        <v>2</v>
      </c>
      <c r="S954" s="55">
        <v>0</v>
      </c>
      <c r="T954" s="74" t="s">
        <v>1570</v>
      </c>
      <c r="U954" s="74" t="s">
        <v>351</v>
      </c>
      <c r="V954" s="74">
        <v>44621</v>
      </c>
      <c r="W954" s="74">
        <v>44665</v>
      </c>
      <c r="X954" s="55">
        <v>10186774</v>
      </c>
      <c r="Y954" s="55" t="s">
        <v>132</v>
      </c>
      <c r="AB954" s="74" t="s">
        <v>132</v>
      </c>
      <c r="AC954" s="55" t="s">
        <v>132</v>
      </c>
      <c r="AL954" s="74"/>
      <c r="AM954" s="74"/>
    </row>
    <row r="955" spans="1:50" ht="13" x14ac:dyDescent="0.15">
      <c r="A955" s="55" t="str">
        <f>HYPERLINK("http://reports.ofsted.gov.uk/inspection-reports/find-inspection-report/provider/CARE/2542463","Ofsted Social Care Provider Webpage")</f>
        <v>Ofsted Social Care Provider Webpage</v>
      </c>
      <c r="B955" s="55">
        <v>2542463</v>
      </c>
      <c r="D955" s="55" t="s">
        <v>389</v>
      </c>
      <c r="E955" s="74">
        <v>44012</v>
      </c>
      <c r="F955" s="55" t="s">
        <v>344</v>
      </c>
      <c r="G955" s="55" t="s">
        <v>1571</v>
      </c>
      <c r="H955" s="55" t="s">
        <v>1572</v>
      </c>
      <c r="I955" s="55" t="s">
        <v>1573</v>
      </c>
      <c r="J955" s="55" t="s">
        <v>1437</v>
      </c>
      <c r="K955" s="55" t="s">
        <v>262</v>
      </c>
      <c r="L955" s="55" t="s">
        <v>1574</v>
      </c>
      <c r="M955" s="55" t="s">
        <v>142</v>
      </c>
      <c r="N955" s="55" t="s">
        <v>142</v>
      </c>
      <c r="O955" s="55" t="s">
        <v>265</v>
      </c>
      <c r="P955" s="55" t="s">
        <v>1215</v>
      </c>
      <c r="Q955" s="55" t="s">
        <v>350</v>
      </c>
      <c r="S955" s="55">
        <v>0</v>
      </c>
      <c r="T955" s="74" t="s">
        <v>1571</v>
      </c>
      <c r="U955" s="74" t="s">
        <v>351</v>
      </c>
      <c r="V955" s="74">
        <v>44522</v>
      </c>
      <c r="W955" s="74">
        <v>44566</v>
      </c>
      <c r="X955" s="55">
        <v>10183211</v>
      </c>
      <c r="Y955" s="55" t="s">
        <v>132</v>
      </c>
      <c r="AB955" s="74" t="s">
        <v>132</v>
      </c>
      <c r="AC955" s="55" t="s">
        <v>132</v>
      </c>
      <c r="AL955" s="74"/>
      <c r="AM955" s="74"/>
    </row>
    <row r="956" spans="1:50" ht="13" x14ac:dyDescent="0.15">
      <c r="A956" s="55" t="str">
        <f>HYPERLINK("http://reports.ofsted.gov.uk/inspection-reports/find-inspection-report/provider/CARE/2542730","Ofsted Social Care Provider Webpage")</f>
        <v>Ofsted Social Care Provider Webpage</v>
      </c>
      <c r="B956" s="55">
        <v>2542730</v>
      </c>
      <c r="D956" s="55" t="s">
        <v>373</v>
      </c>
      <c r="E956" s="74">
        <v>43710</v>
      </c>
      <c r="F956" s="55" t="s">
        <v>344</v>
      </c>
      <c r="G956" s="55" t="s">
        <v>360</v>
      </c>
      <c r="H956" s="55" t="s">
        <v>360</v>
      </c>
      <c r="I956" s="55" t="s">
        <v>360</v>
      </c>
      <c r="J956" s="55" t="s">
        <v>360</v>
      </c>
      <c r="K956" s="55" t="s">
        <v>360</v>
      </c>
      <c r="L956" s="55" t="s">
        <v>360</v>
      </c>
      <c r="M956" s="55" t="s">
        <v>378</v>
      </c>
      <c r="N956" s="55" t="s">
        <v>134</v>
      </c>
      <c r="O956" s="55" t="s">
        <v>277</v>
      </c>
      <c r="P956" s="55" t="s">
        <v>461</v>
      </c>
      <c r="Q956" s="55" t="s">
        <v>380</v>
      </c>
      <c r="R956" s="85">
        <v>2</v>
      </c>
      <c r="S956" s="55">
        <v>0</v>
      </c>
      <c r="T956" s="74" t="s">
        <v>1575</v>
      </c>
      <c r="U956" s="74" t="s">
        <v>351</v>
      </c>
      <c r="V956" s="74">
        <v>44600</v>
      </c>
      <c r="W956" s="74">
        <v>44641</v>
      </c>
      <c r="X956" s="55">
        <v>10185528</v>
      </c>
      <c r="Y956" s="55" t="s">
        <v>132</v>
      </c>
      <c r="AB956" s="74" t="s">
        <v>132</v>
      </c>
      <c r="AC956" s="55" t="s">
        <v>132</v>
      </c>
      <c r="AL956" s="74"/>
      <c r="AM956" s="74"/>
      <c r="AW956" s="74"/>
      <c r="AX956" s="74"/>
    </row>
    <row r="957" spans="1:50" ht="13" x14ac:dyDescent="0.15">
      <c r="A957" s="55" t="str">
        <f>HYPERLINK("http://reports.ofsted.gov.uk/inspection-reports/find-inspection-report/provider/CARE/2542813","Ofsted Social Care Provider Webpage")</f>
        <v>Ofsted Social Care Provider Webpage</v>
      </c>
      <c r="B957" s="55">
        <v>2542813</v>
      </c>
      <c r="D957" s="55" t="s">
        <v>373</v>
      </c>
      <c r="E957" s="74">
        <v>43735</v>
      </c>
      <c r="F957" s="55" t="s">
        <v>344</v>
      </c>
      <c r="G957" s="55" t="s">
        <v>360</v>
      </c>
      <c r="H957" s="55" t="s">
        <v>360</v>
      </c>
      <c r="I957" s="55" t="s">
        <v>360</v>
      </c>
      <c r="J957" s="55" t="s">
        <v>360</v>
      </c>
      <c r="K957" s="55" t="s">
        <v>360</v>
      </c>
      <c r="L957" s="55" t="s">
        <v>360</v>
      </c>
      <c r="M957" s="55" t="s">
        <v>144</v>
      </c>
      <c r="N957" s="55" t="s">
        <v>144</v>
      </c>
      <c r="O957" s="55" t="s">
        <v>188</v>
      </c>
      <c r="P957" s="55" t="s">
        <v>188</v>
      </c>
      <c r="Q957" s="55" t="s">
        <v>350</v>
      </c>
      <c r="R957" s="85">
        <v>1</v>
      </c>
      <c r="S957" s="55">
        <v>0</v>
      </c>
      <c r="T957" s="74" t="s">
        <v>385</v>
      </c>
      <c r="U957" s="74" t="s">
        <v>351</v>
      </c>
      <c r="V957" s="74">
        <v>44334</v>
      </c>
      <c r="W957" s="74">
        <v>44371</v>
      </c>
      <c r="X957" s="55">
        <v>10186987</v>
      </c>
      <c r="Y957" s="55" t="s">
        <v>146</v>
      </c>
      <c r="AB957" s="74" t="s">
        <v>146</v>
      </c>
      <c r="AC957" s="55" t="s">
        <v>146</v>
      </c>
      <c r="AL957" s="74"/>
      <c r="AM957" s="74"/>
    </row>
    <row r="958" spans="1:50" ht="13" x14ac:dyDescent="0.15">
      <c r="A958" s="55" t="str">
        <f>HYPERLINK("http://reports.ofsted.gov.uk/inspection-reports/find-inspection-report/provider/CARE/2543081","Ofsted Social Care Provider Webpage")</f>
        <v>Ofsted Social Care Provider Webpage</v>
      </c>
      <c r="B958" s="55">
        <v>2543081</v>
      </c>
      <c r="D958" s="55" t="s">
        <v>373</v>
      </c>
      <c r="E958" s="74">
        <v>43699</v>
      </c>
      <c r="F958" s="55" t="s">
        <v>344</v>
      </c>
      <c r="G958" s="55" t="s">
        <v>360</v>
      </c>
      <c r="H958" s="55" t="s">
        <v>360</v>
      </c>
      <c r="I958" s="55" t="s">
        <v>360</v>
      </c>
      <c r="J958" s="55" t="s">
        <v>360</v>
      </c>
      <c r="K958" s="55" t="s">
        <v>360</v>
      </c>
      <c r="L958" s="55" t="s">
        <v>360</v>
      </c>
      <c r="M958" s="55" t="s">
        <v>142</v>
      </c>
      <c r="N958" s="55" t="s">
        <v>142</v>
      </c>
      <c r="O958" s="55" t="s">
        <v>262</v>
      </c>
      <c r="P958" s="55" t="s">
        <v>916</v>
      </c>
      <c r="Q958" s="55" t="s">
        <v>350</v>
      </c>
      <c r="R958" s="85">
        <v>3</v>
      </c>
      <c r="S958" s="55">
        <v>0</v>
      </c>
      <c r="T958" s="74" t="s">
        <v>917</v>
      </c>
      <c r="U958" s="74" t="s">
        <v>351</v>
      </c>
      <c r="V958" s="74">
        <v>44593</v>
      </c>
      <c r="W958" s="74">
        <v>44629</v>
      </c>
      <c r="X958" s="55">
        <v>10187225</v>
      </c>
      <c r="Y958" s="55" t="s">
        <v>132</v>
      </c>
      <c r="AB958" s="74" t="s">
        <v>132</v>
      </c>
      <c r="AC958" s="55" t="s">
        <v>132</v>
      </c>
      <c r="AL958" s="74"/>
      <c r="AM958" s="74"/>
    </row>
    <row r="959" spans="1:50" ht="13" x14ac:dyDescent="0.15">
      <c r="A959" s="55" t="str">
        <f>HYPERLINK("http://reports.ofsted.gov.uk/inspection-reports/find-inspection-report/provider/CARE/2543427","Ofsted Social Care Provider Webpage")</f>
        <v>Ofsted Social Care Provider Webpage</v>
      </c>
      <c r="B959" s="55">
        <v>2543427</v>
      </c>
      <c r="D959" s="55" t="s">
        <v>373</v>
      </c>
      <c r="E959" s="74">
        <v>43936</v>
      </c>
      <c r="F959" s="55" t="s">
        <v>344</v>
      </c>
      <c r="G959" s="55" t="s">
        <v>360</v>
      </c>
      <c r="H959" s="55" t="s">
        <v>360</v>
      </c>
      <c r="I959" s="55" t="s">
        <v>360</v>
      </c>
      <c r="J959" s="55" t="s">
        <v>360</v>
      </c>
      <c r="K959" s="55" t="s">
        <v>360</v>
      </c>
      <c r="L959" s="55" t="s">
        <v>360</v>
      </c>
      <c r="M959" s="55" t="s">
        <v>150</v>
      </c>
      <c r="N959" s="55" t="s">
        <v>150</v>
      </c>
      <c r="O959" s="55" t="s">
        <v>156</v>
      </c>
      <c r="P959" s="55" t="s">
        <v>1576</v>
      </c>
      <c r="Q959" s="55" t="s">
        <v>350</v>
      </c>
      <c r="R959" s="85">
        <v>4</v>
      </c>
      <c r="S959" s="55">
        <v>0</v>
      </c>
      <c r="T959" s="74" t="s">
        <v>843</v>
      </c>
      <c r="U959" s="74" t="s">
        <v>351</v>
      </c>
      <c r="V959" s="74">
        <v>44417</v>
      </c>
      <c r="W959" s="74">
        <v>44449</v>
      </c>
      <c r="X959" s="55">
        <v>10185230</v>
      </c>
      <c r="Y959" s="55" t="s">
        <v>132</v>
      </c>
      <c r="AB959" s="74" t="s">
        <v>132</v>
      </c>
      <c r="AC959" s="55" t="s">
        <v>132</v>
      </c>
      <c r="AL959" s="74"/>
      <c r="AM959" s="74"/>
      <c r="AW959" s="74"/>
      <c r="AX959" s="74"/>
    </row>
    <row r="960" spans="1:50" ht="13" x14ac:dyDescent="0.15">
      <c r="A960" s="55" t="str">
        <f>HYPERLINK("http://reports.ofsted.gov.uk/inspection-reports/find-inspection-report/provider/CARE/2543427","Ofsted Social Care Provider Webpage")</f>
        <v>Ofsted Social Care Provider Webpage</v>
      </c>
      <c r="B960" s="55">
        <v>2543427</v>
      </c>
      <c r="D960" s="55" t="s">
        <v>373</v>
      </c>
      <c r="E960" s="74">
        <v>43936</v>
      </c>
      <c r="F960" s="55" t="s">
        <v>344</v>
      </c>
      <c r="G960" s="55" t="s">
        <v>360</v>
      </c>
      <c r="H960" s="55" t="s">
        <v>360</v>
      </c>
      <c r="I960" s="55" t="s">
        <v>360</v>
      </c>
      <c r="J960" s="55" t="s">
        <v>360</v>
      </c>
      <c r="K960" s="55" t="s">
        <v>360</v>
      </c>
      <c r="L960" s="55" t="s">
        <v>360</v>
      </c>
      <c r="M960" s="55" t="s">
        <v>150</v>
      </c>
      <c r="N960" s="55" t="s">
        <v>150</v>
      </c>
      <c r="O960" s="55" t="s">
        <v>156</v>
      </c>
      <c r="P960" s="55" t="s">
        <v>1576</v>
      </c>
      <c r="Q960" s="55" t="s">
        <v>350</v>
      </c>
      <c r="R960" s="85">
        <v>4</v>
      </c>
      <c r="S960" s="55">
        <v>0</v>
      </c>
      <c r="T960" s="74" t="s">
        <v>843</v>
      </c>
      <c r="U960" s="74" t="s">
        <v>2053</v>
      </c>
      <c r="V960" s="74">
        <v>44336</v>
      </c>
      <c r="W960" s="74">
        <v>44390</v>
      </c>
      <c r="X960" s="55">
        <v>10195752</v>
      </c>
      <c r="AL960" s="74"/>
      <c r="AM960" s="74"/>
      <c r="AW960" s="74"/>
      <c r="AX960" s="74"/>
    </row>
    <row r="961" spans="1:50" ht="13" x14ac:dyDescent="0.15">
      <c r="A961" s="55" t="str">
        <f>HYPERLINK("http://reports.ofsted.gov.uk/inspection-reports/find-inspection-report/provider/CARE/2543640","Ofsted Social Care Provider Webpage")</f>
        <v>Ofsted Social Care Provider Webpage</v>
      </c>
      <c r="B961" s="55">
        <v>2543640</v>
      </c>
      <c r="D961" s="55" t="s">
        <v>373</v>
      </c>
      <c r="E961" s="74">
        <v>43766</v>
      </c>
      <c r="F961" s="55" t="s">
        <v>344</v>
      </c>
      <c r="G961" s="55" t="s">
        <v>360</v>
      </c>
      <c r="H961" s="55" t="s">
        <v>360</v>
      </c>
      <c r="I961" s="55" t="s">
        <v>360</v>
      </c>
      <c r="J961" s="55" t="s">
        <v>360</v>
      </c>
      <c r="K961" s="55" t="s">
        <v>360</v>
      </c>
      <c r="L961" s="55" t="s">
        <v>360</v>
      </c>
      <c r="M961" s="55" t="s">
        <v>144</v>
      </c>
      <c r="N961" s="55" t="s">
        <v>144</v>
      </c>
      <c r="O961" s="55" t="s">
        <v>209</v>
      </c>
      <c r="P961" s="55" t="s">
        <v>545</v>
      </c>
      <c r="Q961" s="55" t="s">
        <v>350</v>
      </c>
      <c r="R961" s="85">
        <v>3</v>
      </c>
      <c r="S961" s="55">
        <v>0</v>
      </c>
      <c r="T961" s="74" t="s">
        <v>1577</v>
      </c>
      <c r="U961" s="74" t="s">
        <v>351</v>
      </c>
      <c r="V961" s="74">
        <v>44545</v>
      </c>
      <c r="W961" s="74">
        <v>44592</v>
      </c>
      <c r="X961" s="55">
        <v>10187059</v>
      </c>
      <c r="Y961" s="55" t="s">
        <v>132</v>
      </c>
      <c r="AB961" s="74" t="s">
        <v>132</v>
      </c>
      <c r="AC961" s="55" t="s">
        <v>132</v>
      </c>
      <c r="AL961" s="74"/>
      <c r="AM961" s="74"/>
    </row>
    <row r="962" spans="1:50" ht="13" x14ac:dyDescent="0.15">
      <c r="A962" s="55" t="str">
        <f>HYPERLINK("http://reports.ofsted.gov.uk/inspection-reports/find-inspection-report/provider/CARE/2543646","Ofsted Social Care Provider Webpage")</f>
        <v>Ofsted Social Care Provider Webpage</v>
      </c>
      <c r="B962" s="55">
        <v>2543646</v>
      </c>
      <c r="C962" s="55">
        <v>131181</v>
      </c>
      <c r="D962" s="55" t="s">
        <v>398</v>
      </c>
      <c r="E962" s="74">
        <v>43627</v>
      </c>
      <c r="F962" s="55" t="s">
        <v>344</v>
      </c>
      <c r="G962" s="55" t="s">
        <v>1578</v>
      </c>
      <c r="H962" s="55" t="s">
        <v>1579</v>
      </c>
      <c r="I962" s="55" t="s">
        <v>1580</v>
      </c>
      <c r="J962" s="55" t="s">
        <v>593</v>
      </c>
      <c r="K962" s="55" t="s">
        <v>203</v>
      </c>
      <c r="L962" s="55" t="s">
        <v>1581</v>
      </c>
      <c r="M962" s="55" t="s">
        <v>150</v>
      </c>
      <c r="N962" s="55" t="s">
        <v>150</v>
      </c>
      <c r="O962" s="55" t="s">
        <v>203</v>
      </c>
      <c r="P962" s="55" t="s">
        <v>593</v>
      </c>
      <c r="Q962" s="55" t="s">
        <v>350</v>
      </c>
      <c r="R962" s="85">
        <v>26</v>
      </c>
      <c r="S962" s="55">
        <v>0</v>
      </c>
      <c r="U962" s="74" t="s">
        <v>351</v>
      </c>
      <c r="V962" s="74">
        <v>44488</v>
      </c>
      <c r="W962" s="74">
        <v>44524</v>
      </c>
      <c r="X962" s="55">
        <v>10183227</v>
      </c>
      <c r="Y962" s="55" t="s">
        <v>140</v>
      </c>
      <c r="AB962" s="74" t="s">
        <v>140</v>
      </c>
      <c r="AC962" s="55" t="s">
        <v>140</v>
      </c>
      <c r="AL962" s="74"/>
      <c r="AM962" s="74"/>
    </row>
    <row r="963" spans="1:50" ht="13" x14ac:dyDescent="0.15">
      <c r="A963" s="55" t="str">
        <f>HYPERLINK("http://reports.ofsted.gov.uk/inspection-reports/find-inspection-report/provider/CARE/2544217","Ofsted Social Care Provider Webpage")</f>
        <v>Ofsted Social Care Provider Webpage</v>
      </c>
      <c r="B963" s="55">
        <v>2544217</v>
      </c>
      <c r="D963" s="55" t="s">
        <v>373</v>
      </c>
      <c r="E963" s="74">
        <v>43664</v>
      </c>
      <c r="F963" s="55" t="s">
        <v>344</v>
      </c>
      <c r="G963" s="55" t="s">
        <v>360</v>
      </c>
      <c r="H963" s="55" t="s">
        <v>360</v>
      </c>
      <c r="I963" s="55" t="s">
        <v>360</v>
      </c>
      <c r="J963" s="55" t="s">
        <v>360</v>
      </c>
      <c r="K963" s="55" t="s">
        <v>360</v>
      </c>
      <c r="L963" s="55" t="s">
        <v>360</v>
      </c>
      <c r="M963" s="55" t="s">
        <v>172</v>
      </c>
      <c r="N963" s="55" t="s">
        <v>172</v>
      </c>
      <c r="O963" s="55" t="s">
        <v>235</v>
      </c>
      <c r="P963" s="55" t="s">
        <v>855</v>
      </c>
      <c r="Q963" s="55" t="s">
        <v>350</v>
      </c>
      <c r="R963" s="85">
        <v>5</v>
      </c>
      <c r="S963" s="55">
        <v>0</v>
      </c>
      <c r="T963" s="74" t="s">
        <v>1582</v>
      </c>
      <c r="U963" s="74" t="s">
        <v>351</v>
      </c>
      <c r="V963" s="74">
        <v>44425</v>
      </c>
      <c r="W963" s="74">
        <v>44470</v>
      </c>
      <c r="X963" s="55">
        <v>10185789</v>
      </c>
      <c r="Y963" s="55" t="s">
        <v>146</v>
      </c>
      <c r="AB963" s="74" t="s">
        <v>146</v>
      </c>
      <c r="AC963" s="55" t="s">
        <v>146</v>
      </c>
      <c r="AL963" s="74"/>
      <c r="AM963" s="74"/>
    </row>
    <row r="964" spans="1:50" ht="13" x14ac:dyDescent="0.15">
      <c r="A964" s="55" t="str">
        <f>HYPERLINK("http://reports.ofsted.gov.uk/inspection-reports/find-inspection-report/provider/CARE/2544217","Ofsted Social Care Provider Webpage")</f>
        <v>Ofsted Social Care Provider Webpage</v>
      </c>
      <c r="B964" s="55">
        <v>2544217</v>
      </c>
      <c r="D964" s="55" t="s">
        <v>373</v>
      </c>
      <c r="E964" s="74">
        <v>43664</v>
      </c>
      <c r="F964" s="55" t="s">
        <v>344</v>
      </c>
      <c r="G964" s="55" t="s">
        <v>360</v>
      </c>
      <c r="H964" s="55" t="s">
        <v>360</v>
      </c>
      <c r="I964" s="55" t="s">
        <v>360</v>
      </c>
      <c r="J964" s="55" t="s">
        <v>360</v>
      </c>
      <c r="K964" s="55" t="s">
        <v>360</v>
      </c>
      <c r="L964" s="55" t="s">
        <v>360</v>
      </c>
      <c r="M964" s="55" t="s">
        <v>172</v>
      </c>
      <c r="N964" s="55" t="s">
        <v>172</v>
      </c>
      <c r="O964" s="55" t="s">
        <v>235</v>
      </c>
      <c r="P964" s="55" t="s">
        <v>855</v>
      </c>
      <c r="Q964" s="55" t="s">
        <v>350</v>
      </c>
      <c r="R964" s="85">
        <v>5</v>
      </c>
      <c r="S964" s="55">
        <v>0</v>
      </c>
      <c r="T964" s="74" t="s">
        <v>1582</v>
      </c>
      <c r="U964" s="74" t="s">
        <v>2053</v>
      </c>
      <c r="V964" s="74">
        <v>44536</v>
      </c>
      <c r="W964" s="74">
        <v>44580</v>
      </c>
      <c r="X964" s="55">
        <v>10213016</v>
      </c>
      <c r="AL964" s="74"/>
      <c r="AM964" s="74"/>
    </row>
    <row r="965" spans="1:50" ht="13" x14ac:dyDescent="0.15">
      <c r="A965" s="55" t="str">
        <f>HYPERLINK("http://reports.ofsted.gov.uk/inspection-reports/find-inspection-report/provider/CARE/2544217","Ofsted Social Care Provider Webpage")</f>
        <v>Ofsted Social Care Provider Webpage</v>
      </c>
      <c r="B965" s="55">
        <v>2544217</v>
      </c>
      <c r="D965" s="55" t="s">
        <v>373</v>
      </c>
      <c r="E965" s="74">
        <v>43664</v>
      </c>
      <c r="F965" s="55" t="s">
        <v>344</v>
      </c>
      <c r="G965" s="55" t="s">
        <v>360</v>
      </c>
      <c r="H965" s="55" t="s">
        <v>360</v>
      </c>
      <c r="I965" s="55" t="s">
        <v>360</v>
      </c>
      <c r="J965" s="55" t="s">
        <v>360</v>
      </c>
      <c r="K965" s="55" t="s">
        <v>360</v>
      </c>
      <c r="L965" s="55" t="s">
        <v>360</v>
      </c>
      <c r="M965" s="55" t="s">
        <v>172</v>
      </c>
      <c r="N965" s="55" t="s">
        <v>172</v>
      </c>
      <c r="O965" s="55" t="s">
        <v>235</v>
      </c>
      <c r="P965" s="55" t="s">
        <v>855</v>
      </c>
      <c r="Q965" s="55" t="s">
        <v>350</v>
      </c>
      <c r="R965" s="85">
        <v>5</v>
      </c>
      <c r="S965" s="55">
        <v>0</v>
      </c>
      <c r="T965" s="74" t="s">
        <v>1582</v>
      </c>
      <c r="U965" s="74" t="s">
        <v>351</v>
      </c>
      <c r="V965" s="74">
        <v>44475</v>
      </c>
      <c r="W965" s="74">
        <v>44533</v>
      </c>
      <c r="X965" s="55">
        <v>10205863</v>
      </c>
      <c r="Y965" s="55" t="s">
        <v>130</v>
      </c>
      <c r="AB965" s="74" t="s">
        <v>130</v>
      </c>
      <c r="AC965" s="55" t="s">
        <v>130</v>
      </c>
      <c r="AL965" s="74"/>
      <c r="AM965" s="74"/>
    </row>
    <row r="966" spans="1:50" ht="13" x14ac:dyDescent="0.15">
      <c r="A966" s="55" t="str">
        <f>HYPERLINK("http://reports.ofsted.gov.uk/inspection-reports/find-inspection-report/provider/CARE/2544219","Ofsted Social Care Provider Webpage")</f>
        <v>Ofsted Social Care Provider Webpage</v>
      </c>
      <c r="B966" s="55">
        <v>2544219</v>
      </c>
      <c r="D966" s="55" t="s">
        <v>373</v>
      </c>
      <c r="E966" s="74">
        <v>44018</v>
      </c>
      <c r="F966" s="55" t="s">
        <v>344</v>
      </c>
      <c r="G966" s="55" t="s">
        <v>360</v>
      </c>
      <c r="H966" s="55" t="s">
        <v>360</v>
      </c>
      <c r="I966" s="55" t="s">
        <v>360</v>
      </c>
      <c r="J966" s="55" t="s">
        <v>360</v>
      </c>
      <c r="K966" s="55" t="s">
        <v>360</v>
      </c>
      <c r="L966" s="55" t="s">
        <v>360</v>
      </c>
      <c r="M966" s="55" t="s">
        <v>378</v>
      </c>
      <c r="N966" s="55" t="s">
        <v>134</v>
      </c>
      <c r="O966" s="55" t="s">
        <v>180</v>
      </c>
      <c r="P966" s="55" t="s">
        <v>1249</v>
      </c>
      <c r="Q966" s="55" t="s">
        <v>350</v>
      </c>
      <c r="R966" s="85">
        <v>2</v>
      </c>
      <c r="S966" s="55">
        <v>0</v>
      </c>
      <c r="T966" s="74" t="s">
        <v>1484</v>
      </c>
      <c r="U966" s="74" t="s">
        <v>351</v>
      </c>
      <c r="V966" s="74">
        <v>44538</v>
      </c>
      <c r="W966" s="74">
        <v>44586</v>
      </c>
      <c r="X966" s="55">
        <v>10185019</v>
      </c>
      <c r="Y966" s="55" t="s">
        <v>132</v>
      </c>
      <c r="AB966" s="74" t="s">
        <v>132</v>
      </c>
      <c r="AC966" s="55" t="s">
        <v>130</v>
      </c>
      <c r="AL966" s="74"/>
      <c r="AM966" s="74"/>
      <c r="AW966" s="74"/>
      <c r="AX966" s="74"/>
    </row>
    <row r="967" spans="1:50" ht="13" x14ac:dyDescent="0.15">
      <c r="A967" s="55" t="str">
        <f>HYPERLINK("http://reports.ofsted.gov.uk/inspection-reports/find-inspection-report/provider/CARE/2544274","Ofsted Social Care Provider Webpage")</f>
        <v>Ofsted Social Care Provider Webpage</v>
      </c>
      <c r="B967" s="55">
        <v>2544274</v>
      </c>
      <c r="D967" s="55" t="s">
        <v>373</v>
      </c>
      <c r="E967" s="74">
        <v>43710</v>
      </c>
      <c r="F967" s="55" t="s">
        <v>344</v>
      </c>
      <c r="G967" s="55" t="s">
        <v>360</v>
      </c>
      <c r="H967" s="55" t="s">
        <v>360</v>
      </c>
      <c r="I967" s="55" t="s">
        <v>360</v>
      </c>
      <c r="J967" s="55" t="s">
        <v>360</v>
      </c>
      <c r="K967" s="55" t="s">
        <v>360</v>
      </c>
      <c r="L967" s="55" t="s">
        <v>360</v>
      </c>
      <c r="M967" s="55" t="s">
        <v>378</v>
      </c>
      <c r="N967" s="55" t="s">
        <v>134</v>
      </c>
      <c r="O967" s="55" t="s">
        <v>277</v>
      </c>
      <c r="P967" s="55" t="s">
        <v>461</v>
      </c>
      <c r="Q967" s="55" t="s">
        <v>380</v>
      </c>
      <c r="R967" s="85">
        <v>2</v>
      </c>
      <c r="S967" s="55">
        <v>0</v>
      </c>
      <c r="T967" s="74" t="s">
        <v>1575</v>
      </c>
      <c r="U967" s="74" t="s">
        <v>351</v>
      </c>
      <c r="V967" s="74">
        <v>44608</v>
      </c>
      <c r="W967" s="74">
        <v>44652</v>
      </c>
      <c r="X967" s="55">
        <v>10186808</v>
      </c>
      <c r="Y967" s="55" t="s">
        <v>132</v>
      </c>
      <c r="AB967" s="74" t="s">
        <v>132</v>
      </c>
      <c r="AC967" s="55" t="s">
        <v>132</v>
      </c>
      <c r="AL967" s="74"/>
      <c r="AM967" s="74"/>
    </row>
    <row r="968" spans="1:50" ht="13" x14ac:dyDescent="0.15">
      <c r="A968" s="55" t="str">
        <f>HYPERLINK("http://reports.ofsted.gov.uk/inspection-reports/find-inspection-report/provider/CARE/2544803","Ofsted Social Care Provider Webpage")</f>
        <v>Ofsted Social Care Provider Webpage</v>
      </c>
      <c r="B968" s="55">
        <v>2544803</v>
      </c>
      <c r="D968" s="55" t="s">
        <v>373</v>
      </c>
      <c r="E968" s="74">
        <v>43714</v>
      </c>
      <c r="F968" s="55" t="s">
        <v>344</v>
      </c>
      <c r="G968" s="55" t="s">
        <v>360</v>
      </c>
      <c r="H968" s="55" t="s">
        <v>360</v>
      </c>
      <c r="I968" s="55" t="s">
        <v>360</v>
      </c>
      <c r="J968" s="55" t="s">
        <v>360</v>
      </c>
      <c r="K968" s="55" t="s">
        <v>360</v>
      </c>
      <c r="L968" s="55" t="s">
        <v>360</v>
      </c>
      <c r="M968" s="55" t="s">
        <v>138</v>
      </c>
      <c r="N968" s="55" t="s">
        <v>138</v>
      </c>
      <c r="O968" s="55" t="s">
        <v>183</v>
      </c>
      <c r="P968" s="55" t="s">
        <v>907</v>
      </c>
      <c r="Q968" s="55" t="s">
        <v>350</v>
      </c>
      <c r="R968" s="85">
        <v>4</v>
      </c>
      <c r="S968" s="55">
        <v>0</v>
      </c>
      <c r="T968" s="74" t="s">
        <v>385</v>
      </c>
      <c r="U968" s="74" t="s">
        <v>351</v>
      </c>
      <c r="V968" s="74">
        <v>44488</v>
      </c>
      <c r="W968" s="74">
        <v>44519</v>
      </c>
      <c r="X968" s="55">
        <v>10186427</v>
      </c>
      <c r="Y968" s="55" t="s">
        <v>132</v>
      </c>
      <c r="AB968" s="74" t="s">
        <v>132</v>
      </c>
      <c r="AC968" s="55" t="s">
        <v>132</v>
      </c>
      <c r="AL968" s="74"/>
      <c r="AM968" s="74"/>
      <c r="AW968" s="74"/>
      <c r="AX968" s="74"/>
    </row>
    <row r="969" spans="1:50" ht="13" x14ac:dyDescent="0.15">
      <c r="A969" s="55" t="str">
        <f>HYPERLINK("http://reports.ofsted.gov.uk/inspection-reports/find-inspection-report/provider/CARE/2544851","Ofsted Social Care Provider Webpage")</f>
        <v>Ofsted Social Care Provider Webpage</v>
      </c>
      <c r="B969" s="55">
        <v>2544851</v>
      </c>
      <c r="D969" s="55" t="s">
        <v>373</v>
      </c>
      <c r="E969" s="74">
        <v>43803</v>
      </c>
      <c r="F969" s="55" t="s">
        <v>344</v>
      </c>
      <c r="G969" s="55" t="s">
        <v>360</v>
      </c>
      <c r="H969" s="55" t="s">
        <v>360</v>
      </c>
      <c r="I969" s="55" t="s">
        <v>360</v>
      </c>
      <c r="J969" s="55" t="s">
        <v>360</v>
      </c>
      <c r="K969" s="55" t="s">
        <v>360</v>
      </c>
      <c r="L969" s="55" t="s">
        <v>360</v>
      </c>
      <c r="M969" s="55" t="s">
        <v>378</v>
      </c>
      <c r="N969" s="55" t="s">
        <v>170</v>
      </c>
      <c r="O969" s="55" t="s">
        <v>267</v>
      </c>
      <c r="P969" s="55" t="s">
        <v>477</v>
      </c>
      <c r="Q969" s="55" t="s">
        <v>350</v>
      </c>
      <c r="R969" s="85">
        <v>3</v>
      </c>
      <c r="S969" s="55">
        <v>0</v>
      </c>
      <c r="T969" s="74" t="s">
        <v>1583</v>
      </c>
      <c r="U969" s="74" t="s">
        <v>351</v>
      </c>
      <c r="V969" s="74">
        <v>44334</v>
      </c>
      <c r="W969" s="74">
        <v>44369</v>
      </c>
      <c r="X969" s="55">
        <v>10185099</v>
      </c>
      <c r="Y969" s="55" t="s">
        <v>132</v>
      </c>
      <c r="AB969" s="74" t="s">
        <v>132</v>
      </c>
      <c r="AC969" s="55" t="s">
        <v>130</v>
      </c>
      <c r="AL969" s="74"/>
      <c r="AM969" s="74"/>
    </row>
    <row r="970" spans="1:50" ht="13" x14ac:dyDescent="0.15">
      <c r="A970" s="55" t="str">
        <f>HYPERLINK("http://reports.ofsted.gov.uk/inspection-reports/find-inspection-report/provider/CARE/2544885","Ofsted Social Care Provider Webpage")</f>
        <v>Ofsted Social Care Provider Webpage</v>
      </c>
      <c r="B970" s="55">
        <v>2544885</v>
      </c>
      <c r="D970" s="55" t="s">
        <v>373</v>
      </c>
      <c r="E970" s="74">
        <v>43678</v>
      </c>
      <c r="F970" s="55" t="s">
        <v>344</v>
      </c>
      <c r="G970" s="55" t="s">
        <v>360</v>
      </c>
      <c r="H970" s="55" t="s">
        <v>360</v>
      </c>
      <c r="I970" s="55" t="s">
        <v>360</v>
      </c>
      <c r="J970" s="55" t="s">
        <v>360</v>
      </c>
      <c r="K970" s="55" t="s">
        <v>360</v>
      </c>
      <c r="L970" s="55" t="s">
        <v>360</v>
      </c>
      <c r="M970" s="55" t="s">
        <v>129</v>
      </c>
      <c r="N970" s="55" t="s">
        <v>129</v>
      </c>
      <c r="O970" s="55" t="s">
        <v>179</v>
      </c>
      <c r="P970" s="55" t="s">
        <v>1584</v>
      </c>
      <c r="Q970" s="55" t="s">
        <v>350</v>
      </c>
      <c r="R970" s="85">
        <v>4</v>
      </c>
      <c r="S970" s="55">
        <v>0</v>
      </c>
      <c r="T970" s="74" t="s">
        <v>1585</v>
      </c>
      <c r="U970" s="74" t="s">
        <v>351</v>
      </c>
      <c r="V970" s="74">
        <v>44530</v>
      </c>
      <c r="W970" s="74">
        <v>44578</v>
      </c>
      <c r="X970" s="55">
        <v>10185105</v>
      </c>
      <c r="Y970" s="55" t="s">
        <v>132</v>
      </c>
      <c r="AB970" s="74" t="s">
        <v>132</v>
      </c>
      <c r="AC970" s="55" t="s">
        <v>132</v>
      </c>
      <c r="AL970" s="74"/>
      <c r="AM970" s="74"/>
      <c r="AW970" s="74"/>
      <c r="AX970" s="74"/>
    </row>
    <row r="971" spans="1:50" ht="13" x14ac:dyDescent="0.15">
      <c r="A971" s="55" t="str">
        <f>HYPERLINK("http://reports.ofsted.gov.uk/inspection-reports/find-inspection-report/provider/CARE/2545027","Ofsted Social Care Provider Webpage")</f>
        <v>Ofsted Social Care Provider Webpage</v>
      </c>
      <c r="B971" s="55">
        <v>2545027</v>
      </c>
      <c r="D971" s="55" t="s">
        <v>373</v>
      </c>
      <c r="E971" s="74">
        <v>43728</v>
      </c>
      <c r="F971" s="55" t="s">
        <v>344</v>
      </c>
      <c r="G971" s="55" t="s">
        <v>360</v>
      </c>
      <c r="H971" s="55" t="s">
        <v>360</v>
      </c>
      <c r="I971" s="55" t="s">
        <v>360</v>
      </c>
      <c r="J971" s="55" t="s">
        <v>360</v>
      </c>
      <c r="K971" s="55" t="s">
        <v>360</v>
      </c>
      <c r="L971" s="55" t="s">
        <v>360</v>
      </c>
      <c r="M971" s="55" t="s">
        <v>172</v>
      </c>
      <c r="N971" s="55" t="s">
        <v>172</v>
      </c>
      <c r="O971" s="55" t="s">
        <v>284</v>
      </c>
      <c r="P971" s="55" t="s">
        <v>985</v>
      </c>
      <c r="Q971" s="55" t="s">
        <v>350</v>
      </c>
      <c r="R971" s="85">
        <v>2</v>
      </c>
      <c r="S971" s="55">
        <v>0</v>
      </c>
      <c r="T971" s="74" t="s">
        <v>1586</v>
      </c>
      <c r="U971" s="74" t="s">
        <v>351</v>
      </c>
      <c r="V971" s="74">
        <v>44377</v>
      </c>
      <c r="W971" s="74">
        <v>44410</v>
      </c>
      <c r="X971" s="55">
        <v>10195647</v>
      </c>
      <c r="Y971" s="55" t="s">
        <v>130</v>
      </c>
      <c r="AB971" s="74" t="s">
        <v>130</v>
      </c>
      <c r="AC971" s="55" t="s">
        <v>130</v>
      </c>
      <c r="AL971" s="74"/>
      <c r="AM971" s="74"/>
      <c r="AW971" s="74"/>
      <c r="AX971" s="74"/>
    </row>
    <row r="972" spans="1:50" ht="13" x14ac:dyDescent="0.15">
      <c r="A972" s="55" t="str">
        <f>HYPERLINK("http://reports.ofsted.gov.uk/inspection-reports/find-inspection-report/provider/CARE/2545027","Ofsted Social Care Provider Webpage")</f>
        <v>Ofsted Social Care Provider Webpage</v>
      </c>
      <c r="B972" s="55">
        <v>2545027</v>
      </c>
      <c r="D972" s="55" t="s">
        <v>373</v>
      </c>
      <c r="E972" s="74">
        <v>43728</v>
      </c>
      <c r="F972" s="55" t="s">
        <v>344</v>
      </c>
      <c r="G972" s="55" t="s">
        <v>360</v>
      </c>
      <c r="H972" s="55" t="s">
        <v>360</v>
      </c>
      <c r="I972" s="55" t="s">
        <v>360</v>
      </c>
      <c r="J972" s="55" t="s">
        <v>360</v>
      </c>
      <c r="K972" s="55" t="s">
        <v>360</v>
      </c>
      <c r="L972" s="55" t="s">
        <v>360</v>
      </c>
      <c r="M972" s="55" t="s">
        <v>172</v>
      </c>
      <c r="N972" s="55" t="s">
        <v>172</v>
      </c>
      <c r="O972" s="55" t="s">
        <v>284</v>
      </c>
      <c r="P972" s="55" t="s">
        <v>985</v>
      </c>
      <c r="Q972" s="55" t="s">
        <v>350</v>
      </c>
      <c r="R972" s="85">
        <v>2</v>
      </c>
      <c r="S972" s="55">
        <v>0</v>
      </c>
      <c r="T972" s="74" t="s">
        <v>1586</v>
      </c>
      <c r="U972" s="74" t="s">
        <v>351</v>
      </c>
      <c r="V972" s="74">
        <v>44327</v>
      </c>
      <c r="W972" s="74">
        <v>44364</v>
      </c>
      <c r="X972" s="55">
        <v>10185984</v>
      </c>
      <c r="Y972" s="55" t="s">
        <v>146</v>
      </c>
      <c r="AB972" s="74" t="s">
        <v>146</v>
      </c>
      <c r="AC972" s="55" t="s">
        <v>146</v>
      </c>
      <c r="AL972" s="74"/>
      <c r="AM972" s="74"/>
    </row>
    <row r="973" spans="1:50" ht="13" x14ac:dyDescent="0.15">
      <c r="A973" s="55" t="str">
        <f>HYPERLINK("http://reports.ofsted.gov.uk/inspection-reports/find-inspection-report/provider/CARE/2545733","Ofsted Social Care Provider Webpage")</f>
        <v>Ofsted Social Care Provider Webpage</v>
      </c>
      <c r="B973" s="55">
        <v>2545733</v>
      </c>
      <c r="D973" s="55" t="s">
        <v>373</v>
      </c>
      <c r="E973" s="74">
        <v>43761</v>
      </c>
      <c r="F973" s="55" t="s">
        <v>344</v>
      </c>
      <c r="G973" s="55" t="s">
        <v>360</v>
      </c>
      <c r="H973" s="55" t="s">
        <v>360</v>
      </c>
      <c r="I973" s="55" t="s">
        <v>360</v>
      </c>
      <c r="J973" s="55" t="s">
        <v>360</v>
      </c>
      <c r="K973" s="55" t="s">
        <v>360</v>
      </c>
      <c r="L973" s="55" t="s">
        <v>360</v>
      </c>
      <c r="M973" s="55" t="s">
        <v>144</v>
      </c>
      <c r="N973" s="55" t="s">
        <v>144</v>
      </c>
      <c r="O973" s="55" t="s">
        <v>209</v>
      </c>
      <c r="P973" s="55" t="s">
        <v>544</v>
      </c>
      <c r="Q973" s="55" t="s">
        <v>350</v>
      </c>
      <c r="R973" s="85">
        <v>4</v>
      </c>
      <c r="S973" s="55">
        <v>0</v>
      </c>
      <c r="T973" s="74" t="s">
        <v>1589</v>
      </c>
      <c r="U973" s="74" t="s">
        <v>351</v>
      </c>
      <c r="V973" s="74">
        <v>44446</v>
      </c>
      <c r="W973" s="74">
        <v>44480</v>
      </c>
      <c r="X973" s="55">
        <v>10186350</v>
      </c>
      <c r="Y973" s="55" t="s">
        <v>132</v>
      </c>
      <c r="AB973" s="74" t="s">
        <v>132</v>
      </c>
      <c r="AC973" s="55" t="s">
        <v>140</v>
      </c>
      <c r="AL973" s="74"/>
      <c r="AM973" s="74"/>
      <c r="AW973" s="74"/>
      <c r="AX973" s="74"/>
    </row>
    <row r="974" spans="1:50" ht="13" x14ac:dyDescent="0.15">
      <c r="A974" s="55" t="str">
        <f>HYPERLINK("http://reports.ofsted.gov.uk/inspection-reports/find-inspection-report/provider/CARE/2546172","Ofsted Social Care Provider Webpage")</f>
        <v>Ofsted Social Care Provider Webpage</v>
      </c>
      <c r="B974" s="55">
        <v>2546172</v>
      </c>
      <c r="D974" s="55" t="s">
        <v>373</v>
      </c>
      <c r="E974" s="74">
        <v>43781</v>
      </c>
      <c r="F974" s="55" t="s">
        <v>344</v>
      </c>
      <c r="G974" s="55" t="s">
        <v>360</v>
      </c>
      <c r="H974" s="55" t="s">
        <v>360</v>
      </c>
      <c r="I974" s="55" t="s">
        <v>360</v>
      </c>
      <c r="J974" s="55" t="s">
        <v>360</v>
      </c>
      <c r="K974" s="55" t="s">
        <v>360</v>
      </c>
      <c r="L974" s="55" t="s">
        <v>360</v>
      </c>
      <c r="M974" s="55" t="s">
        <v>142</v>
      </c>
      <c r="N974" s="55" t="s">
        <v>142</v>
      </c>
      <c r="O974" s="55" t="s">
        <v>141</v>
      </c>
      <c r="P974" s="55" t="s">
        <v>774</v>
      </c>
      <c r="Q974" s="55" t="s">
        <v>350</v>
      </c>
      <c r="R974" s="85">
        <v>3</v>
      </c>
      <c r="S974" s="55">
        <v>0</v>
      </c>
      <c r="T974" s="74" t="s">
        <v>642</v>
      </c>
      <c r="U974" s="74" t="s">
        <v>351</v>
      </c>
      <c r="V974" s="74">
        <v>44312</v>
      </c>
      <c r="W974" s="74">
        <v>44357</v>
      </c>
      <c r="X974" s="55">
        <v>10186230</v>
      </c>
      <c r="Y974" s="55" t="s">
        <v>132</v>
      </c>
      <c r="AB974" s="74" t="s">
        <v>132</v>
      </c>
      <c r="AC974" s="55" t="s">
        <v>130</v>
      </c>
      <c r="AL974" s="74"/>
      <c r="AM974" s="74"/>
      <c r="AW974" s="74"/>
      <c r="AX974" s="74"/>
    </row>
    <row r="975" spans="1:50" ht="13" x14ac:dyDescent="0.15">
      <c r="A975" s="55" t="str">
        <f>HYPERLINK("http://reports.ofsted.gov.uk/inspection-reports/find-inspection-report/provider/CARE/2546196","Ofsted Social Care Provider Webpage")</f>
        <v>Ofsted Social Care Provider Webpage</v>
      </c>
      <c r="B975" s="55">
        <v>2546196</v>
      </c>
      <c r="D975" s="55" t="s">
        <v>373</v>
      </c>
      <c r="E975" s="74">
        <v>43734</v>
      </c>
      <c r="F975" s="55" t="s">
        <v>344</v>
      </c>
      <c r="G975" s="55" t="s">
        <v>360</v>
      </c>
      <c r="H975" s="55" t="s">
        <v>360</v>
      </c>
      <c r="I975" s="55" t="s">
        <v>360</v>
      </c>
      <c r="J975" s="55" t="s">
        <v>360</v>
      </c>
      <c r="K975" s="55" t="s">
        <v>360</v>
      </c>
      <c r="L975" s="55" t="s">
        <v>360</v>
      </c>
      <c r="M975" s="55" t="s">
        <v>138</v>
      </c>
      <c r="N975" s="55" t="s">
        <v>138</v>
      </c>
      <c r="O975" s="55" t="s">
        <v>183</v>
      </c>
      <c r="P975" s="55" t="s">
        <v>730</v>
      </c>
      <c r="Q975" s="55" t="s">
        <v>350</v>
      </c>
      <c r="R975" s="85">
        <v>6</v>
      </c>
      <c r="S975" s="55">
        <v>0</v>
      </c>
      <c r="T975" s="74" t="s">
        <v>1590</v>
      </c>
      <c r="U975" s="74" t="s">
        <v>6703</v>
      </c>
      <c r="V975" s="74">
        <v>44509</v>
      </c>
      <c r="W975" s="74">
        <v>44539</v>
      </c>
      <c r="X975" s="55">
        <v>10205269</v>
      </c>
      <c r="Y975" s="55" t="s">
        <v>6704</v>
      </c>
      <c r="AL975" s="74"/>
      <c r="AM975" s="74"/>
      <c r="AW975" s="74"/>
      <c r="AX975" s="74"/>
    </row>
    <row r="976" spans="1:50" ht="13" x14ac:dyDescent="0.15">
      <c r="A976" s="55" t="str">
        <f>HYPERLINK("http://reports.ofsted.gov.uk/inspection-reports/find-inspection-report/provider/CARE/2546196","Ofsted Social Care Provider Webpage")</f>
        <v>Ofsted Social Care Provider Webpage</v>
      </c>
      <c r="B976" s="55">
        <v>2546196</v>
      </c>
      <c r="D976" s="55" t="s">
        <v>373</v>
      </c>
      <c r="E976" s="74">
        <v>43734</v>
      </c>
      <c r="F976" s="55" t="s">
        <v>344</v>
      </c>
      <c r="G976" s="55" t="s">
        <v>360</v>
      </c>
      <c r="H976" s="55" t="s">
        <v>360</v>
      </c>
      <c r="I976" s="55" t="s">
        <v>360</v>
      </c>
      <c r="J976" s="55" t="s">
        <v>360</v>
      </c>
      <c r="K976" s="55" t="s">
        <v>360</v>
      </c>
      <c r="L976" s="55" t="s">
        <v>360</v>
      </c>
      <c r="M976" s="55" t="s">
        <v>138</v>
      </c>
      <c r="N976" s="55" t="s">
        <v>138</v>
      </c>
      <c r="O976" s="55" t="s">
        <v>183</v>
      </c>
      <c r="P976" s="55" t="s">
        <v>730</v>
      </c>
      <c r="Q976" s="55" t="s">
        <v>350</v>
      </c>
      <c r="R976" s="85">
        <v>6</v>
      </c>
      <c r="S976" s="55">
        <v>0</v>
      </c>
      <c r="T976" s="74" t="s">
        <v>1590</v>
      </c>
      <c r="U976" s="74" t="s">
        <v>351</v>
      </c>
      <c r="V976" s="74">
        <v>44410</v>
      </c>
      <c r="W976" s="74">
        <v>44446</v>
      </c>
      <c r="X976" s="55">
        <v>10185626</v>
      </c>
      <c r="Y976" s="55" t="s">
        <v>130</v>
      </c>
      <c r="AB976" s="74" t="s">
        <v>130</v>
      </c>
      <c r="AC976" s="55" t="s">
        <v>146</v>
      </c>
      <c r="AL976" s="74"/>
      <c r="AM976" s="74"/>
      <c r="AW976" s="74"/>
      <c r="AX976" s="74"/>
    </row>
    <row r="977" spans="1:50" ht="13" x14ac:dyDescent="0.15">
      <c r="A977" s="55" t="str">
        <f>HYPERLINK("http://reports.ofsted.gov.uk/inspection-reports/find-inspection-report/provider/CARE/2546474","Ofsted Social Care Provider Webpage")</f>
        <v>Ofsted Social Care Provider Webpage</v>
      </c>
      <c r="B977" s="55">
        <v>2546474</v>
      </c>
      <c r="D977" s="55" t="s">
        <v>373</v>
      </c>
      <c r="E977" s="74">
        <v>43839</v>
      </c>
      <c r="F977" s="55" t="s">
        <v>344</v>
      </c>
      <c r="G977" s="55" t="s">
        <v>360</v>
      </c>
      <c r="H977" s="55" t="s">
        <v>360</v>
      </c>
      <c r="I977" s="55" t="s">
        <v>360</v>
      </c>
      <c r="J977" s="55" t="s">
        <v>360</v>
      </c>
      <c r="K977" s="55" t="s">
        <v>360</v>
      </c>
      <c r="L977" s="55" t="s">
        <v>360</v>
      </c>
      <c r="M977" s="55" t="s">
        <v>142</v>
      </c>
      <c r="N977" s="55" t="s">
        <v>142</v>
      </c>
      <c r="O977" s="55" t="s">
        <v>292</v>
      </c>
      <c r="P977" s="55" t="s">
        <v>1162</v>
      </c>
      <c r="Q977" s="55" t="s">
        <v>350</v>
      </c>
      <c r="R977" s="85">
        <v>3</v>
      </c>
      <c r="S977" s="55">
        <v>0</v>
      </c>
      <c r="T977" s="74" t="s">
        <v>1127</v>
      </c>
      <c r="U977" s="74" t="s">
        <v>351</v>
      </c>
      <c r="V977" s="74">
        <v>44334</v>
      </c>
      <c r="W977" s="74">
        <v>44363</v>
      </c>
      <c r="X977" s="55">
        <v>10185579</v>
      </c>
      <c r="Y977" s="55" t="s">
        <v>132</v>
      </c>
      <c r="AB977" s="74" t="s">
        <v>132</v>
      </c>
      <c r="AC977" s="55" t="s">
        <v>132</v>
      </c>
      <c r="AL977" s="74"/>
      <c r="AM977" s="74"/>
      <c r="AW977" s="74"/>
      <c r="AX977" s="74"/>
    </row>
    <row r="978" spans="1:50" ht="13" x14ac:dyDescent="0.15">
      <c r="A978" s="55" t="str">
        <f>HYPERLINK("http://reports.ofsted.gov.uk/inspection-reports/find-inspection-report/provider/CARE/2546476","Ofsted Social Care Provider Webpage")</f>
        <v>Ofsted Social Care Provider Webpage</v>
      </c>
      <c r="B978" s="55">
        <v>2546476</v>
      </c>
      <c r="D978" s="55" t="s">
        <v>373</v>
      </c>
      <c r="E978" s="74">
        <v>43772</v>
      </c>
      <c r="F978" s="55" t="s">
        <v>344</v>
      </c>
      <c r="G978" s="55" t="s">
        <v>360</v>
      </c>
      <c r="H978" s="55" t="s">
        <v>360</v>
      </c>
      <c r="I978" s="55" t="s">
        <v>360</v>
      </c>
      <c r="J978" s="55" t="s">
        <v>360</v>
      </c>
      <c r="K978" s="55" t="s">
        <v>360</v>
      </c>
      <c r="L978" s="55" t="s">
        <v>360</v>
      </c>
      <c r="M978" s="55" t="s">
        <v>150</v>
      </c>
      <c r="N978" s="55" t="s">
        <v>150</v>
      </c>
      <c r="O978" s="55" t="s">
        <v>283</v>
      </c>
      <c r="P978" s="55" t="s">
        <v>1333</v>
      </c>
      <c r="Q978" s="55" t="s">
        <v>350</v>
      </c>
      <c r="R978" s="85">
        <v>6</v>
      </c>
      <c r="S978" s="55">
        <v>0</v>
      </c>
      <c r="T978" s="74" t="s">
        <v>755</v>
      </c>
      <c r="U978" s="74" t="s">
        <v>351</v>
      </c>
      <c r="V978" s="74">
        <v>44531</v>
      </c>
      <c r="W978" s="74">
        <v>44593</v>
      </c>
      <c r="X978" s="55">
        <v>10185777</v>
      </c>
      <c r="Y978" s="55" t="s">
        <v>132</v>
      </c>
      <c r="AB978" s="74" t="s">
        <v>132</v>
      </c>
      <c r="AC978" s="55" t="s">
        <v>132</v>
      </c>
      <c r="AL978" s="74"/>
      <c r="AM978" s="74"/>
    </row>
    <row r="979" spans="1:50" ht="13" x14ac:dyDescent="0.15">
      <c r="A979" s="55" t="str">
        <f>HYPERLINK("http://reports.ofsted.gov.uk/inspection-reports/find-inspection-report/provider/CARE/2546960","Ofsted Social Care Provider Webpage")</f>
        <v>Ofsted Social Care Provider Webpage</v>
      </c>
      <c r="B979" s="55">
        <v>2546960</v>
      </c>
      <c r="D979" s="55" t="s">
        <v>373</v>
      </c>
      <c r="E979" s="74">
        <v>43691</v>
      </c>
      <c r="F979" s="55" t="s">
        <v>344</v>
      </c>
      <c r="G979" s="55" t="s">
        <v>360</v>
      </c>
      <c r="H979" s="55" t="s">
        <v>360</v>
      </c>
      <c r="I979" s="55" t="s">
        <v>360</v>
      </c>
      <c r="J979" s="55" t="s">
        <v>360</v>
      </c>
      <c r="K979" s="55" t="s">
        <v>360</v>
      </c>
      <c r="L979" s="55" t="s">
        <v>360</v>
      </c>
      <c r="M979" s="55" t="s">
        <v>136</v>
      </c>
      <c r="N979" s="55" t="s">
        <v>136</v>
      </c>
      <c r="O979" s="55" t="s">
        <v>174</v>
      </c>
      <c r="P979" s="55" t="s">
        <v>857</v>
      </c>
      <c r="Q979" s="55" t="s">
        <v>350</v>
      </c>
      <c r="R979" s="85">
        <v>2</v>
      </c>
      <c r="S979" s="55">
        <v>0</v>
      </c>
      <c r="T979" s="74" t="s">
        <v>1295</v>
      </c>
      <c r="U979" s="74" t="s">
        <v>351</v>
      </c>
      <c r="V979" s="74">
        <v>44600</v>
      </c>
      <c r="W979" s="74">
        <v>44648</v>
      </c>
      <c r="X979" s="55">
        <v>10185978</v>
      </c>
      <c r="Y979" s="55" t="s">
        <v>130</v>
      </c>
      <c r="AB979" s="74" t="s">
        <v>130</v>
      </c>
      <c r="AC979" s="55" t="s">
        <v>146</v>
      </c>
      <c r="AL979" s="74"/>
      <c r="AM979" s="74"/>
      <c r="AW979" s="74"/>
      <c r="AX979" s="74"/>
    </row>
    <row r="980" spans="1:50" ht="13" x14ac:dyDescent="0.15">
      <c r="A980" s="55" t="str">
        <f>HYPERLINK("http://reports.ofsted.gov.uk/inspection-reports/find-inspection-report/provider/CARE/2547305","Ofsted Social Care Provider Webpage")</f>
        <v>Ofsted Social Care Provider Webpage</v>
      </c>
      <c r="B980" s="55">
        <v>2547305</v>
      </c>
      <c r="D980" s="55" t="s">
        <v>451</v>
      </c>
      <c r="E980" s="74">
        <v>43850</v>
      </c>
      <c r="F980" s="55" t="s">
        <v>344</v>
      </c>
      <c r="G980" s="55" t="s">
        <v>1591</v>
      </c>
      <c r="H980" s="55" t="s">
        <v>1592</v>
      </c>
      <c r="I980" s="55" t="s">
        <v>1593</v>
      </c>
      <c r="J980" s="55" t="s">
        <v>137</v>
      </c>
      <c r="K980" s="55" t="s">
        <v>820</v>
      </c>
      <c r="L980" s="55" t="s">
        <v>1594</v>
      </c>
      <c r="M980" s="55" t="s">
        <v>138</v>
      </c>
      <c r="N980" s="55" t="s">
        <v>138</v>
      </c>
      <c r="O980" s="55" t="s">
        <v>137</v>
      </c>
      <c r="P980" s="55" t="s">
        <v>137</v>
      </c>
      <c r="Q980" s="55" t="s">
        <v>350</v>
      </c>
      <c r="R980" s="85">
        <v>4</v>
      </c>
      <c r="S980" s="55">
        <v>0</v>
      </c>
      <c r="T980" s="74" t="s">
        <v>1595</v>
      </c>
      <c r="U980" s="74" t="s">
        <v>351</v>
      </c>
      <c r="V980" s="74">
        <v>44356</v>
      </c>
      <c r="W980" s="74">
        <v>44389</v>
      </c>
      <c r="X980" s="55">
        <v>10183231</v>
      </c>
      <c r="Y980" s="55" t="s">
        <v>132</v>
      </c>
      <c r="AB980" s="74" t="s">
        <v>132</v>
      </c>
      <c r="AC980" s="55" t="s">
        <v>132</v>
      </c>
      <c r="AL980" s="74"/>
      <c r="AM980" s="74"/>
      <c r="AW980" s="74"/>
      <c r="AX980" s="74"/>
    </row>
    <row r="981" spans="1:50" ht="13" x14ac:dyDescent="0.15">
      <c r="A981" s="55" t="str">
        <f>HYPERLINK("http://reports.ofsted.gov.uk/inspection-reports/find-inspection-report/provider/CARE/2547305","Ofsted Social Care Provider Webpage")</f>
        <v>Ofsted Social Care Provider Webpage</v>
      </c>
      <c r="B981" s="55">
        <v>2547305</v>
      </c>
      <c r="D981" s="55" t="s">
        <v>451</v>
      </c>
      <c r="E981" s="74">
        <v>43850</v>
      </c>
      <c r="F981" s="55" t="s">
        <v>344</v>
      </c>
      <c r="G981" s="55" t="s">
        <v>1591</v>
      </c>
      <c r="H981" s="55" t="s">
        <v>1592</v>
      </c>
      <c r="I981" s="55" t="s">
        <v>1593</v>
      </c>
      <c r="J981" s="55" t="s">
        <v>137</v>
      </c>
      <c r="K981" s="55" t="s">
        <v>820</v>
      </c>
      <c r="L981" s="55" t="s">
        <v>1594</v>
      </c>
      <c r="M981" s="55" t="s">
        <v>138</v>
      </c>
      <c r="N981" s="55" t="s">
        <v>138</v>
      </c>
      <c r="O981" s="55" t="s">
        <v>137</v>
      </c>
      <c r="P981" s="55" t="s">
        <v>137</v>
      </c>
      <c r="Q981" s="55" t="s">
        <v>350</v>
      </c>
      <c r="R981" s="85">
        <v>4</v>
      </c>
      <c r="S981" s="55">
        <v>0</v>
      </c>
      <c r="T981" s="74" t="s">
        <v>1595</v>
      </c>
      <c r="U981" s="74" t="s">
        <v>2053</v>
      </c>
      <c r="V981" s="74">
        <v>44574</v>
      </c>
      <c r="W981" s="74">
        <v>44599</v>
      </c>
      <c r="X981" s="55">
        <v>10219491</v>
      </c>
      <c r="AL981" s="74"/>
      <c r="AM981" s="74"/>
      <c r="AW981" s="74"/>
      <c r="AX981" s="74"/>
    </row>
    <row r="982" spans="1:50" ht="13" x14ac:dyDescent="0.15">
      <c r="A982" s="55" t="str">
        <f>HYPERLINK("http://reports.ofsted.gov.uk/inspection-reports/find-inspection-report/provider/CARE/2547511","Ofsted Social Care Provider Webpage")</f>
        <v>Ofsted Social Care Provider Webpage</v>
      </c>
      <c r="B982" s="55">
        <v>2547511</v>
      </c>
      <c r="D982" s="55" t="s">
        <v>373</v>
      </c>
      <c r="E982" s="74">
        <v>43882</v>
      </c>
      <c r="F982" s="55" t="s">
        <v>344</v>
      </c>
      <c r="G982" s="55" t="s">
        <v>360</v>
      </c>
      <c r="H982" s="55" t="s">
        <v>360</v>
      </c>
      <c r="I982" s="55" t="s">
        <v>360</v>
      </c>
      <c r="J982" s="55" t="s">
        <v>360</v>
      </c>
      <c r="K982" s="55" t="s">
        <v>360</v>
      </c>
      <c r="L982" s="55" t="s">
        <v>360</v>
      </c>
      <c r="M982" s="55" t="s">
        <v>129</v>
      </c>
      <c r="N982" s="55" t="s">
        <v>129</v>
      </c>
      <c r="O982" s="55" t="s">
        <v>167</v>
      </c>
      <c r="P982" s="55" t="s">
        <v>866</v>
      </c>
      <c r="Q982" s="55" t="s">
        <v>350</v>
      </c>
      <c r="R982" s="85">
        <v>3</v>
      </c>
      <c r="S982" s="55">
        <v>0</v>
      </c>
      <c r="T982" s="74" t="s">
        <v>1596</v>
      </c>
      <c r="U982" s="74" t="s">
        <v>351</v>
      </c>
      <c r="V982" s="74">
        <v>44340</v>
      </c>
      <c r="W982" s="74">
        <v>44417</v>
      </c>
      <c r="X982" s="55">
        <v>10187456</v>
      </c>
      <c r="Y982" s="55" t="s">
        <v>146</v>
      </c>
      <c r="AB982" s="74" t="s">
        <v>146</v>
      </c>
      <c r="AC982" s="55" t="s">
        <v>146</v>
      </c>
      <c r="AL982" s="74"/>
      <c r="AM982" s="74"/>
      <c r="AW982" s="74"/>
      <c r="AX982" s="74"/>
    </row>
    <row r="983" spans="1:50" ht="13" x14ac:dyDescent="0.15">
      <c r="A983" s="55" t="str">
        <f>HYPERLINK("http://reports.ofsted.gov.uk/inspection-reports/find-inspection-report/provider/CARE/2547511","Ofsted Social Care Provider Webpage")</f>
        <v>Ofsted Social Care Provider Webpage</v>
      </c>
      <c r="B983" s="55">
        <v>2547511</v>
      </c>
      <c r="D983" s="55" t="s">
        <v>373</v>
      </c>
      <c r="E983" s="74">
        <v>43882</v>
      </c>
      <c r="F983" s="55" t="s">
        <v>344</v>
      </c>
      <c r="G983" s="55" t="s">
        <v>360</v>
      </c>
      <c r="H983" s="55" t="s">
        <v>360</v>
      </c>
      <c r="I983" s="55" t="s">
        <v>360</v>
      </c>
      <c r="J983" s="55" t="s">
        <v>360</v>
      </c>
      <c r="K983" s="55" t="s">
        <v>360</v>
      </c>
      <c r="L983" s="55" t="s">
        <v>360</v>
      </c>
      <c r="M983" s="55" t="s">
        <v>129</v>
      </c>
      <c r="N983" s="55" t="s">
        <v>129</v>
      </c>
      <c r="O983" s="55" t="s">
        <v>167</v>
      </c>
      <c r="P983" s="55" t="s">
        <v>866</v>
      </c>
      <c r="Q983" s="55" t="s">
        <v>350</v>
      </c>
      <c r="R983" s="85">
        <v>3</v>
      </c>
      <c r="S983" s="55">
        <v>0</v>
      </c>
      <c r="T983" s="74" t="s">
        <v>1596</v>
      </c>
      <c r="U983" s="74" t="s">
        <v>351</v>
      </c>
      <c r="V983" s="74">
        <v>44475</v>
      </c>
      <c r="W983" s="74">
        <v>44497</v>
      </c>
      <c r="X983" s="55">
        <v>10204106</v>
      </c>
      <c r="Y983" s="55" t="s">
        <v>132</v>
      </c>
      <c r="AB983" s="74" t="s">
        <v>132</v>
      </c>
      <c r="AC983" s="55" t="s">
        <v>132</v>
      </c>
      <c r="AL983" s="74"/>
      <c r="AM983" s="74"/>
      <c r="AW983" s="74"/>
      <c r="AX983" s="74"/>
    </row>
    <row r="984" spans="1:50" ht="13" x14ac:dyDescent="0.15">
      <c r="A984" s="55" t="str">
        <f>HYPERLINK("http://reports.ofsted.gov.uk/inspection-reports/find-inspection-report/provider/CARE/2547511","Ofsted Social Care Provider Webpage")</f>
        <v>Ofsted Social Care Provider Webpage</v>
      </c>
      <c r="B984" s="55">
        <v>2547511</v>
      </c>
      <c r="D984" s="55" t="s">
        <v>373</v>
      </c>
      <c r="E984" s="74">
        <v>43882</v>
      </c>
      <c r="F984" s="55" t="s">
        <v>344</v>
      </c>
      <c r="G984" s="55" t="s">
        <v>360</v>
      </c>
      <c r="H984" s="55" t="s">
        <v>360</v>
      </c>
      <c r="I984" s="55" t="s">
        <v>360</v>
      </c>
      <c r="J984" s="55" t="s">
        <v>360</v>
      </c>
      <c r="K984" s="55" t="s">
        <v>360</v>
      </c>
      <c r="L984" s="55" t="s">
        <v>360</v>
      </c>
      <c r="M984" s="55" t="s">
        <v>129</v>
      </c>
      <c r="N984" s="55" t="s">
        <v>129</v>
      </c>
      <c r="O984" s="55" t="s">
        <v>167</v>
      </c>
      <c r="P984" s="55" t="s">
        <v>866</v>
      </c>
      <c r="Q984" s="55" t="s">
        <v>350</v>
      </c>
      <c r="R984" s="85">
        <v>3</v>
      </c>
      <c r="S984" s="55">
        <v>0</v>
      </c>
      <c r="T984" s="74" t="s">
        <v>1596</v>
      </c>
      <c r="U984" s="74" t="s">
        <v>2053</v>
      </c>
      <c r="V984" s="74">
        <v>44399</v>
      </c>
      <c r="W984" s="74">
        <v>44434</v>
      </c>
      <c r="X984" s="55">
        <v>10202606</v>
      </c>
      <c r="AL984" s="74"/>
      <c r="AM984" s="74"/>
      <c r="AW984" s="74"/>
      <c r="AX984" s="74"/>
    </row>
    <row r="985" spans="1:50" ht="13" x14ac:dyDescent="0.15">
      <c r="A985" s="55" t="str">
        <f>HYPERLINK("http://reports.ofsted.gov.uk/inspection-reports/find-inspection-report/provider/CARE/2547560","Ofsted Social Care Provider Webpage")</f>
        <v>Ofsted Social Care Provider Webpage</v>
      </c>
      <c r="B985" s="55">
        <v>2547560</v>
      </c>
      <c r="D985" s="55" t="s">
        <v>373</v>
      </c>
      <c r="E985" s="74">
        <v>43768</v>
      </c>
      <c r="F985" s="55" t="s">
        <v>344</v>
      </c>
      <c r="G985" s="55" t="s">
        <v>360</v>
      </c>
      <c r="H985" s="55" t="s">
        <v>360</v>
      </c>
      <c r="I985" s="55" t="s">
        <v>360</v>
      </c>
      <c r="J985" s="55" t="s">
        <v>360</v>
      </c>
      <c r="K985" s="55" t="s">
        <v>360</v>
      </c>
      <c r="L985" s="55" t="s">
        <v>360</v>
      </c>
      <c r="M985" s="55" t="s">
        <v>129</v>
      </c>
      <c r="N985" s="55" t="s">
        <v>129</v>
      </c>
      <c r="O985" s="55" t="s">
        <v>213</v>
      </c>
      <c r="P985" s="55" t="s">
        <v>410</v>
      </c>
      <c r="Q985" s="55" t="s">
        <v>350</v>
      </c>
      <c r="R985" s="85">
        <v>3</v>
      </c>
      <c r="S985" s="55">
        <v>0</v>
      </c>
      <c r="T985" s="74" t="s">
        <v>1597</v>
      </c>
      <c r="U985" s="74" t="s">
        <v>351</v>
      </c>
      <c r="V985" s="74">
        <v>44307</v>
      </c>
      <c r="W985" s="74">
        <v>44348</v>
      </c>
      <c r="X985" s="55">
        <v>10185860</v>
      </c>
      <c r="Y985" s="55" t="s">
        <v>132</v>
      </c>
      <c r="AB985" s="74" t="s">
        <v>132</v>
      </c>
      <c r="AC985" s="55" t="s">
        <v>132</v>
      </c>
      <c r="AL985" s="74"/>
      <c r="AM985" s="74"/>
    </row>
    <row r="986" spans="1:50" ht="13" x14ac:dyDescent="0.15">
      <c r="A986" s="55" t="str">
        <f>HYPERLINK("http://reports.ofsted.gov.uk/inspection-reports/find-inspection-report/provider/CARE/2547611","Ofsted Social Care Provider Webpage")</f>
        <v>Ofsted Social Care Provider Webpage</v>
      </c>
      <c r="B986" s="55">
        <v>2547611</v>
      </c>
      <c r="D986" s="55" t="s">
        <v>373</v>
      </c>
      <c r="E986" s="74">
        <v>43991</v>
      </c>
      <c r="F986" s="55" t="s">
        <v>344</v>
      </c>
      <c r="G986" s="55" t="s">
        <v>360</v>
      </c>
      <c r="H986" s="55" t="s">
        <v>360</v>
      </c>
      <c r="I986" s="55" t="s">
        <v>360</v>
      </c>
      <c r="J986" s="55" t="s">
        <v>360</v>
      </c>
      <c r="K986" s="55" t="s">
        <v>360</v>
      </c>
      <c r="L986" s="55" t="s">
        <v>360</v>
      </c>
      <c r="M986" s="55" t="s">
        <v>142</v>
      </c>
      <c r="N986" s="55" t="s">
        <v>142</v>
      </c>
      <c r="O986" s="55" t="s">
        <v>262</v>
      </c>
      <c r="P986" s="55" t="s">
        <v>523</v>
      </c>
      <c r="Q986" s="55" t="s">
        <v>350</v>
      </c>
      <c r="R986" s="85">
        <v>5</v>
      </c>
      <c r="S986" s="55">
        <v>0</v>
      </c>
      <c r="T986" s="74" t="s">
        <v>1253</v>
      </c>
      <c r="U986" s="74" t="s">
        <v>351</v>
      </c>
      <c r="V986" s="74">
        <v>44335</v>
      </c>
      <c r="W986" s="74">
        <v>44371</v>
      </c>
      <c r="X986" s="55">
        <v>10186100</v>
      </c>
      <c r="Y986" s="55" t="s">
        <v>132</v>
      </c>
      <c r="AB986" s="74" t="s">
        <v>130</v>
      </c>
      <c r="AC986" s="55" t="s">
        <v>132</v>
      </c>
      <c r="AL986" s="74"/>
      <c r="AM986" s="74"/>
      <c r="AW986" s="74"/>
      <c r="AX986" s="74"/>
    </row>
    <row r="987" spans="1:50" ht="13" x14ac:dyDescent="0.15">
      <c r="A987" s="55" t="str">
        <f>HYPERLINK("http://reports.ofsted.gov.uk/inspection-reports/find-inspection-report/provider/CARE/2547637","Ofsted Social Care Provider Webpage")</f>
        <v>Ofsted Social Care Provider Webpage</v>
      </c>
      <c r="B987" s="55">
        <v>2547637</v>
      </c>
      <c r="D987" s="55" t="s">
        <v>373</v>
      </c>
      <c r="E987" s="74">
        <v>43770</v>
      </c>
      <c r="F987" s="55" t="s">
        <v>344</v>
      </c>
      <c r="G987" s="55" t="s">
        <v>360</v>
      </c>
      <c r="H987" s="55" t="s">
        <v>360</v>
      </c>
      <c r="I987" s="55" t="s">
        <v>360</v>
      </c>
      <c r="J987" s="55" t="s">
        <v>360</v>
      </c>
      <c r="K987" s="55" t="s">
        <v>360</v>
      </c>
      <c r="L987" s="55" t="s">
        <v>360</v>
      </c>
      <c r="M987" s="55" t="s">
        <v>129</v>
      </c>
      <c r="N987" s="55" t="s">
        <v>129</v>
      </c>
      <c r="O987" s="55" t="s">
        <v>213</v>
      </c>
      <c r="P987" s="55" t="s">
        <v>1020</v>
      </c>
      <c r="Q987" s="55" t="s">
        <v>350</v>
      </c>
      <c r="R987" s="85">
        <v>3</v>
      </c>
      <c r="S987" s="55">
        <v>0</v>
      </c>
      <c r="T987" s="74" t="s">
        <v>1598</v>
      </c>
      <c r="U987" s="74" t="s">
        <v>351</v>
      </c>
      <c r="V987" s="74">
        <v>44326</v>
      </c>
      <c r="W987" s="74">
        <v>44368</v>
      </c>
      <c r="X987" s="55">
        <v>10186111</v>
      </c>
      <c r="Y987" s="55" t="s">
        <v>132</v>
      </c>
      <c r="AB987" s="74" t="s">
        <v>132</v>
      </c>
      <c r="AC987" s="55" t="s">
        <v>132</v>
      </c>
      <c r="AL987" s="74"/>
      <c r="AM987" s="74"/>
      <c r="AW987" s="74"/>
      <c r="AX987" s="74"/>
    </row>
    <row r="988" spans="1:50" ht="13" x14ac:dyDescent="0.15">
      <c r="A988" s="55" t="str">
        <f>HYPERLINK("http://reports.ofsted.gov.uk/inspection-reports/find-inspection-report/provider/CARE/2547761","Ofsted Social Care Provider Webpage")</f>
        <v>Ofsted Social Care Provider Webpage</v>
      </c>
      <c r="B988" s="55">
        <v>2547761</v>
      </c>
      <c r="D988" s="55" t="s">
        <v>373</v>
      </c>
      <c r="E988" s="74">
        <v>43870</v>
      </c>
      <c r="F988" s="55" t="s">
        <v>344</v>
      </c>
      <c r="G988" s="55" t="s">
        <v>360</v>
      </c>
      <c r="H988" s="55" t="s">
        <v>360</v>
      </c>
      <c r="I988" s="55" t="s">
        <v>360</v>
      </c>
      <c r="J988" s="55" t="s">
        <v>360</v>
      </c>
      <c r="K988" s="55" t="s">
        <v>360</v>
      </c>
      <c r="L988" s="55" t="s">
        <v>360</v>
      </c>
      <c r="M988" s="55" t="s">
        <v>144</v>
      </c>
      <c r="N988" s="55" t="s">
        <v>144</v>
      </c>
      <c r="O988" s="55" t="s">
        <v>209</v>
      </c>
      <c r="P988" s="55" t="s">
        <v>736</v>
      </c>
      <c r="Q988" s="55" t="s">
        <v>350</v>
      </c>
      <c r="R988" s="85">
        <v>3</v>
      </c>
      <c r="S988" s="55">
        <v>0</v>
      </c>
      <c r="T988" s="74" t="s">
        <v>1599</v>
      </c>
      <c r="U988" s="74" t="s">
        <v>351</v>
      </c>
      <c r="V988" s="74">
        <v>44517</v>
      </c>
      <c r="W988" s="74">
        <v>44571</v>
      </c>
      <c r="X988" s="55">
        <v>10185140</v>
      </c>
      <c r="Y988" s="55" t="s">
        <v>132</v>
      </c>
      <c r="AB988" s="74" t="s">
        <v>132</v>
      </c>
      <c r="AC988" s="55" t="s">
        <v>132</v>
      </c>
      <c r="AL988" s="74"/>
      <c r="AM988" s="74"/>
      <c r="AW988" s="74"/>
      <c r="AX988" s="74"/>
    </row>
    <row r="989" spans="1:50" ht="13" x14ac:dyDescent="0.15">
      <c r="A989" s="55" t="str">
        <f>HYPERLINK("http://reports.ofsted.gov.uk/inspection-reports/find-inspection-report/provider/CARE/2547837","Ofsted Social Care Provider Webpage")</f>
        <v>Ofsted Social Care Provider Webpage</v>
      </c>
      <c r="B989" s="55">
        <v>2547837</v>
      </c>
      <c r="D989" s="55" t="s">
        <v>373</v>
      </c>
      <c r="E989" s="74">
        <v>43816</v>
      </c>
      <c r="F989" s="55" t="s">
        <v>344</v>
      </c>
      <c r="G989" s="55" t="s">
        <v>360</v>
      </c>
      <c r="H989" s="55" t="s">
        <v>360</v>
      </c>
      <c r="I989" s="55" t="s">
        <v>360</v>
      </c>
      <c r="J989" s="55" t="s">
        <v>360</v>
      </c>
      <c r="K989" s="55" t="s">
        <v>360</v>
      </c>
      <c r="L989" s="55" t="s">
        <v>360</v>
      </c>
      <c r="M989" s="55" t="s">
        <v>144</v>
      </c>
      <c r="N989" s="55" t="s">
        <v>144</v>
      </c>
      <c r="O989" s="55" t="s">
        <v>250</v>
      </c>
      <c r="P989" s="55" t="s">
        <v>759</v>
      </c>
      <c r="Q989" s="55" t="s">
        <v>350</v>
      </c>
      <c r="R989" s="85">
        <v>3</v>
      </c>
      <c r="S989" s="55">
        <v>0</v>
      </c>
      <c r="T989" s="74" t="s">
        <v>1600</v>
      </c>
      <c r="U989" s="74" t="s">
        <v>351</v>
      </c>
      <c r="V989" s="74">
        <v>44538</v>
      </c>
      <c r="W989" s="74">
        <v>44586</v>
      </c>
      <c r="X989" s="55">
        <v>10185414</v>
      </c>
      <c r="Y989" s="55" t="s">
        <v>132</v>
      </c>
      <c r="AB989" s="74" t="s">
        <v>132</v>
      </c>
      <c r="AC989" s="55" t="s">
        <v>132</v>
      </c>
      <c r="AL989" s="74"/>
      <c r="AM989" s="74"/>
      <c r="AW989" s="74"/>
      <c r="AX989" s="74"/>
    </row>
    <row r="990" spans="1:50" ht="13" x14ac:dyDescent="0.15">
      <c r="A990" s="55" t="str">
        <f>HYPERLINK("http://reports.ofsted.gov.uk/inspection-reports/find-inspection-report/provider/CARE/2547847","Ofsted Social Care Provider Webpage")</f>
        <v>Ofsted Social Care Provider Webpage</v>
      </c>
      <c r="B990" s="55">
        <v>2547847</v>
      </c>
      <c r="D990" s="55" t="s">
        <v>373</v>
      </c>
      <c r="E990" s="74">
        <v>43957</v>
      </c>
      <c r="F990" s="55" t="s">
        <v>344</v>
      </c>
      <c r="G990" s="55" t="s">
        <v>360</v>
      </c>
      <c r="H990" s="55" t="s">
        <v>360</v>
      </c>
      <c r="I990" s="55" t="s">
        <v>360</v>
      </c>
      <c r="J990" s="55" t="s">
        <v>360</v>
      </c>
      <c r="K990" s="55" t="s">
        <v>360</v>
      </c>
      <c r="L990" s="55" t="s">
        <v>360</v>
      </c>
      <c r="M990" s="55" t="s">
        <v>144</v>
      </c>
      <c r="N990" s="55" t="s">
        <v>144</v>
      </c>
      <c r="O990" s="55" t="s">
        <v>163</v>
      </c>
      <c r="P990" s="55" t="s">
        <v>614</v>
      </c>
      <c r="Q990" s="55" t="s">
        <v>380</v>
      </c>
      <c r="R990" s="85">
        <v>2</v>
      </c>
      <c r="S990" s="55">
        <v>0</v>
      </c>
      <c r="T990" s="74" t="s">
        <v>473</v>
      </c>
      <c r="U990" s="74" t="s">
        <v>351</v>
      </c>
      <c r="V990" s="74">
        <v>44403</v>
      </c>
      <c r="W990" s="74">
        <v>44433</v>
      </c>
      <c r="X990" s="55">
        <v>10185133</v>
      </c>
      <c r="Y990" s="55" t="s">
        <v>132</v>
      </c>
      <c r="AB990" s="74" t="s">
        <v>132</v>
      </c>
      <c r="AC990" s="55" t="s">
        <v>132</v>
      </c>
      <c r="AL990" s="74"/>
      <c r="AM990" s="74"/>
    </row>
    <row r="991" spans="1:50" ht="13" x14ac:dyDescent="0.15">
      <c r="A991" s="55" t="str">
        <f>HYPERLINK("http://reports.ofsted.gov.uk/inspection-reports/find-inspection-report/provider/CARE/2547918","Ofsted Social Care Provider Webpage")</f>
        <v>Ofsted Social Care Provider Webpage</v>
      </c>
      <c r="B991" s="55">
        <v>2547918</v>
      </c>
      <c r="D991" s="55" t="s">
        <v>373</v>
      </c>
      <c r="E991" s="74">
        <v>43902</v>
      </c>
      <c r="F991" s="55" t="s">
        <v>344</v>
      </c>
      <c r="G991" s="55" t="s">
        <v>360</v>
      </c>
      <c r="H991" s="55" t="s">
        <v>360</v>
      </c>
      <c r="I991" s="55" t="s">
        <v>360</v>
      </c>
      <c r="J991" s="55" t="s">
        <v>360</v>
      </c>
      <c r="K991" s="55" t="s">
        <v>360</v>
      </c>
      <c r="L991" s="55" t="s">
        <v>360</v>
      </c>
      <c r="M991" s="55" t="s">
        <v>142</v>
      </c>
      <c r="N991" s="55" t="s">
        <v>142</v>
      </c>
      <c r="O991" s="55" t="s">
        <v>141</v>
      </c>
      <c r="P991" s="55" t="s">
        <v>641</v>
      </c>
      <c r="Q991" s="55" t="s">
        <v>350</v>
      </c>
      <c r="R991" s="85">
        <v>3</v>
      </c>
      <c r="S991" s="55">
        <v>0</v>
      </c>
      <c r="T991" s="74" t="s">
        <v>1127</v>
      </c>
      <c r="U991" s="74" t="s">
        <v>351</v>
      </c>
      <c r="V991" s="74">
        <v>44314</v>
      </c>
      <c r="W991" s="74">
        <v>44348</v>
      </c>
      <c r="X991" s="55">
        <v>10187156</v>
      </c>
      <c r="Y991" s="55" t="s">
        <v>132</v>
      </c>
      <c r="AB991" s="74" t="s">
        <v>132</v>
      </c>
      <c r="AC991" s="55" t="s">
        <v>130</v>
      </c>
      <c r="AL991" s="74"/>
      <c r="AM991" s="74"/>
    </row>
    <row r="992" spans="1:50" ht="13" x14ac:dyDescent="0.15">
      <c r="A992" s="55" t="str">
        <f>HYPERLINK("http://reports.ofsted.gov.uk/inspection-reports/find-inspection-report/provider/CARE/2547967","Ofsted Social Care Provider Webpage")</f>
        <v>Ofsted Social Care Provider Webpage</v>
      </c>
      <c r="B992" s="55">
        <v>2547967</v>
      </c>
      <c r="D992" s="55" t="s">
        <v>373</v>
      </c>
      <c r="E992" s="74">
        <v>43742</v>
      </c>
      <c r="F992" s="55" t="s">
        <v>344</v>
      </c>
      <c r="G992" s="55" t="s">
        <v>360</v>
      </c>
      <c r="H992" s="55" t="s">
        <v>360</v>
      </c>
      <c r="I992" s="55" t="s">
        <v>360</v>
      </c>
      <c r="J992" s="55" t="s">
        <v>360</v>
      </c>
      <c r="K992" s="55" t="s">
        <v>360</v>
      </c>
      <c r="L992" s="55" t="s">
        <v>360</v>
      </c>
      <c r="M992" s="55" t="s">
        <v>136</v>
      </c>
      <c r="N992" s="55" t="s">
        <v>136</v>
      </c>
      <c r="O992" s="55" t="s">
        <v>255</v>
      </c>
      <c r="P992" s="55" t="s">
        <v>757</v>
      </c>
      <c r="Q992" s="55" t="s">
        <v>350</v>
      </c>
      <c r="R992" s="85">
        <v>2</v>
      </c>
      <c r="S992" s="55">
        <v>0</v>
      </c>
      <c r="T992" s="74" t="s">
        <v>1601</v>
      </c>
      <c r="U992" s="74" t="s">
        <v>351</v>
      </c>
      <c r="V992" s="74">
        <v>44572</v>
      </c>
      <c r="W992" s="74">
        <v>44606</v>
      </c>
      <c r="X992" s="55">
        <v>10185619</v>
      </c>
      <c r="Y992" s="55" t="s">
        <v>132</v>
      </c>
      <c r="AB992" s="74" t="s">
        <v>132</v>
      </c>
      <c r="AC992" s="55" t="s">
        <v>132</v>
      </c>
      <c r="AL992" s="74"/>
      <c r="AM992" s="74"/>
      <c r="AW992" s="74"/>
      <c r="AX992" s="74"/>
    </row>
    <row r="993" spans="1:50" ht="13" x14ac:dyDescent="0.15">
      <c r="A993" s="55" t="str">
        <f>HYPERLINK("http://reports.ofsted.gov.uk/inspection-reports/find-inspection-report/provider/CARE/2548260","Ofsted Social Care Provider Webpage")</f>
        <v>Ofsted Social Care Provider Webpage</v>
      </c>
      <c r="B993" s="55">
        <v>2548260</v>
      </c>
      <c r="D993" s="55" t="s">
        <v>373</v>
      </c>
      <c r="E993" s="74">
        <v>43999</v>
      </c>
      <c r="F993" s="55" t="s">
        <v>344</v>
      </c>
      <c r="G993" s="55" t="s">
        <v>360</v>
      </c>
      <c r="H993" s="55" t="s">
        <v>360</v>
      </c>
      <c r="I993" s="55" t="s">
        <v>360</v>
      </c>
      <c r="J993" s="55" t="s">
        <v>360</v>
      </c>
      <c r="K993" s="55" t="s">
        <v>360</v>
      </c>
      <c r="L993" s="55" t="s">
        <v>360</v>
      </c>
      <c r="M993" s="55" t="s">
        <v>144</v>
      </c>
      <c r="N993" s="55" t="s">
        <v>144</v>
      </c>
      <c r="O993" s="55" t="s">
        <v>162</v>
      </c>
      <c r="P993" s="55" t="s">
        <v>516</v>
      </c>
      <c r="Q993" s="55" t="s">
        <v>362</v>
      </c>
      <c r="R993" s="85">
        <v>3</v>
      </c>
      <c r="S993" s="55">
        <v>0</v>
      </c>
      <c r="T993" s="74" t="s">
        <v>1565</v>
      </c>
      <c r="U993" s="74" t="s">
        <v>351</v>
      </c>
      <c r="V993" s="74">
        <v>44467</v>
      </c>
      <c r="W993" s="74">
        <v>44538</v>
      </c>
      <c r="X993" s="55">
        <v>10187448</v>
      </c>
      <c r="Y993" s="55" t="s">
        <v>146</v>
      </c>
      <c r="AB993" s="74" t="s">
        <v>146</v>
      </c>
      <c r="AC993" s="55" t="s">
        <v>146</v>
      </c>
      <c r="AL993" s="74"/>
      <c r="AM993" s="74"/>
    </row>
    <row r="994" spans="1:50" ht="13" x14ac:dyDescent="0.15">
      <c r="A994" s="55" t="str">
        <f>HYPERLINK("http://reports.ofsted.gov.uk/inspection-reports/find-inspection-report/provider/CARE/2548260","Ofsted Social Care Provider Webpage")</f>
        <v>Ofsted Social Care Provider Webpage</v>
      </c>
      <c r="B994" s="55">
        <v>2548260</v>
      </c>
      <c r="D994" s="55" t="s">
        <v>373</v>
      </c>
      <c r="E994" s="74">
        <v>43999</v>
      </c>
      <c r="F994" s="55" t="s">
        <v>344</v>
      </c>
      <c r="G994" s="55" t="s">
        <v>360</v>
      </c>
      <c r="H994" s="55" t="s">
        <v>360</v>
      </c>
      <c r="I994" s="55" t="s">
        <v>360</v>
      </c>
      <c r="J994" s="55" t="s">
        <v>360</v>
      </c>
      <c r="K994" s="55" t="s">
        <v>360</v>
      </c>
      <c r="L994" s="55" t="s">
        <v>360</v>
      </c>
      <c r="M994" s="55" t="s">
        <v>144</v>
      </c>
      <c r="N994" s="55" t="s">
        <v>144</v>
      </c>
      <c r="O994" s="55" t="s">
        <v>162</v>
      </c>
      <c r="P994" s="55" t="s">
        <v>516</v>
      </c>
      <c r="Q994" s="55" t="s">
        <v>362</v>
      </c>
      <c r="R994" s="85">
        <v>3</v>
      </c>
      <c r="S994" s="55">
        <v>0</v>
      </c>
      <c r="T994" s="74" t="s">
        <v>1565</v>
      </c>
      <c r="U994" s="74" t="s">
        <v>2053</v>
      </c>
      <c r="V994" s="74">
        <v>44516</v>
      </c>
      <c r="W994" s="74">
        <v>44565</v>
      </c>
      <c r="X994" s="55">
        <v>10209378</v>
      </c>
      <c r="AL994" s="74"/>
      <c r="AM994" s="74"/>
      <c r="AW994" s="74"/>
      <c r="AX994" s="74"/>
    </row>
    <row r="995" spans="1:50" ht="13" x14ac:dyDescent="0.15">
      <c r="A995" s="55" t="str">
        <f>HYPERLINK("http://reports.ofsted.gov.uk/inspection-reports/find-inspection-report/provider/CARE/2548334","Ofsted Social Care Provider Webpage")</f>
        <v>Ofsted Social Care Provider Webpage</v>
      </c>
      <c r="B995" s="55">
        <v>2548334</v>
      </c>
      <c r="D995" s="55" t="s">
        <v>373</v>
      </c>
      <c r="E995" s="74">
        <v>43691</v>
      </c>
      <c r="F995" s="55" t="s">
        <v>344</v>
      </c>
      <c r="G995" s="55" t="s">
        <v>360</v>
      </c>
      <c r="H995" s="55" t="s">
        <v>360</v>
      </c>
      <c r="I995" s="55" t="s">
        <v>360</v>
      </c>
      <c r="J995" s="55" t="s">
        <v>360</v>
      </c>
      <c r="K995" s="55" t="s">
        <v>360</v>
      </c>
      <c r="L995" s="55" t="s">
        <v>360</v>
      </c>
      <c r="M995" s="55" t="s">
        <v>129</v>
      </c>
      <c r="N995" s="55" t="s">
        <v>129</v>
      </c>
      <c r="O995" s="55" t="s">
        <v>223</v>
      </c>
      <c r="P995" s="55" t="s">
        <v>1602</v>
      </c>
      <c r="Q995" s="55" t="s">
        <v>350</v>
      </c>
      <c r="R995" s="85">
        <v>3</v>
      </c>
      <c r="S995" s="55">
        <v>0</v>
      </c>
      <c r="T995" s="74" t="s">
        <v>1603</v>
      </c>
      <c r="U995" s="74" t="s">
        <v>351</v>
      </c>
      <c r="V995" s="74">
        <v>44537</v>
      </c>
      <c r="W995" s="74">
        <v>44586</v>
      </c>
      <c r="X995" s="55">
        <v>10186226</v>
      </c>
      <c r="Y995" s="55" t="s">
        <v>132</v>
      </c>
      <c r="AB995" s="74" t="s">
        <v>132</v>
      </c>
      <c r="AC995" s="55" t="s">
        <v>130</v>
      </c>
      <c r="AL995" s="74"/>
      <c r="AM995" s="74"/>
      <c r="AW995" s="74"/>
      <c r="AX995" s="74"/>
    </row>
    <row r="996" spans="1:50" ht="13" x14ac:dyDescent="0.15">
      <c r="A996" s="55" t="str">
        <f>HYPERLINK("http://reports.ofsted.gov.uk/inspection-reports/find-inspection-report/provider/CARE/2548403","Ofsted Social Care Provider Webpage")</f>
        <v>Ofsted Social Care Provider Webpage</v>
      </c>
      <c r="B996" s="55">
        <v>2548403</v>
      </c>
      <c r="D996" s="55" t="s">
        <v>1493</v>
      </c>
      <c r="E996" s="74">
        <v>43768</v>
      </c>
      <c r="F996" s="55" t="s">
        <v>344</v>
      </c>
      <c r="G996" s="55" t="s">
        <v>360</v>
      </c>
      <c r="H996" s="55" t="s">
        <v>360</v>
      </c>
      <c r="I996" s="55" t="s">
        <v>360</v>
      </c>
      <c r="J996" s="55" t="s">
        <v>360</v>
      </c>
      <c r="K996" s="55" t="s">
        <v>360</v>
      </c>
      <c r="L996" s="55" t="s">
        <v>360</v>
      </c>
      <c r="M996" s="55" t="s">
        <v>144</v>
      </c>
      <c r="N996" s="55" t="s">
        <v>144</v>
      </c>
      <c r="O996" s="55" t="s">
        <v>162</v>
      </c>
      <c r="P996" s="55" t="s">
        <v>516</v>
      </c>
      <c r="Q996" s="55" t="s">
        <v>350</v>
      </c>
      <c r="R996" s="85">
        <v>5</v>
      </c>
      <c r="S996" s="55">
        <v>0</v>
      </c>
      <c r="T996" s="74" t="s">
        <v>1441</v>
      </c>
      <c r="U996" s="74" t="s">
        <v>351</v>
      </c>
      <c r="V996" s="74">
        <v>44341</v>
      </c>
      <c r="W996" s="74">
        <v>44377</v>
      </c>
      <c r="X996" s="55">
        <v>10186524</v>
      </c>
      <c r="Y996" s="55" t="s">
        <v>132</v>
      </c>
      <c r="AB996" s="74" t="s">
        <v>132</v>
      </c>
      <c r="AC996" s="55" t="s">
        <v>132</v>
      </c>
      <c r="AL996" s="74"/>
      <c r="AM996" s="74"/>
      <c r="AW996" s="74"/>
      <c r="AX996" s="74"/>
    </row>
    <row r="997" spans="1:50" ht="13" x14ac:dyDescent="0.15">
      <c r="A997" s="55" t="str">
        <f>HYPERLINK("http://reports.ofsted.gov.uk/inspection-reports/find-inspection-report/provider/CARE/2548418","Ofsted Social Care Provider Webpage")</f>
        <v>Ofsted Social Care Provider Webpage</v>
      </c>
      <c r="B997" s="55">
        <v>2548418</v>
      </c>
      <c r="D997" s="55" t="s">
        <v>373</v>
      </c>
      <c r="E997" s="74">
        <v>43746</v>
      </c>
      <c r="F997" s="55" t="s">
        <v>344</v>
      </c>
      <c r="G997" s="55" t="s">
        <v>360</v>
      </c>
      <c r="H997" s="55" t="s">
        <v>360</v>
      </c>
      <c r="I997" s="55" t="s">
        <v>360</v>
      </c>
      <c r="J997" s="55" t="s">
        <v>360</v>
      </c>
      <c r="K997" s="55" t="s">
        <v>360</v>
      </c>
      <c r="L997" s="55" t="s">
        <v>360</v>
      </c>
      <c r="M997" s="55" t="s">
        <v>150</v>
      </c>
      <c r="N997" s="55" t="s">
        <v>150</v>
      </c>
      <c r="O997" s="55" t="s">
        <v>156</v>
      </c>
      <c r="P997" s="55" t="s">
        <v>1217</v>
      </c>
      <c r="Q997" s="55" t="s">
        <v>350</v>
      </c>
      <c r="R997" s="85">
        <v>4</v>
      </c>
      <c r="S997" s="55">
        <v>0</v>
      </c>
      <c r="T997" s="74" t="s">
        <v>843</v>
      </c>
      <c r="U997" s="74" t="s">
        <v>351</v>
      </c>
      <c r="V997" s="74">
        <v>44460</v>
      </c>
      <c r="W997" s="74">
        <v>44503</v>
      </c>
      <c r="X997" s="55">
        <v>10186027</v>
      </c>
      <c r="Y997" s="55" t="s">
        <v>132</v>
      </c>
      <c r="AB997" s="74" t="s">
        <v>132</v>
      </c>
      <c r="AC997" s="55" t="s">
        <v>130</v>
      </c>
      <c r="AL997" s="74"/>
      <c r="AM997" s="74"/>
      <c r="AW997" s="74"/>
      <c r="AX997" s="74"/>
    </row>
    <row r="998" spans="1:50" ht="13" x14ac:dyDescent="0.15">
      <c r="A998" s="55" t="str">
        <f>HYPERLINK("http://reports.ofsted.gov.uk/inspection-reports/find-inspection-report/provider/CARE/2548528","Ofsted Social Care Provider Webpage")</f>
        <v>Ofsted Social Care Provider Webpage</v>
      </c>
      <c r="B998" s="55">
        <v>2548528</v>
      </c>
      <c r="D998" s="55" t="s">
        <v>373</v>
      </c>
      <c r="E998" s="74">
        <v>43689</v>
      </c>
      <c r="F998" s="55" t="s">
        <v>344</v>
      </c>
      <c r="G998" s="55" t="s">
        <v>360</v>
      </c>
      <c r="H998" s="55" t="s">
        <v>360</v>
      </c>
      <c r="I998" s="55" t="s">
        <v>360</v>
      </c>
      <c r="J998" s="55" t="s">
        <v>360</v>
      </c>
      <c r="K998" s="55" t="s">
        <v>360</v>
      </c>
      <c r="L998" s="55" t="s">
        <v>360</v>
      </c>
      <c r="M998" s="55" t="s">
        <v>144</v>
      </c>
      <c r="N998" s="55" t="s">
        <v>144</v>
      </c>
      <c r="O998" s="55" t="s">
        <v>245</v>
      </c>
      <c r="P998" s="55" t="s">
        <v>245</v>
      </c>
      <c r="Q998" s="55" t="s">
        <v>350</v>
      </c>
      <c r="R998" s="85">
        <v>4</v>
      </c>
      <c r="S998" s="55">
        <v>0</v>
      </c>
      <c r="T998" s="74" t="s">
        <v>1604</v>
      </c>
      <c r="U998" s="74" t="s">
        <v>351</v>
      </c>
      <c r="V998" s="74">
        <v>44467</v>
      </c>
      <c r="W998" s="74">
        <v>44490</v>
      </c>
      <c r="X998" s="55">
        <v>10187001</v>
      </c>
      <c r="Y998" s="55" t="s">
        <v>132</v>
      </c>
      <c r="AB998" s="74" t="s">
        <v>132</v>
      </c>
      <c r="AC998" s="55" t="s">
        <v>132</v>
      </c>
      <c r="AL998" s="74"/>
      <c r="AM998" s="74"/>
      <c r="AW998" s="74"/>
      <c r="AX998" s="74"/>
    </row>
    <row r="999" spans="1:50" ht="13" x14ac:dyDescent="0.15">
      <c r="A999" s="55" t="str">
        <f>HYPERLINK("http://reports.ofsted.gov.uk/inspection-reports/find-inspection-report/provider/CARE/2548569","Ofsted Social Care Provider Webpage")</f>
        <v>Ofsted Social Care Provider Webpage</v>
      </c>
      <c r="B999" s="55">
        <v>2548569</v>
      </c>
      <c r="D999" s="55" t="s">
        <v>373</v>
      </c>
      <c r="E999" s="74">
        <v>43739</v>
      </c>
      <c r="F999" s="55" t="s">
        <v>344</v>
      </c>
      <c r="G999" s="55" t="s">
        <v>360</v>
      </c>
      <c r="H999" s="55" t="s">
        <v>360</v>
      </c>
      <c r="I999" s="55" t="s">
        <v>360</v>
      </c>
      <c r="J999" s="55" t="s">
        <v>360</v>
      </c>
      <c r="K999" s="55" t="s">
        <v>360</v>
      </c>
      <c r="L999" s="55" t="s">
        <v>360</v>
      </c>
      <c r="M999" s="55" t="s">
        <v>142</v>
      </c>
      <c r="N999" s="55" t="s">
        <v>142</v>
      </c>
      <c r="O999" s="55" t="s">
        <v>293</v>
      </c>
      <c r="P999" s="55" t="s">
        <v>1136</v>
      </c>
      <c r="Q999" s="55" t="s">
        <v>362</v>
      </c>
      <c r="R999" s="85">
        <v>4</v>
      </c>
      <c r="S999" s="55">
        <v>0</v>
      </c>
      <c r="T999" s="74" t="s">
        <v>1605</v>
      </c>
      <c r="U999" s="74" t="s">
        <v>351</v>
      </c>
      <c r="V999" s="74">
        <v>44601</v>
      </c>
      <c r="W999" s="74">
        <v>44643</v>
      </c>
      <c r="X999" s="55">
        <v>10187327</v>
      </c>
      <c r="Y999" s="55" t="s">
        <v>130</v>
      </c>
      <c r="AB999" s="74" t="s">
        <v>130</v>
      </c>
      <c r="AC999" s="55" t="s">
        <v>130</v>
      </c>
      <c r="AL999" s="74"/>
      <c r="AM999" s="74"/>
      <c r="AW999" s="74"/>
      <c r="AX999" s="74"/>
    </row>
    <row r="1000" spans="1:50" ht="13" x14ac:dyDescent="0.15">
      <c r="A1000" s="55" t="str">
        <f>HYPERLINK("http://reports.ofsted.gov.uk/inspection-reports/find-inspection-report/provider/CARE/2548571","Ofsted Social Care Provider Webpage")</f>
        <v>Ofsted Social Care Provider Webpage</v>
      </c>
      <c r="B1000" s="55">
        <v>2548571</v>
      </c>
      <c r="D1000" s="55" t="s">
        <v>373</v>
      </c>
      <c r="E1000" s="74">
        <v>43739</v>
      </c>
      <c r="F1000" s="55" t="s">
        <v>344</v>
      </c>
      <c r="G1000" s="55" t="s">
        <v>360</v>
      </c>
      <c r="H1000" s="55" t="s">
        <v>360</v>
      </c>
      <c r="I1000" s="55" t="s">
        <v>360</v>
      </c>
      <c r="J1000" s="55" t="s">
        <v>360</v>
      </c>
      <c r="K1000" s="55" t="s">
        <v>360</v>
      </c>
      <c r="L1000" s="55" t="s">
        <v>360</v>
      </c>
      <c r="M1000" s="55" t="s">
        <v>142</v>
      </c>
      <c r="N1000" s="55" t="s">
        <v>142</v>
      </c>
      <c r="O1000" s="55" t="s">
        <v>293</v>
      </c>
      <c r="P1000" s="55" t="s">
        <v>1136</v>
      </c>
      <c r="Q1000" s="55" t="s">
        <v>362</v>
      </c>
      <c r="R1000" s="85">
        <v>4</v>
      </c>
      <c r="S1000" s="55">
        <v>0</v>
      </c>
      <c r="T1000" s="74" t="s">
        <v>1605</v>
      </c>
      <c r="U1000" s="74" t="s">
        <v>351</v>
      </c>
      <c r="V1000" s="74">
        <v>44411</v>
      </c>
      <c r="W1000" s="74">
        <v>44468</v>
      </c>
      <c r="X1000" s="55">
        <v>10187442</v>
      </c>
      <c r="Y1000" s="55" t="s">
        <v>146</v>
      </c>
      <c r="AB1000" s="74" t="s">
        <v>146</v>
      </c>
      <c r="AC1000" s="55" t="s">
        <v>146</v>
      </c>
      <c r="AL1000" s="74"/>
      <c r="AM1000" s="74"/>
    </row>
    <row r="1001" spans="1:50" ht="13" x14ac:dyDescent="0.15">
      <c r="A1001" s="55" t="str">
        <f>HYPERLINK("http://reports.ofsted.gov.uk/inspection-reports/find-inspection-report/provider/CARE/2548571","Ofsted Social Care Provider Webpage")</f>
        <v>Ofsted Social Care Provider Webpage</v>
      </c>
      <c r="B1001" s="55">
        <v>2548571</v>
      </c>
      <c r="D1001" s="55" t="s">
        <v>373</v>
      </c>
      <c r="E1001" s="74">
        <v>43739</v>
      </c>
      <c r="F1001" s="55" t="s">
        <v>344</v>
      </c>
      <c r="G1001" s="55" t="s">
        <v>360</v>
      </c>
      <c r="H1001" s="55" t="s">
        <v>360</v>
      </c>
      <c r="I1001" s="55" t="s">
        <v>360</v>
      </c>
      <c r="J1001" s="55" t="s">
        <v>360</v>
      </c>
      <c r="K1001" s="55" t="s">
        <v>360</v>
      </c>
      <c r="L1001" s="55" t="s">
        <v>360</v>
      </c>
      <c r="M1001" s="55" t="s">
        <v>142</v>
      </c>
      <c r="N1001" s="55" t="s">
        <v>142</v>
      </c>
      <c r="O1001" s="55" t="s">
        <v>293</v>
      </c>
      <c r="P1001" s="55" t="s">
        <v>1136</v>
      </c>
      <c r="Q1001" s="55" t="s">
        <v>362</v>
      </c>
      <c r="R1001" s="85">
        <v>4</v>
      </c>
      <c r="S1001" s="55">
        <v>0</v>
      </c>
      <c r="T1001" s="74" t="s">
        <v>1605</v>
      </c>
      <c r="U1001" s="74" t="s">
        <v>351</v>
      </c>
      <c r="V1001" s="74">
        <v>44516</v>
      </c>
      <c r="W1001" s="74">
        <v>44572</v>
      </c>
      <c r="X1001" s="55">
        <v>10204569</v>
      </c>
      <c r="Y1001" s="55" t="s">
        <v>132</v>
      </c>
      <c r="AB1001" s="74" t="s">
        <v>132</v>
      </c>
      <c r="AC1001" s="55" t="s">
        <v>132</v>
      </c>
      <c r="AL1001" s="74"/>
      <c r="AM1001" s="74"/>
    </row>
    <row r="1002" spans="1:50" ht="13" x14ac:dyDescent="0.15">
      <c r="A1002" s="55" t="str">
        <f>HYPERLINK("http://reports.ofsted.gov.uk/inspection-reports/find-inspection-report/provider/CARE/2548571","Ofsted Social Care Provider Webpage")</f>
        <v>Ofsted Social Care Provider Webpage</v>
      </c>
      <c r="B1002" s="55">
        <v>2548571</v>
      </c>
      <c r="D1002" s="55" t="s">
        <v>373</v>
      </c>
      <c r="E1002" s="74">
        <v>43739</v>
      </c>
      <c r="F1002" s="55" t="s">
        <v>344</v>
      </c>
      <c r="G1002" s="55" t="s">
        <v>360</v>
      </c>
      <c r="H1002" s="55" t="s">
        <v>360</v>
      </c>
      <c r="I1002" s="55" t="s">
        <v>360</v>
      </c>
      <c r="J1002" s="55" t="s">
        <v>360</v>
      </c>
      <c r="K1002" s="55" t="s">
        <v>360</v>
      </c>
      <c r="L1002" s="55" t="s">
        <v>360</v>
      </c>
      <c r="M1002" s="55" t="s">
        <v>142</v>
      </c>
      <c r="N1002" s="55" t="s">
        <v>142</v>
      </c>
      <c r="O1002" s="55" t="s">
        <v>293</v>
      </c>
      <c r="P1002" s="55" t="s">
        <v>1136</v>
      </c>
      <c r="Q1002" s="55" t="s">
        <v>362</v>
      </c>
      <c r="R1002" s="85">
        <v>4</v>
      </c>
      <c r="S1002" s="55">
        <v>0</v>
      </c>
      <c r="T1002" s="74" t="s">
        <v>1605</v>
      </c>
      <c r="U1002" s="74" t="s">
        <v>2053</v>
      </c>
      <c r="V1002" s="74">
        <v>44461</v>
      </c>
      <c r="W1002" s="74">
        <v>44512</v>
      </c>
      <c r="X1002" s="55">
        <v>10204568</v>
      </c>
      <c r="AL1002" s="74"/>
      <c r="AM1002" s="74"/>
    </row>
    <row r="1003" spans="1:50" ht="13" x14ac:dyDescent="0.15">
      <c r="A1003" s="55" t="str">
        <f>HYPERLINK("http://reports.ofsted.gov.uk/inspection-reports/find-inspection-report/provider/CARE/2548794","Ofsted Social Care Provider Webpage")</f>
        <v>Ofsted Social Care Provider Webpage</v>
      </c>
      <c r="B1003" s="55">
        <v>2548794</v>
      </c>
      <c r="D1003" s="55" t="s">
        <v>373</v>
      </c>
      <c r="E1003" s="74">
        <v>44014</v>
      </c>
      <c r="F1003" s="55" t="s">
        <v>344</v>
      </c>
      <c r="G1003" s="55" t="s">
        <v>360</v>
      </c>
      <c r="H1003" s="55" t="s">
        <v>360</v>
      </c>
      <c r="I1003" s="55" t="s">
        <v>360</v>
      </c>
      <c r="J1003" s="55" t="s">
        <v>360</v>
      </c>
      <c r="K1003" s="55" t="s">
        <v>360</v>
      </c>
      <c r="L1003" s="55" t="s">
        <v>360</v>
      </c>
      <c r="M1003" s="55" t="s">
        <v>129</v>
      </c>
      <c r="N1003" s="55" t="s">
        <v>129</v>
      </c>
      <c r="O1003" s="55" t="s">
        <v>131</v>
      </c>
      <c r="P1003" s="55" t="s">
        <v>1606</v>
      </c>
      <c r="Q1003" s="55" t="s">
        <v>350</v>
      </c>
      <c r="R1003" s="85">
        <v>5</v>
      </c>
      <c r="S1003" s="55">
        <v>0</v>
      </c>
      <c r="T1003" s="74" t="s">
        <v>1607</v>
      </c>
      <c r="U1003" s="74" t="s">
        <v>6703</v>
      </c>
      <c r="V1003" s="74">
        <v>44571</v>
      </c>
      <c r="W1003" s="74">
        <v>44596</v>
      </c>
      <c r="X1003" s="55">
        <v>10209397</v>
      </c>
      <c r="Y1003" s="55" t="s">
        <v>6706</v>
      </c>
      <c r="AL1003" s="74"/>
      <c r="AM1003" s="74"/>
      <c r="AW1003" s="74"/>
      <c r="AX1003" s="74"/>
    </row>
    <row r="1004" spans="1:50" ht="13" x14ac:dyDescent="0.15">
      <c r="A1004" s="55" t="str">
        <f>HYPERLINK("http://reports.ofsted.gov.uk/inspection-reports/find-inspection-report/provider/CARE/2548794","Ofsted Social Care Provider Webpage")</f>
        <v>Ofsted Social Care Provider Webpage</v>
      </c>
      <c r="B1004" s="55">
        <v>2548794</v>
      </c>
      <c r="D1004" s="55" t="s">
        <v>373</v>
      </c>
      <c r="E1004" s="74">
        <v>44014</v>
      </c>
      <c r="F1004" s="55" t="s">
        <v>344</v>
      </c>
      <c r="G1004" s="55" t="s">
        <v>360</v>
      </c>
      <c r="H1004" s="55" t="s">
        <v>360</v>
      </c>
      <c r="I1004" s="55" t="s">
        <v>360</v>
      </c>
      <c r="J1004" s="55" t="s">
        <v>360</v>
      </c>
      <c r="K1004" s="55" t="s">
        <v>360</v>
      </c>
      <c r="L1004" s="55" t="s">
        <v>360</v>
      </c>
      <c r="M1004" s="55" t="s">
        <v>129</v>
      </c>
      <c r="N1004" s="55" t="s">
        <v>129</v>
      </c>
      <c r="O1004" s="55" t="s">
        <v>131</v>
      </c>
      <c r="P1004" s="55" t="s">
        <v>1606</v>
      </c>
      <c r="Q1004" s="55" t="s">
        <v>350</v>
      </c>
      <c r="R1004" s="85">
        <v>5</v>
      </c>
      <c r="S1004" s="55">
        <v>0</v>
      </c>
      <c r="T1004" s="74" t="s">
        <v>1607</v>
      </c>
      <c r="U1004" s="74" t="s">
        <v>351</v>
      </c>
      <c r="V1004" s="74">
        <v>44354</v>
      </c>
      <c r="W1004" s="74">
        <v>44393</v>
      </c>
      <c r="X1004" s="55">
        <v>10185884</v>
      </c>
      <c r="Y1004" s="55" t="s">
        <v>130</v>
      </c>
      <c r="AB1004" s="74" t="s">
        <v>130</v>
      </c>
      <c r="AC1004" s="55" t="s">
        <v>130</v>
      </c>
      <c r="AL1004" s="74"/>
      <c r="AM1004" s="74"/>
      <c r="AW1004" s="74"/>
      <c r="AX1004" s="74"/>
    </row>
    <row r="1005" spans="1:50" ht="13" x14ac:dyDescent="0.15">
      <c r="A1005" s="55" t="str">
        <f>HYPERLINK("http://reports.ofsted.gov.uk/inspection-reports/find-inspection-report/provider/CARE/2549629","Ofsted Social Care Provider Webpage")</f>
        <v>Ofsted Social Care Provider Webpage</v>
      </c>
      <c r="B1005" s="55">
        <v>2549629</v>
      </c>
      <c r="D1005" s="55" t="s">
        <v>373</v>
      </c>
      <c r="E1005" s="74">
        <v>43899</v>
      </c>
      <c r="F1005" s="55" t="s">
        <v>344</v>
      </c>
      <c r="G1005" s="55" t="s">
        <v>360</v>
      </c>
      <c r="H1005" s="55" t="s">
        <v>360</v>
      </c>
      <c r="I1005" s="55" t="s">
        <v>360</v>
      </c>
      <c r="J1005" s="55" t="s">
        <v>360</v>
      </c>
      <c r="K1005" s="55" t="s">
        <v>360</v>
      </c>
      <c r="L1005" s="55" t="s">
        <v>360</v>
      </c>
      <c r="M1005" s="55" t="s">
        <v>136</v>
      </c>
      <c r="N1005" s="55" t="s">
        <v>136</v>
      </c>
      <c r="O1005" s="55" t="s">
        <v>174</v>
      </c>
      <c r="P1005" s="55" t="s">
        <v>982</v>
      </c>
      <c r="Q1005" s="55" t="s">
        <v>350</v>
      </c>
      <c r="R1005" s="85">
        <v>3</v>
      </c>
      <c r="S1005" s="55">
        <v>0</v>
      </c>
      <c r="T1005" s="74" t="s">
        <v>1151</v>
      </c>
      <c r="U1005" s="74" t="s">
        <v>351</v>
      </c>
      <c r="V1005" s="74">
        <v>44466</v>
      </c>
      <c r="W1005" s="74">
        <v>44509</v>
      </c>
      <c r="X1005" s="55">
        <v>10187114</v>
      </c>
      <c r="Y1005" s="55" t="s">
        <v>132</v>
      </c>
      <c r="AB1005" s="74" t="s">
        <v>132</v>
      </c>
      <c r="AC1005" s="55" t="s">
        <v>130</v>
      </c>
      <c r="AL1005" s="74"/>
      <c r="AM1005" s="74"/>
      <c r="AW1005" s="74"/>
      <c r="AX1005" s="74"/>
    </row>
    <row r="1006" spans="1:50" ht="13" x14ac:dyDescent="0.15">
      <c r="A1006" s="55" t="str">
        <f>HYPERLINK("http://reports.ofsted.gov.uk/inspection-reports/find-inspection-report/provider/CARE/2549696","Ofsted Social Care Provider Webpage")</f>
        <v>Ofsted Social Care Provider Webpage</v>
      </c>
      <c r="B1006" s="55">
        <v>2549696</v>
      </c>
      <c r="D1006" s="55" t="s">
        <v>389</v>
      </c>
      <c r="E1006" s="74">
        <v>43739</v>
      </c>
      <c r="F1006" s="55" t="s">
        <v>344</v>
      </c>
      <c r="G1006" s="55" t="s">
        <v>1608</v>
      </c>
      <c r="H1006" s="55" t="s">
        <v>1609</v>
      </c>
      <c r="I1006" s="55" t="s">
        <v>1610</v>
      </c>
      <c r="J1006" s="55" t="s">
        <v>1060</v>
      </c>
      <c r="K1006" s="55" t="s">
        <v>293</v>
      </c>
      <c r="L1006" s="55" t="s">
        <v>1611</v>
      </c>
      <c r="M1006" s="55" t="s">
        <v>142</v>
      </c>
      <c r="N1006" s="55" t="s">
        <v>142</v>
      </c>
      <c r="O1006" s="55" t="s">
        <v>293</v>
      </c>
      <c r="P1006" s="55" t="s">
        <v>1060</v>
      </c>
      <c r="Q1006" s="55" t="s">
        <v>362</v>
      </c>
      <c r="S1006" s="55">
        <v>0</v>
      </c>
      <c r="T1006" s="74" t="s">
        <v>1605</v>
      </c>
      <c r="U1006" s="74" t="s">
        <v>351</v>
      </c>
      <c r="V1006" s="74">
        <v>44459</v>
      </c>
      <c r="W1006" s="74">
        <v>44508</v>
      </c>
      <c r="X1006" s="55">
        <v>10183205</v>
      </c>
      <c r="Y1006" s="55" t="s">
        <v>130</v>
      </c>
      <c r="AB1006" s="74" t="s">
        <v>130</v>
      </c>
      <c r="AC1006" s="55" t="s">
        <v>146</v>
      </c>
      <c r="AL1006" s="74"/>
      <c r="AM1006" s="74"/>
      <c r="AW1006" s="74"/>
      <c r="AX1006" s="74"/>
    </row>
    <row r="1007" spans="1:50" ht="13" x14ac:dyDescent="0.15">
      <c r="A1007" s="55" t="str">
        <f>HYPERLINK("http://reports.ofsted.gov.uk/inspection-reports/find-inspection-report/provider/CARE/2549726","Ofsted Social Care Provider Webpage")</f>
        <v>Ofsted Social Care Provider Webpage</v>
      </c>
      <c r="B1007" s="55">
        <v>2549726</v>
      </c>
      <c r="D1007" s="55" t="s">
        <v>373</v>
      </c>
      <c r="E1007" s="74">
        <v>43739</v>
      </c>
      <c r="F1007" s="55" t="s">
        <v>344</v>
      </c>
      <c r="G1007" s="55" t="s">
        <v>360</v>
      </c>
      <c r="H1007" s="55" t="s">
        <v>360</v>
      </c>
      <c r="I1007" s="55" t="s">
        <v>360</v>
      </c>
      <c r="J1007" s="55" t="s">
        <v>360</v>
      </c>
      <c r="K1007" s="55" t="s">
        <v>360</v>
      </c>
      <c r="L1007" s="55" t="s">
        <v>360</v>
      </c>
      <c r="M1007" s="55" t="s">
        <v>142</v>
      </c>
      <c r="N1007" s="55" t="s">
        <v>142</v>
      </c>
      <c r="O1007" s="55" t="s">
        <v>293</v>
      </c>
      <c r="P1007" s="55" t="s">
        <v>1422</v>
      </c>
      <c r="Q1007" s="55" t="s">
        <v>362</v>
      </c>
      <c r="R1007" s="85">
        <v>4</v>
      </c>
      <c r="S1007" s="55" t="s">
        <v>332</v>
      </c>
      <c r="T1007" s="74" t="s">
        <v>1605</v>
      </c>
      <c r="U1007" s="74" t="s">
        <v>2053</v>
      </c>
      <c r="V1007" s="74">
        <v>44573</v>
      </c>
      <c r="W1007" s="74">
        <v>44606</v>
      </c>
      <c r="X1007" s="55">
        <v>10216205</v>
      </c>
      <c r="AL1007" s="74"/>
      <c r="AM1007" s="74"/>
    </row>
    <row r="1008" spans="1:50" ht="13" x14ac:dyDescent="0.15">
      <c r="A1008" s="55" t="str">
        <f>HYPERLINK("http://reports.ofsted.gov.uk/inspection-reports/find-inspection-report/provider/CARE/2549726","Ofsted Social Care Provider Webpage")</f>
        <v>Ofsted Social Care Provider Webpage</v>
      </c>
      <c r="B1008" s="55">
        <v>2549726</v>
      </c>
      <c r="D1008" s="55" t="s">
        <v>373</v>
      </c>
      <c r="E1008" s="74">
        <v>43739</v>
      </c>
      <c r="F1008" s="55" t="s">
        <v>344</v>
      </c>
      <c r="G1008" s="55" t="s">
        <v>360</v>
      </c>
      <c r="H1008" s="55" t="s">
        <v>360</v>
      </c>
      <c r="I1008" s="55" t="s">
        <v>360</v>
      </c>
      <c r="J1008" s="55" t="s">
        <v>360</v>
      </c>
      <c r="K1008" s="55" t="s">
        <v>360</v>
      </c>
      <c r="L1008" s="55" t="s">
        <v>360</v>
      </c>
      <c r="M1008" s="55" t="s">
        <v>142</v>
      </c>
      <c r="N1008" s="55" t="s">
        <v>142</v>
      </c>
      <c r="O1008" s="55" t="s">
        <v>293</v>
      </c>
      <c r="P1008" s="55" t="s">
        <v>1422</v>
      </c>
      <c r="Q1008" s="55" t="s">
        <v>362</v>
      </c>
      <c r="R1008" s="85">
        <v>4</v>
      </c>
      <c r="S1008" s="55" t="s">
        <v>332</v>
      </c>
      <c r="T1008" s="74" t="s">
        <v>1605</v>
      </c>
      <c r="U1008" s="74" t="s">
        <v>351</v>
      </c>
      <c r="V1008" s="74">
        <v>44523</v>
      </c>
      <c r="W1008" s="74">
        <v>44565</v>
      </c>
      <c r="X1008" s="55">
        <v>10186151</v>
      </c>
      <c r="Y1008" s="55" t="s">
        <v>146</v>
      </c>
      <c r="AB1008" s="74" t="s">
        <v>146</v>
      </c>
      <c r="AC1008" s="55" t="s">
        <v>146</v>
      </c>
      <c r="AL1008" s="74"/>
      <c r="AM1008" s="74"/>
      <c r="AW1008" s="74"/>
      <c r="AX1008" s="74"/>
    </row>
    <row r="1009" spans="1:50" ht="13" x14ac:dyDescent="0.15">
      <c r="A1009" s="55" t="str">
        <f>HYPERLINK("http://reports.ofsted.gov.uk/inspection-reports/find-inspection-report/provider/CARE/2549784","Ofsted Social Care Provider Webpage")</f>
        <v>Ofsted Social Care Provider Webpage</v>
      </c>
      <c r="B1009" s="55">
        <v>2549784</v>
      </c>
      <c r="D1009" s="55" t="s">
        <v>451</v>
      </c>
      <c r="E1009" s="74">
        <v>43790</v>
      </c>
      <c r="F1009" s="55" t="s">
        <v>344</v>
      </c>
      <c r="G1009" s="55" t="s">
        <v>1612</v>
      </c>
      <c r="H1009" s="55" t="s">
        <v>1613</v>
      </c>
      <c r="I1009" s="55" t="s">
        <v>354</v>
      </c>
      <c r="J1009" s="55" t="s">
        <v>1614</v>
      </c>
      <c r="K1009" s="55" t="s">
        <v>1615</v>
      </c>
      <c r="L1009" s="55" t="s">
        <v>1616</v>
      </c>
      <c r="M1009" s="55" t="s">
        <v>150</v>
      </c>
      <c r="N1009" s="55" t="s">
        <v>150</v>
      </c>
      <c r="O1009" s="55" t="s">
        <v>285</v>
      </c>
      <c r="P1009" s="55" t="s">
        <v>893</v>
      </c>
      <c r="Q1009" s="55" t="s">
        <v>350</v>
      </c>
      <c r="R1009" s="85">
        <v>4</v>
      </c>
      <c r="S1009" s="55">
        <v>0</v>
      </c>
      <c r="T1009" s="74" t="s">
        <v>1617</v>
      </c>
      <c r="U1009" s="74" t="s">
        <v>351</v>
      </c>
      <c r="V1009" s="74">
        <v>44376</v>
      </c>
      <c r="W1009" s="74">
        <v>44412</v>
      </c>
      <c r="X1009" s="55">
        <v>10183239</v>
      </c>
      <c r="Y1009" s="55" t="s">
        <v>132</v>
      </c>
      <c r="AB1009" s="74" t="s">
        <v>132</v>
      </c>
      <c r="AC1009" s="55" t="s">
        <v>130</v>
      </c>
      <c r="AL1009" s="74"/>
      <c r="AM1009" s="74"/>
      <c r="AW1009" s="74"/>
      <c r="AX1009" s="74"/>
    </row>
    <row r="1010" spans="1:50" ht="13" x14ac:dyDescent="0.15">
      <c r="A1010" s="55" t="str">
        <f>HYPERLINK("http://reports.ofsted.gov.uk/inspection-reports/find-inspection-report/provider/CARE/2550082","Ofsted Social Care Provider Webpage")</f>
        <v>Ofsted Social Care Provider Webpage</v>
      </c>
      <c r="B1010" s="55">
        <v>2550082</v>
      </c>
      <c r="D1010" s="55" t="s">
        <v>373</v>
      </c>
      <c r="E1010" s="74">
        <v>44123</v>
      </c>
      <c r="F1010" s="55" t="s">
        <v>344</v>
      </c>
      <c r="G1010" s="55" t="s">
        <v>360</v>
      </c>
      <c r="H1010" s="55" t="s">
        <v>360</v>
      </c>
      <c r="I1010" s="55" t="s">
        <v>360</v>
      </c>
      <c r="J1010" s="55" t="s">
        <v>360</v>
      </c>
      <c r="K1010" s="55" t="s">
        <v>360</v>
      </c>
      <c r="L1010" s="55" t="s">
        <v>360</v>
      </c>
      <c r="M1010" s="55" t="s">
        <v>144</v>
      </c>
      <c r="N1010" s="55" t="s">
        <v>144</v>
      </c>
      <c r="O1010" s="55" t="s">
        <v>145</v>
      </c>
      <c r="P1010" s="55" t="s">
        <v>484</v>
      </c>
      <c r="Q1010" s="55" t="s">
        <v>350</v>
      </c>
      <c r="R1010" s="85">
        <v>2</v>
      </c>
      <c r="S1010" s="55">
        <v>0</v>
      </c>
      <c r="T1010" s="74" t="s">
        <v>955</v>
      </c>
      <c r="U1010" s="74" t="s">
        <v>6703</v>
      </c>
      <c r="V1010" s="74">
        <v>44518</v>
      </c>
      <c r="W1010" s="74">
        <v>44565</v>
      </c>
      <c r="X1010" s="55">
        <v>10209602</v>
      </c>
      <c r="Y1010" s="55" t="s">
        <v>6705</v>
      </c>
      <c r="AL1010" s="74"/>
      <c r="AM1010" s="74"/>
      <c r="AW1010" s="74"/>
      <c r="AX1010" s="74"/>
    </row>
    <row r="1011" spans="1:50" ht="13" x14ac:dyDescent="0.15">
      <c r="A1011" s="55" t="str">
        <f>HYPERLINK("http://reports.ofsted.gov.uk/inspection-reports/find-inspection-report/provider/CARE/2550082","Ofsted Social Care Provider Webpage")</f>
        <v>Ofsted Social Care Provider Webpage</v>
      </c>
      <c r="B1011" s="55">
        <v>2550082</v>
      </c>
      <c r="D1011" s="55" t="s">
        <v>373</v>
      </c>
      <c r="E1011" s="74">
        <v>44123</v>
      </c>
      <c r="F1011" s="55" t="s">
        <v>344</v>
      </c>
      <c r="G1011" s="55" t="s">
        <v>360</v>
      </c>
      <c r="H1011" s="55" t="s">
        <v>360</v>
      </c>
      <c r="I1011" s="55" t="s">
        <v>360</v>
      </c>
      <c r="J1011" s="55" t="s">
        <v>360</v>
      </c>
      <c r="K1011" s="55" t="s">
        <v>360</v>
      </c>
      <c r="L1011" s="55" t="s">
        <v>360</v>
      </c>
      <c r="M1011" s="55" t="s">
        <v>144</v>
      </c>
      <c r="N1011" s="55" t="s">
        <v>144</v>
      </c>
      <c r="O1011" s="55" t="s">
        <v>145</v>
      </c>
      <c r="P1011" s="55" t="s">
        <v>484</v>
      </c>
      <c r="Q1011" s="55" t="s">
        <v>350</v>
      </c>
      <c r="R1011" s="85">
        <v>2</v>
      </c>
      <c r="S1011" s="55">
        <v>0</v>
      </c>
      <c r="T1011" s="74" t="s">
        <v>955</v>
      </c>
      <c r="U1011" s="74" t="s">
        <v>351</v>
      </c>
      <c r="V1011" s="74">
        <v>44349</v>
      </c>
      <c r="W1011" s="74">
        <v>44386</v>
      </c>
      <c r="X1011" s="55">
        <v>10185466</v>
      </c>
      <c r="Y1011" s="55" t="s">
        <v>130</v>
      </c>
      <c r="AB1011" s="74" t="s">
        <v>130</v>
      </c>
      <c r="AC1011" s="55" t="s">
        <v>130</v>
      </c>
      <c r="AL1011" s="74"/>
      <c r="AM1011" s="74"/>
      <c r="AW1011" s="74"/>
      <c r="AX1011" s="74"/>
    </row>
    <row r="1012" spans="1:50" ht="13" x14ac:dyDescent="0.15">
      <c r="A1012" s="55" t="str">
        <f>HYPERLINK("http://reports.ofsted.gov.uk/inspection-reports/find-inspection-report/provider/CARE/2550526","Ofsted Social Care Provider Webpage")</f>
        <v>Ofsted Social Care Provider Webpage</v>
      </c>
      <c r="B1012" s="55">
        <v>2550526</v>
      </c>
      <c r="D1012" s="55" t="s">
        <v>373</v>
      </c>
      <c r="E1012" s="74">
        <v>43706</v>
      </c>
      <c r="F1012" s="55" t="s">
        <v>344</v>
      </c>
      <c r="G1012" s="55" t="s">
        <v>360</v>
      </c>
      <c r="H1012" s="55" t="s">
        <v>360</v>
      </c>
      <c r="I1012" s="55" t="s">
        <v>360</v>
      </c>
      <c r="J1012" s="55" t="s">
        <v>360</v>
      </c>
      <c r="K1012" s="55" t="s">
        <v>360</v>
      </c>
      <c r="L1012" s="55" t="s">
        <v>360</v>
      </c>
      <c r="M1012" s="55" t="s">
        <v>378</v>
      </c>
      <c r="N1012" s="55" t="s">
        <v>134</v>
      </c>
      <c r="O1012" s="55" t="s">
        <v>204</v>
      </c>
      <c r="P1012" s="55" t="s">
        <v>929</v>
      </c>
      <c r="Q1012" s="55" t="s">
        <v>380</v>
      </c>
      <c r="R1012" s="85">
        <v>1</v>
      </c>
      <c r="S1012" s="55">
        <v>0</v>
      </c>
      <c r="T1012" s="74" t="s">
        <v>1479</v>
      </c>
      <c r="U1012" s="74" t="s">
        <v>351</v>
      </c>
      <c r="V1012" s="74">
        <v>44326</v>
      </c>
      <c r="W1012" s="74">
        <v>44376</v>
      </c>
      <c r="X1012" s="55">
        <v>10187028</v>
      </c>
      <c r="Y1012" s="55" t="s">
        <v>140</v>
      </c>
      <c r="AB1012" s="74" t="s">
        <v>140</v>
      </c>
      <c r="AC1012" s="55" t="s">
        <v>140</v>
      </c>
      <c r="AL1012" s="74"/>
      <c r="AM1012" s="74"/>
      <c r="AW1012" s="74"/>
      <c r="AX1012" s="74"/>
    </row>
    <row r="1013" spans="1:50" ht="13" x14ac:dyDescent="0.15">
      <c r="A1013" s="55" t="str">
        <f>HYPERLINK("http://reports.ofsted.gov.uk/inspection-reports/find-inspection-report/provider/CARE/2550622","Ofsted Social Care Provider Webpage")</f>
        <v>Ofsted Social Care Provider Webpage</v>
      </c>
      <c r="B1013" s="55">
        <v>2550622</v>
      </c>
      <c r="D1013" s="55" t="s">
        <v>373</v>
      </c>
      <c r="E1013" s="74">
        <v>43983</v>
      </c>
      <c r="F1013" s="55" t="s">
        <v>344</v>
      </c>
      <c r="G1013" s="55" t="s">
        <v>360</v>
      </c>
      <c r="H1013" s="55" t="s">
        <v>360</v>
      </c>
      <c r="I1013" s="55" t="s">
        <v>360</v>
      </c>
      <c r="J1013" s="55" t="s">
        <v>360</v>
      </c>
      <c r="K1013" s="55" t="s">
        <v>360</v>
      </c>
      <c r="L1013" s="55" t="s">
        <v>360</v>
      </c>
      <c r="M1013" s="55" t="s">
        <v>144</v>
      </c>
      <c r="N1013" s="55" t="s">
        <v>144</v>
      </c>
      <c r="O1013" s="55" t="s">
        <v>236</v>
      </c>
      <c r="P1013" s="55" t="s">
        <v>996</v>
      </c>
      <c r="Q1013" s="55" t="s">
        <v>350</v>
      </c>
      <c r="R1013" s="85">
        <v>6</v>
      </c>
      <c r="S1013" s="55">
        <v>0</v>
      </c>
      <c r="T1013" s="74" t="s">
        <v>385</v>
      </c>
      <c r="U1013" s="74" t="s">
        <v>6703</v>
      </c>
      <c r="V1013" s="74">
        <v>44635</v>
      </c>
      <c r="W1013" s="74">
        <v>44677</v>
      </c>
      <c r="X1013" s="55">
        <v>10209585</v>
      </c>
      <c r="Y1013" s="55" t="s">
        <v>6705</v>
      </c>
      <c r="AL1013" s="74"/>
      <c r="AM1013" s="74"/>
      <c r="AW1013" s="74"/>
      <c r="AX1013" s="74"/>
    </row>
    <row r="1014" spans="1:50" ht="13" x14ac:dyDescent="0.15">
      <c r="A1014" s="55" t="str">
        <f>HYPERLINK("http://reports.ofsted.gov.uk/inspection-reports/find-inspection-report/provider/CARE/2550622","Ofsted Social Care Provider Webpage")</f>
        <v>Ofsted Social Care Provider Webpage</v>
      </c>
      <c r="B1014" s="55">
        <v>2550622</v>
      </c>
      <c r="D1014" s="55" t="s">
        <v>373</v>
      </c>
      <c r="E1014" s="74">
        <v>43983</v>
      </c>
      <c r="F1014" s="55" t="s">
        <v>344</v>
      </c>
      <c r="G1014" s="55" t="s">
        <v>360</v>
      </c>
      <c r="H1014" s="55" t="s">
        <v>360</v>
      </c>
      <c r="I1014" s="55" t="s">
        <v>360</v>
      </c>
      <c r="J1014" s="55" t="s">
        <v>360</v>
      </c>
      <c r="K1014" s="55" t="s">
        <v>360</v>
      </c>
      <c r="L1014" s="55" t="s">
        <v>360</v>
      </c>
      <c r="M1014" s="55" t="s">
        <v>144</v>
      </c>
      <c r="N1014" s="55" t="s">
        <v>144</v>
      </c>
      <c r="O1014" s="55" t="s">
        <v>236</v>
      </c>
      <c r="P1014" s="55" t="s">
        <v>996</v>
      </c>
      <c r="Q1014" s="55" t="s">
        <v>350</v>
      </c>
      <c r="R1014" s="85">
        <v>6</v>
      </c>
      <c r="S1014" s="55">
        <v>0</v>
      </c>
      <c r="T1014" s="74" t="s">
        <v>385</v>
      </c>
      <c r="U1014" s="74" t="s">
        <v>351</v>
      </c>
      <c r="V1014" s="74">
        <v>44460</v>
      </c>
      <c r="W1014" s="74">
        <v>44510</v>
      </c>
      <c r="X1014" s="55">
        <v>10187589</v>
      </c>
      <c r="Y1014" s="55" t="s">
        <v>130</v>
      </c>
      <c r="AB1014" s="74" t="s">
        <v>130</v>
      </c>
      <c r="AC1014" s="55" t="s">
        <v>130</v>
      </c>
      <c r="AL1014" s="74"/>
      <c r="AM1014" s="74"/>
      <c r="AW1014" s="74"/>
      <c r="AX1014" s="74"/>
    </row>
    <row r="1015" spans="1:50" ht="13" x14ac:dyDescent="0.15">
      <c r="A1015" s="55" t="str">
        <f>HYPERLINK("http://reports.ofsted.gov.uk/inspection-reports/find-inspection-report/provider/CARE/2550830","Ofsted Social Care Provider Webpage")</f>
        <v>Ofsted Social Care Provider Webpage</v>
      </c>
      <c r="B1015" s="55">
        <v>2550830</v>
      </c>
      <c r="D1015" s="55" t="s">
        <v>373</v>
      </c>
      <c r="E1015" s="74">
        <v>43840</v>
      </c>
      <c r="F1015" s="55" t="s">
        <v>344</v>
      </c>
      <c r="G1015" s="55" t="s">
        <v>360</v>
      </c>
      <c r="H1015" s="55" t="s">
        <v>360</v>
      </c>
      <c r="I1015" s="55" t="s">
        <v>360</v>
      </c>
      <c r="J1015" s="55" t="s">
        <v>360</v>
      </c>
      <c r="K1015" s="55" t="s">
        <v>360</v>
      </c>
      <c r="L1015" s="55" t="s">
        <v>360</v>
      </c>
      <c r="M1015" s="55" t="s">
        <v>378</v>
      </c>
      <c r="N1015" s="55" t="s">
        <v>134</v>
      </c>
      <c r="O1015" s="55" t="s">
        <v>246</v>
      </c>
      <c r="P1015" s="55" t="s">
        <v>685</v>
      </c>
      <c r="Q1015" s="55" t="s">
        <v>350</v>
      </c>
      <c r="R1015" s="85">
        <v>5</v>
      </c>
      <c r="S1015" s="55">
        <v>0</v>
      </c>
      <c r="T1015" s="74" t="s">
        <v>1618</v>
      </c>
      <c r="U1015" s="74" t="s">
        <v>351</v>
      </c>
      <c r="V1015" s="74">
        <v>44383</v>
      </c>
      <c r="W1015" s="74">
        <v>44426</v>
      </c>
      <c r="X1015" s="55">
        <v>10186788</v>
      </c>
      <c r="Y1015" s="55" t="s">
        <v>140</v>
      </c>
      <c r="AB1015" s="74" t="s">
        <v>140</v>
      </c>
      <c r="AC1015" s="55" t="s">
        <v>132</v>
      </c>
      <c r="AL1015" s="74"/>
      <c r="AM1015" s="74"/>
      <c r="AW1015" s="74"/>
      <c r="AX1015" s="74"/>
    </row>
    <row r="1016" spans="1:50" ht="13" x14ac:dyDescent="0.15">
      <c r="A1016" s="55" t="str">
        <f>HYPERLINK("http://reports.ofsted.gov.uk/inspection-reports/find-inspection-report/provider/CARE/2551006","Ofsted Social Care Provider Webpage")</f>
        <v>Ofsted Social Care Provider Webpage</v>
      </c>
      <c r="B1016" s="55">
        <v>2551006</v>
      </c>
      <c r="D1016" s="55" t="s">
        <v>389</v>
      </c>
      <c r="E1016" s="74">
        <v>43826</v>
      </c>
      <c r="F1016" s="55" t="s">
        <v>344</v>
      </c>
      <c r="G1016" s="55" t="s">
        <v>1619</v>
      </c>
      <c r="H1016" s="55" t="s">
        <v>1620</v>
      </c>
      <c r="I1016" s="55" t="s">
        <v>810</v>
      </c>
      <c r="J1016" s="55" t="s">
        <v>811</v>
      </c>
      <c r="K1016" s="55" t="s">
        <v>183</v>
      </c>
      <c r="L1016" s="55" t="s">
        <v>812</v>
      </c>
      <c r="M1016" s="55" t="s">
        <v>138</v>
      </c>
      <c r="N1016" s="55" t="s">
        <v>138</v>
      </c>
      <c r="O1016" s="55" t="s">
        <v>183</v>
      </c>
      <c r="P1016" s="55" t="s">
        <v>813</v>
      </c>
      <c r="Q1016" s="55" t="s">
        <v>362</v>
      </c>
      <c r="S1016" s="55">
        <v>0</v>
      </c>
      <c r="T1016" s="74" t="s">
        <v>1619</v>
      </c>
      <c r="U1016" s="74" t="s">
        <v>2053</v>
      </c>
      <c r="V1016" s="74">
        <v>44516</v>
      </c>
      <c r="W1016" s="74">
        <v>44540</v>
      </c>
      <c r="X1016" s="55">
        <v>10205596</v>
      </c>
      <c r="AL1016" s="74"/>
      <c r="AM1016" s="74"/>
      <c r="AW1016" s="74"/>
      <c r="AX1016" s="74"/>
    </row>
    <row r="1017" spans="1:50" ht="13" x14ac:dyDescent="0.15">
      <c r="A1017" s="55" t="str">
        <f>HYPERLINK("http://reports.ofsted.gov.uk/inspection-reports/find-inspection-report/provider/CARE/2551006","Ofsted Social Care Provider Webpage")</f>
        <v>Ofsted Social Care Provider Webpage</v>
      </c>
      <c r="B1017" s="55">
        <v>2551006</v>
      </c>
      <c r="D1017" s="55" t="s">
        <v>389</v>
      </c>
      <c r="E1017" s="74">
        <v>43826</v>
      </c>
      <c r="F1017" s="55" t="s">
        <v>344</v>
      </c>
      <c r="G1017" s="55" t="s">
        <v>1619</v>
      </c>
      <c r="H1017" s="55" t="s">
        <v>1620</v>
      </c>
      <c r="I1017" s="55" t="s">
        <v>810</v>
      </c>
      <c r="J1017" s="55" t="s">
        <v>811</v>
      </c>
      <c r="K1017" s="55" t="s">
        <v>183</v>
      </c>
      <c r="L1017" s="55" t="s">
        <v>812</v>
      </c>
      <c r="M1017" s="55" t="s">
        <v>138</v>
      </c>
      <c r="N1017" s="55" t="s">
        <v>138</v>
      </c>
      <c r="O1017" s="55" t="s">
        <v>183</v>
      </c>
      <c r="P1017" s="55" t="s">
        <v>813</v>
      </c>
      <c r="Q1017" s="55" t="s">
        <v>362</v>
      </c>
      <c r="S1017" s="55">
        <v>0</v>
      </c>
      <c r="T1017" s="74" t="s">
        <v>1619</v>
      </c>
      <c r="U1017" s="74" t="s">
        <v>351</v>
      </c>
      <c r="V1017" s="74">
        <v>44424</v>
      </c>
      <c r="W1017" s="74">
        <v>44455</v>
      </c>
      <c r="X1017" s="55">
        <v>10183181</v>
      </c>
      <c r="Y1017" s="55" t="s">
        <v>146</v>
      </c>
      <c r="AB1017" s="74" t="s">
        <v>146</v>
      </c>
      <c r="AC1017" s="55" t="s">
        <v>146</v>
      </c>
      <c r="AL1017" s="74"/>
      <c r="AM1017" s="74"/>
      <c r="AW1017" s="74"/>
      <c r="AX1017" s="74"/>
    </row>
    <row r="1018" spans="1:50" ht="13" x14ac:dyDescent="0.15">
      <c r="A1018" s="55" t="str">
        <f>HYPERLINK("http://reports.ofsted.gov.uk/inspection-reports/find-inspection-report/provider/CARE/2551007","Ofsted Social Care Provider Webpage")</f>
        <v>Ofsted Social Care Provider Webpage</v>
      </c>
      <c r="B1018" s="55">
        <v>2551007</v>
      </c>
      <c r="D1018" s="55" t="s">
        <v>373</v>
      </c>
      <c r="E1018" s="74">
        <v>43845</v>
      </c>
      <c r="F1018" s="55" t="s">
        <v>344</v>
      </c>
      <c r="G1018" s="55" t="s">
        <v>360</v>
      </c>
      <c r="H1018" s="55" t="s">
        <v>360</v>
      </c>
      <c r="I1018" s="55" t="s">
        <v>360</v>
      </c>
      <c r="J1018" s="55" t="s">
        <v>360</v>
      </c>
      <c r="K1018" s="55" t="s">
        <v>360</v>
      </c>
      <c r="L1018" s="55" t="s">
        <v>360</v>
      </c>
      <c r="M1018" s="55" t="s">
        <v>150</v>
      </c>
      <c r="N1018" s="55" t="s">
        <v>150</v>
      </c>
      <c r="O1018" s="55" t="s">
        <v>190</v>
      </c>
      <c r="P1018" s="55" t="s">
        <v>889</v>
      </c>
      <c r="Q1018" s="55" t="s">
        <v>350</v>
      </c>
      <c r="R1018" s="85">
        <v>6</v>
      </c>
      <c r="S1018" s="55">
        <v>0</v>
      </c>
      <c r="T1018" s="74" t="s">
        <v>456</v>
      </c>
      <c r="U1018" s="74" t="s">
        <v>351</v>
      </c>
      <c r="V1018" s="74">
        <v>44335</v>
      </c>
      <c r="W1018" s="74">
        <v>44392</v>
      </c>
      <c r="X1018" s="55">
        <v>10185826</v>
      </c>
      <c r="Y1018" s="55" t="s">
        <v>132</v>
      </c>
      <c r="AB1018" s="74" t="s">
        <v>132</v>
      </c>
      <c r="AC1018" s="55" t="s">
        <v>132</v>
      </c>
      <c r="AL1018" s="74"/>
      <c r="AM1018" s="74"/>
      <c r="AW1018" s="74"/>
      <c r="AX1018" s="74"/>
    </row>
    <row r="1019" spans="1:50" ht="13" x14ac:dyDescent="0.15">
      <c r="A1019" s="55" t="str">
        <f>HYPERLINK("http://reports.ofsted.gov.uk/inspection-reports/find-inspection-report/provider/CARE/2552036","Ofsted Social Care Provider Webpage")</f>
        <v>Ofsted Social Care Provider Webpage</v>
      </c>
      <c r="B1019" s="55">
        <v>2552036</v>
      </c>
      <c r="D1019" s="55" t="s">
        <v>373</v>
      </c>
      <c r="E1019" s="74">
        <v>43843</v>
      </c>
      <c r="F1019" s="55" t="s">
        <v>344</v>
      </c>
      <c r="G1019" s="55" t="s">
        <v>360</v>
      </c>
      <c r="H1019" s="55" t="s">
        <v>360</v>
      </c>
      <c r="I1019" s="55" t="s">
        <v>360</v>
      </c>
      <c r="J1019" s="55" t="s">
        <v>360</v>
      </c>
      <c r="K1019" s="55" t="s">
        <v>360</v>
      </c>
      <c r="L1019" s="55" t="s">
        <v>360</v>
      </c>
      <c r="M1019" s="55" t="s">
        <v>378</v>
      </c>
      <c r="N1019" s="55" t="s">
        <v>170</v>
      </c>
      <c r="O1019" s="55" t="s">
        <v>222</v>
      </c>
      <c r="P1019" s="55" t="s">
        <v>521</v>
      </c>
      <c r="Q1019" s="55" t="s">
        <v>350</v>
      </c>
      <c r="R1019" s="85">
        <v>4</v>
      </c>
      <c r="S1019" s="55">
        <v>0</v>
      </c>
      <c r="T1019" s="74" t="s">
        <v>1621</v>
      </c>
      <c r="U1019" s="74" t="s">
        <v>351</v>
      </c>
      <c r="V1019" s="74">
        <v>44446</v>
      </c>
      <c r="W1019" s="74">
        <v>44482</v>
      </c>
      <c r="X1019" s="55">
        <v>10187038</v>
      </c>
      <c r="Y1019" s="55" t="s">
        <v>132</v>
      </c>
      <c r="AB1019" s="74" t="s">
        <v>132</v>
      </c>
      <c r="AC1019" s="55" t="s">
        <v>132</v>
      </c>
      <c r="AL1019" s="74"/>
      <c r="AM1019" s="74"/>
      <c r="AW1019" s="74"/>
      <c r="AX1019" s="74"/>
    </row>
    <row r="1020" spans="1:50" ht="13" x14ac:dyDescent="0.15">
      <c r="A1020" s="55" t="str">
        <f>HYPERLINK("http://reports.ofsted.gov.uk/inspection-reports/find-inspection-report/provider/CARE/2552579","Ofsted Social Care Provider Webpage")</f>
        <v>Ofsted Social Care Provider Webpage</v>
      </c>
      <c r="B1020" s="55">
        <v>2552579</v>
      </c>
      <c r="D1020" s="55" t="s">
        <v>373</v>
      </c>
      <c r="E1020" s="74">
        <v>43788</v>
      </c>
      <c r="F1020" s="55" t="s">
        <v>344</v>
      </c>
      <c r="G1020" s="55" t="s">
        <v>360</v>
      </c>
      <c r="H1020" s="55" t="s">
        <v>360</v>
      </c>
      <c r="I1020" s="55" t="s">
        <v>360</v>
      </c>
      <c r="J1020" s="55" t="s">
        <v>360</v>
      </c>
      <c r="K1020" s="55" t="s">
        <v>360</v>
      </c>
      <c r="L1020" s="55" t="s">
        <v>360</v>
      </c>
      <c r="M1020" s="55" t="s">
        <v>129</v>
      </c>
      <c r="N1020" s="55" t="s">
        <v>129</v>
      </c>
      <c r="O1020" s="55" t="s">
        <v>219</v>
      </c>
      <c r="P1020" s="55" t="s">
        <v>740</v>
      </c>
      <c r="Q1020" s="55" t="s">
        <v>350</v>
      </c>
      <c r="R1020" s="85">
        <v>4</v>
      </c>
      <c r="S1020" s="55">
        <v>0</v>
      </c>
      <c r="T1020" s="74" t="s">
        <v>741</v>
      </c>
      <c r="U1020" s="74" t="s">
        <v>351</v>
      </c>
      <c r="V1020" s="74">
        <v>44384</v>
      </c>
      <c r="W1020" s="74">
        <v>44424</v>
      </c>
      <c r="X1020" s="55">
        <v>10186919</v>
      </c>
      <c r="Y1020" s="55" t="s">
        <v>132</v>
      </c>
      <c r="AB1020" s="74" t="s">
        <v>132</v>
      </c>
      <c r="AC1020" s="55" t="s">
        <v>130</v>
      </c>
      <c r="AL1020" s="74"/>
      <c r="AM1020" s="74"/>
      <c r="AW1020" s="74"/>
      <c r="AX1020" s="74"/>
    </row>
    <row r="1021" spans="1:50" ht="13" x14ac:dyDescent="0.15">
      <c r="A1021" s="55" t="str">
        <f>HYPERLINK("http://reports.ofsted.gov.uk/inspection-reports/find-inspection-report/provider/CARE/2552727","Ofsted Social Care Provider Webpage")</f>
        <v>Ofsted Social Care Provider Webpage</v>
      </c>
      <c r="B1021" s="55">
        <v>2552727</v>
      </c>
      <c r="D1021" s="55" t="s">
        <v>373</v>
      </c>
      <c r="E1021" s="74">
        <v>43801</v>
      </c>
      <c r="F1021" s="55" t="s">
        <v>344</v>
      </c>
      <c r="G1021" s="55" t="s">
        <v>360</v>
      </c>
      <c r="H1021" s="55" t="s">
        <v>360</v>
      </c>
      <c r="I1021" s="55" t="s">
        <v>360</v>
      </c>
      <c r="J1021" s="55" t="s">
        <v>360</v>
      </c>
      <c r="K1021" s="55" t="s">
        <v>360</v>
      </c>
      <c r="L1021" s="55" t="s">
        <v>360</v>
      </c>
      <c r="M1021" s="55" t="s">
        <v>138</v>
      </c>
      <c r="N1021" s="55" t="s">
        <v>138</v>
      </c>
      <c r="O1021" s="55" t="s">
        <v>266</v>
      </c>
      <c r="P1021" s="55" t="s">
        <v>1622</v>
      </c>
      <c r="Q1021" s="55" t="s">
        <v>350</v>
      </c>
      <c r="R1021" s="85">
        <v>4</v>
      </c>
      <c r="S1021" s="55">
        <v>0</v>
      </c>
      <c r="T1021" s="74" t="s">
        <v>1623</v>
      </c>
      <c r="U1021" s="74" t="s">
        <v>351</v>
      </c>
      <c r="V1021" s="74">
        <v>44467</v>
      </c>
      <c r="W1021" s="74">
        <v>44489</v>
      </c>
      <c r="X1021" s="55">
        <v>10186561</v>
      </c>
      <c r="Y1021" s="55" t="s">
        <v>132</v>
      </c>
      <c r="AB1021" s="74" t="s">
        <v>132</v>
      </c>
      <c r="AC1021" s="55" t="s">
        <v>140</v>
      </c>
      <c r="AL1021" s="74"/>
      <c r="AM1021" s="74"/>
      <c r="AW1021" s="74"/>
      <c r="AX1021" s="74"/>
    </row>
    <row r="1022" spans="1:50" ht="13" x14ac:dyDescent="0.15">
      <c r="A1022" s="55" t="str">
        <f>HYPERLINK("http://reports.ofsted.gov.uk/inspection-reports/find-inspection-report/provider/CARE/2553111","Ofsted Social Care Provider Webpage")</f>
        <v>Ofsted Social Care Provider Webpage</v>
      </c>
      <c r="B1022" s="55">
        <v>2553111</v>
      </c>
      <c r="D1022" s="55" t="s">
        <v>373</v>
      </c>
      <c r="E1022" s="74">
        <v>43937</v>
      </c>
      <c r="F1022" s="55" t="s">
        <v>344</v>
      </c>
      <c r="G1022" s="55" t="s">
        <v>360</v>
      </c>
      <c r="H1022" s="55" t="s">
        <v>360</v>
      </c>
      <c r="I1022" s="55" t="s">
        <v>360</v>
      </c>
      <c r="J1022" s="55" t="s">
        <v>360</v>
      </c>
      <c r="K1022" s="55" t="s">
        <v>360</v>
      </c>
      <c r="L1022" s="55" t="s">
        <v>360</v>
      </c>
      <c r="M1022" s="55" t="s">
        <v>142</v>
      </c>
      <c r="N1022" s="55" t="s">
        <v>142</v>
      </c>
      <c r="O1022" s="55" t="s">
        <v>293</v>
      </c>
      <c r="P1022" s="55" t="s">
        <v>984</v>
      </c>
      <c r="Q1022" s="55" t="s">
        <v>350</v>
      </c>
      <c r="R1022" s="85">
        <v>10</v>
      </c>
      <c r="S1022" s="55">
        <v>0</v>
      </c>
      <c r="T1022" s="74" t="s">
        <v>1624</v>
      </c>
      <c r="U1022" s="74" t="s">
        <v>351</v>
      </c>
      <c r="V1022" s="74">
        <v>44343</v>
      </c>
      <c r="W1022" s="74">
        <v>44368</v>
      </c>
      <c r="X1022" s="55">
        <v>10186194</v>
      </c>
      <c r="Y1022" s="55" t="s">
        <v>132</v>
      </c>
      <c r="AB1022" s="74" t="s">
        <v>132</v>
      </c>
      <c r="AC1022" s="55" t="s">
        <v>132</v>
      </c>
      <c r="AL1022" s="74"/>
      <c r="AM1022" s="74"/>
      <c r="AW1022" s="74"/>
      <c r="AX1022" s="74"/>
    </row>
    <row r="1023" spans="1:50" ht="13" x14ac:dyDescent="0.15">
      <c r="A1023" s="55" t="str">
        <f>HYPERLINK("http://reports.ofsted.gov.uk/inspection-reports/find-inspection-report/provider/CARE/2553271","Ofsted Social Care Provider Webpage")</f>
        <v>Ofsted Social Care Provider Webpage</v>
      </c>
      <c r="B1023" s="55">
        <v>2553271</v>
      </c>
      <c r="D1023" s="55" t="s">
        <v>389</v>
      </c>
      <c r="E1023" s="74">
        <v>43847</v>
      </c>
      <c r="F1023" s="55" t="s">
        <v>344</v>
      </c>
      <c r="G1023" s="55" t="s">
        <v>1625</v>
      </c>
      <c r="H1023" s="55" t="s">
        <v>1626</v>
      </c>
      <c r="I1023" s="55" t="s">
        <v>1627</v>
      </c>
      <c r="J1023" s="55" t="s">
        <v>1628</v>
      </c>
      <c r="K1023" s="55" t="s">
        <v>235</v>
      </c>
      <c r="L1023" s="55" t="s">
        <v>1629</v>
      </c>
      <c r="M1023" s="55" t="s">
        <v>172</v>
      </c>
      <c r="N1023" s="55" t="s">
        <v>172</v>
      </c>
      <c r="O1023" s="55" t="s">
        <v>235</v>
      </c>
      <c r="P1023" s="55" t="s">
        <v>855</v>
      </c>
      <c r="Q1023" s="55" t="s">
        <v>350</v>
      </c>
      <c r="S1023" s="55">
        <v>0</v>
      </c>
      <c r="T1023" s="74" t="s">
        <v>1630</v>
      </c>
      <c r="U1023" s="74" t="s">
        <v>351</v>
      </c>
      <c r="V1023" s="74">
        <v>44424</v>
      </c>
      <c r="W1023" s="74">
        <v>44470</v>
      </c>
      <c r="X1023" s="55">
        <v>10183179</v>
      </c>
      <c r="Y1023" s="55" t="s">
        <v>132</v>
      </c>
      <c r="AB1023" s="74" t="s">
        <v>132</v>
      </c>
      <c r="AC1023" s="55" t="s">
        <v>140</v>
      </c>
      <c r="AL1023" s="74"/>
      <c r="AM1023" s="74"/>
      <c r="AW1023" s="74"/>
      <c r="AX1023" s="74"/>
    </row>
    <row r="1024" spans="1:50" ht="13" x14ac:dyDescent="0.15">
      <c r="A1024" s="55" t="str">
        <f>HYPERLINK("http://reports.ofsted.gov.uk/inspection-reports/find-inspection-report/provider/CARE/2553274","Ofsted Social Care Provider Webpage")</f>
        <v>Ofsted Social Care Provider Webpage</v>
      </c>
      <c r="B1024" s="55">
        <v>2553274</v>
      </c>
      <c r="D1024" s="55" t="s">
        <v>373</v>
      </c>
      <c r="E1024" s="74">
        <v>43880</v>
      </c>
      <c r="F1024" s="55" t="s">
        <v>344</v>
      </c>
      <c r="G1024" s="55" t="s">
        <v>360</v>
      </c>
      <c r="H1024" s="55" t="s">
        <v>360</v>
      </c>
      <c r="I1024" s="55" t="s">
        <v>360</v>
      </c>
      <c r="J1024" s="55" t="s">
        <v>360</v>
      </c>
      <c r="K1024" s="55" t="s">
        <v>360</v>
      </c>
      <c r="L1024" s="55" t="s">
        <v>360</v>
      </c>
      <c r="M1024" s="55" t="s">
        <v>144</v>
      </c>
      <c r="N1024" s="55" t="s">
        <v>144</v>
      </c>
      <c r="O1024" s="55" t="s">
        <v>162</v>
      </c>
      <c r="P1024" s="55" t="s">
        <v>1502</v>
      </c>
      <c r="Q1024" s="55" t="s">
        <v>350</v>
      </c>
      <c r="R1024" s="85">
        <v>6</v>
      </c>
      <c r="S1024" s="55">
        <v>0</v>
      </c>
      <c r="T1024" s="74" t="s">
        <v>1503</v>
      </c>
      <c r="U1024" s="74" t="s">
        <v>351</v>
      </c>
      <c r="V1024" s="74">
        <v>44446</v>
      </c>
      <c r="W1024" s="74">
        <v>44476</v>
      </c>
      <c r="X1024" s="55">
        <v>10185781</v>
      </c>
      <c r="Y1024" s="55" t="s">
        <v>132</v>
      </c>
      <c r="AB1024" s="74" t="s">
        <v>130</v>
      </c>
      <c r="AC1024" s="55" t="s">
        <v>130</v>
      </c>
      <c r="AL1024" s="74"/>
      <c r="AM1024" s="74"/>
      <c r="AW1024" s="74"/>
      <c r="AX1024" s="74"/>
    </row>
    <row r="1025" spans="1:50" ht="13" x14ac:dyDescent="0.15">
      <c r="A1025" s="55" t="str">
        <f>HYPERLINK("http://reports.ofsted.gov.uk/inspection-reports/find-inspection-report/provider/CARE/2553536","Ofsted Social Care Provider Webpage")</f>
        <v>Ofsted Social Care Provider Webpage</v>
      </c>
      <c r="B1025" s="55">
        <v>2553536</v>
      </c>
      <c r="D1025" s="55" t="s">
        <v>373</v>
      </c>
      <c r="E1025" s="74">
        <v>43791</v>
      </c>
      <c r="F1025" s="55" t="s">
        <v>344</v>
      </c>
      <c r="G1025" s="55" t="s">
        <v>360</v>
      </c>
      <c r="H1025" s="55" t="s">
        <v>360</v>
      </c>
      <c r="I1025" s="55" t="s">
        <v>360</v>
      </c>
      <c r="J1025" s="55" t="s">
        <v>360</v>
      </c>
      <c r="K1025" s="55" t="s">
        <v>360</v>
      </c>
      <c r="L1025" s="55" t="s">
        <v>360</v>
      </c>
      <c r="M1025" s="55" t="s">
        <v>144</v>
      </c>
      <c r="N1025" s="55" t="s">
        <v>144</v>
      </c>
      <c r="O1025" s="55" t="s">
        <v>287</v>
      </c>
      <c r="P1025" s="55" t="s">
        <v>815</v>
      </c>
      <c r="Q1025" s="55" t="s">
        <v>350</v>
      </c>
      <c r="R1025" s="85">
        <v>4</v>
      </c>
      <c r="S1025" s="55">
        <v>0</v>
      </c>
      <c r="T1025" s="74" t="s">
        <v>1100</v>
      </c>
      <c r="U1025" s="74" t="s">
        <v>351</v>
      </c>
      <c r="V1025" s="74">
        <v>44600</v>
      </c>
      <c r="W1025" s="74">
        <v>44649</v>
      </c>
      <c r="X1025" s="55">
        <v>10187098</v>
      </c>
      <c r="Y1025" s="55" t="s">
        <v>146</v>
      </c>
      <c r="AB1025" s="74" t="s">
        <v>146</v>
      </c>
      <c r="AC1025" s="55" t="s">
        <v>146</v>
      </c>
      <c r="AL1025" s="74"/>
      <c r="AM1025" s="74"/>
    </row>
    <row r="1026" spans="1:50" ht="13" x14ac:dyDescent="0.15">
      <c r="A1026" s="55" t="str">
        <f>HYPERLINK("http://reports.ofsted.gov.uk/inspection-reports/find-inspection-report/provider/CARE/2553543","Ofsted Social Care Provider Webpage")</f>
        <v>Ofsted Social Care Provider Webpage</v>
      </c>
      <c r="B1026" s="55">
        <v>2553543</v>
      </c>
      <c r="D1026" s="55" t="s">
        <v>373</v>
      </c>
      <c r="E1026" s="74">
        <v>43942</v>
      </c>
      <c r="F1026" s="55" t="s">
        <v>344</v>
      </c>
      <c r="G1026" s="55" t="s">
        <v>360</v>
      </c>
      <c r="H1026" s="55" t="s">
        <v>360</v>
      </c>
      <c r="I1026" s="55" t="s">
        <v>360</v>
      </c>
      <c r="J1026" s="55" t="s">
        <v>360</v>
      </c>
      <c r="K1026" s="55" t="s">
        <v>360</v>
      </c>
      <c r="L1026" s="55" t="s">
        <v>360</v>
      </c>
      <c r="M1026" s="55" t="s">
        <v>144</v>
      </c>
      <c r="N1026" s="55" t="s">
        <v>144</v>
      </c>
      <c r="O1026" s="55" t="s">
        <v>287</v>
      </c>
      <c r="P1026" s="55" t="s">
        <v>1103</v>
      </c>
      <c r="Q1026" s="55" t="s">
        <v>350</v>
      </c>
      <c r="R1026" s="85">
        <v>3</v>
      </c>
      <c r="S1026" s="55">
        <v>0</v>
      </c>
      <c r="T1026" s="74" t="s">
        <v>1107</v>
      </c>
      <c r="U1026" s="74" t="s">
        <v>351</v>
      </c>
      <c r="V1026" s="74">
        <v>44600</v>
      </c>
      <c r="W1026" s="74">
        <v>44649</v>
      </c>
      <c r="X1026" s="55">
        <v>10185333</v>
      </c>
      <c r="Y1026" s="55" t="s">
        <v>132</v>
      </c>
      <c r="AB1026" s="74" t="s">
        <v>130</v>
      </c>
      <c r="AC1026" s="55" t="s">
        <v>130</v>
      </c>
      <c r="AL1026" s="74"/>
      <c r="AM1026" s="74"/>
      <c r="AW1026" s="74"/>
      <c r="AX1026" s="74"/>
    </row>
    <row r="1027" spans="1:50" ht="13" x14ac:dyDescent="0.15">
      <c r="A1027" s="55" t="str">
        <f>HYPERLINK("http://reports.ofsted.gov.uk/inspection-reports/find-inspection-report/provider/CARE/2553861","Ofsted Social Care Provider Webpage")</f>
        <v>Ofsted Social Care Provider Webpage</v>
      </c>
      <c r="B1027" s="55">
        <v>2553861</v>
      </c>
      <c r="D1027" s="55" t="s">
        <v>373</v>
      </c>
      <c r="E1027" s="74">
        <v>43796</v>
      </c>
      <c r="F1027" s="55" t="s">
        <v>344</v>
      </c>
      <c r="G1027" s="55" t="s">
        <v>360</v>
      </c>
      <c r="H1027" s="55" t="s">
        <v>360</v>
      </c>
      <c r="I1027" s="55" t="s">
        <v>360</v>
      </c>
      <c r="J1027" s="55" t="s">
        <v>360</v>
      </c>
      <c r="K1027" s="55" t="s">
        <v>360</v>
      </c>
      <c r="L1027" s="55" t="s">
        <v>360</v>
      </c>
      <c r="M1027" s="55" t="s">
        <v>172</v>
      </c>
      <c r="N1027" s="55" t="s">
        <v>172</v>
      </c>
      <c r="O1027" s="55" t="s">
        <v>228</v>
      </c>
      <c r="P1027" s="55" t="s">
        <v>459</v>
      </c>
      <c r="Q1027" s="55" t="s">
        <v>350</v>
      </c>
      <c r="R1027" s="85">
        <v>3</v>
      </c>
      <c r="S1027" s="55">
        <v>0</v>
      </c>
      <c r="T1027" s="74" t="s">
        <v>517</v>
      </c>
      <c r="U1027" s="74" t="s">
        <v>351</v>
      </c>
      <c r="V1027" s="74">
        <v>44327</v>
      </c>
      <c r="W1027" s="74">
        <v>44363</v>
      </c>
      <c r="X1027" s="55">
        <v>10185676</v>
      </c>
      <c r="Y1027" s="55" t="s">
        <v>132</v>
      </c>
      <c r="AB1027" s="74" t="s">
        <v>132</v>
      </c>
      <c r="AC1027" s="55" t="s">
        <v>140</v>
      </c>
      <c r="AL1027" s="74"/>
      <c r="AM1027" s="74"/>
      <c r="AW1027" s="74"/>
      <c r="AX1027" s="74"/>
    </row>
    <row r="1028" spans="1:50" ht="13" x14ac:dyDescent="0.15">
      <c r="A1028" s="55" t="str">
        <f>HYPERLINK("http://reports.ofsted.gov.uk/inspection-reports/find-inspection-report/provider/CARE/2554036","Ofsted Social Care Provider Webpage")</f>
        <v>Ofsted Social Care Provider Webpage</v>
      </c>
      <c r="B1028" s="55">
        <v>2554036</v>
      </c>
      <c r="D1028" s="55" t="s">
        <v>373</v>
      </c>
      <c r="E1028" s="74">
        <v>43991</v>
      </c>
      <c r="F1028" s="55" t="s">
        <v>344</v>
      </c>
      <c r="G1028" s="55" t="s">
        <v>360</v>
      </c>
      <c r="H1028" s="55" t="s">
        <v>360</v>
      </c>
      <c r="I1028" s="55" t="s">
        <v>360</v>
      </c>
      <c r="J1028" s="55" t="s">
        <v>360</v>
      </c>
      <c r="K1028" s="55" t="s">
        <v>360</v>
      </c>
      <c r="L1028" s="55" t="s">
        <v>360</v>
      </c>
      <c r="M1028" s="55" t="s">
        <v>144</v>
      </c>
      <c r="N1028" s="55" t="s">
        <v>144</v>
      </c>
      <c r="O1028" s="55" t="s">
        <v>290</v>
      </c>
      <c r="P1028" s="55" t="s">
        <v>1099</v>
      </c>
      <c r="Q1028" s="55" t="s">
        <v>350</v>
      </c>
      <c r="R1028" s="85">
        <v>2</v>
      </c>
      <c r="S1028" s="55">
        <v>0</v>
      </c>
      <c r="T1028" s="74" t="s">
        <v>1631</v>
      </c>
      <c r="U1028" s="74" t="s">
        <v>351</v>
      </c>
      <c r="V1028" s="74">
        <v>44539</v>
      </c>
      <c r="W1028" s="74">
        <v>44587</v>
      </c>
      <c r="X1028" s="55">
        <v>10185322</v>
      </c>
      <c r="Y1028" s="55" t="s">
        <v>132</v>
      </c>
      <c r="AB1028" s="74" t="s">
        <v>132</v>
      </c>
      <c r="AC1028" s="55" t="s">
        <v>132</v>
      </c>
      <c r="AL1028" s="74"/>
      <c r="AM1028" s="74"/>
      <c r="AW1028" s="74"/>
      <c r="AX1028" s="74"/>
    </row>
    <row r="1029" spans="1:50" ht="13" x14ac:dyDescent="0.15">
      <c r="A1029" s="55" t="str">
        <f>HYPERLINK("http://reports.ofsted.gov.uk/inspection-reports/find-inspection-report/provider/CARE/2554918","Ofsted Social Care Provider Webpage")</f>
        <v>Ofsted Social Care Provider Webpage</v>
      </c>
      <c r="B1029" s="55">
        <v>2554918</v>
      </c>
      <c r="D1029" s="55" t="s">
        <v>373</v>
      </c>
      <c r="E1029" s="74">
        <v>43788</v>
      </c>
      <c r="F1029" s="55" t="s">
        <v>344</v>
      </c>
      <c r="G1029" s="55" t="s">
        <v>360</v>
      </c>
      <c r="H1029" s="55" t="s">
        <v>360</v>
      </c>
      <c r="I1029" s="55" t="s">
        <v>360</v>
      </c>
      <c r="J1029" s="55" t="s">
        <v>360</v>
      </c>
      <c r="K1029" s="55" t="s">
        <v>360</v>
      </c>
      <c r="L1029" s="55" t="s">
        <v>360</v>
      </c>
      <c r="M1029" s="55" t="s">
        <v>144</v>
      </c>
      <c r="N1029" s="55" t="s">
        <v>144</v>
      </c>
      <c r="O1029" s="55" t="s">
        <v>162</v>
      </c>
      <c r="P1029" s="55" t="s">
        <v>1502</v>
      </c>
      <c r="Q1029" s="55" t="s">
        <v>350</v>
      </c>
      <c r="R1029" s="85">
        <v>3</v>
      </c>
      <c r="S1029" s="55">
        <v>0</v>
      </c>
      <c r="T1029" s="74" t="s">
        <v>489</v>
      </c>
      <c r="U1029" s="74" t="s">
        <v>351</v>
      </c>
      <c r="V1029" s="74">
        <v>44572</v>
      </c>
      <c r="W1029" s="74">
        <v>44610</v>
      </c>
      <c r="X1029" s="55">
        <v>10186321</v>
      </c>
      <c r="Y1029" s="55" t="s">
        <v>130</v>
      </c>
      <c r="AB1029" s="74" t="s">
        <v>130</v>
      </c>
      <c r="AC1029" s="55" t="s">
        <v>130</v>
      </c>
      <c r="AL1029" s="74"/>
      <c r="AM1029" s="74"/>
      <c r="AW1029" s="74"/>
      <c r="AX1029" s="74"/>
    </row>
    <row r="1030" spans="1:50" ht="13" x14ac:dyDescent="0.15">
      <c r="A1030" s="55" t="str">
        <f>HYPERLINK("http://reports.ofsted.gov.uk/inspection-reports/find-inspection-report/provider/CARE/2555505","Ofsted Social Care Provider Webpage")</f>
        <v>Ofsted Social Care Provider Webpage</v>
      </c>
      <c r="B1030" s="55">
        <v>2555505</v>
      </c>
      <c r="D1030" s="55" t="s">
        <v>373</v>
      </c>
      <c r="E1030" s="74">
        <v>43922</v>
      </c>
      <c r="F1030" s="55" t="s">
        <v>344</v>
      </c>
      <c r="G1030" s="55" t="s">
        <v>360</v>
      </c>
      <c r="H1030" s="55" t="s">
        <v>360</v>
      </c>
      <c r="I1030" s="55" t="s">
        <v>360</v>
      </c>
      <c r="J1030" s="55" t="s">
        <v>360</v>
      </c>
      <c r="K1030" s="55" t="s">
        <v>360</v>
      </c>
      <c r="L1030" s="55" t="s">
        <v>360</v>
      </c>
      <c r="M1030" s="55" t="s">
        <v>172</v>
      </c>
      <c r="N1030" s="55" t="s">
        <v>172</v>
      </c>
      <c r="O1030" s="55" t="s">
        <v>214</v>
      </c>
      <c r="P1030" s="55" t="s">
        <v>1632</v>
      </c>
      <c r="Q1030" s="55" t="s">
        <v>350</v>
      </c>
      <c r="R1030" s="85">
        <v>4</v>
      </c>
      <c r="S1030" s="55">
        <v>0</v>
      </c>
      <c r="T1030" s="74" t="s">
        <v>1633</v>
      </c>
      <c r="U1030" s="74" t="s">
        <v>351</v>
      </c>
      <c r="V1030" s="74">
        <v>44454</v>
      </c>
      <c r="W1030" s="74">
        <v>44483</v>
      </c>
      <c r="X1030" s="55">
        <v>10185529</v>
      </c>
      <c r="Y1030" s="55" t="s">
        <v>132</v>
      </c>
      <c r="AB1030" s="74" t="s">
        <v>132</v>
      </c>
      <c r="AC1030" s="55" t="s">
        <v>132</v>
      </c>
      <c r="AL1030" s="74"/>
      <c r="AM1030" s="74"/>
      <c r="AW1030" s="74"/>
      <c r="AX1030" s="74"/>
    </row>
    <row r="1031" spans="1:50" ht="13" x14ac:dyDescent="0.15">
      <c r="A1031" s="55" t="str">
        <f>HYPERLINK("http://reports.ofsted.gov.uk/inspection-reports/find-inspection-report/provider/CARE/2555505","Ofsted Social Care Provider Webpage")</f>
        <v>Ofsted Social Care Provider Webpage</v>
      </c>
      <c r="B1031" s="55">
        <v>2555505</v>
      </c>
      <c r="D1031" s="55" t="s">
        <v>373</v>
      </c>
      <c r="E1031" s="74">
        <v>43922</v>
      </c>
      <c r="F1031" s="55" t="s">
        <v>344</v>
      </c>
      <c r="G1031" s="55" t="s">
        <v>360</v>
      </c>
      <c r="H1031" s="55" t="s">
        <v>360</v>
      </c>
      <c r="I1031" s="55" t="s">
        <v>360</v>
      </c>
      <c r="J1031" s="55" t="s">
        <v>360</v>
      </c>
      <c r="K1031" s="55" t="s">
        <v>360</v>
      </c>
      <c r="L1031" s="55" t="s">
        <v>360</v>
      </c>
      <c r="M1031" s="55" t="s">
        <v>172</v>
      </c>
      <c r="N1031" s="55" t="s">
        <v>172</v>
      </c>
      <c r="O1031" s="55" t="s">
        <v>214</v>
      </c>
      <c r="P1031" s="55" t="s">
        <v>1632</v>
      </c>
      <c r="Q1031" s="55" t="s">
        <v>350</v>
      </c>
      <c r="R1031" s="85">
        <v>4</v>
      </c>
      <c r="S1031" s="55">
        <v>0</v>
      </c>
      <c r="T1031" s="74" t="s">
        <v>1633</v>
      </c>
      <c r="U1031" s="74" t="s">
        <v>6703</v>
      </c>
      <c r="V1031" s="74">
        <v>44595</v>
      </c>
      <c r="W1031" s="74">
        <v>44634</v>
      </c>
      <c r="X1031" s="55">
        <v>10221338</v>
      </c>
      <c r="Y1031" s="55" t="s">
        <v>6706</v>
      </c>
      <c r="AL1031" s="74"/>
      <c r="AM1031" s="74"/>
      <c r="AW1031" s="74"/>
      <c r="AX1031" s="74"/>
    </row>
    <row r="1032" spans="1:50" ht="13" x14ac:dyDescent="0.15">
      <c r="A1032" s="55" t="str">
        <f>HYPERLINK("http://reports.ofsted.gov.uk/inspection-reports/find-inspection-report/provider/CARE/2555815","Ofsted Social Care Provider Webpage")</f>
        <v>Ofsted Social Care Provider Webpage</v>
      </c>
      <c r="B1032" s="55">
        <v>2555815</v>
      </c>
      <c r="D1032" s="55" t="s">
        <v>451</v>
      </c>
      <c r="E1032" s="74">
        <v>43805</v>
      </c>
      <c r="F1032" s="55" t="s">
        <v>344</v>
      </c>
      <c r="G1032" s="55" t="s">
        <v>1129</v>
      </c>
      <c r="H1032" s="55" t="s">
        <v>1634</v>
      </c>
      <c r="I1032" s="55" t="s">
        <v>354</v>
      </c>
      <c r="J1032" s="55" t="s">
        <v>129</v>
      </c>
      <c r="K1032" s="55" t="s">
        <v>183</v>
      </c>
      <c r="L1032" s="55" t="s">
        <v>1635</v>
      </c>
      <c r="M1032" s="55" t="s">
        <v>129</v>
      </c>
      <c r="N1032" s="55" t="s">
        <v>129</v>
      </c>
      <c r="O1032" s="55" t="s">
        <v>279</v>
      </c>
      <c r="P1032" s="55" t="s">
        <v>1128</v>
      </c>
      <c r="Q1032" s="55" t="s">
        <v>350</v>
      </c>
      <c r="R1032" s="85">
        <v>6</v>
      </c>
      <c r="S1032" s="55">
        <v>0</v>
      </c>
      <c r="T1032" s="74" t="s">
        <v>1129</v>
      </c>
      <c r="U1032" s="74" t="s">
        <v>351</v>
      </c>
      <c r="V1032" s="74">
        <v>44636</v>
      </c>
      <c r="W1032" s="74">
        <v>44680</v>
      </c>
      <c r="X1032" s="55">
        <v>10222335</v>
      </c>
      <c r="Y1032" s="55" t="s">
        <v>132</v>
      </c>
      <c r="AB1032" s="74" t="s">
        <v>132</v>
      </c>
      <c r="AC1032" s="55" t="s">
        <v>132</v>
      </c>
      <c r="AL1032" s="74"/>
      <c r="AM1032" s="74"/>
      <c r="AW1032" s="74"/>
      <c r="AX1032" s="74"/>
    </row>
    <row r="1033" spans="1:50" ht="13" x14ac:dyDescent="0.15">
      <c r="A1033" s="55" t="str">
        <f>HYPERLINK("http://reports.ofsted.gov.uk/inspection-reports/find-inspection-report/provider/CARE/2556128","Ofsted Social Care Provider Webpage")</f>
        <v>Ofsted Social Care Provider Webpage</v>
      </c>
      <c r="B1033" s="55">
        <v>2556128</v>
      </c>
      <c r="D1033" s="55" t="s">
        <v>373</v>
      </c>
      <c r="E1033" s="74">
        <v>43805</v>
      </c>
      <c r="F1033" s="55" t="s">
        <v>344</v>
      </c>
      <c r="G1033" s="55" t="s">
        <v>360</v>
      </c>
      <c r="H1033" s="55" t="s">
        <v>360</v>
      </c>
      <c r="I1033" s="55" t="s">
        <v>360</v>
      </c>
      <c r="J1033" s="55" t="s">
        <v>360</v>
      </c>
      <c r="K1033" s="55" t="s">
        <v>360</v>
      </c>
      <c r="L1033" s="55" t="s">
        <v>360</v>
      </c>
      <c r="M1033" s="55" t="s">
        <v>142</v>
      </c>
      <c r="N1033" s="55" t="s">
        <v>142</v>
      </c>
      <c r="O1033" s="55" t="s">
        <v>141</v>
      </c>
      <c r="P1033" s="55" t="s">
        <v>612</v>
      </c>
      <c r="Q1033" s="55" t="s">
        <v>350</v>
      </c>
      <c r="R1033" s="85">
        <v>4</v>
      </c>
      <c r="S1033" s="55">
        <v>0</v>
      </c>
      <c r="T1033" s="74" t="s">
        <v>1636</v>
      </c>
      <c r="U1033" s="74" t="s">
        <v>351</v>
      </c>
      <c r="V1033" s="74">
        <v>44342</v>
      </c>
      <c r="W1033" s="74">
        <v>44378</v>
      </c>
      <c r="X1033" s="55">
        <v>10185854</v>
      </c>
      <c r="Y1033" s="55" t="s">
        <v>132</v>
      </c>
      <c r="AB1033" s="74" t="s">
        <v>132</v>
      </c>
      <c r="AC1033" s="55" t="s">
        <v>132</v>
      </c>
      <c r="AL1033" s="74"/>
      <c r="AM1033" s="74"/>
      <c r="AW1033" s="74"/>
      <c r="AX1033" s="74"/>
    </row>
    <row r="1034" spans="1:50" ht="13" x14ac:dyDescent="0.15">
      <c r="A1034" s="55" t="str">
        <f>HYPERLINK("http://reports.ofsted.gov.uk/inspection-reports/find-inspection-report/provider/CARE/2556338","Ofsted Social Care Provider Webpage")</f>
        <v>Ofsted Social Care Provider Webpage</v>
      </c>
      <c r="B1034" s="55">
        <v>2556338</v>
      </c>
      <c r="D1034" s="55" t="s">
        <v>373</v>
      </c>
      <c r="E1034" s="74">
        <v>43790</v>
      </c>
      <c r="F1034" s="55" t="s">
        <v>344</v>
      </c>
      <c r="G1034" s="55" t="s">
        <v>360</v>
      </c>
      <c r="H1034" s="55" t="s">
        <v>360</v>
      </c>
      <c r="I1034" s="55" t="s">
        <v>360</v>
      </c>
      <c r="J1034" s="55" t="s">
        <v>360</v>
      </c>
      <c r="K1034" s="55" t="s">
        <v>360</v>
      </c>
      <c r="L1034" s="55" t="s">
        <v>360</v>
      </c>
      <c r="M1034" s="55" t="s">
        <v>172</v>
      </c>
      <c r="N1034" s="55" t="s">
        <v>172</v>
      </c>
      <c r="O1034" s="55" t="s">
        <v>284</v>
      </c>
      <c r="P1034" s="55" t="s">
        <v>986</v>
      </c>
      <c r="Q1034" s="55" t="s">
        <v>350</v>
      </c>
      <c r="R1034" s="85">
        <v>2</v>
      </c>
      <c r="S1034" s="55">
        <v>0</v>
      </c>
      <c r="T1034" s="74" t="s">
        <v>1637</v>
      </c>
      <c r="U1034" s="74" t="s">
        <v>351</v>
      </c>
      <c r="V1034" s="74">
        <v>44334</v>
      </c>
      <c r="W1034" s="74">
        <v>44368</v>
      </c>
      <c r="X1034" s="55">
        <v>10186898</v>
      </c>
      <c r="Y1034" s="55" t="s">
        <v>132</v>
      </c>
      <c r="AB1034" s="74" t="s">
        <v>132</v>
      </c>
      <c r="AC1034" s="55" t="s">
        <v>132</v>
      </c>
      <c r="AL1034" s="74"/>
      <c r="AM1034" s="74"/>
      <c r="AW1034" s="74"/>
      <c r="AX1034" s="74"/>
    </row>
    <row r="1035" spans="1:50" ht="13" x14ac:dyDescent="0.15">
      <c r="A1035" s="55" t="str">
        <f>HYPERLINK("http://reports.ofsted.gov.uk/inspection-reports/find-inspection-report/provider/CARE/2556340","Ofsted Social Care Provider Webpage")</f>
        <v>Ofsted Social Care Provider Webpage</v>
      </c>
      <c r="B1035" s="55">
        <v>2556340</v>
      </c>
      <c r="D1035" s="55" t="s">
        <v>373</v>
      </c>
      <c r="E1035" s="74">
        <v>43752</v>
      </c>
      <c r="F1035" s="55" t="s">
        <v>344</v>
      </c>
      <c r="G1035" s="55" t="s">
        <v>360</v>
      </c>
      <c r="H1035" s="55" t="s">
        <v>360</v>
      </c>
      <c r="I1035" s="55" t="s">
        <v>360</v>
      </c>
      <c r="J1035" s="55" t="s">
        <v>360</v>
      </c>
      <c r="K1035" s="55" t="s">
        <v>360</v>
      </c>
      <c r="L1035" s="55" t="s">
        <v>360</v>
      </c>
      <c r="M1035" s="55" t="s">
        <v>172</v>
      </c>
      <c r="N1035" s="55" t="s">
        <v>172</v>
      </c>
      <c r="O1035" s="55" t="s">
        <v>235</v>
      </c>
      <c r="P1035" s="55" t="s">
        <v>855</v>
      </c>
      <c r="Q1035" s="55" t="s">
        <v>350</v>
      </c>
      <c r="R1035" s="85">
        <v>2</v>
      </c>
      <c r="S1035" s="55">
        <v>0</v>
      </c>
      <c r="T1035" s="74" t="s">
        <v>962</v>
      </c>
      <c r="U1035" s="74" t="s">
        <v>351</v>
      </c>
      <c r="V1035" s="74">
        <v>44334</v>
      </c>
      <c r="W1035" s="74">
        <v>44363</v>
      </c>
      <c r="X1035" s="55">
        <v>10186050</v>
      </c>
      <c r="Y1035" s="55" t="s">
        <v>132</v>
      </c>
      <c r="AB1035" s="74" t="s">
        <v>132</v>
      </c>
      <c r="AC1035" s="55" t="s">
        <v>132</v>
      </c>
      <c r="AL1035" s="74"/>
      <c r="AM1035" s="74"/>
      <c r="AW1035" s="74"/>
      <c r="AX1035" s="74"/>
    </row>
    <row r="1036" spans="1:50" ht="13" x14ac:dyDescent="0.15">
      <c r="A1036" s="55" t="str">
        <f>HYPERLINK("http://reports.ofsted.gov.uk/inspection-reports/find-inspection-report/provider/CARE/2556596","Ofsted Social Care Provider Webpage")</f>
        <v>Ofsted Social Care Provider Webpage</v>
      </c>
      <c r="B1036" s="55">
        <v>2556596</v>
      </c>
      <c r="D1036" s="55" t="s">
        <v>373</v>
      </c>
      <c r="E1036" s="74">
        <v>43795</v>
      </c>
      <c r="F1036" s="55" t="s">
        <v>344</v>
      </c>
      <c r="G1036" s="55" t="s">
        <v>360</v>
      </c>
      <c r="H1036" s="55" t="s">
        <v>360</v>
      </c>
      <c r="I1036" s="55" t="s">
        <v>360</v>
      </c>
      <c r="J1036" s="55" t="s">
        <v>360</v>
      </c>
      <c r="K1036" s="55" t="s">
        <v>360</v>
      </c>
      <c r="L1036" s="55" t="s">
        <v>360</v>
      </c>
      <c r="M1036" s="55" t="s">
        <v>144</v>
      </c>
      <c r="N1036" s="55" t="s">
        <v>144</v>
      </c>
      <c r="O1036" s="55" t="s">
        <v>281</v>
      </c>
      <c r="P1036" s="55" t="s">
        <v>725</v>
      </c>
      <c r="Q1036" s="55" t="s">
        <v>350</v>
      </c>
      <c r="R1036" s="85">
        <v>2</v>
      </c>
      <c r="S1036" s="55">
        <v>0</v>
      </c>
      <c r="T1036" s="74" t="s">
        <v>385</v>
      </c>
      <c r="U1036" s="74" t="s">
        <v>351</v>
      </c>
      <c r="V1036" s="74">
        <v>44327</v>
      </c>
      <c r="W1036" s="74">
        <v>44372</v>
      </c>
      <c r="X1036" s="55">
        <v>10186428</v>
      </c>
      <c r="Y1036" s="55" t="s">
        <v>146</v>
      </c>
      <c r="AB1036" s="74" t="s">
        <v>146</v>
      </c>
      <c r="AC1036" s="55" t="s">
        <v>146</v>
      </c>
      <c r="AL1036" s="74"/>
      <c r="AM1036" s="74"/>
      <c r="AW1036" s="74"/>
      <c r="AX1036" s="74"/>
    </row>
    <row r="1037" spans="1:50" ht="13" x14ac:dyDescent="0.15">
      <c r="A1037" s="55" t="str">
        <f>HYPERLINK("http://reports.ofsted.gov.uk/inspection-reports/find-inspection-report/provider/CARE/2557064","Ofsted Social Care Provider Webpage")</f>
        <v>Ofsted Social Care Provider Webpage</v>
      </c>
      <c r="B1037" s="55">
        <v>2557064</v>
      </c>
      <c r="D1037" s="55" t="s">
        <v>373</v>
      </c>
      <c r="E1037" s="74">
        <v>44060</v>
      </c>
      <c r="F1037" s="55" t="s">
        <v>344</v>
      </c>
      <c r="G1037" s="55" t="s">
        <v>360</v>
      </c>
      <c r="H1037" s="55" t="s">
        <v>360</v>
      </c>
      <c r="I1037" s="55" t="s">
        <v>360</v>
      </c>
      <c r="J1037" s="55" t="s">
        <v>360</v>
      </c>
      <c r="K1037" s="55" t="s">
        <v>360</v>
      </c>
      <c r="L1037" s="55" t="s">
        <v>360</v>
      </c>
      <c r="M1037" s="55" t="s">
        <v>144</v>
      </c>
      <c r="N1037" s="55" t="s">
        <v>144</v>
      </c>
      <c r="O1037" s="55" t="s">
        <v>145</v>
      </c>
      <c r="P1037" s="55" t="s">
        <v>525</v>
      </c>
      <c r="Q1037" s="55" t="s">
        <v>350</v>
      </c>
      <c r="R1037" s="85">
        <v>2</v>
      </c>
      <c r="S1037" s="55">
        <v>0</v>
      </c>
      <c r="T1037" s="74" t="s">
        <v>1638</v>
      </c>
      <c r="U1037" s="74" t="s">
        <v>351</v>
      </c>
      <c r="V1037" s="74">
        <v>44363</v>
      </c>
      <c r="W1037" s="74">
        <v>44475</v>
      </c>
      <c r="X1037" s="55">
        <v>10185804</v>
      </c>
      <c r="Y1037" s="55" t="s">
        <v>130</v>
      </c>
      <c r="AB1037" s="74" t="s">
        <v>130</v>
      </c>
      <c r="AC1037" s="55" t="s">
        <v>130</v>
      </c>
      <c r="AL1037" s="74"/>
      <c r="AM1037" s="74"/>
      <c r="AW1037" s="74"/>
      <c r="AX1037" s="74"/>
    </row>
    <row r="1038" spans="1:50" ht="13" x14ac:dyDescent="0.15">
      <c r="A1038" s="55" t="str">
        <f>HYPERLINK("http://reports.ofsted.gov.uk/inspection-reports/find-inspection-report/provider/CARE/2557064","Ofsted Social Care Provider Webpage")</f>
        <v>Ofsted Social Care Provider Webpage</v>
      </c>
      <c r="B1038" s="55">
        <v>2557064</v>
      </c>
      <c r="D1038" s="55" t="s">
        <v>373</v>
      </c>
      <c r="E1038" s="74">
        <v>44060</v>
      </c>
      <c r="F1038" s="55" t="s">
        <v>344</v>
      </c>
      <c r="G1038" s="55" t="s">
        <v>360</v>
      </c>
      <c r="H1038" s="55" t="s">
        <v>360</v>
      </c>
      <c r="I1038" s="55" t="s">
        <v>360</v>
      </c>
      <c r="J1038" s="55" t="s">
        <v>360</v>
      </c>
      <c r="K1038" s="55" t="s">
        <v>360</v>
      </c>
      <c r="L1038" s="55" t="s">
        <v>360</v>
      </c>
      <c r="M1038" s="55" t="s">
        <v>144</v>
      </c>
      <c r="N1038" s="55" t="s">
        <v>144</v>
      </c>
      <c r="O1038" s="55" t="s">
        <v>145</v>
      </c>
      <c r="P1038" s="55" t="s">
        <v>525</v>
      </c>
      <c r="Q1038" s="55" t="s">
        <v>350</v>
      </c>
      <c r="R1038" s="85">
        <v>2</v>
      </c>
      <c r="S1038" s="55">
        <v>0</v>
      </c>
      <c r="T1038" s="74" t="s">
        <v>1638</v>
      </c>
      <c r="U1038" s="74" t="s">
        <v>6703</v>
      </c>
      <c r="V1038" s="74">
        <v>44523</v>
      </c>
      <c r="W1038" s="74">
        <v>44579</v>
      </c>
      <c r="X1038" s="55">
        <v>10209600</v>
      </c>
      <c r="Y1038" s="55" t="s">
        <v>6705</v>
      </c>
      <c r="AL1038" s="74"/>
      <c r="AM1038" s="74"/>
    </row>
    <row r="1039" spans="1:50" ht="13" x14ac:dyDescent="0.15">
      <c r="A1039" s="55" t="str">
        <f>HYPERLINK("http://reports.ofsted.gov.uk/inspection-reports/find-inspection-report/provider/CARE/2557141","Ofsted Social Care Provider Webpage")</f>
        <v>Ofsted Social Care Provider Webpage</v>
      </c>
      <c r="B1039" s="55">
        <v>2557141</v>
      </c>
      <c r="D1039" s="55" t="s">
        <v>373</v>
      </c>
      <c r="E1039" s="74">
        <v>44025</v>
      </c>
      <c r="F1039" s="55" t="s">
        <v>344</v>
      </c>
      <c r="G1039" s="55" t="s">
        <v>360</v>
      </c>
      <c r="H1039" s="55" t="s">
        <v>360</v>
      </c>
      <c r="I1039" s="55" t="s">
        <v>360</v>
      </c>
      <c r="J1039" s="55" t="s">
        <v>360</v>
      </c>
      <c r="K1039" s="55" t="s">
        <v>360</v>
      </c>
      <c r="L1039" s="55" t="s">
        <v>360</v>
      </c>
      <c r="M1039" s="55" t="s">
        <v>129</v>
      </c>
      <c r="N1039" s="55" t="s">
        <v>129</v>
      </c>
      <c r="O1039" s="55" t="s">
        <v>139</v>
      </c>
      <c r="P1039" s="55" t="s">
        <v>1639</v>
      </c>
      <c r="Q1039" s="55" t="s">
        <v>350</v>
      </c>
      <c r="R1039" s="85">
        <v>4</v>
      </c>
      <c r="S1039" s="55">
        <v>0</v>
      </c>
      <c r="T1039" s="74" t="s">
        <v>1640</v>
      </c>
      <c r="U1039" s="74" t="s">
        <v>351</v>
      </c>
      <c r="V1039" s="74">
        <v>44326</v>
      </c>
      <c r="W1039" s="74">
        <v>44355</v>
      </c>
      <c r="X1039" s="55">
        <v>10186089</v>
      </c>
      <c r="Y1039" s="55" t="s">
        <v>132</v>
      </c>
      <c r="AB1039" s="74" t="s">
        <v>132</v>
      </c>
      <c r="AC1039" s="55" t="s">
        <v>132</v>
      </c>
      <c r="AL1039" s="74"/>
      <c r="AM1039" s="74"/>
    </row>
    <row r="1040" spans="1:50" ht="13" x14ac:dyDescent="0.15">
      <c r="A1040" s="55" t="str">
        <f>HYPERLINK("http://reports.ofsted.gov.uk/inspection-reports/find-inspection-report/provider/CARE/2557152","Ofsted Social Care Provider Webpage")</f>
        <v>Ofsted Social Care Provider Webpage</v>
      </c>
      <c r="B1040" s="55">
        <v>2557152</v>
      </c>
      <c r="D1040" s="55" t="s">
        <v>373</v>
      </c>
      <c r="E1040" s="74">
        <v>43788</v>
      </c>
      <c r="F1040" s="55" t="s">
        <v>344</v>
      </c>
      <c r="G1040" s="55" t="s">
        <v>360</v>
      </c>
      <c r="H1040" s="55" t="s">
        <v>360</v>
      </c>
      <c r="I1040" s="55" t="s">
        <v>360</v>
      </c>
      <c r="J1040" s="55" t="s">
        <v>360</v>
      </c>
      <c r="K1040" s="55" t="s">
        <v>360</v>
      </c>
      <c r="L1040" s="55" t="s">
        <v>360</v>
      </c>
      <c r="M1040" s="55" t="s">
        <v>144</v>
      </c>
      <c r="N1040" s="55" t="s">
        <v>144</v>
      </c>
      <c r="O1040" s="55" t="s">
        <v>271</v>
      </c>
      <c r="P1040" s="55" t="s">
        <v>1122</v>
      </c>
      <c r="Q1040" s="55" t="s">
        <v>350</v>
      </c>
      <c r="R1040" s="85">
        <v>3</v>
      </c>
      <c r="S1040" s="55">
        <v>0</v>
      </c>
      <c r="T1040" s="74" t="s">
        <v>1505</v>
      </c>
      <c r="U1040" s="74" t="s">
        <v>351</v>
      </c>
      <c r="V1040" s="74">
        <v>44327</v>
      </c>
      <c r="W1040" s="74">
        <v>44357</v>
      </c>
      <c r="X1040" s="55">
        <v>10186853</v>
      </c>
      <c r="Y1040" s="55" t="s">
        <v>132</v>
      </c>
      <c r="AB1040" s="74" t="s">
        <v>132</v>
      </c>
      <c r="AC1040" s="55" t="s">
        <v>132</v>
      </c>
      <c r="AL1040" s="74"/>
      <c r="AM1040" s="74"/>
      <c r="AW1040" s="74"/>
      <c r="AX1040" s="74"/>
    </row>
    <row r="1041" spans="1:50" ht="13" x14ac:dyDescent="0.15">
      <c r="A1041" s="55" t="str">
        <f>HYPERLINK("http://reports.ofsted.gov.uk/inspection-reports/find-inspection-report/provider/CARE/2557361","Ofsted Social Care Provider Webpage")</f>
        <v>Ofsted Social Care Provider Webpage</v>
      </c>
      <c r="B1041" s="55">
        <v>2557361</v>
      </c>
      <c r="D1041" s="55" t="s">
        <v>373</v>
      </c>
      <c r="E1041" s="74">
        <v>43739</v>
      </c>
      <c r="F1041" s="55" t="s">
        <v>344</v>
      </c>
      <c r="G1041" s="55" t="s">
        <v>360</v>
      </c>
      <c r="H1041" s="55" t="s">
        <v>360</v>
      </c>
      <c r="I1041" s="55" t="s">
        <v>360</v>
      </c>
      <c r="J1041" s="55" t="s">
        <v>360</v>
      </c>
      <c r="K1041" s="55" t="s">
        <v>360</v>
      </c>
      <c r="L1041" s="55" t="s">
        <v>360</v>
      </c>
      <c r="M1041" s="55" t="s">
        <v>142</v>
      </c>
      <c r="N1041" s="55" t="s">
        <v>142</v>
      </c>
      <c r="O1041" s="55" t="s">
        <v>293</v>
      </c>
      <c r="P1041" s="55" t="s">
        <v>1641</v>
      </c>
      <c r="Q1041" s="55" t="s">
        <v>362</v>
      </c>
      <c r="R1041" s="85">
        <v>4</v>
      </c>
      <c r="S1041" s="55" t="s">
        <v>332</v>
      </c>
      <c r="T1041" s="74" t="s">
        <v>1605</v>
      </c>
      <c r="U1041" s="74" t="s">
        <v>351</v>
      </c>
      <c r="V1041" s="74">
        <v>44544</v>
      </c>
      <c r="W1041" s="74">
        <v>44607</v>
      </c>
      <c r="X1041" s="55">
        <v>10185351</v>
      </c>
      <c r="Y1041" s="55" t="s">
        <v>132</v>
      </c>
      <c r="AB1041" s="74" t="s">
        <v>132</v>
      </c>
      <c r="AC1041" s="55" t="s">
        <v>132</v>
      </c>
      <c r="AL1041" s="74"/>
      <c r="AM1041" s="74"/>
      <c r="AW1041" s="74"/>
      <c r="AX1041" s="74"/>
    </row>
    <row r="1042" spans="1:50" ht="13" x14ac:dyDescent="0.15">
      <c r="A1042" s="55" t="str">
        <f>HYPERLINK("http://reports.ofsted.gov.uk/inspection-reports/find-inspection-report/provider/CARE/2557603","Ofsted Social Care Provider Webpage")</f>
        <v>Ofsted Social Care Provider Webpage</v>
      </c>
      <c r="B1042" s="55">
        <v>2557603</v>
      </c>
      <c r="D1042" s="55" t="s">
        <v>373</v>
      </c>
      <c r="E1042" s="74">
        <v>43765</v>
      </c>
      <c r="F1042" s="55" t="s">
        <v>344</v>
      </c>
      <c r="G1042" s="55" t="s">
        <v>360</v>
      </c>
      <c r="H1042" s="55" t="s">
        <v>360</v>
      </c>
      <c r="I1042" s="55" t="s">
        <v>360</v>
      </c>
      <c r="J1042" s="55" t="s">
        <v>360</v>
      </c>
      <c r="K1042" s="55" t="s">
        <v>360</v>
      </c>
      <c r="L1042" s="55" t="s">
        <v>360</v>
      </c>
      <c r="M1042" s="55" t="s">
        <v>172</v>
      </c>
      <c r="N1042" s="55" t="s">
        <v>172</v>
      </c>
      <c r="O1042" s="55" t="s">
        <v>212</v>
      </c>
      <c r="P1042" s="55" t="s">
        <v>514</v>
      </c>
      <c r="Q1042" s="55" t="s">
        <v>350</v>
      </c>
      <c r="R1042" s="85">
        <v>4</v>
      </c>
      <c r="S1042" s="55">
        <v>0</v>
      </c>
      <c r="T1042" s="74" t="s">
        <v>1424</v>
      </c>
      <c r="U1042" s="74" t="s">
        <v>351</v>
      </c>
      <c r="V1042" s="74">
        <v>44306</v>
      </c>
      <c r="W1042" s="74">
        <v>44344</v>
      </c>
      <c r="X1042" s="55">
        <v>10186437</v>
      </c>
      <c r="Y1042" s="55" t="s">
        <v>132</v>
      </c>
      <c r="AB1042" s="74" t="s">
        <v>132</v>
      </c>
      <c r="AC1042" s="55" t="s">
        <v>132</v>
      </c>
      <c r="AL1042" s="74"/>
      <c r="AM1042" s="74"/>
      <c r="AW1042" s="74"/>
      <c r="AX1042" s="74"/>
    </row>
    <row r="1043" spans="1:50" ht="13" x14ac:dyDescent="0.15">
      <c r="A1043" s="55" t="str">
        <f>HYPERLINK("http://reports.ofsted.gov.uk/inspection-reports/find-inspection-report/provider/CARE/2557914","Ofsted Social Care Provider Webpage")</f>
        <v>Ofsted Social Care Provider Webpage</v>
      </c>
      <c r="B1043" s="55">
        <v>2557914</v>
      </c>
      <c r="D1043" s="55" t="s">
        <v>373</v>
      </c>
      <c r="E1043" s="74">
        <v>43875</v>
      </c>
      <c r="F1043" s="55" t="s">
        <v>344</v>
      </c>
      <c r="G1043" s="55" t="s">
        <v>360</v>
      </c>
      <c r="H1043" s="55" t="s">
        <v>360</v>
      </c>
      <c r="I1043" s="55" t="s">
        <v>360</v>
      </c>
      <c r="J1043" s="55" t="s">
        <v>360</v>
      </c>
      <c r="K1043" s="55" t="s">
        <v>360</v>
      </c>
      <c r="L1043" s="55" t="s">
        <v>360</v>
      </c>
      <c r="M1043" s="55" t="s">
        <v>142</v>
      </c>
      <c r="N1043" s="55" t="s">
        <v>142</v>
      </c>
      <c r="O1043" s="55" t="s">
        <v>141</v>
      </c>
      <c r="P1043" s="55" t="s">
        <v>573</v>
      </c>
      <c r="Q1043" s="55" t="s">
        <v>350</v>
      </c>
      <c r="R1043" s="85">
        <v>3</v>
      </c>
      <c r="S1043" s="55">
        <v>0</v>
      </c>
      <c r="T1043" s="74" t="s">
        <v>727</v>
      </c>
      <c r="U1043" s="74" t="s">
        <v>351</v>
      </c>
      <c r="V1043" s="74">
        <v>44321</v>
      </c>
      <c r="W1043" s="74">
        <v>44355</v>
      </c>
      <c r="X1043" s="55">
        <v>10187103</v>
      </c>
      <c r="Y1043" s="55" t="s">
        <v>132</v>
      </c>
      <c r="AB1043" s="74" t="s">
        <v>132</v>
      </c>
      <c r="AC1043" s="55" t="s">
        <v>132</v>
      </c>
      <c r="AL1043" s="74"/>
      <c r="AM1043" s="74"/>
      <c r="AW1043" s="74"/>
      <c r="AX1043" s="74"/>
    </row>
    <row r="1044" spans="1:50" ht="13" x14ac:dyDescent="0.15">
      <c r="A1044" s="55" t="str">
        <f>HYPERLINK("http://reports.ofsted.gov.uk/inspection-reports/find-inspection-report/provider/CARE/2557920","Ofsted Social Care Provider Webpage")</f>
        <v>Ofsted Social Care Provider Webpage</v>
      </c>
      <c r="B1044" s="55">
        <v>2557920</v>
      </c>
      <c r="D1044" s="55" t="s">
        <v>373</v>
      </c>
      <c r="E1044" s="74">
        <v>43781</v>
      </c>
      <c r="F1044" s="55" t="s">
        <v>344</v>
      </c>
      <c r="G1044" s="55" t="s">
        <v>360</v>
      </c>
      <c r="H1044" s="55" t="s">
        <v>360</v>
      </c>
      <c r="I1044" s="55" t="s">
        <v>360</v>
      </c>
      <c r="J1044" s="55" t="s">
        <v>360</v>
      </c>
      <c r="K1044" s="55" t="s">
        <v>360</v>
      </c>
      <c r="L1044" s="55" t="s">
        <v>360</v>
      </c>
      <c r="M1044" s="55" t="s">
        <v>136</v>
      </c>
      <c r="N1044" s="55" t="s">
        <v>136</v>
      </c>
      <c r="O1044" s="55" t="s">
        <v>185</v>
      </c>
      <c r="P1044" s="55" t="s">
        <v>1642</v>
      </c>
      <c r="Q1044" s="55" t="s">
        <v>350</v>
      </c>
      <c r="R1044" s="85">
        <v>4</v>
      </c>
      <c r="S1044" s="55">
        <v>0</v>
      </c>
      <c r="T1044" s="74" t="s">
        <v>1115</v>
      </c>
      <c r="U1044" s="74" t="s">
        <v>351</v>
      </c>
      <c r="V1044" s="74">
        <v>44418</v>
      </c>
      <c r="W1044" s="74">
        <v>44454</v>
      </c>
      <c r="X1044" s="55">
        <v>10186104</v>
      </c>
      <c r="Y1044" s="55" t="s">
        <v>132</v>
      </c>
      <c r="AB1044" s="74" t="s">
        <v>132</v>
      </c>
      <c r="AC1044" s="55" t="s">
        <v>132</v>
      </c>
      <c r="AL1044" s="74"/>
      <c r="AM1044" s="74"/>
    </row>
    <row r="1045" spans="1:50" ht="13" x14ac:dyDescent="0.15">
      <c r="A1045" s="55" t="str">
        <f>HYPERLINK("http://reports.ofsted.gov.uk/inspection-reports/find-inspection-report/provider/CARE/2558515","Ofsted Social Care Provider Webpage")</f>
        <v>Ofsted Social Care Provider Webpage</v>
      </c>
      <c r="B1045" s="55">
        <v>2558515</v>
      </c>
      <c r="D1045" s="55" t="s">
        <v>373</v>
      </c>
      <c r="E1045" s="74">
        <v>43818</v>
      </c>
      <c r="F1045" s="55" t="s">
        <v>344</v>
      </c>
      <c r="G1045" s="55" t="s">
        <v>360</v>
      </c>
      <c r="H1045" s="55" t="s">
        <v>360</v>
      </c>
      <c r="I1045" s="55" t="s">
        <v>360</v>
      </c>
      <c r="J1045" s="55" t="s">
        <v>360</v>
      </c>
      <c r="K1045" s="55" t="s">
        <v>360</v>
      </c>
      <c r="L1045" s="55" t="s">
        <v>360</v>
      </c>
      <c r="M1045" s="55" t="s">
        <v>172</v>
      </c>
      <c r="N1045" s="55" t="s">
        <v>172</v>
      </c>
      <c r="O1045" s="55" t="s">
        <v>173</v>
      </c>
      <c r="P1045" s="55" t="s">
        <v>1069</v>
      </c>
      <c r="Q1045" s="55" t="s">
        <v>350</v>
      </c>
      <c r="R1045" s="85">
        <v>4</v>
      </c>
      <c r="S1045" s="55">
        <v>0</v>
      </c>
      <c r="T1045" s="74" t="s">
        <v>1070</v>
      </c>
      <c r="U1045" s="74" t="s">
        <v>6703</v>
      </c>
      <c r="V1045" s="74">
        <v>44615</v>
      </c>
      <c r="W1045" s="74">
        <v>44655</v>
      </c>
      <c r="X1045" s="55">
        <v>10213708</v>
      </c>
      <c r="Y1045" s="55" t="s">
        <v>6705</v>
      </c>
      <c r="AL1045" s="74"/>
      <c r="AM1045" s="74"/>
      <c r="AW1045" s="74"/>
      <c r="AX1045" s="74"/>
    </row>
    <row r="1046" spans="1:50" ht="13" x14ac:dyDescent="0.15">
      <c r="A1046" s="55" t="str">
        <f>HYPERLINK("http://reports.ofsted.gov.uk/inspection-reports/find-inspection-report/provider/CARE/2558515","Ofsted Social Care Provider Webpage")</f>
        <v>Ofsted Social Care Provider Webpage</v>
      </c>
      <c r="B1046" s="55">
        <v>2558515</v>
      </c>
      <c r="D1046" s="55" t="s">
        <v>373</v>
      </c>
      <c r="E1046" s="74">
        <v>43818</v>
      </c>
      <c r="F1046" s="55" t="s">
        <v>344</v>
      </c>
      <c r="G1046" s="55" t="s">
        <v>360</v>
      </c>
      <c r="H1046" s="55" t="s">
        <v>360</v>
      </c>
      <c r="I1046" s="55" t="s">
        <v>360</v>
      </c>
      <c r="J1046" s="55" t="s">
        <v>360</v>
      </c>
      <c r="K1046" s="55" t="s">
        <v>360</v>
      </c>
      <c r="L1046" s="55" t="s">
        <v>360</v>
      </c>
      <c r="M1046" s="55" t="s">
        <v>172</v>
      </c>
      <c r="N1046" s="55" t="s">
        <v>172</v>
      </c>
      <c r="O1046" s="55" t="s">
        <v>173</v>
      </c>
      <c r="P1046" s="55" t="s">
        <v>1069</v>
      </c>
      <c r="Q1046" s="55" t="s">
        <v>350</v>
      </c>
      <c r="R1046" s="85">
        <v>4</v>
      </c>
      <c r="S1046" s="55">
        <v>0</v>
      </c>
      <c r="T1046" s="74" t="s">
        <v>1070</v>
      </c>
      <c r="U1046" s="74" t="s">
        <v>351</v>
      </c>
      <c r="V1046" s="74">
        <v>44398</v>
      </c>
      <c r="W1046" s="74">
        <v>44428</v>
      </c>
      <c r="X1046" s="55">
        <v>10185369</v>
      </c>
      <c r="Y1046" s="55" t="s">
        <v>130</v>
      </c>
      <c r="AB1046" s="74" t="s">
        <v>130</v>
      </c>
      <c r="AC1046" s="55" t="s">
        <v>146</v>
      </c>
      <c r="AL1046" s="74"/>
      <c r="AM1046" s="74"/>
    </row>
    <row r="1047" spans="1:50" ht="13" x14ac:dyDescent="0.15">
      <c r="A1047" s="55" t="str">
        <f>HYPERLINK("http://reports.ofsted.gov.uk/inspection-reports/find-inspection-report/provider/CARE/2558681","Ofsted Social Care Provider Webpage")</f>
        <v>Ofsted Social Care Provider Webpage</v>
      </c>
      <c r="B1047" s="55">
        <v>2558681</v>
      </c>
      <c r="D1047" s="55" t="s">
        <v>373</v>
      </c>
      <c r="E1047" s="74">
        <v>43893</v>
      </c>
      <c r="F1047" s="55" t="s">
        <v>344</v>
      </c>
      <c r="G1047" s="55" t="s">
        <v>360</v>
      </c>
      <c r="H1047" s="55" t="s">
        <v>360</v>
      </c>
      <c r="I1047" s="55" t="s">
        <v>360</v>
      </c>
      <c r="J1047" s="55" t="s">
        <v>360</v>
      </c>
      <c r="K1047" s="55" t="s">
        <v>360</v>
      </c>
      <c r="L1047" s="55" t="s">
        <v>360</v>
      </c>
      <c r="M1047" s="55" t="s">
        <v>144</v>
      </c>
      <c r="N1047" s="55" t="s">
        <v>144</v>
      </c>
      <c r="O1047" s="55" t="s">
        <v>145</v>
      </c>
      <c r="P1047" s="55" t="s">
        <v>525</v>
      </c>
      <c r="Q1047" s="55" t="s">
        <v>350</v>
      </c>
      <c r="R1047" s="85">
        <v>3</v>
      </c>
      <c r="S1047" s="55">
        <v>0</v>
      </c>
      <c r="T1047" s="74" t="s">
        <v>1643</v>
      </c>
      <c r="U1047" s="74" t="s">
        <v>351</v>
      </c>
      <c r="V1047" s="74">
        <v>44572</v>
      </c>
      <c r="W1047" s="74">
        <v>44609</v>
      </c>
      <c r="X1047" s="55">
        <v>10186590</v>
      </c>
      <c r="Y1047" s="55" t="s">
        <v>132</v>
      </c>
      <c r="AB1047" s="74" t="s">
        <v>132</v>
      </c>
      <c r="AC1047" s="55" t="s">
        <v>132</v>
      </c>
      <c r="AL1047" s="74"/>
      <c r="AM1047" s="74"/>
    </row>
    <row r="1048" spans="1:50" ht="13" x14ac:dyDescent="0.15">
      <c r="A1048" s="55" t="str">
        <f>HYPERLINK("http://reports.ofsted.gov.uk/inspection-reports/find-inspection-report/provider/CARE/2558682","Ofsted Social Care Provider Webpage")</f>
        <v>Ofsted Social Care Provider Webpage</v>
      </c>
      <c r="B1048" s="55">
        <v>2558682</v>
      </c>
      <c r="D1048" s="55" t="s">
        <v>373</v>
      </c>
      <c r="E1048" s="74">
        <v>43875</v>
      </c>
      <c r="F1048" s="55" t="s">
        <v>344</v>
      </c>
      <c r="G1048" s="55" t="s">
        <v>360</v>
      </c>
      <c r="H1048" s="55" t="s">
        <v>360</v>
      </c>
      <c r="I1048" s="55" t="s">
        <v>360</v>
      </c>
      <c r="J1048" s="55" t="s">
        <v>360</v>
      </c>
      <c r="K1048" s="55" t="s">
        <v>360</v>
      </c>
      <c r="L1048" s="55" t="s">
        <v>360</v>
      </c>
      <c r="M1048" s="55" t="s">
        <v>142</v>
      </c>
      <c r="N1048" s="55" t="s">
        <v>142</v>
      </c>
      <c r="O1048" s="55" t="s">
        <v>252</v>
      </c>
      <c r="P1048" s="55" t="s">
        <v>388</v>
      </c>
      <c r="Q1048" s="55" t="s">
        <v>380</v>
      </c>
      <c r="R1048" s="85">
        <v>2</v>
      </c>
      <c r="S1048" s="55">
        <v>0</v>
      </c>
      <c r="T1048" s="74" t="s">
        <v>1542</v>
      </c>
      <c r="U1048" s="74" t="s">
        <v>351</v>
      </c>
      <c r="V1048" s="74">
        <v>44404</v>
      </c>
      <c r="W1048" s="74">
        <v>44453</v>
      </c>
      <c r="X1048" s="55">
        <v>10186956</v>
      </c>
      <c r="Y1048" s="55" t="s">
        <v>132</v>
      </c>
      <c r="AB1048" s="74" t="s">
        <v>130</v>
      </c>
      <c r="AC1048" s="55" t="s">
        <v>132</v>
      </c>
      <c r="AL1048" s="74"/>
      <c r="AM1048" s="74"/>
    </row>
    <row r="1049" spans="1:50" ht="13" x14ac:dyDescent="0.15">
      <c r="A1049" s="55" t="str">
        <f>HYPERLINK("http://reports.ofsted.gov.uk/inspection-reports/find-inspection-report/provider/CARE/2559019","Ofsted Social Care Provider Webpage")</f>
        <v>Ofsted Social Care Provider Webpage</v>
      </c>
      <c r="B1049" s="55">
        <v>2559019</v>
      </c>
      <c r="D1049" s="55" t="s">
        <v>373</v>
      </c>
      <c r="E1049" s="74">
        <v>43770</v>
      </c>
      <c r="F1049" s="55" t="s">
        <v>344</v>
      </c>
      <c r="G1049" s="55" t="s">
        <v>360</v>
      </c>
      <c r="H1049" s="55" t="s">
        <v>360</v>
      </c>
      <c r="I1049" s="55" t="s">
        <v>360</v>
      </c>
      <c r="J1049" s="55" t="s">
        <v>360</v>
      </c>
      <c r="K1049" s="55" t="s">
        <v>360</v>
      </c>
      <c r="L1049" s="55" t="s">
        <v>360</v>
      </c>
      <c r="M1049" s="55" t="s">
        <v>129</v>
      </c>
      <c r="N1049" s="55" t="s">
        <v>129</v>
      </c>
      <c r="O1049" s="55" t="s">
        <v>242</v>
      </c>
      <c r="P1049" s="55" t="s">
        <v>1192</v>
      </c>
      <c r="Q1049" s="55" t="s">
        <v>350</v>
      </c>
      <c r="R1049" s="85">
        <v>5</v>
      </c>
      <c r="S1049" s="55">
        <v>0</v>
      </c>
      <c r="T1049" s="74" t="s">
        <v>1646</v>
      </c>
      <c r="U1049" s="74" t="s">
        <v>351</v>
      </c>
      <c r="V1049" s="74">
        <v>44417</v>
      </c>
      <c r="W1049" s="74">
        <v>44453</v>
      </c>
      <c r="X1049" s="55">
        <v>10185911</v>
      </c>
      <c r="Y1049" s="55" t="s">
        <v>132</v>
      </c>
      <c r="AB1049" s="74" t="s">
        <v>132</v>
      </c>
      <c r="AC1049" s="55" t="s">
        <v>132</v>
      </c>
      <c r="AL1049" s="74"/>
      <c r="AM1049" s="74"/>
    </row>
    <row r="1050" spans="1:50" ht="13" x14ac:dyDescent="0.15">
      <c r="A1050" s="55" t="str">
        <f>HYPERLINK("http://reports.ofsted.gov.uk/inspection-reports/find-inspection-report/provider/CARE/2559023","Ofsted Social Care Provider Webpage")</f>
        <v>Ofsted Social Care Provider Webpage</v>
      </c>
      <c r="B1050" s="55">
        <v>2559023</v>
      </c>
      <c r="D1050" s="55" t="s">
        <v>373</v>
      </c>
      <c r="E1050" s="74">
        <v>43894</v>
      </c>
      <c r="F1050" s="55" t="s">
        <v>344</v>
      </c>
      <c r="G1050" s="55" t="s">
        <v>360</v>
      </c>
      <c r="H1050" s="55" t="s">
        <v>360</v>
      </c>
      <c r="I1050" s="55" t="s">
        <v>360</v>
      </c>
      <c r="J1050" s="55" t="s">
        <v>360</v>
      </c>
      <c r="K1050" s="55" t="s">
        <v>360</v>
      </c>
      <c r="L1050" s="55" t="s">
        <v>360</v>
      </c>
      <c r="M1050" s="55" t="s">
        <v>144</v>
      </c>
      <c r="N1050" s="55" t="s">
        <v>144</v>
      </c>
      <c r="O1050" s="55" t="s">
        <v>168</v>
      </c>
      <c r="P1050" s="55" t="s">
        <v>834</v>
      </c>
      <c r="Q1050" s="55" t="s">
        <v>350</v>
      </c>
      <c r="R1050" s="85">
        <v>2</v>
      </c>
      <c r="S1050" s="55">
        <v>0</v>
      </c>
      <c r="T1050" s="74" t="s">
        <v>485</v>
      </c>
      <c r="U1050" s="74" t="s">
        <v>351</v>
      </c>
      <c r="V1050" s="74">
        <v>44503</v>
      </c>
      <c r="W1050" s="74">
        <v>44571</v>
      </c>
      <c r="X1050" s="55">
        <v>10185484</v>
      </c>
      <c r="Y1050" s="55" t="s">
        <v>132</v>
      </c>
      <c r="AB1050" s="74" t="s">
        <v>132</v>
      </c>
      <c r="AC1050" s="55" t="s">
        <v>132</v>
      </c>
      <c r="AL1050" s="74"/>
      <c r="AM1050" s="74"/>
    </row>
    <row r="1051" spans="1:50" ht="13" x14ac:dyDescent="0.15">
      <c r="A1051" s="55" t="str">
        <f>HYPERLINK("http://reports.ofsted.gov.uk/inspection-reports/find-inspection-report/provider/CARE/2559288","Ofsted Social Care Provider Webpage")</f>
        <v>Ofsted Social Care Provider Webpage</v>
      </c>
      <c r="B1051" s="55">
        <v>2559288</v>
      </c>
      <c r="D1051" s="55" t="s">
        <v>389</v>
      </c>
      <c r="E1051" s="74">
        <v>43944</v>
      </c>
      <c r="F1051" s="55" t="s">
        <v>344</v>
      </c>
      <c r="G1051" s="55" t="s">
        <v>1647</v>
      </c>
      <c r="H1051" s="55" t="s">
        <v>1648</v>
      </c>
      <c r="I1051" s="55" t="s">
        <v>1649</v>
      </c>
      <c r="J1051" s="55" t="s">
        <v>1650</v>
      </c>
      <c r="L1051" s="55" t="s">
        <v>1651</v>
      </c>
      <c r="M1051" s="55" t="s">
        <v>129</v>
      </c>
      <c r="N1051" s="55" t="s">
        <v>129</v>
      </c>
      <c r="O1051" s="55" t="s">
        <v>242</v>
      </c>
      <c r="P1051" s="55" t="s">
        <v>1519</v>
      </c>
      <c r="Q1051" s="55" t="s">
        <v>350</v>
      </c>
      <c r="S1051" s="55">
        <v>0</v>
      </c>
      <c r="T1051" s="74" t="s">
        <v>1652</v>
      </c>
      <c r="U1051" s="74" t="s">
        <v>351</v>
      </c>
      <c r="V1051" s="74">
        <v>44354</v>
      </c>
      <c r="W1051" s="74">
        <v>44404</v>
      </c>
      <c r="X1051" s="55">
        <v>10183189</v>
      </c>
      <c r="Y1051" s="55" t="s">
        <v>130</v>
      </c>
      <c r="AB1051" s="74" t="s">
        <v>130</v>
      </c>
      <c r="AC1051" s="55" t="s">
        <v>130</v>
      </c>
      <c r="AL1051" s="74"/>
      <c r="AM1051" s="74"/>
    </row>
    <row r="1052" spans="1:50" ht="13" x14ac:dyDescent="0.15">
      <c r="A1052" s="55" t="str">
        <f>HYPERLINK("http://reports.ofsted.gov.uk/inspection-reports/find-inspection-report/provider/CARE/2559317","Ofsted Social Care Provider Webpage")</f>
        <v>Ofsted Social Care Provider Webpage</v>
      </c>
      <c r="B1052" s="55">
        <v>2559317</v>
      </c>
      <c r="D1052" s="55" t="s">
        <v>373</v>
      </c>
      <c r="E1052" s="74">
        <v>43962</v>
      </c>
      <c r="F1052" s="55" t="s">
        <v>344</v>
      </c>
      <c r="G1052" s="55" t="s">
        <v>360</v>
      </c>
      <c r="H1052" s="55" t="s">
        <v>360</v>
      </c>
      <c r="I1052" s="55" t="s">
        <v>360</v>
      </c>
      <c r="J1052" s="55" t="s">
        <v>360</v>
      </c>
      <c r="K1052" s="55" t="s">
        <v>360</v>
      </c>
      <c r="L1052" s="55" t="s">
        <v>360</v>
      </c>
      <c r="M1052" s="55" t="s">
        <v>144</v>
      </c>
      <c r="N1052" s="55" t="s">
        <v>144</v>
      </c>
      <c r="O1052" s="55" t="s">
        <v>250</v>
      </c>
      <c r="P1052" s="55" t="s">
        <v>759</v>
      </c>
      <c r="Q1052" s="55" t="s">
        <v>350</v>
      </c>
      <c r="R1052" s="85">
        <v>1</v>
      </c>
      <c r="S1052" s="55">
        <v>0</v>
      </c>
      <c r="T1052" s="74" t="s">
        <v>1653</v>
      </c>
      <c r="U1052" s="74" t="s">
        <v>351</v>
      </c>
      <c r="V1052" s="74">
        <v>44578</v>
      </c>
      <c r="W1052" s="74">
        <v>44615</v>
      </c>
      <c r="X1052" s="55">
        <v>10186486</v>
      </c>
      <c r="Y1052" s="55" t="s">
        <v>130</v>
      </c>
      <c r="AB1052" s="74" t="s">
        <v>130</v>
      </c>
      <c r="AC1052" s="55" t="s">
        <v>146</v>
      </c>
      <c r="AL1052" s="74"/>
      <c r="AM1052" s="74"/>
    </row>
    <row r="1053" spans="1:50" ht="13" x14ac:dyDescent="0.15">
      <c r="A1053" s="55" t="str">
        <f>HYPERLINK("http://reports.ofsted.gov.uk/inspection-reports/find-inspection-report/provider/CARE/2560305","Ofsted Social Care Provider Webpage")</f>
        <v>Ofsted Social Care Provider Webpage</v>
      </c>
      <c r="B1053" s="55">
        <v>2560305</v>
      </c>
      <c r="D1053" s="55" t="s">
        <v>373</v>
      </c>
      <c r="E1053" s="74">
        <v>43861</v>
      </c>
      <c r="F1053" s="55" t="s">
        <v>344</v>
      </c>
      <c r="G1053" s="55" t="s">
        <v>360</v>
      </c>
      <c r="H1053" s="55" t="s">
        <v>360</v>
      </c>
      <c r="I1053" s="55" t="s">
        <v>360</v>
      </c>
      <c r="J1053" s="55" t="s">
        <v>360</v>
      </c>
      <c r="K1053" s="55" t="s">
        <v>360</v>
      </c>
      <c r="L1053" s="55" t="s">
        <v>360</v>
      </c>
      <c r="M1053" s="55" t="s">
        <v>142</v>
      </c>
      <c r="N1053" s="55" t="s">
        <v>142</v>
      </c>
      <c r="O1053" s="55" t="s">
        <v>249</v>
      </c>
      <c r="P1053" s="55" t="s">
        <v>1181</v>
      </c>
      <c r="Q1053" s="55" t="s">
        <v>350</v>
      </c>
      <c r="R1053" s="85">
        <v>3</v>
      </c>
      <c r="S1053" s="55">
        <v>0</v>
      </c>
      <c r="T1053" s="74" t="s">
        <v>1654</v>
      </c>
      <c r="U1053" s="74" t="s">
        <v>351</v>
      </c>
      <c r="V1053" s="74">
        <v>44307</v>
      </c>
      <c r="W1053" s="74">
        <v>44369</v>
      </c>
      <c r="X1053" s="55">
        <v>10186234</v>
      </c>
      <c r="Y1053" s="55" t="s">
        <v>130</v>
      </c>
      <c r="AB1053" s="74" t="s">
        <v>130</v>
      </c>
      <c r="AC1053" s="55" t="s">
        <v>130</v>
      </c>
      <c r="AL1053" s="74"/>
      <c r="AM1053" s="74"/>
    </row>
    <row r="1054" spans="1:50" ht="13" x14ac:dyDescent="0.15">
      <c r="A1054" s="55" t="str">
        <f>HYPERLINK("http://reports.ofsted.gov.uk/inspection-reports/find-inspection-report/provider/CARE/2560305","Ofsted Social Care Provider Webpage")</f>
        <v>Ofsted Social Care Provider Webpage</v>
      </c>
      <c r="B1054" s="55">
        <v>2560305</v>
      </c>
      <c r="D1054" s="55" t="s">
        <v>373</v>
      </c>
      <c r="E1054" s="74">
        <v>43861</v>
      </c>
      <c r="F1054" s="55" t="s">
        <v>344</v>
      </c>
      <c r="G1054" s="55" t="s">
        <v>360</v>
      </c>
      <c r="H1054" s="55" t="s">
        <v>360</v>
      </c>
      <c r="I1054" s="55" t="s">
        <v>360</v>
      </c>
      <c r="J1054" s="55" t="s">
        <v>360</v>
      </c>
      <c r="K1054" s="55" t="s">
        <v>360</v>
      </c>
      <c r="L1054" s="55" t="s">
        <v>360</v>
      </c>
      <c r="M1054" s="55" t="s">
        <v>142</v>
      </c>
      <c r="N1054" s="55" t="s">
        <v>142</v>
      </c>
      <c r="O1054" s="55" t="s">
        <v>249</v>
      </c>
      <c r="P1054" s="55" t="s">
        <v>1181</v>
      </c>
      <c r="Q1054" s="55" t="s">
        <v>350</v>
      </c>
      <c r="R1054" s="85">
        <v>3</v>
      </c>
      <c r="S1054" s="55">
        <v>0</v>
      </c>
      <c r="T1054" s="74" t="s">
        <v>1654</v>
      </c>
      <c r="U1054" s="74" t="s">
        <v>6703</v>
      </c>
      <c r="V1054" s="74">
        <v>44607</v>
      </c>
      <c r="W1054" s="74">
        <v>44652</v>
      </c>
      <c r="X1054" s="55">
        <v>10217234</v>
      </c>
      <c r="Y1054" s="55" t="s">
        <v>6704</v>
      </c>
      <c r="AL1054" s="74"/>
      <c r="AM1054" s="74"/>
    </row>
    <row r="1055" spans="1:50" ht="13" x14ac:dyDescent="0.15">
      <c r="A1055" s="55" t="str">
        <f>HYPERLINK("http://reports.ofsted.gov.uk/inspection-reports/find-inspection-report/provider/CARE/2560639","Ofsted Social Care Provider Webpage")</f>
        <v>Ofsted Social Care Provider Webpage</v>
      </c>
      <c r="B1055" s="55">
        <v>2560639</v>
      </c>
      <c r="D1055" s="55" t="s">
        <v>373</v>
      </c>
      <c r="E1055" s="74">
        <v>43797</v>
      </c>
      <c r="F1055" s="55" t="s">
        <v>344</v>
      </c>
      <c r="G1055" s="55" t="s">
        <v>360</v>
      </c>
      <c r="H1055" s="55" t="s">
        <v>360</v>
      </c>
      <c r="I1055" s="55" t="s">
        <v>360</v>
      </c>
      <c r="J1055" s="55" t="s">
        <v>360</v>
      </c>
      <c r="K1055" s="55" t="s">
        <v>360</v>
      </c>
      <c r="L1055" s="55" t="s">
        <v>360</v>
      </c>
      <c r="M1055" s="55" t="s">
        <v>378</v>
      </c>
      <c r="N1055" s="55" t="s">
        <v>134</v>
      </c>
      <c r="O1055" s="55" t="s">
        <v>206</v>
      </c>
      <c r="P1055" s="55" t="s">
        <v>1655</v>
      </c>
      <c r="Q1055" s="55" t="s">
        <v>350</v>
      </c>
      <c r="R1055" s="85">
        <v>3</v>
      </c>
      <c r="S1055" s="55">
        <v>0</v>
      </c>
      <c r="T1055" s="74" t="s">
        <v>613</v>
      </c>
      <c r="U1055" s="74" t="s">
        <v>351</v>
      </c>
      <c r="V1055" s="74">
        <v>44376</v>
      </c>
      <c r="W1055" s="74">
        <v>44425</v>
      </c>
      <c r="X1055" s="55">
        <v>10185870</v>
      </c>
      <c r="Y1055" s="55" t="s">
        <v>132</v>
      </c>
      <c r="AB1055" s="74" t="s">
        <v>132</v>
      </c>
      <c r="AC1055" s="55" t="s">
        <v>132</v>
      </c>
      <c r="AL1055" s="74"/>
      <c r="AM1055" s="74"/>
    </row>
    <row r="1056" spans="1:50" ht="13" x14ac:dyDescent="0.15">
      <c r="A1056" s="55" t="str">
        <f>HYPERLINK("http://reports.ofsted.gov.uk/inspection-reports/find-inspection-report/provider/CARE/2560648","Ofsted Social Care Provider Webpage")</f>
        <v>Ofsted Social Care Provider Webpage</v>
      </c>
      <c r="B1056" s="55">
        <v>2560648</v>
      </c>
      <c r="D1056" s="55" t="s">
        <v>373</v>
      </c>
      <c r="E1056" s="74">
        <v>43816</v>
      </c>
      <c r="F1056" s="55" t="s">
        <v>344</v>
      </c>
      <c r="G1056" s="55" t="s">
        <v>360</v>
      </c>
      <c r="H1056" s="55" t="s">
        <v>360</v>
      </c>
      <c r="I1056" s="55" t="s">
        <v>360</v>
      </c>
      <c r="J1056" s="55" t="s">
        <v>360</v>
      </c>
      <c r="K1056" s="55" t="s">
        <v>360</v>
      </c>
      <c r="L1056" s="55" t="s">
        <v>360</v>
      </c>
      <c r="M1056" s="55" t="s">
        <v>142</v>
      </c>
      <c r="N1056" s="55" t="s">
        <v>142</v>
      </c>
      <c r="O1056" s="55" t="s">
        <v>262</v>
      </c>
      <c r="P1056" s="55" t="s">
        <v>692</v>
      </c>
      <c r="Q1056" s="55" t="s">
        <v>350</v>
      </c>
      <c r="R1056" s="85">
        <v>3</v>
      </c>
      <c r="S1056" s="55">
        <v>0</v>
      </c>
      <c r="T1056" s="74" t="s">
        <v>1307</v>
      </c>
      <c r="U1056" s="74" t="s">
        <v>351</v>
      </c>
      <c r="V1056" s="74">
        <v>44572</v>
      </c>
      <c r="W1056" s="74">
        <v>44615</v>
      </c>
      <c r="X1056" s="55">
        <v>10187050</v>
      </c>
      <c r="Y1056" s="55" t="s">
        <v>132</v>
      </c>
      <c r="AB1056" s="74" t="s">
        <v>132</v>
      </c>
      <c r="AC1056" s="55" t="s">
        <v>132</v>
      </c>
      <c r="AL1056" s="74"/>
      <c r="AM1056" s="74"/>
      <c r="AW1056" s="74"/>
      <c r="AX1056" s="74"/>
    </row>
    <row r="1057" spans="1:50" ht="13" x14ac:dyDescent="0.15">
      <c r="A1057" s="55" t="str">
        <f>HYPERLINK("http://reports.ofsted.gov.uk/inspection-reports/find-inspection-report/provider/CARE/2561020","Ofsted Social Care Provider Webpage")</f>
        <v>Ofsted Social Care Provider Webpage</v>
      </c>
      <c r="B1057" s="55">
        <v>2561020</v>
      </c>
      <c r="D1057" s="55" t="s">
        <v>373</v>
      </c>
      <c r="E1057" s="74">
        <v>43783</v>
      </c>
      <c r="F1057" s="55" t="s">
        <v>344</v>
      </c>
      <c r="G1057" s="55" t="s">
        <v>360</v>
      </c>
      <c r="H1057" s="55" t="s">
        <v>360</v>
      </c>
      <c r="I1057" s="55" t="s">
        <v>360</v>
      </c>
      <c r="J1057" s="55" t="s">
        <v>360</v>
      </c>
      <c r="K1057" s="55" t="s">
        <v>360</v>
      </c>
      <c r="L1057" s="55" t="s">
        <v>360</v>
      </c>
      <c r="M1057" s="55" t="s">
        <v>172</v>
      </c>
      <c r="N1057" s="55" t="s">
        <v>172</v>
      </c>
      <c r="O1057" s="55" t="s">
        <v>171</v>
      </c>
      <c r="P1057" s="55" t="s">
        <v>895</v>
      </c>
      <c r="Q1057" s="55" t="s">
        <v>350</v>
      </c>
      <c r="R1057" s="85">
        <v>5</v>
      </c>
      <c r="S1057" s="55">
        <v>0</v>
      </c>
      <c r="T1057" s="74" t="s">
        <v>861</v>
      </c>
      <c r="U1057" s="74" t="s">
        <v>351</v>
      </c>
      <c r="V1057" s="74">
        <v>44299</v>
      </c>
      <c r="W1057" s="74">
        <v>44354</v>
      </c>
      <c r="X1057" s="55">
        <v>10186241</v>
      </c>
      <c r="Y1057" s="55" t="s">
        <v>132</v>
      </c>
      <c r="AB1057" s="74" t="s">
        <v>132</v>
      </c>
      <c r="AC1057" s="55" t="s">
        <v>130</v>
      </c>
      <c r="AL1057" s="74"/>
      <c r="AM1057" s="74"/>
      <c r="AW1057" s="74"/>
      <c r="AX1057" s="74"/>
    </row>
    <row r="1058" spans="1:50" ht="13" x14ac:dyDescent="0.15">
      <c r="A1058" s="55" t="str">
        <f>HYPERLINK("http://reports.ofsted.gov.uk/inspection-reports/find-inspection-report/provider/CARE/2561329","Ofsted Social Care Provider Webpage")</f>
        <v>Ofsted Social Care Provider Webpage</v>
      </c>
      <c r="B1058" s="55">
        <v>2561329</v>
      </c>
      <c r="D1058" s="55" t="s">
        <v>451</v>
      </c>
      <c r="E1058" s="74">
        <v>43840</v>
      </c>
      <c r="F1058" s="55" t="s">
        <v>344</v>
      </c>
      <c r="G1058" s="55" t="s">
        <v>1656</v>
      </c>
      <c r="H1058" s="55" t="s">
        <v>1657</v>
      </c>
      <c r="I1058" s="55" t="s">
        <v>354</v>
      </c>
      <c r="J1058" s="55" t="s">
        <v>239</v>
      </c>
      <c r="K1058" s="55" t="s">
        <v>174</v>
      </c>
      <c r="L1058" s="55" t="s">
        <v>1658</v>
      </c>
      <c r="M1058" s="55" t="s">
        <v>136</v>
      </c>
      <c r="N1058" s="55" t="s">
        <v>136</v>
      </c>
      <c r="O1058" s="55" t="s">
        <v>239</v>
      </c>
      <c r="P1058" s="55" t="s">
        <v>738</v>
      </c>
      <c r="Q1058" s="55" t="s">
        <v>350</v>
      </c>
      <c r="R1058" s="85">
        <v>5</v>
      </c>
      <c r="S1058" s="55">
        <v>0</v>
      </c>
      <c r="T1058" s="74" t="s">
        <v>1659</v>
      </c>
      <c r="U1058" s="74" t="s">
        <v>351</v>
      </c>
      <c r="V1058" s="74">
        <v>44538</v>
      </c>
      <c r="W1058" s="74">
        <v>44582</v>
      </c>
      <c r="X1058" s="55">
        <v>10183240</v>
      </c>
      <c r="Y1058" s="55" t="s">
        <v>132</v>
      </c>
      <c r="AB1058" s="74" t="s">
        <v>132</v>
      </c>
      <c r="AC1058" s="55" t="s">
        <v>132</v>
      </c>
      <c r="AL1058" s="74"/>
      <c r="AM1058" s="74"/>
      <c r="AW1058" s="74"/>
      <c r="AX1058" s="74"/>
    </row>
    <row r="1059" spans="1:50" ht="13" x14ac:dyDescent="0.15">
      <c r="A1059" s="55" t="str">
        <f>HYPERLINK("http://reports.ofsted.gov.uk/inspection-reports/find-inspection-report/provider/CARE/2561501","Ofsted Social Care Provider Webpage")</f>
        <v>Ofsted Social Care Provider Webpage</v>
      </c>
      <c r="B1059" s="55">
        <v>2561501</v>
      </c>
      <c r="D1059" s="55" t="s">
        <v>373</v>
      </c>
      <c r="E1059" s="74">
        <v>43938</v>
      </c>
      <c r="F1059" s="55" t="s">
        <v>344</v>
      </c>
      <c r="G1059" s="55" t="s">
        <v>360</v>
      </c>
      <c r="H1059" s="55" t="s">
        <v>360</v>
      </c>
      <c r="I1059" s="55" t="s">
        <v>360</v>
      </c>
      <c r="J1059" s="55" t="s">
        <v>360</v>
      </c>
      <c r="K1059" s="55" t="s">
        <v>360</v>
      </c>
      <c r="L1059" s="55" t="s">
        <v>360</v>
      </c>
      <c r="M1059" s="55" t="s">
        <v>129</v>
      </c>
      <c r="N1059" s="55" t="s">
        <v>129</v>
      </c>
      <c r="O1059" s="55" t="s">
        <v>182</v>
      </c>
      <c r="P1059" s="55" t="s">
        <v>1660</v>
      </c>
      <c r="Q1059" s="55" t="s">
        <v>350</v>
      </c>
      <c r="R1059" s="85">
        <v>4</v>
      </c>
      <c r="S1059" s="55">
        <v>0</v>
      </c>
      <c r="T1059" s="74" t="s">
        <v>1661</v>
      </c>
      <c r="U1059" s="74" t="s">
        <v>351</v>
      </c>
      <c r="V1059" s="74">
        <v>44334</v>
      </c>
      <c r="W1059" s="74">
        <v>44391</v>
      </c>
      <c r="X1059" s="55">
        <v>10185762</v>
      </c>
      <c r="Y1059" s="55" t="s">
        <v>132</v>
      </c>
      <c r="AB1059" s="74" t="s">
        <v>132</v>
      </c>
      <c r="AC1059" s="55" t="s">
        <v>130</v>
      </c>
      <c r="AL1059" s="74"/>
      <c r="AM1059" s="74"/>
    </row>
    <row r="1060" spans="1:50" ht="13" x14ac:dyDescent="0.15">
      <c r="A1060" s="55" t="str">
        <f>HYPERLINK("http://reports.ofsted.gov.uk/inspection-reports/find-inspection-report/provider/CARE/2561726","Ofsted Social Care Provider Webpage")</f>
        <v>Ofsted Social Care Provider Webpage</v>
      </c>
      <c r="B1060" s="55">
        <v>2561726</v>
      </c>
      <c r="D1060" s="55" t="s">
        <v>373</v>
      </c>
      <c r="E1060" s="74">
        <v>43872</v>
      </c>
      <c r="F1060" s="55" t="s">
        <v>344</v>
      </c>
      <c r="G1060" s="55" t="s">
        <v>360</v>
      </c>
      <c r="H1060" s="55" t="s">
        <v>360</v>
      </c>
      <c r="I1060" s="55" t="s">
        <v>360</v>
      </c>
      <c r="J1060" s="55" t="s">
        <v>360</v>
      </c>
      <c r="K1060" s="55" t="s">
        <v>360</v>
      </c>
      <c r="L1060" s="55" t="s">
        <v>360</v>
      </c>
      <c r="M1060" s="55" t="s">
        <v>378</v>
      </c>
      <c r="N1060" s="55" t="s">
        <v>134</v>
      </c>
      <c r="O1060" s="55" t="s">
        <v>180</v>
      </c>
      <c r="P1060" s="55" t="s">
        <v>1483</v>
      </c>
      <c r="Q1060" s="55" t="s">
        <v>350</v>
      </c>
      <c r="R1060" s="85">
        <v>2</v>
      </c>
      <c r="S1060" s="55">
        <v>0</v>
      </c>
      <c r="T1060" s="74" t="s">
        <v>1484</v>
      </c>
      <c r="U1060" s="74" t="s">
        <v>351</v>
      </c>
      <c r="V1060" s="74">
        <v>44543</v>
      </c>
      <c r="W1060" s="74">
        <v>44592</v>
      </c>
      <c r="X1060" s="55">
        <v>10186442</v>
      </c>
      <c r="Y1060" s="55" t="s">
        <v>132</v>
      </c>
      <c r="AB1060" s="74" t="s">
        <v>132</v>
      </c>
      <c r="AC1060" s="55" t="s">
        <v>130</v>
      </c>
      <c r="AL1060" s="74"/>
      <c r="AM1060" s="74"/>
      <c r="AW1060" s="74"/>
      <c r="AX1060" s="74"/>
    </row>
    <row r="1061" spans="1:50" ht="13" x14ac:dyDescent="0.15">
      <c r="A1061" s="55" t="str">
        <f>HYPERLINK("http://reports.ofsted.gov.uk/inspection-reports/find-inspection-report/provider/CARE/2561970","Ofsted Social Care Provider Webpage")</f>
        <v>Ofsted Social Care Provider Webpage</v>
      </c>
      <c r="B1061" s="55">
        <v>2561970</v>
      </c>
      <c r="D1061" s="55" t="s">
        <v>373</v>
      </c>
      <c r="E1061" s="74">
        <v>43843</v>
      </c>
      <c r="F1061" s="55" t="s">
        <v>344</v>
      </c>
      <c r="G1061" s="55" t="s">
        <v>360</v>
      </c>
      <c r="H1061" s="55" t="s">
        <v>360</v>
      </c>
      <c r="I1061" s="55" t="s">
        <v>360</v>
      </c>
      <c r="J1061" s="55" t="s">
        <v>360</v>
      </c>
      <c r="K1061" s="55" t="s">
        <v>360</v>
      </c>
      <c r="L1061" s="55" t="s">
        <v>360</v>
      </c>
      <c r="M1061" s="55" t="s">
        <v>144</v>
      </c>
      <c r="N1061" s="55" t="s">
        <v>144</v>
      </c>
      <c r="O1061" s="55" t="s">
        <v>162</v>
      </c>
      <c r="P1061" s="55" t="s">
        <v>1502</v>
      </c>
      <c r="Q1061" s="55" t="s">
        <v>350</v>
      </c>
      <c r="R1061" s="85">
        <v>3</v>
      </c>
      <c r="S1061" s="55">
        <v>0</v>
      </c>
      <c r="T1061" s="74" t="s">
        <v>917</v>
      </c>
      <c r="U1061" s="74" t="s">
        <v>351</v>
      </c>
      <c r="V1061" s="74">
        <v>44600</v>
      </c>
      <c r="W1061" s="74">
        <v>44641</v>
      </c>
      <c r="X1061" s="55">
        <v>10186656</v>
      </c>
      <c r="Y1061" s="55" t="s">
        <v>132</v>
      </c>
      <c r="AB1061" s="74" t="s">
        <v>132</v>
      </c>
      <c r="AC1061" s="55" t="s">
        <v>132</v>
      </c>
      <c r="AL1061" s="74"/>
      <c r="AM1061" s="74"/>
    </row>
    <row r="1062" spans="1:50" ht="13" x14ac:dyDescent="0.15">
      <c r="A1062" s="55" t="str">
        <f>HYPERLINK("http://reports.ofsted.gov.uk/inspection-reports/find-inspection-report/provider/CARE/2562430","Ofsted Social Care Provider Webpage")</f>
        <v>Ofsted Social Care Provider Webpage</v>
      </c>
      <c r="B1062" s="55">
        <v>2562430</v>
      </c>
      <c r="D1062" s="55" t="s">
        <v>373</v>
      </c>
      <c r="E1062" s="74">
        <v>43879</v>
      </c>
      <c r="F1062" s="55" t="s">
        <v>344</v>
      </c>
      <c r="G1062" s="55" t="s">
        <v>360</v>
      </c>
      <c r="H1062" s="55" t="s">
        <v>360</v>
      </c>
      <c r="I1062" s="55" t="s">
        <v>360</v>
      </c>
      <c r="J1062" s="55" t="s">
        <v>360</v>
      </c>
      <c r="K1062" s="55" t="s">
        <v>360</v>
      </c>
      <c r="L1062" s="55" t="s">
        <v>360</v>
      </c>
      <c r="M1062" s="55" t="s">
        <v>129</v>
      </c>
      <c r="N1062" s="55" t="s">
        <v>129</v>
      </c>
      <c r="O1062" s="55" t="s">
        <v>139</v>
      </c>
      <c r="P1062" s="55" t="s">
        <v>1639</v>
      </c>
      <c r="Q1062" s="55" t="s">
        <v>350</v>
      </c>
      <c r="R1062" s="85">
        <v>3</v>
      </c>
      <c r="S1062" s="55">
        <v>0</v>
      </c>
      <c r="T1062" s="74" t="s">
        <v>713</v>
      </c>
      <c r="U1062" s="74" t="s">
        <v>351</v>
      </c>
      <c r="V1062" s="74">
        <v>44609</v>
      </c>
      <c r="W1062" s="74">
        <v>44655</v>
      </c>
      <c r="X1062" s="55">
        <v>10186556</v>
      </c>
      <c r="Y1062" s="55" t="s">
        <v>132</v>
      </c>
      <c r="AB1062" s="74" t="s">
        <v>132</v>
      </c>
      <c r="AC1062" s="55" t="s">
        <v>132</v>
      </c>
      <c r="AL1062" s="74"/>
      <c r="AM1062" s="74"/>
    </row>
    <row r="1063" spans="1:50" ht="13" x14ac:dyDescent="0.15">
      <c r="A1063" s="55" t="str">
        <f>HYPERLINK("http://reports.ofsted.gov.uk/inspection-reports/find-inspection-report/provider/CARE/2562531","Ofsted Social Care Provider Webpage")</f>
        <v>Ofsted Social Care Provider Webpage</v>
      </c>
      <c r="B1063" s="55">
        <v>2562531</v>
      </c>
      <c r="D1063" s="55" t="s">
        <v>373</v>
      </c>
      <c r="E1063" s="74">
        <v>43801</v>
      </c>
      <c r="F1063" s="55" t="s">
        <v>344</v>
      </c>
      <c r="G1063" s="55" t="s">
        <v>360</v>
      </c>
      <c r="H1063" s="55" t="s">
        <v>360</v>
      </c>
      <c r="I1063" s="55" t="s">
        <v>360</v>
      </c>
      <c r="J1063" s="55" t="s">
        <v>360</v>
      </c>
      <c r="K1063" s="55" t="s">
        <v>360</v>
      </c>
      <c r="L1063" s="55" t="s">
        <v>360</v>
      </c>
      <c r="M1063" s="55" t="s">
        <v>142</v>
      </c>
      <c r="N1063" s="55" t="s">
        <v>142</v>
      </c>
      <c r="O1063" s="55" t="s">
        <v>262</v>
      </c>
      <c r="P1063" s="55" t="s">
        <v>916</v>
      </c>
      <c r="Q1063" s="55" t="s">
        <v>350</v>
      </c>
      <c r="R1063" s="85">
        <v>4</v>
      </c>
      <c r="S1063" s="55">
        <v>0</v>
      </c>
      <c r="T1063" s="74" t="s">
        <v>917</v>
      </c>
      <c r="U1063" s="74" t="s">
        <v>351</v>
      </c>
      <c r="V1063" s="74">
        <v>44523</v>
      </c>
      <c r="W1063" s="74">
        <v>44575</v>
      </c>
      <c r="X1063" s="55">
        <v>10187152</v>
      </c>
      <c r="Y1063" s="55" t="s">
        <v>132</v>
      </c>
      <c r="AB1063" s="74" t="s">
        <v>132</v>
      </c>
      <c r="AC1063" s="55" t="s">
        <v>130</v>
      </c>
      <c r="AL1063" s="74"/>
      <c r="AM1063" s="74"/>
    </row>
    <row r="1064" spans="1:50" ht="13" x14ac:dyDescent="0.15">
      <c r="A1064" s="55" t="str">
        <f>HYPERLINK("http://reports.ofsted.gov.uk/inspection-reports/find-inspection-report/provider/CARE/2562675","Ofsted Social Care Provider Webpage")</f>
        <v>Ofsted Social Care Provider Webpage</v>
      </c>
      <c r="B1064" s="55">
        <v>2562675</v>
      </c>
      <c r="D1064" s="55" t="s">
        <v>373</v>
      </c>
      <c r="E1064" s="74">
        <v>43845</v>
      </c>
      <c r="F1064" s="55" t="s">
        <v>344</v>
      </c>
      <c r="G1064" s="55" t="s">
        <v>360</v>
      </c>
      <c r="H1064" s="55" t="s">
        <v>360</v>
      </c>
      <c r="I1064" s="55" t="s">
        <v>360</v>
      </c>
      <c r="J1064" s="55" t="s">
        <v>360</v>
      </c>
      <c r="K1064" s="55" t="s">
        <v>360</v>
      </c>
      <c r="L1064" s="55" t="s">
        <v>360</v>
      </c>
      <c r="M1064" s="55" t="s">
        <v>142</v>
      </c>
      <c r="N1064" s="55" t="s">
        <v>142</v>
      </c>
      <c r="O1064" s="55" t="s">
        <v>292</v>
      </c>
      <c r="P1064" s="55" t="s">
        <v>1162</v>
      </c>
      <c r="Q1064" s="55" t="s">
        <v>350</v>
      </c>
      <c r="R1064" s="85">
        <v>2</v>
      </c>
      <c r="S1064" s="55">
        <v>0</v>
      </c>
      <c r="T1064" s="74" t="s">
        <v>1664</v>
      </c>
      <c r="U1064" s="74" t="s">
        <v>351</v>
      </c>
      <c r="V1064" s="74">
        <v>44488</v>
      </c>
      <c r="W1064" s="74">
        <v>44539</v>
      </c>
      <c r="X1064" s="55">
        <v>10186253</v>
      </c>
      <c r="Y1064" s="55" t="s">
        <v>132</v>
      </c>
      <c r="AB1064" s="74" t="s">
        <v>132</v>
      </c>
      <c r="AC1064" s="55" t="s">
        <v>130</v>
      </c>
      <c r="AL1064" s="74"/>
      <c r="AM1064" s="74"/>
      <c r="AW1064" s="74"/>
      <c r="AX1064" s="74"/>
    </row>
    <row r="1065" spans="1:50" ht="13" x14ac:dyDescent="0.15">
      <c r="A1065" s="55" t="str">
        <f>HYPERLINK("http://reports.ofsted.gov.uk/inspection-reports/find-inspection-report/provider/CARE/2562677","Ofsted Social Care Provider Webpage")</f>
        <v>Ofsted Social Care Provider Webpage</v>
      </c>
      <c r="B1065" s="55">
        <v>2562677</v>
      </c>
      <c r="D1065" s="55" t="s">
        <v>373</v>
      </c>
      <c r="E1065" s="74">
        <v>43857</v>
      </c>
      <c r="F1065" s="55" t="s">
        <v>344</v>
      </c>
      <c r="G1065" s="55" t="s">
        <v>360</v>
      </c>
      <c r="H1065" s="55" t="s">
        <v>360</v>
      </c>
      <c r="I1065" s="55" t="s">
        <v>360</v>
      </c>
      <c r="J1065" s="55" t="s">
        <v>360</v>
      </c>
      <c r="K1065" s="55" t="s">
        <v>360</v>
      </c>
      <c r="L1065" s="55" t="s">
        <v>360</v>
      </c>
      <c r="M1065" s="55" t="s">
        <v>138</v>
      </c>
      <c r="N1065" s="55" t="s">
        <v>138</v>
      </c>
      <c r="O1065" s="55" t="s">
        <v>183</v>
      </c>
      <c r="P1065" s="55" t="s">
        <v>907</v>
      </c>
      <c r="Q1065" s="55" t="s">
        <v>350</v>
      </c>
      <c r="R1065" s="85">
        <v>3</v>
      </c>
      <c r="S1065" s="55">
        <v>0</v>
      </c>
      <c r="T1065" s="74" t="s">
        <v>1665</v>
      </c>
      <c r="U1065" s="74" t="s">
        <v>351</v>
      </c>
      <c r="V1065" s="74">
        <v>44503</v>
      </c>
      <c r="W1065" s="74">
        <v>44530</v>
      </c>
      <c r="X1065" s="55">
        <v>10185283</v>
      </c>
      <c r="Y1065" s="55" t="s">
        <v>132</v>
      </c>
      <c r="AB1065" s="74" t="s">
        <v>132</v>
      </c>
      <c r="AC1065" s="55" t="s">
        <v>132</v>
      </c>
      <c r="AL1065" s="74"/>
      <c r="AM1065" s="74"/>
      <c r="AW1065" s="74"/>
      <c r="AX1065" s="74"/>
    </row>
    <row r="1066" spans="1:50" ht="13" x14ac:dyDescent="0.15">
      <c r="A1066" s="55" t="str">
        <f>HYPERLINK("http://reports.ofsted.gov.uk/inspection-reports/find-inspection-report/provider/CARE/2563164","Ofsted Social Care Provider Webpage")</f>
        <v>Ofsted Social Care Provider Webpage</v>
      </c>
      <c r="B1066" s="55">
        <v>2563164</v>
      </c>
      <c r="D1066" s="55" t="s">
        <v>373</v>
      </c>
      <c r="E1066" s="74">
        <v>43945</v>
      </c>
      <c r="F1066" s="55" t="s">
        <v>344</v>
      </c>
      <c r="G1066" s="55" t="s">
        <v>360</v>
      </c>
      <c r="H1066" s="55" t="s">
        <v>360</v>
      </c>
      <c r="I1066" s="55" t="s">
        <v>360</v>
      </c>
      <c r="J1066" s="55" t="s">
        <v>360</v>
      </c>
      <c r="K1066" s="55" t="s">
        <v>360</v>
      </c>
      <c r="L1066" s="55" t="s">
        <v>360</v>
      </c>
      <c r="M1066" s="55" t="s">
        <v>144</v>
      </c>
      <c r="N1066" s="55" t="s">
        <v>144</v>
      </c>
      <c r="O1066" s="55" t="s">
        <v>188</v>
      </c>
      <c r="P1066" s="55" t="s">
        <v>188</v>
      </c>
      <c r="Q1066" s="55" t="s">
        <v>350</v>
      </c>
      <c r="R1066" s="85">
        <v>2</v>
      </c>
      <c r="S1066" s="55">
        <v>0</v>
      </c>
      <c r="T1066" s="74" t="s">
        <v>816</v>
      </c>
      <c r="U1066" s="74" t="s">
        <v>351</v>
      </c>
      <c r="V1066" s="74">
        <v>44299</v>
      </c>
      <c r="W1066" s="74">
        <v>44328</v>
      </c>
      <c r="X1066" s="55">
        <v>10185197</v>
      </c>
      <c r="Y1066" s="55" t="s">
        <v>132</v>
      </c>
      <c r="AB1066" s="74" t="s">
        <v>132</v>
      </c>
      <c r="AC1066" s="55" t="s">
        <v>132</v>
      </c>
      <c r="AL1066" s="74"/>
      <c r="AM1066" s="74"/>
    </row>
    <row r="1067" spans="1:50" ht="13" x14ac:dyDescent="0.15">
      <c r="A1067" s="55" t="str">
        <f>HYPERLINK("http://reports.ofsted.gov.uk/inspection-reports/find-inspection-report/provider/CARE/2563216","Ofsted Social Care Provider Webpage")</f>
        <v>Ofsted Social Care Provider Webpage</v>
      </c>
      <c r="B1067" s="55">
        <v>2563216</v>
      </c>
      <c r="D1067" s="55" t="s">
        <v>373</v>
      </c>
      <c r="E1067" s="74">
        <v>43790</v>
      </c>
      <c r="F1067" s="55" t="s">
        <v>344</v>
      </c>
      <c r="G1067" s="55" t="s">
        <v>360</v>
      </c>
      <c r="H1067" s="55" t="s">
        <v>360</v>
      </c>
      <c r="I1067" s="55" t="s">
        <v>360</v>
      </c>
      <c r="J1067" s="55" t="s">
        <v>360</v>
      </c>
      <c r="K1067" s="55" t="s">
        <v>360</v>
      </c>
      <c r="L1067" s="55" t="s">
        <v>360</v>
      </c>
      <c r="M1067" s="55" t="s">
        <v>378</v>
      </c>
      <c r="N1067" s="55" t="s">
        <v>134</v>
      </c>
      <c r="O1067" s="55" t="s">
        <v>225</v>
      </c>
      <c r="P1067" s="55" t="s">
        <v>1667</v>
      </c>
      <c r="Q1067" s="55" t="s">
        <v>380</v>
      </c>
      <c r="R1067" s="85">
        <v>4</v>
      </c>
      <c r="S1067" s="55">
        <v>0</v>
      </c>
      <c r="T1067" s="74" t="s">
        <v>1668</v>
      </c>
      <c r="U1067" s="74" t="s">
        <v>2053</v>
      </c>
      <c r="V1067" s="74">
        <v>44446</v>
      </c>
      <c r="W1067" s="74">
        <v>44483</v>
      </c>
      <c r="X1067" s="55">
        <v>10204387</v>
      </c>
      <c r="AL1067" s="74"/>
      <c r="AM1067" s="74"/>
    </row>
    <row r="1068" spans="1:50" ht="13" x14ac:dyDescent="0.15">
      <c r="A1068" s="55" t="str">
        <f>HYPERLINK("http://reports.ofsted.gov.uk/inspection-reports/find-inspection-report/provider/CARE/2563216","Ofsted Social Care Provider Webpage")</f>
        <v>Ofsted Social Care Provider Webpage</v>
      </c>
      <c r="B1068" s="55">
        <v>2563216</v>
      </c>
      <c r="D1068" s="55" t="s">
        <v>373</v>
      </c>
      <c r="E1068" s="74">
        <v>43790</v>
      </c>
      <c r="F1068" s="55" t="s">
        <v>344</v>
      </c>
      <c r="G1068" s="55" t="s">
        <v>360</v>
      </c>
      <c r="H1068" s="55" t="s">
        <v>360</v>
      </c>
      <c r="I1068" s="55" t="s">
        <v>360</v>
      </c>
      <c r="J1068" s="55" t="s">
        <v>360</v>
      </c>
      <c r="K1068" s="55" t="s">
        <v>360</v>
      </c>
      <c r="L1068" s="55" t="s">
        <v>360</v>
      </c>
      <c r="M1068" s="55" t="s">
        <v>378</v>
      </c>
      <c r="N1068" s="55" t="s">
        <v>134</v>
      </c>
      <c r="O1068" s="55" t="s">
        <v>225</v>
      </c>
      <c r="P1068" s="55" t="s">
        <v>1667</v>
      </c>
      <c r="Q1068" s="55" t="s">
        <v>380</v>
      </c>
      <c r="R1068" s="85">
        <v>4</v>
      </c>
      <c r="S1068" s="55">
        <v>0</v>
      </c>
      <c r="T1068" s="74" t="s">
        <v>1668</v>
      </c>
      <c r="U1068" s="74" t="s">
        <v>351</v>
      </c>
      <c r="V1068" s="74">
        <v>44411</v>
      </c>
      <c r="W1068" s="74">
        <v>44441</v>
      </c>
      <c r="X1068" s="55">
        <v>10185001</v>
      </c>
      <c r="Y1068" s="55" t="s">
        <v>146</v>
      </c>
      <c r="AB1068" s="74" t="s">
        <v>146</v>
      </c>
      <c r="AC1068" s="55" t="s">
        <v>146</v>
      </c>
      <c r="AL1068" s="74"/>
      <c r="AM1068" s="74"/>
      <c r="AW1068" s="74"/>
      <c r="AX1068" s="74"/>
    </row>
    <row r="1069" spans="1:50" ht="13" x14ac:dyDescent="0.15">
      <c r="A1069" s="55" t="str">
        <f>HYPERLINK("http://reports.ofsted.gov.uk/inspection-reports/find-inspection-report/provider/CARE/2563216","Ofsted Social Care Provider Webpage")</f>
        <v>Ofsted Social Care Provider Webpage</v>
      </c>
      <c r="B1069" s="55">
        <v>2563216</v>
      </c>
      <c r="D1069" s="55" t="s">
        <v>373</v>
      </c>
      <c r="E1069" s="74">
        <v>43790</v>
      </c>
      <c r="F1069" s="55" t="s">
        <v>344</v>
      </c>
      <c r="G1069" s="55" t="s">
        <v>360</v>
      </c>
      <c r="H1069" s="55" t="s">
        <v>360</v>
      </c>
      <c r="I1069" s="55" t="s">
        <v>360</v>
      </c>
      <c r="J1069" s="55" t="s">
        <v>360</v>
      </c>
      <c r="K1069" s="55" t="s">
        <v>360</v>
      </c>
      <c r="L1069" s="55" t="s">
        <v>360</v>
      </c>
      <c r="M1069" s="55" t="s">
        <v>378</v>
      </c>
      <c r="N1069" s="55" t="s">
        <v>134</v>
      </c>
      <c r="O1069" s="55" t="s">
        <v>225</v>
      </c>
      <c r="P1069" s="55" t="s">
        <v>1667</v>
      </c>
      <c r="Q1069" s="55" t="s">
        <v>380</v>
      </c>
      <c r="R1069" s="85">
        <v>4</v>
      </c>
      <c r="S1069" s="55">
        <v>0</v>
      </c>
      <c r="T1069" s="74" t="s">
        <v>1668</v>
      </c>
      <c r="U1069" s="74" t="s">
        <v>351</v>
      </c>
      <c r="V1069" s="74">
        <v>44518</v>
      </c>
      <c r="W1069" s="74">
        <v>44575</v>
      </c>
      <c r="X1069" s="55">
        <v>10206521</v>
      </c>
      <c r="Y1069" s="55" t="s">
        <v>130</v>
      </c>
      <c r="AB1069" s="74" t="s">
        <v>130</v>
      </c>
      <c r="AC1069" s="55" t="s">
        <v>132</v>
      </c>
      <c r="AL1069" s="74"/>
      <c r="AM1069" s="74"/>
    </row>
    <row r="1070" spans="1:50" ht="13" x14ac:dyDescent="0.15">
      <c r="A1070" s="55" t="str">
        <f>HYPERLINK("http://reports.ofsted.gov.uk/inspection-reports/find-inspection-report/provider/CARE/2563530","Ofsted Social Care Provider Webpage")</f>
        <v>Ofsted Social Care Provider Webpage</v>
      </c>
      <c r="B1070" s="55">
        <v>2563530</v>
      </c>
      <c r="D1070" s="55" t="s">
        <v>373</v>
      </c>
      <c r="E1070" s="74">
        <v>43843</v>
      </c>
      <c r="F1070" s="55" t="s">
        <v>344</v>
      </c>
      <c r="G1070" s="55" t="s">
        <v>360</v>
      </c>
      <c r="H1070" s="55" t="s">
        <v>360</v>
      </c>
      <c r="I1070" s="55" t="s">
        <v>360</v>
      </c>
      <c r="J1070" s="55" t="s">
        <v>360</v>
      </c>
      <c r="K1070" s="55" t="s">
        <v>360</v>
      </c>
      <c r="L1070" s="55" t="s">
        <v>360</v>
      </c>
      <c r="M1070" s="55" t="s">
        <v>129</v>
      </c>
      <c r="N1070" s="55" t="s">
        <v>129</v>
      </c>
      <c r="O1070" s="55" t="s">
        <v>279</v>
      </c>
      <c r="P1070" s="55" t="s">
        <v>1078</v>
      </c>
      <c r="Q1070" s="55" t="s">
        <v>380</v>
      </c>
      <c r="R1070" s="85">
        <v>8</v>
      </c>
      <c r="S1070" s="55">
        <v>0</v>
      </c>
      <c r="T1070" s="74" t="s">
        <v>1669</v>
      </c>
      <c r="U1070" s="74" t="s">
        <v>351</v>
      </c>
      <c r="V1070" s="74">
        <v>44503</v>
      </c>
      <c r="W1070" s="74">
        <v>44538</v>
      </c>
      <c r="X1070" s="55">
        <v>10185052</v>
      </c>
      <c r="Y1070" s="55" t="s">
        <v>132</v>
      </c>
      <c r="AB1070" s="74" t="s">
        <v>132</v>
      </c>
      <c r="AC1070" s="55" t="s">
        <v>132</v>
      </c>
      <c r="AL1070" s="74"/>
      <c r="AM1070" s="74"/>
      <c r="AW1070" s="74"/>
      <c r="AX1070" s="74"/>
    </row>
    <row r="1071" spans="1:50" ht="13" x14ac:dyDescent="0.15">
      <c r="A1071" s="55" t="str">
        <f>HYPERLINK("http://reports.ofsted.gov.uk/inspection-reports/find-inspection-report/provider/CARE/2563544","Ofsted Social Care Provider Webpage")</f>
        <v>Ofsted Social Care Provider Webpage</v>
      </c>
      <c r="B1071" s="55">
        <v>2563544</v>
      </c>
      <c r="D1071" s="55" t="s">
        <v>373</v>
      </c>
      <c r="E1071" s="74">
        <v>43881</v>
      </c>
      <c r="F1071" s="55" t="s">
        <v>344</v>
      </c>
      <c r="G1071" s="55" t="s">
        <v>360</v>
      </c>
      <c r="H1071" s="55" t="s">
        <v>360</v>
      </c>
      <c r="I1071" s="55" t="s">
        <v>360</v>
      </c>
      <c r="J1071" s="55" t="s">
        <v>360</v>
      </c>
      <c r="K1071" s="55" t="s">
        <v>360</v>
      </c>
      <c r="L1071" s="55" t="s">
        <v>360</v>
      </c>
      <c r="M1071" s="55" t="s">
        <v>144</v>
      </c>
      <c r="N1071" s="55" t="s">
        <v>144</v>
      </c>
      <c r="O1071" s="55" t="s">
        <v>209</v>
      </c>
      <c r="P1071" s="55" t="s">
        <v>650</v>
      </c>
      <c r="Q1071" s="55" t="s">
        <v>350</v>
      </c>
      <c r="R1071" s="85">
        <v>3</v>
      </c>
      <c r="S1071" s="55">
        <v>0</v>
      </c>
      <c r="T1071" s="74" t="s">
        <v>613</v>
      </c>
      <c r="U1071" s="74" t="s">
        <v>6703</v>
      </c>
      <c r="V1071" s="74">
        <v>44509</v>
      </c>
      <c r="W1071" s="74">
        <v>44551</v>
      </c>
      <c r="X1071" s="55">
        <v>10209608</v>
      </c>
      <c r="Y1071" s="55" t="s">
        <v>6705</v>
      </c>
      <c r="AL1071" s="74"/>
      <c r="AM1071" s="74"/>
    </row>
    <row r="1072" spans="1:50" ht="13" x14ac:dyDescent="0.15">
      <c r="A1072" s="55" t="str">
        <f>HYPERLINK("http://reports.ofsted.gov.uk/inspection-reports/find-inspection-report/provider/CARE/2563544","Ofsted Social Care Provider Webpage")</f>
        <v>Ofsted Social Care Provider Webpage</v>
      </c>
      <c r="B1072" s="55">
        <v>2563544</v>
      </c>
      <c r="D1072" s="55" t="s">
        <v>373</v>
      </c>
      <c r="E1072" s="74">
        <v>43881</v>
      </c>
      <c r="F1072" s="55" t="s">
        <v>344</v>
      </c>
      <c r="G1072" s="55" t="s">
        <v>360</v>
      </c>
      <c r="H1072" s="55" t="s">
        <v>360</v>
      </c>
      <c r="I1072" s="55" t="s">
        <v>360</v>
      </c>
      <c r="J1072" s="55" t="s">
        <v>360</v>
      </c>
      <c r="K1072" s="55" t="s">
        <v>360</v>
      </c>
      <c r="L1072" s="55" t="s">
        <v>360</v>
      </c>
      <c r="M1072" s="55" t="s">
        <v>144</v>
      </c>
      <c r="N1072" s="55" t="s">
        <v>144</v>
      </c>
      <c r="O1072" s="55" t="s">
        <v>209</v>
      </c>
      <c r="P1072" s="55" t="s">
        <v>650</v>
      </c>
      <c r="Q1072" s="55" t="s">
        <v>350</v>
      </c>
      <c r="R1072" s="85">
        <v>3</v>
      </c>
      <c r="S1072" s="55">
        <v>0</v>
      </c>
      <c r="T1072" s="74" t="s">
        <v>613</v>
      </c>
      <c r="U1072" s="74" t="s">
        <v>351</v>
      </c>
      <c r="V1072" s="74">
        <v>44334</v>
      </c>
      <c r="W1072" s="74">
        <v>44369</v>
      </c>
      <c r="X1072" s="55">
        <v>10186794</v>
      </c>
      <c r="Y1072" s="55" t="s">
        <v>130</v>
      </c>
      <c r="AB1072" s="74" t="s">
        <v>130</v>
      </c>
      <c r="AC1072" s="55" t="s">
        <v>146</v>
      </c>
      <c r="AL1072" s="74"/>
      <c r="AM1072" s="74"/>
    </row>
    <row r="1073" spans="1:50" ht="13" x14ac:dyDescent="0.15">
      <c r="A1073" s="55" t="str">
        <f>HYPERLINK("http://reports.ofsted.gov.uk/inspection-reports/find-inspection-report/provider/CARE/2563818","Ofsted Social Care Provider Webpage")</f>
        <v>Ofsted Social Care Provider Webpage</v>
      </c>
      <c r="B1073" s="55">
        <v>2563818</v>
      </c>
      <c r="D1073" s="55" t="s">
        <v>1493</v>
      </c>
      <c r="E1073" s="74">
        <v>43833</v>
      </c>
      <c r="F1073" s="55" t="s">
        <v>344</v>
      </c>
      <c r="G1073" s="55" t="s">
        <v>360</v>
      </c>
      <c r="H1073" s="55" t="s">
        <v>360</v>
      </c>
      <c r="I1073" s="55" t="s">
        <v>360</v>
      </c>
      <c r="J1073" s="55" t="s">
        <v>360</v>
      </c>
      <c r="K1073" s="55" t="s">
        <v>360</v>
      </c>
      <c r="L1073" s="55" t="s">
        <v>360</v>
      </c>
      <c r="M1073" s="55" t="s">
        <v>142</v>
      </c>
      <c r="N1073" s="55" t="s">
        <v>142</v>
      </c>
      <c r="O1073" s="55" t="s">
        <v>252</v>
      </c>
      <c r="P1073" s="55" t="s">
        <v>386</v>
      </c>
      <c r="Q1073" s="55" t="s">
        <v>350</v>
      </c>
      <c r="R1073" s="85">
        <v>3</v>
      </c>
      <c r="S1073" s="55">
        <v>0</v>
      </c>
      <c r="T1073" s="74" t="s">
        <v>504</v>
      </c>
      <c r="U1073" s="74" t="s">
        <v>351</v>
      </c>
      <c r="V1073" s="74">
        <v>44306</v>
      </c>
      <c r="W1073" s="74">
        <v>44336</v>
      </c>
      <c r="X1073" s="55">
        <v>10186603</v>
      </c>
      <c r="Y1073" s="55" t="s">
        <v>132</v>
      </c>
      <c r="AB1073" s="74" t="s">
        <v>132</v>
      </c>
      <c r="AC1073" s="55" t="s">
        <v>132</v>
      </c>
      <c r="AL1073" s="74"/>
      <c r="AM1073" s="74"/>
    </row>
    <row r="1074" spans="1:50" ht="13" x14ac:dyDescent="0.15">
      <c r="A1074" s="55" t="str">
        <f>HYPERLINK("http://reports.ofsted.gov.uk/inspection-reports/find-inspection-report/provider/CARE/2563888","Ofsted Social Care Provider Webpage")</f>
        <v>Ofsted Social Care Provider Webpage</v>
      </c>
      <c r="B1074" s="55">
        <v>2563888</v>
      </c>
      <c r="D1074" s="55" t="s">
        <v>389</v>
      </c>
      <c r="E1074" s="74">
        <v>43963</v>
      </c>
      <c r="F1074" s="55" t="s">
        <v>344</v>
      </c>
      <c r="G1074" s="55" t="s">
        <v>1670</v>
      </c>
      <c r="H1074" s="55" t="s">
        <v>1265</v>
      </c>
      <c r="I1074" s="55" t="s">
        <v>354</v>
      </c>
      <c r="J1074" s="55" t="s">
        <v>167</v>
      </c>
      <c r="K1074" s="55" t="s">
        <v>268</v>
      </c>
      <c r="L1074" s="55" t="s">
        <v>1671</v>
      </c>
      <c r="M1074" s="55" t="s">
        <v>129</v>
      </c>
      <c r="N1074" s="55" t="s">
        <v>129</v>
      </c>
      <c r="O1074" s="55" t="s">
        <v>167</v>
      </c>
      <c r="P1074" s="55" t="s">
        <v>553</v>
      </c>
      <c r="Q1074" s="55" t="s">
        <v>350</v>
      </c>
      <c r="S1074" s="55">
        <v>0</v>
      </c>
      <c r="T1074" s="74" t="s">
        <v>1670</v>
      </c>
      <c r="U1074" s="74" t="s">
        <v>351</v>
      </c>
      <c r="V1074" s="74">
        <v>44501</v>
      </c>
      <c r="W1074" s="74">
        <v>44551</v>
      </c>
      <c r="X1074" s="55">
        <v>10183190</v>
      </c>
      <c r="Y1074" s="55" t="s">
        <v>132</v>
      </c>
      <c r="AB1074" s="74" t="s">
        <v>132</v>
      </c>
      <c r="AC1074" s="55" t="s">
        <v>132</v>
      </c>
      <c r="AL1074" s="74"/>
      <c r="AM1074" s="74"/>
      <c r="AW1074" s="74"/>
      <c r="AX1074" s="74"/>
    </row>
    <row r="1075" spans="1:50" ht="13" x14ac:dyDescent="0.15">
      <c r="A1075" s="55" t="str">
        <f>HYPERLINK("http://reports.ofsted.gov.uk/inspection-reports/find-inspection-report/provider/CARE/2564415","Ofsted Social Care Provider Webpage")</f>
        <v>Ofsted Social Care Provider Webpage</v>
      </c>
      <c r="B1075" s="55">
        <v>2564415</v>
      </c>
      <c r="D1075" s="55" t="s">
        <v>373</v>
      </c>
      <c r="E1075" s="74">
        <v>43952</v>
      </c>
      <c r="F1075" s="55" t="s">
        <v>344</v>
      </c>
      <c r="G1075" s="55" t="s">
        <v>360</v>
      </c>
      <c r="H1075" s="55" t="s">
        <v>360</v>
      </c>
      <c r="I1075" s="55" t="s">
        <v>360</v>
      </c>
      <c r="J1075" s="55" t="s">
        <v>360</v>
      </c>
      <c r="K1075" s="55" t="s">
        <v>360</v>
      </c>
      <c r="L1075" s="55" t="s">
        <v>360</v>
      </c>
      <c r="M1075" s="55" t="s">
        <v>144</v>
      </c>
      <c r="N1075" s="55" t="s">
        <v>144</v>
      </c>
      <c r="O1075" s="55" t="s">
        <v>209</v>
      </c>
      <c r="P1075" s="55" t="s">
        <v>736</v>
      </c>
      <c r="Q1075" s="55" t="s">
        <v>350</v>
      </c>
      <c r="R1075" s="85">
        <v>4</v>
      </c>
      <c r="S1075" s="55">
        <v>0</v>
      </c>
      <c r="T1075" s="74" t="s">
        <v>485</v>
      </c>
      <c r="U1075" s="74" t="s">
        <v>351</v>
      </c>
      <c r="V1075" s="74">
        <v>44363</v>
      </c>
      <c r="W1075" s="74">
        <v>44393</v>
      </c>
      <c r="X1075" s="55">
        <v>10186986</v>
      </c>
      <c r="Y1075" s="55" t="s">
        <v>132</v>
      </c>
      <c r="AB1075" s="74" t="s">
        <v>132</v>
      </c>
      <c r="AC1075" s="55" t="s">
        <v>132</v>
      </c>
      <c r="AL1075" s="74"/>
      <c r="AM1075" s="74"/>
      <c r="AW1075" s="74"/>
      <c r="AX1075" s="74"/>
    </row>
    <row r="1076" spans="1:50" ht="13" x14ac:dyDescent="0.15">
      <c r="A1076" s="55" t="str">
        <f>HYPERLINK("http://reports.ofsted.gov.uk/inspection-reports/find-inspection-report/provider/CARE/2564769","Ofsted Social Care Provider Webpage")</f>
        <v>Ofsted Social Care Provider Webpage</v>
      </c>
      <c r="B1076" s="55">
        <v>2564769</v>
      </c>
      <c r="D1076" s="55" t="s">
        <v>479</v>
      </c>
      <c r="E1076" s="74">
        <v>43894</v>
      </c>
      <c r="F1076" s="55" t="s">
        <v>344</v>
      </c>
      <c r="G1076" s="55" t="s">
        <v>360</v>
      </c>
      <c r="H1076" s="55" t="s">
        <v>360</v>
      </c>
      <c r="I1076" s="55" t="s">
        <v>360</v>
      </c>
      <c r="J1076" s="55" t="s">
        <v>360</v>
      </c>
      <c r="K1076" s="55" t="s">
        <v>360</v>
      </c>
      <c r="L1076" s="55" t="s">
        <v>360</v>
      </c>
      <c r="M1076" s="55" t="s">
        <v>378</v>
      </c>
      <c r="N1076" s="55" t="s">
        <v>134</v>
      </c>
      <c r="O1076" s="55" t="s">
        <v>175</v>
      </c>
      <c r="P1076" s="55" t="s">
        <v>678</v>
      </c>
      <c r="Q1076" s="55" t="s">
        <v>350</v>
      </c>
      <c r="R1076" s="85">
        <v>4</v>
      </c>
      <c r="S1076" s="55">
        <v>0</v>
      </c>
      <c r="T1076" s="74" t="s">
        <v>1672</v>
      </c>
      <c r="U1076" s="74" t="s">
        <v>351</v>
      </c>
      <c r="V1076" s="74">
        <v>44509</v>
      </c>
      <c r="W1076" s="74">
        <v>44543</v>
      </c>
      <c r="X1076" s="55">
        <v>10209493</v>
      </c>
      <c r="Y1076" s="55" t="s">
        <v>130</v>
      </c>
      <c r="AB1076" s="74" t="s">
        <v>130</v>
      </c>
      <c r="AC1076" s="55" t="s">
        <v>130</v>
      </c>
      <c r="AL1076" s="74"/>
      <c r="AM1076" s="74"/>
    </row>
    <row r="1077" spans="1:50" ht="13" x14ac:dyDescent="0.15">
      <c r="A1077" s="55" t="str">
        <f>HYPERLINK("http://reports.ofsted.gov.uk/inspection-reports/find-inspection-report/provider/CARE/2564769","Ofsted Social Care Provider Webpage")</f>
        <v>Ofsted Social Care Provider Webpage</v>
      </c>
      <c r="B1077" s="55">
        <v>2564769</v>
      </c>
      <c r="D1077" s="55" t="s">
        <v>479</v>
      </c>
      <c r="E1077" s="74">
        <v>43894</v>
      </c>
      <c r="F1077" s="55" t="s">
        <v>344</v>
      </c>
      <c r="G1077" s="55" t="s">
        <v>360</v>
      </c>
      <c r="H1077" s="55" t="s">
        <v>360</v>
      </c>
      <c r="I1077" s="55" t="s">
        <v>360</v>
      </c>
      <c r="J1077" s="55" t="s">
        <v>360</v>
      </c>
      <c r="K1077" s="55" t="s">
        <v>360</v>
      </c>
      <c r="L1077" s="55" t="s">
        <v>360</v>
      </c>
      <c r="M1077" s="55" t="s">
        <v>378</v>
      </c>
      <c r="N1077" s="55" t="s">
        <v>134</v>
      </c>
      <c r="O1077" s="55" t="s">
        <v>175</v>
      </c>
      <c r="P1077" s="55" t="s">
        <v>678</v>
      </c>
      <c r="Q1077" s="55" t="s">
        <v>350</v>
      </c>
      <c r="R1077" s="85">
        <v>4</v>
      </c>
      <c r="S1077" s="55">
        <v>0</v>
      </c>
      <c r="T1077" s="74" t="s">
        <v>1672</v>
      </c>
      <c r="U1077" s="74" t="s">
        <v>2053</v>
      </c>
      <c r="V1077" s="74">
        <v>44431</v>
      </c>
      <c r="W1077" s="74">
        <v>44466</v>
      </c>
      <c r="X1077" s="55">
        <v>10205472</v>
      </c>
      <c r="AL1077" s="74"/>
      <c r="AM1077" s="74"/>
      <c r="AW1077" s="74"/>
      <c r="AX1077" s="74"/>
    </row>
    <row r="1078" spans="1:50" ht="13" x14ac:dyDescent="0.15">
      <c r="A1078" s="55" t="str">
        <f>HYPERLINK("http://reports.ofsted.gov.uk/inspection-reports/find-inspection-report/provider/CARE/2564769","Ofsted Social Care Provider Webpage")</f>
        <v>Ofsted Social Care Provider Webpage</v>
      </c>
      <c r="B1078" s="55">
        <v>2564769</v>
      </c>
      <c r="D1078" s="55" t="s">
        <v>479</v>
      </c>
      <c r="E1078" s="74">
        <v>43894</v>
      </c>
      <c r="F1078" s="55" t="s">
        <v>344</v>
      </c>
      <c r="G1078" s="55" t="s">
        <v>360</v>
      </c>
      <c r="H1078" s="55" t="s">
        <v>360</v>
      </c>
      <c r="I1078" s="55" t="s">
        <v>360</v>
      </c>
      <c r="J1078" s="55" t="s">
        <v>360</v>
      </c>
      <c r="K1078" s="55" t="s">
        <v>360</v>
      </c>
      <c r="L1078" s="55" t="s">
        <v>360</v>
      </c>
      <c r="M1078" s="55" t="s">
        <v>378</v>
      </c>
      <c r="N1078" s="55" t="s">
        <v>134</v>
      </c>
      <c r="O1078" s="55" t="s">
        <v>175</v>
      </c>
      <c r="P1078" s="55" t="s">
        <v>678</v>
      </c>
      <c r="Q1078" s="55" t="s">
        <v>350</v>
      </c>
      <c r="R1078" s="85">
        <v>4</v>
      </c>
      <c r="S1078" s="55">
        <v>0</v>
      </c>
      <c r="T1078" s="74" t="s">
        <v>1672</v>
      </c>
      <c r="U1078" s="74" t="s">
        <v>351</v>
      </c>
      <c r="V1078" s="74">
        <v>44363</v>
      </c>
      <c r="W1078" s="74">
        <v>44404</v>
      </c>
      <c r="X1078" s="55">
        <v>10187518</v>
      </c>
      <c r="Y1078" s="55" t="s">
        <v>132</v>
      </c>
      <c r="AB1078" s="74" t="s">
        <v>132</v>
      </c>
      <c r="AC1078" s="55" t="s">
        <v>130</v>
      </c>
      <c r="AL1078" s="74"/>
      <c r="AM1078" s="74"/>
    </row>
    <row r="1079" spans="1:50" ht="13" x14ac:dyDescent="0.15">
      <c r="A1079" s="55" t="str">
        <f>HYPERLINK("http://reports.ofsted.gov.uk/inspection-reports/find-inspection-report/provider/CARE/2565231","Ofsted Social Care Provider Webpage")</f>
        <v>Ofsted Social Care Provider Webpage</v>
      </c>
      <c r="B1079" s="55">
        <v>2565231</v>
      </c>
      <c r="D1079" s="55" t="s">
        <v>373</v>
      </c>
      <c r="E1079" s="74">
        <v>43916</v>
      </c>
      <c r="F1079" s="55" t="s">
        <v>344</v>
      </c>
      <c r="G1079" s="55" t="s">
        <v>360</v>
      </c>
      <c r="H1079" s="55" t="s">
        <v>360</v>
      </c>
      <c r="I1079" s="55" t="s">
        <v>360</v>
      </c>
      <c r="J1079" s="55" t="s">
        <v>360</v>
      </c>
      <c r="K1079" s="55" t="s">
        <v>360</v>
      </c>
      <c r="L1079" s="55" t="s">
        <v>360</v>
      </c>
      <c r="M1079" s="55" t="s">
        <v>142</v>
      </c>
      <c r="N1079" s="55" t="s">
        <v>142</v>
      </c>
      <c r="O1079" s="55" t="s">
        <v>262</v>
      </c>
      <c r="P1079" s="55" t="s">
        <v>916</v>
      </c>
      <c r="Q1079" s="55" t="s">
        <v>350</v>
      </c>
      <c r="R1079" s="85">
        <v>3</v>
      </c>
      <c r="S1079" s="55">
        <v>0</v>
      </c>
      <c r="T1079" s="74" t="s">
        <v>917</v>
      </c>
      <c r="U1079" s="74" t="s">
        <v>351</v>
      </c>
      <c r="V1079" s="74">
        <v>44502</v>
      </c>
      <c r="W1079" s="74">
        <v>44550</v>
      </c>
      <c r="X1079" s="55">
        <v>10186471</v>
      </c>
      <c r="Y1079" s="55" t="s">
        <v>132</v>
      </c>
      <c r="AB1079" s="74" t="s">
        <v>132</v>
      </c>
      <c r="AC1079" s="55" t="s">
        <v>132</v>
      </c>
      <c r="AL1079" s="74"/>
      <c r="AM1079" s="74"/>
      <c r="AW1079" s="74"/>
      <c r="AX1079" s="74"/>
    </row>
    <row r="1080" spans="1:50" ht="13" x14ac:dyDescent="0.15">
      <c r="A1080" s="55" t="str">
        <f>HYPERLINK("http://reports.ofsted.gov.uk/inspection-reports/find-inspection-report/provider/CARE/2565421","Ofsted Social Care Provider Webpage")</f>
        <v>Ofsted Social Care Provider Webpage</v>
      </c>
      <c r="B1080" s="55">
        <v>2565421</v>
      </c>
      <c r="D1080" s="55" t="s">
        <v>373</v>
      </c>
      <c r="E1080" s="74">
        <v>43846</v>
      </c>
      <c r="F1080" s="55" t="s">
        <v>344</v>
      </c>
      <c r="G1080" s="55" t="s">
        <v>360</v>
      </c>
      <c r="H1080" s="55" t="s">
        <v>360</v>
      </c>
      <c r="I1080" s="55" t="s">
        <v>360</v>
      </c>
      <c r="J1080" s="55" t="s">
        <v>360</v>
      </c>
      <c r="K1080" s="55" t="s">
        <v>360</v>
      </c>
      <c r="L1080" s="55" t="s">
        <v>360</v>
      </c>
      <c r="M1080" s="55" t="s">
        <v>172</v>
      </c>
      <c r="N1080" s="55" t="s">
        <v>172</v>
      </c>
      <c r="O1080" s="55" t="s">
        <v>212</v>
      </c>
      <c r="P1080" s="55" t="s">
        <v>798</v>
      </c>
      <c r="Q1080" s="55" t="s">
        <v>350</v>
      </c>
      <c r="R1080" s="85">
        <v>4</v>
      </c>
      <c r="S1080" s="55">
        <v>0</v>
      </c>
      <c r="T1080" s="74" t="s">
        <v>799</v>
      </c>
      <c r="U1080" s="74" t="s">
        <v>351</v>
      </c>
      <c r="V1080" s="74">
        <v>44621</v>
      </c>
      <c r="W1080" s="74">
        <v>44663</v>
      </c>
      <c r="X1080" s="55">
        <v>10185774</v>
      </c>
      <c r="Y1080" s="55" t="s">
        <v>132</v>
      </c>
      <c r="AB1080" s="74" t="s">
        <v>132</v>
      </c>
      <c r="AC1080" s="55" t="s">
        <v>132</v>
      </c>
      <c r="AL1080" s="74"/>
      <c r="AM1080" s="74"/>
      <c r="AW1080" s="74"/>
      <c r="AX1080" s="74"/>
    </row>
    <row r="1081" spans="1:50" ht="13" x14ac:dyDescent="0.15">
      <c r="A1081" s="55" t="str">
        <f>HYPERLINK("http://reports.ofsted.gov.uk/inspection-reports/find-inspection-report/provider/CARE/2565542","Ofsted Social Care Provider Webpage")</f>
        <v>Ofsted Social Care Provider Webpage</v>
      </c>
      <c r="B1081" s="55">
        <v>2565542</v>
      </c>
      <c r="D1081" s="55" t="s">
        <v>373</v>
      </c>
      <c r="E1081" s="74">
        <v>43818</v>
      </c>
      <c r="F1081" s="55" t="s">
        <v>344</v>
      </c>
      <c r="G1081" s="55" t="s">
        <v>360</v>
      </c>
      <c r="H1081" s="55" t="s">
        <v>360</v>
      </c>
      <c r="I1081" s="55" t="s">
        <v>360</v>
      </c>
      <c r="J1081" s="55" t="s">
        <v>360</v>
      </c>
      <c r="K1081" s="55" t="s">
        <v>360</v>
      </c>
      <c r="L1081" s="55" t="s">
        <v>360</v>
      </c>
      <c r="M1081" s="55" t="s">
        <v>138</v>
      </c>
      <c r="N1081" s="55" t="s">
        <v>138</v>
      </c>
      <c r="O1081" s="55" t="s">
        <v>273</v>
      </c>
      <c r="P1081" s="55" t="s">
        <v>273</v>
      </c>
      <c r="Q1081" s="55" t="s">
        <v>350</v>
      </c>
      <c r="R1081" s="85">
        <v>2</v>
      </c>
      <c r="S1081" s="55">
        <v>0</v>
      </c>
      <c r="T1081" s="74" t="s">
        <v>1673</v>
      </c>
      <c r="U1081" s="74" t="s">
        <v>351</v>
      </c>
      <c r="V1081" s="74">
        <v>44419</v>
      </c>
      <c r="W1081" s="74">
        <v>44445</v>
      </c>
      <c r="X1081" s="55">
        <v>10186368</v>
      </c>
      <c r="Y1081" s="55" t="s">
        <v>132</v>
      </c>
      <c r="AB1081" s="74" t="s">
        <v>132</v>
      </c>
      <c r="AC1081" s="55" t="s">
        <v>132</v>
      </c>
      <c r="AL1081" s="74"/>
      <c r="AM1081" s="74"/>
    </row>
    <row r="1082" spans="1:50" ht="13" x14ac:dyDescent="0.15">
      <c r="A1082" s="55" t="str">
        <f>HYPERLINK("http://reports.ofsted.gov.uk/inspection-reports/find-inspection-report/provider/CARE/2565716","Ofsted Social Care Provider Webpage")</f>
        <v>Ofsted Social Care Provider Webpage</v>
      </c>
      <c r="B1082" s="55">
        <v>2565716</v>
      </c>
      <c r="D1082" s="55" t="s">
        <v>373</v>
      </c>
      <c r="E1082" s="74">
        <v>43795</v>
      </c>
      <c r="F1082" s="55" t="s">
        <v>344</v>
      </c>
      <c r="G1082" s="55" t="s">
        <v>360</v>
      </c>
      <c r="H1082" s="55" t="s">
        <v>360</v>
      </c>
      <c r="I1082" s="55" t="s">
        <v>360</v>
      </c>
      <c r="J1082" s="55" t="s">
        <v>360</v>
      </c>
      <c r="K1082" s="55" t="s">
        <v>360</v>
      </c>
      <c r="L1082" s="55" t="s">
        <v>360</v>
      </c>
      <c r="M1082" s="55" t="s">
        <v>378</v>
      </c>
      <c r="N1082" s="55" t="s">
        <v>170</v>
      </c>
      <c r="O1082" s="55" t="s">
        <v>220</v>
      </c>
      <c r="P1082" s="55" t="s">
        <v>220</v>
      </c>
      <c r="Q1082" s="55" t="s">
        <v>380</v>
      </c>
      <c r="R1082" s="85">
        <v>4</v>
      </c>
      <c r="S1082" s="55">
        <v>0</v>
      </c>
      <c r="T1082" s="74" t="s">
        <v>1674</v>
      </c>
      <c r="U1082" s="74" t="s">
        <v>351</v>
      </c>
      <c r="V1082" s="74">
        <v>44488</v>
      </c>
      <c r="W1082" s="74">
        <v>44524</v>
      </c>
      <c r="X1082" s="55">
        <v>10185819</v>
      </c>
      <c r="Y1082" s="55" t="s">
        <v>132</v>
      </c>
      <c r="AB1082" s="74" t="s">
        <v>132</v>
      </c>
      <c r="AC1082" s="55" t="s">
        <v>140</v>
      </c>
      <c r="AL1082" s="74"/>
      <c r="AM1082" s="74"/>
    </row>
    <row r="1083" spans="1:50" ht="13" x14ac:dyDescent="0.15">
      <c r="A1083" s="55" t="str">
        <f>HYPERLINK("http://reports.ofsted.gov.uk/inspection-reports/find-inspection-report/provider/CARE/2566231","Ofsted Social Care Provider Webpage")</f>
        <v>Ofsted Social Care Provider Webpage</v>
      </c>
      <c r="B1083" s="55">
        <v>2566231</v>
      </c>
      <c r="D1083" s="55" t="s">
        <v>373</v>
      </c>
      <c r="E1083" s="74">
        <v>43983</v>
      </c>
      <c r="F1083" s="55" t="s">
        <v>6707</v>
      </c>
      <c r="G1083" s="55" t="s">
        <v>360</v>
      </c>
      <c r="H1083" s="55" t="s">
        <v>360</v>
      </c>
      <c r="I1083" s="55" t="s">
        <v>360</v>
      </c>
      <c r="J1083" s="55" t="s">
        <v>360</v>
      </c>
      <c r="K1083" s="55" t="s">
        <v>360</v>
      </c>
      <c r="L1083" s="55" t="s">
        <v>360</v>
      </c>
      <c r="M1083" s="55" t="s">
        <v>142</v>
      </c>
      <c r="N1083" s="55" t="s">
        <v>142</v>
      </c>
      <c r="O1083" s="55" t="s">
        <v>177</v>
      </c>
      <c r="P1083" s="55" t="s">
        <v>5872</v>
      </c>
      <c r="Q1083" s="55" t="s">
        <v>362</v>
      </c>
      <c r="R1083" s="85">
        <v>1</v>
      </c>
      <c r="S1083" s="55">
        <v>0</v>
      </c>
      <c r="T1083" s="74" t="s">
        <v>432</v>
      </c>
      <c r="U1083" s="74" t="s">
        <v>351</v>
      </c>
      <c r="V1083" s="74">
        <v>44531</v>
      </c>
      <c r="W1083" s="74">
        <v>44600</v>
      </c>
      <c r="X1083" s="55">
        <v>10186904</v>
      </c>
      <c r="Y1083" s="55" t="s">
        <v>146</v>
      </c>
      <c r="AB1083" s="74" t="s">
        <v>146</v>
      </c>
      <c r="AC1083" s="55" t="s">
        <v>146</v>
      </c>
      <c r="AL1083" s="74"/>
      <c r="AM1083" s="74"/>
    </row>
    <row r="1084" spans="1:50" ht="13" x14ac:dyDescent="0.15">
      <c r="A1084" s="55" t="str">
        <f>HYPERLINK("http://reports.ofsted.gov.uk/inspection-reports/find-inspection-report/provider/CARE/2566238","Ofsted Social Care Provider Webpage")</f>
        <v>Ofsted Social Care Provider Webpage</v>
      </c>
      <c r="B1084" s="55">
        <v>2566238</v>
      </c>
      <c r="D1084" s="55" t="s">
        <v>373</v>
      </c>
      <c r="E1084" s="74">
        <v>43879</v>
      </c>
      <c r="F1084" s="55" t="s">
        <v>344</v>
      </c>
      <c r="G1084" s="55" t="s">
        <v>360</v>
      </c>
      <c r="H1084" s="55" t="s">
        <v>360</v>
      </c>
      <c r="I1084" s="55" t="s">
        <v>360</v>
      </c>
      <c r="J1084" s="55" t="s">
        <v>360</v>
      </c>
      <c r="K1084" s="55" t="s">
        <v>360</v>
      </c>
      <c r="L1084" s="55" t="s">
        <v>360</v>
      </c>
      <c r="M1084" s="55" t="s">
        <v>129</v>
      </c>
      <c r="N1084" s="55" t="s">
        <v>129</v>
      </c>
      <c r="O1084" s="55" t="s">
        <v>167</v>
      </c>
      <c r="P1084" s="55" t="s">
        <v>553</v>
      </c>
      <c r="Q1084" s="55" t="s">
        <v>350</v>
      </c>
      <c r="R1084" s="85">
        <v>3</v>
      </c>
      <c r="S1084" s="55">
        <v>0</v>
      </c>
      <c r="T1084" s="74" t="s">
        <v>713</v>
      </c>
      <c r="U1084" s="74" t="s">
        <v>351</v>
      </c>
      <c r="V1084" s="74">
        <v>44481</v>
      </c>
      <c r="W1084" s="74">
        <v>44519</v>
      </c>
      <c r="X1084" s="55">
        <v>10185508</v>
      </c>
      <c r="Y1084" s="55" t="s">
        <v>132</v>
      </c>
      <c r="AB1084" s="74" t="s">
        <v>132</v>
      </c>
      <c r="AC1084" s="55" t="s">
        <v>132</v>
      </c>
      <c r="AL1084" s="74"/>
      <c r="AM1084" s="74"/>
      <c r="AW1084" s="74"/>
      <c r="AX1084" s="74"/>
    </row>
    <row r="1085" spans="1:50" ht="13" x14ac:dyDescent="0.15">
      <c r="A1085" s="55" t="str">
        <f>HYPERLINK("http://reports.ofsted.gov.uk/inspection-reports/find-inspection-report/provider/CARE/2566488","Ofsted Social Care Provider Webpage")</f>
        <v>Ofsted Social Care Provider Webpage</v>
      </c>
      <c r="B1085" s="55">
        <v>2566488</v>
      </c>
      <c r="D1085" s="55" t="s">
        <v>373</v>
      </c>
      <c r="E1085" s="74">
        <v>43908</v>
      </c>
      <c r="F1085" s="55" t="s">
        <v>344</v>
      </c>
      <c r="G1085" s="55" t="s">
        <v>360</v>
      </c>
      <c r="H1085" s="55" t="s">
        <v>360</v>
      </c>
      <c r="I1085" s="55" t="s">
        <v>360</v>
      </c>
      <c r="J1085" s="55" t="s">
        <v>360</v>
      </c>
      <c r="K1085" s="55" t="s">
        <v>360</v>
      </c>
      <c r="L1085" s="55" t="s">
        <v>360</v>
      </c>
      <c r="M1085" s="55" t="s">
        <v>138</v>
      </c>
      <c r="N1085" s="55" t="s">
        <v>138</v>
      </c>
      <c r="O1085" s="55" t="s">
        <v>224</v>
      </c>
      <c r="P1085" s="55" t="s">
        <v>1675</v>
      </c>
      <c r="Q1085" s="55" t="s">
        <v>350</v>
      </c>
      <c r="R1085" s="85">
        <v>4</v>
      </c>
      <c r="S1085" s="55">
        <v>0</v>
      </c>
      <c r="T1085" s="74" t="s">
        <v>1676</v>
      </c>
      <c r="U1085" s="74" t="s">
        <v>6703</v>
      </c>
      <c r="V1085" s="74">
        <v>44538</v>
      </c>
      <c r="W1085" s="74">
        <v>44580</v>
      </c>
      <c r="X1085" s="55">
        <v>10206361</v>
      </c>
      <c r="Y1085" s="55" t="s">
        <v>6705</v>
      </c>
      <c r="AL1085" s="74"/>
      <c r="AM1085" s="74"/>
      <c r="AW1085" s="74"/>
      <c r="AX1085" s="74"/>
    </row>
    <row r="1086" spans="1:50" ht="13" x14ac:dyDescent="0.15">
      <c r="A1086" s="55" t="str">
        <f>HYPERLINK("http://reports.ofsted.gov.uk/inspection-reports/find-inspection-report/provider/CARE/2566488","Ofsted Social Care Provider Webpage")</f>
        <v>Ofsted Social Care Provider Webpage</v>
      </c>
      <c r="B1086" s="55">
        <v>2566488</v>
      </c>
      <c r="D1086" s="55" t="s">
        <v>373</v>
      </c>
      <c r="E1086" s="74">
        <v>43908</v>
      </c>
      <c r="F1086" s="55" t="s">
        <v>344</v>
      </c>
      <c r="G1086" s="55" t="s">
        <v>360</v>
      </c>
      <c r="H1086" s="55" t="s">
        <v>360</v>
      </c>
      <c r="I1086" s="55" t="s">
        <v>360</v>
      </c>
      <c r="J1086" s="55" t="s">
        <v>360</v>
      </c>
      <c r="K1086" s="55" t="s">
        <v>360</v>
      </c>
      <c r="L1086" s="55" t="s">
        <v>360</v>
      </c>
      <c r="M1086" s="55" t="s">
        <v>138</v>
      </c>
      <c r="N1086" s="55" t="s">
        <v>138</v>
      </c>
      <c r="O1086" s="55" t="s">
        <v>224</v>
      </c>
      <c r="P1086" s="55" t="s">
        <v>1675</v>
      </c>
      <c r="Q1086" s="55" t="s">
        <v>350</v>
      </c>
      <c r="R1086" s="85">
        <v>4</v>
      </c>
      <c r="S1086" s="55">
        <v>0</v>
      </c>
      <c r="T1086" s="74" t="s">
        <v>1676</v>
      </c>
      <c r="U1086" s="74" t="s">
        <v>351</v>
      </c>
      <c r="V1086" s="74">
        <v>44426</v>
      </c>
      <c r="W1086" s="74">
        <v>44455</v>
      </c>
      <c r="X1086" s="55">
        <v>10186479</v>
      </c>
      <c r="Y1086" s="55" t="s">
        <v>130</v>
      </c>
      <c r="AB1086" s="74" t="s">
        <v>130</v>
      </c>
      <c r="AC1086" s="55" t="s">
        <v>130</v>
      </c>
      <c r="AL1086" s="74"/>
      <c r="AM1086" s="74"/>
      <c r="AW1086" s="74"/>
      <c r="AX1086" s="74"/>
    </row>
    <row r="1087" spans="1:50" ht="13" x14ac:dyDescent="0.15">
      <c r="A1087" s="55" t="str">
        <f>HYPERLINK("http://reports.ofsted.gov.uk/inspection-reports/find-inspection-report/provider/CARE/2567039","Ofsted Social Care Provider Webpage")</f>
        <v>Ofsted Social Care Provider Webpage</v>
      </c>
      <c r="B1087" s="55">
        <v>2567039</v>
      </c>
      <c r="D1087" s="55" t="s">
        <v>373</v>
      </c>
      <c r="E1087" s="74">
        <v>43840</v>
      </c>
      <c r="F1087" s="55" t="s">
        <v>344</v>
      </c>
      <c r="G1087" s="55" t="s">
        <v>360</v>
      </c>
      <c r="H1087" s="55" t="s">
        <v>360</v>
      </c>
      <c r="I1087" s="55" t="s">
        <v>360</v>
      </c>
      <c r="J1087" s="55" t="s">
        <v>360</v>
      </c>
      <c r="K1087" s="55" t="s">
        <v>360</v>
      </c>
      <c r="L1087" s="55" t="s">
        <v>360</v>
      </c>
      <c r="M1087" s="55" t="s">
        <v>136</v>
      </c>
      <c r="N1087" s="55" t="s">
        <v>136</v>
      </c>
      <c r="O1087" s="55" t="s">
        <v>239</v>
      </c>
      <c r="P1087" s="55" t="s">
        <v>738</v>
      </c>
      <c r="Q1087" s="55" t="s">
        <v>350</v>
      </c>
      <c r="R1087" s="85">
        <v>3</v>
      </c>
      <c r="S1087" s="55">
        <v>0</v>
      </c>
      <c r="T1087" s="74" t="s">
        <v>739</v>
      </c>
      <c r="U1087" s="74" t="s">
        <v>351</v>
      </c>
      <c r="V1087" s="74">
        <v>44467</v>
      </c>
      <c r="W1087" s="74">
        <v>44502</v>
      </c>
      <c r="X1087" s="55">
        <v>10187109</v>
      </c>
      <c r="Y1087" s="55" t="s">
        <v>132</v>
      </c>
      <c r="AB1087" s="74" t="s">
        <v>132</v>
      </c>
      <c r="AC1087" s="55" t="s">
        <v>132</v>
      </c>
      <c r="AL1087" s="74"/>
      <c r="AM1087" s="74"/>
      <c r="AW1087" s="74"/>
      <c r="AX1087" s="74"/>
    </row>
    <row r="1088" spans="1:50" ht="13" x14ac:dyDescent="0.15">
      <c r="A1088" s="55" t="str">
        <f>HYPERLINK("http://reports.ofsted.gov.uk/inspection-reports/find-inspection-report/provider/CARE/2567267","Ofsted Social Care Provider Webpage")</f>
        <v>Ofsted Social Care Provider Webpage</v>
      </c>
      <c r="B1088" s="55">
        <v>2567267</v>
      </c>
      <c r="D1088" s="55" t="s">
        <v>373</v>
      </c>
      <c r="E1088" s="74">
        <v>43908</v>
      </c>
      <c r="F1088" s="55" t="s">
        <v>344</v>
      </c>
      <c r="G1088" s="55" t="s">
        <v>360</v>
      </c>
      <c r="H1088" s="55" t="s">
        <v>360</v>
      </c>
      <c r="I1088" s="55" t="s">
        <v>360</v>
      </c>
      <c r="J1088" s="55" t="s">
        <v>360</v>
      </c>
      <c r="K1088" s="55" t="s">
        <v>360</v>
      </c>
      <c r="L1088" s="55" t="s">
        <v>360</v>
      </c>
      <c r="M1088" s="55" t="s">
        <v>129</v>
      </c>
      <c r="N1088" s="55" t="s">
        <v>129</v>
      </c>
      <c r="O1088" s="55" t="s">
        <v>152</v>
      </c>
      <c r="P1088" s="55" t="s">
        <v>1130</v>
      </c>
      <c r="Q1088" s="55" t="s">
        <v>350</v>
      </c>
      <c r="R1088" s="85">
        <v>4</v>
      </c>
      <c r="S1088" s="55">
        <v>0</v>
      </c>
      <c r="T1088" s="74" t="s">
        <v>1677</v>
      </c>
      <c r="U1088" s="74" t="s">
        <v>351</v>
      </c>
      <c r="V1088" s="74">
        <v>44481</v>
      </c>
      <c r="W1088" s="74">
        <v>44511</v>
      </c>
      <c r="X1088" s="55">
        <v>10210099</v>
      </c>
      <c r="Y1088" s="55" t="s">
        <v>132</v>
      </c>
      <c r="AB1088" s="74" t="s">
        <v>132</v>
      </c>
      <c r="AC1088" s="55" t="s">
        <v>132</v>
      </c>
      <c r="AL1088" s="74"/>
      <c r="AM1088" s="74"/>
      <c r="AW1088" s="74"/>
      <c r="AX1088" s="74"/>
    </row>
    <row r="1089" spans="1:50" ht="13" x14ac:dyDescent="0.15">
      <c r="A1089" s="55" t="str">
        <f>HYPERLINK("http://reports.ofsted.gov.uk/inspection-reports/find-inspection-report/provider/CARE/2567267","Ofsted Social Care Provider Webpage")</f>
        <v>Ofsted Social Care Provider Webpage</v>
      </c>
      <c r="B1089" s="55">
        <v>2567267</v>
      </c>
      <c r="D1089" s="55" t="s">
        <v>373</v>
      </c>
      <c r="E1089" s="74">
        <v>43908</v>
      </c>
      <c r="F1089" s="55" t="s">
        <v>344</v>
      </c>
      <c r="G1089" s="55" t="s">
        <v>360</v>
      </c>
      <c r="H1089" s="55" t="s">
        <v>360</v>
      </c>
      <c r="I1089" s="55" t="s">
        <v>360</v>
      </c>
      <c r="J1089" s="55" t="s">
        <v>360</v>
      </c>
      <c r="K1089" s="55" t="s">
        <v>360</v>
      </c>
      <c r="L1089" s="55" t="s">
        <v>360</v>
      </c>
      <c r="M1089" s="55" t="s">
        <v>129</v>
      </c>
      <c r="N1089" s="55" t="s">
        <v>129</v>
      </c>
      <c r="O1089" s="55" t="s">
        <v>152</v>
      </c>
      <c r="P1089" s="55" t="s">
        <v>1130</v>
      </c>
      <c r="Q1089" s="55" t="s">
        <v>350</v>
      </c>
      <c r="R1089" s="85">
        <v>4</v>
      </c>
      <c r="S1089" s="55">
        <v>0</v>
      </c>
      <c r="T1089" s="74" t="s">
        <v>1677</v>
      </c>
      <c r="U1089" s="74" t="s">
        <v>351</v>
      </c>
      <c r="V1089" s="74">
        <v>44426</v>
      </c>
      <c r="W1089" s="74">
        <v>44511</v>
      </c>
      <c r="X1089" s="55">
        <v>10185216</v>
      </c>
      <c r="Y1089" s="55" t="s">
        <v>132</v>
      </c>
      <c r="AL1089" s="74"/>
      <c r="AM1089" s="74"/>
    </row>
    <row r="1090" spans="1:50" ht="13" x14ac:dyDescent="0.15">
      <c r="A1090" s="55" t="str">
        <f>HYPERLINK("http://reports.ofsted.gov.uk/inspection-reports/find-inspection-report/provider/CARE/2567272","Ofsted Social Care Provider Webpage")</f>
        <v>Ofsted Social Care Provider Webpage</v>
      </c>
      <c r="B1090" s="55">
        <v>2567272</v>
      </c>
      <c r="D1090" s="55" t="s">
        <v>373</v>
      </c>
      <c r="E1090" s="74">
        <v>44048</v>
      </c>
      <c r="F1090" s="55" t="s">
        <v>344</v>
      </c>
      <c r="G1090" s="55" t="s">
        <v>360</v>
      </c>
      <c r="H1090" s="55" t="s">
        <v>360</v>
      </c>
      <c r="I1090" s="55" t="s">
        <v>360</v>
      </c>
      <c r="J1090" s="55" t="s">
        <v>360</v>
      </c>
      <c r="K1090" s="55" t="s">
        <v>360</v>
      </c>
      <c r="L1090" s="55" t="s">
        <v>360</v>
      </c>
      <c r="M1090" s="55" t="s">
        <v>144</v>
      </c>
      <c r="N1090" s="55" t="s">
        <v>144</v>
      </c>
      <c r="O1090" s="55" t="s">
        <v>207</v>
      </c>
      <c r="P1090" s="55" t="s">
        <v>792</v>
      </c>
      <c r="Q1090" s="55" t="s">
        <v>350</v>
      </c>
      <c r="R1090" s="85">
        <v>3</v>
      </c>
      <c r="S1090" s="55">
        <v>0</v>
      </c>
      <c r="T1090" s="74" t="s">
        <v>1653</v>
      </c>
      <c r="U1090" s="74" t="s">
        <v>2053</v>
      </c>
      <c r="V1090" s="74">
        <v>44571</v>
      </c>
      <c r="W1090" s="74">
        <v>44608</v>
      </c>
      <c r="X1090" s="55">
        <v>10217174</v>
      </c>
      <c r="AL1090" s="74"/>
      <c r="AM1090" s="74"/>
    </row>
    <row r="1091" spans="1:50" ht="13" x14ac:dyDescent="0.15">
      <c r="A1091" s="55" t="str">
        <f>HYPERLINK("http://reports.ofsted.gov.uk/inspection-reports/find-inspection-report/provider/CARE/2567272","Ofsted Social Care Provider Webpage")</f>
        <v>Ofsted Social Care Provider Webpage</v>
      </c>
      <c r="B1091" s="55">
        <v>2567272</v>
      </c>
      <c r="D1091" s="55" t="s">
        <v>373</v>
      </c>
      <c r="E1091" s="74">
        <v>44048</v>
      </c>
      <c r="F1091" s="55" t="s">
        <v>344</v>
      </c>
      <c r="G1091" s="55" t="s">
        <v>360</v>
      </c>
      <c r="H1091" s="55" t="s">
        <v>360</v>
      </c>
      <c r="I1091" s="55" t="s">
        <v>360</v>
      </c>
      <c r="J1091" s="55" t="s">
        <v>360</v>
      </c>
      <c r="K1091" s="55" t="s">
        <v>360</v>
      </c>
      <c r="L1091" s="55" t="s">
        <v>360</v>
      </c>
      <c r="M1091" s="55" t="s">
        <v>144</v>
      </c>
      <c r="N1091" s="55" t="s">
        <v>144</v>
      </c>
      <c r="O1091" s="55" t="s">
        <v>207</v>
      </c>
      <c r="P1091" s="55" t="s">
        <v>792</v>
      </c>
      <c r="Q1091" s="55" t="s">
        <v>350</v>
      </c>
      <c r="R1091" s="85">
        <v>3</v>
      </c>
      <c r="S1091" s="55">
        <v>0</v>
      </c>
      <c r="T1091" s="74" t="s">
        <v>1653</v>
      </c>
      <c r="U1091" s="74" t="s">
        <v>6703</v>
      </c>
      <c r="V1091" s="74">
        <v>44524</v>
      </c>
      <c r="W1091" s="74">
        <v>44579</v>
      </c>
      <c r="X1091" s="55">
        <v>10209601</v>
      </c>
      <c r="Y1091" s="55" t="s">
        <v>6704</v>
      </c>
      <c r="AL1091" s="74"/>
      <c r="AM1091" s="74"/>
      <c r="AW1091" s="74"/>
      <c r="AX1091" s="74"/>
    </row>
    <row r="1092" spans="1:50" ht="13" x14ac:dyDescent="0.15">
      <c r="A1092" s="55" t="str">
        <f>HYPERLINK("http://reports.ofsted.gov.uk/inspection-reports/find-inspection-report/provider/CARE/2567272","Ofsted Social Care Provider Webpage")</f>
        <v>Ofsted Social Care Provider Webpage</v>
      </c>
      <c r="B1092" s="55">
        <v>2567272</v>
      </c>
      <c r="D1092" s="55" t="s">
        <v>373</v>
      </c>
      <c r="E1092" s="74">
        <v>44048</v>
      </c>
      <c r="F1092" s="55" t="s">
        <v>344</v>
      </c>
      <c r="G1092" s="55" t="s">
        <v>360</v>
      </c>
      <c r="H1092" s="55" t="s">
        <v>360</v>
      </c>
      <c r="I1092" s="55" t="s">
        <v>360</v>
      </c>
      <c r="J1092" s="55" t="s">
        <v>360</v>
      </c>
      <c r="K1092" s="55" t="s">
        <v>360</v>
      </c>
      <c r="L1092" s="55" t="s">
        <v>360</v>
      </c>
      <c r="M1092" s="55" t="s">
        <v>144</v>
      </c>
      <c r="N1092" s="55" t="s">
        <v>144</v>
      </c>
      <c r="O1092" s="55" t="s">
        <v>207</v>
      </c>
      <c r="P1092" s="55" t="s">
        <v>792</v>
      </c>
      <c r="Q1092" s="55" t="s">
        <v>350</v>
      </c>
      <c r="R1092" s="85">
        <v>3</v>
      </c>
      <c r="S1092" s="55">
        <v>0</v>
      </c>
      <c r="T1092" s="74" t="s">
        <v>1653</v>
      </c>
      <c r="U1092" s="74" t="s">
        <v>351</v>
      </c>
      <c r="V1092" s="74">
        <v>44356</v>
      </c>
      <c r="W1092" s="74">
        <v>44406</v>
      </c>
      <c r="X1092" s="55">
        <v>10186400</v>
      </c>
      <c r="Y1092" s="55" t="s">
        <v>130</v>
      </c>
      <c r="AB1092" s="74" t="s">
        <v>130</v>
      </c>
      <c r="AC1092" s="55" t="s">
        <v>146</v>
      </c>
      <c r="AL1092" s="74"/>
      <c r="AM1092" s="74"/>
      <c r="AW1092" s="74"/>
      <c r="AX1092" s="74"/>
    </row>
    <row r="1093" spans="1:50" ht="13" x14ac:dyDescent="0.15">
      <c r="A1093" s="55" t="str">
        <f>HYPERLINK("http://reports.ofsted.gov.uk/inspection-reports/find-inspection-report/provider/CARE/2567272","Ofsted Social Care Provider Webpage")</f>
        <v>Ofsted Social Care Provider Webpage</v>
      </c>
      <c r="B1093" s="55">
        <v>2567272</v>
      </c>
      <c r="D1093" s="55" t="s">
        <v>373</v>
      </c>
      <c r="E1093" s="74">
        <v>44048</v>
      </c>
      <c r="F1093" s="55" t="s">
        <v>344</v>
      </c>
      <c r="G1093" s="55" t="s">
        <v>360</v>
      </c>
      <c r="H1093" s="55" t="s">
        <v>360</v>
      </c>
      <c r="I1093" s="55" t="s">
        <v>360</v>
      </c>
      <c r="J1093" s="55" t="s">
        <v>360</v>
      </c>
      <c r="K1093" s="55" t="s">
        <v>360</v>
      </c>
      <c r="L1093" s="55" t="s">
        <v>360</v>
      </c>
      <c r="M1093" s="55" t="s">
        <v>144</v>
      </c>
      <c r="N1093" s="55" t="s">
        <v>144</v>
      </c>
      <c r="O1093" s="55" t="s">
        <v>207</v>
      </c>
      <c r="P1093" s="55" t="s">
        <v>792</v>
      </c>
      <c r="Q1093" s="55" t="s">
        <v>350</v>
      </c>
      <c r="R1093" s="85">
        <v>3</v>
      </c>
      <c r="S1093" s="55">
        <v>0</v>
      </c>
      <c r="T1093" s="74" t="s">
        <v>1653</v>
      </c>
      <c r="U1093" s="74" t="s">
        <v>2053</v>
      </c>
      <c r="V1093" s="74">
        <v>44606</v>
      </c>
      <c r="W1093" s="74">
        <v>44662</v>
      </c>
      <c r="X1093" s="55">
        <v>10220238</v>
      </c>
      <c r="AL1093" s="74"/>
      <c r="AM1093" s="74"/>
    </row>
    <row r="1094" spans="1:50" ht="13" x14ac:dyDescent="0.15">
      <c r="A1094" s="55" t="str">
        <f>HYPERLINK("http://reports.ofsted.gov.uk/inspection-reports/find-inspection-report/provider/CARE/2567404","Ofsted Social Care Provider Webpage")</f>
        <v>Ofsted Social Care Provider Webpage</v>
      </c>
      <c r="B1094" s="55">
        <v>2567404</v>
      </c>
      <c r="D1094" s="55" t="s">
        <v>389</v>
      </c>
      <c r="E1094" s="74">
        <v>43796</v>
      </c>
      <c r="F1094" s="55" t="s">
        <v>344</v>
      </c>
      <c r="G1094" s="55" t="s">
        <v>1678</v>
      </c>
      <c r="H1094" s="55" t="s">
        <v>1679</v>
      </c>
      <c r="I1094" s="55" t="s">
        <v>1680</v>
      </c>
      <c r="J1094" s="55" t="s">
        <v>234</v>
      </c>
      <c r="K1094" s="55" t="s">
        <v>235</v>
      </c>
      <c r="L1094" s="55" t="s">
        <v>1681</v>
      </c>
      <c r="M1094" s="55" t="s">
        <v>172</v>
      </c>
      <c r="N1094" s="55" t="s">
        <v>172</v>
      </c>
      <c r="O1094" s="55" t="s">
        <v>235</v>
      </c>
      <c r="P1094" s="55" t="s">
        <v>628</v>
      </c>
      <c r="Q1094" s="55" t="s">
        <v>350</v>
      </c>
      <c r="S1094" s="55">
        <v>0</v>
      </c>
      <c r="T1094" s="74" t="s">
        <v>1678</v>
      </c>
      <c r="U1094" s="74" t="s">
        <v>351</v>
      </c>
      <c r="V1094" s="74">
        <v>44375</v>
      </c>
      <c r="W1094" s="74">
        <v>44431</v>
      </c>
      <c r="X1094" s="55">
        <v>10183178</v>
      </c>
      <c r="Y1094" s="55" t="s">
        <v>132</v>
      </c>
      <c r="AB1094" s="74" t="s">
        <v>132</v>
      </c>
      <c r="AC1094" s="55" t="s">
        <v>132</v>
      </c>
      <c r="AL1094" s="74"/>
      <c r="AM1094" s="74"/>
      <c r="AW1094" s="74"/>
      <c r="AX1094" s="74"/>
    </row>
    <row r="1095" spans="1:50" ht="13" x14ac:dyDescent="0.15">
      <c r="A1095" s="55" t="str">
        <f>HYPERLINK("http://reports.ofsted.gov.uk/inspection-reports/find-inspection-report/provider/CARE/2567557","Ofsted Social Care Provider Webpage")</f>
        <v>Ofsted Social Care Provider Webpage</v>
      </c>
      <c r="B1095" s="55">
        <v>2567557</v>
      </c>
      <c r="D1095" s="55" t="s">
        <v>373</v>
      </c>
      <c r="E1095" s="74">
        <v>43894</v>
      </c>
      <c r="F1095" s="55" t="s">
        <v>344</v>
      </c>
      <c r="G1095" s="55" t="s">
        <v>360</v>
      </c>
      <c r="H1095" s="55" t="s">
        <v>360</v>
      </c>
      <c r="I1095" s="55" t="s">
        <v>360</v>
      </c>
      <c r="J1095" s="55" t="s">
        <v>360</v>
      </c>
      <c r="K1095" s="55" t="s">
        <v>360</v>
      </c>
      <c r="L1095" s="55" t="s">
        <v>360</v>
      </c>
      <c r="M1095" s="55" t="s">
        <v>378</v>
      </c>
      <c r="N1095" s="55" t="s">
        <v>170</v>
      </c>
      <c r="O1095" s="55" t="s">
        <v>220</v>
      </c>
      <c r="P1095" s="55" t="s">
        <v>1222</v>
      </c>
      <c r="Q1095" s="55" t="s">
        <v>380</v>
      </c>
      <c r="R1095" s="85">
        <v>2</v>
      </c>
      <c r="S1095" s="55">
        <v>0</v>
      </c>
      <c r="T1095" s="74" t="s">
        <v>1674</v>
      </c>
      <c r="U1095" s="74" t="s">
        <v>351</v>
      </c>
      <c r="V1095" s="74">
        <v>44579</v>
      </c>
      <c r="W1095" s="74">
        <v>44622</v>
      </c>
      <c r="X1095" s="55">
        <v>10187558</v>
      </c>
      <c r="Y1095" s="55" t="s">
        <v>132</v>
      </c>
      <c r="AB1095" s="74" t="s">
        <v>132</v>
      </c>
      <c r="AC1095" s="55" t="s">
        <v>132</v>
      </c>
      <c r="AL1095" s="74"/>
      <c r="AM1095" s="74"/>
      <c r="AW1095" s="74"/>
      <c r="AX1095" s="74"/>
    </row>
    <row r="1096" spans="1:50" ht="13" x14ac:dyDescent="0.15">
      <c r="A1096" s="55" t="str">
        <f>HYPERLINK("http://reports.ofsted.gov.uk/inspection-reports/find-inspection-report/provider/CARE/2567607","Ofsted Social Care Provider Webpage")</f>
        <v>Ofsted Social Care Provider Webpage</v>
      </c>
      <c r="B1096" s="55">
        <v>2567607</v>
      </c>
      <c r="D1096" s="55" t="s">
        <v>373</v>
      </c>
      <c r="E1096" s="74">
        <v>43864</v>
      </c>
      <c r="F1096" s="55" t="s">
        <v>344</v>
      </c>
      <c r="G1096" s="55" t="s">
        <v>360</v>
      </c>
      <c r="H1096" s="55" t="s">
        <v>360</v>
      </c>
      <c r="I1096" s="55" t="s">
        <v>360</v>
      </c>
      <c r="J1096" s="55" t="s">
        <v>360</v>
      </c>
      <c r="K1096" s="55" t="s">
        <v>360</v>
      </c>
      <c r="L1096" s="55" t="s">
        <v>360</v>
      </c>
      <c r="M1096" s="55" t="s">
        <v>172</v>
      </c>
      <c r="N1096" s="55" t="s">
        <v>172</v>
      </c>
      <c r="O1096" s="55" t="s">
        <v>212</v>
      </c>
      <c r="P1096" s="55" t="s">
        <v>714</v>
      </c>
      <c r="Q1096" s="55" t="s">
        <v>350</v>
      </c>
      <c r="R1096" s="85">
        <v>7</v>
      </c>
      <c r="S1096" s="55">
        <v>0</v>
      </c>
      <c r="T1096" s="74" t="s">
        <v>1682</v>
      </c>
      <c r="U1096" s="74" t="s">
        <v>351</v>
      </c>
      <c r="V1096" s="74">
        <v>44376</v>
      </c>
      <c r="W1096" s="74">
        <v>44406</v>
      </c>
      <c r="X1096" s="55">
        <v>10185417</v>
      </c>
      <c r="Y1096" s="55" t="s">
        <v>140</v>
      </c>
      <c r="AB1096" s="74" t="s">
        <v>132</v>
      </c>
      <c r="AC1096" s="55" t="s">
        <v>132</v>
      </c>
      <c r="AL1096" s="74"/>
      <c r="AM1096" s="74"/>
      <c r="AW1096" s="74"/>
      <c r="AX1096" s="74"/>
    </row>
    <row r="1097" spans="1:50" ht="13" x14ac:dyDescent="0.15">
      <c r="A1097" s="55" t="str">
        <f>HYPERLINK("http://reports.ofsted.gov.uk/inspection-reports/find-inspection-report/provider/CARE/2567620","Ofsted Social Care Provider Webpage")</f>
        <v>Ofsted Social Care Provider Webpage</v>
      </c>
      <c r="B1097" s="55">
        <v>2567620</v>
      </c>
      <c r="D1097" s="55" t="s">
        <v>451</v>
      </c>
      <c r="E1097" s="74">
        <v>43878</v>
      </c>
      <c r="F1097" s="55" t="s">
        <v>344</v>
      </c>
      <c r="G1097" s="55" t="s">
        <v>1683</v>
      </c>
      <c r="H1097" s="55" t="s">
        <v>1684</v>
      </c>
      <c r="I1097" s="55" t="s">
        <v>354</v>
      </c>
      <c r="J1097" s="55" t="s">
        <v>759</v>
      </c>
      <c r="K1097" s="55" t="s">
        <v>209</v>
      </c>
      <c r="L1097" s="55" t="s">
        <v>1685</v>
      </c>
      <c r="M1097" s="55" t="s">
        <v>144</v>
      </c>
      <c r="N1097" s="55" t="s">
        <v>144</v>
      </c>
      <c r="O1097" s="55" t="s">
        <v>250</v>
      </c>
      <c r="P1097" s="55" t="s">
        <v>759</v>
      </c>
      <c r="Q1097" s="55" t="s">
        <v>350</v>
      </c>
      <c r="R1097" s="85">
        <v>4</v>
      </c>
      <c r="S1097" s="55">
        <v>0</v>
      </c>
      <c r="T1097" s="74" t="s">
        <v>786</v>
      </c>
      <c r="U1097" s="74" t="s">
        <v>351</v>
      </c>
      <c r="V1097" s="74">
        <v>44432</v>
      </c>
      <c r="W1097" s="74">
        <v>44460</v>
      </c>
      <c r="X1097" s="55">
        <v>10183235</v>
      </c>
      <c r="Y1097" s="55" t="s">
        <v>132</v>
      </c>
      <c r="AB1097" s="74" t="s">
        <v>132</v>
      </c>
      <c r="AC1097" s="55" t="s">
        <v>132</v>
      </c>
      <c r="AL1097" s="74"/>
      <c r="AM1097" s="74"/>
      <c r="AW1097" s="74"/>
      <c r="AX1097" s="74"/>
    </row>
    <row r="1098" spans="1:50" ht="13" x14ac:dyDescent="0.15">
      <c r="A1098" s="55" t="str">
        <f>HYPERLINK("http://reports.ofsted.gov.uk/inspection-reports/find-inspection-report/provider/CARE/2567658","Ofsted Social Care Provider Webpage")</f>
        <v>Ofsted Social Care Provider Webpage</v>
      </c>
      <c r="B1098" s="55">
        <v>2567658</v>
      </c>
      <c r="D1098" s="55" t="s">
        <v>373</v>
      </c>
      <c r="E1098" s="74">
        <v>43992</v>
      </c>
      <c r="F1098" s="55" t="s">
        <v>6707</v>
      </c>
      <c r="G1098" s="55" t="s">
        <v>360</v>
      </c>
      <c r="H1098" s="55" t="s">
        <v>360</v>
      </c>
      <c r="I1098" s="55" t="s">
        <v>360</v>
      </c>
      <c r="J1098" s="55" t="s">
        <v>360</v>
      </c>
      <c r="K1098" s="55" t="s">
        <v>360</v>
      </c>
      <c r="L1098" s="55" t="s">
        <v>360</v>
      </c>
      <c r="M1098" s="55" t="s">
        <v>142</v>
      </c>
      <c r="N1098" s="55" t="s">
        <v>142</v>
      </c>
      <c r="O1098" s="55" t="s">
        <v>141</v>
      </c>
      <c r="P1098" s="55" t="s">
        <v>1226</v>
      </c>
      <c r="Q1098" s="55" t="s">
        <v>350</v>
      </c>
      <c r="R1098" s="85">
        <v>2</v>
      </c>
      <c r="S1098" s="55">
        <v>0</v>
      </c>
      <c r="T1098" s="74" t="s">
        <v>6724</v>
      </c>
      <c r="U1098" s="74" t="s">
        <v>6703</v>
      </c>
      <c r="V1098" s="74">
        <v>44588</v>
      </c>
      <c r="W1098" s="74">
        <v>44622</v>
      </c>
      <c r="X1098" s="55">
        <v>10217217</v>
      </c>
      <c r="Y1098" s="55" t="s">
        <v>6704</v>
      </c>
      <c r="AL1098" s="74"/>
      <c r="AM1098" s="74"/>
      <c r="AW1098" s="74"/>
      <c r="AX1098" s="74"/>
    </row>
    <row r="1099" spans="1:50" ht="13" x14ac:dyDescent="0.15">
      <c r="A1099" s="55" t="str">
        <f>HYPERLINK("http://reports.ofsted.gov.uk/inspection-reports/find-inspection-report/provider/CARE/2567658","Ofsted Social Care Provider Webpage")</f>
        <v>Ofsted Social Care Provider Webpage</v>
      </c>
      <c r="B1099" s="55">
        <v>2567658</v>
      </c>
      <c r="D1099" s="55" t="s">
        <v>373</v>
      </c>
      <c r="E1099" s="74">
        <v>43992</v>
      </c>
      <c r="F1099" s="55" t="s">
        <v>6707</v>
      </c>
      <c r="G1099" s="55" t="s">
        <v>360</v>
      </c>
      <c r="H1099" s="55" t="s">
        <v>360</v>
      </c>
      <c r="I1099" s="55" t="s">
        <v>360</v>
      </c>
      <c r="J1099" s="55" t="s">
        <v>360</v>
      </c>
      <c r="K1099" s="55" t="s">
        <v>360</v>
      </c>
      <c r="L1099" s="55" t="s">
        <v>360</v>
      </c>
      <c r="M1099" s="55" t="s">
        <v>142</v>
      </c>
      <c r="N1099" s="55" t="s">
        <v>142</v>
      </c>
      <c r="O1099" s="55" t="s">
        <v>141</v>
      </c>
      <c r="P1099" s="55" t="s">
        <v>1226</v>
      </c>
      <c r="Q1099" s="55" t="s">
        <v>350</v>
      </c>
      <c r="R1099" s="85">
        <v>2</v>
      </c>
      <c r="S1099" s="55">
        <v>0</v>
      </c>
      <c r="T1099" s="74" t="s">
        <v>6724</v>
      </c>
      <c r="U1099" s="74" t="s">
        <v>351</v>
      </c>
      <c r="V1099" s="74">
        <v>44432</v>
      </c>
      <c r="W1099" s="74">
        <v>44468</v>
      </c>
      <c r="X1099" s="55">
        <v>10187631</v>
      </c>
      <c r="Y1099" s="55" t="s">
        <v>130</v>
      </c>
      <c r="AB1099" s="74" t="s">
        <v>130</v>
      </c>
      <c r="AC1099" s="55" t="s">
        <v>130</v>
      </c>
      <c r="AL1099" s="74"/>
      <c r="AM1099" s="74"/>
      <c r="AW1099" s="74"/>
      <c r="AX1099" s="74"/>
    </row>
    <row r="1100" spans="1:50" ht="13" x14ac:dyDescent="0.15">
      <c r="A1100" s="55" t="str">
        <f>HYPERLINK("http://reports.ofsted.gov.uk/inspection-reports/find-inspection-report/provider/CARE/2567722","Ofsted Social Care Provider Webpage")</f>
        <v>Ofsted Social Care Provider Webpage</v>
      </c>
      <c r="B1100" s="55">
        <v>2567722</v>
      </c>
      <c r="D1100" s="55" t="s">
        <v>373</v>
      </c>
      <c r="E1100" s="74">
        <v>43837</v>
      </c>
      <c r="F1100" s="55" t="s">
        <v>344</v>
      </c>
      <c r="G1100" s="55" t="s">
        <v>360</v>
      </c>
      <c r="H1100" s="55" t="s">
        <v>360</v>
      </c>
      <c r="I1100" s="55" t="s">
        <v>360</v>
      </c>
      <c r="J1100" s="55" t="s">
        <v>360</v>
      </c>
      <c r="K1100" s="55" t="s">
        <v>360</v>
      </c>
      <c r="L1100" s="55" t="s">
        <v>360</v>
      </c>
      <c r="M1100" s="55" t="s">
        <v>136</v>
      </c>
      <c r="N1100" s="55" t="s">
        <v>136</v>
      </c>
      <c r="O1100" s="55" t="s">
        <v>154</v>
      </c>
      <c r="P1100" s="55" t="s">
        <v>1686</v>
      </c>
      <c r="Q1100" s="55" t="s">
        <v>380</v>
      </c>
      <c r="R1100" s="85">
        <v>2</v>
      </c>
      <c r="S1100" s="55">
        <v>0</v>
      </c>
      <c r="T1100" s="74" t="s">
        <v>1687</v>
      </c>
      <c r="U1100" s="74" t="s">
        <v>351</v>
      </c>
      <c r="V1100" s="74">
        <v>44572</v>
      </c>
      <c r="W1100" s="74">
        <v>44596</v>
      </c>
      <c r="X1100" s="55">
        <v>10185809</v>
      </c>
      <c r="Y1100" s="55" t="s">
        <v>132</v>
      </c>
      <c r="AB1100" s="74" t="s">
        <v>132</v>
      </c>
      <c r="AC1100" s="55" t="s">
        <v>132</v>
      </c>
      <c r="AL1100" s="74"/>
      <c r="AM1100" s="74"/>
      <c r="AW1100" s="74"/>
      <c r="AX1100" s="74"/>
    </row>
    <row r="1101" spans="1:50" ht="13" x14ac:dyDescent="0.15">
      <c r="A1101" s="55" t="str">
        <f>HYPERLINK("http://reports.ofsted.gov.uk/inspection-reports/find-inspection-report/provider/CARE/2567789","Ofsted Social Care Provider Webpage")</f>
        <v>Ofsted Social Care Provider Webpage</v>
      </c>
      <c r="B1101" s="55">
        <v>2567789</v>
      </c>
      <c r="D1101" s="55" t="s">
        <v>373</v>
      </c>
      <c r="E1101" s="74">
        <v>43924</v>
      </c>
      <c r="F1101" s="55" t="s">
        <v>344</v>
      </c>
      <c r="G1101" s="55" t="s">
        <v>360</v>
      </c>
      <c r="H1101" s="55" t="s">
        <v>360</v>
      </c>
      <c r="I1101" s="55" t="s">
        <v>360</v>
      </c>
      <c r="J1101" s="55" t="s">
        <v>360</v>
      </c>
      <c r="K1101" s="55" t="s">
        <v>360</v>
      </c>
      <c r="L1101" s="55" t="s">
        <v>360</v>
      </c>
      <c r="M1101" s="55" t="s">
        <v>144</v>
      </c>
      <c r="N1101" s="55" t="s">
        <v>144</v>
      </c>
      <c r="O1101" s="55" t="s">
        <v>209</v>
      </c>
      <c r="P1101" s="55" t="s">
        <v>736</v>
      </c>
      <c r="Q1101" s="55" t="s">
        <v>350</v>
      </c>
      <c r="R1101" s="85">
        <v>2</v>
      </c>
      <c r="S1101" s="55">
        <v>0</v>
      </c>
      <c r="T1101" s="74" t="s">
        <v>737</v>
      </c>
      <c r="U1101" s="74" t="s">
        <v>351</v>
      </c>
      <c r="V1101" s="74">
        <v>44412</v>
      </c>
      <c r="W1101" s="74">
        <v>44448</v>
      </c>
      <c r="X1101" s="55">
        <v>10186950</v>
      </c>
      <c r="Y1101" s="55" t="s">
        <v>132</v>
      </c>
      <c r="AB1101" s="74" t="s">
        <v>132</v>
      </c>
      <c r="AC1101" s="55" t="s">
        <v>130</v>
      </c>
      <c r="AL1101" s="74"/>
      <c r="AM1101" s="74"/>
      <c r="AW1101" s="74"/>
      <c r="AX1101" s="74"/>
    </row>
    <row r="1102" spans="1:50" ht="13" x14ac:dyDescent="0.15">
      <c r="A1102" s="55" t="str">
        <f>HYPERLINK("http://reports.ofsted.gov.uk/inspection-reports/find-inspection-report/provider/CARE/2567806","Ofsted Social Care Provider Webpage")</f>
        <v>Ofsted Social Care Provider Webpage</v>
      </c>
      <c r="B1102" s="55">
        <v>2567806</v>
      </c>
      <c r="D1102" s="55" t="s">
        <v>373</v>
      </c>
      <c r="E1102" s="74">
        <v>43957</v>
      </c>
      <c r="F1102" s="55" t="s">
        <v>344</v>
      </c>
      <c r="G1102" s="55" t="s">
        <v>360</v>
      </c>
      <c r="H1102" s="55" t="s">
        <v>360</v>
      </c>
      <c r="I1102" s="55" t="s">
        <v>360</v>
      </c>
      <c r="J1102" s="55" t="s">
        <v>360</v>
      </c>
      <c r="K1102" s="55" t="s">
        <v>360</v>
      </c>
      <c r="L1102" s="55" t="s">
        <v>360</v>
      </c>
      <c r="M1102" s="55" t="s">
        <v>378</v>
      </c>
      <c r="N1102" s="55" t="s">
        <v>134</v>
      </c>
      <c r="O1102" s="55" t="s">
        <v>232</v>
      </c>
      <c r="P1102" s="55" t="s">
        <v>412</v>
      </c>
      <c r="Q1102" s="55" t="s">
        <v>350</v>
      </c>
      <c r="R1102" s="85">
        <v>2</v>
      </c>
      <c r="S1102" s="55">
        <v>0</v>
      </c>
      <c r="T1102" s="74" t="s">
        <v>1688</v>
      </c>
      <c r="U1102" s="74" t="s">
        <v>2053</v>
      </c>
      <c r="V1102" s="74">
        <v>44320</v>
      </c>
      <c r="W1102" s="74">
        <v>44354</v>
      </c>
      <c r="X1102" s="55">
        <v>10191910</v>
      </c>
      <c r="AL1102" s="74"/>
      <c r="AM1102" s="74"/>
    </row>
    <row r="1103" spans="1:50" ht="13" x14ac:dyDescent="0.15">
      <c r="A1103" s="55" t="str">
        <f>HYPERLINK("http://reports.ofsted.gov.uk/inspection-reports/find-inspection-report/provider/CARE/2567806","Ofsted Social Care Provider Webpage")</f>
        <v>Ofsted Social Care Provider Webpage</v>
      </c>
      <c r="B1103" s="55">
        <v>2567806</v>
      </c>
      <c r="D1103" s="55" t="s">
        <v>373</v>
      </c>
      <c r="E1103" s="74">
        <v>43957</v>
      </c>
      <c r="F1103" s="55" t="s">
        <v>344</v>
      </c>
      <c r="G1103" s="55" t="s">
        <v>360</v>
      </c>
      <c r="H1103" s="55" t="s">
        <v>360</v>
      </c>
      <c r="I1103" s="55" t="s">
        <v>360</v>
      </c>
      <c r="J1103" s="55" t="s">
        <v>360</v>
      </c>
      <c r="K1103" s="55" t="s">
        <v>360</v>
      </c>
      <c r="L1103" s="55" t="s">
        <v>360</v>
      </c>
      <c r="M1103" s="55" t="s">
        <v>378</v>
      </c>
      <c r="N1103" s="55" t="s">
        <v>134</v>
      </c>
      <c r="O1103" s="55" t="s">
        <v>232</v>
      </c>
      <c r="P1103" s="55" t="s">
        <v>412</v>
      </c>
      <c r="Q1103" s="55" t="s">
        <v>350</v>
      </c>
      <c r="R1103" s="85">
        <v>2</v>
      </c>
      <c r="S1103" s="55">
        <v>0</v>
      </c>
      <c r="T1103" s="74" t="s">
        <v>1688</v>
      </c>
      <c r="U1103" s="74" t="s">
        <v>351</v>
      </c>
      <c r="V1103" s="74">
        <v>44368</v>
      </c>
      <c r="W1103" s="74">
        <v>44410</v>
      </c>
      <c r="X1103" s="55">
        <v>10187434</v>
      </c>
      <c r="Y1103" s="55" t="s">
        <v>132</v>
      </c>
      <c r="AB1103" s="74" t="s">
        <v>132</v>
      </c>
      <c r="AC1103" s="55" t="s">
        <v>132</v>
      </c>
      <c r="AL1103" s="74"/>
      <c r="AM1103" s="74"/>
      <c r="AW1103" s="74"/>
      <c r="AX1103" s="74"/>
    </row>
    <row r="1104" spans="1:50" ht="13" x14ac:dyDescent="0.15">
      <c r="A1104" s="55" t="str">
        <f>HYPERLINK("http://reports.ofsted.gov.uk/inspection-reports/find-inspection-report/provider/CARE/2567806","Ofsted Social Care Provider Webpage")</f>
        <v>Ofsted Social Care Provider Webpage</v>
      </c>
      <c r="B1104" s="55">
        <v>2567806</v>
      </c>
      <c r="D1104" s="55" t="s">
        <v>373</v>
      </c>
      <c r="E1104" s="74">
        <v>43957</v>
      </c>
      <c r="F1104" s="55" t="s">
        <v>344</v>
      </c>
      <c r="G1104" s="55" t="s">
        <v>360</v>
      </c>
      <c r="H1104" s="55" t="s">
        <v>360</v>
      </c>
      <c r="I1104" s="55" t="s">
        <v>360</v>
      </c>
      <c r="J1104" s="55" t="s">
        <v>360</v>
      </c>
      <c r="K1104" s="55" t="s">
        <v>360</v>
      </c>
      <c r="L1104" s="55" t="s">
        <v>360</v>
      </c>
      <c r="M1104" s="55" t="s">
        <v>378</v>
      </c>
      <c r="N1104" s="55" t="s">
        <v>134</v>
      </c>
      <c r="O1104" s="55" t="s">
        <v>232</v>
      </c>
      <c r="P1104" s="55" t="s">
        <v>412</v>
      </c>
      <c r="Q1104" s="55" t="s">
        <v>350</v>
      </c>
      <c r="R1104" s="85">
        <v>2</v>
      </c>
      <c r="S1104" s="55">
        <v>0</v>
      </c>
      <c r="T1104" s="74" t="s">
        <v>1688</v>
      </c>
      <c r="U1104" s="74" t="s">
        <v>2053</v>
      </c>
      <c r="V1104" s="74">
        <v>44368</v>
      </c>
      <c r="W1104" s="74">
        <v>44405</v>
      </c>
      <c r="X1104" s="55">
        <v>10195140</v>
      </c>
      <c r="AL1104" s="74"/>
      <c r="AM1104" s="74"/>
      <c r="AW1104" s="74"/>
      <c r="AX1104" s="74"/>
    </row>
    <row r="1105" spans="1:50" ht="13" x14ac:dyDescent="0.15">
      <c r="A1105" s="55" t="str">
        <f>HYPERLINK("http://reports.ofsted.gov.uk/inspection-reports/find-inspection-report/provider/CARE/2568010","Ofsted Social Care Provider Webpage")</f>
        <v>Ofsted Social Care Provider Webpage</v>
      </c>
      <c r="B1105" s="55">
        <v>2568010</v>
      </c>
      <c r="D1105" s="55" t="s">
        <v>373</v>
      </c>
      <c r="E1105" s="74">
        <v>43903</v>
      </c>
      <c r="F1105" s="55" t="s">
        <v>344</v>
      </c>
      <c r="G1105" s="55" t="s">
        <v>360</v>
      </c>
      <c r="H1105" s="55" t="s">
        <v>360</v>
      </c>
      <c r="I1105" s="55" t="s">
        <v>360</v>
      </c>
      <c r="J1105" s="55" t="s">
        <v>360</v>
      </c>
      <c r="K1105" s="55" t="s">
        <v>360</v>
      </c>
      <c r="L1105" s="55" t="s">
        <v>360</v>
      </c>
      <c r="M1105" s="55" t="s">
        <v>136</v>
      </c>
      <c r="N1105" s="55" t="s">
        <v>136</v>
      </c>
      <c r="O1105" s="55" t="s">
        <v>255</v>
      </c>
      <c r="P1105" s="55" t="s">
        <v>583</v>
      </c>
      <c r="Q1105" s="55" t="s">
        <v>350</v>
      </c>
      <c r="R1105" s="85">
        <v>4</v>
      </c>
      <c r="S1105" s="55">
        <v>0</v>
      </c>
      <c r="T1105" s="74" t="s">
        <v>1689</v>
      </c>
      <c r="U1105" s="74" t="s">
        <v>351</v>
      </c>
      <c r="V1105" s="74">
        <v>44502</v>
      </c>
      <c r="W1105" s="74">
        <v>44533</v>
      </c>
      <c r="X1105" s="55">
        <v>10185891</v>
      </c>
      <c r="Y1105" s="55" t="s">
        <v>132</v>
      </c>
      <c r="AB1105" s="74" t="s">
        <v>132</v>
      </c>
      <c r="AC1105" s="55" t="s">
        <v>130</v>
      </c>
      <c r="AL1105" s="74"/>
      <c r="AM1105" s="74"/>
    </row>
    <row r="1106" spans="1:50" ht="13" x14ac:dyDescent="0.15">
      <c r="A1106" s="55" t="str">
        <f>HYPERLINK("http://reports.ofsted.gov.uk/inspection-reports/find-inspection-report/provider/CARE/2568217","Ofsted Social Care Provider Webpage")</f>
        <v>Ofsted Social Care Provider Webpage</v>
      </c>
      <c r="B1106" s="55">
        <v>2568217</v>
      </c>
      <c r="D1106" s="55" t="s">
        <v>389</v>
      </c>
      <c r="E1106" s="74">
        <v>43927</v>
      </c>
      <c r="F1106" s="55" t="s">
        <v>344</v>
      </c>
      <c r="G1106" s="55" t="s">
        <v>1690</v>
      </c>
      <c r="H1106" s="55" t="s">
        <v>1691</v>
      </c>
      <c r="I1106" s="55" t="s">
        <v>1692</v>
      </c>
      <c r="J1106" s="55" t="s">
        <v>1693</v>
      </c>
      <c r="K1106" s="55" t="s">
        <v>203</v>
      </c>
      <c r="L1106" s="55" t="s">
        <v>1694</v>
      </c>
      <c r="M1106" s="55" t="s">
        <v>150</v>
      </c>
      <c r="N1106" s="55" t="s">
        <v>150</v>
      </c>
      <c r="O1106" s="55" t="s">
        <v>203</v>
      </c>
      <c r="P1106" s="55" t="s">
        <v>1644</v>
      </c>
      <c r="Q1106" s="55" t="s">
        <v>350</v>
      </c>
      <c r="S1106" s="55">
        <v>0</v>
      </c>
      <c r="T1106" s="74" t="s">
        <v>1695</v>
      </c>
      <c r="U1106" s="74" t="s">
        <v>351</v>
      </c>
      <c r="V1106" s="74">
        <v>44368</v>
      </c>
      <c r="W1106" s="74">
        <v>44411</v>
      </c>
      <c r="X1106" s="55">
        <v>10183200</v>
      </c>
      <c r="Y1106" s="55" t="s">
        <v>140</v>
      </c>
      <c r="AB1106" s="74" t="s">
        <v>140</v>
      </c>
      <c r="AC1106" s="55" t="s">
        <v>132</v>
      </c>
      <c r="AL1106" s="74"/>
      <c r="AM1106" s="74"/>
      <c r="AW1106" s="74"/>
      <c r="AX1106" s="74"/>
    </row>
    <row r="1107" spans="1:50" ht="13" x14ac:dyDescent="0.15">
      <c r="A1107" s="55" t="str">
        <f>HYPERLINK("http://reports.ofsted.gov.uk/inspection-reports/find-inspection-report/provider/CARE/2568244","Ofsted Social Care Provider Webpage")</f>
        <v>Ofsted Social Care Provider Webpage</v>
      </c>
      <c r="B1107" s="55">
        <v>2568244</v>
      </c>
      <c r="D1107" s="55" t="s">
        <v>373</v>
      </c>
      <c r="E1107" s="74">
        <v>43906</v>
      </c>
      <c r="F1107" s="55" t="s">
        <v>344</v>
      </c>
      <c r="G1107" s="55" t="s">
        <v>360</v>
      </c>
      <c r="H1107" s="55" t="s">
        <v>360</v>
      </c>
      <c r="I1107" s="55" t="s">
        <v>360</v>
      </c>
      <c r="J1107" s="55" t="s">
        <v>360</v>
      </c>
      <c r="K1107" s="55" t="s">
        <v>360</v>
      </c>
      <c r="L1107" s="55" t="s">
        <v>360</v>
      </c>
      <c r="M1107" s="55" t="s">
        <v>378</v>
      </c>
      <c r="N1107" s="55" t="s">
        <v>170</v>
      </c>
      <c r="O1107" s="55" t="s">
        <v>264</v>
      </c>
      <c r="P1107" s="55" t="s">
        <v>1334</v>
      </c>
      <c r="Q1107" s="55" t="s">
        <v>380</v>
      </c>
      <c r="R1107" s="85">
        <v>5</v>
      </c>
      <c r="S1107" s="55">
        <v>0</v>
      </c>
      <c r="T1107" s="74" t="s">
        <v>1696</v>
      </c>
      <c r="U1107" s="74" t="s">
        <v>351</v>
      </c>
      <c r="V1107" s="74">
        <v>44607</v>
      </c>
      <c r="W1107" s="74">
        <v>44649</v>
      </c>
      <c r="X1107" s="55">
        <v>10186638</v>
      </c>
      <c r="Y1107" s="55" t="s">
        <v>130</v>
      </c>
      <c r="AB1107" s="74" t="s">
        <v>130</v>
      </c>
      <c r="AC1107" s="55" t="s">
        <v>130</v>
      </c>
      <c r="AL1107" s="74"/>
      <c r="AM1107" s="74"/>
      <c r="AW1107" s="74"/>
      <c r="AX1107" s="74"/>
    </row>
    <row r="1108" spans="1:50" ht="13" x14ac:dyDescent="0.15">
      <c r="A1108" s="55" t="str">
        <f>HYPERLINK("http://reports.ofsted.gov.uk/inspection-reports/find-inspection-report/provider/CARE/2568363","Ofsted Social Care Provider Webpage")</f>
        <v>Ofsted Social Care Provider Webpage</v>
      </c>
      <c r="B1108" s="55">
        <v>2568363</v>
      </c>
      <c r="D1108" s="55" t="s">
        <v>373</v>
      </c>
      <c r="E1108" s="74">
        <v>43873</v>
      </c>
      <c r="F1108" s="55" t="s">
        <v>344</v>
      </c>
      <c r="G1108" s="55" t="s">
        <v>360</v>
      </c>
      <c r="H1108" s="55" t="s">
        <v>360</v>
      </c>
      <c r="I1108" s="55" t="s">
        <v>360</v>
      </c>
      <c r="J1108" s="55" t="s">
        <v>360</v>
      </c>
      <c r="K1108" s="55" t="s">
        <v>360</v>
      </c>
      <c r="L1108" s="55" t="s">
        <v>360</v>
      </c>
      <c r="M1108" s="55" t="s">
        <v>142</v>
      </c>
      <c r="N1108" s="55" t="s">
        <v>142</v>
      </c>
      <c r="O1108" s="55" t="s">
        <v>141</v>
      </c>
      <c r="P1108" s="55" t="s">
        <v>660</v>
      </c>
      <c r="Q1108" s="55" t="s">
        <v>350</v>
      </c>
      <c r="R1108" s="85">
        <v>2</v>
      </c>
      <c r="S1108" s="55">
        <v>0</v>
      </c>
      <c r="T1108" s="74" t="s">
        <v>1364</v>
      </c>
      <c r="U1108" s="74" t="s">
        <v>351</v>
      </c>
      <c r="V1108" s="74">
        <v>44403</v>
      </c>
      <c r="W1108" s="74">
        <v>44439</v>
      </c>
      <c r="X1108" s="55">
        <v>10186960</v>
      </c>
      <c r="Y1108" s="55" t="s">
        <v>132</v>
      </c>
      <c r="AB1108" s="74" t="s">
        <v>132</v>
      </c>
      <c r="AC1108" s="55" t="s">
        <v>132</v>
      </c>
      <c r="AL1108" s="74"/>
      <c r="AM1108" s="74"/>
      <c r="AW1108" s="74"/>
      <c r="AX1108" s="74"/>
    </row>
    <row r="1109" spans="1:50" ht="13" x14ac:dyDescent="0.15">
      <c r="A1109" s="55" t="str">
        <f>HYPERLINK("http://reports.ofsted.gov.uk/inspection-reports/find-inspection-report/provider/CARE/2568557","Ofsted Social Care Provider Webpage")</f>
        <v>Ofsted Social Care Provider Webpage</v>
      </c>
      <c r="B1109" s="55">
        <v>2568557</v>
      </c>
      <c r="D1109" s="55" t="s">
        <v>373</v>
      </c>
      <c r="E1109" s="74">
        <v>43843</v>
      </c>
      <c r="F1109" s="55" t="s">
        <v>344</v>
      </c>
      <c r="G1109" s="55" t="s">
        <v>360</v>
      </c>
      <c r="H1109" s="55" t="s">
        <v>360</v>
      </c>
      <c r="I1109" s="55" t="s">
        <v>360</v>
      </c>
      <c r="J1109" s="55" t="s">
        <v>360</v>
      </c>
      <c r="K1109" s="55" t="s">
        <v>360</v>
      </c>
      <c r="L1109" s="55" t="s">
        <v>360</v>
      </c>
      <c r="M1109" s="55" t="s">
        <v>136</v>
      </c>
      <c r="N1109" s="55" t="s">
        <v>136</v>
      </c>
      <c r="O1109" s="55" t="s">
        <v>174</v>
      </c>
      <c r="P1109" s="55" t="s">
        <v>1010</v>
      </c>
      <c r="Q1109" s="55" t="s">
        <v>350</v>
      </c>
      <c r="R1109" s="85">
        <v>3</v>
      </c>
      <c r="S1109" s="55">
        <v>0</v>
      </c>
      <c r="T1109" s="74" t="s">
        <v>1295</v>
      </c>
      <c r="U1109" s="74" t="s">
        <v>351</v>
      </c>
      <c r="V1109" s="74">
        <v>44621</v>
      </c>
      <c r="W1109" s="74">
        <v>44662</v>
      </c>
      <c r="X1109" s="55">
        <v>10186024</v>
      </c>
      <c r="Y1109" s="55" t="s">
        <v>130</v>
      </c>
      <c r="AB1109" s="74" t="s">
        <v>132</v>
      </c>
      <c r="AC1109" s="55" t="s">
        <v>132</v>
      </c>
      <c r="AL1109" s="74"/>
      <c r="AM1109" s="74"/>
    </row>
    <row r="1110" spans="1:50" ht="13" x14ac:dyDescent="0.15">
      <c r="A1110" s="55" t="str">
        <f>HYPERLINK("http://reports.ofsted.gov.uk/inspection-reports/find-inspection-report/provider/CARE/2569163","Ofsted Social Care Provider Webpage")</f>
        <v>Ofsted Social Care Provider Webpage</v>
      </c>
      <c r="B1110" s="55">
        <v>2569163</v>
      </c>
      <c r="D1110" s="55" t="s">
        <v>373</v>
      </c>
      <c r="E1110" s="74">
        <v>43903</v>
      </c>
      <c r="F1110" s="55" t="s">
        <v>344</v>
      </c>
      <c r="G1110" s="55" t="s">
        <v>360</v>
      </c>
      <c r="H1110" s="55" t="s">
        <v>360</v>
      </c>
      <c r="I1110" s="55" t="s">
        <v>360</v>
      </c>
      <c r="J1110" s="55" t="s">
        <v>360</v>
      </c>
      <c r="K1110" s="55" t="s">
        <v>360</v>
      </c>
      <c r="L1110" s="55" t="s">
        <v>360</v>
      </c>
      <c r="M1110" s="55" t="s">
        <v>378</v>
      </c>
      <c r="N1110" s="55" t="s">
        <v>134</v>
      </c>
      <c r="O1110" s="55" t="s">
        <v>175</v>
      </c>
      <c r="P1110" s="55" t="s">
        <v>678</v>
      </c>
      <c r="Q1110" s="55" t="s">
        <v>350</v>
      </c>
      <c r="R1110" s="85">
        <v>3</v>
      </c>
      <c r="S1110" s="55">
        <v>0</v>
      </c>
      <c r="T1110" s="74" t="s">
        <v>1697</v>
      </c>
      <c r="U1110" s="74" t="s">
        <v>2053</v>
      </c>
      <c r="V1110" s="74">
        <v>44474</v>
      </c>
      <c r="W1110" s="74">
        <v>44510</v>
      </c>
      <c r="X1110" s="55">
        <v>10205004</v>
      </c>
      <c r="AL1110" s="74"/>
      <c r="AM1110" s="74"/>
      <c r="AW1110" s="74"/>
      <c r="AX1110" s="74"/>
    </row>
    <row r="1111" spans="1:50" ht="13" x14ac:dyDescent="0.15">
      <c r="A1111" s="55" t="str">
        <f>HYPERLINK("http://reports.ofsted.gov.uk/inspection-reports/find-inspection-report/provider/CARE/2569163","Ofsted Social Care Provider Webpage")</f>
        <v>Ofsted Social Care Provider Webpage</v>
      </c>
      <c r="B1111" s="55">
        <v>2569163</v>
      </c>
      <c r="D1111" s="55" t="s">
        <v>373</v>
      </c>
      <c r="E1111" s="74">
        <v>43903</v>
      </c>
      <c r="F1111" s="55" t="s">
        <v>344</v>
      </c>
      <c r="G1111" s="55" t="s">
        <v>360</v>
      </c>
      <c r="H1111" s="55" t="s">
        <v>360</v>
      </c>
      <c r="I1111" s="55" t="s">
        <v>360</v>
      </c>
      <c r="J1111" s="55" t="s">
        <v>360</v>
      </c>
      <c r="K1111" s="55" t="s">
        <v>360</v>
      </c>
      <c r="L1111" s="55" t="s">
        <v>360</v>
      </c>
      <c r="M1111" s="55" t="s">
        <v>378</v>
      </c>
      <c r="N1111" s="55" t="s">
        <v>134</v>
      </c>
      <c r="O1111" s="55" t="s">
        <v>175</v>
      </c>
      <c r="P1111" s="55" t="s">
        <v>678</v>
      </c>
      <c r="Q1111" s="55" t="s">
        <v>350</v>
      </c>
      <c r="R1111" s="85">
        <v>3</v>
      </c>
      <c r="S1111" s="55">
        <v>0</v>
      </c>
      <c r="T1111" s="74" t="s">
        <v>1697</v>
      </c>
      <c r="U1111" s="74" t="s">
        <v>351</v>
      </c>
      <c r="V1111" s="74">
        <v>44417</v>
      </c>
      <c r="W1111" s="74">
        <v>44449</v>
      </c>
      <c r="X1111" s="55">
        <v>10185818</v>
      </c>
      <c r="Y1111" s="55" t="s">
        <v>146</v>
      </c>
      <c r="AB1111" s="74" t="s">
        <v>146</v>
      </c>
      <c r="AC1111" s="55" t="s">
        <v>146</v>
      </c>
      <c r="AL1111" s="74"/>
      <c r="AM1111" s="74"/>
      <c r="AW1111" s="74"/>
      <c r="AX1111" s="74"/>
    </row>
    <row r="1112" spans="1:50" ht="13" x14ac:dyDescent="0.15">
      <c r="A1112" s="55" t="str">
        <f>HYPERLINK("http://reports.ofsted.gov.uk/inspection-reports/find-inspection-report/provider/CARE/2569163","Ofsted Social Care Provider Webpage")</f>
        <v>Ofsted Social Care Provider Webpage</v>
      </c>
      <c r="B1112" s="55">
        <v>2569163</v>
      </c>
      <c r="D1112" s="55" t="s">
        <v>373</v>
      </c>
      <c r="E1112" s="74">
        <v>43903</v>
      </c>
      <c r="F1112" s="55" t="s">
        <v>344</v>
      </c>
      <c r="G1112" s="55" t="s">
        <v>360</v>
      </c>
      <c r="H1112" s="55" t="s">
        <v>360</v>
      </c>
      <c r="I1112" s="55" t="s">
        <v>360</v>
      </c>
      <c r="J1112" s="55" t="s">
        <v>360</v>
      </c>
      <c r="K1112" s="55" t="s">
        <v>360</v>
      </c>
      <c r="L1112" s="55" t="s">
        <v>360</v>
      </c>
      <c r="M1112" s="55" t="s">
        <v>378</v>
      </c>
      <c r="N1112" s="55" t="s">
        <v>134</v>
      </c>
      <c r="O1112" s="55" t="s">
        <v>175</v>
      </c>
      <c r="P1112" s="55" t="s">
        <v>678</v>
      </c>
      <c r="Q1112" s="55" t="s">
        <v>350</v>
      </c>
      <c r="R1112" s="85">
        <v>3</v>
      </c>
      <c r="S1112" s="55">
        <v>0</v>
      </c>
      <c r="T1112" s="74" t="s">
        <v>1697</v>
      </c>
      <c r="U1112" s="74" t="s">
        <v>351</v>
      </c>
      <c r="V1112" s="74">
        <v>44537</v>
      </c>
      <c r="W1112" s="74">
        <v>44580</v>
      </c>
      <c r="X1112" s="55">
        <v>10205005</v>
      </c>
      <c r="Y1112" s="55" t="s">
        <v>146</v>
      </c>
      <c r="AB1112" s="74" t="s">
        <v>146</v>
      </c>
      <c r="AC1112" s="55" t="s">
        <v>146</v>
      </c>
      <c r="AL1112" s="74"/>
      <c r="AM1112" s="74"/>
      <c r="AW1112" s="74"/>
      <c r="AX1112" s="74"/>
    </row>
    <row r="1113" spans="1:50" ht="13" x14ac:dyDescent="0.15">
      <c r="A1113" s="55" t="str">
        <f>HYPERLINK("http://reports.ofsted.gov.uk/inspection-reports/find-inspection-report/provider/CARE/2569163","Ofsted Social Care Provider Webpage")</f>
        <v>Ofsted Social Care Provider Webpage</v>
      </c>
      <c r="B1113" s="55">
        <v>2569163</v>
      </c>
      <c r="D1113" s="55" t="s">
        <v>373</v>
      </c>
      <c r="E1113" s="74">
        <v>43903</v>
      </c>
      <c r="F1113" s="55" t="s">
        <v>344</v>
      </c>
      <c r="G1113" s="55" t="s">
        <v>360</v>
      </c>
      <c r="H1113" s="55" t="s">
        <v>360</v>
      </c>
      <c r="I1113" s="55" t="s">
        <v>360</v>
      </c>
      <c r="J1113" s="55" t="s">
        <v>360</v>
      </c>
      <c r="K1113" s="55" t="s">
        <v>360</v>
      </c>
      <c r="L1113" s="55" t="s">
        <v>360</v>
      </c>
      <c r="M1113" s="55" t="s">
        <v>378</v>
      </c>
      <c r="N1113" s="55" t="s">
        <v>134</v>
      </c>
      <c r="O1113" s="55" t="s">
        <v>175</v>
      </c>
      <c r="P1113" s="55" t="s">
        <v>678</v>
      </c>
      <c r="Q1113" s="55" t="s">
        <v>350</v>
      </c>
      <c r="R1113" s="85">
        <v>3</v>
      </c>
      <c r="S1113" s="55">
        <v>0</v>
      </c>
      <c r="T1113" s="74" t="s">
        <v>1697</v>
      </c>
      <c r="U1113" s="74" t="s">
        <v>2053</v>
      </c>
      <c r="V1113" s="74">
        <v>44588</v>
      </c>
      <c r="W1113" s="74">
        <v>44623</v>
      </c>
      <c r="X1113" s="55">
        <v>10217377</v>
      </c>
      <c r="AL1113" s="74"/>
      <c r="AM1113" s="74"/>
      <c r="AW1113" s="74"/>
      <c r="AX1113" s="74"/>
    </row>
    <row r="1114" spans="1:50" ht="13" x14ac:dyDescent="0.15">
      <c r="A1114" s="55" t="str">
        <f>HYPERLINK("http://reports.ofsted.gov.uk/inspection-reports/find-inspection-report/provider/CARE/2569345","Ofsted Social Care Provider Webpage")</f>
        <v>Ofsted Social Care Provider Webpage</v>
      </c>
      <c r="B1114" s="55">
        <v>2569345</v>
      </c>
      <c r="D1114" s="55" t="s">
        <v>373</v>
      </c>
      <c r="E1114" s="74">
        <v>43859</v>
      </c>
      <c r="F1114" s="55" t="s">
        <v>344</v>
      </c>
      <c r="G1114" s="55" t="s">
        <v>360</v>
      </c>
      <c r="H1114" s="55" t="s">
        <v>360</v>
      </c>
      <c r="I1114" s="55" t="s">
        <v>360</v>
      </c>
      <c r="J1114" s="55" t="s">
        <v>360</v>
      </c>
      <c r="K1114" s="55" t="s">
        <v>360</v>
      </c>
      <c r="L1114" s="55" t="s">
        <v>360</v>
      </c>
      <c r="M1114" s="55" t="s">
        <v>129</v>
      </c>
      <c r="N1114" s="55" t="s">
        <v>129</v>
      </c>
      <c r="O1114" s="55" t="s">
        <v>182</v>
      </c>
      <c r="P1114" s="55" t="s">
        <v>1660</v>
      </c>
      <c r="Q1114" s="55" t="s">
        <v>350</v>
      </c>
      <c r="R1114" s="85">
        <v>6</v>
      </c>
      <c r="S1114" s="55">
        <v>0</v>
      </c>
      <c r="T1114" s="74" t="s">
        <v>1698</v>
      </c>
      <c r="U1114" s="74" t="s">
        <v>2053</v>
      </c>
      <c r="V1114" s="74">
        <v>44321</v>
      </c>
      <c r="W1114" s="74">
        <v>44351</v>
      </c>
      <c r="X1114" s="55">
        <v>10194650</v>
      </c>
      <c r="AL1114" s="74"/>
      <c r="AM1114" s="74"/>
      <c r="AW1114" s="74"/>
      <c r="AX1114" s="74"/>
    </row>
    <row r="1115" spans="1:50" ht="13" x14ac:dyDescent="0.15">
      <c r="A1115" s="55" t="str">
        <f>HYPERLINK("http://reports.ofsted.gov.uk/inspection-reports/find-inspection-report/provider/CARE/2569345","Ofsted Social Care Provider Webpage")</f>
        <v>Ofsted Social Care Provider Webpage</v>
      </c>
      <c r="B1115" s="55">
        <v>2569345</v>
      </c>
      <c r="D1115" s="55" t="s">
        <v>373</v>
      </c>
      <c r="E1115" s="74">
        <v>43859</v>
      </c>
      <c r="F1115" s="55" t="s">
        <v>344</v>
      </c>
      <c r="G1115" s="55" t="s">
        <v>360</v>
      </c>
      <c r="H1115" s="55" t="s">
        <v>360</v>
      </c>
      <c r="I1115" s="55" t="s">
        <v>360</v>
      </c>
      <c r="J1115" s="55" t="s">
        <v>360</v>
      </c>
      <c r="K1115" s="55" t="s">
        <v>360</v>
      </c>
      <c r="L1115" s="55" t="s">
        <v>360</v>
      </c>
      <c r="M1115" s="55" t="s">
        <v>129</v>
      </c>
      <c r="N1115" s="55" t="s">
        <v>129</v>
      </c>
      <c r="O1115" s="55" t="s">
        <v>182</v>
      </c>
      <c r="P1115" s="55" t="s">
        <v>1660</v>
      </c>
      <c r="Q1115" s="55" t="s">
        <v>350</v>
      </c>
      <c r="R1115" s="85">
        <v>6</v>
      </c>
      <c r="S1115" s="55">
        <v>0</v>
      </c>
      <c r="T1115" s="74" t="s">
        <v>1698</v>
      </c>
      <c r="U1115" s="74" t="s">
        <v>351</v>
      </c>
      <c r="V1115" s="74">
        <v>44396</v>
      </c>
      <c r="W1115" s="74">
        <v>44447</v>
      </c>
      <c r="X1115" s="55">
        <v>10202498</v>
      </c>
      <c r="Y1115" s="55" t="s">
        <v>132</v>
      </c>
      <c r="AB1115" s="74" t="s">
        <v>132</v>
      </c>
      <c r="AC1115" s="55" t="s">
        <v>132</v>
      </c>
      <c r="AL1115" s="74"/>
      <c r="AM1115" s="74"/>
      <c r="AW1115" s="74"/>
      <c r="AX1115" s="74"/>
    </row>
    <row r="1116" spans="1:50" ht="13" x14ac:dyDescent="0.15">
      <c r="A1116" s="55" t="str">
        <f>HYPERLINK("http://reports.ofsted.gov.uk/inspection-reports/find-inspection-report/provider/CARE/2569358","Ofsted Social Care Provider Webpage")</f>
        <v>Ofsted Social Care Provider Webpage</v>
      </c>
      <c r="B1116" s="55">
        <v>2569358</v>
      </c>
      <c r="D1116" s="55" t="s">
        <v>373</v>
      </c>
      <c r="E1116" s="74">
        <v>43971</v>
      </c>
      <c r="F1116" s="55" t="s">
        <v>344</v>
      </c>
      <c r="G1116" s="55" t="s">
        <v>360</v>
      </c>
      <c r="H1116" s="55" t="s">
        <v>360</v>
      </c>
      <c r="I1116" s="55" t="s">
        <v>360</v>
      </c>
      <c r="J1116" s="55" t="s">
        <v>360</v>
      </c>
      <c r="K1116" s="55" t="s">
        <v>360</v>
      </c>
      <c r="L1116" s="55" t="s">
        <v>360</v>
      </c>
      <c r="M1116" s="55" t="s">
        <v>378</v>
      </c>
      <c r="N1116" s="55" t="s">
        <v>170</v>
      </c>
      <c r="O1116" s="55" t="s">
        <v>267</v>
      </c>
      <c r="P1116" s="55" t="s">
        <v>477</v>
      </c>
      <c r="Q1116" s="55" t="s">
        <v>350</v>
      </c>
      <c r="R1116" s="85">
        <v>3</v>
      </c>
      <c r="S1116" s="55">
        <v>0</v>
      </c>
      <c r="T1116" s="74" t="s">
        <v>1699</v>
      </c>
      <c r="U1116" s="74" t="s">
        <v>351</v>
      </c>
      <c r="V1116" s="74">
        <v>44411</v>
      </c>
      <c r="W1116" s="74">
        <v>44445</v>
      </c>
      <c r="X1116" s="55">
        <v>10185779</v>
      </c>
      <c r="Y1116" s="55" t="s">
        <v>132</v>
      </c>
      <c r="AB1116" s="74" t="s">
        <v>132</v>
      </c>
      <c r="AC1116" s="55" t="s">
        <v>132</v>
      </c>
      <c r="AL1116" s="74"/>
      <c r="AM1116" s="74"/>
      <c r="AW1116" s="74"/>
      <c r="AX1116" s="74"/>
    </row>
    <row r="1117" spans="1:50" ht="13" x14ac:dyDescent="0.15">
      <c r="A1117" s="55" t="str">
        <f>HYPERLINK("http://reports.ofsted.gov.uk/inspection-reports/find-inspection-report/provider/CARE/2569519","Ofsted Social Care Provider Webpage")</f>
        <v>Ofsted Social Care Provider Webpage</v>
      </c>
      <c r="B1117" s="55">
        <v>2569519</v>
      </c>
      <c r="D1117" s="55" t="s">
        <v>373</v>
      </c>
      <c r="E1117" s="74">
        <v>43930</v>
      </c>
      <c r="F1117" s="55" t="s">
        <v>6707</v>
      </c>
      <c r="G1117" s="55" t="s">
        <v>360</v>
      </c>
      <c r="H1117" s="55" t="s">
        <v>360</v>
      </c>
      <c r="I1117" s="55" t="s">
        <v>360</v>
      </c>
      <c r="J1117" s="55" t="s">
        <v>360</v>
      </c>
      <c r="K1117" s="55" t="s">
        <v>360</v>
      </c>
      <c r="L1117" s="55" t="s">
        <v>360</v>
      </c>
      <c r="M1117" s="55" t="s">
        <v>172</v>
      </c>
      <c r="N1117" s="55" t="s">
        <v>172</v>
      </c>
      <c r="O1117" s="55" t="s">
        <v>214</v>
      </c>
      <c r="P1117" s="55" t="s">
        <v>1632</v>
      </c>
      <c r="Q1117" s="55" t="s">
        <v>350</v>
      </c>
      <c r="R1117" s="85">
        <v>5</v>
      </c>
      <c r="S1117" s="55">
        <v>0</v>
      </c>
      <c r="T1117" s="74" t="s">
        <v>6725</v>
      </c>
      <c r="U1117" s="74" t="s">
        <v>6703</v>
      </c>
      <c r="V1117" s="74">
        <v>44560</v>
      </c>
      <c r="W1117" s="74">
        <v>44589</v>
      </c>
      <c r="X1117" s="55">
        <v>10218054</v>
      </c>
      <c r="Y1117" s="55" t="s">
        <v>6704</v>
      </c>
      <c r="AL1117" s="74"/>
      <c r="AM1117" s="74"/>
    </row>
    <row r="1118" spans="1:50" ht="13" x14ac:dyDescent="0.15">
      <c r="A1118" s="55" t="str">
        <f>HYPERLINK("http://reports.ofsted.gov.uk/inspection-reports/find-inspection-report/provider/CARE/2569519","Ofsted Social Care Provider Webpage")</f>
        <v>Ofsted Social Care Provider Webpage</v>
      </c>
      <c r="B1118" s="55">
        <v>2569519</v>
      </c>
      <c r="D1118" s="55" t="s">
        <v>373</v>
      </c>
      <c r="E1118" s="74">
        <v>43930</v>
      </c>
      <c r="F1118" s="55" t="s">
        <v>6707</v>
      </c>
      <c r="G1118" s="55" t="s">
        <v>360</v>
      </c>
      <c r="H1118" s="55" t="s">
        <v>360</v>
      </c>
      <c r="I1118" s="55" t="s">
        <v>360</v>
      </c>
      <c r="J1118" s="55" t="s">
        <v>360</v>
      </c>
      <c r="K1118" s="55" t="s">
        <v>360</v>
      </c>
      <c r="L1118" s="55" t="s">
        <v>360</v>
      </c>
      <c r="M1118" s="55" t="s">
        <v>172</v>
      </c>
      <c r="N1118" s="55" t="s">
        <v>172</v>
      </c>
      <c r="O1118" s="55" t="s">
        <v>214</v>
      </c>
      <c r="P1118" s="55" t="s">
        <v>1632</v>
      </c>
      <c r="Q1118" s="55" t="s">
        <v>350</v>
      </c>
      <c r="R1118" s="85">
        <v>5</v>
      </c>
      <c r="S1118" s="55">
        <v>0</v>
      </c>
      <c r="T1118" s="74" t="s">
        <v>6725</v>
      </c>
      <c r="U1118" s="74" t="s">
        <v>351</v>
      </c>
      <c r="V1118" s="74">
        <v>44411</v>
      </c>
      <c r="W1118" s="74">
        <v>44448</v>
      </c>
      <c r="X1118" s="55">
        <v>10199090</v>
      </c>
      <c r="Y1118" s="55" t="s">
        <v>130</v>
      </c>
      <c r="AB1118" s="74" t="s">
        <v>130</v>
      </c>
      <c r="AC1118" s="55" t="s">
        <v>130</v>
      </c>
      <c r="AL1118" s="74"/>
      <c r="AM1118" s="74"/>
    </row>
    <row r="1119" spans="1:50" ht="13" x14ac:dyDescent="0.15">
      <c r="A1119" s="55" t="str">
        <f>HYPERLINK("http://reports.ofsted.gov.uk/inspection-reports/find-inspection-report/provider/CARE/2569519","Ofsted Social Care Provider Webpage")</f>
        <v>Ofsted Social Care Provider Webpage</v>
      </c>
      <c r="B1119" s="55">
        <v>2569519</v>
      </c>
      <c r="D1119" s="55" t="s">
        <v>373</v>
      </c>
      <c r="E1119" s="74">
        <v>43930</v>
      </c>
      <c r="F1119" s="55" t="s">
        <v>6707</v>
      </c>
      <c r="G1119" s="55" t="s">
        <v>360</v>
      </c>
      <c r="H1119" s="55" t="s">
        <v>360</v>
      </c>
      <c r="I1119" s="55" t="s">
        <v>360</v>
      </c>
      <c r="J1119" s="55" t="s">
        <v>360</v>
      </c>
      <c r="K1119" s="55" t="s">
        <v>360</v>
      </c>
      <c r="L1119" s="55" t="s">
        <v>360</v>
      </c>
      <c r="M1119" s="55" t="s">
        <v>172</v>
      </c>
      <c r="N1119" s="55" t="s">
        <v>172</v>
      </c>
      <c r="O1119" s="55" t="s">
        <v>214</v>
      </c>
      <c r="P1119" s="55" t="s">
        <v>1632</v>
      </c>
      <c r="Q1119" s="55" t="s">
        <v>350</v>
      </c>
      <c r="R1119" s="85">
        <v>5</v>
      </c>
      <c r="S1119" s="55">
        <v>0</v>
      </c>
      <c r="T1119" s="74" t="s">
        <v>6725</v>
      </c>
      <c r="U1119" s="74" t="s">
        <v>351</v>
      </c>
      <c r="V1119" s="74">
        <v>44321</v>
      </c>
      <c r="W1119" s="74">
        <v>44356</v>
      </c>
      <c r="X1119" s="55">
        <v>10186294</v>
      </c>
      <c r="Y1119" s="55" t="s">
        <v>146</v>
      </c>
      <c r="AB1119" s="74" t="s">
        <v>146</v>
      </c>
      <c r="AC1119" s="55" t="s">
        <v>130</v>
      </c>
      <c r="AL1119" s="74"/>
      <c r="AM1119" s="74"/>
    </row>
    <row r="1120" spans="1:50" ht="13" x14ac:dyDescent="0.15">
      <c r="A1120" s="55" t="str">
        <f>HYPERLINK("http://reports.ofsted.gov.uk/inspection-reports/find-inspection-report/provider/CARE/2569519","Ofsted Social Care Provider Webpage")</f>
        <v>Ofsted Social Care Provider Webpage</v>
      </c>
      <c r="B1120" s="55">
        <v>2569519</v>
      </c>
      <c r="D1120" s="55" t="s">
        <v>373</v>
      </c>
      <c r="E1120" s="74">
        <v>43930</v>
      </c>
      <c r="F1120" s="55" t="s">
        <v>6707</v>
      </c>
      <c r="G1120" s="55" t="s">
        <v>360</v>
      </c>
      <c r="H1120" s="55" t="s">
        <v>360</v>
      </c>
      <c r="I1120" s="55" t="s">
        <v>360</v>
      </c>
      <c r="J1120" s="55" t="s">
        <v>360</v>
      </c>
      <c r="K1120" s="55" t="s">
        <v>360</v>
      </c>
      <c r="L1120" s="55" t="s">
        <v>360</v>
      </c>
      <c r="M1120" s="55" t="s">
        <v>172</v>
      </c>
      <c r="N1120" s="55" t="s">
        <v>172</v>
      </c>
      <c r="O1120" s="55" t="s">
        <v>214</v>
      </c>
      <c r="P1120" s="55" t="s">
        <v>1632</v>
      </c>
      <c r="Q1120" s="55" t="s">
        <v>350</v>
      </c>
      <c r="R1120" s="85">
        <v>5</v>
      </c>
      <c r="S1120" s="55">
        <v>0</v>
      </c>
      <c r="T1120" s="74" t="s">
        <v>6725</v>
      </c>
      <c r="U1120" s="74" t="s">
        <v>2053</v>
      </c>
      <c r="V1120" s="74">
        <v>44364</v>
      </c>
      <c r="W1120" s="74">
        <v>44403</v>
      </c>
      <c r="X1120" s="55">
        <v>10195141</v>
      </c>
      <c r="AL1120" s="74"/>
      <c r="AM1120" s="74"/>
      <c r="AW1120" s="74"/>
      <c r="AX1120" s="74"/>
    </row>
    <row r="1121" spans="1:50" ht="13" x14ac:dyDescent="0.15">
      <c r="A1121" s="55" t="str">
        <f>HYPERLINK("http://reports.ofsted.gov.uk/inspection-reports/find-inspection-report/provider/CARE/2569520","Ofsted Social Care Provider Webpage")</f>
        <v>Ofsted Social Care Provider Webpage</v>
      </c>
      <c r="B1121" s="55">
        <v>2569520</v>
      </c>
      <c r="D1121" s="55" t="s">
        <v>373</v>
      </c>
      <c r="E1121" s="74">
        <v>43938</v>
      </c>
      <c r="F1121" s="55" t="s">
        <v>344</v>
      </c>
      <c r="G1121" s="55" t="s">
        <v>360</v>
      </c>
      <c r="H1121" s="55" t="s">
        <v>360</v>
      </c>
      <c r="I1121" s="55" t="s">
        <v>360</v>
      </c>
      <c r="J1121" s="55" t="s">
        <v>360</v>
      </c>
      <c r="K1121" s="55" t="s">
        <v>360</v>
      </c>
      <c r="L1121" s="55" t="s">
        <v>360</v>
      </c>
      <c r="M1121" s="55" t="s">
        <v>138</v>
      </c>
      <c r="N1121" s="55" t="s">
        <v>138</v>
      </c>
      <c r="O1121" s="55" t="s">
        <v>183</v>
      </c>
      <c r="P1121" s="55" t="s">
        <v>813</v>
      </c>
      <c r="Q1121" s="55" t="s">
        <v>350</v>
      </c>
      <c r="R1121" s="85">
        <v>3</v>
      </c>
      <c r="S1121" s="55">
        <v>0</v>
      </c>
      <c r="T1121" s="74" t="s">
        <v>1700</v>
      </c>
      <c r="U1121" s="74" t="s">
        <v>351</v>
      </c>
      <c r="V1121" s="74">
        <v>44467</v>
      </c>
      <c r="W1121" s="74">
        <v>44494</v>
      </c>
      <c r="X1121" s="55">
        <v>10186262</v>
      </c>
      <c r="Y1121" s="55" t="s">
        <v>130</v>
      </c>
      <c r="AB1121" s="74" t="s">
        <v>130</v>
      </c>
      <c r="AC1121" s="55" t="s">
        <v>130</v>
      </c>
      <c r="AL1121" s="74"/>
      <c r="AM1121" s="74"/>
      <c r="AW1121" s="74"/>
      <c r="AX1121" s="74"/>
    </row>
    <row r="1122" spans="1:50" ht="13" x14ac:dyDescent="0.15">
      <c r="A1122" s="55" t="str">
        <f>HYPERLINK("http://reports.ofsted.gov.uk/inspection-reports/find-inspection-report/provider/CARE/2569520","Ofsted Social Care Provider Webpage")</f>
        <v>Ofsted Social Care Provider Webpage</v>
      </c>
      <c r="B1122" s="55">
        <v>2569520</v>
      </c>
      <c r="D1122" s="55" t="s">
        <v>373</v>
      </c>
      <c r="E1122" s="74">
        <v>43938</v>
      </c>
      <c r="F1122" s="55" t="s">
        <v>344</v>
      </c>
      <c r="G1122" s="55" t="s">
        <v>360</v>
      </c>
      <c r="H1122" s="55" t="s">
        <v>360</v>
      </c>
      <c r="I1122" s="55" t="s">
        <v>360</v>
      </c>
      <c r="J1122" s="55" t="s">
        <v>360</v>
      </c>
      <c r="K1122" s="55" t="s">
        <v>360</v>
      </c>
      <c r="L1122" s="55" t="s">
        <v>360</v>
      </c>
      <c r="M1122" s="55" t="s">
        <v>138</v>
      </c>
      <c r="N1122" s="55" t="s">
        <v>138</v>
      </c>
      <c r="O1122" s="55" t="s">
        <v>183</v>
      </c>
      <c r="P1122" s="55" t="s">
        <v>813</v>
      </c>
      <c r="Q1122" s="55" t="s">
        <v>350</v>
      </c>
      <c r="R1122" s="85">
        <v>3</v>
      </c>
      <c r="S1122" s="55">
        <v>0</v>
      </c>
      <c r="T1122" s="74" t="s">
        <v>1700</v>
      </c>
      <c r="U1122" s="74" t="s">
        <v>6703</v>
      </c>
      <c r="V1122" s="74">
        <v>44629</v>
      </c>
      <c r="W1122" s="74">
        <v>44672</v>
      </c>
      <c r="X1122" s="55">
        <v>10214877</v>
      </c>
      <c r="Y1122" s="55" t="s">
        <v>6705</v>
      </c>
      <c r="AL1122" s="74"/>
      <c r="AM1122" s="74"/>
      <c r="AW1122" s="74"/>
      <c r="AX1122" s="74"/>
    </row>
    <row r="1123" spans="1:50" ht="13" x14ac:dyDescent="0.15">
      <c r="A1123" s="55" t="str">
        <f>HYPERLINK("http://reports.ofsted.gov.uk/inspection-reports/find-inspection-report/provider/CARE/2569520","Ofsted Social Care Provider Webpage")</f>
        <v>Ofsted Social Care Provider Webpage</v>
      </c>
      <c r="B1123" s="55">
        <v>2569520</v>
      </c>
      <c r="D1123" s="55" t="s">
        <v>373</v>
      </c>
      <c r="E1123" s="74">
        <v>43938</v>
      </c>
      <c r="F1123" s="55" t="s">
        <v>344</v>
      </c>
      <c r="G1123" s="55" t="s">
        <v>360</v>
      </c>
      <c r="H1123" s="55" t="s">
        <v>360</v>
      </c>
      <c r="I1123" s="55" t="s">
        <v>360</v>
      </c>
      <c r="J1123" s="55" t="s">
        <v>360</v>
      </c>
      <c r="K1123" s="55" t="s">
        <v>360</v>
      </c>
      <c r="L1123" s="55" t="s">
        <v>360</v>
      </c>
      <c r="M1123" s="55" t="s">
        <v>138</v>
      </c>
      <c r="N1123" s="55" t="s">
        <v>138</v>
      </c>
      <c r="O1123" s="55" t="s">
        <v>183</v>
      </c>
      <c r="P1123" s="55" t="s">
        <v>813</v>
      </c>
      <c r="Q1123" s="55" t="s">
        <v>350</v>
      </c>
      <c r="R1123" s="85">
        <v>3</v>
      </c>
      <c r="S1123" s="55">
        <v>0</v>
      </c>
      <c r="T1123" s="74" t="s">
        <v>1700</v>
      </c>
      <c r="U1123" s="74" t="s">
        <v>6703</v>
      </c>
      <c r="V1123" s="74">
        <v>44496</v>
      </c>
      <c r="W1123" s="74">
        <v>44523</v>
      </c>
      <c r="X1123" s="55">
        <v>10209992</v>
      </c>
      <c r="Y1123" s="55" t="s">
        <v>6704</v>
      </c>
      <c r="AL1123" s="74"/>
      <c r="AM1123" s="74"/>
      <c r="AW1123" s="74"/>
      <c r="AX1123" s="74"/>
    </row>
    <row r="1124" spans="1:50" ht="13" x14ac:dyDescent="0.15">
      <c r="A1124" s="55" t="str">
        <f>HYPERLINK("http://reports.ofsted.gov.uk/inspection-reports/find-inspection-report/provider/CARE/2569527","Ofsted Social Care Provider Webpage")</f>
        <v>Ofsted Social Care Provider Webpage</v>
      </c>
      <c r="B1124" s="55">
        <v>2569527</v>
      </c>
      <c r="D1124" s="55" t="s">
        <v>373</v>
      </c>
      <c r="E1124" s="74">
        <v>43817</v>
      </c>
      <c r="F1124" s="55" t="s">
        <v>344</v>
      </c>
      <c r="G1124" s="55" t="s">
        <v>360</v>
      </c>
      <c r="H1124" s="55" t="s">
        <v>360</v>
      </c>
      <c r="I1124" s="55" t="s">
        <v>360</v>
      </c>
      <c r="J1124" s="55" t="s">
        <v>360</v>
      </c>
      <c r="K1124" s="55" t="s">
        <v>360</v>
      </c>
      <c r="L1124" s="55" t="s">
        <v>360</v>
      </c>
      <c r="M1124" s="55" t="s">
        <v>378</v>
      </c>
      <c r="N1124" s="55" t="s">
        <v>134</v>
      </c>
      <c r="O1124" s="55" t="s">
        <v>204</v>
      </c>
      <c r="P1124" s="55" t="s">
        <v>1478</v>
      </c>
      <c r="Q1124" s="55" t="s">
        <v>380</v>
      </c>
      <c r="R1124" s="85">
        <v>1</v>
      </c>
      <c r="S1124" s="55">
        <v>0</v>
      </c>
      <c r="T1124" s="74" t="s">
        <v>1479</v>
      </c>
      <c r="U1124" s="74" t="s">
        <v>351</v>
      </c>
      <c r="V1124" s="74">
        <v>44502</v>
      </c>
      <c r="W1124" s="74">
        <v>44550</v>
      </c>
      <c r="X1124" s="55">
        <v>10185788</v>
      </c>
      <c r="Y1124" s="55" t="s">
        <v>132</v>
      </c>
      <c r="AB1124" s="74" t="s">
        <v>132</v>
      </c>
      <c r="AC1124" s="55" t="s">
        <v>132</v>
      </c>
      <c r="AL1124" s="74"/>
      <c r="AM1124" s="74"/>
      <c r="AW1124" s="74"/>
      <c r="AX1124" s="74"/>
    </row>
    <row r="1125" spans="1:50" ht="13" x14ac:dyDescent="0.15">
      <c r="A1125" s="55" t="str">
        <f>HYPERLINK("http://reports.ofsted.gov.uk/inspection-reports/find-inspection-report/provider/CARE/2569705","Ofsted Social Care Provider Webpage")</f>
        <v>Ofsted Social Care Provider Webpage</v>
      </c>
      <c r="B1125" s="55">
        <v>2569705</v>
      </c>
      <c r="D1125" s="55" t="s">
        <v>373</v>
      </c>
      <c r="E1125" s="74">
        <v>43977</v>
      </c>
      <c r="F1125" s="55" t="s">
        <v>344</v>
      </c>
      <c r="G1125" s="55" t="s">
        <v>360</v>
      </c>
      <c r="H1125" s="55" t="s">
        <v>360</v>
      </c>
      <c r="I1125" s="55" t="s">
        <v>360</v>
      </c>
      <c r="J1125" s="55" t="s">
        <v>360</v>
      </c>
      <c r="K1125" s="55" t="s">
        <v>360</v>
      </c>
      <c r="L1125" s="55" t="s">
        <v>360</v>
      </c>
      <c r="M1125" s="55" t="s">
        <v>142</v>
      </c>
      <c r="N1125" s="55" t="s">
        <v>142</v>
      </c>
      <c r="O1125" s="55" t="s">
        <v>292</v>
      </c>
      <c r="P1125" s="55" t="s">
        <v>976</v>
      </c>
      <c r="Q1125" s="55" t="s">
        <v>350</v>
      </c>
      <c r="R1125" s="85">
        <v>3</v>
      </c>
      <c r="S1125" s="55">
        <v>0</v>
      </c>
      <c r="T1125" s="74" t="s">
        <v>1701</v>
      </c>
      <c r="U1125" s="74" t="s">
        <v>351</v>
      </c>
      <c r="V1125" s="74">
        <v>44361</v>
      </c>
      <c r="W1125" s="74">
        <v>44390</v>
      </c>
      <c r="X1125" s="55">
        <v>10186703</v>
      </c>
      <c r="Y1125" s="55" t="s">
        <v>132</v>
      </c>
      <c r="AB1125" s="74" t="s">
        <v>132</v>
      </c>
      <c r="AC1125" s="55" t="s">
        <v>130</v>
      </c>
      <c r="AL1125" s="74"/>
      <c r="AM1125" s="74"/>
      <c r="AW1125" s="74"/>
      <c r="AX1125" s="74"/>
    </row>
    <row r="1126" spans="1:50" ht="13" x14ac:dyDescent="0.15">
      <c r="A1126" s="55" t="str">
        <f>HYPERLINK("http://reports.ofsted.gov.uk/inspection-reports/find-inspection-report/provider/CARE/2569994","Ofsted Social Care Provider Webpage")</f>
        <v>Ofsted Social Care Provider Webpage</v>
      </c>
      <c r="B1126" s="55">
        <v>2569994</v>
      </c>
      <c r="D1126" s="55" t="s">
        <v>373</v>
      </c>
      <c r="E1126" s="74">
        <v>43875</v>
      </c>
      <c r="F1126" s="55" t="s">
        <v>344</v>
      </c>
      <c r="G1126" s="55" t="s">
        <v>360</v>
      </c>
      <c r="H1126" s="55" t="s">
        <v>360</v>
      </c>
      <c r="I1126" s="55" t="s">
        <v>360</v>
      </c>
      <c r="J1126" s="55" t="s">
        <v>360</v>
      </c>
      <c r="K1126" s="55" t="s">
        <v>360</v>
      </c>
      <c r="L1126" s="55" t="s">
        <v>360</v>
      </c>
      <c r="M1126" s="55" t="s">
        <v>142</v>
      </c>
      <c r="N1126" s="55" t="s">
        <v>142</v>
      </c>
      <c r="O1126" s="55" t="s">
        <v>272</v>
      </c>
      <c r="P1126" s="55" t="s">
        <v>1291</v>
      </c>
      <c r="Q1126" s="55" t="s">
        <v>350</v>
      </c>
      <c r="R1126" s="85">
        <v>2</v>
      </c>
      <c r="S1126" s="55">
        <v>0</v>
      </c>
      <c r="T1126" s="74" t="s">
        <v>489</v>
      </c>
      <c r="U1126" s="74" t="s">
        <v>351</v>
      </c>
      <c r="V1126" s="74">
        <v>44440</v>
      </c>
      <c r="W1126" s="74">
        <v>44476</v>
      </c>
      <c r="X1126" s="55">
        <v>10186193</v>
      </c>
      <c r="Y1126" s="55" t="s">
        <v>130</v>
      </c>
      <c r="AB1126" s="74" t="s">
        <v>130</v>
      </c>
      <c r="AC1126" s="55" t="s">
        <v>130</v>
      </c>
      <c r="AL1126" s="74"/>
      <c r="AM1126" s="74"/>
      <c r="AW1126" s="74"/>
      <c r="AX1126" s="74"/>
    </row>
    <row r="1127" spans="1:50" ht="13" x14ac:dyDescent="0.15">
      <c r="A1127" s="55" t="str">
        <f>HYPERLINK("http://reports.ofsted.gov.uk/inspection-reports/find-inspection-report/provider/CARE/2569994","Ofsted Social Care Provider Webpage")</f>
        <v>Ofsted Social Care Provider Webpage</v>
      </c>
      <c r="B1127" s="55">
        <v>2569994</v>
      </c>
      <c r="D1127" s="55" t="s">
        <v>373</v>
      </c>
      <c r="E1127" s="74">
        <v>43875</v>
      </c>
      <c r="F1127" s="55" t="s">
        <v>344</v>
      </c>
      <c r="G1127" s="55" t="s">
        <v>360</v>
      </c>
      <c r="H1127" s="55" t="s">
        <v>360</v>
      </c>
      <c r="I1127" s="55" t="s">
        <v>360</v>
      </c>
      <c r="J1127" s="55" t="s">
        <v>360</v>
      </c>
      <c r="K1127" s="55" t="s">
        <v>360</v>
      </c>
      <c r="L1127" s="55" t="s">
        <v>360</v>
      </c>
      <c r="M1127" s="55" t="s">
        <v>142</v>
      </c>
      <c r="N1127" s="55" t="s">
        <v>142</v>
      </c>
      <c r="O1127" s="55" t="s">
        <v>272</v>
      </c>
      <c r="P1127" s="55" t="s">
        <v>1291</v>
      </c>
      <c r="Q1127" s="55" t="s">
        <v>350</v>
      </c>
      <c r="R1127" s="85">
        <v>2</v>
      </c>
      <c r="S1127" s="55">
        <v>0</v>
      </c>
      <c r="T1127" s="74" t="s">
        <v>489</v>
      </c>
      <c r="U1127" s="74" t="s">
        <v>6703</v>
      </c>
      <c r="V1127" s="74">
        <v>44634</v>
      </c>
      <c r="W1127" s="74">
        <v>44671</v>
      </c>
      <c r="X1127" s="55">
        <v>10217219</v>
      </c>
      <c r="Y1127" s="55" t="s">
        <v>6704</v>
      </c>
      <c r="AL1127" s="74"/>
      <c r="AM1127" s="74"/>
    </row>
    <row r="1128" spans="1:50" ht="13" x14ac:dyDescent="0.15">
      <c r="A1128" s="55" t="str">
        <f>HYPERLINK("http://reports.ofsted.gov.uk/inspection-reports/find-inspection-report/provider/CARE/2570055","Ofsted Social Care Provider Webpage")</f>
        <v>Ofsted Social Care Provider Webpage</v>
      </c>
      <c r="B1128" s="55">
        <v>2570055</v>
      </c>
      <c r="D1128" s="55" t="s">
        <v>373</v>
      </c>
      <c r="E1128" s="74">
        <v>44068</v>
      </c>
      <c r="F1128" s="55" t="s">
        <v>344</v>
      </c>
      <c r="G1128" s="55" t="s">
        <v>360</v>
      </c>
      <c r="H1128" s="55" t="s">
        <v>360</v>
      </c>
      <c r="I1128" s="55" t="s">
        <v>360</v>
      </c>
      <c r="J1128" s="55" t="s">
        <v>360</v>
      </c>
      <c r="K1128" s="55" t="s">
        <v>360</v>
      </c>
      <c r="L1128" s="55" t="s">
        <v>360</v>
      </c>
      <c r="M1128" s="55" t="s">
        <v>142</v>
      </c>
      <c r="N1128" s="55" t="s">
        <v>142</v>
      </c>
      <c r="O1128" s="55" t="s">
        <v>262</v>
      </c>
      <c r="P1128" s="55" t="s">
        <v>916</v>
      </c>
      <c r="Q1128" s="55" t="s">
        <v>350</v>
      </c>
      <c r="R1128" s="85">
        <v>3</v>
      </c>
      <c r="S1128" s="55">
        <v>0</v>
      </c>
      <c r="T1128" s="74" t="s">
        <v>517</v>
      </c>
      <c r="U1128" s="74" t="s">
        <v>351</v>
      </c>
      <c r="V1128" s="74">
        <v>44341</v>
      </c>
      <c r="W1128" s="74">
        <v>44376</v>
      </c>
      <c r="X1128" s="55">
        <v>10186039</v>
      </c>
      <c r="Y1128" s="55" t="s">
        <v>132</v>
      </c>
      <c r="AB1128" s="74" t="s">
        <v>132</v>
      </c>
      <c r="AC1128" s="55" t="s">
        <v>130</v>
      </c>
      <c r="AL1128" s="74"/>
      <c r="AM1128" s="74"/>
      <c r="AW1128" s="74"/>
      <c r="AX1128" s="74"/>
    </row>
    <row r="1129" spans="1:50" ht="13" x14ac:dyDescent="0.15">
      <c r="A1129" s="55" t="str">
        <f>HYPERLINK("http://reports.ofsted.gov.uk/inspection-reports/find-inspection-report/provider/CARE/2570070","Ofsted Social Care Provider Webpage")</f>
        <v>Ofsted Social Care Provider Webpage</v>
      </c>
      <c r="B1129" s="55">
        <v>2570070</v>
      </c>
      <c r="D1129" s="55" t="s">
        <v>373</v>
      </c>
      <c r="E1129" s="74">
        <v>43927</v>
      </c>
      <c r="F1129" s="55" t="s">
        <v>344</v>
      </c>
      <c r="G1129" s="55" t="s">
        <v>360</v>
      </c>
      <c r="H1129" s="55" t="s">
        <v>360</v>
      </c>
      <c r="I1129" s="55" t="s">
        <v>360</v>
      </c>
      <c r="J1129" s="55" t="s">
        <v>360</v>
      </c>
      <c r="K1129" s="55" t="s">
        <v>360</v>
      </c>
      <c r="L1129" s="55" t="s">
        <v>360</v>
      </c>
      <c r="M1129" s="55" t="s">
        <v>144</v>
      </c>
      <c r="N1129" s="55" t="s">
        <v>144</v>
      </c>
      <c r="O1129" s="55" t="s">
        <v>207</v>
      </c>
      <c r="P1129" s="55" t="s">
        <v>207</v>
      </c>
      <c r="Q1129" s="55" t="s">
        <v>350</v>
      </c>
      <c r="R1129" s="85">
        <v>3</v>
      </c>
      <c r="S1129" s="55">
        <v>0</v>
      </c>
      <c r="T1129" s="74" t="s">
        <v>1702</v>
      </c>
      <c r="U1129" s="74" t="s">
        <v>351</v>
      </c>
      <c r="V1129" s="74">
        <v>44447</v>
      </c>
      <c r="W1129" s="74">
        <v>44477</v>
      </c>
      <c r="X1129" s="55">
        <v>10186324</v>
      </c>
      <c r="Y1129" s="55" t="s">
        <v>132</v>
      </c>
      <c r="AB1129" s="74" t="s">
        <v>132</v>
      </c>
      <c r="AC1129" s="55" t="s">
        <v>132</v>
      </c>
      <c r="AL1129" s="74"/>
      <c r="AM1129" s="74"/>
    </row>
    <row r="1130" spans="1:50" ht="13" x14ac:dyDescent="0.15">
      <c r="A1130" s="55" t="str">
        <f>HYPERLINK("http://reports.ofsted.gov.uk/inspection-reports/find-inspection-report/provider/CARE/2570071","Ofsted Social Care Provider Webpage")</f>
        <v>Ofsted Social Care Provider Webpage</v>
      </c>
      <c r="B1130" s="55">
        <v>2570071</v>
      </c>
      <c r="D1130" s="55" t="s">
        <v>373</v>
      </c>
      <c r="E1130" s="74">
        <v>43887</v>
      </c>
      <c r="F1130" s="55" t="s">
        <v>344</v>
      </c>
      <c r="G1130" s="55" t="s">
        <v>360</v>
      </c>
      <c r="H1130" s="55" t="s">
        <v>360</v>
      </c>
      <c r="I1130" s="55" t="s">
        <v>360</v>
      </c>
      <c r="J1130" s="55" t="s">
        <v>360</v>
      </c>
      <c r="K1130" s="55" t="s">
        <v>360</v>
      </c>
      <c r="L1130" s="55" t="s">
        <v>360</v>
      </c>
      <c r="M1130" s="55" t="s">
        <v>150</v>
      </c>
      <c r="N1130" s="55" t="s">
        <v>150</v>
      </c>
      <c r="O1130" s="55" t="s">
        <v>190</v>
      </c>
      <c r="P1130" s="55" t="s">
        <v>1703</v>
      </c>
      <c r="Q1130" s="55" t="s">
        <v>350</v>
      </c>
      <c r="R1130" s="85">
        <v>6</v>
      </c>
      <c r="S1130" s="55">
        <v>0</v>
      </c>
      <c r="T1130" s="74" t="s">
        <v>574</v>
      </c>
      <c r="U1130" s="74" t="s">
        <v>351</v>
      </c>
      <c r="V1130" s="74">
        <v>44489</v>
      </c>
      <c r="W1130" s="74">
        <v>44565</v>
      </c>
      <c r="X1130" s="55">
        <v>10186163</v>
      </c>
      <c r="Y1130" s="55" t="s">
        <v>132</v>
      </c>
      <c r="AB1130" s="74" t="s">
        <v>132</v>
      </c>
      <c r="AC1130" s="55" t="s">
        <v>132</v>
      </c>
      <c r="AL1130" s="74"/>
      <c r="AM1130" s="74"/>
      <c r="AW1130" s="74"/>
      <c r="AX1130" s="74"/>
    </row>
    <row r="1131" spans="1:50" ht="13" x14ac:dyDescent="0.15">
      <c r="A1131" s="55" t="str">
        <f>HYPERLINK("http://reports.ofsted.gov.uk/inspection-reports/find-inspection-report/provider/CARE/2570084","Ofsted Social Care Provider Webpage")</f>
        <v>Ofsted Social Care Provider Webpage</v>
      </c>
      <c r="B1131" s="55">
        <v>2570084</v>
      </c>
      <c r="D1131" s="55" t="s">
        <v>373</v>
      </c>
      <c r="E1131" s="74">
        <v>44176</v>
      </c>
      <c r="F1131" s="55" t="s">
        <v>344</v>
      </c>
      <c r="G1131" s="55" t="s">
        <v>360</v>
      </c>
      <c r="H1131" s="55" t="s">
        <v>360</v>
      </c>
      <c r="I1131" s="55" t="s">
        <v>360</v>
      </c>
      <c r="J1131" s="55" t="s">
        <v>360</v>
      </c>
      <c r="K1131" s="55" t="s">
        <v>360</v>
      </c>
      <c r="L1131" s="55" t="s">
        <v>360</v>
      </c>
      <c r="M1131" s="55" t="s">
        <v>172</v>
      </c>
      <c r="N1131" s="55" t="s">
        <v>172</v>
      </c>
      <c r="O1131" s="55" t="s">
        <v>173</v>
      </c>
      <c r="P1131" s="55" t="s">
        <v>961</v>
      </c>
      <c r="Q1131" s="55" t="s">
        <v>350</v>
      </c>
      <c r="R1131" s="85">
        <v>1</v>
      </c>
      <c r="S1131" s="55">
        <v>0</v>
      </c>
      <c r="T1131" s="74" t="s">
        <v>1704</v>
      </c>
      <c r="U1131" s="74" t="s">
        <v>351</v>
      </c>
      <c r="V1131" s="74">
        <v>44594</v>
      </c>
      <c r="W1131" s="74">
        <v>44637</v>
      </c>
      <c r="X1131" s="55">
        <v>10186112</v>
      </c>
      <c r="Y1131" s="55" t="s">
        <v>130</v>
      </c>
      <c r="AB1131" s="74" t="s">
        <v>130</v>
      </c>
      <c r="AC1131" s="55" t="s">
        <v>130</v>
      </c>
      <c r="AL1131" s="74"/>
      <c r="AM1131" s="74"/>
      <c r="AW1131" s="74"/>
      <c r="AX1131" s="74"/>
    </row>
    <row r="1132" spans="1:50" ht="13" x14ac:dyDescent="0.15">
      <c r="A1132" s="55" t="str">
        <f>HYPERLINK("http://reports.ofsted.gov.uk/inspection-reports/find-inspection-report/provider/CARE/2570253","Ofsted Social Care Provider Webpage")</f>
        <v>Ofsted Social Care Provider Webpage</v>
      </c>
      <c r="B1132" s="55">
        <v>2570253</v>
      </c>
      <c r="D1132" s="55" t="s">
        <v>373</v>
      </c>
      <c r="E1132" s="74">
        <v>43900</v>
      </c>
      <c r="F1132" s="55" t="s">
        <v>344</v>
      </c>
      <c r="G1132" s="55" t="s">
        <v>360</v>
      </c>
      <c r="H1132" s="55" t="s">
        <v>360</v>
      </c>
      <c r="I1132" s="55" t="s">
        <v>360</v>
      </c>
      <c r="J1132" s="55" t="s">
        <v>360</v>
      </c>
      <c r="K1132" s="55" t="s">
        <v>360</v>
      </c>
      <c r="L1132" s="55" t="s">
        <v>360</v>
      </c>
      <c r="M1132" s="55" t="s">
        <v>172</v>
      </c>
      <c r="N1132" s="55" t="s">
        <v>172</v>
      </c>
      <c r="O1132" s="55" t="s">
        <v>214</v>
      </c>
      <c r="P1132" s="55" t="s">
        <v>1345</v>
      </c>
      <c r="Q1132" s="55" t="s">
        <v>350</v>
      </c>
      <c r="R1132" s="85">
        <v>5</v>
      </c>
      <c r="S1132" s="55">
        <v>0</v>
      </c>
      <c r="T1132" s="74" t="s">
        <v>1705</v>
      </c>
      <c r="U1132" s="74" t="s">
        <v>351</v>
      </c>
      <c r="V1132" s="74">
        <v>44348</v>
      </c>
      <c r="W1132" s="74">
        <v>44391</v>
      </c>
      <c r="X1132" s="55">
        <v>10186791</v>
      </c>
      <c r="Y1132" s="55" t="s">
        <v>146</v>
      </c>
      <c r="AB1132" s="74" t="s">
        <v>146</v>
      </c>
      <c r="AC1132" s="55" t="s">
        <v>146</v>
      </c>
      <c r="AL1132" s="74"/>
      <c r="AM1132" s="74"/>
      <c r="AW1132" s="74"/>
      <c r="AX1132" s="74"/>
    </row>
    <row r="1133" spans="1:50" ht="13" x14ac:dyDescent="0.15">
      <c r="A1133" s="55" t="str">
        <f>HYPERLINK("http://reports.ofsted.gov.uk/inspection-reports/find-inspection-report/provider/CARE/2570253","Ofsted Social Care Provider Webpage")</f>
        <v>Ofsted Social Care Provider Webpage</v>
      </c>
      <c r="B1133" s="55">
        <v>2570253</v>
      </c>
      <c r="D1133" s="55" t="s">
        <v>373</v>
      </c>
      <c r="E1133" s="74">
        <v>43900</v>
      </c>
      <c r="F1133" s="55" t="s">
        <v>344</v>
      </c>
      <c r="G1133" s="55" t="s">
        <v>360</v>
      </c>
      <c r="H1133" s="55" t="s">
        <v>360</v>
      </c>
      <c r="I1133" s="55" t="s">
        <v>360</v>
      </c>
      <c r="J1133" s="55" t="s">
        <v>360</v>
      </c>
      <c r="K1133" s="55" t="s">
        <v>360</v>
      </c>
      <c r="L1133" s="55" t="s">
        <v>360</v>
      </c>
      <c r="M1133" s="55" t="s">
        <v>172</v>
      </c>
      <c r="N1133" s="55" t="s">
        <v>172</v>
      </c>
      <c r="O1133" s="55" t="s">
        <v>214</v>
      </c>
      <c r="P1133" s="55" t="s">
        <v>1345</v>
      </c>
      <c r="Q1133" s="55" t="s">
        <v>350</v>
      </c>
      <c r="R1133" s="85">
        <v>5</v>
      </c>
      <c r="S1133" s="55">
        <v>0</v>
      </c>
      <c r="T1133" s="74" t="s">
        <v>1705</v>
      </c>
      <c r="U1133" s="74" t="s">
        <v>2053</v>
      </c>
      <c r="V1133" s="74">
        <v>44382</v>
      </c>
      <c r="W1133" s="74">
        <v>44413</v>
      </c>
      <c r="X1133" s="55">
        <v>10201558</v>
      </c>
      <c r="AL1133" s="74"/>
      <c r="AM1133" s="74"/>
    </row>
    <row r="1134" spans="1:50" ht="13" x14ac:dyDescent="0.15">
      <c r="A1134" s="55" t="str">
        <f>HYPERLINK("http://reports.ofsted.gov.uk/inspection-reports/find-inspection-report/provider/CARE/2570253","Ofsted Social Care Provider Webpage")</f>
        <v>Ofsted Social Care Provider Webpage</v>
      </c>
      <c r="B1134" s="55">
        <v>2570253</v>
      </c>
      <c r="D1134" s="55" t="s">
        <v>373</v>
      </c>
      <c r="E1134" s="74">
        <v>43900</v>
      </c>
      <c r="F1134" s="55" t="s">
        <v>344</v>
      </c>
      <c r="G1134" s="55" t="s">
        <v>360</v>
      </c>
      <c r="H1134" s="55" t="s">
        <v>360</v>
      </c>
      <c r="I1134" s="55" t="s">
        <v>360</v>
      </c>
      <c r="J1134" s="55" t="s">
        <v>360</v>
      </c>
      <c r="K1134" s="55" t="s">
        <v>360</v>
      </c>
      <c r="L1134" s="55" t="s">
        <v>360</v>
      </c>
      <c r="M1134" s="55" t="s">
        <v>172</v>
      </c>
      <c r="N1134" s="55" t="s">
        <v>172</v>
      </c>
      <c r="O1134" s="55" t="s">
        <v>214</v>
      </c>
      <c r="P1134" s="55" t="s">
        <v>1345</v>
      </c>
      <c r="Q1134" s="55" t="s">
        <v>350</v>
      </c>
      <c r="R1134" s="85">
        <v>5</v>
      </c>
      <c r="S1134" s="55">
        <v>0</v>
      </c>
      <c r="T1134" s="74" t="s">
        <v>1705</v>
      </c>
      <c r="U1134" s="74" t="s">
        <v>351</v>
      </c>
      <c r="V1134" s="74">
        <v>44459</v>
      </c>
      <c r="W1134" s="74">
        <v>44488</v>
      </c>
      <c r="X1134" s="55">
        <v>10201964</v>
      </c>
      <c r="Y1134" s="55" t="s">
        <v>130</v>
      </c>
      <c r="AB1134" s="74" t="s">
        <v>130</v>
      </c>
      <c r="AC1134" s="55" t="s">
        <v>130</v>
      </c>
      <c r="AL1134" s="74"/>
      <c r="AM1134" s="74"/>
    </row>
    <row r="1135" spans="1:50" ht="13" x14ac:dyDescent="0.15">
      <c r="A1135" s="55" t="str">
        <f>HYPERLINK("http://reports.ofsted.gov.uk/inspection-reports/find-inspection-report/provider/CARE/2570481","Ofsted Social Care Provider Webpage")</f>
        <v>Ofsted Social Care Provider Webpage</v>
      </c>
      <c r="B1135" s="55">
        <v>2570481</v>
      </c>
      <c r="D1135" s="55" t="s">
        <v>373</v>
      </c>
      <c r="E1135" s="74">
        <v>43970</v>
      </c>
      <c r="F1135" s="55" t="s">
        <v>6707</v>
      </c>
      <c r="G1135" s="55" t="s">
        <v>360</v>
      </c>
      <c r="H1135" s="55" t="s">
        <v>360</v>
      </c>
      <c r="I1135" s="55" t="s">
        <v>360</v>
      </c>
      <c r="J1135" s="55" t="s">
        <v>360</v>
      </c>
      <c r="K1135" s="55" t="s">
        <v>360</v>
      </c>
      <c r="L1135" s="55" t="s">
        <v>360</v>
      </c>
      <c r="M1135" s="55" t="s">
        <v>144</v>
      </c>
      <c r="N1135" s="55" t="s">
        <v>144</v>
      </c>
      <c r="O1135" s="55" t="s">
        <v>209</v>
      </c>
      <c r="P1135" s="55" t="s">
        <v>629</v>
      </c>
      <c r="Q1135" s="55" t="s">
        <v>350</v>
      </c>
      <c r="R1135" s="85">
        <v>3</v>
      </c>
      <c r="S1135" s="55">
        <v>0</v>
      </c>
      <c r="T1135" s="74" t="s">
        <v>613</v>
      </c>
      <c r="U1135" s="74" t="s">
        <v>351</v>
      </c>
      <c r="V1135" s="74">
        <v>44426</v>
      </c>
      <c r="W1135" s="74">
        <v>44469</v>
      </c>
      <c r="X1135" s="55">
        <v>10185331</v>
      </c>
      <c r="Y1135" s="55" t="s">
        <v>130</v>
      </c>
      <c r="AB1135" s="74" t="s">
        <v>130</v>
      </c>
      <c r="AC1135" s="55" t="s">
        <v>130</v>
      </c>
      <c r="AL1135" s="74"/>
      <c r="AM1135" s="74"/>
    </row>
    <row r="1136" spans="1:50" ht="13" x14ac:dyDescent="0.15">
      <c r="A1136" s="55" t="str">
        <f>HYPERLINK("http://reports.ofsted.gov.uk/inspection-reports/find-inspection-report/provider/CARE/2570481","Ofsted Social Care Provider Webpage")</f>
        <v>Ofsted Social Care Provider Webpage</v>
      </c>
      <c r="B1136" s="55">
        <v>2570481</v>
      </c>
      <c r="D1136" s="55" t="s">
        <v>373</v>
      </c>
      <c r="E1136" s="74">
        <v>43970</v>
      </c>
      <c r="F1136" s="55" t="s">
        <v>6707</v>
      </c>
      <c r="G1136" s="55" t="s">
        <v>360</v>
      </c>
      <c r="H1136" s="55" t="s">
        <v>360</v>
      </c>
      <c r="I1136" s="55" t="s">
        <v>360</v>
      </c>
      <c r="J1136" s="55" t="s">
        <v>360</v>
      </c>
      <c r="K1136" s="55" t="s">
        <v>360</v>
      </c>
      <c r="L1136" s="55" t="s">
        <v>360</v>
      </c>
      <c r="M1136" s="55" t="s">
        <v>144</v>
      </c>
      <c r="N1136" s="55" t="s">
        <v>144</v>
      </c>
      <c r="O1136" s="55" t="s">
        <v>209</v>
      </c>
      <c r="P1136" s="55" t="s">
        <v>629</v>
      </c>
      <c r="Q1136" s="55" t="s">
        <v>350</v>
      </c>
      <c r="R1136" s="85">
        <v>3</v>
      </c>
      <c r="S1136" s="55">
        <v>0</v>
      </c>
      <c r="T1136" s="74" t="s">
        <v>613</v>
      </c>
      <c r="U1136" s="74" t="s">
        <v>6703</v>
      </c>
      <c r="V1136" s="74">
        <v>44524</v>
      </c>
      <c r="W1136" s="74">
        <v>44579</v>
      </c>
      <c r="X1136" s="55">
        <v>10209638</v>
      </c>
      <c r="Y1136" s="55" t="s">
        <v>6705</v>
      </c>
      <c r="AL1136" s="74"/>
      <c r="AM1136" s="74"/>
    </row>
    <row r="1137" spans="1:50" ht="13" x14ac:dyDescent="0.15">
      <c r="A1137" s="55" t="str">
        <f>HYPERLINK("http://reports.ofsted.gov.uk/inspection-reports/find-inspection-report/provider/CARE/2570535","Ofsted Social Care Provider Webpage")</f>
        <v>Ofsted Social Care Provider Webpage</v>
      </c>
      <c r="B1137" s="55">
        <v>2570535</v>
      </c>
      <c r="D1137" s="55" t="s">
        <v>373</v>
      </c>
      <c r="E1137" s="74">
        <v>43955</v>
      </c>
      <c r="F1137" s="55" t="s">
        <v>344</v>
      </c>
      <c r="G1137" s="55" t="s">
        <v>360</v>
      </c>
      <c r="H1137" s="55" t="s">
        <v>360</v>
      </c>
      <c r="I1137" s="55" t="s">
        <v>360</v>
      </c>
      <c r="J1137" s="55" t="s">
        <v>360</v>
      </c>
      <c r="K1137" s="55" t="s">
        <v>360</v>
      </c>
      <c r="L1137" s="55" t="s">
        <v>360</v>
      </c>
      <c r="M1137" s="55" t="s">
        <v>142</v>
      </c>
      <c r="N1137" s="55" t="s">
        <v>142</v>
      </c>
      <c r="O1137" s="55" t="s">
        <v>252</v>
      </c>
      <c r="P1137" s="55" t="s">
        <v>388</v>
      </c>
      <c r="Q1137" s="55" t="s">
        <v>350</v>
      </c>
      <c r="R1137" s="85">
        <v>4</v>
      </c>
      <c r="S1137" s="55">
        <v>0</v>
      </c>
      <c r="T1137" s="74" t="s">
        <v>1182</v>
      </c>
      <c r="U1137" s="74" t="s">
        <v>351</v>
      </c>
      <c r="V1137" s="74">
        <v>44447</v>
      </c>
      <c r="W1137" s="74">
        <v>44487</v>
      </c>
      <c r="X1137" s="55">
        <v>10185257</v>
      </c>
      <c r="Y1137" s="55" t="s">
        <v>130</v>
      </c>
      <c r="AB1137" s="74" t="s">
        <v>130</v>
      </c>
      <c r="AC1137" s="55" t="s">
        <v>130</v>
      </c>
      <c r="AL1137" s="74"/>
      <c r="AM1137" s="74"/>
    </row>
    <row r="1138" spans="1:50" ht="13" x14ac:dyDescent="0.15">
      <c r="A1138" s="55" t="str">
        <f>HYPERLINK("http://reports.ofsted.gov.uk/inspection-reports/find-inspection-report/provider/CARE/2570947","Ofsted Social Care Provider Webpage")</f>
        <v>Ofsted Social Care Provider Webpage</v>
      </c>
      <c r="B1138" s="55">
        <v>2570947</v>
      </c>
      <c r="D1138" s="55" t="s">
        <v>373</v>
      </c>
      <c r="E1138" s="74">
        <v>43858</v>
      </c>
      <c r="F1138" s="55" t="s">
        <v>344</v>
      </c>
      <c r="G1138" s="55" t="s">
        <v>360</v>
      </c>
      <c r="H1138" s="55" t="s">
        <v>360</v>
      </c>
      <c r="I1138" s="55" t="s">
        <v>360</v>
      </c>
      <c r="J1138" s="55" t="s">
        <v>360</v>
      </c>
      <c r="K1138" s="55" t="s">
        <v>360</v>
      </c>
      <c r="L1138" s="55" t="s">
        <v>360</v>
      </c>
      <c r="M1138" s="55" t="s">
        <v>378</v>
      </c>
      <c r="N1138" s="55" t="s">
        <v>170</v>
      </c>
      <c r="O1138" s="55" t="s">
        <v>184</v>
      </c>
      <c r="P1138" s="55" t="s">
        <v>676</v>
      </c>
      <c r="Q1138" s="55" t="s">
        <v>380</v>
      </c>
      <c r="R1138" s="85">
        <v>6</v>
      </c>
      <c r="S1138" s="55">
        <v>0</v>
      </c>
      <c r="T1138" s="74" t="s">
        <v>1711</v>
      </c>
      <c r="U1138" s="74" t="s">
        <v>351</v>
      </c>
      <c r="V1138" s="74">
        <v>44431</v>
      </c>
      <c r="W1138" s="74">
        <v>44461</v>
      </c>
      <c r="X1138" s="55">
        <v>10186279</v>
      </c>
      <c r="Y1138" s="55" t="s">
        <v>132</v>
      </c>
      <c r="AB1138" s="74" t="s">
        <v>132</v>
      </c>
      <c r="AC1138" s="55" t="s">
        <v>132</v>
      </c>
      <c r="AL1138" s="74"/>
      <c r="AM1138" s="74"/>
    </row>
    <row r="1139" spans="1:50" ht="13" x14ac:dyDescent="0.15">
      <c r="A1139" s="55" t="str">
        <f>HYPERLINK("http://reports.ofsted.gov.uk/inspection-reports/find-inspection-report/provider/CARE/2571031","Ofsted Social Care Provider Webpage")</f>
        <v>Ofsted Social Care Provider Webpage</v>
      </c>
      <c r="B1139" s="55">
        <v>2571031</v>
      </c>
      <c r="D1139" s="55" t="s">
        <v>373</v>
      </c>
      <c r="E1139" s="74">
        <v>43978</v>
      </c>
      <c r="F1139" s="55" t="s">
        <v>344</v>
      </c>
      <c r="G1139" s="55" t="s">
        <v>360</v>
      </c>
      <c r="H1139" s="55" t="s">
        <v>360</v>
      </c>
      <c r="I1139" s="55" t="s">
        <v>360</v>
      </c>
      <c r="J1139" s="55" t="s">
        <v>360</v>
      </c>
      <c r="K1139" s="55" t="s">
        <v>360</v>
      </c>
      <c r="L1139" s="55" t="s">
        <v>360</v>
      </c>
      <c r="M1139" s="55" t="s">
        <v>144</v>
      </c>
      <c r="N1139" s="55" t="s">
        <v>144</v>
      </c>
      <c r="O1139" s="55" t="s">
        <v>217</v>
      </c>
      <c r="P1139" s="55" t="s">
        <v>384</v>
      </c>
      <c r="Q1139" s="55" t="s">
        <v>350</v>
      </c>
      <c r="R1139" s="85">
        <v>2</v>
      </c>
      <c r="S1139" s="55">
        <v>0</v>
      </c>
      <c r="T1139" s="74" t="s">
        <v>1712</v>
      </c>
      <c r="U1139" s="74" t="s">
        <v>2053</v>
      </c>
      <c r="V1139" s="74">
        <v>44371</v>
      </c>
      <c r="W1139" s="74">
        <v>44399</v>
      </c>
      <c r="X1139" s="55">
        <v>10196770</v>
      </c>
      <c r="AL1139" s="74"/>
      <c r="AM1139" s="74"/>
      <c r="AW1139" s="74"/>
      <c r="AX1139" s="74"/>
    </row>
    <row r="1140" spans="1:50" ht="13" x14ac:dyDescent="0.15">
      <c r="A1140" s="55" t="str">
        <f>HYPERLINK("http://reports.ofsted.gov.uk/inspection-reports/find-inspection-report/provider/CARE/2571031","Ofsted Social Care Provider Webpage")</f>
        <v>Ofsted Social Care Provider Webpage</v>
      </c>
      <c r="B1140" s="55">
        <v>2571031</v>
      </c>
      <c r="D1140" s="55" t="s">
        <v>373</v>
      </c>
      <c r="E1140" s="74">
        <v>43978</v>
      </c>
      <c r="F1140" s="55" t="s">
        <v>344</v>
      </c>
      <c r="G1140" s="55" t="s">
        <v>360</v>
      </c>
      <c r="H1140" s="55" t="s">
        <v>360</v>
      </c>
      <c r="I1140" s="55" t="s">
        <v>360</v>
      </c>
      <c r="J1140" s="55" t="s">
        <v>360</v>
      </c>
      <c r="K1140" s="55" t="s">
        <v>360</v>
      </c>
      <c r="L1140" s="55" t="s">
        <v>360</v>
      </c>
      <c r="M1140" s="55" t="s">
        <v>144</v>
      </c>
      <c r="N1140" s="55" t="s">
        <v>144</v>
      </c>
      <c r="O1140" s="55" t="s">
        <v>217</v>
      </c>
      <c r="P1140" s="55" t="s">
        <v>384</v>
      </c>
      <c r="Q1140" s="55" t="s">
        <v>350</v>
      </c>
      <c r="R1140" s="85">
        <v>2</v>
      </c>
      <c r="S1140" s="55">
        <v>0</v>
      </c>
      <c r="T1140" s="74" t="s">
        <v>1712</v>
      </c>
      <c r="U1140" s="74" t="s">
        <v>351</v>
      </c>
      <c r="V1140" s="74">
        <v>44327</v>
      </c>
      <c r="W1140" s="74">
        <v>44378</v>
      </c>
      <c r="X1140" s="55">
        <v>10187597</v>
      </c>
      <c r="Y1140" s="55" t="s">
        <v>146</v>
      </c>
      <c r="AB1140" s="74" t="s">
        <v>146</v>
      </c>
      <c r="AC1140" s="55" t="s">
        <v>146</v>
      </c>
      <c r="AL1140" s="74"/>
      <c r="AM1140" s="74"/>
      <c r="AW1140" s="74"/>
      <c r="AX1140" s="74"/>
    </row>
    <row r="1141" spans="1:50" ht="13" x14ac:dyDescent="0.15">
      <c r="A1141" s="55" t="str">
        <f>HYPERLINK("http://reports.ofsted.gov.uk/inspection-reports/find-inspection-report/provider/CARE/2571031","Ofsted Social Care Provider Webpage")</f>
        <v>Ofsted Social Care Provider Webpage</v>
      </c>
      <c r="B1141" s="55">
        <v>2571031</v>
      </c>
      <c r="D1141" s="55" t="s">
        <v>373</v>
      </c>
      <c r="E1141" s="74">
        <v>43978</v>
      </c>
      <c r="F1141" s="55" t="s">
        <v>344</v>
      </c>
      <c r="G1141" s="55" t="s">
        <v>360</v>
      </c>
      <c r="H1141" s="55" t="s">
        <v>360</v>
      </c>
      <c r="I1141" s="55" t="s">
        <v>360</v>
      </c>
      <c r="J1141" s="55" t="s">
        <v>360</v>
      </c>
      <c r="K1141" s="55" t="s">
        <v>360</v>
      </c>
      <c r="L1141" s="55" t="s">
        <v>360</v>
      </c>
      <c r="M1141" s="55" t="s">
        <v>144</v>
      </c>
      <c r="N1141" s="55" t="s">
        <v>144</v>
      </c>
      <c r="O1141" s="55" t="s">
        <v>217</v>
      </c>
      <c r="P1141" s="55" t="s">
        <v>384</v>
      </c>
      <c r="Q1141" s="55" t="s">
        <v>350</v>
      </c>
      <c r="R1141" s="85">
        <v>2</v>
      </c>
      <c r="S1141" s="55">
        <v>0</v>
      </c>
      <c r="T1141" s="74" t="s">
        <v>1712</v>
      </c>
      <c r="U1141" s="74" t="s">
        <v>351</v>
      </c>
      <c r="V1141" s="74">
        <v>44397</v>
      </c>
      <c r="W1141" s="74">
        <v>44427</v>
      </c>
      <c r="X1141" s="55">
        <v>10196769</v>
      </c>
      <c r="Y1141" s="55" t="s">
        <v>130</v>
      </c>
      <c r="AB1141" s="74" t="s">
        <v>130</v>
      </c>
      <c r="AC1141" s="55" t="s">
        <v>146</v>
      </c>
      <c r="AL1141" s="74"/>
      <c r="AM1141" s="74"/>
      <c r="AW1141" s="74"/>
      <c r="AX1141" s="74"/>
    </row>
    <row r="1142" spans="1:50" ht="13" x14ac:dyDescent="0.15">
      <c r="A1142" s="55" t="str">
        <f>HYPERLINK("http://reports.ofsted.gov.uk/inspection-reports/find-inspection-report/provider/CARE/2571033","Ofsted Social Care Provider Webpage")</f>
        <v>Ofsted Social Care Provider Webpage</v>
      </c>
      <c r="B1142" s="55">
        <v>2571033</v>
      </c>
      <c r="D1142" s="55" t="s">
        <v>373</v>
      </c>
      <c r="E1142" s="74">
        <v>43945</v>
      </c>
      <c r="F1142" s="55" t="s">
        <v>6707</v>
      </c>
      <c r="G1142" s="55" t="s">
        <v>360</v>
      </c>
      <c r="H1142" s="55" t="s">
        <v>360</v>
      </c>
      <c r="I1142" s="55" t="s">
        <v>360</v>
      </c>
      <c r="J1142" s="55" t="s">
        <v>360</v>
      </c>
      <c r="K1142" s="55" t="s">
        <v>360</v>
      </c>
      <c r="L1142" s="55" t="s">
        <v>360</v>
      </c>
      <c r="M1142" s="55" t="s">
        <v>144</v>
      </c>
      <c r="N1142" s="55" t="s">
        <v>144</v>
      </c>
      <c r="O1142" s="55" t="s">
        <v>209</v>
      </c>
      <c r="P1142" s="55" t="s">
        <v>777</v>
      </c>
      <c r="Q1142" s="55" t="s">
        <v>350</v>
      </c>
      <c r="R1142" s="85">
        <v>1</v>
      </c>
      <c r="S1142" s="55">
        <v>0</v>
      </c>
      <c r="T1142" s="74" t="s">
        <v>778</v>
      </c>
      <c r="U1142" s="74" t="s">
        <v>2053</v>
      </c>
      <c r="V1142" s="74">
        <v>44537</v>
      </c>
      <c r="W1142" s="74">
        <v>44579</v>
      </c>
      <c r="X1142" s="55">
        <v>10213783</v>
      </c>
      <c r="AL1142" s="74"/>
      <c r="AM1142" s="74"/>
      <c r="AW1142" s="74"/>
      <c r="AX1142" s="74"/>
    </row>
    <row r="1143" spans="1:50" ht="13" x14ac:dyDescent="0.15">
      <c r="A1143" s="55" t="str">
        <f>HYPERLINK("http://reports.ofsted.gov.uk/inspection-reports/find-inspection-report/provider/CARE/2571033","Ofsted Social Care Provider Webpage")</f>
        <v>Ofsted Social Care Provider Webpage</v>
      </c>
      <c r="B1143" s="55">
        <v>2571033</v>
      </c>
      <c r="D1143" s="55" t="s">
        <v>373</v>
      </c>
      <c r="E1143" s="74">
        <v>43945</v>
      </c>
      <c r="F1143" s="55" t="s">
        <v>6707</v>
      </c>
      <c r="G1143" s="55" t="s">
        <v>360</v>
      </c>
      <c r="H1143" s="55" t="s">
        <v>360</v>
      </c>
      <c r="I1143" s="55" t="s">
        <v>360</v>
      </c>
      <c r="J1143" s="55" t="s">
        <v>360</v>
      </c>
      <c r="K1143" s="55" t="s">
        <v>360</v>
      </c>
      <c r="L1143" s="55" t="s">
        <v>360</v>
      </c>
      <c r="M1143" s="55" t="s">
        <v>144</v>
      </c>
      <c r="N1143" s="55" t="s">
        <v>144</v>
      </c>
      <c r="O1143" s="55" t="s">
        <v>209</v>
      </c>
      <c r="P1143" s="55" t="s">
        <v>777</v>
      </c>
      <c r="Q1143" s="55" t="s">
        <v>350</v>
      </c>
      <c r="R1143" s="85">
        <v>1</v>
      </c>
      <c r="S1143" s="55">
        <v>0</v>
      </c>
      <c r="T1143" s="74" t="s">
        <v>778</v>
      </c>
      <c r="U1143" s="74" t="s">
        <v>351</v>
      </c>
      <c r="V1143" s="74">
        <v>44502</v>
      </c>
      <c r="W1143" s="74">
        <v>44546</v>
      </c>
      <c r="X1143" s="55">
        <v>10185654</v>
      </c>
      <c r="Y1143" s="55" t="s">
        <v>146</v>
      </c>
      <c r="AB1143" s="74" t="s">
        <v>146</v>
      </c>
      <c r="AC1143" s="55" t="s">
        <v>146</v>
      </c>
      <c r="AL1143" s="74"/>
      <c r="AM1143" s="74"/>
    </row>
    <row r="1144" spans="1:50" ht="13" x14ac:dyDescent="0.15">
      <c r="A1144" s="55" t="str">
        <f>HYPERLINK("http://reports.ofsted.gov.uk/inspection-reports/find-inspection-report/provider/CARE/2571256","Ofsted Social Care Provider Webpage")</f>
        <v>Ofsted Social Care Provider Webpage</v>
      </c>
      <c r="B1144" s="55">
        <v>2571256</v>
      </c>
      <c r="D1144" s="55" t="s">
        <v>373</v>
      </c>
      <c r="E1144" s="74">
        <v>43900</v>
      </c>
      <c r="F1144" s="55" t="s">
        <v>344</v>
      </c>
      <c r="G1144" s="55" t="s">
        <v>360</v>
      </c>
      <c r="H1144" s="55" t="s">
        <v>360</v>
      </c>
      <c r="I1144" s="55" t="s">
        <v>360</v>
      </c>
      <c r="J1144" s="55" t="s">
        <v>360</v>
      </c>
      <c r="K1144" s="55" t="s">
        <v>360</v>
      </c>
      <c r="L1144" s="55" t="s">
        <v>360</v>
      </c>
      <c r="M1144" s="55" t="s">
        <v>172</v>
      </c>
      <c r="N1144" s="55" t="s">
        <v>172</v>
      </c>
      <c r="O1144" s="55" t="s">
        <v>173</v>
      </c>
      <c r="P1144" s="55" t="s">
        <v>1540</v>
      </c>
      <c r="Q1144" s="55" t="s">
        <v>350</v>
      </c>
      <c r="R1144" s="85">
        <v>1</v>
      </c>
      <c r="S1144" s="55">
        <v>0</v>
      </c>
      <c r="T1144" s="74" t="s">
        <v>1713</v>
      </c>
      <c r="U1144" s="74" t="s">
        <v>351</v>
      </c>
      <c r="V1144" s="74">
        <v>44481</v>
      </c>
      <c r="W1144" s="74">
        <v>44524</v>
      </c>
      <c r="X1144" s="55">
        <v>10186565</v>
      </c>
      <c r="Y1144" s="55" t="s">
        <v>132</v>
      </c>
      <c r="AB1144" s="74" t="s">
        <v>132</v>
      </c>
      <c r="AC1144" s="55" t="s">
        <v>132</v>
      </c>
      <c r="AL1144" s="74"/>
      <c r="AM1144" s="74"/>
    </row>
    <row r="1145" spans="1:50" ht="13" x14ac:dyDescent="0.15">
      <c r="A1145" s="55" t="str">
        <f>HYPERLINK("http://reports.ofsted.gov.uk/inspection-reports/find-inspection-report/provider/CARE/2571480","Ofsted Social Care Provider Webpage")</f>
        <v>Ofsted Social Care Provider Webpage</v>
      </c>
      <c r="B1145" s="55">
        <v>2571480</v>
      </c>
      <c r="D1145" s="55" t="s">
        <v>373</v>
      </c>
      <c r="E1145" s="74">
        <v>43857</v>
      </c>
      <c r="F1145" s="55" t="s">
        <v>344</v>
      </c>
      <c r="G1145" s="55" t="s">
        <v>360</v>
      </c>
      <c r="H1145" s="55" t="s">
        <v>360</v>
      </c>
      <c r="I1145" s="55" t="s">
        <v>360</v>
      </c>
      <c r="J1145" s="55" t="s">
        <v>360</v>
      </c>
      <c r="K1145" s="55" t="s">
        <v>360</v>
      </c>
      <c r="L1145" s="55" t="s">
        <v>360</v>
      </c>
      <c r="M1145" s="55" t="s">
        <v>138</v>
      </c>
      <c r="N1145" s="55" t="s">
        <v>138</v>
      </c>
      <c r="O1145" s="55" t="s">
        <v>183</v>
      </c>
      <c r="P1145" s="55" t="s">
        <v>1050</v>
      </c>
      <c r="Q1145" s="55" t="s">
        <v>350</v>
      </c>
      <c r="R1145" s="85">
        <v>5</v>
      </c>
      <c r="S1145" s="55">
        <v>0</v>
      </c>
      <c r="T1145" s="74" t="s">
        <v>617</v>
      </c>
      <c r="U1145" s="74" t="s">
        <v>2053</v>
      </c>
      <c r="V1145" s="74">
        <v>44294</v>
      </c>
      <c r="W1145" s="74">
        <v>44315</v>
      </c>
      <c r="X1145" s="55">
        <v>10182939</v>
      </c>
      <c r="AL1145" s="74"/>
      <c r="AM1145" s="74"/>
    </row>
    <row r="1146" spans="1:50" ht="13" x14ac:dyDescent="0.15">
      <c r="A1146" s="55" t="str">
        <f>HYPERLINK("http://reports.ofsted.gov.uk/inspection-reports/find-inspection-report/provider/CARE/2571557","Ofsted Social Care Provider Webpage")</f>
        <v>Ofsted Social Care Provider Webpage</v>
      </c>
      <c r="B1146" s="55">
        <v>2571557</v>
      </c>
      <c r="D1146" s="55" t="s">
        <v>373</v>
      </c>
      <c r="E1146" s="74">
        <v>43937</v>
      </c>
      <c r="F1146" s="55" t="s">
        <v>344</v>
      </c>
      <c r="G1146" s="55" t="s">
        <v>360</v>
      </c>
      <c r="H1146" s="55" t="s">
        <v>360</v>
      </c>
      <c r="I1146" s="55" t="s">
        <v>360</v>
      </c>
      <c r="J1146" s="55" t="s">
        <v>360</v>
      </c>
      <c r="K1146" s="55" t="s">
        <v>360</v>
      </c>
      <c r="L1146" s="55" t="s">
        <v>360</v>
      </c>
      <c r="M1146" s="55" t="s">
        <v>150</v>
      </c>
      <c r="N1146" s="55" t="s">
        <v>150</v>
      </c>
      <c r="O1146" s="55" t="s">
        <v>218</v>
      </c>
      <c r="P1146" s="55" t="s">
        <v>1113</v>
      </c>
      <c r="Q1146" s="55" t="s">
        <v>380</v>
      </c>
      <c r="R1146" s="85">
        <v>6</v>
      </c>
      <c r="S1146" s="55" t="s">
        <v>332</v>
      </c>
      <c r="T1146" s="74" t="s">
        <v>1714</v>
      </c>
      <c r="U1146" s="74" t="s">
        <v>351</v>
      </c>
      <c r="V1146" s="74">
        <v>44509</v>
      </c>
      <c r="W1146" s="74">
        <v>44574</v>
      </c>
      <c r="X1146" s="55">
        <v>10186671</v>
      </c>
      <c r="Y1146" s="55" t="s">
        <v>130</v>
      </c>
      <c r="AB1146" s="74" t="s">
        <v>130</v>
      </c>
      <c r="AC1146" s="55" t="s">
        <v>130</v>
      </c>
      <c r="AL1146" s="74"/>
      <c r="AM1146" s="74"/>
      <c r="AW1146" s="74"/>
      <c r="AX1146" s="74"/>
    </row>
    <row r="1147" spans="1:50" ht="13" x14ac:dyDescent="0.15">
      <c r="A1147" s="55" t="str">
        <f>HYPERLINK("http://reports.ofsted.gov.uk/inspection-reports/find-inspection-report/provider/CARE/2571603","Ofsted Social Care Provider Webpage")</f>
        <v>Ofsted Social Care Provider Webpage</v>
      </c>
      <c r="B1147" s="55">
        <v>2571603</v>
      </c>
      <c r="D1147" s="55" t="s">
        <v>443</v>
      </c>
      <c r="E1147" s="74">
        <v>43998</v>
      </c>
      <c r="F1147" s="55" t="s">
        <v>344</v>
      </c>
      <c r="G1147" s="55" t="s">
        <v>1715</v>
      </c>
      <c r="H1147" s="55" t="s">
        <v>1716</v>
      </c>
      <c r="I1147" s="55" t="s">
        <v>1717</v>
      </c>
      <c r="J1147" s="55" t="s">
        <v>1718</v>
      </c>
      <c r="K1147" s="55" t="s">
        <v>195</v>
      </c>
      <c r="L1147" s="55" t="s">
        <v>1719</v>
      </c>
      <c r="M1147" s="55" t="s">
        <v>142</v>
      </c>
      <c r="N1147" s="55" t="s">
        <v>142</v>
      </c>
      <c r="O1147" s="55" t="s">
        <v>195</v>
      </c>
      <c r="P1147" s="55" t="s">
        <v>747</v>
      </c>
      <c r="Q1147" s="55" t="s">
        <v>350</v>
      </c>
      <c r="S1147" s="55">
        <v>0</v>
      </c>
      <c r="T1147" s="74" t="s">
        <v>1720</v>
      </c>
      <c r="U1147" s="74" t="s">
        <v>351</v>
      </c>
      <c r="V1147" s="74">
        <v>44579</v>
      </c>
      <c r="W1147" s="74">
        <v>44613</v>
      </c>
      <c r="X1147" s="55">
        <v>10183226</v>
      </c>
      <c r="Y1147" s="55" t="s">
        <v>140</v>
      </c>
      <c r="AB1147" s="74" t="s">
        <v>132</v>
      </c>
      <c r="AC1147" s="55" t="s">
        <v>140</v>
      </c>
      <c r="AL1147" s="74"/>
      <c r="AM1147" s="74"/>
    </row>
    <row r="1148" spans="1:50" ht="13" x14ac:dyDescent="0.15">
      <c r="A1148" s="55" t="str">
        <f>HYPERLINK("http://reports.ofsted.gov.uk/inspection-reports/find-inspection-report/provider/CARE/2571630","Ofsted Social Care Provider Webpage")</f>
        <v>Ofsted Social Care Provider Webpage</v>
      </c>
      <c r="B1148" s="55">
        <v>2571630</v>
      </c>
      <c r="D1148" s="55" t="s">
        <v>373</v>
      </c>
      <c r="E1148" s="74">
        <v>44184</v>
      </c>
      <c r="F1148" s="55" t="s">
        <v>344</v>
      </c>
      <c r="G1148" s="55" t="s">
        <v>360</v>
      </c>
      <c r="H1148" s="55" t="s">
        <v>360</v>
      </c>
      <c r="I1148" s="55" t="s">
        <v>360</v>
      </c>
      <c r="J1148" s="55" t="s">
        <v>360</v>
      </c>
      <c r="K1148" s="55" t="s">
        <v>360</v>
      </c>
      <c r="L1148" s="55" t="s">
        <v>360</v>
      </c>
      <c r="M1148" s="55" t="s">
        <v>129</v>
      </c>
      <c r="N1148" s="55" t="s">
        <v>129</v>
      </c>
      <c r="O1148" s="55" t="s">
        <v>131</v>
      </c>
      <c r="P1148" s="55" t="s">
        <v>1721</v>
      </c>
      <c r="Q1148" s="55" t="s">
        <v>350</v>
      </c>
      <c r="R1148" s="85">
        <v>3</v>
      </c>
      <c r="S1148" s="55">
        <v>0</v>
      </c>
      <c r="T1148" s="74" t="s">
        <v>1722</v>
      </c>
      <c r="U1148" s="74" t="s">
        <v>351</v>
      </c>
      <c r="V1148" s="74">
        <v>44481</v>
      </c>
      <c r="W1148" s="74">
        <v>44531</v>
      </c>
      <c r="X1148" s="55">
        <v>10185169</v>
      </c>
      <c r="Y1148" s="55" t="s">
        <v>132</v>
      </c>
      <c r="AB1148" s="74" t="s">
        <v>132</v>
      </c>
      <c r="AC1148" s="55" t="s">
        <v>132</v>
      </c>
      <c r="AL1148" s="74"/>
      <c r="AM1148" s="74"/>
    </row>
    <row r="1149" spans="1:50" ht="13" x14ac:dyDescent="0.15">
      <c r="A1149" s="55" t="str">
        <f>HYPERLINK("http://reports.ofsted.gov.uk/inspection-reports/find-inspection-report/provider/CARE/2571759","Ofsted Social Care Provider Webpage")</f>
        <v>Ofsted Social Care Provider Webpage</v>
      </c>
      <c r="B1149" s="55">
        <v>2571759</v>
      </c>
      <c r="D1149" s="55" t="s">
        <v>373</v>
      </c>
      <c r="E1149" s="74">
        <v>43872</v>
      </c>
      <c r="F1149" s="55" t="s">
        <v>344</v>
      </c>
      <c r="G1149" s="55" t="s">
        <v>360</v>
      </c>
      <c r="H1149" s="55" t="s">
        <v>360</v>
      </c>
      <c r="I1149" s="55" t="s">
        <v>360</v>
      </c>
      <c r="J1149" s="55" t="s">
        <v>360</v>
      </c>
      <c r="K1149" s="55" t="s">
        <v>360</v>
      </c>
      <c r="L1149" s="55" t="s">
        <v>360</v>
      </c>
      <c r="M1149" s="55" t="s">
        <v>378</v>
      </c>
      <c r="N1149" s="55" t="s">
        <v>134</v>
      </c>
      <c r="O1149" s="55" t="s">
        <v>206</v>
      </c>
      <c r="P1149" s="55" t="s">
        <v>760</v>
      </c>
      <c r="Q1149" s="55" t="s">
        <v>350</v>
      </c>
      <c r="R1149" s="85">
        <v>4</v>
      </c>
      <c r="S1149" s="55">
        <v>0</v>
      </c>
      <c r="T1149" s="74" t="s">
        <v>1723</v>
      </c>
      <c r="U1149" s="74" t="s">
        <v>351</v>
      </c>
      <c r="V1149" s="74">
        <v>44621</v>
      </c>
      <c r="W1149" s="74">
        <v>44665</v>
      </c>
      <c r="X1149" s="55">
        <v>10187463</v>
      </c>
      <c r="Y1149" s="55" t="s">
        <v>132</v>
      </c>
      <c r="AB1149" s="74" t="s">
        <v>132</v>
      </c>
      <c r="AC1149" s="55" t="s">
        <v>132</v>
      </c>
      <c r="AL1149" s="74"/>
      <c r="AM1149" s="74"/>
      <c r="AW1149" s="74"/>
      <c r="AX1149" s="74"/>
    </row>
    <row r="1150" spans="1:50" ht="13" x14ac:dyDescent="0.15">
      <c r="A1150" s="55" t="str">
        <f>HYPERLINK("http://reports.ofsted.gov.uk/inspection-reports/find-inspection-report/provider/CARE/2571846","Ofsted Social Care Provider Webpage")</f>
        <v>Ofsted Social Care Provider Webpage</v>
      </c>
      <c r="B1150" s="55">
        <v>2571846</v>
      </c>
      <c r="D1150" s="55" t="s">
        <v>373</v>
      </c>
      <c r="E1150" s="74">
        <v>43999</v>
      </c>
      <c r="F1150" s="55" t="s">
        <v>344</v>
      </c>
      <c r="G1150" s="55" t="s">
        <v>360</v>
      </c>
      <c r="H1150" s="55" t="s">
        <v>360</v>
      </c>
      <c r="I1150" s="55" t="s">
        <v>360</v>
      </c>
      <c r="J1150" s="55" t="s">
        <v>360</v>
      </c>
      <c r="K1150" s="55" t="s">
        <v>360</v>
      </c>
      <c r="L1150" s="55" t="s">
        <v>360</v>
      </c>
      <c r="M1150" s="55" t="s">
        <v>150</v>
      </c>
      <c r="N1150" s="55" t="s">
        <v>150</v>
      </c>
      <c r="O1150" s="55" t="s">
        <v>190</v>
      </c>
      <c r="P1150" s="55" t="s">
        <v>887</v>
      </c>
      <c r="Q1150" s="55" t="s">
        <v>350</v>
      </c>
      <c r="R1150" s="85">
        <v>5</v>
      </c>
      <c r="S1150" s="55">
        <v>0</v>
      </c>
      <c r="T1150" s="74" t="s">
        <v>888</v>
      </c>
      <c r="U1150" s="74" t="s">
        <v>351</v>
      </c>
      <c r="V1150" s="74">
        <v>44565</v>
      </c>
      <c r="W1150" s="74">
        <v>44609</v>
      </c>
      <c r="X1150" s="55">
        <v>10186217</v>
      </c>
      <c r="Y1150" s="55" t="s">
        <v>132</v>
      </c>
      <c r="AB1150" s="74" t="s">
        <v>132</v>
      </c>
      <c r="AC1150" s="55" t="s">
        <v>132</v>
      </c>
      <c r="AL1150" s="74"/>
      <c r="AM1150" s="74"/>
    </row>
    <row r="1151" spans="1:50" ht="13" x14ac:dyDescent="0.15">
      <c r="A1151" s="55" t="str">
        <f>HYPERLINK("http://reports.ofsted.gov.uk/inspection-reports/find-inspection-report/provider/CARE/2571902","Ofsted Social Care Provider Webpage")</f>
        <v>Ofsted Social Care Provider Webpage</v>
      </c>
      <c r="B1151" s="55">
        <v>2571902</v>
      </c>
      <c r="D1151" s="55" t="s">
        <v>373</v>
      </c>
      <c r="E1151" s="74">
        <v>43914</v>
      </c>
      <c r="F1151" s="55" t="s">
        <v>344</v>
      </c>
      <c r="G1151" s="55" t="s">
        <v>360</v>
      </c>
      <c r="H1151" s="55" t="s">
        <v>360</v>
      </c>
      <c r="I1151" s="55" t="s">
        <v>360</v>
      </c>
      <c r="J1151" s="55" t="s">
        <v>360</v>
      </c>
      <c r="K1151" s="55" t="s">
        <v>360</v>
      </c>
      <c r="L1151" s="55" t="s">
        <v>360</v>
      </c>
      <c r="M1151" s="55" t="s">
        <v>378</v>
      </c>
      <c r="N1151" s="55" t="s">
        <v>170</v>
      </c>
      <c r="O1151" s="55" t="s">
        <v>178</v>
      </c>
      <c r="P1151" s="55" t="s">
        <v>434</v>
      </c>
      <c r="Q1151" s="55" t="s">
        <v>350</v>
      </c>
      <c r="R1151" s="85">
        <v>2</v>
      </c>
      <c r="S1151" s="55">
        <v>0</v>
      </c>
      <c r="T1151" s="74" t="s">
        <v>1481</v>
      </c>
      <c r="U1151" s="74" t="s">
        <v>351</v>
      </c>
      <c r="V1151" s="74">
        <v>44446</v>
      </c>
      <c r="W1151" s="74">
        <v>44477</v>
      </c>
      <c r="X1151" s="55">
        <v>10187236</v>
      </c>
      <c r="Y1151" s="55" t="s">
        <v>132</v>
      </c>
      <c r="AB1151" s="74" t="s">
        <v>132</v>
      </c>
      <c r="AC1151" s="55" t="s">
        <v>140</v>
      </c>
      <c r="AL1151" s="74"/>
      <c r="AM1151" s="74"/>
      <c r="AW1151" s="74"/>
      <c r="AX1151" s="74"/>
    </row>
    <row r="1152" spans="1:50" ht="13" x14ac:dyDescent="0.15">
      <c r="A1152" s="55" t="str">
        <f>HYPERLINK("http://reports.ofsted.gov.uk/inspection-reports/find-inspection-report/provider/CARE/2572055","Ofsted Social Care Provider Webpage")</f>
        <v>Ofsted Social Care Provider Webpage</v>
      </c>
      <c r="B1152" s="55">
        <v>2572055</v>
      </c>
      <c r="D1152" s="55" t="s">
        <v>389</v>
      </c>
      <c r="E1152" s="74">
        <v>43966</v>
      </c>
      <c r="F1152" s="55" t="s">
        <v>344</v>
      </c>
      <c r="G1152" s="55" t="s">
        <v>1724</v>
      </c>
      <c r="H1152" s="55" t="s">
        <v>1725</v>
      </c>
      <c r="I1152" s="55" t="s">
        <v>1726</v>
      </c>
      <c r="J1152" s="55" t="s">
        <v>546</v>
      </c>
      <c r="K1152" s="55" t="s">
        <v>196</v>
      </c>
      <c r="L1152" s="55" t="s">
        <v>1727</v>
      </c>
      <c r="M1152" s="55" t="s">
        <v>138</v>
      </c>
      <c r="N1152" s="55" t="s">
        <v>138</v>
      </c>
      <c r="O1152" s="55" t="s">
        <v>196</v>
      </c>
      <c r="P1152" s="55" t="s">
        <v>546</v>
      </c>
      <c r="Q1152" s="55" t="s">
        <v>350</v>
      </c>
      <c r="S1152" s="55">
        <v>0</v>
      </c>
      <c r="T1152" s="74" t="s">
        <v>1724</v>
      </c>
      <c r="U1152" s="74" t="s">
        <v>351</v>
      </c>
      <c r="V1152" s="74">
        <v>44606</v>
      </c>
      <c r="W1152" s="74">
        <v>44655</v>
      </c>
      <c r="X1152" s="55">
        <v>10183182</v>
      </c>
      <c r="Y1152" s="55" t="s">
        <v>132</v>
      </c>
      <c r="AB1152" s="74" t="s">
        <v>132</v>
      </c>
      <c r="AC1152" s="55" t="s">
        <v>132</v>
      </c>
      <c r="AL1152" s="74"/>
      <c r="AM1152" s="74"/>
      <c r="AW1152" s="74"/>
      <c r="AX1152" s="74"/>
    </row>
    <row r="1153" spans="1:50" ht="13" x14ac:dyDescent="0.15">
      <c r="A1153" s="55" t="str">
        <f>HYPERLINK("http://reports.ofsted.gov.uk/inspection-reports/find-inspection-report/provider/CARE/2572132","Ofsted Social Care Provider Webpage")</f>
        <v>Ofsted Social Care Provider Webpage</v>
      </c>
      <c r="B1153" s="55">
        <v>2572132</v>
      </c>
      <c r="D1153" s="55" t="s">
        <v>373</v>
      </c>
      <c r="E1153" s="74">
        <v>43899</v>
      </c>
      <c r="F1153" s="55" t="s">
        <v>6707</v>
      </c>
      <c r="G1153" s="55" t="s">
        <v>360</v>
      </c>
      <c r="H1153" s="55" t="s">
        <v>360</v>
      </c>
      <c r="I1153" s="55" t="s">
        <v>360</v>
      </c>
      <c r="J1153" s="55" t="s">
        <v>360</v>
      </c>
      <c r="K1153" s="55" t="s">
        <v>360</v>
      </c>
      <c r="L1153" s="55" t="s">
        <v>360</v>
      </c>
      <c r="M1153" s="55" t="s">
        <v>142</v>
      </c>
      <c r="N1153" s="55" t="s">
        <v>142</v>
      </c>
      <c r="O1153" s="55" t="s">
        <v>272</v>
      </c>
      <c r="P1153" s="55" t="s">
        <v>1291</v>
      </c>
      <c r="Q1153" s="55" t="s">
        <v>350</v>
      </c>
      <c r="R1153" s="85">
        <v>3</v>
      </c>
      <c r="S1153" s="55">
        <v>0</v>
      </c>
      <c r="T1153" s="74" t="s">
        <v>489</v>
      </c>
      <c r="U1153" s="74" t="s">
        <v>2053</v>
      </c>
      <c r="V1153" s="74">
        <v>44328</v>
      </c>
      <c r="W1153" s="74">
        <v>44361</v>
      </c>
      <c r="X1153" s="55">
        <v>10192808</v>
      </c>
      <c r="AL1153" s="74"/>
      <c r="AM1153" s="74"/>
    </row>
    <row r="1154" spans="1:50" ht="13" x14ac:dyDescent="0.15">
      <c r="A1154" s="55" t="str">
        <f>HYPERLINK("http://reports.ofsted.gov.uk/inspection-reports/find-inspection-report/provider/CARE/2572133","Ofsted Social Care Provider Webpage")</f>
        <v>Ofsted Social Care Provider Webpage</v>
      </c>
      <c r="B1154" s="55">
        <v>2572133</v>
      </c>
      <c r="D1154" s="55" t="s">
        <v>373</v>
      </c>
      <c r="E1154" s="74">
        <v>43858</v>
      </c>
      <c r="F1154" s="55" t="s">
        <v>344</v>
      </c>
      <c r="G1154" s="55" t="s">
        <v>360</v>
      </c>
      <c r="H1154" s="55" t="s">
        <v>360</v>
      </c>
      <c r="I1154" s="55" t="s">
        <v>360</v>
      </c>
      <c r="J1154" s="55" t="s">
        <v>360</v>
      </c>
      <c r="K1154" s="55" t="s">
        <v>360</v>
      </c>
      <c r="L1154" s="55" t="s">
        <v>360</v>
      </c>
      <c r="M1154" s="55" t="s">
        <v>142</v>
      </c>
      <c r="N1154" s="55" t="s">
        <v>142</v>
      </c>
      <c r="O1154" s="55" t="s">
        <v>262</v>
      </c>
      <c r="P1154" s="55" t="s">
        <v>523</v>
      </c>
      <c r="Q1154" s="55" t="s">
        <v>350</v>
      </c>
      <c r="R1154" s="85">
        <v>4</v>
      </c>
      <c r="S1154" s="55">
        <v>0</v>
      </c>
      <c r="T1154" s="74" t="s">
        <v>489</v>
      </c>
      <c r="U1154" s="74" t="s">
        <v>351</v>
      </c>
      <c r="V1154" s="74">
        <v>44334</v>
      </c>
      <c r="W1154" s="74">
        <v>44386</v>
      </c>
      <c r="X1154" s="55">
        <v>10185382</v>
      </c>
      <c r="Y1154" s="55" t="s">
        <v>146</v>
      </c>
      <c r="AB1154" s="74" t="s">
        <v>146</v>
      </c>
      <c r="AC1154" s="55" t="s">
        <v>146</v>
      </c>
      <c r="AL1154" s="74"/>
      <c r="AM1154" s="74"/>
    </row>
    <row r="1155" spans="1:50" ht="13" x14ac:dyDescent="0.15">
      <c r="A1155" s="55" t="str">
        <f>HYPERLINK("http://reports.ofsted.gov.uk/inspection-reports/find-inspection-report/provider/CARE/2572133","Ofsted Social Care Provider Webpage")</f>
        <v>Ofsted Social Care Provider Webpage</v>
      </c>
      <c r="B1155" s="55">
        <v>2572133</v>
      </c>
      <c r="D1155" s="55" t="s">
        <v>373</v>
      </c>
      <c r="E1155" s="74">
        <v>43858</v>
      </c>
      <c r="F1155" s="55" t="s">
        <v>344</v>
      </c>
      <c r="G1155" s="55" t="s">
        <v>360</v>
      </c>
      <c r="H1155" s="55" t="s">
        <v>360</v>
      </c>
      <c r="I1155" s="55" t="s">
        <v>360</v>
      </c>
      <c r="J1155" s="55" t="s">
        <v>360</v>
      </c>
      <c r="K1155" s="55" t="s">
        <v>360</v>
      </c>
      <c r="L1155" s="55" t="s">
        <v>360</v>
      </c>
      <c r="M1155" s="55" t="s">
        <v>142</v>
      </c>
      <c r="N1155" s="55" t="s">
        <v>142</v>
      </c>
      <c r="O1155" s="55" t="s">
        <v>262</v>
      </c>
      <c r="P1155" s="55" t="s">
        <v>523</v>
      </c>
      <c r="Q1155" s="55" t="s">
        <v>350</v>
      </c>
      <c r="R1155" s="85">
        <v>4</v>
      </c>
      <c r="S1155" s="55">
        <v>0</v>
      </c>
      <c r="T1155" s="74" t="s">
        <v>489</v>
      </c>
      <c r="U1155" s="74" t="s">
        <v>2053</v>
      </c>
      <c r="V1155" s="74">
        <v>44378</v>
      </c>
      <c r="W1155" s="74">
        <v>44427</v>
      </c>
      <c r="X1155" s="55">
        <v>10199210</v>
      </c>
      <c r="AL1155" s="74"/>
      <c r="AM1155" s="74"/>
    </row>
    <row r="1156" spans="1:50" ht="13" x14ac:dyDescent="0.15">
      <c r="A1156" s="55" t="str">
        <f>HYPERLINK("http://reports.ofsted.gov.uk/inspection-reports/find-inspection-report/provider/CARE/2572133","Ofsted Social Care Provider Webpage")</f>
        <v>Ofsted Social Care Provider Webpage</v>
      </c>
      <c r="B1156" s="55">
        <v>2572133</v>
      </c>
      <c r="D1156" s="55" t="s">
        <v>373</v>
      </c>
      <c r="E1156" s="74">
        <v>43858</v>
      </c>
      <c r="F1156" s="55" t="s">
        <v>344</v>
      </c>
      <c r="G1156" s="55" t="s">
        <v>360</v>
      </c>
      <c r="H1156" s="55" t="s">
        <v>360</v>
      </c>
      <c r="I1156" s="55" t="s">
        <v>360</v>
      </c>
      <c r="J1156" s="55" t="s">
        <v>360</v>
      </c>
      <c r="K1156" s="55" t="s">
        <v>360</v>
      </c>
      <c r="L1156" s="55" t="s">
        <v>360</v>
      </c>
      <c r="M1156" s="55" t="s">
        <v>142</v>
      </c>
      <c r="N1156" s="55" t="s">
        <v>142</v>
      </c>
      <c r="O1156" s="55" t="s">
        <v>262</v>
      </c>
      <c r="P1156" s="55" t="s">
        <v>523</v>
      </c>
      <c r="Q1156" s="55" t="s">
        <v>350</v>
      </c>
      <c r="R1156" s="85">
        <v>4</v>
      </c>
      <c r="S1156" s="55">
        <v>0</v>
      </c>
      <c r="T1156" s="74" t="s">
        <v>489</v>
      </c>
      <c r="U1156" s="74" t="s">
        <v>351</v>
      </c>
      <c r="V1156" s="74">
        <v>44419</v>
      </c>
      <c r="W1156" s="74">
        <v>44454</v>
      </c>
      <c r="X1156" s="55">
        <v>10204572</v>
      </c>
      <c r="Y1156" s="55" t="s">
        <v>130</v>
      </c>
      <c r="AB1156" s="74" t="s">
        <v>130</v>
      </c>
      <c r="AC1156" s="55" t="s">
        <v>130</v>
      </c>
      <c r="AL1156" s="74"/>
      <c r="AM1156" s="74"/>
      <c r="AW1156" s="74"/>
      <c r="AX1156" s="74"/>
    </row>
    <row r="1157" spans="1:50" ht="13" x14ac:dyDescent="0.15">
      <c r="A1157" s="55" t="str">
        <f>HYPERLINK("http://reports.ofsted.gov.uk/inspection-reports/find-inspection-report/provider/CARE/2572306","Ofsted Social Care Provider Webpage")</f>
        <v>Ofsted Social Care Provider Webpage</v>
      </c>
      <c r="B1157" s="55">
        <v>2572306</v>
      </c>
      <c r="D1157" s="55" t="s">
        <v>451</v>
      </c>
      <c r="E1157" s="74">
        <v>43956</v>
      </c>
      <c r="F1157" s="55" t="s">
        <v>344</v>
      </c>
      <c r="G1157" s="55" t="s">
        <v>1728</v>
      </c>
      <c r="H1157" s="55" t="s">
        <v>1729</v>
      </c>
      <c r="I1157" s="55" t="s">
        <v>1730</v>
      </c>
      <c r="J1157" s="55" t="s">
        <v>555</v>
      </c>
      <c r="K1157" s="55" t="s">
        <v>209</v>
      </c>
      <c r="L1157" s="55" t="s">
        <v>1731</v>
      </c>
      <c r="M1157" s="55" t="s">
        <v>144</v>
      </c>
      <c r="N1157" s="55" t="s">
        <v>144</v>
      </c>
      <c r="O1157" s="55" t="s">
        <v>209</v>
      </c>
      <c r="P1157" s="55" t="s">
        <v>555</v>
      </c>
      <c r="Q1157" s="55" t="s">
        <v>350</v>
      </c>
      <c r="R1157" s="85">
        <v>5</v>
      </c>
      <c r="S1157" s="55">
        <v>0</v>
      </c>
      <c r="T1157" s="74" t="s">
        <v>1732</v>
      </c>
      <c r="U1157" s="74" t="s">
        <v>351</v>
      </c>
      <c r="V1157" s="74">
        <v>44608</v>
      </c>
      <c r="W1157" s="74">
        <v>44656</v>
      </c>
      <c r="X1157" s="55">
        <v>10183238</v>
      </c>
      <c r="Y1157" s="55" t="s">
        <v>132</v>
      </c>
      <c r="AB1157" s="74" t="s">
        <v>132</v>
      </c>
      <c r="AC1157" s="55" t="s">
        <v>130</v>
      </c>
      <c r="AL1157" s="74"/>
      <c r="AM1157" s="74"/>
      <c r="AW1157" s="74"/>
      <c r="AX1157" s="74"/>
    </row>
    <row r="1158" spans="1:50" ht="13" x14ac:dyDescent="0.15">
      <c r="A1158" s="55" t="str">
        <f>HYPERLINK("http://reports.ofsted.gov.uk/inspection-reports/find-inspection-report/provider/CARE/2573144","Ofsted Social Care Provider Webpage")</f>
        <v>Ofsted Social Care Provider Webpage</v>
      </c>
      <c r="B1158" s="55">
        <v>2573144</v>
      </c>
      <c r="D1158" s="55" t="s">
        <v>373</v>
      </c>
      <c r="E1158" s="74">
        <v>43955</v>
      </c>
      <c r="F1158" s="55" t="s">
        <v>344</v>
      </c>
      <c r="G1158" s="55" t="s">
        <v>360</v>
      </c>
      <c r="H1158" s="55" t="s">
        <v>360</v>
      </c>
      <c r="I1158" s="55" t="s">
        <v>360</v>
      </c>
      <c r="J1158" s="55" t="s">
        <v>360</v>
      </c>
      <c r="K1158" s="55" t="s">
        <v>360</v>
      </c>
      <c r="L1158" s="55" t="s">
        <v>360</v>
      </c>
      <c r="M1158" s="55" t="s">
        <v>142</v>
      </c>
      <c r="N1158" s="55" t="s">
        <v>142</v>
      </c>
      <c r="O1158" s="55" t="s">
        <v>262</v>
      </c>
      <c r="P1158" s="55" t="s">
        <v>488</v>
      </c>
      <c r="Q1158" s="55" t="s">
        <v>350</v>
      </c>
      <c r="R1158" s="85">
        <v>2</v>
      </c>
      <c r="S1158" s="55">
        <v>0</v>
      </c>
      <c r="T1158" s="74" t="s">
        <v>489</v>
      </c>
      <c r="U1158" s="74" t="s">
        <v>351</v>
      </c>
      <c r="V1158" s="74">
        <v>44567</v>
      </c>
      <c r="W1158" s="74">
        <v>44594</v>
      </c>
      <c r="X1158" s="55">
        <v>10185705</v>
      </c>
      <c r="Y1158" s="55" t="s">
        <v>132</v>
      </c>
      <c r="AB1158" s="74" t="s">
        <v>132</v>
      </c>
      <c r="AC1158" s="55" t="s">
        <v>132</v>
      </c>
      <c r="AL1158" s="74"/>
      <c r="AM1158" s="74"/>
      <c r="AW1158" s="74"/>
      <c r="AX1158" s="74"/>
    </row>
    <row r="1159" spans="1:50" ht="13" x14ac:dyDescent="0.15">
      <c r="A1159" s="55" t="str">
        <f>HYPERLINK("http://reports.ofsted.gov.uk/inspection-reports/find-inspection-report/provider/CARE/2573447","Ofsted Social Care Provider Webpage")</f>
        <v>Ofsted Social Care Provider Webpage</v>
      </c>
      <c r="B1159" s="55">
        <v>2573447</v>
      </c>
      <c r="D1159" s="55" t="s">
        <v>373</v>
      </c>
      <c r="E1159" s="74">
        <v>44035</v>
      </c>
      <c r="F1159" s="55" t="s">
        <v>344</v>
      </c>
      <c r="G1159" s="55" t="s">
        <v>360</v>
      </c>
      <c r="H1159" s="55" t="s">
        <v>360</v>
      </c>
      <c r="I1159" s="55" t="s">
        <v>360</v>
      </c>
      <c r="J1159" s="55" t="s">
        <v>360</v>
      </c>
      <c r="K1159" s="55" t="s">
        <v>360</v>
      </c>
      <c r="L1159" s="55" t="s">
        <v>360</v>
      </c>
      <c r="M1159" s="55" t="s">
        <v>378</v>
      </c>
      <c r="N1159" s="55" t="s">
        <v>134</v>
      </c>
      <c r="O1159" s="55" t="s">
        <v>151</v>
      </c>
      <c r="P1159" s="55" t="s">
        <v>862</v>
      </c>
      <c r="Q1159" s="55" t="s">
        <v>350</v>
      </c>
      <c r="R1159" s="85">
        <v>2</v>
      </c>
      <c r="S1159" s="55">
        <v>0</v>
      </c>
      <c r="T1159" s="74" t="s">
        <v>1733</v>
      </c>
      <c r="U1159" s="74" t="s">
        <v>351</v>
      </c>
      <c r="V1159" s="74">
        <v>44418</v>
      </c>
      <c r="W1159" s="74">
        <v>44470</v>
      </c>
      <c r="X1159" s="55">
        <v>10186993</v>
      </c>
      <c r="Y1159" s="55" t="s">
        <v>146</v>
      </c>
      <c r="AB1159" s="74" t="s">
        <v>146</v>
      </c>
      <c r="AC1159" s="55" t="s">
        <v>146</v>
      </c>
      <c r="AL1159" s="74"/>
      <c r="AM1159" s="74"/>
      <c r="AW1159" s="74"/>
      <c r="AX1159" s="74"/>
    </row>
    <row r="1160" spans="1:50" ht="13" x14ac:dyDescent="0.15">
      <c r="A1160" s="55" t="str">
        <f>HYPERLINK("http://reports.ofsted.gov.uk/inspection-reports/find-inspection-report/provider/CARE/2573447","Ofsted Social Care Provider Webpage")</f>
        <v>Ofsted Social Care Provider Webpage</v>
      </c>
      <c r="B1160" s="55">
        <v>2573447</v>
      </c>
      <c r="D1160" s="55" t="s">
        <v>373</v>
      </c>
      <c r="E1160" s="74">
        <v>44035</v>
      </c>
      <c r="F1160" s="55" t="s">
        <v>344</v>
      </c>
      <c r="G1160" s="55" t="s">
        <v>360</v>
      </c>
      <c r="H1160" s="55" t="s">
        <v>360</v>
      </c>
      <c r="I1160" s="55" t="s">
        <v>360</v>
      </c>
      <c r="J1160" s="55" t="s">
        <v>360</v>
      </c>
      <c r="K1160" s="55" t="s">
        <v>360</v>
      </c>
      <c r="L1160" s="55" t="s">
        <v>360</v>
      </c>
      <c r="M1160" s="55" t="s">
        <v>378</v>
      </c>
      <c r="N1160" s="55" t="s">
        <v>134</v>
      </c>
      <c r="O1160" s="55" t="s">
        <v>151</v>
      </c>
      <c r="P1160" s="55" t="s">
        <v>862</v>
      </c>
      <c r="Q1160" s="55" t="s">
        <v>350</v>
      </c>
      <c r="R1160" s="85">
        <v>2</v>
      </c>
      <c r="S1160" s="55">
        <v>0</v>
      </c>
      <c r="T1160" s="74" t="s">
        <v>1733</v>
      </c>
      <c r="U1160" s="74" t="s">
        <v>2053</v>
      </c>
      <c r="V1160" s="74">
        <v>44468</v>
      </c>
      <c r="W1160" s="74">
        <v>44501</v>
      </c>
      <c r="X1160" s="55">
        <v>10206626</v>
      </c>
      <c r="AL1160" s="74"/>
      <c r="AM1160" s="74"/>
      <c r="AW1160" s="74"/>
      <c r="AX1160" s="74"/>
    </row>
    <row r="1161" spans="1:50" ht="13" x14ac:dyDescent="0.15">
      <c r="A1161" s="55" t="str">
        <f>HYPERLINK("http://reports.ofsted.gov.uk/inspection-reports/find-inspection-report/provider/CARE/2573447","Ofsted Social Care Provider Webpage")</f>
        <v>Ofsted Social Care Provider Webpage</v>
      </c>
      <c r="B1161" s="55">
        <v>2573447</v>
      </c>
      <c r="D1161" s="55" t="s">
        <v>373</v>
      </c>
      <c r="E1161" s="74">
        <v>44035</v>
      </c>
      <c r="F1161" s="55" t="s">
        <v>344</v>
      </c>
      <c r="G1161" s="55" t="s">
        <v>360</v>
      </c>
      <c r="H1161" s="55" t="s">
        <v>360</v>
      </c>
      <c r="I1161" s="55" t="s">
        <v>360</v>
      </c>
      <c r="J1161" s="55" t="s">
        <v>360</v>
      </c>
      <c r="K1161" s="55" t="s">
        <v>360</v>
      </c>
      <c r="L1161" s="55" t="s">
        <v>360</v>
      </c>
      <c r="M1161" s="55" t="s">
        <v>378</v>
      </c>
      <c r="N1161" s="55" t="s">
        <v>134</v>
      </c>
      <c r="O1161" s="55" t="s">
        <v>151</v>
      </c>
      <c r="P1161" s="55" t="s">
        <v>862</v>
      </c>
      <c r="Q1161" s="55" t="s">
        <v>350</v>
      </c>
      <c r="R1161" s="85">
        <v>2</v>
      </c>
      <c r="S1161" s="55">
        <v>0</v>
      </c>
      <c r="T1161" s="74" t="s">
        <v>1733</v>
      </c>
      <c r="U1161" s="74" t="s">
        <v>351</v>
      </c>
      <c r="V1161" s="74">
        <v>44529</v>
      </c>
      <c r="W1161" s="74">
        <v>44581</v>
      </c>
      <c r="X1161" s="55">
        <v>10209492</v>
      </c>
      <c r="Y1161" s="55" t="s">
        <v>132</v>
      </c>
      <c r="AB1161" s="74" t="s">
        <v>130</v>
      </c>
      <c r="AC1161" s="55" t="s">
        <v>132</v>
      </c>
      <c r="AL1161" s="74"/>
      <c r="AM1161" s="74"/>
      <c r="AW1161" s="74"/>
      <c r="AX1161" s="74"/>
    </row>
    <row r="1162" spans="1:50" ht="13" x14ac:dyDescent="0.15">
      <c r="A1162" s="55" t="str">
        <f>HYPERLINK("http://reports.ofsted.gov.uk/inspection-reports/find-inspection-report/provider/CARE/2573614","Ofsted Social Care Provider Webpage")</f>
        <v>Ofsted Social Care Provider Webpage</v>
      </c>
      <c r="B1162" s="55">
        <v>2573614</v>
      </c>
      <c r="D1162" s="55" t="s">
        <v>373</v>
      </c>
      <c r="E1162" s="74">
        <v>43903</v>
      </c>
      <c r="F1162" s="55" t="s">
        <v>344</v>
      </c>
      <c r="G1162" s="55" t="s">
        <v>360</v>
      </c>
      <c r="H1162" s="55" t="s">
        <v>360</v>
      </c>
      <c r="I1162" s="55" t="s">
        <v>360</v>
      </c>
      <c r="J1162" s="55" t="s">
        <v>360</v>
      </c>
      <c r="K1162" s="55" t="s">
        <v>360</v>
      </c>
      <c r="L1162" s="55" t="s">
        <v>360</v>
      </c>
      <c r="M1162" s="55" t="s">
        <v>136</v>
      </c>
      <c r="N1162" s="55" t="s">
        <v>136</v>
      </c>
      <c r="O1162" s="55" t="s">
        <v>174</v>
      </c>
      <c r="P1162" s="55" t="s">
        <v>1526</v>
      </c>
      <c r="Q1162" s="55" t="s">
        <v>350</v>
      </c>
      <c r="R1162" s="85">
        <v>2</v>
      </c>
      <c r="S1162" s="55">
        <v>0</v>
      </c>
      <c r="T1162" s="74" t="s">
        <v>858</v>
      </c>
      <c r="U1162" s="74" t="s">
        <v>351</v>
      </c>
      <c r="V1162" s="74">
        <v>44376</v>
      </c>
      <c r="W1162" s="74">
        <v>44412</v>
      </c>
      <c r="X1162" s="55">
        <v>10187137</v>
      </c>
      <c r="Y1162" s="55" t="s">
        <v>132</v>
      </c>
      <c r="AB1162" s="74" t="s">
        <v>132</v>
      </c>
      <c r="AC1162" s="55" t="s">
        <v>140</v>
      </c>
      <c r="AL1162" s="74"/>
      <c r="AM1162" s="74"/>
      <c r="AW1162" s="74"/>
      <c r="AX1162" s="74"/>
    </row>
    <row r="1163" spans="1:50" ht="13" x14ac:dyDescent="0.15">
      <c r="A1163" s="55" t="str">
        <f>HYPERLINK("http://reports.ofsted.gov.uk/inspection-reports/find-inspection-report/provider/CARE/2574119","Ofsted Social Care Provider Webpage")</f>
        <v>Ofsted Social Care Provider Webpage</v>
      </c>
      <c r="B1163" s="55">
        <v>2574119</v>
      </c>
      <c r="D1163" s="55" t="s">
        <v>373</v>
      </c>
      <c r="E1163" s="74">
        <v>43880</v>
      </c>
      <c r="F1163" s="55" t="s">
        <v>344</v>
      </c>
      <c r="G1163" s="55" t="s">
        <v>360</v>
      </c>
      <c r="H1163" s="55" t="s">
        <v>360</v>
      </c>
      <c r="I1163" s="55" t="s">
        <v>360</v>
      </c>
      <c r="J1163" s="55" t="s">
        <v>360</v>
      </c>
      <c r="K1163" s="55" t="s">
        <v>360</v>
      </c>
      <c r="L1163" s="55" t="s">
        <v>360</v>
      </c>
      <c r="M1163" s="55" t="s">
        <v>144</v>
      </c>
      <c r="N1163" s="55" t="s">
        <v>144</v>
      </c>
      <c r="O1163" s="55" t="s">
        <v>168</v>
      </c>
      <c r="P1163" s="55" t="s">
        <v>834</v>
      </c>
      <c r="Q1163" s="55" t="s">
        <v>380</v>
      </c>
      <c r="R1163" s="85">
        <v>4</v>
      </c>
      <c r="S1163" s="55">
        <v>0</v>
      </c>
      <c r="T1163" s="74" t="s">
        <v>1432</v>
      </c>
      <c r="U1163" s="74" t="s">
        <v>351</v>
      </c>
      <c r="V1163" s="74">
        <v>44488</v>
      </c>
      <c r="W1163" s="74">
        <v>44544</v>
      </c>
      <c r="X1163" s="55">
        <v>10186563</v>
      </c>
      <c r="Y1163" s="55" t="s">
        <v>130</v>
      </c>
      <c r="AB1163" s="74" t="s">
        <v>130</v>
      </c>
      <c r="AC1163" s="55" t="s">
        <v>130</v>
      </c>
      <c r="AL1163" s="74"/>
      <c r="AM1163" s="74"/>
      <c r="AW1163" s="74"/>
      <c r="AX1163" s="74"/>
    </row>
    <row r="1164" spans="1:50" ht="13" x14ac:dyDescent="0.15">
      <c r="A1164" s="55" t="str">
        <f>HYPERLINK("http://reports.ofsted.gov.uk/inspection-reports/find-inspection-report/provider/CARE/2574877","Ofsted Social Care Provider Webpage")</f>
        <v>Ofsted Social Care Provider Webpage</v>
      </c>
      <c r="B1164" s="55">
        <v>2574877</v>
      </c>
      <c r="D1164" s="55" t="s">
        <v>389</v>
      </c>
      <c r="E1164" s="74">
        <v>44064</v>
      </c>
      <c r="F1164" s="55" t="s">
        <v>344</v>
      </c>
      <c r="G1164" s="55" t="s">
        <v>1738</v>
      </c>
      <c r="H1164" s="55" t="s">
        <v>1739</v>
      </c>
      <c r="I1164" s="55" t="s">
        <v>1740</v>
      </c>
      <c r="J1164" s="55" t="s">
        <v>1038</v>
      </c>
      <c r="K1164" s="55" t="s">
        <v>203</v>
      </c>
      <c r="L1164" s="55" t="s">
        <v>1741</v>
      </c>
      <c r="M1164" s="55" t="s">
        <v>150</v>
      </c>
      <c r="N1164" s="55" t="s">
        <v>150</v>
      </c>
      <c r="O1164" s="55" t="s">
        <v>203</v>
      </c>
      <c r="P1164" s="55" t="s">
        <v>1038</v>
      </c>
      <c r="Q1164" s="55" t="s">
        <v>350</v>
      </c>
      <c r="S1164" s="55">
        <v>0</v>
      </c>
      <c r="T1164" s="74" t="s">
        <v>1742</v>
      </c>
      <c r="U1164" s="74" t="s">
        <v>351</v>
      </c>
      <c r="V1164" s="74">
        <v>44389</v>
      </c>
      <c r="W1164" s="74">
        <v>44445</v>
      </c>
      <c r="X1164" s="55">
        <v>10183202</v>
      </c>
      <c r="Y1164" s="55" t="s">
        <v>130</v>
      </c>
      <c r="AB1164" s="74" t="s">
        <v>130</v>
      </c>
      <c r="AC1164" s="55" t="s">
        <v>130</v>
      </c>
      <c r="AL1164" s="74"/>
      <c r="AM1164" s="74"/>
      <c r="AW1164" s="74"/>
      <c r="AX1164" s="74"/>
    </row>
    <row r="1165" spans="1:50" ht="13" x14ac:dyDescent="0.15">
      <c r="A1165" s="55" t="str">
        <f>HYPERLINK("http://reports.ofsted.gov.uk/inspection-reports/find-inspection-report/provider/CARE/2575372","Ofsted Social Care Provider Webpage")</f>
        <v>Ofsted Social Care Provider Webpage</v>
      </c>
      <c r="B1165" s="55">
        <v>2575372</v>
      </c>
      <c r="D1165" s="55" t="s">
        <v>373</v>
      </c>
      <c r="E1165" s="74">
        <v>43994</v>
      </c>
      <c r="F1165" s="55" t="s">
        <v>344</v>
      </c>
      <c r="G1165" s="55" t="s">
        <v>360</v>
      </c>
      <c r="H1165" s="55" t="s">
        <v>360</v>
      </c>
      <c r="I1165" s="55" t="s">
        <v>360</v>
      </c>
      <c r="J1165" s="55" t="s">
        <v>360</v>
      </c>
      <c r="K1165" s="55" t="s">
        <v>360</v>
      </c>
      <c r="L1165" s="55" t="s">
        <v>360</v>
      </c>
      <c r="M1165" s="55" t="s">
        <v>138</v>
      </c>
      <c r="N1165" s="55" t="s">
        <v>138</v>
      </c>
      <c r="O1165" s="55" t="s">
        <v>183</v>
      </c>
      <c r="P1165" s="55" t="s">
        <v>1500</v>
      </c>
      <c r="Q1165" s="55" t="s">
        <v>350</v>
      </c>
      <c r="R1165" s="85">
        <v>3</v>
      </c>
      <c r="S1165" s="55">
        <v>0</v>
      </c>
      <c r="T1165" s="74" t="s">
        <v>1750</v>
      </c>
      <c r="U1165" s="74" t="s">
        <v>6703</v>
      </c>
      <c r="V1165" s="74">
        <v>44552</v>
      </c>
      <c r="W1165" s="74">
        <v>44594</v>
      </c>
      <c r="X1165" s="55">
        <v>10205271</v>
      </c>
      <c r="Y1165" s="55" t="s">
        <v>6706</v>
      </c>
      <c r="AL1165" s="74"/>
      <c r="AM1165" s="74"/>
    </row>
    <row r="1166" spans="1:50" ht="13" x14ac:dyDescent="0.15">
      <c r="A1166" s="55" t="str">
        <f>HYPERLINK("http://reports.ofsted.gov.uk/inspection-reports/find-inspection-report/provider/CARE/2575372","Ofsted Social Care Provider Webpage")</f>
        <v>Ofsted Social Care Provider Webpage</v>
      </c>
      <c r="B1166" s="55">
        <v>2575372</v>
      </c>
      <c r="D1166" s="55" t="s">
        <v>373</v>
      </c>
      <c r="E1166" s="74">
        <v>43994</v>
      </c>
      <c r="F1166" s="55" t="s">
        <v>344</v>
      </c>
      <c r="G1166" s="55" t="s">
        <v>360</v>
      </c>
      <c r="H1166" s="55" t="s">
        <v>360</v>
      </c>
      <c r="I1166" s="55" t="s">
        <v>360</v>
      </c>
      <c r="J1166" s="55" t="s">
        <v>360</v>
      </c>
      <c r="K1166" s="55" t="s">
        <v>360</v>
      </c>
      <c r="L1166" s="55" t="s">
        <v>360</v>
      </c>
      <c r="M1166" s="55" t="s">
        <v>138</v>
      </c>
      <c r="N1166" s="55" t="s">
        <v>138</v>
      </c>
      <c r="O1166" s="55" t="s">
        <v>183</v>
      </c>
      <c r="P1166" s="55" t="s">
        <v>1500</v>
      </c>
      <c r="Q1166" s="55" t="s">
        <v>350</v>
      </c>
      <c r="R1166" s="85">
        <v>3</v>
      </c>
      <c r="S1166" s="55">
        <v>0</v>
      </c>
      <c r="T1166" s="74" t="s">
        <v>1750</v>
      </c>
      <c r="U1166" s="74" t="s">
        <v>351</v>
      </c>
      <c r="V1166" s="74">
        <v>44300</v>
      </c>
      <c r="W1166" s="74">
        <v>44327</v>
      </c>
      <c r="X1166" s="55">
        <v>10186210</v>
      </c>
      <c r="Y1166" s="55" t="s">
        <v>130</v>
      </c>
      <c r="AB1166" s="74" t="s">
        <v>130</v>
      </c>
      <c r="AC1166" s="55" t="s">
        <v>130</v>
      </c>
      <c r="AL1166" s="74"/>
      <c r="AM1166" s="74"/>
      <c r="AW1166" s="74"/>
      <c r="AX1166" s="74"/>
    </row>
    <row r="1167" spans="1:50" ht="13" x14ac:dyDescent="0.15">
      <c r="A1167" s="55" t="str">
        <f>HYPERLINK("http://reports.ofsted.gov.uk/inspection-reports/find-inspection-report/provider/CARE/2575432","Ofsted Social Care Provider Webpage")</f>
        <v>Ofsted Social Care Provider Webpage</v>
      </c>
      <c r="B1167" s="55">
        <v>2575432</v>
      </c>
      <c r="D1167" s="55" t="s">
        <v>373</v>
      </c>
      <c r="E1167" s="74">
        <v>43952</v>
      </c>
      <c r="F1167" s="55" t="s">
        <v>344</v>
      </c>
      <c r="G1167" s="55" t="s">
        <v>360</v>
      </c>
      <c r="H1167" s="55" t="s">
        <v>360</v>
      </c>
      <c r="I1167" s="55" t="s">
        <v>360</v>
      </c>
      <c r="J1167" s="55" t="s">
        <v>360</v>
      </c>
      <c r="K1167" s="55" t="s">
        <v>360</v>
      </c>
      <c r="L1167" s="55" t="s">
        <v>360</v>
      </c>
      <c r="M1167" s="55" t="s">
        <v>144</v>
      </c>
      <c r="N1167" s="55" t="s">
        <v>144</v>
      </c>
      <c r="O1167" s="55" t="s">
        <v>287</v>
      </c>
      <c r="P1167" s="55" t="s">
        <v>815</v>
      </c>
      <c r="Q1167" s="55" t="s">
        <v>350</v>
      </c>
      <c r="R1167" s="85">
        <v>2</v>
      </c>
      <c r="S1167" s="55">
        <v>0</v>
      </c>
      <c r="T1167" s="74" t="s">
        <v>1272</v>
      </c>
      <c r="U1167" s="74" t="s">
        <v>351</v>
      </c>
      <c r="V1167" s="74">
        <v>44370</v>
      </c>
      <c r="W1167" s="74">
        <v>44397</v>
      </c>
      <c r="X1167" s="55">
        <v>10186745</v>
      </c>
      <c r="Y1167" s="55" t="s">
        <v>132</v>
      </c>
      <c r="AB1167" s="74" t="s">
        <v>132</v>
      </c>
      <c r="AC1167" s="55" t="s">
        <v>132</v>
      </c>
      <c r="AL1167" s="74"/>
      <c r="AM1167" s="74"/>
    </row>
    <row r="1168" spans="1:50" ht="13" x14ac:dyDescent="0.15">
      <c r="A1168" s="55" t="str">
        <f>HYPERLINK("http://reports.ofsted.gov.uk/inspection-reports/find-inspection-report/provider/CARE/2575551","Ofsted Social Care Provider Webpage")</f>
        <v>Ofsted Social Care Provider Webpage</v>
      </c>
      <c r="B1168" s="55">
        <v>2575551</v>
      </c>
      <c r="D1168" s="55" t="s">
        <v>373</v>
      </c>
      <c r="E1168" s="74">
        <v>44258</v>
      </c>
      <c r="F1168" s="55" t="s">
        <v>344</v>
      </c>
      <c r="G1168" s="55" t="s">
        <v>360</v>
      </c>
      <c r="H1168" s="55" t="s">
        <v>360</v>
      </c>
      <c r="I1168" s="55" t="s">
        <v>360</v>
      </c>
      <c r="J1168" s="55" t="s">
        <v>360</v>
      </c>
      <c r="K1168" s="55" t="s">
        <v>360</v>
      </c>
      <c r="L1168" s="55" t="s">
        <v>360</v>
      </c>
      <c r="M1168" s="55" t="s">
        <v>378</v>
      </c>
      <c r="N1168" s="55" t="s">
        <v>134</v>
      </c>
      <c r="O1168" s="55" t="s">
        <v>246</v>
      </c>
      <c r="P1168" s="55" t="s">
        <v>685</v>
      </c>
      <c r="Q1168" s="55" t="s">
        <v>350</v>
      </c>
      <c r="R1168" s="85">
        <v>1</v>
      </c>
      <c r="S1168" s="55">
        <v>0</v>
      </c>
      <c r="T1168" s="74" t="s">
        <v>1751</v>
      </c>
      <c r="U1168" s="74" t="s">
        <v>351</v>
      </c>
      <c r="V1168" s="74">
        <v>44474</v>
      </c>
      <c r="W1168" s="74">
        <v>44512</v>
      </c>
      <c r="X1168" s="55">
        <v>10188294</v>
      </c>
      <c r="Y1168" s="55" t="s">
        <v>130</v>
      </c>
      <c r="AB1168" s="74" t="s">
        <v>130</v>
      </c>
      <c r="AC1168" s="55" t="s">
        <v>130</v>
      </c>
      <c r="AL1168" s="74"/>
      <c r="AM1168" s="74"/>
      <c r="AW1168" s="74"/>
      <c r="AX1168" s="74"/>
    </row>
    <row r="1169" spans="1:50" ht="13" x14ac:dyDescent="0.15">
      <c r="A1169" s="55" t="str">
        <f>HYPERLINK("http://reports.ofsted.gov.uk/inspection-reports/find-inspection-report/provider/CARE/2575713","Ofsted Social Care Provider Webpage")</f>
        <v>Ofsted Social Care Provider Webpage</v>
      </c>
      <c r="B1169" s="55">
        <v>2575713</v>
      </c>
      <c r="D1169" s="55" t="s">
        <v>373</v>
      </c>
      <c r="E1169" s="74">
        <v>43930</v>
      </c>
      <c r="F1169" s="55" t="s">
        <v>344</v>
      </c>
      <c r="G1169" s="55" t="s">
        <v>360</v>
      </c>
      <c r="H1169" s="55" t="s">
        <v>360</v>
      </c>
      <c r="I1169" s="55" t="s">
        <v>360</v>
      </c>
      <c r="J1169" s="55" t="s">
        <v>360</v>
      </c>
      <c r="K1169" s="55" t="s">
        <v>360</v>
      </c>
      <c r="L1169" s="55" t="s">
        <v>360</v>
      </c>
      <c r="M1169" s="55" t="s">
        <v>138</v>
      </c>
      <c r="N1169" s="55" t="s">
        <v>138</v>
      </c>
      <c r="O1169" s="55" t="s">
        <v>196</v>
      </c>
      <c r="P1169" s="55" t="s">
        <v>546</v>
      </c>
      <c r="Q1169" s="55" t="s">
        <v>350</v>
      </c>
      <c r="R1169" s="85">
        <v>2</v>
      </c>
      <c r="S1169" s="55">
        <v>0</v>
      </c>
      <c r="T1169" s="74" t="s">
        <v>1533</v>
      </c>
      <c r="U1169" s="74" t="s">
        <v>351</v>
      </c>
      <c r="V1169" s="74">
        <v>44537</v>
      </c>
      <c r="W1169" s="74">
        <v>44582</v>
      </c>
      <c r="X1169" s="55">
        <v>10185886</v>
      </c>
      <c r="Y1169" s="55" t="s">
        <v>132</v>
      </c>
      <c r="AB1169" s="74" t="s">
        <v>132</v>
      </c>
      <c r="AC1169" s="55" t="s">
        <v>130</v>
      </c>
      <c r="AL1169" s="74"/>
      <c r="AM1169" s="74"/>
      <c r="AW1169" s="74"/>
      <c r="AX1169" s="74"/>
    </row>
    <row r="1170" spans="1:50" ht="13" x14ac:dyDescent="0.15">
      <c r="A1170" s="55" t="str">
        <f>HYPERLINK("http://reports.ofsted.gov.uk/inspection-reports/find-inspection-report/provider/CARE/2575788","Ofsted Social Care Provider Webpage")</f>
        <v>Ofsted Social Care Provider Webpage</v>
      </c>
      <c r="B1170" s="55">
        <v>2575788</v>
      </c>
      <c r="D1170" s="55" t="s">
        <v>373</v>
      </c>
      <c r="E1170" s="74">
        <v>43901</v>
      </c>
      <c r="F1170" s="55" t="s">
        <v>344</v>
      </c>
      <c r="G1170" s="55" t="s">
        <v>360</v>
      </c>
      <c r="H1170" s="55" t="s">
        <v>360</v>
      </c>
      <c r="I1170" s="55" t="s">
        <v>360</v>
      </c>
      <c r="J1170" s="55" t="s">
        <v>360</v>
      </c>
      <c r="K1170" s="55" t="s">
        <v>360</v>
      </c>
      <c r="L1170" s="55" t="s">
        <v>360</v>
      </c>
      <c r="M1170" s="55" t="s">
        <v>136</v>
      </c>
      <c r="N1170" s="55" t="s">
        <v>136</v>
      </c>
      <c r="O1170" s="55" t="s">
        <v>270</v>
      </c>
      <c r="P1170" s="55" t="s">
        <v>1752</v>
      </c>
      <c r="Q1170" s="55" t="s">
        <v>350</v>
      </c>
      <c r="R1170" s="85">
        <v>3</v>
      </c>
      <c r="S1170" s="55">
        <v>0</v>
      </c>
      <c r="T1170" s="74" t="s">
        <v>1236</v>
      </c>
      <c r="U1170" s="74" t="s">
        <v>2053</v>
      </c>
      <c r="V1170" s="74">
        <v>44592</v>
      </c>
      <c r="W1170" s="74">
        <v>44615</v>
      </c>
      <c r="X1170" s="55">
        <v>10218227</v>
      </c>
      <c r="AL1170" s="74"/>
      <c r="AM1170" s="74"/>
      <c r="AW1170" s="74"/>
      <c r="AX1170" s="74"/>
    </row>
    <row r="1171" spans="1:50" ht="13" x14ac:dyDescent="0.15">
      <c r="A1171" s="55" t="str">
        <f>HYPERLINK("http://reports.ofsted.gov.uk/inspection-reports/find-inspection-report/provider/CARE/2575788","Ofsted Social Care Provider Webpage")</f>
        <v>Ofsted Social Care Provider Webpage</v>
      </c>
      <c r="B1171" s="55">
        <v>2575788</v>
      </c>
      <c r="D1171" s="55" t="s">
        <v>373</v>
      </c>
      <c r="E1171" s="74">
        <v>43901</v>
      </c>
      <c r="F1171" s="55" t="s">
        <v>344</v>
      </c>
      <c r="G1171" s="55" t="s">
        <v>360</v>
      </c>
      <c r="H1171" s="55" t="s">
        <v>360</v>
      </c>
      <c r="I1171" s="55" t="s">
        <v>360</v>
      </c>
      <c r="J1171" s="55" t="s">
        <v>360</v>
      </c>
      <c r="K1171" s="55" t="s">
        <v>360</v>
      </c>
      <c r="L1171" s="55" t="s">
        <v>360</v>
      </c>
      <c r="M1171" s="55" t="s">
        <v>136</v>
      </c>
      <c r="N1171" s="55" t="s">
        <v>136</v>
      </c>
      <c r="O1171" s="55" t="s">
        <v>270</v>
      </c>
      <c r="P1171" s="55" t="s">
        <v>1752</v>
      </c>
      <c r="Q1171" s="55" t="s">
        <v>350</v>
      </c>
      <c r="R1171" s="85">
        <v>3</v>
      </c>
      <c r="S1171" s="55">
        <v>0</v>
      </c>
      <c r="T1171" s="74" t="s">
        <v>1236</v>
      </c>
      <c r="U1171" s="74" t="s">
        <v>351</v>
      </c>
      <c r="V1171" s="74">
        <v>44539</v>
      </c>
      <c r="W1171" s="74">
        <v>44581</v>
      </c>
      <c r="X1171" s="55">
        <v>10185988</v>
      </c>
      <c r="Y1171" s="55" t="s">
        <v>146</v>
      </c>
      <c r="AB1171" s="74" t="s">
        <v>146</v>
      </c>
      <c r="AC1171" s="55" t="s">
        <v>146</v>
      </c>
      <c r="AL1171" s="74"/>
      <c r="AM1171" s="74"/>
      <c r="AW1171" s="74"/>
      <c r="AX1171" s="74"/>
    </row>
    <row r="1172" spans="1:50" ht="13" x14ac:dyDescent="0.15">
      <c r="A1172" s="55" t="str">
        <f>HYPERLINK("http://reports.ofsted.gov.uk/inspection-reports/find-inspection-report/provider/CARE/2575842","Ofsted Social Care Provider Webpage")</f>
        <v>Ofsted Social Care Provider Webpage</v>
      </c>
      <c r="B1172" s="55">
        <v>2575842</v>
      </c>
      <c r="D1172" s="55" t="s">
        <v>373</v>
      </c>
      <c r="E1172" s="74">
        <v>44014</v>
      </c>
      <c r="F1172" s="55" t="s">
        <v>344</v>
      </c>
      <c r="G1172" s="55" t="s">
        <v>360</v>
      </c>
      <c r="H1172" s="55" t="s">
        <v>360</v>
      </c>
      <c r="I1172" s="55" t="s">
        <v>360</v>
      </c>
      <c r="J1172" s="55" t="s">
        <v>360</v>
      </c>
      <c r="K1172" s="55" t="s">
        <v>360</v>
      </c>
      <c r="L1172" s="55" t="s">
        <v>360</v>
      </c>
      <c r="M1172" s="55" t="s">
        <v>144</v>
      </c>
      <c r="N1172" s="55" t="s">
        <v>144</v>
      </c>
      <c r="O1172" s="55" t="s">
        <v>290</v>
      </c>
      <c r="P1172" s="55" t="s">
        <v>1512</v>
      </c>
      <c r="Q1172" s="55" t="s">
        <v>350</v>
      </c>
      <c r="R1172" s="85">
        <v>4</v>
      </c>
      <c r="S1172" s="55">
        <v>0</v>
      </c>
      <c r="T1172" s="74" t="s">
        <v>1753</v>
      </c>
      <c r="U1172" s="74" t="s">
        <v>351</v>
      </c>
      <c r="V1172" s="74">
        <v>44545</v>
      </c>
      <c r="W1172" s="74">
        <v>44594</v>
      </c>
      <c r="X1172" s="55">
        <v>10206955</v>
      </c>
      <c r="Y1172" s="55" t="s">
        <v>130</v>
      </c>
      <c r="AB1172" s="74" t="s">
        <v>130</v>
      </c>
      <c r="AC1172" s="55" t="s">
        <v>130</v>
      </c>
      <c r="AL1172" s="74"/>
      <c r="AM1172" s="74"/>
      <c r="AW1172" s="74"/>
      <c r="AX1172" s="74"/>
    </row>
    <row r="1173" spans="1:50" ht="13" x14ac:dyDescent="0.15">
      <c r="A1173" s="55" t="str">
        <f>HYPERLINK("http://reports.ofsted.gov.uk/inspection-reports/find-inspection-report/provider/CARE/2575842","Ofsted Social Care Provider Webpage")</f>
        <v>Ofsted Social Care Provider Webpage</v>
      </c>
      <c r="B1173" s="55">
        <v>2575842</v>
      </c>
      <c r="D1173" s="55" t="s">
        <v>373</v>
      </c>
      <c r="E1173" s="74">
        <v>44014</v>
      </c>
      <c r="F1173" s="55" t="s">
        <v>344</v>
      </c>
      <c r="G1173" s="55" t="s">
        <v>360</v>
      </c>
      <c r="H1173" s="55" t="s">
        <v>360</v>
      </c>
      <c r="I1173" s="55" t="s">
        <v>360</v>
      </c>
      <c r="J1173" s="55" t="s">
        <v>360</v>
      </c>
      <c r="K1173" s="55" t="s">
        <v>360</v>
      </c>
      <c r="L1173" s="55" t="s">
        <v>360</v>
      </c>
      <c r="M1173" s="55" t="s">
        <v>144</v>
      </c>
      <c r="N1173" s="55" t="s">
        <v>144</v>
      </c>
      <c r="O1173" s="55" t="s">
        <v>290</v>
      </c>
      <c r="P1173" s="55" t="s">
        <v>1512</v>
      </c>
      <c r="Q1173" s="55" t="s">
        <v>350</v>
      </c>
      <c r="R1173" s="85">
        <v>4</v>
      </c>
      <c r="S1173" s="55">
        <v>0</v>
      </c>
      <c r="T1173" s="74" t="s">
        <v>1753</v>
      </c>
      <c r="U1173" s="74" t="s">
        <v>2053</v>
      </c>
      <c r="V1173" s="74">
        <v>44452</v>
      </c>
      <c r="W1173" s="74">
        <v>44491</v>
      </c>
      <c r="X1173" s="55">
        <v>10203974</v>
      </c>
      <c r="AL1173" s="74"/>
      <c r="AM1173" s="74"/>
    </row>
    <row r="1174" spans="1:50" ht="13" x14ac:dyDescent="0.15">
      <c r="A1174" s="55" t="str">
        <f>HYPERLINK("http://reports.ofsted.gov.uk/inspection-reports/find-inspection-report/provider/CARE/2575842","Ofsted Social Care Provider Webpage")</f>
        <v>Ofsted Social Care Provider Webpage</v>
      </c>
      <c r="B1174" s="55">
        <v>2575842</v>
      </c>
      <c r="D1174" s="55" t="s">
        <v>373</v>
      </c>
      <c r="E1174" s="74">
        <v>44014</v>
      </c>
      <c r="F1174" s="55" t="s">
        <v>344</v>
      </c>
      <c r="G1174" s="55" t="s">
        <v>360</v>
      </c>
      <c r="H1174" s="55" t="s">
        <v>360</v>
      </c>
      <c r="I1174" s="55" t="s">
        <v>360</v>
      </c>
      <c r="J1174" s="55" t="s">
        <v>360</v>
      </c>
      <c r="K1174" s="55" t="s">
        <v>360</v>
      </c>
      <c r="L1174" s="55" t="s">
        <v>360</v>
      </c>
      <c r="M1174" s="55" t="s">
        <v>144</v>
      </c>
      <c r="N1174" s="55" t="s">
        <v>144</v>
      </c>
      <c r="O1174" s="55" t="s">
        <v>290</v>
      </c>
      <c r="P1174" s="55" t="s">
        <v>1512</v>
      </c>
      <c r="Q1174" s="55" t="s">
        <v>350</v>
      </c>
      <c r="R1174" s="85">
        <v>4</v>
      </c>
      <c r="S1174" s="55">
        <v>0</v>
      </c>
      <c r="T1174" s="74" t="s">
        <v>1753</v>
      </c>
      <c r="U1174" s="74" t="s">
        <v>351</v>
      </c>
      <c r="V1174" s="74">
        <v>44406</v>
      </c>
      <c r="W1174" s="74">
        <v>44447</v>
      </c>
      <c r="X1174" s="55">
        <v>10186675</v>
      </c>
      <c r="Y1174" s="55" t="s">
        <v>146</v>
      </c>
      <c r="AB1174" s="74" t="s">
        <v>146</v>
      </c>
      <c r="AC1174" s="55" t="s">
        <v>146</v>
      </c>
      <c r="AL1174" s="74"/>
      <c r="AM1174" s="74"/>
      <c r="AW1174" s="74"/>
      <c r="AX1174" s="74"/>
    </row>
    <row r="1175" spans="1:50" ht="13" x14ac:dyDescent="0.15">
      <c r="A1175" s="55" t="str">
        <f>HYPERLINK("http://reports.ofsted.gov.uk/inspection-reports/find-inspection-report/provider/CARE/2575842","Ofsted Social Care Provider Webpage")</f>
        <v>Ofsted Social Care Provider Webpage</v>
      </c>
      <c r="B1175" s="55">
        <v>2575842</v>
      </c>
      <c r="D1175" s="55" t="s">
        <v>373</v>
      </c>
      <c r="E1175" s="74">
        <v>44014</v>
      </c>
      <c r="F1175" s="55" t="s">
        <v>344</v>
      </c>
      <c r="G1175" s="55" t="s">
        <v>360</v>
      </c>
      <c r="H1175" s="55" t="s">
        <v>360</v>
      </c>
      <c r="I1175" s="55" t="s">
        <v>360</v>
      </c>
      <c r="J1175" s="55" t="s">
        <v>360</v>
      </c>
      <c r="K1175" s="55" t="s">
        <v>360</v>
      </c>
      <c r="L1175" s="55" t="s">
        <v>360</v>
      </c>
      <c r="M1175" s="55" t="s">
        <v>144</v>
      </c>
      <c r="N1175" s="55" t="s">
        <v>144</v>
      </c>
      <c r="O1175" s="55" t="s">
        <v>290</v>
      </c>
      <c r="P1175" s="55" t="s">
        <v>1512</v>
      </c>
      <c r="Q1175" s="55" t="s">
        <v>350</v>
      </c>
      <c r="R1175" s="85">
        <v>4</v>
      </c>
      <c r="S1175" s="55">
        <v>0</v>
      </c>
      <c r="T1175" s="74" t="s">
        <v>1753</v>
      </c>
      <c r="U1175" s="74" t="s">
        <v>2053</v>
      </c>
      <c r="V1175" s="74">
        <v>44503</v>
      </c>
      <c r="W1175" s="74">
        <v>44536</v>
      </c>
      <c r="X1175" s="55">
        <v>10213331</v>
      </c>
      <c r="AL1175" s="74"/>
      <c r="AM1175" s="74"/>
      <c r="AW1175" s="74"/>
      <c r="AX1175" s="74"/>
    </row>
    <row r="1176" spans="1:50" ht="13" x14ac:dyDescent="0.15">
      <c r="A1176" s="55" t="str">
        <f>HYPERLINK("http://reports.ofsted.gov.uk/inspection-reports/find-inspection-report/provider/CARE/2576030","Ofsted Social Care Provider Webpage")</f>
        <v>Ofsted Social Care Provider Webpage</v>
      </c>
      <c r="B1176" s="55">
        <v>2576030</v>
      </c>
      <c r="D1176" s="55" t="s">
        <v>389</v>
      </c>
      <c r="E1176" s="74">
        <v>44015</v>
      </c>
      <c r="F1176" s="55" t="s">
        <v>344</v>
      </c>
      <c r="G1176" s="55" t="s">
        <v>1308</v>
      </c>
      <c r="H1176" s="55" t="s">
        <v>1754</v>
      </c>
      <c r="I1176" s="55" t="s">
        <v>1755</v>
      </c>
      <c r="J1176" s="55" t="s">
        <v>1756</v>
      </c>
      <c r="K1176" s="55" t="s">
        <v>1402</v>
      </c>
      <c r="L1176" s="55" t="s">
        <v>1757</v>
      </c>
      <c r="M1176" s="55" t="s">
        <v>150</v>
      </c>
      <c r="N1176" s="55" t="s">
        <v>150</v>
      </c>
      <c r="O1176" s="55" t="s">
        <v>289</v>
      </c>
      <c r="P1176" s="55" t="s">
        <v>1756</v>
      </c>
      <c r="Q1176" s="55" t="s">
        <v>350</v>
      </c>
      <c r="S1176" s="55">
        <v>0</v>
      </c>
      <c r="T1176" s="74" t="s">
        <v>1313</v>
      </c>
      <c r="U1176" s="74" t="s">
        <v>351</v>
      </c>
      <c r="V1176" s="74">
        <v>44410</v>
      </c>
      <c r="W1176" s="74">
        <v>44449</v>
      </c>
      <c r="X1176" s="55">
        <v>10183201</v>
      </c>
      <c r="Y1176" s="55" t="s">
        <v>132</v>
      </c>
      <c r="AB1176" s="74" t="s">
        <v>132</v>
      </c>
      <c r="AC1176" s="55" t="s">
        <v>132</v>
      </c>
      <c r="AL1176" s="74"/>
      <c r="AM1176" s="74"/>
    </row>
    <row r="1177" spans="1:50" ht="13" x14ac:dyDescent="0.15">
      <c r="A1177" s="55" t="str">
        <f>HYPERLINK("http://reports.ofsted.gov.uk/inspection-reports/find-inspection-report/provider/CARE/2576346","Ofsted Social Care Provider Webpage")</f>
        <v>Ofsted Social Care Provider Webpage</v>
      </c>
      <c r="B1177" s="55">
        <v>2576346</v>
      </c>
      <c r="D1177" s="55" t="s">
        <v>373</v>
      </c>
      <c r="E1177" s="74">
        <v>44095</v>
      </c>
      <c r="F1177" s="55" t="s">
        <v>344</v>
      </c>
      <c r="G1177" s="55" t="s">
        <v>360</v>
      </c>
      <c r="H1177" s="55" t="s">
        <v>360</v>
      </c>
      <c r="I1177" s="55" t="s">
        <v>360</v>
      </c>
      <c r="J1177" s="55" t="s">
        <v>360</v>
      </c>
      <c r="K1177" s="55" t="s">
        <v>360</v>
      </c>
      <c r="L1177" s="55" t="s">
        <v>360</v>
      </c>
      <c r="M1177" s="55" t="s">
        <v>129</v>
      </c>
      <c r="N1177" s="55" t="s">
        <v>129</v>
      </c>
      <c r="O1177" s="55" t="s">
        <v>1758</v>
      </c>
      <c r="P1177" s="55" t="s">
        <v>1759</v>
      </c>
      <c r="Q1177" s="55" t="s">
        <v>350</v>
      </c>
      <c r="R1177" s="85">
        <v>5</v>
      </c>
      <c r="S1177" s="55">
        <v>0</v>
      </c>
      <c r="T1177" s="74" t="s">
        <v>1313</v>
      </c>
      <c r="U1177" s="74" t="s">
        <v>2053</v>
      </c>
      <c r="V1177" s="74">
        <v>44467</v>
      </c>
      <c r="W1177" s="74">
        <v>44491</v>
      </c>
      <c r="X1177" s="55">
        <v>10205854</v>
      </c>
      <c r="AL1177" s="74"/>
      <c r="AM1177" s="74"/>
      <c r="AW1177" s="74"/>
      <c r="AX1177" s="74"/>
    </row>
    <row r="1178" spans="1:50" ht="13" x14ac:dyDescent="0.15">
      <c r="A1178" s="55" t="str">
        <f>HYPERLINK("http://reports.ofsted.gov.uk/inspection-reports/find-inspection-report/provider/CARE/2576346","Ofsted Social Care Provider Webpage")</f>
        <v>Ofsted Social Care Provider Webpage</v>
      </c>
      <c r="B1178" s="55">
        <v>2576346</v>
      </c>
      <c r="D1178" s="55" t="s">
        <v>373</v>
      </c>
      <c r="E1178" s="74">
        <v>44095</v>
      </c>
      <c r="F1178" s="55" t="s">
        <v>344</v>
      </c>
      <c r="G1178" s="55" t="s">
        <v>360</v>
      </c>
      <c r="H1178" s="55" t="s">
        <v>360</v>
      </c>
      <c r="I1178" s="55" t="s">
        <v>360</v>
      </c>
      <c r="J1178" s="55" t="s">
        <v>360</v>
      </c>
      <c r="K1178" s="55" t="s">
        <v>360</v>
      </c>
      <c r="L1178" s="55" t="s">
        <v>360</v>
      </c>
      <c r="M1178" s="55" t="s">
        <v>129</v>
      </c>
      <c r="N1178" s="55" t="s">
        <v>129</v>
      </c>
      <c r="O1178" s="55" t="s">
        <v>1758</v>
      </c>
      <c r="P1178" s="55" t="s">
        <v>1759</v>
      </c>
      <c r="Q1178" s="55" t="s">
        <v>350</v>
      </c>
      <c r="R1178" s="85">
        <v>5</v>
      </c>
      <c r="S1178" s="55">
        <v>0</v>
      </c>
      <c r="T1178" s="74" t="s">
        <v>1313</v>
      </c>
      <c r="U1178" s="74" t="s">
        <v>351</v>
      </c>
      <c r="V1178" s="74">
        <v>44432</v>
      </c>
      <c r="W1178" s="74">
        <v>44463</v>
      </c>
      <c r="X1178" s="55">
        <v>10186059</v>
      </c>
      <c r="Y1178" s="55" t="s">
        <v>146</v>
      </c>
      <c r="AB1178" s="74" t="s">
        <v>146</v>
      </c>
      <c r="AC1178" s="55" t="s">
        <v>146</v>
      </c>
      <c r="AL1178" s="74"/>
      <c r="AM1178" s="74"/>
      <c r="AW1178" s="74"/>
      <c r="AX1178" s="74"/>
    </row>
    <row r="1179" spans="1:50" ht="13" x14ac:dyDescent="0.15">
      <c r="A1179" s="55" t="str">
        <f>HYPERLINK("http://reports.ofsted.gov.uk/inspection-reports/find-inspection-report/provider/CARE/2576346","Ofsted Social Care Provider Webpage")</f>
        <v>Ofsted Social Care Provider Webpage</v>
      </c>
      <c r="B1179" s="55">
        <v>2576346</v>
      </c>
      <c r="D1179" s="55" t="s">
        <v>373</v>
      </c>
      <c r="E1179" s="74">
        <v>44095</v>
      </c>
      <c r="F1179" s="55" t="s">
        <v>344</v>
      </c>
      <c r="G1179" s="55" t="s">
        <v>360</v>
      </c>
      <c r="H1179" s="55" t="s">
        <v>360</v>
      </c>
      <c r="I1179" s="55" t="s">
        <v>360</v>
      </c>
      <c r="J1179" s="55" t="s">
        <v>360</v>
      </c>
      <c r="K1179" s="55" t="s">
        <v>360</v>
      </c>
      <c r="L1179" s="55" t="s">
        <v>360</v>
      </c>
      <c r="M1179" s="55" t="s">
        <v>129</v>
      </c>
      <c r="N1179" s="55" t="s">
        <v>129</v>
      </c>
      <c r="O1179" s="55" t="s">
        <v>1758</v>
      </c>
      <c r="P1179" s="55" t="s">
        <v>1759</v>
      </c>
      <c r="Q1179" s="55" t="s">
        <v>350</v>
      </c>
      <c r="R1179" s="85">
        <v>5</v>
      </c>
      <c r="S1179" s="55">
        <v>0</v>
      </c>
      <c r="T1179" s="74" t="s">
        <v>1313</v>
      </c>
      <c r="U1179" s="74" t="s">
        <v>351</v>
      </c>
      <c r="V1179" s="74">
        <v>44523</v>
      </c>
      <c r="W1179" s="74">
        <v>44566</v>
      </c>
      <c r="X1179" s="55">
        <v>10205853</v>
      </c>
      <c r="Y1179" s="55" t="s">
        <v>132</v>
      </c>
      <c r="AB1179" s="74" t="s">
        <v>132</v>
      </c>
      <c r="AC1179" s="55" t="s">
        <v>130</v>
      </c>
      <c r="AL1179" s="74"/>
      <c r="AM1179" s="74"/>
      <c r="AW1179" s="74"/>
      <c r="AX1179" s="74"/>
    </row>
    <row r="1180" spans="1:50" ht="13" x14ac:dyDescent="0.15">
      <c r="A1180" s="55" t="str">
        <f>HYPERLINK("http://reports.ofsted.gov.uk/inspection-reports/find-inspection-report/provider/CARE/2576409","Ofsted Social Care Provider Webpage")</f>
        <v>Ofsted Social Care Provider Webpage</v>
      </c>
      <c r="B1180" s="55">
        <v>2576409</v>
      </c>
      <c r="D1180" s="55" t="s">
        <v>373</v>
      </c>
      <c r="E1180" s="74">
        <v>43964</v>
      </c>
      <c r="F1180" s="55" t="s">
        <v>344</v>
      </c>
      <c r="G1180" s="55" t="s">
        <v>360</v>
      </c>
      <c r="H1180" s="55" t="s">
        <v>360</v>
      </c>
      <c r="I1180" s="55" t="s">
        <v>360</v>
      </c>
      <c r="J1180" s="55" t="s">
        <v>360</v>
      </c>
      <c r="K1180" s="55" t="s">
        <v>360</v>
      </c>
      <c r="L1180" s="55" t="s">
        <v>360</v>
      </c>
      <c r="M1180" s="55" t="s">
        <v>142</v>
      </c>
      <c r="N1180" s="55" t="s">
        <v>142</v>
      </c>
      <c r="O1180" s="55" t="s">
        <v>262</v>
      </c>
      <c r="P1180" s="55" t="s">
        <v>618</v>
      </c>
      <c r="Q1180" s="55" t="s">
        <v>350</v>
      </c>
      <c r="R1180" s="85">
        <v>5</v>
      </c>
      <c r="S1180" s="55">
        <v>0</v>
      </c>
      <c r="T1180" s="74" t="s">
        <v>574</v>
      </c>
      <c r="U1180" s="74" t="s">
        <v>351</v>
      </c>
      <c r="V1180" s="74">
        <v>44614</v>
      </c>
      <c r="W1180" s="74">
        <v>44651</v>
      </c>
      <c r="X1180" s="55">
        <v>10187487</v>
      </c>
      <c r="Y1180" s="55" t="s">
        <v>140</v>
      </c>
      <c r="AB1180" s="74" t="s">
        <v>140</v>
      </c>
      <c r="AC1180" s="55" t="s">
        <v>140</v>
      </c>
      <c r="AL1180" s="74"/>
      <c r="AM1180" s="74"/>
      <c r="AW1180" s="74"/>
      <c r="AX1180" s="74"/>
    </row>
    <row r="1181" spans="1:50" ht="13" x14ac:dyDescent="0.15">
      <c r="A1181" s="55" t="str">
        <f>HYPERLINK("http://reports.ofsted.gov.uk/inspection-reports/find-inspection-report/provider/CARE/2576423","Ofsted Social Care Provider Webpage")</f>
        <v>Ofsted Social Care Provider Webpage</v>
      </c>
      <c r="B1181" s="55">
        <v>2576423</v>
      </c>
      <c r="D1181" s="55" t="s">
        <v>373</v>
      </c>
      <c r="E1181" s="74">
        <v>43948</v>
      </c>
      <c r="F1181" s="55" t="s">
        <v>344</v>
      </c>
      <c r="G1181" s="55" t="s">
        <v>360</v>
      </c>
      <c r="H1181" s="55" t="s">
        <v>360</v>
      </c>
      <c r="I1181" s="55" t="s">
        <v>360</v>
      </c>
      <c r="J1181" s="55" t="s">
        <v>360</v>
      </c>
      <c r="K1181" s="55" t="s">
        <v>360</v>
      </c>
      <c r="L1181" s="55" t="s">
        <v>360</v>
      </c>
      <c r="M1181" s="55" t="s">
        <v>172</v>
      </c>
      <c r="N1181" s="55" t="s">
        <v>172</v>
      </c>
      <c r="O1181" s="55" t="s">
        <v>228</v>
      </c>
      <c r="P1181" s="55" t="s">
        <v>991</v>
      </c>
      <c r="Q1181" s="55" t="s">
        <v>350</v>
      </c>
      <c r="R1181" s="85">
        <v>5</v>
      </c>
      <c r="S1181" s="55">
        <v>0</v>
      </c>
      <c r="T1181" s="74" t="s">
        <v>515</v>
      </c>
      <c r="U1181" s="74" t="s">
        <v>351</v>
      </c>
      <c r="V1181" s="74">
        <v>44515</v>
      </c>
      <c r="W1181" s="74">
        <v>44550</v>
      </c>
      <c r="X1181" s="55">
        <v>10186723</v>
      </c>
      <c r="Y1181" s="55" t="s">
        <v>132</v>
      </c>
      <c r="AB1181" s="74" t="s">
        <v>132</v>
      </c>
      <c r="AC1181" s="55" t="s">
        <v>132</v>
      </c>
      <c r="AL1181" s="74"/>
      <c r="AM1181" s="74"/>
      <c r="AW1181" s="74"/>
      <c r="AX1181" s="74"/>
    </row>
    <row r="1182" spans="1:50" ht="13" x14ac:dyDescent="0.15">
      <c r="A1182" s="55" t="str">
        <f>HYPERLINK("http://reports.ofsted.gov.uk/inspection-reports/find-inspection-report/provider/CARE/2576457","Ofsted Social Care Provider Webpage")</f>
        <v>Ofsted Social Care Provider Webpage</v>
      </c>
      <c r="B1182" s="55">
        <v>2576457</v>
      </c>
      <c r="D1182" s="55" t="s">
        <v>389</v>
      </c>
      <c r="E1182" s="74">
        <v>44061</v>
      </c>
      <c r="F1182" s="55" t="s">
        <v>344</v>
      </c>
      <c r="G1182" s="55" t="s">
        <v>1760</v>
      </c>
      <c r="H1182" s="55" t="s">
        <v>1761</v>
      </c>
      <c r="I1182" s="55" t="s">
        <v>1762</v>
      </c>
      <c r="J1182" s="55" t="s">
        <v>1291</v>
      </c>
      <c r="K1182" s="55" t="s">
        <v>252</v>
      </c>
      <c r="L1182" s="55" t="s">
        <v>1763</v>
      </c>
      <c r="M1182" s="55" t="s">
        <v>142</v>
      </c>
      <c r="N1182" s="55" t="s">
        <v>142</v>
      </c>
      <c r="O1182" s="55" t="s">
        <v>272</v>
      </c>
      <c r="P1182" s="55" t="s">
        <v>1291</v>
      </c>
      <c r="Q1182" s="55" t="s">
        <v>350</v>
      </c>
      <c r="S1182" s="55">
        <v>0</v>
      </c>
      <c r="T1182" s="74" t="s">
        <v>1764</v>
      </c>
      <c r="U1182" s="74" t="s">
        <v>351</v>
      </c>
      <c r="V1182" s="74">
        <v>44578</v>
      </c>
      <c r="W1182" s="74">
        <v>44610</v>
      </c>
      <c r="X1182" s="55">
        <v>10183212</v>
      </c>
      <c r="Y1182" s="55" t="s">
        <v>132</v>
      </c>
      <c r="AB1182" s="74" t="s">
        <v>132</v>
      </c>
      <c r="AC1182" s="55" t="s">
        <v>130</v>
      </c>
      <c r="AL1182" s="74"/>
      <c r="AM1182" s="74"/>
      <c r="AW1182" s="74"/>
      <c r="AX1182" s="74"/>
    </row>
    <row r="1183" spans="1:50" ht="13" x14ac:dyDescent="0.15">
      <c r="A1183" s="55" t="str">
        <f>HYPERLINK("http://reports.ofsted.gov.uk/inspection-reports/find-inspection-report/provider/CARE/2576569","Ofsted Social Care Provider Webpage")</f>
        <v>Ofsted Social Care Provider Webpage</v>
      </c>
      <c r="B1183" s="55">
        <v>2576569</v>
      </c>
      <c r="C1183" s="55">
        <v>130764</v>
      </c>
      <c r="D1183" s="55" t="s">
        <v>693</v>
      </c>
      <c r="E1183" s="74">
        <v>43839</v>
      </c>
      <c r="F1183" s="55" t="s">
        <v>344</v>
      </c>
      <c r="G1183" s="55" t="s">
        <v>1765</v>
      </c>
      <c r="H1183" s="55" t="s">
        <v>1766</v>
      </c>
      <c r="I1183" s="55" t="s">
        <v>1767</v>
      </c>
      <c r="J1183" s="55" t="s">
        <v>1768</v>
      </c>
      <c r="K1183" s="55" t="s">
        <v>224</v>
      </c>
      <c r="L1183" s="55" t="s">
        <v>1769</v>
      </c>
      <c r="M1183" s="55" t="s">
        <v>138</v>
      </c>
      <c r="N1183" s="55" t="s">
        <v>138</v>
      </c>
      <c r="O1183" s="55" t="s">
        <v>224</v>
      </c>
      <c r="P1183" s="55" t="s">
        <v>1294</v>
      </c>
      <c r="Q1183" s="55" t="s">
        <v>362</v>
      </c>
      <c r="R1183" s="85">
        <v>122</v>
      </c>
      <c r="S1183" s="55">
        <v>0</v>
      </c>
      <c r="U1183" s="74" t="s">
        <v>351</v>
      </c>
      <c r="V1183" s="74">
        <v>44363</v>
      </c>
      <c r="W1183" s="74">
        <v>44424</v>
      </c>
      <c r="X1183" s="55">
        <v>10183229</v>
      </c>
      <c r="Y1183" s="55" t="s">
        <v>132</v>
      </c>
      <c r="AB1183" s="74" t="s">
        <v>132</v>
      </c>
      <c r="AC1183" s="55" t="s">
        <v>132</v>
      </c>
      <c r="AL1183" s="74"/>
      <c r="AM1183" s="74"/>
    </row>
    <row r="1184" spans="1:50" ht="13" x14ac:dyDescent="0.15">
      <c r="A1184" s="55" t="str">
        <f>HYPERLINK("http://reports.ofsted.gov.uk/inspection-reports/find-inspection-report/provider/CARE/2577014","Ofsted Social Care Provider Webpage")</f>
        <v>Ofsted Social Care Provider Webpage</v>
      </c>
      <c r="B1184" s="55">
        <v>2577014</v>
      </c>
      <c r="D1184" s="55" t="s">
        <v>373</v>
      </c>
      <c r="E1184" s="74">
        <v>44055</v>
      </c>
      <c r="F1184" s="55" t="s">
        <v>344</v>
      </c>
      <c r="G1184" s="55" t="s">
        <v>360</v>
      </c>
      <c r="H1184" s="55" t="s">
        <v>360</v>
      </c>
      <c r="I1184" s="55" t="s">
        <v>360</v>
      </c>
      <c r="J1184" s="55" t="s">
        <v>360</v>
      </c>
      <c r="K1184" s="55" t="s">
        <v>360</v>
      </c>
      <c r="L1184" s="55" t="s">
        <v>360</v>
      </c>
      <c r="M1184" s="55" t="s">
        <v>378</v>
      </c>
      <c r="N1184" s="55" t="s">
        <v>134</v>
      </c>
      <c r="O1184" s="55" t="s">
        <v>246</v>
      </c>
      <c r="P1184" s="55" t="s">
        <v>1104</v>
      </c>
      <c r="Q1184" s="55" t="s">
        <v>350</v>
      </c>
      <c r="R1184" s="85">
        <v>1</v>
      </c>
      <c r="S1184" s="55">
        <v>0</v>
      </c>
      <c r="T1184" s="74" t="s">
        <v>1751</v>
      </c>
      <c r="U1184" s="74" t="s">
        <v>351</v>
      </c>
      <c r="V1184" s="74">
        <v>44594</v>
      </c>
      <c r="W1184" s="74">
        <v>44637</v>
      </c>
      <c r="X1184" s="55">
        <v>10185541</v>
      </c>
      <c r="Y1184" s="55" t="s">
        <v>132</v>
      </c>
      <c r="AB1184" s="74" t="s">
        <v>132</v>
      </c>
      <c r="AC1184" s="55" t="s">
        <v>132</v>
      </c>
      <c r="AL1184" s="74"/>
      <c r="AM1184" s="74"/>
      <c r="AW1184" s="74"/>
      <c r="AX1184" s="74"/>
    </row>
    <row r="1185" spans="1:50" ht="13" x14ac:dyDescent="0.15">
      <c r="A1185" s="55" t="str">
        <f>HYPERLINK("http://reports.ofsted.gov.uk/inspection-reports/find-inspection-report/provider/CARE/2577036","Ofsted Social Care Provider Webpage")</f>
        <v>Ofsted Social Care Provider Webpage</v>
      </c>
      <c r="B1185" s="55">
        <v>2577036</v>
      </c>
      <c r="D1185" s="55" t="s">
        <v>373</v>
      </c>
      <c r="E1185" s="74">
        <v>43929</v>
      </c>
      <c r="F1185" s="55" t="s">
        <v>6707</v>
      </c>
      <c r="G1185" s="55" t="s">
        <v>360</v>
      </c>
      <c r="H1185" s="55" t="s">
        <v>360</v>
      </c>
      <c r="I1185" s="55" t="s">
        <v>360</v>
      </c>
      <c r="J1185" s="55" t="s">
        <v>360</v>
      </c>
      <c r="K1185" s="55" t="s">
        <v>360</v>
      </c>
      <c r="L1185" s="55" t="s">
        <v>360</v>
      </c>
      <c r="M1185" s="55" t="s">
        <v>129</v>
      </c>
      <c r="N1185" s="55" t="s">
        <v>129</v>
      </c>
      <c r="O1185" s="55" t="s">
        <v>242</v>
      </c>
      <c r="P1185" s="55" t="s">
        <v>1192</v>
      </c>
      <c r="Q1185" s="55" t="s">
        <v>350</v>
      </c>
      <c r="R1185" s="85">
        <v>3</v>
      </c>
      <c r="S1185" s="55">
        <v>0</v>
      </c>
      <c r="T1185" s="74" t="s">
        <v>6726</v>
      </c>
      <c r="U1185" s="74" t="s">
        <v>2053</v>
      </c>
      <c r="V1185" s="74">
        <v>44447</v>
      </c>
      <c r="W1185" s="74">
        <v>44491</v>
      </c>
      <c r="X1185" s="55">
        <v>10205008</v>
      </c>
      <c r="AL1185" s="74"/>
      <c r="AM1185" s="74"/>
      <c r="AW1185" s="74"/>
      <c r="AX1185" s="74"/>
    </row>
    <row r="1186" spans="1:50" ht="13" x14ac:dyDescent="0.15">
      <c r="A1186" s="55" t="str">
        <f>HYPERLINK("http://reports.ofsted.gov.uk/inspection-reports/find-inspection-report/provider/CARE/2577036","Ofsted Social Care Provider Webpage")</f>
        <v>Ofsted Social Care Provider Webpage</v>
      </c>
      <c r="B1186" s="55">
        <v>2577036</v>
      </c>
      <c r="D1186" s="55" t="s">
        <v>373</v>
      </c>
      <c r="E1186" s="74">
        <v>43929</v>
      </c>
      <c r="F1186" s="55" t="s">
        <v>6707</v>
      </c>
      <c r="G1186" s="55" t="s">
        <v>360</v>
      </c>
      <c r="H1186" s="55" t="s">
        <v>360</v>
      </c>
      <c r="I1186" s="55" t="s">
        <v>360</v>
      </c>
      <c r="J1186" s="55" t="s">
        <v>360</v>
      </c>
      <c r="K1186" s="55" t="s">
        <v>360</v>
      </c>
      <c r="L1186" s="55" t="s">
        <v>360</v>
      </c>
      <c r="M1186" s="55" t="s">
        <v>129</v>
      </c>
      <c r="N1186" s="55" t="s">
        <v>129</v>
      </c>
      <c r="O1186" s="55" t="s">
        <v>242</v>
      </c>
      <c r="P1186" s="55" t="s">
        <v>1192</v>
      </c>
      <c r="Q1186" s="55" t="s">
        <v>350</v>
      </c>
      <c r="R1186" s="85">
        <v>3</v>
      </c>
      <c r="S1186" s="55">
        <v>0</v>
      </c>
      <c r="T1186" s="74" t="s">
        <v>6726</v>
      </c>
      <c r="U1186" s="74" t="s">
        <v>351</v>
      </c>
      <c r="V1186" s="74">
        <v>44391</v>
      </c>
      <c r="W1186" s="74">
        <v>44426</v>
      </c>
      <c r="X1186" s="55">
        <v>10186489</v>
      </c>
      <c r="Y1186" s="55" t="s">
        <v>146</v>
      </c>
      <c r="AB1186" s="74" t="s">
        <v>146</v>
      </c>
      <c r="AC1186" s="55" t="s">
        <v>146</v>
      </c>
      <c r="AL1186" s="74"/>
      <c r="AM1186" s="74"/>
      <c r="AW1186" s="74"/>
      <c r="AX1186" s="74"/>
    </row>
    <row r="1187" spans="1:50" ht="13" x14ac:dyDescent="0.15">
      <c r="A1187" s="55" t="str">
        <f>HYPERLINK("http://reports.ofsted.gov.uk/inspection-reports/find-inspection-report/provider/CARE/2577151","Ofsted Social Care Provider Webpage")</f>
        <v>Ofsted Social Care Provider Webpage</v>
      </c>
      <c r="B1187" s="55">
        <v>2577151</v>
      </c>
      <c r="D1187" s="55" t="s">
        <v>373</v>
      </c>
      <c r="E1187" s="74">
        <v>44230</v>
      </c>
      <c r="F1187" s="55" t="s">
        <v>344</v>
      </c>
      <c r="G1187" s="55" t="s">
        <v>360</v>
      </c>
      <c r="H1187" s="55" t="s">
        <v>360</v>
      </c>
      <c r="I1187" s="55" t="s">
        <v>360</v>
      </c>
      <c r="J1187" s="55" t="s">
        <v>360</v>
      </c>
      <c r="K1187" s="55" t="s">
        <v>360</v>
      </c>
      <c r="L1187" s="55" t="s">
        <v>360</v>
      </c>
      <c r="M1187" s="55" t="s">
        <v>142</v>
      </c>
      <c r="N1187" s="55" t="s">
        <v>142</v>
      </c>
      <c r="O1187" s="55" t="s">
        <v>262</v>
      </c>
      <c r="P1187" s="55" t="s">
        <v>949</v>
      </c>
      <c r="Q1187" s="55" t="s">
        <v>350</v>
      </c>
      <c r="R1187" s="85">
        <v>4</v>
      </c>
      <c r="S1187" s="55">
        <v>0</v>
      </c>
      <c r="T1187" s="74" t="s">
        <v>1770</v>
      </c>
      <c r="U1187" s="74" t="s">
        <v>351</v>
      </c>
      <c r="V1187" s="74">
        <v>44551</v>
      </c>
      <c r="W1187" s="74">
        <v>44594</v>
      </c>
      <c r="X1187" s="55">
        <v>10188270</v>
      </c>
      <c r="Y1187" s="55" t="s">
        <v>132</v>
      </c>
      <c r="AB1187" s="74" t="s">
        <v>132</v>
      </c>
      <c r="AC1187" s="55" t="s">
        <v>132</v>
      </c>
      <c r="AL1187" s="74"/>
      <c r="AM1187" s="74"/>
      <c r="AW1187" s="74"/>
      <c r="AX1187" s="74"/>
    </row>
    <row r="1188" spans="1:50" ht="13" x14ac:dyDescent="0.15">
      <c r="A1188" s="55" t="str">
        <f>HYPERLINK("http://reports.ofsted.gov.uk/inspection-reports/find-inspection-report/provider/CARE/2577168","Ofsted Social Care Provider Webpage")</f>
        <v>Ofsted Social Care Provider Webpage</v>
      </c>
      <c r="B1188" s="55">
        <v>2577168</v>
      </c>
      <c r="D1188" s="55" t="s">
        <v>373</v>
      </c>
      <c r="E1188" s="74">
        <v>43955</v>
      </c>
      <c r="F1188" s="55" t="s">
        <v>344</v>
      </c>
      <c r="G1188" s="55" t="s">
        <v>360</v>
      </c>
      <c r="H1188" s="55" t="s">
        <v>360</v>
      </c>
      <c r="I1188" s="55" t="s">
        <v>360</v>
      </c>
      <c r="J1188" s="55" t="s">
        <v>360</v>
      </c>
      <c r="K1188" s="55" t="s">
        <v>360</v>
      </c>
      <c r="L1188" s="55" t="s">
        <v>360</v>
      </c>
      <c r="M1188" s="55" t="s">
        <v>144</v>
      </c>
      <c r="N1188" s="55" t="s">
        <v>144</v>
      </c>
      <c r="O1188" s="55" t="s">
        <v>209</v>
      </c>
      <c r="P1188" s="55" t="s">
        <v>544</v>
      </c>
      <c r="Q1188" s="55" t="s">
        <v>350</v>
      </c>
      <c r="R1188" s="85">
        <v>4</v>
      </c>
      <c r="S1188" s="55">
        <v>0</v>
      </c>
      <c r="T1188" s="74" t="s">
        <v>1589</v>
      </c>
      <c r="U1188" s="74" t="s">
        <v>351</v>
      </c>
      <c r="V1188" s="74">
        <v>44419</v>
      </c>
      <c r="W1188" s="74">
        <v>44454</v>
      </c>
      <c r="X1188" s="55">
        <v>10185696</v>
      </c>
      <c r="Y1188" s="55" t="s">
        <v>132</v>
      </c>
      <c r="AB1188" s="74" t="s">
        <v>132</v>
      </c>
      <c r="AC1188" s="55" t="s">
        <v>130</v>
      </c>
      <c r="AL1188" s="74"/>
      <c r="AM1188" s="74"/>
      <c r="AW1188" s="74"/>
      <c r="AX1188" s="74"/>
    </row>
    <row r="1189" spans="1:50" ht="13" x14ac:dyDescent="0.15">
      <c r="A1189" s="55" t="str">
        <f>HYPERLINK("http://reports.ofsted.gov.uk/inspection-reports/find-inspection-report/provider/CARE/2577171","Ofsted Social Care Provider Webpage")</f>
        <v>Ofsted Social Care Provider Webpage</v>
      </c>
      <c r="B1189" s="55">
        <v>2577171</v>
      </c>
      <c r="D1189" s="55" t="s">
        <v>373</v>
      </c>
      <c r="E1189" s="74">
        <v>44014</v>
      </c>
      <c r="F1189" s="55" t="s">
        <v>344</v>
      </c>
      <c r="G1189" s="55" t="s">
        <v>360</v>
      </c>
      <c r="H1189" s="55" t="s">
        <v>360</v>
      </c>
      <c r="I1189" s="55" t="s">
        <v>360</v>
      </c>
      <c r="J1189" s="55" t="s">
        <v>360</v>
      </c>
      <c r="K1189" s="55" t="s">
        <v>360</v>
      </c>
      <c r="L1189" s="55" t="s">
        <v>360</v>
      </c>
      <c r="M1189" s="55" t="s">
        <v>378</v>
      </c>
      <c r="N1189" s="55" t="s">
        <v>134</v>
      </c>
      <c r="O1189" s="55" t="s">
        <v>151</v>
      </c>
      <c r="P1189" s="55" t="s">
        <v>884</v>
      </c>
      <c r="Q1189" s="55" t="s">
        <v>350</v>
      </c>
      <c r="R1189" s="85">
        <v>4</v>
      </c>
      <c r="S1189" s="55">
        <v>0</v>
      </c>
      <c r="T1189" s="74" t="s">
        <v>865</v>
      </c>
      <c r="U1189" s="74" t="s">
        <v>351</v>
      </c>
      <c r="V1189" s="74">
        <v>44454</v>
      </c>
      <c r="W1189" s="74">
        <v>44495</v>
      </c>
      <c r="X1189" s="55">
        <v>10187105</v>
      </c>
      <c r="Y1189" s="55" t="s">
        <v>132</v>
      </c>
      <c r="AB1189" s="74" t="s">
        <v>132</v>
      </c>
      <c r="AC1189" s="55" t="s">
        <v>132</v>
      </c>
      <c r="AL1189" s="74"/>
      <c r="AM1189" s="74"/>
      <c r="AW1189" s="74"/>
      <c r="AX1189" s="74"/>
    </row>
    <row r="1190" spans="1:50" ht="13" x14ac:dyDescent="0.15">
      <c r="A1190" s="55" t="str">
        <f>HYPERLINK("http://reports.ofsted.gov.uk/inspection-reports/find-inspection-report/provider/CARE/2578355","Ofsted Social Care Provider Webpage")</f>
        <v>Ofsted Social Care Provider Webpage</v>
      </c>
      <c r="B1190" s="55">
        <v>2578355</v>
      </c>
      <c r="D1190" s="55" t="s">
        <v>373</v>
      </c>
      <c r="E1190" s="74">
        <v>44042</v>
      </c>
      <c r="F1190" s="55" t="s">
        <v>344</v>
      </c>
      <c r="G1190" s="55" t="s">
        <v>360</v>
      </c>
      <c r="H1190" s="55" t="s">
        <v>360</v>
      </c>
      <c r="I1190" s="55" t="s">
        <v>360</v>
      </c>
      <c r="J1190" s="55" t="s">
        <v>360</v>
      </c>
      <c r="K1190" s="55" t="s">
        <v>360</v>
      </c>
      <c r="L1190" s="55" t="s">
        <v>360</v>
      </c>
      <c r="M1190" s="55" t="s">
        <v>142</v>
      </c>
      <c r="N1190" s="55" t="s">
        <v>142</v>
      </c>
      <c r="O1190" s="55" t="s">
        <v>166</v>
      </c>
      <c r="P1190" s="55" t="s">
        <v>1476</v>
      </c>
      <c r="Q1190" s="55" t="s">
        <v>350</v>
      </c>
      <c r="R1190" s="85">
        <v>4</v>
      </c>
      <c r="S1190" s="55">
        <v>0</v>
      </c>
      <c r="T1190" s="74" t="s">
        <v>489</v>
      </c>
      <c r="U1190" s="74" t="s">
        <v>351</v>
      </c>
      <c r="V1190" s="74">
        <v>44299</v>
      </c>
      <c r="W1190" s="74">
        <v>44330</v>
      </c>
      <c r="X1190" s="55">
        <v>10185720</v>
      </c>
      <c r="Y1190" s="55" t="s">
        <v>132</v>
      </c>
      <c r="AB1190" s="74" t="s">
        <v>132</v>
      </c>
      <c r="AC1190" s="55" t="s">
        <v>130</v>
      </c>
      <c r="AL1190" s="74"/>
      <c r="AM1190" s="74"/>
      <c r="AW1190" s="74"/>
      <c r="AX1190" s="74"/>
    </row>
    <row r="1191" spans="1:50" ht="13" x14ac:dyDescent="0.15">
      <c r="A1191" s="55" t="str">
        <f>HYPERLINK("http://reports.ofsted.gov.uk/inspection-reports/find-inspection-report/provider/CARE/2578675","Ofsted Social Care Provider Webpage")</f>
        <v>Ofsted Social Care Provider Webpage</v>
      </c>
      <c r="B1191" s="55">
        <v>2578675</v>
      </c>
      <c r="D1191" s="55" t="s">
        <v>373</v>
      </c>
      <c r="E1191" s="74">
        <v>44081</v>
      </c>
      <c r="F1191" s="55" t="s">
        <v>344</v>
      </c>
      <c r="G1191" s="55" t="s">
        <v>360</v>
      </c>
      <c r="H1191" s="55" t="s">
        <v>360</v>
      </c>
      <c r="I1191" s="55" t="s">
        <v>360</v>
      </c>
      <c r="J1191" s="55" t="s">
        <v>360</v>
      </c>
      <c r="K1191" s="55" t="s">
        <v>360</v>
      </c>
      <c r="L1191" s="55" t="s">
        <v>360</v>
      </c>
      <c r="M1191" s="55" t="s">
        <v>150</v>
      </c>
      <c r="N1191" s="55" t="s">
        <v>150</v>
      </c>
      <c r="O1191" s="55" t="s">
        <v>268</v>
      </c>
      <c r="P1191" s="55" t="s">
        <v>1771</v>
      </c>
      <c r="Q1191" s="55" t="s">
        <v>350</v>
      </c>
      <c r="R1191" s="85">
        <v>4</v>
      </c>
      <c r="S1191" s="55">
        <v>0</v>
      </c>
      <c r="T1191" s="74" t="s">
        <v>574</v>
      </c>
      <c r="U1191" s="74" t="s">
        <v>351</v>
      </c>
      <c r="V1191" s="74">
        <v>44320</v>
      </c>
      <c r="W1191" s="74">
        <v>44404</v>
      </c>
      <c r="X1191" s="55">
        <v>10186849</v>
      </c>
      <c r="Y1191" s="55" t="s">
        <v>146</v>
      </c>
      <c r="AB1191" s="74" t="s">
        <v>146</v>
      </c>
      <c r="AC1191" s="55" t="s">
        <v>146</v>
      </c>
      <c r="AL1191" s="74"/>
      <c r="AM1191" s="74"/>
      <c r="AW1191" s="74"/>
      <c r="AX1191" s="74"/>
    </row>
    <row r="1192" spans="1:50" ht="13" x14ac:dyDescent="0.15">
      <c r="A1192" s="55" t="str">
        <f>HYPERLINK("http://reports.ofsted.gov.uk/inspection-reports/find-inspection-report/provider/CARE/2578675","Ofsted Social Care Provider Webpage")</f>
        <v>Ofsted Social Care Provider Webpage</v>
      </c>
      <c r="B1192" s="55">
        <v>2578675</v>
      </c>
      <c r="D1192" s="55" t="s">
        <v>373</v>
      </c>
      <c r="E1192" s="74">
        <v>44081</v>
      </c>
      <c r="F1192" s="55" t="s">
        <v>344</v>
      </c>
      <c r="G1192" s="55" t="s">
        <v>360</v>
      </c>
      <c r="H1192" s="55" t="s">
        <v>360</v>
      </c>
      <c r="I1192" s="55" t="s">
        <v>360</v>
      </c>
      <c r="J1192" s="55" t="s">
        <v>360</v>
      </c>
      <c r="K1192" s="55" t="s">
        <v>360</v>
      </c>
      <c r="L1192" s="55" t="s">
        <v>360</v>
      </c>
      <c r="M1192" s="55" t="s">
        <v>150</v>
      </c>
      <c r="N1192" s="55" t="s">
        <v>150</v>
      </c>
      <c r="O1192" s="55" t="s">
        <v>268</v>
      </c>
      <c r="P1192" s="55" t="s">
        <v>1771</v>
      </c>
      <c r="Q1192" s="55" t="s">
        <v>350</v>
      </c>
      <c r="R1192" s="85">
        <v>4</v>
      </c>
      <c r="S1192" s="55">
        <v>0</v>
      </c>
      <c r="T1192" s="74" t="s">
        <v>574</v>
      </c>
      <c r="U1192" s="74" t="s">
        <v>351</v>
      </c>
      <c r="V1192" s="74">
        <v>44425</v>
      </c>
      <c r="W1192" s="74">
        <v>44455</v>
      </c>
      <c r="X1192" s="55">
        <v>10195657</v>
      </c>
      <c r="Y1192" s="55" t="s">
        <v>132</v>
      </c>
      <c r="AB1192" s="74" t="s">
        <v>132</v>
      </c>
      <c r="AC1192" s="55" t="s">
        <v>132</v>
      </c>
      <c r="AL1192" s="74"/>
      <c r="AM1192" s="74"/>
      <c r="AW1192" s="74"/>
      <c r="AX1192" s="74"/>
    </row>
    <row r="1193" spans="1:50" ht="13" x14ac:dyDescent="0.15">
      <c r="A1193" s="55" t="str">
        <f>HYPERLINK("http://reports.ofsted.gov.uk/inspection-reports/find-inspection-report/provider/CARE/2578675","Ofsted Social Care Provider Webpage")</f>
        <v>Ofsted Social Care Provider Webpage</v>
      </c>
      <c r="B1193" s="55">
        <v>2578675</v>
      </c>
      <c r="D1193" s="55" t="s">
        <v>373</v>
      </c>
      <c r="E1193" s="74">
        <v>44081</v>
      </c>
      <c r="F1193" s="55" t="s">
        <v>344</v>
      </c>
      <c r="G1193" s="55" t="s">
        <v>360</v>
      </c>
      <c r="H1193" s="55" t="s">
        <v>360</v>
      </c>
      <c r="I1193" s="55" t="s">
        <v>360</v>
      </c>
      <c r="J1193" s="55" t="s">
        <v>360</v>
      </c>
      <c r="K1193" s="55" t="s">
        <v>360</v>
      </c>
      <c r="L1193" s="55" t="s">
        <v>360</v>
      </c>
      <c r="M1193" s="55" t="s">
        <v>150</v>
      </c>
      <c r="N1193" s="55" t="s">
        <v>150</v>
      </c>
      <c r="O1193" s="55" t="s">
        <v>268</v>
      </c>
      <c r="P1193" s="55" t="s">
        <v>1771</v>
      </c>
      <c r="Q1193" s="55" t="s">
        <v>350</v>
      </c>
      <c r="R1193" s="85">
        <v>4</v>
      </c>
      <c r="S1193" s="55">
        <v>0</v>
      </c>
      <c r="T1193" s="74" t="s">
        <v>574</v>
      </c>
      <c r="U1193" s="74" t="s">
        <v>2053</v>
      </c>
      <c r="V1193" s="74">
        <v>44335</v>
      </c>
      <c r="W1193" s="74">
        <v>44385</v>
      </c>
      <c r="X1193" s="55">
        <v>10195656</v>
      </c>
      <c r="AL1193" s="74"/>
      <c r="AM1193" s="74"/>
      <c r="AW1193" s="74"/>
      <c r="AX1193" s="74"/>
    </row>
    <row r="1194" spans="1:50" ht="13" x14ac:dyDescent="0.15">
      <c r="A1194" s="55" t="str">
        <f>HYPERLINK("http://reports.ofsted.gov.uk/inspection-reports/find-inspection-report/provider/CARE/2578675","Ofsted Social Care Provider Webpage")</f>
        <v>Ofsted Social Care Provider Webpage</v>
      </c>
      <c r="B1194" s="55">
        <v>2578675</v>
      </c>
      <c r="D1194" s="55" t="s">
        <v>373</v>
      </c>
      <c r="E1194" s="74">
        <v>44081</v>
      </c>
      <c r="F1194" s="55" t="s">
        <v>344</v>
      </c>
      <c r="G1194" s="55" t="s">
        <v>360</v>
      </c>
      <c r="H1194" s="55" t="s">
        <v>360</v>
      </c>
      <c r="I1194" s="55" t="s">
        <v>360</v>
      </c>
      <c r="J1194" s="55" t="s">
        <v>360</v>
      </c>
      <c r="K1194" s="55" t="s">
        <v>360</v>
      </c>
      <c r="L1194" s="55" t="s">
        <v>360</v>
      </c>
      <c r="M1194" s="55" t="s">
        <v>150</v>
      </c>
      <c r="N1194" s="55" t="s">
        <v>150</v>
      </c>
      <c r="O1194" s="55" t="s">
        <v>268</v>
      </c>
      <c r="P1194" s="55" t="s">
        <v>1771</v>
      </c>
      <c r="Q1194" s="55" t="s">
        <v>350</v>
      </c>
      <c r="R1194" s="85">
        <v>4</v>
      </c>
      <c r="S1194" s="55">
        <v>0</v>
      </c>
      <c r="T1194" s="74" t="s">
        <v>574</v>
      </c>
      <c r="U1194" s="74" t="s">
        <v>2053</v>
      </c>
      <c r="V1194" s="74">
        <v>44363</v>
      </c>
      <c r="W1194" s="74">
        <v>44414</v>
      </c>
      <c r="X1194" s="55">
        <v>10198496</v>
      </c>
      <c r="AL1194" s="74"/>
      <c r="AM1194" s="74"/>
    </row>
    <row r="1195" spans="1:50" ht="13" x14ac:dyDescent="0.15">
      <c r="A1195" s="55" t="str">
        <f>HYPERLINK("http://reports.ofsted.gov.uk/inspection-reports/find-inspection-report/provider/CARE/2578677","Ofsted Social Care Provider Webpage")</f>
        <v>Ofsted Social Care Provider Webpage</v>
      </c>
      <c r="B1195" s="55">
        <v>2578677</v>
      </c>
      <c r="D1195" s="55" t="s">
        <v>373</v>
      </c>
      <c r="E1195" s="74">
        <v>43899</v>
      </c>
      <c r="F1195" s="55" t="s">
        <v>344</v>
      </c>
      <c r="G1195" s="55" t="s">
        <v>360</v>
      </c>
      <c r="H1195" s="55" t="s">
        <v>360</v>
      </c>
      <c r="I1195" s="55" t="s">
        <v>360</v>
      </c>
      <c r="J1195" s="55" t="s">
        <v>360</v>
      </c>
      <c r="K1195" s="55" t="s">
        <v>360</v>
      </c>
      <c r="L1195" s="55" t="s">
        <v>360</v>
      </c>
      <c r="M1195" s="55" t="s">
        <v>136</v>
      </c>
      <c r="N1195" s="55" t="s">
        <v>136</v>
      </c>
      <c r="O1195" s="55" t="s">
        <v>174</v>
      </c>
      <c r="P1195" s="55" t="s">
        <v>1010</v>
      </c>
      <c r="Q1195" s="55" t="s">
        <v>350</v>
      </c>
      <c r="R1195" s="85">
        <v>3</v>
      </c>
      <c r="S1195" s="55">
        <v>0</v>
      </c>
      <c r="T1195" s="74" t="s">
        <v>1772</v>
      </c>
      <c r="U1195" s="74" t="s">
        <v>351</v>
      </c>
      <c r="V1195" s="74">
        <v>44537</v>
      </c>
      <c r="W1195" s="74">
        <v>44586</v>
      </c>
      <c r="X1195" s="55">
        <v>10185958</v>
      </c>
      <c r="Y1195" s="55" t="s">
        <v>132</v>
      </c>
      <c r="AB1195" s="74" t="s">
        <v>132</v>
      </c>
      <c r="AC1195" s="55" t="s">
        <v>132</v>
      </c>
      <c r="AL1195" s="74"/>
      <c r="AM1195" s="74"/>
      <c r="AW1195" s="74"/>
      <c r="AX1195" s="74"/>
    </row>
    <row r="1196" spans="1:50" ht="13" x14ac:dyDescent="0.15">
      <c r="A1196" s="55" t="str">
        <f>HYPERLINK("http://reports.ofsted.gov.uk/inspection-reports/find-inspection-report/provider/CARE/2579887","Ofsted Social Care Provider Webpage")</f>
        <v>Ofsted Social Care Provider Webpage</v>
      </c>
      <c r="B1196" s="55">
        <v>2579887</v>
      </c>
      <c r="D1196" s="55" t="s">
        <v>373</v>
      </c>
      <c r="E1196" s="74">
        <v>44000</v>
      </c>
      <c r="F1196" s="55" t="s">
        <v>344</v>
      </c>
      <c r="G1196" s="55" t="s">
        <v>360</v>
      </c>
      <c r="H1196" s="55" t="s">
        <v>360</v>
      </c>
      <c r="I1196" s="55" t="s">
        <v>360</v>
      </c>
      <c r="J1196" s="55" t="s">
        <v>360</v>
      </c>
      <c r="K1196" s="55" t="s">
        <v>360</v>
      </c>
      <c r="L1196" s="55" t="s">
        <v>360</v>
      </c>
      <c r="M1196" s="55" t="s">
        <v>136</v>
      </c>
      <c r="N1196" s="55" t="s">
        <v>136</v>
      </c>
      <c r="O1196" s="55" t="s">
        <v>176</v>
      </c>
      <c r="P1196" s="55" t="s">
        <v>436</v>
      </c>
      <c r="Q1196" s="55" t="s">
        <v>350</v>
      </c>
      <c r="R1196" s="85">
        <v>2</v>
      </c>
      <c r="S1196" s="55">
        <v>0</v>
      </c>
      <c r="T1196" s="74" t="s">
        <v>1773</v>
      </c>
      <c r="U1196" s="74" t="s">
        <v>351</v>
      </c>
      <c r="V1196" s="74">
        <v>44426</v>
      </c>
      <c r="W1196" s="74">
        <v>44456</v>
      </c>
      <c r="X1196" s="55">
        <v>10185607</v>
      </c>
      <c r="Y1196" s="55" t="s">
        <v>130</v>
      </c>
      <c r="AB1196" s="74" t="s">
        <v>130</v>
      </c>
      <c r="AC1196" s="55" t="s">
        <v>130</v>
      </c>
      <c r="AL1196" s="74"/>
      <c r="AM1196" s="74"/>
    </row>
    <row r="1197" spans="1:50" ht="13" x14ac:dyDescent="0.15">
      <c r="A1197" s="55" t="str">
        <f>HYPERLINK("http://reports.ofsted.gov.uk/inspection-reports/find-inspection-report/provider/CARE/2579897","Ofsted Social Care Provider Webpage")</f>
        <v>Ofsted Social Care Provider Webpage</v>
      </c>
      <c r="B1197" s="55">
        <v>2579897</v>
      </c>
      <c r="D1197" s="55" t="s">
        <v>451</v>
      </c>
      <c r="E1197" s="74">
        <v>44012</v>
      </c>
      <c r="F1197" s="55" t="s">
        <v>6707</v>
      </c>
      <c r="G1197" s="55" t="s">
        <v>6727</v>
      </c>
      <c r="H1197" s="55" t="s">
        <v>6728</v>
      </c>
      <c r="I1197" s="55" t="s">
        <v>354</v>
      </c>
      <c r="J1197" s="55" t="s">
        <v>423</v>
      </c>
      <c r="L1197" s="55" t="s">
        <v>6729</v>
      </c>
      <c r="M1197" s="55" t="s">
        <v>172</v>
      </c>
      <c r="N1197" s="55" t="s">
        <v>172</v>
      </c>
      <c r="O1197" s="55" t="s">
        <v>228</v>
      </c>
      <c r="P1197" s="55" t="s">
        <v>423</v>
      </c>
      <c r="Q1197" s="55" t="s">
        <v>350</v>
      </c>
      <c r="R1197" s="85">
        <v>2</v>
      </c>
      <c r="S1197" s="55">
        <v>0</v>
      </c>
      <c r="T1197" s="74" t="s">
        <v>6727</v>
      </c>
      <c r="U1197" s="74" t="s">
        <v>351</v>
      </c>
      <c r="V1197" s="74">
        <v>44390</v>
      </c>
      <c r="W1197" s="74">
        <v>44427</v>
      </c>
      <c r="X1197" s="55">
        <v>10183230</v>
      </c>
      <c r="Y1197" s="55" t="s">
        <v>132</v>
      </c>
      <c r="AB1197" s="74" t="s">
        <v>132</v>
      </c>
      <c r="AC1197" s="55" t="s">
        <v>130</v>
      </c>
      <c r="AL1197" s="74"/>
      <c r="AM1197" s="74"/>
    </row>
    <row r="1198" spans="1:50" ht="13" x14ac:dyDescent="0.15">
      <c r="A1198" s="55" t="str">
        <f>HYPERLINK("http://reports.ofsted.gov.uk/inspection-reports/find-inspection-report/provider/CARE/2580303","Ofsted Social Care Provider Webpage")</f>
        <v>Ofsted Social Care Provider Webpage</v>
      </c>
      <c r="B1198" s="55">
        <v>2580303</v>
      </c>
      <c r="D1198" s="55" t="s">
        <v>373</v>
      </c>
      <c r="E1198" s="74">
        <v>43945</v>
      </c>
      <c r="F1198" s="55" t="s">
        <v>344</v>
      </c>
      <c r="G1198" s="55" t="s">
        <v>360</v>
      </c>
      <c r="H1198" s="55" t="s">
        <v>360</v>
      </c>
      <c r="I1198" s="55" t="s">
        <v>360</v>
      </c>
      <c r="J1198" s="55" t="s">
        <v>360</v>
      </c>
      <c r="K1198" s="55" t="s">
        <v>360</v>
      </c>
      <c r="L1198" s="55" t="s">
        <v>360</v>
      </c>
      <c r="M1198" s="55" t="s">
        <v>142</v>
      </c>
      <c r="N1198" s="55" t="s">
        <v>142</v>
      </c>
      <c r="O1198" s="55" t="s">
        <v>252</v>
      </c>
      <c r="P1198" s="55" t="s">
        <v>503</v>
      </c>
      <c r="Q1198" s="55" t="s">
        <v>350</v>
      </c>
      <c r="R1198" s="85">
        <v>2</v>
      </c>
      <c r="S1198" s="55">
        <v>0</v>
      </c>
      <c r="T1198" s="74" t="s">
        <v>504</v>
      </c>
      <c r="U1198" s="74" t="s">
        <v>351</v>
      </c>
      <c r="V1198" s="74">
        <v>44384</v>
      </c>
      <c r="W1198" s="74">
        <v>44439</v>
      </c>
      <c r="X1198" s="55">
        <v>10187535</v>
      </c>
      <c r="Y1198" s="55" t="s">
        <v>130</v>
      </c>
      <c r="AB1198" s="74" t="s">
        <v>130</v>
      </c>
      <c r="AC1198" s="55" t="s">
        <v>130</v>
      </c>
      <c r="AL1198" s="74"/>
      <c r="AM1198" s="74"/>
      <c r="AW1198" s="74"/>
      <c r="AX1198" s="74"/>
    </row>
    <row r="1199" spans="1:50" ht="13" x14ac:dyDescent="0.15">
      <c r="A1199" s="55" t="str">
        <f>HYPERLINK("http://reports.ofsted.gov.uk/inspection-reports/find-inspection-report/provider/CARE/2580626","Ofsted Social Care Provider Webpage")</f>
        <v>Ofsted Social Care Provider Webpage</v>
      </c>
      <c r="B1199" s="55">
        <v>2580626</v>
      </c>
      <c r="D1199" s="55" t="s">
        <v>373</v>
      </c>
      <c r="E1199" s="74">
        <v>43955</v>
      </c>
      <c r="F1199" s="55" t="s">
        <v>344</v>
      </c>
      <c r="G1199" s="55" t="s">
        <v>360</v>
      </c>
      <c r="H1199" s="55" t="s">
        <v>360</v>
      </c>
      <c r="I1199" s="55" t="s">
        <v>360</v>
      </c>
      <c r="J1199" s="55" t="s">
        <v>360</v>
      </c>
      <c r="K1199" s="55" t="s">
        <v>360</v>
      </c>
      <c r="L1199" s="55" t="s">
        <v>360</v>
      </c>
      <c r="M1199" s="55" t="s">
        <v>144</v>
      </c>
      <c r="N1199" s="55" t="s">
        <v>144</v>
      </c>
      <c r="O1199" s="55" t="s">
        <v>209</v>
      </c>
      <c r="P1199" s="55" t="s">
        <v>629</v>
      </c>
      <c r="Q1199" s="55" t="s">
        <v>350</v>
      </c>
      <c r="R1199" s="85">
        <v>3</v>
      </c>
      <c r="S1199" s="55">
        <v>0</v>
      </c>
      <c r="T1199" s="74" t="s">
        <v>493</v>
      </c>
      <c r="U1199" s="74" t="s">
        <v>351</v>
      </c>
      <c r="V1199" s="74">
        <v>44572</v>
      </c>
      <c r="W1199" s="74">
        <v>44609</v>
      </c>
      <c r="X1199" s="55">
        <v>10185928</v>
      </c>
      <c r="Y1199" s="55" t="s">
        <v>132</v>
      </c>
      <c r="AB1199" s="74" t="s">
        <v>132</v>
      </c>
      <c r="AC1199" s="55" t="s">
        <v>132</v>
      </c>
      <c r="AL1199" s="74"/>
      <c r="AM1199" s="74"/>
      <c r="AW1199" s="74"/>
      <c r="AX1199" s="74"/>
    </row>
    <row r="1200" spans="1:50" ht="13" x14ac:dyDescent="0.15">
      <c r="A1200" s="55" t="str">
        <f>HYPERLINK("http://reports.ofsted.gov.uk/inspection-reports/find-inspection-report/provider/CARE/2580756","Ofsted Social Care Provider Webpage")</f>
        <v>Ofsted Social Care Provider Webpage</v>
      </c>
      <c r="B1200" s="55">
        <v>2580756</v>
      </c>
      <c r="D1200" s="55" t="s">
        <v>451</v>
      </c>
      <c r="E1200" s="74">
        <v>44098</v>
      </c>
      <c r="F1200" s="55" t="s">
        <v>344</v>
      </c>
      <c r="G1200" s="55" t="s">
        <v>1774</v>
      </c>
      <c r="H1200" s="55" t="s">
        <v>1775</v>
      </c>
      <c r="I1200" s="55" t="s">
        <v>1776</v>
      </c>
      <c r="J1200" s="55" t="s">
        <v>151</v>
      </c>
      <c r="K1200" s="55" t="s">
        <v>1240</v>
      </c>
      <c r="L1200" s="55" t="s">
        <v>1777</v>
      </c>
      <c r="M1200" s="55" t="s">
        <v>378</v>
      </c>
      <c r="N1200" s="55" t="s">
        <v>134</v>
      </c>
      <c r="O1200" s="55" t="s">
        <v>151</v>
      </c>
      <c r="P1200" s="55" t="s">
        <v>1778</v>
      </c>
      <c r="Q1200" s="55" t="s">
        <v>350</v>
      </c>
      <c r="R1200" s="85">
        <v>4</v>
      </c>
      <c r="S1200" s="55">
        <v>0</v>
      </c>
      <c r="T1200" s="74" t="s">
        <v>1779</v>
      </c>
      <c r="U1200" s="74" t="s">
        <v>351</v>
      </c>
      <c r="V1200" s="74">
        <v>44538</v>
      </c>
      <c r="W1200" s="74">
        <v>44627</v>
      </c>
      <c r="X1200" s="55">
        <v>10183234</v>
      </c>
      <c r="Y1200" s="55" t="s">
        <v>130</v>
      </c>
      <c r="AB1200" s="74" t="s">
        <v>130</v>
      </c>
      <c r="AC1200" s="55" t="s">
        <v>130</v>
      </c>
      <c r="AL1200" s="74"/>
      <c r="AM1200" s="74"/>
      <c r="AW1200" s="74"/>
      <c r="AX1200" s="74"/>
    </row>
    <row r="1201" spans="1:50" ht="13" x14ac:dyDescent="0.15">
      <c r="A1201" s="55" t="str">
        <f>HYPERLINK("http://reports.ofsted.gov.uk/inspection-reports/find-inspection-report/provider/CARE/2580887","Ofsted Social Care Provider Webpage")</f>
        <v>Ofsted Social Care Provider Webpage</v>
      </c>
      <c r="B1201" s="55">
        <v>2580887</v>
      </c>
      <c r="D1201" s="55" t="s">
        <v>373</v>
      </c>
      <c r="E1201" s="74">
        <v>43964</v>
      </c>
      <c r="F1201" s="55" t="s">
        <v>6713</v>
      </c>
      <c r="G1201" s="55" t="s">
        <v>360</v>
      </c>
      <c r="H1201" s="55" t="s">
        <v>360</v>
      </c>
      <c r="I1201" s="55" t="s">
        <v>360</v>
      </c>
      <c r="J1201" s="55" t="s">
        <v>360</v>
      </c>
      <c r="K1201" s="55" t="s">
        <v>360</v>
      </c>
      <c r="L1201" s="55" t="s">
        <v>360</v>
      </c>
      <c r="M1201" s="55" t="s">
        <v>138</v>
      </c>
      <c r="N1201" s="55" t="s">
        <v>138</v>
      </c>
      <c r="O1201" s="55" t="s">
        <v>224</v>
      </c>
      <c r="P1201" s="55" t="s">
        <v>374</v>
      </c>
      <c r="Q1201" s="55" t="s">
        <v>350</v>
      </c>
      <c r="R1201" s="85">
        <v>4</v>
      </c>
      <c r="S1201" s="55">
        <v>0</v>
      </c>
      <c r="T1201" s="74" t="s">
        <v>6712</v>
      </c>
      <c r="U1201" s="74" t="s">
        <v>6703</v>
      </c>
      <c r="V1201" s="74">
        <v>44523</v>
      </c>
      <c r="W1201" s="74">
        <v>44559</v>
      </c>
      <c r="X1201" s="55">
        <v>10205272</v>
      </c>
      <c r="Y1201" s="55" t="s">
        <v>6705</v>
      </c>
      <c r="AL1201" s="74"/>
      <c r="AM1201" s="74"/>
    </row>
    <row r="1202" spans="1:50" ht="13" x14ac:dyDescent="0.15">
      <c r="A1202" s="55" t="str">
        <f>HYPERLINK("http://reports.ofsted.gov.uk/inspection-reports/find-inspection-report/provider/CARE/2580887","Ofsted Social Care Provider Webpage")</f>
        <v>Ofsted Social Care Provider Webpage</v>
      </c>
      <c r="B1202" s="55">
        <v>2580887</v>
      </c>
      <c r="D1202" s="55" t="s">
        <v>373</v>
      </c>
      <c r="E1202" s="74">
        <v>43964</v>
      </c>
      <c r="F1202" s="55" t="s">
        <v>6713</v>
      </c>
      <c r="G1202" s="55" t="s">
        <v>360</v>
      </c>
      <c r="H1202" s="55" t="s">
        <v>360</v>
      </c>
      <c r="I1202" s="55" t="s">
        <v>360</v>
      </c>
      <c r="J1202" s="55" t="s">
        <v>360</v>
      </c>
      <c r="K1202" s="55" t="s">
        <v>360</v>
      </c>
      <c r="L1202" s="55" t="s">
        <v>360</v>
      </c>
      <c r="M1202" s="55" t="s">
        <v>138</v>
      </c>
      <c r="N1202" s="55" t="s">
        <v>138</v>
      </c>
      <c r="O1202" s="55" t="s">
        <v>224</v>
      </c>
      <c r="P1202" s="55" t="s">
        <v>374</v>
      </c>
      <c r="Q1202" s="55" t="s">
        <v>350</v>
      </c>
      <c r="R1202" s="85">
        <v>4</v>
      </c>
      <c r="S1202" s="55">
        <v>0</v>
      </c>
      <c r="T1202" s="74" t="s">
        <v>6712</v>
      </c>
      <c r="U1202" s="74" t="s">
        <v>351</v>
      </c>
      <c r="V1202" s="74">
        <v>44383</v>
      </c>
      <c r="W1202" s="74">
        <v>44406</v>
      </c>
      <c r="X1202" s="55">
        <v>10185746</v>
      </c>
      <c r="Y1202" s="55" t="s">
        <v>130</v>
      </c>
      <c r="AB1202" s="74" t="s">
        <v>130</v>
      </c>
      <c r="AC1202" s="55" t="s">
        <v>130</v>
      </c>
      <c r="AL1202" s="74"/>
      <c r="AM1202" s="74"/>
      <c r="AW1202" s="74"/>
      <c r="AX1202" s="74"/>
    </row>
    <row r="1203" spans="1:50" ht="13" x14ac:dyDescent="0.15">
      <c r="A1203" s="55" t="str">
        <f>HYPERLINK("http://reports.ofsted.gov.uk/inspection-reports/find-inspection-report/provider/CARE/2580899","Ofsted Social Care Provider Webpage")</f>
        <v>Ofsted Social Care Provider Webpage</v>
      </c>
      <c r="B1203" s="55">
        <v>2580899</v>
      </c>
      <c r="D1203" s="55" t="s">
        <v>373</v>
      </c>
      <c r="E1203" s="74">
        <v>43956</v>
      </c>
      <c r="F1203" s="55" t="s">
        <v>344</v>
      </c>
      <c r="G1203" s="55" t="s">
        <v>360</v>
      </c>
      <c r="H1203" s="55" t="s">
        <v>360</v>
      </c>
      <c r="I1203" s="55" t="s">
        <v>360</v>
      </c>
      <c r="J1203" s="55" t="s">
        <v>360</v>
      </c>
      <c r="K1203" s="55" t="s">
        <v>360</v>
      </c>
      <c r="L1203" s="55" t="s">
        <v>360</v>
      </c>
      <c r="M1203" s="55" t="s">
        <v>378</v>
      </c>
      <c r="N1203" s="55" t="s">
        <v>170</v>
      </c>
      <c r="O1203" s="55" t="s">
        <v>243</v>
      </c>
      <c r="P1203" s="55" t="s">
        <v>1786</v>
      </c>
      <c r="Q1203" s="55" t="s">
        <v>350</v>
      </c>
      <c r="R1203" s="85">
        <v>5</v>
      </c>
      <c r="S1203" s="55">
        <v>0</v>
      </c>
      <c r="T1203" s="74" t="s">
        <v>1335</v>
      </c>
      <c r="U1203" s="74" t="s">
        <v>351</v>
      </c>
      <c r="V1203" s="74">
        <v>44579</v>
      </c>
      <c r="W1203" s="74">
        <v>44616</v>
      </c>
      <c r="X1203" s="55">
        <v>10187138</v>
      </c>
      <c r="Y1203" s="55" t="s">
        <v>132</v>
      </c>
      <c r="AB1203" s="74" t="s">
        <v>132</v>
      </c>
      <c r="AC1203" s="55" t="s">
        <v>130</v>
      </c>
      <c r="AL1203" s="74"/>
      <c r="AM1203" s="74"/>
    </row>
    <row r="1204" spans="1:50" ht="13" x14ac:dyDescent="0.15">
      <c r="A1204" s="55" t="str">
        <f>HYPERLINK("http://reports.ofsted.gov.uk/inspection-reports/find-inspection-report/provider/CARE/2581187","Ofsted Social Care Provider Webpage")</f>
        <v>Ofsted Social Care Provider Webpage</v>
      </c>
      <c r="B1204" s="55">
        <v>2581187</v>
      </c>
      <c r="D1204" s="55" t="s">
        <v>373</v>
      </c>
      <c r="E1204" s="74">
        <v>44062</v>
      </c>
      <c r="F1204" s="55" t="s">
        <v>6707</v>
      </c>
      <c r="G1204" s="55" t="s">
        <v>360</v>
      </c>
      <c r="H1204" s="55" t="s">
        <v>360</v>
      </c>
      <c r="I1204" s="55" t="s">
        <v>360</v>
      </c>
      <c r="J1204" s="55" t="s">
        <v>360</v>
      </c>
      <c r="K1204" s="55" t="s">
        <v>360</v>
      </c>
      <c r="L1204" s="55" t="s">
        <v>360</v>
      </c>
      <c r="M1204" s="55" t="s">
        <v>142</v>
      </c>
      <c r="N1204" s="55" t="s">
        <v>142</v>
      </c>
      <c r="O1204" s="55" t="s">
        <v>249</v>
      </c>
      <c r="P1204" s="55" t="s">
        <v>1181</v>
      </c>
      <c r="Q1204" s="55" t="s">
        <v>350</v>
      </c>
      <c r="R1204" s="85">
        <v>4</v>
      </c>
      <c r="S1204" s="55">
        <v>0</v>
      </c>
      <c r="T1204" s="74" t="s">
        <v>6730</v>
      </c>
      <c r="U1204" s="74" t="s">
        <v>351</v>
      </c>
      <c r="V1204" s="74">
        <v>44369</v>
      </c>
      <c r="W1204" s="74">
        <v>44400</v>
      </c>
      <c r="X1204" s="55">
        <v>10187004</v>
      </c>
      <c r="Y1204" s="55" t="s">
        <v>146</v>
      </c>
      <c r="AB1204" s="74" t="s">
        <v>146</v>
      </c>
      <c r="AC1204" s="55" t="s">
        <v>146</v>
      </c>
      <c r="AL1204" s="74"/>
      <c r="AM1204" s="74"/>
      <c r="AW1204" s="74"/>
      <c r="AX1204" s="74"/>
    </row>
    <row r="1205" spans="1:50" ht="13" x14ac:dyDescent="0.15">
      <c r="A1205" s="55" t="str">
        <f>HYPERLINK("http://reports.ofsted.gov.uk/inspection-reports/find-inspection-report/provider/CARE/2581187","Ofsted Social Care Provider Webpage")</f>
        <v>Ofsted Social Care Provider Webpage</v>
      </c>
      <c r="B1205" s="55">
        <v>2581187</v>
      </c>
      <c r="D1205" s="55" t="s">
        <v>373</v>
      </c>
      <c r="E1205" s="74">
        <v>44062</v>
      </c>
      <c r="F1205" s="55" t="s">
        <v>6707</v>
      </c>
      <c r="G1205" s="55" t="s">
        <v>360</v>
      </c>
      <c r="H1205" s="55" t="s">
        <v>360</v>
      </c>
      <c r="I1205" s="55" t="s">
        <v>360</v>
      </c>
      <c r="J1205" s="55" t="s">
        <v>360</v>
      </c>
      <c r="K1205" s="55" t="s">
        <v>360</v>
      </c>
      <c r="L1205" s="55" t="s">
        <v>360</v>
      </c>
      <c r="M1205" s="55" t="s">
        <v>142</v>
      </c>
      <c r="N1205" s="55" t="s">
        <v>142</v>
      </c>
      <c r="O1205" s="55" t="s">
        <v>249</v>
      </c>
      <c r="P1205" s="55" t="s">
        <v>1181</v>
      </c>
      <c r="Q1205" s="55" t="s">
        <v>350</v>
      </c>
      <c r="R1205" s="85">
        <v>4</v>
      </c>
      <c r="S1205" s="55">
        <v>0</v>
      </c>
      <c r="T1205" s="74" t="s">
        <v>6730</v>
      </c>
      <c r="U1205" s="74" t="s">
        <v>2053</v>
      </c>
      <c r="V1205" s="74">
        <v>44593</v>
      </c>
      <c r="W1205" s="74">
        <v>44628</v>
      </c>
      <c r="X1205" s="55">
        <v>10218337</v>
      </c>
      <c r="AL1205" s="74"/>
      <c r="AM1205" s="74"/>
    </row>
    <row r="1206" spans="1:50" ht="13" x14ac:dyDescent="0.15">
      <c r="A1206" s="55" t="str">
        <f>HYPERLINK("http://reports.ofsted.gov.uk/inspection-reports/find-inspection-report/provider/CARE/2581187","Ofsted Social Care Provider Webpage")</f>
        <v>Ofsted Social Care Provider Webpage</v>
      </c>
      <c r="B1206" s="55">
        <v>2581187</v>
      </c>
      <c r="D1206" s="55" t="s">
        <v>373</v>
      </c>
      <c r="E1206" s="74">
        <v>44062</v>
      </c>
      <c r="F1206" s="55" t="s">
        <v>6707</v>
      </c>
      <c r="G1206" s="55" t="s">
        <v>360</v>
      </c>
      <c r="H1206" s="55" t="s">
        <v>360</v>
      </c>
      <c r="I1206" s="55" t="s">
        <v>360</v>
      </c>
      <c r="J1206" s="55" t="s">
        <v>360</v>
      </c>
      <c r="K1206" s="55" t="s">
        <v>360</v>
      </c>
      <c r="L1206" s="55" t="s">
        <v>360</v>
      </c>
      <c r="M1206" s="55" t="s">
        <v>142</v>
      </c>
      <c r="N1206" s="55" t="s">
        <v>142</v>
      </c>
      <c r="O1206" s="55" t="s">
        <v>249</v>
      </c>
      <c r="P1206" s="55" t="s">
        <v>1181</v>
      </c>
      <c r="Q1206" s="55" t="s">
        <v>350</v>
      </c>
      <c r="R1206" s="85">
        <v>4</v>
      </c>
      <c r="S1206" s="55">
        <v>0</v>
      </c>
      <c r="T1206" s="74" t="s">
        <v>6730</v>
      </c>
      <c r="U1206" s="74" t="s">
        <v>2053</v>
      </c>
      <c r="V1206" s="74">
        <v>44403</v>
      </c>
      <c r="W1206" s="74">
        <v>44439</v>
      </c>
      <c r="X1206" s="55">
        <v>10198851</v>
      </c>
      <c r="AL1206" s="74"/>
      <c r="AM1206" s="74"/>
      <c r="AW1206" s="74"/>
      <c r="AX1206" s="74"/>
    </row>
    <row r="1207" spans="1:50" ht="13" x14ac:dyDescent="0.15">
      <c r="A1207" s="55" t="str">
        <f>HYPERLINK("http://reports.ofsted.gov.uk/inspection-reports/find-inspection-report/provider/CARE/2581187","Ofsted Social Care Provider Webpage")</f>
        <v>Ofsted Social Care Provider Webpage</v>
      </c>
      <c r="B1207" s="55">
        <v>2581187</v>
      </c>
      <c r="D1207" s="55" t="s">
        <v>373</v>
      </c>
      <c r="E1207" s="74">
        <v>44062</v>
      </c>
      <c r="F1207" s="55" t="s">
        <v>6707</v>
      </c>
      <c r="G1207" s="55" t="s">
        <v>360</v>
      </c>
      <c r="H1207" s="55" t="s">
        <v>360</v>
      </c>
      <c r="I1207" s="55" t="s">
        <v>360</v>
      </c>
      <c r="J1207" s="55" t="s">
        <v>360</v>
      </c>
      <c r="K1207" s="55" t="s">
        <v>360</v>
      </c>
      <c r="L1207" s="55" t="s">
        <v>360</v>
      </c>
      <c r="M1207" s="55" t="s">
        <v>142</v>
      </c>
      <c r="N1207" s="55" t="s">
        <v>142</v>
      </c>
      <c r="O1207" s="55" t="s">
        <v>249</v>
      </c>
      <c r="P1207" s="55" t="s">
        <v>1181</v>
      </c>
      <c r="Q1207" s="55" t="s">
        <v>350</v>
      </c>
      <c r="R1207" s="85">
        <v>4</v>
      </c>
      <c r="S1207" s="55">
        <v>0</v>
      </c>
      <c r="T1207" s="74" t="s">
        <v>6730</v>
      </c>
      <c r="U1207" s="74" t="s">
        <v>2053</v>
      </c>
      <c r="V1207" s="74">
        <v>44452</v>
      </c>
      <c r="W1207" s="74">
        <v>44477</v>
      </c>
      <c r="X1207" s="55">
        <v>10205478</v>
      </c>
      <c r="AL1207" s="74"/>
      <c r="AM1207" s="74"/>
    </row>
    <row r="1208" spans="1:50" ht="13" x14ac:dyDescent="0.15">
      <c r="A1208" s="55" t="str">
        <f>HYPERLINK("http://reports.ofsted.gov.uk/inspection-reports/find-inspection-report/provider/CARE/2581237","Ofsted Social Care Provider Webpage")</f>
        <v>Ofsted Social Care Provider Webpage</v>
      </c>
      <c r="B1208" s="55">
        <v>2581237</v>
      </c>
      <c r="D1208" s="55" t="s">
        <v>373</v>
      </c>
      <c r="E1208" s="74">
        <v>43950</v>
      </c>
      <c r="F1208" s="55" t="s">
        <v>344</v>
      </c>
      <c r="G1208" s="55" t="s">
        <v>360</v>
      </c>
      <c r="H1208" s="55" t="s">
        <v>360</v>
      </c>
      <c r="I1208" s="55" t="s">
        <v>360</v>
      </c>
      <c r="J1208" s="55" t="s">
        <v>360</v>
      </c>
      <c r="K1208" s="55" t="s">
        <v>360</v>
      </c>
      <c r="L1208" s="55" t="s">
        <v>360</v>
      </c>
      <c r="M1208" s="55" t="s">
        <v>144</v>
      </c>
      <c r="N1208" s="55" t="s">
        <v>144</v>
      </c>
      <c r="O1208" s="55" t="s">
        <v>209</v>
      </c>
      <c r="P1208" s="55" t="s">
        <v>474</v>
      </c>
      <c r="Q1208" s="55" t="s">
        <v>350</v>
      </c>
      <c r="R1208" s="85">
        <v>8</v>
      </c>
      <c r="S1208" s="55">
        <v>0</v>
      </c>
      <c r="T1208" s="74" t="s">
        <v>377</v>
      </c>
      <c r="U1208" s="74" t="s">
        <v>6703</v>
      </c>
      <c r="V1208" s="74">
        <v>44559</v>
      </c>
      <c r="W1208" s="74">
        <v>44589</v>
      </c>
      <c r="X1208" s="55">
        <v>10187007</v>
      </c>
      <c r="Y1208" s="55" t="s">
        <v>6709</v>
      </c>
      <c r="AL1208" s="74"/>
      <c r="AM1208" s="74"/>
      <c r="AW1208" s="74"/>
      <c r="AX1208" s="74"/>
    </row>
    <row r="1209" spans="1:50" ht="13" x14ac:dyDescent="0.15">
      <c r="A1209" s="55" t="str">
        <f>HYPERLINK("http://reports.ofsted.gov.uk/inspection-reports/find-inspection-report/provider/CARE/2581296","Ofsted Social Care Provider Webpage")</f>
        <v>Ofsted Social Care Provider Webpage</v>
      </c>
      <c r="B1209" s="55">
        <v>2581296</v>
      </c>
      <c r="D1209" s="55" t="s">
        <v>373</v>
      </c>
      <c r="E1209" s="74">
        <v>43894</v>
      </c>
      <c r="F1209" s="55" t="s">
        <v>344</v>
      </c>
      <c r="G1209" s="55" t="s">
        <v>360</v>
      </c>
      <c r="H1209" s="55" t="s">
        <v>360</v>
      </c>
      <c r="I1209" s="55" t="s">
        <v>360</v>
      </c>
      <c r="J1209" s="55" t="s">
        <v>360</v>
      </c>
      <c r="K1209" s="55" t="s">
        <v>360</v>
      </c>
      <c r="L1209" s="55" t="s">
        <v>360</v>
      </c>
      <c r="M1209" s="55" t="s">
        <v>144</v>
      </c>
      <c r="N1209" s="55" t="s">
        <v>144</v>
      </c>
      <c r="O1209" s="55" t="s">
        <v>245</v>
      </c>
      <c r="P1209" s="55" t="s">
        <v>245</v>
      </c>
      <c r="Q1209" s="55" t="s">
        <v>350</v>
      </c>
      <c r="R1209" s="85">
        <v>1</v>
      </c>
      <c r="S1209" s="55">
        <v>0</v>
      </c>
      <c r="T1209" s="74" t="s">
        <v>485</v>
      </c>
      <c r="U1209" s="74" t="s">
        <v>351</v>
      </c>
      <c r="V1209" s="74">
        <v>44495</v>
      </c>
      <c r="W1209" s="74">
        <v>44536</v>
      </c>
      <c r="X1209" s="55">
        <v>10186934</v>
      </c>
      <c r="Y1209" s="55" t="s">
        <v>132</v>
      </c>
      <c r="AB1209" s="74" t="s">
        <v>132</v>
      </c>
      <c r="AC1209" s="55" t="s">
        <v>132</v>
      </c>
      <c r="AL1209" s="74"/>
      <c r="AM1209" s="74"/>
      <c r="AW1209" s="74"/>
      <c r="AX1209" s="74"/>
    </row>
    <row r="1210" spans="1:50" ht="13" x14ac:dyDescent="0.15">
      <c r="A1210" s="55" t="str">
        <f>HYPERLINK("http://reports.ofsted.gov.uk/inspection-reports/find-inspection-report/provider/CARE/2581761","Ofsted Social Care Provider Webpage")</f>
        <v>Ofsted Social Care Provider Webpage</v>
      </c>
      <c r="B1210" s="55">
        <v>2581761</v>
      </c>
      <c r="D1210" s="55" t="s">
        <v>389</v>
      </c>
      <c r="E1210" s="74">
        <v>44139</v>
      </c>
      <c r="F1210" s="55" t="s">
        <v>344</v>
      </c>
      <c r="G1210" s="55" t="s">
        <v>1787</v>
      </c>
      <c r="H1210" s="55" t="s">
        <v>1788</v>
      </c>
      <c r="I1210" s="55" t="s">
        <v>1789</v>
      </c>
      <c r="J1210" s="55" t="s">
        <v>182</v>
      </c>
      <c r="K1210" s="55" t="s">
        <v>129</v>
      </c>
      <c r="L1210" s="55" t="s">
        <v>1790</v>
      </c>
      <c r="M1210" s="55" t="s">
        <v>129</v>
      </c>
      <c r="N1210" s="55" t="s">
        <v>129</v>
      </c>
      <c r="O1210" s="55" t="s">
        <v>182</v>
      </c>
      <c r="P1210" s="55" t="s">
        <v>1660</v>
      </c>
      <c r="Q1210" s="55" t="s">
        <v>350</v>
      </c>
      <c r="S1210" s="55">
        <v>0</v>
      </c>
      <c r="T1210" s="74" t="s">
        <v>1787</v>
      </c>
      <c r="U1210" s="74" t="s">
        <v>351</v>
      </c>
      <c r="V1210" s="74">
        <v>44396</v>
      </c>
      <c r="W1210" s="74">
        <v>44432</v>
      </c>
      <c r="X1210" s="55">
        <v>10183194</v>
      </c>
      <c r="Y1210" s="55" t="s">
        <v>132</v>
      </c>
      <c r="AB1210" s="74" t="s">
        <v>132</v>
      </c>
      <c r="AC1210" s="55" t="s">
        <v>132</v>
      </c>
      <c r="AL1210" s="74"/>
      <c r="AM1210" s="74"/>
      <c r="AW1210" s="74"/>
      <c r="AX1210" s="74"/>
    </row>
    <row r="1211" spans="1:50" ht="13" x14ac:dyDescent="0.15">
      <c r="A1211" s="55" t="str">
        <f>HYPERLINK("http://reports.ofsted.gov.uk/inspection-reports/find-inspection-report/provider/CARE/2581909","Ofsted Social Care Provider Webpage")</f>
        <v>Ofsted Social Care Provider Webpage</v>
      </c>
      <c r="B1211" s="55">
        <v>2581909</v>
      </c>
      <c r="D1211" s="55" t="s">
        <v>479</v>
      </c>
      <c r="E1211" s="74">
        <v>43930</v>
      </c>
      <c r="F1211" s="55" t="s">
        <v>344</v>
      </c>
      <c r="G1211" s="55" t="s">
        <v>360</v>
      </c>
      <c r="H1211" s="55" t="s">
        <v>360</v>
      </c>
      <c r="I1211" s="55" t="s">
        <v>360</v>
      </c>
      <c r="J1211" s="55" t="s">
        <v>360</v>
      </c>
      <c r="K1211" s="55" t="s">
        <v>360</v>
      </c>
      <c r="L1211" s="55" t="s">
        <v>360</v>
      </c>
      <c r="M1211" s="55" t="s">
        <v>172</v>
      </c>
      <c r="N1211" s="55" t="s">
        <v>172</v>
      </c>
      <c r="O1211" s="55" t="s">
        <v>171</v>
      </c>
      <c r="P1211" s="55" t="s">
        <v>895</v>
      </c>
      <c r="Q1211" s="55" t="s">
        <v>350</v>
      </c>
      <c r="R1211" s="85">
        <v>8</v>
      </c>
      <c r="S1211" s="55">
        <v>0</v>
      </c>
      <c r="T1211" s="74" t="s">
        <v>1791</v>
      </c>
      <c r="U1211" s="74" t="s">
        <v>351</v>
      </c>
      <c r="V1211" s="74">
        <v>44341</v>
      </c>
      <c r="W1211" s="74">
        <v>44368</v>
      </c>
      <c r="X1211" s="55">
        <v>10185096</v>
      </c>
      <c r="Y1211" s="55" t="s">
        <v>132</v>
      </c>
      <c r="AB1211" s="74" t="s">
        <v>132</v>
      </c>
      <c r="AC1211" s="55" t="s">
        <v>132</v>
      </c>
      <c r="AL1211" s="74"/>
      <c r="AM1211" s="74"/>
      <c r="AW1211" s="74"/>
      <c r="AX1211" s="74"/>
    </row>
    <row r="1212" spans="1:50" ht="13" x14ac:dyDescent="0.15">
      <c r="A1212" s="55" t="str">
        <f>HYPERLINK("http://reports.ofsted.gov.uk/inspection-reports/find-inspection-report/provider/CARE/2582228","Ofsted Social Care Provider Webpage")</f>
        <v>Ofsted Social Care Provider Webpage</v>
      </c>
      <c r="B1212" s="55">
        <v>2582228</v>
      </c>
      <c r="C1212" s="55">
        <v>115475</v>
      </c>
      <c r="D1212" s="55" t="s">
        <v>413</v>
      </c>
      <c r="E1212" s="74">
        <v>43871</v>
      </c>
      <c r="F1212" s="55" t="s">
        <v>344</v>
      </c>
      <c r="G1212" s="55" t="s">
        <v>1792</v>
      </c>
      <c r="H1212" s="55" t="s">
        <v>1793</v>
      </c>
      <c r="I1212" s="55" t="s">
        <v>354</v>
      </c>
      <c r="J1212" s="55" t="s">
        <v>508</v>
      </c>
      <c r="K1212" s="55" t="s">
        <v>183</v>
      </c>
      <c r="L1212" s="55" t="s">
        <v>1794</v>
      </c>
      <c r="M1212" s="55" t="s">
        <v>138</v>
      </c>
      <c r="N1212" s="55" t="s">
        <v>138</v>
      </c>
      <c r="O1212" s="55" t="s">
        <v>183</v>
      </c>
      <c r="P1212" s="55" t="s">
        <v>616</v>
      </c>
      <c r="Q1212" s="55" t="s">
        <v>380</v>
      </c>
      <c r="R1212" s="85">
        <v>30</v>
      </c>
      <c r="S1212" s="55">
        <v>0</v>
      </c>
      <c r="T1212" s="74" t="s">
        <v>1795</v>
      </c>
      <c r="U1212" s="74" t="s">
        <v>351</v>
      </c>
      <c r="V1212" s="74">
        <v>44321</v>
      </c>
      <c r="W1212" s="74">
        <v>44351</v>
      </c>
      <c r="X1212" s="55">
        <v>10183243</v>
      </c>
      <c r="Y1212" s="55" t="s">
        <v>132</v>
      </c>
      <c r="AB1212" s="74" t="s">
        <v>132</v>
      </c>
      <c r="AC1212" s="55" t="s">
        <v>132</v>
      </c>
      <c r="AL1212" s="74"/>
      <c r="AM1212" s="74"/>
      <c r="AW1212" s="74"/>
      <c r="AX1212" s="74"/>
    </row>
    <row r="1213" spans="1:50" ht="13" x14ac:dyDescent="0.15">
      <c r="A1213" s="55" t="str">
        <f>HYPERLINK("http://reports.ofsted.gov.uk/inspection-reports/find-inspection-report/provider/CARE/2582246","Ofsted Social Care Provider Webpage")</f>
        <v>Ofsted Social Care Provider Webpage</v>
      </c>
      <c r="B1213" s="55">
        <v>2582246</v>
      </c>
      <c r="D1213" s="55" t="s">
        <v>373</v>
      </c>
      <c r="E1213" s="74">
        <v>43894</v>
      </c>
      <c r="F1213" s="55" t="s">
        <v>344</v>
      </c>
      <c r="G1213" s="55" t="s">
        <v>360</v>
      </c>
      <c r="H1213" s="55" t="s">
        <v>360</v>
      </c>
      <c r="I1213" s="55" t="s">
        <v>360</v>
      </c>
      <c r="J1213" s="55" t="s">
        <v>360</v>
      </c>
      <c r="K1213" s="55" t="s">
        <v>360</v>
      </c>
      <c r="L1213" s="55" t="s">
        <v>360</v>
      </c>
      <c r="M1213" s="55" t="s">
        <v>144</v>
      </c>
      <c r="N1213" s="55" t="s">
        <v>144</v>
      </c>
      <c r="O1213" s="55" t="s">
        <v>209</v>
      </c>
      <c r="P1213" s="55" t="s">
        <v>650</v>
      </c>
      <c r="Q1213" s="55" t="s">
        <v>350</v>
      </c>
      <c r="R1213" s="85">
        <v>2</v>
      </c>
      <c r="S1213" s="55">
        <v>0</v>
      </c>
      <c r="T1213" s="74" t="s">
        <v>485</v>
      </c>
      <c r="U1213" s="74" t="s">
        <v>351</v>
      </c>
      <c r="V1213" s="74">
        <v>44440</v>
      </c>
      <c r="W1213" s="74">
        <v>44477</v>
      </c>
      <c r="X1213" s="55">
        <v>10185867</v>
      </c>
      <c r="Y1213" s="55" t="s">
        <v>130</v>
      </c>
      <c r="AB1213" s="74" t="s">
        <v>130</v>
      </c>
      <c r="AC1213" s="55" t="s">
        <v>130</v>
      </c>
      <c r="AL1213" s="74"/>
      <c r="AM1213" s="74"/>
      <c r="AW1213" s="74"/>
      <c r="AX1213" s="74"/>
    </row>
    <row r="1214" spans="1:50" ht="13" x14ac:dyDescent="0.15">
      <c r="A1214" s="55" t="str">
        <f>HYPERLINK("http://reports.ofsted.gov.uk/inspection-reports/find-inspection-report/provider/CARE/2582247","Ofsted Social Care Provider Webpage")</f>
        <v>Ofsted Social Care Provider Webpage</v>
      </c>
      <c r="B1214" s="55">
        <v>2582247</v>
      </c>
      <c r="D1214" s="55" t="s">
        <v>373</v>
      </c>
      <c r="E1214" s="74">
        <v>43894</v>
      </c>
      <c r="F1214" s="55" t="s">
        <v>344</v>
      </c>
      <c r="G1214" s="55" t="s">
        <v>360</v>
      </c>
      <c r="H1214" s="55" t="s">
        <v>360</v>
      </c>
      <c r="I1214" s="55" t="s">
        <v>360</v>
      </c>
      <c r="J1214" s="55" t="s">
        <v>360</v>
      </c>
      <c r="K1214" s="55" t="s">
        <v>360</v>
      </c>
      <c r="L1214" s="55" t="s">
        <v>360</v>
      </c>
      <c r="M1214" s="55" t="s">
        <v>144</v>
      </c>
      <c r="N1214" s="55" t="s">
        <v>144</v>
      </c>
      <c r="O1214" s="55" t="s">
        <v>209</v>
      </c>
      <c r="P1214" s="55" t="s">
        <v>629</v>
      </c>
      <c r="Q1214" s="55" t="s">
        <v>350</v>
      </c>
      <c r="R1214" s="85">
        <v>2</v>
      </c>
      <c r="S1214" s="55">
        <v>0</v>
      </c>
      <c r="T1214" s="74" t="s">
        <v>485</v>
      </c>
      <c r="U1214" s="74" t="s">
        <v>351</v>
      </c>
      <c r="V1214" s="74">
        <v>44621</v>
      </c>
      <c r="W1214" s="74">
        <v>44664</v>
      </c>
      <c r="X1214" s="55">
        <v>10185254</v>
      </c>
      <c r="Y1214" s="55" t="s">
        <v>132</v>
      </c>
      <c r="AB1214" s="74" t="s">
        <v>132</v>
      </c>
      <c r="AC1214" s="55" t="s">
        <v>130</v>
      </c>
      <c r="AL1214" s="74"/>
      <c r="AM1214" s="74"/>
      <c r="AW1214" s="74"/>
      <c r="AX1214" s="74"/>
    </row>
    <row r="1215" spans="1:50" ht="13" x14ac:dyDescent="0.15">
      <c r="A1215" s="55" t="str">
        <f>HYPERLINK("http://reports.ofsted.gov.uk/inspection-reports/find-inspection-report/provider/CARE/2582248","Ofsted Social Care Provider Webpage")</f>
        <v>Ofsted Social Care Provider Webpage</v>
      </c>
      <c r="B1215" s="55">
        <v>2582248</v>
      </c>
      <c r="D1215" s="55" t="s">
        <v>373</v>
      </c>
      <c r="E1215" s="74">
        <v>43894</v>
      </c>
      <c r="F1215" s="55" t="s">
        <v>344</v>
      </c>
      <c r="G1215" s="55" t="s">
        <v>360</v>
      </c>
      <c r="H1215" s="55" t="s">
        <v>360</v>
      </c>
      <c r="I1215" s="55" t="s">
        <v>360</v>
      </c>
      <c r="J1215" s="55" t="s">
        <v>360</v>
      </c>
      <c r="K1215" s="55" t="s">
        <v>360</v>
      </c>
      <c r="L1215" s="55" t="s">
        <v>360</v>
      </c>
      <c r="M1215" s="55" t="s">
        <v>144</v>
      </c>
      <c r="N1215" s="55" t="s">
        <v>144</v>
      </c>
      <c r="O1215" s="55" t="s">
        <v>157</v>
      </c>
      <c r="P1215" s="55" t="s">
        <v>1092</v>
      </c>
      <c r="Q1215" s="55" t="s">
        <v>350</v>
      </c>
      <c r="R1215" s="85">
        <v>2</v>
      </c>
      <c r="S1215" s="55">
        <v>0</v>
      </c>
      <c r="T1215" s="74" t="s">
        <v>485</v>
      </c>
      <c r="U1215" s="74" t="s">
        <v>351</v>
      </c>
      <c r="V1215" s="74">
        <v>44397</v>
      </c>
      <c r="W1215" s="74">
        <v>44427</v>
      </c>
      <c r="X1215" s="55">
        <v>10185806</v>
      </c>
      <c r="Y1215" s="55" t="s">
        <v>132</v>
      </c>
      <c r="AB1215" s="74" t="s">
        <v>132</v>
      </c>
      <c r="AC1215" s="55" t="s">
        <v>132</v>
      </c>
      <c r="AL1215" s="74"/>
      <c r="AM1215" s="74"/>
      <c r="AW1215" s="74"/>
      <c r="AX1215" s="74"/>
    </row>
    <row r="1216" spans="1:50" ht="13" x14ac:dyDescent="0.15">
      <c r="A1216" s="55" t="str">
        <f>HYPERLINK("http://reports.ofsted.gov.uk/inspection-reports/find-inspection-report/provider/CARE/2582250","Ofsted Social Care Provider Webpage")</f>
        <v>Ofsted Social Care Provider Webpage</v>
      </c>
      <c r="B1216" s="55">
        <v>2582250</v>
      </c>
      <c r="D1216" s="55" t="s">
        <v>373</v>
      </c>
      <c r="E1216" s="74">
        <v>43894</v>
      </c>
      <c r="F1216" s="55" t="s">
        <v>344</v>
      </c>
      <c r="G1216" s="55" t="s">
        <v>360</v>
      </c>
      <c r="H1216" s="55" t="s">
        <v>360</v>
      </c>
      <c r="I1216" s="55" t="s">
        <v>360</v>
      </c>
      <c r="J1216" s="55" t="s">
        <v>360</v>
      </c>
      <c r="K1216" s="55" t="s">
        <v>360</v>
      </c>
      <c r="L1216" s="55" t="s">
        <v>360</v>
      </c>
      <c r="M1216" s="55" t="s">
        <v>144</v>
      </c>
      <c r="N1216" s="55" t="s">
        <v>144</v>
      </c>
      <c r="O1216" s="55" t="s">
        <v>245</v>
      </c>
      <c r="P1216" s="55" t="s">
        <v>1796</v>
      </c>
      <c r="Q1216" s="55" t="s">
        <v>350</v>
      </c>
      <c r="R1216" s="85">
        <v>2</v>
      </c>
      <c r="S1216" s="55">
        <v>0</v>
      </c>
      <c r="T1216" s="74" t="s">
        <v>485</v>
      </c>
      <c r="U1216" s="74" t="s">
        <v>351</v>
      </c>
      <c r="V1216" s="74">
        <v>44635</v>
      </c>
      <c r="W1216" s="74">
        <v>44680</v>
      </c>
      <c r="X1216" s="55">
        <v>10185605</v>
      </c>
      <c r="Y1216" s="55" t="s">
        <v>132</v>
      </c>
      <c r="AB1216" s="74" t="s">
        <v>132</v>
      </c>
      <c r="AC1216" s="55" t="s">
        <v>132</v>
      </c>
      <c r="AL1216" s="74"/>
      <c r="AM1216" s="74"/>
    </row>
    <row r="1217" spans="1:50" ht="13" x14ac:dyDescent="0.15">
      <c r="A1217" s="55" t="str">
        <f>HYPERLINK("http://reports.ofsted.gov.uk/inspection-reports/find-inspection-report/provider/CARE/2582337","Ofsted Social Care Provider Webpage")</f>
        <v>Ofsted Social Care Provider Webpage</v>
      </c>
      <c r="B1217" s="55">
        <v>2582337</v>
      </c>
      <c r="D1217" s="55" t="s">
        <v>373</v>
      </c>
      <c r="E1217" s="74">
        <v>43894</v>
      </c>
      <c r="F1217" s="55" t="s">
        <v>344</v>
      </c>
      <c r="G1217" s="55" t="s">
        <v>360</v>
      </c>
      <c r="H1217" s="55" t="s">
        <v>360</v>
      </c>
      <c r="I1217" s="55" t="s">
        <v>360</v>
      </c>
      <c r="J1217" s="55" t="s">
        <v>360</v>
      </c>
      <c r="K1217" s="55" t="s">
        <v>360</v>
      </c>
      <c r="L1217" s="55" t="s">
        <v>360</v>
      </c>
      <c r="M1217" s="55" t="s">
        <v>144</v>
      </c>
      <c r="N1217" s="55" t="s">
        <v>144</v>
      </c>
      <c r="O1217" s="55" t="s">
        <v>157</v>
      </c>
      <c r="P1217" s="55" t="s">
        <v>1092</v>
      </c>
      <c r="Q1217" s="55" t="s">
        <v>350</v>
      </c>
      <c r="R1217" s="85">
        <v>2</v>
      </c>
      <c r="S1217" s="55">
        <v>0</v>
      </c>
      <c r="T1217" s="74" t="s">
        <v>485</v>
      </c>
      <c r="U1217" s="74" t="s">
        <v>351</v>
      </c>
      <c r="V1217" s="74">
        <v>44299</v>
      </c>
      <c r="W1217" s="74">
        <v>44333</v>
      </c>
      <c r="X1217" s="55">
        <v>10187516</v>
      </c>
      <c r="Y1217" s="55" t="s">
        <v>132</v>
      </c>
      <c r="AB1217" s="74" t="s">
        <v>132</v>
      </c>
      <c r="AC1217" s="55" t="s">
        <v>130</v>
      </c>
      <c r="AL1217" s="74"/>
      <c r="AM1217" s="74"/>
      <c r="AW1217" s="74"/>
      <c r="AX1217" s="74"/>
    </row>
    <row r="1218" spans="1:50" ht="13" x14ac:dyDescent="0.15">
      <c r="A1218" s="55" t="str">
        <f>HYPERLINK("http://reports.ofsted.gov.uk/inspection-reports/find-inspection-report/provider/CARE/2583028","Ofsted Social Care Provider Webpage")</f>
        <v>Ofsted Social Care Provider Webpage</v>
      </c>
      <c r="B1218" s="55">
        <v>2583028</v>
      </c>
      <c r="D1218" s="55" t="s">
        <v>373</v>
      </c>
      <c r="E1218" s="74">
        <v>43930</v>
      </c>
      <c r="F1218" s="55" t="s">
        <v>344</v>
      </c>
      <c r="G1218" s="55" t="s">
        <v>360</v>
      </c>
      <c r="H1218" s="55" t="s">
        <v>360</v>
      </c>
      <c r="I1218" s="55" t="s">
        <v>360</v>
      </c>
      <c r="J1218" s="55" t="s">
        <v>360</v>
      </c>
      <c r="K1218" s="55" t="s">
        <v>360</v>
      </c>
      <c r="L1218" s="55" t="s">
        <v>360</v>
      </c>
      <c r="M1218" s="55" t="s">
        <v>136</v>
      </c>
      <c r="N1218" s="55" t="s">
        <v>136</v>
      </c>
      <c r="O1218" s="55" t="s">
        <v>174</v>
      </c>
      <c r="P1218" s="55" t="s">
        <v>572</v>
      </c>
      <c r="Q1218" s="55" t="s">
        <v>362</v>
      </c>
      <c r="R1218" s="85">
        <v>4</v>
      </c>
      <c r="S1218" s="55">
        <v>0</v>
      </c>
      <c r="T1218" s="74" t="s">
        <v>1797</v>
      </c>
      <c r="U1218" s="74" t="s">
        <v>351</v>
      </c>
      <c r="V1218" s="74">
        <v>44480</v>
      </c>
      <c r="W1218" s="74">
        <v>44519</v>
      </c>
      <c r="X1218" s="55">
        <v>10186833</v>
      </c>
      <c r="Y1218" s="55" t="s">
        <v>130</v>
      </c>
      <c r="AB1218" s="74" t="s">
        <v>130</v>
      </c>
      <c r="AC1218" s="55" t="s">
        <v>130</v>
      </c>
      <c r="AL1218" s="74"/>
      <c r="AM1218" s="74"/>
      <c r="AW1218" s="74"/>
      <c r="AX1218" s="74"/>
    </row>
    <row r="1219" spans="1:50" ht="13" x14ac:dyDescent="0.15">
      <c r="A1219" s="55" t="str">
        <f>HYPERLINK("http://reports.ofsted.gov.uk/inspection-reports/find-inspection-report/provider/CARE/2583028","Ofsted Social Care Provider Webpage")</f>
        <v>Ofsted Social Care Provider Webpage</v>
      </c>
      <c r="B1219" s="55">
        <v>2583028</v>
      </c>
      <c r="D1219" s="55" t="s">
        <v>373</v>
      </c>
      <c r="E1219" s="74">
        <v>43930</v>
      </c>
      <c r="F1219" s="55" t="s">
        <v>344</v>
      </c>
      <c r="G1219" s="55" t="s">
        <v>360</v>
      </c>
      <c r="H1219" s="55" t="s">
        <v>360</v>
      </c>
      <c r="I1219" s="55" t="s">
        <v>360</v>
      </c>
      <c r="J1219" s="55" t="s">
        <v>360</v>
      </c>
      <c r="K1219" s="55" t="s">
        <v>360</v>
      </c>
      <c r="L1219" s="55" t="s">
        <v>360</v>
      </c>
      <c r="M1219" s="55" t="s">
        <v>136</v>
      </c>
      <c r="N1219" s="55" t="s">
        <v>136</v>
      </c>
      <c r="O1219" s="55" t="s">
        <v>174</v>
      </c>
      <c r="P1219" s="55" t="s">
        <v>572</v>
      </c>
      <c r="Q1219" s="55" t="s">
        <v>362</v>
      </c>
      <c r="R1219" s="85">
        <v>4</v>
      </c>
      <c r="S1219" s="55">
        <v>0</v>
      </c>
      <c r="T1219" s="74" t="s">
        <v>1797</v>
      </c>
      <c r="U1219" s="74" t="s">
        <v>6703</v>
      </c>
      <c r="V1219" s="74">
        <v>44627</v>
      </c>
      <c r="W1219" s="74">
        <v>44671</v>
      </c>
      <c r="X1219" s="55">
        <v>10215859</v>
      </c>
      <c r="Y1219" s="55" t="s">
        <v>6705</v>
      </c>
      <c r="AL1219" s="74"/>
      <c r="AM1219" s="74"/>
      <c r="AW1219" s="74"/>
      <c r="AX1219" s="74"/>
    </row>
    <row r="1220" spans="1:50" ht="13" x14ac:dyDescent="0.15">
      <c r="A1220" s="55" t="str">
        <f>HYPERLINK("http://reports.ofsted.gov.uk/inspection-reports/find-inspection-report/provider/CARE/2583142","Ofsted Social Care Provider Webpage")</f>
        <v>Ofsted Social Care Provider Webpage</v>
      </c>
      <c r="B1220" s="55">
        <v>2583142</v>
      </c>
      <c r="D1220" s="55" t="s">
        <v>373</v>
      </c>
      <c r="E1220" s="74">
        <v>43999</v>
      </c>
      <c r="F1220" s="55" t="s">
        <v>344</v>
      </c>
      <c r="G1220" s="55" t="s">
        <v>360</v>
      </c>
      <c r="H1220" s="55" t="s">
        <v>360</v>
      </c>
      <c r="I1220" s="55" t="s">
        <v>360</v>
      </c>
      <c r="J1220" s="55" t="s">
        <v>360</v>
      </c>
      <c r="K1220" s="55" t="s">
        <v>360</v>
      </c>
      <c r="L1220" s="55" t="s">
        <v>360</v>
      </c>
      <c r="M1220" s="55" t="s">
        <v>138</v>
      </c>
      <c r="N1220" s="55" t="s">
        <v>138</v>
      </c>
      <c r="O1220" s="55" t="s">
        <v>137</v>
      </c>
      <c r="P1220" s="55" t="s">
        <v>137</v>
      </c>
      <c r="Q1220" s="55" t="s">
        <v>350</v>
      </c>
      <c r="R1220" s="85">
        <v>3</v>
      </c>
      <c r="S1220" s="55">
        <v>0</v>
      </c>
      <c r="T1220" s="74" t="s">
        <v>1361</v>
      </c>
      <c r="U1220" s="74" t="s">
        <v>351</v>
      </c>
      <c r="V1220" s="74">
        <v>44362</v>
      </c>
      <c r="W1220" s="74">
        <v>44393</v>
      </c>
      <c r="X1220" s="55">
        <v>10185180</v>
      </c>
      <c r="Y1220" s="55" t="s">
        <v>132</v>
      </c>
      <c r="AB1220" s="74" t="s">
        <v>132</v>
      </c>
      <c r="AC1220" s="55" t="s">
        <v>132</v>
      </c>
      <c r="AL1220" s="74"/>
      <c r="AM1220" s="74"/>
    </row>
    <row r="1221" spans="1:50" ht="13" x14ac:dyDescent="0.15">
      <c r="A1221" s="55" t="str">
        <f>HYPERLINK("http://reports.ofsted.gov.uk/inspection-reports/find-inspection-report/provider/CARE/2583468","Ofsted Social Care Provider Webpage")</f>
        <v>Ofsted Social Care Provider Webpage</v>
      </c>
      <c r="B1221" s="55">
        <v>2583468</v>
      </c>
      <c r="D1221" s="55" t="s">
        <v>373</v>
      </c>
      <c r="E1221" s="74">
        <v>43930</v>
      </c>
      <c r="F1221" s="55" t="s">
        <v>344</v>
      </c>
      <c r="G1221" s="55" t="s">
        <v>360</v>
      </c>
      <c r="H1221" s="55" t="s">
        <v>360</v>
      </c>
      <c r="I1221" s="55" t="s">
        <v>360</v>
      </c>
      <c r="J1221" s="55" t="s">
        <v>360</v>
      </c>
      <c r="K1221" s="55" t="s">
        <v>360</v>
      </c>
      <c r="L1221" s="55" t="s">
        <v>360</v>
      </c>
      <c r="M1221" s="55" t="s">
        <v>172</v>
      </c>
      <c r="N1221" s="55" t="s">
        <v>172</v>
      </c>
      <c r="O1221" s="55" t="s">
        <v>212</v>
      </c>
      <c r="P1221" s="55" t="s">
        <v>714</v>
      </c>
      <c r="Q1221" s="55" t="s">
        <v>350</v>
      </c>
      <c r="R1221" s="85">
        <v>4</v>
      </c>
      <c r="S1221" s="55">
        <v>0</v>
      </c>
      <c r="T1221" s="74" t="s">
        <v>896</v>
      </c>
      <c r="U1221" s="74" t="s">
        <v>351</v>
      </c>
      <c r="V1221" s="74">
        <v>44586</v>
      </c>
      <c r="W1221" s="74">
        <v>44631</v>
      </c>
      <c r="X1221" s="55">
        <v>10185726</v>
      </c>
      <c r="Y1221" s="55" t="s">
        <v>140</v>
      </c>
      <c r="AB1221" s="74" t="s">
        <v>140</v>
      </c>
      <c r="AC1221" s="55" t="s">
        <v>140</v>
      </c>
      <c r="AL1221" s="74"/>
      <c r="AM1221" s="74"/>
      <c r="AW1221" s="74"/>
      <c r="AX1221" s="74"/>
    </row>
    <row r="1222" spans="1:50" ht="13" x14ac:dyDescent="0.15">
      <c r="A1222" s="55" t="str">
        <f>HYPERLINK("http://reports.ofsted.gov.uk/inspection-reports/find-inspection-report/provider/CARE/2583518","Ofsted Social Care Provider Webpage")</f>
        <v>Ofsted Social Care Provider Webpage</v>
      </c>
      <c r="B1222" s="55">
        <v>2583518</v>
      </c>
      <c r="D1222" s="55" t="s">
        <v>373</v>
      </c>
      <c r="E1222" s="74">
        <v>43976</v>
      </c>
      <c r="F1222" s="55" t="s">
        <v>344</v>
      </c>
      <c r="G1222" s="55" t="s">
        <v>360</v>
      </c>
      <c r="H1222" s="55" t="s">
        <v>360</v>
      </c>
      <c r="I1222" s="55" t="s">
        <v>360</v>
      </c>
      <c r="J1222" s="55" t="s">
        <v>360</v>
      </c>
      <c r="K1222" s="55" t="s">
        <v>360</v>
      </c>
      <c r="L1222" s="55" t="s">
        <v>360</v>
      </c>
      <c r="M1222" s="55" t="s">
        <v>144</v>
      </c>
      <c r="N1222" s="55" t="s">
        <v>144</v>
      </c>
      <c r="O1222" s="55" t="s">
        <v>209</v>
      </c>
      <c r="P1222" s="55" t="s">
        <v>650</v>
      </c>
      <c r="Q1222" s="55" t="s">
        <v>350</v>
      </c>
      <c r="R1222" s="85">
        <v>2</v>
      </c>
      <c r="S1222" s="55">
        <v>0</v>
      </c>
      <c r="T1222" s="74" t="s">
        <v>1798</v>
      </c>
      <c r="U1222" s="74" t="s">
        <v>351</v>
      </c>
      <c r="V1222" s="74">
        <v>44460</v>
      </c>
      <c r="W1222" s="74">
        <v>44509</v>
      </c>
      <c r="X1222" s="55">
        <v>10186374</v>
      </c>
      <c r="Y1222" s="55" t="s">
        <v>130</v>
      </c>
      <c r="AB1222" s="74" t="s">
        <v>130</v>
      </c>
      <c r="AC1222" s="55" t="s">
        <v>130</v>
      </c>
      <c r="AL1222" s="74"/>
      <c r="AM1222" s="74"/>
      <c r="AW1222" s="74"/>
      <c r="AX1222" s="74"/>
    </row>
    <row r="1223" spans="1:50" ht="13" x14ac:dyDescent="0.15">
      <c r="A1223" s="55" t="str">
        <f>HYPERLINK("http://reports.ofsted.gov.uk/inspection-reports/find-inspection-report/provider/CARE/2584899","Ofsted Social Care Provider Webpage")</f>
        <v>Ofsted Social Care Provider Webpage</v>
      </c>
      <c r="B1223" s="55">
        <v>2584899</v>
      </c>
      <c r="D1223" s="55" t="s">
        <v>373</v>
      </c>
      <c r="E1223" s="74">
        <v>44000</v>
      </c>
      <c r="F1223" s="55" t="s">
        <v>344</v>
      </c>
      <c r="G1223" s="55" t="s">
        <v>360</v>
      </c>
      <c r="H1223" s="55" t="s">
        <v>360</v>
      </c>
      <c r="I1223" s="55" t="s">
        <v>360</v>
      </c>
      <c r="J1223" s="55" t="s">
        <v>360</v>
      </c>
      <c r="K1223" s="55" t="s">
        <v>360</v>
      </c>
      <c r="L1223" s="55" t="s">
        <v>360</v>
      </c>
      <c r="M1223" s="55" t="s">
        <v>378</v>
      </c>
      <c r="N1223" s="55" t="s">
        <v>170</v>
      </c>
      <c r="O1223" s="55" t="s">
        <v>243</v>
      </c>
      <c r="P1223" s="55" t="s">
        <v>1786</v>
      </c>
      <c r="Q1223" s="55" t="s">
        <v>350</v>
      </c>
      <c r="R1223" s="85">
        <v>4</v>
      </c>
      <c r="S1223" s="55">
        <v>0</v>
      </c>
      <c r="T1223" s="74" t="s">
        <v>1262</v>
      </c>
      <c r="U1223" s="74" t="s">
        <v>351</v>
      </c>
      <c r="V1223" s="74">
        <v>44385</v>
      </c>
      <c r="W1223" s="74">
        <v>44433</v>
      </c>
      <c r="X1223" s="55">
        <v>10186012</v>
      </c>
      <c r="Y1223" s="55" t="s">
        <v>132</v>
      </c>
      <c r="AB1223" s="74" t="s">
        <v>132</v>
      </c>
      <c r="AC1223" s="55" t="s">
        <v>132</v>
      </c>
      <c r="AL1223" s="74"/>
      <c r="AM1223" s="74"/>
      <c r="AW1223" s="74"/>
      <c r="AX1223" s="74"/>
    </row>
    <row r="1224" spans="1:50" ht="13" x14ac:dyDescent="0.15">
      <c r="A1224" s="55" t="str">
        <f>HYPERLINK("http://reports.ofsted.gov.uk/inspection-reports/find-inspection-report/provider/CARE/2584908","Ofsted Social Care Provider Webpage")</f>
        <v>Ofsted Social Care Provider Webpage</v>
      </c>
      <c r="B1224" s="55">
        <v>2584908</v>
      </c>
      <c r="D1224" s="55" t="s">
        <v>373</v>
      </c>
      <c r="E1224" s="74">
        <v>44111</v>
      </c>
      <c r="F1224" s="55" t="s">
        <v>344</v>
      </c>
      <c r="G1224" s="55" t="s">
        <v>360</v>
      </c>
      <c r="H1224" s="55" t="s">
        <v>360</v>
      </c>
      <c r="I1224" s="55" t="s">
        <v>360</v>
      </c>
      <c r="J1224" s="55" t="s">
        <v>360</v>
      </c>
      <c r="K1224" s="55" t="s">
        <v>360</v>
      </c>
      <c r="L1224" s="55" t="s">
        <v>360</v>
      </c>
      <c r="M1224" s="55" t="s">
        <v>142</v>
      </c>
      <c r="N1224" s="55" t="s">
        <v>142</v>
      </c>
      <c r="O1224" s="55" t="s">
        <v>252</v>
      </c>
      <c r="P1224" s="55" t="s">
        <v>388</v>
      </c>
      <c r="Q1224" s="55" t="s">
        <v>380</v>
      </c>
      <c r="R1224" s="85">
        <v>2</v>
      </c>
      <c r="S1224" s="55">
        <v>0</v>
      </c>
      <c r="T1224" s="74" t="s">
        <v>1542</v>
      </c>
      <c r="U1224" s="74" t="s">
        <v>351</v>
      </c>
      <c r="V1224" s="74">
        <v>44572</v>
      </c>
      <c r="W1224" s="74">
        <v>44610</v>
      </c>
      <c r="X1224" s="55">
        <v>10185258</v>
      </c>
      <c r="Y1224" s="55" t="s">
        <v>140</v>
      </c>
      <c r="AB1224" s="74" t="s">
        <v>140</v>
      </c>
      <c r="AC1224" s="55" t="s">
        <v>132</v>
      </c>
      <c r="AL1224" s="74"/>
      <c r="AM1224" s="74"/>
      <c r="AW1224" s="74"/>
      <c r="AX1224" s="74"/>
    </row>
    <row r="1225" spans="1:50" ht="13" x14ac:dyDescent="0.15">
      <c r="A1225" s="55" t="str">
        <f>HYPERLINK("http://reports.ofsted.gov.uk/inspection-reports/find-inspection-report/provider/CARE/2585102","Ofsted Social Care Provider Webpage")</f>
        <v>Ofsted Social Care Provider Webpage</v>
      </c>
      <c r="B1225" s="55">
        <v>2585102</v>
      </c>
      <c r="D1225" s="55" t="s">
        <v>373</v>
      </c>
      <c r="E1225" s="74">
        <v>44061</v>
      </c>
      <c r="F1225" s="55" t="s">
        <v>344</v>
      </c>
      <c r="G1225" s="55" t="s">
        <v>360</v>
      </c>
      <c r="H1225" s="55" t="s">
        <v>360</v>
      </c>
      <c r="I1225" s="55" t="s">
        <v>360</v>
      </c>
      <c r="J1225" s="55" t="s">
        <v>360</v>
      </c>
      <c r="K1225" s="55" t="s">
        <v>360</v>
      </c>
      <c r="L1225" s="55" t="s">
        <v>360</v>
      </c>
      <c r="M1225" s="55" t="s">
        <v>150</v>
      </c>
      <c r="N1225" s="55" t="s">
        <v>150</v>
      </c>
      <c r="O1225" s="55" t="s">
        <v>156</v>
      </c>
      <c r="P1225" s="55" t="s">
        <v>1217</v>
      </c>
      <c r="Q1225" s="55" t="s">
        <v>350</v>
      </c>
      <c r="R1225" s="85">
        <v>3</v>
      </c>
      <c r="S1225" s="55">
        <v>0</v>
      </c>
      <c r="T1225" s="74" t="s">
        <v>1799</v>
      </c>
      <c r="U1225" s="74" t="s">
        <v>2053</v>
      </c>
      <c r="V1225" s="74">
        <v>44292</v>
      </c>
      <c r="W1225" s="74">
        <v>44340</v>
      </c>
      <c r="X1225" s="55">
        <v>10188745</v>
      </c>
      <c r="AL1225" s="74"/>
      <c r="AM1225" s="74"/>
      <c r="AW1225" s="74"/>
      <c r="AX1225" s="74"/>
    </row>
    <row r="1226" spans="1:50" ht="13" x14ac:dyDescent="0.15">
      <c r="A1226" s="55" t="str">
        <f>HYPERLINK("http://reports.ofsted.gov.uk/inspection-reports/find-inspection-report/provider/CARE/2585102","Ofsted Social Care Provider Webpage")</f>
        <v>Ofsted Social Care Provider Webpage</v>
      </c>
      <c r="B1226" s="55">
        <v>2585102</v>
      </c>
      <c r="D1226" s="55" t="s">
        <v>373</v>
      </c>
      <c r="E1226" s="74">
        <v>44061</v>
      </c>
      <c r="F1226" s="55" t="s">
        <v>344</v>
      </c>
      <c r="G1226" s="55" t="s">
        <v>360</v>
      </c>
      <c r="H1226" s="55" t="s">
        <v>360</v>
      </c>
      <c r="I1226" s="55" t="s">
        <v>360</v>
      </c>
      <c r="J1226" s="55" t="s">
        <v>360</v>
      </c>
      <c r="K1226" s="55" t="s">
        <v>360</v>
      </c>
      <c r="L1226" s="55" t="s">
        <v>360</v>
      </c>
      <c r="M1226" s="55" t="s">
        <v>150</v>
      </c>
      <c r="N1226" s="55" t="s">
        <v>150</v>
      </c>
      <c r="O1226" s="55" t="s">
        <v>156</v>
      </c>
      <c r="P1226" s="55" t="s">
        <v>1217</v>
      </c>
      <c r="Q1226" s="55" t="s">
        <v>350</v>
      </c>
      <c r="R1226" s="85">
        <v>3</v>
      </c>
      <c r="S1226" s="55">
        <v>0</v>
      </c>
      <c r="T1226" s="74" t="s">
        <v>1799</v>
      </c>
      <c r="U1226" s="74" t="s">
        <v>2053</v>
      </c>
      <c r="V1226" s="74">
        <v>44301</v>
      </c>
      <c r="W1226" s="74">
        <v>44340</v>
      </c>
      <c r="X1226" s="55">
        <v>10188246</v>
      </c>
      <c r="AL1226" s="74"/>
      <c r="AM1226" s="74"/>
      <c r="AW1226" s="74"/>
      <c r="AX1226" s="74"/>
    </row>
    <row r="1227" spans="1:50" ht="13" x14ac:dyDescent="0.15">
      <c r="A1227" s="55" t="str">
        <f>HYPERLINK("http://reports.ofsted.gov.uk/inspection-reports/find-inspection-report/provider/CARE/2585102","Ofsted Social Care Provider Webpage")</f>
        <v>Ofsted Social Care Provider Webpage</v>
      </c>
      <c r="B1227" s="55">
        <v>2585102</v>
      </c>
      <c r="D1227" s="55" t="s">
        <v>373</v>
      </c>
      <c r="E1227" s="74">
        <v>44061</v>
      </c>
      <c r="F1227" s="55" t="s">
        <v>344</v>
      </c>
      <c r="G1227" s="55" t="s">
        <v>360</v>
      </c>
      <c r="H1227" s="55" t="s">
        <v>360</v>
      </c>
      <c r="I1227" s="55" t="s">
        <v>360</v>
      </c>
      <c r="J1227" s="55" t="s">
        <v>360</v>
      </c>
      <c r="K1227" s="55" t="s">
        <v>360</v>
      </c>
      <c r="L1227" s="55" t="s">
        <v>360</v>
      </c>
      <c r="M1227" s="55" t="s">
        <v>150</v>
      </c>
      <c r="N1227" s="55" t="s">
        <v>150</v>
      </c>
      <c r="O1227" s="55" t="s">
        <v>156</v>
      </c>
      <c r="P1227" s="55" t="s">
        <v>1217</v>
      </c>
      <c r="Q1227" s="55" t="s">
        <v>350</v>
      </c>
      <c r="R1227" s="85">
        <v>3</v>
      </c>
      <c r="S1227" s="55">
        <v>0</v>
      </c>
      <c r="T1227" s="74" t="s">
        <v>1799</v>
      </c>
      <c r="U1227" s="74" t="s">
        <v>6703</v>
      </c>
      <c r="V1227" s="74">
        <v>44622</v>
      </c>
      <c r="W1227" s="74">
        <v>44677</v>
      </c>
      <c r="X1227" s="55">
        <v>10212853</v>
      </c>
      <c r="Y1227" s="55" t="s">
        <v>6704</v>
      </c>
      <c r="AL1227" s="74"/>
      <c r="AM1227" s="74"/>
      <c r="AW1227" s="74"/>
      <c r="AX1227" s="74"/>
    </row>
    <row r="1228" spans="1:50" ht="13" x14ac:dyDescent="0.15">
      <c r="A1228" s="55" t="str">
        <f>HYPERLINK("http://reports.ofsted.gov.uk/inspection-reports/find-inspection-report/provider/CARE/2585102","Ofsted Social Care Provider Webpage")</f>
        <v>Ofsted Social Care Provider Webpage</v>
      </c>
      <c r="B1228" s="55">
        <v>2585102</v>
      </c>
      <c r="D1228" s="55" t="s">
        <v>373</v>
      </c>
      <c r="E1228" s="74">
        <v>44061</v>
      </c>
      <c r="F1228" s="55" t="s">
        <v>344</v>
      </c>
      <c r="G1228" s="55" t="s">
        <v>360</v>
      </c>
      <c r="H1228" s="55" t="s">
        <v>360</v>
      </c>
      <c r="I1228" s="55" t="s">
        <v>360</v>
      </c>
      <c r="J1228" s="55" t="s">
        <v>360</v>
      </c>
      <c r="K1228" s="55" t="s">
        <v>360</v>
      </c>
      <c r="L1228" s="55" t="s">
        <v>360</v>
      </c>
      <c r="M1228" s="55" t="s">
        <v>150</v>
      </c>
      <c r="N1228" s="55" t="s">
        <v>150</v>
      </c>
      <c r="O1228" s="55" t="s">
        <v>156</v>
      </c>
      <c r="P1228" s="55" t="s">
        <v>1217</v>
      </c>
      <c r="Q1228" s="55" t="s">
        <v>350</v>
      </c>
      <c r="R1228" s="85">
        <v>3</v>
      </c>
      <c r="S1228" s="55">
        <v>0</v>
      </c>
      <c r="T1228" s="74" t="s">
        <v>1799</v>
      </c>
      <c r="U1228" s="74" t="s">
        <v>351</v>
      </c>
      <c r="V1228" s="74">
        <v>44418</v>
      </c>
      <c r="W1228" s="74">
        <v>44455</v>
      </c>
      <c r="X1228" s="55">
        <v>10185121</v>
      </c>
      <c r="Y1228" s="55" t="s">
        <v>130</v>
      </c>
      <c r="AB1228" s="55" t="s">
        <v>130</v>
      </c>
      <c r="AC1228" s="55" t="s">
        <v>146</v>
      </c>
      <c r="AL1228" s="74"/>
      <c r="AM1228" s="74"/>
    </row>
    <row r="1229" spans="1:50" ht="13" x14ac:dyDescent="0.15">
      <c r="A1229" s="55" t="str">
        <f>HYPERLINK("http://reports.ofsted.gov.uk/inspection-reports/find-inspection-report/provider/CARE/2585129","Ofsted Social Care Provider Webpage")</f>
        <v>Ofsted Social Care Provider Webpage</v>
      </c>
      <c r="B1229" s="55">
        <v>2585129</v>
      </c>
      <c r="D1229" s="55" t="s">
        <v>373</v>
      </c>
      <c r="E1229" s="74">
        <v>43957</v>
      </c>
      <c r="F1229" s="55" t="s">
        <v>344</v>
      </c>
      <c r="G1229" s="55" t="s">
        <v>360</v>
      </c>
      <c r="H1229" s="55" t="s">
        <v>360</v>
      </c>
      <c r="I1229" s="55" t="s">
        <v>360</v>
      </c>
      <c r="J1229" s="55" t="s">
        <v>360</v>
      </c>
      <c r="K1229" s="55" t="s">
        <v>360</v>
      </c>
      <c r="L1229" s="55" t="s">
        <v>360</v>
      </c>
      <c r="M1229" s="55" t="s">
        <v>150</v>
      </c>
      <c r="N1229" s="55" t="s">
        <v>150</v>
      </c>
      <c r="O1229" s="55" t="s">
        <v>190</v>
      </c>
      <c r="P1229" s="55" t="s">
        <v>749</v>
      </c>
      <c r="Q1229" s="55" t="s">
        <v>350</v>
      </c>
      <c r="R1229" s="85">
        <v>3</v>
      </c>
      <c r="S1229" s="55">
        <v>0</v>
      </c>
      <c r="T1229" s="74" t="s">
        <v>450</v>
      </c>
      <c r="U1229" s="74" t="s">
        <v>351</v>
      </c>
      <c r="V1229" s="74">
        <v>44355</v>
      </c>
      <c r="W1229" s="74">
        <v>44404</v>
      </c>
      <c r="X1229" s="55">
        <v>10186052</v>
      </c>
      <c r="Y1229" s="55" t="s">
        <v>132</v>
      </c>
      <c r="AB1229" s="74" t="s">
        <v>132</v>
      </c>
      <c r="AC1229" s="55" t="s">
        <v>130</v>
      </c>
      <c r="AL1229" s="74"/>
      <c r="AM1229" s="74"/>
      <c r="AW1229" s="74"/>
      <c r="AX1229" s="74"/>
    </row>
    <row r="1230" spans="1:50" ht="13" x14ac:dyDescent="0.15">
      <c r="A1230" s="55" t="str">
        <f>HYPERLINK("http://reports.ofsted.gov.uk/inspection-reports/find-inspection-report/provider/CARE/2585139","Ofsted Social Care Provider Webpage")</f>
        <v>Ofsted Social Care Provider Webpage</v>
      </c>
      <c r="B1230" s="55">
        <v>2585139</v>
      </c>
      <c r="D1230" s="55" t="s">
        <v>373</v>
      </c>
      <c r="E1230" s="74">
        <v>44004</v>
      </c>
      <c r="F1230" s="55" t="s">
        <v>344</v>
      </c>
      <c r="G1230" s="55" t="s">
        <v>360</v>
      </c>
      <c r="H1230" s="55" t="s">
        <v>360</v>
      </c>
      <c r="I1230" s="55" t="s">
        <v>360</v>
      </c>
      <c r="J1230" s="55" t="s">
        <v>360</v>
      </c>
      <c r="K1230" s="55" t="s">
        <v>360</v>
      </c>
      <c r="L1230" s="55" t="s">
        <v>360</v>
      </c>
      <c r="M1230" s="55" t="s">
        <v>144</v>
      </c>
      <c r="N1230" s="55" t="s">
        <v>144</v>
      </c>
      <c r="O1230" s="55" t="s">
        <v>215</v>
      </c>
      <c r="P1230" s="55" t="s">
        <v>655</v>
      </c>
      <c r="Q1230" s="55" t="s">
        <v>350</v>
      </c>
      <c r="R1230" s="85">
        <v>2</v>
      </c>
      <c r="S1230" s="55">
        <v>0</v>
      </c>
      <c r="T1230" s="74" t="s">
        <v>1560</v>
      </c>
      <c r="U1230" s="74" t="s">
        <v>351</v>
      </c>
      <c r="V1230" s="74">
        <v>44531</v>
      </c>
      <c r="W1230" s="74">
        <v>44574</v>
      </c>
      <c r="X1230" s="55">
        <v>10186297</v>
      </c>
      <c r="Y1230" s="55" t="s">
        <v>132</v>
      </c>
      <c r="AB1230" s="74" t="s">
        <v>132</v>
      </c>
      <c r="AC1230" s="55" t="s">
        <v>132</v>
      </c>
      <c r="AL1230" s="74"/>
      <c r="AM1230" s="74"/>
      <c r="AW1230" s="74"/>
      <c r="AX1230" s="74"/>
    </row>
    <row r="1231" spans="1:50" ht="13" x14ac:dyDescent="0.15">
      <c r="A1231" s="55" t="str">
        <f>HYPERLINK("http://reports.ofsted.gov.uk/inspection-reports/find-inspection-report/provider/CARE/2585362","Ofsted Social Care Provider Webpage")</f>
        <v>Ofsted Social Care Provider Webpage</v>
      </c>
      <c r="B1231" s="55">
        <v>2585362</v>
      </c>
      <c r="D1231" s="55" t="s">
        <v>451</v>
      </c>
      <c r="E1231" s="74">
        <v>43943</v>
      </c>
      <c r="F1231" s="55" t="s">
        <v>344</v>
      </c>
      <c r="G1231" s="55" t="s">
        <v>1800</v>
      </c>
      <c r="H1231" s="55" t="s">
        <v>1801</v>
      </c>
      <c r="I1231" s="55" t="s">
        <v>1802</v>
      </c>
      <c r="J1231" s="55" t="s">
        <v>133</v>
      </c>
      <c r="K1231" s="55" t="s">
        <v>683</v>
      </c>
      <c r="L1231" s="55" t="s">
        <v>1803</v>
      </c>
      <c r="M1231" s="55" t="s">
        <v>378</v>
      </c>
      <c r="N1231" s="55" t="s">
        <v>134</v>
      </c>
      <c r="O1231" s="55" t="s">
        <v>133</v>
      </c>
      <c r="P1231" s="55" t="s">
        <v>1804</v>
      </c>
      <c r="Q1231" s="55" t="s">
        <v>350</v>
      </c>
      <c r="R1231" s="85">
        <v>13</v>
      </c>
      <c r="S1231" s="55">
        <v>0</v>
      </c>
      <c r="T1231" s="74" t="s">
        <v>1259</v>
      </c>
      <c r="U1231" s="74" t="s">
        <v>351</v>
      </c>
      <c r="V1231" s="74">
        <v>44377</v>
      </c>
      <c r="W1231" s="74">
        <v>44421</v>
      </c>
      <c r="X1231" s="55">
        <v>10183233</v>
      </c>
      <c r="Y1231" s="55" t="s">
        <v>132</v>
      </c>
      <c r="AB1231" s="74" t="s">
        <v>132</v>
      </c>
      <c r="AC1231" s="55" t="s">
        <v>132</v>
      </c>
      <c r="AL1231" s="74"/>
      <c r="AM1231" s="74"/>
    </row>
    <row r="1232" spans="1:50" ht="13" x14ac:dyDescent="0.15">
      <c r="A1232" s="55" t="str">
        <f>HYPERLINK("http://reports.ofsted.gov.uk/inspection-reports/find-inspection-report/provider/CARE/2585407","Ofsted Social Care Provider Webpage")</f>
        <v>Ofsted Social Care Provider Webpage</v>
      </c>
      <c r="B1232" s="55">
        <v>2585407</v>
      </c>
      <c r="D1232" s="55" t="s">
        <v>373</v>
      </c>
      <c r="E1232" s="74">
        <v>44021</v>
      </c>
      <c r="F1232" s="55" t="s">
        <v>344</v>
      </c>
      <c r="G1232" s="55" t="s">
        <v>360</v>
      </c>
      <c r="H1232" s="55" t="s">
        <v>360</v>
      </c>
      <c r="I1232" s="55" t="s">
        <v>360</v>
      </c>
      <c r="J1232" s="55" t="s">
        <v>360</v>
      </c>
      <c r="K1232" s="55" t="s">
        <v>360</v>
      </c>
      <c r="L1232" s="55" t="s">
        <v>360</v>
      </c>
      <c r="M1232" s="55" t="s">
        <v>142</v>
      </c>
      <c r="N1232" s="55" t="s">
        <v>142</v>
      </c>
      <c r="O1232" s="55" t="s">
        <v>252</v>
      </c>
      <c r="P1232" s="55" t="s">
        <v>386</v>
      </c>
      <c r="Q1232" s="55" t="s">
        <v>350</v>
      </c>
      <c r="R1232" s="85">
        <v>4</v>
      </c>
      <c r="S1232" s="55">
        <v>0</v>
      </c>
      <c r="T1232" s="74" t="s">
        <v>1805</v>
      </c>
      <c r="U1232" s="74" t="s">
        <v>351</v>
      </c>
      <c r="V1232" s="74">
        <v>44496</v>
      </c>
      <c r="W1232" s="74">
        <v>44537</v>
      </c>
      <c r="X1232" s="55">
        <v>10185093</v>
      </c>
      <c r="Y1232" s="55" t="s">
        <v>132</v>
      </c>
      <c r="AB1232" s="74" t="s">
        <v>132</v>
      </c>
      <c r="AC1232" s="55" t="s">
        <v>132</v>
      </c>
      <c r="AL1232" s="74"/>
      <c r="AM1232" s="74"/>
      <c r="AW1232" s="74"/>
      <c r="AX1232" s="74"/>
    </row>
    <row r="1233" spans="1:50" ht="13" x14ac:dyDescent="0.15">
      <c r="A1233" s="55" t="str">
        <f>HYPERLINK("http://reports.ofsted.gov.uk/inspection-reports/find-inspection-report/provider/CARE/2585541","Ofsted Social Care Provider Webpage")</f>
        <v>Ofsted Social Care Provider Webpage</v>
      </c>
      <c r="B1233" s="55">
        <v>2585541</v>
      </c>
      <c r="D1233" s="55" t="s">
        <v>373</v>
      </c>
      <c r="E1233" s="74">
        <v>43999</v>
      </c>
      <c r="F1233" s="55" t="s">
        <v>728</v>
      </c>
      <c r="G1233" s="55" t="s">
        <v>360</v>
      </c>
      <c r="H1233" s="55" t="s">
        <v>360</v>
      </c>
      <c r="I1233" s="55" t="s">
        <v>360</v>
      </c>
      <c r="J1233" s="55" t="s">
        <v>360</v>
      </c>
      <c r="K1233" s="55" t="s">
        <v>360</v>
      </c>
      <c r="L1233" s="55" t="s">
        <v>360</v>
      </c>
      <c r="M1233" s="55" t="s">
        <v>144</v>
      </c>
      <c r="N1233" s="55" t="s">
        <v>144</v>
      </c>
      <c r="O1233" s="55" t="s">
        <v>207</v>
      </c>
      <c r="P1233" s="55" t="s">
        <v>207</v>
      </c>
      <c r="Q1233" s="55" t="s">
        <v>350</v>
      </c>
      <c r="R1233" s="85">
        <v>2</v>
      </c>
      <c r="S1233" s="55">
        <v>0</v>
      </c>
      <c r="T1233" s="74" t="s">
        <v>729</v>
      </c>
      <c r="U1233" s="74" t="s">
        <v>351</v>
      </c>
      <c r="V1233" s="74">
        <v>44446</v>
      </c>
      <c r="W1233" s="74">
        <v>44498</v>
      </c>
      <c r="X1233" s="55">
        <v>10186235</v>
      </c>
      <c r="Y1233" s="55" t="s">
        <v>146</v>
      </c>
      <c r="AB1233" s="74" t="s">
        <v>146</v>
      </c>
      <c r="AC1233" s="55" t="s">
        <v>146</v>
      </c>
      <c r="AL1233" s="74"/>
      <c r="AM1233" s="74"/>
      <c r="AW1233" s="74"/>
      <c r="AX1233" s="74"/>
    </row>
    <row r="1234" spans="1:50" ht="13" x14ac:dyDescent="0.15">
      <c r="A1234" s="55" t="str">
        <f>HYPERLINK("http://reports.ofsted.gov.uk/inspection-reports/find-inspection-report/provider/CARE/2585541","Ofsted Social Care Provider Webpage")</f>
        <v>Ofsted Social Care Provider Webpage</v>
      </c>
      <c r="B1234" s="55">
        <v>2585541</v>
      </c>
      <c r="D1234" s="55" t="s">
        <v>373</v>
      </c>
      <c r="E1234" s="74">
        <v>43999</v>
      </c>
      <c r="F1234" s="55" t="s">
        <v>728</v>
      </c>
      <c r="G1234" s="55" t="s">
        <v>360</v>
      </c>
      <c r="H1234" s="55" t="s">
        <v>360</v>
      </c>
      <c r="I1234" s="55" t="s">
        <v>360</v>
      </c>
      <c r="J1234" s="55" t="s">
        <v>360</v>
      </c>
      <c r="K1234" s="55" t="s">
        <v>360</v>
      </c>
      <c r="L1234" s="55" t="s">
        <v>360</v>
      </c>
      <c r="M1234" s="55" t="s">
        <v>144</v>
      </c>
      <c r="N1234" s="55" t="s">
        <v>144</v>
      </c>
      <c r="O1234" s="55" t="s">
        <v>207</v>
      </c>
      <c r="P1234" s="55" t="s">
        <v>207</v>
      </c>
      <c r="Q1234" s="55" t="s">
        <v>350</v>
      </c>
      <c r="R1234" s="85">
        <v>2</v>
      </c>
      <c r="S1234" s="55">
        <v>0</v>
      </c>
      <c r="T1234" s="74" t="s">
        <v>729</v>
      </c>
      <c r="U1234" s="74" t="s">
        <v>2053</v>
      </c>
      <c r="V1234" s="74">
        <v>44608</v>
      </c>
      <c r="W1234" s="74">
        <v>44651</v>
      </c>
      <c r="X1234" s="55">
        <v>10220852</v>
      </c>
      <c r="AL1234" s="74"/>
      <c r="AM1234" s="74"/>
      <c r="AW1234" s="74"/>
      <c r="AX1234" s="74"/>
    </row>
    <row r="1235" spans="1:50" ht="13" x14ac:dyDescent="0.15">
      <c r="A1235" s="55" t="str">
        <f>HYPERLINK("http://reports.ofsted.gov.uk/inspection-reports/find-inspection-report/provider/CARE/2585541","Ofsted Social Care Provider Webpage")</f>
        <v>Ofsted Social Care Provider Webpage</v>
      </c>
      <c r="B1235" s="55">
        <v>2585541</v>
      </c>
      <c r="D1235" s="55" t="s">
        <v>373</v>
      </c>
      <c r="E1235" s="74">
        <v>43999</v>
      </c>
      <c r="F1235" s="55" t="s">
        <v>728</v>
      </c>
      <c r="G1235" s="55" t="s">
        <v>360</v>
      </c>
      <c r="H1235" s="55" t="s">
        <v>360</v>
      </c>
      <c r="I1235" s="55" t="s">
        <v>360</v>
      </c>
      <c r="J1235" s="55" t="s">
        <v>360</v>
      </c>
      <c r="K1235" s="55" t="s">
        <v>360</v>
      </c>
      <c r="L1235" s="55" t="s">
        <v>360</v>
      </c>
      <c r="M1235" s="55" t="s">
        <v>144</v>
      </c>
      <c r="N1235" s="55" t="s">
        <v>144</v>
      </c>
      <c r="O1235" s="55" t="s">
        <v>207</v>
      </c>
      <c r="P1235" s="55" t="s">
        <v>207</v>
      </c>
      <c r="Q1235" s="55" t="s">
        <v>350</v>
      </c>
      <c r="R1235" s="85">
        <v>2</v>
      </c>
      <c r="S1235" s="55">
        <v>0</v>
      </c>
      <c r="T1235" s="74" t="s">
        <v>729</v>
      </c>
      <c r="U1235" s="74" t="s">
        <v>2053</v>
      </c>
      <c r="V1235" s="74">
        <v>44489</v>
      </c>
      <c r="W1235" s="74">
        <v>44531</v>
      </c>
      <c r="X1235" s="55">
        <v>10210514</v>
      </c>
      <c r="AL1235" s="74"/>
      <c r="AM1235" s="74"/>
      <c r="AW1235" s="74"/>
      <c r="AX1235" s="74"/>
    </row>
    <row r="1236" spans="1:50" ht="13" x14ac:dyDescent="0.15">
      <c r="A1236" s="55" t="str">
        <f>HYPERLINK("http://reports.ofsted.gov.uk/inspection-reports/find-inspection-report/provider/CARE/2585541","Ofsted Social Care Provider Webpage")</f>
        <v>Ofsted Social Care Provider Webpage</v>
      </c>
      <c r="B1236" s="55">
        <v>2585541</v>
      </c>
      <c r="D1236" s="55" t="s">
        <v>373</v>
      </c>
      <c r="E1236" s="74">
        <v>43999</v>
      </c>
      <c r="F1236" s="55" t="s">
        <v>728</v>
      </c>
      <c r="G1236" s="55" t="s">
        <v>360</v>
      </c>
      <c r="H1236" s="55" t="s">
        <v>360</v>
      </c>
      <c r="I1236" s="55" t="s">
        <v>360</v>
      </c>
      <c r="J1236" s="55" t="s">
        <v>360</v>
      </c>
      <c r="K1236" s="55" t="s">
        <v>360</v>
      </c>
      <c r="L1236" s="55" t="s">
        <v>360</v>
      </c>
      <c r="M1236" s="55" t="s">
        <v>144</v>
      </c>
      <c r="N1236" s="55" t="s">
        <v>144</v>
      </c>
      <c r="O1236" s="55" t="s">
        <v>207</v>
      </c>
      <c r="P1236" s="55" t="s">
        <v>207</v>
      </c>
      <c r="Q1236" s="55" t="s">
        <v>350</v>
      </c>
      <c r="R1236" s="85">
        <v>2</v>
      </c>
      <c r="S1236" s="55">
        <v>0</v>
      </c>
      <c r="T1236" s="74" t="s">
        <v>729</v>
      </c>
      <c r="U1236" s="74" t="s">
        <v>2053</v>
      </c>
      <c r="V1236" s="74">
        <v>44579</v>
      </c>
      <c r="W1236" s="74">
        <v>44607</v>
      </c>
      <c r="X1236" s="55">
        <v>10219616</v>
      </c>
      <c r="AL1236" s="74"/>
      <c r="AM1236" s="74"/>
      <c r="AW1236" s="74"/>
      <c r="AX1236" s="74"/>
    </row>
    <row r="1237" spans="1:50" ht="13" x14ac:dyDescent="0.15">
      <c r="A1237" s="55" t="str">
        <f>HYPERLINK("http://reports.ofsted.gov.uk/inspection-reports/find-inspection-report/provider/CARE/2585541","Ofsted Social Care Provider Webpage")</f>
        <v>Ofsted Social Care Provider Webpage</v>
      </c>
      <c r="B1237" s="55">
        <v>2585541</v>
      </c>
      <c r="D1237" s="55" t="s">
        <v>373</v>
      </c>
      <c r="E1237" s="74">
        <v>43999</v>
      </c>
      <c r="F1237" s="55" t="s">
        <v>728</v>
      </c>
      <c r="G1237" s="55" t="s">
        <v>360</v>
      </c>
      <c r="H1237" s="55" t="s">
        <v>360</v>
      </c>
      <c r="I1237" s="55" t="s">
        <v>360</v>
      </c>
      <c r="J1237" s="55" t="s">
        <v>360</v>
      </c>
      <c r="K1237" s="55" t="s">
        <v>360</v>
      </c>
      <c r="L1237" s="55" t="s">
        <v>360</v>
      </c>
      <c r="M1237" s="55" t="s">
        <v>144</v>
      </c>
      <c r="N1237" s="55" t="s">
        <v>144</v>
      </c>
      <c r="O1237" s="55" t="s">
        <v>207</v>
      </c>
      <c r="P1237" s="55" t="s">
        <v>207</v>
      </c>
      <c r="Q1237" s="55" t="s">
        <v>350</v>
      </c>
      <c r="R1237" s="85">
        <v>2</v>
      </c>
      <c r="S1237" s="55">
        <v>0</v>
      </c>
      <c r="T1237" s="74" t="s">
        <v>729</v>
      </c>
      <c r="U1237" s="74" t="s">
        <v>2053</v>
      </c>
      <c r="V1237" s="74">
        <v>44524</v>
      </c>
      <c r="W1237" s="74">
        <v>44565</v>
      </c>
      <c r="X1237" s="55">
        <v>10216201</v>
      </c>
      <c r="AL1237" s="74"/>
      <c r="AM1237" s="74"/>
      <c r="AW1237" s="74"/>
      <c r="AX1237" s="74"/>
    </row>
    <row r="1238" spans="1:50" ht="13" x14ac:dyDescent="0.15">
      <c r="A1238" s="55" t="str">
        <f>HYPERLINK("http://reports.ofsted.gov.uk/inspection-reports/find-inspection-report/provider/CARE/2585564","Ofsted Social Care Provider Webpage")</f>
        <v>Ofsted Social Care Provider Webpage</v>
      </c>
      <c r="B1238" s="55">
        <v>2585564</v>
      </c>
      <c r="D1238" s="55" t="s">
        <v>443</v>
      </c>
      <c r="E1238" s="74">
        <v>44092</v>
      </c>
      <c r="F1238" s="55" t="s">
        <v>344</v>
      </c>
      <c r="G1238" s="55" t="s">
        <v>1806</v>
      </c>
      <c r="H1238" s="55" t="s">
        <v>1781</v>
      </c>
      <c r="I1238" s="55" t="s">
        <v>1807</v>
      </c>
      <c r="J1238" s="55" t="s">
        <v>1808</v>
      </c>
      <c r="K1238" s="55" t="s">
        <v>285</v>
      </c>
      <c r="L1238" s="55" t="s">
        <v>1809</v>
      </c>
      <c r="M1238" s="55" t="s">
        <v>150</v>
      </c>
      <c r="N1238" s="55" t="s">
        <v>150</v>
      </c>
      <c r="O1238" s="55" t="s">
        <v>285</v>
      </c>
      <c r="P1238" s="55" t="s">
        <v>1810</v>
      </c>
      <c r="Q1238" s="55" t="s">
        <v>350</v>
      </c>
      <c r="S1238" s="55">
        <v>0</v>
      </c>
      <c r="T1238" s="74" t="s">
        <v>1811</v>
      </c>
      <c r="U1238" s="74" t="s">
        <v>351</v>
      </c>
      <c r="V1238" s="74">
        <v>44530</v>
      </c>
      <c r="W1238" s="74">
        <v>44609</v>
      </c>
      <c r="X1238" s="55">
        <v>10183225</v>
      </c>
      <c r="Y1238" s="55" t="s">
        <v>132</v>
      </c>
      <c r="AB1238" s="74" t="s">
        <v>132</v>
      </c>
      <c r="AC1238" s="55" t="s">
        <v>132</v>
      </c>
      <c r="AL1238" s="74"/>
      <c r="AM1238" s="74"/>
      <c r="AW1238" s="74"/>
      <c r="AX1238" s="74"/>
    </row>
    <row r="1239" spans="1:50" ht="13" x14ac:dyDescent="0.15">
      <c r="A1239" s="55" t="str">
        <f>HYPERLINK("http://reports.ofsted.gov.uk/inspection-reports/find-inspection-report/provider/CARE/2585926","Ofsted Social Care Provider Webpage")</f>
        <v>Ofsted Social Care Provider Webpage</v>
      </c>
      <c r="B1239" s="55">
        <v>2585926</v>
      </c>
      <c r="D1239" s="55" t="s">
        <v>373</v>
      </c>
      <c r="E1239" s="74">
        <v>43977</v>
      </c>
      <c r="F1239" s="55" t="s">
        <v>344</v>
      </c>
      <c r="G1239" s="55" t="s">
        <v>360</v>
      </c>
      <c r="H1239" s="55" t="s">
        <v>360</v>
      </c>
      <c r="I1239" s="55" t="s">
        <v>360</v>
      </c>
      <c r="J1239" s="55" t="s">
        <v>360</v>
      </c>
      <c r="K1239" s="55" t="s">
        <v>360</v>
      </c>
      <c r="L1239" s="55" t="s">
        <v>360</v>
      </c>
      <c r="M1239" s="55" t="s">
        <v>378</v>
      </c>
      <c r="N1239" s="55" t="s">
        <v>170</v>
      </c>
      <c r="O1239" s="55" t="s">
        <v>267</v>
      </c>
      <c r="P1239" s="55" t="s">
        <v>972</v>
      </c>
      <c r="Q1239" s="55" t="s">
        <v>350</v>
      </c>
      <c r="R1239" s="85">
        <v>7</v>
      </c>
      <c r="S1239" s="55">
        <v>0</v>
      </c>
      <c r="T1239" s="74" t="s">
        <v>435</v>
      </c>
      <c r="U1239" s="74" t="s">
        <v>351</v>
      </c>
      <c r="V1239" s="74">
        <v>44495</v>
      </c>
      <c r="W1239" s="74">
        <v>44538</v>
      </c>
      <c r="X1239" s="55">
        <v>10185745</v>
      </c>
      <c r="Y1239" s="55" t="s">
        <v>132</v>
      </c>
      <c r="AB1239" s="74" t="s">
        <v>132</v>
      </c>
      <c r="AC1239" s="55" t="s">
        <v>132</v>
      </c>
      <c r="AL1239" s="74"/>
      <c r="AM1239" s="74"/>
    </row>
    <row r="1240" spans="1:50" ht="13" x14ac:dyDescent="0.15">
      <c r="A1240" s="55" t="str">
        <f>HYPERLINK("http://reports.ofsted.gov.uk/inspection-reports/find-inspection-report/provider/CARE/2586067","Ofsted Social Care Provider Webpage")</f>
        <v>Ofsted Social Care Provider Webpage</v>
      </c>
      <c r="B1240" s="55">
        <v>2586067</v>
      </c>
      <c r="D1240" s="55" t="s">
        <v>373</v>
      </c>
      <c r="E1240" s="74">
        <v>43941</v>
      </c>
      <c r="F1240" s="55" t="s">
        <v>344</v>
      </c>
      <c r="G1240" s="55" t="s">
        <v>360</v>
      </c>
      <c r="H1240" s="55" t="s">
        <v>360</v>
      </c>
      <c r="I1240" s="55" t="s">
        <v>360</v>
      </c>
      <c r="J1240" s="55" t="s">
        <v>360</v>
      </c>
      <c r="K1240" s="55" t="s">
        <v>360</v>
      </c>
      <c r="L1240" s="55" t="s">
        <v>360</v>
      </c>
      <c r="M1240" s="55" t="s">
        <v>142</v>
      </c>
      <c r="N1240" s="55" t="s">
        <v>142</v>
      </c>
      <c r="O1240" s="55" t="s">
        <v>282</v>
      </c>
      <c r="P1240" s="55" t="s">
        <v>1812</v>
      </c>
      <c r="Q1240" s="55" t="s">
        <v>350</v>
      </c>
      <c r="R1240" s="85">
        <v>5</v>
      </c>
      <c r="S1240" s="55">
        <v>0</v>
      </c>
      <c r="T1240" s="74" t="s">
        <v>1813</v>
      </c>
      <c r="U1240" s="74" t="s">
        <v>6703</v>
      </c>
      <c r="V1240" s="74">
        <v>44593</v>
      </c>
      <c r="W1240" s="74">
        <v>44628</v>
      </c>
      <c r="X1240" s="55">
        <v>10217207</v>
      </c>
      <c r="Y1240" s="55" t="s">
        <v>6706</v>
      </c>
      <c r="AL1240" s="74"/>
      <c r="AM1240" s="74"/>
      <c r="AW1240" s="74"/>
      <c r="AX1240" s="74"/>
    </row>
    <row r="1241" spans="1:50" ht="13" x14ac:dyDescent="0.15">
      <c r="A1241" s="55" t="str">
        <f>HYPERLINK("http://reports.ofsted.gov.uk/inspection-reports/find-inspection-report/provider/CARE/2586067","Ofsted Social Care Provider Webpage")</f>
        <v>Ofsted Social Care Provider Webpage</v>
      </c>
      <c r="B1241" s="55">
        <v>2586067</v>
      </c>
      <c r="D1241" s="55" t="s">
        <v>373</v>
      </c>
      <c r="E1241" s="74">
        <v>43941</v>
      </c>
      <c r="F1241" s="55" t="s">
        <v>344</v>
      </c>
      <c r="G1241" s="55" t="s">
        <v>360</v>
      </c>
      <c r="H1241" s="55" t="s">
        <v>360</v>
      </c>
      <c r="I1241" s="55" t="s">
        <v>360</v>
      </c>
      <c r="J1241" s="55" t="s">
        <v>360</v>
      </c>
      <c r="K1241" s="55" t="s">
        <v>360</v>
      </c>
      <c r="L1241" s="55" t="s">
        <v>360</v>
      </c>
      <c r="M1241" s="55" t="s">
        <v>142</v>
      </c>
      <c r="N1241" s="55" t="s">
        <v>142</v>
      </c>
      <c r="O1241" s="55" t="s">
        <v>282</v>
      </c>
      <c r="P1241" s="55" t="s">
        <v>1812</v>
      </c>
      <c r="Q1241" s="55" t="s">
        <v>350</v>
      </c>
      <c r="R1241" s="85">
        <v>5</v>
      </c>
      <c r="S1241" s="55">
        <v>0</v>
      </c>
      <c r="T1241" s="74" t="s">
        <v>1813</v>
      </c>
      <c r="U1241" s="74" t="s">
        <v>351</v>
      </c>
      <c r="V1241" s="74">
        <v>44356</v>
      </c>
      <c r="W1241" s="74">
        <v>44385</v>
      </c>
      <c r="X1241" s="55">
        <v>10185389</v>
      </c>
      <c r="Y1241" s="55" t="s">
        <v>130</v>
      </c>
      <c r="AB1241" s="74" t="s">
        <v>132</v>
      </c>
      <c r="AC1241" s="55" t="s">
        <v>130</v>
      </c>
      <c r="AL1241" s="74"/>
      <c r="AM1241" s="74"/>
      <c r="AW1241" s="74"/>
      <c r="AX1241" s="74"/>
    </row>
    <row r="1242" spans="1:50" ht="13" x14ac:dyDescent="0.15">
      <c r="A1242" s="55" t="str">
        <f>HYPERLINK("http://reports.ofsted.gov.uk/inspection-reports/find-inspection-report/provider/CARE/2586729","Ofsted Social Care Provider Webpage")</f>
        <v>Ofsted Social Care Provider Webpage</v>
      </c>
      <c r="B1242" s="55">
        <v>2586729</v>
      </c>
      <c r="D1242" s="55" t="s">
        <v>389</v>
      </c>
      <c r="E1242" s="74">
        <v>43962</v>
      </c>
      <c r="F1242" s="55" t="s">
        <v>344</v>
      </c>
      <c r="G1242" s="55" t="s">
        <v>1814</v>
      </c>
      <c r="H1242" s="55" t="s">
        <v>1815</v>
      </c>
      <c r="I1242" s="55" t="s">
        <v>354</v>
      </c>
      <c r="J1242" s="55" t="s">
        <v>157</v>
      </c>
      <c r="L1242" s="55" t="s">
        <v>1816</v>
      </c>
      <c r="M1242" s="55" t="s">
        <v>144</v>
      </c>
      <c r="N1242" s="55" t="s">
        <v>144</v>
      </c>
      <c r="O1242" s="55" t="s">
        <v>157</v>
      </c>
      <c r="P1242" s="55" t="s">
        <v>1092</v>
      </c>
      <c r="Q1242" s="55" t="s">
        <v>350</v>
      </c>
      <c r="S1242" s="55">
        <v>0</v>
      </c>
      <c r="T1242" s="74" t="s">
        <v>1817</v>
      </c>
      <c r="U1242" s="74" t="s">
        <v>351</v>
      </c>
      <c r="V1242" s="74">
        <v>44340</v>
      </c>
      <c r="W1242" s="74">
        <v>44379</v>
      </c>
      <c r="X1242" s="55">
        <v>10183198</v>
      </c>
      <c r="Y1242" s="55" t="s">
        <v>132</v>
      </c>
      <c r="AB1242" s="74" t="s">
        <v>132</v>
      </c>
      <c r="AC1242" s="55" t="s">
        <v>130</v>
      </c>
      <c r="AL1242" s="74"/>
      <c r="AM1242" s="74"/>
      <c r="AW1242" s="74"/>
      <c r="AX1242" s="74"/>
    </row>
    <row r="1243" spans="1:50" ht="13" x14ac:dyDescent="0.15">
      <c r="A1243" s="55" t="str">
        <f>HYPERLINK("http://reports.ofsted.gov.uk/inspection-reports/find-inspection-report/provider/CARE/2586752","Ofsted Social Care Provider Webpage")</f>
        <v>Ofsted Social Care Provider Webpage</v>
      </c>
      <c r="B1243" s="55">
        <v>2586752</v>
      </c>
      <c r="D1243" s="55" t="s">
        <v>373</v>
      </c>
      <c r="E1243" s="74">
        <v>44166</v>
      </c>
      <c r="F1243" s="55" t="s">
        <v>344</v>
      </c>
      <c r="G1243" s="55" t="s">
        <v>360</v>
      </c>
      <c r="H1243" s="55" t="s">
        <v>360</v>
      </c>
      <c r="I1243" s="55" t="s">
        <v>360</v>
      </c>
      <c r="J1243" s="55" t="s">
        <v>360</v>
      </c>
      <c r="K1243" s="55" t="s">
        <v>360</v>
      </c>
      <c r="L1243" s="55" t="s">
        <v>360</v>
      </c>
      <c r="M1243" s="55" t="s">
        <v>136</v>
      </c>
      <c r="N1243" s="55" t="s">
        <v>136</v>
      </c>
      <c r="O1243" s="55" t="s">
        <v>154</v>
      </c>
      <c r="P1243" s="55" t="s">
        <v>1818</v>
      </c>
      <c r="Q1243" s="55" t="s">
        <v>380</v>
      </c>
      <c r="R1243" s="85">
        <v>2</v>
      </c>
      <c r="S1243" s="55">
        <v>0</v>
      </c>
      <c r="T1243" s="74" t="s">
        <v>1687</v>
      </c>
      <c r="U1243" s="74" t="s">
        <v>351</v>
      </c>
      <c r="V1243" s="74">
        <v>44517</v>
      </c>
      <c r="W1243" s="74">
        <v>44553</v>
      </c>
      <c r="X1243" s="55">
        <v>10185274</v>
      </c>
      <c r="Y1243" s="55" t="s">
        <v>132</v>
      </c>
      <c r="AB1243" s="74" t="s">
        <v>132</v>
      </c>
      <c r="AC1243" s="55" t="s">
        <v>130</v>
      </c>
      <c r="AL1243" s="74"/>
      <c r="AM1243" s="74"/>
      <c r="AW1243" s="74"/>
      <c r="AX1243" s="74"/>
    </row>
    <row r="1244" spans="1:50" ht="13" x14ac:dyDescent="0.15">
      <c r="A1244" s="55" t="str">
        <f>HYPERLINK("http://reports.ofsted.gov.uk/inspection-reports/find-inspection-report/provider/CARE/2586943","Ofsted Social Care Provider Webpage")</f>
        <v>Ofsted Social Care Provider Webpage</v>
      </c>
      <c r="B1244" s="55">
        <v>2586943</v>
      </c>
      <c r="D1244" s="55" t="s">
        <v>373</v>
      </c>
      <c r="E1244" s="74">
        <v>44004</v>
      </c>
      <c r="F1244" s="55" t="s">
        <v>344</v>
      </c>
      <c r="G1244" s="55" t="s">
        <v>360</v>
      </c>
      <c r="H1244" s="55" t="s">
        <v>360</v>
      </c>
      <c r="I1244" s="55" t="s">
        <v>360</v>
      </c>
      <c r="J1244" s="55" t="s">
        <v>360</v>
      </c>
      <c r="K1244" s="55" t="s">
        <v>360</v>
      </c>
      <c r="L1244" s="55" t="s">
        <v>360</v>
      </c>
      <c r="M1244" s="55" t="s">
        <v>142</v>
      </c>
      <c r="N1244" s="55" t="s">
        <v>142</v>
      </c>
      <c r="O1244" s="55" t="s">
        <v>262</v>
      </c>
      <c r="P1244" s="55" t="s">
        <v>692</v>
      </c>
      <c r="Q1244" s="55" t="s">
        <v>350</v>
      </c>
      <c r="R1244" s="85">
        <v>4</v>
      </c>
      <c r="S1244" s="55">
        <v>0</v>
      </c>
      <c r="T1244" s="74" t="s">
        <v>489</v>
      </c>
      <c r="U1244" s="74" t="s">
        <v>351</v>
      </c>
      <c r="V1244" s="74">
        <v>44363</v>
      </c>
      <c r="W1244" s="74">
        <v>44392</v>
      </c>
      <c r="X1244" s="55">
        <v>10186142</v>
      </c>
      <c r="Y1244" s="55" t="s">
        <v>132</v>
      </c>
      <c r="AB1244" s="74" t="s">
        <v>132</v>
      </c>
      <c r="AC1244" s="55" t="s">
        <v>132</v>
      </c>
      <c r="AL1244" s="74"/>
      <c r="AM1244" s="74"/>
      <c r="AW1244" s="74"/>
      <c r="AX1244" s="74"/>
    </row>
    <row r="1245" spans="1:50" ht="13" x14ac:dyDescent="0.15">
      <c r="A1245" s="55" t="str">
        <f>HYPERLINK("http://reports.ofsted.gov.uk/inspection-reports/find-inspection-report/provider/CARE/2586947","Ofsted Social Care Provider Webpage")</f>
        <v>Ofsted Social Care Provider Webpage</v>
      </c>
      <c r="B1245" s="55">
        <v>2586947</v>
      </c>
      <c r="D1245" s="55" t="s">
        <v>373</v>
      </c>
      <c r="E1245" s="74">
        <v>44015</v>
      </c>
      <c r="F1245" s="55" t="s">
        <v>344</v>
      </c>
      <c r="G1245" s="55" t="s">
        <v>360</v>
      </c>
      <c r="H1245" s="55" t="s">
        <v>360</v>
      </c>
      <c r="I1245" s="55" t="s">
        <v>360</v>
      </c>
      <c r="J1245" s="55" t="s">
        <v>360</v>
      </c>
      <c r="K1245" s="55" t="s">
        <v>360</v>
      </c>
      <c r="L1245" s="55" t="s">
        <v>360</v>
      </c>
      <c r="M1245" s="55" t="s">
        <v>142</v>
      </c>
      <c r="N1245" s="55" t="s">
        <v>142</v>
      </c>
      <c r="O1245" s="55" t="s">
        <v>141</v>
      </c>
      <c r="P1245" s="55" t="s">
        <v>795</v>
      </c>
      <c r="Q1245" s="55" t="s">
        <v>350</v>
      </c>
      <c r="R1245" s="85">
        <v>3</v>
      </c>
      <c r="S1245" s="55">
        <v>0</v>
      </c>
      <c r="T1245" s="74" t="s">
        <v>1364</v>
      </c>
      <c r="U1245" s="74" t="s">
        <v>351</v>
      </c>
      <c r="V1245" s="74">
        <v>44431</v>
      </c>
      <c r="W1245" s="74">
        <v>44466</v>
      </c>
      <c r="X1245" s="55">
        <v>10187104</v>
      </c>
      <c r="Y1245" s="55" t="s">
        <v>132</v>
      </c>
      <c r="AB1245" s="74" t="s">
        <v>132</v>
      </c>
      <c r="AC1245" s="55" t="s">
        <v>132</v>
      </c>
      <c r="AL1245" s="74"/>
      <c r="AM1245" s="74"/>
      <c r="AW1245" s="74"/>
      <c r="AX1245" s="74"/>
    </row>
    <row r="1246" spans="1:50" ht="13" x14ac:dyDescent="0.15">
      <c r="A1246" s="55" t="str">
        <f>HYPERLINK("http://reports.ofsted.gov.uk/inspection-reports/find-inspection-report/provider/CARE/2586949","Ofsted Social Care Provider Webpage")</f>
        <v>Ofsted Social Care Provider Webpage</v>
      </c>
      <c r="B1246" s="55">
        <v>2586949</v>
      </c>
      <c r="D1246" s="55" t="s">
        <v>373</v>
      </c>
      <c r="E1246" s="74">
        <v>43951</v>
      </c>
      <c r="F1246" s="55" t="s">
        <v>344</v>
      </c>
      <c r="G1246" s="55" t="s">
        <v>360</v>
      </c>
      <c r="H1246" s="55" t="s">
        <v>360</v>
      </c>
      <c r="I1246" s="55" t="s">
        <v>360</v>
      </c>
      <c r="J1246" s="55" t="s">
        <v>360</v>
      </c>
      <c r="K1246" s="55" t="s">
        <v>360</v>
      </c>
      <c r="L1246" s="55" t="s">
        <v>360</v>
      </c>
      <c r="M1246" s="55" t="s">
        <v>144</v>
      </c>
      <c r="N1246" s="55" t="s">
        <v>144</v>
      </c>
      <c r="O1246" s="55" t="s">
        <v>209</v>
      </c>
      <c r="P1246" s="55" t="s">
        <v>650</v>
      </c>
      <c r="Q1246" s="55" t="s">
        <v>350</v>
      </c>
      <c r="R1246" s="85">
        <v>3</v>
      </c>
      <c r="S1246" s="55">
        <v>0</v>
      </c>
      <c r="T1246" s="74" t="s">
        <v>489</v>
      </c>
      <c r="U1246" s="74" t="s">
        <v>351</v>
      </c>
      <c r="V1246" s="74">
        <v>44615</v>
      </c>
      <c r="W1246" s="74">
        <v>44658</v>
      </c>
      <c r="X1246" s="55">
        <v>10186672</v>
      </c>
      <c r="Y1246" s="55" t="s">
        <v>132</v>
      </c>
      <c r="AB1246" s="74" t="s">
        <v>132</v>
      </c>
      <c r="AC1246" s="55" t="s">
        <v>132</v>
      </c>
      <c r="AL1246" s="74"/>
      <c r="AM1246" s="74"/>
    </row>
    <row r="1247" spans="1:50" ht="13" x14ac:dyDescent="0.15">
      <c r="A1247" s="55" t="str">
        <f>HYPERLINK("http://reports.ofsted.gov.uk/inspection-reports/find-inspection-report/provider/CARE/2586951","Ofsted Social Care Provider Webpage")</f>
        <v>Ofsted Social Care Provider Webpage</v>
      </c>
      <c r="B1247" s="55">
        <v>2586951</v>
      </c>
      <c r="D1247" s="55" t="s">
        <v>373</v>
      </c>
      <c r="E1247" s="74">
        <v>43952</v>
      </c>
      <c r="F1247" s="55" t="s">
        <v>344</v>
      </c>
      <c r="G1247" s="55" t="s">
        <v>360</v>
      </c>
      <c r="H1247" s="55" t="s">
        <v>360</v>
      </c>
      <c r="I1247" s="55" t="s">
        <v>360</v>
      </c>
      <c r="J1247" s="55" t="s">
        <v>360</v>
      </c>
      <c r="K1247" s="55" t="s">
        <v>360</v>
      </c>
      <c r="L1247" s="55" t="s">
        <v>360</v>
      </c>
      <c r="M1247" s="55" t="s">
        <v>144</v>
      </c>
      <c r="N1247" s="55" t="s">
        <v>144</v>
      </c>
      <c r="O1247" s="55" t="s">
        <v>248</v>
      </c>
      <c r="P1247" s="55" t="s">
        <v>439</v>
      </c>
      <c r="Q1247" s="55" t="s">
        <v>350</v>
      </c>
      <c r="R1247" s="85">
        <v>3</v>
      </c>
      <c r="S1247" s="55">
        <v>0</v>
      </c>
      <c r="T1247" s="74" t="s">
        <v>489</v>
      </c>
      <c r="U1247" s="74" t="s">
        <v>351</v>
      </c>
      <c r="V1247" s="74">
        <v>44341</v>
      </c>
      <c r="W1247" s="74">
        <v>44376</v>
      </c>
      <c r="X1247" s="55">
        <v>10186847</v>
      </c>
      <c r="Y1247" s="55" t="s">
        <v>132</v>
      </c>
      <c r="AB1247" s="74" t="s">
        <v>132</v>
      </c>
      <c r="AC1247" s="55" t="s">
        <v>132</v>
      </c>
      <c r="AL1247" s="74"/>
      <c r="AM1247" s="74"/>
      <c r="AW1247" s="74"/>
      <c r="AX1247" s="74"/>
    </row>
    <row r="1248" spans="1:50" ht="13" x14ac:dyDescent="0.15">
      <c r="A1248" s="55" t="str">
        <f>HYPERLINK("http://reports.ofsted.gov.uk/inspection-reports/find-inspection-report/provider/CARE/2586969","Ofsted Social Care Provider Webpage")</f>
        <v>Ofsted Social Care Provider Webpage</v>
      </c>
      <c r="B1248" s="55">
        <v>2586969</v>
      </c>
      <c r="D1248" s="55" t="s">
        <v>373</v>
      </c>
      <c r="E1248" s="74">
        <v>43944</v>
      </c>
      <c r="F1248" s="55" t="s">
        <v>344</v>
      </c>
      <c r="G1248" s="55" t="s">
        <v>360</v>
      </c>
      <c r="H1248" s="55" t="s">
        <v>360</v>
      </c>
      <c r="I1248" s="55" t="s">
        <v>360</v>
      </c>
      <c r="J1248" s="55" t="s">
        <v>360</v>
      </c>
      <c r="K1248" s="55" t="s">
        <v>360</v>
      </c>
      <c r="L1248" s="55" t="s">
        <v>360</v>
      </c>
      <c r="M1248" s="55" t="s">
        <v>172</v>
      </c>
      <c r="N1248" s="55" t="s">
        <v>172</v>
      </c>
      <c r="O1248" s="55" t="s">
        <v>235</v>
      </c>
      <c r="P1248" s="55" t="s">
        <v>1036</v>
      </c>
      <c r="Q1248" s="55" t="s">
        <v>350</v>
      </c>
      <c r="R1248" s="85">
        <v>1</v>
      </c>
      <c r="S1248" s="55">
        <v>0</v>
      </c>
      <c r="T1248" s="74" t="s">
        <v>1819</v>
      </c>
      <c r="U1248" s="74" t="s">
        <v>351</v>
      </c>
      <c r="V1248" s="74">
        <v>44321</v>
      </c>
      <c r="W1248" s="74">
        <v>44351</v>
      </c>
      <c r="X1248" s="55">
        <v>10186281</v>
      </c>
      <c r="Y1248" s="55" t="s">
        <v>132</v>
      </c>
      <c r="AB1248" s="74" t="s">
        <v>132</v>
      </c>
      <c r="AC1248" s="55" t="s">
        <v>132</v>
      </c>
      <c r="AL1248" s="74"/>
      <c r="AM1248" s="74"/>
      <c r="AW1248" s="74"/>
      <c r="AX1248" s="74"/>
    </row>
    <row r="1249" spans="1:50" ht="13" x14ac:dyDescent="0.15">
      <c r="A1249" s="55" t="str">
        <f>HYPERLINK("http://reports.ofsted.gov.uk/inspection-reports/find-inspection-report/provider/CARE/2587047","Ofsted Social Care Provider Webpage")</f>
        <v>Ofsted Social Care Provider Webpage</v>
      </c>
      <c r="B1249" s="55">
        <v>2587047</v>
      </c>
      <c r="D1249" s="55" t="s">
        <v>373</v>
      </c>
      <c r="E1249" s="74">
        <v>43977</v>
      </c>
      <c r="F1249" s="55" t="s">
        <v>344</v>
      </c>
      <c r="G1249" s="55" t="s">
        <v>360</v>
      </c>
      <c r="H1249" s="55" t="s">
        <v>360</v>
      </c>
      <c r="I1249" s="55" t="s">
        <v>360</v>
      </c>
      <c r="J1249" s="55" t="s">
        <v>360</v>
      </c>
      <c r="K1249" s="55" t="s">
        <v>360</v>
      </c>
      <c r="L1249" s="55" t="s">
        <v>360</v>
      </c>
      <c r="M1249" s="55" t="s">
        <v>144</v>
      </c>
      <c r="N1249" s="55" t="s">
        <v>144</v>
      </c>
      <c r="O1249" s="55" t="s">
        <v>162</v>
      </c>
      <c r="P1249" s="55" t="s">
        <v>516</v>
      </c>
      <c r="Q1249" s="55" t="s">
        <v>350</v>
      </c>
      <c r="R1249" s="85">
        <v>7</v>
      </c>
      <c r="S1249" s="55">
        <v>0</v>
      </c>
      <c r="T1249" s="74" t="s">
        <v>574</v>
      </c>
      <c r="U1249" s="74" t="s">
        <v>351</v>
      </c>
      <c r="V1249" s="74">
        <v>44621</v>
      </c>
      <c r="W1249" s="74">
        <v>44665</v>
      </c>
      <c r="X1249" s="55">
        <v>10186320</v>
      </c>
      <c r="Y1249" s="55" t="s">
        <v>140</v>
      </c>
      <c r="AB1249" s="74" t="s">
        <v>140</v>
      </c>
      <c r="AC1249" s="55" t="s">
        <v>140</v>
      </c>
      <c r="AL1249" s="74"/>
      <c r="AM1249" s="74"/>
      <c r="AW1249" s="74"/>
      <c r="AX1249" s="74"/>
    </row>
    <row r="1250" spans="1:50" ht="13" x14ac:dyDescent="0.15">
      <c r="A1250" s="55" t="str">
        <f>HYPERLINK("http://reports.ofsted.gov.uk/inspection-reports/find-inspection-report/provider/CARE/2587129","Ofsted Social Care Provider Webpage")</f>
        <v>Ofsted Social Care Provider Webpage</v>
      </c>
      <c r="B1250" s="55">
        <v>2587129</v>
      </c>
      <c r="D1250" s="55" t="s">
        <v>389</v>
      </c>
      <c r="E1250" s="74">
        <v>44005</v>
      </c>
      <c r="F1250" s="55" t="s">
        <v>344</v>
      </c>
      <c r="G1250" s="55" t="s">
        <v>1820</v>
      </c>
      <c r="H1250" s="55" t="s">
        <v>1820</v>
      </c>
      <c r="I1250" s="55" t="s">
        <v>1821</v>
      </c>
      <c r="J1250" s="55" t="s">
        <v>1189</v>
      </c>
      <c r="K1250" s="55" t="s">
        <v>1746</v>
      </c>
      <c r="L1250" s="55" t="s">
        <v>1822</v>
      </c>
      <c r="M1250" s="55" t="s">
        <v>129</v>
      </c>
      <c r="N1250" s="55" t="s">
        <v>129</v>
      </c>
      <c r="O1250" s="55" t="s">
        <v>192</v>
      </c>
      <c r="P1250" s="55" t="s">
        <v>1191</v>
      </c>
      <c r="Q1250" s="55" t="s">
        <v>350</v>
      </c>
      <c r="S1250" s="55">
        <v>0</v>
      </c>
      <c r="T1250" s="74" t="s">
        <v>1823</v>
      </c>
      <c r="U1250" s="74" t="s">
        <v>351</v>
      </c>
      <c r="V1250" s="74">
        <v>44459</v>
      </c>
      <c r="W1250" s="74">
        <v>44504</v>
      </c>
      <c r="X1250" s="55">
        <v>10183191</v>
      </c>
      <c r="Y1250" s="55" t="s">
        <v>146</v>
      </c>
      <c r="AB1250" s="74" t="s">
        <v>146</v>
      </c>
      <c r="AC1250" s="55" t="s">
        <v>146</v>
      </c>
      <c r="AL1250" s="74"/>
      <c r="AM1250" s="74"/>
    </row>
    <row r="1251" spans="1:50" ht="13" x14ac:dyDescent="0.15">
      <c r="A1251" s="55" t="str">
        <f>HYPERLINK("http://reports.ofsted.gov.uk/inspection-reports/find-inspection-report/provider/CARE/2587129","Ofsted Social Care Provider Webpage")</f>
        <v>Ofsted Social Care Provider Webpage</v>
      </c>
      <c r="B1251" s="55">
        <v>2587129</v>
      </c>
      <c r="D1251" s="55" t="s">
        <v>389</v>
      </c>
      <c r="E1251" s="74">
        <v>44005</v>
      </c>
      <c r="F1251" s="55" t="s">
        <v>344</v>
      </c>
      <c r="G1251" s="55" t="s">
        <v>1820</v>
      </c>
      <c r="H1251" s="55" t="s">
        <v>1820</v>
      </c>
      <c r="I1251" s="55" t="s">
        <v>1821</v>
      </c>
      <c r="J1251" s="55" t="s">
        <v>1189</v>
      </c>
      <c r="K1251" s="55" t="s">
        <v>1746</v>
      </c>
      <c r="L1251" s="55" t="s">
        <v>1822</v>
      </c>
      <c r="M1251" s="55" t="s">
        <v>129</v>
      </c>
      <c r="N1251" s="55" t="s">
        <v>129</v>
      </c>
      <c r="O1251" s="55" t="s">
        <v>192</v>
      </c>
      <c r="P1251" s="55" t="s">
        <v>1191</v>
      </c>
      <c r="Q1251" s="55" t="s">
        <v>350</v>
      </c>
      <c r="S1251" s="55">
        <v>0</v>
      </c>
      <c r="T1251" s="74" t="s">
        <v>1823</v>
      </c>
      <c r="U1251" s="74" t="s">
        <v>2053</v>
      </c>
      <c r="V1251" s="74">
        <v>44538</v>
      </c>
      <c r="W1251" s="74">
        <v>44593</v>
      </c>
      <c r="X1251" s="55">
        <v>10216629</v>
      </c>
      <c r="AL1251" s="74"/>
      <c r="AM1251" s="74"/>
      <c r="AW1251" s="74"/>
      <c r="AX1251" s="74"/>
    </row>
    <row r="1252" spans="1:50" ht="13" x14ac:dyDescent="0.15">
      <c r="A1252" s="55" t="str">
        <f>HYPERLINK("http://reports.ofsted.gov.uk/inspection-reports/find-inspection-report/provider/CARE/2587132","Ofsted Social Care Provider Webpage")</f>
        <v>Ofsted Social Care Provider Webpage</v>
      </c>
      <c r="B1252" s="55">
        <v>2587132</v>
      </c>
      <c r="D1252" s="55" t="s">
        <v>373</v>
      </c>
      <c r="E1252" s="74">
        <v>44018</v>
      </c>
      <c r="F1252" s="55" t="s">
        <v>344</v>
      </c>
      <c r="G1252" s="55" t="s">
        <v>360</v>
      </c>
      <c r="H1252" s="55" t="s">
        <v>360</v>
      </c>
      <c r="I1252" s="55" t="s">
        <v>360</v>
      </c>
      <c r="J1252" s="55" t="s">
        <v>360</v>
      </c>
      <c r="K1252" s="55" t="s">
        <v>360</v>
      </c>
      <c r="L1252" s="55" t="s">
        <v>360</v>
      </c>
      <c r="M1252" s="55" t="s">
        <v>378</v>
      </c>
      <c r="N1252" s="55" t="s">
        <v>170</v>
      </c>
      <c r="O1252" s="55" t="s">
        <v>222</v>
      </c>
      <c r="P1252" s="55" t="s">
        <v>521</v>
      </c>
      <c r="Q1252" s="55" t="s">
        <v>350</v>
      </c>
      <c r="R1252" s="85">
        <v>2</v>
      </c>
      <c r="S1252" s="55">
        <v>0</v>
      </c>
      <c r="T1252" s="74" t="s">
        <v>1824</v>
      </c>
      <c r="U1252" s="74" t="s">
        <v>351</v>
      </c>
      <c r="V1252" s="74">
        <v>44404</v>
      </c>
      <c r="W1252" s="74">
        <v>44442</v>
      </c>
      <c r="X1252" s="55">
        <v>10186965</v>
      </c>
      <c r="Y1252" s="55" t="s">
        <v>132</v>
      </c>
      <c r="AB1252" s="74" t="s">
        <v>132</v>
      </c>
      <c r="AC1252" s="55" t="s">
        <v>130</v>
      </c>
      <c r="AL1252" s="74"/>
      <c r="AM1252" s="74"/>
    </row>
    <row r="1253" spans="1:50" ht="13" x14ac:dyDescent="0.15">
      <c r="A1253" s="55" t="str">
        <f>HYPERLINK("http://reports.ofsted.gov.uk/inspection-reports/find-inspection-report/provider/CARE/2587198","Ofsted Social Care Provider Webpage")</f>
        <v>Ofsted Social Care Provider Webpage</v>
      </c>
      <c r="B1253" s="55">
        <v>2587198</v>
      </c>
      <c r="D1253" s="55" t="s">
        <v>389</v>
      </c>
      <c r="E1253" s="74">
        <v>43977</v>
      </c>
      <c r="F1253" s="55" t="s">
        <v>344</v>
      </c>
      <c r="G1253" s="55" t="s">
        <v>1825</v>
      </c>
      <c r="H1253" s="55" t="s">
        <v>1826</v>
      </c>
      <c r="I1253" s="55" t="s">
        <v>1827</v>
      </c>
      <c r="J1253" s="55" t="s">
        <v>267</v>
      </c>
      <c r="K1253" s="55" t="s">
        <v>178</v>
      </c>
      <c r="L1253" s="55" t="s">
        <v>1828</v>
      </c>
      <c r="M1253" s="55" t="s">
        <v>378</v>
      </c>
      <c r="N1253" s="55" t="s">
        <v>170</v>
      </c>
      <c r="O1253" s="55" t="s">
        <v>267</v>
      </c>
      <c r="P1253" s="55" t="s">
        <v>477</v>
      </c>
      <c r="Q1253" s="55" t="s">
        <v>350</v>
      </c>
      <c r="S1253" s="55">
        <v>0</v>
      </c>
      <c r="T1253" s="74" t="s">
        <v>1829</v>
      </c>
      <c r="U1253" s="74" t="s">
        <v>351</v>
      </c>
      <c r="V1253" s="74">
        <v>44382</v>
      </c>
      <c r="W1253" s="74">
        <v>44426</v>
      </c>
      <c r="X1253" s="55">
        <v>10183196</v>
      </c>
      <c r="Y1253" s="55" t="s">
        <v>140</v>
      </c>
      <c r="AB1253" s="74" t="s">
        <v>140</v>
      </c>
      <c r="AC1253" s="55" t="s">
        <v>140</v>
      </c>
      <c r="AL1253" s="74"/>
      <c r="AM1253" s="74"/>
      <c r="AW1253" s="74"/>
      <c r="AX1253" s="74"/>
    </row>
    <row r="1254" spans="1:50" ht="13" x14ac:dyDescent="0.15">
      <c r="A1254" s="55" t="str">
        <f>HYPERLINK("http://reports.ofsted.gov.uk/inspection-reports/find-inspection-report/provider/CARE/2587233","Ofsted Social Care Provider Webpage")</f>
        <v>Ofsted Social Care Provider Webpage</v>
      </c>
      <c r="B1254" s="55">
        <v>2587233</v>
      </c>
      <c r="D1254" s="55" t="s">
        <v>373</v>
      </c>
      <c r="E1254" s="74">
        <v>44022</v>
      </c>
      <c r="F1254" s="55" t="s">
        <v>344</v>
      </c>
      <c r="G1254" s="55" t="s">
        <v>360</v>
      </c>
      <c r="H1254" s="55" t="s">
        <v>360</v>
      </c>
      <c r="I1254" s="55" t="s">
        <v>360</v>
      </c>
      <c r="J1254" s="55" t="s">
        <v>360</v>
      </c>
      <c r="K1254" s="55" t="s">
        <v>360</v>
      </c>
      <c r="L1254" s="55" t="s">
        <v>360</v>
      </c>
      <c r="M1254" s="55" t="s">
        <v>378</v>
      </c>
      <c r="N1254" s="55" t="s">
        <v>134</v>
      </c>
      <c r="O1254" s="55" t="s">
        <v>246</v>
      </c>
      <c r="P1254" s="55" t="s">
        <v>1104</v>
      </c>
      <c r="Q1254" s="55" t="s">
        <v>350</v>
      </c>
      <c r="R1254" s="85">
        <v>1</v>
      </c>
      <c r="S1254" s="55">
        <v>0</v>
      </c>
      <c r="T1254" s="74" t="s">
        <v>1830</v>
      </c>
      <c r="U1254" s="74" t="s">
        <v>351</v>
      </c>
      <c r="V1254" s="74">
        <v>44510</v>
      </c>
      <c r="W1254" s="74">
        <v>44567</v>
      </c>
      <c r="X1254" s="55">
        <v>10186722</v>
      </c>
      <c r="Y1254" s="55" t="s">
        <v>132</v>
      </c>
      <c r="AB1254" s="74" t="s">
        <v>132</v>
      </c>
      <c r="AC1254" s="55" t="s">
        <v>130</v>
      </c>
      <c r="AL1254" s="74"/>
      <c r="AM1254" s="74"/>
      <c r="AW1254" s="74"/>
      <c r="AX1254" s="74"/>
    </row>
    <row r="1255" spans="1:50" ht="13" x14ac:dyDescent="0.15">
      <c r="A1255" s="55" t="str">
        <f>HYPERLINK("http://reports.ofsted.gov.uk/inspection-reports/find-inspection-report/provider/CARE/2587315","Ofsted Social Care Provider Webpage")</f>
        <v>Ofsted Social Care Provider Webpage</v>
      </c>
      <c r="B1255" s="55">
        <v>2587315</v>
      </c>
      <c r="D1255" s="55" t="s">
        <v>373</v>
      </c>
      <c r="E1255" s="74">
        <v>44136</v>
      </c>
      <c r="F1255" s="55" t="s">
        <v>344</v>
      </c>
      <c r="G1255" s="55" t="s">
        <v>360</v>
      </c>
      <c r="H1255" s="55" t="s">
        <v>360</v>
      </c>
      <c r="I1255" s="55" t="s">
        <v>360</v>
      </c>
      <c r="J1255" s="55" t="s">
        <v>360</v>
      </c>
      <c r="K1255" s="55" t="s">
        <v>360</v>
      </c>
      <c r="L1255" s="55" t="s">
        <v>360</v>
      </c>
      <c r="M1255" s="55" t="s">
        <v>142</v>
      </c>
      <c r="N1255" s="55" t="s">
        <v>142</v>
      </c>
      <c r="O1255" s="55" t="s">
        <v>293</v>
      </c>
      <c r="P1255" s="55" t="s">
        <v>984</v>
      </c>
      <c r="Q1255" s="55" t="s">
        <v>851</v>
      </c>
      <c r="R1255" s="85">
        <v>4</v>
      </c>
      <c r="S1255" s="55" t="s">
        <v>332</v>
      </c>
      <c r="T1255" s="74" t="s">
        <v>1477</v>
      </c>
      <c r="U1255" s="74" t="s">
        <v>351</v>
      </c>
      <c r="V1255" s="74">
        <v>44509</v>
      </c>
      <c r="W1255" s="74">
        <v>44559</v>
      </c>
      <c r="X1255" s="55">
        <v>10186968</v>
      </c>
      <c r="Y1255" s="55" t="s">
        <v>132</v>
      </c>
      <c r="AB1255" s="74" t="s">
        <v>130</v>
      </c>
      <c r="AC1255" s="55" t="s">
        <v>132</v>
      </c>
      <c r="AL1255" s="74"/>
      <c r="AM1255" s="74"/>
      <c r="AW1255" s="74"/>
      <c r="AX1255" s="74"/>
    </row>
    <row r="1256" spans="1:50" ht="13" x14ac:dyDescent="0.15">
      <c r="A1256" s="55" t="str">
        <f>HYPERLINK("http://reports.ofsted.gov.uk/inspection-reports/find-inspection-report/provider/CARE/2587763","Ofsted Social Care Provider Webpage")</f>
        <v>Ofsted Social Care Provider Webpage</v>
      </c>
      <c r="B1256" s="55">
        <v>2587763</v>
      </c>
      <c r="D1256" s="55" t="s">
        <v>373</v>
      </c>
      <c r="E1256" s="74">
        <v>44013</v>
      </c>
      <c r="F1256" s="55" t="s">
        <v>344</v>
      </c>
      <c r="G1256" s="55" t="s">
        <v>360</v>
      </c>
      <c r="H1256" s="55" t="s">
        <v>360</v>
      </c>
      <c r="I1256" s="55" t="s">
        <v>360</v>
      </c>
      <c r="J1256" s="55" t="s">
        <v>360</v>
      </c>
      <c r="K1256" s="55" t="s">
        <v>360</v>
      </c>
      <c r="L1256" s="55" t="s">
        <v>360</v>
      </c>
      <c r="M1256" s="55" t="s">
        <v>144</v>
      </c>
      <c r="N1256" s="55" t="s">
        <v>144</v>
      </c>
      <c r="O1256" s="55" t="s">
        <v>163</v>
      </c>
      <c r="P1256" s="55" t="s">
        <v>376</v>
      </c>
      <c r="Q1256" s="55" t="s">
        <v>350</v>
      </c>
      <c r="R1256" s="85">
        <v>4</v>
      </c>
      <c r="S1256" s="55">
        <v>0</v>
      </c>
      <c r="T1256" s="74" t="s">
        <v>1831</v>
      </c>
      <c r="U1256" s="74" t="s">
        <v>351</v>
      </c>
      <c r="V1256" s="74">
        <v>44588</v>
      </c>
      <c r="W1256" s="74">
        <v>44617</v>
      </c>
      <c r="X1256" s="55">
        <v>10186839</v>
      </c>
      <c r="Y1256" s="55" t="s">
        <v>132</v>
      </c>
      <c r="AB1256" s="74" t="s">
        <v>132</v>
      </c>
      <c r="AC1256" s="55" t="s">
        <v>132</v>
      </c>
      <c r="AL1256" s="74"/>
      <c r="AM1256" s="74"/>
      <c r="AW1256" s="74"/>
      <c r="AX1256" s="74"/>
    </row>
    <row r="1257" spans="1:50" ht="13" x14ac:dyDescent="0.15">
      <c r="A1257" s="55" t="str">
        <f>HYPERLINK("http://reports.ofsted.gov.uk/inspection-reports/find-inspection-report/provider/CARE/2588370","Ofsted Social Care Provider Webpage")</f>
        <v>Ofsted Social Care Provider Webpage</v>
      </c>
      <c r="B1257" s="55">
        <v>2588370</v>
      </c>
      <c r="D1257" s="55" t="s">
        <v>373</v>
      </c>
      <c r="E1257" s="74">
        <v>43935</v>
      </c>
      <c r="F1257" s="55" t="s">
        <v>344</v>
      </c>
      <c r="G1257" s="55" t="s">
        <v>360</v>
      </c>
      <c r="H1257" s="55" t="s">
        <v>360</v>
      </c>
      <c r="I1257" s="55" t="s">
        <v>360</v>
      </c>
      <c r="J1257" s="55" t="s">
        <v>360</v>
      </c>
      <c r="K1257" s="55" t="s">
        <v>360</v>
      </c>
      <c r="L1257" s="55" t="s">
        <v>360</v>
      </c>
      <c r="M1257" s="55" t="s">
        <v>172</v>
      </c>
      <c r="N1257" s="55" t="s">
        <v>172</v>
      </c>
      <c r="O1257" s="55" t="s">
        <v>173</v>
      </c>
      <c r="P1257" s="55" t="s">
        <v>1258</v>
      </c>
      <c r="Q1257" s="55" t="s">
        <v>350</v>
      </c>
      <c r="R1257" s="85">
        <v>3</v>
      </c>
      <c r="S1257" s="55">
        <v>0</v>
      </c>
      <c r="T1257" s="74" t="s">
        <v>861</v>
      </c>
      <c r="U1257" s="74" t="s">
        <v>351</v>
      </c>
      <c r="V1257" s="74">
        <v>44481</v>
      </c>
      <c r="W1257" s="74">
        <v>44522</v>
      </c>
      <c r="X1257" s="55">
        <v>10186973</v>
      </c>
      <c r="Y1257" s="55" t="s">
        <v>132</v>
      </c>
      <c r="AB1257" s="74" t="s">
        <v>130</v>
      </c>
      <c r="AC1257" s="55" t="s">
        <v>132</v>
      </c>
      <c r="AL1257" s="74"/>
      <c r="AM1257" s="74"/>
      <c r="AW1257" s="74"/>
      <c r="AX1257" s="74"/>
    </row>
    <row r="1258" spans="1:50" ht="13" x14ac:dyDescent="0.15">
      <c r="A1258" s="55" t="str">
        <f>HYPERLINK("http://reports.ofsted.gov.uk/inspection-reports/find-inspection-report/provider/CARE/2588486","Ofsted Social Care Provider Webpage")</f>
        <v>Ofsted Social Care Provider Webpage</v>
      </c>
      <c r="B1258" s="55">
        <v>2588486</v>
      </c>
      <c r="D1258" s="55" t="s">
        <v>373</v>
      </c>
      <c r="E1258" s="74">
        <v>43956</v>
      </c>
      <c r="F1258" s="55" t="s">
        <v>344</v>
      </c>
      <c r="G1258" s="55" t="s">
        <v>360</v>
      </c>
      <c r="H1258" s="55" t="s">
        <v>360</v>
      </c>
      <c r="I1258" s="55" t="s">
        <v>360</v>
      </c>
      <c r="J1258" s="55" t="s">
        <v>360</v>
      </c>
      <c r="K1258" s="55" t="s">
        <v>360</v>
      </c>
      <c r="L1258" s="55" t="s">
        <v>360</v>
      </c>
      <c r="M1258" s="55" t="s">
        <v>136</v>
      </c>
      <c r="N1258" s="55" t="s">
        <v>136</v>
      </c>
      <c r="O1258" s="55" t="s">
        <v>705</v>
      </c>
      <c r="P1258" s="55" t="s">
        <v>1832</v>
      </c>
      <c r="Q1258" s="55" t="s">
        <v>350</v>
      </c>
      <c r="R1258" s="85">
        <v>3</v>
      </c>
      <c r="S1258" s="55">
        <v>0</v>
      </c>
      <c r="T1258" s="74" t="s">
        <v>892</v>
      </c>
      <c r="U1258" s="74" t="s">
        <v>351</v>
      </c>
      <c r="V1258" s="74">
        <v>44593</v>
      </c>
      <c r="W1258" s="74">
        <v>44629</v>
      </c>
      <c r="X1258" s="55">
        <v>10187314</v>
      </c>
      <c r="Y1258" s="55" t="s">
        <v>132</v>
      </c>
      <c r="AB1258" s="74" t="s">
        <v>132</v>
      </c>
      <c r="AC1258" s="55" t="s">
        <v>130</v>
      </c>
      <c r="AL1258" s="74"/>
      <c r="AM1258" s="74"/>
    </row>
    <row r="1259" spans="1:50" ht="13" x14ac:dyDescent="0.15">
      <c r="A1259" s="55" t="str">
        <f>HYPERLINK("http://reports.ofsted.gov.uk/inspection-reports/find-inspection-report/provider/CARE/2588593","Ofsted Social Care Provider Webpage")</f>
        <v>Ofsted Social Care Provider Webpage</v>
      </c>
      <c r="B1259" s="55">
        <v>2588593</v>
      </c>
      <c r="D1259" s="55" t="s">
        <v>373</v>
      </c>
      <c r="E1259" s="74">
        <v>43955</v>
      </c>
      <c r="F1259" s="55" t="s">
        <v>344</v>
      </c>
      <c r="G1259" s="55" t="s">
        <v>360</v>
      </c>
      <c r="H1259" s="55" t="s">
        <v>360</v>
      </c>
      <c r="I1259" s="55" t="s">
        <v>360</v>
      </c>
      <c r="J1259" s="55" t="s">
        <v>360</v>
      </c>
      <c r="K1259" s="55" t="s">
        <v>360</v>
      </c>
      <c r="L1259" s="55" t="s">
        <v>360</v>
      </c>
      <c r="M1259" s="55" t="s">
        <v>129</v>
      </c>
      <c r="N1259" s="55" t="s">
        <v>129</v>
      </c>
      <c r="O1259" s="55" t="s">
        <v>194</v>
      </c>
      <c r="P1259" s="55" t="s">
        <v>1833</v>
      </c>
      <c r="Q1259" s="55" t="s">
        <v>350</v>
      </c>
      <c r="R1259" s="85">
        <v>4</v>
      </c>
      <c r="S1259" s="55">
        <v>0</v>
      </c>
      <c r="T1259" s="74" t="s">
        <v>1834</v>
      </c>
      <c r="U1259" s="74" t="s">
        <v>351</v>
      </c>
      <c r="V1259" s="74">
        <v>44375</v>
      </c>
      <c r="W1259" s="74">
        <v>44412</v>
      </c>
      <c r="X1259" s="55">
        <v>10186902</v>
      </c>
      <c r="Y1259" s="55" t="s">
        <v>132</v>
      </c>
      <c r="AB1259" s="74" t="s">
        <v>132</v>
      </c>
      <c r="AC1259" s="55" t="s">
        <v>132</v>
      </c>
      <c r="AL1259" s="74"/>
      <c r="AM1259" s="74"/>
    </row>
    <row r="1260" spans="1:50" ht="13" x14ac:dyDescent="0.15">
      <c r="A1260" s="55" t="str">
        <f>HYPERLINK("http://reports.ofsted.gov.uk/inspection-reports/find-inspection-report/provider/CARE/2588599","Ofsted Social Care Provider Webpage")</f>
        <v>Ofsted Social Care Provider Webpage</v>
      </c>
      <c r="B1260" s="55">
        <v>2588599</v>
      </c>
      <c r="D1260" s="55" t="s">
        <v>373</v>
      </c>
      <c r="E1260" s="74">
        <v>43945</v>
      </c>
      <c r="F1260" s="55" t="s">
        <v>344</v>
      </c>
      <c r="G1260" s="55" t="s">
        <v>360</v>
      </c>
      <c r="H1260" s="55" t="s">
        <v>360</v>
      </c>
      <c r="I1260" s="55" t="s">
        <v>360</v>
      </c>
      <c r="J1260" s="55" t="s">
        <v>360</v>
      </c>
      <c r="K1260" s="55" t="s">
        <v>360</v>
      </c>
      <c r="L1260" s="55" t="s">
        <v>360</v>
      </c>
      <c r="M1260" s="55" t="s">
        <v>172</v>
      </c>
      <c r="N1260" s="55" t="s">
        <v>172</v>
      </c>
      <c r="O1260" s="55" t="s">
        <v>234</v>
      </c>
      <c r="P1260" s="55" t="s">
        <v>965</v>
      </c>
      <c r="Q1260" s="55" t="s">
        <v>362</v>
      </c>
      <c r="R1260" s="85">
        <v>4</v>
      </c>
      <c r="S1260" s="55">
        <v>0</v>
      </c>
      <c r="T1260" s="74" t="s">
        <v>458</v>
      </c>
      <c r="U1260" s="74" t="s">
        <v>351</v>
      </c>
      <c r="V1260" s="74">
        <v>44467</v>
      </c>
      <c r="W1260" s="74">
        <v>44501</v>
      </c>
      <c r="X1260" s="55">
        <v>10185681</v>
      </c>
      <c r="Y1260" s="55" t="s">
        <v>132</v>
      </c>
      <c r="AB1260" s="74" t="s">
        <v>132</v>
      </c>
      <c r="AC1260" s="55" t="s">
        <v>132</v>
      </c>
      <c r="AL1260" s="74"/>
      <c r="AM1260" s="74"/>
      <c r="AW1260" s="74"/>
      <c r="AX1260" s="74"/>
    </row>
    <row r="1261" spans="1:50" ht="13" x14ac:dyDescent="0.15">
      <c r="A1261" s="55" t="str">
        <f>HYPERLINK("http://reports.ofsted.gov.uk/inspection-reports/find-inspection-report/provider/CARE/2588753","Ofsted Social Care Provider Webpage")</f>
        <v>Ofsted Social Care Provider Webpage</v>
      </c>
      <c r="B1261" s="55">
        <v>2588753</v>
      </c>
      <c r="D1261" s="55" t="s">
        <v>373</v>
      </c>
      <c r="E1261" s="74">
        <v>44536</v>
      </c>
      <c r="F1261" s="55" t="s">
        <v>344</v>
      </c>
      <c r="G1261" s="55" t="s">
        <v>360</v>
      </c>
      <c r="H1261" s="55" t="s">
        <v>360</v>
      </c>
      <c r="I1261" s="55" t="s">
        <v>360</v>
      </c>
      <c r="J1261" s="55" t="s">
        <v>360</v>
      </c>
      <c r="K1261" s="55" t="s">
        <v>360</v>
      </c>
      <c r="L1261" s="55" t="s">
        <v>360</v>
      </c>
      <c r="M1261" s="55" t="s">
        <v>150</v>
      </c>
      <c r="N1261" s="55" t="s">
        <v>150</v>
      </c>
      <c r="O1261" s="55" t="s">
        <v>203</v>
      </c>
      <c r="P1261" s="55" t="s">
        <v>1835</v>
      </c>
      <c r="Q1261" s="55" t="s">
        <v>350</v>
      </c>
      <c r="R1261" s="85">
        <v>6</v>
      </c>
      <c r="S1261" s="55">
        <v>0</v>
      </c>
      <c r="T1261" s="74" t="s">
        <v>483</v>
      </c>
      <c r="U1261" s="74" t="s">
        <v>2053</v>
      </c>
      <c r="V1261" s="74">
        <v>44391</v>
      </c>
      <c r="W1261" s="74">
        <v>44449</v>
      </c>
      <c r="X1261" s="55">
        <v>10198855</v>
      </c>
      <c r="AL1261" s="74"/>
      <c r="AM1261" s="74"/>
      <c r="AW1261" s="74"/>
      <c r="AX1261" s="74"/>
    </row>
    <row r="1262" spans="1:50" ht="13" x14ac:dyDescent="0.15">
      <c r="A1262" s="55" t="str">
        <f>HYPERLINK("http://reports.ofsted.gov.uk/inspection-reports/find-inspection-report/provider/CARE/2588753","Ofsted Social Care Provider Webpage")</f>
        <v>Ofsted Social Care Provider Webpage</v>
      </c>
      <c r="B1262" s="55">
        <v>2588753</v>
      </c>
      <c r="D1262" s="55" t="s">
        <v>373</v>
      </c>
      <c r="E1262" s="74">
        <v>44536</v>
      </c>
      <c r="F1262" s="55" t="s">
        <v>344</v>
      </c>
      <c r="G1262" s="55" t="s">
        <v>360</v>
      </c>
      <c r="H1262" s="55" t="s">
        <v>360</v>
      </c>
      <c r="I1262" s="55" t="s">
        <v>360</v>
      </c>
      <c r="J1262" s="55" t="s">
        <v>360</v>
      </c>
      <c r="K1262" s="55" t="s">
        <v>360</v>
      </c>
      <c r="L1262" s="55" t="s">
        <v>360</v>
      </c>
      <c r="M1262" s="55" t="s">
        <v>150</v>
      </c>
      <c r="N1262" s="55" t="s">
        <v>150</v>
      </c>
      <c r="O1262" s="55" t="s">
        <v>203</v>
      </c>
      <c r="P1262" s="55" t="s">
        <v>1835</v>
      </c>
      <c r="Q1262" s="55" t="s">
        <v>350</v>
      </c>
      <c r="R1262" s="85">
        <v>6</v>
      </c>
      <c r="S1262" s="55">
        <v>0</v>
      </c>
      <c r="T1262" s="74" t="s">
        <v>483</v>
      </c>
      <c r="U1262" s="74" t="s">
        <v>351</v>
      </c>
      <c r="V1262" s="74">
        <v>44356</v>
      </c>
      <c r="W1262" s="74">
        <v>44421</v>
      </c>
      <c r="X1262" s="55">
        <v>10187139</v>
      </c>
      <c r="Y1262" s="55" t="s">
        <v>146</v>
      </c>
      <c r="AB1262" s="74" t="s">
        <v>146</v>
      </c>
      <c r="AC1262" s="55" t="s">
        <v>146</v>
      </c>
      <c r="AL1262" s="74"/>
      <c r="AM1262" s="74"/>
      <c r="AW1262" s="74"/>
      <c r="AX1262" s="74"/>
    </row>
    <row r="1263" spans="1:50" ht="13" x14ac:dyDescent="0.15">
      <c r="A1263" s="55" t="str">
        <f>HYPERLINK("http://reports.ofsted.gov.uk/inspection-reports/find-inspection-report/provider/CARE/2588753","Ofsted Social Care Provider Webpage")</f>
        <v>Ofsted Social Care Provider Webpage</v>
      </c>
      <c r="B1263" s="55">
        <v>2588753</v>
      </c>
      <c r="D1263" s="55" t="s">
        <v>373</v>
      </c>
      <c r="E1263" s="74">
        <v>44536</v>
      </c>
      <c r="F1263" s="55" t="s">
        <v>344</v>
      </c>
      <c r="G1263" s="55" t="s">
        <v>360</v>
      </c>
      <c r="H1263" s="55" t="s">
        <v>360</v>
      </c>
      <c r="I1263" s="55" t="s">
        <v>360</v>
      </c>
      <c r="J1263" s="55" t="s">
        <v>360</v>
      </c>
      <c r="K1263" s="55" t="s">
        <v>360</v>
      </c>
      <c r="L1263" s="55" t="s">
        <v>360</v>
      </c>
      <c r="M1263" s="55" t="s">
        <v>150</v>
      </c>
      <c r="N1263" s="55" t="s">
        <v>150</v>
      </c>
      <c r="O1263" s="55" t="s">
        <v>203</v>
      </c>
      <c r="P1263" s="55" t="s">
        <v>1835</v>
      </c>
      <c r="Q1263" s="55" t="s">
        <v>350</v>
      </c>
      <c r="R1263" s="85">
        <v>6</v>
      </c>
      <c r="S1263" s="55">
        <v>0</v>
      </c>
      <c r="T1263" s="74" t="s">
        <v>483</v>
      </c>
      <c r="U1263" s="74" t="s">
        <v>2053</v>
      </c>
      <c r="V1263" s="74">
        <v>44469</v>
      </c>
      <c r="W1263" s="74">
        <v>44525</v>
      </c>
      <c r="X1263" s="55">
        <v>10208927</v>
      </c>
      <c r="AL1263" s="74"/>
      <c r="AM1263" s="74"/>
      <c r="AW1263" s="74"/>
      <c r="AX1263" s="74"/>
    </row>
    <row r="1264" spans="1:50" ht="13" x14ac:dyDescent="0.15">
      <c r="A1264" s="55" t="str">
        <f>HYPERLINK("http://reports.ofsted.gov.uk/inspection-reports/find-inspection-report/provider/CARE/2588753","Ofsted Social Care Provider Webpage")</f>
        <v>Ofsted Social Care Provider Webpage</v>
      </c>
      <c r="B1264" s="55">
        <v>2588753</v>
      </c>
      <c r="D1264" s="55" t="s">
        <v>373</v>
      </c>
      <c r="E1264" s="74">
        <v>44536</v>
      </c>
      <c r="F1264" s="55" t="s">
        <v>344</v>
      </c>
      <c r="G1264" s="55" t="s">
        <v>360</v>
      </c>
      <c r="H1264" s="55" t="s">
        <v>360</v>
      </c>
      <c r="I1264" s="55" t="s">
        <v>360</v>
      </c>
      <c r="J1264" s="55" t="s">
        <v>360</v>
      </c>
      <c r="K1264" s="55" t="s">
        <v>360</v>
      </c>
      <c r="L1264" s="55" t="s">
        <v>360</v>
      </c>
      <c r="M1264" s="55" t="s">
        <v>150</v>
      </c>
      <c r="N1264" s="55" t="s">
        <v>150</v>
      </c>
      <c r="O1264" s="55" t="s">
        <v>203</v>
      </c>
      <c r="P1264" s="55" t="s">
        <v>1835</v>
      </c>
      <c r="Q1264" s="55" t="s">
        <v>350</v>
      </c>
      <c r="R1264" s="85">
        <v>6</v>
      </c>
      <c r="S1264" s="55">
        <v>0</v>
      </c>
      <c r="T1264" s="74" t="s">
        <v>483</v>
      </c>
      <c r="U1264" s="74" t="s">
        <v>2053</v>
      </c>
      <c r="V1264" s="74">
        <v>44441</v>
      </c>
      <c r="W1264" s="74">
        <v>44481</v>
      </c>
      <c r="X1264" s="55">
        <v>10205861</v>
      </c>
      <c r="AL1264" s="74"/>
      <c r="AM1264" s="74"/>
      <c r="AW1264" s="74"/>
      <c r="AX1264" s="74"/>
    </row>
    <row r="1265" spans="1:50" ht="13" x14ac:dyDescent="0.15">
      <c r="A1265" s="55" t="str">
        <f>HYPERLINK("http://reports.ofsted.gov.uk/inspection-reports/find-inspection-report/provider/CARE/2588753","Ofsted Social Care Provider Webpage")</f>
        <v>Ofsted Social Care Provider Webpage</v>
      </c>
      <c r="B1265" s="55">
        <v>2588753</v>
      </c>
      <c r="D1265" s="55" t="s">
        <v>373</v>
      </c>
      <c r="E1265" s="74">
        <v>44536</v>
      </c>
      <c r="F1265" s="55" t="s">
        <v>344</v>
      </c>
      <c r="G1265" s="55" t="s">
        <v>360</v>
      </c>
      <c r="H1265" s="55" t="s">
        <v>360</v>
      </c>
      <c r="I1265" s="55" t="s">
        <v>360</v>
      </c>
      <c r="J1265" s="55" t="s">
        <v>360</v>
      </c>
      <c r="K1265" s="55" t="s">
        <v>360</v>
      </c>
      <c r="L1265" s="55" t="s">
        <v>360</v>
      </c>
      <c r="M1265" s="55" t="s">
        <v>150</v>
      </c>
      <c r="N1265" s="55" t="s">
        <v>150</v>
      </c>
      <c r="O1265" s="55" t="s">
        <v>203</v>
      </c>
      <c r="P1265" s="55" t="s">
        <v>1835</v>
      </c>
      <c r="Q1265" s="55" t="s">
        <v>350</v>
      </c>
      <c r="R1265" s="85">
        <v>6</v>
      </c>
      <c r="S1265" s="55">
        <v>0</v>
      </c>
      <c r="T1265" s="74" t="s">
        <v>483</v>
      </c>
      <c r="U1265" s="74" t="s">
        <v>2053</v>
      </c>
      <c r="V1265" s="74">
        <v>44545</v>
      </c>
      <c r="W1265" s="74">
        <v>44599</v>
      </c>
      <c r="X1265" s="55">
        <v>10217170</v>
      </c>
      <c r="AL1265" s="74"/>
      <c r="AM1265" s="74"/>
      <c r="AW1265" s="74"/>
      <c r="AX1265" s="74"/>
    </row>
    <row r="1266" spans="1:50" ht="13" x14ac:dyDescent="0.15">
      <c r="A1266" s="55" t="str">
        <f>HYPERLINK("http://reports.ofsted.gov.uk/inspection-reports/find-inspection-report/provider/CARE/2589392","Ofsted Social Care Provider Webpage")</f>
        <v>Ofsted Social Care Provider Webpage</v>
      </c>
      <c r="B1266" s="55">
        <v>2589392</v>
      </c>
      <c r="D1266" s="55" t="s">
        <v>373</v>
      </c>
      <c r="E1266" s="74">
        <v>43952</v>
      </c>
      <c r="F1266" s="55" t="s">
        <v>344</v>
      </c>
      <c r="G1266" s="55" t="s">
        <v>360</v>
      </c>
      <c r="H1266" s="55" t="s">
        <v>360</v>
      </c>
      <c r="I1266" s="55" t="s">
        <v>360</v>
      </c>
      <c r="J1266" s="55" t="s">
        <v>360</v>
      </c>
      <c r="K1266" s="55" t="s">
        <v>360</v>
      </c>
      <c r="L1266" s="55" t="s">
        <v>360</v>
      </c>
      <c r="M1266" s="55" t="s">
        <v>144</v>
      </c>
      <c r="N1266" s="55" t="s">
        <v>144</v>
      </c>
      <c r="O1266" s="55" t="s">
        <v>209</v>
      </c>
      <c r="P1266" s="55" t="s">
        <v>650</v>
      </c>
      <c r="Q1266" s="55" t="s">
        <v>350</v>
      </c>
      <c r="R1266" s="85">
        <v>3</v>
      </c>
      <c r="S1266" s="55">
        <v>0</v>
      </c>
      <c r="T1266" s="74" t="s">
        <v>489</v>
      </c>
      <c r="U1266" s="74" t="s">
        <v>351</v>
      </c>
      <c r="V1266" s="74">
        <v>44349</v>
      </c>
      <c r="W1266" s="74">
        <v>44391</v>
      </c>
      <c r="X1266" s="55">
        <v>10186577</v>
      </c>
      <c r="Y1266" s="55" t="s">
        <v>132</v>
      </c>
      <c r="AB1266" s="74" t="s">
        <v>132</v>
      </c>
      <c r="AC1266" s="55" t="s">
        <v>132</v>
      </c>
      <c r="AL1266" s="74"/>
      <c r="AM1266" s="74"/>
      <c r="AW1266" s="74"/>
      <c r="AX1266" s="74"/>
    </row>
    <row r="1267" spans="1:50" ht="13" x14ac:dyDescent="0.15">
      <c r="A1267" s="55" t="str">
        <f>HYPERLINK("http://reports.ofsted.gov.uk/inspection-reports/find-inspection-report/provider/CARE/2589440","Ofsted Social Care Provider Webpage")</f>
        <v>Ofsted Social Care Provider Webpage</v>
      </c>
      <c r="B1267" s="55">
        <v>2589440</v>
      </c>
      <c r="D1267" s="55" t="s">
        <v>373</v>
      </c>
      <c r="E1267" s="74">
        <v>44356</v>
      </c>
      <c r="F1267" s="55" t="s">
        <v>344</v>
      </c>
      <c r="G1267" s="55" t="s">
        <v>360</v>
      </c>
      <c r="H1267" s="55" t="s">
        <v>360</v>
      </c>
      <c r="I1267" s="55" t="s">
        <v>360</v>
      </c>
      <c r="J1267" s="55" t="s">
        <v>360</v>
      </c>
      <c r="K1267" s="55" t="s">
        <v>360</v>
      </c>
      <c r="L1267" s="55" t="s">
        <v>360</v>
      </c>
      <c r="M1267" s="55" t="s">
        <v>378</v>
      </c>
      <c r="N1267" s="55" t="s">
        <v>134</v>
      </c>
      <c r="O1267" s="55" t="s">
        <v>246</v>
      </c>
      <c r="P1267" s="55" t="s">
        <v>246</v>
      </c>
      <c r="Q1267" s="55" t="s">
        <v>350</v>
      </c>
      <c r="R1267" s="85">
        <v>1</v>
      </c>
      <c r="S1267" s="55">
        <v>0</v>
      </c>
      <c r="T1267" s="74" t="s">
        <v>1842</v>
      </c>
      <c r="U1267" s="74" t="s">
        <v>6703</v>
      </c>
      <c r="V1267" s="74">
        <v>44537</v>
      </c>
      <c r="W1267" s="74">
        <v>44582</v>
      </c>
      <c r="X1267" s="55">
        <v>10212720</v>
      </c>
      <c r="Y1267" s="55" t="s">
        <v>6704</v>
      </c>
      <c r="AL1267" s="74"/>
      <c r="AM1267" s="74"/>
    </row>
    <row r="1268" spans="1:50" ht="13" x14ac:dyDescent="0.15">
      <c r="A1268" s="55" t="str">
        <f>HYPERLINK("http://reports.ofsted.gov.uk/inspection-reports/find-inspection-report/provider/CARE/2589440","Ofsted Social Care Provider Webpage")</f>
        <v>Ofsted Social Care Provider Webpage</v>
      </c>
      <c r="B1268" s="55">
        <v>2589440</v>
      </c>
      <c r="D1268" s="55" t="s">
        <v>373</v>
      </c>
      <c r="E1268" s="74">
        <v>44356</v>
      </c>
      <c r="F1268" s="55" t="s">
        <v>344</v>
      </c>
      <c r="G1268" s="55" t="s">
        <v>360</v>
      </c>
      <c r="H1268" s="55" t="s">
        <v>360</v>
      </c>
      <c r="I1268" s="55" t="s">
        <v>360</v>
      </c>
      <c r="J1268" s="55" t="s">
        <v>360</v>
      </c>
      <c r="K1268" s="55" t="s">
        <v>360</v>
      </c>
      <c r="L1268" s="55" t="s">
        <v>360</v>
      </c>
      <c r="M1268" s="55" t="s">
        <v>378</v>
      </c>
      <c r="N1268" s="55" t="s">
        <v>134</v>
      </c>
      <c r="O1268" s="55" t="s">
        <v>246</v>
      </c>
      <c r="P1268" s="55" t="s">
        <v>246</v>
      </c>
      <c r="Q1268" s="55" t="s">
        <v>350</v>
      </c>
      <c r="R1268" s="85">
        <v>1</v>
      </c>
      <c r="S1268" s="55">
        <v>0</v>
      </c>
      <c r="T1268" s="74" t="s">
        <v>1842</v>
      </c>
      <c r="U1268" s="74" t="s">
        <v>351</v>
      </c>
      <c r="V1268" s="74">
        <v>44475</v>
      </c>
      <c r="W1268" s="74">
        <v>44525</v>
      </c>
      <c r="X1268" s="55">
        <v>10198688</v>
      </c>
      <c r="Y1268" s="55" t="s">
        <v>130</v>
      </c>
      <c r="AB1268" s="74" t="s">
        <v>130</v>
      </c>
      <c r="AC1268" s="55" t="s">
        <v>146</v>
      </c>
      <c r="AL1268" s="74"/>
      <c r="AM1268" s="74"/>
    </row>
    <row r="1269" spans="1:50" ht="13" x14ac:dyDescent="0.15">
      <c r="A1269" s="55" t="str">
        <f>HYPERLINK("http://reports.ofsted.gov.uk/inspection-reports/find-inspection-report/provider/CARE/2589440","Ofsted Social Care Provider Webpage")</f>
        <v>Ofsted Social Care Provider Webpage</v>
      </c>
      <c r="B1269" s="55">
        <v>2589440</v>
      </c>
      <c r="D1269" s="55" t="s">
        <v>373</v>
      </c>
      <c r="E1269" s="74">
        <v>44356</v>
      </c>
      <c r="F1269" s="55" t="s">
        <v>344</v>
      </c>
      <c r="G1269" s="55" t="s">
        <v>360</v>
      </c>
      <c r="H1269" s="55" t="s">
        <v>360</v>
      </c>
      <c r="I1269" s="55" t="s">
        <v>360</v>
      </c>
      <c r="J1269" s="55" t="s">
        <v>360</v>
      </c>
      <c r="K1269" s="55" t="s">
        <v>360</v>
      </c>
      <c r="L1269" s="55" t="s">
        <v>360</v>
      </c>
      <c r="M1269" s="55" t="s">
        <v>378</v>
      </c>
      <c r="N1269" s="55" t="s">
        <v>134</v>
      </c>
      <c r="O1269" s="55" t="s">
        <v>246</v>
      </c>
      <c r="P1269" s="55" t="s">
        <v>246</v>
      </c>
      <c r="Q1269" s="55" t="s">
        <v>350</v>
      </c>
      <c r="R1269" s="85">
        <v>1</v>
      </c>
      <c r="S1269" s="55">
        <v>0</v>
      </c>
      <c r="T1269" s="74" t="s">
        <v>1842</v>
      </c>
      <c r="U1269" s="74" t="s">
        <v>2053</v>
      </c>
      <c r="V1269" s="74">
        <v>44603</v>
      </c>
      <c r="W1269" s="74">
        <v>44629</v>
      </c>
      <c r="X1269" s="55">
        <v>10217176</v>
      </c>
      <c r="AL1269" s="74"/>
      <c r="AM1269" s="74"/>
    </row>
    <row r="1270" spans="1:50" ht="13" x14ac:dyDescent="0.15">
      <c r="A1270" s="55" t="str">
        <f>HYPERLINK("http://reports.ofsted.gov.uk/inspection-reports/find-inspection-report/provider/CARE/2589537","Ofsted Social Care Provider Webpage")</f>
        <v>Ofsted Social Care Provider Webpage</v>
      </c>
      <c r="B1270" s="55">
        <v>2589537</v>
      </c>
      <c r="D1270" s="55" t="s">
        <v>373</v>
      </c>
      <c r="E1270" s="74">
        <v>43984</v>
      </c>
      <c r="F1270" s="55" t="s">
        <v>344</v>
      </c>
      <c r="G1270" s="55" t="s">
        <v>360</v>
      </c>
      <c r="H1270" s="55" t="s">
        <v>360</v>
      </c>
      <c r="I1270" s="55" t="s">
        <v>360</v>
      </c>
      <c r="J1270" s="55" t="s">
        <v>360</v>
      </c>
      <c r="K1270" s="55" t="s">
        <v>360</v>
      </c>
      <c r="L1270" s="55" t="s">
        <v>360</v>
      </c>
      <c r="M1270" s="55" t="s">
        <v>378</v>
      </c>
      <c r="N1270" s="55" t="s">
        <v>134</v>
      </c>
      <c r="O1270" s="55" t="s">
        <v>175</v>
      </c>
      <c r="P1270" s="55" t="s">
        <v>932</v>
      </c>
      <c r="Q1270" s="55" t="s">
        <v>350</v>
      </c>
      <c r="R1270" s="85">
        <v>3</v>
      </c>
      <c r="S1270" s="55">
        <v>0</v>
      </c>
      <c r="T1270" s="74" t="s">
        <v>758</v>
      </c>
      <c r="U1270" s="74" t="s">
        <v>2053</v>
      </c>
      <c r="V1270" s="74">
        <v>44405</v>
      </c>
      <c r="W1270" s="74">
        <v>44424</v>
      </c>
      <c r="X1270" s="55">
        <v>10202617</v>
      </c>
      <c r="AL1270" s="74"/>
      <c r="AM1270" s="74"/>
      <c r="AW1270" s="74"/>
      <c r="AX1270" s="74"/>
    </row>
    <row r="1271" spans="1:50" ht="13" x14ac:dyDescent="0.15">
      <c r="A1271" s="55" t="str">
        <f>HYPERLINK("http://reports.ofsted.gov.uk/inspection-reports/find-inspection-report/provider/CARE/2589537","Ofsted Social Care Provider Webpage")</f>
        <v>Ofsted Social Care Provider Webpage</v>
      </c>
      <c r="B1271" s="55">
        <v>2589537</v>
      </c>
      <c r="D1271" s="55" t="s">
        <v>373</v>
      </c>
      <c r="E1271" s="74">
        <v>43984</v>
      </c>
      <c r="F1271" s="55" t="s">
        <v>344</v>
      </c>
      <c r="G1271" s="55" t="s">
        <v>360</v>
      </c>
      <c r="H1271" s="55" t="s">
        <v>360</v>
      </c>
      <c r="I1271" s="55" t="s">
        <v>360</v>
      </c>
      <c r="J1271" s="55" t="s">
        <v>360</v>
      </c>
      <c r="K1271" s="55" t="s">
        <v>360</v>
      </c>
      <c r="L1271" s="55" t="s">
        <v>360</v>
      </c>
      <c r="M1271" s="55" t="s">
        <v>378</v>
      </c>
      <c r="N1271" s="55" t="s">
        <v>134</v>
      </c>
      <c r="O1271" s="55" t="s">
        <v>175</v>
      </c>
      <c r="P1271" s="55" t="s">
        <v>932</v>
      </c>
      <c r="Q1271" s="55" t="s">
        <v>350</v>
      </c>
      <c r="R1271" s="85">
        <v>3</v>
      </c>
      <c r="S1271" s="55">
        <v>0</v>
      </c>
      <c r="T1271" s="74" t="s">
        <v>758</v>
      </c>
      <c r="U1271" s="74" t="s">
        <v>351</v>
      </c>
      <c r="V1271" s="74">
        <v>44321</v>
      </c>
      <c r="W1271" s="74">
        <v>44375</v>
      </c>
      <c r="X1271" s="55">
        <v>10187157</v>
      </c>
      <c r="Y1271" s="55" t="s">
        <v>146</v>
      </c>
      <c r="AB1271" s="74" t="s">
        <v>146</v>
      </c>
      <c r="AC1271" s="55" t="s">
        <v>146</v>
      </c>
      <c r="AL1271" s="74"/>
      <c r="AM1271" s="74"/>
      <c r="AW1271" s="74"/>
      <c r="AX1271" s="74"/>
    </row>
    <row r="1272" spans="1:50" ht="13" x14ac:dyDescent="0.15">
      <c r="A1272" s="55" t="str">
        <f>HYPERLINK("http://reports.ofsted.gov.uk/inspection-reports/find-inspection-report/provider/CARE/2589537","Ofsted Social Care Provider Webpage")</f>
        <v>Ofsted Social Care Provider Webpage</v>
      </c>
      <c r="B1272" s="55">
        <v>2589537</v>
      </c>
      <c r="D1272" s="55" t="s">
        <v>373</v>
      </c>
      <c r="E1272" s="74">
        <v>43984</v>
      </c>
      <c r="F1272" s="55" t="s">
        <v>344</v>
      </c>
      <c r="G1272" s="55" t="s">
        <v>360</v>
      </c>
      <c r="H1272" s="55" t="s">
        <v>360</v>
      </c>
      <c r="I1272" s="55" t="s">
        <v>360</v>
      </c>
      <c r="J1272" s="55" t="s">
        <v>360</v>
      </c>
      <c r="K1272" s="55" t="s">
        <v>360</v>
      </c>
      <c r="L1272" s="55" t="s">
        <v>360</v>
      </c>
      <c r="M1272" s="55" t="s">
        <v>378</v>
      </c>
      <c r="N1272" s="55" t="s">
        <v>134</v>
      </c>
      <c r="O1272" s="55" t="s">
        <v>175</v>
      </c>
      <c r="P1272" s="55" t="s">
        <v>932</v>
      </c>
      <c r="Q1272" s="55" t="s">
        <v>350</v>
      </c>
      <c r="R1272" s="85">
        <v>3</v>
      </c>
      <c r="S1272" s="55">
        <v>0</v>
      </c>
      <c r="T1272" s="74" t="s">
        <v>758</v>
      </c>
      <c r="U1272" s="74" t="s">
        <v>351</v>
      </c>
      <c r="V1272" s="74">
        <v>44579</v>
      </c>
      <c r="W1272" s="74">
        <v>44627</v>
      </c>
      <c r="X1272" s="55">
        <v>10195324</v>
      </c>
      <c r="Y1272" s="55" t="s">
        <v>132</v>
      </c>
      <c r="AB1272" s="74" t="s">
        <v>132</v>
      </c>
      <c r="AC1272" s="55" t="s">
        <v>132</v>
      </c>
      <c r="AL1272" s="74"/>
      <c r="AM1272" s="74"/>
      <c r="AW1272" s="74"/>
      <c r="AX1272" s="74"/>
    </row>
    <row r="1273" spans="1:50" ht="13" x14ac:dyDescent="0.15">
      <c r="A1273" s="55" t="str">
        <f>HYPERLINK("http://reports.ofsted.gov.uk/inspection-reports/find-inspection-report/provider/CARE/2589537","Ofsted Social Care Provider Webpage")</f>
        <v>Ofsted Social Care Provider Webpage</v>
      </c>
      <c r="B1273" s="55">
        <v>2589537</v>
      </c>
      <c r="D1273" s="55" t="s">
        <v>373</v>
      </c>
      <c r="E1273" s="74">
        <v>43984</v>
      </c>
      <c r="F1273" s="55" t="s">
        <v>344</v>
      </c>
      <c r="G1273" s="55" t="s">
        <v>360</v>
      </c>
      <c r="H1273" s="55" t="s">
        <v>360</v>
      </c>
      <c r="I1273" s="55" t="s">
        <v>360</v>
      </c>
      <c r="J1273" s="55" t="s">
        <v>360</v>
      </c>
      <c r="K1273" s="55" t="s">
        <v>360</v>
      </c>
      <c r="L1273" s="55" t="s">
        <v>360</v>
      </c>
      <c r="M1273" s="55" t="s">
        <v>378</v>
      </c>
      <c r="N1273" s="55" t="s">
        <v>134</v>
      </c>
      <c r="O1273" s="55" t="s">
        <v>175</v>
      </c>
      <c r="P1273" s="55" t="s">
        <v>932</v>
      </c>
      <c r="Q1273" s="55" t="s">
        <v>350</v>
      </c>
      <c r="R1273" s="85">
        <v>3</v>
      </c>
      <c r="S1273" s="55">
        <v>0</v>
      </c>
      <c r="T1273" s="74" t="s">
        <v>758</v>
      </c>
      <c r="U1273" s="74" t="s">
        <v>2053</v>
      </c>
      <c r="V1273" s="74">
        <v>44362</v>
      </c>
      <c r="W1273" s="74">
        <v>44397</v>
      </c>
      <c r="X1273" s="55">
        <v>10195323</v>
      </c>
      <c r="AL1273" s="74"/>
      <c r="AM1273" s="74"/>
      <c r="AW1273" s="74"/>
      <c r="AX1273" s="74"/>
    </row>
    <row r="1274" spans="1:50" ht="13" x14ac:dyDescent="0.15">
      <c r="A1274" s="55" t="str">
        <f>HYPERLINK("http://reports.ofsted.gov.uk/inspection-reports/find-inspection-report/provider/CARE/2589579","Ofsted Social Care Provider Webpage")</f>
        <v>Ofsted Social Care Provider Webpage</v>
      </c>
      <c r="B1274" s="55">
        <v>2589579</v>
      </c>
      <c r="D1274" s="55" t="s">
        <v>373</v>
      </c>
      <c r="E1274" s="74">
        <v>43938</v>
      </c>
      <c r="F1274" s="55" t="s">
        <v>344</v>
      </c>
      <c r="G1274" s="55" t="s">
        <v>360</v>
      </c>
      <c r="H1274" s="55" t="s">
        <v>360</v>
      </c>
      <c r="I1274" s="55" t="s">
        <v>360</v>
      </c>
      <c r="J1274" s="55" t="s">
        <v>360</v>
      </c>
      <c r="K1274" s="55" t="s">
        <v>360</v>
      </c>
      <c r="L1274" s="55" t="s">
        <v>360</v>
      </c>
      <c r="M1274" s="55" t="s">
        <v>172</v>
      </c>
      <c r="N1274" s="55" t="s">
        <v>172</v>
      </c>
      <c r="O1274" s="55" t="s">
        <v>234</v>
      </c>
      <c r="P1274" s="55" t="s">
        <v>965</v>
      </c>
      <c r="Q1274" s="55" t="s">
        <v>350</v>
      </c>
      <c r="R1274" s="85">
        <v>3</v>
      </c>
      <c r="S1274" s="55">
        <v>0</v>
      </c>
      <c r="T1274" s="74" t="s">
        <v>1375</v>
      </c>
      <c r="U1274" s="74" t="s">
        <v>351</v>
      </c>
      <c r="V1274" s="74">
        <v>44572</v>
      </c>
      <c r="W1274" s="74">
        <v>44608</v>
      </c>
      <c r="X1274" s="55">
        <v>10185456</v>
      </c>
      <c r="Y1274" s="55" t="s">
        <v>140</v>
      </c>
      <c r="AB1274" s="74" t="s">
        <v>140</v>
      </c>
      <c r="AC1274" s="55" t="s">
        <v>140</v>
      </c>
      <c r="AL1274" s="74"/>
      <c r="AM1274" s="74"/>
    </row>
    <row r="1275" spans="1:50" ht="13" x14ac:dyDescent="0.15">
      <c r="A1275" s="55" t="str">
        <f>HYPERLINK("http://reports.ofsted.gov.uk/inspection-reports/find-inspection-report/provider/CARE/2589621","Ofsted Social Care Provider Webpage")</f>
        <v>Ofsted Social Care Provider Webpage</v>
      </c>
      <c r="B1275" s="55">
        <v>2589621</v>
      </c>
      <c r="D1275" s="55" t="s">
        <v>373</v>
      </c>
      <c r="E1275" s="74">
        <v>43948</v>
      </c>
      <c r="F1275" s="55" t="s">
        <v>344</v>
      </c>
      <c r="G1275" s="55" t="s">
        <v>360</v>
      </c>
      <c r="H1275" s="55" t="s">
        <v>360</v>
      </c>
      <c r="I1275" s="55" t="s">
        <v>360</v>
      </c>
      <c r="J1275" s="55" t="s">
        <v>360</v>
      </c>
      <c r="K1275" s="55" t="s">
        <v>360</v>
      </c>
      <c r="L1275" s="55" t="s">
        <v>360</v>
      </c>
      <c r="M1275" s="55" t="s">
        <v>144</v>
      </c>
      <c r="N1275" s="55" t="s">
        <v>144</v>
      </c>
      <c r="O1275" s="55" t="s">
        <v>215</v>
      </c>
      <c r="P1275" s="55" t="s">
        <v>1203</v>
      </c>
      <c r="Q1275" s="55" t="s">
        <v>350</v>
      </c>
      <c r="R1275" s="85">
        <v>3</v>
      </c>
      <c r="S1275" s="55">
        <v>0</v>
      </c>
      <c r="T1275" s="74" t="s">
        <v>489</v>
      </c>
      <c r="U1275" s="74" t="s">
        <v>351</v>
      </c>
      <c r="V1275" s="74">
        <v>44495</v>
      </c>
      <c r="W1275" s="74">
        <v>44539</v>
      </c>
      <c r="X1275" s="55">
        <v>10185833</v>
      </c>
      <c r="Y1275" s="55" t="s">
        <v>132</v>
      </c>
      <c r="AB1275" s="74" t="s">
        <v>132</v>
      </c>
      <c r="AC1275" s="55" t="s">
        <v>132</v>
      </c>
      <c r="AL1275" s="74"/>
      <c r="AM1275" s="74"/>
      <c r="AW1275" s="74"/>
      <c r="AX1275" s="74"/>
    </row>
    <row r="1276" spans="1:50" ht="13" x14ac:dyDescent="0.15">
      <c r="A1276" s="55" t="str">
        <f>HYPERLINK("http://reports.ofsted.gov.uk/inspection-reports/find-inspection-report/provider/CARE/2589771","Ofsted Social Care Provider Webpage")</f>
        <v>Ofsted Social Care Provider Webpage</v>
      </c>
      <c r="B1276" s="55">
        <v>2589771</v>
      </c>
      <c r="D1276" s="55" t="s">
        <v>373</v>
      </c>
      <c r="E1276" s="74">
        <v>43950</v>
      </c>
      <c r="F1276" s="55" t="s">
        <v>344</v>
      </c>
      <c r="G1276" s="55" t="s">
        <v>360</v>
      </c>
      <c r="H1276" s="55" t="s">
        <v>360</v>
      </c>
      <c r="I1276" s="55" t="s">
        <v>360</v>
      </c>
      <c r="J1276" s="55" t="s">
        <v>360</v>
      </c>
      <c r="K1276" s="55" t="s">
        <v>360</v>
      </c>
      <c r="L1276" s="55" t="s">
        <v>360</v>
      </c>
      <c r="M1276" s="55" t="s">
        <v>378</v>
      </c>
      <c r="N1276" s="55" t="s">
        <v>134</v>
      </c>
      <c r="O1276" s="55" t="s">
        <v>204</v>
      </c>
      <c r="P1276" s="55" t="s">
        <v>929</v>
      </c>
      <c r="Q1276" s="55" t="s">
        <v>380</v>
      </c>
      <c r="R1276" s="85">
        <v>2</v>
      </c>
      <c r="S1276" s="55">
        <v>0</v>
      </c>
      <c r="T1276" s="74" t="s">
        <v>1479</v>
      </c>
      <c r="U1276" s="74" t="s">
        <v>351</v>
      </c>
      <c r="V1276" s="74">
        <v>44509</v>
      </c>
      <c r="W1276" s="74">
        <v>44550</v>
      </c>
      <c r="X1276" s="55">
        <v>10185718</v>
      </c>
      <c r="Y1276" s="55" t="s">
        <v>140</v>
      </c>
      <c r="AB1276" s="74" t="s">
        <v>140</v>
      </c>
      <c r="AC1276" s="55" t="s">
        <v>140</v>
      </c>
      <c r="AL1276" s="74"/>
      <c r="AM1276" s="74"/>
      <c r="AW1276" s="74"/>
      <c r="AX1276" s="74"/>
    </row>
    <row r="1277" spans="1:50" ht="13" x14ac:dyDescent="0.15">
      <c r="A1277" s="55" t="str">
        <f>HYPERLINK("http://reports.ofsted.gov.uk/inspection-reports/find-inspection-report/provider/CARE/2589848","Ofsted Social Care Provider Webpage")</f>
        <v>Ofsted Social Care Provider Webpage</v>
      </c>
      <c r="B1277" s="55">
        <v>2589848</v>
      </c>
      <c r="D1277" s="55" t="s">
        <v>389</v>
      </c>
      <c r="E1277" s="74">
        <v>44035</v>
      </c>
      <c r="F1277" s="55" t="s">
        <v>344</v>
      </c>
      <c r="G1277" s="55" t="s">
        <v>1843</v>
      </c>
      <c r="H1277" s="55" t="s">
        <v>1844</v>
      </c>
      <c r="I1277" s="55" t="s">
        <v>1845</v>
      </c>
      <c r="J1277" s="55" t="s">
        <v>1846</v>
      </c>
      <c r="L1277" s="55" t="s">
        <v>531</v>
      </c>
      <c r="M1277" s="55" t="s">
        <v>129</v>
      </c>
      <c r="N1277" s="55" t="s">
        <v>129</v>
      </c>
      <c r="O1277" s="55" t="s">
        <v>197</v>
      </c>
      <c r="P1277" s="55" t="s">
        <v>532</v>
      </c>
      <c r="Q1277" s="55" t="s">
        <v>350</v>
      </c>
      <c r="S1277" s="55">
        <v>0</v>
      </c>
      <c r="T1277" s="74" t="s">
        <v>1843</v>
      </c>
      <c r="U1277" s="74" t="s">
        <v>351</v>
      </c>
      <c r="V1277" s="74">
        <v>44382</v>
      </c>
      <c r="W1277" s="74">
        <v>44417</v>
      </c>
      <c r="X1277" s="55">
        <v>10183193</v>
      </c>
      <c r="Y1277" s="55" t="s">
        <v>132</v>
      </c>
      <c r="AB1277" s="74" t="s">
        <v>132</v>
      </c>
      <c r="AC1277" s="55" t="s">
        <v>132</v>
      </c>
      <c r="AL1277" s="74"/>
      <c r="AM1277" s="74"/>
    </row>
    <row r="1278" spans="1:50" ht="13" x14ac:dyDescent="0.15">
      <c r="A1278" s="55" t="str">
        <f>HYPERLINK("http://reports.ofsted.gov.uk/inspection-reports/find-inspection-report/provider/CARE/2590109","Ofsted Social Care Provider Webpage")</f>
        <v>Ofsted Social Care Provider Webpage</v>
      </c>
      <c r="B1278" s="55">
        <v>2590109</v>
      </c>
      <c r="D1278" s="55" t="s">
        <v>373</v>
      </c>
      <c r="E1278" s="74">
        <v>43992</v>
      </c>
      <c r="F1278" s="55" t="s">
        <v>344</v>
      </c>
      <c r="G1278" s="55" t="s">
        <v>360</v>
      </c>
      <c r="H1278" s="55" t="s">
        <v>360</v>
      </c>
      <c r="I1278" s="55" t="s">
        <v>360</v>
      </c>
      <c r="J1278" s="55" t="s">
        <v>360</v>
      </c>
      <c r="K1278" s="55" t="s">
        <v>360</v>
      </c>
      <c r="L1278" s="55" t="s">
        <v>360</v>
      </c>
      <c r="M1278" s="55" t="s">
        <v>144</v>
      </c>
      <c r="N1278" s="55" t="s">
        <v>144</v>
      </c>
      <c r="O1278" s="55" t="s">
        <v>157</v>
      </c>
      <c r="P1278" s="55" t="s">
        <v>1092</v>
      </c>
      <c r="Q1278" s="55" t="s">
        <v>350</v>
      </c>
      <c r="R1278" s="85">
        <v>3</v>
      </c>
      <c r="S1278" s="55">
        <v>0</v>
      </c>
      <c r="T1278" s="74" t="s">
        <v>1161</v>
      </c>
      <c r="U1278" s="74" t="s">
        <v>351</v>
      </c>
      <c r="V1278" s="74">
        <v>44607</v>
      </c>
      <c r="W1278" s="74">
        <v>44650</v>
      </c>
      <c r="X1278" s="55">
        <v>10187574</v>
      </c>
      <c r="Y1278" s="55" t="s">
        <v>132</v>
      </c>
      <c r="AB1278" s="74" t="s">
        <v>132</v>
      </c>
      <c r="AC1278" s="55" t="s">
        <v>132</v>
      </c>
      <c r="AL1278" s="74"/>
      <c r="AM1278" s="74"/>
      <c r="AW1278" s="74"/>
      <c r="AX1278" s="74"/>
    </row>
    <row r="1279" spans="1:50" ht="13" x14ac:dyDescent="0.15">
      <c r="A1279" s="55" t="str">
        <f>HYPERLINK("http://reports.ofsted.gov.uk/inspection-reports/find-inspection-report/provider/CARE/2590128","Ofsted Social Care Provider Webpage")</f>
        <v>Ofsted Social Care Provider Webpage</v>
      </c>
      <c r="B1279" s="55">
        <v>2590128</v>
      </c>
      <c r="D1279" s="55" t="s">
        <v>373</v>
      </c>
      <c r="E1279" s="74">
        <v>43973</v>
      </c>
      <c r="F1279" s="55" t="s">
        <v>344</v>
      </c>
      <c r="G1279" s="55" t="s">
        <v>360</v>
      </c>
      <c r="H1279" s="55" t="s">
        <v>360</v>
      </c>
      <c r="I1279" s="55" t="s">
        <v>360</v>
      </c>
      <c r="J1279" s="55" t="s">
        <v>360</v>
      </c>
      <c r="K1279" s="55" t="s">
        <v>360</v>
      </c>
      <c r="L1279" s="55" t="s">
        <v>360</v>
      </c>
      <c r="M1279" s="55" t="s">
        <v>144</v>
      </c>
      <c r="N1279" s="55" t="s">
        <v>144</v>
      </c>
      <c r="O1279" s="55" t="s">
        <v>263</v>
      </c>
      <c r="P1279" s="55" t="s">
        <v>1211</v>
      </c>
      <c r="Q1279" s="55" t="s">
        <v>362</v>
      </c>
      <c r="R1279" s="85">
        <v>4</v>
      </c>
      <c r="S1279" s="55" t="s">
        <v>332</v>
      </c>
      <c r="T1279" s="74" t="s">
        <v>1847</v>
      </c>
      <c r="U1279" s="74" t="s">
        <v>351</v>
      </c>
      <c r="V1279" s="74">
        <v>44376</v>
      </c>
      <c r="W1279" s="74">
        <v>44410</v>
      </c>
      <c r="X1279" s="55">
        <v>10186914</v>
      </c>
      <c r="Y1279" s="55" t="s">
        <v>132</v>
      </c>
      <c r="AB1279" s="74" t="s">
        <v>132</v>
      </c>
      <c r="AC1279" s="55" t="s">
        <v>132</v>
      </c>
      <c r="AL1279" s="74"/>
      <c r="AM1279" s="74"/>
      <c r="AW1279" s="74"/>
      <c r="AX1279" s="74"/>
    </row>
    <row r="1280" spans="1:50" ht="13" x14ac:dyDescent="0.15">
      <c r="A1280" s="55" t="str">
        <f>HYPERLINK("http://reports.ofsted.gov.uk/inspection-reports/find-inspection-report/provider/CARE/2590342","Ofsted Social Care Provider Webpage")</f>
        <v>Ofsted Social Care Provider Webpage</v>
      </c>
      <c r="B1280" s="55">
        <v>2590342</v>
      </c>
      <c r="D1280" s="55" t="s">
        <v>373</v>
      </c>
      <c r="E1280" s="74">
        <v>43999</v>
      </c>
      <c r="F1280" s="55" t="s">
        <v>344</v>
      </c>
      <c r="G1280" s="55" t="s">
        <v>360</v>
      </c>
      <c r="H1280" s="55" t="s">
        <v>360</v>
      </c>
      <c r="I1280" s="55" t="s">
        <v>360</v>
      </c>
      <c r="J1280" s="55" t="s">
        <v>360</v>
      </c>
      <c r="K1280" s="55" t="s">
        <v>360</v>
      </c>
      <c r="L1280" s="55" t="s">
        <v>360</v>
      </c>
      <c r="M1280" s="55" t="s">
        <v>144</v>
      </c>
      <c r="N1280" s="55" t="s">
        <v>144</v>
      </c>
      <c r="O1280" s="55" t="s">
        <v>162</v>
      </c>
      <c r="P1280" s="55" t="s">
        <v>686</v>
      </c>
      <c r="Q1280" s="55" t="s">
        <v>350</v>
      </c>
      <c r="R1280" s="85">
        <v>3</v>
      </c>
      <c r="S1280" s="55">
        <v>0</v>
      </c>
      <c r="T1280" s="74" t="s">
        <v>917</v>
      </c>
      <c r="U1280" s="74" t="s">
        <v>351</v>
      </c>
      <c r="V1280" s="74">
        <v>44538</v>
      </c>
      <c r="W1280" s="74">
        <v>44586</v>
      </c>
      <c r="X1280" s="55">
        <v>10185266</v>
      </c>
      <c r="Y1280" s="55" t="s">
        <v>132</v>
      </c>
      <c r="AB1280" s="74" t="s">
        <v>132</v>
      </c>
      <c r="AC1280" s="55" t="s">
        <v>132</v>
      </c>
      <c r="AL1280" s="74"/>
      <c r="AM1280" s="74"/>
    </row>
    <row r="1281" spans="1:50" ht="13" x14ac:dyDescent="0.15">
      <c r="A1281" s="55" t="str">
        <f>HYPERLINK("http://reports.ofsted.gov.uk/inspection-reports/find-inspection-report/provider/CARE/2590405","Ofsted Social Care Provider Webpage")</f>
        <v>Ofsted Social Care Provider Webpage</v>
      </c>
      <c r="B1281" s="55">
        <v>2590405</v>
      </c>
      <c r="D1281" s="55" t="s">
        <v>373</v>
      </c>
      <c r="E1281" s="74">
        <v>44025</v>
      </c>
      <c r="F1281" s="55" t="s">
        <v>344</v>
      </c>
      <c r="G1281" s="55" t="s">
        <v>360</v>
      </c>
      <c r="H1281" s="55" t="s">
        <v>360</v>
      </c>
      <c r="I1281" s="55" t="s">
        <v>360</v>
      </c>
      <c r="J1281" s="55" t="s">
        <v>360</v>
      </c>
      <c r="K1281" s="55" t="s">
        <v>360</v>
      </c>
      <c r="L1281" s="55" t="s">
        <v>360</v>
      </c>
      <c r="M1281" s="55" t="s">
        <v>142</v>
      </c>
      <c r="N1281" s="55" t="s">
        <v>142</v>
      </c>
      <c r="O1281" s="55" t="s">
        <v>262</v>
      </c>
      <c r="P1281" s="55" t="s">
        <v>949</v>
      </c>
      <c r="Q1281" s="55" t="s">
        <v>350</v>
      </c>
      <c r="R1281" s="85">
        <v>3</v>
      </c>
      <c r="S1281" s="55">
        <v>0</v>
      </c>
      <c r="T1281" s="74" t="s">
        <v>1473</v>
      </c>
      <c r="U1281" s="74" t="s">
        <v>351</v>
      </c>
      <c r="V1281" s="74">
        <v>44593</v>
      </c>
      <c r="W1281" s="74">
        <v>44623</v>
      </c>
      <c r="X1281" s="55">
        <v>10185250</v>
      </c>
      <c r="Y1281" s="55" t="s">
        <v>132</v>
      </c>
      <c r="AB1281" s="74" t="s">
        <v>132</v>
      </c>
      <c r="AC1281" s="55" t="s">
        <v>132</v>
      </c>
      <c r="AL1281" s="74"/>
      <c r="AM1281" s="74"/>
      <c r="AW1281" s="74"/>
      <c r="AX1281" s="74"/>
    </row>
    <row r="1282" spans="1:50" ht="13" x14ac:dyDescent="0.15">
      <c r="A1282" s="55" t="str">
        <f>HYPERLINK("http://reports.ofsted.gov.uk/inspection-reports/find-inspection-report/provider/CARE/2590408","Ofsted Social Care Provider Webpage")</f>
        <v>Ofsted Social Care Provider Webpage</v>
      </c>
      <c r="B1282" s="55">
        <v>2590408</v>
      </c>
      <c r="D1282" s="55" t="s">
        <v>373</v>
      </c>
      <c r="E1282" s="74">
        <v>44062</v>
      </c>
      <c r="F1282" s="55" t="s">
        <v>344</v>
      </c>
      <c r="G1282" s="55" t="s">
        <v>360</v>
      </c>
      <c r="H1282" s="55" t="s">
        <v>360</v>
      </c>
      <c r="I1282" s="55" t="s">
        <v>360</v>
      </c>
      <c r="J1282" s="55" t="s">
        <v>360</v>
      </c>
      <c r="K1282" s="55" t="s">
        <v>360</v>
      </c>
      <c r="L1282" s="55" t="s">
        <v>360</v>
      </c>
      <c r="M1282" s="55" t="s">
        <v>142</v>
      </c>
      <c r="N1282" s="55" t="s">
        <v>142</v>
      </c>
      <c r="O1282" s="55" t="s">
        <v>262</v>
      </c>
      <c r="P1282" s="55" t="s">
        <v>916</v>
      </c>
      <c r="Q1282" s="55" t="s">
        <v>350</v>
      </c>
      <c r="R1282" s="85">
        <v>3</v>
      </c>
      <c r="S1282" s="55">
        <v>0</v>
      </c>
      <c r="T1282" s="74" t="s">
        <v>1848</v>
      </c>
      <c r="U1282" s="74" t="s">
        <v>351</v>
      </c>
      <c r="V1282" s="74">
        <v>44369</v>
      </c>
      <c r="W1282" s="74">
        <v>44410</v>
      </c>
      <c r="X1282" s="55">
        <v>10187331</v>
      </c>
      <c r="Y1282" s="55" t="s">
        <v>132</v>
      </c>
      <c r="AB1282" s="74" t="s">
        <v>132</v>
      </c>
      <c r="AC1282" s="55" t="s">
        <v>132</v>
      </c>
      <c r="AL1282" s="74"/>
      <c r="AM1282" s="74"/>
    </row>
    <row r="1283" spans="1:50" ht="13" x14ac:dyDescent="0.15">
      <c r="A1283" s="55" t="str">
        <f>HYPERLINK("http://reports.ofsted.gov.uk/inspection-reports/find-inspection-report/provider/CARE/2590578","Ofsted Social Care Provider Webpage")</f>
        <v>Ofsted Social Care Provider Webpage</v>
      </c>
      <c r="B1283" s="55">
        <v>2590578</v>
      </c>
      <c r="D1283" s="55" t="s">
        <v>373</v>
      </c>
      <c r="E1283" s="74">
        <v>44169</v>
      </c>
      <c r="F1283" s="55" t="s">
        <v>344</v>
      </c>
      <c r="G1283" s="55" t="s">
        <v>360</v>
      </c>
      <c r="H1283" s="55" t="s">
        <v>360</v>
      </c>
      <c r="I1283" s="55" t="s">
        <v>360</v>
      </c>
      <c r="J1283" s="55" t="s">
        <v>360</v>
      </c>
      <c r="K1283" s="55" t="s">
        <v>360</v>
      </c>
      <c r="L1283" s="55" t="s">
        <v>360</v>
      </c>
      <c r="M1283" s="55" t="s">
        <v>138</v>
      </c>
      <c r="N1283" s="55" t="s">
        <v>138</v>
      </c>
      <c r="O1283" s="55" t="s">
        <v>196</v>
      </c>
      <c r="P1283" s="55" t="s">
        <v>848</v>
      </c>
      <c r="Q1283" s="55" t="s">
        <v>350</v>
      </c>
      <c r="R1283" s="85">
        <v>4</v>
      </c>
      <c r="S1283" s="55">
        <v>0</v>
      </c>
      <c r="T1283" s="74" t="s">
        <v>1507</v>
      </c>
      <c r="U1283" s="74" t="s">
        <v>6703</v>
      </c>
      <c r="V1283" s="74">
        <v>44571</v>
      </c>
      <c r="W1283" s="74">
        <v>44589</v>
      </c>
      <c r="X1283" s="55">
        <v>10205273</v>
      </c>
      <c r="Y1283" s="55" t="s">
        <v>6705</v>
      </c>
      <c r="AL1283" s="74"/>
      <c r="AM1283" s="74"/>
      <c r="AW1283" s="74"/>
      <c r="AX1283" s="74"/>
    </row>
    <row r="1284" spans="1:50" ht="13" x14ac:dyDescent="0.15">
      <c r="A1284" s="55" t="str">
        <f>HYPERLINK("http://reports.ofsted.gov.uk/inspection-reports/find-inspection-report/provider/CARE/2590578","Ofsted Social Care Provider Webpage")</f>
        <v>Ofsted Social Care Provider Webpage</v>
      </c>
      <c r="B1284" s="55">
        <v>2590578</v>
      </c>
      <c r="D1284" s="55" t="s">
        <v>373</v>
      </c>
      <c r="E1284" s="74">
        <v>44169</v>
      </c>
      <c r="F1284" s="55" t="s">
        <v>344</v>
      </c>
      <c r="G1284" s="55" t="s">
        <v>360</v>
      </c>
      <c r="H1284" s="55" t="s">
        <v>360</v>
      </c>
      <c r="I1284" s="55" t="s">
        <v>360</v>
      </c>
      <c r="J1284" s="55" t="s">
        <v>360</v>
      </c>
      <c r="K1284" s="55" t="s">
        <v>360</v>
      </c>
      <c r="L1284" s="55" t="s">
        <v>360</v>
      </c>
      <c r="M1284" s="55" t="s">
        <v>138</v>
      </c>
      <c r="N1284" s="55" t="s">
        <v>138</v>
      </c>
      <c r="O1284" s="55" t="s">
        <v>196</v>
      </c>
      <c r="P1284" s="55" t="s">
        <v>848</v>
      </c>
      <c r="Q1284" s="55" t="s">
        <v>350</v>
      </c>
      <c r="R1284" s="85">
        <v>4</v>
      </c>
      <c r="S1284" s="55">
        <v>0</v>
      </c>
      <c r="T1284" s="74" t="s">
        <v>1507</v>
      </c>
      <c r="U1284" s="74" t="s">
        <v>351</v>
      </c>
      <c r="V1284" s="74">
        <v>44377</v>
      </c>
      <c r="W1284" s="74">
        <v>44407</v>
      </c>
      <c r="X1284" s="55">
        <v>10185986</v>
      </c>
      <c r="Y1284" s="55" t="s">
        <v>130</v>
      </c>
      <c r="AB1284" s="74" t="s">
        <v>130</v>
      </c>
      <c r="AC1284" s="55" t="s">
        <v>130</v>
      </c>
      <c r="AL1284" s="74"/>
      <c r="AM1284" s="74"/>
    </row>
    <row r="1285" spans="1:50" ht="13" x14ac:dyDescent="0.15">
      <c r="A1285" s="55" t="str">
        <f>HYPERLINK("http://reports.ofsted.gov.uk/inspection-reports/find-inspection-report/provider/CARE/2590699","Ofsted Social Care Provider Webpage")</f>
        <v>Ofsted Social Care Provider Webpage</v>
      </c>
      <c r="B1285" s="55">
        <v>2590699</v>
      </c>
      <c r="D1285" s="55" t="s">
        <v>373</v>
      </c>
      <c r="E1285" s="74">
        <v>43992</v>
      </c>
      <c r="F1285" s="55" t="s">
        <v>344</v>
      </c>
      <c r="G1285" s="55" t="s">
        <v>360</v>
      </c>
      <c r="H1285" s="55" t="s">
        <v>360</v>
      </c>
      <c r="I1285" s="55" t="s">
        <v>360</v>
      </c>
      <c r="J1285" s="55" t="s">
        <v>360</v>
      </c>
      <c r="K1285" s="55" t="s">
        <v>360</v>
      </c>
      <c r="L1285" s="55" t="s">
        <v>360</v>
      </c>
      <c r="M1285" s="55" t="s">
        <v>144</v>
      </c>
      <c r="N1285" s="55" t="s">
        <v>144</v>
      </c>
      <c r="O1285" s="55" t="s">
        <v>248</v>
      </c>
      <c r="P1285" s="55" t="s">
        <v>492</v>
      </c>
      <c r="Q1285" s="55" t="s">
        <v>350</v>
      </c>
      <c r="R1285" s="85">
        <v>4</v>
      </c>
      <c r="S1285" s="55">
        <v>0</v>
      </c>
      <c r="T1285" s="74" t="s">
        <v>1541</v>
      </c>
      <c r="U1285" s="74" t="s">
        <v>6703</v>
      </c>
      <c r="V1285" s="74">
        <v>44502</v>
      </c>
      <c r="W1285" s="74">
        <v>44532</v>
      </c>
      <c r="X1285" s="55">
        <v>10209592</v>
      </c>
      <c r="Y1285" s="55" t="s">
        <v>6706</v>
      </c>
      <c r="AL1285" s="74"/>
      <c r="AM1285" s="74"/>
      <c r="AW1285" s="74"/>
      <c r="AX1285" s="74"/>
    </row>
    <row r="1286" spans="1:50" ht="13" x14ac:dyDescent="0.15">
      <c r="A1286" s="55" t="str">
        <f>HYPERLINK("http://reports.ofsted.gov.uk/inspection-reports/find-inspection-report/provider/CARE/2590699","Ofsted Social Care Provider Webpage")</f>
        <v>Ofsted Social Care Provider Webpage</v>
      </c>
      <c r="B1286" s="55">
        <v>2590699</v>
      </c>
      <c r="D1286" s="55" t="s">
        <v>373</v>
      </c>
      <c r="E1286" s="74">
        <v>43992</v>
      </c>
      <c r="F1286" s="55" t="s">
        <v>344</v>
      </c>
      <c r="G1286" s="55" t="s">
        <v>360</v>
      </c>
      <c r="H1286" s="55" t="s">
        <v>360</v>
      </c>
      <c r="I1286" s="55" t="s">
        <v>360</v>
      </c>
      <c r="J1286" s="55" t="s">
        <v>360</v>
      </c>
      <c r="K1286" s="55" t="s">
        <v>360</v>
      </c>
      <c r="L1286" s="55" t="s">
        <v>360</v>
      </c>
      <c r="M1286" s="55" t="s">
        <v>144</v>
      </c>
      <c r="N1286" s="55" t="s">
        <v>144</v>
      </c>
      <c r="O1286" s="55" t="s">
        <v>248</v>
      </c>
      <c r="P1286" s="55" t="s">
        <v>492</v>
      </c>
      <c r="Q1286" s="55" t="s">
        <v>350</v>
      </c>
      <c r="R1286" s="85">
        <v>4</v>
      </c>
      <c r="S1286" s="55">
        <v>0</v>
      </c>
      <c r="T1286" s="74" t="s">
        <v>1541</v>
      </c>
      <c r="U1286" s="74" t="s">
        <v>351</v>
      </c>
      <c r="V1286" s="74">
        <v>44327</v>
      </c>
      <c r="W1286" s="74">
        <v>44356</v>
      </c>
      <c r="X1286" s="55">
        <v>10186799</v>
      </c>
      <c r="Y1286" s="55" t="s">
        <v>130</v>
      </c>
      <c r="AB1286" s="74" t="s">
        <v>130</v>
      </c>
      <c r="AC1286" s="55" t="s">
        <v>130</v>
      </c>
      <c r="AL1286" s="74"/>
      <c r="AM1286" s="74"/>
      <c r="AW1286" s="74"/>
      <c r="AX1286" s="74"/>
    </row>
    <row r="1287" spans="1:50" ht="13" x14ac:dyDescent="0.15">
      <c r="A1287" s="55" t="str">
        <f>HYPERLINK("http://reports.ofsted.gov.uk/inspection-reports/find-inspection-report/provider/CARE/2590726","Ofsted Social Care Provider Webpage")</f>
        <v>Ofsted Social Care Provider Webpage</v>
      </c>
      <c r="B1287" s="55">
        <v>2590726</v>
      </c>
      <c r="D1287" s="55" t="s">
        <v>373</v>
      </c>
      <c r="E1287" s="74">
        <v>44026</v>
      </c>
      <c r="F1287" s="55" t="s">
        <v>344</v>
      </c>
      <c r="G1287" s="55" t="s">
        <v>360</v>
      </c>
      <c r="H1287" s="55" t="s">
        <v>360</v>
      </c>
      <c r="I1287" s="55" t="s">
        <v>360</v>
      </c>
      <c r="J1287" s="55" t="s">
        <v>360</v>
      </c>
      <c r="K1287" s="55" t="s">
        <v>360</v>
      </c>
      <c r="L1287" s="55" t="s">
        <v>360</v>
      </c>
      <c r="M1287" s="55" t="s">
        <v>144</v>
      </c>
      <c r="N1287" s="55" t="s">
        <v>144</v>
      </c>
      <c r="O1287" s="55" t="s">
        <v>209</v>
      </c>
      <c r="P1287" s="55" t="s">
        <v>544</v>
      </c>
      <c r="Q1287" s="55" t="s">
        <v>350</v>
      </c>
      <c r="R1287" s="85">
        <v>2</v>
      </c>
      <c r="S1287" s="55">
        <v>0</v>
      </c>
      <c r="T1287" s="74" t="s">
        <v>485</v>
      </c>
      <c r="U1287" s="74" t="s">
        <v>351</v>
      </c>
      <c r="V1287" s="74">
        <v>44355</v>
      </c>
      <c r="W1287" s="74">
        <v>44385</v>
      </c>
      <c r="X1287" s="55">
        <v>10186915</v>
      </c>
      <c r="Y1287" s="55" t="s">
        <v>140</v>
      </c>
      <c r="AB1287" s="74" t="s">
        <v>140</v>
      </c>
      <c r="AC1287" s="55" t="s">
        <v>140</v>
      </c>
      <c r="AL1287" s="74"/>
      <c r="AM1287" s="74"/>
    </row>
    <row r="1288" spans="1:50" ht="13" x14ac:dyDescent="0.15">
      <c r="A1288" s="55" t="str">
        <f>HYPERLINK("http://reports.ofsted.gov.uk/inspection-reports/find-inspection-report/provider/CARE/2590732","Ofsted Social Care Provider Webpage")</f>
        <v>Ofsted Social Care Provider Webpage</v>
      </c>
      <c r="B1288" s="55">
        <v>2590732</v>
      </c>
      <c r="D1288" s="55" t="s">
        <v>373</v>
      </c>
      <c r="E1288" s="74">
        <v>44021</v>
      </c>
      <c r="F1288" s="55" t="s">
        <v>344</v>
      </c>
      <c r="G1288" s="55" t="s">
        <v>360</v>
      </c>
      <c r="H1288" s="55" t="s">
        <v>360</v>
      </c>
      <c r="I1288" s="55" t="s">
        <v>360</v>
      </c>
      <c r="J1288" s="55" t="s">
        <v>360</v>
      </c>
      <c r="K1288" s="55" t="s">
        <v>360</v>
      </c>
      <c r="L1288" s="55" t="s">
        <v>360</v>
      </c>
      <c r="M1288" s="55" t="s">
        <v>144</v>
      </c>
      <c r="N1288" s="55" t="s">
        <v>144</v>
      </c>
      <c r="O1288" s="55" t="s">
        <v>209</v>
      </c>
      <c r="P1288" s="55" t="s">
        <v>364</v>
      </c>
      <c r="Q1288" s="55" t="s">
        <v>350</v>
      </c>
      <c r="R1288" s="85">
        <v>2</v>
      </c>
      <c r="S1288" s="55">
        <v>0</v>
      </c>
      <c r="T1288" s="74" t="s">
        <v>485</v>
      </c>
      <c r="U1288" s="74" t="s">
        <v>351</v>
      </c>
      <c r="V1288" s="74">
        <v>44572</v>
      </c>
      <c r="W1288" s="74">
        <v>44599</v>
      </c>
      <c r="X1288" s="55">
        <v>10185151</v>
      </c>
      <c r="Y1288" s="55" t="s">
        <v>132</v>
      </c>
      <c r="AB1288" s="74" t="s">
        <v>132</v>
      </c>
      <c r="AC1288" s="55" t="s">
        <v>132</v>
      </c>
      <c r="AL1288" s="74"/>
      <c r="AM1288" s="74"/>
      <c r="AW1288" s="74"/>
      <c r="AX1288" s="74"/>
    </row>
    <row r="1289" spans="1:50" ht="13" x14ac:dyDescent="0.15">
      <c r="A1289" s="55" t="str">
        <f>HYPERLINK("http://reports.ofsted.gov.uk/inspection-reports/find-inspection-report/provider/CARE/2590824","Ofsted Social Care Provider Webpage")</f>
        <v>Ofsted Social Care Provider Webpage</v>
      </c>
      <c r="B1289" s="55">
        <v>2590824</v>
      </c>
      <c r="D1289" s="55" t="s">
        <v>373</v>
      </c>
      <c r="E1289" s="74">
        <v>44071</v>
      </c>
      <c r="F1289" s="55" t="s">
        <v>344</v>
      </c>
      <c r="G1289" s="55" t="s">
        <v>360</v>
      </c>
      <c r="H1289" s="55" t="s">
        <v>360</v>
      </c>
      <c r="I1289" s="55" t="s">
        <v>360</v>
      </c>
      <c r="J1289" s="55" t="s">
        <v>360</v>
      </c>
      <c r="K1289" s="55" t="s">
        <v>360</v>
      </c>
      <c r="L1289" s="55" t="s">
        <v>360</v>
      </c>
      <c r="M1289" s="55" t="s">
        <v>129</v>
      </c>
      <c r="N1289" s="55" t="s">
        <v>129</v>
      </c>
      <c r="O1289" s="55" t="s">
        <v>179</v>
      </c>
      <c r="P1289" s="55" t="s">
        <v>1854</v>
      </c>
      <c r="Q1289" s="55" t="s">
        <v>362</v>
      </c>
      <c r="R1289" s="85">
        <v>6</v>
      </c>
      <c r="S1289" s="55">
        <v>0</v>
      </c>
      <c r="T1289" s="74" t="s">
        <v>367</v>
      </c>
      <c r="U1289" s="74" t="s">
        <v>351</v>
      </c>
      <c r="V1289" s="74">
        <v>44384</v>
      </c>
      <c r="W1289" s="74">
        <v>44417</v>
      </c>
      <c r="X1289" s="55">
        <v>10185932</v>
      </c>
      <c r="Y1289" s="55" t="s">
        <v>132</v>
      </c>
      <c r="AB1289" s="74" t="s">
        <v>132</v>
      </c>
      <c r="AC1289" s="55" t="s">
        <v>132</v>
      </c>
      <c r="AL1289" s="74"/>
      <c r="AM1289" s="74"/>
      <c r="AW1289" s="74"/>
      <c r="AX1289" s="74"/>
    </row>
    <row r="1290" spans="1:50" ht="13" x14ac:dyDescent="0.15">
      <c r="A1290" s="55" t="str">
        <f>HYPERLINK("http://reports.ofsted.gov.uk/inspection-reports/find-inspection-report/provider/CARE/2590832","Ofsted Social Care Provider Webpage")</f>
        <v>Ofsted Social Care Provider Webpage</v>
      </c>
      <c r="B1290" s="55">
        <v>2590832</v>
      </c>
      <c r="D1290" s="55" t="s">
        <v>373</v>
      </c>
      <c r="E1290" s="74">
        <v>44089</v>
      </c>
      <c r="F1290" s="55" t="s">
        <v>344</v>
      </c>
      <c r="G1290" s="55" t="s">
        <v>360</v>
      </c>
      <c r="H1290" s="55" t="s">
        <v>360</v>
      </c>
      <c r="I1290" s="55" t="s">
        <v>360</v>
      </c>
      <c r="J1290" s="55" t="s">
        <v>360</v>
      </c>
      <c r="K1290" s="55" t="s">
        <v>360</v>
      </c>
      <c r="L1290" s="55" t="s">
        <v>360</v>
      </c>
      <c r="M1290" s="55" t="s">
        <v>142</v>
      </c>
      <c r="N1290" s="55" t="s">
        <v>142</v>
      </c>
      <c r="O1290" s="55" t="s">
        <v>177</v>
      </c>
      <c r="P1290" s="55" t="s">
        <v>835</v>
      </c>
      <c r="Q1290" s="55" t="s">
        <v>350</v>
      </c>
      <c r="R1290" s="85">
        <v>3</v>
      </c>
      <c r="S1290" s="55">
        <v>0</v>
      </c>
      <c r="T1290" s="74" t="s">
        <v>1855</v>
      </c>
      <c r="U1290" s="74" t="s">
        <v>351</v>
      </c>
      <c r="V1290" s="74">
        <v>44524</v>
      </c>
      <c r="W1290" s="74">
        <v>44575</v>
      </c>
      <c r="X1290" s="55">
        <v>10186896</v>
      </c>
      <c r="Y1290" s="55" t="s">
        <v>132</v>
      </c>
      <c r="AB1290" s="74" t="s">
        <v>132</v>
      </c>
      <c r="AC1290" s="55" t="s">
        <v>130</v>
      </c>
      <c r="AL1290" s="74"/>
      <c r="AM1290" s="74"/>
    </row>
    <row r="1291" spans="1:50" ht="13" x14ac:dyDescent="0.15">
      <c r="A1291" s="55" t="str">
        <f>HYPERLINK("http://reports.ofsted.gov.uk/inspection-reports/find-inspection-report/provider/CARE/2590934","Ofsted Social Care Provider Webpage")</f>
        <v>Ofsted Social Care Provider Webpage</v>
      </c>
      <c r="B1291" s="55">
        <v>2590934</v>
      </c>
      <c r="D1291" s="55" t="s">
        <v>373</v>
      </c>
      <c r="E1291" s="74">
        <v>44007</v>
      </c>
      <c r="F1291" s="55" t="s">
        <v>344</v>
      </c>
      <c r="G1291" s="55" t="s">
        <v>360</v>
      </c>
      <c r="H1291" s="55" t="s">
        <v>360</v>
      </c>
      <c r="I1291" s="55" t="s">
        <v>360</v>
      </c>
      <c r="J1291" s="55" t="s">
        <v>360</v>
      </c>
      <c r="K1291" s="55" t="s">
        <v>360</v>
      </c>
      <c r="L1291" s="55" t="s">
        <v>360</v>
      </c>
      <c r="M1291" s="55" t="s">
        <v>129</v>
      </c>
      <c r="N1291" s="55" t="s">
        <v>129</v>
      </c>
      <c r="O1291" s="55" t="s">
        <v>213</v>
      </c>
      <c r="P1291" s="55" t="s">
        <v>1020</v>
      </c>
      <c r="Q1291" s="55" t="s">
        <v>350</v>
      </c>
      <c r="R1291" s="85">
        <v>2</v>
      </c>
      <c r="S1291" s="55">
        <v>0</v>
      </c>
      <c r="T1291" s="74" t="s">
        <v>1856</v>
      </c>
      <c r="U1291" s="74" t="s">
        <v>351</v>
      </c>
      <c r="V1291" s="74">
        <v>44355</v>
      </c>
      <c r="W1291" s="74">
        <v>44398</v>
      </c>
      <c r="X1291" s="55">
        <v>10187640</v>
      </c>
      <c r="Y1291" s="55" t="s">
        <v>132</v>
      </c>
      <c r="AB1291" s="74" t="s">
        <v>132</v>
      </c>
      <c r="AC1291" s="55" t="s">
        <v>130</v>
      </c>
      <c r="AL1291" s="74"/>
      <c r="AM1291" s="74"/>
      <c r="AW1291" s="74"/>
      <c r="AX1291" s="74"/>
    </row>
    <row r="1292" spans="1:50" ht="13" x14ac:dyDescent="0.15">
      <c r="A1292" s="55" t="str">
        <f>HYPERLINK("http://reports.ofsted.gov.uk/inspection-reports/find-inspection-report/provider/CARE/2590942","Ofsted Social Care Provider Webpage")</f>
        <v>Ofsted Social Care Provider Webpage</v>
      </c>
      <c r="B1292" s="55">
        <v>2590942</v>
      </c>
      <c r="D1292" s="55" t="s">
        <v>373</v>
      </c>
      <c r="E1292" s="74">
        <v>43955</v>
      </c>
      <c r="F1292" s="55" t="s">
        <v>344</v>
      </c>
      <c r="G1292" s="55" t="s">
        <v>360</v>
      </c>
      <c r="H1292" s="55" t="s">
        <v>360</v>
      </c>
      <c r="I1292" s="55" t="s">
        <v>360</v>
      </c>
      <c r="J1292" s="55" t="s">
        <v>360</v>
      </c>
      <c r="K1292" s="55" t="s">
        <v>360</v>
      </c>
      <c r="L1292" s="55" t="s">
        <v>360</v>
      </c>
      <c r="M1292" s="55" t="s">
        <v>378</v>
      </c>
      <c r="N1292" s="55" t="s">
        <v>134</v>
      </c>
      <c r="O1292" s="55" t="s">
        <v>158</v>
      </c>
      <c r="P1292" s="55" t="s">
        <v>480</v>
      </c>
      <c r="Q1292" s="55" t="s">
        <v>350</v>
      </c>
      <c r="R1292" s="85">
        <v>2</v>
      </c>
      <c r="S1292" s="55">
        <v>0</v>
      </c>
      <c r="T1292" s="74" t="s">
        <v>951</v>
      </c>
      <c r="U1292" s="74" t="s">
        <v>351</v>
      </c>
      <c r="V1292" s="74">
        <v>44621</v>
      </c>
      <c r="W1292" s="74">
        <v>44659</v>
      </c>
      <c r="X1292" s="55">
        <v>10186771</v>
      </c>
      <c r="Y1292" s="55" t="s">
        <v>140</v>
      </c>
      <c r="AB1292" s="74" t="s">
        <v>140</v>
      </c>
      <c r="AC1292" s="55" t="s">
        <v>140</v>
      </c>
      <c r="AL1292" s="74"/>
      <c r="AM1292" s="74"/>
      <c r="AW1292" s="74"/>
      <c r="AX1292" s="74"/>
    </row>
    <row r="1293" spans="1:50" ht="13" x14ac:dyDescent="0.15">
      <c r="A1293" s="55" t="str">
        <f>HYPERLINK("http://reports.ofsted.gov.uk/inspection-reports/find-inspection-report/provider/CARE/2591033","Ofsted Social Care Provider Webpage")</f>
        <v>Ofsted Social Care Provider Webpage</v>
      </c>
      <c r="B1293" s="55">
        <v>2591033</v>
      </c>
      <c r="D1293" s="55" t="s">
        <v>373</v>
      </c>
      <c r="E1293" s="74">
        <v>44005</v>
      </c>
      <c r="F1293" s="55" t="s">
        <v>344</v>
      </c>
      <c r="G1293" s="55" t="s">
        <v>360</v>
      </c>
      <c r="H1293" s="55" t="s">
        <v>360</v>
      </c>
      <c r="I1293" s="55" t="s">
        <v>360</v>
      </c>
      <c r="J1293" s="55" t="s">
        <v>360</v>
      </c>
      <c r="K1293" s="55" t="s">
        <v>360</v>
      </c>
      <c r="L1293" s="55" t="s">
        <v>360</v>
      </c>
      <c r="M1293" s="55" t="s">
        <v>172</v>
      </c>
      <c r="N1293" s="55" t="s">
        <v>172</v>
      </c>
      <c r="O1293" s="55" t="s">
        <v>234</v>
      </c>
      <c r="P1293" s="55" t="s">
        <v>965</v>
      </c>
      <c r="Q1293" s="55" t="s">
        <v>350</v>
      </c>
      <c r="R1293" s="85">
        <v>4</v>
      </c>
      <c r="S1293" s="55">
        <v>0</v>
      </c>
      <c r="T1293" s="74" t="s">
        <v>1857</v>
      </c>
      <c r="U1293" s="74" t="s">
        <v>351</v>
      </c>
      <c r="V1293" s="74">
        <v>44425</v>
      </c>
      <c r="W1293" s="74">
        <v>44454</v>
      </c>
      <c r="X1293" s="55">
        <v>10186944</v>
      </c>
      <c r="Y1293" s="55" t="s">
        <v>132</v>
      </c>
      <c r="AB1293" s="74" t="s">
        <v>132</v>
      </c>
      <c r="AC1293" s="55" t="s">
        <v>132</v>
      </c>
      <c r="AL1293" s="74"/>
      <c r="AM1293" s="74"/>
      <c r="AW1293" s="74"/>
      <c r="AX1293" s="74"/>
    </row>
    <row r="1294" spans="1:50" ht="13" x14ac:dyDescent="0.15">
      <c r="A1294" s="55" t="str">
        <f>HYPERLINK("http://reports.ofsted.gov.uk/inspection-reports/find-inspection-report/provider/CARE/2591400","Ofsted Social Care Provider Webpage")</f>
        <v>Ofsted Social Care Provider Webpage</v>
      </c>
      <c r="B1294" s="55">
        <v>2591400</v>
      </c>
      <c r="D1294" s="55" t="s">
        <v>373</v>
      </c>
      <c r="E1294" s="74">
        <v>43957</v>
      </c>
      <c r="F1294" s="55" t="s">
        <v>344</v>
      </c>
      <c r="G1294" s="55" t="s">
        <v>360</v>
      </c>
      <c r="H1294" s="55" t="s">
        <v>360</v>
      </c>
      <c r="I1294" s="55" t="s">
        <v>360</v>
      </c>
      <c r="J1294" s="55" t="s">
        <v>360</v>
      </c>
      <c r="K1294" s="55" t="s">
        <v>360</v>
      </c>
      <c r="L1294" s="55" t="s">
        <v>360</v>
      </c>
      <c r="M1294" s="55" t="s">
        <v>144</v>
      </c>
      <c r="N1294" s="55" t="s">
        <v>144</v>
      </c>
      <c r="O1294" s="55" t="s">
        <v>236</v>
      </c>
      <c r="P1294" s="55" t="s">
        <v>996</v>
      </c>
      <c r="Q1294" s="55" t="s">
        <v>350</v>
      </c>
      <c r="R1294" s="85">
        <v>3</v>
      </c>
      <c r="S1294" s="55">
        <v>0</v>
      </c>
      <c r="T1294" s="74" t="s">
        <v>1064</v>
      </c>
      <c r="U1294" s="74" t="s">
        <v>351</v>
      </c>
      <c r="V1294" s="74">
        <v>44488</v>
      </c>
      <c r="W1294" s="74">
        <v>44525</v>
      </c>
      <c r="X1294" s="55">
        <v>10187095</v>
      </c>
      <c r="Y1294" s="55" t="s">
        <v>132</v>
      </c>
      <c r="AB1294" s="74" t="s">
        <v>132</v>
      </c>
      <c r="AC1294" s="55" t="s">
        <v>140</v>
      </c>
      <c r="AL1294" s="74"/>
      <c r="AM1294" s="74"/>
      <c r="AW1294" s="74"/>
      <c r="AX1294" s="74"/>
    </row>
    <row r="1295" spans="1:50" ht="13" x14ac:dyDescent="0.15">
      <c r="A1295" s="55" t="str">
        <f>HYPERLINK("http://reports.ofsted.gov.uk/inspection-reports/find-inspection-report/provider/CARE/2591431","Ofsted Social Care Provider Webpage")</f>
        <v>Ofsted Social Care Provider Webpage</v>
      </c>
      <c r="B1295" s="55">
        <v>2591431</v>
      </c>
      <c r="D1295" s="55" t="s">
        <v>373</v>
      </c>
      <c r="E1295" s="74">
        <v>44032</v>
      </c>
      <c r="F1295" s="55" t="s">
        <v>344</v>
      </c>
      <c r="G1295" s="55" t="s">
        <v>360</v>
      </c>
      <c r="H1295" s="55" t="s">
        <v>360</v>
      </c>
      <c r="I1295" s="55" t="s">
        <v>360</v>
      </c>
      <c r="J1295" s="55" t="s">
        <v>360</v>
      </c>
      <c r="K1295" s="55" t="s">
        <v>360</v>
      </c>
      <c r="L1295" s="55" t="s">
        <v>360</v>
      </c>
      <c r="M1295" s="55" t="s">
        <v>138</v>
      </c>
      <c r="N1295" s="55" t="s">
        <v>138</v>
      </c>
      <c r="O1295" s="55" t="s">
        <v>183</v>
      </c>
      <c r="P1295" s="55" t="s">
        <v>730</v>
      </c>
      <c r="Q1295" s="55" t="s">
        <v>350</v>
      </c>
      <c r="R1295" s="85">
        <v>8</v>
      </c>
      <c r="S1295" s="55">
        <v>0</v>
      </c>
      <c r="T1295" s="74" t="s">
        <v>574</v>
      </c>
      <c r="U1295" s="74" t="s">
        <v>351</v>
      </c>
      <c r="V1295" s="74">
        <v>44425</v>
      </c>
      <c r="W1295" s="74">
        <v>44453</v>
      </c>
      <c r="X1295" s="55">
        <v>10187385</v>
      </c>
      <c r="Y1295" s="55" t="s">
        <v>132</v>
      </c>
      <c r="AB1295" s="74" t="s">
        <v>132</v>
      </c>
      <c r="AC1295" s="55" t="s">
        <v>132</v>
      </c>
      <c r="AL1295" s="74"/>
      <c r="AM1295" s="74"/>
      <c r="AW1295" s="74"/>
      <c r="AX1295" s="74"/>
    </row>
    <row r="1296" spans="1:50" ht="13" x14ac:dyDescent="0.15">
      <c r="A1296" s="55" t="str">
        <f>HYPERLINK("http://reports.ofsted.gov.uk/inspection-reports/find-inspection-report/provider/CARE/2591471","Ofsted Social Care Provider Webpage")</f>
        <v>Ofsted Social Care Provider Webpage</v>
      </c>
      <c r="B1296" s="55">
        <v>2591471</v>
      </c>
      <c r="D1296" s="55" t="s">
        <v>373</v>
      </c>
      <c r="E1296" s="74">
        <v>44147</v>
      </c>
      <c r="F1296" s="55" t="s">
        <v>344</v>
      </c>
      <c r="G1296" s="55" t="s">
        <v>360</v>
      </c>
      <c r="H1296" s="55" t="s">
        <v>360</v>
      </c>
      <c r="I1296" s="55" t="s">
        <v>360</v>
      </c>
      <c r="J1296" s="55" t="s">
        <v>360</v>
      </c>
      <c r="K1296" s="55" t="s">
        <v>360</v>
      </c>
      <c r="L1296" s="55" t="s">
        <v>360</v>
      </c>
      <c r="M1296" s="55" t="s">
        <v>378</v>
      </c>
      <c r="N1296" s="55" t="s">
        <v>170</v>
      </c>
      <c r="O1296" s="55" t="s">
        <v>267</v>
      </c>
      <c r="P1296" s="55" t="s">
        <v>477</v>
      </c>
      <c r="Q1296" s="55" t="s">
        <v>350</v>
      </c>
      <c r="R1296" s="85">
        <v>2</v>
      </c>
      <c r="S1296" s="55">
        <v>0</v>
      </c>
      <c r="T1296" s="74" t="s">
        <v>1699</v>
      </c>
      <c r="U1296" s="74" t="s">
        <v>351</v>
      </c>
      <c r="V1296" s="74">
        <v>44425</v>
      </c>
      <c r="W1296" s="74">
        <v>44456</v>
      </c>
      <c r="X1296" s="55">
        <v>10185780</v>
      </c>
      <c r="Y1296" s="55" t="s">
        <v>132</v>
      </c>
      <c r="AB1296" s="74" t="s">
        <v>132</v>
      </c>
      <c r="AC1296" s="55" t="s">
        <v>132</v>
      </c>
      <c r="AL1296" s="74"/>
      <c r="AM1296" s="74"/>
      <c r="AW1296" s="74"/>
      <c r="AX1296" s="74"/>
    </row>
    <row r="1297" spans="1:50" ht="13" x14ac:dyDescent="0.15">
      <c r="A1297" s="55" t="str">
        <f>HYPERLINK("http://reports.ofsted.gov.uk/inspection-reports/find-inspection-report/provider/CARE/2591479","Ofsted Social Care Provider Webpage")</f>
        <v>Ofsted Social Care Provider Webpage</v>
      </c>
      <c r="B1297" s="55">
        <v>2591479</v>
      </c>
      <c r="D1297" s="55" t="s">
        <v>373</v>
      </c>
      <c r="E1297" s="74">
        <v>44047</v>
      </c>
      <c r="F1297" s="55" t="s">
        <v>344</v>
      </c>
      <c r="G1297" s="55" t="s">
        <v>360</v>
      </c>
      <c r="H1297" s="55" t="s">
        <v>360</v>
      </c>
      <c r="I1297" s="55" t="s">
        <v>360</v>
      </c>
      <c r="J1297" s="55" t="s">
        <v>360</v>
      </c>
      <c r="K1297" s="55" t="s">
        <v>360</v>
      </c>
      <c r="L1297" s="55" t="s">
        <v>360</v>
      </c>
      <c r="M1297" s="55" t="s">
        <v>144</v>
      </c>
      <c r="N1297" s="55" t="s">
        <v>144</v>
      </c>
      <c r="O1297" s="55" t="s">
        <v>209</v>
      </c>
      <c r="P1297" s="55" t="s">
        <v>1858</v>
      </c>
      <c r="Q1297" s="55" t="s">
        <v>350</v>
      </c>
      <c r="R1297" s="85">
        <v>3</v>
      </c>
      <c r="S1297" s="55">
        <v>0</v>
      </c>
      <c r="T1297" s="74" t="s">
        <v>778</v>
      </c>
      <c r="U1297" s="74" t="s">
        <v>351</v>
      </c>
      <c r="V1297" s="74">
        <v>44517</v>
      </c>
      <c r="W1297" s="74">
        <v>44565</v>
      </c>
      <c r="X1297" s="55">
        <v>10186108</v>
      </c>
      <c r="Y1297" s="55" t="s">
        <v>130</v>
      </c>
      <c r="AB1297" s="74" t="s">
        <v>130</v>
      </c>
      <c r="AC1297" s="55" t="s">
        <v>130</v>
      </c>
      <c r="AL1297" s="74"/>
      <c r="AM1297" s="74"/>
      <c r="AW1297" s="74"/>
      <c r="AX1297" s="74"/>
    </row>
    <row r="1298" spans="1:50" ht="13" x14ac:dyDescent="0.15">
      <c r="A1298" s="55" t="str">
        <f>HYPERLINK("http://reports.ofsted.gov.uk/inspection-reports/find-inspection-report/provider/CARE/2591499","Ofsted Social Care Provider Webpage")</f>
        <v>Ofsted Social Care Provider Webpage</v>
      </c>
      <c r="B1298" s="55">
        <v>2591499</v>
      </c>
      <c r="D1298" s="55" t="s">
        <v>373</v>
      </c>
      <c r="E1298" s="74">
        <v>44138</v>
      </c>
      <c r="F1298" s="55" t="s">
        <v>344</v>
      </c>
      <c r="G1298" s="55" t="s">
        <v>360</v>
      </c>
      <c r="H1298" s="55" t="s">
        <v>360</v>
      </c>
      <c r="I1298" s="55" t="s">
        <v>360</v>
      </c>
      <c r="J1298" s="55" t="s">
        <v>360</v>
      </c>
      <c r="K1298" s="55" t="s">
        <v>360</v>
      </c>
      <c r="L1298" s="55" t="s">
        <v>360</v>
      </c>
      <c r="M1298" s="55" t="s">
        <v>378</v>
      </c>
      <c r="N1298" s="55" t="s">
        <v>134</v>
      </c>
      <c r="O1298" s="55" t="s">
        <v>180</v>
      </c>
      <c r="P1298" s="55" t="s">
        <v>662</v>
      </c>
      <c r="Q1298" s="55" t="s">
        <v>350</v>
      </c>
      <c r="R1298" s="85">
        <v>3</v>
      </c>
      <c r="S1298" s="55">
        <v>0</v>
      </c>
      <c r="T1298" s="74" t="s">
        <v>1484</v>
      </c>
      <c r="U1298" s="74" t="s">
        <v>351</v>
      </c>
      <c r="V1298" s="74">
        <v>44578</v>
      </c>
      <c r="W1298" s="74">
        <v>44613</v>
      </c>
      <c r="X1298" s="55">
        <v>10185790</v>
      </c>
      <c r="Y1298" s="55" t="s">
        <v>132</v>
      </c>
      <c r="AB1298" s="74" t="s">
        <v>132</v>
      </c>
      <c r="AC1298" s="55" t="s">
        <v>132</v>
      </c>
      <c r="AL1298" s="74"/>
      <c r="AM1298" s="74"/>
      <c r="AW1298" s="74"/>
      <c r="AX1298" s="74"/>
    </row>
    <row r="1299" spans="1:50" ht="13" x14ac:dyDescent="0.15">
      <c r="A1299" s="55" t="str">
        <f>HYPERLINK("http://reports.ofsted.gov.uk/inspection-reports/find-inspection-report/provider/CARE/2591501","Ofsted Social Care Provider Webpage")</f>
        <v>Ofsted Social Care Provider Webpage</v>
      </c>
      <c r="B1299" s="55">
        <v>2591501</v>
      </c>
      <c r="D1299" s="55" t="s">
        <v>373</v>
      </c>
      <c r="E1299" s="74">
        <v>44029</v>
      </c>
      <c r="F1299" s="55" t="s">
        <v>344</v>
      </c>
      <c r="G1299" s="55" t="s">
        <v>360</v>
      </c>
      <c r="H1299" s="55" t="s">
        <v>360</v>
      </c>
      <c r="I1299" s="55" t="s">
        <v>360</v>
      </c>
      <c r="J1299" s="55" t="s">
        <v>360</v>
      </c>
      <c r="K1299" s="55" t="s">
        <v>360</v>
      </c>
      <c r="L1299" s="55" t="s">
        <v>360</v>
      </c>
      <c r="M1299" s="55" t="s">
        <v>378</v>
      </c>
      <c r="N1299" s="55" t="s">
        <v>134</v>
      </c>
      <c r="O1299" s="55" t="s">
        <v>180</v>
      </c>
      <c r="P1299" s="55" t="s">
        <v>1483</v>
      </c>
      <c r="Q1299" s="55" t="s">
        <v>350</v>
      </c>
      <c r="R1299" s="85">
        <v>2</v>
      </c>
      <c r="S1299" s="55">
        <v>0</v>
      </c>
      <c r="T1299" s="74" t="s">
        <v>1484</v>
      </c>
      <c r="U1299" s="74" t="s">
        <v>351</v>
      </c>
      <c r="V1299" s="74">
        <v>44356</v>
      </c>
      <c r="W1299" s="74">
        <v>44400</v>
      </c>
      <c r="X1299" s="55">
        <v>10185684</v>
      </c>
      <c r="Y1299" s="55" t="s">
        <v>130</v>
      </c>
      <c r="AB1299" s="74" t="s">
        <v>130</v>
      </c>
      <c r="AC1299" s="55" t="s">
        <v>130</v>
      </c>
      <c r="AL1299" s="74"/>
      <c r="AM1299" s="74"/>
      <c r="AW1299" s="74"/>
      <c r="AX1299" s="74"/>
    </row>
    <row r="1300" spans="1:50" ht="13" x14ac:dyDescent="0.15">
      <c r="A1300" s="55" t="str">
        <f>HYPERLINK("http://reports.ofsted.gov.uk/inspection-reports/find-inspection-report/provider/CARE/2591688","Ofsted Social Care Provider Webpage")</f>
        <v>Ofsted Social Care Provider Webpage</v>
      </c>
      <c r="B1300" s="55">
        <v>2591688</v>
      </c>
      <c r="D1300" s="55" t="s">
        <v>373</v>
      </c>
      <c r="E1300" s="74">
        <v>43971</v>
      </c>
      <c r="F1300" s="55" t="s">
        <v>344</v>
      </c>
      <c r="G1300" s="55" t="s">
        <v>360</v>
      </c>
      <c r="H1300" s="55" t="s">
        <v>360</v>
      </c>
      <c r="I1300" s="55" t="s">
        <v>360</v>
      </c>
      <c r="J1300" s="55" t="s">
        <v>360</v>
      </c>
      <c r="K1300" s="55" t="s">
        <v>360</v>
      </c>
      <c r="L1300" s="55" t="s">
        <v>360</v>
      </c>
      <c r="M1300" s="55" t="s">
        <v>136</v>
      </c>
      <c r="N1300" s="55" t="s">
        <v>136</v>
      </c>
      <c r="O1300" s="55" t="s">
        <v>174</v>
      </c>
      <c r="P1300" s="55" t="s">
        <v>1526</v>
      </c>
      <c r="Q1300" s="55" t="s">
        <v>350</v>
      </c>
      <c r="R1300" s="85">
        <v>2</v>
      </c>
      <c r="S1300" s="55">
        <v>0</v>
      </c>
      <c r="T1300" s="74" t="s">
        <v>1521</v>
      </c>
      <c r="U1300" s="74" t="s">
        <v>351</v>
      </c>
      <c r="V1300" s="74">
        <v>44466</v>
      </c>
      <c r="W1300" s="74">
        <v>44508</v>
      </c>
      <c r="X1300" s="55">
        <v>10186841</v>
      </c>
      <c r="Y1300" s="55" t="s">
        <v>132</v>
      </c>
      <c r="AB1300" s="74" t="s">
        <v>130</v>
      </c>
      <c r="AC1300" s="55" t="s">
        <v>132</v>
      </c>
      <c r="AL1300" s="74"/>
      <c r="AM1300" s="74"/>
    </row>
    <row r="1301" spans="1:50" ht="13" x14ac:dyDescent="0.15">
      <c r="A1301" s="55" t="str">
        <f>HYPERLINK("http://reports.ofsted.gov.uk/inspection-reports/find-inspection-report/provider/CARE/2591708","Ofsted Social Care Provider Webpage")</f>
        <v>Ofsted Social Care Provider Webpage</v>
      </c>
      <c r="B1301" s="55">
        <v>2591708</v>
      </c>
      <c r="D1301" s="55" t="s">
        <v>373</v>
      </c>
      <c r="E1301" s="74">
        <v>43987</v>
      </c>
      <c r="F1301" s="55" t="s">
        <v>344</v>
      </c>
      <c r="G1301" s="55" t="s">
        <v>360</v>
      </c>
      <c r="H1301" s="55" t="s">
        <v>360</v>
      </c>
      <c r="I1301" s="55" t="s">
        <v>360</v>
      </c>
      <c r="J1301" s="55" t="s">
        <v>360</v>
      </c>
      <c r="K1301" s="55" t="s">
        <v>360</v>
      </c>
      <c r="L1301" s="55" t="s">
        <v>360</v>
      </c>
      <c r="M1301" s="55" t="s">
        <v>142</v>
      </c>
      <c r="N1301" s="55" t="s">
        <v>142</v>
      </c>
      <c r="O1301" s="55" t="s">
        <v>262</v>
      </c>
      <c r="P1301" s="55" t="s">
        <v>523</v>
      </c>
      <c r="Q1301" s="55" t="s">
        <v>350</v>
      </c>
      <c r="R1301" s="85">
        <v>3</v>
      </c>
      <c r="S1301" s="55">
        <v>0</v>
      </c>
      <c r="T1301" s="74" t="s">
        <v>1307</v>
      </c>
      <c r="U1301" s="74" t="s">
        <v>351</v>
      </c>
      <c r="V1301" s="74">
        <v>44523</v>
      </c>
      <c r="W1301" s="74">
        <v>44572</v>
      </c>
      <c r="X1301" s="55">
        <v>10185251</v>
      </c>
      <c r="Y1301" s="55" t="s">
        <v>130</v>
      </c>
      <c r="AB1301" s="74" t="s">
        <v>130</v>
      </c>
      <c r="AC1301" s="55" t="s">
        <v>130</v>
      </c>
      <c r="AL1301" s="74"/>
      <c r="AM1301" s="74"/>
      <c r="AW1301" s="74"/>
      <c r="AX1301" s="74"/>
    </row>
    <row r="1302" spans="1:50" ht="13" x14ac:dyDescent="0.15">
      <c r="A1302" s="55" t="str">
        <f>HYPERLINK("http://reports.ofsted.gov.uk/inspection-reports/find-inspection-report/provider/CARE/2591822","Ofsted Social Care Provider Webpage")</f>
        <v>Ofsted Social Care Provider Webpage</v>
      </c>
      <c r="B1302" s="55">
        <v>2591822</v>
      </c>
      <c r="D1302" s="55" t="s">
        <v>373</v>
      </c>
      <c r="E1302" s="74">
        <v>44034</v>
      </c>
      <c r="F1302" s="55" t="s">
        <v>344</v>
      </c>
      <c r="G1302" s="55" t="s">
        <v>360</v>
      </c>
      <c r="H1302" s="55" t="s">
        <v>360</v>
      </c>
      <c r="I1302" s="55" t="s">
        <v>360</v>
      </c>
      <c r="J1302" s="55" t="s">
        <v>360</v>
      </c>
      <c r="K1302" s="55" t="s">
        <v>360</v>
      </c>
      <c r="L1302" s="55" t="s">
        <v>360</v>
      </c>
      <c r="M1302" s="55" t="s">
        <v>138</v>
      </c>
      <c r="N1302" s="55" t="s">
        <v>138</v>
      </c>
      <c r="O1302" s="55" t="s">
        <v>161</v>
      </c>
      <c r="P1302" s="55" t="s">
        <v>643</v>
      </c>
      <c r="Q1302" s="55" t="s">
        <v>350</v>
      </c>
      <c r="R1302" s="85">
        <v>4</v>
      </c>
      <c r="S1302" s="55">
        <v>0</v>
      </c>
      <c r="T1302" s="74" t="s">
        <v>1860</v>
      </c>
      <c r="U1302" s="74" t="s">
        <v>351</v>
      </c>
      <c r="V1302" s="74">
        <v>44523</v>
      </c>
      <c r="W1302" s="74">
        <v>44565</v>
      </c>
      <c r="X1302" s="55">
        <v>10185262</v>
      </c>
      <c r="Y1302" s="55" t="s">
        <v>132</v>
      </c>
      <c r="AB1302" s="74" t="s">
        <v>132</v>
      </c>
      <c r="AC1302" s="55" t="s">
        <v>132</v>
      </c>
      <c r="AL1302" s="74"/>
      <c r="AM1302" s="74"/>
    </row>
    <row r="1303" spans="1:50" ht="13" x14ac:dyDescent="0.15">
      <c r="A1303" s="55" t="str">
        <f>HYPERLINK("http://reports.ofsted.gov.uk/inspection-reports/find-inspection-report/provider/CARE/2591854","Ofsted Social Care Provider Webpage")</f>
        <v>Ofsted Social Care Provider Webpage</v>
      </c>
      <c r="B1303" s="55">
        <v>2591854</v>
      </c>
      <c r="D1303" s="55" t="s">
        <v>373</v>
      </c>
      <c r="E1303" s="74">
        <v>44064</v>
      </c>
      <c r="F1303" s="55" t="s">
        <v>344</v>
      </c>
      <c r="G1303" s="55" t="s">
        <v>360</v>
      </c>
      <c r="H1303" s="55" t="s">
        <v>360</v>
      </c>
      <c r="I1303" s="55" t="s">
        <v>360</v>
      </c>
      <c r="J1303" s="55" t="s">
        <v>360</v>
      </c>
      <c r="K1303" s="55" t="s">
        <v>360</v>
      </c>
      <c r="L1303" s="55" t="s">
        <v>360</v>
      </c>
      <c r="M1303" s="55" t="s">
        <v>150</v>
      </c>
      <c r="N1303" s="55" t="s">
        <v>150</v>
      </c>
      <c r="O1303" s="55" t="s">
        <v>181</v>
      </c>
      <c r="P1303" s="55" t="s">
        <v>1142</v>
      </c>
      <c r="Q1303" s="55" t="s">
        <v>350</v>
      </c>
      <c r="R1303" s="85">
        <v>5</v>
      </c>
      <c r="S1303" s="55">
        <v>0</v>
      </c>
      <c r="T1303" s="74" t="s">
        <v>1861</v>
      </c>
      <c r="U1303" s="74" t="s">
        <v>351</v>
      </c>
      <c r="V1303" s="74">
        <v>44497</v>
      </c>
      <c r="W1303" s="74">
        <v>44547</v>
      </c>
      <c r="X1303" s="55">
        <v>10185387</v>
      </c>
      <c r="Y1303" s="55" t="s">
        <v>130</v>
      </c>
      <c r="AB1303" s="74" t="s">
        <v>130</v>
      </c>
      <c r="AC1303" s="55" t="s">
        <v>130</v>
      </c>
      <c r="AL1303" s="74"/>
      <c r="AM1303" s="74"/>
    </row>
    <row r="1304" spans="1:50" ht="13" x14ac:dyDescent="0.15">
      <c r="A1304" s="55" t="str">
        <f>HYPERLINK("http://reports.ofsted.gov.uk/inspection-reports/find-inspection-report/provider/CARE/2591854","Ofsted Social Care Provider Webpage")</f>
        <v>Ofsted Social Care Provider Webpage</v>
      </c>
      <c r="B1304" s="55">
        <v>2591854</v>
      </c>
      <c r="D1304" s="55" t="s">
        <v>373</v>
      </c>
      <c r="E1304" s="74">
        <v>44064</v>
      </c>
      <c r="F1304" s="55" t="s">
        <v>344</v>
      </c>
      <c r="G1304" s="55" t="s">
        <v>360</v>
      </c>
      <c r="H1304" s="55" t="s">
        <v>360</v>
      </c>
      <c r="I1304" s="55" t="s">
        <v>360</v>
      </c>
      <c r="J1304" s="55" t="s">
        <v>360</v>
      </c>
      <c r="K1304" s="55" t="s">
        <v>360</v>
      </c>
      <c r="L1304" s="55" t="s">
        <v>360</v>
      </c>
      <c r="M1304" s="55" t="s">
        <v>150</v>
      </c>
      <c r="N1304" s="55" t="s">
        <v>150</v>
      </c>
      <c r="O1304" s="55" t="s">
        <v>181</v>
      </c>
      <c r="P1304" s="55" t="s">
        <v>1142</v>
      </c>
      <c r="Q1304" s="55" t="s">
        <v>350</v>
      </c>
      <c r="R1304" s="85">
        <v>5</v>
      </c>
      <c r="S1304" s="55">
        <v>0</v>
      </c>
      <c r="T1304" s="74" t="s">
        <v>1861</v>
      </c>
      <c r="U1304" s="74" t="s">
        <v>2053</v>
      </c>
      <c r="V1304" s="74">
        <v>44378</v>
      </c>
      <c r="W1304" s="74">
        <v>44414</v>
      </c>
      <c r="X1304" s="55">
        <v>10196847</v>
      </c>
      <c r="AL1304" s="74"/>
      <c r="AM1304" s="74"/>
    </row>
    <row r="1305" spans="1:50" ht="13" x14ac:dyDescent="0.15">
      <c r="A1305" s="55" t="str">
        <f>HYPERLINK("http://reports.ofsted.gov.uk/inspection-reports/find-inspection-report/provider/CARE/2591854","Ofsted Social Care Provider Webpage")</f>
        <v>Ofsted Social Care Provider Webpage</v>
      </c>
      <c r="B1305" s="55">
        <v>2591854</v>
      </c>
      <c r="D1305" s="55" t="s">
        <v>373</v>
      </c>
      <c r="E1305" s="74">
        <v>44064</v>
      </c>
      <c r="F1305" s="55" t="s">
        <v>344</v>
      </c>
      <c r="G1305" s="55" t="s">
        <v>360</v>
      </c>
      <c r="H1305" s="55" t="s">
        <v>360</v>
      </c>
      <c r="I1305" s="55" t="s">
        <v>360</v>
      </c>
      <c r="J1305" s="55" t="s">
        <v>360</v>
      </c>
      <c r="K1305" s="55" t="s">
        <v>360</v>
      </c>
      <c r="L1305" s="55" t="s">
        <v>360</v>
      </c>
      <c r="M1305" s="55" t="s">
        <v>150</v>
      </c>
      <c r="N1305" s="55" t="s">
        <v>150</v>
      </c>
      <c r="O1305" s="55" t="s">
        <v>181</v>
      </c>
      <c r="P1305" s="55" t="s">
        <v>1142</v>
      </c>
      <c r="Q1305" s="55" t="s">
        <v>350</v>
      </c>
      <c r="R1305" s="85">
        <v>5</v>
      </c>
      <c r="S1305" s="55">
        <v>0</v>
      </c>
      <c r="T1305" s="74" t="s">
        <v>1861</v>
      </c>
      <c r="U1305" s="74" t="s">
        <v>2053</v>
      </c>
      <c r="V1305" s="74">
        <v>44336</v>
      </c>
      <c r="W1305" s="74">
        <v>44389</v>
      </c>
      <c r="X1305" s="55">
        <v>10195779</v>
      </c>
      <c r="AL1305" s="74"/>
      <c r="AM1305" s="74"/>
    </row>
    <row r="1306" spans="1:50" ht="13" x14ac:dyDescent="0.15">
      <c r="A1306" s="55" t="str">
        <f>HYPERLINK("http://reports.ofsted.gov.uk/inspection-reports/find-inspection-report/provider/CARE/2591854","Ofsted Social Care Provider Webpage")</f>
        <v>Ofsted Social Care Provider Webpage</v>
      </c>
      <c r="B1306" s="55">
        <v>2591854</v>
      </c>
      <c r="D1306" s="55" t="s">
        <v>373</v>
      </c>
      <c r="E1306" s="74">
        <v>44064</v>
      </c>
      <c r="F1306" s="55" t="s">
        <v>344</v>
      </c>
      <c r="G1306" s="55" t="s">
        <v>360</v>
      </c>
      <c r="H1306" s="55" t="s">
        <v>360</v>
      </c>
      <c r="I1306" s="55" t="s">
        <v>360</v>
      </c>
      <c r="J1306" s="55" t="s">
        <v>360</v>
      </c>
      <c r="K1306" s="55" t="s">
        <v>360</v>
      </c>
      <c r="L1306" s="55" t="s">
        <v>360</v>
      </c>
      <c r="M1306" s="55" t="s">
        <v>150</v>
      </c>
      <c r="N1306" s="55" t="s">
        <v>150</v>
      </c>
      <c r="O1306" s="55" t="s">
        <v>181</v>
      </c>
      <c r="P1306" s="55" t="s">
        <v>1142</v>
      </c>
      <c r="Q1306" s="55" t="s">
        <v>350</v>
      </c>
      <c r="R1306" s="85">
        <v>5</v>
      </c>
      <c r="S1306" s="55">
        <v>0</v>
      </c>
      <c r="T1306" s="74" t="s">
        <v>1861</v>
      </c>
      <c r="U1306" s="74" t="s">
        <v>6703</v>
      </c>
      <c r="V1306" s="74">
        <v>44567</v>
      </c>
      <c r="W1306" s="74">
        <v>44596</v>
      </c>
      <c r="X1306" s="55">
        <v>10218336</v>
      </c>
      <c r="Y1306" s="55" t="s">
        <v>6705</v>
      </c>
      <c r="AL1306" s="74"/>
      <c r="AM1306" s="74"/>
      <c r="AW1306" s="74"/>
      <c r="AX1306" s="74"/>
    </row>
    <row r="1307" spans="1:50" ht="13" x14ac:dyDescent="0.15">
      <c r="A1307" s="55" t="str">
        <f>HYPERLINK("http://reports.ofsted.gov.uk/inspection-reports/find-inspection-report/provider/CARE/2591888","Ofsted Social Care Provider Webpage")</f>
        <v>Ofsted Social Care Provider Webpage</v>
      </c>
      <c r="B1307" s="55">
        <v>2591888</v>
      </c>
      <c r="D1307" s="55" t="s">
        <v>373</v>
      </c>
      <c r="E1307" s="74">
        <v>43998</v>
      </c>
      <c r="F1307" s="55" t="s">
        <v>344</v>
      </c>
      <c r="G1307" s="55" t="s">
        <v>360</v>
      </c>
      <c r="H1307" s="55" t="s">
        <v>360</v>
      </c>
      <c r="I1307" s="55" t="s">
        <v>360</v>
      </c>
      <c r="J1307" s="55" t="s">
        <v>360</v>
      </c>
      <c r="K1307" s="55" t="s">
        <v>360</v>
      </c>
      <c r="L1307" s="55" t="s">
        <v>360</v>
      </c>
      <c r="M1307" s="55" t="s">
        <v>144</v>
      </c>
      <c r="N1307" s="55" t="s">
        <v>144</v>
      </c>
      <c r="O1307" s="55" t="s">
        <v>271</v>
      </c>
      <c r="P1307" s="55" t="s">
        <v>1120</v>
      </c>
      <c r="Q1307" s="55" t="s">
        <v>350</v>
      </c>
      <c r="R1307" s="85">
        <v>4</v>
      </c>
      <c r="S1307" s="55">
        <v>0</v>
      </c>
      <c r="T1307" s="74" t="s">
        <v>1093</v>
      </c>
      <c r="U1307" s="74" t="s">
        <v>351</v>
      </c>
      <c r="V1307" s="74">
        <v>44432</v>
      </c>
      <c r="W1307" s="74">
        <v>44462</v>
      </c>
      <c r="X1307" s="55">
        <v>10186047</v>
      </c>
      <c r="Y1307" s="55" t="s">
        <v>146</v>
      </c>
      <c r="AB1307" s="74" t="s">
        <v>146</v>
      </c>
      <c r="AC1307" s="55" t="s">
        <v>146</v>
      </c>
      <c r="AL1307" s="74"/>
      <c r="AM1307" s="74"/>
      <c r="AW1307" s="74"/>
      <c r="AX1307" s="74"/>
    </row>
    <row r="1308" spans="1:50" ht="13" x14ac:dyDescent="0.15">
      <c r="A1308" s="55" t="str">
        <f>HYPERLINK("http://reports.ofsted.gov.uk/inspection-reports/find-inspection-report/provider/CARE/2591888","Ofsted Social Care Provider Webpage")</f>
        <v>Ofsted Social Care Provider Webpage</v>
      </c>
      <c r="B1308" s="55">
        <v>2591888</v>
      </c>
      <c r="D1308" s="55" t="s">
        <v>373</v>
      </c>
      <c r="E1308" s="74">
        <v>43998</v>
      </c>
      <c r="F1308" s="55" t="s">
        <v>344</v>
      </c>
      <c r="G1308" s="55" t="s">
        <v>360</v>
      </c>
      <c r="H1308" s="55" t="s">
        <v>360</v>
      </c>
      <c r="I1308" s="55" t="s">
        <v>360</v>
      </c>
      <c r="J1308" s="55" t="s">
        <v>360</v>
      </c>
      <c r="K1308" s="55" t="s">
        <v>360</v>
      </c>
      <c r="L1308" s="55" t="s">
        <v>360</v>
      </c>
      <c r="M1308" s="55" t="s">
        <v>144</v>
      </c>
      <c r="N1308" s="55" t="s">
        <v>144</v>
      </c>
      <c r="O1308" s="55" t="s">
        <v>271</v>
      </c>
      <c r="P1308" s="55" t="s">
        <v>1120</v>
      </c>
      <c r="Q1308" s="55" t="s">
        <v>350</v>
      </c>
      <c r="R1308" s="85">
        <v>4</v>
      </c>
      <c r="S1308" s="55">
        <v>0</v>
      </c>
      <c r="T1308" s="74" t="s">
        <v>1093</v>
      </c>
      <c r="U1308" s="74" t="s">
        <v>2053</v>
      </c>
      <c r="V1308" s="74">
        <v>44473</v>
      </c>
      <c r="W1308" s="74">
        <v>44503</v>
      </c>
      <c r="X1308" s="55">
        <v>10207470</v>
      </c>
      <c r="AL1308" s="74"/>
      <c r="AM1308" s="74"/>
      <c r="AW1308" s="74"/>
      <c r="AX1308" s="74"/>
    </row>
    <row r="1309" spans="1:50" ht="13" x14ac:dyDescent="0.15">
      <c r="A1309" s="55" t="str">
        <f>HYPERLINK("http://reports.ofsted.gov.uk/inspection-reports/find-inspection-report/provider/CARE/2591888","Ofsted Social Care Provider Webpage")</f>
        <v>Ofsted Social Care Provider Webpage</v>
      </c>
      <c r="B1309" s="55">
        <v>2591888</v>
      </c>
      <c r="D1309" s="55" t="s">
        <v>373</v>
      </c>
      <c r="E1309" s="74">
        <v>43998</v>
      </c>
      <c r="F1309" s="55" t="s">
        <v>344</v>
      </c>
      <c r="G1309" s="55" t="s">
        <v>360</v>
      </c>
      <c r="H1309" s="55" t="s">
        <v>360</v>
      </c>
      <c r="I1309" s="55" t="s">
        <v>360</v>
      </c>
      <c r="J1309" s="55" t="s">
        <v>360</v>
      </c>
      <c r="K1309" s="55" t="s">
        <v>360</v>
      </c>
      <c r="L1309" s="55" t="s">
        <v>360</v>
      </c>
      <c r="M1309" s="55" t="s">
        <v>144</v>
      </c>
      <c r="N1309" s="55" t="s">
        <v>144</v>
      </c>
      <c r="O1309" s="55" t="s">
        <v>271</v>
      </c>
      <c r="P1309" s="55" t="s">
        <v>1120</v>
      </c>
      <c r="Q1309" s="55" t="s">
        <v>350</v>
      </c>
      <c r="R1309" s="85">
        <v>4</v>
      </c>
      <c r="S1309" s="55">
        <v>0</v>
      </c>
      <c r="T1309" s="74" t="s">
        <v>1093</v>
      </c>
      <c r="U1309" s="74" t="s">
        <v>2053</v>
      </c>
      <c r="V1309" s="74">
        <v>44607</v>
      </c>
      <c r="W1309" s="74">
        <v>44656</v>
      </c>
      <c r="X1309" s="55">
        <v>10225635</v>
      </c>
      <c r="AL1309" s="74"/>
      <c r="AM1309" s="74"/>
      <c r="AW1309" s="74"/>
      <c r="AX1309" s="74"/>
    </row>
    <row r="1310" spans="1:50" ht="13" x14ac:dyDescent="0.15">
      <c r="A1310" s="55" t="str">
        <f>HYPERLINK("http://reports.ofsted.gov.uk/inspection-reports/find-inspection-report/provider/CARE/2591888","Ofsted Social Care Provider Webpage")</f>
        <v>Ofsted Social Care Provider Webpage</v>
      </c>
      <c r="B1310" s="55">
        <v>2591888</v>
      </c>
      <c r="D1310" s="55" t="s">
        <v>373</v>
      </c>
      <c r="E1310" s="74">
        <v>43998</v>
      </c>
      <c r="F1310" s="55" t="s">
        <v>344</v>
      </c>
      <c r="G1310" s="55" t="s">
        <v>360</v>
      </c>
      <c r="H1310" s="55" t="s">
        <v>360</v>
      </c>
      <c r="I1310" s="55" t="s">
        <v>360</v>
      </c>
      <c r="J1310" s="55" t="s">
        <v>360</v>
      </c>
      <c r="K1310" s="55" t="s">
        <v>360</v>
      </c>
      <c r="L1310" s="55" t="s">
        <v>360</v>
      </c>
      <c r="M1310" s="55" t="s">
        <v>144</v>
      </c>
      <c r="N1310" s="55" t="s">
        <v>144</v>
      </c>
      <c r="O1310" s="55" t="s">
        <v>271</v>
      </c>
      <c r="P1310" s="55" t="s">
        <v>1120</v>
      </c>
      <c r="Q1310" s="55" t="s">
        <v>350</v>
      </c>
      <c r="R1310" s="85">
        <v>4</v>
      </c>
      <c r="S1310" s="55">
        <v>0</v>
      </c>
      <c r="T1310" s="74" t="s">
        <v>1093</v>
      </c>
      <c r="U1310" s="74" t="s">
        <v>351</v>
      </c>
      <c r="V1310" s="74">
        <v>44516</v>
      </c>
      <c r="W1310" s="74">
        <v>44544</v>
      </c>
      <c r="X1310" s="55">
        <v>10213256</v>
      </c>
      <c r="Y1310" s="55" t="s">
        <v>130</v>
      </c>
      <c r="AB1310" s="74" t="s">
        <v>130</v>
      </c>
      <c r="AC1310" s="55" t="s">
        <v>130</v>
      </c>
      <c r="AL1310" s="74"/>
      <c r="AM1310" s="74"/>
      <c r="AW1310" s="74"/>
      <c r="AX1310" s="74"/>
    </row>
    <row r="1311" spans="1:50" ht="13" x14ac:dyDescent="0.15">
      <c r="A1311" s="55" t="str">
        <f>HYPERLINK("http://reports.ofsted.gov.uk/inspection-reports/find-inspection-report/provider/CARE/2591911","Ofsted Social Care Provider Webpage")</f>
        <v>Ofsted Social Care Provider Webpage</v>
      </c>
      <c r="B1311" s="55">
        <v>2591911</v>
      </c>
      <c r="D1311" s="55" t="s">
        <v>373</v>
      </c>
      <c r="E1311" s="74">
        <v>43998</v>
      </c>
      <c r="F1311" s="55" t="s">
        <v>344</v>
      </c>
      <c r="G1311" s="55" t="s">
        <v>360</v>
      </c>
      <c r="H1311" s="55" t="s">
        <v>360</v>
      </c>
      <c r="I1311" s="55" t="s">
        <v>360</v>
      </c>
      <c r="J1311" s="55" t="s">
        <v>360</v>
      </c>
      <c r="K1311" s="55" t="s">
        <v>360</v>
      </c>
      <c r="L1311" s="55" t="s">
        <v>360</v>
      </c>
      <c r="M1311" s="55" t="s">
        <v>172</v>
      </c>
      <c r="N1311" s="55" t="s">
        <v>172</v>
      </c>
      <c r="O1311" s="55" t="s">
        <v>171</v>
      </c>
      <c r="P1311" s="55" t="s">
        <v>983</v>
      </c>
      <c r="Q1311" s="55" t="s">
        <v>350</v>
      </c>
      <c r="R1311" s="85">
        <v>3</v>
      </c>
      <c r="S1311" s="55">
        <v>0</v>
      </c>
      <c r="T1311" s="74" t="s">
        <v>1862</v>
      </c>
      <c r="U1311" s="74" t="s">
        <v>351</v>
      </c>
      <c r="V1311" s="74">
        <v>44572</v>
      </c>
      <c r="W1311" s="74">
        <v>44600</v>
      </c>
      <c r="X1311" s="55">
        <v>10185483</v>
      </c>
      <c r="Y1311" s="55" t="s">
        <v>132</v>
      </c>
      <c r="AB1311" s="74" t="s">
        <v>132</v>
      </c>
      <c r="AC1311" s="55" t="s">
        <v>132</v>
      </c>
      <c r="AL1311" s="74"/>
      <c r="AM1311" s="74"/>
      <c r="AW1311" s="74"/>
      <c r="AX1311" s="74"/>
    </row>
    <row r="1312" spans="1:50" ht="13" x14ac:dyDescent="0.15">
      <c r="A1312" s="55" t="str">
        <f>HYPERLINK("http://reports.ofsted.gov.uk/inspection-reports/find-inspection-report/provider/CARE/2591916","Ofsted Social Care Provider Webpage")</f>
        <v>Ofsted Social Care Provider Webpage</v>
      </c>
      <c r="B1312" s="55">
        <v>2591916</v>
      </c>
      <c r="D1312" s="55" t="s">
        <v>373</v>
      </c>
      <c r="E1312" s="74">
        <v>44032</v>
      </c>
      <c r="F1312" s="55" t="s">
        <v>344</v>
      </c>
      <c r="G1312" s="55" t="s">
        <v>360</v>
      </c>
      <c r="H1312" s="55" t="s">
        <v>360</v>
      </c>
      <c r="I1312" s="55" t="s">
        <v>360</v>
      </c>
      <c r="J1312" s="55" t="s">
        <v>360</v>
      </c>
      <c r="K1312" s="55" t="s">
        <v>360</v>
      </c>
      <c r="L1312" s="55" t="s">
        <v>360</v>
      </c>
      <c r="M1312" s="55" t="s">
        <v>144</v>
      </c>
      <c r="N1312" s="55" t="s">
        <v>144</v>
      </c>
      <c r="O1312" s="55" t="s">
        <v>287</v>
      </c>
      <c r="P1312" s="55" t="s">
        <v>287</v>
      </c>
      <c r="Q1312" s="55" t="s">
        <v>350</v>
      </c>
      <c r="R1312" s="85">
        <v>1</v>
      </c>
      <c r="S1312" s="55">
        <v>0</v>
      </c>
      <c r="T1312" s="74" t="s">
        <v>816</v>
      </c>
      <c r="U1312" s="74" t="s">
        <v>351</v>
      </c>
      <c r="V1312" s="74">
        <v>44467</v>
      </c>
      <c r="W1312" s="74">
        <v>44512</v>
      </c>
      <c r="X1312" s="55">
        <v>10185866</v>
      </c>
      <c r="Y1312" s="55" t="s">
        <v>132</v>
      </c>
      <c r="AB1312" s="74" t="s">
        <v>132</v>
      </c>
      <c r="AC1312" s="55" t="s">
        <v>140</v>
      </c>
      <c r="AL1312" s="74"/>
      <c r="AM1312" s="74"/>
      <c r="AW1312" s="74"/>
      <c r="AX1312" s="74"/>
    </row>
    <row r="1313" spans="1:50" ht="13" x14ac:dyDescent="0.15">
      <c r="A1313" s="55" t="str">
        <f>HYPERLINK("http://reports.ofsted.gov.uk/inspection-reports/find-inspection-report/provider/CARE/2592030","Ofsted Social Care Provider Webpage")</f>
        <v>Ofsted Social Care Provider Webpage</v>
      </c>
      <c r="B1313" s="55">
        <v>2592030</v>
      </c>
      <c r="D1313" s="55" t="s">
        <v>373</v>
      </c>
      <c r="E1313" s="74">
        <v>44004</v>
      </c>
      <c r="F1313" s="55" t="s">
        <v>344</v>
      </c>
      <c r="G1313" s="55" t="s">
        <v>360</v>
      </c>
      <c r="H1313" s="55" t="s">
        <v>360</v>
      </c>
      <c r="I1313" s="55" t="s">
        <v>360</v>
      </c>
      <c r="J1313" s="55" t="s">
        <v>360</v>
      </c>
      <c r="K1313" s="55" t="s">
        <v>360</v>
      </c>
      <c r="L1313" s="55" t="s">
        <v>360</v>
      </c>
      <c r="M1313" s="55" t="s">
        <v>150</v>
      </c>
      <c r="N1313" s="55" t="s">
        <v>150</v>
      </c>
      <c r="O1313" s="55" t="s">
        <v>203</v>
      </c>
      <c r="P1313" s="55" t="s">
        <v>632</v>
      </c>
      <c r="Q1313" s="55" t="s">
        <v>350</v>
      </c>
      <c r="R1313" s="85">
        <v>4</v>
      </c>
      <c r="S1313" s="55">
        <v>0</v>
      </c>
      <c r="T1313" s="74" t="s">
        <v>1863</v>
      </c>
      <c r="U1313" s="74" t="s">
        <v>351</v>
      </c>
      <c r="V1313" s="74">
        <v>44342</v>
      </c>
      <c r="W1313" s="74">
        <v>44393</v>
      </c>
      <c r="X1313" s="55">
        <v>10186779</v>
      </c>
      <c r="Y1313" s="55" t="s">
        <v>132</v>
      </c>
      <c r="AB1313" s="74" t="s">
        <v>132</v>
      </c>
      <c r="AC1313" s="55" t="s">
        <v>132</v>
      </c>
      <c r="AL1313" s="74"/>
      <c r="AM1313" s="74"/>
      <c r="AW1313" s="74"/>
      <c r="AX1313" s="74"/>
    </row>
    <row r="1314" spans="1:50" ht="13" x14ac:dyDescent="0.15">
      <c r="A1314" s="55" t="str">
        <f>HYPERLINK("http://reports.ofsted.gov.uk/inspection-reports/find-inspection-report/provider/CARE/2592035","Ofsted Social Care Provider Webpage")</f>
        <v>Ofsted Social Care Provider Webpage</v>
      </c>
      <c r="B1314" s="55">
        <v>2592035</v>
      </c>
      <c r="D1314" s="55" t="s">
        <v>373</v>
      </c>
      <c r="E1314" s="74">
        <v>43991</v>
      </c>
      <c r="F1314" s="55" t="s">
        <v>344</v>
      </c>
      <c r="G1314" s="55" t="s">
        <v>360</v>
      </c>
      <c r="H1314" s="55" t="s">
        <v>360</v>
      </c>
      <c r="I1314" s="55" t="s">
        <v>360</v>
      </c>
      <c r="J1314" s="55" t="s">
        <v>360</v>
      </c>
      <c r="K1314" s="55" t="s">
        <v>360</v>
      </c>
      <c r="L1314" s="55" t="s">
        <v>360</v>
      </c>
      <c r="M1314" s="55" t="s">
        <v>144</v>
      </c>
      <c r="N1314" s="55" t="s">
        <v>144</v>
      </c>
      <c r="O1314" s="55" t="s">
        <v>290</v>
      </c>
      <c r="P1314" s="55" t="s">
        <v>1099</v>
      </c>
      <c r="Q1314" s="55" t="s">
        <v>350</v>
      </c>
      <c r="R1314" s="85">
        <v>4</v>
      </c>
      <c r="S1314" s="55">
        <v>0</v>
      </c>
      <c r="T1314" s="74" t="s">
        <v>1100</v>
      </c>
      <c r="U1314" s="74" t="s">
        <v>2053</v>
      </c>
      <c r="V1314" s="74">
        <v>44579</v>
      </c>
      <c r="W1314" s="74">
        <v>44609</v>
      </c>
      <c r="X1314" s="55">
        <v>10216305</v>
      </c>
      <c r="AL1314" s="74"/>
      <c r="AM1314" s="74"/>
      <c r="AW1314" s="74"/>
      <c r="AX1314" s="74"/>
    </row>
    <row r="1315" spans="1:50" ht="13" x14ac:dyDescent="0.15">
      <c r="A1315" s="55" t="str">
        <f>HYPERLINK("http://reports.ofsted.gov.uk/inspection-reports/find-inspection-report/provider/CARE/2592035","Ofsted Social Care Provider Webpage")</f>
        <v>Ofsted Social Care Provider Webpage</v>
      </c>
      <c r="B1315" s="55">
        <v>2592035</v>
      </c>
      <c r="D1315" s="55" t="s">
        <v>373</v>
      </c>
      <c r="E1315" s="74">
        <v>43991</v>
      </c>
      <c r="F1315" s="55" t="s">
        <v>344</v>
      </c>
      <c r="G1315" s="55" t="s">
        <v>360</v>
      </c>
      <c r="H1315" s="55" t="s">
        <v>360</v>
      </c>
      <c r="I1315" s="55" t="s">
        <v>360</v>
      </c>
      <c r="J1315" s="55" t="s">
        <v>360</v>
      </c>
      <c r="K1315" s="55" t="s">
        <v>360</v>
      </c>
      <c r="L1315" s="55" t="s">
        <v>360</v>
      </c>
      <c r="M1315" s="55" t="s">
        <v>144</v>
      </c>
      <c r="N1315" s="55" t="s">
        <v>144</v>
      </c>
      <c r="O1315" s="55" t="s">
        <v>290</v>
      </c>
      <c r="P1315" s="55" t="s">
        <v>1099</v>
      </c>
      <c r="Q1315" s="55" t="s">
        <v>350</v>
      </c>
      <c r="R1315" s="85">
        <v>4</v>
      </c>
      <c r="S1315" s="55">
        <v>0</v>
      </c>
      <c r="T1315" s="74" t="s">
        <v>1100</v>
      </c>
      <c r="U1315" s="74" t="s">
        <v>351</v>
      </c>
      <c r="V1315" s="74">
        <v>44523</v>
      </c>
      <c r="W1315" s="74">
        <v>44571</v>
      </c>
      <c r="X1315" s="55">
        <v>10187248</v>
      </c>
      <c r="Y1315" s="55" t="s">
        <v>146</v>
      </c>
      <c r="AB1315" s="74" t="s">
        <v>146</v>
      </c>
      <c r="AC1315" s="55" t="s">
        <v>146</v>
      </c>
      <c r="AL1315" s="74"/>
      <c r="AM1315" s="74"/>
      <c r="AW1315" s="74"/>
      <c r="AX1315" s="74"/>
    </row>
    <row r="1316" spans="1:50" ht="13" x14ac:dyDescent="0.15">
      <c r="A1316" s="55" t="str">
        <f>HYPERLINK("http://reports.ofsted.gov.uk/inspection-reports/find-inspection-report/provider/CARE/2592228","Ofsted Social Care Provider Webpage")</f>
        <v>Ofsted Social Care Provider Webpage</v>
      </c>
      <c r="B1316" s="55">
        <v>2592228</v>
      </c>
      <c r="D1316" s="55" t="s">
        <v>373</v>
      </c>
      <c r="E1316" s="74">
        <v>44014</v>
      </c>
      <c r="F1316" s="55" t="s">
        <v>344</v>
      </c>
      <c r="G1316" s="55" t="s">
        <v>360</v>
      </c>
      <c r="H1316" s="55" t="s">
        <v>360</v>
      </c>
      <c r="I1316" s="55" t="s">
        <v>360</v>
      </c>
      <c r="J1316" s="55" t="s">
        <v>360</v>
      </c>
      <c r="K1316" s="55" t="s">
        <v>360</v>
      </c>
      <c r="L1316" s="55" t="s">
        <v>360</v>
      </c>
      <c r="M1316" s="55" t="s">
        <v>172</v>
      </c>
      <c r="N1316" s="55" t="s">
        <v>172</v>
      </c>
      <c r="O1316" s="55" t="s">
        <v>284</v>
      </c>
      <c r="P1316" s="55" t="s">
        <v>1475</v>
      </c>
      <c r="Q1316" s="55" t="s">
        <v>350</v>
      </c>
      <c r="R1316" s="85">
        <v>2</v>
      </c>
      <c r="S1316" s="55">
        <v>0</v>
      </c>
      <c r="T1316" s="74" t="s">
        <v>1637</v>
      </c>
      <c r="U1316" s="74" t="s">
        <v>6703</v>
      </c>
      <c r="V1316" s="74">
        <v>44616</v>
      </c>
      <c r="W1316" s="74">
        <v>44671</v>
      </c>
      <c r="X1316" s="55">
        <v>10206362</v>
      </c>
      <c r="Y1316" s="55" t="s">
        <v>6706</v>
      </c>
      <c r="AL1316" s="74"/>
      <c r="AM1316" s="74"/>
      <c r="AW1316" s="74"/>
      <c r="AX1316" s="74"/>
    </row>
    <row r="1317" spans="1:50" ht="13" x14ac:dyDescent="0.15">
      <c r="A1317" s="55" t="str">
        <f>HYPERLINK("http://reports.ofsted.gov.uk/inspection-reports/find-inspection-report/provider/CARE/2592228","Ofsted Social Care Provider Webpage")</f>
        <v>Ofsted Social Care Provider Webpage</v>
      </c>
      <c r="B1317" s="55">
        <v>2592228</v>
      </c>
      <c r="D1317" s="55" t="s">
        <v>373</v>
      </c>
      <c r="E1317" s="74">
        <v>44014</v>
      </c>
      <c r="F1317" s="55" t="s">
        <v>344</v>
      </c>
      <c r="G1317" s="55" t="s">
        <v>360</v>
      </c>
      <c r="H1317" s="55" t="s">
        <v>360</v>
      </c>
      <c r="I1317" s="55" t="s">
        <v>360</v>
      </c>
      <c r="J1317" s="55" t="s">
        <v>360</v>
      </c>
      <c r="K1317" s="55" t="s">
        <v>360</v>
      </c>
      <c r="L1317" s="55" t="s">
        <v>360</v>
      </c>
      <c r="M1317" s="55" t="s">
        <v>172</v>
      </c>
      <c r="N1317" s="55" t="s">
        <v>172</v>
      </c>
      <c r="O1317" s="55" t="s">
        <v>284</v>
      </c>
      <c r="P1317" s="55" t="s">
        <v>1475</v>
      </c>
      <c r="Q1317" s="55" t="s">
        <v>350</v>
      </c>
      <c r="R1317" s="85">
        <v>2</v>
      </c>
      <c r="S1317" s="55">
        <v>0</v>
      </c>
      <c r="T1317" s="74" t="s">
        <v>1637</v>
      </c>
      <c r="U1317" s="74" t="s">
        <v>351</v>
      </c>
      <c r="V1317" s="74">
        <v>44398</v>
      </c>
      <c r="W1317" s="74">
        <v>44434</v>
      </c>
      <c r="X1317" s="55">
        <v>10186752</v>
      </c>
      <c r="Y1317" s="55" t="s">
        <v>130</v>
      </c>
      <c r="AB1317" s="74" t="s">
        <v>130</v>
      </c>
      <c r="AC1317" s="55" t="s">
        <v>130</v>
      </c>
      <c r="AL1317" s="74"/>
      <c r="AM1317" s="74"/>
      <c r="AW1317" s="74"/>
      <c r="AX1317" s="74"/>
    </row>
    <row r="1318" spans="1:50" ht="13" x14ac:dyDescent="0.15">
      <c r="A1318" s="55" t="str">
        <f>HYPERLINK("http://reports.ofsted.gov.uk/inspection-reports/find-inspection-report/provider/CARE/2592242","Ofsted Social Care Provider Webpage")</f>
        <v>Ofsted Social Care Provider Webpage</v>
      </c>
      <c r="B1318" s="55">
        <v>2592242</v>
      </c>
      <c r="D1318" s="55" t="s">
        <v>373</v>
      </c>
      <c r="E1318" s="74">
        <v>44092</v>
      </c>
      <c r="F1318" s="55" t="s">
        <v>344</v>
      </c>
      <c r="G1318" s="55" t="s">
        <v>360</v>
      </c>
      <c r="H1318" s="55" t="s">
        <v>360</v>
      </c>
      <c r="I1318" s="55" t="s">
        <v>360</v>
      </c>
      <c r="J1318" s="55" t="s">
        <v>360</v>
      </c>
      <c r="K1318" s="55" t="s">
        <v>360</v>
      </c>
      <c r="L1318" s="55" t="s">
        <v>360</v>
      </c>
      <c r="M1318" s="55" t="s">
        <v>136</v>
      </c>
      <c r="N1318" s="55" t="s">
        <v>136</v>
      </c>
      <c r="O1318" s="55" t="s">
        <v>174</v>
      </c>
      <c r="P1318" s="55" t="s">
        <v>1526</v>
      </c>
      <c r="Q1318" s="55" t="s">
        <v>350</v>
      </c>
      <c r="R1318" s="85">
        <v>3</v>
      </c>
      <c r="S1318" s="55">
        <v>0</v>
      </c>
      <c r="T1318" s="74" t="s">
        <v>450</v>
      </c>
      <c r="U1318" s="74" t="s">
        <v>351</v>
      </c>
      <c r="V1318" s="74">
        <v>44419</v>
      </c>
      <c r="W1318" s="74">
        <v>44454</v>
      </c>
      <c r="X1318" s="55">
        <v>10185707</v>
      </c>
      <c r="Y1318" s="55" t="s">
        <v>132</v>
      </c>
      <c r="AB1318" s="74" t="s">
        <v>132</v>
      </c>
      <c r="AC1318" s="55" t="s">
        <v>132</v>
      </c>
      <c r="AL1318" s="74"/>
      <c r="AM1318" s="74"/>
    </row>
    <row r="1319" spans="1:50" ht="13" x14ac:dyDescent="0.15">
      <c r="A1319" s="55" t="str">
        <f>HYPERLINK("http://reports.ofsted.gov.uk/inspection-reports/find-inspection-report/provider/CARE/2592361","Ofsted Social Care Provider Webpage")</f>
        <v>Ofsted Social Care Provider Webpage</v>
      </c>
      <c r="B1319" s="55">
        <v>2592361</v>
      </c>
      <c r="D1319" s="55" t="s">
        <v>373</v>
      </c>
      <c r="E1319" s="74">
        <v>43948</v>
      </c>
      <c r="F1319" s="55" t="s">
        <v>344</v>
      </c>
      <c r="G1319" s="55" t="s">
        <v>360</v>
      </c>
      <c r="H1319" s="55" t="s">
        <v>360</v>
      </c>
      <c r="I1319" s="55" t="s">
        <v>360</v>
      </c>
      <c r="J1319" s="55" t="s">
        <v>360</v>
      </c>
      <c r="K1319" s="55" t="s">
        <v>360</v>
      </c>
      <c r="L1319" s="55" t="s">
        <v>360</v>
      </c>
      <c r="M1319" s="55" t="s">
        <v>129</v>
      </c>
      <c r="N1319" s="55" t="s">
        <v>129</v>
      </c>
      <c r="O1319" s="55" t="s">
        <v>279</v>
      </c>
      <c r="P1319" s="55" t="s">
        <v>1078</v>
      </c>
      <c r="Q1319" s="55" t="s">
        <v>350</v>
      </c>
      <c r="R1319" s="85">
        <v>3</v>
      </c>
      <c r="S1319" s="55">
        <v>0</v>
      </c>
      <c r="T1319" s="74" t="s">
        <v>1866</v>
      </c>
      <c r="U1319" s="74" t="s">
        <v>351</v>
      </c>
      <c r="V1319" s="74">
        <v>44321</v>
      </c>
      <c r="W1319" s="74">
        <v>44349</v>
      </c>
      <c r="X1319" s="55">
        <v>10186789</v>
      </c>
      <c r="Y1319" s="55" t="s">
        <v>132</v>
      </c>
      <c r="AB1319" s="74" t="s">
        <v>132</v>
      </c>
      <c r="AC1319" s="55" t="s">
        <v>132</v>
      </c>
      <c r="AL1319" s="74"/>
      <c r="AM1319" s="74"/>
      <c r="AW1319" s="74"/>
      <c r="AX1319" s="74"/>
    </row>
    <row r="1320" spans="1:50" ht="13" x14ac:dyDescent="0.15">
      <c r="A1320" s="55" t="str">
        <f>HYPERLINK("http://reports.ofsted.gov.uk/inspection-reports/find-inspection-report/provider/CARE/2592531","Ofsted Social Care Provider Webpage")</f>
        <v>Ofsted Social Care Provider Webpage</v>
      </c>
      <c r="B1320" s="55">
        <v>2592531</v>
      </c>
      <c r="D1320" s="55" t="s">
        <v>373</v>
      </c>
      <c r="E1320" s="74">
        <v>44013</v>
      </c>
      <c r="F1320" s="55" t="s">
        <v>344</v>
      </c>
      <c r="G1320" s="55" t="s">
        <v>360</v>
      </c>
      <c r="H1320" s="55" t="s">
        <v>360</v>
      </c>
      <c r="I1320" s="55" t="s">
        <v>360</v>
      </c>
      <c r="J1320" s="55" t="s">
        <v>360</v>
      </c>
      <c r="K1320" s="55" t="s">
        <v>360</v>
      </c>
      <c r="L1320" s="55" t="s">
        <v>360</v>
      </c>
      <c r="M1320" s="55" t="s">
        <v>136</v>
      </c>
      <c r="N1320" s="55" t="s">
        <v>136</v>
      </c>
      <c r="O1320" s="55" t="s">
        <v>255</v>
      </c>
      <c r="P1320" s="55" t="s">
        <v>757</v>
      </c>
      <c r="Q1320" s="55" t="s">
        <v>350</v>
      </c>
      <c r="R1320" s="85">
        <v>3</v>
      </c>
      <c r="S1320" s="55">
        <v>0</v>
      </c>
      <c r="T1320" s="74" t="s">
        <v>1359</v>
      </c>
      <c r="U1320" s="74" t="s">
        <v>351</v>
      </c>
      <c r="V1320" s="74">
        <v>44572</v>
      </c>
      <c r="W1320" s="74">
        <v>44615</v>
      </c>
      <c r="X1320" s="55">
        <v>10187524</v>
      </c>
      <c r="Y1320" s="55" t="s">
        <v>132</v>
      </c>
      <c r="AB1320" s="74" t="s">
        <v>132</v>
      </c>
      <c r="AC1320" s="55" t="s">
        <v>132</v>
      </c>
      <c r="AL1320" s="74"/>
      <c r="AM1320" s="74"/>
      <c r="AW1320" s="74"/>
      <c r="AX1320" s="74"/>
    </row>
    <row r="1321" spans="1:50" ht="13" x14ac:dyDescent="0.15">
      <c r="A1321" s="55" t="str">
        <f>HYPERLINK("http://reports.ofsted.gov.uk/inspection-reports/find-inspection-report/provider/CARE/2592700","Ofsted Social Care Provider Webpage")</f>
        <v>Ofsted Social Care Provider Webpage</v>
      </c>
      <c r="B1321" s="55">
        <v>2592700</v>
      </c>
      <c r="D1321" s="55" t="s">
        <v>373</v>
      </c>
      <c r="E1321" s="74">
        <v>44159</v>
      </c>
      <c r="F1321" s="55" t="s">
        <v>344</v>
      </c>
      <c r="G1321" s="55" t="s">
        <v>360</v>
      </c>
      <c r="H1321" s="55" t="s">
        <v>360</v>
      </c>
      <c r="I1321" s="55" t="s">
        <v>360</v>
      </c>
      <c r="J1321" s="55" t="s">
        <v>360</v>
      </c>
      <c r="K1321" s="55" t="s">
        <v>360</v>
      </c>
      <c r="L1321" s="55" t="s">
        <v>360</v>
      </c>
      <c r="M1321" s="55" t="s">
        <v>150</v>
      </c>
      <c r="N1321" s="55" t="s">
        <v>150</v>
      </c>
      <c r="O1321" s="55" t="s">
        <v>253</v>
      </c>
      <c r="P1321" s="55" t="s">
        <v>253</v>
      </c>
      <c r="Q1321" s="55" t="s">
        <v>362</v>
      </c>
      <c r="R1321" s="85">
        <v>5</v>
      </c>
      <c r="S1321" s="55">
        <v>0</v>
      </c>
      <c r="T1321" s="74" t="s">
        <v>463</v>
      </c>
      <c r="U1321" s="74" t="s">
        <v>351</v>
      </c>
      <c r="V1321" s="74">
        <v>44474</v>
      </c>
      <c r="W1321" s="74">
        <v>44519</v>
      </c>
      <c r="X1321" s="55">
        <v>10185320</v>
      </c>
      <c r="Y1321" s="55" t="s">
        <v>132</v>
      </c>
      <c r="AB1321" s="74" t="s">
        <v>132</v>
      </c>
      <c r="AC1321" s="55" t="s">
        <v>140</v>
      </c>
      <c r="AL1321" s="74"/>
      <c r="AM1321" s="74"/>
      <c r="AW1321" s="74"/>
      <c r="AX1321" s="74"/>
    </row>
    <row r="1322" spans="1:50" ht="13" x14ac:dyDescent="0.15">
      <c r="A1322" s="55" t="str">
        <f>HYPERLINK("http://reports.ofsted.gov.uk/inspection-reports/find-inspection-report/provider/CARE/2592713","Ofsted Social Care Provider Webpage")</f>
        <v>Ofsted Social Care Provider Webpage</v>
      </c>
      <c r="B1322" s="55">
        <v>2592713</v>
      </c>
      <c r="D1322" s="55" t="s">
        <v>373</v>
      </c>
      <c r="E1322" s="74">
        <v>44069</v>
      </c>
      <c r="F1322" s="55" t="s">
        <v>344</v>
      </c>
      <c r="G1322" s="55" t="s">
        <v>360</v>
      </c>
      <c r="H1322" s="55" t="s">
        <v>360</v>
      </c>
      <c r="I1322" s="55" t="s">
        <v>360</v>
      </c>
      <c r="J1322" s="55" t="s">
        <v>360</v>
      </c>
      <c r="K1322" s="55" t="s">
        <v>360</v>
      </c>
      <c r="L1322" s="55" t="s">
        <v>360</v>
      </c>
      <c r="M1322" s="55" t="s">
        <v>144</v>
      </c>
      <c r="N1322" s="55" t="s">
        <v>144</v>
      </c>
      <c r="O1322" s="55" t="s">
        <v>162</v>
      </c>
      <c r="P1322" s="55" t="s">
        <v>1502</v>
      </c>
      <c r="Q1322" s="55" t="s">
        <v>350</v>
      </c>
      <c r="R1322" s="85">
        <v>5</v>
      </c>
      <c r="S1322" s="55">
        <v>0</v>
      </c>
      <c r="T1322" s="74" t="s">
        <v>1503</v>
      </c>
      <c r="U1322" s="74" t="s">
        <v>351</v>
      </c>
      <c r="V1322" s="74">
        <v>44593</v>
      </c>
      <c r="W1322" s="74">
        <v>44637</v>
      </c>
      <c r="X1322" s="55">
        <v>10186308</v>
      </c>
      <c r="Y1322" s="55" t="s">
        <v>130</v>
      </c>
      <c r="AB1322" s="74" t="s">
        <v>130</v>
      </c>
      <c r="AC1322" s="55" t="s">
        <v>130</v>
      </c>
      <c r="AL1322" s="74"/>
      <c r="AM1322" s="74"/>
    </row>
    <row r="1323" spans="1:50" ht="13" x14ac:dyDescent="0.15">
      <c r="A1323" s="55" t="str">
        <f>HYPERLINK("http://reports.ofsted.gov.uk/inspection-reports/find-inspection-report/provider/CARE/2592750","Ofsted Social Care Provider Webpage")</f>
        <v>Ofsted Social Care Provider Webpage</v>
      </c>
      <c r="B1323" s="55">
        <v>2592750</v>
      </c>
      <c r="D1323" s="55" t="s">
        <v>373</v>
      </c>
      <c r="E1323" s="74">
        <v>43992</v>
      </c>
      <c r="F1323" s="55" t="s">
        <v>344</v>
      </c>
      <c r="G1323" s="55" t="s">
        <v>360</v>
      </c>
      <c r="H1323" s="55" t="s">
        <v>360</v>
      </c>
      <c r="I1323" s="55" t="s">
        <v>360</v>
      </c>
      <c r="J1323" s="55" t="s">
        <v>360</v>
      </c>
      <c r="K1323" s="55" t="s">
        <v>360</v>
      </c>
      <c r="L1323" s="55" t="s">
        <v>360</v>
      </c>
      <c r="M1323" s="55" t="s">
        <v>138</v>
      </c>
      <c r="N1323" s="55" t="s">
        <v>138</v>
      </c>
      <c r="O1323" s="55" t="s">
        <v>224</v>
      </c>
      <c r="P1323" s="55" t="s">
        <v>1872</v>
      </c>
      <c r="Q1323" s="55" t="s">
        <v>362</v>
      </c>
      <c r="R1323" s="85">
        <v>2</v>
      </c>
      <c r="S1323" s="55">
        <v>0</v>
      </c>
      <c r="T1323" s="74" t="s">
        <v>557</v>
      </c>
      <c r="U1323" s="74" t="s">
        <v>351</v>
      </c>
      <c r="V1323" s="74">
        <v>44397</v>
      </c>
      <c r="W1323" s="74">
        <v>44426</v>
      </c>
      <c r="X1323" s="55">
        <v>10185268</v>
      </c>
      <c r="Y1323" s="55" t="s">
        <v>132</v>
      </c>
      <c r="AB1323" s="74" t="s">
        <v>132</v>
      </c>
      <c r="AC1323" s="55" t="s">
        <v>130</v>
      </c>
      <c r="AL1323" s="74"/>
      <c r="AM1323" s="74"/>
      <c r="AW1323" s="74"/>
      <c r="AX1323" s="74"/>
    </row>
    <row r="1324" spans="1:50" ht="13" x14ac:dyDescent="0.15">
      <c r="A1324" s="55" t="str">
        <f>HYPERLINK("http://reports.ofsted.gov.uk/inspection-reports/find-inspection-report/provider/CARE/2592781","Ofsted Social Care Provider Webpage")</f>
        <v>Ofsted Social Care Provider Webpage</v>
      </c>
      <c r="B1324" s="55">
        <v>2592781</v>
      </c>
      <c r="D1324" s="55" t="s">
        <v>373</v>
      </c>
      <c r="E1324" s="74">
        <v>44001</v>
      </c>
      <c r="F1324" s="55" t="s">
        <v>344</v>
      </c>
      <c r="G1324" s="55" t="s">
        <v>360</v>
      </c>
      <c r="H1324" s="55" t="s">
        <v>360</v>
      </c>
      <c r="I1324" s="55" t="s">
        <v>360</v>
      </c>
      <c r="J1324" s="55" t="s">
        <v>360</v>
      </c>
      <c r="K1324" s="55" t="s">
        <v>360</v>
      </c>
      <c r="L1324" s="55" t="s">
        <v>360</v>
      </c>
      <c r="M1324" s="55" t="s">
        <v>144</v>
      </c>
      <c r="N1324" s="55" t="s">
        <v>144</v>
      </c>
      <c r="O1324" s="55" t="s">
        <v>250</v>
      </c>
      <c r="P1324" s="55" t="s">
        <v>759</v>
      </c>
      <c r="Q1324" s="55" t="s">
        <v>350</v>
      </c>
      <c r="R1324" s="85">
        <v>2</v>
      </c>
      <c r="S1324" s="55">
        <v>0</v>
      </c>
      <c r="T1324" s="74" t="s">
        <v>1463</v>
      </c>
      <c r="U1324" s="74" t="s">
        <v>351</v>
      </c>
      <c r="V1324" s="74">
        <v>44460</v>
      </c>
      <c r="W1324" s="74">
        <v>44515</v>
      </c>
      <c r="X1324" s="55">
        <v>10197801</v>
      </c>
      <c r="Y1324" s="55" t="s">
        <v>132</v>
      </c>
      <c r="AB1324" s="74" t="s">
        <v>132</v>
      </c>
      <c r="AC1324" s="55" t="s">
        <v>132</v>
      </c>
      <c r="AL1324" s="74"/>
      <c r="AM1324" s="74"/>
    </row>
    <row r="1325" spans="1:50" ht="13" x14ac:dyDescent="0.15">
      <c r="A1325" s="55" t="str">
        <f>HYPERLINK("http://reports.ofsted.gov.uk/inspection-reports/find-inspection-report/provider/CARE/2592781","Ofsted Social Care Provider Webpage")</f>
        <v>Ofsted Social Care Provider Webpage</v>
      </c>
      <c r="B1325" s="55">
        <v>2592781</v>
      </c>
      <c r="D1325" s="55" t="s">
        <v>373</v>
      </c>
      <c r="E1325" s="74">
        <v>44001</v>
      </c>
      <c r="F1325" s="55" t="s">
        <v>344</v>
      </c>
      <c r="G1325" s="55" t="s">
        <v>360</v>
      </c>
      <c r="H1325" s="55" t="s">
        <v>360</v>
      </c>
      <c r="I1325" s="55" t="s">
        <v>360</v>
      </c>
      <c r="J1325" s="55" t="s">
        <v>360</v>
      </c>
      <c r="K1325" s="55" t="s">
        <v>360</v>
      </c>
      <c r="L1325" s="55" t="s">
        <v>360</v>
      </c>
      <c r="M1325" s="55" t="s">
        <v>144</v>
      </c>
      <c r="N1325" s="55" t="s">
        <v>144</v>
      </c>
      <c r="O1325" s="55" t="s">
        <v>250</v>
      </c>
      <c r="P1325" s="55" t="s">
        <v>759</v>
      </c>
      <c r="Q1325" s="55" t="s">
        <v>350</v>
      </c>
      <c r="R1325" s="85">
        <v>2</v>
      </c>
      <c r="S1325" s="55">
        <v>0</v>
      </c>
      <c r="T1325" s="74" t="s">
        <v>1463</v>
      </c>
      <c r="U1325" s="74" t="s">
        <v>351</v>
      </c>
      <c r="V1325" s="74">
        <v>44349</v>
      </c>
      <c r="W1325" s="74">
        <v>44434</v>
      </c>
      <c r="X1325" s="55">
        <v>10186827</v>
      </c>
      <c r="Y1325" s="55" t="s">
        <v>146</v>
      </c>
      <c r="AB1325" s="74" t="s">
        <v>146</v>
      </c>
      <c r="AC1325" s="55" t="s">
        <v>146</v>
      </c>
      <c r="AL1325" s="74"/>
      <c r="AM1325" s="74"/>
      <c r="AW1325" s="74"/>
      <c r="AX1325" s="74"/>
    </row>
    <row r="1326" spans="1:50" ht="13" x14ac:dyDescent="0.15">
      <c r="A1326" s="55" t="str">
        <f>HYPERLINK("http://reports.ofsted.gov.uk/inspection-reports/find-inspection-report/provider/CARE/2592781","Ofsted Social Care Provider Webpage")</f>
        <v>Ofsted Social Care Provider Webpage</v>
      </c>
      <c r="B1326" s="55">
        <v>2592781</v>
      </c>
      <c r="D1326" s="55" t="s">
        <v>373</v>
      </c>
      <c r="E1326" s="74">
        <v>44001</v>
      </c>
      <c r="F1326" s="55" t="s">
        <v>344</v>
      </c>
      <c r="G1326" s="55" t="s">
        <v>360</v>
      </c>
      <c r="H1326" s="55" t="s">
        <v>360</v>
      </c>
      <c r="I1326" s="55" t="s">
        <v>360</v>
      </c>
      <c r="J1326" s="55" t="s">
        <v>360</v>
      </c>
      <c r="K1326" s="55" t="s">
        <v>360</v>
      </c>
      <c r="L1326" s="55" t="s">
        <v>360</v>
      </c>
      <c r="M1326" s="55" t="s">
        <v>144</v>
      </c>
      <c r="N1326" s="55" t="s">
        <v>144</v>
      </c>
      <c r="O1326" s="55" t="s">
        <v>250</v>
      </c>
      <c r="P1326" s="55" t="s">
        <v>759</v>
      </c>
      <c r="Q1326" s="55" t="s">
        <v>350</v>
      </c>
      <c r="R1326" s="85">
        <v>2</v>
      </c>
      <c r="S1326" s="55">
        <v>0</v>
      </c>
      <c r="T1326" s="74" t="s">
        <v>1463</v>
      </c>
      <c r="U1326" s="74" t="s">
        <v>2053</v>
      </c>
      <c r="V1326" s="74">
        <v>44385</v>
      </c>
      <c r="W1326" s="74">
        <v>44476</v>
      </c>
      <c r="X1326" s="55">
        <v>10197800</v>
      </c>
      <c r="AL1326" s="74"/>
      <c r="AM1326" s="74"/>
    </row>
    <row r="1327" spans="1:50" ht="13" x14ac:dyDescent="0.15">
      <c r="A1327" s="55" t="str">
        <f>HYPERLINK("http://reports.ofsted.gov.uk/inspection-reports/find-inspection-report/provider/CARE/2592846","Ofsted Social Care Provider Webpage")</f>
        <v>Ofsted Social Care Provider Webpage</v>
      </c>
      <c r="B1327" s="55">
        <v>2592846</v>
      </c>
      <c r="D1327" s="55" t="s">
        <v>373</v>
      </c>
      <c r="E1327" s="74">
        <v>44123</v>
      </c>
      <c r="F1327" s="55" t="s">
        <v>344</v>
      </c>
      <c r="G1327" s="55" t="s">
        <v>360</v>
      </c>
      <c r="H1327" s="55" t="s">
        <v>360</v>
      </c>
      <c r="I1327" s="55" t="s">
        <v>360</v>
      </c>
      <c r="J1327" s="55" t="s">
        <v>360</v>
      </c>
      <c r="K1327" s="55" t="s">
        <v>360</v>
      </c>
      <c r="L1327" s="55" t="s">
        <v>360</v>
      </c>
      <c r="M1327" s="55" t="s">
        <v>378</v>
      </c>
      <c r="N1327" s="55" t="s">
        <v>134</v>
      </c>
      <c r="O1327" s="55" t="s">
        <v>158</v>
      </c>
      <c r="P1327" s="55" t="s">
        <v>480</v>
      </c>
      <c r="Q1327" s="55" t="s">
        <v>350</v>
      </c>
      <c r="R1327" s="85">
        <v>2</v>
      </c>
      <c r="S1327" s="55">
        <v>0</v>
      </c>
      <c r="T1327" s="74" t="s">
        <v>1688</v>
      </c>
      <c r="U1327" s="74" t="s">
        <v>351</v>
      </c>
      <c r="V1327" s="74">
        <v>44328</v>
      </c>
      <c r="W1327" s="74">
        <v>44369</v>
      </c>
      <c r="X1327" s="55">
        <v>10185312</v>
      </c>
      <c r="Y1327" s="55" t="s">
        <v>132</v>
      </c>
      <c r="AB1327" s="74" t="s">
        <v>132</v>
      </c>
      <c r="AC1327" s="55" t="s">
        <v>130</v>
      </c>
      <c r="AL1327" s="74"/>
      <c r="AM1327" s="74"/>
    </row>
    <row r="1328" spans="1:50" ht="13" x14ac:dyDescent="0.15">
      <c r="A1328" s="55" t="str">
        <f>HYPERLINK("http://reports.ofsted.gov.uk/inspection-reports/find-inspection-report/provider/CARE/2592891","Ofsted Social Care Provider Webpage")</f>
        <v>Ofsted Social Care Provider Webpage</v>
      </c>
      <c r="B1328" s="55">
        <v>2592891</v>
      </c>
      <c r="D1328" s="55" t="s">
        <v>373</v>
      </c>
      <c r="E1328" s="74">
        <v>44103</v>
      </c>
      <c r="F1328" s="55" t="s">
        <v>344</v>
      </c>
      <c r="G1328" s="55" t="s">
        <v>360</v>
      </c>
      <c r="H1328" s="55" t="s">
        <v>360</v>
      </c>
      <c r="I1328" s="55" t="s">
        <v>360</v>
      </c>
      <c r="J1328" s="55" t="s">
        <v>360</v>
      </c>
      <c r="K1328" s="55" t="s">
        <v>360</v>
      </c>
      <c r="L1328" s="55" t="s">
        <v>360</v>
      </c>
      <c r="M1328" s="55" t="s">
        <v>378</v>
      </c>
      <c r="N1328" s="55" t="s">
        <v>170</v>
      </c>
      <c r="O1328" s="55" t="s">
        <v>264</v>
      </c>
      <c r="P1328" s="55" t="s">
        <v>437</v>
      </c>
      <c r="Q1328" s="55" t="s">
        <v>350</v>
      </c>
      <c r="R1328" s="85">
        <v>4</v>
      </c>
      <c r="S1328" s="55">
        <v>0</v>
      </c>
      <c r="T1328" s="74" t="s">
        <v>1873</v>
      </c>
      <c r="U1328" s="74" t="s">
        <v>351</v>
      </c>
      <c r="V1328" s="74">
        <v>44341</v>
      </c>
      <c r="W1328" s="74">
        <v>44407</v>
      </c>
      <c r="X1328" s="55">
        <v>10187285</v>
      </c>
      <c r="Y1328" s="55" t="s">
        <v>132</v>
      </c>
      <c r="AB1328" s="74" t="s">
        <v>132</v>
      </c>
      <c r="AC1328" s="55" t="s">
        <v>130</v>
      </c>
      <c r="AL1328" s="74"/>
      <c r="AM1328" s="74"/>
    </row>
    <row r="1329" spans="1:50" ht="13" x14ac:dyDescent="0.15">
      <c r="A1329" s="55" t="str">
        <f>HYPERLINK("http://reports.ofsted.gov.uk/inspection-reports/find-inspection-report/provider/CARE/2592943","Ofsted Social Care Provider Webpage")</f>
        <v>Ofsted Social Care Provider Webpage</v>
      </c>
      <c r="B1329" s="55">
        <v>2592943</v>
      </c>
      <c r="D1329" s="55" t="s">
        <v>373</v>
      </c>
      <c r="E1329" s="74">
        <v>44057</v>
      </c>
      <c r="F1329" s="55" t="s">
        <v>344</v>
      </c>
      <c r="G1329" s="55" t="s">
        <v>360</v>
      </c>
      <c r="H1329" s="55" t="s">
        <v>360</v>
      </c>
      <c r="I1329" s="55" t="s">
        <v>360</v>
      </c>
      <c r="J1329" s="55" t="s">
        <v>360</v>
      </c>
      <c r="K1329" s="55" t="s">
        <v>360</v>
      </c>
      <c r="L1329" s="55" t="s">
        <v>360</v>
      </c>
      <c r="M1329" s="55" t="s">
        <v>142</v>
      </c>
      <c r="N1329" s="55" t="s">
        <v>142</v>
      </c>
      <c r="O1329" s="55" t="s">
        <v>265</v>
      </c>
      <c r="P1329" s="55" t="s">
        <v>540</v>
      </c>
      <c r="Q1329" s="55" t="s">
        <v>350</v>
      </c>
      <c r="R1329" s="85">
        <v>8</v>
      </c>
      <c r="S1329" s="55">
        <v>0</v>
      </c>
      <c r="T1329" s="74" t="s">
        <v>1874</v>
      </c>
      <c r="U1329" s="74" t="s">
        <v>351</v>
      </c>
      <c r="V1329" s="74">
        <v>44390</v>
      </c>
      <c r="W1329" s="74">
        <v>44420</v>
      </c>
      <c r="X1329" s="55">
        <v>10185234</v>
      </c>
      <c r="Y1329" s="55" t="s">
        <v>132</v>
      </c>
      <c r="AB1329" s="74" t="s">
        <v>132</v>
      </c>
      <c r="AC1329" s="55" t="s">
        <v>132</v>
      </c>
      <c r="AL1329" s="74"/>
      <c r="AM1329" s="74"/>
      <c r="AW1329" s="74"/>
      <c r="AX1329" s="74"/>
    </row>
    <row r="1330" spans="1:50" ht="13" x14ac:dyDescent="0.15">
      <c r="A1330" s="55" t="str">
        <f>HYPERLINK("http://reports.ofsted.gov.uk/inspection-reports/find-inspection-report/provider/CARE/2593032","Ofsted Social Care Provider Webpage")</f>
        <v>Ofsted Social Care Provider Webpage</v>
      </c>
      <c r="B1330" s="55">
        <v>2593032</v>
      </c>
      <c r="D1330" s="55" t="s">
        <v>373</v>
      </c>
      <c r="E1330" s="74">
        <v>44021</v>
      </c>
      <c r="F1330" s="55" t="s">
        <v>344</v>
      </c>
      <c r="G1330" s="55" t="s">
        <v>360</v>
      </c>
      <c r="H1330" s="55" t="s">
        <v>360</v>
      </c>
      <c r="I1330" s="55" t="s">
        <v>360</v>
      </c>
      <c r="J1330" s="55" t="s">
        <v>360</v>
      </c>
      <c r="K1330" s="55" t="s">
        <v>360</v>
      </c>
      <c r="L1330" s="55" t="s">
        <v>360</v>
      </c>
      <c r="M1330" s="55" t="s">
        <v>172</v>
      </c>
      <c r="N1330" s="55" t="s">
        <v>172</v>
      </c>
      <c r="O1330" s="55" t="s">
        <v>173</v>
      </c>
      <c r="P1330" s="55" t="s">
        <v>860</v>
      </c>
      <c r="Q1330" s="55" t="s">
        <v>350</v>
      </c>
      <c r="R1330" s="85">
        <v>3</v>
      </c>
      <c r="S1330" s="55">
        <v>0</v>
      </c>
      <c r="T1330" s="74" t="s">
        <v>1306</v>
      </c>
      <c r="U1330" s="74" t="s">
        <v>351</v>
      </c>
      <c r="V1330" s="74">
        <v>44300</v>
      </c>
      <c r="W1330" s="74">
        <v>44330</v>
      </c>
      <c r="X1330" s="55">
        <v>10187215</v>
      </c>
      <c r="Y1330" s="55" t="s">
        <v>140</v>
      </c>
      <c r="AB1330" s="74" t="s">
        <v>140</v>
      </c>
      <c r="AC1330" s="55" t="s">
        <v>140</v>
      </c>
      <c r="AL1330" s="74"/>
      <c r="AM1330" s="74"/>
      <c r="AW1330" s="74"/>
      <c r="AX1330" s="74"/>
    </row>
    <row r="1331" spans="1:50" ht="13" x14ac:dyDescent="0.15">
      <c r="A1331" s="55" t="str">
        <f>HYPERLINK("http://reports.ofsted.gov.uk/inspection-reports/find-inspection-report/provider/CARE/2593046","Ofsted Social Care Provider Webpage")</f>
        <v>Ofsted Social Care Provider Webpage</v>
      </c>
      <c r="B1331" s="55">
        <v>2593046</v>
      </c>
      <c r="D1331" s="55" t="s">
        <v>373</v>
      </c>
      <c r="E1331" s="74">
        <v>44063</v>
      </c>
      <c r="F1331" s="55" t="s">
        <v>344</v>
      </c>
      <c r="G1331" s="55" t="s">
        <v>360</v>
      </c>
      <c r="H1331" s="55" t="s">
        <v>360</v>
      </c>
      <c r="I1331" s="55" t="s">
        <v>360</v>
      </c>
      <c r="J1331" s="55" t="s">
        <v>360</v>
      </c>
      <c r="K1331" s="55" t="s">
        <v>360</v>
      </c>
      <c r="L1331" s="55" t="s">
        <v>360</v>
      </c>
      <c r="M1331" s="55" t="s">
        <v>378</v>
      </c>
      <c r="N1331" s="55" t="s">
        <v>134</v>
      </c>
      <c r="O1331" s="55" t="s">
        <v>158</v>
      </c>
      <c r="P1331" s="55" t="s">
        <v>480</v>
      </c>
      <c r="Q1331" s="55" t="s">
        <v>350</v>
      </c>
      <c r="R1331" s="85">
        <v>2</v>
      </c>
      <c r="S1331" s="55">
        <v>0</v>
      </c>
      <c r="T1331" s="74" t="s">
        <v>1688</v>
      </c>
      <c r="U1331" s="74" t="s">
        <v>2053</v>
      </c>
      <c r="V1331" s="74">
        <v>44496</v>
      </c>
      <c r="W1331" s="74">
        <v>44531</v>
      </c>
      <c r="X1331" s="55">
        <v>10207531</v>
      </c>
      <c r="AL1331" s="74"/>
      <c r="AM1331" s="74"/>
      <c r="AW1331" s="74"/>
      <c r="AX1331" s="74"/>
    </row>
    <row r="1332" spans="1:50" ht="13" x14ac:dyDescent="0.15">
      <c r="A1332" s="55" t="str">
        <f>HYPERLINK("http://reports.ofsted.gov.uk/inspection-reports/find-inspection-report/provider/CARE/2593046","Ofsted Social Care Provider Webpage")</f>
        <v>Ofsted Social Care Provider Webpage</v>
      </c>
      <c r="B1332" s="55">
        <v>2593046</v>
      </c>
      <c r="D1332" s="55" t="s">
        <v>373</v>
      </c>
      <c r="E1332" s="74">
        <v>44063</v>
      </c>
      <c r="F1332" s="55" t="s">
        <v>344</v>
      </c>
      <c r="G1332" s="55" t="s">
        <v>360</v>
      </c>
      <c r="H1332" s="55" t="s">
        <v>360</v>
      </c>
      <c r="I1332" s="55" t="s">
        <v>360</v>
      </c>
      <c r="J1332" s="55" t="s">
        <v>360</v>
      </c>
      <c r="K1332" s="55" t="s">
        <v>360</v>
      </c>
      <c r="L1332" s="55" t="s">
        <v>360</v>
      </c>
      <c r="M1332" s="55" t="s">
        <v>378</v>
      </c>
      <c r="N1332" s="55" t="s">
        <v>134</v>
      </c>
      <c r="O1332" s="55" t="s">
        <v>158</v>
      </c>
      <c r="P1332" s="55" t="s">
        <v>480</v>
      </c>
      <c r="Q1332" s="55" t="s">
        <v>350</v>
      </c>
      <c r="R1332" s="85">
        <v>2</v>
      </c>
      <c r="S1332" s="55">
        <v>0</v>
      </c>
      <c r="T1332" s="74" t="s">
        <v>1688</v>
      </c>
      <c r="U1332" s="74" t="s">
        <v>351</v>
      </c>
      <c r="V1332" s="74">
        <v>44453</v>
      </c>
      <c r="W1332" s="74">
        <v>44495</v>
      </c>
      <c r="X1332" s="55">
        <v>10186943</v>
      </c>
      <c r="Y1332" s="55" t="s">
        <v>146</v>
      </c>
      <c r="AB1332" s="74" t="s">
        <v>146</v>
      </c>
      <c r="AC1332" s="55" t="s">
        <v>146</v>
      </c>
      <c r="AL1332" s="74"/>
      <c r="AM1332" s="74"/>
      <c r="AW1332" s="74"/>
      <c r="AX1332" s="74"/>
    </row>
    <row r="1333" spans="1:50" ht="13" x14ac:dyDescent="0.15">
      <c r="A1333" s="55" t="str">
        <f>HYPERLINK("http://reports.ofsted.gov.uk/inspection-reports/find-inspection-report/provider/CARE/2593054","Ofsted Social Care Provider Webpage")</f>
        <v>Ofsted Social Care Provider Webpage</v>
      </c>
      <c r="B1333" s="55">
        <v>2593054</v>
      </c>
      <c r="D1333" s="55" t="s">
        <v>373</v>
      </c>
      <c r="E1333" s="74">
        <v>44033</v>
      </c>
      <c r="F1333" s="55" t="s">
        <v>344</v>
      </c>
      <c r="G1333" s="55" t="s">
        <v>360</v>
      </c>
      <c r="H1333" s="55" t="s">
        <v>360</v>
      </c>
      <c r="I1333" s="55" t="s">
        <v>360</v>
      </c>
      <c r="J1333" s="55" t="s">
        <v>360</v>
      </c>
      <c r="K1333" s="55" t="s">
        <v>360</v>
      </c>
      <c r="L1333" s="55" t="s">
        <v>360</v>
      </c>
      <c r="M1333" s="55" t="s">
        <v>136</v>
      </c>
      <c r="N1333" s="55" t="s">
        <v>136</v>
      </c>
      <c r="O1333" s="55" t="s">
        <v>165</v>
      </c>
      <c r="P1333" s="55" t="s">
        <v>748</v>
      </c>
      <c r="Q1333" s="55" t="s">
        <v>362</v>
      </c>
      <c r="R1333" s="85">
        <v>3</v>
      </c>
      <c r="S1333" s="55">
        <v>0</v>
      </c>
      <c r="T1333" s="74" t="s">
        <v>1875</v>
      </c>
      <c r="U1333" s="74" t="s">
        <v>351</v>
      </c>
      <c r="V1333" s="74">
        <v>44495</v>
      </c>
      <c r="W1333" s="74">
        <v>44532</v>
      </c>
      <c r="X1333" s="55">
        <v>10185744</v>
      </c>
      <c r="Y1333" s="55" t="s">
        <v>140</v>
      </c>
      <c r="AB1333" s="74" t="s">
        <v>140</v>
      </c>
      <c r="AC1333" s="55" t="s">
        <v>132</v>
      </c>
      <c r="AL1333" s="74"/>
      <c r="AM1333" s="74"/>
    </row>
    <row r="1334" spans="1:50" ht="13" x14ac:dyDescent="0.15">
      <c r="A1334" s="55" t="str">
        <f>HYPERLINK("http://reports.ofsted.gov.uk/inspection-reports/find-inspection-report/provider/CARE/2593071","Ofsted Social Care Provider Webpage")</f>
        <v>Ofsted Social Care Provider Webpage</v>
      </c>
      <c r="B1334" s="55">
        <v>2593071</v>
      </c>
      <c r="D1334" s="55" t="s">
        <v>373</v>
      </c>
      <c r="E1334" s="74">
        <v>44092</v>
      </c>
      <c r="F1334" s="55" t="s">
        <v>344</v>
      </c>
      <c r="G1334" s="55" t="s">
        <v>360</v>
      </c>
      <c r="H1334" s="55" t="s">
        <v>360</v>
      </c>
      <c r="I1334" s="55" t="s">
        <v>360</v>
      </c>
      <c r="J1334" s="55" t="s">
        <v>360</v>
      </c>
      <c r="K1334" s="55" t="s">
        <v>360</v>
      </c>
      <c r="L1334" s="55" t="s">
        <v>360</v>
      </c>
      <c r="M1334" s="55" t="s">
        <v>172</v>
      </c>
      <c r="N1334" s="55" t="s">
        <v>172</v>
      </c>
      <c r="O1334" s="55" t="s">
        <v>211</v>
      </c>
      <c r="P1334" s="55" t="s">
        <v>1062</v>
      </c>
      <c r="Q1334" s="55" t="s">
        <v>350</v>
      </c>
      <c r="R1334" s="85">
        <v>3</v>
      </c>
      <c r="S1334" s="55">
        <v>0</v>
      </c>
      <c r="T1334" s="74" t="s">
        <v>1357</v>
      </c>
      <c r="U1334" s="74" t="s">
        <v>351</v>
      </c>
      <c r="V1334" s="74">
        <v>44461</v>
      </c>
      <c r="W1334" s="74">
        <v>44490</v>
      </c>
      <c r="X1334" s="55">
        <v>10187258</v>
      </c>
      <c r="Y1334" s="55" t="s">
        <v>140</v>
      </c>
      <c r="AB1334" s="74" t="s">
        <v>132</v>
      </c>
      <c r="AC1334" s="55" t="s">
        <v>140</v>
      </c>
      <c r="AL1334" s="74"/>
      <c r="AM1334" s="74"/>
      <c r="AW1334" s="74"/>
      <c r="AX1334" s="74"/>
    </row>
    <row r="1335" spans="1:50" ht="13" x14ac:dyDescent="0.15">
      <c r="A1335" s="55" t="str">
        <f>HYPERLINK("http://reports.ofsted.gov.uk/inspection-reports/find-inspection-report/provider/CARE/2593095","Ofsted Social Care Provider Webpage")</f>
        <v>Ofsted Social Care Provider Webpage</v>
      </c>
      <c r="B1335" s="55">
        <v>2593095</v>
      </c>
      <c r="D1335" s="55" t="s">
        <v>373</v>
      </c>
      <c r="E1335" s="74">
        <v>43958</v>
      </c>
      <c r="F1335" s="55" t="s">
        <v>344</v>
      </c>
      <c r="G1335" s="55" t="s">
        <v>360</v>
      </c>
      <c r="H1335" s="55" t="s">
        <v>360</v>
      </c>
      <c r="I1335" s="55" t="s">
        <v>360</v>
      </c>
      <c r="J1335" s="55" t="s">
        <v>360</v>
      </c>
      <c r="K1335" s="55" t="s">
        <v>360</v>
      </c>
      <c r="L1335" s="55" t="s">
        <v>360</v>
      </c>
      <c r="M1335" s="55" t="s">
        <v>129</v>
      </c>
      <c r="N1335" s="55" t="s">
        <v>129</v>
      </c>
      <c r="O1335" s="55" t="s">
        <v>242</v>
      </c>
      <c r="P1335" s="55" t="s">
        <v>1519</v>
      </c>
      <c r="Q1335" s="55" t="s">
        <v>362</v>
      </c>
      <c r="R1335" s="85">
        <v>3</v>
      </c>
      <c r="S1335" s="55">
        <v>0</v>
      </c>
      <c r="T1335" s="74" t="s">
        <v>1884</v>
      </c>
      <c r="U1335" s="74" t="s">
        <v>351</v>
      </c>
      <c r="V1335" s="74">
        <v>44601</v>
      </c>
      <c r="W1335" s="74">
        <v>44662</v>
      </c>
      <c r="X1335" s="55">
        <v>10187185</v>
      </c>
      <c r="Y1335" s="55" t="s">
        <v>132</v>
      </c>
      <c r="AB1335" s="74" t="s">
        <v>132</v>
      </c>
      <c r="AC1335" s="55" t="s">
        <v>130</v>
      </c>
      <c r="AL1335" s="74"/>
      <c r="AM1335" s="74"/>
    </row>
    <row r="1336" spans="1:50" ht="13" x14ac:dyDescent="0.15">
      <c r="A1336" s="55" t="str">
        <f>HYPERLINK("http://reports.ofsted.gov.uk/inspection-reports/find-inspection-report/provider/CARE/2593530","Ofsted Social Care Provider Webpage")</f>
        <v>Ofsted Social Care Provider Webpage</v>
      </c>
      <c r="B1336" s="55">
        <v>2593530</v>
      </c>
      <c r="D1336" s="55" t="s">
        <v>373</v>
      </c>
      <c r="E1336" s="74">
        <v>44040</v>
      </c>
      <c r="F1336" s="55" t="s">
        <v>344</v>
      </c>
      <c r="G1336" s="55" t="s">
        <v>360</v>
      </c>
      <c r="H1336" s="55" t="s">
        <v>360</v>
      </c>
      <c r="I1336" s="55" t="s">
        <v>360</v>
      </c>
      <c r="J1336" s="55" t="s">
        <v>360</v>
      </c>
      <c r="K1336" s="55" t="s">
        <v>360</v>
      </c>
      <c r="L1336" s="55" t="s">
        <v>360</v>
      </c>
      <c r="M1336" s="55" t="s">
        <v>144</v>
      </c>
      <c r="N1336" s="55" t="s">
        <v>144</v>
      </c>
      <c r="O1336" s="55" t="s">
        <v>281</v>
      </c>
      <c r="P1336" s="55" t="s">
        <v>725</v>
      </c>
      <c r="Q1336" s="55" t="s">
        <v>350</v>
      </c>
      <c r="R1336" s="85">
        <v>5</v>
      </c>
      <c r="S1336" s="55">
        <v>0</v>
      </c>
      <c r="T1336" s="74" t="s">
        <v>1885</v>
      </c>
      <c r="U1336" s="74" t="s">
        <v>351</v>
      </c>
      <c r="V1336" s="74">
        <v>44509</v>
      </c>
      <c r="W1336" s="74">
        <v>44559</v>
      </c>
      <c r="X1336" s="55">
        <v>10185376</v>
      </c>
      <c r="Y1336" s="55" t="s">
        <v>132</v>
      </c>
      <c r="AB1336" s="74" t="s">
        <v>132</v>
      </c>
      <c r="AC1336" s="55" t="s">
        <v>132</v>
      </c>
      <c r="AL1336" s="74"/>
      <c r="AM1336" s="74"/>
    </row>
    <row r="1337" spans="1:50" ht="13" x14ac:dyDescent="0.15">
      <c r="A1337" s="55" t="str">
        <f>HYPERLINK("http://reports.ofsted.gov.uk/inspection-reports/find-inspection-report/provider/CARE/2593579","Ofsted Social Care Provider Webpage")</f>
        <v>Ofsted Social Care Provider Webpage</v>
      </c>
      <c r="B1337" s="55">
        <v>2593579</v>
      </c>
      <c r="D1337" s="55" t="s">
        <v>373</v>
      </c>
      <c r="E1337" s="74">
        <v>44047</v>
      </c>
      <c r="F1337" s="55" t="s">
        <v>344</v>
      </c>
      <c r="G1337" s="55" t="s">
        <v>360</v>
      </c>
      <c r="H1337" s="55" t="s">
        <v>360</v>
      </c>
      <c r="I1337" s="55" t="s">
        <v>360</v>
      </c>
      <c r="J1337" s="55" t="s">
        <v>360</v>
      </c>
      <c r="K1337" s="55" t="s">
        <v>360</v>
      </c>
      <c r="L1337" s="55" t="s">
        <v>360</v>
      </c>
      <c r="M1337" s="55" t="s">
        <v>129</v>
      </c>
      <c r="N1337" s="55" t="s">
        <v>129</v>
      </c>
      <c r="O1337" s="55" t="s">
        <v>191</v>
      </c>
      <c r="P1337" s="55" t="s">
        <v>1224</v>
      </c>
      <c r="Q1337" s="55" t="s">
        <v>350</v>
      </c>
      <c r="R1337" s="85">
        <v>5</v>
      </c>
      <c r="S1337" s="55">
        <v>0</v>
      </c>
      <c r="T1337" s="74" t="s">
        <v>1886</v>
      </c>
      <c r="U1337" s="74" t="s">
        <v>351</v>
      </c>
      <c r="V1337" s="74">
        <v>44363</v>
      </c>
      <c r="W1337" s="74">
        <v>44393</v>
      </c>
      <c r="X1337" s="55">
        <v>10187085</v>
      </c>
      <c r="Y1337" s="55" t="s">
        <v>132</v>
      </c>
      <c r="AB1337" s="74" t="s">
        <v>132</v>
      </c>
      <c r="AC1337" s="55" t="s">
        <v>132</v>
      </c>
      <c r="AL1337" s="74"/>
      <c r="AM1337" s="74"/>
    </row>
    <row r="1338" spans="1:50" ht="13" x14ac:dyDescent="0.15">
      <c r="A1338" s="55" t="str">
        <f>HYPERLINK("http://reports.ofsted.gov.uk/inspection-reports/find-inspection-report/provider/CARE/2593623","Ofsted Social Care Provider Webpage")</f>
        <v>Ofsted Social Care Provider Webpage</v>
      </c>
      <c r="B1338" s="55">
        <v>2593623</v>
      </c>
      <c r="D1338" s="55" t="s">
        <v>373</v>
      </c>
      <c r="E1338" s="74">
        <v>44029</v>
      </c>
      <c r="F1338" s="55" t="s">
        <v>344</v>
      </c>
      <c r="G1338" s="55" t="s">
        <v>360</v>
      </c>
      <c r="H1338" s="55" t="s">
        <v>360</v>
      </c>
      <c r="I1338" s="55" t="s">
        <v>360</v>
      </c>
      <c r="J1338" s="55" t="s">
        <v>360</v>
      </c>
      <c r="K1338" s="55" t="s">
        <v>360</v>
      </c>
      <c r="L1338" s="55" t="s">
        <v>360</v>
      </c>
      <c r="M1338" s="55" t="s">
        <v>144</v>
      </c>
      <c r="N1338" s="55" t="s">
        <v>144</v>
      </c>
      <c r="O1338" s="55" t="s">
        <v>281</v>
      </c>
      <c r="P1338" s="55" t="s">
        <v>725</v>
      </c>
      <c r="Q1338" s="55" t="s">
        <v>350</v>
      </c>
      <c r="R1338" s="85">
        <v>1</v>
      </c>
      <c r="S1338" s="55">
        <v>0</v>
      </c>
      <c r="T1338" s="74" t="s">
        <v>1449</v>
      </c>
      <c r="U1338" s="74" t="s">
        <v>351</v>
      </c>
      <c r="V1338" s="74">
        <v>44396</v>
      </c>
      <c r="W1338" s="74">
        <v>44428</v>
      </c>
      <c r="X1338" s="55">
        <v>10186360</v>
      </c>
      <c r="Y1338" s="55" t="s">
        <v>132</v>
      </c>
      <c r="AB1338" s="74" t="s">
        <v>132</v>
      </c>
      <c r="AC1338" s="55" t="s">
        <v>132</v>
      </c>
      <c r="AL1338" s="74"/>
      <c r="AM1338" s="74"/>
      <c r="AW1338" s="74"/>
      <c r="AX1338" s="74"/>
    </row>
    <row r="1339" spans="1:50" ht="13" x14ac:dyDescent="0.15">
      <c r="A1339" s="55" t="str">
        <f>HYPERLINK("http://reports.ofsted.gov.uk/inspection-reports/find-inspection-report/provider/CARE/2593651","Ofsted Social Care Provider Webpage")</f>
        <v>Ofsted Social Care Provider Webpage</v>
      </c>
      <c r="B1339" s="55">
        <v>2593651</v>
      </c>
      <c r="D1339" s="55" t="s">
        <v>373</v>
      </c>
      <c r="E1339" s="74">
        <v>44039</v>
      </c>
      <c r="F1339" s="55" t="s">
        <v>344</v>
      </c>
      <c r="G1339" s="55" t="s">
        <v>360</v>
      </c>
      <c r="H1339" s="55" t="s">
        <v>360</v>
      </c>
      <c r="I1339" s="55" t="s">
        <v>360</v>
      </c>
      <c r="J1339" s="55" t="s">
        <v>360</v>
      </c>
      <c r="K1339" s="55" t="s">
        <v>360</v>
      </c>
      <c r="L1339" s="55" t="s">
        <v>360</v>
      </c>
      <c r="M1339" s="55" t="s">
        <v>378</v>
      </c>
      <c r="N1339" s="55" t="s">
        <v>134</v>
      </c>
      <c r="O1339" s="55" t="s">
        <v>246</v>
      </c>
      <c r="P1339" s="55" t="s">
        <v>685</v>
      </c>
      <c r="Q1339" s="55" t="s">
        <v>350</v>
      </c>
      <c r="R1339" s="85">
        <v>4</v>
      </c>
      <c r="S1339" s="55">
        <v>0</v>
      </c>
      <c r="T1339" s="74" t="s">
        <v>1887</v>
      </c>
      <c r="U1339" s="74" t="s">
        <v>351</v>
      </c>
      <c r="V1339" s="74">
        <v>44523</v>
      </c>
      <c r="W1339" s="74">
        <v>44566</v>
      </c>
      <c r="X1339" s="55">
        <v>10187462</v>
      </c>
      <c r="Y1339" s="55" t="s">
        <v>132</v>
      </c>
      <c r="AB1339" s="74" t="s">
        <v>132</v>
      </c>
      <c r="AC1339" s="55" t="s">
        <v>130</v>
      </c>
      <c r="AL1339" s="74"/>
      <c r="AM1339" s="74"/>
      <c r="AW1339" s="74"/>
      <c r="AX1339" s="74"/>
    </row>
    <row r="1340" spans="1:50" ht="13" x14ac:dyDescent="0.15">
      <c r="A1340" s="55" t="str">
        <f>HYPERLINK("http://reports.ofsted.gov.uk/inspection-reports/find-inspection-report/provider/CARE/2593915","Ofsted Social Care Provider Webpage")</f>
        <v>Ofsted Social Care Provider Webpage</v>
      </c>
      <c r="B1340" s="55">
        <v>2593915</v>
      </c>
      <c r="D1340" s="55" t="s">
        <v>373</v>
      </c>
      <c r="E1340" s="74">
        <v>44088</v>
      </c>
      <c r="F1340" s="55" t="s">
        <v>344</v>
      </c>
      <c r="G1340" s="55" t="s">
        <v>360</v>
      </c>
      <c r="H1340" s="55" t="s">
        <v>360</v>
      </c>
      <c r="I1340" s="55" t="s">
        <v>360</v>
      </c>
      <c r="J1340" s="55" t="s">
        <v>360</v>
      </c>
      <c r="K1340" s="55" t="s">
        <v>360</v>
      </c>
      <c r="L1340" s="55" t="s">
        <v>360</v>
      </c>
      <c r="M1340" s="55" t="s">
        <v>144</v>
      </c>
      <c r="N1340" s="55" t="s">
        <v>144</v>
      </c>
      <c r="O1340" s="55" t="s">
        <v>248</v>
      </c>
      <c r="P1340" s="55" t="s">
        <v>439</v>
      </c>
      <c r="Q1340" s="55" t="s">
        <v>350</v>
      </c>
      <c r="R1340" s="85">
        <v>3</v>
      </c>
      <c r="S1340" s="55">
        <v>0</v>
      </c>
      <c r="T1340" s="74" t="s">
        <v>871</v>
      </c>
      <c r="U1340" s="74" t="s">
        <v>351</v>
      </c>
      <c r="V1340" s="74">
        <v>44468</v>
      </c>
      <c r="W1340" s="74">
        <v>44518</v>
      </c>
      <c r="X1340" s="55">
        <v>10186326</v>
      </c>
      <c r="Y1340" s="55" t="s">
        <v>132</v>
      </c>
      <c r="AB1340" s="74" t="s">
        <v>132</v>
      </c>
      <c r="AC1340" s="55" t="s">
        <v>132</v>
      </c>
      <c r="AL1340" s="74"/>
      <c r="AM1340" s="74"/>
      <c r="AW1340" s="74"/>
      <c r="AX1340" s="74"/>
    </row>
    <row r="1341" spans="1:50" ht="13" x14ac:dyDescent="0.15">
      <c r="A1341" s="55" t="str">
        <f>HYPERLINK("http://reports.ofsted.gov.uk/inspection-reports/find-inspection-report/provider/CARE/2593928","Ofsted Social Care Provider Webpage")</f>
        <v>Ofsted Social Care Provider Webpage</v>
      </c>
      <c r="B1341" s="55">
        <v>2593928</v>
      </c>
      <c r="D1341" s="55" t="s">
        <v>373</v>
      </c>
      <c r="E1341" s="74">
        <v>44067</v>
      </c>
      <c r="F1341" s="55" t="s">
        <v>344</v>
      </c>
      <c r="G1341" s="55" t="s">
        <v>360</v>
      </c>
      <c r="H1341" s="55" t="s">
        <v>360</v>
      </c>
      <c r="I1341" s="55" t="s">
        <v>360</v>
      </c>
      <c r="J1341" s="55" t="s">
        <v>360</v>
      </c>
      <c r="K1341" s="55" t="s">
        <v>360</v>
      </c>
      <c r="L1341" s="55" t="s">
        <v>360</v>
      </c>
      <c r="M1341" s="55" t="s">
        <v>142</v>
      </c>
      <c r="N1341" s="55" t="s">
        <v>142</v>
      </c>
      <c r="O1341" s="55" t="s">
        <v>262</v>
      </c>
      <c r="P1341" s="55" t="s">
        <v>692</v>
      </c>
      <c r="Q1341" s="55" t="s">
        <v>350</v>
      </c>
      <c r="R1341" s="85">
        <v>3</v>
      </c>
      <c r="S1341" s="55">
        <v>0</v>
      </c>
      <c r="T1341" s="74" t="s">
        <v>1855</v>
      </c>
      <c r="U1341" s="74" t="s">
        <v>351</v>
      </c>
      <c r="V1341" s="74">
        <v>44350</v>
      </c>
      <c r="W1341" s="74">
        <v>44390</v>
      </c>
      <c r="X1341" s="55">
        <v>10186327</v>
      </c>
      <c r="Y1341" s="55" t="s">
        <v>132</v>
      </c>
      <c r="AB1341" s="74" t="s">
        <v>132</v>
      </c>
      <c r="AC1341" s="55" t="s">
        <v>130</v>
      </c>
      <c r="AL1341" s="74"/>
      <c r="AM1341" s="74"/>
      <c r="AW1341" s="74"/>
      <c r="AX1341" s="74"/>
    </row>
    <row r="1342" spans="1:50" ht="13" x14ac:dyDescent="0.15">
      <c r="A1342" s="55" t="str">
        <f>HYPERLINK("http://reports.ofsted.gov.uk/inspection-reports/find-inspection-report/provider/CARE/2594007","Ofsted Social Care Provider Webpage")</f>
        <v>Ofsted Social Care Provider Webpage</v>
      </c>
      <c r="B1342" s="55">
        <v>2594007</v>
      </c>
      <c r="D1342" s="55" t="s">
        <v>373</v>
      </c>
      <c r="E1342" s="74">
        <v>43991</v>
      </c>
      <c r="F1342" s="55" t="s">
        <v>344</v>
      </c>
      <c r="G1342" s="55" t="s">
        <v>360</v>
      </c>
      <c r="H1342" s="55" t="s">
        <v>360</v>
      </c>
      <c r="I1342" s="55" t="s">
        <v>360</v>
      </c>
      <c r="J1342" s="55" t="s">
        <v>360</v>
      </c>
      <c r="K1342" s="55" t="s">
        <v>360</v>
      </c>
      <c r="L1342" s="55" t="s">
        <v>360</v>
      </c>
      <c r="M1342" s="55" t="s">
        <v>144</v>
      </c>
      <c r="N1342" s="55" t="s">
        <v>144</v>
      </c>
      <c r="O1342" s="55" t="s">
        <v>248</v>
      </c>
      <c r="P1342" s="55" t="s">
        <v>439</v>
      </c>
      <c r="Q1342" s="55" t="s">
        <v>350</v>
      </c>
      <c r="R1342" s="85">
        <v>2</v>
      </c>
      <c r="S1342" s="55">
        <v>0</v>
      </c>
      <c r="T1342" s="74" t="s">
        <v>385</v>
      </c>
      <c r="U1342" s="74" t="s">
        <v>351</v>
      </c>
      <c r="V1342" s="74">
        <v>44431</v>
      </c>
      <c r="W1342" s="74">
        <v>44452</v>
      </c>
      <c r="X1342" s="55">
        <v>10187567</v>
      </c>
      <c r="Y1342" s="55" t="s">
        <v>130</v>
      </c>
      <c r="AB1342" s="74" t="s">
        <v>130</v>
      </c>
      <c r="AC1342" s="55" t="s">
        <v>130</v>
      </c>
      <c r="AL1342" s="74"/>
      <c r="AM1342" s="74"/>
      <c r="AW1342" s="74"/>
      <c r="AX1342" s="74"/>
    </row>
    <row r="1343" spans="1:50" ht="13" x14ac:dyDescent="0.15">
      <c r="A1343" s="55" t="str">
        <f>HYPERLINK("http://reports.ofsted.gov.uk/inspection-reports/find-inspection-report/provider/CARE/2594033","Ofsted Social Care Provider Webpage")</f>
        <v>Ofsted Social Care Provider Webpage</v>
      </c>
      <c r="B1343" s="55">
        <v>2594033</v>
      </c>
      <c r="D1343" s="55" t="s">
        <v>373</v>
      </c>
      <c r="E1343" s="74">
        <v>44001</v>
      </c>
      <c r="F1343" s="55" t="s">
        <v>344</v>
      </c>
      <c r="G1343" s="55" t="s">
        <v>360</v>
      </c>
      <c r="H1343" s="55" t="s">
        <v>360</v>
      </c>
      <c r="I1343" s="55" t="s">
        <v>360</v>
      </c>
      <c r="J1343" s="55" t="s">
        <v>360</v>
      </c>
      <c r="K1343" s="55" t="s">
        <v>360</v>
      </c>
      <c r="L1343" s="55" t="s">
        <v>360</v>
      </c>
      <c r="M1343" s="55" t="s">
        <v>144</v>
      </c>
      <c r="N1343" s="55" t="s">
        <v>144</v>
      </c>
      <c r="O1343" s="55" t="s">
        <v>157</v>
      </c>
      <c r="P1343" s="55" t="s">
        <v>1092</v>
      </c>
      <c r="Q1343" s="55" t="s">
        <v>350</v>
      </c>
      <c r="R1343" s="85">
        <v>3</v>
      </c>
      <c r="S1343" s="55">
        <v>0</v>
      </c>
      <c r="T1343" s="74" t="s">
        <v>513</v>
      </c>
      <c r="U1343" s="74" t="s">
        <v>351</v>
      </c>
      <c r="V1343" s="74">
        <v>44313</v>
      </c>
      <c r="W1343" s="74">
        <v>44348</v>
      </c>
      <c r="X1343" s="55">
        <v>10185742</v>
      </c>
      <c r="Y1343" s="55" t="s">
        <v>130</v>
      </c>
      <c r="AB1343" s="74" t="s">
        <v>130</v>
      </c>
      <c r="AC1343" s="55" t="s">
        <v>130</v>
      </c>
      <c r="AL1343" s="74"/>
      <c r="AM1343" s="74"/>
      <c r="AW1343" s="74"/>
      <c r="AX1343" s="74"/>
    </row>
    <row r="1344" spans="1:50" ht="13" x14ac:dyDescent="0.15">
      <c r="A1344" s="55" t="str">
        <f>HYPERLINK("http://reports.ofsted.gov.uk/inspection-reports/find-inspection-report/provider/CARE/2594033","Ofsted Social Care Provider Webpage")</f>
        <v>Ofsted Social Care Provider Webpage</v>
      </c>
      <c r="B1344" s="55">
        <v>2594033</v>
      </c>
      <c r="D1344" s="55" t="s">
        <v>373</v>
      </c>
      <c r="E1344" s="74">
        <v>44001</v>
      </c>
      <c r="F1344" s="55" t="s">
        <v>344</v>
      </c>
      <c r="G1344" s="55" t="s">
        <v>360</v>
      </c>
      <c r="H1344" s="55" t="s">
        <v>360</v>
      </c>
      <c r="I1344" s="55" t="s">
        <v>360</v>
      </c>
      <c r="J1344" s="55" t="s">
        <v>360</v>
      </c>
      <c r="K1344" s="55" t="s">
        <v>360</v>
      </c>
      <c r="L1344" s="55" t="s">
        <v>360</v>
      </c>
      <c r="M1344" s="55" t="s">
        <v>144</v>
      </c>
      <c r="N1344" s="55" t="s">
        <v>144</v>
      </c>
      <c r="O1344" s="55" t="s">
        <v>157</v>
      </c>
      <c r="P1344" s="55" t="s">
        <v>1092</v>
      </c>
      <c r="Q1344" s="55" t="s">
        <v>350</v>
      </c>
      <c r="R1344" s="85">
        <v>3</v>
      </c>
      <c r="S1344" s="55">
        <v>0</v>
      </c>
      <c r="T1344" s="74" t="s">
        <v>513</v>
      </c>
      <c r="U1344" s="74" t="s">
        <v>6703</v>
      </c>
      <c r="V1344" s="74">
        <v>44546</v>
      </c>
      <c r="W1344" s="74">
        <v>44593</v>
      </c>
      <c r="X1344" s="55">
        <v>10209595</v>
      </c>
      <c r="Y1344" s="55" t="s">
        <v>6705</v>
      </c>
      <c r="AL1344" s="74"/>
      <c r="AM1344" s="74"/>
      <c r="AW1344" s="74"/>
      <c r="AX1344" s="74"/>
    </row>
    <row r="1345" spans="1:50" ht="13" x14ac:dyDescent="0.15">
      <c r="A1345" s="55" t="str">
        <f>HYPERLINK("http://reports.ofsted.gov.uk/inspection-reports/find-inspection-report/provider/CARE/2594061","Ofsted Social Care Provider Webpage")</f>
        <v>Ofsted Social Care Provider Webpage</v>
      </c>
      <c r="B1345" s="55">
        <v>2594061</v>
      </c>
      <c r="D1345" s="55" t="s">
        <v>373</v>
      </c>
      <c r="E1345" s="74">
        <v>44022</v>
      </c>
      <c r="F1345" s="55" t="s">
        <v>344</v>
      </c>
      <c r="G1345" s="55" t="s">
        <v>360</v>
      </c>
      <c r="H1345" s="55" t="s">
        <v>360</v>
      </c>
      <c r="I1345" s="55" t="s">
        <v>360</v>
      </c>
      <c r="J1345" s="55" t="s">
        <v>360</v>
      </c>
      <c r="K1345" s="55" t="s">
        <v>360</v>
      </c>
      <c r="L1345" s="55" t="s">
        <v>360</v>
      </c>
      <c r="M1345" s="55" t="s">
        <v>378</v>
      </c>
      <c r="N1345" s="55" t="s">
        <v>134</v>
      </c>
      <c r="O1345" s="55" t="s">
        <v>210</v>
      </c>
      <c r="P1345" s="55" t="s">
        <v>1888</v>
      </c>
      <c r="Q1345" s="55" t="s">
        <v>350</v>
      </c>
      <c r="R1345" s="85">
        <v>3</v>
      </c>
      <c r="S1345" s="55">
        <v>0</v>
      </c>
      <c r="T1345" s="74" t="s">
        <v>1218</v>
      </c>
      <c r="U1345" s="74" t="s">
        <v>351</v>
      </c>
      <c r="V1345" s="74">
        <v>44496</v>
      </c>
      <c r="W1345" s="74">
        <v>44530</v>
      </c>
      <c r="X1345" s="55">
        <v>10187596</v>
      </c>
      <c r="Y1345" s="55" t="s">
        <v>132</v>
      </c>
      <c r="AB1345" s="74" t="s">
        <v>132</v>
      </c>
      <c r="AC1345" s="55" t="s">
        <v>132</v>
      </c>
      <c r="AL1345" s="74"/>
      <c r="AM1345" s="74"/>
    </row>
    <row r="1346" spans="1:50" ht="13" x14ac:dyDescent="0.15">
      <c r="A1346" s="55" t="str">
        <f>HYPERLINK("http://reports.ofsted.gov.uk/inspection-reports/find-inspection-report/provider/CARE/2594148","Ofsted Social Care Provider Webpage")</f>
        <v>Ofsted Social Care Provider Webpage</v>
      </c>
      <c r="B1346" s="55">
        <v>2594148</v>
      </c>
      <c r="D1346" s="55" t="s">
        <v>373</v>
      </c>
      <c r="E1346" s="74">
        <v>44146</v>
      </c>
      <c r="F1346" s="55" t="s">
        <v>344</v>
      </c>
      <c r="G1346" s="55" t="s">
        <v>360</v>
      </c>
      <c r="H1346" s="55" t="s">
        <v>360</v>
      </c>
      <c r="I1346" s="55" t="s">
        <v>360</v>
      </c>
      <c r="J1346" s="55" t="s">
        <v>360</v>
      </c>
      <c r="K1346" s="55" t="s">
        <v>360</v>
      </c>
      <c r="L1346" s="55" t="s">
        <v>360</v>
      </c>
      <c r="M1346" s="55" t="s">
        <v>142</v>
      </c>
      <c r="N1346" s="55" t="s">
        <v>142</v>
      </c>
      <c r="O1346" s="55" t="s">
        <v>141</v>
      </c>
      <c r="P1346" s="55" t="s">
        <v>1231</v>
      </c>
      <c r="Q1346" s="55" t="s">
        <v>362</v>
      </c>
      <c r="R1346" s="85">
        <v>3</v>
      </c>
      <c r="S1346" s="55">
        <v>0</v>
      </c>
      <c r="U1346" s="74" t="s">
        <v>351</v>
      </c>
      <c r="V1346" s="74">
        <v>44573</v>
      </c>
      <c r="W1346" s="74">
        <v>44629</v>
      </c>
      <c r="X1346" s="55">
        <v>10185091</v>
      </c>
      <c r="Y1346" s="55" t="s">
        <v>140</v>
      </c>
      <c r="AB1346" s="74" t="s">
        <v>140</v>
      </c>
      <c r="AC1346" s="55" t="s">
        <v>140</v>
      </c>
      <c r="AL1346" s="74"/>
      <c r="AM1346" s="74"/>
    </row>
    <row r="1347" spans="1:50" ht="13" x14ac:dyDescent="0.15">
      <c r="A1347" s="55" t="str">
        <f>HYPERLINK("http://reports.ofsted.gov.uk/inspection-reports/find-inspection-report/provider/CARE/2594189","Ofsted Social Care Provider Webpage")</f>
        <v>Ofsted Social Care Provider Webpage</v>
      </c>
      <c r="B1347" s="55">
        <v>2594189</v>
      </c>
      <c r="D1347" s="55" t="s">
        <v>373</v>
      </c>
      <c r="E1347" s="74">
        <v>44007</v>
      </c>
      <c r="F1347" s="55" t="s">
        <v>344</v>
      </c>
      <c r="G1347" s="55" t="s">
        <v>360</v>
      </c>
      <c r="H1347" s="55" t="s">
        <v>360</v>
      </c>
      <c r="I1347" s="55" t="s">
        <v>360</v>
      </c>
      <c r="J1347" s="55" t="s">
        <v>360</v>
      </c>
      <c r="K1347" s="55" t="s">
        <v>360</v>
      </c>
      <c r="L1347" s="55" t="s">
        <v>360</v>
      </c>
      <c r="M1347" s="55" t="s">
        <v>378</v>
      </c>
      <c r="N1347" s="55" t="s">
        <v>134</v>
      </c>
      <c r="O1347" s="55" t="s">
        <v>225</v>
      </c>
      <c r="P1347" s="55" t="s">
        <v>1889</v>
      </c>
      <c r="Q1347" s="55" t="s">
        <v>380</v>
      </c>
      <c r="R1347" s="85">
        <v>4</v>
      </c>
      <c r="S1347" s="55">
        <v>0</v>
      </c>
      <c r="T1347" s="74" t="s">
        <v>1668</v>
      </c>
      <c r="U1347" s="74" t="s">
        <v>351</v>
      </c>
      <c r="V1347" s="74">
        <v>44461</v>
      </c>
      <c r="W1347" s="74">
        <v>44495</v>
      </c>
      <c r="X1347" s="55">
        <v>10185032</v>
      </c>
      <c r="Y1347" s="55" t="s">
        <v>132</v>
      </c>
      <c r="AB1347" s="74" t="s">
        <v>132</v>
      </c>
      <c r="AC1347" s="55" t="s">
        <v>130</v>
      </c>
      <c r="AL1347" s="74"/>
      <c r="AM1347" s="74"/>
      <c r="AW1347" s="74"/>
      <c r="AX1347" s="74"/>
    </row>
    <row r="1348" spans="1:50" ht="13" x14ac:dyDescent="0.15">
      <c r="A1348" s="55" t="str">
        <f>HYPERLINK("http://reports.ofsted.gov.uk/inspection-reports/find-inspection-report/provider/CARE/2594218","Ofsted Social Care Provider Webpage")</f>
        <v>Ofsted Social Care Provider Webpage</v>
      </c>
      <c r="B1348" s="55">
        <v>2594218</v>
      </c>
      <c r="D1348" s="55" t="s">
        <v>373</v>
      </c>
      <c r="E1348" s="74">
        <v>44097</v>
      </c>
      <c r="F1348" s="55" t="s">
        <v>344</v>
      </c>
      <c r="G1348" s="55" t="s">
        <v>360</v>
      </c>
      <c r="H1348" s="55" t="s">
        <v>360</v>
      </c>
      <c r="I1348" s="55" t="s">
        <v>360</v>
      </c>
      <c r="J1348" s="55" t="s">
        <v>360</v>
      </c>
      <c r="K1348" s="55" t="s">
        <v>360</v>
      </c>
      <c r="L1348" s="55" t="s">
        <v>360</v>
      </c>
      <c r="M1348" s="55" t="s">
        <v>129</v>
      </c>
      <c r="N1348" s="55" t="s">
        <v>129</v>
      </c>
      <c r="O1348" s="55" t="s">
        <v>223</v>
      </c>
      <c r="P1348" s="55" t="s">
        <v>1602</v>
      </c>
      <c r="Q1348" s="55" t="s">
        <v>350</v>
      </c>
      <c r="R1348" s="85">
        <v>4</v>
      </c>
      <c r="S1348" s="55">
        <v>0</v>
      </c>
      <c r="T1348" s="74" t="s">
        <v>1890</v>
      </c>
      <c r="U1348" s="74" t="s">
        <v>351</v>
      </c>
      <c r="V1348" s="74">
        <v>44405</v>
      </c>
      <c r="W1348" s="74">
        <v>44442</v>
      </c>
      <c r="X1348" s="55">
        <v>10185897</v>
      </c>
      <c r="Y1348" s="55" t="s">
        <v>132</v>
      </c>
      <c r="AB1348" s="74" t="s">
        <v>132</v>
      </c>
      <c r="AC1348" s="55" t="s">
        <v>132</v>
      </c>
      <c r="AL1348" s="74"/>
      <c r="AM1348" s="74"/>
      <c r="AW1348" s="74"/>
      <c r="AX1348" s="74"/>
    </row>
    <row r="1349" spans="1:50" ht="13" x14ac:dyDescent="0.15">
      <c r="A1349" s="55" t="str">
        <f>HYPERLINK("http://reports.ofsted.gov.uk/inspection-reports/find-inspection-report/provider/CARE/2594233","Ofsted Social Care Provider Webpage")</f>
        <v>Ofsted Social Care Provider Webpage</v>
      </c>
      <c r="B1349" s="55">
        <v>2594233</v>
      </c>
      <c r="D1349" s="55" t="s">
        <v>373</v>
      </c>
      <c r="E1349" s="74">
        <v>44055</v>
      </c>
      <c r="F1349" s="55" t="s">
        <v>344</v>
      </c>
      <c r="G1349" s="55" t="s">
        <v>360</v>
      </c>
      <c r="H1349" s="55" t="s">
        <v>360</v>
      </c>
      <c r="I1349" s="55" t="s">
        <v>360</v>
      </c>
      <c r="J1349" s="55" t="s">
        <v>360</v>
      </c>
      <c r="K1349" s="55" t="s">
        <v>360</v>
      </c>
      <c r="L1349" s="55" t="s">
        <v>360</v>
      </c>
      <c r="M1349" s="55" t="s">
        <v>172</v>
      </c>
      <c r="N1349" s="55" t="s">
        <v>172</v>
      </c>
      <c r="O1349" s="55" t="s">
        <v>284</v>
      </c>
      <c r="P1349" s="55" t="s">
        <v>985</v>
      </c>
      <c r="Q1349" s="55" t="s">
        <v>350</v>
      </c>
      <c r="R1349" s="85">
        <v>4</v>
      </c>
      <c r="S1349" s="55">
        <v>0</v>
      </c>
      <c r="T1349" s="74" t="s">
        <v>1891</v>
      </c>
      <c r="U1349" s="74" t="s">
        <v>351</v>
      </c>
      <c r="V1349" s="74">
        <v>44362</v>
      </c>
      <c r="W1349" s="74">
        <v>44392</v>
      </c>
      <c r="X1349" s="55">
        <v>10187556</v>
      </c>
      <c r="Y1349" s="55" t="s">
        <v>132</v>
      </c>
      <c r="AB1349" s="74" t="s">
        <v>132</v>
      </c>
      <c r="AC1349" s="55" t="s">
        <v>132</v>
      </c>
      <c r="AL1349" s="74"/>
      <c r="AM1349" s="74"/>
      <c r="AW1349" s="74"/>
      <c r="AX1349" s="74"/>
    </row>
    <row r="1350" spans="1:50" ht="13" x14ac:dyDescent="0.15">
      <c r="A1350" s="55" t="str">
        <f>HYPERLINK("http://reports.ofsted.gov.uk/inspection-reports/find-inspection-report/provider/CARE/2594366","Ofsted Social Care Provider Webpage")</f>
        <v>Ofsted Social Care Provider Webpage</v>
      </c>
      <c r="B1350" s="55">
        <v>2594366</v>
      </c>
      <c r="D1350" s="55" t="s">
        <v>373</v>
      </c>
      <c r="E1350" s="74">
        <v>44124</v>
      </c>
      <c r="F1350" s="55" t="s">
        <v>344</v>
      </c>
      <c r="G1350" s="55" t="s">
        <v>360</v>
      </c>
      <c r="H1350" s="55" t="s">
        <v>360</v>
      </c>
      <c r="I1350" s="55" t="s">
        <v>360</v>
      </c>
      <c r="J1350" s="55" t="s">
        <v>360</v>
      </c>
      <c r="K1350" s="55" t="s">
        <v>360</v>
      </c>
      <c r="L1350" s="55" t="s">
        <v>360</v>
      </c>
      <c r="M1350" s="55" t="s">
        <v>142</v>
      </c>
      <c r="N1350" s="55" t="s">
        <v>142</v>
      </c>
      <c r="O1350" s="55" t="s">
        <v>265</v>
      </c>
      <c r="P1350" s="55" t="s">
        <v>540</v>
      </c>
      <c r="Q1350" s="55" t="s">
        <v>350</v>
      </c>
      <c r="R1350" s="85">
        <v>4</v>
      </c>
      <c r="S1350" s="55">
        <v>0</v>
      </c>
      <c r="T1350" s="74" t="s">
        <v>385</v>
      </c>
      <c r="U1350" s="74" t="s">
        <v>6703</v>
      </c>
      <c r="V1350" s="74">
        <v>44447</v>
      </c>
      <c r="W1350" s="74">
        <v>44475</v>
      </c>
      <c r="X1350" s="55">
        <v>10205690</v>
      </c>
      <c r="Y1350" s="55" t="s">
        <v>6709</v>
      </c>
      <c r="AL1350" s="74"/>
      <c r="AM1350" s="74"/>
      <c r="AW1350" s="74"/>
      <c r="AX1350" s="74"/>
    </row>
    <row r="1351" spans="1:50" ht="13" x14ac:dyDescent="0.15">
      <c r="A1351" s="55" t="str">
        <f>HYPERLINK("http://reports.ofsted.gov.uk/inspection-reports/find-inspection-report/provider/CARE/2594366","Ofsted Social Care Provider Webpage")</f>
        <v>Ofsted Social Care Provider Webpage</v>
      </c>
      <c r="B1351" s="55">
        <v>2594366</v>
      </c>
      <c r="D1351" s="55" t="s">
        <v>373</v>
      </c>
      <c r="E1351" s="74">
        <v>44124</v>
      </c>
      <c r="F1351" s="55" t="s">
        <v>344</v>
      </c>
      <c r="G1351" s="55" t="s">
        <v>360</v>
      </c>
      <c r="H1351" s="55" t="s">
        <v>360</v>
      </c>
      <c r="I1351" s="55" t="s">
        <v>360</v>
      </c>
      <c r="J1351" s="55" t="s">
        <v>360</v>
      </c>
      <c r="K1351" s="55" t="s">
        <v>360</v>
      </c>
      <c r="L1351" s="55" t="s">
        <v>360</v>
      </c>
      <c r="M1351" s="55" t="s">
        <v>142</v>
      </c>
      <c r="N1351" s="55" t="s">
        <v>142</v>
      </c>
      <c r="O1351" s="55" t="s">
        <v>265</v>
      </c>
      <c r="P1351" s="55" t="s">
        <v>540</v>
      </c>
      <c r="Q1351" s="55" t="s">
        <v>350</v>
      </c>
      <c r="R1351" s="85">
        <v>4</v>
      </c>
      <c r="S1351" s="55">
        <v>0</v>
      </c>
      <c r="T1351" s="74" t="s">
        <v>385</v>
      </c>
      <c r="U1351" s="74" t="s">
        <v>2053</v>
      </c>
      <c r="V1351" s="74">
        <v>44377</v>
      </c>
      <c r="W1351" s="74">
        <v>44405</v>
      </c>
      <c r="X1351" s="55">
        <v>10199096</v>
      </c>
      <c r="AL1351" s="74"/>
      <c r="AM1351" s="74"/>
    </row>
    <row r="1352" spans="1:50" ht="13" x14ac:dyDescent="0.15">
      <c r="A1352" s="55" t="str">
        <f>HYPERLINK("http://reports.ofsted.gov.uk/inspection-reports/find-inspection-report/provider/CARE/2594366","Ofsted Social Care Provider Webpage")</f>
        <v>Ofsted Social Care Provider Webpage</v>
      </c>
      <c r="B1352" s="55">
        <v>2594366</v>
      </c>
      <c r="D1352" s="55" t="s">
        <v>373</v>
      </c>
      <c r="E1352" s="74">
        <v>44124</v>
      </c>
      <c r="F1352" s="55" t="s">
        <v>344</v>
      </c>
      <c r="G1352" s="55" t="s">
        <v>360</v>
      </c>
      <c r="H1352" s="55" t="s">
        <v>360</v>
      </c>
      <c r="I1352" s="55" t="s">
        <v>360</v>
      </c>
      <c r="J1352" s="55" t="s">
        <v>360</v>
      </c>
      <c r="K1352" s="55" t="s">
        <v>360</v>
      </c>
      <c r="L1352" s="55" t="s">
        <v>360</v>
      </c>
      <c r="M1352" s="55" t="s">
        <v>142</v>
      </c>
      <c r="N1352" s="55" t="s">
        <v>142</v>
      </c>
      <c r="O1352" s="55" t="s">
        <v>265</v>
      </c>
      <c r="P1352" s="55" t="s">
        <v>540</v>
      </c>
      <c r="Q1352" s="55" t="s">
        <v>350</v>
      </c>
      <c r="R1352" s="85">
        <v>4</v>
      </c>
      <c r="S1352" s="55">
        <v>0</v>
      </c>
      <c r="T1352" s="74" t="s">
        <v>385</v>
      </c>
      <c r="U1352" s="74" t="s">
        <v>351</v>
      </c>
      <c r="V1352" s="74">
        <v>44335</v>
      </c>
      <c r="W1352" s="74">
        <v>44377</v>
      </c>
      <c r="X1352" s="55">
        <v>10185682</v>
      </c>
      <c r="Y1352" s="55" t="s">
        <v>146</v>
      </c>
      <c r="AB1352" s="74" t="s">
        <v>146</v>
      </c>
      <c r="AC1352" s="55" t="s">
        <v>146</v>
      </c>
      <c r="AL1352" s="74"/>
      <c r="AM1352" s="74"/>
    </row>
    <row r="1353" spans="1:50" ht="13" x14ac:dyDescent="0.15">
      <c r="A1353" s="55" t="str">
        <f>HYPERLINK("http://reports.ofsted.gov.uk/inspection-reports/find-inspection-report/provider/CARE/2594366","Ofsted Social Care Provider Webpage")</f>
        <v>Ofsted Social Care Provider Webpage</v>
      </c>
      <c r="B1353" s="55">
        <v>2594366</v>
      </c>
      <c r="D1353" s="55" t="s">
        <v>373</v>
      </c>
      <c r="E1353" s="74">
        <v>44124</v>
      </c>
      <c r="F1353" s="55" t="s">
        <v>344</v>
      </c>
      <c r="G1353" s="55" t="s">
        <v>360</v>
      </c>
      <c r="H1353" s="55" t="s">
        <v>360</v>
      </c>
      <c r="I1353" s="55" t="s">
        <v>360</v>
      </c>
      <c r="J1353" s="55" t="s">
        <v>360</v>
      </c>
      <c r="K1353" s="55" t="s">
        <v>360</v>
      </c>
      <c r="L1353" s="55" t="s">
        <v>360</v>
      </c>
      <c r="M1353" s="55" t="s">
        <v>142</v>
      </c>
      <c r="N1353" s="55" t="s">
        <v>142</v>
      </c>
      <c r="O1353" s="55" t="s">
        <v>265</v>
      </c>
      <c r="P1353" s="55" t="s">
        <v>540</v>
      </c>
      <c r="Q1353" s="55" t="s">
        <v>350</v>
      </c>
      <c r="R1353" s="85">
        <v>4</v>
      </c>
      <c r="S1353" s="55">
        <v>0</v>
      </c>
      <c r="T1353" s="74" t="s">
        <v>385</v>
      </c>
      <c r="U1353" s="74" t="s">
        <v>2053</v>
      </c>
      <c r="V1353" s="74">
        <v>44420</v>
      </c>
      <c r="W1353" s="74">
        <v>44449</v>
      </c>
      <c r="X1353" s="55">
        <v>10201552</v>
      </c>
      <c r="AL1353" s="74"/>
      <c r="AM1353" s="74"/>
      <c r="AW1353" s="74"/>
      <c r="AX1353" s="74"/>
    </row>
    <row r="1354" spans="1:50" ht="13" x14ac:dyDescent="0.15">
      <c r="A1354" s="55" t="str">
        <f>HYPERLINK("http://reports.ofsted.gov.uk/inspection-reports/find-inspection-report/provider/CARE/2594539","Ofsted Social Care Provider Webpage")</f>
        <v>Ofsted Social Care Provider Webpage</v>
      </c>
      <c r="B1354" s="55">
        <v>2594539</v>
      </c>
      <c r="D1354" s="55" t="s">
        <v>373</v>
      </c>
      <c r="E1354" s="74">
        <v>44146</v>
      </c>
      <c r="F1354" s="55" t="s">
        <v>344</v>
      </c>
      <c r="G1354" s="55" t="s">
        <v>360</v>
      </c>
      <c r="H1354" s="55" t="s">
        <v>360</v>
      </c>
      <c r="I1354" s="55" t="s">
        <v>360</v>
      </c>
      <c r="J1354" s="55" t="s">
        <v>360</v>
      </c>
      <c r="K1354" s="55" t="s">
        <v>360</v>
      </c>
      <c r="L1354" s="55" t="s">
        <v>360</v>
      </c>
      <c r="M1354" s="55" t="s">
        <v>378</v>
      </c>
      <c r="N1354" s="55" t="s">
        <v>134</v>
      </c>
      <c r="O1354" s="55" t="s">
        <v>180</v>
      </c>
      <c r="P1354" s="55" t="s">
        <v>1892</v>
      </c>
      <c r="Q1354" s="55" t="s">
        <v>350</v>
      </c>
      <c r="R1354" s="85">
        <v>4</v>
      </c>
      <c r="S1354" s="55">
        <v>0</v>
      </c>
      <c r="T1354" s="74" t="s">
        <v>385</v>
      </c>
      <c r="U1354" s="74" t="s">
        <v>351</v>
      </c>
      <c r="V1354" s="74">
        <v>44383</v>
      </c>
      <c r="W1354" s="74">
        <v>44420</v>
      </c>
      <c r="X1354" s="55">
        <v>10186042</v>
      </c>
      <c r="Y1354" s="55" t="s">
        <v>132</v>
      </c>
      <c r="AB1354" s="74" t="s">
        <v>132</v>
      </c>
      <c r="AC1354" s="55" t="s">
        <v>132</v>
      </c>
      <c r="AL1354" s="74"/>
      <c r="AM1354" s="74"/>
      <c r="AW1354" s="74"/>
      <c r="AX1354" s="74"/>
    </row>
    <row r="1355" spans="1:50" ht="13" x14ac:dyDescent="0.15">
      <c r="A1355" s="55" t="str">
        <f>HYPERLINK("http://reports.ofsted.gov.uk/inspection-reports/find-inspection-report/provider/CARE/2594543","Ofsted Social Care Provider Webpage")</f>
        <v>Ofsted Social Care Provider Webpage</v>
      </c>
      <c r="B1355" s="55">
        <v>2594543</v>
      </c>
      <c r="D1355" s="55" t="s">
        <v>373</v>
      </c>
      <c r="E1355" s="74">
        <v>44020</v>
      </c>
      <c r="F1355" s="55" t="s">
        <v>344</v>
      </c>
      <c r="G1355" s="55" t="s">
        <v>360</v>
      </c>
      <c r="H1355" s="55" t="s">
        <v>360</v>
      </c>
      <c r="I1355" s="55" t="s">
        <v>360</v>
      </c>
      <c r="J1355" s="55" t="s">
        <v>360</v>
      </c>
      <c r="K1355" s="55" t="s">
        <v>360</v>
      </c>
      <c r="L1355" s="55" t="s">
        <v>360</v>
      </c>
      <c r="M1355" s="55" t="s">
        <v>378</v>
      </c>
      <c r="N1355" s="55" t="s">
        <v>134</v>
      </c>
      <c r="O1355" s="55" t="s">
        <v>133</v>
      </c>
      <c r="P1355" s="55" t="s">
        <v>1804</v>
      </c>
      <c r="Q1355" s="55" t="s">
        <v>350</v>
      </c>
      <c r="R1355" s="85">
        <v>4</v>
      </c>
      <c r="S1355" s="55">
        <v>0</v>
      </c>
      <c r="T1355" s="74" t="s">
        <v>462</v>
      </c>
      <c r="U1355" s="74" t="s">
        <v>351</v>
      </c>
      <c r="V1355" s="74">
        <v>44580</v>
      </c>
      <c r="W1355" s="74">
        <v>44615</v>
      </c>
      <c r="X1355" s="55">
        <v>10186205</v>
      </c>
      <c r="Y1355" s="55" t="s">
        <v>132</v>
      </c>
      <c r="AB1355" s="74" t="s">
        <v>132</v>
      </c>
      <c r="AC1355" s="55" t="s">
        <v>130</v>
      </c>
      <c r="AL1355" s="74"/>
      <c r="AM1355" s="74"/>
      <c r="AW1355" s="74"/>
      <c r="AX1355" s="74"/>
    </row>
    <row r="1356" spans="1:50" ht="13" x14ac:dyDescent="0.15">
      <c r="A1356" s="55" t="str">
        <f>HYPERLINK("http://reports.ofsted.gov.uk/inspection-reports/find-inspection-report/provider/CARE/2594629","Ofsted Social Care Provider Webpage")</f>
        <v>Ofsted Social Care Provider Webpage</v>
      </c>
      <c r="B1356" s="55">
        <v>2594629</v>
      </c>
      <c r="D1356" s="55" t="s">
        <v>373</v>
      </c>
      <c r="E1356" s="74">
        <v>44020</v>
      </c>
      <c r="F1356" s="55" t="s">
        <v>728</v>
      </c>
      <c r="G1356" s="55" t="s">
        <v>360</v>
      </c>
      <c r="H1356" s="55" t="s">
        <v>360</v>
      </c>
      <c r="I1356" s="55" t="s">
        <v>360</v>
      </c>
      <c r="J1356" s="55" t="s">
        <v>360</v>
      </c>
      <c r="K1356" s="55" t="s">
        <v>360</v>
      </c>
      <c r="L1356" s="55" t="s">
        <v>360</v>
      </c>
      <c r="M1356" s="55" t="s">
        <v>129</v>
      </c>
      <c r="N1356" s="55" t="s">
        <v>129</v>
      </c>
      <c r="O1356" s="55" t="s">
        <v>242</v>
      </c>
      <c r="P1356" s="55" t="s">
        <v>1192</v>
      </c>
      <c r="Q1356" s="55" t="s">
        <v>350</v>
      </c>
      <c r="R1356" s="85">
        <v>2</v>
      </c>
      <c r="S1356" s="55">
        <v>0</v>
      </c>
      <c r="T1356" s="74" t="s">
        <v>1893</v>
      </c>
      <c r="U1356" s="74" t="s">
        <v>6703</v>
      </c>
      <c r="V1356" s="74">
        <v>44588</v>
      </c>
      <c r="W1356" s="74">
        <v>44623</v>
      </c>
      <c r="X1356" s="55">
        <v>10218372</v>
      </c>
      <c r="Y1356" s="55" t="s">
        <v>6704</v>
      </c>
      <c r="AL1356" s="74"/>
      <c r="AM1356" s="74"/>
    </row>
    <row r="1357" spans="1:50" ht="13" x14ac:dyDescent="0.15">
      <c r="A1357" s="55" t="str">
        <f>HYPERLINK("http://reports.ofsted.gov.uk/inspection-reports/find-inspection-report/provider/CARE/2594629","Ofsted Social Care Provider Webpage")</f>
        <v>Ofsted Social Care Provider Webpage</v>
      </c>
      <c r="B1357" s="55">
        <v>2594629</v>
      </c>
      <c r="D1357" s="55" t="s">
        <v>373</v>
      </c>
      <c r="E1357" s="74">
        <v>44020</v>
      </c>
      <c r="F1357" s="55" t="s">
        <v>728</v>
      </c>
      <c r="G1357" s="55" t="s">
        <v>360</v>
      </c>
      <c r="H1357" s="55" t="s">
        <v>360</v>
      </c>
      <c r="I1357" s="55" t="s">
        <v>360</v>
      </c>
      <c r="J1357" s="55" t="s">
        <v>360</v>
      </c>
      <c r="K1357" s="55" t="s">
        <v>360</v>
      </c>
      <c r="L1357" s="55" t="s">
        <v>360</v>
      </c>
      <c r="M1357" s="55" t="s">
        <v>129</v>
      </c>
      <c r="N1357" s="55" t="s">
        <v>129</v>
      </c>
      <c r="O1357" s="55" t="s">
        <v>242</v>
      </c>
      <c r="P1357" s="55" t="s">
        <v>1192</v>
      </c>
      <c r="Q1357" s="55" t="s">
        <v>350</v>
      </c>
      <c r="R1357" s="85">
        <v>2</v>
      </c>
      <c r="S1357" s="55">
        <v>0</v>
      </c>
      <c r="T1357" s="74" t="s">
        <v>1893</v>
      </c>
      <c r="U1357" s="74" t="s">
        <v>351</v>
      </c>
      <c r="V1357" s="74">
        <v>44537</v>
      </c>
      <c r="W1357" s="74">
        <v>44586</v>
      </c>
      <c r="X1357" s="55">
        <v>10186077</v>
      </c>
      <c r="Y1357" s="55" t="s">
        <v>130</v>
      </c>
      <c r="AB1357" s="74" t="s">
        <v>130</v>
      </c>
      <c r="AC1357" s="55" t="s">
        <v>146</v>
      </c>
      <c r="AL1357" s="74"/>
      <c r="AM1357" s="74"/>
      <c r="AW1357" s="74"/>
      <c r="AX1357" s="74"/>
    </row>
    <row r="1358" spans="1:50" ht="13" x14ac:dyDescent="0.15">
      <c r="A1358" s="55" t="str">
        <f>HYPERLINK("http://reports.ofsted.gov.uk/inspection-reports/find-inspection-report/provider/CARE/2594629","Ofsted Social Care Provider Webpage")</f>
        <v>Ofsted Social Care Provider Webpage</v>
      </c>
      <c r="B1358" s="55">
        <v>2594629</v>
      </c>
      <c r="D1358" s="55" t="s">
        <v>373</v>
      </c>
      <c r="E1358" s="74">
        <v>44020</v>
      </c>
      <c r="F1358" s="55" t="s">
        <v>728</v>
      </c>
      <c r="G1358" s="55" t="s">
        <v>360</v>
      </c>
      <c r="H1358" s="55" t="s">
        <v>360</v>
      </c>
      <c r="I1358" s="55" t="s">
        <v>360</v>
      </c>
      <c r="J1358" s="55" t="s">
        <v>360</v>
      </c>
      <c r="K1358" s="55" t="s">
        <v>360</v>
      </c>
      <c r="L1358" s="55" t="s">
        <v>360</v>
      </c>
      <c r="M1358" s="55" t="s">
        <v>129</v>
      </c>
      <c r="N1358" s="55" t="s">
        <v>129</v>
      </c>
      <c r="O1358" s="55" t="s">
        <v>242</v>
      </c>
      <c r="P1358" s="55" t="s">
        <v>1192</v>
      </c>
      <c r="Q1358" s="55" t="s">
        <v>350</v>
      </c>
      <c r="R1358" s="85">
        <v>2</v>
      </c>
      <c r="S1358" s="55">
        <v>0</v>
      </c>
      <c r="T1358" s="74" t="s">
        <v>1893</v>
      </c>
      <c r="U1358" s="74" t="s">
        <v>2053</v>
      </c>
      <c r="V1358" s="74">
        <v>44628</v>
      </c>
      <c r="W1358" s="74">
        <v>44678</v>
      </c>
      <c r="X1358" s="55">
        <v>10230283</v>
      </c>
      <c r="AL1358" s="74"/>
      <c r="AM1358" s="74"/>
      <c r="AW1358" s="74"/>
      <c r="AX1358" s="74"/>
    </row>
    <row r="1359" spans="1:50" ht="13" x14ac:dyDescent="0.15">
      <c r="A1359" s="55" t="str">
        <f>HYPERLINK("http://reports.ofsted.gov.uk/inspection-reports/find-inspection-report/provider/CARE/2594825","Ofsted Social Care Provider Webpage")</f>
        <v>Ofsted Social Care Provider Webpage</v>
      </c>
      <c r="B1359" s="55">
        <v>2594825</v>
      </c>
      <c r="D1359" s="55" t="s">
        <v>373</v>
      </c>
      <c r="E1359" s="74">
        <v>44090</v>
      </c>
      <c r="F1359" s="55" t="s">
        <v>344</v>
      </c>
      <c r="G1359" s="55" t="s">
        <v>360</v>
      </c>
      <c r="H1359" s="55" t="s">
        <v>360</v>
      </c>
      <c r="I1359" s="55" t="s">
        <v>360</v>
      </c>
      <c r="J1359" s="55" t="s">
        <v>360</v>
      </c>
      <c r="K1359" s="55" t="s">
        <v>360</v>
      </c>
      <c r="L1359" s="55" t="s">
        <v>360</v>
      </c>
      <c r="M1359" s="55" t="s">
        <v>144</v>
      </c>
      <c r="N1359" s="55" t="s">
        <v>144</v>
      </c>
      <c r="O1359" s="55" t="s">
        <v>168</v>
      </c>
      <c r="P1359" s="55" t="s">
        <v>913</v>
      </c>
      <c r="Q1359" s="55" t="s">
        <v>350</v>
      </c>
      <c r="R1359" s="85">
        <v>5</v>
      </c>
      <c r="S1359" s="55">
        <v>0</v>
      </c>
      <c r="T1359" s="74" t="s">
        <v>1098</v>
      </c>
      <c r="U1359" s="74" t="s">
        <v>351</v>
      </c>
      <c r="V1359" s="74">
        <v>44299</v>
      </c>
      <c r="W1359" s="74">
        <v>44342</v>
      </c>
      <c r="X1359" s="55">
        <v>10186476</v>
      </c>
      <c r="Y1359" s="55" t="s">
        <v>132</v>
      </c>
      <c r="AB1359" s="74" t="s">
        <v>132</v>
      </c>
      <c r="AC1359" s="55" t="s">
        <v>132</v>
      </c>
      <c r="AL1359" s="74"/>
      <c r="AM1359" s="74"/>
    </row>
    <row r="1360" spans="1:50" ht="13" x14ac:dyDescent="0.15">
      <c r="A1360" s="55" t="str">
        <f>HYPERLINK("http://reports.ofsted.gov.uk/inspection-reports/find-inspection-report/provider/CARE/2594854","Ofsted Social Care Provider Webpage")</f>
        <v>Ofsted Social Care Provider Webpage</v>
      </c>
      <c r="B1360" s="55">
        <v>2594854</v>
      </c>
      <c r="D1360" s="55" t="s">
        <v>373</v>
      </c>
      <c r="E1360" s="74">
        <v>44070</v>
      </c>
      <c r="F1360" s="55" t="s">
        <v>344</v>
      </c>
      <c r="G1360" s="55" t="s">
        <v>360</v>
      </c>
      <c r="H1360" s="55" t="s">
        <v>360</v>
      </c>
      <c r="I1360" s="55" t="s">
        <v>360</v>
      </c>
      <c r="J1360" s="55" t="s">
        <v>360</v>
      </c>
      <c r="K1360" s="55" t="s">
        <v>360</v>
      </c>
      <c r="L1360" s="55" t="s">
        <v>360</v>
      </c>
      <c r="M1360" s="55" t="s">
        <v>136</v>
      </c>
      <c r="N1360" s="55" t="s">
        <v>136</v>
      </c>
      <c r="O1360" s="55" t="s">
        <v>288</v>
      </c>
      <c r="P1360" s="55" t="s">
        <v>1388</v>
      </c>
      <c r="Q1360" s="55" t="s">
        <v>350</v>
      </c>
      <c r="R1360" s="85">
        <v>5</v>
      </c>
      <c r="S1360" s="55">
        <v>0</v>
      </c>
      <c r="T1360" s="74" t="s">
        <v>435</v>
      </c>
      <c r="U1360" s="74" t="s">
        <v>351</v>
      </c>
      <c r="V1360" s="74">
        <v>44566</v>
      </c>
      <c r="W1360" s="74">
        <v>44606</v>
      </c>
      <c r="X1360" s="55">
        <v>10185639</v>
      </c>
      <c r="Y1360" s="55" t="s">
        <v>132</v>
      </c>
      <c r="AB1360" s="74" t="s">
        <v>130</v>
      </c>
      <c r="AC1360" s="55" t="s">
        <v>132</v>
      </c>
      <c r="AL1360" s="74"/>
      <c r="AM1360" s="74"/>
      <c r="AW1360" s="74"/>
      <c r="AX1360" s="74"/>
    </row>
    <row r="1361" spans="1:50" ht="13" x14ac:dyDescent="0.15">
      <c r="A1361" s="55" t="str">
        <f>HYPERLINK("http://reports.ofsted.gov.uk/inspection-reports/find-inspection-report/provider/CARE/2594859","Ofsted Social Care Provider Webpage")</f>
        <v>Ofsted Social Care Provider Webpage</v>
      </c>
      <c r="B1361" s="55">
        <v>2594859</v>
      </c>
      <c r="D1361" s="55" t="s">
        <v>373</v>
      </c>
      <c r="E1361" s="74">
        <v>44251</v>
      </c>
      <c r="F1361" s="55" t="s">
        <v>344</v>
      </c>
      <c r="G1361" s="55" t="s">
        <v>360</v>
      </c>
      <c r="H1361" s="55" t="s">
        <v>360</v>
      </c>
      <c r="I1361" s="55" t="s">
        <v>360</v>
      </c>
      <c r="J1361" s="55" t="s">
        <v>360</v>
      </c>
      <c r="K1361" s="55" t="s">
        <v>360</v>
      </c>
      <c r="L1361" s="55" t="s">
        <v>360</v>
      </c>
      <c r="M1361" s="55" t="s">
        <v>138</v>
      </c>
      <c r="N1361" s="55" t="s">
        <v>138</v>
      </c>
      <c r="O1361" s="55" t="s">
        <v>238</v>
      </c>
      <c r="P1361" s="55" t="s">
        <v>238</v>
      </c>
      <c r="Q1361" s="55" t="s">
        <v>350</v>
      </c>
      <c r="R1361" s="85">
        <v>2</v>
      </c>
      <c r="S1361" s="55">
        <v>0</v>
      </c>
      <c r="T1361" s="74" t="s">
        <v>1898</v>
      </c>
      <c r="U1361" s="74" t="s">
        <v>351</v>
      </c>
      <c r="V1361" s="74">
        <v>44523</v>
      </c>
      <c r="W1361" s="74">
        <v>44565</v>
      </c>
      <c r="X1361" s="55">
        <v>10188281</v>
      </c>
      <c r="Y1361" s="55" t="s">
        <v>132</v>
      </c>
      <c r="AB1361" s="74" t="s">
        <v>132</v>
      </c>
      <c r="AC1361" s="55" t="s">
        <v>132</v>
      </c>
      <c r="AL1361" s="74"/>
      <c r="AM1361" s="74"/>
      <c r="AW1361" s="74"/>
      <c r="AX1361" s="74"/>
    </row>
    <row r="1362" spans="1:50" ht="13" x14ac:dyDescent="0.15">
      <c r="A1362" s="55" t="str">
        <f>HYPERLINK("http://reports.ofsted.gov.uk/inspection-reports/find-inspection-report/provider/CARE/2594875","Ofsted Social Care Provider Webpage")</f>
        <v>Ofsted Social Care Provider Webpage</v>
      </c>
      <c r="B1362" s="55">
        <v>2594875</v>
      </c>
      <c r="D1362" s="55" t="s">
        <v>373</v>
      </c>
      <c r="E1362" s="74">
        <v>44025</v>
      </c>
      <c r="F1362" s="55" t="s">
        <v>344</v>
      </c>
      <c r="G1362" s="55" t="s">
        <v>360</v>
      </c>
      <c r="H1362" s="55" t="s">
        <v>360</v>
      </c>
      <c r="I1362" s="55" t="s">
        <v>360</v>
      </c>
      <c r="J1362" s="55" t="s">
        <v>360</v>
      </c>
      <c r="K1362" s="55" t="s">
        <v>360</v>
      </c>
      <c r="L1362" s="55" t="s">
        <v>360</v>
      </c>
      <c r="M1362" s="55" t="s">
        <v>138</v>
      </c>
      <c r="N1362" s="55" t="s">
        <v>138</v>
      </c>
      <c r="O1362" s="55" t="s">
        <v>159</v>
      </c>
      <c r="P1362" s="55" t="s">
        <v>1080</v>
      </c>
      <c r="Q1362" s="55" t="s">
        <v>350</v>
      </c>
      <c r="R1362" s="85">
        <v>4</v>
      </c>
      <c r="S1362" s="55">
        <v>0</v>
      </c>
      <c r="T1362" s="74" t="s">
        <v>1899</v>
      </c>
      <c r="U1362" s="74" t="s">
        <v>6703</v>
      </c>
      <c r="V1362" s="74">
        <v>44498</v>
      </c>
      <c r="W1362" s="74">
        <v>44523</v>
      </c>
      <c r="X1362" s="55">
        <v>10212715</v>
      </c>
      <c r="Y1362" s="55" t="s">
        <v>6706</v>
      </c>
      <c r="AL1362" s="74"/>
      <c r="AM1362" s="74"/>
    </row>
    <row r="1363" spans="1:50" ht="13" x14ac:dyDescent="0.15">
      <c r="A1363" s="55" t="str">
        <f>HYPERLINK("http://reports.ofsted.gov.uk/inspection-reports/find-inspection-report/provider/CARE/2594875","Ofsted Social Care Provider Webpage")</f>
        <v>Ofsted Social Care Provider Webpage</v>
      </c>
      <c r="B1363" s="55">
        <v>2594875</v>
      </c>
      <c r="D1363" s="55" t="s">
        <v>373</v>
      </c>
      <c r="E1363" s="74">
        <v>44025</v>
      </c>
      <c r="F1363" s="55" t="s">
        <v>344</v>
      </c>
      <c r="G1363" s="55" t="s">
        <v>360</v>
      </c>
      <c r="H1363" s="55" t="s">
        <v>360</v>
      </c>
      <c r="I1363" s="55" t="s">
        <v>360</v>
      </c>
      <c r="J1363" s="55" t="s">
        <v>360</v>
      </c>
      <c r="K1363" s="55" t="s">
        <v>360</v>
      </c>
      <c r="L1363" s="55" t="s">
        <v>360</v>
      </c>
      <c r="M1363" s="55" t="s">
        <v>138</v>
      </c>
      <c r="N1363" s="55" t="s">
        <v>138</v>
      </c>
      <c r="O1363" s="55" t="s">
        <v>159</v>
      </c>
      <c r="P1363" s="55" t="s">
        <v>1080</v>
      </c>
      <c r="Q1363" s="55" t="s">
        <v>350</v>
      </c>
      <c r="R1363" s="85">
        <v>4</v>
      </c>
      <c r="S1363" s="55">
        <v>0</v>
      </c>
      <c r="T1363" s="74" t="s">
        <v>1899</v>
      </c>
      <c r="U1363" s="74" t="s">
        <v>351</v>
      </c>
      <c r="V1363" s="74">
        <v>44418</v>
      </c>
      <c r="W1363" s="74">
        <v>44448</v>
      </c>
      <c r="X1363" s="55">
        <v>10187158</v>
      </c>
      <c r="Y1363" s="55" t="s">
        <v>132</v>
      </c>
      <c r="AB1363" s="74" t="s">
        <v>132</v>
      </c>
      <c r="AC1363" s="55" t="s">
        <v>132</v>
      </c>
      <c r="AL1363" s="74"/>
      <c r="AM1363" s="74"/>
    </row>
    <row r="1364" spans="1:50" ht="13" x14ac:dyDescent="0.15">
      <c r="A1364" s="55" t="str">
        <f>HYPERLINK("http://reports.ofsted.gov.uk/inspection-reports/find-inspection-report/provider/CARE/2594902","Ofsted Social Care Provider Webpage")</f>
        <v>Ofsted Social Care Provider Webpage</v>
      </c>
      <c r="B1364" s="55">
        <v>2594902</v>
      </c>
      <c r="D1364" s="55" t="s">
        <v>373</v>
      </c>
      <c r="E1364" s="74">
        <v>44095</v>
      </c>
      <c r="F1364" s="55" t="s">
        <v>344</v>
      </c>
      <c r="G1364" s="55" t="s">
        <v>360</v>
      </c>
      <c r="H1364" s="55" t="s">
        <v>360</v>
      </c>
      <c r="I1364" s="55" t="s">
        <v>360</v>
      </c>
      <c r="J1364" s="55" t="s">
        <v>360</v>
      </c>
      <c r="K1364" s="55" t="s">
        <v>360</v>
      </c>
      <c r="L1364" s="55" t="s">
        <v>360</v>
      </c>
      <c r="M1364" s="55" t="s">
        <v>136</v>
      </c>
      <c r="N1364" s="55" t="s">
        <v>136</v>
      </c>
      <c r="O1364" s="55" t="s">
        <v>288</v>
      </c>
      <c r="P1364" s="55" t="s">
        <v>1388</v>
      </c>
      <c r="Q1364" s="55" t="s">
        <v>350</v>
      </c>
      <c r="R1364" s="85">
        <v>5</v>
      </c>
      <c r="S1364" s="55">
        <v>0</v>
      </c>
      <c r="T1364" s="74" t="s">
        <v>435</v>
      </c>
      <c r="U1364" s="74" t="s">
        <v>351</v>
      </c>
      <c r="V1364" s="74">
        <v>44607</v>
      </c>
      <c r="W1364" s="74">
        <v>44657</v>
      </c>
      <c r="X1364" s="55">
        <v>10185638</v>
      </c>
      <c r="Y1364" s="55" t="s">
        <v>130</v>
      </c>
      <c r="AB1364" s="74" t="s">
        <v>130</v>
      </c>
      <c r="AC1364" s="55" t="s">
        <v>130</v>
      </c>
      <c r="AL1364" s="74"/>
      <c r="AM1364" s="74"/>
    </row>
    <row r="1365" spans="1:50" ht="13" x14ac:dyDescent="0.15">
      <c r="A1365" s="55" t="str">
        <f>HYPERLINK("http://reports.ofsted.gov.uk/inspection-reports/find-inspection-report/provider/CARE/2594952","Ofsted Social Care Provider Webpage")</f>
        <v>Ofsted Social Care Provider Webpage</v>
      </c>
      <c r="B1365" s="55">
        <v>2594952</v>
      </c>
      <c r="D1365" s="55" t="s">
        <v>373</v>
      </c>
      <c r="E1365" s="74">
        <v>44075</v>
      </c>
      <c r="F1365" s="55" t="s">
        <v>344</v>
      </c>
      <c r="G1365" s="55" t="s">
        <v>360</v>
      </c>
      <c r="H1365" s="55" t="s">
        <v>360</v>
      </c>
      <c r="I1365" s="55" t="s">
        <v>360</v>
      </c>
      <c r="J1365" s="55" t="s">
        <v>360</v>
      </c>
      <c r="K1365" s="55" t="s">
        <v>360</v>
      </c>
      <c r="L1365" s="55" t="s">
        <v>360</v>
      </c>
      <c r="M1365" s="55" t="s">
        <v>378</v>
      </c>
      <c r="N1365" s="55" t="s">
        <v>170</v>
      </c>
      <c r="O1365" s="55" t="s">
        <v>184</v>
      </c>
      <c r="P1365" s="55" t="s">
        <v>184</v>
      </c>
      <c r="Q1365" s="55" t="s">
        <v>350</v>
      </c>
      <c r="R1365" s="85">
        <v>3</v>
      </c>
      <c r="S1365" s="55">
        <v>0</v>
      </c>
      <c r="T1365" s="74" t="s">
        <v>677</v>
      </c>
      <c r="U1365" s="74" t="s">
        <v>351</v>
      </c>
      <c r="V1365" s="74">
        <v>44453</v>
      </c>
      <c r="W1365" s="74">
        <v>44481</v>
      </c>
      <c r="X1365" s="55">
        <v>10186893</v>
      </c>
      <c r="Y1365" s="55" t="s">
        <v>132</v>
      </c>
      <c r="AB1365" s="74" t="s">
        <v>132</v>
      </c>
      <c r="AC1365" s="55" t="s">
        <v>132</v>
      </c>
      <c r="AL1365" s="74"/>
      <c r="AM1365" s="74"/>
    </row>
    <row r="1366" spans="1:50" ht="13" x14ac:dyDescent="0.15">
      <c r="A1366" s="55" t="str">
        <f>HYPERLINK("http://reports.ofsted.gov.uk/inspection-reports/find-inspection-report/provider/CARE/2594985","Ofsted Social Care Provider Webpage")</f>
        <v>Ofsted Social Care Provider Webpage</v>
      </c>
      <c r="B1366" s="55">
        <v>2594985</v>
      </c>
      <c r="D1366" s="55" t="s">
        <v>373</v>
      </c>
      <c r="E1366" s="74">
        <v>44046</v>
      </c>
      <c r="F1366" s="55" t="s">
        <v>344</v>
      </c>
      <c r="G1366" s="55" t="s">
        <v>360</v>
      </c>
      <c r="H1366" s="55" t="s">
        <v>360</v>
      </c>
      <c r="I1366" s="55" t="s">
        <v>360</v>
      </c>
      <c r="J1366" s="55" t="s">
        <v>360</v>
      </c>
      <c r="K1366" s="55" t="s">
        <v>360</v>
      </c>
      <c r="L1366" s="55" t="s">
        <v>360</v>
      </c>
      <c r="M1366" s="55" t="s">
        <v>144</v>
      </c>
      <c r="N1366" s="55" t="s">
        <v>144</v>
      </c>
      <c r="O1366" s="55" t="s">
        <v>209</v>
      </c>
      <c r="P1366" s="55" t="s">
        <v>597</v>
      </c>
      <c r="Q1366" s="55" t="s">
        <v>350</v>
      </c>
      <c r="R1366" s="85">
        <v>4</v>
      </c>
      <c r="S1366" s="55">
        <v>0</v>
      </c>
      <c r="T1366" s="74" t="s">
        <v>737</v>
      </c>
      <c r="U1366" s="74" t="s">
        <v>351</v>
      </c>
      <c r="V1366" s="74">
        <v>44594</v>
      </c>
      <c r="W1366" s="74">
        <v>44641</v>
      </c>
      <c r="X1366" s="55">
        <v>10187320</v>
      </c>
      <c r="Y1366" s="55" t="s">
        <v>132</v>
      </c>
      <c r="AB1366" s="74" t="s">
        <v>132</v>
      </c>
      <c r="AC1366" s="55" t="s">
        <v>132</v>
      </c>
      <c r="AL1366" s="74"/>
      <c r="AM1366" s="74"/>
    </row>
    <row r="1367" spans="1:50" ht="13" x14ac:dyDescent="0.15">
      <c r="A1367" s="55" t="str">
        <f>HYPERLINK("http://reports.ofsted.gov.uk/inspection-reports/find-inspection-report/provider/CARE/2595021","Ofsted Social Care Provider Webpage")</f>
        <v>Ofsted Social Care Provider Webpage</v>
      </c>
      <c r="B1367" s="55">
        <v>2595021</v>
      </c>
      <c r="D1367" s="55" t="s">
        <v>373</v>
      </c>
      <c r="E1367" s="74">
        <v>44034</v>
      </c>
      <c r="F1367" s="55" t="s">
        <v>344</v>
      </c>
      <c r="G1367" s="55" t="s">
        <v>360</v>
      </c>
      <c r="H1367" s="55" t="s">
        <v>360</v>
      </c>
      <c r="I1367" s="55" t="s">
        <v>360</v>
      </c>
      <c r="J1367" s="55" t="s">
        <v>360</v>
      </c>
      <c r="K1367" s="55" t="s">
        <v>360</v>
      </c>
      <c r="L1367" s="55" t="s">
        <v>360</v>
      </c>
      <c r="M1367" s="55" t="s">
        <v>144</v>
      </c>
      <c r="N1367" s="55" t="s">
        <v>144</v>
      </c>
      <c r="O1367" s="55" t="s">
        <v>209</v>
      </c>
      <c r="P1367" s="55" t="s">
        <v>484</v>
      </c>
      <c r="Q1367" s="55" t="s">
        <v>350</v>
      </c>
      <c r="R1367" s="85">
        <v>2</v>
      </c>
      <c r="S1367" s="55">
        <v>0</v>
      </c>
      <c r="T1367" s="74" t="s">
        <v>485</v>
      </c>
      <c r="U1367" s="74" t="s">
        <v>351</v>
      </c>
      <c r="V1367" s="74">
        <v>44509</v>
      </c>
      <c r="W1367" s="74">
        <v>44560</v>
      </c>
      <c r="X1367" s="55">
        <v>10186211</v>
      </c>
      <c r="Y1367" s="55" t="s">
        <v>132</v>
      </c>
      <c r="AB1367" s="74" t="s">
        <v>132</v>
      </c>
      <c r="AC1367" s="55" t="s">
        <v>132</v>
      </c>
      <c r="AL1367" s="74"/>
      <c r="AM1367" s="74"/>
    </row>
    <row r="1368" spans="1:50" ht="13" x14ac:dyDescent="0.15">
      <c r="A1368" s="55" t="str">
        <f>HYPERLINK("http://reports.ofsted.gov.uk/inspection-reports/find-inspection-report/provider/CARE/2595112","Ofsted Social Care Provider Webpage")</f>
        <v>Ofsted Social Care Provider Webpage</v>
      </c>
      <c r="B1368" s="55">
        <v>2595112</v>
      </c>
      <c r="D1368" s="55" t="s">
        <v>373</v>
      </c>
      <c r="E1368" s="74">
        <v>44049</v>
      </c>
      <c r="F1368" s="55" t="s">
        <v>344</v>
      </c>
      <c r="G1368" s="55" t="s">
        <v>360</v>
      </c>
      <c r="H1368" s="55" t="s">
        <v>360</v>
      </c>
      <c r="I1368" s="55" t="s">
        <v>360</v>
      </c>
      <c r="J1368" s="55" t="s">
        <v>360</v>
      </c>
      <c r="K1368" s="55" t="s">
        <v>360</v>
      </c>
      <c r="L1368" s="55" t="s">
        <v>360</v>
      </c>
      <c r="M1368" s="55" t="s">
        <v>144</v>
      </c>
      <c r="N1368" s="55" t="s">
        <v>144</v>
      </c>
      <c r="O1368" s="55" t="s">
        <v>209</v>
      </c>
      <c r="P1368" s="55" t="s">
        <v>544</v>
      </c>
      <c r="Q1368" s="55" t="s">
        <v>350</v>
      </c>
      <c r="R1368" s="85">
        <v>2</v>
      </c>
      <c r="S1368" s="55">
        <v>0</v>
      </c>
      <c r="T1368" s="74" t="s">
        <v>485</v>
      </c>
      <c r="U1368" s="74" t="s">
        <v>6703</v>
      </c>
      <c r="V1368" s="74">
        <v>44573</v>
      </c>
      <c r="W1368" s="74">
        <v>44603</v>
      </c>
      <c r="X1368" s="55">
        <v>10209596</v>
      </c>
      <c r="Y1368" s="55" t="s">
        <v>6706</v>
      </c>
      <c r="AL1368" s="74"/>
      <c r="AM1368" s="74"/>
      <c r="AW1368" s="74"/>
      <c r="AX1368" s="74"/>
    </row>
    <row r="1369" spans="1:50" ht="13" x14ac:dyDescent="0.15">
      <c r="A1369" s="55" t="str">
        <f>HYPERLINK("http://reports.ofsted.gov.uk/inspection-reports/find-inspection-report/provider/CARE/2595112","Ofsted Social Care Provider Webpage")</f>
        <v>Ofsted Social Care Provider Webpage</v>
      </c>
      <c r="B1369" s="55">
        <v>2595112</v>
      </c>
      <c r="D1369" s="55" t="s">
        <v>373</v>
      </c>
      <c r="E1369" s="74">
        <v>44049</v>
      </c>
      <c r="F1369" s="55" t="s">
        <v>344</v>
      </c>
      <c r="G1369" s="55" t="s">
        <v>360</v>
      </c>
      <c r="H1369" s="55" t="s">
        <v>360</v>
      </c>
      <c r="I1369" s="55" t="s">
        <v>360</v>
      </c>
      <c r="J1369" s="55" t="s">
        <v>360</v>
      </c>
      <c r="K1369" s="55" t="s">
        <v>360</v>
      </c>
      <c r="L1369" s="55" t="s">
        <v>360</v>
      </c>
      <c r="M1369" s="55" t="s">
        <v>144</v>
      </c>
      <c r="N1369" s="55" t="s">
        <v>144</v>
      </c>
      <c r="O1369" s="55" t="s">
        <v>209</v>
      </c>
      <c r="P1369" s="55" t="s">
        <v>544</v>
      </c>
      <c r="Q1369" s="55" t="s">
        <v>350</v>
      </c>
      <c r="R1369" s="85">
        <v>2</v>
      </c>
      <c r="S1369" s="55">
        <v>0</v>
      </c>
      <c r="T1369" s="74" t="s">
        <v>485</v>
      </c>
      <c r="U1369" s="74" t="s">
        <v>351</v>
      </c>
      <c r="V1369" s="74">
        <v>44440</v>
      </c>
      <c r="W1369" s="74">
        <v>44473</v>
      </c>
      <c r="X1369" s="55">
        <v>10186864</v>
      </c>
      <c r="Y1369" s="55" t="s">
        <v>130</v>
      </c>
      <c r="AB1369" s="74" t="s">
        <v>130</v>
      </c>
      <c r="AC1369" s="55" t="s">
        <v>130</v>
      </c>
      <c r="AL1369" s="74"/>
      <c r="AM1369" s="74"/>
      <c r="AW1369" s="74"/>
      <c r="AX1369" s="74"/>
    </row>
    <row r="1370" spans="1:50" ht="13" x14ac:dyDescent="0.15">
      <c r="A1370" s="55" t="str">
        <f>HYPERLINK("http://reports.ofsted.gov.uk/inspection-reports/find-inspection-report/provider/CARE/2595123","Ofsted Social Care Provider Webpage")</f>
        <v>Ofsted Social Care Provider Webpage</v>
      </c>
      <c r="B1370" s="55">
        <v>2595123</v>
      </c>
      <c r="D1370" s="55" t="s">
        <v>373</v>
      </c>
      <c r="E1370" s="74">
        <v>44048</v>
      </c>
      <c r="F1370" s="55" t="s">
        <v>344</v>
      </c>
      <c r="G1370" s="55" t="s">
        <v>360</v>
      </c>
      <c r="H1370" s="55" t="s">
        <v>360</v>
      </c>
      <c r="I1370" s="55" t="s">
        <v>360</v>
      </c>
      <c r="J1370" s="55" t="s">
        <v>360</v>
      </c>
      <c r="K1370" s="55" t="s">
        <v>360</v>
      </c>
      <c r="L1370" s="55" t="s">
        <v>360</v>
      </c>
      <c r="M1370" s="55" t="s">
        <v>172</v>
      </c>
      <c r="N1370" s="55" t="s">
        <v>172</v>
      </c>
      <c r="O1370" s="55" t="s">
        <v>211</v>
      </c>
      <c r="P1370" s="55" t="s">
        <v>1343</v>
      </c>
      <c r="Q1370" s="55" t="s">
        <v>350</v>
      </c>
      <c r="R1370" s="85">
        <v>2</v>
      </c>
      <c r="S1370" s="55">
        <v>0</v>
      </c>
      <c r="T1370" s="74" t="s">
        <v>1904</v>
      </c>
      <c r="U1370" s="74" t="s">
        <v>351</v>
      </c>
      <c r="V1370" s="74">
        <v>44454</v>
      </c>
      <c r="W1370" s="74">
        <v>44496</v>
      </c>
      <c r="X1370" s="55">
        <v>10186831</v>
      </c>
      <c r="Y1370" s="55" t="s">
        <v>132</v>
      </c>
      <c r="AB1370" s="74" t="s">
        <v>130</v>
      </c>
      <c r="AC1370" s="55" t="s">
        <v>132</v>
      </c>
      <c r="AL1370" s="74"/>
      <c r="AM1370" s="74"/>
    </row>
    <row r="1371" spans="1:50" ht="13" x14ac:dyDescent="0.15">
      <c r="A1371" s="55" t="str">
        <f>HYPERLINK("http://reports.ofsted.gov.uk/inspection-reports/find-inspection-report/provider/CARE/2595128","Ofsted Social Care Provider Webpage")</f>
        <v>Ofsted Social Care Provider Webpage</v>
      </c>
      <c r="B1371" s="55">
        <v>2595128</v>
      </c>
      <c r="D1371" s="55" t="s">
        <v>373</v>
      </c>
      <c r="E1371" s="74">
        <v>44103</v>
      </c>
      <c r="F1371" s="55" t="s">
        <v>344</v>
      </c>
      <c r="G1371" s="55" t="s">
        <v>360</v>
      </c>
      <c r="H1371" s="55" t="s">
        <v>360</v>
      </c>
      <c r="I1371" s="55" t="s">
        <v>360</v>
      </c>
      <c r="J1371" s="55" t="s">
        <v>360</v>
      </c>
      <c r="K1371" s="55" t="s">
        <v>360</v>
      </c>
      <c r="L1371" s="55" t="s">
        <v>360</v>
      </c>
      <c r="M1371" s="55" t="s">
        <v>142</v>
      </c>
      <c r="N1371" s="55" t="s">
        <v>142</v>
      </c>
      <c r="O1371" s="55" t="s">
        <v>252</v>
      </c>
      <c r="P1371" s="55" t="s">
        <v>388</v>
      </c>
      <c r="Q1371" s="55" t="s">
        <v>350</v>
      </c>
      <c r="R1371" s="85">
        <v>4</v>
      </c>
      <c r="S1371" s="55">
        <v>0</v>
      </c>
      <c r="T1371" s="74" t="s">
        <v>1905</v>
      </c>
      <c r="U1371" s="74" t="s">
        <v>351</v>
      </c>
      <c r="V1371" s="74">
        <v>44432</v>
      </c>
      <c r="W1371" s="74">
        <v>44476</v>
      </c>
      <c r="X1371" s="55">
        <v>10187499</v>
      </c>
      <c r="Y1371" s="55" t="s">
        <v>132</v>
      </c>
      <c r="AB1371" s="74" t="s">
        <v>132</v>
      </c>
      <c r="AC1371" s="55" t="s">
        <v>132</v>
      </c>
      <c r="AL1371" s="74"/>
      <c r="AM1371" s="74"/>
      <c r="AW1371" s="74"/>
      <c r="AX1371" s="74"/>
    </row>
    <row r="1372" spans="1:50" ht="13" x14ac:dyDescent="0.15">
      <c r="A1372" s="55" t="str">
        <f>HYPERLINK("http://reports.ofsted.gov.uk/inspection-reports/find-inspection-report/provider/CARE/2595182","Ofsted Social Care Provider Webpage")</f>
        <v>Ofsted Social Care Provider Webpage</v>
      </c>
      <c r="B1372" s="55">
        <v>2595182</v>
      </c>
      <c r="D1372" s="55" t="s">
        <v>373</v>
      </c>
      <c r="E1372" s="74">
        <v>44123</v>
      </c>
      <c r="F1372" s="55" t="s">
        <v>344</v>
      </c>
      <c r="G1372" s="55" t="s">
        <v>360</v>
      </c>
      <c r="H1372" s="55" t="s">
        <v>360</v>
      </c>
      <c r="I1372" s="55" t="s">
        <v>360</v>
      </c>
      <c r="J1372" s="55" t="s">
        <v>360</v>
      </c>
      <c r="K1372" s="55" t="s">
        <v>360</v>
      </c>
      <c r="L1372" s="55" t="s">
        <v>360</v>
      </c>
      <c r="M1372" s="55" t="s">
        <v>129</v>
      </c>
      <c r="N1372" s="55" t="s">
        <v>129</v>
      </c>
      <c r="O1372" s="55" t="s">
        <v>242</v>
      </c>
      <c r="P1372" s="55" t="s">
        <v>1519</v>
      </c>
      <c r="Q1372" s="55" t="s">
        <v>350</v>
      </c>
      <c r="R1372" s="85">
        <v>3</v>
      </c>
      <c r="S1372" s="55">
        <v>0</v>
      </c>
      <c r="T1372" s="74" t="s">
        <v>1906</v>
      </c>
      <c r="U1372" s="74" t="s">
        <v>351</v>
      </c>
      <c r="V1372" s="74">
        <v>44314</v>
      </c>
      <c r="W1372" s="74">
        <v>44341</v>
      </c>
      <c r="X1372" s="55">
        <v>10186979</v>
      </c>
      <c r="Y1372" s="55" t="s">
        <v>132</v>
      </c>
      <c r="AB1372" s="74" t="s">
        <v>132</v>
      </c>
      <c r="AC1372" s="55" t="s">
        <v>132</v>
      </c>
      <c r="AL1372" s="74"/>
      <c r="AM1372" s="74"/>
      <c r="AW1372" s="74"/>
      <c r="AX1372" s="74"/>
    </row>
    <row r="1373" spans="1:50" ht="13" x14ac:dyDescent="0.15">
      <c r="A1373" s="55" t="str">
        <f>HYPERLINK("http://reports.ofsted.gov.uk/inspection-reports/find-inspection-report/provider/CARE/2595340","Ofsted Social Care Provider Webpage")</f>
        <v>Ofsted Social Care Provider Webpage</v>
      </c>
      <c r="B1373" s="55">
        <v>2595340</v>
      </c>
      <c r="D1373" s="55" t="s">
        <v>373</v>
      </c>
      <c r="E1373" s="74">
        <v>44025</v>
      </c>
      <c r="F1373" s="55" t="s">
        <v>344</v>
      </c>
      <c r="G1373" s="55" t="s">
        <v>360</v>
      </c>
      <c r="H1373" s="55" t="s">
        <v>360</v>
      </c>
      <c r="I1373" s="55" t="s">
        <v>360</v>
      </c>
      <c r="J1373" s="55" t="s">
        <v>360</v>
      </c>
      <c r="K1373" s="55" t="s">
        <v>360</v>
      </c>
      <c r="L1373" s="55" t="s">
        <v>360</v>
      </c>
      <c r="M1373" s="55" t="s">
        <v>129</v>
      </c>
      <c r="N1373" s="55" t="s">
        <v>129</v>
      </c>
      <c r="O1373" s="55" t="s">
        <v>152</v>
      </c>
      <c r="P1373" s="55" t="s">
        <v>1130</v>
      </c>
      <c r="Q1373" s="55" t="s">
        <v>350</v>
      </c>
      <c r="R1373" s="85">
        <v>4</v>
      </c>
      <c r="S1373" s="55">
        <v>0</v>
      </c>
      <c r="T1373" s="74" t="s">
        <v>1911</v>
      </c>
      <c r="U1373" s="74" t="s">
        <v>6703</v>
      </c>
      <c r="V1373" s="74">
        <v>44594</v>
      </c>
      <c r="W1373" s="74">
        <v>44642</v>
      </c>
      <c r="X1373" s="55">
        <v>10209395</v>
      </c>
      <c r="Y1373" s="55" t="s">
        <v>6706</v>
      </c>
      <c r="AL1373" s="74"/>
      <c r="AM1373" s="74"/>
      <c r="AW1373" s="74"/>
      <c r="AX1373" s="74"/>
    </row>
    <row r="1374" spans="1:50" ht="13" x14ac:dyDescent="0.15">
      <c r="A1374" s="55" t="str">
        <f>HYPERLINK("http://reports.ofsted.gov.uk/inspection-reports/find-inspection-report/provider/CARE/2595340","Ofsted Social Care Provider Webpage")</f>
        <v>Ofsted Social Care Provider Webpage</v>
      </c>
      <c r="B1374" s="55">
        <v>2595340</v>
      </c>
      <c r="D1374" s="55" t="s">
        <v>373</v>
      </c>
      <c r="E1374" s="74">
        <v>44025</v>
      </c>
      <c r="F1374" s="55" t="s">
        <v>344</v>
      </c>
      <c r="G1374" s="55" t="s">
        <v>360</v>
      </c>
      <c r="H1374" s="55" t="s">
        <v>360</v>
      </c>
      <c r="I1374" s="55" t="s">
        <v>360</v>
      </c>
      <c r="J1374" s="55" t="s">
        <v>360</v>
      </c>
      <c r="K1374" s="55" t="s">
        <v>360</v>
      </c>
      <c r="L1374" s="55" t="s">
        <v>360</v>
      </c>
      <c r="M1374" s="55" t="s">
        <v>129</v>
      </c>
      <c r="N1374" s="55" t="s">
        <v>129</v>
      </c>
      <c r="O1374" s="55" t="s">
        <v>152</v>
      </c>
      <c r="P1374" s="55" t="s">
        <v>1130</v>
      </c>
      <c r="Q1374" s="55" t="s">
        <v>350</v>
      </c>
      <c r="R1374" s="85">
        <v>4</v>
      </c>
      <c r="S1374" s="55">
        <v>0</v>
      </c>
      <c r="T1374" s="74" t="s">
        <v>1911</v>
      </c>
      <c r="U1374" s="74" t="s">
        <v>351</v>
      </c>
      <c r="V1374" s="74">
        <v>44369</v>
      </c>
      <c r="W1374" s="74">
        <v>44398</v>
      </c>
      <c r="X1374" s="55">
        <v>10185755</v>
      </c>
      <c r="Y1374" s="55" t="s">
        <v>130</v>
      </c>
      <c r="AB1374" s="74" t="s">
        <v>130</v>
      </c>
      <c r="AC1374" s="55" t="s">
        <v>130</v>
      </c>
      <c r="AL1374" s="74"/>
      <c r="AM1374" s="74"/>
      <c r="AW1374" s="74"/>
      <c r="AX1374" s="74"/>
    </row>
    <row r="1375" spans="1:50" ht="13" x14ac:dyDescent="0.15">
      <c r="A1375" s="55" t="str">
        <f>HYPERLINK("http://reports.ofsted.gov.uk/inspection-reports/find-inspection-report/provider/CARE/2595620","Ofsted Social Care Provider Webpage")</f>
        <v>Ofsted Social Care Provider Webpage</v>
      </c>
      <c r="B1375" s="55">
        <v>2595620</v>
      </c>
      <c r="D1375" s="55" t="s">
        <v>373</v>
      </c>
      <c r="E1375" s="74">
        <v>44104</v>
      </c>
      <c r="F1375" s="55" t="s">
        <v>344</v>
      </c>
      <c r="G1375" s="55" t="s">
        <v>360</v>
      </c>
      <c r="H1375" s="55" t="s">
        <v>360</v>
      </c>
      <c r="I1375" s="55" t="s">
        <v>360</v>
      </c>
      <c r="J1375" s="55" t="s">
        <v>360</v>
      </c>
      <c r="K1375" s="55" t="s">
        <v>360</v>
      </c>
      <c r="L1375" s="55" t="s">
        <v>360</v>
      </c>
      <c r="M1375" s="55" t="s">
        <v>378</v>
      </c>
      <c r="N1375" s="55" t="s">
        <v>134</v>
      </c>
      <c r="O1375" s="55" t="s">
        <v>206</v>
      </c>
      <c r="P1375" s="55" t="s">
        <v>760</v>
      </c>
      <c r="Q1375" s="55" t="s">
        <v>350</v>
      </c>
      <c r="R1375" s="85">
        <v>2</v>
      </c>
      <c r="S1375" s="55">
        <v>0</v>
      </c>
      <c r="T1375" s="74" t="s">
        <v>485</v>
      </c>
      <c r="U1375" s="74" t="s">
        <v>351</v>
      </c>
      <c r="V1375" s="74">
        <v>44348</v>
      </c>
      <c r="W1375" s="74">
        <v>44404</v>
      </c>
      <c r="X1375" s="55">
        <v>10187060</v>
      </c>
      <c r="Y1375" s="55" t="s">
        <v>132</v>
      </c>
      <c r="AB1375" s="74" t="s">
        <v>132</v>
      </c>
      <c r="AC1375" s="55" t="s">
        <v>132</v>
      </c>
      <c r="AL1375" s="74"/>
      <c r="AM1375" s="74"/>
      <c r="AW1375" s="74"/>
      <c r="AX1375" s="74"/>
    </row>
    <row r="1376" spans="1:50" ht="13" x14ac:dyDescent="0.15">
      <c r="A1376" s="55" t="str">
        <f>HYPERLINK("http://reports.ofsted.gov.uk/inspection-reports/find-inspection-report/provider/CARE/2595791","Ofsted Social Care Provider Webpage")</f>
        <v>Ofsted Social Care Provider Webpage</v>
      </c>
      <c r="B1376" s="55">
        <v>2595791</v>
      </c>
      <c r="D1376" s="55" t="s">
        <v>373</v>
      </c>
      <c r="E1376" s="74">
        <v>44124</v>
      </c>
      <c r="F1376" s="55" t="s">
        <v>344</v>
      </c>
      <c r="G1376" s="55" t="s">
        <v>360</v>
      </c>
      <c r="H1376" s="55" t="s">
        <v>360</v>
      </c>
      <c r="I1376" s="55" t="s">
        <v>360</v>
      </c>
      <c r="J1376" s="55" t="s">
        <v>360</v>
      </c>
      <c r="K1376" s="55" t="s">
        <v>360</v>
      </c>
      <c r="L1376" s="55" t="s">
        <v>360</v>
      </c>
      <c r="M1376" s="55" t="s">
        <v>136</v>
      </c>
      <c r="N1376" s="55" t="s">
        <v>136</v>
      </c>
      <c r="O1376" s="55" t="s">
        <v>255</v>
      </c>
      <c r="P1376" s="55" t="s">
        <v>757</v>
      </c>
      <c r="Q1376" s="55" t="s">
        <v>350</v>
      </c>
      <c r="R1376" s="85">
        <v>3</v>
      </c>
      <c r="S1376" s="55">
        <v>0</v>
      </c>
      <c r="T1376" s="74" t="s">
        <v>1601</v>
      </c>
      <c r="U1376" s="74" t="s">
        <v>6703</v>
      </c>
      <c r="V1376" s="74">
        <v>44622</v>
      </c>
      <c r="W1376" s="74">
        <v>44678</v>
      </c>
      <c r="X1376" s="55">
        <v>10215864</v>
      </c>
      <c r="Y1376" s="55" t="s">
        <v>6705</v>
      </c>
      <c r="AL1376" s="74"/>
      <c r="AM1376" s="74"/>
    </row>
    <row r="1377" spans="1:50" ht="13" x14ac:dyDescent="0.15">
      <c r="A1377" s="55" t="str">
        <f>HYPERLINK("http://reports.ofsted.gov.uk/inspection-reports/find-inspection-report/provider/CARE/2595791","Ofsted Social Care Provider Webpage")</f>
        <v>Ofsted Social Care Provider Webpage</v>
      </c>
      <c r="B1377" s="55">
        <v>2595791</v>
      </c>
      <c r="D1377" s="55" t="s">
        <v>373</v>
      </c>
      <c r="E1377" s="74">
        <v>44124</v>
      </c>
      <c r="F1377" s="55" t="s">
        <v>344</v>
      </c>
      <c r="G1377" s="55" t="s">
        <v>360</v>
      </c>
      <c r="H1377" s="55" t="s">
        <v>360</v>
      </c>
      <c r="I1377" s="55" t="s">
        <v>360</v>
      </c>
      <c r="J1377" s="55" t="s">
        <v>360</v>
      </c>
      <c r="K1377" s="55" t="s">
        <v>360</v>
      </c>
      <c r="L1377" s="55" t="s">
        <v>360</v>
      </c>
      <c r="M1377" s="55" t="s">
        <v>136</v>
      </c>
      <c r="N1377" s="55" t="s">
        <v>136</v>
      </c>
      <c r="O1377" s="55" t="s">
        <v>255</v>
      </c>
      <c r="P1377" s="55" t="s">
        <v>757</v>
      </c>
      <c r="Q1377" s="55" t="s">
        <v>350</v>
      </c>
      <c r="R1377" s="85">
        <v>3</v>
      </c>
      <c r="S1377" s="55">
        <v>0</v>
      </c>
      <c r="T1377" s="74" t="s">
        <v>1601</v>
      </c>
      <c r="U1377" s="74" t="s">
        <v>351</v>
      </c>
      <c r="V1377" s="74">
        <v>44439</v>
      </c>
      <c r="W1377" s="74">
        <v>44480</v>
      </c>
      <c r="X1377" s="55">
        <v>10186282</v>
      </c>
      <c r="Y1377" s="55" t="s">
        <v>130</v>
      </c>
      <c r="AB1377" s="74" t="s">
        <v>130</v>
      </c>
      <c r="AC1377" s="55" t="s">
        <v>130</v>
      </c>
      <c r="AL1377" s="74"/>
      <c r="AM1377" s="74"/>
      <c r="AW1377" s="74"/>
      <c r="AX1377" s="74"/>
    </row>
    <row r="1378" spans="1:50" ht="13" x14ac:dyDescent="0.15">
      <c r="A1378" s="55" t="str">
        <f>HYPERLINK("http://reports.ofsted.gov.uk/inspection-reports/find-inspection-report/provider/CARE/2595974","Ofsted Social Care Provider Webpage")</f>
        <v>Ofsted Social Care Provider Webpage</v>
      </c>
      <c r="B1378" s="55">
        <v>2595974</v>
      </c>
      <c r="D1378" s="55" t="s">
        <v>373</v>
      </c>
      <c r="E1378" s="74">
        <v>44139</v>
      </c>
      <c r="F1378" s="55" t="s">
        <v>344</v>
      </c>
      <c r="G1378" s="55" t="s">
        <v>360</v>
      </c>
      <c r="H1378" s="55" t="s">
        <v>360</v>
      </c>
      <c r="I1378" s="55" t="s">
        <v>360</v>
      </c>
      <c r="J1378" s="55" t="s">
        <v>360</v>
      </c>
      <c r="K1378" s="55" t="s">
        <v>360</v>
      </c>
      <c r="L1378" s="55" t="s">
        <v>360</v>
      </c>
      <c r="M1378" s="55" t="s">
        <v>378</v>
      </c>
      <c r="N1378" s="55" t="s">
        <v>170</v>
      </c>
      <c r="O1378" s="55" t="s">
        <v>267</v>
      </c>
      <c r="P1378" s="55" t="s">
        <v>477</v>
      </c>
      <c r="Q1378" s="55" t="s">
        <v>350</v>
      </c>
      <c r="R1378" s="85">
        <v>2</v>
      </c>
      <c r="S1378" s="55">
        <v>0</v>
      </c>
      <c r="T1378" s="74" t="s">
        <v>1699</v>
      </c>
      <c r="U1378" s="74" t="s">
        <v>351</v>
      </c>
      <c r="V1378" s="74">
        <v>44396</v>
      </c>
      <c r="W1378" s="74">
        <v>44428</v>
      </c>
      <c r="X1378" s="55">
        <v>10186708</v>
      </c>
      <c r="Y1378" s="55" t="s">
        <v>132</v>
      </c>
      <c r="AB1378" s="74" t="s">
        <v>132</v>
      </c>
      <c r="AC1378" s="55" t="s">
        <v>132</v>
      </c>
      <c r="AL1378" s="74"/>
      <c r="AM1378" s="74"/>
      <c r="AW1378" s="74"/>
      <c r="AX1378" s="74"/>
    </row>
    <row r="1379" spans="1:50" ht="13" x14ac:dyDescent="0.15">
      <c r="A1379" s="55" t="str">
        <f>HYPERLINK("http://reports.ofsted.gov.uk/inspection-reports/find-inspection-report/provider/CARE/2595983","Ofsted Social Care Provider Webpage")</f>
        <v>Ofsted Social Care Provider Webpage</v>
      </c>
      <c r="B1379" s="55">
        <v>2595983</v>
      </c>
      <c r="D1379" s="55" t="s">
        <v>373</v>
      </c>
      <c r="E1379" s="74">
        <v>44068</v>
      </c>
      <c r="F1379" s="55" t="s">
        <v>344</v>
      </c>
      <c r="G1379" s="55" t="s">
        <v>360</v>
      </c>
      <c r="H1379" s="55" t="s">
        <v>360</v>
      </c>
      <c r="I1379" s="55" t="s">
        <v>360</v>
      </c>
      <c r="J1379" s="55" t="s">
        <v>360</v>
      </c>
      <c r="K1379" s="55" t="s">
        <v>360</v>
      </c>
      <c r="L1379" s="55" t="s">
        <v>360</v>
      </c>
      <c r="M1379" s="55" t="s">
        <v>144</v>
      </c>
      <c r="N1379" s="55" t="s">
        <v>144</v>
      </c>
      <c r="O1379" s="55" t="s">
        <v>209</v>
      </c>
      <c r="P1379" s="55" t="s">
        <v>545</v>
      </c>
      <c r="Q1379" s="55" t="s">
        <v>350</v>
      </c>
      <c r="R1379" s="85">
        <v>6</v>
      </c>
      <c r="S1379" s="55">
        <v>0</v>
      </c>
      <c r="T1379" s="74" t="s">
        <v>1319</v>
      </c>
      <c r="U1379" s="74" t="s">
        <v>351</v>
      </c>
      <c r="V1379" s="74">
        <v>44432</v>
      </c>
      <c r="W1379" s="74">
        <v>44461</v>
      </c>
      <c r="X1379" s="55">
        <v>10186910</v>
      </c>
      <c r="Y1379" s="55" t="s">
        <v>132</v>
      </c>
      <c r="AB1379" s="74" t="s">
        <v>132</v>
      </c>
      <c r="AC1379" s="55" t="s">
        <v>132</v>
      </c>
      <c r="AL1379" s="74"/>
      <c r="AM1379" s="74"/>
    </row>
    <row r="1380" spans="1:50" ht="13" x14ac:dyDescent="0.15">
      <c r="A1380" s="55" t="str">
        <f>HYPERLINK("http://reports.ofsted.gov.uk/inspection-reports/find-inspection-report/provider/CARE/2596008","Ofsted Social Care Provider Webpage")</f>
        <v>Ofsted Social Care Provider Webpage</v>
      </c>
      <c r="B1380" s="55">
        <v>2596008</v>
      </c>
      <c r="D1380" s="55" t="s">
        <v>373</v>
      </c>
      <c r="E1380" s="74">
        <v>44056</v>
      </c>
      <c r="F1380" s="55" t="s">
        <v>344</v>
      </c>
      <c r="G1380" s="55" t="s">
        <v>360</v>
      </c>
      <c r="H1380" s="55" t="s">
        <v>360</v>
      </c>
      <c r="I1380" s="55" t="s">
        <v>360</v>
      </c>
      <c r="J1380" s="55" t="s">
        <v>360</v>
      </c>
      <c r="K1380" s="55" t="s">
        <v>360</v>
      </c>
      <c r="L1380" s="55" t="s">
        <v>360</v>
      </c>
      <c r="M1380" s="55" t="s">
        <v>150</v>
      </c>
      <c r="N1380" s="55" t="s">
        <v>150</v>
      </c>
      <c r="O1380" s="55" t="s">
        <v>181</v>
      </c>
      <c r="P1380" s="55" t="s">
        <v>626</v>
      </c>
      <c r="Q1380" s="55" t="s">
        <v>350</v>
      </c>
      <c r="R1380" s="85">
        <v>2</v>
      </c>
      <c r="S1380" s="55">
        <v>0</v>
      </c>
      <c r="T1380" s="74" t="s">
        <v>627</v>
      </c>
      <c r="U1380" s="74" t="s">
        <v>351</v>
      </c>
      <c r="V1380" s="74">
        <v>44321</v>
      </c>
      <c r="W1380" s="74">
        <v>44370</v>
      </c>
      <c r="X1380" s="55">
        <v>10185869</v>
      </c>
      <c r="Y1380" s="55" t="s">
        <v>132</v>
      </c>
      <c r="AB1380" s="74" t="s">
        <v>132</v>
      </c>
      <c r="AC1380" s="55" t="s">
        <v>132</v>
      </c>
      <c r="AL1380" s="74"/>
      <c r="AM1380" s="74"/>
      <c r="AW1380" s="74"/>
      <c r="AX1380" s="74"/>
    </row>
    <row r="1381" spans="1:50" ht="13" x14ac:dyDescent="0.15">
      <c r="A1381" s="55" t="str">
        <f>HYPERLINK("http://reports.ofsted.gov.uk/inspection-reports/find-inspection-report/provider/CARE/2596121","Ofsted Social Care Provider Webpage")</f>
        <v>Ofsted Social Care Provider Webpage</v>
      </c>
      <c r="B1381" s="55">
        <v>2596121</v>
      </c>
      <c r="D1381" s="55" t="s">
        <v>373</v>
      </c>
      <c r="E1381" s="74">
        <v>44089</v>
      </c>
      <c r="F1381" s="55" t="s">
        <v>344</v>
      </c>
      <c r="G1381" s="55" t="s">
        <v>360</v>
      </c>
      <c r="H1381" s="55" t="s">
        <v>360</v>
      </c>
      <c r="I1381" s="55" t="s">
        <v>360</v>
      </c>
      <c r="J1381" s="55" t="s">
        <v>360</v>
      </c>
      <c r="K1381" s="55" t="s">
        <v>360</v>
      </c>
      <c r="L1381" s="55" t="s">
        <v>360</v>
      </c>
      <c r="M1381" s="55" t="s">
        <v>142</v>
      </c>
      <c r="N1381" s="55" t="s">
        <v>142</v>
      </c>
      <c r="O1381" s="55" t="s">
        <v>141</v>
      </c>
      <c r="P1381" s="55" t="s">
        <v>795</v>
      </c>
      <c r="Q1381" s="55" t="s">
        <v>350</v>
      </c>
      <c r="R1381" s="85">
        <v>2</v>
      </c>
      <c r="S1381" s="55">
        <v>0</v>
      </c>
      <c r="T1381" s="74" t="s">
        <v>1913</v>
      </c>
      <c r="U1381" s="74" t="s">
        <v>351</v>
      </c>
      <c r="V1381" s="74">
        <v>44391</v>
      </c>
      <c r="W1381" s="74">
        <v>44433</v>
      </c>
      <c r="X1381" s="55">
        <v>10185045</v>
      </c>
      <c r="Y1381" s="55" t="s">
        <v>132</v>
      </c>
      <c r="AB1381" s="74" t="s">
        <v>132</v>
      </c>
      <c r="AC1381" s="55" t="s">
        <v>132</v>
      </c>
      <c r="AL1381" s="74"/>
      <c r="AM1381" s="74"/>
      <c r="AW1381" s="74"/>
      <c r="AX1381" s="74"/>
    </row>
    <row r="1382" spans="1:50" ht="13" x14ac:dyDescent="0.15">
      <c r="A1382" s="55" t="str">
        <f>HYPERLINK("http://reports.ofsted.gov.uk/inspection-reports/find-inspection-report/provider/CARE/2596421","Ofsted Social Care Provider Webpage")</f>
        <v>Ofsted Social Care Provider Webpage</v>
      </c>
      <c r="B1382" s="55">
        <v>2596421</v>
      </c>
      <c r="D1382" s="55" t="s">
        <v>373</v>
      </c>
      <c r="E1382" s="74">
        <v>44105</v>
      </c>
      <c r="F1382" s="55" t="s">
        <v>344</v>
      </c>
      <c r="G1382" s="55" t="s">
        <v>360</v>
      </c>
      <c r="H1382" s="55" t="s">
        <v>360</v>
      </c>
      <c r="I1382" s="55" t="s">
        <v>360</v>
      </c>
      <c r="J1382" s="55" t="s">
        <v>360</v>
      </c>
      <c r="K1382" s="55" t="s">
        <v>360</v>
      </c>
      <c r="L1382" s="55" t="s">
        <v>360</v>
      </c>
      <c r="M1382" s="55" t="s">
        <v>138</v>
      </c>
      <c r="N1382" s="55" t="s">
        <v>138</v>
      </c>
      <c r="O1382" s="55" t="s">
        <v>183</v>
      </c>
      <c r="P1382" s="55" t="s">
        <v>1500</v>
      </c>
      <c r="Q1382" s="55" t="s">
        <v>350</v>
      </c>
      <c r="R1382" s="85">
        <v>2</v>
      </c>
      <c r="S1382" s="55">
        <v>0</v>
      </c>
      <c r="T1382" s="74" t="s">
        <v>385</v>
      </c>
      <c r="U1382" s="74" t="s">
        <v>351</v>
      </c>
      <c r="V1382" s="74">
        <v>44508</v>
      </c>
      <c r="W1382" s="74">
        <v>44537</v>
      </c>
      <c r="X1382" s="55">
        <v>10186055</v>
      </c>
      <c r="Y1382" s="55" t="s">
        <v>132</v>
      </c>
      <c r="AB1382" s="74" t="s">
        <v>132</v>
      </c>
      <c r="AC1382" s="55" t="s">
        <v>132</v>
      </c>
      <c r="AL1382" s="74"/>
      <c r="AM1382" s="74"/>
      <c r="AW1382" s="74"/>
      <c r="AX1382" s="74"/>
    </row>
    <row r="1383" spans="1:50" ht="13" x14ac:dyDescent="0.15">
      <c r="A1383" s="55" t="str">
        <f>HYPERLINK("http://reports.ofsted.gov.uk/inspection-reports/find-inspection-report/provider/CARE/2596476","Ofsted Social Care Provider Webpage")</f>
        <v>Ofsted Social Care Provider Webpage</v>
      </c>
      <c r="B1383" s="55">
        <v>2596476</v>
      </c>
      <c r="D1383" s="55" t="s">
        <v>373</v>
      </c>
      <c r="E1383" s="74">
        <v>44148</v>
      </c>
      <c r="F1383" s="55" t="s">
        <v>344</v>
      </c>
      <c r="G1383" s="55" t="s">
        <v>360</v>
      </c>
      <c r="H1383" s="55" t="s">
        <v>360</v>
      </c>
      <c r="I1383" s="55" t="s">
        <v>360</v>
      </c>
      <c r="J1383" s="55" t="s">
        <v>360</v>
      </c>
      <c r="K1383" s="55" t="s">
        <v>360</v>
      </c>
      <c r="L1383" s="55" t="s">
        <v>360</v>
      </c>
      <c r="M1383" s="55" t="s">
        <v>138</v>
      </c>
      <c r="N1383" s="55" t="s">
        <v>138</v>
      </c>
      <c r="O1383" s="55" t="s">
        <v>159</v>
      </c>
      <c r="P1383" s="55" t="s">
        <v>1025</v>
      </c>
      <c r="Q1383" s="55" t="s">
        <v>350</v>
      </c>
      <c r="R1383" s="85">
        <v>4</v>
      </c>
      <c r="S1383" s="55">
        <v>0</v>
      </c>
      <c r="T1383" s="74" t="s">
        <v>1363</v>
      </c>
      <c r="U1383" s="74" t="s">
        <v>351</v>
      </c>
      <c r="V1383" s="74">
        <v>44445</v>
      </c>
      <c r="W1383" s="74">
        <v>44470</v>
      </c>
      <c r="X1383" s="55">
        <v>10187346</v>
      </c>
      <c r="Y1383" s="55" t="s">
        <v>130</v>
      </c>
      <c r="AB1383" s="74" t="s">
        <v>130</v>
      </c>
      <c r="AC1383" s="55" t="s">
        <v>130</v>
      </c>
      <c r="AL1383" s="74"/>
      <c r="AM1383" s="74"/>
      <c r="AW1383" s="74"/>
      <c r="AX1383" s="74"/>
    </row>
    <row r="1384" spans="1:50" ht="13" x14ac:dyDescent="0.15">
      <c r="A1384" s="55" t="str">
        <f>HYPERLINK("http://reports.ofsted.gov.uk/inspection-reports/find-inspection-report/provider/CARE/2596476","Ofsted Social Care Provider Webpage")</f>
        <v>Ofsted Social Care Provider Webpage</v>
      </c>
      <c r="B1384" s="55">
        <v>2596476</v>
      </c>
      <c r="D1384" s="55" t="s">
        <v>373</v>
      </c>
      <c r="E1384" s="74">
        <v>44148</v>
      </c>
      <c r="F1384" s="55" t="s">
        <v>344</v>
      </c>
      <c r="G1384" s="55" t="s">
        <v>360</v>
      </c>
      <c r="H1384" s="55" t="s">
        <v>360</v>
      </c>
      <c r="I1384" s="55" t="s">
        <v>360</v>
      </c>
      <c r="J1384" s="55" t="s">
        <v>360</v>
      </c>
      <c r="K1384" s="55" t="s">
        <v>360</v>
      </c>
      <c r="L1384" s="55" t="s">
        <v>360</v>
      </c>
      <c r="M1384" s="55" t="s">
        <v>138</v>
      </c>
      <c r="N1384" s="55" t="s">
        <v>138</v>
      </c>
      <c r="O1384" s="55" t="s">
        <v>159</v>
      </c>
      <c r="P1384" s="55" t="s">
        <v>1025</v>
      </c>
      <c r="Q1384" s="55" t="s">
        <v>350</v>
      </c>
      <c r="R1384" s="85">
        <v>4</v>
      </c>
      <c r="S1384" s="55">
        <v>0</v>
      </c>
      <c r="T1384" s="74" t="s">
        <v>1363</v>
      </c>
      <c r="U1384" s="74" t="s">
        <v>6703</v>
      </c>
      <c r="V1384" s="74">
        <v>44601</v>
      </c>
      <c r="W1384" s="74">
        <v>44638</v>
      </c>
      <c r="X1384" s="55">
        <v>10210195</v>
      </c>
      <c r="Y1384" s="55" t="s">
        <v>6705</v>
      </c>
      <c r="AL1384" s="74"/>
      <c r="AM1384" s="74"/>
      <c r="AW1384" s="74"/>
      <c r="AX1384" s="74"/>
    </row>
    <row r="1385" spans="1:50" ht="13" x14ac:dyDescent="0.15">
      <c r="A1385" s="55" t="str">
        <f>HYPERLINK("http://reports.ofsted.gov.uk/inspection-reports/find-inspection-report/provider/CARE/2596541","Ofsted Social Care Provider Webpage")</f>
        <v>Ofsted Social Care Provider Webpage</v>
      </c>
      <c r="B1385" s="55">
        <v>2596541</v>
      </c>
      <c r="D1385" s="55" t="s">
        <v>373</v>
      </c>
      <c r="E1385" s="74">
        <v>44133</v>
      </c>
      <c r="F1385" s="55" t="s">
        <v>344</v>
      </c>
      <c r="G1385" s="55" t="s">
        <v>360</v>
      </c>
      <c r="H1385" s="55" t="s">
        <v>360</v>
      </c>
      <c r="I1385" s="55" t="s">
        <v>360</v>
      </c>
      <c r="J1385" s="55" t="s">
        <v>360</v>
      </c>
      <c r="K1385" s="55" t="s">
        <v>360</v>
      </c>
      <c r="L1385" s="55" t="s">
        <v>360</v>
      </c>
      <c r="M1385" s="55" t="s">
        <v>144</v>
      </c>
      <c r="N1385" s="55" t="s">
        <v>144</v>
      </c>
      <c r="O1385" s="55" t="s">
        <v>209</v>
      </c>
      <c r="P1385" s="55" t="s">
        <v>544</v>
      </c>
      <c r="Q1385" s="55" t="s">
        <v>350</v>
      </c>
      <c r="R1385" s="85">
        <v>2</v>
      </c>
      <c r="S1385" s="55">
        <v>0</v>
      </c>
      <c r="T1385" s="74" t="s">
        <v>485</v>
      </c>
      <c r="U1385" s="74" t="s">
        <v>351</v>
      </c>
      <c r="V1385" s="74">
        <v>44363</v>
      </c>
      <c r="W1385" s="74">
        <v>44392</v>
      </c>
      <c r="X1385" s="55">
        <v>10185731</v>
      </c>
      <c r="Y1385" s="55" t="s">
        <v>132</v>
      </c>
      <c r="AB1385" s="74" t="s">
        <v>132</v>
      </c>
      <c r="AC1385" s="55" t="s">
        <v>132</v>
      </c>
      <c r="AL1385" s="74"/>
      <c r="AM1385" s="74"/>
      <c r="AW1385" s="74"/>
      <c r="AX1385" s="74"/>
    </row>
    <row r="1386" spans="1:50" ht="13" x14ac:dyDescent="0.15">
      <c r="A1386" s="55" t="str">
        <f>HYPERLINK("http://reports.ofsted.gov.uk/inspection-reports/find-inspection-report/provider/CARE/2596897","Ofsted Social Care Provider Webpage")</f>
        <v>Ofsted Social Care Provider Webpage</v>
      </c>
      <c r="B1386" s="55">
        <v>2596897</v>
      </c>
      <c r="D1386" s="55" t="s">
        <v>373</v>
      </c>
      <c r="E1386" s="74">
        <v>44014</v>
      </c>
      <c r="F1386" s="55" t="s">
        <v>344</v>
      </c>
      <c r="G1386" s="55" t="s">
        <v>360</v>
      </c>
      <c r="H1386" s="55" t="s">
        <v>360</v>
      </c>
      <c r="I1386" s="55" t="s">
        <v>360</v>
      </c>
      <c r="J1386" s="55" t="s">
        <v>360</v>
      </c>
      <c r="K1386" s="55" t="s">
        <v>360</v>
      </c>
      <c r="L1386" s="55" t="s">
        <v>360</v>
      </c>
      <c r="M1386" s="55" t="s">
        <v>378</v>
      </c>
      <c r="N1386" s="55" t="s">
        <v>170</v>
      </c>
      <c r="O1386" s="55" t="s">
        <v>184</v>
      </c>
      <c r="P1386" s="55" t="s">
        <v>676</v>
      </c>
      <c r="Q1386" s="55" t="s">
        <v>380</v>
      </c>
      <c r="R1386" s="85">
        <v>3</v>
      </c>
      <c r="S1386" s="55">
        <v>0</v>
      </c>
      <c r="T1386" s="74" t="s">
        <v>1711</v>
      </c>
      <c r="U1386" s="74" t="s">
        <v>351</v>
      </c>
      <c r="V1386" s="74">
        <v>44425</v>
      </c>
      <c r="W1386" s="74">
        <v>44455</v>
      </c>
      <c r="X1386" s="55">
        <v>10186181</v>
      </c>
      <c r="Y1386" s="55" t="s">
        <v>132</v>
      </c>
      <c r="AB1386" s="74" t="s">
        <v>132</v>
      </c>
      <c r="AC1386" s="55" t="s">
        <v>132</v>
      </c>
      <c r="AL1386" s="74"/>
      <c r="AM1386" s="74"/>
      <c r="AW1386" s="74"/>
      <c r="AX1386" s="74"/>
    </row>
    <row r="1387" spans="1:50" ht="13" x14ac:dyDescent="0.15">
      <c r="A1387" s="55" t="str">
        <f>HYPERLINK("http://reports.ofsted.gov.uk/inspection-reports/find-inspection-report/provider/CARE/2596906","Ofsted Social Care Provider Webpage")</f>
        <v>Ofsted Social Care Provider Webpage</v>
      </c>
      <c r="B1387" s="55">
        <v>2596906</v>
      </c>
      <c r="D1387" s="55" t="s">
        <v>373</v>
      </c>
      <c r="E1387" s="74">
        <v>44062</v>
      </c>
      <c r="F1387" s="55" t="s">
        <v>344</v>
      </c>
      <c r="G1387" s="55" t="s">
        <v>360</v>
      </c>
      <c r="H1387" s="55" t="s">
        <v>360</v>
      </c>
      <c r="I1387" s="55" t="s">
        <v>360</v>
      </c>
      <c r="J1387" s="55" t="s">
        <v>360</v>
      </c>
      <c r="K1387" s="55" t="s">
        <v>360</v>
      </c>
      <c r="L1387" s="55" t="s">
        <v>360</v>
      </c>
      <c r="M1387" s="55" t="s">
        <v>138</v>
      </c>
      <c r="N1387" s="55" t="s">
        <v>138</v>
      </c>
      <c r="O1387" s="55" t="s">
        <v>259</v>
      </c>
      <c r="P1387" s="55" t="s">
        <v>1914</v>
      </c>
      <c r="Q1387" s="55" t="s">
        <v>350</v>
      </c>
      <c r="R1387" s="85">
        <v>4</v>
      </c>
      <c r="S1387" s="55">
        <v>0</v>
      </c>
      <c r="T1387" s="74" t="s">
        <v>1915</v>
      </c>
      <c r="U1387" s="74" t="s">
        <v>351</v>
      </c>
      <c r="V1387" s="74">
        <v>44424</v>
      </c>
      <c r="W1387" s="74">
        <v>44453</v>
      </c>
      <c r="X1387" s="55">
        <v>10186083</v>
      </c>
      <c r="Y1387" s="55" t="s">
        <v>130</v>
      </c>
      <c r="AB1387" s="74" t="s">
        <v>130</v>
      </c>
      <c r="AC1387" s="55" t="s">
        <v>130</v>
      </c>
      <c r="AL1387" s="74"/>
      <c r="AM1387" s="74"/>
      <c r="AW1387" s="74"/>
      <c r="AX1387" s="74"/>
    </row>
    <row r="1388" spans="1:50" ht="13" x14ac:dyDescent="0.15">
      <c r="A1388" s="55" t="str">
        <f>HYPERLINK("http://reports.ofsted.gov.uk/inspection-reports/find-inspection-report/provider/CARE/2596906","Ofsted Social Care Provider Webpage")</f>
        <v>Ofsted Social Care Provider Webpage</v>
      </c>
      <c r="B1388" s="55">
        <v>2596906</v>
      </c>
      <c r="D1388" s="55" t="s">
        <v>373</v>
      </c>
      <c r="E1388" s="74">
        <v>44062</v>
      </c>
      <c r="F1388" s="55" t="s">
        <v>344</v>
      </c>
      <c r="G1388" s="55" t="s">
        <v>360</v>
      </c>
      <c r="H1388" s="55" t="s">
        <v>360</v>
      </c>
      <c r="I1388" s="55" t="s">
        <v>360</v>
      </c>
      <c r="J1388" s="55" t="s">
        <v>360</v>
      </c>
      <c r="K1388" s="55" t="s">
        <v>360</v>
      </c>
      <c r="L1388" s="55" t="s">
        <v>360</v>
      </c>
      <c r="M1388" s="55" t="s">
        <v>138</v>
      </c>
      <c r="N1388" s="55" t="s">
        <v>138</v>
      </c>
      <c r="O1388" s="55" t="s">
        <v>259</v>
      </c>
      <c r="P1388" s="55" t="s">
        <v>1914</v>
      </c>
      <c r="Q1388" s="55" t="s">
        <v>350</v>
      </c>
      <c r="R1388" s="85">
        <v>4</v>
      </c>
      <c r="S1388" s="55">
        <v>0</v>
      </c>
      <c r="T1388" s="74" t="s">
        <v>1915</v>
      </c>
      <c r="U1388" s="74" t="s">
        <v>6703</v>
      </c>
      <c r="V1388" s="74">
        <v>44594</v>
      </c>
      <c r="W1388" s="74">
        <v>44620</v>
      </c>
      <c r="X1388" s="55">
        <v>10210191</v>
      </c>
      <c r="Y1388" s="55" t="s">
        <v>6704</v>
      </c>
      <c r="AL1388" s="74"/>
      <c r="AM1388" s="74"/>
      <c r="AW1388" s="74"/>
      <c r="AX1388" s="74"/>
    </row>
    <row r="1389" spans="1:50" ht="13" x14ac:dyDescent="0.15">
      <c r="A1389" s="55" t="str">
        <f>HYPERLINK("http://reports.ofsted.gov.uk/inspection-reports/find-inspection-report/provider/CARE/2597490","Ofsted Social Care Provider Webpage")</f>
        <v>Ofsted Social Care Provider Webpage</v>
      </c>
      <c r="B1389" s="55">
        <v>2597490</v>
      </c>
      <c r="D1389" s="55" t="s">
        <v>373</v>
      </c>
      <c r="E1389" s="74">
        <v>44117</v>
      </c>
      <c r="F1389" s="55" t="s">
        <v>344</v>
      </c>
      <c r="G1389" s="55" t="s">
        <v>360</v>
      </c>
      <c r="H1389" s="55" t="s">
        <v>360</v>
      </c>
      <c r="I1389" s="55" t="s">
        <v>360</v>
      </c>
      <c r="J1389" s="55" t="s">
        <v>360</v>
      </c>
      <c r="K1389" s="55" t="s">
        <v>360</v>
      </c>
      <c r="L1389" s="55" t="s">
        <v>360</v>
      </c>
      <c r="M1389" s="55" t="s">
        <v>142</v>
      </c>
      <c r="N1389" s="55" t="s">
        <v>142</v>
      </c>
      <c r="O1389" s="55" t="s">
        <v>177</v>
      </c>
      <c r="P1389" s="55" t="s">
        <v>835</v>
      </c>
      <c r="Q1389" s="55" t="s">
        <v>350</v>
      </c>
      <c r="R1389" s="85">
        <v>4</v>
      </c>
      <c r="S1389" s="55">
        <v>0</v>
      </c>
      <c r="T1389" s="74" t="s">
        <v>1415</v>
      </c>
      <c r="U1389" s="74" t="s">
        <v>351</v>
      </c>
      <c r="V1389" s="74">
        <v>44327</v>
      </c>
      <c r="W1389" s="74">
        <v>44362</v>
      </c>
      <c r="X1389" s="55">
        <v>10186740</v>
      </c>
      <c r="Y1389" s="55" t="s">
        <v>130</v>
      </c>
      <c r="AB1389" s="74" t="s">
        <v>130</v>
      </c>
      <c r="AC1389" s="55" t="s">
        <v>130</v>
      </c>
      <c r="AL1389" s="74"/>
      <c r="AM1389" s="74"/>
    </row>
    <row r="1390" spans="1:50" ht="13" x14ac:dyDescent="0.15">
      <c r="A1390" s="55" t="str">
        <f>HYPERLINK("http://reports.ofsted.gov.uk/inspection-reports/find-inspection-report/provider/CARE/2597490","Ofsted Social Care Provider Webpage")</f>
        <v>Ofsted Social Care Provider Webpage</v>
      </c>
      <c r="B1390" s="55">
        <v>2597490</v>
      </c>
      <c r="D1390" s="55" t="s">
        <v>373</v>
      </c>
      <c r="E1390" s="74">
        <v>44117</v>
      </c>
      <c r="F1390" s="55" t="s">
        <v>344</v>
      </c>
      <c r="G1390" s="55" t="s">
        <v>360</v>
      </c>
      <c r="H1390" s="55" t="s">
        <v>360</v>
      </c>
      <c r="I1390" s="55" t="s">
        <v>360</v>
      </c>
      <c r="J1390" s="55" t="s">
        <v>360</v>
      </c>
      <c r="K1390" s="55" t="s">
        <v>360</v>
      </c>
      <c r="L1390" s="55" t="s">
        <v>360</v>
      </c>
      <c r="M1390" s="55" t="s">
        <v>142</v>
      </c>
      <c r="N1390" s="55" t="s">
        <v>142</v>
      </c>
      <c r="O1390" s="55" t="s">
        <v>177</v>
      </c>
      <c r="P1390" s="55" t="s">
        <v>835</v>
      </c>
      <c r="Q1390" s="55" t="s">
        <v>350</v>
      </c>
      <c r="R1390" s="85">
        <v>4</v>
      </c>
      <c r="S1390" s="55">
        <v>0</v>
      </c>
      <c r="T1390" s="74" t="s">
        <v>1415</v>
      </c>
      <c r="U1390" s="74" t="s">
        <v>6703</v>
      </c>
      <c r="V1390" s="74">
        <v>44573</v>
      </c>
      <c r="W1390" s="74">
        <v>44613</v>
      </c>
      <c r="X1390" s="55">
        <v>10217232</v>
      </c>
      <c r="Y1390" s="55" t="s">
        <v>6706</v>
      </c>
      <c r="AL1390" s="74"/>
      <c r="AM1390" s="74"/>
      <c r="AW1390" s="74"/>
      <c r="AX1390" s="74"/>
    </row>
    <row r="1391" spans="1:50" ht="13" x14ac:dyDescent="0.15">
      <c r="A1391" s="55" t="str">
        <f>HYPERLINK("http://reports.ofsted.gov.uk/inspection-reports/find-inspection-report/provider/CARE/2597567","Ofsted Social Care Provider Webpage")</f>
        <v>Ofsted Social Care Provider Webpage</v>
      </c>
      <c r="B1391" s="55">
        <v>2597567</v>
      </c>
      <c r="D1391" s="55" t="s">
        <v>373</v>
      </c>
      <c r="E1391" s="74">
        <v>44014</v>
      </c>
      <c r="F1391" s="55" t="s">
        <v>344</v>
      </c>
      <c r="G1391" s="55" t="s">
        <v>360</v>
      </c>
      <c r="H1391" s="55" t="s">
        <v>360</v>
      </c>
      <c r="I1391" s="55" t="s">
        <v>360</v>
      </c>
      <c r="J1391" s="55" t="s">
        <v>360</v>
      </c>
      <c r="K1391" s="55" t="s">
        <v>360</v>
      </c>
      <c r="L1391" s="55" t="s">
        <v>360</v>
      </c>
      <c r="M1391" s="55" t="s">
        <v>378</v>
      </c>
      <c r="N1391" s="55" t="s">
        <v>134</v>
      </c>
      <c r="O1391" s="55" t="s">
        <v>246</v>
      </c>
      <c r="P1391" s="55" t="s">
        <v>1104</v>
      </c>
      <c r="Q1391" s="55" t="s">
        <v>380</v>
      </c>
      <c r="R1391" s="85">
        <v>4</v>
      </c>
      <c r="S1391" s="55">
        <v>0</v>
      </c>
      <c r="T1391" s="74" t="s">
        <v>1916</v>
      </c>
      <c r="U1391" s="74" t="s">
        <v>351</v>
      </c>
      <c r="V1391" s="74">
        <v>44341</v>
      </c>
      <c r="W1391" s="74">
        <v>44391</v>
      </c>
      <c r="X1391" s="55">
        <v>10186692</v>
      </c>
      <c r="Y1391" s="55" t="s">
        <v>132</v>
      </c>
      <c r="AB1391" s="74" t="s">
        <v>132</v>
      </c>
      <c r="AC1391" s="55" t="s">
        <v>130</v>
      </c>
      <c r="AL1391" s="74"/>
      <c r="AM1391" s="74"/>
      <c r="AW1391" s="74"/>
      <c r="AX1391" s="74"/>
    </row>
    <row r="1392" spans="1:50" ht="13" x14ac:dyDescent="0.15">
      <c r="A1392" s="55" t="str">
        <f>HYPERLINK("http://reports.ofsted.gov.uk/inspection-reports/find-inspection-report/provider/CARE/2597722","Ofsted Social Care Provider Webpage")</f>
        <v>Ofsted Social Care Provider Webpage</v>
      </c>
      <c r="B1392" s="55">
        <v>2597722</v>
      </c>
      <c r="D1392" s="55" t="s">
        <v>373</v>
      </c>
      <c r="E1392" s="74">
        <v>44050</v>
      </c>
      <c r="F1392" s="55" t="s">
        <v>344</v>
      </c>
      <c r="G1392" s="55" t="s">
        <v>360</v>
      </c>
      <c r="H1392" s="55" t="s">
        <v>360</v>
      </c>
      <c r="I1392" s="55" t="s">
        <v>360</v>
      </c>
      <c r="J1392" s="55" t="s">
        <v>360</v>
      </c>
      <c r="K1392" s="55" t="s">
        <v>360</v>
      </c>
      <c r="L1392" s="55" t="s">
        <v>360</v>
      </c>
      <c r="M1392" s="55" t="s">
        <v>136</v>
      </c>
      <c r="N1392" s="55" t="s">
        <v>136</v>
      </c>
      <c r="O1392" s="55" t="s">
        <v>174</v>
      </c>
      <c r="P1392" s="55" t="s">
        <v>982</v>
      </c>
      <c r="Q1392" s="55" t="s">
        <v>350</v>
      </c>
      <c r="R1392" s="85">
        <v>2</v>
      </c>
      <c r="S1392" s="55">
        <v>0</v>
      </c>
      <c r="T1392" s="74" t="s">
        <v>1917</v>
      </c>
      <c r="U1392" s="74" t="s">
        <v>351</v>
      </c>
      <c r="V1392" s="74">
        <v>44503</v>
      </c>
      <c r="W1392" s="74">
        <v>44538</v>
      </c>
      <c r="X1392" s="55">
        <v>10187116</v>
      </c>
      <c r="Y1392" s="55" t="s">
        <v>132</v>
      </c>
      <c r="AB1392" s="74" t="s">
        <v>132</v>
      </c>
      <c r="AC1392" s="55" t="s">
        <v>132</v>
      </c>
      <c r="AL1392" s="74"/>
      <c r="AM1392" s="74"/>
      <c r="AW1392" s="74"/>
      <c r="AX1392" s="74"/>
    </row>
    <row r="1393" spans="1:50" ht="13" x14ac:dyDescent="0.15">
      <c r="A1393" s="55" t="str">
        <f>HYPERLINK("http://reports.ofsted.gov.uk/inspection-reports/find-inspection-report/provider/CARE/2597734","Ofsted Social Care Provider Webpage")</f>
        <v>Ofsted Social Care Provider Webpage</v>
      </c>
      <c r="B1393" s="55">
        <v>2597734</v>
      </c>
      <c r="D1393" s="55" t="s">
        <v>373</v>
      </c>
      <c r="E1393" s="74">
        <v>44103</v>
      </c>
      <c r="F1393" s="55" t="s">
        <v>344</v>
      </c>
      <c r="G1393" s="55" t="s">
        <v>360</v>
      </c>
      <c r="H1393" s="55" t="s">
        <v>360</v>
      </c>
      <c r="I1393" s="55" t="s">
        <v>360</v>
      </c>
      <c r="J1393" s="55" t="s">
        <v>360</v>
      </c>
      <c r="K1393" s="55" t="s">
        <v>360</v>
      </c>
      <c r="L1393" s="55" t="s">
        <v>360</v>
      </c>
      <c r="M1393" s="55" t="s">
        <v>142</v>
      </c>
      <c r="N1393" s="55" t="s">
        <v>142</v>
      </c>
      <c r="O1393" s="55" t="s">
        <v>292</v>
      </c>
      <c r="P1393" s="55" t="s">
        <v>976</v>
      </c>
      <c r="Q1393" s="55" t="s">
        <v>350</v>
      </c>
      <c r="R1393" s="85">
        <v>5</v>
      </c>
      <c r="S1393" s="55">
        <v>0</v>
      </c>
      <c r="T1393" s="74" t="s">
        <v>1185</v>
      </c>
      <c r="U1393" s="74" t="s">
        <v>351</v>
      </c>
      <c r="V1393" s="74">
        <v>44334</v>
      </c>
      <c r="W1393" s="74">
        <v>44372</v>
      </c>
      <c r="X1393" s="55">
        <v>10185841</v>
      </c>
      <c r="Y1393" s="55" t="s">
        <v>132</v>
      </c>
      <c r="AB1393" s="74" t="s">
        <v>132</v>
      </c>
      <c r="AC1393" s="55" t="s">
        <v>132</v>
      </c>
      <c r="AL1393" s="74"/>
      <c r="AM1393" s="74"/>
      <c r="AW1393" s="74"/>
      <c r="AX1393" s="74"/>
    </row>
    <row r="1394" spans="1:50" ht="13" x14ac:dyDescent="0.15">
      <c r="A1394" s="55" t="str">
        <f>HYPERLINK("http://reports.ofsted.gov.uk/inspection-reports/find-inspection-report/provider/CARE/2597736","Ofsted Social Care Provider Webpage")</f>
        <v>Ofsted Social Care Provider Webpage</v>
      </c>
      <c r="B1394" s="55">
        <v>2597736</v>
      </c>
      <c r="D1394" s="55" t="s">
        <v>373</v>
      </c>
      <c r="E1394" s="74">
        <v>44036</v>
      </c>
      <c r="F1394" s="55" t="s">
        <v>344</v>
      </c>
      <c r="G1394" s="55" t="s">
        <v>360</v>
      </c>
      <c r="H1394" s="55" t="s">
        <v>360</v>
      </c>
      <c r="I1394" s="55" t="s">
        <v>360</v>
      </c>
      <c r="J1394" s="55" t="s">
        <v>360</v>
      </c>
      <c r="K1394" s="55" t="s">
        <v>360</v>
      </c>
      <c r="L1394" s="55" t="s">
        <v>360</v>
      </c>
      <c r="M1394" s="55" t="s">
        <v>378</v>
      </c>
      <c r="N1394" s="55" t="s">
        <v>170</v>
      </c>
      <c r="O1394" s="55" t="s">
        <v>264</v>
      </c>
      <c r="P1394" s="55" t="s">
        <v>1334</v>
      </c>
      <c r="Q1394" s="55" t="s">
        <v>350</v>
      </c>
      <c r="R1394" s="85">
        <v>2</v>
      </c>
      <c r="S1394" s="55">
        <v>0</v>
      </c>
      <c r="T1394" s="74" t="s">
        <v>385</v>
      </c>
      <c r="U1394" s="74" t="s">
        <v>351</v>
      </c>
      <c r="V1394" s="74">
        <v>44432</v>
      </c>
      <c r="W1394" s="74">
        <v>44462</v>
      </c>
      <c r="X1394" s="55">
        <v>10201564</v>
      </c>
      <c r="Y1394" s="55" t="s">
        <v>130</v>
      </c>
      <c r="AB1394" s="74" t="s">
        <v>130</v>
      </c>
      <c r="AC1394" s="55" t="s">
        <v>130</v>
      </c>
      <c r="AL1394" s="74"/>
      <c r="AM1394" s="74"/>
    </row>
    <row r="1395" spans="1:50" ht="13" x14ac:dyDescent="0.15">
      <c r="A1395" s="55" t="str">
        <f>HYPERLINK("http://reports.ofsted.gov.uk/inspection-reports/find-inspection-report/provider/CARE/2597736","Ofsted Social Care Provider Webpage")</f>
        <v>Ofsted Social Care Provider Webpage</v>
      </c>
      <c r="B1395" s="55">
        <v>2597736</v>
      </c>
      <c r="D1395" s="55" t="s">
        <v>373</v>
      </c>
      <c r="E1395" s="74">
        <v>44036</v>
      </c>
      <c r="F1395" s="55" t="s">
        <v>344</v>
      </c>
      <c r="G1395" s="55" t="s">
        <v>360</v>
      </c>
      <c r="H1395" s="55" t="s">
        <v>360</v>
      </c>
      <c r="I1395" s="55" t="s">
        <v>360</v>
      </c>
      <c r="J1395" s="55" t="s">
        <v>360</v>
      </c>
      <c r="K1395" s="55" t="s">
        <v>360</v>
      </c>
      <c r="L1395" s="55" t="s">
        <v>360</v>
      </c>
      <c r="M1395" s="55" t="s">
        <v>378</v>
      </c>
      <c r="N1395" s="55" t="s">
        <v>170</v>
      </c>
      <c r="O1395" s="55" t="s">
        <v>264</v>
      </c>
      <c r="P1395" s="55" t="s">
        <v>1334</v>
      </c>
      <c r="Q1395" s="55" t="s">
        <v>350</v>
      </c>
      <c r="R1395" s="85">
        <v>2</v>
      </c>
      <c r="S1395" s="55">
        <v>0</v>
      </c>
      <c r="T1395" s="74" t="s">
        <v>385</v>
      </c>
      <c r="U1395" s="74" t="s">
        <v>351</v>
      </c>
      <c r="V1395" s="74">
        <v>44378</v>
      </c>
      <c r="W1395" s="74">
        <v>44412</v>
      </c>
      <c r="X1395" s="55">
        <v>10186969</v>
      </c>
      <c r="Y1395" s="55" t="s">
        <v>146</v>
      </c>
      <c r="AB1395" s="74" t="s">
        <v>146</v>
      </c>
      <c r="AC1395" s="55" t="s">
        <v>146</v>
      </c>
      <c r="AL1395" s="74"/>
      <c r="AM1395" s="74"/>
      <c r="AW1395" s="74"/>
      <c r="AX1395" s="74"/>
    </row>
    <row r="1396" spans="1:50" ht="13" x14ac:dyDescent="0.15">
      <c r="A1396" s="55" t="str">
        <f>HYPERLINK("http://reports.ofsted.gov.uk/inspection-reports/find-inspection-report/provider/CARE/2597738","Ofsted Social Care Provider Webpage")</f>
        <v>Ofsted Social Care Provider Webpage</v>
      </c>
      <c r="B1396" s="55">
        <v>2597738</v>
      </c>
      <c r="D1396" s="55" t="s">
        <v>373</v>
      </c>
      <c r="E1396" s="74">
        <v>44012</v>
      </c>
      <c r="F1396" s="55" t="s">
        <v>344</v>
      </c>
      <c r="G1396" s="55" t="s">
        <v>360</v>
      </c>
      <c r="H1396" s="55" t="s">
        <v>360</v>
      </c>
      <c r="I1396" s="55" t="s">
        <v>360</v>
      </c>
      <c r="J1396" s="55" t="s">
        <v>360</v>
      </c>
      <c r="K1396" s="55" t="s">
        <v>360</v>
      </c>
      <c r="L1396" s="55" t="s">
        <v>360</v>
      </c>
      <c r="M1396" s="55" t="s">
        <v>144</v>
      </c>
      <c r="N1396" s="55" t="s">
        <v>144</v>
      </c>
      <c r="O1396" s="55" t="s">
        <v>287</v>
      </c>
      <c r="P1396" s="55" t="s">
        <v>1103</v>
      </c>
      <c r="Q1396" s="55" t="s">
        <v>350</v>
      </c>
      <c r="R1396" s="85">
        <v>1</v>
      </c>
      <c r="S1396" s="55">
        <v>0</v>
      </c>
      <c r="T1396" s="74" t="s">
        <v>1107</v>
      </c>
      <c r="U1396" s="74" t="s">
        <v>351</v>
      </c>
      <c r="V1396" s="74">
        <v>44609</v>
      </c>
      <c r="W1396" s="74">
        <v>44655</v>
      </c>
      <c r="X1396" s="55">
        <v>10186014</v>
      </c>
      <c r="Y1396" s="55" t="s">
        <v>130</v>
      </c>
      <c r="AB1396" s="74" t="s">
        <v>130</v>
      </c>
      <c r="AC1396" s="55" t="s">
        <v>130</v>
      </c>
      <c r="AL1396" s="74"/>
      <c r="AM1396" s="74"/>
      <c r="AW1396" s="74"/>
      <c r="AX1396" s="74"/>
    </row>
    <row r="1397" spans="1:50" ht="13" x14ac:dyDescent="0.15">
      <c r="A1397" s="55" t="str">
        <f>HYPERLINK("http://reports.ofsted.gov.uk/inspection-reports/find-inspection-report/provider/CARE/2597747","Ofsted Social Care Provider Webpage")</f>
        <v>Ofsted Social Care Provider Webpage</v>
      </c>
      <c r="B1397" s="55">
        <v>2597747</v>
      </c>
      <c r="D1397" s="55" t="s">
        <v>373</v>
      </c>
      <c r="E1397" s="74">
        <v>44127</v>
      </c>
      <c r="F1397" s="55" t="s">
        <v>344</v>
      </c>
      <c r="G1397" s="55" t="s">
        <v>360</v>
      </c>
      <c r="H1397" s="55" t="s">
        <v>360</v>
      </c>
      <c r="I1397" s="55" t="s">
        <v>360</v>
      </c>
      <c r="J1397" s="55" t="s">
        <v>360</v>
      </c>
      <c r="K1397" s="55" t="s">
        <v>360</v>
      </c>
      <c r="L1397" s="55" t="s">
        <v>360</v>
      </c>
      <c r="M1397" s="55" t="s">
        <v>138</v>
      </c>
      <c r="N1397" s="55" t="s">
        <v>138</v>
      </c>
      <c r="O1397" s="55" t="s">
        <v>216</v>
      </c>
      <c r="P1397" s="55" t="s">
        <v>1918</v>
      </c>
      <c r="Q1397" s="55" t="s">
        <v>350</v>
      </c>
      <c r="R1397" s="85">
        <v>3</v>
      </c>
      <c r="S1397" s="55">
        <v>0</v>
      </c>
      <c r="T1397" s="74" t="s">
        <v>1473</v>
      </c>
      <c r="U1397" s="74" t="s">
        <v>351</v>
      </c>
      <c r="V1397" s="74">
        <v>44445</v>
      </c>
      <c r="W1397" s="74">
        <v>44480</v>
      </c>
      <c r="X1397" s="55">
        <v>10186820</v>
      </c>
      <c r="Y1397" s="55" t="s">
        <v>132</v>
      </c>
      <c r="AB1397" s="74" t="s">
        <v>132</v>
      </c>
      <c r="AC1397" s="55" t="s">
        <v>130</v>
      </c>
      <c r="AL1397" s="74"/>
      <c r="AM1397" s="74"/>
      <c r="AW1397" s="74"/>
      <c r="AX1397" s="74"/>
    </row>
    <row r="1398" spans="1:50" ht="13" x14ac:dyDescent="0.15">
      <c r="A1398" s="55" t="str">
        <f>HYPERLINK("http://reports.ofsted.gov.uk/inspection-reports/find-inspection-report/provider/CARE/2598004","Ofsted Social Care Provider Webpage")</f>
        <v>Ofsted Social Care Provider Webpage</v>
      </c>
      <c r="B1398" s="55">
        <v>2598004</v>
      </c>
      <c r="D1398" s="55" t="s">
        <v>373</v>
      </c>
      <c r="E1398" s="74">
        <v>44109</v>
      </c>
      <c r="F1398" s="55" t="s">
        <v>344</v>
      </c>
      <c r="G1398" s="55" t="s">
        <v>360</v>
      </c>
      <c r="H1398" s="55" t="s">
        <v>360</v>
      </c>
      <c r="I1398" s="55" t="s">
        <v>360</v>
      </c>
      <c r="J1398" s="55" t="s">
        <v>360</v>
      </c>
      <c r="K1398" s="55" t="s">
        <v>360</v>
      </c>
      <c r="L1398" s="55" t="s">
        <v>360</v>
      </c>
      <c r="M1398" s="55" t="s">
        <v>144</v>
      </c>
      <c r="N1398" s="55" t="s">
        <v>144</v>
      </c>
      <c r="O1398" s="55" t="s">
        <v>236</v>
      </c>
      <c r="P1398" s="55" t="s">
        <v>996</v>
      </c>
      <c r="Q1398" s="55" t="s">
        <v>350</v>
      </c>
      <c r="R1398" s="85">
        <v>3</v>
      </c>
      <c r="S1398" s="55">
        <v>0</v>
      </c>
      <c r="T1398" s="74" t="s">
        <v>1919</v>
      </c>
      <c r="U1398" s="74" t="s">
        <v>351</v>
      </c>
      <c r="V1398" s="74">
        <v>44537</v>
      </c>
      <c r="W1398" s="74">
        <v>44586</v>
      </c>
      <c r="X1398" s="55">
        <v>10185561</v>
      </c>
      <c r="Y1398" s="55" t="s">
        <v>140</v>
      </c>
      <c r="AB1398" s="74" t="s">
        <v>132</v>
      </c>
      <c r="AC1398" s="55" t="s">
        <v>140</v>
      </c>
      <c r="AL1398" s="74"/>
      <c r="AM1398" s="74"/>
      <c r="AW1398" s="74"/>
      <c r="AX1398" s="74"/>
    </row>
    <row r="1399" spans="1:50" ht="13" x14ac:dyDescent="0.15">
      <c r="A1399" s="55" t="str">
        <f>HYPERLINK("http://reports.ofsted.gov.uk/inspection-reports/find-inspection-report/provider/CARE/2598205","Ofsted Social Care Provider Webpage")</f>
        <v>Ofsted Social Care Provider Webpage</v>
      </c>
      <c r="B1399" s="55">
        <v>2598205</v>
      </c>
      <c r="D1399" s="55" t="s">
        <v>373</v>
      </c>
      <c r="E1399" s="74">
        <v>44021</v>
      </c>
      <c r="F1399" s="55" t="s">
        <v>344</v>
      </c>
      <c r="G1399" s="55" t="s">
        <v>360</v>
      </c>
      <c r="H1399" s="55" t="s">
        <v>360</v>
      </c>
      <c r="I1399" s="55" t="s">
        <v>360</v>
      </c>
      <c r="J1399" s="55" t="s">
        <v>360</v>
      </c>
      <c r="K1399" s="55" t="s">
        <v>360</v>
      </c>
      <c r="L1399" s="55" t="s">
        <v>360</v>
      </c>
      <c r="M1399" s="55" t="s">
        <v>378</v>
      </c>
      <c r="N1399" s="55" t="s">
        <v>134</v>
      </c>
      <c r="O1399" s="55" t="s">
        <v>204</v>
      </c>
      <c r="P1399" s="55" t="s">
        <v>1920</v>
      </c>
      <c r="Q1399" s="55" t="s">
        <v>380</v>
      </c>
      <c r="R1399" s="85">
        <v>1</v>
      </c>
      <c r="S1399" s="55">
        <v>0</v>
      </c>
      <c r="T1399" s="74" t="s">
        <v>1479</v>
      </c>
      <c r="U1399" s="74" t="s">
        <v>351</v>
      </c>
      <c r="V1399" s="74">
        <v>44566</v>
      </c>
      <c r="W1399" s="74">
        <v>44596</v>
      </c>
      <c r="X1399" s="55">
        <v>10187092</v>
      </c>
      <c r="Y1399" s="55" t="s">
        <v>132</v>
      </c>
      <c r="AB1399" s="74" t="s">
        <v>132</v>
      </c>
      <c r="AC1399" s="55" t="s">
        <v>132</v>
      </c>
      <c r="AL1399" s="74"/>
      <c r="AM1399" s="74"/>
    </row>
    <row r="1400" spans="1:50" ht="13" x14ac:dyDescent="0.15">
      <c r="A1400" s="55" t="str">
        <f>HYPERLINK("http://reports.ofsted.gov.uk/inspection-reports/find-inspection-report/provider/CARE/2598462","Ofsted Social Care Provider Webpage")</f>
        <v>Ofsted Social Care Provider Webpage</v>
      </c>
      <c r="B1400" s="55">
        <v>2598462</v>
      </c>
      <c r="D1400" s="55" t="s">
        <v>373</v>
      </c>
      <c r="E1400" s="74">
        <v>44112</v>
      </c>
      <c r="F1400" s="55" t="s">
        <v>344</v>
      </c>
      <c r="G1400" s="55" t="s">
        <v>360</v>
      </c>
      <c r="H1400" s="55" t="s">
        <v>360</v>
      </c>
      <c r="I1400" s="55" t="s">
        <v>360</v>
      </c>
      <c r="J1400" s="55" t="s">
        <v>360</v>
      </c>
      <c r="K1400" s="55" t="s">
        <v>360</v>
      </c>
      <c r="L1400" s="55" t="s">
        <v>360</v>
      </c>
      <c r="M1400" s="55" t="s">
        <v>172</v>
      </c>
      <c r="N1400" s="55" t="s">
        <v>172</v>
      </c>
      <c r="O1400" s="55" t="s">
        <v>212</v>
      </c>
      <c r="P1400" s="55" t="s">
        <v>592</v>
      </c>
      <c r="Q1400" s="55" t="s">
        <v>350</v>
      </c>
      <c r="R1400" s="85">
        <v>2</v>
      </c>
      <c r="S1400" s="55">
        <v>0</v>
      </c>
      <c r="T1400" s="74" t="s">
        <v>865</v>
      </c>
      <c r="U1400" s="74" t="s">
        <v>351</v>
      </c>
      <c r="V1400" s="74">
        <v>44467</v>
      </c>
      <c r="W1400" s="74">
        <v>44494</v>
      </c>
      <c r="X1400" s="55">
        <v>10185919</v>
      </c>
      <c r="Y1400" s="55" t="s">
        <v>132</v>
      </c>
      <c r="AB1400" s="74" t="s">
        <v>132</v>
      </c>
      <c r="AC1400" s="55" t="s">
        <v>132</v>
      </c>
      <c r="AL1400" s="74"/>
      <c r="AM1400" s="74"/>
      <c r="AW1400" s="74"/>
      <c r="AX1400" s="74"/>
    </row>
    <row r="1401" spans="1:50" ht="13" x14ac:dyDescent="0.15">
      <c r="A1401" s="55" t="str">
        <f>HYPERLINK("http://reports.ofsted.gov.uk/inspection-reports/find-inspection-report/provider/CARE/2598648","Ofsted Social Care Provider Webpage")</f>
        <v>Ofsted Social Care Provider Webpage</v>
      </c>
      <c r="B1401" s="55">
        <v>2598648</v>
      </c>
      <c r="D1401" s="55" t="s">
        <v>373</v>
      </c>
      <c r="E1401" s="74">
        <v>44047</v>
      </c>
      <c r="F1401" s="55" t="s">
        <v>344</v>
      </c>
      <c r="G1401" s="55" t="s">
        <v>360</v>
      </c>
      <c r="H1401" s="55" t="s">
        <v>360</v>
      </c>
      <c r="I1401" s="55" t="s">
        <v>360</v>
      </c>
      <c r="J1401" s="55" t="s">
        <v>360</v>
      </c>
      <c r="K1401" s="55" t="s">
        <v>360</v>
      </c>
      <c r="L1401" s="55" t="s">
        <v>360</v>
      </c>
      <c r="M1401" s="55" t="s">
        <v>172</v>
      </c>
      <c r="N1401" s="55" t="s">
        <v>172</v>
      </c>
      <c r="O1401" s="55" t="s">
        <v>212</v>
      </c>
      <c r="P1401" s="55" t="s">
        <v>798</v>
      </c>
      <c r="Q1401" s="55" t="s">
        <v>350</v>
      </c>
      <c r="R1401" s="85">
        <v>3</v>
      </c>
      <c r="S1401" s="55">
        <v>0</v>
      </c>
      <c r="T1401" s="74" t="s">
        <v>1819</v>
      </c>
      <c r="U1401" s="74" t="s">
        <v>351</v>
      </c>
      <c r="V1401" s="74">
        <v>44314</v>
      </c>
      <c r="W1401" s="74">
        <v>44349</v>
      </c>
      <c r="X1401" s="55">
        <v>10186733</v>
      </c>
      <c r="Y1401" s="55" t="s">
        <v>132</v>
      </c>
      <c r="AB1401" s="74" t="s">
        <v>132</v>
      </c>
      <c r="AC1401" s="55" t="s">
        <v>140</v>
      </c>
      <c r="AL1401" s="74"/>
      <c r="AM1401" s="74"/>
      <c r="AW1401" s="74"/>
      <c r="AX1401" s="74"/>
    </row>
    <row r="1402" spans="1:50" ht="13" x14ac:dyDescent="0.15">
      <c r="A1402" s="55" t="str">
        <f>HYPERLINK("http://reports.ofsted.gov.uk/inspection-reports/find-inspection-report/provider/CARE/2598804","Ofsted Social Care Provider Webpage")</f>
        <v>Ofsted Social Care Provider Webpage</v>
      </c>
      <c r="B1402" s="55">
        <v>2598804</v>
      </c>
      <c r="D1402" s="55" t="s">
        <v>373</v>
      </c>
      <c r="E1402" s="74">
        <v>44314</v>
      </c>
      <c r="F1402" s="55" t="s">
        <v>344</v>
      </c>
      <c r="G1402" s="55" t="s">
        <v>360</v>
      </c>
      <c r="H1402" s="55" t="s">
        <v>360</v>
      </c>
      <c r="I1402" s="55" t="s">
        <v>360</v>
      </c>
      <c r="J1402" s="55" t="s">
        <v>360</v>
      </c>
      <c r="K1402" s="55" t="s">
        <v>360</v>
      </c>
      <c r="L1402" s="55" t="s">
        <v>360</v>
      </c>
      <c r="M1402" s="55" t="s">
        <v>378</v>
      </c>
      <c r="N1402" s="55" t="s">
        <v>134</v>
      </c>
      <c r="O1402" s="55" t="s">
        <v>151</v>
      </c>
      <c r="P1402" s="55" t="s">
        <v>1921</v>
      </c>
      <c r="Q1402" s="55" t="s">
        <v>350</v>
      </c>
      <c r="R1402" s="85">
        <v>1</v>
      </c>
      <c r="S1402" s="55">
        <v>0</v>
      </c>
      <c r="T1402" s="74" t="s">
        <v>1922</v>
      </c>
      <c r="U1402" s="74" t="s">
        <v>351</v>
      </c>
      <c r="V1402" s="74">
        <v>44516</v>
      </c>
      <c r="W1402" s="74">
        <v>44630</v>
      </c>
      <c r="X1402" s="55">
        <v>10198685</v>
      </c>
      <c r="Y1402" s="55" t="s">
        <v>130</v>
      </c>
      <c r="AB1402" s="74" t="s">
        <v>130</v>
      </c>
      <c r="AC1402" s="55" t="s">
        <v>146</v>
      </c>
      <c r="AL1402" s="74"/>
      <c r="AM1402" s="74"/>
    </row>
    <row r="1403" spans="1:50" ht="13" x14ac:dyDescent="0.15">
      <c r="A1403" s="55" t="str">
        <f>HYPERLINK("http://reports.ofsted.gov.uk/inspection-reports/find-inspection-report/provider/CARE/2599037","Ofsted Social Care Provider Webpage")</f>
        <v>Ofsted Social Care Provider Webpage</v>
      </c>
      <c r="B1403" s="55">
        <v>2599037</v>
      </c>
      <c r="D1403" s="55" t="s">
        <v>373</v>
      </c>
      <c r="E1403" s="74">
        <v>44054</v>
      </c>
      <c r="F1403" s="55" t="s">
        <v>344</v>
      </c>
      <c r="G1403" s="55" t="s">
        <v>360</v>
      </c>
      <c r="H1403" s="55" t="s">
        <v>360</v>
      </c>
      <c r="I1403" s="55" t="s">
        <v>360</v>
      </c>
      <c r="J1403" s="55" t="s">
        <v>360</v>
      </c>
      <c r="K1403" s="55" t="s">
        <v>360</v>
      </c>
      <c r="L1403" s="55" t="s">
        <v>360</v>
      </c>
      <c r="M1403" s="55" t="s">
        <v>172</v>
      </c>
      <c r="N1403" s="55" t="s">
        <v>172</v>
      </c>
      <c r="O1403" s="55" t="s">
        <v>212</v>
      </c>
      <c r="P1403" s="55" t="s">
        <v>547</v>
      </c>
      <c r="Q1403" s="55" t="s">
        <v>350</v>
      </c>
      <c r="R1403" s="85">
        <v>3</v>
      </c>
      <c r="S1403" s="55">
        <v>0</v>
      </c>
      <c r="T1403" s="74" t="s">
        <v>1923</v>
      </c>
      <c r="U1403" s="74" t="s">
        <v>351</v>
      </c>
      <c r="V1403" s="74">
        <v>44364</v>
      </c>
      <c r="W1403" s="74">
        <v>44403</v>
      </c>
      <c r="X1403" s="55">
        <v>10185632</v>
      </c>
      <c r="Y1403" s="55" t="s">
        <v>132</v>
      </c>
      <c r="AB1403" s="74" t="s">
        <v>132</v>
      </c>
      <c r="AC1403" s="55" t="s">
        <v>132</v>
      </c>
      <c r="AL1403" s="74"/>
      <c r="AM1403" s="74"/>
      <c r="AW1403" s="74"/>
      <c r="AX1403" s="74"/>
    </row>
    <row r="1404" spans="1:50" ht="13" x14ac:dyDescent="0.15">
      <c r="A1404" s="55" t="str">
        <f>HYPERLINK("http://reports.ofsted.gov.uk/inspection-reports/find-inspection-report/provider/CARE/2599183","Ofsted Social Care Provider Webpage")</f>
        <v>Ofsted Social Care Provider Webpage</v>
      </c>
      <c r="B1404" s="55">
        <v>2599183</v>
      </c>
      <c r="D1404" s="55" t="s">
        <v>373</v>
      </c>
      <c r="E1404" s="74">
        <v>44068</v>
      </c>
      <c r="F1404" s="55" t="s">
        <v>344</v>
      </c>
      <c r="G1404" s="55" t="s">
        <v>360</v>
      </c>
      <c r="H1404" s="55" t="s">
        <v>360</v>
      </c>
      <c r="I1404" s="55" t="s">
        <v>360</v>
      </c>
      <c r="J1404" s="55" t="s">
        <v>360</v>
      </c>
      <c r="K1404" s="55" t="s">
        <v>360</v>
      </c>
      <c r="L1404" s="55" t="s">
        <v>360</v>
      </c>
      <c r="M1404" s="55" t="s">
        <v>144</v>
      </c>
      <c r="N1404" s="55" t="s">
        <v>144</v>
      </c>
      <c r="O1404" s="55" t="s">
        <v>163</v>
      </c>
      <c r="P1404" s="55" t="s">
        <v>614</v>
      </c>
      <c r="Q1404" s="55" t="s">
        <v>350</v>
      </c>
      <c r="R1404" s="85">
        <v>3</v>
      </c>
      <c r="S1404" s="55">
        <v>0</v>
      </c>
      <c r="T1404" s="74" t="s">
        <v>1653</v>
      </c>
      <c r="U1404" s="74" t="s">
        <v>351</v>
      </c>
      <c r="V1404" s="74">
        <v>44581</v>
      </c>
      <c r="W1404" s="74">
        <v>44617</v>
      </c>
      <c r="X1404" s="55">
        <v>10186134</v>
      </c>
      <c r="Y1404" s="55" t="s">
        <v>130</v>
      </c>
      <c r="AB1404" s="74" t="s">
        <v>130</v>
      </c>
      <c r="AC1404" s="55" t="s">
        <v>130</v>
      </c>
      <c r="AL1404" s="74"/>
      <c r="AM1404" s="74"/>
      <c r="AW1404" s="74"/>
      <c r="AX1404" s="74"/>
    </row>
    <row r="1405" spans="1:50" ht="13" x14ac:dyDescent="0.15">
      <c r="A1405" s="55" t="str">
        <f>HYPERLINK("http://reports.ofsted.gov.uk/inspection-reports/find-inspection-report/provider/CARE/2599388","Ofsted Social Care Provider Webpage")</f>
        <v>Ofsted Social Care Provider Webpage</v>
      </c>
      <c r="B1405" s="55">
        <v>2599388</v>
      </c>
      <c r="D1405" s="55" t="s">
        <v>373</v>
      </c>
      <c r="E1405" s="74">
        <v>44033</v>
      </c>
      <c r="F1405" s="55" t="s">
        <v>344</v>
      </c>
      <c r="G1405" s="55" t="s">
        <v>360</v>
      </c>
      <c r="H1405" s="55" t="s">
        <v>360</v>
      </c>
      <c r="I1405" s="55" t="s">
        <v>360</v>
      </c>
      <c r="J1405" s="55" t="s">
        <v>360</v>
      </c>
      <c r="K1405" s="55" t="s">
        <v>360</v>
      </c>
      <c r="L1405" s="55" t="s">
        <v>360</v>
      </c>
      <c r="M1405" s="55" t="s">
        <v>136</v>
      </c>
      <c r="N1405" s="55" t="s">
        <v>136</v>
      </c>
      <c r="O1405" s="55" t="s">
        <v>174</v>
      </c>
      <c r="P1405" s="55" t="s">
        <v>982</v>
      </c>
      <c r="Q1405" s="55" t="s">
        <v>350</v>
      </c>
      <c r="R1405" s="85">
        <v>3</v>
      </c>
      <c r="S1405" s="55">
        <v>0</v>
      </c>
      <c r="T1405" s="74" t="s">
        <v>1924</v>
      </c>
      <c r="U1405" s="74" t="s">
        <v>351</v>
      </c>
      <c r="V1405" s="74">
        <v>44523</v>
      </c>
      <c r="W1405" s="74">
        <v>44565</v>
      </c>
      <c r="X1405" s="55">
        <v>10186182</v>
      </c>
      <c r="Y1405" s="55" t="s">
        <v>132</v>
      </c>
      <c r="AB1405" s="74" t="s">
        <v>132</v>
      </c>
      <c r="AC1405" s="55" t="s">
        <v>132</v>
      </c>
      <c r="AL1405" s="74"/>
      <c r="AM1405" s="74"/>
      <c r="AW1405" s="74"/>
      <c r="AX1405" s="74"/>
    </row>
    <row r="1406" spans="1:50" ht="13" x14ac:dyDescent="0.15">
      <c r="A1406" s="55" t="str">
        <f>HYPERLINK("http://reports.ofsted.gov.uk/inspection-reports/find-inspection-report/provider/CARE/2599399","Ofsted Social Care Provider Webpage")</f>
        <v>Ofsted Social Care Provider Webpage</v>
      </c>
      <c r="B1406" s="55">
        <v>2599399</v>
      </c>
      <c r="D1406" s="55" t="s">
        <v>373</v>
      </c>
      <c r="E1406" s="74">
        <v>44089</v>
      </c>
      <c r="F1406" s="55" t="s">
        <v>344</v>
      </c>
      <c r="G1406" s="55" t="s">
        <v>360</v>
      </c>
      <c r="H1406" s="55" t="s">
        <v>360</v>
      </c>
      <c r="I1406" s="55" t="s">
        <v>360</v>
      </c>
      <c r="J1406" s="55" t="s">
        <v>360</v>
      </c>
      <c r="K1406" s="55" t="s">
        <v>360</v>
      </c>
      <c r="L1406" s="55" t="s">
        <v>360</v>
      </c>
      <c r="M1406" s="55" t="s">
        <v>142</v>
      </c>
      <c r="N1406" s="55" t="s">
        <v>142</v>
      </c>
      <c r="O1406" s="55" t="s">
        <v>195</v>
      </c>
      <c r="P1406" s="55" t="s">
        <v>518</v>
      </c>
      <c r="Q1406" s="55" t="s">
        <v>350</v>
      </c>
      <c r="R1406" s="85">
        <v>2</v>
      </c>
      <c r="S1406" s="55">
        <v>0</v>
      </c>
      <c r="T1406" s="74" t="s">
        <v>385</v>
      </c>
      <c r="U1406" s="74" t="s">
        <v>351</v>
      </c>
      <c r="V1406" s="74">
        <v>44377</v>
      </c>
      <c r="W1406" s="74">
        <v>44412</v>
      </c>
      <c r="X1406" s="55">
        <v>10185837</v>
      </c>
      <c r="Y1406" s="55" t="s">
        <v>132</v>
      </c>
      <c r="AB1406" s="74" t="s">
        <v>132</v>
      </c>
      <c r="AC1406" s="55" t="s">
        <v>132</v>
      </c>
      <c r="AL1406" s="74"/>
      <c r="AM1406" s="74"/>
    </row>
    <row r="1407" spans="1:50" ht="13" x14ac:dyDescent="0.15">
      <c r="A1407" s="55" t="str">
        <f>HYPERLINK("http://reports.ofsted.gov.uk/inspection-reports/find-inspection-report/provider/CARE/2599480","Ofsted Social Care Provider Webpage")</f>
        <v>Ofsted Social Care Provider Webpage</v>
      </c>
      <c r="B1407" s="55">
        <v>2599480</v>
      </c>
      <c r="D1407" s="55" t="s">
        <v>373</v>
      </c>
      <c r="E1407" s="74">
        <v>44089</v>
      </c>
      <c r="F1407" s="55" t="s">
        <v>344</v>
      </c>
      <c r="G1407" s="55" t="s">
        <v>360</v>
      </c>
      <c r="H1407" s="55" t="s">
        <v>360</v>
      </c>
      <c r="I1407" s="55" t="s">
        <v>360</v>
      </c>
      <c r="J1407" s="55" t="s">
        <v>360</v>
      </c>
      <c r="K1407" s="55" t="s">
        <v>360</v>
      </c>
      <c r="L1407" s="55" t="s">
        <v>360</v>
      </c>
      <c r="M1407" s="55" t="s">
        <v>142</v>
      </c>
      <c r="N1407" s="55" t="s">
        <v>142</v>
      </c>
      <c r="O1407" s="55" t="s">
        <v>265</v>
      </c>
      <c r="P1407" s="55" t="s">
        <v>1066</v>
      </c>
      <c r="Q1407" s="55" t="s">
        <v>350</v>
      </c>
      <c r="R1407" s="85">
        <v>4</v>
      </c>
      <c r="S1407" s="55">
        <v>0</v>
      </c>
      <c r="T1407" s="74" t="s">
        <v>385</v>
      </c>
      <c r="U1407" s="74" t="s">
        <v>6703</v>
      </c>
      <c r="V1407" s="74">
        <v>44600</v>
      </c>
      <c r="W1407" s="74">
        <v>44650</v>
      </c>
      <c r="X1407" s="55">
        <v>10187421</v>
      </c>
      <c r="Y1407" s="55" t="s">
        <v>6709</v>
      </c>
      <c r="AL1407" s="74"/>
      <c r="AM1407" s="74"/>
      <c r="AW1407" s="74"/>
      <c r="AX1407" s="74"/>
    </row>
    <row r="1408" spans="1:50" ht="13" x14ac:dyDescent="0.15">
      <c r="A1408" s="55" t="str">
        <f>HYPERLINK("http://reports.ofsted.gov.uk/inspection-reports/find-inspection-report/provider/CARE/2599659","Ofsted Social Care Provider Webpage")</f>
        <v>Ofsted Social Care Provider Webpage</v>
      </c>
      <c r="B1408" s="55">
        <v>2599659</v>
      </c>
      <c r="D1408" s="55" t="s">
        <v>373</v>
      </c>
      <c r="E1408" s="74">
        <v>44164</v>
      </c>
      <c r="F1408" s="55" t="s">
        <v>344</v>
      </c>
      <c r="G1408" s="55" t="s">
        <v>360</v>
      </c>
      <c r="H1408" s="55" t="s">
        <v>360</v>
      </c>
      <c r="I1408" s="55" t="s">
        <v>360</v>
      </c>
      <c r="J1408" s="55" t="s">
        <v>360</v>
      </c>
      <c r="K1408" s="55" t="s">
        <v>360</v>
      </c>
      <c r="L1408" s="55" t="s">
        <v>360</v>
      </c>
      <c r="M1408" s="55" t="s">
        <v>138</v>
      </c>
      <c r="N1408" s="55" t="s">
        <v>138</v>
      </c>
      <c r="O1408" s="55" t="s">
        <v>238</v>
      </c>
      <c r="P1408" s="55" t="s">
        <v>238</v>
      </c>
      <c r="Q1408" s="55" t="s">
        <v>350</v>
      </c>
      <c r="R1408" s="85">
        <v>4</v>
      </c>
      <c r="S1408" s="55">
        <v>0</v>
      </c>
      <c r="T1408" s="74" t="s">
        <v>1079</v>
      </c>
      <c r="U1408" s="74" t="s">
        <v>351</v>
      </c>
      <c r="V1408" s="74">
        <v>44566</v>
      </c>
      <c r="W1408" s="74">
        <v>44592</v>
      </c>
      <c r="X1408" s="55">
        <v>10186493</v>
      </c>
      <c r="Y1408" s="55" t="s">
        <v>132</v>
      </c>
      <c r="AB1408" s="74" t="s">
        <v>132</v>
      </c>
      <c r="AC1408" s="55" t="s">
        <v>132</v>
      </c>
      <c r="AL1408" s="74"/>
      <c r="AM1408" s="74"/>
    </row>
    <row r="1409" spans="1:50" ht="13" x14ac:dyDescent="0.15">
      <c r="A1409" s="55" t="str">
        <f>HYPERLINK("http://reports.ofsted.gov.uk/inspection-reports/find-inspection-report/provider/CARE/2599773","Ofsted Social Care Provider Webpage")</f>
        <v>Ofsted Social Care Provider Webpage</v>
      </c>
      <c r="B1409" s="55">
        <v>2599773</v>
      </c>
      <c r="D1409" s="55" t="s">
        <v>373</v>
      </c>
      <c r="E1409" s="74">
        <v>44103</v>
      </c>
      <c r="F1409" s="55" t="s">
        <v>344</v>
      </c>
      <c r="G1409" s="55" t="s">
        <v>360</v>
      </c>
      <c r="H1409" s="55" t="s">
        <v>360</v>
      </c>
      <c r="I1409" s="55" t="s">
        <v>360</v>
      </c>
      <c r="J1409" s="55" t="s">
        <v>360</v>
      </c>
      <c r="K1409" s="55" t="s">
        <v>360</v>
      </c>
      <c r="L1409" s="55" t="s">
        <v>360</v>
      </c>
      <c r="M1409" s="55" t="s">
        <v>172</v>
      </c>
      <c r="N1409" s="55" t="s">
        <v>172</v>
      </c>
      <c r="O1409" s="55" t="s">
        <v>284</v>
      </c>
      <c r="P1409" s="55" t="s">
        <v>1475</v>
      </c>
      <c r="Q1409" s="55" t="s">
        <v>350</v>
      </c>
      <c r="R1409" s="85">
        <v>2</v>
      </c>
      <c r="S1409" s="55">
        <v>0</v>
      </c>
      <c r="T1409" s="74" t="s">
        <v>1925</v>
      </c>
      <c r="U1409" s="74" t="s">
        <v>351</v>
      </c>
      <c r="V1409" s="74">
        <v>44424</v>
      </c>
      <c r="W1409" s="74">
        <v>44463</v>
      </c>
      <c r="X1409" s="55">
        <v>10187306</v>
      </c>
      <c r="Y1409" s="55" t="s">
        <v>130</v>
      </c>
      <c r="AB1409" s="74" t="s">
        <v>130</v>
      </c>
      <c r="AC1409" s="55" t="s">
        <v>146</v>
      </c>
      <c r="AL1409" s="74"/>
      <c r="AM1409" s="74"/>
      <c r="AW1409" s="74"/>
      <c r="AX1409" s="74"/>
    </row>
    <row r="1410" spans="1:50" ht="13" x14ac:dyDescent="0.15">
      <c r="A1410" s="55" t="str">
        <f>HYPERLINK("http://reports.ofsted.gov.uk/inspection-reports/find-inspection-report/provider/CARE/2599773","Ofsted Social Care Provider Webpage")</f>
        <v>Ofsted Social Care Provider Webpage</v>
      </c>
      <c r="B1410" s="55">
        <v>2599773</v>
      </c>
      <c r="D1410" s="55" t="s">
        <v>373</v>
      </c>
      <c r="E1410" s="74">
        <v>44103</v>
      </c>
      <c r="F1410" s="55" t="s">
        <v>344</v>
      </c>
      <c r="G1410" s="55" t="s">
        <v>360</v>
      </c>
      <c r="H1410" s="55" t="s">
        <v>360</v>
      </c>
      <c r="I1410" s="55" t="s">
        <v>360</v>
      </c>
      <c r="J1410" s="55" t="s">
        <v>360</v>
      </c>
      <c r="K1410" s="55" t="s">
        <v>360</v>
      </c>
      <c r="L1410" s="55" t="s">
        <v>360</v>
      </c>
      <c r="M1410" s="55" t="s">
        <v>172</v>
      </c>
      <c r="N1410" s="55" t="s">
        <v>172</v>
      </c>
      <c r="O1410" s="55" t="s">
        <v>284</v>
      </c>
      <c r="P1410" s="55" t="s">
        <v>1475</v>
      </c>
      <c r="Q1410" s="55" t="s">
        <v>350</v>
      </c>
      <c r="R1410" s="85">
        <v>2</v>
      </c>
      <c r="S1410" s="55">
        <v>0</v>
      </c>
      <c r="T1410" s="74" t="s">
        <v>1925</v>
      </c>
      <c r="U1410" s="74" t="s">
        <v>6703</v>
      </c>
      <c r="V1410" s="74">
        <v>44629</v>
      </c>
      <c r="W1410" s="74">
        <v>44670</v>
      </c>
      <c r="X1410" s="55">
        <v>10206371</v>
      </c>
      <c r="Y1410" s="55" t="s">
        <v>6705</v>
      </c>
      <c r="AL1410" s="74"/>
      <c r="AM1410" s="74"/>
      <c r="AW1410" s="74"/>
      <c r="AX1410" s="74"/>
    </row>
    <row r="1411" spans="1:50" ht="13" x14ac:dyDescent="0.15">
      <c r="A1411" s="55" t="str">
        <f>HYPERLINK("http://reports.ofsted.gov.uk/inspection-reports/find-inspection-report/provider/CARE/2599805","Ofsted Social Care Provider Webpage")</f>
        <v>Ofsted Social Care Provider Webpage</v>
      </c>
      <c r="B1411" s="55">
        <v>2599805</v>
      </c>
      <c r="D1411" s="55" t="s">
        <v>373</v>
      </c>
      <c r="E1411" s="74">
        <v>44132</v>
      </c>
      <c r="F1411" s="55" t="s">
        <v>344</v>
      </c>
      <c r="G1411" s="55" t="s">
        <v>360</v>
      </c>
      <c r="H1411" s="55" t="s">
        <v>360</v>
      </c>
      <c r="I1411" s="55" t="s">
        <v>360</v>
      </c>
      <c r="J1411" s="55" t="s">
        <v>360</v>
      </c>
      <c r="K1411" s="55" t="s">
        <v>360</v>
      </c>
      <c r="L1411" s="55" t="s">
        <v>360</v>
      </c>
      <c r="M1411" s="55" t="s">
        <v>172</v>
      </c>
      <c r="N1411" s="55" t="s">
        <v>172</v>
      </c>
      <c r="O1411" s="55" t="s">
        <v>171</v>
      </c>
      <c r="P1411" s="55" t="s">
        <v>983</v>
      </c>
      <c r="Q1411" s="55" t="s">
        <v>350</v>
      </c>
      <c r="R1411" s="85">
        <v>4</v>
      </c>
      <c r="S1411" s="55">
        <v>0</v>
      </c>
      <c r="T1411" s="74" t="s">
        <v>865</v>
      </c>
      <c r="U1411" s="74" t="s">
        <v>351</v>
      </c>
      <c r="V1411" s="74">
        <v>44460</v>
      </c>
      <c r="W1411" s="74">
        <v>44494</v>
      </c>
      <c r="X1411" s="55">
        <v>10187560</v>
      </c>
      <c r="Y1411" s="55" t="s">
        <v>132</v>
      </c>
      <c r="AB1411" s="74" t="s">
        <v>132</v>
      </c>
      <c r="AC1411" s="55" t="s">
        <v>132</v>
      </c>
      <c r="AL1411" s="74"/>
      <c r="AM1411" s="74"/>
      <c r="AW1411" s="74"/>
      <c r="AX1411" s="74"/>
    </row>
    <row r="1412" spans="1:50" ht="13" x14ac:dyDescent="0.15">
      <c r="A1412" s="55" t="str">
        <f>HYPERLINK("http://reports.ofsted.gov.uk/inspection-reports/find-inspection-report/provider/CARE/2599994","Ofsted Social Care Provider Webpage")</f>
        <v>Ofsted Social Care Provider Webpage</v>
      </c>
      <c r="B1412" s="55">
        <v>2599994</v>
      </c>
      <c r="D1412" s="55" t="s">
        <v>373</v>
      </c>
      <c r="E1412" s="74">
        <v>44043</v>
      </c>
      <c r="F1412" s="55" t="s">
        <v>344</v>
      </c>
      <c r="G1412" s="55" t="s">
        <v>360</v>
      </c>
      <c r="H1412" s="55" t="s">
        <v>360</v>
      </c>
      <c r="I1412" s="55" t="s">
        <v>360</v>
      </c>
      <c r="J1412" s="55" t="s">
        <v>360</v>
      </c>
      <c r="K1412" s="55" t="s">
        <v>360</v>
      </c>
      <c r="L1412" s="55" t="s">
        <v>360</v>
      </c>
      <c r="M1412" s="55" t="s">
        <v>378</v>
      </c>
      <c r="N1412" s="55" t="s">
        <v>134</v>
      </c>
      <c r="O1412" s="55" t="s">
        <v>204</v>
      </c>
      <c r="P1412" s="55" t="s">
        <v>1920</v>
      </c>
      <c r="Q1412" s="55" t="s">
        <v>380</v>
      </c>
      <c r="R1412" s="85">
        <v>1</v>
      </c>
      <c r="S1412" s="55">
        <v>0</v>
      </c>
      <c r="T1412" s="74" t="s">
        <v>1479</v>
      </c>
      <c r="U1412" s="74" t="s">
        <v>351</v>
      </c>
      <c r="V1412" s="74">
        <v>44440</v>
      </c>
      <c r="W1412" s="74">
        <v>44473</v>
      </c>
      <c r="X1412" s="55">
        <v>10186504</v>
      </c>
      <c r="Y1412" s="55" t="s">
        <v>130</v>
      </c>
      <c r="AB1412" s="74" t="s">
        <v>130</v>
      </c>
      <c r="AC1412" s="55" t="s">
        <v>130</v>
      </c>
      <c r="AL1412" s="74"/>
      <c r="AM1412" s="74"/>
      <c r="AW1412" s="74"/>
      <c r="AX1412" s="74"/>
    </row>
    <row r="1413" spans="1:50" ht="13" x14ac:dyDescent="0.15">
      <c r="A1413" s="55" t="str">
        <f>HYPERLINK("http://reports.ofsted.gov.uk/inspection-reports/find-inspection-report/provider/CARE/2599994","Ofsted Social Care Provider Webpage")</f>
        <v>Ofsted Social Care Provider Webpage</v>
      </c>
      <c r="B1413" s="55">
        <v>2599994</v>
      </c>
      <c r="D1413" s="55" t="s">
        <v>373</v>
      </c>
      <c r="E1413" s="74">
        <v>44043</v>
      </c>
      <c r="F1413" s="55" t="s">
        <v>344</v>
      </c>
      <c r="G1413" s="55" t="s">
        <v>360</v>
      </c>
      <c r="H1413" s="55" t="s">
        <v>360</v>
      </c>
      <c r="I1413" s="55" t="s">
        <v>360</v>
      </c>
      <c r="J1413" s="55" t="s">
        <v>360</v>
      </c>
      <c r="K1413" s="55" t="s">
        <v>360</v>
      </c>
      <c r="L1413" s="55" t="s">
        <v>360</v>
      </c>
      <c r="M1413" s="55" t="s">
        <v>378</v>
      </c>
      <c r="N1413" s="55" t="s">
        <v>134</v>
      </c>
      <c r="O1413" s="55" t="s">
        <v>204</v>
      </c>
      <c r="P1413" s="55" t="s">
        <v>1920</v>
      </c>
      <c r="Q1413" s="55" t="s">
        <v>380</v>
      </c>
      <c r="R1413" s="85">
        <v>1</v>
      </c>
      <c r="S1413" s="55">
        <v>0</v>
      </c>
      <c r="T1413" s="74" t="s">
        <v>1479</v>
      </c>
      <c r="U1413" s="74" t="s">
        <v>6703</v>
      </c>
      <c r="V1413" s="74">
        <v>44593</v>
      </c>
      <c r="W1413" s="74">
        <v>44624</v>
      </c>
      <c r="X1413" s="55">
        <v>10212748</v>
      </c>
      <c r="Y1413" s="55" t="s">
        <v>6704</v>
      </c>
      <c r="AL1413" s="74"/>
      <c r="AM1413" s="74"/>
      <c r="AW1413" s="74"/>
      <c r="AX1413" s="74"/>
    </row>
    <row r="1414" spans="1:50" ht="13" x14ac:dyDescent="0.15">
      <c r="A1414" s="55" t="str">
        <f>HYPERLINK("http://reports.ofsted.gov.uk/inspection-reports/find-inspection-report/provider/CARE/2600119","Ofsted Social Care Provider Webpage")</f>
        <v>Ofsted Social Care Provider Webpage</v>
      </c>
      <c r="B1414" s="55">
        <v>2600119</v>
      </c>
      <c r="D1414" s="55" t="s">
        <v>373</v>
      </c>
      <c r="E1414" s="74">
        <v>44106</v>
      </c>
      <c r="F1414" s="55" t="s">
        <v>344</v>
      </c>
      <c r="G1414" s="55" t="s">
        <v>360</v>
      </c>
      <c r="H1414" s="55" t="s">
        <v>360</v>
      </c>
      <c r="I1414" s="55" t="s">
        <v>360</v>
      </c>
      <c r="J1414" s="55" t="s">
        <v>360</v>
      </c>
      <c r="K1414" s="55" t="s">
        <v>360</v>
      </c>
      <c r="L1414" s="55" t="s">
        <v>360</v>
      </c>
      <c r="M1414" s="55" t="s">
        <v>144</v>
      </c>
      <c r="N1414" s="55" t="s">
        <v>144</v>
      </c>
      <c r="O1414" s="55" t="s">
        <v>157</v>
      </c>
      <c r="P1414" s="55" t="s">
        <v>1092</v>
      </c>
      <c r="Q1414" s="55" t="s">
        <v>350</v>
      </c>
      <c r="R1414" s="85">
        <v>2</v>
      </c>
      <c r="S1414" s="55">
        <v>0</v>
      </c>
      <c r="T1414" s="74" t="s">
        <v>1926</v>
      </c>
      <c r="U1414" s="74" t="s">
        <v>351</v>
      </c>
      <c r="V1414" s="74">
        <v>44510</v>
      </c>
      <c r="W1414" s="74">
        <v>44565</v>
      </c>
      <c r="X1414" s="55">
        <v>10186676</v>
      </c>
      <c r="Y1414" s="55" t="s">
        <v>132</v>
      </c>
      <c r="AB1414" s="74" t="s">
        <v>132</v>
      </c>
      <c r="AC1414" s="55" t="s">
        <v>132</v>
      </c>
      <c r="AL1414" s="74"/>
      <c r="AM1414" s="74"/>
    </row>
    <row r="1415" spans="1:50" ht="13" x14ac:dyDescent="0.15">
      <c r="A1415" s="55" t="str">
        <f>HYPERLINK("http://reports.ofsted.gov.uk/inspection-reports/find-inspection-report/provider/CARE/2600259","Ofsted Social Care Provider Webpage")</f>
        <v>Ofsted Social Care Provider Webpage</v>
      </c>
      <c r="B1415" s="55">
        <v>2600259</v>
      </c>
      <c r="D1415" s="55" t="s">
        <v>373</v>
      </c>
      <c r="E1415" s="74">
        <v>44095</v>
      </c>
      <c r="F1415" s="55" t="s">
        <v>344</v>
      </c>
      <c r="G1415" s="55" t="s">
        <v>360</v>
      </c>
      <c r="H1415" s="55" t="s">
        <v>360</v>
      </c>
      <c r="I1415" s="55" t="s">
        <v>360</v>
      </c>
      <c r="J1415" s="55" t="s">
        <v>360</v>
      </c>
      <c r="K1415" s="55" t="s">
        <v>360</v>
      </c>
      <c r="L1415" s="55" t="s">
        <v>360</v>
      </c>
      <c r="M1415" s="55" t="s">
        <v>378</v>
      </c>
      <c r="N1415" s="55" t="s">
        <v>134</v>
      </c>
      <c r="O1415" s="55" t="s">
        <v>158</v>
      </c>
      <c r="P1415" s="55" t="s">
        <v>912</v>
      </c>
      <c r="Q1415" s="55" t="s">
        <v>350</v>
      </c>
      <c r="R1415" s="85">
        <v>2</v>
      </c>
      <c r="S1415" s="55">
        <v>0</v>
      </c>
      <c r="T1415" s="74" t="s">
        <v>951</v>
      </c>
      <c r="U1415" s="74" t="s">
        <v>351</v>
      </c>
      <c r="V1415" s="74">
        <v>44515</v>
      </c>
      <c r="W1415" s="74">
        <v>44544</v>
      </c>
      <c r="X1415" s="55">
        <v>10185485</v>
      </c>
      <c r="Y1415" s="55" t="s">
        <v>140</v>
      </c>
      <c r="AB1415" s="74" t="s">
        <v>140</v>
      </c>
      <c r="AC1415" s="55" t="s">
        <v>140</v>
      </c>
      <c r="AL1415" s="74"/>
      <c r="AM1415" s="74"/>
      <c r="AW1415" s="74"/>
      <c r="AX1415" s="74"/>
    </row>
    <row r="1416" spans="1:50" ht="13" x14ac:dyDescent="0.15">
      <c r="A1416" s="55" t="str">
        <f>HYPERLINK("http://reports.ofsted.gov.uk/inspection-reports/find-inspection-report/provider/CARE/2600541","Ofsted Social Care Provider Webpage")</f>
        <v>Ofsted Social Care Provider Webpage</v>
      </c>
      <c r="B1416" s="55">
        <v>2600541</v>
      </c>
      <c r="D1416" s="55" t="s">
        <v>373</v>
      </c>
      <c r="E1416" s="74">
        <v>44084</v>
      </c>
      <c r="F1416" s="55" t="s">
        <v>344</v>
      </c>
      <c r="G1416" s="55" t="s">
        <v>360</v>
      </c>
      <c r="H1416" s="55" t="s">
        <v>360</v>
      </c>
      <c r="I1416" s="55" t="s">
        <v>360</v>
      </c>
      <c r="J1416" s="55" t="s">
        <v>360</v>
      </c>
      <c r="K1416" s="55" t="s">
        <v>360</v>
      </c>
      <c r="L1416" s="55" t="s">
        <v>360</v>
      </c>
      <c r="M1416" s="55" t="s">
        <v>142</v>
      </c>
      <c r="N1416" s="55" t="s">
        <v>142</v>
      </c>
      <c r="O1416" s="55" t="s">
        <v>293</v>
      </c>
      <c r="P1416" s="55" t="s">
        <v>1136</v>
      </c>
      <c r="Q1416" s="55" t="s">
        <v>350</v>
      </c>
      <c r="R1416" s="85">
        <v>3</v>
      </c>
      <c r="S1416" s="55">
        <v>0</v>
      </c>
      <c r="T1416" s="74" t="s">
        <v>1417</v>
      </c>
      <c r="U1416" s="74" t="s">
        <v>351</v>
      </c>
      <c r="V1416" s="74">
        <v>44446</v>
      </c>
      <c r="W1416" s="74">
        <v>44474</v>
      </c>
      <c r="X1416" s="55">
        <v>10186025</v>
      </c>
      <c r="Y1416" s="55" t="s">
        <v>132</v>
      </c>
      <c r="AB1416" s="74" t="s">
        <v>132</v>
      </c>
      <c r="AC1416" s="55" t="s">
        <v>132</v>
      </c>
      <c r="AL1416" s="74"/>
      <c r="AM1416" s="74"/>
      <c r="AW1416" s="74"/>
      <c r="AX1416" s="74"/>
    </row>
    <row r="1417" spans="1:50" ht="13" x14ac:dyDescent="0.15">
      <c r="A1417" s="55" t="str">
        <f>HYPERLINK("http://reports.ofsted.gov.uk/inspection-reports/find-inspection-report/provider/CARE/2600759","Ofsted Social Care Provider Webpage")</f>
        <v>Ofsted Social Care Provider Webpage</v>
      </c>
      <c r="B1417" s="55">
        <v>2600759</v>
      </c>
      <c r="D1417" s="55" t="s">
        <v>373</v>
      </c>
      <c r="E1417" s="74">
        <v>44062</v>
      </c>
      <c r="F1417" s="55" t="s">
        <v>344</v>
      </c>
      <c r="G1417" s="55" t="s">
        <v>360</v>
      </c>
      <c r="H1417" s="55" t="s">
        <v>360</v>
      </c>
      <c r="I1417" s="55" t="s">
        <v>360</v>
      </c>
      <c r="J1417" s="55" t="s">
        <v>360</v>
      </c>
      <c r="K1417" s="55" t="s">
        <v>360</v>
      </c>
      <c r="L1417" s="55" t="s">
        <v>360</v>
      </c>
      <c r="M1417" s="55" t="s">
        <v>144</v>
      </c>
      <c r="N1417" s="55" t="s">
        <v>144</v>
      </c>
      <c r="O1417" s="55" t="s">
        <v>287</v>
      </c>
      <c r="P1417" s="55" t="s">
        <v>287</v>
      </c>
      <c r="Q1417" s="55" t="s">
        <v>350</v>
      </c>
      <c r="R1417" s="85">
        <v>3</v>
      </c>
      <c r="S1417" s="55">
        <v>0</v>
      </c>
      <c r="T1417" s="74" t="s">
        <v>490</v>
      </c>
      <c r="U1417" s="74" t="s">
        <v>351</v>
      </c>
      <c r="V1417" s="74">
        <v>44299</v>
      </c>
      <c r="W1417" s="74">
        <v>44327</v>
      </c>
      <c r="X1417" s="55">
        <v>10186668</v>
      </c>
      <c r="Y1417" s="55" t="s">
        <v>132</v>
      </c>
      <c r="AB1417" s="74" t="s">
        <v>132</v>
      </c>
      <c r="AC1417" s="55" t="s">
        <v>132</v>
      </c>
      <c r="AL1417" s="74"/>
      <c r="AM1417" s="74"/>
      <c r="AW1417" s="74"/>
      <c r="AX1417" s="74"/>
    </row>
    <row r="1418" spans="1:50" ht="13" x14ac:dyDescent="0.15">
      <c r="A1418" s="55" t="str">
        <f>HYPERLINK("http://reports.ofsted.gov.uk/inspection-reports/find-inspection-report/provider/CARE/2600900","Ofsted Social Care Provider Webpage")</f>
        <v>Ofsted Social Care Provider Webpage</v>
      </c>
      <c r="B1418" s="55">
        <v>2600900</v>
      </c>
      <c r="D1418" s="55" t="s">
        <v>389</v>
      </c>
      <c r="E1418" s="74">
        <v>44277</v>
      </c>
      <c r="F1418" s="55" t="s">
        <v>344</v>
      </c>
      <c r="G1418" s="55" t="s">
        <v>1933</v>
      </c>
      <c r="H1418" s="55" t="s">
        <v>1934</v>
      </c>
      <c r="I1418" s="55" t="s">
        <v>1935</v>
      </c>
      <c r="J1418" s="55" t="s">
        <v>1936</v>
      </c>
      <c r="K1418" s="55" t="s">
        <v>203</v>
      </c>
      <c r="L1418" s="55" t="s">
        <v>1937</v>
      </c>
      <c r="M1418" s="55" t="s">
        <v>150</v>
      </c>
      <c r="N1418" s="55" t="s">
        <v>150</v>
      </c>
      <c r="O1418" s="55" t="s">
        <v>203</v>
      </c>
      <c r="P1418" s="55" t="s">
        <v>1835</v>
      </c>
      <c r="Q1418" s="55" t="s">
        <v>350</v>
      </c>
      <c r="S1418" s="55">
        <v>0</v>
      </c>
      <c r="T1418" s="74" t="s">
        <v>1938</v>
      </c>
      <c r="U1418" s="74" t="s">
        <v>351</v>
      </c>
      <c r="V1418" s="74">
        <v>44571</v>
      </c>
      <c r="W1418" s="74">
        <v>44609</v>
      </c>
      <c r="X1418" s="55">
        <v>10188357</v>
      </c>
      <c r="Y1418" s="55" t="s">
        <v>132</v>
      </c>
      <c r="AB1418" s="74" t="s">
        <v>132</v>
      </c>
      <c r="AC1418" s="55" t="s">
        <v>132</v>
      </c>
      <c r="AL1418" s="74"/>
      <c r="AM1418" s="74"/>
      <c r="AW1418" s="74"/>
      <c r="AX1418" s="74"/>
    </row>
    <row r="1419" spans="1:50" ht="13" x14ac:dyDescent="0.15">
      <c r="A1419" s="55" t="str">
        <f>HYPERLINK("http://reports.ofsted.gov.uk/inspection-reports/find-inspection-report/provider/CARE/2600978","Ofsted Social Care Provider Webpage")</f>
        <v>Ofsted Social Care Provider Webpage</v>
      </c>
      <c r="B1419" s="55">
        <v>2600978</v>
      </c>
      <c r="D1419" s="55" t="s">
        <v>373</v>
      </c>
      <c r="E1419" s="74">
        <v>44117</v>
      </c>
      <c r="F1419" s="55" t="s">
        <v>344</v>
      </c>
      <c r="G1419" s="55" t="s">
        <v>360</v>
      </c>
      <c r="H1419" s="55" t="s">
        <v>360</v>
      </c>
      <c r="I1419" s="55" t="s">
        <v>360</v>
      </c>
      <c r="J1419" s="55" t="s">
        <v>360</v>
      </c>
      <c r="K1419" s="55" t="s">
        <v>360</v>
      </c>
      <c r="L1419" s="55" t="s">
        <v>360</v>
      </c>
      <c r="M1419" s="55" t="s">
        <v>142</v>
      </c>
      <c r="N1419" s="55" t="s">
        <v>142</v>
      </c>
      <c r="O1419" s="55" t="s">
        <v>262</v>
      </c>
      <c r="P1419" s="55" t="s">
        <v>916</v>
      </c>
      <c r="Q1419" s="55" t="s">
        <v>350</v>
      </c>
      <c r="R1419" s="85">
        <v>4</v>
      </c>
      <c r="S1419" s="55">
        <v>0</v>
      </c>
      <c r="T1419" s="74" t="s">
        <v>861</v>
      </c>
      <c r="U1419" s="74" t="s">
        <v>6703</v>
      </c>
      <c r="V1419" s="74">
        <v>44586</v>
      </c>
      <c r="W1419" s="74">
        <v>44630</v>
      </c>
      <c r="X1419" s="55">
        <v>10217180</v>
      </c>
      <c r="Y1419" s="55" t="s">
        <v>6704</v>
      </c>
      <c r="AL1419" s="74"/>
      <c r="AM1419" s="74"/>
      <c r="AW1419" s="74"/>
      <c r="AX1419" s="74"/>
    </row>
    <row r="1420" spans="1:50" ht="13" x14ac:dyDescent="0.15">
      <c r="A1420" s="55" t="str">
        <f>HYPERLINK("http://reports.ofsted.gov.uk/inspection-reports/find-inspection-report/provider/CARE/2600978","Ofsted Social Care Provider Webpage")</f>
        <v>Ofsted Social Care Provider Webpage</v>
      </c>
      <c r="B1420" s="55">
        <v>2600978</v>
      </c>
      <c r="D1420" s="55" t="s">
        <v>373</v>
      </c>
      <c r="E1420" s="74">
        <v>44117</v>
      </c>
      <c r="F1420" s="55" t="s">
        <v>344</v>
      </c>
      <c r="G1420" s="55" t="s">
        <v>360</v>
      </c>
      <c r="H1420" s="55" t="s">
        <v>360</v>
      </c>
      <c r="I1420" s="55" t="s">
        <v>360</v>
      </c>
      <c r="J1420" s="55" t="s">
        <v>360</v>
      </c>
      <c r="K1420" s="55" t="s">
        <v>360</v>
      </c>
      <c r="L1420" s="55" t="s">
        <v>360</v>
      </c>
      <c r="M1420" s="55" t="s">
        <v>142</v>
      </c>
      <c r="N1420" s="55" t="s">
        <v>142</v>
      </c>
      <c r="O1420" s="55" t="s">
        <v>262</v>
      </c>
      <c r="P1420" s="55" t="s">
        <v>916</v>
      </c>
      <c r="Q1420" s="55" t="s">
        <v>350</v>
      </c>
      <c r="R1420" s="85">
        <v>4</v>
      </c>
      <c r="S1420" s="55">
        <v>0</v>
      </c>
      <c r="T1420" s="74" t="s">
        <v>861</v>
      </c>
      <c r="U1420" s="74" t="s">
        <v>351</v>
      </c>
      <c r="V1420" s="74">
        <v>44482</v>
      </c>
      <c r="W1420" s="74">
        <v>44537</v>
      </c>
      <c r="X1420" s="55">
        <v>10187294</v>
      </c>
      <c r="Y1420" s="55" t="s">
        <v>130</v>
      </c>
      <c r="AB1420" s="74" t="s">
        <v>130</v>
      </c>
      <c r="AC1420" s="55" t="s">
        <v>130</v>
      </c>
      <c r="AL1420" s="74"/>
      <c r="AM1420" s="74"/>
      <c r="AW1420" s="74"/>
      <c r="AX1420" s="74"/>
    </row>
    <row r="1421" spans="1:50" ht="13" x14ac:dyDescent="0.15">
      <c r="A1421" s="55" t="str">
        <f>HYPERLINK("http://reports.ofsted.gov.uk/inspection-reports/find-inspection-report/provider/CARE/2600978","Ofsted Social Care Provider Webpage")</f>
        <v>Ofsted Social Care Provider Webpage</v>
      </c>
      <c r="B1421" s="55">
        <v>2600978</v>
      </c>
      <c r="D1421" s="55" t="s">
        <v>373</v>
      </c>
      <c r="E1421" s="74">
        <v>44117</v>
      </c>
      <c r="F1421" s="55" t="s">
        <v>344</v>
      </c>
      <c r="G1421" s="55" t="s">
        <v>360</v>
      </c>
      <c r="H1421" s="55" t="s">
        <v>360</v>
      </c>
      <c r="I1421" s="55" t="s">
        <v>360</v>
      </c>
      <c r="J1421" s="55" t="s">
        <v>360</v>
      </c>
      <c r="K1421" s="55" t="s">
        <v>360</v>
      </c>
      <c r="L1421" s="55" t="s">
        <v>360</v>
      </c>
      <c r="M1421" s="55" t="s">
        <v>142</v>
      </c>
      <c r="N1421" s="55" t="s">
        <v>142</v>
      </c>
      <c r="O1421" s="55" t="s">
        <v>262</v>
      </c>
      <c r="P1421" s="55" t="s">
        <v>916</v>
      </c>
      <c r="Q1421" s="55" t="s">
        <v>350</v>
      </c>
      <c r="R1421" s="85">
        <v>4</v>
      </c>
      <c r="S1421" s="55">
        <v>0</v>
      </c>
      <c r="T1421" s="74" t="s">
        <v>861</v>
      </c>
      <c r="U1421" s="74" t="s">
        <v>2053</v>
      </c>
      <c r="V1421" s="74">
        <v>44630</v>
      </c>
      <c r="W1421" s="74">
        <v>44680</v>
      </c>
      <c r="X1421" s="55">
        <v>10221910</v>
      </c>
      <c r="AL1421" s="74"/>
      <c r="AM1421" s="74"/>
      <c r="AW1421" s="74"/>
      <c r="AX1421" s="74"/>
    </row>
    <row r="1422" spans="1:50" ht="13" x14ac:dyDescent="0.15">
      <c r="A1422" s="55" t="str">
        <f>HYPERLINK("http://reports.ofsted.gov.uk/inspection-reports/find-inspection-report/provider/CARE/2601107","Ofsted Social Care Provider Webpage")</f>
        <v>Ofsted Social Care Provider Webpage</v>
      </c>
      <c r="B1422" s="55">
        <v>2601107</v>
      </c>
      <c r="C1422" s="55">
        <v>125453</v>
      </c>
      <c r="D1422" s="55" t="s">
        <v>413</v>
      </c>
      <c r="E1422" s="74">
        <v>44060</v>
      </c>
      <c r="F1422" s="55" t="s">
        <v>344</v>
      </c>
      <c r="G1422" s="55" t="s">
        <v>1939</v>
      </c>
      <c r="H1422" s="55" t="s">
        <v>1940</v>
      </c>
      <c r="I1422" s="55" t="s">
        <v>354</v>
      </c>
      <c r="J1422" s="55" t="s">
        <v>1941</v>
      </c>
      <c r="K1422" s="55" t="s">
        <v>268</v>
      </c>
      <c r="L1422" s="55" t="s">
        <v>1942</v>
      </c>
      <c r="M1422" s="55" t="s">
        <v>150</v>
      </c>
      <c r="N1422" s="55" t="s">
        <v>150</v>
      </c>
      <c r="O1422" s="55" t="s">
        <v>268</v>
      </c>
      <c r="P1422" s="55" t="s">
        <v>1943</v>
      </c>
      <c r="Q1422" s="55" t="s">
        <v>362</v>
      </c>
      <c r="R1422" s="85">
        <v>24</v>
      </c>
      <c r="S1422" s="55">
        <v>0</v>
      </c>
      <c r="T1422" s="74" t="s">
        <v>1944</v>
      </c>
      <c r="U1422" s="74" t="s">
        <v>351</v>
      </c>
      <c r="V1422" s="74">
        <v>44453</v>
      </c>
      <c r="W1422" s="74">
        <v>44488</v>
      </c>
      <c r="X1422" s="55">
        <v>10183601</v>
      </c>
      <c r="Y1422" s="55" t="s">
        <v>132</v>
      </c>
      <c r="AB1422" s="74" t="s">
        <v>132</v>
      </c>
      <c r="AC1422" s="55" t="s">
        <v>132</v>
      </c>
      <c r="AL1422" s="74"/>
      <c r="AM1422" s="74"/>
      <c r="AW1422" s="74"/>
      <c r="AX1422" s="74"/>
    </row>
    <row r="1423" spans="1:50" ht="13" x14ac:dyDescent="0.15">
      <c r="A1423" s="55" t="str">
        <f>HYPERLINK("http://reports.ofsted.gov.uk/inspection-reports/find-inspection-report/provider/CARE/2601137","Ofsted Social Care Provider Webpage")</f>
        <v>Ofsted Social Care Provider Webpage</v>
      </c>
      <c r="B1423" s="55">
        <v>2601137</v>
      </c>
      <c r="D1423" s="55" t="s">
        <v>373</v>
      </c>
      <c r="E1423" s="74">
        <v>44187</v>
      </c>
      <c r="F1423" s="55" t="s">
        <v>344</v>
      </c>
      <c r="G1423" s="55" t="s">
        <v>360</v>
      </c>
      <c r="H1423" s="55" t="s">
        <v>360</v>
      </c>
      <c r="I1423" s="55" t="s">
        <v>360</v>
      </c>
      <c r="J1423" s="55" t="s">
        <v>360</v>
      </c>
      <c r="K1423" s="55" t="s">
        <v>360</v>
      </c>
      <c r="L1423" s="55" t="s">
        <v>360</v>
      </c>
      <c r="M1423" s="55" t="s">
        <v>172</v>
      </c>
      <c r="N1423" s="55" t="s">
        <v>172</v>
      </c>
      <c r="O1423" s="55" t="s">
        <v>173</v>
      </c>
      <c r="P1423" s="55" t="s">
        <v>961</v>
      </c>
      <c r="Q1423" s="55" t="s">
        <v>350</v>
      </c>
      <c r="R1423" s="85">
        <v>2</v>
      </c>
      <c r="S1423" s="55">
        <v>0</v>
      </c>
      <c r="T1423" s="74" t="s">
        <v>1704</v>
      </c>
      <c r="U1423" s="74" t="s">
        <v>351</v>
      </c>
      <c r="V1423" s="74">
        <v>44445</v>
      </c>
      <c r="W1423" s="74">
        <v>44481</v>
      </c>
      <c r="X1423" s="55">
        <v>10185922</v>
      </c>
      <c r="Y1423" s="55" t="s">
        <v>130</v>
      </c>
      <c r="AB1423" s="74" t="s">
        <v>130</v>
      </c>
      <c r="AC1423" s="55" t="s">
        <v>130</v>
      </c>
      <c r="AL1423" s="74"/>
      <c r="AM1423" s="74"/>
    </row>
    <row r="1424" spans="1:50" ht="13" x14ac:dyDescent="0.15">
      <c r="A1424" s="55" t="str">
        <f>HYPERLINK("http://reports.ofsted.gov.uk/inspection-reports/find-inspection-report/provider/CARE/2602142","Ofsted Social Care Provider Webpage")</f>
        <v>Ofsted Social Care Provider Webpage</v>
      </c>
      <c r="B1424" s="55">
        <v>2602142</v>
      </c>
      <c r="D1424" s="55" t="s">
        <v>373</v>
      </c>
      <c r="E1424" s="74">
        <v>44069</v>
      </c>
      <c r="F1424" s="55" t="s">
        <v>344</v>
      </c>
      <c r="G1424" s="55" t="s">
        <v>360</v>
      </c>
      <c r="H1424" s="55" t="s">
        <v>360</v>
      </c>
      <c r="I1424" s="55" t="s">
        <v>360</v>
      </c>
      <c r="J1424" s="55" t="s">
        <v>360</v>
      </c>
      <c r="K1424" s="55" t="s">
        <v>360</v>
      </c>
      <c r="L1424" s="55" t="s">
        <v>360</v>
      </c>
      <c r="M1424" s="55" t="s">
        <v>378</v>
      </c>
      <c r="N1424" s="55" t="s">
        <v>170</v>
      </c>
      <c r="O1424" s="55" t="s">
        <v>231</v>
      </c>
      <c r="P1424" s="55" t="s">
        <v>231</v>
      </c>
      <c r="Q1424" s="55" t="s">
        <v>380</v>
      </c>
      <c r="R1424" s="85">
        <v>1</v>
      </c>
      <c r="S1424" s="55">
        <v>0</v>
      </c>
      <c r="T1424" s="74" t="s">
        <v>1945</v>
      </c>
      <c r="U1424" s="74" t="s">
        <v>351</v>
      </c>
      <c r="V1424" s="74">
        <v>44530</v>
      </c>
      <c r="W1424" s="74">
        <v>44575</v>
      </c>
      <c r="X1424" s="55">
        <v>10185236</v>
      </c>
      <c r="Y1424" s="55" t="s">
        <v>132</v>
      </c>
      <c r="AB1424" s="74" t="s">
        <v>130</v>
      </c>
      <c r="AC1424" s="55" t="s">
        <v>130</v>
      </c>
      <c r="AL1424" s="74"/>
      <c r="AM1424" s="74"/>
    </row>
    <row r="1425" spans="1:50" ht="13" x14ac:dyDescent="0.15">
      <c r="A1425" s="55" t="str">
        <f>HYPERLINK("http://reports.ofsted.gov.uk/inspection-reports/find-inspection-report/provider/CARE/2602558","Ofsted Social Care Provider Webpage")</f>
        <v>Ofsted Social Care Provider Webpage</v>
      </c>
      <c r="B1425" s="55">
        <v>2602558</v>
      </c>
      <c r="D1425" s="55" t="s">
        <v>373</v>
      </c>
      <c r="E1425" s="74">
        <v>44152</v>
      </c>
      <c r="F1425" s="55" t="s">
        <v>344</v>
      </c>
      <c r="G1425" s="55" t="s">
        <v>360</v>
      </c>
      <c r="H1425" s="55" t="s">
        <v>360</v>
      </c>
      <c r="I1425" s="55" t="s">
        <v>360</v>
      </c>
      <c r="J1425" s="55" t="s">
        <v>360</v>
      </c>
      <c r="K1425" s="55" t="s">
        <v>360</v>
      </c>
      <c r="L1425" s="55" t="s">
        <v>360</v>
      </c>
      <c r="M1425" s="55" t="s">
        <v>378</v>
      </c>
      <c r="N1425" s="55" t="s">
        <v>170</v>
      </c>
      <c r="O1425" s="55" t="s">
        <v>184</v>
      </c>
      <c r="P1425" s="55" t="s">
        <v>184</v>
      </c>
      <c r="Q1425" s="55" t="s">
        <v>350</v>
      </c>
      <c r="R1425" s="85">
        <v>7</v>
      </c>
      <c r="S1425" s="55">
        <v>0</v>
      </c>
      <c r="T1425" s="74" t="s">
        <v>1946</v>
      </c>
      <c r="U1425" s="74" t="s">
        <v>351</v>
      </c>
      <c r="V1425" s="74">
        <v>44453</v>
      </c>
      <c r="W1425" s="74">
        <v>44481</v>
      </c>
      <c r="X1425" s="55">
        <v>10191914</v>
      </c>
      <c r="Y1425" s="55" t="s">
        <v>130</v>
      </c>
      <c r="AB1425" s="74" t="s">
        <v>130</v>
      </c>
      <c r="AC1425" s="55" t="s">
        <v>130</v>
      </c>
      <c r="AL1425" s="74"/>
      <c r="AM1425" s="74"/>
    </row>
    <row r="1426" spans="1:50" ht="13" x14ac:dyDescent="0.15">
      <c r="A1426" s="55" t="str">
        <f>HYPERLINK("http://reports.ofsted.gov.uk/inspection-reports/find-inspection-report/provider/CARE/2602558","Ofsted Social Care Provider Webpage")</f>
        <v>Ofsted Social Care Provider Webpage</v>
      </c>
      <c r="B1426" s="55">
        <v>2602558</v>
      </c>
      <c r="D1426" s="55" t="s">
        <v>373</v>
      </c>
      <c r="E1426" s="74">
        <v>44152</v>
      </c>
      <c r="F1426" s="55" t="s">
        <v>344</v>
      </c>
      <c r="G1426" s="55" t="s">
        <v>360</v>
      </c>
      <c r="H1426" s="55" t="s">
        <v>360</v>
      </c>
      <c r="I1426" s="55" t="s">
        <v>360</v>
      </c>
      <c r="J1426" s="55" t="s">
        <v>360</v>
      </c>
      <c r="K1426" s="55" t="s">
        <v>360</v>
      </c>
      <c r="L1426" s="55" t="s">
        <v>360</v>
      </c>
      <c r="M1426" s="55" t="s">
        <v>378</v>
      </c>
      <c r="N1426" s="55" t="s">
        <v>170</v>
      </c>
      <c r="O1426" s="55" t="s">
        <v>184</v>
      </c>
      <c r="P1426" s="55" t="s">
        <v>184</v>
      </c>
      <c r="Q1426" s="55" t="s">
        <v>350</v>
      </c>
      <c r="R1426" s="85">
        <v>7</v>
      </c>
      <c r="S1426" s="55">
        <v>0</v>
      </c>
      <c r="T1426" s="74" t="s">
        <v>1946</v>
      </c>
      <c r="U1426" s="74" t="s">
        <v>6703</v>
      </c>
      <c r="V1426" s="74">
        <v>44566</v>
      </c>
      <c r="W1426" s="74">
        <v>44594</v>
      </c>
      <c r="X1426" s="55">
        <v>10209358</v>
      </c>
      <c r="Y1426" s="55" t="s">
        <v>6706</v>
      </c>
      <c r="AL1426" s="74"/>
      <c r="AM1426" s="74"/>
    </row>
    <row r="1427" spans="1:50" ht="13" x14ac:dyDescent="0.15">
      <c r="A1427" s="55" t="str">
        <f>HYPERLINK("http://reports.ofsted.gov.uk/inspection-reports/find-inspection-report/provider/CARE/2602558","Ofsted Social Care Provider Webpage")</f>
        <v>Ofsted Social Care Provider Webpage</v>
      </c>
      <c r="B1427" s="55">
        <v>2602558</v>
      </c>
      <c r="D1427" s="55" t="s">
        <v>373</v>
      </c>
      <c r="E1427" s="74">
        <v>44152</v>
      </c>
      <c r="F1427" s="55" t="s">
        <v>344</v>
      </c>
      <c r="G1427" s="55" t="s">
        <v>360</v>
      </c>
      <c r="H1427" s="55" t="s">
        <v>360</v>
      </c>
      <c r="I1427" s="55" t="s">
        <v>360</v>
      </c>
      <c r="J1427" s="55" t="s">
        <v>360</v>
      </c>
      <c r="K1427" s="55" t="s">
        <v>360</v>
      </c>
      <c r="L1427" s="55" t="s">
        <v>360</v>
      </c>
      <c r="M1427" s="55" t="s">
        <v>378</v>
      </c>
      <c r="N1427" s="55" t="s">
        <v>170</v>
      </c>
      <c r="O1427" s="55" t="s">
        <v>184</v>
      </c>
      <c r="P1427" s="55" t="s">
        <v>184</v>
      </c>
      <c r="Q1427" s="55" t="s">
        <v>350</v>
      </c>
      <c r="R1427" s="85">
        <v>7</v>
      </c>
      <c r="S1427" s="55">
        <v>0</v>
      </c>
      <c r="T1427" s="74" t="s">
        <v>1946</v>
      </c>
      <c r="U1427" s="74" t="s">
        <v>2053</v>
      </c>
      <c r="V1427" s="74">
        <v>44299</v>
      </c>
      <c r="W1427" s="74">
        <v>44327</v>
      </c>
      <c r="X1427" s="55">
        <v>10188160</v>
      </c>
      <c r="AL1427" s="74"/>
      <c r="AM1427" s="74"/>
    </row>
    <row r="1428" spans="1:50" ht="13" x14ac:dyDescent="0.15">
      <c r="A1428" s="55" t="str">
        <f>HYPERLINK("http://reports.ofsted.gov.uk/inspection-reports/find-inspection-report/provider/CARE/2602558","Ofsted Social Care Provider Webpage")</f>
        <v>Ofsted Social Care Provider Webpage</v>
      </c>
      <c r="B1428" s="55">
        <v>2602558</v>
      </c>
      <c r="D1428" s="55" t="s">
        <v>373</v>
      </c>
      <c r="E1428" s="74">
        <v>44152</v>
      </c>
      <c r="F1428" s="55" t="s">
        <v>344</v>
      </c>
      <c r="G1428" s="55" t="s">
        <v>360</v>
      </c>
      <c r="H1428" s="55" t="s">
        <v>360</v>
      </c>
      <c r="I1428" s="55" t="s">
        <v>360</v>
      </c>
      <c r="J1428" s="55" t="s">
        <v>360</v>
      </c>
      <c r="K1428" s="55" t="s">
        <v>360</v>
      </c>
      <c r="L1428" s="55" t="s">
        <v>360</v>
      </c>
      <c r="M1428" s="55" t="s">
        <v>378</v>
      </c>
      <c r="N1428" s="55" t="s">
        <v>170</v>
      </c>
      <c r="O1428" s="55" t="s">
        <v>184</v>
      </c>
      <c r="P1428" s="55" t="s">
        <v>184</v>
      </c>
      <c r="Q1428" s="55" t="s">
        <v>350</v>
      </c>
      <c r="R1428" s="85">
        <v>7</v>
      </c>
      <c r="S1428" s="55">
        <v>0</v>
      </c>
      <c r="T1428" s="74" t="s">
        <v>1946</v>
      </c>
      <c r="U1428" s="74" t="s">
        <v>2053</v>
      </c>
      <c r="V1428" s="74">
        <v>44335</v>
      </c>
      <c r="W1428" s="74">
        <v>44368</v>
      </c>
      <c r="X1428" s="55">
        <v>10192807</v>
      </c>
      <c r="AL1428" s="74"/>
      <c r="AM1428" s="74"/>
      <c r="AW1428" s="74"/>
      <c r="AX1428" s="74"/>
    </row>
    <row r="1429" spans="1:50" ht="13" x14ac:dyDescent="0.15">
      <c r="A1429" s="55" t="str">
        <f>HYPERLINK("http://reports.ofsted.gov.uk/inspection-reports/find-inspection-report/provider/CARE/2602585","Ofsted Social Care Provider Webpage")</f>
        <v>Ofsted Social Care Provider Webpage</v>
      </c>
      <c r="B1429" s="55">
        <v>2602585</v>
      </c>
      <c r="D1429" s="55" t="s">
        <v>373</v>
      </c>
      <c r="E1429" s="74">
        <v>44092</v>
      </c>
      <c r="F1429" s="55" t="s">
        <v>344</v>
      </c>
      <c r="G1429" s="55" t="s">
        <v>360</v>
      </c>
      <c r="H1429" s="55" t="s">
        <v>360</v>
      </c>
      <c r="I1429" s="55" t="s">
        <v>360</v>
      </c>
      <c r="J1429" s="55" t="s">
        <v>360</v>
      </c>
      <c r="K1429" s="55" t="s">
        <v>360</v>
      </c>
      <c r="L1429" s="55" t="s">
        <v>360</v>
      </c>
      <c r="M1429" s="55" t="s">
        <v>144</v>
      </c>
      <c r="N1429" s="55" t="s">
        <v>144</v>
      </c>
      <c r="O1429" s="55" t="s">
        <v>209</v>
      </c>
      <c r="P1429" s="55" t="s">
        <v>561</v>
      </c>
      <c r="Q1429" s="55" t="s">
        <v>350</v>
      </c>
      <c r="R1429" s="85">
        <v>3</v>
      </c>
      <c r="S1429" s="55">
        <v>0</v>
      </c>
      <c r="T1429" s="74" t="s">
        <v>490</v>
      </c>
      <c r="U1429" s="74" t="s">
        <v>351</v>
      </c>
      <c r="V1429" s="74">
        <v>44466</v>
      </c>
      <c r="W1429" s="74">
        <v>44498</v>
      </c>
      <c r="X1429" s="55">
        <v>10187056</v>
      </c>
      <c r="Y1429" s="55" t="s">
        <v>132</v>
      </c>
      <c r="AB1429" s="74" t="s">
        <v>132</v>
      </c>
      <c r="AC1429" s="55" t="s">
        <v>132</v>
      </c>
      <c r="AL1429" s="74"/>
      <c r="AM1429" s="74"/>
    </row>
    <row r="1430" spans="1:50" ht="13" x14ac:dyDescent="0.15">
      <c r="A1430" s="55" t="str">
        <f>HYPERLINK("http://reports.ofsted.gov.uk/inspection-reports/find-inspection-report/provider/CARE/2602813","Ofsted Social Care Provider Webpage")</f>
        <v>Ofsted Social Care Provider Webpage</v>
      </c>
      <c r="B1430" s="55">
        <v>2602813</v>
      </c>
      <c r="D1430" s="55" t="s">
        <v>373</v>
      </c>
      <c r="E1430" s="74">
        <v>44179</v>
      </c>
      <c r="F1430" s="55" t="s">
        <v>344</v>
      </c>
      <c r="G1430" s="55" t="s">
        <v>360</v>
      </c>
      <c r="H1430" s="55" t="s">
        <v>360</v>
      </c>
      <c r="I1430" s="55" t="s">
        <v>360</v>
      </c>
      <c r="J1430" s="55" t="s">
        <v>360</v>
      </c>
      <c r="K1430" s="55" t="s">
        <v>360</v>
      </c>
      <c r="L1430" s="55" t="s">
        <v>360</v>
      </c>
      <c r="M1430" s="55" t="s">
        <v>378</v>
      </c>
      <c r="N1430" s="55" t="s">
        <v>134</v>
      </c>
      <c r="O1430" s="55" t="s">
        <v>277</v>
      </c>
      <c r="P1430" s="55" t="s">
        <v>1362</v>
      </c>
      <c r="Q1430" s="55" t="s">
        <v>350</v>
      </c>
      <c r="R1430" s="85">
        <v>3</v>
      </c>
      <c r="S1430" s="55">
        <v>0</v>
      </c>
      <c r="T1430" s="74" t="s">
        <v>1947</v>
      </c>
      <c r="U1430" s="74" t="s">
        <v>351</v>
      </c>
      <c r="V1430" s="74">
        <v>44503</v>
      </c>
      <c r="W1430" s="74">
        <v>44539</v>
      </c>
      <c r="X1430" s="55">
        <v>10185442</v>
      </c>
      <c r="Y1430" s="55" t="s">
        <v>132</v>
      </c>
      <c r="AB1430" s="74" t="s">
        <v>132</v>
      </c>
      <c r="AC1430" s="55" t="s">
        <v>132</v>
      </c>
      <c r="AL1430" s="74"/>
      <c r="AM1430" s="74"/>
      <c r="AW1430" s="74"/>
      <c r="AX1430" s="74"/>
    </row>
    <row r="1431" spans="1:50" ht="13" x14ac:dyDescent="0.15">
      <c r="A1431" s="55" t="str">
        <f>HYPERLINK("http://reports.ofsted.gov.uk/inspection-reports/find-inspection-report/provider/CARE/2602980","Ofsted Social Care Provider Webpage")</f>
        <v>Ofsted Social Care Provider Webpage</v>
      </c>
      <c r="B1431" s="55">
        <v>2602980</v>
      </c>
      <c r="D1431" s="55" t="s">
        <v>373</v>
      </c>
      <c r="E1431" s="74">
        <v>44077</v>
      </c>
      <c r="F1431" s="55" t="s">
        <v>344</v>
      </c>
      <c r="G1431" s="55" t="s">
        <v>360</v>
      </c>
      <c r="H1431" s="55" t="s">
        <v>360</v>
      </c>
      <c r="I1431" s="55" t="s">
        <v>360</v>
      </c>
      <c r="J1431" s="55" t="s">
        <v>360</v>
      </c>
      <c r="K1431" s="55" t="s">
        <v>360</v>
      </c>
      <c r="L1431" s="55" t="s">
        <v>360</v>
      </c>
      <c r="M1431" s="55" t="s">
        <v>138</v>
      </c>
      <c r="N1431" s="55" t="s">
        <v>138</v>
      </c>
      <c r="O1431" s="55" t="s">
        <v>159</v>
      </c>
      <c r="P1431" s="55" t="s">
        <v>1073</v>
      </c>
      <c r="Q1431" s="55" t="s">
        <v>380</v>
      </c>
      <c r="R1431" s="85">
        <v>5</v>
      </c>
      <c r="S1431" s="55">
        <v>0</v>
      </c>
      <c r="T1431" s="74" t="s">
        <v>1948</v>
      </c>
      <c r="U1431" s="74" t="s">
        <v>6703</v>
      </c>
      <c r="V1431" s="74">
        <v>44551</v>
      </c>
      <c r="W1431" s="74">
        <v>44589</v>
      </c>
      <c r="X1431" s="55">
        <v>10210196</v>
      </c>
      <c r="Y1431" s="55" t="s">
        <v>6705</v>
      </c>
      <c r="AL1431" s="74"/>
      <c r="AM1431" s="74"/>
      <c r="AW1431" s="74"/>
      <c r="AX1431" s="74"/>
    </row>
    <row r="1432" spans="1:50" ht="13" x14ac:dyDescent="0.15">
      <c r="A1432" s="55" t="str">
        <f>HYPERLINK("http://reports.ofsted.gov.uk/inspection-reports/find-inspection-report/provider/CARE/2602980","Ofsted Social Care Provider Webpage")</f>
        <v>Ofsted Social Care Provider Webpage</v>
      </c>
      <c r="B1432" s="55">
        <v>2602980</v>
      </c>
      <c r="D1432" s="55" t="s">
        <v>373</v>
      </c>
      <c r="E1432" s="74">
        <v>44077</v>
      </c>
      <c r="F1432" s="55" t="s">
        <v>344</v>
      </c>
      <c r="G1432" s="55" t="s">
        <v>360</v>
      </c>
      <c r="H1432" s="55" t="s">
        <v>360</v>
      </c>
      <c r="I1432" s="55" t="s">
        <v>360</v>
      </c>
      <c r="J1432" s="55" t="s">
        <v>360</v>
      </c>
      <c r="K1432" s="55" t="s">
        <v>360</v>
      </c>
      <c r="L1432" s="55" t="s">
        <v>360</v>
      </c>
      <c r="M1432" s="55" t="s">
        <v>138</v>
      </c>
      <c r="N1432" s="55" t="s">
        <v>138</v>
      </c>
      <c r="O1432" s="55" t="s">
        <v>159</v>
      </c>
      <c r="P1432" s="55" t="s">
        <v>1073</v>
      </c>
      <c r="Q1432" s="55" t="s">
        <v>380</v>
      </c>
      <c r="R1432" s="85">
        <v>5</v>
      </c>
      <c r="S1432" s="55">
        <v>0</v>
      </c>
      <c r="T1432" s="74" t="s">
        <v>1948</v>
      </c>
      <c r="U1432" s="74" t="s">
        <v>351</v>
      </c>
      <c r="V1432" s="74">
        <v>44431</v>
      </c>
      <c r="W1432" s="74">
        <v>44461</v>
      </c>
      <c r="X1432" s="55">
        <v>10185927</v>
      </c>
      <c r="Y1432" s="55" t="s">
        <v>130</v>
      </c>
      <c r="AB1432" s="74" t="s">
        <v>130</v>
      </c>
      <c r="AC1432" s="55" t="s">
        <v>130</v>
      </c>
      <c r="AL1432" s="74"/>
      <c r="AM1432" s="74"/>
    </row>
    <row r="1433" spans="1:50" ht="13" x14ac:dyDescent="0.15">
      <c r="A1433" s="55" t="str">
        <f>HYPERLINK("http://reports.ofsted.gov.uk/inspection-reports/find-inspection-report/provider/CARE/2603286","Ofsted Social Care Provider Webpage")</f>
        <v>Ofsted Social Care Provider Webpage</v>
      </c>
      <c r="B1433" s="55">
        <v>2603286</v>
      </c>
      <c r="D1433" s="55" t="s">
        <v>373</v>
      </c>
      <c r="E1433" s="74">
        <v>44173</v>
      </c>
      <c r="F1433" s="55" t="s">
        <v>344</v>
      </c>
      <c r="G1433" s="55" t="s">
        <v>360</v>
      </c>
      <c r="H1433" s="55" t="s">
        <v>360</v>
      </c>
      <c r="I1433" s="55" t="s">
        <v>360</v>
      </c>
      <c r="J1433" s="55" t="s">
        <v>360</v>
      </c>
      <c r="K1433" s="55" t="s">
        <v>360</v>
      </c>
      <c r="L1433" s="55" t="s">
        <v>360</v>
      </c>
      <c r="M1433" s="55" t="s">
        <v>172</v>
      </c>
      <c r="N1433" s="55" t="s">
        <v>172</v>
      </c>
      <c r="O1433" s="55" t="s">
        <v>212</v>
      </c>
      <c r="P1433" s="55" t="s">
        <v>592</v>
      </c>
      <c r="Q1433" s="55" t="s">
        <v>350</v>
      </c>
      <c r="R1433" s="85">
        <v>4</v>
      </c>
      <c r="S1433" s="55">
        <v>0</v>
      </c>
      <c r="T1433" s="74" t="s">
        <v>493</v>
      </c>
      <c r="U1433" s="74" t="s">
        <v>351</v>
      </c>
      <c r="V1433" s="74">
        <v>44467</v>
      </c>
      <c r="W1433" s="74">
        <v>44515</v>
      </c>
      <c r="X1433" s="55">
        <v>10187204</v>
      </c>
      <c r="Y1433" s="55" t="s">
        <v>132</v>
      </c>
      <c r="AB1433" s="74" t="s">
        <v>132</v>
      </c>
      <c r="AC1433" s="55" t="s">
        <v>132</v>
      </c>
      <c r="AL1433" s="74"/>
      <c r="AM1433" s="74"/>
      <c r="AW1433" s="74"/>
      <c r="AX1433" s="74"/>
    </row>
    <row r="1434" spans="1:50" ht="13" x14ac:dyDescent="0.15">
      <c r="A1434" s="55" t="str">
        <f>HYPERLINK("http://reports.ofsted.gov.uk/inspection-reports/find-inspection-report/provider/CARE/2603668","Ofsted Social Care Provider Webpage")</f>
        <v>Ofsted Social Care Provider Webpage</v>
      </c>
      <c r="B1434" s="55">
        <v>2603668</v>
      </c>
      <c r="D1434" s="55" t="s">
        <v>373</v>
      </c>
      <c r="E1434" s="74">
        <v>44077</v>
      </c>
      <c r="F1434" s="55" t="s">
        <v>344</v>
      </c>
      <c r="G1434" s="55" t="s">
        <v>360</v>
      </c>
      <c r="H1434" s="55" t="s">
        <v>360</v>
      </c>
      <c r="I1434" s="55" t="s">
        <v>360</v>
      </c>
      <c r="J1434" s="55" t="s">
        <v>360</v>
      </c>
      <c r="K1434" s="55" t="s">
        <v>360</v>
      </c>
      <c r="L1434" s="55" t="s">
        <v>360</v>
      </c>
      <c r="M1434" s="55" t="s">
        <v>138</v>
      </c>
      <c r="N1434" s="55" t="s">
        <v>138</v>
      </c>
      <c r="O1434" s="55" t="s">
        <v>159</v>
      </c>
      <c r="P1434" s="55" t="s">
        <v>633</v>
      </c>
      <c r="Q1434" s="55" t="s">
        <v>380</v>
      </c>
      <c r="R1434" s="85">
        <v>4</v>
      </c>
      <c r="S1434" s="55">
        <v>0</v>
      </c>
      <c r="T1434" s="74" t="s">
        <v>1948</v>
      </c>
      <c r="U1434" s="74" t="s">
        <v>6703</v>
      </c>
      <c r="V1434" s="74">
        <v>44600</v>
      </c>
      <c r="W1434" s="74">
        <v>44635</v>
      </c>
      <c r="X1434" s="55">
        <v>10205274</v>
      </c>
      <c r="Y1434" s="55" t="s">
        <v>6706</v>
      </c>
      <c r="AL1434" s="74"/>
      <c r="AM1434" s="74"/>
      <c r="AW1434" s="74"/>
      <c r="AX1434" s="74"/>
    </row>
    <row r="1435" spans="1:50" ht="13" x14ac:dyDescent="0.15">
      <c r="A1435" s="55" t="str">
        <f>HYPERLINK("http://reports.ofsted.gov.uk/inspection-reports/find-inspection-report/provider/CARE/2603668","Ofsted Social Care Provider Webpage")</f>
        <v>Ofsted Social Care Provider Webpage</v>
      </c>
      <c r="B1435" s="55">
        <v>2603668</v>
      </c>
      <c r="D1435" s="55" t="s">
        <v>373</v>
      </c>
      <c r="E1435" s="74">
        <v>44077</v>
      </c>
      <c r="F1435" s="55" t="s">
        <v>344</v>
      </c>
      <c r="G1435" s="55" t="s">
        <v>360</v>
      </c>
      <c r="H1435" s="55" t="s">
        <v>360</v>
      </c>
      <c r="I1435" s="55" t="s">
        <v>360</v>
      </c>
      <c r="J1435" s="55" t="s">
        <v>360</v>
      </c>
      <c r="K1435" s="55" t="s">
        <v>360</v>
      </c>
      <c r="L1435" s="55" t="s">
        <v>360</v>
      </c>
      <c r="M1435" s="55" t="s">
        <v>138</v>
      </c>
      <c r="N1435" s="55" t="s">
        <v>138</v>
      </c>
      <c r="O1435" s="55" t="s">
        <v>159</v>
      </c>
      <c r="P1435" s="55" t="s">
        <v>633</v>
      </c>
      <c r="Q1435" s="55" t="s">
        <v>380</v>
      </c>
      <c r="R1435" s="85">
        <v>4</v>
      </c>
      <c r="S1435" s="55">
        <v>0</v>
      </c>
      <c r="T1435" s="74" t="s">
        <v>1948</v>
      </c>
      <c r="U1435" s="74" t="s">
        <v>351</v>
      </c>
      <c r="V1435" s="74">
        <v>44341</v>
      </c>
      <c r="W1435" s="74">
        <v>44365</v>
      </c>
      <c r="X1435" s="55">
        <v>10186274</v>
      </c>
      <c r="Y1435" s="55" t="s">
        <v>130</v>
      </c>
      <c r="AB1435" s="74" t="s">
        <v>130</v>
      </c>
      <c r="AC1435" s="55" t="s">
        <v>130</v>
      </c>
      <c r="AL1435" s="74"/>
      <c r="AM1435" s="74"/>
    </row>
    <row r="1436" spans="1:50" ht="13" x14ac:dyDescent="0.15">
      <c r="A1436" s="55" t="str">
        <f>HYPERLINK("http://reports.ofsted.gov.uk/inspection-reports/find-inspection-report/provider/CARE/2603750","Ofsted Social Care Provider Webpage")</f>
        <v>Ofsted Social Care Provider Webpage</v>
      </c>
      <c r="B1436" s="55">
        <v>2603750</v>
      </c>
      <c r="D1436" s="55" t="s">
        <v>373</v>
      </c>
      <c r="E1436" s="74">
        <v>44407</v>
      </c>
      <c r="F1436" s="55" t="s">
        <v>344</v>
      </c>
      <c r="G1436" s="55" t="s">
        <v>360</v>
      </c>
      <c r="H1436" s="55" t="s">
        <v>360</v>
      </c>
      <c r="I1436" s="55" t="s">
        <v>360</v>
      </c>
      <c r="J1436" s="55" t="s">
        <v>360</v>
      </c>
      <c r="K1436" s="55" t="s">
        <v>360</v>
      </c>
      <c r="L1436" s="55" t="s">
        <v>360</v>
      </c>
      <c r="M1436" s="55" t="s">
        <v>142</v>
      </c>
      <c r="N1436" s="55" t="s">
        <v>142</v>
      </c>
      <c r="O1436" s="55" t="s">
        <v>292</v>
      </c>
      <c r="P1436" s="55" t="s">
        <v>1162</v>
      </c>
      <c r="Q1436" s="55" t="s">
        <v>350</v>
      </c>
      <c r="R1436" s="85">
        <v>3</v>
      </c>
      <c r="S1436" s="55">
        <v>0</v>
      </c>
      <c r="T1436" s="74" t="s">
        <v>1949</v>
      </c>
      <c r="U1436" s="74" t="s">
        <v>351</v>
      </c>
      <c r="V1436" s="74">
        <v>44615</v>
      </c>
      <c r="W1436" s="74">
        <v>44656</v>
      </c>
      <c r="X1436" s="55">
        <v>10204102</v>
      </c>
      <c r="Y1436" s="55" t="s">
        <v>130</v>
      </c>
      <c r="AB1436" s="74" t="s">
        <v>130</v>
      </c>
      <c r="AC1436" s="55" t="s">
        <v>130</v>
      </c>
      <c r="AL1436" s="74"/>
      <c r="AM1436" s="74"/>
      <c r="AW1436" s="74"/>
      <c r="AX1436" s="74"/>
    </row>
    <row r="1437" spans="1:50" ht="13" x14ac:dyDescent="0.15">
      <c r="A1437" s="55" t="str">
        <f>HYPERLINK("http://reports.ofsted.gov.uk/inspection-reports/find-inspection-report/provider/CARE/2604035","Ofsted Social Care Provider Webpage")</f>
        <v>Ofsted Social Care Provider Webpage</v>
      </c>
      <c r="B1437" s="55">
        <v>2604035</v>
      </c>
      <c r="D1437" s="55" t="s">
        <v>373</v>
      </c>
      <c r="E1437" s="74">
        <v>44155</v>
      </c>
      <c r="F1437" s="55" t="s">
        <v>344</v>
      </c>
      <c r="G1437" s="55" t="s">
        <v>360</v>
      </c>
      <c r="H1437" s="55" t="s">
        <v>360</v>
      </c>
      <c r="I1437" s="55" t="s">
        <v>360</v>
      </c>
      <c r="J1437" s="55" t="s">
        <v>360</v>
      </c>
      <c r="K1437" s="55" t="s">
        <v>360</v>
      </c>
      <c r="L1437" s="55" t="s">
        <v>360</v>
      </c>
      <c r="M1437" s="55" t="s">
        <v>378</v>
      </c>
      <c r="N1437" s="55" t="s">
        <v>134</v>
      </c>
      <c r="O1437" s="55" t="s">
        <v>210</v>
      </c>
      <c r="P1437" s="55" t="s">
        <v>1950</v>
      </c>
      <c r="Q1437" s="55" t="s">
        <v>350</v>
      </c>
      <c r="R1437" s="85">
        <v>3</v>
      </c>
      <c r="S1437" s="55">
        <v>0</v>
      </c>
      <c r="T1437" s="74" t="s">
        <v>493</v>
      </c>
      <c r="U1437" s="74" t="s">
        <v>351</v>
      </c>
      <c r="V1437" s="74">
        <v>44460</v>
      </c>
      <c r="W1437" s="74">
        <v>44504</v>
      </c>
      <c r="X1437" s="55">
        <v>10185171</v>
      </c>
      <c r="Y1437" s="55" t="s">
        <v>132</v>
      </c>
      <c r="AB1437" s="74" t="s">
        <v>132</v>
      </c>
      <c r="AC1437" s="55" t="s">
        <v>130</v>
      </c>
      <c r="AL1437" s="74"/>
      <c r="AM1437" s="74"/>
      <c r="AW1437" s="74"/>
      <c r="AX1437" s="74"/>
    </row>
    <row r="1438" spans="1:50" ht="13" x14ac:dyDescent="0.15">
      <c r="A1438" s="55" t="str">
        <f>HYPERLINK("http://reports.ofsted.gov.uk/inspection-reports/find-inspection-report/provider/CARE/2604092","Ofsted Social Care Provider Webpage")</f>
        <v>Ofsted Social Care Provider Webpage</v>
      </c>
      <c r="B1438" s="55">
        <v>2604092</v>
      </c>
      <c r="D1438" s="55" t="s">
        <v>373</v>
      </c>
      <c r="E1438" s="74">
        <v>44119</v>
      </c>
      <c r="F1438" s="55" t="s">
        <v>344</v>
      </c>
      <c r="G1438" s="55" t="s">
        <v>360</v>
      </c>
      <c r="H1438" s="55" t="s">
        <v>360</v>
      </c>
      <c r="I1438" s="55" t="s">
        <v>360</v>
      </c>
      <c r="J1438" s="55" t="s">
        <v>360</v>
      </c>
      <c r="K1438" s="55" t="s">
        <v>360</v>
      </c>
      <c r="L1438" s="55" t="s">
        <v>360</v>
      </c>
      <c r="M1438" s="55" t="s">
        <v>136</v>
      </c>
      <c r="N1438" s="55" t="s">
        <v>136</v>
      </c>
      <c r="O1438" s="55" t="s">
        <v>239</v>
      </c>
      <c r="P1438" s="55" t="s">
        <v>964</v>
      </c>
      <c r="Q1438" s="55" t="s">
        <v>350</v>
      </c>
      <c r="R1438" s="85">
        <v>2</v>
      </c>
      <c r="S1438" s="55">
        <v>0</v>
      </c>
      <c r="T1438" s="74" t="s">
        <v>721</v>
      </c>
      <c r="U1438" s="74" t="s">
        <v>351</v>
      </c>
      <c r="V1438" s="74">
        <v>44509</v>
      </c>
      <c r="W1438" s="74">
        <v>44545</v>
      </c>
      <c r="X1438" s="55">
        <v>10186765</v>
      </c>
      <c r="Y1438" s="55" t="s">
        <v>146</v>
      </c>
      <c r="AB1438" s="74" t="s">
        <v>146</v>
      </c>
      <c r="AC1438" s="55" t="s">
        <v>146</v>
      </c>
      <c r="AL1438" s="74"/>
      <c r="AM1438" s="74"/>
      <c r="AW1438" s="74"/>
      <c r="AX1438" s="74"/>
    </row>
    <row r="1439" spans="1:50" ht="13" x14ac:dyDescent="0.15">
      <c r="A1439" s="55" t="str">
        <f>HYPERLINK("http://reports.ofsted.gov.uk/inspection-reports/find-inspection-report/provider/CARE/2604750","Ofsted Social Care Provider Webpage")</f>
        <v>Ofsted Social Care Provider Webpage</v>
      </c>
      <c r="B1439" s="55">
        <v>2604750</v>
      </c>
      <c r="D1439" s="55" t="s">
        <v>373</v>
      </c>
      <c r="E1439" s="74">
        <v>44113</v>
      </c>
      <c r="F1439" s="55" t="s">
        <v>344</v>
      </c>
      <c r="G1439" s="55" t="s">
        <v>360</v>
      </c>
      <c r="H1439" s="55" t="s">
        <v>360</v>
      </c>
      <c r="I1439" s="55" t="s">
        <v>360</v>
      </c>
      <c r="J1439" s="55" t="s">
        <v>360</v>
      </c>
      <c r="K1439" s="55" t="s">
        <v>360</v>
      </c>
      <c r="L1439" s="55" t="s">
        <v>360</v>
      </c>
      <c r="M1439" s="55" t="s">
        <v>129</v>
      </c>
      <c r="N1439" s="55" t="s">
        <v>129</v>
      </c>
      <c r="O1439" s="55" t="s">
        <v>269</v>
      </c>
      <c r="P1439" s="55" t="s">
        <v>1951</v>
      </c>
      <c r="Q1439" s="55" t="s">
        <v>380</v>
      </c>
      <c r="R1439" s="85">
        <v>2</v>
      </c>
      <c r="S1439" s="55">
        <v>0</v>
      </c>
      <c r="T1439" s="74" t="s">
        <v>1952</v>
      </c>
      <c r="U1439" s="74" t="s">
        <v>351</v>
      </c>
      <c r="V1439" s="74">
        <v>44600</v>
      </c>
      <c r="W1439" s="74">
        <v>44643</v>
      </c>
      <c r="X1439" s="55">
        <v>10204105</v>
      </c>
      <c r="Y1439" s="55" t="s">
        <v>132</v>
      </c>
      <c r="AB1439" s="74" t="s">
        <v>130</v>
      </c>
      <c r="AC1439" s="55" t="s">
        <v>132</v>
      </c>
      <c r="AL1439" s="74"/>
      <c r="AM1439" s="74"/>
      <c r="AW1439" s="74"/>
      <c r="AX1439" s="74"/>
    </row>
    <row r="1440" spans="1:50" ht="13" x14ac:dyDescent="0.15">
      <c r="A1440" s="55" t="str">
        <f>HYPERLINK("http://reports.ofsted.gov.uk/inspection-reports/find-inspection-report/provider/CARE/2604750","Ofsted Social Care Provider Webpage")</f>
        <v>Ofsted Social Care Provider Webpage</v>
      </c>
      <c r="B1440" s="55">
        <v>2604750</v>
      </c>
      <c r="D1440" s="55" t="s">
        <v>373</v>
      </c>
      <c r="E1440" s="74">
        <v>44113</v>
      </c>
      <c r="F1440" s="55" t="s">
        <v>344</v>
      </c>
      <c r="G1440" s="55" t="s">
        <v>360</v>
      </c>
      <c r="H1440" s="55" t="s">
        <v>360</v>
      </c>
      <c r="I1440" s="55" t="s">
        <v>360</v>
      </c>
      <c r="J1440" s="55" t="s">
        <v>360</v>
      </c>
      <c r="K1440" s="55" t="s">
        <v>360</v>
      </c>
      <c r="L1440" s="55" t="s">
        <v>360</v>
      </c>
      <c r="M1440" s="55" t="s">
        <v>129</v>
      </c>
      <c r="N1440" s="55" t="s">
        <v>129</v>
      </c>
      <c r="O1440" s="55" t="s">
        <v>269</v>
      </c>
      <c r="P1440" s="55" t="s">
        <v>1951</v>
      </c>
      <c r="Q1440" s="55" t="s">
        <v>380</v>
      </c>
      <c r="R1440" s="85">
        <v>2</v>
      </c>
      <c r="S1440" s="55">
        <v>0</v>
      </c>
      <c r="T1440" s="74" t="s">
        <v>1952</v>
      </c>
      <c r="U1440" s="74" t="s">
        <v>351</v>
      </c>
      <c r="V1440" s="74">
        <v>44405</v>
      </c>
      <c r="W1440" s="74">
        <v>44643</v>
      </c>
      <c r="X1440" s="55">
        <v>10187384</v>
      </c>
      <c r="Y1440" s="55" t="s">
        <v>146</v>
      </c>
      <c r="AB1440" s="74" t="s">
        <v>146</v>
      </c>
      <c r="AC1440" s="55" t="s">
        <v>146</v>
      </c>
      <c r="AL1440" s="74"/>
      <c r="AM1440" s="74"/>
      <c r="AW1440" s="74"/>
      <c r="AX1440" s="74"/>
    </row>
    <row r="1441" spans="1:50" ht="13" x14ac:dyDescent="0.15">
      <c r="A1441" s="55" t="str">
        <f>HYPERLINK("http://reports.ofsted.gov.uk/inspection-reports/find-inspection-report/provider/CARE/2605108","Ofsted Social Care Provider Webpage")</f>
        <v>Ofsted Social Care Provider Webpage</v>
      </c>
      <c r="B1441" s="55">
        <v>2605108</v>
      </c>
      <c r="D1441" s="55" t="s">
        <v>373</v>
      </c>
      <c r="E1441" s="74">
        <v>44225</v>
      </c>
      <c r="F1441" s="55" t="s">
        <v>344</v>
      </c>
      <c r="G1441" s="55" t="s">
        <v>360</v>
      </c>
      <c r="H1441" s="55" t="s">
        <v>360</v>
      </c>
      <c r="I1441" s="55" t="s">
        <v>360</v>
      </c>
      <c r="J1441" s="55" t="s">
        <v>360</v>
      </c>
      <c r="K1441" s="55" t="s">
        <v>360</v>
      </c>
      <c r="L1441" s="55" t="s">
        <v>360</v>
      </c>
      <c r="M1441" s="55" t="s">
        <v>378</v>
      </c>
      <c r="N1441" s="55" t="s">
        <v>134</v>
      </c>
      <c r="O1441" s="55" t="s">
        <v>204</v>
      </c>
      <c r="P1441" s="55" t="s">
        <v>929</v>
      </c>
      <c r="Q1441" s="55" t="s">
        <v>350</v>
      </c>
      <c r="R1441" s="85">
        <v>3</v>
      </c>
      <c r="S1441" s="55">
        <v>0</v>
      </c>
      <c r="T1441" s="74" t="s">
        <v>1953</v>
      </c>
      <c r="U1441" s="74" t="s">
        <v>6703</v>
      </c>
      <c r="V1441" s="74">
        <v>44545</v>
      </c>
      <c r="W1441" s="74">
        <v>44593</v>
      </c>
      <c r="X1441" s="55">
        <v>10210488</v>
      </c>
      <c r="Y1441" s="55" t="s">
        <v>6705</v>
      </c>
      <c r="AL1441" s="74"/>
      <c r="AM1441" s="74"/>
    </row>
    <row r="1442" spans="1:50" ht="13" x14ac:dyDescent="0.15">
      <c r="A1442" s="55" t="str">
        <f>HYPERLINK("http://reports.ofsted.gov.uk/inspection-reports/find-inspection-report/provider/CARE/2605108","Ofsted Social Care Provider Webpage")</f>
        <v>Ofsted Social Care Provider Webpage</v>
      </c>
      <c r="B1442" s="55">
        <v>2605108</v>
      </c>
      <c r="D1442" s="55" t="s">
        <v>373</v>
      </c>
      <c r="E1442" s="74">
        <v>44225</v>
      </c>
      <c r="F1442" s="55" t="s">
        <v>344</v>
      </c>
      <c r="G1442" s="55" t="s">
        <v>360</v>
      </c>
      <c r="H1442" s="55" t="s">
        <v>360</v>
      </c>
      <c r="I1442" s="55" t="s">
        <v>360</v>
      </c>
      <c r="J1442" s="55" t="s">
        <v>360</v>
      </c>
      <c r="K1442" s="55" t="s">
        <v>360</v>
      </c>
      <c r="L1442" s="55" t="s">
        <v>360</v>
      </c>
      <c r="M1442" s="55" t="s">
        <v>378</v>
      </c>
      <c r="N1442" s="55" t="s">
        <v>134</v>
      </c>
      <c r="O1442" s="55" t="s">
        <v>204</v>
      </c>
      <c r="P1442" s="55" t="s">
        <v>929</v>
      </c>
      <c r="Q1442" s="55" t="s">
        <v>350</v>
      </c>
      <c r="R1442" s="85">
        <v>3</v>
      </c>
      <c r="S1442" s="55">
        <v>0</v>
      </c>
      <c r="T1442" s="74" t="s">
        <v>1953</v>
      </c>
      <c r="U1442" s="74" t="s">
        <v>351</v>
      </c>
      <c r="V1442" s="74">
        <v>44404</v>
      </c>
      <c r="W1442" s="74">
        <v>44452</v>
      </c>
      <c r="X1442" s="55">
        <v>10188266</v>
      </c>
      <c r="Y1442" s="55" t="s">
        <v>130</v>
      </c>
      <c r="AB1442" s="74" t="s">
        <v>130</v>
      </c>
      <c r="AC1442" s="55" t="s">
        <v>130</v>
      </c>
      <c r="AL1442" s="74"/>
      <c r="AM1442" s="74"/>
      <c r="AW1442" s="74"/>
      <c r="AX1442" s="74"/>
    </row>
    <row r="1443" spans="1:50" ht="13" x14ac:dyDescent="0.15">
      <c r="A1443" s="55" t="str">
        <f>HYPERLINK("http://reports.ofsted.gov.uk/inspection-reports/find-inspection-report/provider/CARE/2605174","Ofsted Social Care Provider Webpage")</f>
        <v>Ofsted Social Care Provider Webpage</v>
      </c>
      <c r="B1443" s="55">
        <v>2605174</v>
      </c>
      <c r="D1443" s="55" t="s">
        <v>468</v>
      </c>
      <c r="E1443" s="74">
        <v>44136</v>
      </c>
      <c r="F1443" s="55" t="s">
        <v>344</v>
      </c>
      <c r="G1443" s="55" t="s">
        <v>1954</v>
      </c>
      <c r="H1443" s="55" t="s">
        <v>1955</v>
      </c>
      <c r="I1443" s="55" t="s">
        <v>1956</v>
      </c>
      <c r="J1443" s="55" t="s">
        <v>1349</v>
      </c>
      <c r="K1443" s="55" t="s">
        <v>1350</v>
      </c>
      <c r="L1443" s="55" t="s">
        <v>1957</v>
      </c>
      <c r="M1443" s="55" t="s">
        <v>172</v>
      </c>
      <c r="N1443" s="55" t="s">
        <v>172</v>
      </c>
      <c r="O1443" s="55" t="s">
        <v>284</v>
      </c>
      <c r="P1443" s="55" t="s">
        <v>1475</v>
      </c>
      <c r="Q1443" s="55" t="s">
        <v>362</v>
      </c>
      <c r="S1443" s="55">
        <v>0</v>
      </c>
      <c r="T1443" s="74" t="s">
        <v>1958</v>
      </c>
      <c r="U1443" s="74" t="s">
        <v>351</v>
      </c>
      <c r="V1443" s="74">
        <v>44592</v>
      </c>
      <c r="W1443" s="74">
        <v>44635</v>
      </c>
      <c r="X1443" s="55">
        <v>10183247</v>
      </c>
      <c r="Y1443" s="55" t="s">
        <v>132</v>
      </c>
      <c r="AB1443" s="74" t="s">
        <v>132</v>
      </c>
      <c r="AC1443" s="55" t="s">
        <v>130</v>
      </c>
      <c r="AL1443" s="74"/>
      <c r="AM1443" s="74"/>
    </row>
    <row r="1444" spans="1:50" ht="13" x14ac:dyDescent="0.15">
      <c r="A1444" s="55" t="str">
        <f>HYPERLINK("http://reports.ofsted.gov.uk/inspection-reports/find-inspection-report/provider/CARE/2605180","Ofsted Social Care Provider Webpage")</f>
        <v>Ofsted Social Care Provider Webpage</v>
      </c>
      <c r="B1444" s="55">
        <v>2605180</v>
      </c>
      <c r="D1444" s="55" t="s">
        <v>373</v>
      </c>
      <c r="E1444" s="74">
        <v>44180</v>
      </c>
      <c r="F1444" s="55" t="s">
        <v>344</v>
      </c>
      <c r="G1444" s="55" t="s">
        <v>360</v>
      </c>
      <c r="H1444" s="55" t="s">
        <v>360</v>
      </c>
      <c r="I1444" s="55" t="s">
        <v>360</v>
      </c>
      <c r="J1444" s="55" t="s">
        <v>360</v>
      </c>
      <c r="K1444" s="55" t="s">
        <v>360</v>
      </c>
      <c r="L1444" s="55" t="s">
        <v>360</v>
      </c>
      <c r="M1444" s="55" t="s">
        <v>144</v>
      </c>
      <c r="N1444" s="55" t="s">
        <v>144</v>
      </c>
      <c r="O1444" s="55" t="s">
        <v>217</v>
      </c>
      <c r="P1444" s="55" t="s">
        <v>397</v>
      </c>
      <c r="Q1444" s="55" t="s">
        <v>350</v>
      </c>
      <c r="R1444" s="85">
        <v>3</v>
      </c>
      <c r="S1444" s="55">
        <v>0</v>
      </c>
      <c r="T1444" s="74" t="s">
        <v>1959</v>
      </c>
      <c r="U1444" s="74" t="s">
        <v>351</v>
      </c>
      <c r="V1444" s="74">
        <v>44522</v>
      </c>
      <c r="W1444" s="74">
        <v>44565</v>
      </c>
      <c r="X1444" s="55">
        <v>10185953</v>
      </c>
      <c r="Y1444" s="55" t="s">
        <v>130</v>
      </c>
      <c r="AB1444" s="74" t="s">
        <v>130</v>
      </c>
      <c r="AC1444" s="55" t="s">
        <v>130</v>
      </c>
      <c r="AL1444" s="74"/>
      <c r="AM1444" s="74"/>
    </row>
    <row r="1445" spans="1:50" ht="13" x14ac:dyDescent="0.15">
      <c r="A1445" s="55" t="str">
        <f>HYPERLINK("http://reports.ofsted.gov.uk/inspection-reports/find-inspection-report/provider/CARE/2605508","Ofsted Social Care Provider Webpage")</f>
        <v>Ofsted Social Care Provider Webpage</v>
      </c>
      <c r="B1445" s="55">
        <v>2605508</v>
      </c>
      <c r="D1445" s="55" t="s">
        <v>373</v>
      </c>
      <c r="E1445" s="74">
        <v>44077</v>
      </c>
      <c r="F1445" s="55" t="s">
        <v>344</v>
      </c>
      <c r="G1445" s="55" t="s">
        <v>360</v>
      </c>
      <c r="H1445" s="55" t="s">
        <v>360</v>
      </c>
      <c r="I1445" s="55" t="s">
        <v>360</v>
      </c>
      <c r="J1445" s="55" t="s">
        <v>360</v>
      </c>
      <c r="K1445" s="55" t="s">
        <v>360</v>
      </c>
      <c r="L1445" s="55" t="s">
        <v>360</v>
      </c>
      <c r="M1445" s="55" t="s">
        <v>138</v>
      </c>
      <c r="N1445" s="55" t="s">
        <v>138</v>
      </c>
      <c r="O1445" s="55" t="s">
        <v>159</v>
      </c>
      <c r="P1445" s="55" t="s">
        <v>1961</v>
      </c>
      <c r="Q1445" s="55" t="s">
        <v>380</v>
      </c>
      <c r="R1445" s="85">
        <v>8</v>
      </c>
      <c r="S1445" s="55">
        <v>0</v>
      </c>
      <c r="T1445" s="74" t="s">
        <v>1948</v>
      </c>
      <c r="U1445" s="74" t="s">
        <v>351</v>
      </c>
      <c r="V1445" s="74">
        <v>44335</v>
      </c>
      <c r="W1445" s="74">
        <v>44368</v>
      </c>
      <c r="X1445" s="55">
        <v>10187599</v>
      </c>
      <c r="Y1445" s="55" t="s">
        <v>132</v>
      </c>
      <c r="AB1445" s="74" t="s">
        <v>132</v>
      </c>
      <c r="AC1445" s="55" t="s">
        <v>132</v>
      </c>
      <c r="AL1445" s="74"/>
      <c r="AM1445" s="74"/>
    </row>
    <row r="1446" spans="1:50" ht="13" x14ac:dyDescent="0.15">
      <c r="A1446" s="55" t="str">
        <f>HYPERLINK("http://reports.ofsted.gov.uk/inspection-reports/find-inspection-report/provider/CARE/2605512","Ofsted Social Care Provider Webpage")</f>
        <v>Ofsted Social Care Provider Webpage</v>
      </c>
      <c r="B1446" s="55">
        <v>2605512</v>
      </c>
      <c r="D1446" s="55" t="s">
        <v>373</v>
      </c>
      <c r="E1446" s="74">
        <v>44222</v>
      </c>
      <c r="F1446" s="55" t="s">
        <v>344</v>
      </c>
      <c r="G1446" s="55" t="s">
        <v>360</v>
      </c>
      <c r="H1446" s="55" t="s">
        <v>360</v>
      </c>
      <c r="I1446" s="55" t="s">
        <v>360</v>
      </c>
      <c r="J1446" s="55" t="s">
        <v>360</v>
      </c>
      <c r="K1446" s="55" t="s">
        <v>360</v>
      </c>
      <c r="L1446" s="55" t="s">
        <v>360</v>
      </c>
      <c r="M1446" s="55" t="s">
        <v>144</v>
      </c>
      <c r="N1446" s="55" t="s">
        <v>144</v>
      </c>
      <c r="O1446" s="55" t="s">
        <v>209</v>
      </c>
      <c r="P1446" s="55" t="s">
        <v>364</v>
      </c>
      <c r="Q1446" s="55" t="s">
        <v>350</v>
      </c>
      <c r="R1446" s="85">
        <v>2</v>
      </c>
      <c r="S1446" s="55">
        <v>0</v>
      </c>
      <c r="T1446" s="74" t="s">
        <v>485</v>
      </c>
      <c r="U1446" s="74" t="s">
        <v>351</v>
      </c>
      <c r="V1446" s="74">
        <v>44496</v>
      </c>
      <c r="W1446" s="74">
        <v>44537</v>
      </c>
      <c r="X1446" s="55">
        <v>10188263</v>
      </c>
      <c r="Y1446" s="55" t="s">
        <v>132</v>
      </c>
      <c r="AB1446" s="74" t="s">
        <v>132</v>
      </c>
      <c r="AC1446" s="55" t="s">
        <v>132</v>
      </c>
      <c r="AL1446" s="74"/>
      <c r="AM1446" s="74"/>
    </row>
    <row r="1447" spans="1:50" ht="13" x14ac:dyDescent="0.15">
      <c r="A1447" s="55" t="str">
        <f>HYPERLINK("http://reports.ofsted.gov.uk/inspection-reports/find-inspection-report/provider/CARE/2605554","Ofsted Social Care Provider Webpage")</f>
        <v>Ofsted Social Care Provider Webpage</v>
      </c>
      <c r="B1447" s="55">
        <v>2605554</v>
      </c>
      <c r="D1447" s="55" t="s">
        <v>373</v>
      </c>
      <c r="E1447" s="74">
        <v>44181</v>
      </c>
      <c r="F1447" s="55" t="s">
        <v>344</v>
      </c>
      <c r="G1447" s="55" t="s">
        <v>360</v>
      </c>
      <c r="H1447" s="55" t="s">
        <v>360</v>
      </c>
      <c r="I1447" s="55" t="s">
        <v>360</v>
      </c>
      <c r="J1447" s="55" t="s">
        <v>360</v>
      </c>
      <c r="K1447" s="55" t="s">
        <v>360</v>
      </c>
      <c r="L1447" s="55" t="s">
        <v>360</v>
      </c>
      <c r="M1447" s="55" t="s">
        <v>150</v>
      </c>
      <c r="N1447" s="55" t="s">
        <v>150</v>
      </c>
      <c r="O1447" s="55" t="s">
        <v>285</v>
      </c>
      <c r="P1447" s="55" t="s">
        <v>575</v>
      </c>
      <c r="Q1447" s="55" t="s">
        <v>350</v>
      </c>
      <c r="R1447" s="85">
        <v>5</v>
      </c>
      <c r="S1447" s="55">
        <v>0</v>
      </c>
      <c r="T1447" s="74" t="s">
        <v>1962</v>
      </c>
      <c r="U1447" s="74" t="s">
        <v>351</v>
      </c>
      <c r="V1447" s="74">
        <v>44404</v>
      </c>
      <c r="W1447" s="74">
        <v>44449</v>
      </c>
      <c r="X1447" s="55">
        <v>10187372</v>
      </c>
      <c r="Y1447" s="55" t="s">
        <v>132</v>
      </c>
      <c r="AB1447" s="74" t="s">
        <v>132</v>
      </c>
      <c r="AC1447" s="55" t="s">
        <v>130</v>
      </c>
      <c r="AL1447" s="74"/>
      <c r="AM1447" s="74"/>
    </row>
    <row r="1448" spans="1:50" ht="13" x14ac:dyDescent="0.15">
      <c r="A1448" s="55" t="str">
        <f>HYPERLINK("http://reports.ofsted.gov.uk/inspection-reports/find-inspection-report/provider/CARE/2605690","Ofsted Social Care Provider Webpage")</f>
        <v>Ofsted Social Care Provider Webpage</v>
      </c>
      <c r="B1448" s="55">
        <v>2605690</v>
      </c>
      <c r="D1448" s="55" t="s">
        <v>373</v>
      </c>
      <c r="E1448" s="74">
        <v>44104</v>
      </c>
      <c r="F1448" s="55" t="s">
        <v>344</v>
      </c>
      <c r="G1448" s="55" t="s">
        <v>360</v>
      </c>
      <c r="H1448" s="55" t="s">
        <v>360</v>
      </c>
      <c r="I1448" s="55" t="s">
        <v>360</v>
      </c>
      <c r="J1448" s="55" t="s">
        <v>360</v>
      </c>
      <c r="K1448" s="55" t="s">
        <v>360</v>
      </c>
      <c r="L1448" s="55" t="s">
        <v>360</v>
      </c>
      <c r="M1448" s="55" t="s">
        <v>172</v>
      </c>
      <c r="N1448" s="55" t="s">
        <v>172</v>
      </c>
      <c r="O1448" s="55" t="s">
        <v>235</v>
      </c>
      <c r="P1448" s="55" t="s">
        <v>1396</v>
      </c>
      <c r="Q1448" s="55" t="s">
        <v>350</v>
      </c>
      <c r="R1448" s="85">
        <v>2</v>
      </c>
      <c r="S1448" s="55">
        <v>0</v>
      </c>
      <c r="T1448" s="74" t="s">
        <v>962</v>
      </c>
      <c r="U1448" s="74" t="s">
        <v>351</v>
      </c>
      <c r="V1448" s="74">
        <v>44432</v>
      </c>
      <c r="W1448" s="74">
        <v>44467</v>
      </c>
      <c r="X1448" s="55">
        <v>10186983</v>
      </c>
      <c r="Y1448" s="55" t="s">
        <v>132</v>
      </c>
      <c r="AB1448" s="74" t="s">
        <v>132</v>
      </c>
      <c r="AC1448" s="55" t="s">
        <v>132</v>
      </c>
      <c r="AL1448" s="74"/>
      <c r="AM1448" s="74"/>
    </row>
    <row r="1449" spans="1:50" ht="13" x14ac:dyDescent="0.15">
      <c r="A1449" s="55" t="str">
        <f>HYPERLINK("http://reports.ofsted.gov.uk/inspection-reports/find-inspection-report/provider/CARE/2605829","Ofsted Social Care Provider Webpage")</f>
        <v>Ofsted Social Care Provider Webpage</v>
      </c>
      <c r="B1449" s="55">
        <v>2605829</v>
      </c>
      <c r="D1449" s="55" t="s">
        <v>373</v>
      </c>
      <c r="E1449" s="74">
        <v>44243</v>
      </c>
      <c r="F1449" s="55" t="s">
        <v>344</v>
      </c>
      <c r="G1449" s="55" t="s">
        <v>360</v>
      </c>
      <c r="H1449" s="55" t="s">
        <v>360</v>
      </c>
      <c r="I1449" s="55" t="s">
        <v>360</v>
      </c>
      <c r="J1449" s="55" t="s">
        <v>360</v>
      </c>
      <c r="K1449" s="55" t="s">
        <v>360</v>
      </c>
      <c r="L1449" s="55" t="s">
        <v>360</v>
      </c>
      <c r="M1449" s="55" t="s">
        <v>142</v>
      </c>
      <c r="N1449" s="55" t="s">
        <v>142</v>
      </c>
      <c r="O1449" s="55" t="s">
        <v>262</v>
      </c>
      <c r="P1449" s="55" t="s">
        <v>692</v>
      </c>
      <c r="Q1449" s="55" t="s">
        <v>350</v>
      </c>
      <c r="R1449" s="85">
        <v>2</v>
      </c>
      <c r="S1449" s="55">
        <v>0</v>
      </c>
      <c r="T1449" s="74" t="s">
        <v>1963</v>
      </c>
      <c r="U1449" s="74" t="s">
        <v>351</v>
      </c>
      <c r="V1449" s="74">
        <v>44607</v>
      </c>
      <c r="W1449" s="74">
        <v>44650</v>
      </c>
      <c r="X1449" s="55">
        <v>10188278</v>
      </c>
      <c r="Y1449" s="55" t="s">
        <v>132</v>
      </c>
      <c r="AB1449" s="74" t="s">
        <v>132</v>
      </c>
      <c r="AC1449" s="55" t="s">
        <v>132</v>
      </c>
      <c r="AL1449" s="74"/>
      <c r="AM1449" s="74"/>
      <c r="AW1449" s="74"/>
      <c r="AX1449" s="74"/>
    </row>
    <row r="1450" spans="1:50" ht="13" x14ac:dyDescent="0.15">
      <c r="A1450" s="55" t="str">
        <f>HYPERLINK("http://reports.ofsted.gov.uk/inspection-reports/find-inspection-report/provider/CARE/2606062","Ofsted Social Care Provider Webpage")</f>
        <v>Ofsted Social Care Provider Webpage</v>
      </c>
      <c r="B1450" s="55">
        <v>2606062</v>
      </c>
      <c r="D1450" s="55" t="s">
        <v>373</v>
      </c>
      <c r="E1450" s="74">
        <v>44207</v>
      </c>
      <c r="F1450" s="55" t="s">
        <v>344</v>
      </c>
      <c r="G1450" s="55" t="s">
        <v>360</v>
      </c>
      <c r="H1450" s="55" t="s">
        <v>360</v>
      </c>
      <c r="I1450" s="55" t="s">
        <v>360</v>
      </c>
      <c r="J1450" s="55" t="s">
        <v>360</v>
      </c>
      <c r="K1450" s="55" t="s">
        <v>360</v>
      </c>
      <c r="L1450" s="55" t="s">
        <v>360</v>
      </c>
      <c r="M1450" s="55" t="s">
        <v>144</v>
      </c>
      <c r="N1450" s="55" t="s">
        <v>144</v>
      </c>
      <c r="O1450" s="55" t="s">
        <v>217</v>
      </c>
      <c r="P1450" s="55" t="s">
        <v>1969</v>
      </c>
      <c r="Q1450" s="55" t="s">
        <v>350</v>
      </c>
      <c r="R1450" s="85">
        <v>3</v>
      </c>
      <c r="S1450" s="55">
        <v>0</v>
      </c>
      <c r="T1450" s="74" t="s">
        <v>1970</v>
      </c>
      <c r="U1450" s="74" t="s">
        <v>351</v>
      </c>
      <c r="V1450" s="74">
        <v>44566</v>
      </c>
      <c r="W1450" s="74">
        <v>44607</v>
      </c>
      <c r="X1450" s="55">
        <v>10188255</v>
      </c>
      <c r="Y1450" s="55" t="s">
        <v>140</v>
      </c>
      <c r="AB1450" s="74" t="s">
        <v>140</v>
      </c>
      <c r="AC1450" s="55" t="s">
        <v>132</v>
      </c>
      <c r="AL1450" s="74"/>
      <c r="AM1450" s="74"/>
    </row>
    <row r="1451" spans="1:50" ht="13" x14ac:dyDescent="0.15">
      <c r="A1451" s="55" t="str">
        <f>HYPERLINK("http://reports.ofsted.gov.uk/inspection-reports/find-inspection-report/provider/CARE/2606135","Ofsted Social Care Provider Webpage")</f>
        <v>Ofsted Social Care Provider Webpage</v>
      </c>
      <c r="B1451" s="55">
        <v>2606135</v>
      </c>
      <c r="D1451" s="55" t="s">
        <v>373</v>
      </c>
      <c r="E1451" s="74">
        <v>44206</v>
      </c>
      <c r="F1451" s="55" t="s">
        <v>344</v>
      </c>
      <c r="G1451" s="55" t="s">
        <v>360</v>
      </c>
      <c r="H1451" s="55" t="s">
        <v>360</v>
      </c>
      <c r="I1451" s="55" t="s">
        <v>360</v>
      </c>
      <c r="J1451" s="55" t="s">
        <v>360</v>
      </c>
      <c r="K1451" s="55" t="s">
        <v>360</v>
      </c>
      <c r="L1451" s="55" t="s">
        <v>360</v>
      </c>
      <c r="M1451" s="55" t="s">
        <v>144</v>
      </c>
      <c r="N1451" s="55" t="s">
        <v>144</v>
      </c>
      <c r="O1451" s="55" t="s">
        <v>209</v>
      </c>
      <c r="P1451" s="55" t="s">
        <v>484</v>
      </c>
      <c r="Q1451" s="55" t="s">
        <v>350</v>
      </c>
      <c r="R1451" s="85">
        <v>1</v>
      </c>
      <c r="S1451" s="55">
        <v>0</v>
      </c>
      <c r="T1451" s="74" t="s">
        <v>1971</v>
      </c>
      <c r="U1451" s="74" t="s">
        <v>351</v>
      </c>
      <c r="V1451" s="74">
        <v>44544</v>
      </c>
      <c r="W1451" s="74">
        <v>44600</v>
      </c>
      <c r="X1451" s="55">
        <v>10185221</v>
      </c>
      <c r="Y1451" s="55" t="s">
        <v>130</v>
      </c>
      <c r="AB1451" s="74" t="s">
        <v>130</v>
      </c>
      <c r="AC1451" s="55" t="s">
        <v>130</v>
      </c>
      <c r="AL1451" s="74"/>
      <c r="AM1451" s="74"/>
    </row>
    <row r="1452" spans="1:50" ht="13" x14ac:dyDescent="0.15">
      <c r="A1452" s="55" t="str">
        <f>HYPERLINK("http://reports.ofsted.gov.uk/inspection-reports/find-inspection-report/provider/CARE/2607291","Ofsted Social Care Provider Webpage")</f>
        <v>Ofsted Social Care Provider Webpage</v>
      </c>
      <c r="B1452" s="55">
        <v>2607291</v>
      </c>
      <c r="D1452" s="55" t="s">
        <v>373</v>
      </c>
      <c r="E1452" s="74">
        <v>44252</v>
      </c>
      <c r="F1452" s="55" t="s">
        <v>344</v>
      </c>
      <c r="G1452" s="55" t="s">
        <v>360</v>
      </c>
      <c r="H1452" s="55" t="s">
        <v>360</v>
      </c>
      <c r="I1452" s="55" t="s">
        <v>360</v>
      </c>
      <c r="J1452" s="55" t="s">
        <v>360</v>
      </c>
      <c r="K1452" s="55" t="s">
        <v>360</v>
      </c>
      <c r="L1452" s="55" t="s">
        <v>360</v>
      </c>
      <c r="M1452" s="55" t="s">
        <v>136</v>
      </c>
      <c r="N1452" s="55" t="s">
        <v>136</v>
      </c>
      <c r="O1452" s="55" t="s">
        <v>705</v>
      </c>
      <c r="P1452" s="55" t="s">
        <v>891</v>
      </c>
      <c r="Q1452" s="55" t="s">
        <v>350</v>
      </c>
      <c r="R1452" s="85">
        <v>1</v>
      </c>
      <c r="S1452" s="55">
        <v>0</v>
      </c>
      <c r="T1452" s="74" t="s">
        <v>892</v>
      </c>
      <c r="U1452" s="74" t="s">
        <v>351</v>
      </c>
      <c r="V1452" s="74">
        <v>44566</v>
      </c>
      <c r="W1452" s="74">
        <v>44599</v>
      </c>
      <c r="X1452" s="55">
        <v>10188285</v>
      </c>
      <c r="Y1452" s="55" t="s">
        <v>132</v>
      </c>
      <c r="AB1452" s="74" t="s">
        <v>132</v>
      </c>
      <c r="AC1452" s="55" t="s">
        <v>132</v>
      </c>
      <c r="AL1452" s="74"/>
      <c r="AM1452" s="74"/>
      <c r="AW1452" s="74"/>
      <c r="AX1452" s="74"/>
    </row>
    <row r="1453" spans="1:50" ht="13" x14ac:dyDescent="0.15">
      <c r="A1453" s="55" t="str">
        <f>HYPERLINK("http://reports.ofsted.gov.uk/inspection-reports/find-inspection-report/provider/CARE/2607536","Ofsted Social Care Provider Webpage")</f>
        <v>Ofsted Social Care Provider Webpage</v>
      </c>
      <c r="B1453" s="55">
        <v>2607536</v>
      </c>
      <c r="D1453" s="55" t="s">
        <v>479</v>
      </c>
      <c r="E1453" s="74">
        <v>44138</v>
      </c>
      <c r="F1453" s="55" t="s">
        <v>344</v>
      </c>
      <c r="G1453" s="55" t="s">
        <v>360</v>
      </c>
      <c r="H1453" s="55" t="s">
        <v>360</v>
      </c>
      <c r="I1453" s="55" t="s">
        <v>360</v>
      </c>
      <c r="J1453" s="55" t="s">
        <v>360</v>
      </c>
      <c r="K1453" s="55" t="s">
        <v>360</v>
      </c>
      <c r="L1453" s="55" t="s">
        <v>360</v>
      </c>
      <c r="M1453" s="55" t="s">
        <v>378</v>
      </c>
      <c r="N1453" s="55" t="s">
        <v>170</v>
      </c>
      <c r="O1453" s="55" t="s">
        <v>233</v>
      </c>
      <c r="P1453" s="55" t="s">
        <v>379</v>
      </c>
      <c r="Q1453" s="55" t="s">
        <v>350</v>
      </c>
      <c r="R1453" s="85">
        <v>8</v>
      </c>
      <c r="S1453" s="55">
        <v>0</v>
      </c>
      <c r="T1453" s="74" t="s">
        <v>481</v>
      </c>
      <c r="U1453" s="74" t="s">
        <v>2053</v>
      </c>
      <c r="V1453" s="74">
        <v>44622</v>
      </c>
      <c r="W1453" s="74">
        <v>44665</v>
      </c>
      <c r="X1453" s="55">
        <v>10220793</v>
      </c>
      <c r="AL1453" s="74"/>
      <c r="AM1453" s="74"/>
    </row>
    <row r="1454" spans="1:50" ht="13" x14ac:dyDescent="0.15">
      <c r="A1454" s="55" t="str">
        <f>HYPERLINK("http://reports.ofsted.gov.uk/inspection-reports/find-inspection-report/provider/CARE/2607536","Ofsted Social Care Provider Webpage")</f>
        <v>Ofsted Social Care Provider Webpage</v>
      </c>
      <c r="B1454" s="55">
        <v>2607536</v>
      </c>
      <c r="D1454" s="55" t="s">
        <v>479</v>
      </c>
      <c r="E1454" s="74">
        <v>44138</v>
      </c>
      <c r="F1454" s="55" t="s">
        <v>344</v>
      </c>
      <c r="G1454" s="55" t="s">
        <v>360</v>
      </c>
      <c r="H1454" s="55" t="s">
        <v>360</v>
      </c>
      <c r="I1454" s="55" t="s">
        <v>360</v>
      </c>
      <c r="J1454" s="55" t="s">
        <v>360</v>
      </c>
      <c r="K1454" s="55" t="s">
        <v>360</v>
      </c>
      <c r="L1454" s="55" t="s">
        <v>360</v>
      </c>
      <c r="M1454" s="55" t="s">
        <v>378</v>
      </c>
      <c r="N1454" s="55" t="s">
        <v>170</v>
      </c>
      <c r="O1454" s="55" t="s">
        <v>233</v>
      </c>
      <c r="P1454" s="55" t="s">
        <v>379</v>
      </c>
      <c r="Q1454" s="55" t="s">
        <v>350</v>
      </c>
      <c r="R1454" s="85">
        <v>8</v>
      </c>
      <c r="S1454" s="55">
        <v>0</v>
      </c>
      <c r="T1454" s="74" t="s">
        <v>481</v>
      </c>
      <c r="U1454" s="74" t="s">
        <v>2053</v>
      </c>
      <c r="V1454" s="74">
        <v>44581</v>
      </c>
      <c r="W1454" s="74">
        <v>44608</v>
      </c>
      <c r="X1454" s="55">
        <v>10220341</v>
      </c>
      <c r="AL1454" s="74"/>
      <c r="AM1454" s="74"/>
      <c r="AW1454" s="74"/>
      <c r="AX1454" s="74"/>
    </row>
    <row r="1455" spans="1:50" ht="13" x14ac:dyDescent="0.15">
      <c r="A1455" s="55" t="str">
        <f>HYPERLINK("http://reports.ofsted.gov.uk/inspection-reports/find-inspection-report/provider/CARE/2607536","Ofsted Social Care Provider Webpage")</f>
        <v>Ofsted Social Care Provider Webpage</v>
      </c>
      <c r="B1455" s="55">
        <v>2607536</v>
      </c>
      <c r="D1455" s="55" t="s">
        <v>479</v>
      </c>
      <c r="E1455" s="74">
        <v>44138</v>
      </c>
      <c r="F1455" s="55" t="s">
        <v>344</v>
      </c>
      <c r="G1455" s="55" t="s">
        <v>360</v>
      </c>
      <c r="H1455" s="55" t="s">
        <v>360</v>
      </c>
      <c r="I1455" s="55" t="s">
        <v>360</v>
      </c>
      <c r="J1455" s="55" t="s">
        <v>360</v>
      </c>
      <c r="K1455" s="55" t="s">
        <v>360</v>
      </c>
      <c r="L1455" s="55" t="s">
        <v>360</v>
      </c>
      <c r="M1455" s="55" t="s">
        <v>378</v>
      </c>
      <c r="N1455" s="55" t="s">
        <v>170</v>
      </c>
      <c r="O1455" s="55" t="s">
        <v>233</v>
      </c>
      <c r="P1455" s="55" t="s">
        <v>379</v>
      </c>
      <c r="Q1455" s="55" t="s">
        <v>350</v>
      </c>
      <c r="R1455" s="85">
        <v>8</v>
      </c>
      <c r="S1455" s="55">
        <v>0</v>
      </c>
      <c r="T1455" s="74" t="s">
        <v>481</v>
      </c>
      <c r="U1455" s="74" t="s">
        <v>6703</v>
      </c>
      <c r="V1455" s="74">
        <v>44545</v>
      </c>
      <c r="W1455" s="74">
        <v>44595</v>
      </c>
      <c r="X1455" s="55">
        <v>10209419</v>
      </c>
      <c r="Y1455" s="55" t="s">
        <v>6706</v>
      </c>
      <c r="AL1455" s="74"/>
      <c r="AM1455" s="74"/>
    </row>
    <row r="1456" spans="1:50" ht="13" x14ac:dyDescent="0.15">
      <c r="A1456" s="55" t="str">
        <f>HYPERLINK("http://reports.ofsted.gov.uk/inspection-reports/find-inspection-report/provider/CARE/2607536","Ofsted Social Care Provider Webpage")</f>
        <v>Ofsted Social Care Provider Webpage</v>
      </c>
      <c r="B1456" s="55">
        <v>2607536</v>
      </c>
      <c r="D1456" s="55" t="s">
        <v>479</v>
      </c>
      <c r="E1456" s="74">
        <v>44138</v>
      </c>
      <c r="F1456" s="55" t="s">
        <v>344</v>
      </c>
      <c r="G1456" s="55" t="s">
        <v>360</v>
      </c>
      <c r="H1456" s="55" t="s">
        <v>360</v>
      </c>
      <c r="I1456" s="55" t="s">
        <v>360</v>
      </c>
      <c r="J1456" s="55" t="s">
        <v>360</v>
      </c>
      <c r="K1456" s="55" t="s">
        <v>360</v>
      </c>
      <c r="L1456" s="55" t="s">
        <v>360</v>
      </c>
      <c r="M1456" s="55" t="s">
        <v>378</v>
      </c>
      <c r="N1456" s="55" t="s">
        <v>170</v>
      </c>
      <c r="O1456" s="55" t="s">
        <v>233</v>
      </c>
      <c r="P1456" s="55" t="s">
        <v>379</v>
      </c>
      <c r="Q1456" s="55" t="s">
        <v>350</v>
      </c>
      <c r="R1456" s="85">
        <v>8</v>
      </c>
      <c r="S1456" s="55">
        <v>0</v>
      </c>
      <c r="T1456" s="74" t="s">
        <v>481</v>
      </c>
      <c r="U1456" s="74" t="s">
        <v>351</v>
      </c>
      <c r="V1456" s="74">
        <v>44313</v>
      </c>
      <c r="W1456" s="74">
        <v>44368</v>
      </c>
      <c r="X1456" s="55">
        <v>10186070</v>
      </c>
      <c r="Y1456" s="55" t="s">
        <v>130</v>
      </c>
      <c r="AB1456" s="74" t="s">
        <v>130</v>
      </c>
      <c r="AC1456" s="55" t="s">
        <v>130</v>
      </c>
      <c r="AL1456" s="74"/>
      <c r="AM1456" s="74"/>
      <c r="AW1456" s="74"/>
      <c r="AX1456" s="74"/>
    </row>
    <row r="1457" spans="1:50" ht="13" x14ac:dyDescent="0.15">
      <c r="A1457" s="55" t="str">
        <f>HYPERLINK("http://reports.ofsted.gov.uk/inspection-reports/find-inspection-report/provider/CARE/2607587","Ofsted Social Care Provider Webpage")</f>
        <v>Ofsted Social Care Provider Webpage</v>
      </c>
      <c r="B1457" s="55">
        <v>2607587</v>
      </c>
      <c r="D1457" s="55" t="s">
        <v>373</v>
      </c>
      <c r="E1457" s="74">
        <v>44176</v>
      </c>
      <c r="F1457" s="55" t="s">
        <v>344</v>
      </c>
      <c r="G1457" s="55" t="s">
        <v>360</v>
      </c>
      <c r="H1457" s="55" t="s">
        <v>360</v>
      </c>
      <c r="I1457" s="55" t="s">
        <v>360</v>
      </c>
      <c r="J1457" s="55" t="s">
        <v>360</v>
      </c>
      <c r="K1457" s="55" t="s">
        <v>360</v>
      </c>
      <c r="L1457" s="55" t="s">
        <v>360</v>
      </c>
      <c r="M1457" s="55" t="s">
        <v>378</v>
      </c>
      <c r="N1457" s="55" t="s">
        <v>170</v>
      </c>
      <c r="O1457" s="55" t="s">
        <v>178</v>
      </c>
      <c r="P1457" s="55" t="s">
        <v>1374</v>
      </c>
      <c r="Q1457" s="55" t="s">
        <v>350</v>
      </c>
      <c r="R1457" s="85">
        <v>4</v>
      </c>
      <c r="S1457" s="55">
        <v>0</v>
      </c>
      <c r="T1457" s="74" t="s">
        <v>385</v>
      </c>
      <c r="U1457" s="74" t="s">
        <v>351</v>
      </c>
      <c r="V1457" s="74">
        <v>44467</v>
      </c>
      <c r="W1457" s="74">
        <v>44501</v>
      </c>
      <c r="X1457" s="55">
        <v>10186838</v>
      </c>
      <c r="Y1457" s="55" t="s">
        <v>132</v>
      </c>
      <c r="AB1457" s="74" t="s">
        <v>132</v>
      </c>
      <c r="AC1457" s="55" t="s">
        <v>132</v>
      </c>
      <c r="AL1457" s="74"/>
      <c r="AM1457" s="74"/>
      <c r="AW1457" s="74"/>
      <c r="AX1457" s="74"/>
    </row>
    <row r="1458" spans="1:50" ht="13" x14ac:dyDescent="0.15">
      <c r="A1458" s="55" t="str">
        <f>HYPERLINK("http://reports.ofsted.gov.uk/inspection-reports/find-inspection-report/provider/CARE/2608195","Ofsted Social Care Provider Webpage")</f>
        <v>Ofsted Social Care Provider Webpage</v>
      </c>
      <c r="B1458" s="55">
        <v>2608195</v>
      </c>
      <c r="D1458" s="55" t="s">
        <v>373</v>
      </c>
      <c r="E1458" s="74">
        <v>44138</v>
      </c>
      <c r="F1458" s="55" t="s">
        <v>344</v>
      </c>
      <c r="G1458" s="55" t="s">
        <v>360</v>
      </c>
      <c r="H1458" s="55" t="s">
        <v>360</v>
      </c>
      <c r="I1458" s="55" t="s">
        <v>360</v>
      </c>
      <c r="J1458" s="55" t="s">
        <v>360</v>
      </c>
      <c r="K1458" s="55" t="s">
        <v>360</v>
      </c>
      <c r="L1458" s="55" t="s">
        <v>360</v>
      </c>
      <c r="M1458" s="55" t="s">
        <v>144</v>
      </c>
      <c r="N1458" s="55" t="s">
        <v>144</v>
      </c>
      <c r="O1458" s="55" t="s">
        <v>209</v>
      </c>
      <c r="P1458" s="55" t="s">
        <v>545</v>
      </c>
      <c r="Q1458" s="55" t="s">
        <v>350</v>
      </c>
      <c r="R1458" s="85">
        <v>2</v>
      </c>
      <c r="S1458" s="55">
        <v>0</v>
      </c>
      <c r="T1458" s="74" t="s">
        <v>493</v>
      </c>
      <c r="U1458" s="74" t="s">
        <v>351</v>
      </c>
      <c r="V1458" s="74">
        <v>44629</v>
      </c>
      <c r="W1458" s="74">
        <v>44671</v>
      </c>
      <c r="X1458" s="55">
        <v>10185497</v>
      </c>
      <c r="Y1458" s="55" t="s">
        <v>132</v>
      </c>
      <c r="AB1458" s="74" t="s">
        <v>130</v>
      </c>
      <c r="AC1458" s="55" t="s">
        <v>132</v>
      </c>
      <c r="AL1458" s="74"/>
      <c r="AM1458" s="74"/>
      <c r="AW1458" s="74"/>
      <c r="AX1458" s="74"/>
    </row>
    <row r="1459" spans="1:50" ht="13" x14ac:dyDescent="0.15">
      <c r="A1459" s="55" t="str">
        <f>HYPERLINK("http://reports.ofsted.gov.uk/inspection-reports/find-inspection-report/provider/CARE/2608484","Ofsted Social Care Provider Webpage")</f>
        <v>Ofsted Social Care Provider Webpage</v>
      </c>
      <c r="B1459" s="55">
        <v>2608484</v>
      </c>
      <c r="D1459" s="55" t="s">
        <v>373</v>
      </c>
      <c r="E1459" s="74">
        <v>44187</v>
      </c>
      <c r="F1459" s="55" t="s">
        <v>344</v>
      </c>
      <c r="G1459" s="55" t="s">
        <v>360</v>
      </c>
      <c r="H1459" s="55" t="s">
        <v>360</v>
      </c>
      <c r="I1459" s="55" t="s">
        <v>360</v>
      </c>
      <c r="J1459" s="55" t="s">
        <v>360</v>
      </c>
      <c r="K1459" s="55" t="s">
        <v>360</v>
      </c>
      <c r="L1459" s="55" t="s">
        <v>360</v>
      </c>
      <c r="M1459" s="55" t="s">
        <v>144</v>
      </c>
      <c r="N1459" s="55" t="s">
        <v>144</v>
      </c>
      <c r="O1459" s="55" t="s">
        <v>248</v>
      </c>
      <c r="P1459" s="55" t="s">
        <v>439</v>
      </c>
      <c r="Q1459" s="55" t="s">
        <v>350</v>
      </c>
      <c r="R1459" s="85">
        <v>2</v>
      </c>
      <c r="S1459" s="55">
        <v>0</v>
      </c>
      <c r="T1459" s="74" t="s">
        <v>1107</v>
      </c>
      <c r="U1459" s="74" t="s">
        <v>351</v>
      </c>
      <c r="V1459" s="74">
        <v>44523</v>
      </c>
      <c r="W1459" s="74">
        <v>44579</v>
      </c>
      <c r="X1459" s="55">
        <v>10187554</v>
      </c>
      <c r="Y1459" s="55" t="s">
        <v>132</v>
      </c>
      <c r="AB1459" s="74" t="s">
        <v>132</v>
      </c>
      <c r="AC1459" s="55" t="s">
        <v>132</v>
      </c>
      <c r="AL1459" s="74"/>
      <c r="AM1459" s="74"/>
      <c r="AW1459" s="74"/>
      <c r="AX1459" s="74"/>
    </row>
    <row r="1460" spans="1:50" ht="13" x14ac:dyDescent="0.15">
      <c r="A1460" s="55" t="str">
        <f>HYPERLINK("http://reports.ofsted.gov.uk/inspection-reports/find-inspection-report/provider/CARE/2608645","Ofsted Social Care Provider Webpage")</f>
        <v>Ofsted Social Care Provider Webpage</v>
      </c>
      <c r="B1460" s="55">
        <v>2608645</v>
      </c>
      <c r="D1460" s="55" t="s">
        <v>373</v>
      </c>
      <c r="E1460" s="74">
        <v>44167</v>
      </c>
      <c r="F1460" s="55" t="s">
        <v>344</v>
      </c>
      <c r="G1460" s="55" t="s">
        <v>360</v>
      </c>
      <c r="H1460" s="55" t="s">
        <v>360</v>
      </c>
      <c r="I1460" s="55" t="s">
        <v>360</v>
      </c>
      <c r="J1460" s="55" t="s">
        <v>360</v>
      </c>
      <c r="K1460" s="55" t="s">
        <v>360</v>
      </c>
      <c r="L1460" s="55" t="s">
        <v>360</v>
      </c>
      <c r="M1460" s="55" t="s">
        <v>138</v>
      </c>
      <c r="N1460" s="55" t="s">
        <v>138</v>
      </c>
      <c r="O1460" s="55" t="s">
        <v>159</v>
      </c>
      <c r="P1460" s="55" t="s">
        <v>1985</v>
      </c>
      <c r="Q1460" s="55" t="s">
        <v>350</v>
      </c>
      <c r="R1460" s="85">
        <v>3</v>
      </c>
      <c r="S1460" s="55">
        <v>0</v>
      </c>
      <c r="T1460" s="74" t="s">
        <v>1799</v>
      </c>
      <c r="U1460" s="74" t="s">
        <v>351</v>
      </c>
      <c r="V1460" s="74">
        <v>44447</v>
      </c>
      <c r="W1460" s="74">
        <v>44469</v>
      </c>
      <c r="X1460" s="55">
        <v>10185828</v>
      </c>
      <c r="Y1460" s="55" t="s">
        <v>132</v>
      </c>
      <c r="AB1460" s="74" t="s">
        <v>132</v>
      </c>
      <c r="AC1460" s="55" t="s">
        <v>132</v>
      </c>
      <c r="AL1460" s="74"/>
      <c r="AM1460" s="74"/>
      <c r="AW1460" s="74"/>
      <c r="AX1460" s="74"/>
    </row>
    <row r="1461" spans="1:50" ht="13" x14ac:dyDescent="0.15">
      <c r="A1461" s="55" t="str">
        <f>HYPERLINK("http://reports.ofsted.gov.uk/inspection-reports/find-inspection-report/provider/CARE/2608666","Ofsted Social Care Provider Webpage")</f>
        <v>Ofsted Social Care Provider Webpage</v>
      </c>
      <c r="B1461" s="55">
        <v>2608666</v>
      </c>
      <c r="D1461" s="55" t="s">
        <v>373</v>
      </c>
      <c r="E1461" s="74">
        <v>44251</v>
      </c>
      <c r="F1461" s="55" t="s">
        <v>344</v>
      </c>
      <c r="G1461" s="55" t="s">
        <v>360</v>
      </c>
      <c r="H1461" s="55" t="s">
        <v>360</v>
      </c>
      <c r="I1461" s="55" t="s">
        <v>360</v>
      </c>
      <c r="J1461" s="55" t="s">
        <v>360</v>
      </c>
      <c r="K1461" s="55" t="s">
        <v>360</v>
      </c>
      <c r="L1461" s="55" t="s">
        <v>360</v>
      </c>
      <c r="M1461" s="55" t="s">
        <v>150</v>
      </c>
      <c r="N1461" s="55" t="s">
        <v>150</v>
      </c>
      <c r="O1461" s="55" t="s">
        <v>237</v>
      </c>
      <c r="P1461" s="55" t="s">
        <v>869</v>
      </c>
      <c r="Q1461" s="55" t="s">
        <v>350</v>
      </c>
      <c r="R1461" s="85">
        <v>4</v>
      </c>
      <c r="S1461" s="55">
        <v>0</v>
      </c>
      <c r="T1461" s="74" t="s">
        <v>435</v>
      </c>
      <c r="U1461" s="74" t="s">
        <v>351</v>
      </c>
      <c r="V1461" s="74">
        <v>44601</v>
      </c>
      <c r="W1461" s="74">
        <v>44645</v>
      </c>
      <c r="X1461" s="55">
        <v>10188282</v>
      </c>
      <c r="Y1461" s="55" t="s">
        <v>132</v>
      </c>
      <c r="AB1461" s="74" t="s">
        <v>132</v>
      </c>
      <c r="AC1461" s="55" t="s">
        <v>132</v>
      </c>
      <c r="AL1461" s="74"/>
      <c r="AM1461" s="74"/>
      <c r="AW1461" s="74"/>
      <c r="AX1461" s="74"/>
    </row>
    <row r="1462" spans="1:50" ht="13" x14ac:dyDescent="0.15">
      <c r="A1462" s="55" t="str">
        <f>HYPERLINK("http://reports.ofsted.gov.uk/inspection-reports/find-inspection-report/provider/CARE/2608872","Ofsted Social Care Provider Webpage")</f>
        <v>Ofsted Social Care Provider Webpage</v>
      </c>
      <c r="B1462" s="55">
        <v>2608872</v>
      </c>
      <c r="D1462" s="55" t="s">
        <v>373</v>
      </c>
      <c r="E1462" s="74">
        <v>44136</v>
      </c>
      <c r="F1462" s="55" t="s">
        <v>344</v>
      </c>
      <c r="G1462" s="55" t="s">
        <v>360</v>
      </c>
      <c r="H1462" s="55" t="s">
        <v>360</v>
      </c>
      <c r="I1462" s="55" t="s">
        <v>360</v>
      </c>
      <c r="J1462" s="55" t="s">
        <v>360</v>
      </c>
      <c r="K1462" s="55" t="s">
        <v>360</v>
      </c>
      <c r="L1462" s="55" t="s">
        <v>360</v>
      </c>
      <c r="M1462" s="55" t="s">
        <v>172</v>
      </c>
      <c r="N1462" s="55" t="s">
        <v>172</v>
      </c>
      <c r="O1462" s="55" t="s">
        <v>228</v>
      </c>
      <c r="P1462" s="55" t="s">
        <v>991</v>
      </c>
      <c r="Q1462" s="55" t="s">
        <v>362</v>
      </c>
      <c r="R1462" s="85">
        <v>2</v>
      </c>
      <c r="S1462" s="55">
        <v>0</v>
      </c>
      <c r="T1462" s="74" t="s">
        <v>1958</v>
      </c>
      <c r="U1462" s="74" t="s">
        <v>351</v>
      </c>
      <c r="V1462" s="74">
        <v>44544</v>
      </c>
      <c r="W1462" s="74">
        <v>44603</v>
      </c>
      <c r="X1462" s="55">
        <v>10187392</v>
      </c>
      <c r="Y1462" s="55" t="s">
        <v>130</v>
      </c>
      <c r="AB1462" s="74" t="s">
        <v>130</v>
      </c>
      <c r="AC1462" s="55" t="s">
        <v>130</v>
      </c>
      <c r="AL1462" s="74"/>
      <c r="AM1462" s="74"/>
      <c r="AW1462" s="74"/>
      <c r="AX1462" s="74"/>
    </row>
    <row r="1463" spans="1:50" ht="13" x14ac:dyDescent="0.15">
      <c r="A1463" s="55" t="str">
        <f>HYPERLINK("http://reports.ofsted.gov.uk/inspection-reports/find-inspection-report/provider/CARE/2608892","Ofsted Social Care Provider Webpage")</f>
        <v>Ofsted Social Care Provider Webpage</v>
      </c>
      <c r="B1463" s="55">
        <v>2608892</v>
      </c>
      <c r="D1463" s="55" t="s">
        <v>373</v>
      </c>
      <c r="E1463" s="74">
        <v>44136</v>
      </c>
      <c r="F1463" s="55" t="s">
        <v>344</v>
      </c>
      <c r="G1463" s="55" t="s">
        <v>360</v>
      </c>
      <c r="H1463" s="55" t="s">
        <v>360</v>
      </c>
      <c r="I1463" s="55" t="s">
        <v>360</v>
      </c>
      <c r="J1463" s="55" t="s">
        <v>360</v>
      </c>
      <c r="K1463" s="55" t="s">
        <v>360</v>
      </c>
      <c r="L1463" s="55" t="s">
        <v>360</v>
      </c>
      <c r="M1463" s="55" t="s">
        <v>172</v>
      </c>
      <c r="N1463" s="55" t="s">
        <v>172</v>
      </c>
      <c r="O1463" s="55" t="s">
        <v>228</v>
      </c>
      <c r="P1463" s="55" t="s">
        <v>459</v>
      </c>
      <c r="Q1463" s="55" t="s">
        <v>362</v>
      </c>
      <c r="R1463" s="85">
        <v>4</v>
      </c>
      <c r="S1463" s="55">
        <v>0</v>
      </c>
      <c r="T1463" s="74" t="s">
        <v>1958</v>
      </c>
      <c r="U1463" s="74" t="s">
        <v>351</v>
      </c>
      <c r="V1463" s="74">
        <v>44627</v>
      </c>
      <c r="W1463" s="74">
        <v>44665</v>
      </c>
      <c r="X1463" s="55">
        <v>10186830</v>
      </c>
      <c r="Y1463" s="55" t="s">
        <v>132</v>
      </c>
      <c r="AB1463" s="74" t="s">
        <v>132</v>
      </c>
      <c r="AC1463" s="55" t="s">
        <v>132</v>
      </c>
      <c r="AL1463" s="74"/>
      <c r="AM1463" s="74"/>
      <c r="AW1463" s="74"/>
      <c r="AX1463" s="74"/>
    </row>
    <row r="1464" spans="1:50" ht="13" x14ac:dyDescent="0.15">
      <c r="A1464" s="55" t="str">
        <f>HYPERLINK("http://reports.ofsted.gov.uk/inspection-reports/find-inspection-report/provider/CARE/2608949","Ofsted Social Care Provider Webpage")</f>
        <v>Ofsted Social Care Provider Webpage</v>
      </c>
      <c r="B1464" s="55">
        <v>2608949</v>
      </c>
      <c r="D1464" s="55" t="s">
        <v>373</v>
      </c>
      <c r="E1464" s="74">
        <v>44186</v>
      </c>
      <c r="F1464" s="55" t="s">
        <v>344</v>
      </c>
      <c r="G1464" s="55" t="s">
        <v>360</v>
      </c>
      <c r="H1464" s="55" t="s">
        <v>360</v>
      </c>
      <c r="I1464" s="55" t="s">
        <v>360</v>
      </c>
      <c r="J1464" s="55" t="s">
        <v>360</v>
      </c>
      <c r="K1464" s="55" t="s">
        <v>360</v>
      </c>
      <c r="L1464" s="55" t="s">
        <v>360</v>
      </c>
      <c r="M1464" s="55" t="s">
        <v>378</v>
      </c>
      <c r="N1464" s="55" t="s">
        <v>134</v>
      </c>
      <c r="O1464" s="55" t="s">
        <v>206</v>
      </c>
      <c r="P1464" s="55" t="s">
        <v>1655</v>
      </c>
      <c r="Q1464" s="55" t="s">
        <v>350</v>
      </c>
      <c r="R1464" s="85">
        <v>3</v>
      </c>
      <c r="S1464" s="55">
        <v>0</v>
      </c>
      <c r="T1464" s="74" t="s">
        <v>1986</v>
      </c>
      <c r="U1464" s="74" t="s">
        <v>351</v>
      </c>
      <c r="V1464" s="74">
        <v>44480</v>
      </c>
      <c r="W1464" s="74">
        <v>44511</v>
      </c>
      <c r="X1464" s="55">
        <v>10185168</v>
      </c>
      <c r="Y1464" s="55" t="s">
        <v>140</v>
      </c>
      <c r="AB1464" s="74" t="s">
        <v>140</v>
      </c>
      <c r="AC1464" s="55" t="s">
        <v>140</v>
      </c>
      <c r="AL1464" s="74"/>
      <c r="AM1464" s="74"/>
      <c r="AW1464" s="74"/>
      <c r="AX1464" s="74"/>
    </row>
    <row r="1465" spans="1:50" ht="13" x14ac:dyDescent="0.15">
      <c r="A1465" s="55" t="str">
        <f>HYPERLINK("http://reports.ofsted.gov.uk/inspection-reports/find-inspection-report/provider/CARE/2608968","Ofsted Social Care Provider Webpage")</f>
        <v>Ofsted Social Care Provider Webpage</v>
      </c>
      <c r="B1465" s="55">
        <v>2608968</v>
      </c>
      <c r="D1465" s="55" t="s">
        <v>373</v>
      </c>
      <c r="E1465" s="74">
        <v>44136</v>
      </c>
      <c r="F1465" s="55" t="s">
        <v>344</v>
      </c>
      <c r="G1465" s="55" t="s">
        <v>360</v>
      </c>
      <c r="H1465" s="55" t="s">
        <v>360</v>
      </c>
      <c r="I1465" s="55" t="s">
        <v>360</v>
      </c>
      <c r="J1465" s="55" t="s">
        <v>360</v>
      </c>
      <c r="K1465" s="55" t="s">
        <v>360</v>
      </c>
      <c r="L1465" s="55" t="s">
        <v>360</v>
      </c>
      <c r="M1465" s="55" t="s">
        <v>172</v>
      </c>
      <c r="N1465" s="55" t="s">
        <v>172</v>
      </c>
      <c r="O1465" s="55" t="s">
        <v>284</v>
      </c>
      <c r="P1465" s="55" t="s">
        <v>985</v>
      </c>
      <c r="Q1465" s="55" t="s">
        <v>362</v>
      </c>
      <c r="R1465" s="85">
        <v>6</v>
      </c>
      <c r="S1465" s="55">
        <v>0</v>
      </c>
      <c r="T1465" s="74" t="s">
        <v>1958</v>
      </c>
      <c r="U1465" s="74" t="s">
        <v>351</v>
      </c>
      <c r="V1465" s="74">
        <v>44489</v>
      </c>
      <c r="W1465" s="74">
        <v>44526</v>
      </c>
      <c r="X1465" s="55">
        <v>10187495</v>
      </c>
      <c r="Y1465" s="55" t="s">
        <v>132</v>
      </c>
      <c r="AB1465" s="74" t="s">
        <v>132</v>
      </c>
      <c r="AC1465" s="55" t="s">
        <v>132</v>
      </c>
      <c r="AL1465" s="74"/>
      <c r="AM1465" s="74"/>
    </row>
    <row r="1466" spans="1:50" ht="13" x14ac:dyDescent="0.15">
      <c r="A1466" s="55" t="str">
        <f>HYPERLINK("http://reports.ofsted.gov.uk/inspection-reports/find-inspection-report/provider/CARE/2609490","Ofsted Social Care Provider Webpage")</f>
        <v>Ofsted Social Care Provider Webpage</v>
      </c>
      <c r="B1466" s="55">
        <v>2609490</v>
      </c>
      <c r="D1466" s="55" t="s">
        <v>373</v>
      </c>
      <c r="E1466" s="74">
        <v>44139</v>
      </c>
      <c r="F1466" s="55" t="s">
        <v>344</v>
      </c>
      <c r="G1466" s="55" t="s">
        <v>360</v>
      </c>
      <c r="H1466" s="55" t="s">
        <v>360</v>
      </c>
      <c r="I1466" s="55" t="s">
        <v>360</v>
      </c>
      <c r="J1466" s="55" t="s">
        <v>360</v>
      </c>
      <c r="K1466" s="55" t="s">
        <v>360</v>
      </c>
      <c r="L1466" s="55" t="s">
        <v>360</v>
      </c>
      <c r="M1466" s="55" t="s">
        <v>136</v>
      </c>
      <c r="N1466" s="55" t="s">
        <v>136</v>
      </c>
      <c r="O1466" s="55" t="s">
        <v>174</v>
      </c>
      <c r="P1466" s="55" t="s">
        <v>1010</v>
      </c>
      <c r="Q1466" s="55" t="s">
        <v>350</v>
      </c>
      <c r="R1466" s="85">
        <v>1</v>
      </c>
      <c r="S1466" s="55">
        <v>0</v>
      </c>
      <c r="T1466" s="74" t="s">
        <v>1295</v>
      </c>
      <c r="U1466" s="74" t="s">
        <v>351</v>
      </c>
      <c r="V1466" s="74">
        <v>44600</v>
      </c>
      <c r="W1466" s="74">
        <v>44644</v>
      </c>
      <c r="X1466" s="55">
        <v>10187123</v>
      </c>
      <c r="Y1466" s="55" t="s">
        <v>130</v>
      </c>
      <c r="AB1466" s="74" t="s">
        <v>130</v>
      </c>
      <c r="AC1466" s="55" t="s">
        <v>130</v>
      </c>
      <c r="AL1466" s="74"/>
      <c r="AM1466" s="74"/>
      <c r="AW1466" s="74"/>
      <c r="AX1466" s="74"/>
    </row>
    <row r="1467" spans="1:50" ht="13" x14ac:dyDescent="0.15">
      <c r="A1467" s="55" t="str">
        <f>HYPERLINK("http://reports.ofsted.gov.uk/inspection-reports/find-inspection-report/provider/CARE/2610371","Ofsted Social Care Provider Webpage")</f>
        <v>Ofsted Social Care Provider Webpage</v>
      </c>
      <c r="B1467" s="55">
        <v>2610371</v>
      </c>
      <c r="D1467" s="55" t="s">
        <v>373</v>
      </c>
      <c r="E1467" s="74">
        <v>44203</v>
      </c>
      <c r="F1467" s="55" t="s">
        <v>344</v>
      </c>
      <c r="G1467" s="55" t="s">
        <v>360</v>
      </c>
      <c r="H1467" s="55" t="s">
        <v>360</v>
      </c>
      <c r="I1467" s="55" t="s">
        <v>360</v>
      </c>
      <c r="J1467" s="55" t="s">
        <v>360</v>
      </c>
      <c r="K1467" s="55" t="s">
        <v>360</v>
      </c>
      <c r="L1467" s="55" t="s">
        <v>360</v>
      </c>
      <c r="M1467" s="55" t="s">
        <v>142</v>
      </c>
      <c r="N1467" s="55" t="s">
        <v>142</v>
      </c>
      <c r="O1467" s="55" t="s">
        <v>249</v>
      </c>
      <c r="P1467" s="55" t="s">
        <v>1149</v>
      </c>
      <c r="Q1467" s="55" t="s">
        <v>350</v>
      </c>
      <c r="R1467" s="85">
        <v>2</v>
      </c>
      <c r="S1467" s="55">
        <v>0</v>
      </c>
      <c r="T1467" s="74" t="s">
        <v>1987</v>
      </c>
      <c r="U1467" s="74" t="s">
        <v>351</v>
      </c>
      <c r="V1467" s="74">
        <v>44390</v>
      </c>
      <c r="W1467" s="74">
        <v>44431</v>
      </c>
      <c r="X1467" s="55">
        <v>10187519</v>
      </c>
      <c r="Y1467" s="55" t="s">
        <v>132</v>
      </c>
      <c r="AB1467" s="74" t="s">
        <v>130</v>
      </c>
      <c r="AC1467" s="55" t="s">
        <v>132</v>
      </c>
      <c r="AL1467" s="74"/>
      <c r="AM1467" s="74"/>
      <c r="AW1467" s="74"/>
      <c r="AX1467" s="74"/>
    </row>
    <row r="1468" spans="1:50" ht="13" x14ac:dyDescent="0.15">
      <c r="A1468" s="55" t="str">
        <f>HYPERLINK("http://reports.ofsted.gov.uk/inspection-reports/find-inspection-report/provider/CARE/2610709","Ofsted Social Care Provider Webpage")</f>
        <v>Ofsted Social Care Provider Webpage</v>
      </c>
      <c r="B1468" s="55">
        <v>2610709</v>
      </c>
      <c r="D1468" s="55" t="s">
        <v>373</v>
      </c>
      <c r="E1468" s="74">
        <v>44130</v>
      </c>
      <c r="F1468" s="55" t="s">
        <v>344</v>
      </c>
      <c r="G1468" s="55" t="s">
        <v>360</v>
      </c>
      <c r="H1468" s="55" t="s">
        <v>360</v>
      </c>
      <c r="I1468" s="55" t="s">
        <v>360</v>
      </c>
      <c r="J1468" s="55" t="s">
        <v>360</v>
      </c>
      <c r="K1468" s="55" t="s">
        <v>360</v>
      </c>
      <c r="L1468" s="55" t="s">
        <v>360</v>
      </c>
      <c r="M1468" s="55" t="s">
        <v>136</v>
      </c>
      <c r="N1468" s="55" t="s">
        <v>136</v>
      </c>
      <c r="O1468" s="55" t="s">
        <v>274</v>
      </c>
      <c r="P1468" s="55" t="s">
        <v>274</v>
      </c>
      <c r="Q1468" s="55" t="s">
        <v>350</v>
      </c>
      <c r="R1468" s="85">
        <v>2</v>
      </c>
      <c r="S1468" s="55">
        <v>0</v>
      </c>
      <c r="T1468" s="74" t="s">
        <v>721</v>
      </c>
      <c r="U1468" s="74" t="s">
        <v>351</v>
      </c>
      <c r="V1468" s="74">
        <v>44313</v>
      </c>
      <c r="W1468" s="74">
        <v>44337</v>
      </c>
      <c r="X1468" s="55">
        <v>10186842</v>
      </c>
      <c r="Y1468" s="55" t="s">
        <v>132</v>
      </c>
      <c r="AB1468" s="74" t="s">
        <v>132</v>
      </c>
      <c r="AC1468" s="55" t="s">
        <v>132</v>
      </c>
      <c r="AL1468" s="74"/>
      <c r="AM1468" s="74"/>
    </row>
    <row r="1469" spans="1:50" ht="13" x14ac:dyDescent="0.15">
      <c r="A1469" s="55" t="str">
        <f>HYPERLINK("http://reports.ofsted.gov.uk/inspection-reports/find-inspection-report/provider/CARE/2610935","Ofsted Social Care Provider Webpage")</f>
        <v>Ofsted Social Care Provider Webpage</v>
      </c>
      <c r="B1469" s="55">
        <v>2610935</v>
      </c>
      <c r="D1469" s="55" t="s">
        <v>373</v>
      </c>
      <c r="E1469" s="74">
        <v>44218</v>
      </c>
      <c r="F1469" s="55" t="s">
        <v>344</v>
      </c>
      <c r="G1469" s="55" t="s">
        <v>360</v>
      </c>
      <c r="H1469" s="55" t="s">
        <v>360</v>
      </c>
      <c r="I1469" s="55" t="s">
        <v>360</v>
      </c>
      <c r="J1469" s="55" t="s">
        <v>360</v>
      </c>
      <c r="K1469" s="55" t="s">
        <v>360</v>
      </c>
      <c r="L1469" s="55" t="s">
        <v>360</v>
      </c>
      <c r="M1469" s="55" t="s">
        <v>138</v>
      </c>
      <c r="N1469" s="55" t="s">
        <v>138</v>
      </c>
      <c r="O1469" s="55" t="s">
        <v>183</v>
      </c>
      <c r="P1469" s="55" t="s">
        <v>664</v>
      </c>
      <c r="Q1469" s="55" t="s">
        <v>350</v>
      </c>
      <c r="R1469" s="85">
        <v>2</v>
      </c>
      <c r="S1469" s="55">
        <v>0</v>
      </c>
      <c r="T1469" s="74" t="s">
        <v>1988</v>
      </c>
      <c r="U1469" s="74" t="s">
        <v>351</v>
      </c>
      <c r="V1469" s="74">
        <v>44474</v>
      </c>
      <c r="W1469" s="74">
        <v>44512</v>
      </c>
      <c r="X1469" s="55">
        <v>10188261</v>
      </c>
      <c r="Y1469" s="55" t="s">
        <v>130</v>
      </c>
      <c r="AB1469" s="74" t="s">
        <v>130</v>
      </c>
      <c r="AC1469" s="55" t="s">
        <v>130</v>
      </c>
      <c r="AL1469" s="74"/>
      <c r="AM1469" s="74"/>
    </row>
    <row r="1470" spans="1:50" ht="13" x14ac:dyDescent="0.15">
      <c r="A1470" s="55" t="str">
        <f>HYPERLINK("http://reports.ofsted.gov.uk/inspection-reports/find-inspection-report/provider/CARE/2610935","Ofsted Social Care Provider Webpage")</f>
        <v>Ofsted Social Care Provider Webpage</v>
      </c>
      <c r="B1470" s="55">
        <v>2610935</v>
      </c>
      <c r="D1470" s="55" t="s">
        <v>373</v>
      </c>
      <c r="E1470" s="74">
        <v>44218</v>
      </c>
      <c r="F1470" s="55" t="s">
        <v>344</v>
      </c>
      <c r="G1470" s="55" t="s">
        <v>360</v>
      </c>
      <c r="H1470" s="55" t="s">
        <v>360</v>
      </c>
      <c r="I1470" s="55" t="s">
        <v>360</v>
      </c>
      <c r="J1470" s="55" t="s">
        <v>360</v>
      </c>
      <c r="K1470" s="55" t="s">
        <v>360</v>
      </c>
      <c r="L1470" s="55" t="s">
        <v>360</v>
      </c>
      <c r="M1470" s="55" t="s">
        <v>138</v>
      </c>
      <c r="N1470" s="55" t="s">
        <v>138</v>
      </c>
      <c r="O1470" s="55" t="s">
        <v>183</v>
      </c>
      <c r="P1470" s="55" t="s">
        <v>664</v>
      </c>
      <c r="Q1470" s="55" t="s">
        <v>350</v>
      </c>
      <c r="R1470" s="85">
        <v>2</v>
      </c>
      <c r="S1470" s="55">
        <v>0</v>
      </c>
      <c r="T1470" s="74" t="s">
        <v>1988</v>
      </c>
      <c r="U1470" s="74" t="s">
        <v>6703</v>
      </c>
      <c r="V1470" s="74">
        <v>44635</v>
      </c>
      <c r="W1470" s="74">
        <v>44676</v>
      </c>
      <c r="X1470" s="55">
        <v>10209968</v>
      </c>
      <c r="Y1470" s="55" t="s">
        <v>6705</v>
      </c>
      <c r="AL1470" s="74"/>
      <c r="AM1470" s="74"/>
      <c r="AW1470" s="74"/>
      <c r="AX1470" s="74"/>
    </row>
    <row r="1471" spans="1:50" ht="13" x14ac:dyDescent="0.15">
      <c r="A1471" s="55" t="str">
        <f>HYPERLINK("http://reports.ofsted.gov.uk/inspection-reports/find-inspection-report/provider/CARE/2611027","Ofsted Social Care Provider Webpage")</f>
        <v>Ofsted Social Care Provider Webpage</v>
      </c>
      <c r="B1471" s="55">
        <v>2611027</v>
      </c>
      <c r="D1471" s="55" t="s">
        <v>373</v>
      </c>
      <c r="E1471" s="74">
        <v>44454</v>
      </c>
      <c r="F1471" s="55" t="s">
        <v>344</v>
      </c>
      <c r="G1471" s="55" t="s">
        <v>360</v>
      </c>
      <c r="H1471" s="55" t="s">
        <v>360</v>
      </c>
      <c r="I1471" s="55" t="s">
        <v>360</v>
      </c>
      <c r="J1471" s="55" t="s">
        <v>360</v>
      </c>
      <c r="K1471" s="55" t="s">
        <v>360</v>
      </c>
      <c r="L1471" s="55" t="s">
        <v>360</v>
      </c>
      <c r="M1471" s="55" t="s">
        <v>142</v>
      </c>
      <c r="N1471" s="55" t="s">
        <v>142</v>
      </c>
      <c r="O1471" s="55" t="s">
        <v>262</v>
      </c>
      <c r="P1471" s="55" t="s">
        <v>916</v>
      </c>
      <c r="Q1471" s="55" t="s">
        <v>350</v>
      </c>
      <c r="R1471" s="85">
        <v>10</v>
      </c>
      <c r="S1471" s="55">
        <v>0</v>
      </c>
      <c r="T1471" s="74" t="s">
        <v>1874</v>
      </c>
      <c r="U1471" s="74" t="s">
        <v>351</v>
      </c>
      <c r="V1471" s="74">
        <v>44586</v>
      </c>
      <c r="W1471" s="74">
        <v>44621</v>
      </c>
      <c r="X1471" s="55">
        <v>10207447</v>
      </c>
      <c r="Y1471" s="55" t="s">
        <v>132</v>
      </c>
      <c r="AB1471" s="74" t="s">
        <v>132</v>
      </c>
      <c r="AC1471" s="55" t="s">
        <v>132</v>
      </c>
      <c r="AL1471" s="74"/>
      <c r="AM1471" s="74"/>
      <c r="AW1471" s="74"/>
      <c r="AX1471" s="74"/>
    </row>
    <row r="1472" spans="1:50" ht="13" x14ac:dyDescent="0.15">
      <c r="A1472" s="55" t="str">
        <f>HYPERLINK("http://reports.ofsted.gov.uk/inspection-reports/find-inspection-report/provider/CARE/2611110","Ofsted Social Care Provider Webpage")</f>
        <v>Ofsted Social Care Provider Webpage</v>
      </c>
      <c r="B1472" s="55">
        <v>2611110</v>
      </c>
      <c r="D1472" s="55" t="s">
        <v>373</v>
      </c>
      <c r="E1472" s="74">
        <v>44187</v>
      </c>
      <c r="F1472" s="55" t="s">
        <v>344</v>
      </c>
      <c r="G1472" s="55" t="s">
        <v>360</v>
      </c>
      <c r="H1472" s="55" t="s">
        <v>360</v>
      </c>
      <c r="I1472" s="55" t="s">
        <v>360</v>
      </c>
      <c r="J1472" s="55" t="s">
        <v>360</v>
      </c>
      <c r="K1472" s="55" t="s">
        <v>360</v>
      </c>
      <c r="L1472" s="55" t="s">
        <v>360</v>
      </c>
      <c r="M1472" s="55" t="s">
        <v>150</v>
      </c>
      <c r="N1472" s="55" t="s">
        <v>150</v>
      </c>
      <c r="O1472" s="55" t="s">
        <v>241</v>
      </c>
      <c r="P1472" s="55" t="s">
        <v>1492</v>
      </c>
      <c r="Q1472" s="55" t="s">
        <v>350</v>
      </c>
      <c r="R1472" s="85">
        <v>7</v>
      </c>
      <c r="S1472" s="55">
        <v>0</v>
      </c>
      <c r="T1472" s="74" t="s">
        <v>487</v>
      </c>
      <c r="U1472" s="74" t="s">
        <v>6703</v>
      </c>
      <c r="V1472" s="74">
        <v>44593</v>
      </c>
      <c r="W1472" s="74">
        <v>44631</v>
      </c>
      <c r="X1472" s="55">
        <v>10220766</v>
      </c>
      <c r="Y1472" s="55" t="s">
        <v>6704</v>
      </c>
      <c r="AL1472" s="74"/>
      <c r="AM1472" s="74"/>
      <c r="AW1472" s="74"/>
      <c r="AX1472" s="74"/>
    </row>
    <row r="1473" spans="1:50" ht="13" x14ac:dyDescent="0.15">
      <c r="A1473" s="55" t="str">
        <f>HYPERLINK("http://reports.ofsted.gov.uk/inspection-reports/find-inspection-report/provider/CARE/2611110","Ofsted Social Care Provider Webpage")</f>
        <v>Ofsted Social Care Provider Webpage</v>
      </c>
      <c r="B1473" s="55">
        <v>2611110</v>
      </c>
      <c r="D1473" s="55" t="s">
        <v>373</v>
      </c>
      <c r="E1473" s="74">
        <v>44187</v>
      </c>
      <c r="F1473" s="55" t="s">
        <v>344</v>
      </c>
      <c r="G1473" s="55" t="s">
        <v>360</v>
      </c>
      <c r="H1473" s="55" t="s">
        <v>360</v>
      </c>
      <c r="I1473" s="55" t="s">
        <v>360</v>
      </c>
      <c r="J1473" s="55" t="s">
        <v>360</v>
      </c>
      <c r="K1473" s="55" t="s">
        <v>360</v>
      </c>
      <c r="L1473" s="55" t="s">
        <v>360</v>
      </c>
      <c r="M1473" s="55" t="s">
        <v>150</v>
      </c>
      <c r="N1473" s="55" t="s">
        <v>150</v>
      </c>
      <c r="O1473" s="55" t="s">
        <v>241</v>
      </c>
      <c r="P1473" s="55" t="s">
        <v>1492</v>
      </c>
      <c r="Q1473" s="55" t="s">
        <v>350</v>
      </c>
      <c r="R1473" s="85">
        <v>7</v>
      </c>
      <c r="S1473" s="55">
        <v>0</v>
      </c>
      <c r="T1473" s="74" t="s">
        <v>487</v>
      </c>
      <c r="U1473" s="74" t="s">
        <v>351</v>
      </c>
      <c r="V1473" s="74">
        <v>44321</v>
      </c>
      <c r="W1473" s="74">
        <v>44377</v>
      </c>
      <c r="X1473" s="55">
        <v>10186197</v>
      </c>
      <c r="Y1473" s="55" t="s">
        <v>132</v>
      </c>
      <c r="AB1473" s="74" t="s">
        <v>132</v>
      </c>
      <c r="AC1473" s="55" t="s">
        <v>132</v>
      </c>
      <c r="AL1473" s="74"/>
      <c r="AM1473" s="74"/>
      <c r="AW1473" s="74"/>
      <c r="AX1473" s="74"/>
    </row>
    <row r="1474" spans="1:50" ht="13" x14ac:dyDescent="0.15">
      <c r="A1474" s="55" t="str">
        <f>HYPERLINK("http://reports.ofsted.gov.uk/inspection-reports/find-inspection-report/provider/CARE/2611190","Ofsted Social Care Provider Webpage")</f>
        <v>Ofsted Social Care Provider Webpage</v>
      </c>
      <c r="B1474" s="55">
        <v>2611190</v>
      </c>
      <c r="D1474" s="55" t="s">
        <v>479</v>
      </c>
      <c r="E1474" s="74">
        <v>44204</v>
      </c>
      <c r="F1474" s="55" t="s">
        <v>344</v>
      </c>
      <c r="G1474" s="55" t="s">
        <v>360</v>
      </c>
      <c r="H1474" s="55" t="s">
        <v>360</v>
      </c>
      <c r="I1474" s="55" t="s">
        <v>360</v>
      </c>
      <c r="J1474" s="55" t="s">
        <v>360</v>
      </c>
      <c r="K1474" s="55" t="s">
        <v>360</v>
      </c>
      <c r="L1474" s="55" t="s">
        <v>360</v>
      </c>
      <c r="M1474" s="55" t="s">
        <v>172</v>
      </c>
      <c r="N1474" s="55" t="s">
        <v>172</v>
      </c>
      <c r="O1474" s="55" t="s">
        <v>284</v>
      </c>
      <c r="P1474" s="55" t="s">
        <v>986</v>
      </c>
      <c r="Q1474" s="55" t="s">
        <v>350</v>
      </c>
      <c r="R1474" s="85">
        <v>20</v>
      </c>
      <c r="S1474" s="55">
        <v>0</v>
      </c>
      <c r="T1474" s="74" t="s">
        <v>596</v>
      </c>
      <c r="U1474" s="74" t="s">
        <v>351</v>
      </c>
      <c r="V1474" s="74">
        <v>44593</v>
      </c>
      <c r="W1474" s="74">
        <v>44622</v>
      </c>
      <c r="X1474" s="55">
        <v>10186857</v>
      </c>
      <c r="Y1474" s="55" t="s">
        <v>132</v>
      </c>
      <c r="AB1474" s="74" t="s">
        <v>132</v>
      </c>
      <c r="AC1474" s="55" t="s">
        <v>132</v>
      </c>
      <c r="AL1474" s="74"/>
      <c r="AM1474" s="74"/>
      <c r="AW1474" s="74"/>
      <c r="AX1474" s="74"/>
    </row>
    <row r="1475" spans="1:50" ht="13" x14ac:dyDescent="0.15">
      <c r="A1475" s="55" t="str">
        <f>HYPERLINK("http://reports.ofsted.gov.uk/inspection-reports/find-inspection-report/provider/CARE/2611210","Ofsted Social Care Provider Webpage")</f>
        <v>Ofsted Social Care Provider Webpage</v>
      </c>
      <c r="B1475" s="55">
        <v>2611210</v>
      </c>
      <c r="D1475" s="55" t="s">
        <v>373</v>
      </c>
      <c r="E1475" s="74">
        <v>44181</v>
      </c>
      <c r="F1475" s="55" t="s">
        <v>344</v>
      </c>
      <c r="G1475" s="55" t="s">
        <v>360</v>
      </c>
      <c r="H1475" s="55" t="s">
        <v>360</v>
      </c>
      <c r="I1475" s="55" t="s">
        <v>360</v>
      </c>
      <c r="J1475" s="55" t="s">
        <v>360</v>
      </c>
      <c r="K1475" s="55" t="s">
        <v>360</v>
      </c>
      <c r="L1475" s="55" t="s">
        <v>360</v>
      </c>
      <c r="M1475" s="55" t="s">
        <v>378</v>
      </c>
      <c r="N1475" s="55" t="s">
        <v>134</v>
      </c>
      <c r="O1475" s="55" t="s">
        <v>210</v>
      </c>
      <c r="P1475" s="55" t="s">
        <v>1989</v>
      </c>
      <c r="Q1475" s="55" t="s">
        <v>380</v>
      </c>
      <c r="R1475" s="85">
        <v>4</v>
      </c>
      <c r="S1475" s="55">
        <v>0</v>
      </c>
      <c r="T1475" s="74" t="s">
        <v>543</v>
      </c>
      <c r="U1475" s="74" t="s">
        <v>351</v>
      </c>
      <c r="V1475" s="74">
        <v>44341</v>
      </c>
      <c r="W1475" s="74">
        <v>44384</v>
      </c>
      <c r="X1475" s="55">
        <v>10185533</v>
      </c>
      <c r="Y1475" s="55" t="s">
        <v>132</v>
      </c>
      <c r="AB1475" s="74" t="s">
        <v>132</v>
      </c>
      <c r="AC1475" s="55" t="s">
        <v>130</v>
      </c>
      <c r="AL1475" s="74"/>
      <c r="AM1475" s="74"/>
    </row>
    <row r="1476" spans="1:50" ht="13" x14ac:dyDescent="0.15">
      <c r="A1476" s="55" t="str">
        <f>HYPERLINK("http://reports.ofsted.gov.uk/inspection-reports/find-inspection-report/provider/CARE/2611288","Ofsted Social Care Provider Webpage")</f>
        <v>Ofsted Social Care Provider Webpage</v>
      </c>
      <c r="B1476" s="55">
        <v>2611288</v>
      </c>
      <c r="D1476" s="55" t="s">
        <v>373</v>
      </c>
      <c r="E1476" s="74">
        <v>44228</v>
      </c>
      <c r="F1476" s="55" t="s">
        <v>344</v>
      </c>
      <c r="G1476" s="55" t="s">
        <v>360</v>
      </c>
      <c r="H1476" s="55" t="s">
        <v>360</v>
      </c>
      <c r="I1476" s="55" t="s">
        <v>360</v>
      </c>
      <c r="J1476" s="55" t="s">
        <v>360</v>
      </c>
      <c r="K1476" s="55" t="s">
        <v>360</v>
      </c>
      <c r="L1476" s="55" t="s">
        <v>360</v>
      </c>
      <c r="M1476" s="55" t="s">
        <v>129</v>
      </c>
      <c r="N1476" s="55" t="s">
        <v>129</v>
      </c>
      <c r="O1476" s="55" t="s">
        <v>179</v>
      </c>
      <c r="P1476" s="55" t="s">
        <v>1584</v>
      </c>
      <c r="Q1476" s="55" t="s">
        <v>350</v>
      </c>
      <c r="R1476" s="85">
        <v>3</v>
      </c>
      <c r="S1476" s="55">
        <v>0</v>
      </c>
      <c r="T1476" s="74" t="s">
        <v>1990</v>
      </c>
      <c r="U1476" s="74" t="s">
        <v>351</v>
      </c>
      <c r="V1476" s="74">
        <v>44377</v>
      </c>
      <c r="W1476" s="74">
        <v>44424</v>
      </c>
      <c r="X1476" s="55">
        <v>10188267</v>
      </c>
      <c r="Y1476" s="55" t="s">
        <v>146</v>
      </c>
      <c r="AB1476" s="74" t="s">
        <v>146</v>
      </c>
      <c r="AC1476" s="55" t="s">
        <v>146</v>
      </c>
      <c r="AL1476" s="74"/>
      <c r="AM1476" s="74"/>
      <c r="AW1476" s="74"/>
      <c r="AX1476" s="74"/>
    </row>
    <row r="1477" spans="1:50" ht="13" x14ac:dyDescent="0.15">
      <c r="A1477" s="55" t="str">
        <f>HYPERLINK("http://reports.ofsted.gov.uk/inspection-reports/find-inspection-report/provider/CARE/2611288","Ofsted Social Care Provider Webpage")</f>
        <v>Ofsted Social Care Provider Webpage</v>
      </c>
      <c r="B1477" s="55">
        <v>2611288</v>
      </c>
      <c r="D1477" s="55" t="s">
        <v>373</v>
      </c>
      <c r="E1477" s="74">
        <v>44228</v>
      </c>
      <c r="F1477" s="55" t="s">
        <v>344</v>
      </c>
      <c r="G1477" s="55" t="s">
        <v>360</v>
      </c>
      <c r="H1477" s="55" t="s">
        <v>360</v>
      </c>
      <c r="I1477" s="55" t="s">
        <v>360</v>
      </c>
      <c r="J1477" s="55" t="s">
        <v>360</v>
      </c>
      <c r="K1477" s="55" t="s">
        <v>360</v>
      </c>
      <c r="L1477" s="55" t="s">
        <v>360</v>
      </c>
      <c r="M1477" s="55" t="s">
        <v>129</v>
      </c>
      <c r="N1477" s="55" t="s">
        <v>129</v>
      </c>
      <c r="O1477" s="55" t="s">
        <v>179</v>
      </c>
      <c r="P1477" s="55" t="s">
        <v>1584</v>
      </c>
      <c r="Q1477" s="55" t="s">
        <v>350</v>
      </c>
      <c r="R1477" s="85">
        <v>3</v>
      </c>
      <c r="S1477" s="55">
        <v>0</v>
      </c>
      <c r="T1477" s="74" t="s">
        <v>1990</v>
      </c>
      <c r="U1477" s="74" t="s">
        <v>351</v>
      </c>
      <c r="V1477" s="74">
        <v>44508</v>
      </c>
      <c r="W1477" s="74">
        <v>44550</v>
      </c>
      <c r="X1477" s="55">
        <v>10208943</v>
      </c>
      <c r="Y1477" s="55" t="s">
        <v>130</v>
      </c>
      <c r="AB1477" s="74" t="s">
        <v>130</v>
      </c>
      <c r="AC1477" s="55" t="s">
        <v>132</v>
      </c>
      <c r="AL1477" s="74"/>
      <c r="AM1477" s="74"/>
      <c r="AW1477" s="74"/>
      <c r="AX1477" s="74"/>
    </row>
    <row r="1478" spans="1:50" ht="13" x14ac:dyDescent="0.15">
      <c r="A1478" s="55" t="str">
        <f>HYPERLINK("http://reports.ofsted.gov.uk/inspection-reports/find-inspection-report/provider/CARE/2611288","Ofsted Social Care Provider Webpage")</f>
        <v>Ofsted Social Care Provider Webpage</v>
      </c>
      <c r="B1478" s="55">
        <v>2611288</v>
      </c>
      <c r="D1478" s="55" t="s">
        <v>373</v>
      </c>
      <c r="E1478" s="74">
        <v>44228</v>
      </c>
      <c r="F1478" s="55" t="s">
        <v>344</v>
      </c>
      <c r="G1478" s="55" t="s">
        <v>360</v>
      </c>
      <c r="H1478" s="55" t="s">
        <v>360</v>
      </c>
      <c r="I1478" s="55" t="s">
        <v>360</v>
      </c>
      <c r="J1478" s="55" t="s">
        <v>360</v>
      </c>
      <c r="K1478" s="55" t="s">
        <v>360</v>
      </c>
      <c r="L1478" s="55" t="s">
        <v>360</v>
      </c>
      <c r="M1478" s="55" t="s">
        <v>129</v>
      </c>
      <c r="N1478" s="55" t="s">
        <v>129</v>
      </c>
      <c r="O1478" s="55" t="s">
        <v>179</v>
      </c>
      <c r="P1478" s="55" t="s">
        <v>1584</v>
      </c>
      <c r="Q1478" s="55" t="s">
        <v>350</v>
      </c>
      <c r="R1478" s="85">
        <v>3</v>
      </c>
      <c r="S1478" s="55">
        <v>0</v>
      </c>
      <c r="T1478" s="74" t="s">
        <v>1990</v>
      </c>
      <c r="U1478" s="74" t="s">
        <v>2053</v>
      </c>
      <c r="V1478" s="74">
        <v>44425</v>
      </c>
      <c r="W1478" s="74">
        <v>44452</v>
      </c>
      <c r="X1478" s="55">
        <v>10204391</v>
      </c>
      <c r="AL1478" s="74"/>
      <c r="AM1478" s="74"/>
      <c r="AW1478" s="74"/>
      <c r="AX1478" s="74"/>
    </row>
    <row r="1479" spans="1:50" ht="13" x14ac:dyDescent="0.15">
      <c r="A1479" s="55" t="str">
        <f>HYPERLINK("http://reports.ofsted.gov.uk/inspection-reports/find-inspection-report/provider/CARE/2611288","Ofsted Social Care Provider Webpage")</f>
        <v>Ofsted Social Care Provider Webpage</v>
      </c>
      <c r="B1479" s="55">
        <v>2611288</v>
      </c>
      <c r="D1479" s="55" t="s">
        <v>373</v>
      </c>
      <c r="E1479" s="74">
        <v>44228</v>
      </c>
      <c r="F1479" s="55" t="s">
        <v>344</v>
      </c>
      <c r="G1479" s="55" t="s">
        <v>360</v>
      </c>
      <c r="H1479" s="55" t="s">
        <v>360</v>
      </c>
      <c r="I1479" s="55" t="s">
        <v>360</v>
      </c>
      <c r="J1479" s="55" t="s">
        <v>360</v>
      </c>
      <c r="K1479" s="55" t="s">
        <v>360</v>
      </c>
      <c r="L1479" s="55" t="s">
        <v>360</v>
      </c>
      <c r="M1479" s="55" t="s">
        <v>129</v>
      </c>
      <c r="N1479" s="55" t="s">
        <v>129</v>
      </c>
      <c r="O1479" s="55" t="s">
        <v>179</v>
      </c>
      <c r="P1479" s="55" t="s">
        <v>1584</v>
      </c>
      <c r="Q1479" s="55" t="s">
        <v>350</v>
      </c>
      <c r="R1479" s="85">
        <v>3</v>
      </c>
      <c r="S1479" s="55">
        <v>0</v>
      </c>
      <c r="T1479" s="74" t="s">
        <v>1990</v>
      </c>
      <c r="U1479" s="74" t="s">
        <v>2053</v>
      </c>
      <c r="V1479" s="74">
        <v>44446</v>
      </c>
      <c r="W1479" s="74">
        <v>44473</v>
      </c>
      <c r="X1479" s="55">
        <v>10204710</v>
      </c>
      <c r="AL1479" s="74"/>
      <c r="AM1479" s="74"/>
      <c r="AW1479" s="74"/>
      <c r="AX1479" s="74"/>
    </row>
    <row r="1480" spans="1:50" ht="13" x14ac:dyDescent="0.15">
      <c r="A1480" s="55" t="str">
        <f>HYPERLINK("http://reports.ofsted.gov.uk/inspection-reports/find-inspection-report/provider/CARE/2611447","Ofsted Social Care Provider Webpage")</f>
        <v>Ofsted Social Care Provider Webpage</v>
      </c>
      <c r="B1480" s="55">
        <v>2611447</v>
      </c>
      <c r="D1480" s="55" t="s">
        <v>373</v>
      </c>
      <c r="E1480" s="74">
        <v>44349</v>
      </c>
      <c r="F1480" s="55" t="s">
        <v>344</v>
      </c>
      <c r="G1480" s="55" t="s">
        <v>360</v>
      </c>
      <c r="H1480" s="55" t="s">
        <v>360</v>
      </c>
      <c r="I1480" s="55" t="s">
        <v>360</v>
      </c>
      <c r="J1480" s="55" t="s">
        <v>360</v>
      </c>
      <c r="K1480" s="55" t="s">
        <v>360</v>
      </c>
      <c r="L1480" s="55" t="s">
        <v>360</v>
      </c>
      <c r="M1480" s="55" t="s">
        <v>150</v>
      </c>
      <c r="N1480" s="55" t="s">
        <v>150</v>
      </c>
      <c r="O1480" s="55" t="s">
        <v>156</v>
      </c>
      <c r="P1480" s="55" t="s">
        <v>1217</v>
      </c>
      <c r="Q1480" s="55" t="s">
        <v>380</v>
      </c>
      <c r="R1480" s="85">
        <v>5</v>
      </c>
      <c r="S1480" s="55">
        <v>0</v>
      </c>
      <c r="T1480" s="74" t="s">
        <v>1278</v>
      </c>
      <c r="U1480" s="74" t="s">
        <v>351</v>
      </c>
      <c r="V1480" s="74">
        <v>44579</v>
      </c>
      <c r="W1480" s="74">
        <v>44623</v>
      </c>
      <c r="X1480" s="55">
        <v>10203236</v>
      </c>
      <c r="Y1480" s="55" t="s">
        <v>132</v>
      </c>
      <c r="AB1480" s="74" t="s">
        <v>132</v>
      </c>
      <c r="AC1480" s="55" t="s">
        <v>140</v>
      </c>
      <c r="AL1480" s="74"/>
      <c r="AM1480" s="74"/>
    </row>
    <row r="1481" spans="1:50" ht="13" x14ac:dyDescent="0.15">
      <c r="A1481" s="55" t="str">
        <f>HYPERLINK("http://reports.ofsted.gov.uk/inspection-reports/find-inspection-report/provider/CARE/2611536","Ofsted Social Care Provider Webpage")</f>
        <v>Ofsted Social Care Provider Webpage</v>
      </c>
      <c r="B1481" s="55">
        <v>2611536</v>
      </c>
      <c r="D1481" s="55" t="s">
        <v>373</v>
      </c>
      <c r="E1481" s="74">
        <v>44323</v>
      </c>
      <c r="F1481" s="55" t="s">
        <v>344</v>
      </c>
      <c r="G1481" s="55" t="s">
        <v>360</v>
      </c>
      <c r="H1481" s="55" t="s">
        <v>360</v>
      </c>
      <c r="I1481" s="55" t="s">
        <v>360</v>
      </c>
      <c r="J1481" s="55" t="s">
        <v>360</v>
      </c>
      <c r="K1481" s="55" t="s">
        <v>360</v>
      </c>
      <c r="L1481" s="55" t="s">
        <v>360</v>
      </c>
      <c r="M1481" s="55" t="s">
        <v>136</v>
      </c>
      <c r="N1481" s="55" t="s">
        <v>136</v>
      </c>
      <c r="O1481" s="55" t="s">
        <v>174</v>
      </c>
      <c r="P1481" s="55" t="s">
        <v>570</v>
      </c>
      <c r="Q1481" s="55" t="s">
        <v>350</v>
      </c>
      <c r="R1481" s="85">
        <v>5</v>
      </c>
      <c r="S1481" s="55">
        <v>0</v>
      </c>
      <c r="T1481" s="74" t="s">
        <v>1991</v>
      </c>
      <c r="U1481" s="74" t="s">
        <v>351</v>
      </c>
      <c r="V1481" s="74">
        <v>44530</v>
      </c>
      <c r="W1481" s="74">
        <v>44575</v>
      </c>
      <c r="X1481" s="55">
        <v>10209360</v>
      </c>
      <c r="Y1481" s="55" t="s">
        <v>146</v>
      </c>
      <c r="AB1481" s="74" t="s">
        <v>146</v>
      </c>
      <c r="AC1481" s="55" t="s">
        <v>146</v>
      </c>
      <c r="AL1481" s="74"/>
      <c r="AM1481" s="74"/>
    </row>
    <row r="1482" spans="1:50" ht="13" x14ac:dyDescent="0.15">
      <c r="A1482" s="55" t="str">
        <f>HYPERLINK("http://reports.ofsted.gov.uk/inspection-reports/find-inspection-report/provider/CARE/2611536","Ofsted Social Care Provider Webpage")</f>
        <v>Ofsted Social Care Provider Webpage</v>
      </c>
      <c r="B1482" s="55">
        <v>2611536</v>
      </c>
      <c r="D1482" s="55" t="s">
        <v>373</v>
      </c>
      <c r="E1482" s="74">
        <v>44323</v>
      </c>
      <c r="F1482" s="55" t="s">
        <v>344</v>
      </c>
      <c r="G1482" s="55" t="s">
        <v>360</v>
      </c>
      <c r="H1482" s="55" t="s">
        <v>360</v>
      </c>
      <c r="I1482" s="55" t="s">
        <v>360</v>
      </c>
      <c r="J1482" s="55" t="s">
        <v>360</v>
      </c>
      <c r="K1482" s="55" t="s">
        <v>360</v>
      </c>
      <c r="L1482" s="55" t="s">
        <v>360</v>
      </c>
      <c r="M1482" s="55" t="s">
        <v>136</v>
      </c>
      <c r="N1482" s="55" t="s">
        <v>136</v>
      </c>
      <c r="O1482" s="55" t="s">
        <v>174</v>
      </c>
      <c r="P1482" s="55" t="s">
        <v>570</v>
      </c>
      <c r="Q1482" s="55" t="s">
        <v>350</v>
      </c>
      <c r="R1482" s="85">
        <v>5</v>
      </c>
      <c r="S1482" s="55">
        <v>0</v>
      </c>
      <c r="T1482" s="74" t="s">
        <v>1991</v>
      </c>
      <c r="U1482" s="74" t="s">
        <v>2053</v>
      </c>
      <c r="V1482" s="74">
        <v>44572</v>
      </c>
      <c r="W1482" s="74">
        <v>44596</v>
      </c>
      <c r="X1482" s="55">
        <v>10217163</v>
      </c>
      <c r="AL1482" s="74"/>
      <c r="AM1482" s="74"/>
      <c r="AW1482" s="74"/>
      <c r="AX1482" s="74"/>
    </row>
    <row r="1483" spans="1:50" ht="13" x14ac:dyDescent="0.15">
      <c r="A1483" s="55" t="str">
        <f>HYPERLINK("http://reports.ofsted.gov.uk/inspection-reports/find-inspection-report/provider/CARE/2611667","Ofsted Social Care Provider Webpage")</f>
        <v>Ofsted Social Care Provider Webpage</v>
      </c>
      <c r="B1483" s="55">
        <v>2611667</v>
      </c>
      <c r="D1483" s="55" t="s">
        <v>373</v>
      </c>
      <c r="E1483" s="74">
        <v>44166</v>
      </c>
      <c r="F1483" s="55" t="s">
        <v>6707</v>
      </c>
      <c r="G1483" s="55" t="s">
        <v>360</v>
      </c>
      <c r="H1483" s="55" t="s">
        <v>360</v>
      </c>
      <c r="I1483" s="55" t="s">
        <v>360</v>
      </c>
      <c r="J1483" s="55" t="s">
        <v>360</v>
      </c>
      <c r="K1483" s="55" t="s">
        <v>360</v>
      </c>
      <c r="L1483" s="55" t="s">
        <v>360</v>
      </c>
      <c r="M1483" s="55" t="s">
        <v>144</v>
      </c>
      <c r="N1483" s="55" t="s">
        <v>144</v>
      </c>
      <c r="O1483" s="55" t="s">
        <v>215</v>
      </c>
      <c r="P1483" s="55" t="s">
        <v>1440</v>
      </c>
      <c r="Q1483" s="55" t="s">
        <v>350</v>
      </c>
      <c r="R1483" s="85">
        <v>3</v>
      </c>
      <c r="S1483" s="55">
        <v>0</v>
      </c>
      <c r="T1483" s="74" t="s">
        <v>1513</v>
      </c>
      <c r="U1483" s="74" t="s">
        <v>351</v>
      </c>
      <c r="V1483" s="74">
        <v>44411</v>
      </c>
      <c r="W1483" s="74">
        <v>44454</v>
      </c>
      <c r="X1483" s="55">
        <v>10186937</v>
      </c>
      <c r="Y1483" s="55" t="s">
        <v>146</v>
      </c>
      <c r="AB1483" s="74" t="s">
        <v>146</v>
      </c>
      <c r="AC1483" s="55" t="s">
        <v>146</v>
      </c>
      <c r="AL1483" s="74"/>
      <c r="AM1483" s="74"/>
    </row>
    <row r="1484" spans="1:50" ht="13" x14ac:dyDescent="0.15">
      <c r="A1484" s="55" t="str">
        <f>HYPERLINK("http://reports.ofsted.gov.uk/inspection-reports/find-inspection-report/provider/CARE/2611667","Ofsted Social Care Provider Webpage")</f>
        <v>Ofsted Social Care Provider Webpage</v>
      </c>
      <c r="B1484" s="55">
        <v>2611667</v>
      </c>
      <c r="D1484" s="55" t="s">
        <v>373</v>
      </c>
      <c r="E1484" s="74">
        <v>44166</v>
      </c>
      <c r="F1484" s="55" t="s">
        <v>6707</v>
      </c>
      <c r="G1484" s="55" t="s">
        <v>360</v>
      </c>
      <c r="H1484" s="55" t="s">
        <v>360</v>
      </c>
      <c r="I1484" s="55" t="s">
        <v>360</v>
      </c>
      <c r="J1484" s="55" t="s">
        <v>360</v>
      </c>
      <c r="K1484" s="55" t="s">
        <v>360</v>
      </c>
      <c r="L1484" s="55" t="s">
        <v>360</v>
      </c>
      <c r="M1484" s="55" t="s">
        <v>144</v>
      </c>
      <c r="N1484" s="55" t="s">
        <v>144</v>
      </c>
      <c r="O1484" s="55" t="s">
        <v>215</v>
      </c>
      <c r="P1484" s="55" t="s">
        <v>1440</v>
      </c>
      <c r="Q1484" s="55" t="s">
        <v>350</v>
      </c>
      <c r="R1484" s="85">
        <v>3</v>
      </c>
      <c r="S1484" s="55">
        <v>0</v>
      </c>
      <c r="T1484" s="74" t="s">
        <v>1513</v>
      </c>
      <c r="U1484" s="74" t="s">
        <v>2053</v>
      </c>
      <c r="V1484" s="74">
        <v>44453</v>
      </c>
      <c r="W1484" s="74">
        <v>44480</v>
      </c>
      <c r="X1484" s="55">
        <v>10204378</v>
      </c>
      <c r="AL1484" s="74"/>
      <c r="AM1484" s="74"/>
    </row>
    <row r="1485" spans="1:50" ht="13" x14ac:dyDescent="0.15">
      <c r="A1485" s="55" t="str">
        <f>HYPERLINK("http://reports.ofsted.gov.uk/inspection-reports/find-inspection-report/provider/CARE/2611667","Ofsted Social Care Provider Webpage")</f>
        <v>Ofsted Social Care Provider Webpage</v>
      </c>
      <c r="B1485" s="55">
        <v>2611667</v>
      </c>
      <c r="D1485" s="55" t="s">
        <v>373</v>
      </c>
      <c r="E1485" s="74">
        <v>44166</v>
      </c>
      <c r="F1485" s="55" t="s">
        <v>6707</v>
      </c>
      <c r="G1485" s="55" t="s">
        <v>360</v>
      </c>
      <c r="H1485" s="55" t="s">
        <v>360</v>
      </c>
      <c r="I1485" s="55" t="s">
        <v>360</v>
      </c>
      <c r="J1485" s="55" t="s">
        <v>360</v>
      </c>
      <c r="K1485" s="55" t="s">
        <v>360</v>
      </c>
      <c r="L1485" s="55" t="s">
        <v>360</v>
      </c>
      <c r="M1485" s="55" t="s">
        <v>144</v>
      </c>
      <c r="N1485" s="55" t="s">
        <v>144</v>
      </c>
      <c r="O1485" s="55" t="s">
        <v>215</v>
      </c>
      <c r="P1485" s="55" t="s">
        <v>1440</v>
      </c>
      <c r="Q1485" s="55" t="s">
        <v>350</v>
      </c>
      <c r="R1485" s="85">
        <v>3</v>
      </c>
      <c r="S1485" s="55">
        <v>0</v>
      </c>
      <c r="T1485" s="74" t="s">
        <v>1513</v>
      </c>
      <c r="U1485" s="74" t="s">
        <v>2053</v>
      </c>
      <c r="V1485" s="74">
        <v>44490</v>
      </c>
      <c r="W1485" s="74">
        <v>44526</v>
      </c>
      <c r="X1485" s="55">
        <v>10212703</v>
      </c>
      <c r="AL1485" s="74"/>
      <c r="AM1485" s="74"/>
    </row>
    <row r="1486" spans="1:50" ht="13" x14ac:dyDescent="0.15">
      <c r="A1486" s="55" t="str">
        <f>HYPERLINK("http://reports.ofsted.gov.uk/inspection-reports/find-inspection-report/provider/CARE/2611667","Ofsted Social Care Provider Webpage")</f>
        <v>Ofsted Social Care Provider Webpage</v>
      </c>
      <c r="B1486" s="55">
        <v>2611667</v>
      </c>
      <c r="D1486" s="55" t="s">
        <v>373</v>
      </c>
      <c r="E1486" s="74">
        <v>44166</v>
      </c>
      <c r="F1486" s="55" t="s">
        <v>6707</v>
      </c>
      <c r="G1486" s="55" t="s">
        <v>360</v>
      </c>
      <c r="H1486" s="55" t="s">
        <v>360</v>
      </c>
      <c r="I1486" s="55" t="s">
        <v>360</v>
      </c>
      <c r="J1486" s="55" t="s">
        <v>360</v>
      </c>
      <c r="K1486" s="55" t="s">
        <v>360</v>
      </c>
      <c r="L1486" s="55" t="s">
        <v>360</v>
      </c>
      <c r="M1486" s="55" t="s">
        <v>144</v>
      </c>
      <c r="N1486" s="55" t="s">
        <v>144</v>
      </c>
      <c r="O1486" s="55" t="s">
        <v>215</v>
      </c>
      <c r="P1486" s="55" t="s">
        <v>1440</v>
      </c>
      <c r="Q1486" s="55" t="s">
        <v>350</v>
      </c>
      <c r="R1486" s="85">
        <v>3</v>
      </c>
      <c r="S1486" s="55">
        <v>0</v>
      </c>
      <c r="T1486" s="74" t="s">
        <v>1513</v>
      </c>
      <c r="U1486" s="74" t="s">
        <v>351</v>
      </c>
      <c r="V1486" s="74">
        <v>44531</v>
      </c>
      <c r="W1486" s="74">
        <v>44580</v>
      </c>
      <c r="X1486" s="55">
        <v>10212705</v>
      </c>
      <c r="Y1486" s="55" t="s">
        <v>146</v>
      </c>
      <c r="AB1486" s="74" t="s">
        <v>146</v>
      </c>
      <c r="AC1486" s="55" t="s">
        <v>146</v>
      </c>
      <c r="AL1486" s="74"/>
      <c r="AM1486" s="74"/>
      <c r="AW1486" s="74"/>
      <c r="AX1486" s="74"/>
    </row>
    <row r="1487" spans="1:50" ht="13" x14ac:dyDescent="0.15">
      <c r="A1487" s="55" t="str">
        <f>HYPERLINK("http://reports.ofsted.gov.uk/inspection-reports/find-inspection-report/provider/CARE/2611991","Ofsted Social Care Provider Webpage")</f>
        <v>Ofsted Social Care Provider Webpage</v>
      </c>
      <c r="B1487" s="55">
        <v>2611991</v>
      </c>
      <c r="D1487" s="55" t="s">
        <v>373</v>
      </c>
      <c r="E1487" s="74">
        <v>44201</v>
      </c>
      <c r="F1487" s="55" t="s">
        <v>344</v>
      </c>
      <c r="G1487" s="55" t="s">
        <v>360</v>
      </c>
      <c r="H1487" s="55" t="s">
        <v>360</v>
      </c>
      <c r="I1487" s="55" t="s">
        <v>360</v>
      </c>
      <c r="J1487" s="55" t="s">
        <v>360</v>
      </c>
      <c r="K1487" s="55" t="s">
        <v>360</v>
      </c>
      <c r="L1487" s="55" t="s">
        <v>360</v>
      </c>
      <c r="M1487" s="55" t="s">
        <v>138</v>
      </c>
      <c r="N1487" s="55" t="s">
        <v>138</v>
      </c>
      <c r="O1487" s="55" t="s">
        <v>216</v>
      </c>
      <c r="P1487" s="55" t="s">
        <v>1918</v>
      </c>
      <c r="Q1487" s="55" t="s">
        <v>350</v>
      </c>
      <c r="R1487" s="85">
        <v>3</v>
      </c>
      <c r="S1487" s="55">
        <v>0</v>
      </c>
      <c r="T1487" s="74" t="s">
        <v>1992</v>
      </c>
      <c r="U1487" s="74" t="s">
        <v>6703</v>
      </c>
      <c r="V1487" s="74">
        <v>44525</v>
      </c>
      <c r="W1487" s="74">
        <v>44560</v>
      </c>
      <c r="X1487" s="55">
        <v>10205275</v>
      </c>
      <c r="Y1487" s="55" t="s">
        <v>6705</v>
      </c>
      <c r="AL1487" s="74"/>
      <c r="AM1487" s="74"/>
    </row>
    <row r="1488" spans="1:50" ht="13" x14ac:dyDescent="0.15">
      <c r="A1488" s="55" t="str">
        <f>HYPERLINK("http://reports.ofsted.gov.uk/inspection-reports/find-inspection-report/provider/CARE/2611991","Ofsted Social Care Provider Webpage")</f>
        <v>Ofsted Social Care Provider Webpage</v>
      </c>
      <c r="B1488" s="55">
        <v>2611991</v>
      </c>
      <c r="D1488" s="55" t="s">
        <v>373</v>
      </c>
      <c r="E1488" s="74">
        <v>44201</v>
      </c>
      <c r="F1488" s="55" t="s">
        <v>344</v>
      </c>
      <c r="G1488" s="55" t="s">
        <v>360</v>
      </c>
      <c r="H1488" s="55" t="s">
        <v>360</v>
      </c>
      <c r="I1488" s="55" t="s">
        <v>360</v>
      </c>
      <c r="J1488" s="55" t="s">
        <v>360</v>
      </c>
      <c r="K1488" s="55" t="s">
        <v>360</v>
      </c>
      <c r="L1488" s="55" t="s">
        <v>360</v>
      </c>
      <c r="M1488" s="55" t="s">
        <v>138</v>
      </c>
      <c r="N1488" s="55" t="s">
        <v>138</v>
      </c>
      <c r="O1488" s="55" t="s">
        <v>216</v>
      </c>
      <c r="P1488" s="55" t="s">
        <v>1918</v>
      </c>
      <c r="Q1488" s="55" t="s">
        <v>350</v>
      </c>
      <c r="R1488" s="85">
        <v>3</v>
      </c>
      <c r="S1488" s="55">
        <v>0</v>
      </c>
      <c r="T1488" s="74" t="s">
        <v>1992</v>
      </c>
      <c r="U1488" s="74" t="s">
        <v>351</v>
      </c>
      <c r="V1488" s="74">
        <v>44335</v>
      </c>
      <c r="W1488" s="74">
        <v>44368</v>
      </c>
      <c r="X1488" s="55">
        <v>10185284</v>
      </c>
      <c r="Y1488" s="55" t="s">
        <v>130</v>
      </c>
      <c r="AB1488" s="74" t="s">
        <v>130</v>
      </c>
      <c r="AC1488" s="55" t="s">
        <v>146</v>
      </c>
      <c r="AL1488" s="74"/>
      <c r="AM1488" s="74"/>
    </row>
    <row r="1489" spans="1:50" ht="13" x14ac:dyDescent="0.15">
      <c r="A1489" s="55" t="str">
        <f>HYPERLINK("http://reports.ofsted.gov.uk/inspection-reports/find-inspection-report/provider/CARE/2612008","Ofsted Social Care Provider Webpage")</f>
        <v>Ofsted Social Care Provider Webpage</v>
      </c>
      <c r="B1489" s="55">
        <v>2612008</v>
      </c>
      <c r="D1489" s="55" t="s">
        <v>373</v>
      </c>
      <c r="E1489" s="74">
        <v>44209</v>
      </c>
      <c r="F1489" s="55" t="s">
        <v>344</v>
      </c>
      <c r="G1489" s="55" t="s">
        <v>360</v>
      </c>
      <c r="H1489" s="55" t="s">
        <v>360</v>
      </c>
      <c r="I1489" s="55" t="s">
        <v>360</v>
      </c>
      <c r="J1489" s="55" t="s">
        <v>360</v>
      </c>
      <c r="K1489" s="55" t="s">
        <v>360</v>
      </c>
      <c r="L1489" s="55" t="s">
        <v>360</v>
      </c>
      <c r="M1489" s="55" t="s">
        <v>378</v>
      </c>
      <c r="N1489" s="55" t="s">
        <v>134</v>
      </c>
      <c r="O1489" s="55" t="s">
        <v>206</v>
      </c>
      <c r="P1489" s="55" t="s">
        <v>1655</v>
      </c>
      <c r="Q1489" s="55" t="s">
        <v>350</v>
      </c>
      <c r="R1489" s="85">
        <v>4</v>
      </c>
      <c r="S1489" s="55">
        <v>0</v>
      </c>
      <c r="T1489" s="74" t="s">
        <v>574</v>
      </c>
      <c r="U1489" s="74" t="s">
        <v>351</v>
      </c>
      <c r="V1489" s="74">
        <v>44447</v>
      </c>
      <c r="W1489" s="74">
        <v>44491</v>
      </c>
      <c r="X1489" s="55">
        <v>10188259</v>
      </c>
      <c r="Y1489" s="55" t="s">
        <v>132</v>
      </c>
      <c r="AB1489" s="74" t="s">
        <v>132</v>
      </c>
      <c r="AC1489" s="55" t="s">
        <v>132</v>
      </c>
      <c r="AL1489" s="74"/>
      <c r="AM1489" s="74"/>
    </row>
    <row r="1490" spans="1:50" ht="13" x14ac:dyDescent="0.15">
      <c r="A1490" s="55" t="str">
        <f>HYPERLINK("http://reports.ofsted.gov.uk/inspection-reports/find-inspection-report/provider/CARE/2612063","Ofsted Social Care Provider Webpage")</f>
        <v>Ofsted Social Care Provider Webpage</v>
      </c>
      <c r="B1490" s="55">
        <v>2612063</v>
      </c>
      <c r="D1490" s="55" t="s">
        <v>373</v>
      </c>
      <c r="E1490" s="74">
        <v>44182</v>
      </c>
      <c r="F1490" s="55" t="s">
        <v>344</v>
      </c>
      <c r="G1490" s="55" t="s">
        <v>360</v>
      </c>
      <c r="H1490" s="55" t="s">
        <v>360</v>
      </c>
      <c r="I1490" s="55" t="s">
        <v>360</v>
      </c>
      <c r="J1490" s="55" t="s">
        <v>360</v>
      </c>
      <c r="K1490" s="55" t="s">
        <v>360</v>
      </c>
      <c r="L1490" s="55" t="s">
        <v>360</v>
      </c>
      <c r="M1490" s="55" t="s">
        <v>129</v>
      </c>
      <c r="N1490" s="55" t="s">
        <v>129</v>
      </c>
      <c r="O1490" s="55" t="s">
        <v>152</v>
      </c>
      <c r="P1490" s="55" t="s">
        <v>1994</v>
      </c>
      <c r="Q1490" s="55" t="s">
        <v>350</v>
      </c>
      <c r="R1490" s="85">
        <v>4</v>
      </c>
      <c r="S1490" s="55">
        <v>0</v>
      </c>
      <c r="T1490" s="74" t="s">
        <v>1995</v>
      </c>
      <c r="U1490" s="74" t="s">
        <v>351</v>
      </c>
      <c r="V1490" s="74">
        <v>44537</v>
      </c>
      <c r="W1490" s="74">
        <v>44586</v>
      </c>
      <c r="X1490" s="55">
        <v>10186846</v>
      </c>
      <c r="Y1490" s="55" t="s">
        <v>132</v>
      </c>
      <c r="AB1490" s="74" t="s">
        <v>132</v>
      </c>
      <c r="AC1490" s="55" t="s">
        <v>132</v>
      </c>
      <c r="AL1490" s="74"/>
      <c r="AM1490" s="74"/>
    </row>
    <row r="1491" spans="1:50" ht="13" x14ac:dyDescent="0.15">
      <c r="A1491" s="55" t="str">
        <f>HYPERLINK("http://reports.ofsted.gov.uk/inspection-reports/find-inspection-report/provider/CARE/2612070","Ofsted Social Care Provider Webpage")</f>
        <v>Ofsted Social Care Provider Webpage</v>
      </c>
      <c r="B1491" s="55">
        <v>2612070</v>
      </c>
      <c r="D1491" s="55" t="s">
        <v>373</v>
      </c>
      <c r="E1491" s="74">
        <v>44185</v>
      </c>
      <c r="F1491" s="55" t="s">
        <v>344</v>
      </c>
      <c r="G1491" s="55" t="s">
        <v>360</v>
      </c>
      <c r="H1491" s="55" t="s">
        <v>360</v>
      </c>
      <c r="I1491" s="55" t="s">
        <v>360</v>
      </c>
      <c r="J1491" s="55" t="s">
        <v>360</v>
      </c>
      <c r="K1491" s="55" t="s">
        <v>360</v>
      </c>
      <c r="L1491" s="55" t="s">
        <v>360</v>
      </c>
      <c r="M1491" s="55" t="s">
        <v>378</v>
      </c>
      <c r="N1491" s="55" t="s">
        <v>134</v>
      </c>
      <c r="O1491" s="55" t="s">
        <v>158</v>
      </c>
      <c r="P1491" s="55" t="s">
        <v>912</v>
      </c>
      <c r="Q1491" s="55" t="s">
        <v>350</v>
      </c>
      <c r="R1491" s="85">
        <v>2</v>
      </c>
      <c r="S1491" s="55">
        <v>0</v>
      </c>
      <c r="T1491" s="74" t="s">
        <v>711</v>
      </c>
      <c r="U1491" s="74" t="s">
        <v>351</v>
      </c>
      <c r="V1491" s="74">
        <v>44495</v>
      </c>
      <c r="W1491" s="74">
        <v>44524</v>
      </c>
      <c r="X1491" s="55">
        <v>10187583</v>
      </c>
      <c r="Y1491" s="55" t="s">
        <v>140</v>
      </c>
      <c r="AB1491" s="74" t="s">
        <v>140</v>
      </c>
      <c r="AC1491" s="55" t="s">
        <v>140</v>
      </c>
      <c r="AL1491" s="74"/>
      <c r="AM1491" s="74"/>
    </row>
    <row r="1492" spans="1:50" ht="13" x14ac:dyDescent="0.15">
      <c r="A1492" s="55" t="str">
        <f>HYPERLINK("http://reports.ofsted.gov.uk/inspection-reports/find-inspection-report/provider/CARE/2612071","Ofsted Social Care Provider Webpage")</f>
        <v>Ofsted Social Care Provider Webpage</v>
      </c>
      <c r="B1492" s="55">
        <v>2612071</v>
      </c>
      <c r="D1492" s="55" t="s">
        <v>373</v>
      </c>
      <c r="E1492" s="74">
        <v>44164</v>
      </c>
      <c r="F1492" s="55" t="s">
        <v>6707</v>
      </c>
      <c r="G1492" s="55" t="s">
        <v>360</v>
      </c>
      <c r="H1492" s="55" t="s">
        <v>360</v>
      </c>
      <c r="I1492" s="55" t="s">
        <v>360</v>
      </c>
      <c r="J1492" s="55" t="s">
        <v>360</v>
      </c>
      <c r="K1492" s="55" t="s">
        <v>360</v>
      </c>
      <c r="L1492" s="55" t="s">
        <v>360</v>
      </c>
      <c r="M1492" s="55" t="s">
        <v>144</v>
      </c>
      <c r="N1492" s="55" t="s">
        <v>144</v>
      </c>
      <c r="O1492" s="55" t="s">
        <v>145</v>
      </c>
      <c r="P1492" s="55" t="s">
        <v>484</v>
      </c>
      <c r="Q1492" s="55" t="s">
        <v>350</v>
      </c>
      <c r="R1492" s="85">
        <v>4</v>
      </c>
      <c r="S1492" s="55">
        <v>0</v>
      </c>
      <c r="T1492" s="74" t="s">
        <v>6731</v>
      </c>
      <c r="U1492" s="74" t="s">
        <v>351</v>
      </c>
      <c r="V1492" s="74">
        <v>44327</v>
      </c>
      <c r="W1492" s="74">
        <v>44371</v>
      </c>
      <c r="X1492" s="55">
        <v>10187264</v>
      </c>
      <c r="Y1492" s="55" t="s">
        <v>146</v>
      </c>
      <c r="AB1492" s="74" t="s">
        <v>146</v>
      </c>
      <c r="AC1492" s="55" t="s">
        <v>146</v>
      </c>
      <c r="AL1492" s="74"/>
      <c r="AM1492" s="74"/>
    </row>
    <row r="1493" spans="1:50" ht="13" x14ac:dyDescent="0.15">
      <c r="A1493" s="55" t="str">
        <f>HYPERLINK("http://reports.ofsted.gov.uk/inspection-reports/find-inspection-report/provider/CARE/2612071","Ofsted Social Care Provider Webpage")</f>
        <v>Ofsted Social Care Provider Webpage</v>
      </c>
      <c r="B1493" s="55">
        <v>2612071</v>
      </c>
      <c r="D1493" s="55" t="s">
        <v>373</v>
      </c>
      <c r="E1493" s="74">
        <v>44164</v>
      </c>
      <c r="F1493" s="55" t="s">
        <v>6707</v>
      </c>
      <c r="G1493" s="55" t="s">
        <v>360</v>
      </c>
      <c r="H1493" s="55" t="s">
        <v>360</v>
      </c>
      <c r="I1493" s="55" t="s">
        <v>360</v>
      </c>
      <c r="J1493" s="55" t="s">
        <v>360</v>
      </c>
      <c r="K1493" s="55" t="s">
        <v>360</v>
      </c>
      <c r="L1493" s="55" t="s">
        <v>360</v>
      </c>
      <c r="M1493" s="55" t="s">
        <v>144</v>
      </c>
      <c r="N1493" s="55" t="s">
        <v>144</v>
      </c>
      <c r="O1493" s="55" t="s">
        <v>145</v>
      </c>
      <c r="P1493" s="55" t="s">
        <v>484</v>
      </c>
      <c r="Q1493" s="55" t="s">
        <v>350</v>
      </c>
      <c r="R1493" s="85">
        <v>4</v>
      </c>
      <c r="S1493" s="55">
        <v>0</v>
      </c>
      <c r="T1493" s="74" t="s">
        <v>6731</v>
      </c>
      <c r="U1493" s="74" t="s">
        <v>351</v>
      </c>
      <c r="V1493" s="74">
        <v>44378</v>
      </c>
      <c r="W1493" s="74">
        <v>44432</v>
      </c>
      <c r="X1493" s="55">
        <v>10197811</v>
      </c>
      <c r="Y1493" s="55" t="s">
        <v>130</v>
      </c>
      <c r="AB1493" s="74" t="s">
        <v>130</v>
      </c>
      <c r="AC1493" s="55" t="s">
        <v>130</v>
      </c>
      <c r="AL1493" s="74"/>
      <c r="AM1493" s="74"/>
    </row>
    <row r="1494" spans="1:50" ht="13" x14ac:dyDescent="0.15">
      <c r="A1494" s="55" t="str">
        <f>HYPERLINK("http://reports.ofsted.gov.uk/inspection-reports/find-inspection-report/provider/CARE/2612115","Ofsted Social Care Provider Webpage")</f>
        <v>Ofsted Social Care Provider Webpage</v>
      </c>
      <c r="B1494" s="55">
        <v>2612115</v>
      </c>
      <c r="D1494" s="55" t="s">
        <v>373</v>
      </c>
      <c r="E1494" s="74">
        <v>44447</v>
      </c>
      <c r="F1494" s="55" t="s">
        <v>344</v>
      </c>
      <c r="G1494" s="55" t="s">
        <v>360</v>
      </c>
      <c r="H1494" s="55" t="s">
        <v>360</v>
      </c>
      <c r="I1494" s="55" t="s">
        <v>360</v>
      </c>
      <c r="J1494" s="55" t="s">
        <v>360</v>
      </c>
      <c r="K1494" s="55" t="s">
        <v>360</v>
      </c>
      <c r="L1494" s="55" t="s">
        <v>360</v>
      </c>
      <c r="M1494" s="55" t="s">
        <v>142</v>
      </c>
      <c r="N1494" s="55" t="s">
        <v>142</v>
      </c>
      <c r="O1494" s="55" t="s">
        <v>262</v>
      </c>
      <c r="P1494" s="55" t="s">
        <v>1859</v>
      </c>
      <c r="Q1494" s="55" t="s">
        <v>350</v>
      </c>
      <c r="R1494" s="85">
        <v>4</v>
      </c>
      <c r="S1494" s="55">
        <v>0</v>
      </c>
      <c r="T1494" s="74" t="s">
        <v>489</v>
      </c>
      <c r="U1494" s="74" t="s">
        <v>351</v>
      </c>
      <c r="V1494" s="74">
        <v>44586</v>
      </c>
      <c r="W1494" s="74">
        <v>44623</v>
      </c>
      <c r="X1494" s="55">
        <v>10207446</v>
      </c>
      <c r="Y1494" s="55" t="s">
        <v>132</v>
      </c>
      <c r="AB1494" s="74" t="s">
        <v>132</v>
      </c>
      <c r="AC1494" s="55" t="s">
        <v>132</v>
      </c>
      <c r="AL1494" s="74"/>
      <c r="AM1494" s="74"/>
    </row>
    <row r="1495" spans="1:50" ht="13" x14ac:dyDescent="0.15">
      <c r="A1495" s="55" t="str">
        <f>HYPERLINK("http://reports.ofsted.gov.uk/inspection-reports/find-inspection-report/provider/CARE/2612347","Ofsted Social Care Provider Webpage")</f>
        <v>Ofsted Social Care Provider Webpage</v>
      </c>
      <c r="B1495" s="55">
        <v>2612347</v>
      </c>
      <c r="D1495" s="55" t="s">
        <v>373</v>
      </c>
      <c r="E1495" s="74">
        <v>44333</v>
      </c>
      <c r="F1495" s="55" t="s">
        <v>344</v>
      </c>
      <c r="G1495" s="55" t="s">
        <v>360</v>
      </c>
      <c r="H1495" s="55" t="s">
        <v>360</v>
      </c>
      <c r="I1495" s="55" t="s">
        <v>360</v>
      </c>
      <c r="J1495" s="55" t="s">
        <v>360</v>
      </c>
      <c r="K1495" s="55" t="s">
        <v>360</v>
      </c>
      <c r="L1495" s="55" t="s">
        <v>360</v>
      </c>
      <c r="M1495" s="55" t="s">
        <v>172</v>
      </c>
      <c r="N1495" s="55" t="s">
        <v>172</v>
      </c>
      <c r="O1495" s="55" t="s">
        <v>235</v>
      </c>
      <c r="P1495" s="55" t="s">
        <v>494</v>
      </c>
      <c r="Q1495" s="55" t="s">
        <v>350</v>
      </c>
      <c r="R1495" s="85">
        <v>2</v>
      </c>
      <c r="S1495" s="55">
        <v>0</v>
      </c>
      <c r="T1495" s="74" t="s">
        <v>1433</v>
      </c>
      <c r="U1495" s="74" t="s">
        <v>351</v>
      </c>
      <c r="V1495" s="74">
        <v>44475</v>
      </c>
      <c r="W1495" s="74">
        <v>44523</v>
      </c>
      <c r="X1495" s="55">
        <v>10199094</v>
      </c>
      <c r="Y1495" s="55" t="s">
        <v>132</v>
      </c>
      <c r="AB1495" s="74" t="s">
        <v>132</v>
      </c>
      <c r="AC1495" s="55" t="s">
        <v>132</v>
      </c>
      <c r="AL1495" s="74"/>
      <c r="AM1495" s="74"/>
    </row>
    <row r="1496" spans="1:50" ht="13" x14ac:dyDescent="0.15">
      <c r="A1496" s="55" t="str">
        <f>HYPERLINK("http://reports.ofsted.gov.uk/inspection-reports/find-inspection-report/provider/CARE/2612735","Ofsted Social Care Provider Webpage")</f>
        <v>Ofsted Social Care Provider Webpage</v>
      </c>
      <c r="B1496" s="55">
        <v>2612735</v>
      </c>
      <c r="D1496" s="55" t="s">
        <v>373</v>
      </c>
      <c r="E1496" s="74">
        <v>44185</v>
      </c>
      <c r="F1496" s="55" t="s">
        <v>344</v>
      </c>
      <c r="G1496" s="55" t="s">
        <v>360</v>
      </c>
      <c r="H1496" s="55" t="s">
        <v>360</v>
      </c>
      <c r="I1496" s="55" t="s">
        <v>360</v>
      </c>
      <c r="J1496" s="55" t="s">
        <v>360</v>
      </c>
      <c r="K1496" s="55" t="s">
        <v>360</v>
      </c>
      <c r="L1496" s="55" t="s">
        <v>360</v>
      </c>
      <c r="M1496" s="55" t="s">
        <v>378</v>
      </c>
      <c r="N1496" s="55" t="s">
        <v>134</v>
      </c>
      <c r="O1496" s="55" t="s">
        <v>158</v>
      </c>
      <c r="P1496" s="55" t="s">
        <v>912</v>
      </c>
      <c r="Q1496" s="55" t="s">
        <v>350</v>
      </c>
      <c r="R1496" s="85">
        <v>2</v>
      </c>
      <c r="S1496" s="55">
        <v>0</v>
      </c>
      <c r="T1496" s="74" t="s">
        <v>711</v>
      </c>
      <c r="U1496" s="74" t="s">
        <v>351</v>
      </c>
      <c r="V1496" s="74">
        <v>44607</v>
      </c>
      <c r="W1496" s="74">
        <v>44651</v>
      </c>
      <c r="X1496" s="55">
        <v>10185315</v>
      </c>
      <c r="Y1496" s="55" t="s">
        <v>140</v>
      </c>
      <c r="AB1496" s="74" t="s">
        <v>140</v>
      </c>
      <c r="AC1496" s="55" t="s">
        <v>140</v>
      </c>
      <c r="AL1496" s="74"/>
      <c r="AM1496" s="74"/>
    </row>
    <row r="1497" spans="1:50" ht="13" x14ac:dyDescent="0.15">
      <c r="A1497" s="55" t="str">
        <f>HYPERLINK("http://reports.ofsted.gov.uk/inspection-reports/find-inspection-report/provider/CARE/2612810","Ofsted Social Care Provider Webpage")</f>
        <v>Ofsted Social Care Provider Webpage</v>
      </c>
      <c r="B1497" s="55">
        <v>2612810</v>
      </c>
      <c r="D1497" s="55" t="s">
        <v>373</v>
      </c>
      <c r="E1497" s="74">
        <v>44215</v>
      </c>
      <c r="F1497" s="55" t="s">
        <v>344</v>
      </c>
      <c r="G1497" s="55" t="s">
        <v>360</v>
      </c>
      <c r="H1497" s="55" t="s">
        <v>360</v>
      </c>
      <c r="I1497" s="55" t="s">
        <v>360</v>
      </c>
      <c r="J1497" s="55" t="s">
        <v>360</v>
      </c>
      <c r="K1497" s="55" t="s">
        <v>360</v>
      </c>
      <c r="L1497" s="55" t="s">
        <v>360</v>
      </c>
      <c r="M1497" s="55" t="s">
        <v>144</v>
      </c>
      <c r="N1497" s="55" t="s">
        <v>144</v>
      </c>
      <c r="O1497" s="55" t="s">
        <v>271</v>
      </c>
      <c r="P1497" s="55" t="s">
        <v>1120</v>
      </c>
      <c r="Q1497" s="55" t="s">
        <v>350</v>
      </c>
      <c r="R1497" s="85">
        <v>3</v>
      </c>
      <c r="S1497" s="55">
        <v>0</v>
      </c>
      <c r="T1497" s="74" t="s">
        <v>1563</v>
      </c>
      <c r="U1497" s="74" t="s">
        <v>351</v>
      </c>
      <c r="V1497" s="74">
        <v>44629</v>
      </c>
      <c r="W1497" s="74">
        <v>44672</v>
      </c>
      <c r="X1497" s="55">
        <v>10188260</v>
      </c>
      <c r="Y1497" s="55" t="s">
        <v>132</v>
      </c>
      <c r="AB1497" s="74" t="s">
        <v>132</v>
      </c>
      <c r="AC1497" s="55" t="s">
        <v>132</v>
      </c>
      <c r="AL1497" s="74"/>
      <c r="AM1497" s="74"/>
      <c r="AW1497" s="74"/>
      <c r="AX1497" s="74"/>
    </row>
    <row r="1498" spans="1:50" ht="13" x14ac:dyDescent="0.15">
      <c r="A1498" s="55" t="str">
        <f>HYPERLINK("http://reports.ofsted.gov.uk/inspection-reports/find-inspection-report/provider/CARE/2613032","Ofsted Social Care Provider Webpage")</f>
        <v>Ofsted Social Care Provider Webpage</v>
      </c>
      <c r="B1498" s="55">
        <v>2613032</v>
      </c>
      <c r="D1498" s="55" t="s">
        <v>373</v>
      </c>
      <c r="E1498" s="74">
        <v>44174</v>
      </c>
      <c r="F1498" s="55" t="s">
        <v>344</v>
      </c>
      <c r="G1498" s="55" t="s">
        <v>360</v>
      </c>
      <c r="H1498" s="55" t="s">
        <v>360</v>
      </c>
      <c r="I1498" s="55" t="s">
        <v>360</v>
      </c>
      <c r="J1498" s="55" t="s">
        <v>360</v>
      </c>
      <c r="K1498" s="55" t="s">
        <v>360</v>
      </c>
      <c r="L1498" s="55" t="s">
        <v>360</v>
      </c>
      <c r="M1498" s="55" t="s">
        <v>378</v>
      </c>
      <c r="N1498" s="55" t="s">
        <v>170</v>
      </c>
      <c r="O1498" s="55" t="s">
        <v>193</v>
      </c>
      <c r="P1498" s="55" t="s">
        <v>193</v>
      </c>
      <c r="Q1498" s="55" t="s">
        <v>350</v>
      </c>
      <c r="R1498" s="85">
        <v>5</v>
      </c>
      <c r="S1498" s="55">
        <v>0</v>
      </c>
      <c r="T1498" s="74" t="s">
        <v>522</v>
      </c>
      <c r="U1498" s="74" t="s">
        <v>2053</v>
      </c>
      <c r="V1498" s="74">
        <v>44425</v>
      </c>
      <c r="W1498" s="74">
        <v>44452</v>
      </c>
      <c r="X1498" s="55">
        <v>10201569</v>
      </c>
      <c r="AL1498" s="74"/>
      <c r="AM1498" s="74"/>
      <c r="AW1498" s="74"/>
      <c r="AX1498" s="74"/>
    </row>
    <row r="1499" spans="1:50" ht="13" x14ac:dyDescent="0.15">
      <c r="A1499" s="55" t="str">
        <f>HYPERLINK("http://reports.ofsted.gov.uk/inspection-reports/find-inspection-report/provider/CARE/2613032","Ofsted Social Care Provider Webpage")</f>
        <v>Ofsted Social Care Provider Webpage</v>
      </c>
      <c r="B1499" s="55">
        <v>2613032</v>
      </c>
      <c r="D1499" s="55" t="s">
        <v>373</v>
      </c>
      <c r="E1499" s="74">
        <v>44174</v>
      </c>
      <c r="F1499" s="55" t="s">
        <v>344</v>
      </c>
      <c r="G1499" s="55" t="s">
        <v>360</v>
      </c>
      <c r="H1499" s="55" t="s">
        <v>360</v>
      </c>
      <c r="I1499" s="55" t="s">
        <v>360</v>
      </c>
      <c r="J1499" s="55" t="s">
        <v>360</v>
      </c>
      <c r="K1499" s="55" t="s">
        <v>360</v>
      </c>
      <c r="L1499" s="55" t="s">
        <v>360</v>
      </c>
      <c r="M1499" s="55" t="s">
        <v>378</v>
      </c>
      <c r="N1499" s="55" t="s">
        <v>170</v>
      </c>
      <c r="O1499" s="55" t="s">
        <v>193</v>
      </c>
      <c r="P1499" s="55" t="s">
        <v>193</v>
      </c>
      <c r="Q1499" s="55" t="s">
        <v>350</v>
      </c>
      <c r="R1499" s="85">
        <v>5</v>
      </c>
      <c r="S1499" s="55">
        <v>0</v>
      </c>
      <c r="T1499" s="74" t="s">
        <v>522</v>
      </c>
      <c r="U1499" s="74" t="s">
        <v>2053</v>
      </c>
      <c r="V1499" s="74">
        <v>44382</v>
      </c>
      <c r="W1499" s="74">
        <v>44412</v>
      </c>
      <c r="X1499" s="55">
        <v>10199266</v>
      </c>
      <c r="AL1499" s="74"/>
      <c r="AM1499" s="74"/>
      <c r="AW1499" s="74"/>
      <c r="AX1499" s="74"/>
    </row>
    <row r="1500" spans="1:50" ht="13" x14ac:dyDescent="0.15">
      <c r="A1500" s="55" t="str">
        <f>HYPERLINK("http://reports.ofsted.gov.uk/inspection-reports/find-inspection-report/provider/CARE/2613032","Ofsted Social Care Provider Webpage")</f>
        <v>Ofsted Social Care Provider Webpage</v>
      </c>
      <c r="B1500" s="55">
        <v>2613032</v>
      </c>
      <c r="D1500" s="55" t="s">
        <v>373</v>
      </c>
      <c r="E1500" s="74">
        <v>44174</v>
      </c>
      <c r="F1500" s="55" t="s">
        <v>344</v>
      </c>
      <c r="G1500" s="55" t="s">
        <v>360</v>
      </c>
      <c r="H1500" s="55" t="s">
        <v>360</v>
      </c>
      <c r="I1500" s="55" t="s">
        <v>360</v>
      </c>
      <c r="J1500" s="55" t="s">
        <v>360</v>
      </c>
      <c r="K1500" s="55" t="s">
        <v>360</v>
      </c>
      <c r="L1500" s="55" t="s">
        <v>360</v>
      </c>
      <c r="M1500" s="55" t="s">
        <v>378</v>
      </c>
      <c r="N1500" s="55" t="s">
        <v>170</v>
      </c>
      <c r="O1500" s="55" t="s">
        <v>193</v>
      </c>
      <c r="P1500" s="55" t="s">
        <v>193</v>
      </c>
      <c r="Q1500" s="55" t="s">
        <v>350</v>
      </c>
      <c r="R1500" s="85">
        <v>5</v>
      </c>
      <c r="S1500" s="55">
        <v>0</v>
      </c>
      <c r="T1500" s="74" t="s">
        <v>522</v>
      </c>
      <c r="U1500" s="74" t="s">
        <v>351</v>
      </c>
      <c r="V1500" s="74">
        <v>44321</v>
      </c>
      <c r="W1500" s="74">
        <v>44372</v>
      </c>
      <c r="X1500" s="55">
        <v>10185165</v>
      </c>
      <c r="Y1500" s="55" t="s">
        <v>130</v>
      </c>
      <c r="AB1500" s="74" t="s">
        <v>130</v>
      </c>
      <c r="AC1500" s="55" t="s">
        <v>130</v>
      </c>
      <c r="AL1500" s="74"/>
      <c r="AM1500" s="74"/>
      <c r="AW1500" s="74"/>
      <c r="AX1500" s="74"/>
    </row>
    <row r="1501" spans="1:50" ht="13" x14ac:dyDescent="0.15">
      <c r="A1501" s="55" t="str">
        <f>HYPERLINK("http://reports.ofsted.gov.uk/inspection-reports/find-inspection-report/provider/CARE/2613157","Ofsted Social Care Provider Webpage")</f>
        <v>Ofsted Social Care Provider Webpage</v>
      </c>
      <c r="B1501" s="55">
        <v>2613157</v>
      </c>
      <c r="D1501" s="55" t="s">
        <v>373</v>
      </c>
      <c r="E1501" s="74">
        <v>44127</v>
      </c>
      <c r="F1501" s="55" t="s">
        <v>344</v>
      </c>
      <c r="G1501" s="55" t="s">
        <v>360</v>
      </c>
      <c r="H1501" s="55" t="s">
        <v>360</v>
      </c>
      <c r="I1501" s="55" t="s">
        <v>360</v>
      </c>
      <c r="J1501" s="55" t="s">
        <v>360</v>
      </c>
      <c r="K1501" s="55" t="s">
        <v>360</v>
      </c>
      <c r="L1501" s="55" t="s">
        <v>360</v>
      </c>
      <c r="M1501" s="55" t="s">
        <v>378</v>
      </c>
      <c r="N1501" s="55" t="s">
        <v>170</v>
      </c>
      <c r="O1501" s="55" t="s">
        <v>267</v>
      </c>
      <c r="P1501" s="55" t="s">
        <v>975</v>
      </c>
      <c r="Q1501" s="55" t="s">
        <v>362</v>
      </c>
      <c r="R1501" s="85">
        <v>3</v>
      </c>
      <c r="S1501" s="55">
        <v>0</v>
      </c>
      <c r="T1501" s="74" t="s">
        <v>973</v>
      </c>
      <c r="U1501" s="74" t="s">
        <v>351</v>
      </c>
      <c r="V1501" s="74">
        <v>44453</v>
      </c>
      <c r="W1501" s="74">
        <v>44490</v>
      </c>
      <c r="X1501" s="55">
        <v>10186523</v>
      </c>
      <c r="Y1501" s="55" t="s">
        <v>132</v>
      </c>
      <c r="AB1501" s="74" t="s">
        <v>132</v>
      </c>
      <c r="AC1501" s="55" t="s">
        <v>130</v>
      </c>
      <c r="AL1501" s="74"/>
      <c r="AM1501" s="74"/>
      <c r="AW1501" s="74"/>
      <c r="AX1501" s="74"/>
    </row>
    <row r="1502" spans="1:50" ht="13" x14ac:dyDescent="0.15">
      <c r="A1502" s="55" t="str">
        <f>HYPERLINK("http://reports.ofsted.gov.uk/inspection-reports/find-inspection-report/provider/CARE/2613327","Ofsted Social Care Provider Webpage")</f>
        <v>Ofsted Social Care Provider Webpage</v>
      </c>
      <c r="B1502" s="55">
        <v>2613327</v>
      </c>
      <c r="D1502" s="55" t="s">
        <v>373</v>
      </c>
      <c r="E1502" s="74">
        <v>44299</v>
      </c>
      <c r="F1502" s="55" t="s">
        <v>344</v>
      </c>
      <c r="G1502" s="55" t="s">
        <v>360</v>
      </c>
      <c r="H1502" s="55" t="s">
        <v>360</v>
      </c>
      <c r="I1502" s="55" t="s">
        <v>360</v>
      </c>
      <c r="J1502" s="55" t="s">
        <v>360</v>
      </c>
      <c r="K1502" s="55" t="s">
        <v>360</v>
      </c>
      <c r="L1502" s="55" t="s">
        <v>360</v>
      </c>
      <c r="M1502" s="55" t="s">
        <v>142</v>
      </c>
      <c r="N1502" s="55" t="s">
        <v>142</v>
      </c>
      <c r="O1502" s="55" t="s">
        <v>141</v>
      </c>
      <c r="P1502" s="55" t="s">
        <v>864</v>
      </c>
      <c r="Q1502" s="55" t="s">
        <v>350</v>
      </c>
      <c r="R1502" s="85">
        <v>2</v>
      </c>
      <c r="S1502" s="55">
        <v>0</v>
      </c>
      <c r="T1502" s="74" t="s">
        <v>1996</v>
      </c>
      <c r="U1502" s="74" t="s">
        <v>351</v>
      </c>
      <c r="V1502" s="74">
        <v>44467</v>
      </c>
      <c r="W1502" s="74">
        <v>44511</v>
      </c>
      <c r="X1502" s="55">
        <v>10198619</v>
      </c>
      <c r="Y1502" s="55" t="s">
        <v>132</v>
      </c>
      <c r="AB1502" s="74" t="s">
        <v>130</v>
      </c>
      <c r="AC1502" s="55" t="s">
        <v>132</v>
      </c>
      <c r="AL1502" s="74"/>
      <c r="AM1502" s="74"/>
      <c r="AW1502" s="74"/>
      <c r="AX1502" s="74"/>
    </row>
    <row r="1503" spans="1:50" ht="13" x14ac:dyDescent="0.15">
      <c r="A1503" s="55" t="str">
        <f>HYPERLINK("http://reports.ofsted.gov.uk/inspection-reports/find-inspection-report/provider/CARE/2613341","Ofsted Social Care Provider Webpage")</f>
        <v>Ofsted Social Care Provider Webpage</v>
      </c>
      <c r="B1503" s="55">
        <v>2613341</v>
      </c>
      <c r="D1503" s="55" t="s">
        <v>373</v>
      </c>
      <c r="E1503" s="74">
        <v>44174</v>
      </c>
      <c r="F1503" s="55" t="s">
        <v>344</v>
      </c>
      <c r="G1503" s="55" t="s">
        <v>360</v>
      </c>
      <c r="H1503" s="55" t="s">
        <v>360</v>
      </c>
      <c r="I1503" s="55" t="s">
        <v>360</v>
      </c>
      <c r="J1503" s="55" t="s">
        <v>360</v>
      </c>
      <c r="K1503" s="55" t="s">
        <v>360</v>
      </c>
      <c r="L1503" s="55" t="s">
        <v>360</v>
      </c>
      <c r="M1503" s="55" t="s">
        <v>144</v>
      </c>
      <c r="N1503" s="55" t="s">
        <v>144</v>
      </c>
      <c r="O1503" s="55" t="s">
        <v>163</v>
      </c>
      <c r="P1503" s="55" t="s">
        <v>1997</v>
      </c>
      <c r="Q1503" s="55" t="s">
        <v>350</v>
      </c>
      <c r="R1503" s="85">
        <v>9</v>
      </c>
      <c r="S1503" s="55">
        <v>0</v>
      </c>
      <c r="T1503" s="74" t="s">
        <v>1998</v>
      </c>
      <c r="U1503" s="74" t="s">
        <v>351</v>
      </c>
      <c r="V1503" s="74">
        <v>44363</v>
      </c>
      <c r="W1503" s="74">
        <v>44399</v>
      </c>
      <c r="X1503" s="55">
        <v>10185732</v>
      </c>
      <c r="Y1503" s="55" t="s">
        <v>146</v>
      </c>
      <c r="AB1503" s="74" t="s">
        <v>146</v>
      </c>
      <c r="AC1503" s="55" t="s">
        <v>146</v>
      </c>
      <c r="AL1503" s="74"/>
      <c r="AM1503" s="74"/>
      <c r="AW1503" s="74"/>
      <c r="AX1503" s="74"/>
    </row>
    <row r="1504" spans="1:50" ht="13" x14ac:dyDescent="0.15">
      <c r="A1504" s="55" t="str">
        <f>HYPERLINK("http://reports.ofsted.gov.uk/inspection-reports/find-inspection-report/provider/CARE/2613341","Ofsted Social Care Provider Webpage")</f>
        <v>Ofsted Social Care Provider Webpage</v>
      </c>
      <c r="B1504" s="55">
        <v>2613341</v>
      </c>
      <c r="D1504" s="55" t="s">
        <v>373</v>
      </c>
      <c r="E1504" s="74">
        <v>44174</v>
      </c>
      <c r="F1504" s="55" t="s">
        <v>344</v>
      </c>
      <c r="G1504" s="55" t="s">
        <v>360</v>
      </c>
      <c r="H1504" s="55" t="s">
        <v>360</v>
      </c>
      <c r="I1504" s="55" t="s">
        <v>360</v>
      </c>
      <c r="J1504" s="55" t="s">
        <v>360</v>
      </c>
      <c r="K1504" s="55" t="s">
        <v>360</v>
      </c>
      <c r="L1504" s="55" t="s">
        <v>360</v>
      </c>
      <c r="M1504" s="55" t="s">
        <v>144</v>
      </c>
      <c r="N1504" s="55" t="s">
        <v>144</v>
      </c>
      <c r="O1504" s="55" t="s">
        <v>163</v>
      </c>
      <c r="P1504" s="55" t="s">
        <v>1997</v>
      </c>
      <c r="Q1504" s="55" t="s">
        <v>350</v>
      </c>
      <c r="R1504" s="85">
        <v>9</v>
      </c>
      <c r="S1504" s="55">
        <v>0</v>
      </c>
      <c r="T1504" s="74" t="s">
        <v>1998</v>
      </c>
      <c r="U1504" s="74" t="s">
        <v>2053</v>
      </c>
      <c r="V1504" s="74">
        <v>44420</v>
      </c>
      <c r="W1504" s="74">
        <v>44468</v>
      </c>
      <c r="X1504" s="55">
        <v>10204073</v>
      </c>
      <c r="AL1504" s="74"/>
      <c r="AM1504" s="74"/>
    </row>
    <row r="1505" spans="1:50" ht="13" x14ac:dyDescent="0.15">
      <c r="A1505" s="55" t="str">
        <f>HYPERLINK("http://reports.ofsted.gov.uk/inspection-reports/find-inspection-report/provider/CARE/2613341","Ofsted Social Care Provider Webpage")</f>
        <v>Ofsted Social Care Provider Webpage</v>
      </c>
      <c r="B1505" s="55">
        <v>2613341</v>
      </c>
      <c r="D1505" s="55" t="s">
        <v>373</v>
      </c>
      <c r="E1505" s="74">
        <v>44174</v>
      </c>
      <c r="F1505" s="55" t="s">
        <v>344</v>
      </c>
      <c r="G1505" s="55" t="s">
        <v>360</v>
      </c>
      <c r="H1505" s="55" t="s">
        <v>360</v>
      </c>
      <c r="I1505" s="55" t="s">
        <v>360</v>
      </c>
      <c r="J1505" s="55" t="s">
        <v>360</v>
      </c>
      <c r="K1505" s="55" t="s">
        <v>360</v>
      </c>
      <c r="L1505" s="55" t="s">
        <v>360</v>
      </c>
      <c r="M1505" s="55" t="s">
        <v>144</v>
      </c>
      <c r="N1505" s="55" t="s">
        <v>144</v>
      </c>
      <c r="O1505" s="55" t="s">
        <v>163</v>
      </c>
      <c r="P1505" s="55" t="s">
        <v>1997</v>
      </c>
      <c r="Q1505" s="55" t="s">
        <v>350</v>
      </c>
      <c r="R1505" s="85">
        <v>9</v>
      </c>
      <c r="S1505" s="55">
        <v>0</v>
      </c>
      <c r="T1505" s="74" t="s">
        <v>1998</v>
      </c>
      <c r="U1505" s="74" t="s">
        <v>351</v>
      </c>
      <c r="V1505" s="74">
        <v>44503</v>
      </c>
      <c r="W1505" s="74">
        <v>44531</v>
      </c>
      <c r="X1505" s="55">
        <v>10203191</v>
      </c>
      <c r="Y1505" s="55" t="s">
        <v>130</v>
      </c>
      <c r="AB1505" s="74" t="s">
        <v>130</v>
      </c>
      <c r="AC1505" s="55" t="s">
        <v>130</v>
      </c>
      <c r="AL1505" s="74"/>
      <c r="AM1505" s="74"/>
      <c r="AW1505" s="74"/>
      <c r="AX1505" s="74"/>
    </row>
    <row r="1506" spans="1:50" ht="13" x14ac:dyDescent="0.15">
      <c r="A1506" s="55" t="str">
        <f>HYPERLINK("http://reports.ofsted.gov.uk/inspection-reports/find-inspection-report/provider/CARE/2613488","Ofsted Social Care Provider Webpage")</f>
        <v>Ofsted Social Care Provider Webpage</v>
      </c>
      <c r="B1506" s="55">
        <v>2613488</v>
      </c>
      <c r="D1506" s="55" t="s">
        <v>373</v>
      </c>
      <c r="E1506" s="74">
        <v>44151</v>
      </c>
      <c r="F1506" s="55" t="s">
        <v>344</v>
      </c>
      <c r="G1506" s="55" t="s">
        <v>360</v>
      </c>
      <c r="H1506" s="55" t="s">
        <v>360</v>
      </c>
      <c r="I1506" s="55" t="s">
        <v>360</v>
      </c>
      <c r="J1506" s="55" t="s">
        <v>360</v>
      </c>
      <c r="K1506" s="55" t="s">
        <v>360</v>
      </c>
      <c r="L1506" s="55" t="s">
        <v>360</v>
      </c>
      <c r="M1506" s="55" t="s">
        <v>138</v>
      </c>
      <c r="N1506" s="55" t="s">
        <v>138</v>
      </c>
      <c r="O1506" s="55" t="s">
        <v>183</v>
      </c>
      <c r="P1506" s="55" t="s">
        <v>730</v>
      </c>
      <c r="Q1506" s="55" t="s">
        <v>350</v>
      </c>
      <c r="R1506" s="85">
        <v>3</v>
      </c>
      <c r="S1506" s="55" t="s">
        <v>332</v>
      </c>
      <c r="T1506" s="74" t="s">
        <v>935</v>
      </c>
      <c r="U1506" s="74" t="s">
        <v>6703</v>
      </c>
      <c r="V1506" s="74">
        <v>44629</v>
      </c>
      <c r="W1506" s="74">
        <v>44663</v>
      </c>
      <c r="X1506" s="55">
        <v>10205276</v>
      </c>
      <c r="Y1506" s="55" t="s">
        <v>6705</v>
      </c>
      <c r="AL1506" s="74"/>
      <c r="AM1506" s="74"/>
    </row>
    <row r="1507" spans="1:50" ht="13" x14ac:dyDescent="0.15">
      <c r="A1507" s="55" t="str">
        <f>HYPERLINK("http://reports.ofsted.gov.uk/inspection-reports/find-inspection-report/provider/CARE/2613488","Ofsted Social Care Provider Webpage")</f>
        <v>Ofsted Social Care Provider Webpage</v>
      </c>
      <c r="B1507" s="55">
        <v>2613488</v>
      </c>
      <c r="D1507" s="55" t="s">
        <v>373</v>
      </c>
      <c r="E1507" s="74">
        <v>44151</v>
      </c>
      <c r="F1507" s="55" t="s">
        <v>344</v>
      </c>
      <c r="G1507" s="55" t="s">
        <v>360</v>
      </c>
      <c r="H1507" s="55" t="s">
        <v>360</v>
      </c>
      <c r="I1507" s="55" t="s">
        <v>360</v>
      </c>
      <c r="J1507" s="55" t="s">
        <v>360</v>
      </c>
      <c r="K1507" s="55" t="s">
        <v>360</v>
      </c>
      <c r="L1507" s="55" t="s">
        <v>360</v>
      </c>
      <c r="M1507" s="55" t="s">
        <v>138</v>
      </c>
      <c r="N1507" s="55" t="s">
        <v>138</v>
      </c>
      <c r="O1507" s="55" t="s">
        <v>183</v>
      </c>
      <c r="P1507" s="55" t="s">
        <v>730</v>
      </c>
      <c r="Q1507" s="55" t="s">
        <v>350</v>
      </c>
      <c r="R1507" s="85">
        <v>3</v>
      </c>
      <c r="S1507" s="55" t="s">
        <v>332</v>
      </c>
      <c r="T1507" s="74" t="s">
        <v>935</v>
      </c>
      <c r="U1507" s="74" t="s">
        <v>351</v>
      </c>
      <c r="V1507" s="74">
        <v>44417</v>
      </c>
      <c r="W1507" s="74">
        <v>44447</v>
      </c>
      <c r="X1507" s="55">
        <v>10185635</v>
      </c>
      <c r="Y1507" s="55" t="s">
        <v>130</v>
      </c>
      <c r="AB1507" s="74" t="s">
        <v>130</v>
      </c>
      <c r="AC1507" s="55" t="s">
        <v>130</v>
      </c>
      <c r="AL1507" s="74"/>
      <c r="AM1507" s="74"/>
    </row>
    <row r="1508" spans="1:50" ht="13" x14ac:dyDescent="0.15">
      <c r="A1508" s="55" t="str">
        <f>HYPERLINK("http://reports.ofsted.gov.uk/inspection-reports/find-inspection-report/provider/CARE/2613627","Ofsted Social Care Provider Webpage")</f>
        <v>Ofsted Social Care Provider Webpage</v>
      </c>
      <c r="B1508" s="55">
        <v>2613627</v>
      </c>
      <c r="D1508" s="55" t="s">
        <v>373</v>
      </c>
      <c r="E1508" s="74">
        <v>44188</v>
      </c>
      <c r="F1508" s="55" t="s">
        <v>344</v>
      </c>
      <c r="G1508" s="55" t="s">
        <v>360</v>
      </c>
      <c r="H1508" s="55" t="s">
        <v>360</v>
      </c>
      <c r="I1508" s="55" t="s">
        <v>360</v>
      </c>
      <c r="J1508" s="55" t="s">
        <v>360</v>
      </c>
      <c r="K1508" s="55" t="s">
        <v>360</v>
      </c>
      <c r="L1508" s="55" t="s">
        <v>360</v>
      </c>
      <c r="M1508" s="55" t="s">
        <v>378</v>
      </c>
      <c r="N1508" s="55" t="s">
        <v>134</v>
      </c>
      <c r="O1508" s="55" t="s">
        <v>158</v>
      </c>
      <c r="P1508" s="55" t="s">
        <v>480</v>
      </c>
      <c r="Q1508" s="55" t="s">
        <v>350</v>
      </c>
      <c r="R1508" s="85">
        <v>1</v>
      </c>
      <c r="S1508" s="55">
        <v>0</v>
      </c>
      <c r="T1508" s="74" t="s">
        <v>493</v>
      </c>
      <c r="U1508" s="74" t="s">
        <v>351</v>
      </c>
      <c r="V1508" s="74">
        <v>44586</v>
      </c>
      <c r="W1508" s="74">
        <v>44627</v>
      </c>
      <c r="X1508" s="55">
        <v>10185307</v>
      </c>
      <c r="Y1508" s="55" t="s">
        <v>132</v>
      </c>
      <c r="AB1508" s="74" t="s">
        <v>132</v>
      </c>
      <c r="AC1508" s="55" t="s">
        <v>132</v>
      </c>
      <c r="AL1508" s="74"/>
      <c r="AM1508" s="74"/>
      <c r="AW1508" s="74"/>
      <c r="AX1508" s="74"/>
    </row>
    <row r="1509" spans="1:50" ht="13" x14ac:dyDescent="0.15">
      <c r="A1509" s="55" t="str">
        <f>HYPERLINK("http://reports.ofsted.gov.uk/inspection-reports/find-inspection-report/provider/CARE/2613649","Ofsted Social Care Provider Webpage")</f>
        <v>Ofsted Social Care Provider Webpage</v>
      </c>
      <c r="B1509" s="55">
        <v>2613649</v>
      </c>
      <c r="D1509" s="55" t="s">
        <v>373</v>
      </c>
      <c r="E1509" s="74">
        <v>44298</v>
      </c>
      <c r="F1509" s="55" t="s">
        <v>344</v>
      </c>
      <c r="G1509" s="55" t="s">
        <v>360</v>
      </c>
      <c r="H1509" s="55" t="s">
        <v>360</v>
      </c>
      <c r="I1509" s="55" t="s">
        <v>360</v>
      </c>
      <c r="J1509" s="55" t="s">
        <v>360</v>
      </c>
      <c r="K1509" s="55" t="s">
        <v>360</v>
      </c>
      <c r="L1509" s="55" t="s">
        <v>360</v>
      </c>
      <c r="M1509" s="55" t="s">
        <v>138</v>
      </c>
      <c r="N1509" s="55" t="s">
        <v>138</v>
      </c>
      <c r="O1509" s="55" t="s">
        <v>183</v>
      </c>
      <c r="P1509" s="55" t="s">
        <v>508</v>
      </c>
      <c r="Q1509" s="55" t="s">
        <v>350</v>
      </c>
      <c r="R1509" s="85">
        <v>4</v>
      </c>
      <c r="S1509" s="55">
        <v>0</v>
      </c>
      <c r="T1509" s="74" t="s">
        <v>644</v>
      </c>
      <c r="U1509" s="74" t="s">
        <v>351</v>
      </c>
      <c r="V1509" s="74">
        <v>44574</v>
      </c>
      <c r="W1509" s="74">
        <v>44601</v>
      </c>
      <c r="X1509" s="55">
        <v>10197518</v>
      </c>
      <c r="Y1509" s="55" t="s">
        <v>132</v>
      </c>
      <c r="AB1509" s="74" t="s">
        <v>132</v>
      </c>
      <c r="AC1509" s="55" t="s">
        <v>132</v>
      </c>
      <c r="AL1509" s="74"/>
      <c r="AM1509" s="74"/>
    </row>
    <row r="1510" spans="1:50" ht="13" x14ac:dyDescent="0.15">
      <c r="A1510" s="55" t="str">
        <f>HYPERLINK("http://reports.ofsted.gov.uk/inspection-reports/find-inspection-report/provider/CARE/2613661","Ofsted Social Care Provider Webpage")</f>
        <v>Ofsted Social Care Provider Webpage</v>
      </c>
      <c r="B1510" s="55">
        <v>2613661</v>
      </c>
      <c r="D1510" s="55" t="s">
        <v>373</v>
      </c>
      <c r="E1510" s="74">
        <v>44133</v>
      </c>
      <c r="F1510" s="55" t="s">
        <v>344</v>
      </c>
      <c r="G1510" s="55" t="s">
        <v>360</v>
      </c>
      <c r="H1510" s="55" t="s">
        <v>360</v>
      </c>
      <c r="I1510" s="55" t="s">
        <v>360</v>
      </c>
      <c r="J1510" s="55" t="s">
        <v>360</v>
      </c>
      <c r="K1510" s="55" t="s">
        <v>360</v>
      </c>
      <c r="L1510" s="55" t="s">
        <v>360</v>
      </c>
      <c r="M1510" s="55" t="s">
        <v>378</v>
      </c>
      <c r="N1510" s="55" t="s">
        <v>170</v>
      </c>
      <c r="O1510" s="55" t="s">
        <v>233</v>
      </c>
      <c r="P1510" s="55" t="s">
        <v>1999</v>
      </c>
      <c r="Q1510" s="55" t="s">
        <v>350</v>
      </c>
      <c r="R1510" s="85">
        <v>2</v>
      </c>
      <c r="S1510" s="55">
        <v>0</v>
      </c>
      <c r="T1510" s="74" t="s">
        <v>481</v>
      </c>
      <c r="U1510" s="74" t="s">
        <v>351</v>
      </c>
      <c r="V1510" s="74">
        <v>44487</v>
      </c>
      <c r="W1510" s="74">
        <v>44522</v>
      </c>
      <c r="X1510" s="55">
        <v>10187393</v>
      </c>
      <c r="Y1510" s="55" t="s">
        <v>132</v>
      </c>
      <c r="AB1510" s="74" t="s">
        <v>132</v>
      </c>
      <c r="AC1510" s="55" t="s">
        <v>130</v>
      </c>
      <c r="AL1510" s="74"/>
      <c r="AM1510" s="74"/>
    </row>
    <row r="1511" spans="1:50" ht="13" x14ac:dyDescent="0.15">
      <c r="A1511" s="55" t="str">
        <f>HYPERLINK("http://reports.ofsted.gov.uk/inspection-reports/find-inspection-report/provider/CARE/2613677","Ofsted Social Care Provider Webpage")</f>
        <v>Ofsted Social Care Provider Webpage</v>
      </c>
      <c r="B1511" s="55">
        <v>2613677</v>
      </c>
      <c r="D1511" s="55" t="s">
        <v>373</v>
      </c>
      <c r="E1511" s="74">
        <v>44162</v>
      </c>
      <c r="F1511" s="55" t="s">
        <v>344</v>
      </c>
      <c r="G1511" s="55" t="s">
        <v>360</v>
      </c>
      <c r="H1511" s="55" t="s">
        <v>360</v>
      </c>
      <c r="I1511" s="55" t="s">
        <v>360</v>
      </c>
      <c r="J1511" s="55" t="s">
        <v>360</v>
      </c>
      <c r="K1511" s="55" t="s">
        <v>360</v>
      </c>
      <c r="L1511" s="55" t="s">
        <v>360</v>
      </c>
      <c r="M1511" s="55" t="s">
        <v>144</v>
      </c>
      <c r="N1511" s="55" t="s">
        <v>144</v>
      </c>
      <c r="O1511" s="55" t="s">
        <v>209</v>
      </c>
      <c r="P1511" s="55" t="s">
        <v>650</v>
      </c>
      <c r="Q1511" s="55" t="s">
        <v>350</v>
      </c>
      <c r="R1511" s="85">
        <v>1</v>
      </c>
      <c r="S1511" s="55">
        <v>0</v>
      </c>
      <c r="T1511" s="74" t="s">
        <v>493</v>
      </c>
      <c r="U1511" s="74" t="s">
        <v>351</v>
      </c>
      <c r="V1511" s="74">
        <v>44608</v>
      </c>
      <c r="W1511" s="74">
        <v>44662</v>
      </c>
      <c r="X1511" s="55">
        <v>10185942</v>
      </c>
      <c r="Y1511" s="55" t="s">
        <v>132</v>
      </c>
      <c r="AB1511" s="74" t="s">
        <v>132</v>
      </c>
      <c r="AC1511" s="55" t="s">
        <v>132</v>
      </c>
      <c r="AL1511" s="74"/>
      <c r="AM1511" s="74"/>
    </row>
    <row r="1512" spans="1:50" ht="13" x14ac:dyDescent="0.15">
      <c r="A1512" s="55" t="str">
        <f>HYPERLINK("http://reports.ofsted.gov.uk/inspection-reports/find-inspection-report/provider/CARE/2613806","Ofsted Social Care Provider Webpage")</f>
        <v>Ofsted Social Care Provider Webpage</v>
      </c>
      <c r="B1512" s="55">
        <v>2613806</v>
      </c>
      <c r="D1512" s="55" t="s">
        <v>373</v>
      </c>
      <c r="E1512" s="74">
        <v>44180</v>
      </c>
      <c r="F1512" s="55" t="s">
        <v>344</v>
      </c>
      <c r="G1512" s="55" t="s">
        <v>360</v>
      </c>
      <c r="H1512" s="55" t="s">
        <v>360</v>
      </c>
      <c r="I1512" s="55" t="s">
        <v>360</v>
      </c>
      <c r="J1512" s="55" t="s">
        <v>360</v>
      </c>
      <c r="K1512" s="55" t="s">
        <v>360</v>
      </c>
      <c r="L1512" s="55" t="s">
        <v>360</v>
      </c>
      <c r="M1512" s="55" t="s">
        <v>129</v>
      </c>
      <c r="N1512" s="55" t="s">
        <v>129</v>
      </c>
      <c r="O1512" s="55" t="s">
        <v>242</v>
      </c>
      <c r="P1512" s="55" t="s">
        <v>1519</v>
      </c>
      <c r="Q1512" s="55" t="s">
        <v>350</v>
      </c>
      <c r="R1512" s="85">
        <v>5</v>
      </c>
      <c r="S1512" s="55">
        <v>0</v>
      </c>
      <c r="T1512" s="74" t="s">
        <v>2000</v>
      </c>
      <c r="U1512" s="74" t="s">
        <v>351</v>
      </c>
      <c r="V1512" s="74">
        <v>44572</v>
      </c>
      <c r="W1512" s="74">
        <v>44606</v>
      </c>
      <c r="X1512" s="55">
        <v>10185086</v>
      </c>
      <c r="Y1512" s="55" t="s">
        <v>132</v>
      </c>
      <c r="AB1512" s="74" t="s">
        <v>130</v>
      </c>
      <c r="AC1512" s="55" t="s">
        <v>132</v>
      </c>
      <c r="AL1512" s="74"/>
      <c r="AM1512" s="74"/>
      <c r="AW1512" s="74"/>
      <c r="AX1512" s="74"/>
    </row>
    <row r="1513" spans="1:50" ht="13" x14ac:dyDescent="0.15">
      <c r="A1513" s="55" t="str">
        <f>HYPERLINK("http://reports.ofsted.gov.uk/inspection-reports/find-inspection-report/provider/CARE/2613829","Ofsted Social Care Provider Webpage")</f>
        <v>Ofsted Social Care Provider Webpage</v>
      </c>
      <c r="B1513" s="55">
        <v>2613829</v>
      </c>
      <c r="D1513" s="55" t="s">
        <v>373</v>
      </c>
      <c r="E1513" s="74">
        <v>44242</v>
      </c>
      <c r="F1513" s="55" t="s">
        <v>344</v>
      </c>
      <c r="G1513" s="55" t="s">
        <v>360</v>
      </c>
      <c r="H1513" s="55" t="s">
        <v>360</v>
      </c>
      <c r="I1513" s="55" t="s">
        <v>360</v>
      </c>
      <c r="J1513" s="55" t="s">
        <v>360</v>
      </c>
      <c r="K1513" s="55" t="s">
        <v>360</v>
      </c>
      <c r="L1513" s="55" t="s">
        <v>360</v>
      </c>
      <c r="M1513" s="55" t="s">
        <v>172</v>
      </c>
      <c r="N1513" s="55" t="s">
        <v>172</v>
      </c>
      <c r="O1513" s="55" t="s">
        <v>235</v>
      </c>
      <c r="P1513" s="55" t="s">
        <v>628</v>
      </c>
      <c r="Q1513" s="55" t="s">
        <v>350</v>
      </c>
      <c r="R1513" s="85">
        <v>4</v>
      </c>
      <c r="S1513" s="55">
        <v>0</v>
      </c>
      <c r="T1513" s="74" t="s">
        <v>1433</v>
      </c>
      <c r="U1513" s="74" t="s">
        <v>351</v>
      </c>
      <c r="V1513" s="74">
        <v>44425</v>
      </c>
      <c r="W1513" s="74">
        <v>44454</v>
      </c>
      <c r="X1513" s="55">
        <v>10188276</v>
      </c>
      <c r="Y1513" s="55" t="s">
        <v>132</v>
      </c>
      <c r="AB1513" s="74" t="s">
        <v>132</v>
      </c>
      <c r="AC1513" s="55" t="s">
        <v>132</v>
      </c>
      <c r="AL1513" s="74"/>
      <c r="AM1513" s="74"/>
      <c r="AW1513" s="74"/>
      <c r="AX1513" s="74"/>
    </row>
    <row r="1514" spans="1:50" ht="13" x14ac:dyDescent="0.15">
      <c r="A1514" s="55" t="str">
        <f>HYPERLINK("http://reports.ofsted.gov.uk/inspection-reports/find-inspection-report/provider/CARE/2613849","Ofsted Social Care Provider Webpage")</f>
        <v>Ofsted Social Care Provider Webpage</v>
      </c>
      <c r="B1514" s="55">
        <v>2613849</v>
      </c>
      <c r="D1514" s="55" t="s">
        <v>373</v>
      </c>
      <c r="E1514" s="74">
        <v>44238</v>
      </c>
      <c r="F1514" s="55" t="s">
        <v>344</v>
      </c>
      <c r="G1514" s="55" t="s">
        <v>360</v>
      </c>
      <c r="H1514" s="55" t="s">
        <v>360</v>
      </c>
      <c r="I1514" s="55" t="s">
        <v>360</v>
      </c>
      <c r="J1514" s="55" t="s">
        <v>360</v>
      </c>
      <c r="K1514" s="55" t="s">
        <v>360</v>
      </c>
      <c r="L1514" s="55" t="s">
        <v>360</v>
      </c>
      <c r="M1514" s="55" t="s">
        <v>150</v>
      </c>
      <c r="N1514" s="55" t="s">
        <v>150</v>
      </c>
      <c r="O1514" s="55" t="s">
        <v>285</v>
      </c>
      <c r="P1514" s="55" t="s">
        <v>2001</v>
      </c>
      <c r="Q1514" s="55" t="s">
        <v>350</v>
      </c>
      <c r="R1514" s="85">
        <v>3</v>
      </c>
      <c r="S1514" s="55">
        <v>0</v>
      </c>
      <c r="T1514" s="74" t="s">
        <v>574</v>
      </c>
      <c r="U1514" s="74" t="s">
        <v>351</v>
      </c>
      <c r="V1514" s="74">
        <v>44341</v>
      </c>
      <c r="W1514" s="74">
        <v>44421</v>
      </c>
      <c r="X1514" s="55">
        <v>10188274</v>
      </c>
      <c r="Y1514" s="55" t="s">
        <v>132</v>
      </c>
      <c r="AB1514" s="74" t="s">
        <v>132</v>
      </c>
      <c r="AC1514" s="55" t="s">
        <v>140</v>
      </c>
      <c r="AL1514" s="74"/>
      <c r="AM1514" s="74"/>
      <c r="AW1514" s="74"/>
      <c r="AX1514" s="74"/>
    </row>
    <row r="1515" spans="1:50" ht="13" x14ac:dyDescent="0.15">
      <c r="A1515" s="55" t="str">
        <f>HYPERLINK("http://reports.ofsted.gov.uk/inspection-reports/find-inspection-report/provider/CARE/2614095","Ofsted Social Care Provider Webpage")</f>
        <v>Ofsted Social Care Provider Webpage</v>
      </c>
      <c r="B1515" s="55">
        <v>2614095</v>
      </c>
      <c r="D1515" s="55" t="s">
        <v>373</v>
      </c>
      <c r="E1515" s="74">
        <v>44188</v>
      </c>
      <c r="F1515" s="55" t="s">
        <v>344</v>
      </c>
      <c r="G1515" s="55" t="s">
        <v>360</v>
      </c>
      <c r="H1515" s="55" t="s">
        <v>360</v>
      </c>
      <c r="I1515" s="55" t="s">
        <v>360</v>
      </c>
      <c r="J1515" s="55" t="s">
        <v>360</v>
      </c>
      <c r="K1515" s="55" t="s">
        <v>360</v>
      </c>
      <c r="L1515" s="55" t="s">
        <v>360</v>
      </c>
      <c r="M1515" s="55" t="s">
        <v>378</v>
      </c>
      <c r="N1515" s="55" t="s">
        <v>134</v>
      </c>
      <c r="O1515" s="55" t="s">
        <v>158</v>
      </c>
      <c r="P1515" s="55" t="s">
        <v>480</v>
      </c>
      <c r="Q1515" s="55" t="s">
        <v>350</v>
      </c>
      <c r="R1515" s="85">
        <v>1</v>
      </c>
      <c r="S1515" s="55">
        <v>0</v>
      </c>
      <c r="T1515" s="74" t="s">
        <v>493</v>
      </c>
      <c r="U1515" s="74" t="s">
        <v>351</v>
      </c>
      <c r="V1515" s="74">
        <v>44502</v>
      </c>
      <c r="W1515" s="74">
        <v>44540</v>
      </c>
      <c r="X1515" s="55">
        <v>10186073</v>
      </c>
      <c r="Y1515" s="55" t="s">
        <v>132</v>
      </c>
      <c r="AB1515" s="74" t="s">
        <v>132</v>
      </c>
      <c r="AC1515" s="55" t="s">
        <v>132</v>
      </c>
      <c r="AL1515" s="74"/>
      <c r="AM1515" s="74"/>
      <c r="AW1515" s="74"/>
      <c r="AX1515" s="74"/>
    </row>
    <row r="1516" spans="1:50" ht="13" x14ac:dyDescent="0.15">
      <c r="A1516" s="55" t="str">
        <f>HYPERLINK("http://reports.ofsted.gov.uk/inspection-reports/find-inspection-report/provider/CARE/2614287","Ofsted Social Care Provider Webpage")</f>
        <v>Ofsted Social Care Provider Webpage</v>
      </c>
      <c r="B1516" s="55">
        <v>2614287</v>
      </c>
      <c r="D1516" s="55" t="s">
        <v>451</v>
      </c>
      <c r="E1516" s="74">
        <v>44475</v>
      </c>
      <c r="F1516" s="55" t="s">
        <v>344</v>
      </c>
      <c r="G1516" s="55" t="s">
        <v>2007</v>
      </c>
      <c r="H1516" s="55" t="s">
        <v>2008</v>
      </c>
      <c r="I1516" s="55" t="s">
        <v>354</v>
      </c>
      <c r="J1516" s="55" t="s">
        <v>278</v>
      </c>
      <c r="L1516" s="55" t="s">
        <v>2009</v>
      </c>
      <c r="M1516" s="55" t="s">
        <v>142</v>
      </c>
      <c r="N1516" s="55" t="s">
        <v>142</v>
      </c>
      <c r="O1516" s="55" t="s">
        <v>278</v>
      </c>
      <c r="P1516" s="55" t="s">
        <v>1126</v>
      </c>
      <c r="Q1516" s="55" t="s">
        <v>350</v>
      </c>
      <c r="R1516" s="85">
        <v>5</v>
      </c>
      <c r="S1516" s="55">
        <v>0</v>
      </c>
      <c r="T1516" s="74" t="s">
        <v>2010</v>
      </c>
      <c r="U1516" s="74" t="s">
        <v>2053</v>
      </c>
      <c r="V1516" s="74">
        <v>44621</v>
      </c>
      <c r="W1516" s="74">
        <v>44662</v>
      </c>
      <c r="X1516" s="55">
        <v>10220758</v>
      </c>
      <c r="AL1516" s="74"/>
      <c r="AM1516" s="74"/>
    </row>
    <row r="1517" spans="1:50" ht="13" x14ac:dyDescent="0.15">
      <c r="A1517" s="55" t="str">
        <f>HYPERLINK("http://reports.ofsted.gov.uk/inspection-reports/find-inspection-report/provider/CARE/2614287","Ofsted Social Care Provider Webpage")</f>
        <v>Ofsted Social Care Provider Webpage</v>
      </c>
      <c r="B1517" s="55">
        <v>2614287</v>
      </c>
      <c r="D1517" s="55" t="s">
        <v>451</v>
      </c>
      <c r="E1517" s="74">
        <v>44475</v>
      </c>
      <c r="F1517" s="55" t="s">
        <v>344</v>
      </c>
      <c r="G1517" s="55" t="s">
        <v>2007</v>
      </c>
      <c r="H1517" s="55" t="s">
        <v>2008</v>
      </c>
      <c r="I1517" s="55" t="s">
        <v>354</v>
      </c>
      <c r="J1517" s="55" t="s">
        <v>278</v>
      </c>
      <c r="L1517" s="55" t="s">
        <v>2009</v>
      </c>
      <c r="M1517" s="55" t="s">
        <v>142</v>
      </c>
      <c r="N1517" s="55" t="s">
        <v>142</v>
      </c>
      <c r="O1517" s="55" t="s">
        <v>278</v>
      </c>
      <c r="P1517" s="55" t="s">
        <v>1126</v>
      </c>
      <c r="Q1517" s="55" t="s">
        <v>350</v>
      </c>
      <c r="R1517" s="85">
        <v>5</v>
      </c>
      <c r="S1517" s="55">
        <v>0</v>
      </c>
      <c r="T1517" s="74" t="s">
        <v>2010</v>
      </c>
      <c r="U1517" s="74" t="s">
        <v>351</v>
      </c>
      <c r="V1517" s="74">
        <v>44580</v>
      </c>
      <c r="W1517" s="74">
        <v>44624</v>
      </c>
      <c r="X1517" s="55">
        <v>10219546</v>
      </c>
      <c r="Y1517" s="55" t="s">
        <v>146</v>
      </c>
      <c r="AB1517" s="74" t="s">
        <v>146</v>
      </c>
      <c r="AC1517" s="55" t="s">
        <v>146</v>
      </c>
      <c r="AL1517" s="74"/>
      <c r="AM1517" s="74"/>
    </row>
    <row r="1518" spans="1:50" ht="13" x14ac:dyDescent="0.15">
      <c r="A1518" s="55" t="str">
        <f>HYPERLINK("http://reports.ofsted.gov.uk/inspection-reports/find-inspection-report/provider/CARE/2614506","Ofsted Social Care Provider Webpage")</f>
        <v>Ofsted Social Care Provider Webpage</v>
      </c>
      <c r="B1518" s="55">
        <v>2614506</v>
      </c>
      <c r="D1518" s="55" t="s">
        <v>373</v>
      </c>
      <c r="E1518" s="74">
        <v>44253</v>
      </c>
      <c r="F1518" s="55" t="s">
        <v>344</v>
      </c>
      <c r="G1518" s="55" t="s">
        <v>360</v>
      </c>
      <c r="H1518" s="55" t="s">
        <v>360</v>
      </c>
      <c r="I1518" s="55" t="s">
        <v>360</v>
      </c>
      <c r="J1518" s="55" t="s">
        <v>360</v>
      </c>
      <c r="K1518" s="55" t="s">
        <v>360</v>
      </c>
      <c r="L1518" s="55" t="s">
        <v>360</v>
      </c>
      <c r="M1518" s="55" t="s">
        <v>144</v>
      </c>
      <c r="N1518" s="55" t="s">
        <v>144</v>
      </c>
      <c r="O1518" s="55" t="s">
        <v>209</v>
      </c>
      <c r="P1518" s="55" t="s">
        <v>777</v>
      </c>
      <c r="Q1518" s="55" t="s">
        <v>350</v>
      </c>
      <c r="R1518" s="85">
        <v>2</v>
      </c>
      <c r="S1518" s="55">
        <v>0</v>
      </c>
      <c r="T1518" s="74" t="s">
        <v>493</v>
      </c>
      <c r="U1518" s="74" t="s">
        <v>351</v>
      </c>
      <c r="V1518" s="74">
        <v>44579</v>
      </c>
      <c r="W1518" s="74">
        <v>44608</v>
      </c>
      <c r="X1518" s="55">
        <v>10188288</v>
      </c>
      <c r="Y1518" s="55" t="s">
        <v>132</v>
      </c>
      <c r="AB1518" s="74" t="s">
        <v>130</v>
      </c>
      <c r="AC1518" s="55" t="s">
        <v>132</v>
      </c>
      <c r="AL1518" s="74"/>
      <c r="AM1518" s="74"/>
      <c r="AW1518" s="74"/>
      <c r="AX1518" s="74"/>
    </row>
    <row r="1519" spans="1:50" ht="13" x14ac:dyDescent="0.15">
      <c r="A1519" s="55" t="str">
        <f>HYPERLINK("http://reports.ofsted.gov.uk/inspection-reports/find-inspection-report/provider/CARE/2614508","Ofsted Social Care Provider Webpage")</f>
        <v>Ofsted Social Care Provider Webpage</v>
      </c>
      <c r="B1519" s="55">
        <v>2614508</v>
      </c>
      <c r="D1519" s="55" t="s">
        <v>373</v>
      </c>
      <c r="E1519" s="74">
        <v>44298</v>
      </c>
      <c r="F1519" s="55" t="s">
        <v>344</v>
      </c>
      <c r="G1519" s="55" t="s">
        <v>360</v>
      </c>
      <c r="H1519" s="55" t="s">
        <v>360</v>
      </c>
      <c r="I1519" s="55" t="s">
        <v>360</v>
      </c>
      <c r="J1519" s="55" t="s">
        <v>360</v>
      </c>
      <c r="K1519" s="55" t="s">
        <v>360</v>
      </c>
      <c r="L1519" s="55" t="s">
        <v>360</v>
      </c>
      <c r="M1519" s="55" t="s">
        <v>138</v>
      </c>
      <c r="N1519" s="55" t="s">
        <v>138</v>
      </c>
      <c r="O1519" s="55" t="s">
        <v>183</v>
      </c>
      <c r="P1519" s="55" t="s">
        <v>510</v>
      </c>
      <c r="Q1519" s="55" t="s">
        <v>350</v>
      </c>
      <c r="R1519" s="85">
        <v>2</v>
      </c>
      <c r="S1519" s="55">
        <v>0</v>
      </c>
      <c r="T1519" s="74" t="s">
        <v>2011</v>
      </c>
      <c r="U1519" s="74" t="s">
        <v>351</v>
      </c>
      <c r="V1519" s="74">
        <v>44474</v>
      </c>
      <c r="W1519" s="74">
        <v>44505</v>
      </c>
      <c r="X1519" s="55">
        <v>10201934</v>
      </c>
      <c r="Y1519" s="55" t="s">
        <v>132</v>
      </c>
      <c r="AB1519" s="74" t="s">
        <v>132</v>
      </c>
      <c r="AC1519" s="55" t="s">
        <v>132</v>
      </c>
      <c r="AL1519" s="74"/>
      <c r="AM1519" s="74"/>
    </row>
    <row r="1520" spans="1:50" ht="13" x14ac:dyDescent="0.15">
      <c r="A1520" s="55" t="str">
        <f>HYPERLINK("http://reports.ofsted.gov.uk/inspection-reports/find-inspection-report/provider/CARE/2614511","Ofsted Social Care Provider Webpage")</f>
        <v>Ofsted Social Care Provider Webpage</v>
      </c>
      <c r="B1520" s="55">
        <v>2614511</v>
      </c>
      <c r="D1520" s="55" t="s">
        <v>373</v>
      </c>
      <c r="E1520" s="74">
        <v>44160</v>
      </c>
      <c r="F1520" s="55" t="s">
        <v>344</v>
      </c>
      <c r="G1520" s="55" t="s">
        <v>360</v>
      </c>
      <c r="H1520" s="55" t="s">
        <v>360</v>
      </c>
      <c r="I1520" s="55" t="s">
        <v>360</v>
      </c>
      <c r="J1520" s="55" t="s">
        <v>360</v>
      </c>
      <c r="K1520" s="55" t="s">
        <v>360</v>
      </c>
      <c r="L1520" s="55" t="s">
        <v>360</v>
      </c>
      <c r="M1520" s="55" t="s">
        <v>136</v>
      </c>
      <c r="N1520" s="55" t="s">
        <v>136</v>
      </c>
      <c r="O1520" s="55" t="s">
        <v>255</v>
      </c>
      <c r="P1520" s="55" t="s">
        <v>583</v>
      </c>
      <c r="Q1520" s="55" t="s">
        <v>350</v>
      </c>
      <c r="R1520" s="85">
        <v>4</v>
      </c>
      <c r="S1520" s="55">
        <v>0</v>
      </c>
      <c r="T1520" s="74" t="s">
        <v>385</v>
      </c>
      <c r="U1520" s="74" t="s">
        <v>351</v>
      </c>
      <c r="V1520" s="74">
        <v>44544</v>
      </c>
      <c r="W1520" s="74">
        <v>44601</v>
      </c>
      <c r="X1520" s="55">
        <v>10187342</v>
      </c>
      <c r="Y1520" s="55" t="s">
        <v>132</v>
      </c>
      <c r="AB1520" s="74" t="s">
        <v>132</v>
      </c>
      <c r="AC1520" s="55" t="s">
        <v>132</v>
      </c>
      <c r="AL1520" s="74"/>
      <c r="AM1520" s="74"/>
      <c r="AW1520" s="74"/>
      <c r="AX1520" s="74"/>
    </row>
    <row r="1521" spans="1:50" ht="13" x14ac:dyDescent="0.15">
      <c r="A1521" s="55" t="str">
        <f>HYPERLINK("http://reports.ofsted.gov.uk/inspection-reports/find-inspection-report/provider/CARE/2614703","Ofsted Social Care Provider Webpage")</f>
        <v>Ofsted Social Care Provider Webpage</v>
      </c>
      <c r="B1521" s="55">
        <v>2614703</v>
      </c>
      <c r="D1521" s="55" t="s">
        <v>373</v>
      </c>
      <c r="E1521" s="74">
        <v>44207</v>
      </c>
      <c r="F1521" s="55" t="s">
        <v>344</v>
      </c>
      <c r="G1521" s="55" t="s">
        <v>360</v>
      </c>
      <c r="H1521" s="55" t="s">
        <v>360</v>
      </c>
      <c r="I1521" s="55" t="s">
        <v>360</v>
      </c>
      <c r="J1521" s="55" t="s">
        <v>360</v>
      </c>
      <c r="K1521" s="55" t="s">
        <v>360</v>
      </c>
      <c r="L1521" s="55" t="s">
        <v>360</v>
      </c>
      <c r="M1521" s="55" t="s">
        <v>144</v>
      </c>
      <c r="N1521" s="55" t="s">
        <v>144</v>
      </c>
      <c r="O1521" s="55" t="s">
        <v>209</v>
      </c>
      <c r="P1521" s="55" t="s">
        <v>597</v>
      </c>
      <c r="Q1521" s="55" t="s">
        <v>350</v>
      </c>
      <c r="R1521" s="85">
        <v>4</v>
      </c>
      <c r="S1521" s="55">
        <v>0</v>
      </c>
      <c r="T1521" s="74" t="s">
        <v>737</v>
      </c>
      <c r="U1521" s="74" t="s">
        <v>351</v>
      </c>
      <c r="V1521" s="74">
        <v>44586</v>
      </c>
      <c r="W1521" s="74">
        <v>44651</v>
      </c>
      <c r="X1521" s="55">
        <v>10188256</v>
      </c>
      <c r="Y1521" s="55" t="s">
        <v>132</v>
      </c>
      <c r="AB1521" s="74" t="s">
        <v>130</v>
      </c>
      <c r="AC1521" s="55" t="s">
        <v>132</v>
      </c>
      <c r="AL1521" s="74"/>
      <c r="AM1521" s="74"/>
    </row>
    <row r="1522" spans="1:50" ht="13" x14ac:dyDescent="0.15">
      <c r="A1522" s="55" t="str">
        <f>HYPERLINK("http://reports.ofsted.gov.uk/inspection-reports/find-inspection-report/provider/CARE/2614738","Ofsted Social Care Provider Webpage")</f>
        <v>Ofsted Social Care Provider Webpage</v>
      </c>
      <c r="B1522" s="55">
        <v>2614738</v>
      </c>
      <c r="D1522" s="55" t="s">
        <v>373</v>
      </c>
      <c r="E1522" s="74">
        <v>44363</v>
      </c>
      <c r="F1522" s="55" t="s">
        <v>344</v>
      </c>
      <c r="G1522" s="55" t="s">
        <v>360</v>
      </c>
      <c r="H1522" s="55" t="s">
        <v>360</v>
      </c>
      <c r="I1522" s="55" t="s">
        <v>360</v>
      </c>
      <c r="J1522" s="55" t="s">
        <v>360</v>
      </c>
      <c r="K1522" s="55" t="s">
        <v>360</v>
      </c>
      <c r="L1522" s="55" t="s">
        <v>360</v>
      </c>
      <c r="M1522" s="55" t="s">
        <v>142</v>
      </c>
      <c r="N1522" s="55" t="s">
        <v>142</v>
      </c>
      <c r="O1522" s="55" t="s">
        <v>249</v>
      </c>
      <c r="P1522" s="55" t="s">
        <v>1318</v>
      </c>
      <c r="Q1522" s="55" t="s">
        <v>350</v>
      </c>
      <c r="R1522" s="85">
        <v>4</v>
      </c>
      <c r="S1522" s="55">
        <v>0</v>
      </c>
      <c r="T1522" s="74" t="s">
        <v>2012</v>
      </c>
      <c r="U1522" s="74" t="s">
        <v>351</v>
      </c>
      <c r="V1522" s="74">
        <v>44607</v>
      </c>
      <c r="W1522" s="74">
        <v>44659</v>
      </c>
      <c r="X1522" s="55">
        <v>10205855</v>
      </c>
      <c r="Y1522" s="55" t="s">
        <v>130</v>
      </c>
      <c r="AB1522" s="74" t="s">
        <v>130</v>
      </c>
      <c r="AC1522" s="55" t="s">
        <v>130</v>
      </c>
      <c r="AL1522" s="74"/>
      <c r="AM1522" s="74"/>
    </row>
    <row r="1523" spans="1:50" ht="13" x14ac:dyDescent="0.15">
      <c r="A1523" s="55" t="str">
        <f>HYPERLINK("http://reports.ofsted.gov.uk/inspection-reports/find-inspection-report/provider/CARE/2614937","Ofsted Social Care Provider Webpage")</f>
        <v>Ofsted Social Care Provider Webpage</v>
      </c>
      <c r="B1523" s="55">
        <v>2614937</v>
      </c>
      <c r="D1523" s="55" t="s">
        <v>373</v>
      </c>
      <c r="E1523" s="74">
        <v>44251</v>
      </c>
      <c r="F1523" s="55" t="s">
        <v>344</v>
      </c>
      <c r="G1523" s="55" t="s">
        <v>360</v>
      </c>
      <c r="H1523" s="55" t="s">
        <v>360</v>
      </c>
      <c r="I1523" s="55" t="s">
        <v>360</v>
      </c>
      <c r="J1523" s="55" t="s">
        <v>360</v>
      </c>
      <c r="K1523" s="55" t="s">
        <v>360</v>
      </c>
      <c r="L1523" s="55" t="s">
        <v>360</v>
      </c>
      <c r="M1523" s="55" t="s">
        <v>150</v>
      </c>
      <c r="N1523" s="55" t="s">
        <v>150</v>
      </c>
      <c r="O1523" s="55" t="s">
        <v>237</v>
      </c>
      <c r="P1523" s="55" t="s">
        <v>869</v>
      </c>
      <c r="Q1523" s="55" t="s">
        <v>350</v>
      </c>
      <c r="R1523" s="85">
        <v>4</v>
      </c>
      <c r="S1523" s="55">
        <v>0</v>
      </c>
      <c r="T1523" s="74" t="s">
        <v>435</v>
      </c>
      <c r="U1523" s="74" t="s">
        <v>351</v>
      </c>
      <c r="V1523" s="74">
        <v>44531</v>
      </c>
      <c r="W1523" s="74">
        <v>44581</v>
      </c>
      <c r="X1523" s="55">
        <v>10188283</v>
      </c>
      <c r="Y1523" s="55" t="s">
        <v>132</v>
      </c>
      <c r="AB1523" s="74" t="s">
        <v>132</v>
      </c>
      <c r="AC1523" s="55" t="s">
        <v>132</v>
      </c>
      <c r="AL1523" s="74"/>
      <c r="AM1523" s="74"/>
    </row>
    <row r="1524" spans="1:50" ht="13" x14ac:dyDescent="0.15">
      <c r="A1524" s="55" t="str">
        <f>HYPERLINK("http://reports.ofsted.gov.uk/inspection-reports/find-inspection-report/provider/CARE/2614999","Ofsted Social Care Provider Webpage")</f>
        <v>Ofsted Social Care Provider Webpage</v>
      </c>
      <c r="B1524" s="55">
        <v>2614999</v>
      </c>
      <c r="D1524" s="55" t="s">
        <v>373</v>
      </c>
      <c r="E1524" s="74">
        <v>44253</v>
      </c>
      <c r="F1524" s="55" t="s">
        <v>344</v>
      </c>
      <c r="G1524" s="55" t="s">
        <v>360</v>
      </c>
      <c r="H1524" s="55" t="s">
        <v>360</v>
      </c>
      <c r="I1524" s="55" t="s">
        <v>360</v>
      </c>
      <c r="J1524" s="55" t="s">
        <v>360</v>
      </c>
      <c r="K1524" s="55" t="s">
        <v>360</v>
      </c>
      <c r="L1524" s="55" t="s">
        <v>360</v>
      </c>
      <c r="M1524" s="55" t="s">
        <v>172</v>
      </c>
      <c r="N1524" s="55" t="s">
        <v>172</v>
      </c>
      <c r="O1524" s="55" t="s">
        <v>284</v>
      </c>
      <c r="P1524" s="55" t="s">
        <v>986</v>
      </c>
      <c r="Q1524" s="55" t="s">
        <v>350</v>
      </c>
      <c r="R1524" s="85">
        <v>3</v>
      </c>
      <c r="S1524" s="55">
        <v>0</v>
      </c>
      <c r="T1524" s="74" t="s">
        <v>2013</v>
      </c>
      <c r="U1524" s="74" t="s">
        <v>351</v>
      </c>
      <c r="V1524" s="74">
        <v>44412</v>
      </c>
      <c r="W1524" s="74">
        <v>44470</v>
      </c>
      <c r="X1524" s="55">
        <v>10188289</v>
      </c>
      <c r="Y1524" s="55" t="s">
        <v>130</v>
      </c>
      <c r="AB1524" s="74" t="s">
        <v>130</v>
      </c>
      <c r="AC1524" s="55" t="s">
        <v>130</v>
      </c>
      <c r="AL1524" s="74"/>
      <c r="AM1524" s="74"/>
    </row>
    <row r="1525" spans="1:50" ht="13" x14ac:dyDescent="0.15">
      <c r="A1525" s="55" t="str">
        <f>HYPERLINK("http://reports.ofsted.gov.uk/inspection-reports/find-inspection-report/provider/CARE/2615005","Ofsted Social Care Provider Webpage")</f>
        <v>Ofsted Social Care Provider Webpage</v>
      </c>
      <c r="B1525" s="55">
        <v>2615005</v>
      </c>
      <c r="D1525" s="55" t="s">
        <v>373</v>
      </c>
      <c r="E1525" s="74">
        <v>44187</v>
      </c>
      <c r="F1525" s="55" t="s">
        <v>344</v>
      </c>
      <c r="G1525" s="55" t="s">
        <v>360</v>
      </c>
      <c r="H1525" s="55" t="s">
        <v>360</v>
      </c>
      <c r="I1525" s="55" t="s">
        <v>360</v>
      </c>
      <c r="J1525" s="55" t="s">
        <v>360</v>
      </c>
      <c r="K1525" s="55" t="s">
        <v>360</v>
      </c>
      <c r="L1525" s="55" t="s">
        <v>360</v>
      </c>
      <c r="M1525" s="55" t="s">
        <v>378</v>
      </c>
      <c r="N1525" s="55" t="s">
        <v>170</v>
      </c>
      <c r="O1525" s="55" t="s">
        <v>178</v>
      </c>
      <c r="P1525" s="55" t="s">
        <v>2014</v>
      </c>
      <c r="Q1525" s="55" t="s">
        <v>350</v>
      </c>
      <c r="R1525" s="85">
        <v>7</v>
      </c>
      <c r="S1525" s="55">
        <v>0</v>
      </c>
      <c r="T1525" s="74" t="s">
        <v>435</v>
      </c>
      <c r="U1525" s="74" t="s">
        <v>351</v>
      </c>
      <c r="V1525" s="74">
        <v>44459</v>
      </c>
      <c r="W1525" s="74">
        <v>44498</v>
      </c>
      <c r="X1525" s="55">
        <v>10185939</v>
      </c>
      <c r="Y1525" s="55" t="s">
        <v>132</v>
      </c>
      <c r="AB1525" s="74" t="s">
        <v>132</v>
      </c>
      <c r="AC1525" s="55" t="s">
        <v>132</v>
      </c>
      <c r="AL1525" s="74"/>
      <c r="AM1525" s="74"/>
    </row>
    <row r="1526" spans="1:50" ht="13" x14ac:dyDescent="0.15">
      <c r="A1526" s="55" t="str">
        <f>HYPERLINK("http://reports.ofsted.gov.uk/inspection-reports/find-inspection-report/provider/CARE/2615067","Ofsted Social Care Provider Webpage")</f>
        <v>Ofsted Social Care Provider Webpage</v>
      </c>
      <c r="B1526" s="55">
        <v>2615067</v>
      </c>
      <c r="D1526" s="55" t="s">
        <v>373</v>
      </c>
      <c r="E1526" s="74">
        <v>44136</v>
      </c>
      <c r="F1526" s="55" t="s">
        <v>344</v>
      </c>
      <c r="G1526" s="55" t="s">
        <v>360</v>
      </c>
      <c r="H1526" s="55" t="s">
        <v>360</v>
      </c>
      <c r="I1526" s="55" t="s">
        <v>360</v>
      </c>
      <c r="J1526" s="55" t="s">
        <v>360</v>
      </c>
      <c r="K1526" s="55" t="s">
        <v>360</v>
      </c>
      <c r="L1526" s="55" t="s">
        <v>360</v>
      </c>
      <c r="M1526" s="55" t="s">
        <v>172</v>
      </c>
      <c r="N1526" s="55" t="s">
        <v>172</v>
      </c>
      <c r="O1526" s="55" t="s">
        <v>228</v>
      </c>
      <c r="P1526" s="55" t="s">
        <v>423</v>
      </c>
      <c r="Q1526" s="55" t="s">
        <v>362</v>
      </c>
      <c r="R1526" s="85">
        <v>5</v>
      </c>
      <c r="S1526" s="55">
        <v>0</v>
      </c>
      <c r="T1526" s="74" t="s">
        <v>1958</v>
      </c>
      <c r="U1526" s="74" t="s">
        <v>351</v>
      </c>
      <c r="V1526" s="74">
        <v>44419</v>
      </c>
      <c r="W1526" s="74">
        <v>44449</v>
      </c>
      <c r="X1526" s="55">
        <v>10186876</v>
      </c>
      <c r="Y1526" s="55" t="s">
        <v>132</v>
      </c>
      <c r="AB1526" s="74" t="s">
        <v>132</v>
      </c>
      <c r="AC1526" s="55" t="s">
        <v>132</v>
      </c>
      <c r="AL1526" s="74"/>
      <c r="AM1526" s="74"/>
    </row>
    <row r="1527" spans="1:50" ht="13" x14ac:dyDescent="0.15">
      <c r="A1527" s="55" t="str">
        <f>HYPERLINK("http://reports.ofsted.gov.uk/inspection-reports/find-inspection-report/provider/CARE/2615326","Ofsted Social Care Provider Webpage")</f>
        <v>Ofsted Social Care Provider Webpage</v>
      </c>
      <c r="B1527" s="55">
        <v>2615326</v>
      </c>
      <c r="D1527" s="55" t="s">
        <v>373</v>
      </c>
      <c r="E1527" s="74">
        <v>44208</v>
      </c>
      <c r="F1527" s="55" t="s">
        <v>344</v>
      </c>
      <c r="G1527" s="55" t="s">
        <v>360</v>
      </c>
      <c r="H1527" s="55" t="s">
        <v>360</v>
      </c>
      <c r="I1527" s="55" t="s">
        <v>360</v>
      </c>
      <c r="J1527" s="55" t="s">
        <v>360</v>
      </c>
      <c r="K1527" s="55" t="s">
        <v>360</v>
      </c>
      <c r="L1527" s="55" t="s">
        <v>360</v>
      </c>
      <c r="M1527" s="55" t="s">
        <v>378</v>
      </c>
      <c r="N1527" s="55" t="s">
        <v>170</v>
      </c>
      <c r="O1527" s="55" t="s">
        <v>178</v>
      </c>
      <c r="P1527" s="55" t="s">
        <v>1374</v>
      </c>
      <c r="Q1527" s="55" t="s">
        <v>350</v>
      </c>
      <c r="R1527" s="85">
        <v>3</v>
      </c>
      <c r="S1527" s="55">
        <v>0</v>
      </c>
      <c r="T1527" s="74" t="s">
        <v>2015</v>
      </c>
      <c r="U1527" s="74" t="s">
        <v>351</v>
      </c>
      <c r="V1527" s="74">
        <v>44355</v>
      </c>
      <c r="W1527" s="74">
        <v>44393</v>
      </c>
      <c r="X1527" s="55">
        <v>10188258</v>
      </c>
      <c r="Y1527" s="55" t="s">
        <v>146</v>
      </c>
      <c r="AB1527" s="74" t="s">
        <v>146</v>
      </c>
      <c r="AC1527" s="55" t="s">
        <v>146</v>
      </c>
      <c r="AL1527" s="74"/>
      <c r="AM1527" s="74"/>
    </row>
    <row r="1528" spans="1:50" ht="13" x14ac:dyDescent="0.15">
      <c r="A1528" s="55" t="str">
        <f>HYPERLINK("http://reports.ofsted.gov.uk/inspection-reports/find-inspection-report/provider/CARE/2615326","Ofsted Social Care Provider Webpage")</f>
        <v>Ofsted Social Care Provider Webpage</v>
      </c>
      <c r="B1528" s="55">
        <v>2615326</v>
      </c>
      <c r="D1528" s="55" t="s">
        <v>373</v>
      </c>
      <c r="E1528" s="74">
        <v>44208</v>
      </c>
      <c r="F1528" s="55" t="s">
        <v>344</v>
      </c>
      <c r="G1528" s="55" t="s">
        <v>360</v>
      </c>
      <c r="H1528" s="55" t="s">
        <v>360</v>
      </c>
      <c r="I1528" s="55" t="s">
        <v>360</v>
      </c>
      <c r="J1528" s="55" t="s">
        <v>360</v>
      </c>
      <c r="K1528" s="55" t="s">
        <v>360</v>
      </c>
      <c r="L1528" s="55" t="s">
        <v>360</v>
      </c>
      <c r="M1528" s="55" t="s">
        <v>378</v>
      </c>
      <c r="N1528" s="55" t="s">
        <v>170</v>
      </c>
      <c r="O1528" s="55" t="s">
        <v>178</v>
      </c>
      <c r="P1528" s="55" t="s">
        <v>1374</v>
      </c>
      <c r="Q1528" s="55" t="s">
        <v>350</v>
      </c>
      <c r="R1528" s="85">
        <v>3</v>
      </c>
      <c r="S1528" s="55">
        <v>0</v>
      </c>
      <c r="T1528" s="74" t="s">
        <v>2015</v>
      </c>
      <c r="U1528" s="74" t="s">
        <v>2053</v>
      </c>
      <c r="V1528" s="74">
        <v>44404</v>
      </c>
      <c r="W1528" s="74">
        <v>44428</v>
      </c>
      <c r="X1528" s="55">
        <v>10197969</v>
      </c>
      <c r="AL1528" s="74"/>
      <c r="AM1528" s="74"/>
      <c r="AW1528" s="74"/>
      <c r="AX1528" s="74"/>
    </row>
    <row r="1529" spans="1:50" ht="13" x14ac:dyDescent="0.15">
      <c r="A1529" s="55" t="str">
        <f>HYPERLINK("http://reports.ofsted.gov.uk/inspection-reports/find-inspection-report/provider/CARE/2615326","Ofsted Social Care Provider Webpage")</f>
        <v>Ofsted Social Care Provider Webpage</v>
      </c>
      <c r="B1529" s="55">
        <v>2615326</v>
      </c>
      <c r="D1529" s="55" t="s">
        <v>373</v>
      </c>
      <c r="E1529" s="74">
        <v>44208</v>
      </c>
      <c r="F1529" s="55" t="s">
        <v>344</v>
      </c>
      <c r="G1529" s="55" t="s">
        <v>360</v>
      </c>
      <c r="H1529" s="55" t="s">
        <v>360</v>
      </c>
      <c r="I1529" s="55" t="s">
        <v>360</v>
      </c>
      <c r="J1529" s="55" t="s">
        <v>360</v>
      </c>
      <c r="K1529" s="55" t="s">
        <v>360</v>
      </c>
      <c r="L1529" s="55" t="s">
        <v>360</v>
      </c>
      <c r="M1529" s="55" t="s">
        <v>378</v>
      </c>
      <c r="N1529" s="55" t="s">
        <v>170</v>
      </c>
      <c r="O1529" s="55" t="s">
        <v>178</v>
      </c>
      <c r="P1529" s="55" t="s">
        <v>1374</v>
      </c>
      <c r="Q1529" s="55" t="s">
        <v>350</v>
      </c>
      <c r="R1529" s="85">
        <v>3</v>
      </c>
      <c r="S1529" s="55">
        <v>0</v>
      </c>
      <c r="T1529" s="74" t="s">
        <v>2015</v>
      </c>
      <c r="U1529" s="74" t="s">
        <v>351</v>
      </c>
      <c r="V1529" s="74">
        <v>44474</v>
      </c>
      <c r="W1529" s="74">
        <v>44503</v>
      </c>
      <c r="X1529" s="55">
        <v>10197970</v>
      </c>
      <c r="Y1529" s="55" t="s">
        <v>132</v>
      </c>
      <c r="AB1529" s="74" t="s">
        <v>132</v>
      </c>
      <c r="AC1529" s="55" t="s">
        <v>132</v>
      </c>
      <c r="AL1529" s="74"/>
      <c r="AM1529" s="74"/>
      <c r="AW1529" s="74"/>
      <c r="AX1529" s="74"/>
    </row>
    <row r="1530" spans="1:50" ht="13" x14ac:dyDescent="0.15">
      <c r="A1530" s="55" t="str">
        <f>HYPERLINK("http://reports.ofsted.gov.uk/inspection-reports/find-inspection-report/provider/CARE/2615342","Ofsted Social Care Provider Webpage")</f>
        <v>Ofsted Social Care Provider Webpage</v>
      </c>
      <c r="B1530" s="55">
        <v>2615342</v>
      </c>
      <c r="D1530" s="55" t="s">
        <v>373</v>
      </c>
      <c r="E1530" s="74">
        <v>44181</v>
      </c>
      <c r="F1530" s="55" t="s">
        <v>344</v>
      </c>
      <c r="G1530" s="55" t="s">
        <v>360</v>
      </c>
      <c r="H1530" s="55" t="s">
        <v>360</v>
      </c>
      <c r="I1530" s="55" t="s">
        <v>360</v>
      </c>
      <c r="J1530" s="55" t="s">
        <v>360</v>
      </c>
      <c r="K1530" s="55" t="s">
        <v>360</v>
      </c>
      <c r="L1530" s="55" t="s">
        <v>360</v>
      </c>
      <c r="M1530" s="55" t="s">
        <v>142</v>
      </c>
      <c r="N1530" s="55" t="s">
        <v>142</v>
      </c>
      <c r="O1530" s="55" t="s">
        <v>282</v>
      </c>
      <c r="P1530" s="55" t="s">
        <v>355</v>
      </c>
      <c r="Q1530" s="55" t="s">
        <v>350</v>
      </c>
      <c r="R1530" s="85">
        <v>7</v>
      </c>
      <c r="S1530" s="55">
        <v>0</v>
      </c>
      <c r="T1530" s="74" t="s">
        <v>435</v>
      </c>
      <c r="U1530" s="74" t="s">
        <v>351</v>
      </c>
      <c r="V1530" s="74">
        <v>44411</v>
      </c>
      <c r="W1530" s="74">
        <v>44448</v>
      </c>
      <c r="X1530" s="55">
        <v>10185693</v>
      </c>
      <c r="Y1530" s="55" t="s">
        <v>132</v>
      </c>
      <c r="AB1530" s="74" t="s">
        <v>132</v>
      </c>
      <c r="AC1530" s="55" t="s">
        <v>140</v>
      </c>
      <c r="AL1530" s="74"/>
      <c r="AM1530" s="74"/>
    </row>
    <row r="1531" spans="1:50" ht="13" x14ac:dyDescent="0.15">
      <c r="A1531" s="55" t="str">
        <f>HYPERLINK("http://reports.ofsted.gov.uk/inspection-reports/find-inspection-report/provider/CARE/2615395","Ofsted Social Care Provider Webpage")</f>
        <v>Ofsted Social Care Provider Webpage</v>
      </c>
      <c r="B1531" s="55">
        <v>2615395</v>
      </c>
      <c r="D1531" s="55" t="s">
        <v>373</v>
      </c>
      <c r="E1531" s="74">
        <v>44161</v>
      </c>
      <c r="F1531" s="55" t="s">
        <v>344</v>
      </c>
      <c r="G1531" s="55" t="s">
        <v>360</v>
      </c>
      <c r="H1531" s="55" t="s">
        <v>360</v>
      </c>
      <c r="I1531" s="55" t="s">
        <v>360</v>
      </c>
      <c r="J1531" s="55" t="s">
        <v>360</v>
      </c>
      <c r="K1531" s="55" t="s">
        <v>360</v>
      </c>
      <c r="L1531" s="55" t="s">
        <v>360</v>
      </c>
      <c r="M1531" s="55" t="s">
        <v>144</v>
      </c>
      <c r="N1531" s="55" t="s">
        <v>144</v>
      </c>
      <c r="O1531" s="55" t="s">
        <v>217</v>
      </c>
      <c r="P1531" s="55" t="s">
        <v>384</v>
      </c>
      <c r="Q1531" s="55" t="s">
        <v>350</v>
      </c>
      <c r="R1531" s="85">
        <v>2</v>
      </c>
      <c r="S1531" s="55">
        <v>0</v>
      </c>
      <c r="T1531" s="74" t="s">
        <v>2016</v>
      </c>
      <c r="U1531" s="74" t="s">
        <v>351</v>
      </c>
      <c r="V1531" s="74">
        <v>44306</v>
      </c>
      <c r="W1531" s="74">
        <v>44341</v>
      </c>
      <c r="X1531" s="55">
        <v>10185989</v>
      </c>
      <c r="Y1531" s="55" t="s">
        <v>132</v>
      </c>
      <c r="AB1531" s="74" t="s">
        <v>132</v>
      </c>
      <c r="AC1531" s="55" t="s">
        <v>130</v>
      </c>
      <c r="AL1531" s="74"/>
      <c r="AM1531" s="74"/>
      <c r="AW1531" s="74"/>
      <c r="AX1531" s="74"/>
    </row>
    <row r="1532" spans="1:50" ht="13" x14ac:dyDescent="0.15">
      <c r="A1532" s="55" t="str">
        <f>HYPERLINK("http://reports.ofsted.gov.uk/inspection-reports/find-inspection-report/provider/CARE/2615433","Ofsted Social Care Provider Webpage")</f>
        <v>Ofsted Social Care Provider Webpage</v>
      </c>
      <c r="B1532" s="55">
        <v>2615433</v>
      </c>
      <c r="D1532" s="55" t="s">
        <v>389</v>
      </c>
      <c r="E1532" s="74">
        <v>44136</v>
      </c>
      <c r="F1532" s="55" t="s">
        <v>344</v>
      </c>
      <c r="G1532" s="55" t="s">
        <v>2017</v>
      </c>
      <c r="H1532" s="55" t="s">
        <v>1955</v>
      </c>
      <c r="I1532" s="55" t="s">
        <v>1956</v>
      </c>
      <c r="J1532" s="55" t="s">
        <v>1349</v>
      </c>
      <c r="K1532" s="55" t="s">
        <v>1350</v>
      </c>
      <c r="L1532" s="55" t="s">
        <v>1957</v>
      </c>
      <c r="M1532" s="55" t="s">
        <v>172</v>
      </c>
      <c r="N1532" s="55" t="s">
        <v>172</v>
      </c>
      <c r="O1532" s="55" t="s">
        <v>284</v>
      </c>
      <c r="P1532" s="55" t="s">
        <v>1475</v>
      </c>
      <c r="Q1532" s="55" t="s">
        <v>362</v>
      </c>
      <c r="S1532" s="55">
        <v>0</v>
      </c>
      <c r="T1532" s="74" t="s">
        <v>1958</v>
      </c>
      <c r="U1532" s="74" t="s">
        <v>351</v>
      </c>
      <c r="V1532" s="74">
        <v>44473</v>
      </c>
      <c r="W1532" s="74">
        <v>44559</v>
      </c>
      <c r="X1532" s="55">
        <v>10183180</v>
      </c>
      <c r="Y1532" s="55" t="s">
        <v>130</v>
      </c>
      <c r="AB1532" s="74" t="s">
        <v>130</v>
      </c>
      <c r="AC1532" s="55" t="s">
        <v>130</v>
      </c>
      <c r="AL1532" s="74"/>
      <c r="AM1532" s="74"/>
      <c r="AW1532" s="74"/>
      <c r="AX1532" s="74"/>
    </row>
    <row r="1533" spans="1:50" ht="13" x14ac:dyDescent="0.15">
      <c r="A1533" s="55" t="str">
        <f>HYPERLINK("http://reports.ofsted.gov.uk/inspection-reports/find-inspection-report/provider/CARE/2615494","Ofsted Social Care Provider Webpage")</f>
        <v>Ofsted Social Care Provider Webpage</v>
      </c>
      <c r="B1533" s="55">
        <v>2615494</v>
      </c>
      <c r="D1533" s="55" t="s">
        <v>373</v>
      </c>
      <c r="E1533" s="74">
        <v>44167</v>
      </c>
      <c r="F1533" s="55" t="s">
        <v>344</v>
      </c>
      <c r="G1533" s="55" t="s">
        <v>360</v>
      </c>
      <c r="H1533" s="55" t="s">
        <v>360</v>
      </c>
      <c r="I1533" s="55" t="s">
        <v>360</v>
      </c>
      <c r="J1533" s="55" t="s">
        <v>360</v>
      </c>
      <c r="K1533" s="55" t="s">
        <v>360</v>
      </c>
      <c r="L1533" s="55" t="s">
        <v>360</v>
      </c>
      <c r="M1533" s="55" t="s">
        <v>172</v>
      </c>
      <c r="N1533" s="55" t="s">
        <v>172</v>
      </c>
      <c r="O1533" s="55" t="s">
        <v>212</v>
      </c>
      <c r="P1533" s="55" t="s">
        <v>592</v>
      </c>
      <c r="Q1533" s="55" t="s">
        <v>350</v>
      </c>
      <c r="R1533" s="85">
        <v>4</v>
      </c>
      <c r="S1533" s="55">
        <v>0</v>
      </c>
      <c r="T1533" s="74" t="s">
        <v>435</v>
      </c>
      <c r="U1533" s="74" t="s">
        <v>351</v>
      </c>
      <c r="V1533" s="74">
        <v>44594</v>
      </c>
      <c r="W1533" s="74">
        <v>44630</v>
      </c>
      <c r="X1533" s="55">
        <v>10186782</v>
      </c>
      <c r="Y1533" s="55" t="s">
        <v>132</v>
      </c>
      <c r="AB1533" s="74" t="s">
        <v>132</v>
      </c>
      <c r="AC1533" s="55" t="s">
        <v>132</v>
      </c>
      <c r="AL1533" s="74"/>
      <c r="AM1533" s="74"/>
      <c r="AW1533" s="74"/>
      <c r="AX1533" s="74"/>
    </row>
    <row r="1534" spans="1:50" ht="13" x14ac:dyDescent="0.15">
      <c r="A1534" s="55" t="str">
        <f>HYPERLINK("http://reports.ofsted.gov.uk/inspection-reports/find-inspection-report/provider/CARE/2616251","Ofsted Social Care Provider Webpage")</f>
        <v>Ofsted Social Care Provider Webpage</v>
      </c>
      <c r="B1534" s="55">
        <v>2616251</v>
      </c>
      <c r="D1534" s="55" t="s">
        <v>389</v>
      </c>
      <c r="E1534" s="74">
        <v>44238</v>
      </c>
      <c r="F1534" s="55" t="s">
        <v>344</v>
      </c>
      <c r="G1534" s="55" t="s">
        <v>2023</v>
      </c>
      <c r="H1534" s="55" t="s">
        <v>2024</v>
      </c>
      <c r="I1534" s="55" t="s">
        <v>2025</v>
      </c>
      <c r="J1534" s="55" t="s">
        <v>581</v>
      </c>
      <c r="K1534" s="55" t="s">
        <v>255</v>
      </c>
      <c r="L1534" s="55" t="s">
        <v>2026</v>
      </c>
      <c r="M1534" s="55" t="s">
        <v>136</v>
      </c>
      <c r="N1534" s="55" t="s">
        <v>136</v>
      </c>
      <c r="O1534" s="55" t="s">
        <v>255</v>
      </c>
      <c r="P1534" s="55" t="s">
        <v>583</v>
      </c>
      <c r="Q1534" s="55" t="s">
        <v>350</v>
      </c>
      <c r="S1534" s="55">
        <v>0</v>
      </c>
      <c r="T1534" s="74" t="s">
        <v>2023</v>
      </c>
      <c r="U1534" s="74" t="s">
        <v>351</v>
      </c>
      <c r="V1534" s="74">
        <v>44599</v>
      </c>
      <c r="W1534" s="74">
        <v>44650</v>
      </c>
      <c r="X1534" s="55">
        <v>10193208</v>
      </c>
      <c r="Y1534" s="55" t="s">
        <v>132</v>
      </c>
      <c r="AB1534" s="74" t="s">
        <v>132</v>
      </c>
      <c r="AC1534" s="55" t="s">
        <v>132</v>
      </c>
      <c r="AL1534" s="74"/>
      <c r="AM1534" s="74"/>
      <c r="AW1534" s="74"/>
      <c r="AX1534" s="74"/>
    </row>
    <row r="1535" spans="1:50" ht="13" x14ac:dyDescent="0.15">
      <c r="A1535" s="55" t="str">
        <f>HYPERLINK("http://reports.ofsted.gov.uk/inspection-reports/find-inspection-report/provider/CARE/2616383","Ofsted Social Care Provider Webpage")</f>
        <v>Ofsted Social Care Provider Webpage</v>
      </c>
      <c r="B1535" s="55">
        <v>2616383</v>
      </c>
      <c r="D1535" s="55" t="s">
        <v>373</v>
      </c>
      <c r="E1535" s="74">
        <v>44252</v>
      </c>
      <c r="F1535" s="55" t="s">
        <v>344</v>
      </c>
      <c r="G1535" s="55" t="s">
        <v>360</v>
      </c>
      <c r="H1535" s="55" t="s">
        <v>360</v>
      </c>
      <c r="I1535" s="55" t="s">
        <v>360</v>
      </c>
      <c r="J1535" s="55" t="s">
        <v>360</v>
      </c>
      <c r="K1535" s="55" t="s">
        <v>360</v>
      </c>
      <c r="L1535" s="55" t="s">
        <v>360</v>
      </c>
      <c r="M1535" s="55" t="s">
        <v>144</v>
      </c>
      <c r="N1535" s="55" t="s">
        <v>144</v>
      </c>
      <c r="O1535" s="55" t="s">
        <v>248</v>
      </c>
      <c r="P1535" s="55" t="s">
        <v>492</v>
      </c>
      <c r="Q1535" s="55" t="s">
        <v>350</v>
      </c>
      <c r="R1535" s="85">
        <v>2</v>
      </c>
      <c r="S1535" s="55">
        <v>0</v>
      </c>
      <c r="T1535" s="74" t="s">
        <v>1712</v>
      </c>
      <c r="U1535" s="74" t="s">
        <v>351</v>
      </c>
      <c r="V1535" s="74">
        <v>44531</v>
      </c>
      <c r="W1535" s="74">
        <v>44587</v>
      </c>
      <c r="X1535" s="55">
        <v>10188286</v>
      </c>
      <c r="Y1535" s="55" t="s">
        <v>132</v>
      </c>
      <c r="AB1535" s="74" t="s">
        <v>132</v>
      </c>
      <c r="AC1535" s="55" t="s">
        <v>132</v>
      </c>
      <c r="AL1535" s="74"/>
      <c r="AM1535" s="74"/>
      <c r="AW1535" s="74"/>
      <c r="AX1535" s="74"/>
    </row>
    <row r="1536" spans="1:50" ht="13" x14ac:dyDescent="0.15">
      <c r="A1536" s="55" t="str">
        <f>HYPERLINK("http://reports.ofsted.gov.uk/inspection-reports/find-inspection-report/provider/CARE/2616605","Ofsted Social Care Provider Webpage")</f>
        <v>Ofsted Social Care Provider Webpage</v>
      </c>
      <c r="B1536" s="55">
        <v>2616605</v>
      </c>
      <c r="D1536" s="55" t="s">
        <v>373</v>
      </c>
      <c r="E1536" s="74">
        <v>44286</v>
      </c>
      <c r="F1536" s="55" t="s">
        <v>344</v>
      </c>
      <c r="G1536" s="55" t="s">
        <v>360</v>
      </c>
      <c r="H1536" s="55" t="s">
        <v>360</v>
      </c>
      <c r="I1536" s="55" t="s">
        <v>360</v>
      </c>
      <c r="J1536" s="55" t="s">
        <v>360</v>
      </c>
      <c r="K1536" s="55" t="s">
        <v>360</v>
      </c>
      <c r="L1536" s="55" t="s">
        <v>360</v>
      </c>
      <c r="M1536" s="55" t="s">
        <v>144</v>
      </c>
      <c r="N1536" s="55" t="s">
        <v>144</v>
      </c>
      <c r="O1536" s="55" t="s">
        <v>209</v>
      </c>
      <c r="P1536" s="55" t="s">
        <v>545</v>
      </c>
      <c r="Q1536" s="55" t="s">
        <v>350</v>
      </c>
      <c r="R1536" s="85">
        <v>6</v>
      </c>
      <c r="S1536" s="55">
        <v>0</v>
      </c>
      <c r="T1536" s="74" t="s">
        <v>574</v>
      </c>
      <c r="U1536" s="74" t="s">
        <v>351</v>
      </c>
      <c r="V1536" s="74">
        <v>44468</v>
      </c>
      <c r="W1536" s="74">
        <v>44585</v>
      </c>
      <c r="X1536" s="55">
        <v>10204556</v>
      </c>
      <c r="Y1536" s="55" t="s">
        <v>130</v>
      </c>
      <c r="AB1536" s="74" t="s">
        <v>130</v>
      </c>
      <c r="AC1536" s="55" t="s">
        <v>130</v>
      </c>
      <c r="AL1536" s="74"/>
      <c r="AM1536" s="74"/>
      <c r="AW1536" s="74"/>
      <c r="AX1536" s="74"/>
    </row>
    <row r="1537" spans="1:50" ht="13" x14ac:dyDescent="0.15">
      <c r="A1537" s="55" t="str">
        <f>HYPERLINK("http://reports.ofsted.gov.uk/inspection-reports/find-inspection-report/provider/CARE/2616606","Ofsted Social Care Provider Webpage")</f>
        <v>Ofsted Social Care Provider Webpage</v>
      </c>
      <c r="B1537" s="55">
        <v>2616606</v>
      </c>
      <c r="D1537" s="55" t="s">
        <v>373</v>
      </c>
      <c r="E1537" s="74">
        <v>44224</v>
      </c>
      <c r="F1537" s="55" t="s">
        <v>344</v>
      </c>
      <c r="G1537" s="55" t="s">
        <v>360</v>
      </c>
      <c r="H1537" s="55" t="s">
        <v>360</v>
      </c>
      <c r="I1537" s="55" t="s">
        <v>360</v>
      </c>
      <c r="J1537" s="55" t="s">
        <v>360</v>
      </c>
      <c r="K1537" s="55" t="s">
        <v>360</v>
      </c>
      <c r="L1537" s="55" t="s">
        <v>360</v>
      </c>
      <c r="M1537" s="55" t="s">
        <v>144</v>
      </c>
      <c r="N1537" s="55" t="s">
        <v>144</v>
      </c>
      <c r="O1537" s="55" t="s">
        <v>209</v>
      </c>
      <c r="P1537" s="55" t="s">
        <v>474</v>
      </c>
      <c r="Q1537" s="55" t="s">
        <v>350</v>
      </c>
      <c r="R1537" s="85">
        <v>2</v>
      </c>
      <c r="S1537" s="55">
        <v>0</v>
      </c>
      <c r="T1537" s="74" t="s">
        <v>485</v>
      </c>
      <c r="U1537" s="74" t="s">
        <v>351</v>
      </c>
      <c r="V1537" s="74">
        <v>44398</v>
      </c>
      <c r="W1537" s="74">
        <v>44428</v>
      </c>
      <c r="X1537" s="55">
        <v>10188265</v>
      </c>
      <c r="Y1537" s="55" t="s">
        <v>132</v>
      </c>
      <c r="AB1537" s="74" t="s">
        <v>132</v>
      </c>
      <c r="AC1537" s="55" t="s">
        <v>132</v>
      </c>
      <c r="AL1537" s="74"/>
      <c r="AM1537" s="74"/>
      <c r="AW1537" s="74"/>
      <c r="AX1537" s="74"/>
    </row>
    <row r="1538" spans="1:50" ht="13" x14ac:dyDescent="0.15">
      <c r="A1538" s="55" t="str">
        <f>HYPERLINK("http://reports.ofsted.gov.uk/inspection-reports/find-inspection-report/provider/CARE/2616670","Ofsted Social Care Provider Webpage")</f>
        <v>Ofsted Social Care Provider Webpage</v>
      </c>
      <c r="B1538" s="55">
        <v>2616670</v>
      </c>
      <c r="D1538" s="55" t="s">
        <v>373</v>
      </c>
      <c r="E1538" s="74">
        <v>44136</v>
      </c>
      <c r="F1538" s="55" t="s">
        <v>344</v>
      </c>
      <c r="G1538" s="55" t="s">
        <v>360</v>
      </c>
      <c r="H1538" s="55" t="s">
        <v>360</v>
      </c>
      <c r="I1538" s="55" t="s">
        <v>360</v>
      </c>
      <c r="J1538" s="55" t="s">
        <v>360</v>
      </c>
      <c r="K1538" s="55" t="s">
        <v>360</v>
      </c>
      <c r="L1538" s="55" t="s">
        <v>360</v>
      </c>
      <c r="M1538" s="55" t="s">
        <v>172</v>
      </c>
      <c r="N1538" s="55" t="s">
        <v>172</v>
      </c>
      <c r="O1538" s="55" t="s">
        <v>284</v>
      </c>
      <c r="P1538" s="55" t="s">
        <v>985</v>
      </c>
      <c r="Q1538" s="55" t="s">
        <v>362</v>
      </c>
      <c r="R1538" s="85">
        <v>5</v>
      </c>
      <c r="S1538" s="55">
        <v>0</v>
      </c>
      <c r="T1538" s="74" t="s">
        <v>1958</v>
      </c>
      <c r="U1538" s="74" t="s">
        <v>351</v>
      </c>
      <c r="V1538" s="74">
        <v>44370</v>
      </c>
      <c r="W1538" s="74">
        <v>44406</v>
      </c>
      <c r="X1538" s="55">
        <v>10185504</v>
      </c>
      <c r="Y1538" s="55" t="s">
        <v>130</v>
      </c>
      <c r="AB1538" s="74" t="s">
        <v>130</v>
      </c>
      <c r="AC1538" s="55" t="s">
        <v>146</v>
      </c>
      <c r="AL1538" s="74"/>
      <c r="AM1538" s="74"/>
      <c r="AW1538" s="74"/>
      <c r="AX1538" s="74"/>
    </row>
    <row r="1539" spans="1:50" ht="13" x14ac:dyDescent="0.15">
      <c r="A1539" s="55" t="str">
        <f>HYPERLINK("http://reports.ofsted.gov.uk/inspection-reports/find-inspection-report/provider/CARE/2616670","Ofsted Social Care Provider Webpage")</f>
        <v>Ofsted Social Care Provider Webpage</v>
      </c>
      <c r="B1539" s="55">
        <v>2616670</v>
      </c>
      <c r="D1539" s="55" t="s">
        <v>373</v>
      </c>
      <c r="E1539" s="74">
        <v>44136</v>
      </c>
      <c r="F1539" s="55" t="s">
        <v>344</v>
      </c>
      <c r="G1539" s="55" t="s">
        <v>360</v>
      </c>
      <c r="H1539" s="55" t="s">
        <v>360</v>
      </c>
      <c r="I1539" s="55" t="s">
        <v>360</v>
      </c>
      <c r="J1539" s="55" t="s">
        <v>360</v>
      </c>
      <c r="K1539" s="55" t="s">
        <v>360</v>
      </c>
      <c r="L1539" s="55" t="s">
        <v>360</v>
      </c>
      <c r="M1539" s="55" t="s">
        <v>172</v>
      </c>
      <c r="N1539" s="55" t="s">
        <v>172</v>
      </c>
      <c r="O1539" s="55" t="s">
        <v>284</v>
      </c>
      <c r="P1539" s="55" t="s">
        <v>985</v>
      </c>
      <c r="Q1539" s="55" t="s">
        <v>362</v>
      </c>
      <c r="R1539" s="85">
        <v>5</v>
      </c>
      <c r="S1539" s="55">
        <v>0</v>
      </c>
      <c r="T1539" s="74" t="s">
        <v>1958</v>
      </c>
      <c r="U1539" s="74" t="s">
        <v>6703</v>
      </c>
      <c r="V1539" s="74">
        <v>44616</v>
      </c>
      <c r="W1539" s="74">
        <v>44658</v>
      </c>
      <c r="X1539" s="55">
        <v>10225645</v>
      </c>
      <c r="Y1539" s="55" t="s">
        <v>6704</v>
      </c>
      <c r="AL1539" s="74"/>
      <c r="AM1539" s="74"/>
      <c r="AW1539" s="74"/>
      <c r="AX1539" s="74"/>
    </row>
    <row r="1540" spans="1:50" ht="13" x14ac:dyDescent="0.15">
      <c r="A1540" s="55" t="str">
        <f>HYPERLINK("http://reports.ofsted.gov.uk/inspection-reports/find-inspection-report/provider/CARE/2616704","Ofsted Social Care Provider Webpage")</f>
        <v>Ofsted Social Care Provider Webpage</v>
      </c>
      <c r="B1540" s="55">
        <v>2616704</v>
      </c>
      <c r="D1540" s="55" t="s">
        <v>373</v>
      </c>
      <c r="E1540" s="74">
        <v>44245</v>
      </c>
      <c r="F1540" s="55" t="s">
        <v>344</v>
      </c>
      <c r="G1540" s="55" t="s">
        <v>360</v>
      </c>
      <c r="H1540" s="55" t="s">
        <v>360</v>
      </c>
      <c r="I1540" s="55" t="s">
        <v>360</v>
      </c>
      <c r="J1540" s="55" t="s">
        <v>360</v>
      </c>
      <c r="K1540" s="55" t="s">
        <v>360</v>
      </c>
      <c r="L1540" s="55" t="s">
        <v>360</v>
      </c>
      <c r="M1540" s="55" t="s">
        <v>172</v>
      </c>
      <c r="N1540" s="55" t="s">
        <v>172</v>
      </c>
      <c r="O1540" s="55" t="s">
        <v>173</v>
      </c>
      <c r="P1540" s="55" t="s">
        <v>1258</v>
      </c>
      <c r="Q1540" s="55" t="s">
        <v>350</v>
      </c>
      <c r="R1540" s="85">
        <v>3</v>
      </c>
      <c r="S1540" s="55">
        <v>0</v>
      </c>
      <c r="T1540" s="74" t="s">
        <v>963</v>
      </c>
      <c r="U1540" s="74" t="s">
        <v>351</v>
      </c>
      <c r="V1540" s="74">
        <v>44573</v>
      </c>
      <c r="W1540" s="74">
        <v>44599</v>
      </c>
      <c r="X1540" s="55">
        <v>10188279</v>
      </c>
      <c r="Y1540" s="55" t="s">
        <v>132</v>
      </c>
      <c r="AB1540" s="74" t="s">
        <v>132</v>
      </c>
      <c r="AC1540" s="55" t="s">
        <v>132</v>
      </c>
      <c r="AL1540" s="74"/>
      <c r="AM1540" s="74"/>
      <c r="AW1540" s="74"/>
      <c r="AX1540" s="74"/>
    </row>
    <row r="1541" spans="1:50" ht="13" x14ac:dyDescent="0.15">
      <c r="A1541" s="55" t="str">
        <f>HYPERLINK("http://reports.ofsted.gov.uk/inspection-reports/find-inspection-report/provider/CARE/2616741","Ofsted Social Care Provider Webpage")</f>
        <v>Ofsted Social Care Provider Webpage</v>
      </c>
      <c r="B1541" s="55">
        <v>2616741</v>
      </c>
      <c r="D1541" s="55" t="s">
        <v>373</v>
      </c>
      <c r="E1541" s="74">
        <v>44200</v>
      </c>
      <c r="F1541" s="55" t="s">
        <v>344</v>
      </c>
      <c r="G1541" s="55" t="s">
        <v>360</v>
      </c>
      <c r="H1541" s="55" t="s">
        <v>360</v>
      </c>
      <c r="I1541" s="55" t="s">
        <v>360</v>
      </c>
      <c r="J1541" s="55" t="s">
        <v>360</v>
      </c>
      <c r="K1541" s="55" t="s">
        <v>360</v>
      </c>
      <c r="L1541" s="55" t="s">
        <v>360</v>
      </c>
      <c r="M1541" s="55" t="s">
        <v>378</v>
      </c>
      <c r="N1541" s="55" t="s">
        <v>134</v>
      </c>
      <c r="O1541" s="55" t="s">
        <v>206</v>
      </c>
      <c r="P1541" s="55" t="s">
        <v>750</v>
      </c>
      <c r="Q1541" s="55" t="s">
        <v>350</v>
      </c>
      <c r="R1541" s="85">
        <v>1</v>
      </c>
      <c r="S1541" s="55">
        <v>0</v>
      </c>
      <c r="T1541" s="74" t="s">
        <v>385</v>
      </c>
      <c r="U1541" s="74" t="s">
        <v>351</v>
      </c>
      <c r="V1541" s="74">
        <v>44354</v>
      </c>
      <c r="W1541" s="74">
        <v>44390</v>
      </c>
      <c r="X1541" s="55">
        <v>10186004</v>
      </c>
      <c r="Y1541" s="55" t="s">
        <v>132</v>
      </c>
      <c r="AB1541" s="74" t="s">
        <v>132</v>
      </c>
      <c r="AC1541" s="55" t="s">
        <v>132</v>
      </c>
      <c r="AL1541" s="74"/>
      <c r="AM1541" s="74"/>
      <c r="AW1541" s="74"/>
      <c r="AX1541" s="74"/>
    </row>
    <row r="1542" spans="1:50" ht="13" x14ac:dyDescent="0.15">
      <c r="A1542" s="55" t="str">
        <f>HYPERLINK("http://reports.ofsted.gov.uk/inspection-reports/find-inspection-report/provider/CARE/2617199","Ofsted Social Care Provider Webpage")</f>
        <v>Ofsted Social Care Provider Webpage</v>
      </c>
      <c r="B1542" s="55">
        <v>2617199</v>
      </c>
      <c r="D1542" s="55" t="s">
        <v>373</v>
      </c>
      <c r="E1542" s="74">
        <v>44350</v>
      </c>
      <c r="F1542" s="55" t="s">
        <v>344</v>
      </c>
      <c r="G1542" s="55" t="s">
        <v>360</v>
      </c>
      <c r="H1542" s="55" t="s">
        <v>360</v>
      </c>
      <c r="I1542" s="55" t="s">
        <v>360</v>
      </c>
      <c r="J1542" s="55" t="s">
        <v>360</v>
      </c>
      <c r="K1542" s="55" t="s">
        <v>360</v>
      </c>
      <c r="L1542" s="55" t="s">
        <v>360</v>
      </c>
      <c r="M1542" s="55" t="s">
        <v>142</v>
      </c>
      <c r="N1542" s="55" t="s">
        <v>142</v>
      </c>
      <c r="O1542" s="55" t="s">
        <v>262</v>
      </c>
      <c r="P1542" s="55" t="s">
        <v>949</v>
      </c>
      <c r="Q1542" s="55" t="s">
        <v>350</v>
      </c>
      <c r="R1542" s="85">
        <v>3</v>
      </c>
      <c r="S1542" s="55">
        <v>0</v>
      </c>
      <c r="T1542" s="74" t="s">
        <v>1654</v>
      </c>
      <c r="U1542" s="74" t="s">
        <v>351</v>
      </c>
      <c r="V1542" s="74">
        <v>44460</v>
      </c>
      <c r="W1542" s="74">
        <v>44508</v>
      </c>
      <c r="X1542" s="55">
        <v>10205006</v>
      </c>
      <c r="Y1542" s="55" t="s">
        <v>146</v>
      </c>
      <c r="AB1542" s="74" t="s">
        <v>146</v>
      </c>
      <c r="AC1542" s="55" t="s">
        <v>146</v>
      </c>
      <c r="AL1542" s="74"/>
      <c r="AM1542" s="74"/>
      <c r="AW1542" s="74"/>
      <c r="AX1542" s="74"/>
    </row>
    <row r="1543" spans="1:50" ht="13" x14ac:dyDescent="0.15">
      <c r="A1543" s="55" t="str">
        <f>HYPERLINK("http://reports.ofsted.gov.uk/inspection-reports/find-inspection-report/provider/CARE/2617199","Ofsted Social Care Provider Webpage")</f>
        <v>Ofsted Social Care Provider Webpage</v>
      </c>
      <c r="B1543" s="55">
        <v>2617199</v>
      </c>
      <c r="D1543" s="55" t="s">
        <v>373</v>
      </c>
      <c r="E1543" s="74">
        <v>44350</v>
      </c>
      <c r="F1543" s="55" t="s">
        <v>344</v>
      </c>
      <c r="G1543" s="55" t="s">
        <v>360</v>
      </c>
      <c r="H1543" s="55" t="s">
        <v>360</v>
      </c>
      <c r="I1543" s="55" t="s">
        <v>360</v>
      </c>
      <c r="J1543" s="55" t="s">
        <v>360</v>
      </c>
      <c r="K1543" s="55" t="s">
        <v>360</v>
      </c>
      <c r="L1543" s="55" t="s">
        <v>360</v>
      </c>
      <c r="M1543" s="55" t="s">
        <v>142</v>
      </c>
      <c r="N1543" s="55" t="s">
        <v>142</v>
      </c>
      <c r="O1543" s="55" t="s">
        <v>262</v>
      </c>
      <c r="P1543" s="55" t="s">
        <v>949</v>
      </c>
      <c r="Q1543" s="55" t="s">
        <v>350</v>
      </c>
      <c r="R1543" s="85">
        <v>3</v>
      </c>
      <c r="S1543" s="55">
        <v>0</v>
      </c>
      <c r="T1543" s="74" t="s">
        <v>1654</v>
      </c>
      <c r="U1543" s="74" t="s">
        <v>351</v>
      </c>
      <c r="V1543" s="74">
        <v>44544</v>
      </c>
      <c r="W1543" s="74">
        <v>44593</v>
      </c>
      <c r="X1543" s="55">
        <v>10209374</v>
      </c>
      <c r="Y1543" s="55" t="s">
        <v>130</v>
      </c>
      <c r="AB1543" s="74" t="s">
        <v>130</v>
      </c>
      <c r="AC1543" s="55" t="s">
        <v>130</v>
      </c>
      <c r="AL1543" s="74"/>
      <c r="AM1543" s="74"/>
      <c r="AW1543" s="74"/>
      <c r="AX1543" s="74"/>
    </row>
    <row r="1544" spans="1:50" ht="13" x14ac:dyDescent="0.15">
      <c r="A1544" s="55" t="str">
        <f>HYPERLINK("http://reports.ofsted.gov.uk/inspection-reports/find-inspection-report/provider/CARE/2617199","Ofsted Social Care Provider Webpage")</f>
        <v>Ofsted Social Care Provider Webpage</v>
      </c>
      <c r="B1544" s="55">
        <v>2617199</v>
      </c>
      <c r="D1544" s="55" t="s">
        <v>373</v>
      </c>
      <c r="E1544" s="74">
        <v>44350</v>
      </c>
      <c r="F1544" s="55" t="s">
        <v>344</v>
      </c>
      <c r="G1544" s="55" t="s">
        <v>360</v>
      </c>
      <c r="H1544" s="55" t="s">
        <v>360</v>
      </c>
      <c r="I1544" s="55" t="s">
        <v>360</v>
      </c>
      <c r="J1544" s="55" t="s">
        <v>360</v>
      </c>
      <c r="K1544" s="55" t="s">
        <v>360</v>
      </c>
      <c r="L1544" s="55" t="s">
        <v>360</v>
      </c>
      <c r="M1544" s="55" t="s">
        <v>142</v>
      </c>
      <c r="N1544" s="55" t="s">
        <v>142</v>
      </c>
      <c r="O1544" s="55" t="s">
        <v>262</v>
      </c>
      <c r="P1544" s="55" t="s">
        <v>949</v>
      </c>
      <c r="Q1544" s="55" t="s">
        <v>350</v>
      </c>
      <c r="R1544" s="85">
        <v>3</v>
      </c>
      <c r="S1544" s="55">
        <v>0</v>
      </c>
      <c r="T1544" s="74" t="s">
        <v>1654</v>
      </c>
      <c r="U1544" s="74" t="s">
        <v>2053</v>
      </c>
      <c r="V1544" s="74">
        <v>44502</v>
      </c>
      <c r="W1544" s="74">
        <v>44537</v>
      </c>
      <c r="X1544" s="55">
        <v>10209372</v>
      </c>
      <c r="AL1544" s="74"/>
      <c r="AM1544" s="74"/>
      <c r="AW1544" s="74"/>
      <c r="AX1544" s="74"/>
    </row>
    <row r="1545" spans="1:50" ht="13" x14ac:dyDescent="0.15">
      <c r="A1545" s="55" t="str">
        <f>HYPERLINK("http://reports.ofsted.gov.uk/inspection-reports/find-inspection-report/provider/CARE/2617499","Ofsted Social Care Provider Webpage")</f>
        <v>Ofsted Social Care Provider Webpage</v>
      </c>
      <c r="B1545" s="55">
        <v>2617499</v>
      </c>
      <c r="D1545" s="55" t="s">
        <v>373</v>
      </c>
      <c r="E1545" s="74">
        <v>44223</v>
      </c>
      <c r="F1545" s="55" t="s">
        <v>344</v>
      </c>
      <c r="G1545" s="55" t="s">
        <v>360</v>
      </c>
      <c r="H1545" s="55" t="s">
        <v>360</v>
      </c>
      <c r="I1545" s="55" t="s">
        <v>360</v>
      </c>
      <c r="J1545" s="55" t="s">
        <v>360</v>
      </c>
      <c r="K1545" s="55" t="s">
        <v>360</v>
      </c>
      <c r="L1545" s="55" t="s">
        <v>360</v>
      </c>
      <c r="M1545" s="55" t="s">
        <v>138</v>
      </c>
      <c r="N1545" s="55" t="s">
        <v>138</v>
      </c>
      <c r="O1545" s="55" t="s">
        <v>183</v>
      </c>
      <c r="P1545" s="55" t="s">
        <v>616</v>
      </c>
      <c r="Q1545" s="55" t="s">
        <v>350</v>
      </c>
      <c r="R1545" s="85">
        <v>5</v>
      </c>
      <c r="S1545" s="55">
        <v>0</v>
      </c>
      <c r="T1545" s="74" t="s">
        <v>577</v>
      </c>
      <c r="U1545" s="74" t="s">
        <v>351</v>
      </c>
      <c r="V1545" s="74">
        <v>44363</v>
      </c>
      <c r="W1545" s="74">
        <v>44393</v>
      </c>
      <c r="X1545" s="55">
        <v>10188264</v>
      </c>
      <c r="Y1545" s="55" t="s">
        <v>130</v>
      </c>
      <c r="AB1545" s="74" t="s">
        <v>130</v>
      </c>
      <c r="AC1545" s="55" t="s">
        <v>130</v>
      </c>
      <c r="AL1545" s="74"/>
      <c r="AM1545" s="74"/>
      <c r="AW1545" s="74"/>
      <c r="AX1545" s="74"/>
    </row>
    <row r="1546" spans="1:50" ht="13" x14ac:dyDescent="0.15">
      <c r="A1546" s="55" t="str">
        <f>HYPERLINK("http://reports.ofsted.gov.uk/inspection-reports/find-inspection-report/provider/CARE/2617499","Ofsted Social Care Provider Webpage")</f>
        <v>Ofsted Social Care Provider Webpage</v>
      </c>
      <c r="B1546" s="55">
        <v>2617499</v>
      </c>
      <c r="D1546" s="55" t="s">
        <v>373</v>
      </c>
      <c r="E1546" s="74">
        <v>44223</v>
      </c>
      <c r="F1546" s="55" t="s">
        <v>344</v>
      </c>
      <c r="G1546" s="55" t="s">
        <v>360</v>
      </c>
      <c r="H1546" s="55" t="s">
        <v>360</v>
      </c>
      <c r="I1546" s="55" t="s">
        <v>360</v>
      </c>
      <c r="J1546" s="55" t="s">
        <v>360</v>
      </c>
      <c r="K1546" s="55" t="s">
        <v>360</v>
      </c>
      <c r="L1546" s="55" t="s">
        <v>360</v>
      </c>
      <c r="M1546" s="55" t="s">
        <v>138</v>
      </c>
      <c r="N1546" s="55" t="s">
        <v>138</v>
      </c>
      <c r="O1546" s="55" t="s">
        <v>183</v>
      </c>
      <c r="P1546" s="55" t="s">
        <v>616</v>
      </c>
      <c r="Q1546" s="55" t="s">
        <v>350</v>
      </c>
      <c r="R1546" s="85">
        <v>5</v>
      </c>
      <c r="S1546" s="55">
        <v>0</v>
      </c>
      <c r="T1546" s="74" t="s">
        <v>577</v>
      </c>
      <c r="U1546" s="74" t="s">
        <v>6703</v>
      </c>
      <c r="V1546" s="74">
        <v>44580</v>
      </c>
      <c r="W1546" s="74">
        <v>44606</v>
      </c>
      <c r="X1546" s="55">
        <v>10205277</v>
      </c>
      <c r="Y1546" s="55" t="s">
        <v>6706</v>
      </c>
      <c r="AL1546" s="74"/>
      <c r="AM1546" s="74"/>
      <c r="AW1546" s="74"/>
      <c r="AX1546" s="74"/>
    </row>
    <row r="1547" spans="1:50" ht="13" x14ac:dyDescent="0.15">
      <c r="A1547" s="55" t="str">
        <f>HYPERLINK("http://reports.ofsted.gov.uk/inspection-reports/find-inspection-report/provider/CARE/2617662","Ofsted Social Care Provider Webpage")</f>
        <v>Ofsted Social Care Provider Webpage</v>
      </c>
      <c r="B1547" s="55">
        <v>2617662</v>
      </c>
      <c r="D1547" s="55" t="s">
        <v>373</v>
      </c>
      <c r="E1547" s="74">
        <v>44280</v>
      </c>
      <c r="F1547" s="55" t="s">
        <v>344</v>
      </c>
      <c r="G1547" s="55" t="s">
        <v>360</v>
      </c>
      <c r="H1547" s="55" t="s">
        <v>360</v>
      </c>
      <c r="I1547" s="55" t="s">
        <v>360</v>
      </c>
      <c r="J1547" s="55" t="s">
        <v>360</v>
      </c>
      <c r="K1547" s="55" t="s">
        <v>360</v>
      </c>
      <c r="L1547" s="55" t="s">
        <v>360</v>
      </c>
      <c r="M1547" s="55" t="s">
        <v>144</v>
      </c>
      <c r="N1547" s="55" t="s">
        <v>144</v>
      </c>
      <c r="O1547" s="55" t="s">
        <v>168</v>
      </c>
      <c r="P1547" s="55" t="s">
        <v>913</v>
      </c>
      <c r="Q1547" s="55" t="s">
        <v>380</v>
      </c>
      <c r="R1547" s="85">
        <v>4</v>
      </c>
      <c r="S1547" s="55">
        <v>0</v>
      </c>
      <c r="T1547" s="74" t="s">
        <v>1432</v>
      </c>
      <c r="U1547" s="74" t="s">
        <v>351</v>
      </c>
      <c r="V1547" s="74">
        <v>44445</v>
      </c>
      <c r="W1547" s="74">
        <v>44475</v>
      </c>
      <c r="X1547" s="55">
        <v>10188316</v>
      </c>
      <c r="Y1547" s="55" t="s">
        <v>132</v>
      </c>
      <c r="AB1547" s="74" t="s">
        <v>132</v>
      </c>
      <c r="AC1547" s="55" t="s">
        <v>132</v>
      </c>
      <c r="AL1547" s="74"/>
      <c r="AM1547" s="74"/>
    </row>
    <row r="1548" spans="1:50" ht="13" x14ac:dyDescent="0.15">
      <c r="A1548" s="55" t="str">
        <f>HYPERLINK("http://reports.ofsted.gov.uk/inspection-reports/find-inspection-report/provider/CARE/2617923","Ofsted Social Care Provider Webpage")</f>
        <v>Ofsted Social Care Provider Webpage</v>
      </c>
      <c r="B1548" s="55">
        <v>2617923</v>
      </c>
      <c r="D1548" s="55" t="s">
        <v>373</v>
      </c>
      <c r="E1548" s="74">
        <v>44286</v>
      </c>
      <c r="F1548" s="55" t="s">
        <v>344</v>
      </c>
      <c r="G1548" s="55" t="s">
        <v>360</v>
      </c>
      <c r="H1548" s="55" t="s">
        <v>360</v>
      </c>
      <c r="I1548" s="55" t="s">
        <v>360</v>
      </c>
      <c r="J1548" s="55" t="s">
        <v>360</v>
      </c>
      <c r="K1548" s="55" t="s">
        <v>360</v>
      </c>
      <c r="L1548" s="55" t="s">
        <v>360</v>
      </c>
      <c r="M1548" s="55" t="s">
        <v>136</v>
      </c>
      <c r="N1548" s="55" t="s">
        <v>136</v>
      </c>
      <c r="O1548" s="55" t="s">
        <v>165</v>
      </c>
      <c r="P1548" s="55" t="s">
        <v>748</v>
      </c>
      <c r="Q1548" s="55" t="s">
        <v>350</v>
      </c>
      <c r="R1548" s="85">
        <v>2</v>
      </c>
      <c r="S1548" s="55">
        <v>0</v>
      </c>
      <c r="T1548" s="74" t="s">
        <v>385</v>
      </c>
      <c r="U1548" s="74" t="s">
        <v>351</v>
      </c>
      <c r="V1548" s="74">
        <v>44495</v>
      </c>
      <c r="W1548" s="74">
        <v>44525</v>
      </c>
      <c r="X1548" s="55">
        <v>10192940</v>
      </c>
      <c r="Y1548" s="55" t="s">
        <v>132</v>
      </c>
      <c r="AB1548" s="74" t="s">
        <v>132</v>
      </c>
      <c r="AC1548" s="55" t="s">
        <v>132</v>
      </c>
      <c r="AL1548" s="74"/>
      <c r="AM1548" s="74"/>
      <c r="AW1548" s="74"/>
      <c r="AX1548" s="74"/>
    </row>
    <row r="1549" spans="1:50" ht="13" x14ac:dyDescent="0.15">
      <c r="A1549" s="55" t="str">
        <f>HYPERLINK("http://reports.ofsted.gov.uk/inspection-reports/find-inspection-report/provider/CARE/2618445","Ofsted Social Care Provider Webpage")</f>
        <v>Ofsted Social Care Provider Webpage</v>
      </c>
      <c r="B1549" s="55">
        <v>2618445</v>
      </c>
      <c r="D1549" s="55" t="s">
        <v>373</v>
      </c>
      <c r="E1549" s="74">
        <v>44278</v>
      </c>
      <c r="F1549" s="55" t="s">
        <v>344</v>
      </c>
      <c r="G1549" s="55" t="s">
        <v>360</v>
      </c>
      <c r="H1549" s="55" t="s">
        <v>360</v>
      </c>
      <c r="I1549" s="55" t="s">
        <v>360</v>
      </c>
      <c r="J1549" s="55" t="s">
        <v>360</v>
      </c>
      <c r="K1549" s="55" t="s">
        <v>360</v>
      </c>
      <c r="L1549" s="55" t="s">
        <v>360</v>
      </c>
      <c r="M1549" s="55" t="s">
        <v>142</v>
      </c>
      <c r="N1549" s="55" t="s">
        <v>142</v>
      </c>
      <c r="O1549" s="55" t="s">
        <v>141</v>
      </c>
      <c r="P1549" s="55" t="s">
        <v>573</v>
      </c>
      <c r="Q1549" s="55" t="s">
        <v>350</v>
      </c>
      <c r="R1549" s="85">
        <v>3</v>
      </c>
      <c r="S1549" s="55">
        <v>0</v>
      </c>
      <c r="T1549" s="74" t="s">
        <v>2033</v>
      </c>
      <c r="U1549" s="74" t="s">
        <v>351</v>
      </c>
      <c r="V1549" s="74">
        <v>44621</v>
      </c>
      <c r="W1549" s="74">
        <v>44663</v>
      </c>
      <c r="X1549" s="55">
        <v>10188313</v>
      </c>
      <c r="Y1549" s="55" t="s">
        <v>132</v>
      </c>
      <c r="AB1549" s="74" t="s">
        <v>140</v>
      </c>
      <c r="AC1549" s="55" t="s">
        <v>132</v>
      </c>
      <c r="AL1549" s="74"/>
      <c r="AM1549" s="74"/>
      <c r="AW1549" s="74"/>
      <c r="AX1549" s="74"/>
    </row>
    <row r="1550" spans="1:50" ht="13" x14ac:dyDescent="0.15">
      <c r="A1550" s="55" t="str">
        <f>HYPERLINK("http://reports.ofsted.gov.uk/inspection-reports/find-inspection-report/provider/CARE/2618477","Ofsted Social Care Provider Webpage")</f>
        <v>Ofsted Social Care Provider Webpage</v>
      </c>
      <c r="B1550" s="55">
        <v>2618477</v>
      </c>
      <c r="D1550" s="55" t="s">
        <v>373</v>
      </c>
      <c r="E1550" s="74">
        <v>44158</v>
      </c>
      <c r="F1550" s="55" t="s">
        <v>6707</v>
      </c>
      <c r="G1550" s="55" t="s">
        <v>360</v>
      </c>
      <c r="H1550" s="55" t="s">
        <v>360</v>
      </c>
      <c r="I1550" s="55" t="s">
        <v>360</v>
      </c>
      <c r="J1550" s="55" t="s">
        <v>360</v>
      </c>
      <c r="K1550" s="55" t="s">
        <v>360</v>
      </c>
      <c r="L1550" s="55" t="s">
        <v>360</v>
      </c>
      <c r="M1550" s="55" t="s">
        <v>136</v>
      </c>
      <c r="N1550" s="55" t="s">
        <v>136</v>
      </c>
      <c r="O1550" s="55" t="s">
        <v>288</v>
      </c>
      <c r="P1550" s="55" t="s">
        <v>1388</v>
      </c>
      <c r="Q1550" s="55" t="s">
        <v>350</v>
      </c>
      <c r="R1550" s="85">
        <v>1</v>
      </c>
      <c r="S1550" s="55">
        <v>0</v>
      </c>
      <c r="T1550" s="74" t="s">
        <v>1102</v>
      </c>
      <c r="U1550" s="74" t="s">
        <v>351</v>
      </c>
      <c r="V1550" s="74">
        <v>44315</v>
      </c>
      <c r="W1550" s="74">
        <v>44349</v>
      </c>
      <c r="X1550" s="55">
        <v>10187310</v>
      </c>
      <c r="Y1550" s="55" t="s">
        <v>130</v>
      </c>
      <c r="AB1550" s="74" t="s">
        <v>130</v>
      </c>
      <c r="AC1550" s="55" t="s">
        <v>130</v>
      </c>
      <c r="AL1550" s="74"/>
      <c r="AM1550" s="74"/>
    </row>
    <row r="1551" spans="1:50" ht="13" x14ac:dyDescent="0.15">
      <c r="A1551" s="55" t="str">
        <f>HYPERLINK("http://reports.ofsted.gov.uk/inspection-reports/find-inspection-report/provider/CARE/2618541","Ofsted Social Care Provider Webpage")</f>
        <v>Ofsted Social Care Provider Webpage</v>
      </c>
      <c r="B1551" s="55">
        <v>2618541</v>
      </c>
      <c r="D1551" s="55" t="s">
        <v>373</v>
      </c>
      <c r="E1551" s="74">
        <v>44242</v>
      </c>
      <c r="F1551" s="55" t="s">
        <v>344</v>
      </c>
      <c r="G1551" s="55" t="s">
        <v>360</v>
      </c>
      <c r="H1551" s="55" t="s">
        <v>360</v>
      </c>
      <c r="I1551" s="55" t="s">
        <v>360</v>
      </c>
      <c r="J1551" s="55" t="s">
        <v>360</v>
      </c>
      <c r="K1551" s="55" t="s">
        <v>360</v>
      </c>
      <c r="L1551" s="55" t="s">
        <v>360</v>
      </c>
      <c r="M1551" s="55" t="s">
        <v>144</v>
      </c>
      <c r="N1551" s="55" t="s">
        <v>144</v>
      </c>
      <c r="O1551" s="55" t="s">
        <v>209</v>
      </c>
      <c r="P1551" s="55" t="s">
        <v>534</v>
      </c>
      <c r="Q1551" s="55" t="s">
        <v>350</v>
      </c>
      <c r="R1551" s="85">
        <v>2</v>
      </c>
      <c r="S1551" s="55">
        <v>0</v>
      </c>
      <c r="T1551" s="74" t="s">
        <v>385</v>
      </c>
      <c r="U1551" s="74" t="s">
        <v>351</v>
      </c>
      <c r="V1551" s="74">
        <v>44573</v>
      </c>
      <c r="W1551" s="74">
        <v>44628</v>
      </c>
      <c r="X1551" s="55">
        <v>10188277</v>
      </c>
      <c r="Y1551" s="55" t="s">
        <v>132</v>
      </c>
      <c r="AB1551" s="74" t="s">
        <v>132</v>
      </c>
      <c r="AC1551" s="55" t="s">
        <v>130</v>
      </c>
      <c r="AL1551" s="74"/>
      <c r="AM1551" s="74"/>
      <c r="AW1551" s="74"/>
      <c r="AX1551" s="74"/>
    </row>
    <row r="1552" spans="1:50" ht="13" x14ac:dyDescent="0.15">
      <c r="A1552" s="55" t="str">
        <f>HYPERLINK("http://reports.ofsted.gov.uk/inspection-reports/find-inspection-report/provider/CARE/2618553","Ofsted Social Care Provider Webpage")</f>
        <v>Ofsted Social Care Provider Webpage</v>
      </c>
      <c r="B1552" s="55">
        <v>2618553</v>
      </c>
      <c r="D1552" s="55" t="s">
        <v>373</v>
      </c>
      <c r="E1552" s="74">
        <v>44329</v>
      </c>
      <c r="F1552" s="55" t="s">
        <v>344</v>
      </c>
      <c r="G1552" s="55" t="s">
        <v>360</v>
      </c>
      <c r="H1552" s="55" t="s">
        <v>360</v>
      </c>
      <c r="I1552" s="55" t="s">
        <v>360</v>
      </c>
      <c r="J1552" s="55" t="s">
        <v>360</v>
      </c>
      <c r="K1552" s="55" t="s">
        <v>360</v>
      </c>
      <c r="L1552" s="55" t="s">
        <v>360</v>
      </c>
      <c r="M1552" s="55" t="s">
        <v>142</v>
      </c>
      <c r="N1552" s="55" t="s">
        <v>142</v>
      </c>
      <c r="O1552" s="55" t="s">
        <v>141</v>
      </c>
      <c r="P1552" s="55" t="s">
        <v>573</v>
      </c>
      <c r="Q1552" s="55" t="s">
        <v>350</v>
      </c>
      <c r="R1552" s="85">
        <v>1</v>
      </c>
      <c r="S1552" s="55">
        <v>0</v>
      </c>
      <c r="T1552" s="74" t="s">
        <v>2037</v>
      </c>
      <c r="U1552" s="74" t="s">
        <v>351</v>
      </c>
      <c r="V1552" s="74">
        <v>44600</v>
      </c>
      <c r="W1552" s="74">
        <v>44655</v>
      </c>
      <c r="X1552" s="55">
        <v>10202497</v>
      </c>
      <c r="Y1552" s="55" t="s">
        <v>130</v>
      </c>
      <c r="AB1552" s="74" t="s">
        <v>130</v>
      </c>
      <c r="AC1552" s="55" t="s">
        <v>146</v>
      </c>
      <c r="AL1552" s="74"/>
      <c r="AM1552" s="74"/>
      <c r="AW1552" s="74"/>
      <c r="AX1552" s="74"/>
    </row>
    <row r="1553" spans="1:50" ht="13" x14ac:dyDescent="0.15">
      <c r="A1553" s="55" t="str">
        <f>HYPERLINK("http://reports.ofsted.gov.uk/inspection-reports/find-inspection-report/provider/CARE/2618755","Ofsted Social Care Provider Webpage")</f>
        <v>Ofsted Social Care Provider Webpage</v>
      </c>
      <c r="B1553" s="55">
        <v>2618755</v>
      </c>
      <c r="D1553" s="55" t="s">
        <v>373</v>
      </c>
      <c r="E1553" s="74">
        <v>44293</v>
      </c>
      <c r="F1553" s="55" t="s">
        <v>344</v>
      </c>
      <c r="G1553" s="55" t="s">
        <v>360</v>
      </c>
      <c r="H1553" s="55" t="s">
        <v>360</v>
      </c>
      <c r="I1553" s="55" t="s">
        <v>360</v>
      </c>
      <c r="J1553" s="55" t="s">
        <v>360</v>
      </c>
      <c r="K1553" s="55" t="s">
        <v>360</v>
      </c>
      <c r="L1553" s="55" t="s">
        <v>360</v>
      </c>
      <c r="M1553" s="55" t="s">
        <v>142</v>
      </c>
      <c r="N1553" s="55" t="s">
        <v>142</v>
      </c>
      <c r="O1553" s="55" t="s">
        <v>141</v>
      </c>
      <c r="P1553" s="55" t="s">
        <v>1226</v>
      </c>
      <c r="Q1553" s="55" t="s">
        <v>350</v>
      </c>
      <c r="R1553" s="85">
        <v>3</v>
      </c>
      <c r="S1553" s="55">
        <v>0</v>
      </c>
      <c r="T1553" s="74" t="s">
        <v>2044</v>
      </c>
      <c r="U1553" s="74" t="s">
        <v>2053</v>
      </c>
      <c r="V1553" s="74">
        <v>44487</v>
      </c>
      <c r="W1553" s="74">
        <v>44512</v>
      </c>
      <c r="X1553" s="55">
        <v>10207467</v>
      </c>
      <c r="AL1553" s="74"/>
      <c r="AM1553" s="74"/>
      <c r="AW1553" s="74"/>
      <c r="AX1553" s="74"/>
    </row>
    <row r="1554" spans="1:50" ht="13" x14ac:dyDescent="0.15">
      <c r="A1554" s="55" t="str">
        <f>HYPERLINK("http://reports.ofsted.gov.uk/inspection-reports/find-inspection-report/provider/CARE/2618755","Ofsted Social Care Provider Webpage")</f>
        <v>Ofsted Social Care Provider Webpage</v>
      </c>
      <c r="B1554" s="55">
        <v>2618755</v>
      </c>
      <c r="D1554" s="55" t="s">
        <v>373</v>
      </c>
      <c r="E1554" s="74">
        <v>44293</v>
      </c>
      <c r="F1554" s="55" t="s">
        <v>344</v>
      </c>
      <c r="G1554" s="55" t="s">
        <v>360</v>
      </c>
      <c r="H1554" s="55" t="s">
        <v>360</v>
      </c>
      <c r="I1554" s="55" t="s">
        <v>360</v>
      </c>
      <c r="J1554" s="55" t="s">
        <v>360</v>
      </c>
      <c r="K1554" s="55" t="s">
        <v>360</v>
      </c>
      <c r="L1554" s="55" t="s">
        <v>360</v>
      </c>
      <c r="M1554" s="55" t="s">
        <v>142</v>
      </c>
      <c r="N1554" s="55" t="s">
        <v>142</v>
      </c>
      <c r="O1554" s="55" t="s">
        <v>141</v>
      </c>
      <c r="P1554" s="55" t="s">
        <v>1226</v>
      </c>
      <c r="Q1554" s="55" t="s">
        <v>350</v>
      </c>
      <c r="R1554" s="85">
        <v>3</v>
      </c>
      <c r="S1554" s="55">
        <v>0</v>
      </c>
      <c r="T1554" s="74" t="s">
        <v>2044</v>
      </c>
      <c r="U1554" s="74" t="s">
        <v>351</v>
      </c>
      <c r="V1554" s="74">
        <v>44411</v>
      </c>
      <c r="W1554" s="74">
        <v>44448</v>
      </c>
      <c r="X1554" s="55">
        <v>10198620</v>
      </c>
      <c r="Y1554" s="55" t="s">
        <v>146</v>
      </c>
      <c r="AB1554" s="74" t="s">
        <v>146</v>
      </c>
      <c r="AC1554" s="55" t="s">
        <v>146</v>
      </c>
      <c r="AL1554" s="74"/>
      <c r="AM1554" s="74"/>
    </row>
    <row r="1555" spans="1:50" ht="13" x14ac:dyDescent="0.15">
      <c r="A1555" s="55" t="str">
        <f>HYPERLINK("http://reports.ofsted.gov.uk/inspection-reports/find-inspection-report/provider/CARE/2618755","Ofsted Social Care Provider Webpage")</f>
        <v>Ofsted Social Care Provider Webpage</v>
      </c>
      <c r="B1555" s="55">
        <v>2618755</v>
      </c>
      <c r="D1555" s="55" t="s">
        <v>373</v>
      </c>
      <c r="E1555" s="74">
        <v>44293</v>
      </c>
      <c r="F1555" s="55" t="s">
        <v>344</v>
      </c>
      <c r="G1555" s="55" t="s">
        <v>360</v>
      </c>
      <c r="H1555" s="55" t="s">
        <v>360</v>
      </c>
      <c r="I1555" s="55" t="s">
        <v>360</v>
      </c>
      <c r="J1555" s="55" t="s">
        <v>360</v>
      </c>
      <c r="K1555" s="55" t="s">
        <v>360</v>
      </c>
      <c r="L1555" s="55" t="s">
        <v>360</v>
      </c>
      <c r="M1555" s="55" t="s">
        <v>142</v>
      </c>
      <c r="N1555" s="55" t="s">
        <v>142</v>
      </c>
      <c r="O1555" s="55" t="s">
        <v>141</v>
      </c>
      <c r="P1555" s="55" t="s">
        <v>1226</v>
      </c>
      <c r="Q1555" s="55" t="s">
        <v>350</v>
      </c>
      <c r="R1555" s="85">
        <v>3</v>
      </c>
      <c r="S1555" s="55">
        <v>0</v>
      </c>
      <c r="T1555" s="74" t="s">
        <v>2044</v>
      </c>
      <c r="U1555" s="74" t="s">
        <v>2053</v>
      </c>
      <c r="V1555" s="74">
        <v>44454</v>
      </c>
      <c r="W1555" s="74">
        <v>44480</v>
      </c>
      <c r="X1555" s="55">
        <v>10205479</v>
      </c>
      <c r="AL1555" s="74"/>
      <c r="AM1555" s="74"/>
      <c r="AW1555" s="74"/>
      <c r="AX1555" s="74"/>
    </row>
    <row r="1556" spans="1:50" ht="13" x14ac:dyDescent="0.15">
      <c r="A1556" s="55" t="str">
        <f>HYPERLINK("http://reports.ofsted.gov.uk/inspection-reports/find-inspection-report/provider/CARE/2619265","Ofsted Social Care Provider Webpage")</f>
        <v>Ofsted Social Care Provider Webpage</v>
      </c>
      <c r="B1556" s="55">
        <v>2619265</v>
      </c>
      <c r="D1556" s="55" t="s">
        <v>373</v>
      </c>
      <c r="E1556" s="74">
        <v>44236</v>
      </c>
      <c r="F1556" s="55" t="s">
        <v>344</v>
      </c>
      <c r="G1556" s="55" t="s">
        <v>360</v>
      </c>
      <c r="H1556" s="55" t="s">
        <v>360</v>
      </c>
      <c r="I1556" s="55" t="s">
        <v>360</v>
      </c>
      <c r="J1556" s="55" t="s">
        <v>360</v>
      </c>
      <c r="K1556" s="55" t="s">
        <v>360</v>
      </c>
      <c r="L1556" s="55" t="s">
        <v>360</v>
      </c>
      <c r="M1556" s="55" t="s">
        <v>144</v>
      </c>
      <c r="N1556" s="55" t="s">
        <v>144</v>
      </c>
      <c r="O1556" s="55" t="s">
        <v>209</v>
      </c>
      <c r="P1556" s="55" t="s">
        <v>544</v>
      </c>
      <c r="Q1556" s="55" t="s">
        <v>350</v>
      </c>
      <c r="R1556" s="85">
        <v>2</v>
      </c>
      <c r="S1556" s="55">
        <v>0</v>
      </c>
      <c r="T1556" s="74" t="s">
        <v>2046</v>
      </c>
      <c r="U1556" s="74" t="s">
        <v>351</v>
      </c>
      <c r="V1556" s="74">
        <v>44460</v>
      </c>
      <c r="W1556" s="74">
        <v>44494</v>
      </c>
      <c r="X1556" s="55">
        <v>10188273</v>
      </c>
      <c r="Y1556" s="55" t="s">
        <v>132</v>
      </c>
      <c r="AB1556" s="74" t="s">
        <v>132</v>
      </c>
      <c r="AC1556" s="55" t="s">
        <v>132</v>
      </c>
      <c r="AL1556" s="74"/>
      <c r="AM1556" s="74"/>
    </row>
    <row r="1557" spans="1:50" ht="13" x14ac:dyDescent="0.15">
      <c r="A1557" s="55" t="str">
        <f>HYPERLINK("http://reports.ofsted.gov.uk/inspection-reports/find-inspection-report/provider/CARE/2619357","Ofsted Social Care Provider Webpage")</f>
        <v>Ofsted Social Care Provider Webpage</v>
      </c>
      <c r="B1557" s="55">
        <v>2619357</v>
      </c>
      <c r="D1557" s="55" t="s">
        <v>373</v>
      </c>
      <c r="E1557" s="74">
        <v>44230</v>
      </c>
      <c r="F1557" s="55" t="s">
        <v>344</v>
      </c>
      <c r="G1557" s="55" t="s">
        <v>360</v>
      </c>
      <c r="H1557" s="55" t="s">
        <v>360</v>
      </c>
      <c r="I1557" s="55" t="s">
        <v>360</v>
      </c>
      <c r="J1557" s="55" t="s">
        <v>360</v>
      </c>
      <c r="K1557" s="55" t="s">
        <v>360</v>
      </c>
      <c r="L1557" s="55" t="s">
        <v>360</v>
      </c>
      <c r="M1557" s="55" t="s">
        <v>136</v>
      </c>
      <c r="N1557" s="55" t="s">
        <v>136</v>
      </c>
      <c r="O1557" s="55" t="s">
        <v>174</v>
      </c>
      <c r="P1557" s="55" t="s">
        <v>857</v>
      </c>
      <c r="Q1557" s="55" t="s">
        <v>350</v>
      </c>
      <c r="R1557" s="85">
        <v>3</v>
      </c>
      <c r="S1557" s="55">
        <v>0</v>
      </c>
      <c r="T1557" s="74" t="s">
        <v>1295</v>
      </c>
      <c r="U1557" s="74" t="s">
        <v>351</v>
      </c>
      <c r="V1557" s="74">
        <v>44621</v>
      </c>
      <c r="W1557" s="74">
        <v>44672</v>
      </c>
      <c r="X1557" s="55">
        <v>10188271</v>
      </c>
      <c r="Y1557" s="55" t="s">
        <v>146</v>
      </c>
      <c r="AB1557" s="74" t="s">
        <v>146</v>
      </c>
      <c r="AC1557" s="55" t="s">
        <v>146</v>
      </c>
      <c r="AL1557" s="74"/>
      <c r="AM1557" s="74"/>
    </row>
    <row r="1558" spans="1:50" ht="13" x14ac:dyDescent="0.15">
      <c r="A1558" s="55" t="str">
        <f>HYPERLINK("http://reports.ofsted.gov.uk/inspection-reports/find-inspection-report/provider/CARE/2620184","Ofsted Social Care Provider Webpage")</f>
        <v>Ofsted Social Care Provider Webpage</v>
      </c>
      <c r="B1558" s="55">
        <v>2620184</v>
      </c>
      <c r="D1558" s="55" t="s">
        <v>373</v>
      </c>
      <c r="E1558" s="74">
        <v>44421</v>
      </c>
      <c r="F1558" s="55" t="s">
        <v>344</v>
      </c>
      <c r="G1558" s="55" t="s">
        <v>360</v>
      </c>
      <c r="H1558" s="55" t="s">
        <v>360</v>
      </c>
      <c r="I1558" s="55" t="s">
        <v>360</v>
      </c>
      <c r="J1558" s="55" t="s">
        <v>360</v>
      </c>
      <c r="K1558" s="55" t="s">
        <v>360</v>
      </c>
      <c r="L1558" s="55" t="s">
        <v>360</v>
      </c>
      <c r="M1558" s="55" t="s">
        <v>142</v>
      </c>
      <c r="N1558" s="55" t="s">
        <v>142</v>
      </c>
      <c r="O1558" s="55" t="s">
        <v>249</v>
      </c>
      <c r="P1558" s="55" t="s">
        <v>1181</v>
      </c>
      <c r="Q1558" s="55" t="s">
        <v>350</v>
      </c>
      <c r="R1558" s="85">
        <v>3</v>
      </c>
      <c r="S1558" s="55">
        <v>0</v>
      </c>
      <c r="T1558" s="74" t="s">
        <v>1654</v>
      </c>
      <c r="U1558" s="74" t="s">
        <v>351</v>
      </c>
      <c r="V1558" s="74">
        <v>44578</v>
      </c>
      <c r="W1558" s="74">
        <v>44622</v>
      </c>
      <c r="X1558" s="55">
        <v>10209371</v>
      </c>
      <c r="Y1558" s="55" t="s">
        <v>132</v>
      </c>
      <c r="AB1558" s="74" t="s">
        <v>130</v>
      </c>
      <c r="AC1558" s="55" t="s">
        <v>132</v>
      </c>
      <c r="AL1558" s="74"/>
      <c r="AM1558" s="74"/>
    </row>
    <row r="1559" spans="1:50" ht="13" x14ac:dyDescent="0.15">
      <c r="A1559" s="55" t="str">
        <f>HYPERLINK("http://reports.ofsted.gov.uk/inspection-reports/find-inspection-report/provider/CARE/2620222","Ofsted Social Care Provider Webpage")</f>
        <v>Ofsted Social Care Provider Webpage</v>
      </c>
      <c r="B1559" s="55">
        <v>2620222</v>
      </c>
      <c r="D1559" s="55" t="s">
        <v>373</v>
      </c>
      <c r="E1559" s="74">
        <v>44391</v>
      </c>
      <c r="F1559" s="55" t="s">
        <v>344</v>
      </c>
      <c r="G1559" s="55" t="s">
        <v>360</v>
      </c>
      <c r="H1559" s="55" t="s">
        <v>360</v>
      </c>
      <c r="I1559" s="55" t="s">
        <v>360</v>
      </c>
      <c r="J1559" s="55" t="s">
        <v>360</v>
      </c>
      <c r="K1559" s="55" t="s">
        <v>360</v>
      </c>
      <c r="L1559" s="55" t="s">
        <v>360</v>
      </c>
      <c r="M1559" s="55" t="s">
        <v>144</v>
      </c>
      <c r="N1559" s="55" t="s">
        <v>144</v>
      </c>
      <c r="O1559" s="55" t="s">
        <v>145</v>
      </c>
      <c r="P1559" s="55" t="s">
        <v>525</v>
      </c>
      <c r="Q1559" s="55" t="s">
        <v>350</v>
      </c>
      <c r="R1559" s="85">
        <v>2</v>
      </c>
      <c r="S1559" s="55">
        <v>0</v>
      </c>
      <c r="T1559" s="74" t="s">
        <v>485</v>
      </c>
      <c r="U1559" s="74" t="s">
        <v>351</v>
      </c>
      <c r="V1559" s="74">
        <v>44621</v>
      </c>
      <c r="W1559" s="74">
        <v>44665</v>
      </c>
      <c r="X1559" s="55">
        <v>10204571</v>
      </c>
      <c r="Y1559" s="55" t="s">
        <v>132</v>
      </c>
      <c r="AB1559" s="74" t="s">
        <v>132</v>
      </c>
      <c r="AC1559" s="55" t="s">
        <v>132</v>
      </c>
      <c r="AL1559" s="74"/>
      <c r="AM1559" s="74"/>
    </row>
    <row r="1560" spans="1:50" ht="13" x14ac:dyDescent="0.15">
      <c r="A1560" s="55" t="str">
        <f>HYPERLINK("http://reports.ofsted.gov.uk/inspection-reports/find-inspection-report/provider/CARE/2620261","Ofsted Social Care Provider Webpage")</f>
        <v>Ofsted Social Care Provider Webpage</v>
      </c>
      <c r="B1560" s="55">
        <v>2620261</v>
      </c>
      <c r="D1560" s="55" t="s">
        <v>373</v>
      </c>
      <c r="E1560" s="74">
        <v>44239</v>
      </c>
      <c r="F1560" s="55" t="s">
        <v>344</v>
      </c>
      <c r="G1560" s="55" t="s">
        <v>360</v>
      </c>
      <c r="H1560" s="55" t="s">
        <v>360</v>
      </c>
      <c r="I1560" s="55" t="s">
        <v>360</v>
      </c>
      <c r="J1560" s="55" t="s">
        <v>360</v>
      </c>
      <c r="K1560" s="55" t="s">
        <v>360</v>
      </c>
      <c r="L1560" s="55" t="s">
        <v>360</v>
      </c>
      <c r="M1560" s="55" t="s">
        <v>136</v>
      </c>
      <c r="N1560" s="55" t="s">
        <v>136</v>
      </c>
      <c r="O1560" s="55" t="s">
        <v>176</v>
      </c>
      <c r="P1560" s="55" t="s">
        <v>436</v>
      </c>
      <c r="Q1560" s="55" t="s">
        <v>350</v>
      </c>
      <c r="R1560" s="85">
        <v>3</v>
      </c>
      <c r="S1560" s="55">
        <v>0</v>
      </c>
      <c r="T1560" s="74" t="s">
        <v>2047</v>
      </c>
      <c r="U1560" s="74" t="s">
        <v>351</v>
      </c>
      <c r="V1560" s="74">
        <v>44496</v>
      </c>
      <c r="W1560" s="74">
        <v>44538</v>
      </c>
      <c r="X1560" s="55">
        <v>10188275</v>
      </c>
      <c r="Y1560" s="55" t="s">
        <v>132</v>
      </c>
      <c r="AB1560" s="74" t="s">
        <v>132</v>
      </c>
      <c r="AC1560" s="55" t="s">
        <v>132</v>
      </c>
      <c r="AL1560" s="74"/>
      <c r="AM1560" s="74"/>
      <c r="AW1560" s="74"/>
      <c r="AX1560" s="74"/>
    </row>
    <row r="1561" spans="1:50" ht="13" x14ac:dyDescent="0.15">
      <c r="A1561" s="55" t="str">
        <f>HYPERLINK("http://reports.ofsted.gov.uk/inspection-reports/find-inspection-report/provider/CARE/2620266","Ofsted Social Care Provider Webpage")</f>
        <v>Ofsted Social Care Provider Webpage</v>
      </c>
      <c r="B1561" s="55">
        <v>2620266</v>
      </c>
      <c r="D1561" s="55" t="s">
        <v>373</v>
      </c>
      <c r="E1561" s="74">
        <v>44278</v>
      </c>
      <c r="F1561" s="55" t="s">
        <v>344</v>
      </c>
      <c r="G1561" s="55" t="s">
        <v>360</v>
      </c>
      <c r="H1561" s="55" t="s">
        <v>360</v>
      </c>
      <c r="I1561" s="55" t="s">
        <v>360</v>
      </c>
      <c r="J1561" s="55" t="s">
        <v>360</v>
      </c>
      <c r="K1561" s="55" t="s">
        <v>360</v>
      </c>
      <c r="L1561" s="55" t="s">
        <v>360</v>
      </c>
      <c r="M1561" s="55" t="s">
        <v>144</v>
      </c>
      <c r="N1561" s="55" t="s">
        <v>144</v>
      </c>
      <c r="O1561" s="55" t="s">
        <v>209</v>
      </c>
      <c r="P1561" s="55" t="s">
        <v>474</v>
      </c>
      <c r="Q1561" s="55" t="s">
        <v>350</v>
      </c>
      <c r="R1561" s="85">
        <v>2</v>
      </c>
      <c r="S1561" s="55">
        <v>0</v>
      </c>
      <c r="T1561" s="74" t="s">
        <v>1643</v>
      </c>
      <c r="U1561" s="74" t="s">
        <v>351</v>
      </c>
      <c r="V1561" s="74">
        <v>44627</v>
      </c>
      <c r="W1561" s="74">
        <v>44670</v>
      </c>
      <c r="X1561" s="55">
        <v>10188314</v>
      </c>
      <c r="Y1561" s="55" t="s">
        <v>132</v>
      </c>
      <c r="AB1561" s="74" t="s">
        <v>132</v>
      </c>
      <c r="AC1561" s="55" t="s">
        <v>132</v>
      </c>
      <c r="AL1561" s="74"/>
      <c r="AM1561" s="74"/>
    </row>
    <row r="1562" spans="1:50" ht="13" x14ac:dyDescent="0.15">
      <c r="A1562" s="55" t="str">
        <f>HYPERLINK("http://reports.ofsted.gov.uk/inspection-reports/find-inspection-report/provider/CARE/2620359","Ofsted Social Care Provider Webpage")</f>
        <v>Ofsted Social Care Provider Webpage</v>
      </c>
      <c r="B1562" s="55">
        <v>2620359</v>
      </c>
      <c r="D1562" s="55" t="s">
        <v>373</v>
      </c>
      <c r="E1562" s="74">
        <v>44253</v>
      </c>
      <c r="F1562" s="55" t="s">
        <v>344</v>
      </c>
      <c r="G1562" s="55" t="s">
        <v>360</v>
      </c>
      <c r="H1562" s="55" t="s">
        <v>360</v>
      </c>
      <c r="I1562" s="55" t="s">
        <v>360</v>
      </c>
      <c r="J1562" s="55" t="s">
        <v>360</v>
      </c>
      <c r="K1562" s="55" t="s">
        <v>360</v>
      </c>
      <c r="L1562" s="55" t="s">
        <v>360</v>
      </c>
      <c r="M1562" s="55" t="s">
        <v>144</v>
      </c>
      <c r="N1562" s="55" t="s">
        <v>144</v>
      </c>
      <c r="O1562" s="55" t="s">
        <v>215</v>
      </c>
      <c r="P1562" s="55" t="s">
        <v>1207</v>
      </c>
      <c r="Q1562" s="55" t="s">
        <v>350</v>
      </c>
      <c r="R1562" s="85">
        <v>1</v>
      </c>
      <c r="S1562" s="55">
        <v>0</v>
      </c>
      <c r="T1562" s="74" t="s">
        <v>1208</v>
      </c>
      <c r="U1562" s="74" t="s">
        <v>351</v>
      </c>
      <c r="V1562" s="74">
        <v>44509</v>
      </c>
      <c r="W1562" s="74">
        <v>44547</v>
      </c>
      <c r="X1562" s="55">
        <v>10188290</v>
      </c>
      <c r="Y1562" s="55" t="s">
        <v>132</v>
      </c>
      <c r="AB1562" s="74" t="s">
        <v>132</v>
      </c>
      <c r="AC1562" s="55" t="s">
        <v>132</v>
      </c>
      <c r="AL1562" s="74"/>
      <c r="AM1562" s="74"/>
    </row>
    <row r="1563" spans="1:50" ht="13" x14ac:dyDescent="0.15">
      <c r="A1563" s="55" t="str">
        <f>HYPERLINK("http://reports.ofsted.gov.uk/inspection-reports/find-inspection-report/provider/CARE/2620678","Ofsted Social Care Provider Webpage")</f>
        <v>Ofsted Social Care Provider Webpage</v>
      </c>
      <c r="B1563" s="55">
        <v>2620678</v>
      </c>
      <c r="D1563" s="55" t="s">
        <v>373</v>
      </c>
      <c r="E1563" s="74">
        <v>44299</v>
      </c>
      <c r="F1563" s="55" t="s">
        <v>344</v>
      </c>
      <c r="G1563" s="55" t="s">
        <v>360</v>
      </c>
      <c r="H1563" s="55" t="s">
        <v>360</v>
      </c>
      <c r="I1563" s="55" t="s">
        <v>360</v>
      </c>
      <c r="J1563" s="55" t="s">
        <v>360</v>
      </c>
      <c r="K1563" s="55" t="s">
        <v>360</v>
      </c>
      <c r="L1563" s="55" t="s">
        <v>360</v>
      </c>
      <c r="M1563" s="55" t="s">
        <v>142</v>
      </c>
      <c r="N1563" s="55" t="s">
        <v>142</v>
      </c>
      <c r="O1563" s="55" t="s">
        <v>252</v>
      </c>
      <c r="P1563" s="55" t="s">
        <v>503</v>
      </c>
      <c r="Q1563" s="55" t="s">
        <v>350</v>
      </c>
      <c r="R1563" s="85">
        <v>4</v>
      </c>
      <c r="S1563" s="55">
        <v>0</v>
      </c>
      <c r="T1563" s="74" t="s">
        <v>574</v>
      </c>
      <c r="U1563" s="74" t="s">
        <v>351</v>
      </c>
      <c r="V1563" s="74">
        <v>44523</v>
      </c>
      <c r="W1563" s="74">
        <v>44571</v>
      </c>
      <c r="X1563" s="55">
        <v>10202189</v>
      </c>
      <c r="Y1563" s="55" t="s">
        <v>132</v>
      </c>
      <c r="AB1563" s="74" t="s">
        <v>132</v>
      </c>
      <c r="AC1563" s="55" t="s">
        <v>130</v>
      </c>
      <c r="AL1563" s="74"/>
      <c r="AM1563" s="74"/>
    </row>
    <row r="1564" spans="1:50" ht="13" x14ac:dyDescent="0.15">
      <c r="A1564" s="55" t="str">
        <f>HYPERLINK("http://reports.ofsted.gov.uk/inspection-reports/find-inspection-report/provider/CARE/2620698","Ofsted Social Care Provider Webpage")</f>
        <v>Ofsted Social Care Provider Webpage</v>
      </c>
      <c r="B1564" s="55">
        <v>2620698</v>
      </c>
      <c r="D1564" s="55" t="s">
        <v>373</v>
      </c>
      <c r="E1564" s="74">
        <v>44287</v>
      </c>
      <c r="F1564" s="55" t="s">
        <v>344</v>
      </c>
      <c r="G1564" s="55" t="s">
        <v>360</v>
      </c>
      <c r="H1564" s="55" t="s">
        <v>360</v>
      </c>
      <c r="I1564" s="55" t="s">
        <v>360</v>
      </c>
      <c r="J1564" s="55" t="s">
        <v>360</v>
      </c>
      <c r="K1564" s="55" t="s">
        <v>360</v>
      </c>
      <c r="L1564" s="55" t="s">
        <v>360</v>
      </c>
      <c r="M1564" s="55" t="s">
        <v>142</v>
      </c>
      <c r="N1564" s="55" t="s">
        <v>142</v>
      </c>
      <c r="O1564" s="55" t="s">
        <v>262</v>
      </c>
      <c r="P1564" s="55" t="s">
        <v>488</v>
      </c>
      <c r="Q1564" s="55" t="s">
        <v>350</v>
      </c>
      <c r="R1564" s="85">
        <v>4</v>
      </c>
      <c r="S1564" s="55">
        <v>0</v>
      </c>
      <c r="T1564" s="74" t="s">
        <v>642</v>
      </c>
      <c r="U1564" s="74" t="s">
        <v>6703</v>
      </c>
      <c r="V1564" s="74">
        <v>44568</v>
      </c>
      <c r="W1564" s="74">
        <v>44594</v>
      </c>
      <c r="X1564" s="55">
        <v>10217193</v>
      </c>
      <c r="Y1564" s="55" t="s">
        <v>6709</v>
      </c>
      <c r="AL1564" s="74"/>
      <c r="AM1564" s="74"/>
    </row>
    <row r="1565" spans="1:50" ht="13" x14ac:dyDescent="0.15">
      <c r="A1565" s="55" t="str">
        <f>HYPERLINK("http://reports.ofsted.gov.uk/inspection-reports/find-inspection-report/provider/CARE/2620865","Ofsted Social Care Provider Webpage")</f>
        <v>Ofsted Social Care Provider Webpage</v>
      </c>
      <c r="B1565" s="55">
        <v>2620865</v>
      </c>
      <c r="D1565" s="55" t="s">
        <v>373</v>
      </c>
      <c r="E1565" s="74">
        <v>44180</v>
      </c>
      <c r="F1565" s="55" t="s">
        <v>344</v>
      </c>
      <c r="G1565" s="55" t="s">
        <v>360</v>
      </c>
      <c r="H1565" s="55" t="s">
        <v>360</v>
      </c>
      <c r="I1565" s="55" t="s">
        <v>360</v>
      </c>
      <c r="J1565" s="55" t="s">
        <v>360</v>
      </c>
      <c r="K1565" s="55" t="s">
        <v>360</v>
      </c>
      <c r="L1565" s="55" t="s">
        <v>360</v>
      </c>
      <c r="M1565" s="55" t="s">
        <v>144</v>
      </c>
      <c r="N1565" s="55" t="s">
        <v>144</v>
      </c>
      <c r="O1565" s="55" t="s">
        <v>281</v>
      </c>
      <c r="P1565" s="55" t="s">
        <v>725</v>
      </c>
      <c r="Q1565" s="55" t="s">
        <v>350</v>
      </c>
      <c r="R1565" s="85">
        <v>6</v>
      </c>
      <c r="S1565" s="55">
        <v>0</v>
      </c>
      <c r="T1565" s="74" t="s">
        <v>656</v>
      </c>
      <c r="U1565" s="74" t="s">
        <v>351</v>
      </c>
      <c r="V1565" s="74">
        <v>44544</v>
      </c>
      <c r="W1565" s="74">
        <v>44586</v>
      </c>
      <c r="X1565" s="55">
        <v>10185662</v>
      </c>
      <c r="Y1565" s="55" t="s">
        <v>132</v>
      </c>
      <c r="AB1565" s="74" t="s">
        <v>130</v>
      </c>
      <c r="AC1565" s="55" t="s">
        <v>132</v>
      </c>
      <c r="AL1565" s="74"/>
      <c r="AM1565" s="74"/>
    </row>
    <row r="1566" spans="1:50" ht="13" x14ac:dyDescent="0.15">
      <c r="A1566" s="55" t="str">
        <f>HYPERLINK("http://reports.ofsted.gov.uk/inspection-reports/find-inspection-report/provider/CARE/2620950","Ofsted Social Care Provider Webpage")</f>
        <v>Ofsted Social Care Provider Webpage</v>
      </c>
      <c r="B1566" s="55">
        <v>2620950</v>
      </c>
      <c r="D1566" s="55" t="s">
        <v>373</v>
      </c>
      <c r="E1566" s="74">
        <v>44277</v>
      </c>
      <c r="F1566" s="55" t="s">
        <v>344</v>
      </c>
      <c r="G1566" s="55" t="s">
        <v>360</v>
      </c>
      <c r="H1566" s="55" t="s">
        <v>360</v>
      </c>
      <c r="I1566" s="55" t="s">
        <v>360</v>
      </c>
      <c r="J1566" s="55" t="s">
        <v>360</v>
      </c>
      <c r="K1566" s="55" t="s">
        <v>360</v>
      </c>
      <c r="L1566" s="55" t="s">
        <v>360</v>
      </c>
      <c r="M1566" s="55" t="s">
        <v>144</v>
      </c>
      <c r="N1566" s="55" t="s">
        <v>144</v>
      </c>
      <c r="O1566" s="55" t="s">
        <v>147</v>
      </c>
      <c r="P1566" s="55" t="s">
        <v>674</v>
      </c>
      <c r="Q1566" s="55" t="s">
        <v>350</v>
      </c>
      <c r="R1566" s="85">
        <v>2</v>
      </c>
      <c r="S1566" s="55">
        <v>0</v>
      </c>
      <c r="T1566" s="74" t="s">
        <v>385</v>
      </c>
      <c r="U1566" s="74" t="s">
        <v>351</v>
      </c>
      <c r="V1566" s="74">
        <v>44600</v>
      </c>
      <c r="W1566" s="74">
        <v>44644</v>
      </c>
      <c r="X1566" s="55">
        <v>10188312</v>
      </c>
      <c r="Y1566" s="55" t="s">
        <v>130</v>
      </c>
      <c r="AB1566" s="74" t="s">
        <v>130</v>
      </c>
      <c r="AC1566" s="55" t="s">
        <v>130</v>
      </c>
      <c r="AL1566" s="74"/>
      <c r="AM1566" s="74"/>
    </row>
    <row r="1567" spans="1:50" ht="13" x14ac:dyDescent="0.15">
      <c r="A1567" s="55" t="str">
        <f>HYPERLINK("http://reports.ofsted.gov.uk/inspection-reports/find-inspection-report/provider/CARE/2620992","Ofsted Social Care Provider Webpage")</f>
        <v>Ofsted Social Care Provider Webpage</v>
      </c>
      <c r="B1567" s="55">
        <v>2620992</v>
      </c>
      <c r="D1567" s="55" t="s">
        <v>373</v>
      </c>
      <c r="E1567" s="74">
        <v>44279</v>
      </c>
      <c r="F1567" s="55" t="s">
        <v>344</v>
      </c>
      <c r="G1567" s="55" t="s">
        <v>360</v>
      </c>
      <c r="H1567" s="55" t="s">
        <v>360</v>
      </c>
      <c r="I1567" s="55" t="s">
        <v>360</v>
      </c>
      <c r="J1567" s="55" t="s">
        <v>360</v>
      </c>
      <c r="K1567" s="55" t="s">
        <v>360</v>
      </c>
      <c r="L1567" s="55" t="s">
        <v>360</v>
      </c>
      <c r="M1567" s="55" t="s">
        <v>142</v>
      </c>
      <c r="N1567" s="55" t="s">
        <v>142</v>
      </c>
      <c r="O1567" s="55" t="s">
        <v>141</v>
      </c>
      <c r="P1567" s="55" t="s">
        <v>2048</v>
      </c>
      <c r="Q1567" s="55" t="s">
        <v>350</v>
      </c>
      <c r="R1567" s="85">
        <v>3</v>
      </c>
      <c r="S1567" s="55">
        <v>0</v>
      </c>
      <c r="T1567" s="74" t="s">
        <v>2049</v>
      </c>
      <c r="U1567" s="74" t="s">
        <v>351</v>
      </c>
      <c r="V1567" s="74">
        <v>44537</v>
      </c>
      <c r="W1567" s="74">
        <v>44587</v>
      </c>
      <c r="X1567" s="55">
        <v>10188315</v>
      </c>
      <c r="Y1567" s="55" t="s">
        <v>130</v>
      </c>
      <c r="AB1567" s="74" t="s">
        <v>130</v>
      </c>
      <c r="AC1567" s="55" t="s">
        <v>130</v>
      </c>
      <c r="AL1567" s="74"/>
      <c r="AM1567" s="74"/>
    </row>
    <row r="1568" spans="1:50" ht="13" x14ac:dyDescent="0.15">
      <c r="A1568" s="55" t="str">
        <f>HYPERLINK("http://reports.ofsted.gov.uk/inspection-reports/find-inspection-report/provider/CARE/2621119","Ofsted Social Care Provider Webpage")</f>
        <v>Ofsted Social Care Provider Webpage</v>
      </c>
      <c r="B1568" s="55">
        <v>2621119</v>
      </c>
      <c r="D1568" s="55" t="s">
        <v>373</v>
      </c>
      <c r="E1568" s="74">
        <v>44309</v>
      </c>
      <c r="F1568" s="55" t="s">
        <v>344</v>
      </c>
      <c r="G1568" s="55" t="s">
        <v>360</v>
      </c>
      <c r="H1568" s="55" t="s">
        <v>360</v>
      </c>
      <c r="I1568" s="55" t="s">
        <v>360</v>
      </c>
      <c r="J1568" s="55" t="s">
        <v>360</v>
      </c>
      <c r="K1568" s="55" t="s">
        <v>360</v>
      </c>
      <c r="L1568" s="55" t="s">
        <v>360</v>
      </c>
      <c r="M1568" s="55" t="s">
        <v>144</v>
      </c>
      <c r="N1568" s="55" t="s">
        <v>144</v>
      </c>
      <c r="O1568" s="55" t="s">
        <v>287</v>
      </c>
      <c r="P1568" s="55" t="s">
        <v>815</v>
      </c>
      <c r="Q1568" s="55" t="s">
        <v>350</v>
      </c>
      <c r="R1568" s="85">
        <v>1</v>
      </c>
      <c r="S1568" s="55">
        <v>0</v>
      </c>
      <c r="T1568" s="74" t="s">
        <v>385</v>
      </c>
      <c r="U1568" s="74" t="s">
        <v>351</v>
      </c>
      <c r="V1568" s="74">
        <v>44551</v>
      </c>
      <c r="W1568" s="74">
        <v>44599</v>
      </c>
      <c r="X1568" s="55">
        <v>10195375</v>
      </c>
      <c r="Y1568" s="55" t="s">
        <v>132</v>
      </c>
      <c r="AB1568" s="74" t="s">
        <v>132</v>
      </c>
      <c r="AC1568" s="55" t="s">
        <v>132</v>
      </c>
      <c r="AL1568" s="74"/>
      <c r="AM1568" s="74"/>
    </row>
    <row r="1569" spans="1:50" ht="13" x14ac:dyDescent="0.15">
      <c r="A1569" s="55" t="str">
        <f>HYPERLINK("http://reports.ofsted.gov.uk/inspection-reports/find-inspection-report/provider/CARE/2621193","Ofsted Social Care Provider Webpage")</f>
        <v>Ofsted Social Care Provider Webpage</v>
      </c>
      <c r="B1569" s="55">
        <v>2621193</v>
      </c>
      <c r="D1569" s="55" t="s">
        <v>373</v>
      </c>
      <c r="E1569" s="74">
        <v>44183</v>
      </c>
      <c r="F1569" s="55" t="s">
        <v>344</v>
      </c>
      <c r="G1569" s="55" t="s">
        <v>360</v>
      </c>
      <c r="H1569" s="55" t="s">
        <v>360</v>
      </c>
      <c r="I1569" s="55" t="s">
        <v>360</v>
      </c>
      <c r="J1569" s="55" t="s">
        <v>360</v>
      </c>
      <c r="K1569" s="55" t="s">
        <v>360</v>
      </c>
      <c r="L1569" s="55" t="s">
        <v>360</v>
      </c>
      <c r="M1569" s="55" t="s">
        <v>144</v>
      </c>
      <c r="N1569" s="55" t="s">
        <v>144</v>
      </c>
      <c r="O1569" s="55" t="s">
        <v>145</v>
      </c>
      <c r="P1569" s="55" t="s">
        <v>525</v>
      </c>
      <c r="Q1569" s="55" t="s">
        <v>350</v>
      </c>
      <c r="R1569" s="85">
        <v>2</v>
      </c>
      <c r="S1569" s="55">
        <v>0</v>
      </c>
      <c r="T1569" s="74" t="s">
        <v>2050</v>
      </c>
      <c r="U1569" s="74" t="s">
        <v>351</v>
      </c>
      <c r="V1569" s="74">
        <v>44502</v>
      </c>
      <c r="W1569" s="74">
        <v>44537</v>
      </c>
      <c r="X1569" s="55">
        <v>10185902</v>
      </c>
      <c r="Y1569" s="55" t="s">
        <v>132</v>
      </c>
      <c r="AB1569" s="74" t="s">
        <v>132</v>
      </c>
      <c r="AC1569" s="55" t="s">
        <v>132</v>
      </c>
      <c r="AL1569" s="74"/>
      <c r="AM1569" s="74"/>
    </row>
    <row r="1570" spans="1:50" ht="13" x14ac:dyDescent="0.15">
      <c r="A1570" s="55" t="str">
        <f>HYPERLINK("http://reports.ofsted.gov.uk/inspection-reports/find-inspection-report/provider/CARE/2621215","Ofsted Social Care Provider Webpage")</f>
        <v>Ofsted Social Care Provider Webpage</v>
      </c>
      <c r="B1570" s="55">
        <v>2621215</v>
      </c>
      <c r="D1570" s="55" t="s">
        <v>373</v>
      </c>
      <c r="E1570" s="74">
        <v>44287</v>
      </c>
      <c r="F1570" s="55" t="s">
        <v>344</v>
      </c>
      <c r="G1570" s="55" t="s">
        <v>360</v>
      </c>
      <c r="H1570" s="55" t="s">
        <v>360</v>
      </c>
      <c r="I1570" s="55" t="s">
        <v>360</v>
      </c>
      <c r="J1570" s="55" t="s">
        <v>360</v>
      </c>
      <c r="K1570" s="55" t="s">
        <v>360</v>
      </c>
      <c r="L1570" s="55" t="s">
        <v>360</v>
      </c>
      <c r="M1570" s="55" t="s">
        <v>138</v>
      </c>
      <c r="N1570" s="55" t="s">
        <v>138</v>
      </c>
      <c r="O1570" s="55" t="s">
        <v>183</v>
      </c>
      <c r="P1570" s="55" t="s">
        <v>2051</v>
      </c>
      <c r="Q1570" s="55" t="s">
        <v>350</v>
      </c>
      <c r="R1570" s="85">
        <v>4</v>
      </c>
      <c r="S1570" s="55">
        <v>0</v>
      </c>
      <c r="T1570" s="74" t="s">
        <v>2052</v>
      </c>
      <c r="U1570" s="74" t="s">
        <v>351</v>
      </c>
      <c r="V1570" s="74">
        <v>44454</v>
      </c>
      <c r="W1570" s="74">
        <v>44475</v>
      </c>
      <c r="X1570" s="55">
        <v>10197520</v>
      </c>
      <c r="Y1570" s="55" t="s">
        <v>130</v>
      </c>
      <c r="AB1570" s="74" t="s">
        <v>130</v>
      </c>
      <c r="AC1570" s="55" t="s">
        <v>130</v>
      </c>
      <c r="AL1570" s="74"/>
      <c r="AM1570" s="74"/>
      <c r="AW1570" s="74"/>
      <c r="AX1570" s="74"/>
    </row>
    <row r="1571" spans="1:50" ht="13" x14ac:dyDescent="0.15">
      <c r="A1571" s="55" t="str">
        <f>HYPERLINK("http://reports.ofsted.gov.uk/inspection-reports/find-inspection-report/provider/CARE/2621215","Ofsted Social Care Provider Webpage")</f>
        <v>Ofsted Social Care Provider Webpage</v>
      </c>
      <c r="B1571" s="55">
        <v>2621215</v>
      </c>
      <c r="D1571" s="55" t="s">
        <v>373</v>
      </c>
      <c r="E1571" s="74">
        <v>44287</v>
      </c>
      <c r="F1571" s="55" t="s">
        <v>344</v>
      </c>
      <c r="G1571" s="55" t="s">
        <v>360</v>
      </c>
      <c r="H1571" s="55" t="s">
        <v>360</v>
      </c>
      <c r="I1571" s="55" t="s">
        <v>360</v>
      </c>
      <c r="J1571" s="55" t="s">
        <v>360</v>
      </c>
      <c r="K1571" s="55" t="s">
        <v>360</v>
      </c>
      <c r="L1571" s="55" t="s">
        <v>360</v>
      </c>
      <c r="M1571" s="55" t="s">
        <v>138</v>
      </c>
      <c r="N1571" s="55" t="s">
        <v>138</v>
      </c>
      <c r="O1571" s="55" t="s">
        <v>183</v>
      </c>
      <c r="P1571" s="55" t="s">
        <v>2051</v>
      </c>
      <c r="Q1571" s="55" t="s">
        <v>350</v>
      </c>
      <c r="R1571" s="85">
        <v>4</v>
      </c>
      <c r="S1571" s="55">
        <v>0</v>
      </c>
      <c r="T1571" s="74" t="s">
        <v>2052</v>
      </c>
      <c r="U1571" s="74" t="s">
        <v>6703</v>
      </c>
      <c r="V1571" s="74">
        <v>44581</v>
      </c>
      <c r="W1571" s="74">
        <v>44606</v>
      </c>
      <c r="X1571" s="55">
        <v>10210197</v>
      </c>
      <c r="Y1571" s="55" t="s">
        <v>6706</v>
      </c>
      <c r="AL1571" s="74"/>
      <c r="AM1571" s="74"/>
    </row>
    <row r="1572" spans="1:50" ht="13" x14ac:dyDescent="0.15">
      <c r="A1572" s="55" t="str">
        <f>HYPERLINK("http://reports.ofsted.gov.uk/inspection-reports/find-inspection-report/provider/CARE/2621322","Ofsted Social Care Provider Webpage")</f>
        <v>Ofsted Social Care Provider Webpage</v>
      </c>
      <c r="B1572" s="55">
        <v>2621322</v>
      </c>
      <c r="D1572" s="55" t="s">
        <v>373</v>
      </c>
      <c r="E1572" s="74">
        <v>44377</v>
      </c>
      <c r="F1572" s="55" t="s">
        <v>344</v>
      </c>
      <c r="G1572" s="55" t="s">
        <v>360</v>
      </c>
      <c r="H1572" s="55" t="s">
        <v>360</v>
      </c>
      <c r="I1572" s="55" t="s">
        <v>360</v>
      </c>
      <c r="J1572" s="55" t="s">
        <v>360</v>
      </c>
      <c r="K1572" s="55" t="s">
        <v>360</v>
      </c>
      <c r="L1572" s="55" t="s">
        <v>360</v>
      </c>
      <c r="M1572" s="55" t="s">
        <v>172</v>
      </c>
      <c r="N1572" s="55" t="s">
        <v>172</v>
      </c>
      <c r="O1572" s="55" t="s">
        <v>235</v>
      </c>
      <c r="P1572" s="55" t="s">
        <v>855</v>
      </c>
      <c r="Q1572" s="55" t="s">
        <v>350</v>
      </c>
      <c r="R1572" s="85">
        <v>1</v>
      </c>
      <c r="S1572" s="55">
        <v>0</v>
      </c>
      <c r="T1572" s="74" t="s">
        <v>1830</v>
      </c>
      <c r="U1572" s="74" t="s">
        <v>351</v>
      </c>
      <c r="V1572" s="74">
        <v>44608</v>
      </c>
      <c r="W1572" s="74">
        <v>44651</v>
      </c>
      <c r="X1572" s="55">
        <v>10201537</v>
      </c>
      <c r="Y1572" s="55" t="s">
        <v>140</v>
      </c>
      <c r="AB1572" s="74" t="s">
        <v>140</v>
      </c>
      <c r="AC1572" s="55" t="s">
        <v>140</v>
      </c>
      <c r="AL1572" s="74"/>
      <c r="AM1572" s="74"/>
      <c r="AW1572" s="74"/>
      <c r="AX1572" s="74"/>
    </row>
    <row r="1573" spans="1:50" ht="13" x14ac:dyDescent="0.15">
      <c r="A1573" s="55" t="str">
        <f>HYPERLINK("http://reports.ofsted.gov.uk/inspection-reports/find-inspection-report/provider/CARE/2621334","Ofsted Social Care Provider Webpage")</f>
        <v>Ofsted Social Care Provider Webpage</v>
      </c>
      <c r="B1573" s="55">
        <v>2621334</v>
      </c>
      <c r="D1573" s="55" t="s">
        <v>373</v>
      </c>
      <c r="E1573" s="74">
        <v>44302</v>
      </c>
      <c r="F1573" s="55" t="s">
        <v>344</v>
      </c>
      <c r="G1573" s="55" t="s">
        <v>360</v>
      </c>
      <c r="H1573" s="55" t="s">
        <v>360</v>
      </c>
      <c r="I1573" s="55" t="s">
        <v>360</v>
      </c>
      <c r="J1573" s="55" t="s">
        <v>360</v>
      </c>
      <c r="K1573" s="55" t="s">
        <v>360</v>
      </c>
      <c r="L1573" s="55" t="s">
        <v>360</v>
      </c>
      <c r="M1573" s="55" t="s">
        <v>144</v>
      </c>
      <c r="N1573" s="55" t="s">
        <v>144</v>
      </c>
      <c r="O1573" s="55" t="s">
        <v>281</v>
      </c>
      <c r="P1573" s="55" t="s">
        <v>725</v>
      </c>
      <c r="Q1573" s="55" t="s">
        <v>350</v>
      </c>
      <c r="R1573" s="85">
        <v>3</v>
      </c>
      <c r="S1573" s="55">
        <v>0</v>
      </c>
      <c r="T1573" s="74" t="s">
        <v>517</v>
      </c>
      <c r="U1573" s="74" t="s">
        <v>351</v>
      </c>
      <c r="V1573" s="74">
        <v>44566</v>
      </c>
      <c r="W1573" s="74">
        <v>44596</v>
      </c>
      <c r="X1573" s="55">
        <v>10198245</v>
      </c>
      <c r="Y1573" s="55" t="s">
        <v>132</v>
      </c>
      <c r="AB1573" s="74" t="s">
        <v>132</v>
      </c>
      <c r="AC1573" s="55" t="s">
        <v>132</v>
      </c>
      <c r="AL1573" s="74"/>
      <c r="AM1573" s="74"/>
      <c r="AW1573" s="74"/>
      <c r="AX1573" s="74"/>
    </row>
    <row r="1574" spans="1:50" ht="13" x14ac:dyDescent="0.15">
      <c r="A1574" s="55" t="str">
        <f>HYPERLINK("http://reports.ofsted.gov.uk/inspection-reports/find-inspection-report/provider/CARE/2622077","Ofsted Social Care Provider Webpage")</f>
        <v>Ofsted Social Care Provider Webpage</v>
      </c>
      <c r="B1574" s="55">
        <v>2622077</v>
      </c>
      <c r="D1574" s="55" t="s">
        <v>373</v>
      </c>
      <c r="E1574" s="74">
        <v>44326</v>
      </c>
      <c r="F1574" s="55" t="s">
        <v>344</v>
      </c>
      <c r="G1574" s="55" t="s">
        <v>360</v>
      </c>
      <c r="H1574" s="55" t="s">
        <v>360</v>
      </c>
      <c r="I1574" s="55" t="s">
        <v>360</v>
      </c>
      <c r="J1574" s="55" t="s">
        <v>360</v>
      </c>
      <c r="K1574" s="55" t="s">
        <v>360</v>
      </c>
      <c r="L1574" s="55" t="s">
        <v>360</v>
      </c>
      <c r="M1574" s="55" t="s">
        <v>142</v>
      </c>
      <c r="N1574" s="55" t="s">
        <v>142</v>
      </c>
      <c r="O1574" s="55" t="s">
        <v>278</v>
      </c>
      <c r="P1574" s="55" t="s">
        <v>1126</v>
      </c>
      <c r="Q1574" s="55" t="s">
        <v>350</v>
      </c>
      <c r="R1574" s="85">
        <v>4</v>
      </c>
      <c r="S1574" s="55">
        <v>0</v>
      </c>
      <c r="T1574" s="74" t="s">
        <v>644</v>
      </c>
      <c r="U1574" s="74" t="s">
        <v>2053</v>
      </c>
      <c r="V1574" s="74">
        <v>44586</v>
      </c>
      <c r="W1574" s="74">
        <v>44620</v>
      </c>
      <c r="X1574" s="55">
        <v>10217681</v>
      </c>
      <c r="Y1574" s="55" t="s">
        <v>130</v>
      </c>
      <c r="AL1574" s="74"/>
      <c r="AM1574" s="74"/>
      <c r="AW1574" s="74"/>
      <c r="AX1574" s="74"/>
    </row>
    <row r="1575" spans="1:50" ht="13" x14ac:dyDescent="0.15">
      <c r="A1575" s="55" t="str">
        <f>HYPERLINK("http://reports.ofsted.gov.uk/inspection-reports/find-inspection-report/provider/CARE/2622077","Ofsted Social Care Provider Webpage")</f>
        <v>Ofsted Social Care Provider Webpage</v>
      </c>
      <c r="B1575" s="55">
        <v>2622077</v>
      </c>
      <c r="D1575" s="55" t="s">
        <v>373</v>
      </c>
      <c r="E1575" s="74">
        <v>44326</v>
      </c>
      <c r="F1575" s="55" t="s">
        <v>344</v>
      </c>
      <c r="G1575" s="55" t="s">
        <v>360</v>
      </c>
      <c r="H1575" s="55" t="s">
        <v>360</v>
      </c>
      <c r="I1575" s="55" t="s">
        <v>360</v>
      </c>
      <c r="J1575" s="55" t="s">
        <v>360</v>
      </c>
      <c r="K1575" s="55" t="s">
        <v>360</v>
      </c>
      <c r="L1575" s="55" t="s">
        <v>360</v>
      </c>
      <c r="M1575" s="55" t="s">
        <v>142</v>
      </c>
      <c r="N1575" s="55" t="s">
        <v>142</v>
      </c>
      <c r="O1575" s="55" t="s">
        <v>278</v>
      </c>
      <c r="P1575" s="55" t="s">
        <v>1126</v>
      </c>
      <c r="Q1575" s="55" t="s">
        <v>350</v>
      </c>
      <c r="R1575" s="85">
        <v>4</v>
      </c>
      <c r="S1575" s="55">
        <v>0</v>
      </c>
      <c r="T1575" s="74" t="s">
        <v>644</v>
      </c>
      <c r="U1575" s="74" t="s">
        <v>351</v>
      </c>
      <c r="V1575" s="74">
        <v>44536</v>
      </c>
      <c r="W1575" s="74">
        <v>44585</v>
      </c>
      <c r="X1575" s="55">
        <v>10202798</v>
      </c>
      <c r="Y1575" s="55" t="s">
        <v>146</v>
      </c>
      <c r="AB1575" s="74" t="s">
        <v>146</v>
      </c>
      <c r="AC1575" s="55" t="s">
        <v>146</v>
      </c>
      <c r="AL1575" s="74"/>
      <c r="AM1575" s="74"/>
      <c r="AW1575" s="74"/>
      <c r="AX1575" s="74"/>
    </row>
    <row r="1576" spans="1:50" ht="13" x14ac:dyDescent="0.15">
      <c r="A1576" s="55" t="str">
        <f>HYPERLINK("http://reports.ofsted.gov.uk/inspection-reports/find-inspection-report/provider/CARE/2622281","Ofsted Social Care Provider Webpage")</f>
        <v>Ofsted Social Care Provider Webpage</v>
      </c>
      <c r="B1576" s="55">
        <v>2622281</v>
      </c>
      <c r="D1576" s="55" t="s">
        <v>373</v>
      </c>
      <c r="E1576" s="74">
        <v>44229</v>
      </c>
      <c r="F1576" s="55" t="s">
        <v>344</v>
      </c>
      <c r="G1576" s="55" t="s">
        <v>360</v>
      </c>
      <c r="H1576" s="55" t="s">
        <v>360</v>
      </c>
      <c r="I1576" s="55" t="s">
        <v>360</v>
      </c>
      <c r="J1576" s="55" t="s">
        <v>360</v>
      </c>
      <c r="K1576" s="55" t="s">
        <v>360</v>
      </c>
      <c r="L1576" s="55" t="s">
        <v>360</v>
      </c>
      <c r="M1576" s="55" t="s">
        <v>142</v>
      </c>
      <c r="N1576" s="55" t="s">
        <v>142</v>
      </c>
      <c r="O1576" s="55" t="s">
        <v>292</v>
      </c>
      <c r="P1576" s="55" t="s">
        <v>976</v>
      </c>
      <c r="Q1576" s="55" t="s">
        <v>350</v>
      </c>
      <c r="R1576" s="85">
        <v>3</v>
      </c>
      <c r="S1576" s="55">
        <v>0</v>
      </c>
      <c r="T1576" s="74" t="s">
        <v>1407</v>
      </c>
      <c r="U1576" s="74" t="s">
        <v>351</v>
      </c>
      <c r="V1576" s="74">
        <v>44550</v>
      </c>
      <c r="W1576" s="74">
        <v>44603</v>
      </c>
      <c r="X1576" s="55">
        <v>10188268</v>
      </c>
      <c r="Y1576" s="55" t="s">
        <v>130</v>
      </c>
      <c r="AB1576" s="74" t="s">
        <v>130</v>
      </c>
      <c r="AC1576" s="55" t="s">
        <v>130</v>
      </c>
      <c r="AL1576" s="74"/>
      <c r="AM1576" s="74"/>
      <c r="AW1576" s="74"/>
      <c r="AX1576" s="74"/>
    </row>
    <row r="1577" spans="1:50" ht="13" x14ac:dyDescent="0.15">
      <c r="A1577" s="55" t="str">
        <f>HYPERLINK("http://reports.ofsted.gov.uk/inspection-reports/find-inspection-report/provider/CARE/2622480","Ofsted Social Care Provider Webpage")</f>
        <v>Ofsted Social Care Provider Webpage</v>
      </c>
      <c r="B1577" s="55">
        <v>2622480</v>
      </c>
      <c r="D1577" s="55" t="s">
        <v>373</v>
      </c>
      <c r="E1577" s="74">
        <v>44260</v>
      </c>
      <c r="F1577" s="55" t="s">
        <v>344</v>
      </c>
      <c r="G1577" s="55" t="s">
        <v>360</v>
      </c>
      <c r="H1577" s="55" t="s">
        <v>360</v>
      </c>
      <c r="I1577" s="55" t="s">
        <v>360</v>
      </c>
      <c r="J1577" s="55" t="s">
        <v>360</v>
      </c>
      <c r="K1577" s="55" t="s">
        <v>360</v>
      </c>
      <c r="L1577" s="55" t="s">
        <v>360</v>
      </c>
      <c r="M1577" s="55" t="s">
        <v>172</v>
      </c>
      <c r="N1577" s="55" t="s">
        <v>172</v>
      </c>
      <c r="O1577" s="55" t="s">
        <v>212</v>
      </c>
      <c r="P1577" s="55" t="s">
        <v>842</v>
      </c>
      <c r="Q1577" s="55" t="s">
        <v>350</v>
      </c>
      <c r="R1577" s="85">
        <v>3</v>
      </c>
      <c r="S1577" s="55">
        <v>0</v>
      </c>
      <c r="T1577" s="74" t="s">
        <v>2054</v>
      </c>
      <c r="U1577" s="74" t="s">
        <v>351</v>
      </c>
      <c r="V1577" s="74">
        <v>44441</v>
      </c>
      <c r="W1577" s="74">
        <v>44469</v>
      </c>
      <c r="X1577" s="55">
        <v>10188301</v>
      </c>
      <c r="Y1577" s="55" t="s">
        <v>132</v>
      </c>
      <c r="AB1577" s="74" t="s">
        <v>132</v>
      </c>
      <c r="AC1577" s="55" t="s">
        <v>132</v>
      </c>
      <c r="AL1577" s="74"/>
      <c r="AM1577" s="74"/>
    </row>
    <row r="1578" spans="1:50" ht="13" x14ac:dyDescent="0.15">
      <c r="A1578" s="55" t="str">
        <f>HYPERLINK("http://reports.ofsted.gov.uk/inspection-reports/find-inspection-report/provider/CARE/2622998","Ofsted Social Care Provider Webpage")</f>
        <v>Ofsted Social Care Provider Webpage</v>
      </c>
      <c r="B1578" s="55">
        <v>2622998</v>
      </c>
      <c r="D1578" s="55" t="s">
        <v>373</v>
      </c>
      <c r="E1578" s="74">
        <v>44221</v>
      </c>
      <c r="F1578" s="55" t="s">
        <v>344</v>
      </c>
      <c r="G1578" s="55" t="s">
        <v>360</v>
      </c>
      <c r="H1578" s="55" t="s">
        <v>360</v>
      </c>
      <c r="I1578" s="55" t="s">
        <v>360</v>
      </c>
      <c r="J1578" s="55" t="s">
        <v>360</v>
      </c>
      <c r="K1578" s="55" t="s">
        <v>360</v>
      </c>
      <c r="L1578" s="55" t="s">
        <v>360</v>
      </c>
      <c r="M1578" s="55" t="s">
        <v>138</v>
      </c>
      <c r="N1578" s="55" t="s">
        <v>138</v>
      </c>
      <c r="O1578" s="55" t="s">
        <v>137</v>
      </c>
      <c r="P1578" s="55" t="s">
        <v>822</v>
      </c>
      <c r="Q1578" s="55" t="s">
        <v>350</v>
      </c>
      <c r="R1578" s="85">
        <v>2</v>
      </c>
      <c r="S1578" s="55">
        <v>0</v>
      </c>
      <c r="T1578" s="74" t="s">
        <v>517</v>
      </c>
      <c r="U1578" s="74" t="s">
        <v>351</v>
      </c>
      <c r="V1578" s="74">
        <v>44348</v>
      </c>
      <c r="W1578" s="74">
        <v>44375</v>
      </c>
      <c r="X1578" s="55">
        <v>10188262</v>
      </c>
      <c r="Y1578" s="55" t="s">
        <v>130</v>
      </c>
      <c r="AB1578" s="74" t="s">
        <v>130</v>
      </c>
      <c r="AC1578" s="55" t="s">
        <v>130</v>
      </c>
      <c r="AL1578" s="74"/>
      <c r="AM1578" s="74"/>
    </row>
    <row r="1579" spans="1:50" ht="13" x14ac:dyDescent="0.15">
      <c r="A1579" s="55" t="str">
        <f>HYPERLINK("http://reports.ofsted.gov.uk/inspection-reports/find-inspection-report/provider/CARE/2623004","Ofsted Social Care Provider Webpage")</f>
        <v>Ofsted Social Care Provider Webpage</v>
      </c>
      <c r="B1579" s="55">
        <v>2623004</v>
      </c>
      <c r="D1579" s="55" t="s">
        <v>373</v>
      </c>
      <c r="E1579" s="74">
        <v>44256</v>
      </c>
      <c r="F1579" s="55" t="s">
        <v>344</v>
      </c>
      <c r="G1579" s="55" t="s">
        <v>360</v>
      </c>
      <c r="H1579" s="55" t="s">
        <v>360</v>
      </c>
      <c r="I1579" s="55" t="s">
        <v>360</v>
      </c>
      <c r="J1579" s="55" t="s">
        <v>360</v>
      </c>
      <c r="K1579" s="55" t="s">
        <v>360</v>
      </c>
      <c r="L1579" s="55" t="s">
        <v>360</v>
      </c>
      <c r="M1579" s="55" t="s">
        <v>144</v>
      </c>
      <c r="N1579" s="55" t="s">
        <v>144</v>
      </c>
      <c r="O1579" s="55" t="s">
        <v>147</v>
      </c>
      <c r="P1579" s="55" t="s">
        <v>807</v>
      </c>
      <c r="Q1579" s="55" t="s">
        <v>350</v>
      </c>
      <c r="R1579" s="85">
        <v>1</v>
      </c>
      <c r="S1579" s="55">
        <v>0</v>
      </c>
      <c r="T1579" s="74" t="s">
        <v>385</v>
      </c>
      <c r="U1579" s="74" t="s">
        <v>351</v>
      </c>
      <c r="V1579" s="74">
        <v>44495</v>
      </c>
      <c r="W1579" s="74">
        <v>44533</v>
      </c>
      <c r="X1579" s="55">
        <v>10188309</v>
      </c>
      <c r="Y1579" s="55" t="s">
        <v>132</v>
      </c>
      <c r="AB1579" s="74" t="s">
        <v>132</v>
      </c>
      <c r="AC1579" s="55" t="s">
        <v>132</v>
      </c>
      <c r="AL1579" s="74"/>
      <c r="AM1579" s="74"/>
      <c r="AW1579" s="74"/>
      <c r="AX1579" s="74"/>
    </row>
    <row r="1580" spans="1:50" ht="13" x14ac:dyDescent="0.15">
      <c r="A1580" s="55" t="str">
        <f>HYPERLINK("http://reports.ofsted.gov.uk/inspection-reports/find-inspection-report/provider/CARE/2623130","Ofsted Social Care Provider Webpage")</f>
        <v>Ofsted Social Care Provider Webpage</v>
      </c>
      <c r="B1580" s="55">
        <v>2623130</v>
      </c>
      <c r="D1580" s="55" t="s">
        <v>373</v>
      </c>
      <c r="E1580" s="74">
        <v>44187</v>
      </c>
      <c r="F1580" s="55" t="s">
        <v>344</v>
      </c>
      <c r="G1580" s="55" t="s">
        <v>360</v>
      </c>
      <c r="H1580" s="55" t="s">
        <v>360</v>
      </c>
      <c r="I1580" s="55" t="s">
        <v>360</v>
      </c>
      <c r="J1580" s="55" t="s">
        <v>360</v>
      </c>
      <c r="K1580" s="55" t="s">
        <v>360</v>
      </c>
      <c r="L1580" s="55" t="s">
        <v>360</v>
      </c>
      <c r="M1580" s="55" t="s">
        <v>136</v>
      </c>
      <c r="N1580" s="55" t="s">
        <v>136</v>
      </c>
      <c r="O1580" s="55" t="s">
        <v>176</v>
      </c>
      <c r="P1580" s="55" t="s">
        <v>2060</v>
      </c>
      <c r="Q1580" s="55" t="s">
        <v>350</v>
      </c>
      <c r="R1580" s="85">
        <v>3</v>
      </c>
      <c r="S1580" s="55">
        <v>0</v>
      </c>
      <c r="T1580" s="74" t="s">
        <v>892</v>
      </c>
      <c r="U1580" s="74" t="s">
        <v>351</v>
      </c>
      <c r="V1580" s="74">
        <v>44377</v>
      </c>
      <c r="W1580" s="74">
        <v>44414</v>
      </c>
      <c r="X1580" s="55">
        <v>10186009</v>
      </c>
      <c r="Y1580" s="55" t="s">
        <v>130</v>
      </c>
      <c r="AB1580" s="74" t="s">
        <v>130</v>
      </c>
      <c r="AC1580" s="55" t="s">
        <v>146</v>
      </c>
      <c r="AL1580" s="74"/>
      <c r="AM1580" s="74"/>
      <c r="AW1580" s="74"/>
      <c r="AX1580" s="74"/>
    </row>
    <row r="1581" spans="1:50" ht="13" x14ac:dyDescent="0.15">
      <c r="A1581" s="55" t="str">
        <f>HYPERLINK("http://reports.ofsted.gov.uk/inspection-reports/find-inspection-report/provider/CARE/2623130","Ofsted Social Care Provider Webpage")</f>
        <v>Ofsted Social Care Provider Webpage</v>
      </c>
      <c r="B1581" s="55">
        <v>2623130</v>
      </c>
      <c r="D1581" s="55" t="s">
        <v>373</v>
      </c>
      <c r="E1581" s="74">
        <v>44187</v>
      </c>
      <c r="F1581" s="55" t="s">
        <v>344</v>
      </c>
      <c r="G1581" s="55" t="s">
        <v>360</v>
      </c>
      <c r="H1581" s="55" t="s">
        <v>360</v>
      </c>
      <c r="I1581" s="55" t="s">
        <v>360</v>
      </c>
      <c r="J1581" s="55" t="s">
        <v>360</v>
      </c>
      <c r="K1581" s="55" t="s">
        <v>360</v>
      </c>
      <c r="L1581" s="55" t="s">
        <v>360</v>
      </c>
      <c r="M1581" s="55" t="s">
        <v>136</v>
      </c>
      <c r="N1581" s="55" t="s">
        <v>136</v>
      </c>
      <c r="O1581" s="55" t="s">
        <v>176</v>
      </c>
      <c r="P1581" s="55" t="s">
        <v>2060</v>
      </c>
      <c r="Q1581" s="55" t="s">
        <v>350</v>
      </c>
      <c r="R1581" s="85">
        <v>3</v>
      </c>
      <c r="S1581" s="55">
        <v>0</v>
      </c>
      <c r="T1581" s="74" t="s">
        <v>892</v>
      </c>
      <c r="U1581" s="74" t="s">
        <v>6703</v>
      </c>
      <c r="V1581" s="74">
        <v>44540</v>
      </c>
      <c r="W1581" s="74">
        <v>44586</v>
      </c>
      <c r="X1581" s="55">
        <v>10213264</v>
      </c>
      <c r="Y1581" s="55" t="s">
        <v>6704</v>
      </c>
      <c r="AL1581" s="74"/>
      <c r="AM1581" s="74"/>
      <c r="AW1581" s="74"/>
      <c r="AX1581" s="74"/>
    </row>
    <row r="1582" spans="1:50" ht="13" x14ac:dyDescent="0.15">
      <c r="A1582" s="55" t="str">
        <f>HYPERLINK("http://reports.ofsted.gov.uk/inspection-reports/find-inspection-report/provider/CARE/2623130","Ofsted Social Care Provider Webpage")</f>
        <v>Ofsted Social Care Provider Webpage</v>
      </c>
      <c r="B1582" s="55">
        <v>2623130</v>
      </c>
      <c r="D1582" s="55" t="s">
        <v>373</v>
      </c>
      <c r="E1582" s="74">
        <v>44187</v>
      </c>
      <c r="F1582" s="55" t="s">
        <v>344</v>
      </c>
      <c r="G1582" s="55" t="s">
        <v>360</v>
      </c>
      <c r="H1582" s="55" t="s">
        <v>360</v>
      </c>
      <c r="I1582" s="55" t="s">
        <v>360</v>
      </c>
      <c r="J1582" s="55" t="s">
        <v>360</v>
      </c>
      <c r="K1582" s="55" t="s">
        <v>360</v>
      </c>
      <c r="L1582" s="55" t="s">
        <v>360</v>
      </c>
      <c r="M1582" s="55" t="s">
        <v>136</v>
      </c>
      <c r="N1582" s="55" t="s">
        <v>136</v>
      </c>
      <c r="O1582" s="55" t="s">
        <v>176</v>
      </c>
      <c r="P1582" s="55" t="s">
        <v>2060</v>
      </c>
      <c r="Q1582" s="55" t="s">
        <v>350</v>
      </c>
      <c r="R1582" s="85">
        <v>3</v>
      </c>
      <c r="S1582" s="55">
        <v>0</v>
      </c>
      <c r="T1582" s="74" t="s">
        <v>892</v>
      </c>
      <c r="U1582" s="74" t="s">
        <v>2053</v>
      </c>
      <c r="V1582" s="74">
        <v>44585</v>
      </c>
      <c r="W1582" s="74">
        <v>44615</v>
      </c>
      <c r="X1582" s="55">
        <v>10219521</v>
      </c>
      <c r="AL1582" s="74"/>
      <c r="AM1582" s="74"/>
      <c r="AW1582" s="74"/>
      <c r="AX1582" s="74"/>
    </row>
    <row r="1583" spans="1:50" ht="13" x14ac:dyDescent="0.15">
      <c r="A1583" s="55" t="str">
        <f>HYPERLINK("http://reports.ofsted.gov.uk/inspection-reports/find-inspection-report/provider/CARE/2623368","Ofsted Social Care Provider Webpage")</f>
        <v>Ofsted Social Care Provider Webpage</v>
      </c>
      <c r="B1583" s="55">
        <v>2623368</v>
      </c>
      <c r="D1583" s="55" t="s">
        <v>373</v>
      </c>
      <c r="E1583" s="74">
        <v>44246</v>
      </c>
      <c r="F1583" s="55" t="s">
        <v>344</v>
      </c>
      <c r="G1583" s="55" t="s">
        <v>360</v>
      </c>
      <c r="H1583" s="55" t="s">
        <v>360</v>
      </c>
      <c r="I1583" s="55" t="s">
        <v>360</v>
      </c>
      <c r="J1583" s="55" t="s">
        <v>360</v>
      </c>
      <c r="K1583" s="55" t="s">
        <v>360</v>
      </c>
      <c r="L1583" s="55" t="s">
        <v>360</v>
      </c>
      <c r="M1583" s="55" t="s">
        <v>136</v>
      </c>
      <c r="N1583" s="55" t="s">
        <v>136</v>
      </c>
      <c r="O1583" s="55" t="s">
        <v>255</v>
      </c>
      <c r="P1583" s="55" t="s">
        <v>757</v>
      </c>
      <c r="Q1583" s="55" t="s">
        <v>350</v>
      </c>
      <c r="R1583" s="85">
        <v>2</v>
      </c>
      <c r="S1583" s="55">
        <v>0</v>
      </c>
      <c r="T1583" s="74" t="s">
        <v>1359</v>
      </c>
      <c r="U1583" s="74" t="s">
        <v>6703</v>
      </c>
      <c r="V1583" s="74">
        <v>44615</v>
      </c>
      <c r="W1583" s="74">
        <v>44658</v>
      </c>
      <c r="X1583" s="55">
        <v>10212771</v>
      </c>
      <c r="Y1583" s="55" t="s">
        <v>6704</v>
      </c>
      <c r="AL1583" s="74"/>
      <c r="AM1583" s="74"/>
    </row>
    <row r="1584" spans="1:50" ht="13" x14ac:dyDescent="0.15">
      <c r="A1584" s="55" t="str">
        <f>HYPERLINK("http://reports.ofsted.gov.uk/inspection-reports/find-inspection-report/provider/CARE/2623368","Ofsted Social Care Provider Webpage")</f>
        <v>Ofsted Social Care Provider Webpage</v>
      </c>
      <c r="B1584" s="55">
        <v>2623368</v>
      </c>
      <c r="D1584" s="55" t="s">
        <v>373</v>
      </c>
      <c r="E1584" s="74">
        <v>44246</v>
      </c>
      <c r="F1584" s="55" t="s">
        <v>344</v>
      </c>
      <c r="G1584" s="55" t="s">
        <v>360</v>
      </c>
      <c r="H1584" s="55" t="s">
        <v>360</v>
      </c>
      <c r="I1584" s="55" t="s">
        <v>360</v>
      </c>
      <c r="J1584" s="55" t="s">
        <v>360</v>
      </c>
      <c r="K1584" s="55" t="s">
        <v>360</v>
      </c>
      <c r="L1584" s="55" t="s">
        <v>360</v>
      </c>
      <c r="M1584" s="55" t="s">
        <v>136</v>
      </c>
      <c r="N1584" s="55" t="s">
        <v>136</v>
      </c>
      <c r="O1584" s="55" t="s">
        <v>255</v>
      </c>
      <c r="P1584" s="55" t="s">
        <v>757</v>
      </c>
      <c r="Q1584" s="55" t="s">
        <v>350</v>
      </c>
      <c r="R1584" s="85">
        <v>2</v>
      </c>
      <c r="S1584" s="55">
        <v>0</v>
      </c>
      <c r="T1584" s="74" t="s">
        <v>1359</v>
      </c>
      <c r="U1584" s="74" t="s">
        <v>351</v>
      </c>
      <c r="V1584" s="74">
        <v>44426</v>
      </c>
      <c r="W1584" s="74">
        <v>44463</v>
      </c>
      <c r="X1584" s="55">
        <v>10188280</v>
      </c>
      <c r="Y1584" s="55" t="s">
        <v>130</v>
      </c>
      <c r="AB1584" s="74" t="s">
        <v>130</v>
      </c>
      <c r="AC1584" s="55" t="s">
        <v>146</v>
      </c>
      <c r="AL1584" s="74"/>
      <c r="AM1584" s="74"/>
      <c r="AW1584" s="74"/>
      <c r="AX1584" s="74"/>
    </row>
    <row r="1585" spans="1:50" ht="13" x14ac:dyDescent="0.15">
      <c r="A1585" s="55" t="str">
        <f>HYPERLINK("http://reports.ofsted.gov.uk/inspection-reports/find-inspection-report/provider/CARE/2623568","Ofsted Social Care Provider Webpage")</f>
        <v>Ofsted Social Care Provider Webpage</v>
      </c>
      <c r="B1585" s="55">
        <v>2623568</v>
      </c>
      <c r="D1585" s="55" t="s">
        <v>373</v>
      </c>
      <c r="E1585" s="74">
        <v>44302</v>
      </c>
      <c r="F1585" s="55" t="s">
        <v>344</v>
      </c>
      <c r="G1585" s="55" t="s">
        <v>360</v>
      </c>
      <c r="H1585" s="55" t="s">
        <v>360</v>
      </c>
      <c r="I1585" s="55" t="s">
        <v>360</v>
      </c>
      <c r="J1585" s="55" t="s">
        <v>360</v>
      </c>
      <c r="K1585" s="55" t="s">
        <v>360</v>
      </c>
      <c r="L1585" s="55" t="s">
        <v>360</v>
      </c>
      <c r="M1585" s="55" t="s">
        <v>142</v>
      </c>
      <c r="N1585" s="55" t="s">
        <v>142</v>
      </c>
      <c r="O1585" s="55" t="s">
        <v>262</v>
      </c>
      <c r="P1585" s="55" t="s">
        <v>949</v>
      </c>
      <c r="Q1585" s="55" t="s">
        <v>350</v>
      </c>
      <c r="R1585" s="85">
        <v>3</v>
      </c>
      <c r="S1585" s="55">
        <v>0</v>
      </c>
      <c r="T1585" s="74" t="s">
        <v>517</v>
      </c>
      <c r="U1585" s="74" t="s">
        <v>2053</v>
      </c>
      <c r="V1585" s="74">
        <v>44627</v>
      </c>
      <c r="W1585" s="74">
        <v>44665</v>
      </c>
      <c r="X1585" s="55">
        <v>10221302</v>
      </c>
      <c r="AL1585" s="74"/>
      <c r="AM1585" s="74"/>
    </row>
    <row r="1586" spans="1:50" ht="13" x14ac:dyDescent="0.15">
      <c r="A1586" s="55" t="str">
        <f>HYPERLINK("http://reports.ofsted.gov.uk/inspection-reports/find-inspection-report/provider/CARE/2623568","Ofsted Social Care Provider Webpage")</f>
        <v>Ofsted Social Care Provider Webpage</v>
      </c>
      <c r="B1586" s="55">
        <v>2623568</v>
      </c>
      <c r="D1586" s="55" t="s">
        <v>373</v>
      </c>
      <c r="E1586" s="74">
        <v>44302</v>
      </c>
      <c r="F1586" s="55" t="s">
        <v>344</v>
      </c>
      <c r="G1586" s="55" t="s">
        <v>360</v>
      </c>
      <c r="H1586" s="55" t="s">
        <v>360</v>
      </c>
      <c r="I1586" s="55" t="s">
        <v>360</v>
      </c>
      <c r="J1586" s="55" t="s">
        <v>360</v>
      </c>
      <c r="K1586" s="55" t="s">
        <v>360</v>
      </c>
      <c r="L1586" s="55" t="s">
        <v>360</v>
      </c>
      <c r="M1586" s="55" t="s">
        <v>142</v>
      </c>
      <c r="N1586" s="55" t="s">
        <v>142</v>
      </c>
      <c r="O1586" s="55" t="s">
        <v>262</v>
      </c>
      <c r="P1586" s="55" t="s">
        <v>949</v>
      </c>
      <c r="Q1586" s="55" t="s">
        <v>350</v>
      </c>
      <c r="R1586" s="85">
        <v>3</v>
      </c>
      <c r="S1586" s="55">
        <v>0</v>
      </c>
      <c r="T1586" s="74" t="s">
        <v>517</v>
      </c>
      <c r="U1586" s="74" t="s">
        <v>351</v>
      </c>
      <c r="V1586" s="74">
        <v>44461</v>
      </c>
      <c r="W1586" s="74">
        <v>44505</v>
      </c>
      <c r="X1586" s="55">
        <v>10194821</v>
      </c>
      <c r="Y1586" s="55" t="s">
        <v>130</v>
      </c>
      <c r="AB1586" s="74" t="s">
        <v>130</v>
      </c>
      <c r="AC1586" s="55" t="s">
        <v>146</v>
      </c>
      <c r="AL1586" s="74"/>
      <c r="AM1586" s="74"/>
    </row>
    <row r="1587" spans="1:50" ht="13" x14ac:dyDescent="0.15">
      <c r="A1587" s="55" t="str">
        <f>HYPERLINK("http://reports.ofsted.gov.uk/inspection-reports/find-inspection-report/provider/CARE/2623568","Ofsted Social Care Provider Webpage")</f>
        <v>Ofsted Social Care Provider Webpage</v>
      </c>
      <c r="B1587" s="55">
        <v>2623568</v>
      </c>
      <c r="D1587" s="55" t="s">
        <v>373</v>
      </c>
      <c r="E1587" s="74">
        <v>44302</v>
      </c>
      <c r="F1587" s="55" t="s">
        <v>344</v>
      </c>
      <c r="G1587" s="55" t="s">
        <v>360</v>
      </c>
      <c r="H1587" s="55" t="s">
        <v>360</v>
      </c>
      <c r="I1587" s="55" t="s">
        <v>360</v>
      </c>
      <c r="J1587" s="55" t="s">
        <v>360</v>
      </c>
      <c r="K1587" s="55" t="s">
        <v>360</v>
      </c>
      <c r="L1587" s="55" t="s">
        <v>360</v>
      </c>
      <c r="M1587" s="55" t="s">
        <v>142</v>
      </c>
      <c r="N1587" s="55" t="s">
        <v>142</v>
      </c>
      <c r="O1587" s="55" t="s">
        <v>262</v>
      </c>
      <c r="P1587" s="55" t="s">
        <v>949</v>
      </c>
      <c r="Q1587" s="55" t="s">
        <v>350</v>
      </c>
      <c r="R1587" s="85">
        <v>3</v>
      </c>
      <c r="S1587" s="55">
        <v>0</v>
      </c>
      <c r="T1587" s="74" t="s">
        <v>517</v>
      </c>
      <c r="U1587" s="74" t="s">
        <v>6703</v>
      </c>
      <c r="V1587" s="74">
        <v>44579</v>
      </c>
      <c r="W1587" s="74">
        <v>44621</v>
      </c>
      <c r="X1587" s="55">
        <v>10217197</v>
      </c>
      <c r="Y1587" s="55" t="s">
        <v>6704</v>
      </c>
      <c r="AL1587" s="74"/>
      <c r="AM1587" s="74"/>
    </row>
    <row r="1588" spans="1:50" ht="13" x14ac:dyDescent="0.15">
      <c r="A1588" s="55" t="str">
        <f>HYPERLINK("http://reports.ofsted.gov.uk/inspection-reports/find-inspection-report/provider/CARE/2623790","Ofsted Social Care Provider Webpage")</f>
        <v>Ofsted Social Care Provider Webpage</v>
      </c>
      <c r="B1588" s="55">
        <v>2623790</v>
      </c>
      <c r="D1588" s="55" t="s">
        <v>373</v>
      </c>
      <c r="E1588" s="74">
        <v>44308</v>
      </c>
      <c r="F1588" s="55" t="s">
        <v>344</v>
      </c>
      <c r="G1588" s="55" t="s">
        <v>360</v>
      </c>
      <c r="H1588" s="55" t="s">
        <v>360</v>
      </c>
      <c r="I1588" s="55" t="s">
        <v>360</v>
      </c>
      <c r="J1588" s="55" t="s">
        <v>360</v>
      </c>
      <c r="K1588" s="55" t="s">
        <v>360</v>
      </c>
      <c r="L1588" s="55" t="s">
        <v>360</v>
      </c>
      <c r="M1588" s="55" t="s">
        <v>136</v>
      </c>
      <c r="N1588" s="55" t="s">
        <v>136</v>
      </c>
      <c r="O1588" s="55" t="s">
        <v>255</v>
      </c>
      <c r="P1588" s="55" t="s">
        <v>583</v>
      </c>
      <c r="Q1588" s="55" t="s">
        <v>350</v>
      </c>
      <c r="R1588" s="85">
        <v>4</v>
      </c>
      <c r="S1588" s="55">
        <v>0</v>
      </c>
      <c r="T1588" s="74" t="s">
        <v>2062</v>
      </c>
      <c r="U1588" s="74" t="s">
        <v>351</v>
      </c>
      <c r="V1588" s="74">
        <v>44454</v>
      </c>
      <c r="W1588" s="74">
        <v>44490</v>
      </c>
      <c r="X1588" s="55">
        <v>10194774</v>
      </c>
      <c r="Y1588" s="55" t="s">
        <v>130</v>
      </c>
      <c r="AB1588" s="74" t="s">
        <v>130</v>
      </c>
      <c r="AC1588" s="55" t="s">
        <v>130</v>
      </c>
      <c r="AL1588" s="74"/>
      <c r="AM1588" s="74"/>
    </row>
    <row r="1589" spans="1:50" ht="13" x14ac:dyDescent="0.15">
      <c r="A1589" s="55" t="str">
        <f>HYPERLINK("http://reports.ofsted.gov.uk/inspection-reports/find-inspection-report/provider/CARE/2623790","Ofsted Social Care Provider Webpage")</f>
        <v>Ofsted Social Care Provider Webpage</v>
      </c>
      <c r="B1589" s="55">
        <v>2623790</v>
      </c>
      <c r="D1589" s="55" t="s">
        <v>373</v>
      </c>
      <c r="E1589" s="74">
        <v>44308</v>
      </c>
      <c r="F1589" s="55" t="s">
        <v>344</v>
      </c>
      <c r="G1589" s="55" t="s">
        <v>360</v>
      </c>
      <c r="H1589" s="55" t="s">
        <v>360</v>
      </c>
      <c r="I1589" s="55" t="s">
        <v>360</v>
      </c>
      <c r="J1589" s="55" t="s">
        <v>360</v>
      </c>
      <c r="K1589" s="55" t="s">
        <v>360</v>
      </c>
      <c r="L1589" s="55" t="s">
        <v>360</v>
      </c>
      <c r="M1589" s="55" t="s">
        <v>136</v>
      </c>
      <c r="N1589" s="55" t="s">
        <v>136</v>
      </c>
      <c r="O1589" s="55" t="s">
        <v>255</v>
      </c>
      <c r="P1589" s="55" t="s">
        <v>583</v>
      </c>
      <c r="Q1589" s="55" t="s">
        <v>350</v>
      </c>
      <c r="R1589" s="85">
        <v>4</v>
      </c>
      <c r="S1589" s="55">
        <v>0</v>
      </c>
      <c r="T1589" s="74" t="s">
        <v>2062</v>
      </c>
      <c r="U1589" s="74" t="s">
        <v>6703</v>
      </c>
      <c r="V1589" s="74">
        <v>44585</v>
      </c>
      <c r="W1589" s="74">
        <v>44617</v>
      </c>
      <c r="X1589" s="55">
        <v>10209069</v>
      </c>
      <c r="Y1589" s="55" t="s">
        <v>6705</v>
      </c>
      <c r="AL1589" s="74"/>
      <c r="AM1589" s="74"/>
    </row>
    <row r="1590" spans="1:50" ht="13" x14ac:dyDescent="0.15">
      <c r="A1590" s="55" t="str">
        <f>HYPERLINK("http://reports.ofsted.gov.uk/inspection-reports/find-inspection-report/provider/CARE/2623791","Ofsted Social Care Provider Webpage")</f>
        <v>Ofsted Social Care Provider Webpage</v>
      </c>
      <c r="B1590" s="55">
        <v>2623791</v>
      </c>
      <c r="D1590" s="55" t="s">
        <v>373</v>
      </c>
      <c r="E1590" s="74">
        <v>44306</v>
      </c>
      <c r="F1590" s="55" t="s">
        <v>344</v>
      </c>
      <c r="G1590" s="55" t="s">
        <v>360</v>
      </c>
      <c r="H1590" s="55" t="s">
        <v>360</v>
      </c>
      <c r="I1590" s="55" t="s">
        <v>360</v>
      </c>
      <c r="J1590" s="55" t="s">
        <v>360</v>
      </c>
      <c r="K1590" s="55" t="s">
        <v>360</v>
      </c>
      <c r="L1590" s="55" t="s">
        <v>360</v>
      </c>
      <c r="M1590" s="55" t="s">
        <v>144</v>
      </c>
      <c r="N1590" s="55" t="s">
        <v>144</v>
      </c>
      <c r="O1590" s="55" t="s">
        <v>145</v>
      </c>
      <c r="P1590" s="55" t="s">
        <v>525</v>
      </c>
      <c r="Q1590" s="55" t="s">
        <v>350</v>
      </c>
      <c r="R1590" s="85">
        <v>1</v>
      </c>
      <c r="S1590" s="55">
        <v>0</v>
      </c>
      <c r="T1590" s="74" t="s">
        <v>1482</v>
      </c>
      <c r="U1590" s="74" t="s">
        <v>351</v>
      </c>
      <c r="V1590" s="74">
        <v>44398</v>
      </c>
      <c r="W1590" s="74">
        <v>44426</v>
      </c>
      <c r="X1590" s="55">
        <v>10198246</v>
      </c>
      <c r="Y1590" s="55" t="s">
        <v>130</v>
      </c>
      <c r="AB1590" s="74" t="s">
        <v>130</v>
      </c>
      <c r="AC1590" s="55" t="s">
        <v>130</v>
      </c>
      <c r="AL1590" s="74"/>
      <c r="AM1590" s="74"/>
    </row>
    <row r="1591" spans="1:50" ht="13" x14ac:dyDescent="0.15">
      <c r="A1591" s="55" t="str">
        <f>HYPERLINK("http://reports.ofsted.gov.uk/inspection-reports/find-inspection-report/provider/CARE/2623842","Ofsted Social Care Provider Webpage")</f>
        <v>Ofsted Social Care Provider Webpage</v>
      </c>
      <c r="B1591" s="55">
        <v>2623842</v>
      </c>
      <c r="D1591" s="55" t="s">
        <v>373</v>
      </c>
      <c r="E1591" s="74">
        <v>44258</v>
      </c>
      <c r="F1591" s="55" t="s">
        <v>344</v>
      </c>
      <c r="G1591" s="55" t="s">
        <v>360</v>
      </c>
      <c r="H1591" s="55" t="s">
        <v>360</v>
      </c>
      <c r="I1591" s="55" t="s">
        <v>360</v>
      </c>
      <c r="J1591" s="55" t="s">
        <v>360</v>
      </c>
      <c r="K1591" s="55" t="s">
        <v>360</v>
      </c>
      <c r="L1591" s="55" t="s">
        <v>360</v>
      </c>
      <c r="M1591" s="55" t="s">
        <v>378</v>
      </c>
      <c r="N1591" s="55" t="s">
        <v>170</v>
      </c>
      <c r="O1591" s="55" t="s">
        <v>222</v>
      </c>
      <c r="P1591" s="55" t="s">
        <v>521</v>
      </c>
      <c r="Q1591" s="55" t="s">
        <v>380</v>
      </c>
      <c r="R1591" s="85">
        <v>3</v>
      </c>
      <c r="S1591" s="55">
        <v>0</v>
      </c>
      <c r="T1591" s="74" t="s">
        <v>687</v>
      </c>
      <c r="U1591" s="74" t="s">
        <v>351</v>
      </c>
      <c r="V1591" s="74">
        <v>44453</v>
      </c>
      <c r="W1591" s="74">
        <v>44491</v>
      </c>
      <c r="X1591" s="55">
        <v>10188295</v>
      </c>
      <c r="Y1591" s="55" t="s">
        <v>132</v>
      </c>
      <c r="AB1591" s="74" t="s">
        <v>132</v>
      </c>
      <c r="AC1591" s="55" t="s">
        <v>132</v>
      </c>
      <c r="AL1591" s="74"/>
      <c r="AM1591" s="74"/>
    </row>
    <row r="1592" spans="1:50" ht="13" x14ac:dyDescent="0.15">
      <c r="A1592" s="55" t="str">
        <f>HYPERLINK("http://reports.ofsted.gov.uk/inspection-reports/find-inspection-report/provider/CARE/2623962","Ofsted Social Care Provider Webpage")</f>
        <v>Ofsted Social Care Provider Webpage</v>
      </c>
      <c r="B1592" s="55">
        <v>2623962</v>
      </c>
      <c r="D1592" s="55" t="s">
        <v>373</v>
      </c>
      <c r="E1592" s="74">
        <v>44256</v>
      </c>
      <c r="F1592" s="55" t="s">
        <v>344</v>
      </c>
      <c r="G1592" s="55" t="s">
        <v>360</v>
      </c>
      <c r="H1592" s="55" t="s">
        <v>360</v>
      </c>
      <c r="I1592" s="55" t="s">
        <v>360</v>
      </c>
      <c r="J1592" s="55" t="s">
        <v>360</v>
      </c>
      <c r="K1592" s="55" t="s">
        <v>360</v>
      </c>
      <c r="L1592" s="55" t="s">
        <v>360</v>
      </c>
      <c r="M1592" s="55" t="s">
        <v>378</v>
      </c>
      <c r="N1592" s="55" t="s">
        <v>170</v>
      </c>
      <c r="O1592" s="55" t="s">
        <v>178</v>
      </c>
      <c r="P1592" s="55" t="s">
        <v>905</v>
      </c>
      <c r="Q1592" s="55" t="s">
        <v>380</v>
      </c>
      <c r="R1592" s="85">
        <v>3</v>
      </c>
      <c r="S1592" s="55">
        <v>0</v>
      </c>
      <c r="T1592" s="74" t="s">
        <v>2068</v>
      </c>
      <c r="U1592" s="74" t="s">
        <v>351</v>
      </c>
      <c r="V1592" s="74">
        <v>44389</v>
      </c>
      <c r="W1592" s="74">
        <v>44424</v>
      </c>
      <c r="X1592" s="55">
        <v>10188292</v>
      </c>
      <c r="Y1592" s="55" t="s">
        <v>132</v>
      </c>
      <c r="AB1592" s="74" t="s">
        <v>132</v>
      </c>
      <c r="AC1592" s="55" t="s">
        <v>132</v>
      </c>
      <c r="AL1592" s="74"/>
      <c r="AM1592" s="74"/>
    </row>
    <row r="1593" spans="1:50" ht="13" x14ac:dyDescent="0.15">
      <c r="A1593" s="55" t="str">
        <f>HYPERLINK("http://reports.ofsted.gov.uk/inspection-reports/find-inspection-report/provider/CARE/2624054","Ofsted Social Care Provider Webpage")</f>
        <v>Ofsted Social Care Provider Webpage</v>
      </c>
      <c r="B1593" s="55">
        <v>2624054</v>
      </c>
      <c r="D1593" s="55" t="s">
        <v>373</v>
      </c>
      <c r="E1593" s="74">
        <v>44281</v>
      </c>
      <c r="F1593" s="55" t="s">
        <v>344</v>
      </c>
      <c r="G1593" s="55" t="s">
        <v>360</v>
      </c>
      <c r="H1593" s="55" t="s">
        <v>360</v>
      </c>
      <c r="I1593" s="55" t="s">
        <v>360</v>
      </c>
      <c r="J1593" s="55" t="s">
        <v>360</v>
      </c>
      <c r="K1593" s="55" t="s">
        <v>360</v>
      </c>
      <c r="L1593" s="55" t="s">
        <v>360</v>
      </c>
      <c r="M1593" s="55" t="s">
        <v>150</v>
      </c>
      <c r="N1593" s="55" t="s">
        <v>150</v>
      </c>
      <c r="O1593" s="55" t="s">
        <v>221</v>
      </c>
      <c r="P1593" s="55" t="s">
        <v>349</v>
      </c>
      <c r="Q1593" s="55" t="s">
        <v>350</v>
      </c>
      <c r="R1593" s="85">
        <v>3</v>
      </c>
      <c r="S1593" s="55">
        <v>0</v>
      </c>
      <c r="T1593" s="74" t="s">
        <v>517</v>
      </c>
      <c r="U1593" s="74" t="s">
        <v>351</v>
      </c>
      <c r="V1593" s="74">
        <v>44398</v>
      </c>
      <c r="W1593" s="74">
        <v>44449</v>
      </c>
      <c r="X1593" s="55">
        <v>10188319</v>
      </c>
      <c r="Y1593" s="55" t="s">
        <v>132</v>
      </c>
      <c r="AB1593" s="74" t="s">
        <v>132</v>
      </c>
      <c r="AC1593" s="55" t="s">
        <v>132</v>
      </c>
      <c r="AL1593" s="74"/>
      <c r="AM1593" s="74"/>
    </row>
    <row r="1594" spans="1:50" ht="13" x14ac:dyDescent="0.15">
      <c r="A1594" s="55" t="str">
        <f>HYPERLINK("http://reports.ofsted.gov.uk/inspection-reports/find-inspection-report/provider/CARE/2624063","Ofsted Social Care Provider Webpage")</f>
        <v>Ofsted Social Care Provider Webpage</v>
      </c>
      <c r="B1594" s="55">
        <v>2624063</v>
      </c>
      <c r="D1594" s="55" t="s">
        <v>373</v>
      </c>
      <c r="E1594" s="74">
        <v>44305</v>
      </c>
      <c r="F1594" s="55" t="s">
        <v>344</v>
      </c>
      <c r="G1594" s="55" t="s">
        <v>360</v>
      </c>
      <c r="H1594" s="55" t="s">
        <v>360</v>
      </c>
      <c r="I1594" s="55" t="s">
        <v>360</v>
      </c>
      <c r="J1594" s="55" t="s">
        <v>360</v>
      </c>
      <c r="K1594" s="55" t="s">
        <v>360</v>
      </c>
      <c r="L1594" s="55" t="s">
        <v>360</v>
      </c>
      <c r="M1594" s="55" t="s">
        <v>378</v>
      </c>
      <c r="N1594" s="55" t="s">
        <v>134</v>
      </c>
      <c r="O1594" s="55" t="s">
        <v>180</v>
      </c>
      <c r="P1594" s="55" t="s">
        <v>662</v>
      </c>
      <c r="Q1594" s="55" t="s">
        <v>362</v>
      </c>
      <c r="R1594" s="85">
        <v>4</v>
      </c>
      <c r="S1594" s="55">
        <v>0</v>
      </c>
      <c r="T1594" s="74" t="s">
        <v>458</v>
      </c>
      <c r="U1594" s="74" t="s">
        <v>351</v>
      </c>
      <c r="V1594" s="74">
        <v>44573</v>
      </c>
      <c r="W1594" s="74">
        <v>44613</v>
      </c>
      <c r="X1594" s="55">
        <v>10198684</v>
      </c>
      <c r="Y1594" s="55" t="s">
        <v>132</v>
      </c>
      <c r="AB1594" s="74" t="s">
        <v>132</v>
      </c>
      <c r="AC1594" s="55" t="s">
        <v>132</v>
      </c>
      <c r="AL1594" s="74"/>
      <c r="AM1594" s="74"/>
    </row>
    <row r="1595" spans="1:50" ht="13" x14ac:dyDescent="0.15">
      <c r="A1595" s="55" t="str">
        <f>HYPERLINK("http://reports.ofsted.gov.uk/inspection-reports/find-inspection-report/provider/CARE/2624223","Ofsted Social Care Provider Webpage")</f>
        <v>Ofsted Social Care Provider Webpage</v>
      </c>
      <c r="B1595" s="55">
        <v>2624223</v>
      </c>
      <c r="D1595" s="55" t="s">
        <v>373</v>
      </c>
      <c r="E1595" s="74">
        <v>44259</v>
      </c>
      <c r="F1595" s="55" t="s">
        <v>344</v>
      </c>
      <c r="G1595" s="55" t="s">
        <v>360</v>
      </c>
      <c r="H1595" s="55" t="s">
        <v>360</v>
      </c>
      <c r="I1595" s="55" t="s">
        <v>360</v>
      </c>
      <c r="J1595" s="55" t="s">
        <v>360</v>
      </c>
      <c r="K1595" s="55" t="s">
        <v>360</v>
      </c>
      <c r="L1595" s="55" t="s">
        <v>360</v>
      </c>
      <c r="M1595" s="55" t="s">
        <v>378</v>
      </c>
      <c r="N1595" s="55" t="s">
        <v>170</v>
      </c>
      <c r="O1595" s="55" t="s">
        <v>193</v>
      </c>
      <c r="P1595" s="55" t="s">
        <v>193</v>
      </c>
      <c r="Q1595" s="55" t="s">
        <v>350</v>
      </c>
      <c r="R1595" s="85">
        <v>9</v>
      </c>
      <c r="S1595" s="55">
        <v>0</v>
      </c>
      <c r="T1595" s="74" t="s">
        <v>2071</v>
      </c>
      <c r="U1595" s="74" t="s">
        <v>351</v>
      </c>
      <c r="V1595" s="74">
        <v>44518</v>
      </c>
      <c r="W1595" s="74">
        <v>44581</v>
      </c>
      <c r="X1595" s="55">
        <v>10188298</v>
      </c>
      <c r="Y1595" s="55" t="s">
        <v>130</v>
      </c>
      <c r="AB1595" s="74" t="s">
        <v>130</v>
      </c>
      <c r="AC1595" s="55" t="s">
        <v>130</v>
      </c>
      <c r="AL1595" s="74"/>
      <c r="AM1595" s="74"/>
    </row>
    <row r="1596" spans="1:50" ht="13" x14ac:dyDescent="0.15">
      <c r="A1596" s="55" t="str">
        <f>HYPERLINK("http://reports.ofsted.gov.uk/inspection-reports/find-inspection-report/provider/CARE/2624251","Ofsted Social Care Provider Webpage")</f>
        <v>Ofsted Social Care Provider Webpage</v>
      </c>
      <c r="B1596" s="55">
        <v>2624251</v>
      </c>
      <c r="D1596" s="55" t="s">
        <v>373</v>
      </c>
      <c r="E1596" s="74">
        <v>44267</v>
      </c>
      <c r="F1596" s="55" t="s">
        <v>344</v>
      </c>
      <c r="G1596" s="55" t="s">
        <v>360</v>
      </c>
      <c r="H1596" s="55" t="s">
        <v>360</v>
      </c>
      <c r="I1596" s="55" t="s">
        <v>360</v>
      </c>
      <c r="J1596" s="55" t="s">
        <v>360</v>
      </c>
      <c r="K1596" s="55" t="s">
        <v>360</v>
      </c>
      <c r="L1596" s="55" t="s">
        <v>360</v>
      </c>
      <c r="M1596" s="55" t="s">
        <v>378</v>
      </c>
      <c r="N1596" s="55" t="s">
        <v>170</v>
      </c>
      <c r="O1596" s="55" t="s">
        <v>178</v>
      </c>
      <c r="P1596" s="55" t="s">
        <v>434</v>
      </c>
      <c r="Q1596" s="55" t="s">
        <v>380</v>
      </c>
      <c r="R1596" s="85">
        <v>3</v>
      </c>
      <c r="S1596" s="55">
        <v>0</v>
      </c>
      <c r="T1596" s="74" t="s">
        <v>2068</v>
      </c>
      <c r="U1596" s="74" t="s">
        <v>351</v>
      </c>
      <c r="V1596" s="74">
        <v>44446</v>
      </c>
      <c r="W1596" s="74">
        <v>44476</v>
      </c>
      <c r="X1596" s="55">
        <v>10188308</v>
      </c>
      <c r="Y1596" s="55" t="s">
        <v>132</v>
      </c>
      <c r="AB1596" s="74" t="s">
        <v>132</v>
      </c>
      <c r="AC1596" s="55" t="s">
        <v>132</v>
      </c>
      <c r="AL1596" s="74"/>
      <c r="AM1596" s="74"/>
      <c r="AW1596" s="74"/>
      <c r="AX1596" s="74"/>
    </row>
    <row r="1597" spans="1:50" ht="13" x14ac:dyDescent="0.15">
      <c r="A1597" s="55" t="str">
        <f>HYPERLINK("http://reports.ofsted.gov.uk/inspection-reports/find-inspection-report/provider/CARE/2624457","Ofsted Social Care Provider Webpage")</f>
        <v>Ofsted Social Care Provider Webpage</v>
      </c>
      <c r="B1597" s="55">
        <v>2624457</v>
      </c>
      <c r="D1597" s="55" t="s">
        <v>373</v>
      </c>
      <c r="E1597" s="74">
        <v>44229</v>
      </c>
      <c r="F1597" s="55" t="s">
        <v>344</v>
      </c>
      <c r="G1597" s="55" t="s">
        <v>360</v>
      </c>
      <c r="H1597" s="55" t="s">
        <v>360</v>
      </c>
      <c r="I1597" s="55" t="s">
        <v>360</v>
      </c>
      <c r="J1597" s="55" t="s">
        <v>360</v>
      </c>
      <c r="K1597" s="55" t="s">
        <v>360</v>
      </c>
      <c r="L1597" s="55" t="s">
        <v>360</v>
      </c>
      <c r="M1597" s="55" t="s">
        <v>142</v>
      </c>
      <c r="N1597" s="55" t="s">
        <v>142</v>
      </c>
      <c r="O1597" s="55" t="s">
        <v>262</v>
      </c>
      <c r="P1597" s="55" t="s">
        <v>916</v>
      </c>
      <c r="Q1597" s="55" t="s">
        <v>350</v>
      </c>
      <c r="R1597" s="85">
        <v>3</v>
      </c>
      <c r="S1597" s="55">
        <v>0</v>
      </c>
      <c r="T1597" s="74" t="s">
        <v>2072</v>
      </c>
      <c r="U1597" s="74" t="s">
        <v>351</v>
      </c>
      <c r="V1597" s="74">
        <v>44600</v>
      </c>
      <c r="W1597" s="74">
        <v>44644</v>
      </c>
      <c r="X1597" s="55">
        <v>10188269</v>
      </c>
      <c r="Y1597" s="55" t="s">
        <v>130</v>
      </c>
      <c r="AB1597" s="74" t="s">
        <v>130</v>
      </c>
      <c r="AC1597" s="55" t="s">
        <v>130</v>
      </c>
      <c r="AL1597" s="74"/>
      <c r="AM1597" s="74"/>
      <c r="AW1597" s="74"/>
      <c r="AX1597" s="74"/>
    </row>
    <row r="1598" spans="1:50" ht="13" x14ac:dyDescent="0.15">
      <c r="A1598" s="55" t="str">
        <f>HYPERLINK("http://reports.ofsted.gov.uk/inspection-reports/find-inspection-report/provider/CARE/2624578","Ofsted Social Care Provider Webpage")</f>
        <v>Ofsted Social Care Provider Webpage</v>
      </c>
      <c r="B1598" s="55">
        <v>2624578</v>
      </c>
      <c r="D1598" s="55" t="s">
        <v>373</v>
      </c>
      <c r="E1598" s="74">
        <v>44411</v>
      </c>
      <c r="F1598" s="55" t="s">
        <v>6707</v>
      </c>
      <c r="G1598" s="55" t="s">
        <v>360</v>
      </c>
      <c r="H1598" s="55" t="s">
        <v>360</v>
      </c>
      <c r="I1598" s="55" t="s">
        <v>360</v>
      </c>
      <c r="J1598" s="55" t="s">
        <v>360</v>
      </c>
      <c r="K1598" s="55" t="s">
        <v>360</v>
      </c>
      <c r="L1598" s="55" t="s">
        <v>360</v>
      </c>
      <c r="M1598" s="55" t="s">
        <v>144</v>
      </c>
      <c r="N1598" s="55" t="s">
        <v>144</v>
      </c>
      <c r="O1598" s="55" t="s">
        <v>147</v>
      </c>
      <c r="P1598" s="55" t="s">
        <v>674</v>
      </c>
      <c r="Q1598" s="55" t="s">
        <v>350</v>
      </c>
      <c r="R1598" s="85">
        <v>2</v>
      </c>
      <c r="S1598" s="55">
        <v>0</v>
      </c>
      <c r="T1598" s="74" t="s">
        <v>6732</v>
      </c>
      <c r="U1598" s="74" t="s">
        <v>351</v>
      </c>
      <c r="V1598" s="74">
        <v>44566</v>
      </c>
      <c r="W1598" s="74">
        <v>44606</v>
      </c>
      <c r="X1598" s="55">
        <v>10210492</v>
      </c>
      <c r="Y1598" s="55" t="s">
        <v>146</v>
      </c>
      <c r="AB1598" s="74" t="s">
        <v>146</v>
      </c>
      <c r="AC1598" s="55" t="s">
        <v>146</v>
      </c>
      <c r="AL1598" s="74"/>
      <c r="AM1598" s="74"/>
      <c r="AW1598" s="74"/>
      <c r="AX1598" s="74"/>
    </row>
    <row r="1599" spans="1:50" ht="13" x14ac:dyDescent="0.15">
      <c r="A1599" s="55" t="str">
        <f>HYPERLINK("http://reports.ofsted.gov.uk/inspection-reports/find-inspection-report/provider/CARE/2624657","Ofsted Social Care Provider Webpage")</f>
        <v>Ofsted Social Care Provider Webpage</v>
      </c>
      <c r="B1599" s="55">
        <v>2624657</v>
      </c>
      <c r="D1599" s="55" t="s">
        <v>373</v>
      </c>
      <c r="E1599" s="74">
        <v>44265</v>
      </c>
      <c r="F1599" s="55" t="s">
        <v>344</v>
      </c>
      <c r="G1599" s="55" t="s">
        <v>360</v>
      </c>
      <c r="H1599" s="55" t="s">
        <v>360</v>
      </c>
      <c r="I1599" s="55" t="s">
        <v>360</v>
      </c>
      <c r="J1599" s="55" t="s">
        <v>360</v>
      </c>
      <c r="K1599" s="55" t="s">
        <v>360</v>
      </c>
      <c r="L1599" s="55" t="s">
        <v>360</v>
      </c>
      <c r="M1599" s="55" t="s">
        <v>144</v>
      </c>
      <c r="N1599" s="55" t="s">
        <v>144</v>
      </c>
      <c r="O1599" s="55" t="s">
        <v>261</v>
      </c>
      <c r="P1599" s="55" t="s">
        <v>792</v>
      </c>
      <c r="Q1599" s="55" t="s">
        <v>350</v>
      </c>
      <c r="R1599" s="85">
        <v>1</v>
      </c>
      <c r="S1599" s="55">
        <v>0</v>
      </c>
      <c r="T1599" s="74" t="s">
        <v>385</v>
      </c>
      <c r="U1599" s="74" t="s">
        <v>351</v>
      </c>
      <c r="V1599" s="74">
        <v>44573</v>
      </c>
      <c r="W1599" s="74">
        <v>44596</v>
      </c>
      <c r="X1599" s="55">
        <v>10188305</v>
      </c>
      <c r="Y1599" s="55" t="s">
        <v>132</v>
      </c>
      <c r="AB1599" s="74" t="s">
        <v>132</v>
      </c>
      <c r="AC1599" s="55" t="s">
        <v>132</v>
      </c>
      <c r="AL1599" s="74"/>
      <c r="AM1599" s="74"/>
    </row>
    <row r="1600" spans="1:50" ht="13" x14ac:dyDescent="0.15">
      <c r="A1600" s="55" t="str">
        <f>HYPERLINK("http://reports.ofsted.gov.uk/inspection-reports/find-inspection-report/provider/CARE/2624711","Ofsted Social Care Provider Webpage")</f>
        <v>Ofsted Social Care Provider Webpage</v>
      </c>
      <c r="B1600" s="55">
        <v>2624711</v>
      </c>
      <c r="D1600" s="55" t="s">
        <v>373</v>
      </c>
      <c r="E1600" s="74">
        <v>44252</v>
      </c>
      <c r="F1600" s="55" t="s">
        <v>344</v>
      </c>
      <c r="G1600" s="55" t="s">
        <v>360</v>
      </c>
      <c r="H1600" s="55" t="s">
        <v>360</v>
      </c>
      <c r="I1600" s="55" t="s">
        <v>360</v>
      </c>
      <c r="J1600" s="55" t="s">
        <v>360</v>
      </c>
      <c r="K1600" s="55" t="s">
        <v>360</v>
      </c>
      <c r="L1600" s="55" t="s">
        <v>360</v>
      </c>
      <c r="M1600" s="55" t="s">
        <v>144</v>
      </c>
      <c r="N1600" s="55" t="s">
        <v>144</v>
      </c>
      <c r="O1600" s="55" t="s">
        <v>261</v>
      </c>
      <c r="P1600" s="55" t="s">
        <v>512</v>
      </c>
      <c r="Q1600" s="55" t="s">
        <v>350</v>
      </c>
      <c r="R1600" s="85">
        <v>1</v>
      </c>
      <c r="S1600" s="55">
        <v>0</v>
      </c>
      <c r="T1600" s="74" t="s">
        <v>385</v>
      </c>
      <c r="U1600" s="74" t="s">
        <v>351</v>
      </c>
      <c r="V1600" s="74">
        <v>44538</v>
      </c>
      <c r="W1600" s="74">
        <v>44586</v>
      </c>
      <c r="X1600" s="55">
        <v>10188287</v>
      </c>
      <c r="Y1600" s="55" t="s">
        <v>130</v>
      </c>
      <c r="AB1600" s="74" t="s">
        <v>130</v>
      </c>
      <c r="AC1600" s="55" t="s">
        <v>130</v>
      </c>
      <c r="AL1600" s="74"/>
      <c r="AM1600" s="74"/>
      <c r="AW1600" s="74"/>
      <c r="AX1600" s="74"/>
    </row>
    <row r="1601" spans="1:50" ht="13" x14ac:dyDescent="0.15">
      <c r="A1601" s="55" t="str">
        <f>HYPERLINK("http://reports.ofsted.gov.uk/inspection-reports/find-inspection-report/provider/CARE/2624723","Ofsted Social Care Provider Webpage")</f>
        <v>Ofsted Social Care Provider Webpage</v>
      </c>
      <c r="B1601" s="55">
        <v>2624723</v>
      </c>
      <c r="D1601" s="55" t="s">
        <v>373</v>
      </c>
      <c r="E1601" s="74">
        <v>44263</v>
      </c>
      <c r="F1601" s="55" t="s">
        <v>344</v>
      </c>
      <c r="G1601" s="55" t="s">
        <v>360</v>
      </c>
      <c r="H1601" s="55" t="s">
        <v>360</v>
      </c>
      <c r="I1601" s="55" t="s">
        <v>360</v>
      </c>
      <c r="J1601" s="55" t="s">
        <v>360</v>
      </c>
      <c r="K1601" s="55" t="s">
        <v>360</v>
      </c>
      <c r="L1601" s="55" t="s">
        <v>360</v>
      </c>
      <c r="M1601" s="55" t="s">
        <v>136</v>
      </c>
      <c r="N1601" s="55" t="s">
        <v>136</v>
      </c>
      <c r="O1601" s="55" t="s">
        <v>176</v>
      </c>
      <c r="P1601" s="55" t="s">
        <v>2073</v>
      </c>
      <c r="Q1601" s="55" t="s">
        <v>380</v>
      </c>
      <c r="R1601" s="85">
        <v>1</v>
      </c>
      <c r="S1601" s="55">
        <v>0</v>
      </c>
      <c r="T1601" s="74" t="s">
        <v>2074</v>
      </c>
      <c r="U1601" s="74" t="s">
        <v>351</v>
      </c>
      <c r="V1601" s="74">
        <v>44334</v>
      </c>
      <c r="W1601" s="74">
        <v>44382</v>
      </c>
      <c r="X1601" s="55">
        <v>10188303</v>
      </c>
      <c r="Y1601" s="55" t="s">
        <v>130</v>
      </c>
      <c r="AB1601" s="74" t="s">
        <v>130</v>
      </c>
      <c r="AC1601" s="55" t="s">
        <v>130</v>
      </c>
      <c r="AL1601" s="74"/>
      <c r="AM1601" s="74"/>
    </row>
    <row r="1602" spans="1:50" ht="13" x14ac:dyDescent="0.15">
      <c r="A1602" s="55" t="str">
        <f>HYPERLINK("http://reports.ofsted.gov.uk/inspection-reports/find-inspection-report/provider/CARE/2624723","Ofsted Social Care Provider Webpage")</f>
        <v>Ofsted Social Care Provider Webpage</v>
      </c>
      <c r="B1602" s="55">
        <v>2624723</v>
      </c>
      <c r="D1602" s="55" t="s">
        <v>373</v>
      </c>
      <c r="E1602" s="74">
        <v>44263</v>
      </c>
      <c r="F1602" s="55" t="s">
        <v>344</v>
      </c>
      <c r="G1602" s="55" t="s">
        <v>360</v>
      </c>
      <c r="H1602" s="55" t="s">
        <v>360</v>
      </c>
      <c r="I1602" s="55" t="s">
        <v>360</v>
      </c>
      <c r="J1602" s="55" t="s">
        <v>360</v>
      </c>
      <c r="K1602" s="55" t="s">
        <v>360</v>
      </c>
      <c r="L1602" s="55" t="s">
        <v>360</v>
      </c>
      <c r="M1602" s="55" t="s">
        <v>136</v>
      </c>
      <c r="N1602" s="55" t="s">
        <v>136</v>
      </c>
      <c r="O1602" s="55" t="s">
        <v>176</v>
      </c>
      <c r="P1602" s="55" t="s">
        <v>2073</v>
      </c>
      <c r="Q1602" s="55" t="s">
        <v>380</v>
      </c>
      <c r="R1602" s="85">
        <v>1</v>
      </c>
      <c r="S1602" s="55">
        <v>0</v>
      </c>
      <c r="T1602" s="74" t="s">
        <v>2074</v>
      </c>
      <c r="U1602" s="74" t="s">
        <v>2053</v>
      </c>
      <c r="V1602" s="74">
        <v>44433</v>
      </c>
      <c r="W1602" s="74">
        <v>44474</v>
      </c>
      <c r="X1602" s="55">
        <v>10204567</v>
      </c>
      <c r="AL1602" s="74"/>
      <c r="AM1602" s="74"/>
    </row>
    <row r="1603" spans="1:50" ht="13" x14ac:dyDescent="0.15">
      <c r="A1603" s="55" t="str">
        <f>HYPERLINK("http://reports.ofsted.gov.uk/inspection-reports/find-inspection-report/provider/CARE/2624784","Ofsted Social Care Provider Webpage")</f>
        <v>Ofsted Social Care Provider Webpage</v>
      </c>
      <c r="B1603" s="55">
        <v>2624784</v>
      </c>
      <c r="D1603" s="55" t="s">
        <v>373</v>
      </c>
      <c r="E1603" s="74">
        <v>44312</v>
      </c>
      <c r="F1603" s="55" t="s">
        <v>344</v>
      </c>
      <c r="G1603" s="55" t="s">
        <v>360</v>
      </c>
      <c r="H1603" s="55" t="s">
        <v>360</v>
      </c>
      <c r="I1603" s="55" t="s">
        <v>360</v>
      </c>
      <c r="J1603" s="55" t="s">
        <v>360</v>
      </c>
      <c r="K1603" s="55" t="s">
        <v>360</v>
      </c>
      <c r="L1603" s="55" t="s">
        <v>360</v>
      </c>
      <c r="M1603" s="55" t="s">
        <v>129</v>
      </c>
      <c r="N1603" s="55" t="s">
        <v>129</v>
      </c>
      <c r="O1603" s="55" t="s">
        <v>179</v>
      </c>
      <c r="P1603" s="55" t="s">
        <v>1584</v>
      </c>
      <c r="Q1603" s="55" t="s">
        <v>350</v>
      </c>
      <c r="R1603" s="85">
        <v>4</v>
      </c>
      <c r="S1603" s="55">
        <v>0</v>
      </c>
      <c r="T1603" s="74" t="s">
        <v>2075</v>
      </c>
      <c r="U1603" s="74" t="s">
        <v>351</v>
      </c>
      <c r="V1603" s="74">
        <v>44622</v>
      </c>
      <c r="W1603" s="74">
        <v>44672</v>
      </c>
      <c r="X1603" s="55">
        <v>10193443</v>
      </c>
      <c r="Y1603" s="55" t="s">
        <v>130</v>
      </c>
      <c r="AB1603" s="74" t="s">
        <v>130</v>
      </c>
      <c r="AC1603" s="55" t="s">
        <v>130</v>
      </c>
      <c r="AL1603" s="74"/>
      <c r="AM1603" s="74"/>
    </row>
    <row r="1604" spans="1:50" ht="13" x14ac:dyDescent="0.15">
      <c r="A1604" s="55" t="str">
        <f>HYPERLINK("http://reports.ofsted.gov.uk/inspection-reports/find-inspection-report/provider/CARE/2624855","Ofsted Social Care Provider Webpage")</f>
        <v>Ofsted Social Care Provider Webpage</v>
      </c>
      <c r="B1604" s="55">
        <v>2624855</v>
      </c>
      <c r="D1604" s="55" t="s">
        <v>373</v>
      </c>
      <c r="E1604" s="74">
        <v>44420</v>
      </c>
      <c r="F1604" s="55" t="s">
        <v>344</v>
      </c>
      <c r="G1604" s="55" t="s">
        <v>360</v>
      </c>
      <c r="H1604" s="55" t="s">
        <v>360</v>
      </c>
      <c r="I1604" s="55" t="s">
        <v>360</v>
      </c>
      <c r="J1604" s="55" t="s">
        <v>360</v>
      </c>
      <c r="K1604" s="55" t="s">
        <v>360</v>
      </c>
      <c r="L1604" s="55" t="s">
        <v>360</v>
      </c>
      <c r="M1604" s="55" t="s">
        <v>129</v>
      </c>
      <c r="N1604" s="55" t="s">
        <v>129</v>
      </c>
      <c r="O1604" s="55" t="s">
        <v>167</v>
      </c>
      <c r="P1604" s="55" t="s">
        <v>553</v>
      </c>
      <c r="Q1604" s="55" t="s">
        <v>350</v>
      </c>
      <c r="R1604" s="85">
        <v>5</v>
      </c>
      <c r="S1604" s="55">
        <v>0</v>
      </c>
      <c r="T1604" s="74" t="s">
        <v>2076</v>
      </c>
      <c r="U1604" s="74" t="s">
        <v>351</v>
      </c>
      <c r="V1604" s="74">
        <v>44607</v>
      </c>
      <c r="W1604" s="74">
        <v>44649</v>
      </c>
      <c r="X1604" s="55">
        <v>10213483</v>
      </c>
      <c r="Y1604" s="55" t="s">
        <v>132</v>
      </c>
      <c r="AB1604" s="74" t="s">
        <v>130</v>
      </c>
      <c r="AC1604" s="55" t="s">
        <v>132</v>
      </c>
      <c r="AL1604" s="74"/>
      <c r="AM1604" s="74"/>
    </row>
    <row r="1605" spans="1:50" ht="13" x14ac:dyDescent="0.15">
      <c r="A1605" s="55" t="str">
        <f>HYPERLINK("http://reports.ofsted.gov.uk/inspection-reports/find-inspection-report/provider/CARE/2624934","Ofsted Social Care Provider Webpage")</f>
        <v>Ofsted Social Care Provider Webpage</v>
      </c>
      <c r="B1605" s="55">
        <v>2624934</v>
      </c>
      <c r="D1605" s="55" t="s">
        <v>373</v>
      </c>
      <c r="E1605" s="74">
        <v>44328</v>
      </c>
      <c r="F1605" s="55" t="s">
        <v>344</v>
      </c>
      <c r="G1605" s="55" t="s">
        <v>360</v>
      </c>
      <c r="H1605" s="55" t="s">
        <v>360</v>
      </c>
      <c r="I1605" s="55" t="s">
        <v>360</v>
      </c>
      <c r="J1605" s="55" t="s">
        <v>360</v>
      </c>
      <c r="K1605" s="55" t="s">
        <v>360</v>
      </c>
      <c r="L1605" s="55" t="s">
        <v>360</v>
      </c>
      <c r="M1605" s="55" t="s">
        <v>172</v>
      </c>
      <c r="N1605" s="55" t="s">
        <v>172</v>
      </c>
      <c r="O1605" s="55" t="s">
        <v>173</v>
      </c>
      <c r="P1605" s="55" t="s">
        <v>860</v>
      </c>
      <c r="Q1605" s="55" t="s">
        <v>350</v>
      </c>
      <c r="R1605" s="85">
        <v>7</v>
      </c>
      <c r="S1605" s="55">
        <v>0</v>
      </c>
      <c r="T1605" s="74" t="s">
        <v>2077</v>
      </c>
      <c r="U1605" s="74" t="s">
        <v>351</v>
      </c>
      <c r="V1605" s="74">
        <v>44537</v>
      </c>
      <c r="W1605" s="74">
        <v>44586</v>
      </c>
      <c r="X1605" s="55">
        <v>10196677</v>
      </c>
      <c r="Y1605" s="55" t="s">
        <v>132</v>
      </c>
      <c r="AB1605" s="74" t="s">
        <v>130</v>
      </c>
      <c r="AC1605" s="55" t="s">
        <v>132</v>
      </c>
      <c r="AL1605" s="74"/>
      <c r="AM1605" s="74"/>
    </row>
    <row r="1606" spans="1:50" ht="13" x14ac:dyDescent="0.15">
      <c r="A1606" s="55" t="str">
        <f>HYPERLINK("http://reports.ofsted.gov.uk/inspection-reports/find-inspection-report/provider/CARE/2625170","Ofsted Social Care Provider Webpage")</f>
        <v>Ofsted Social Care Provider Webpage</v>
      </c>
      <c r="B1606" s="55">
        <v>2625170</v>
      </c>
      <c r="D1606" s="55" t="s">
        <v>373</v>
      </c>
      <c r="E1606" s="74">
        <v>44321</v>
      </c>
      <c r="F1606" s="55" t="s">
        <v>344</v>
      </c>
      <c r="G1606" s="55" t="s">
        <v>360</v>
      </c>
      <c r="H1606" s="55" t="s">
        <v>360</v>
      </c>
      <c r="I1606" s="55" t="s">
        <v>360</v>
      </c>
      <c r="J1606" s="55" t="s">
        <v>360</v>
      </c>
      <c r="K1606" s="55" t="s">
        <v>360</v>
      </c>
      <c r="L1606" s="55" t="s">
        <v>360</v>
      </c>
      <c r="M1606" s="55" t="s">
        <v>150</v>
      </c>
      <c r="N1606" s="55" t="s">
        <v>150</v>
      </c>
      <c r="O1606" s="55" t="s">
        <v>203</v>
      </c>
      <c r="P1606" s="55" t="s">
        <v>2078</v>
      </c>
      <c r="Q1606" s="55" t="s">
        <v>350</v>
      </c>
      <c r="R1606" s="85">
        <v>4</v>
      </c>
      <c r="S1606" s="55">
        <v>0</v>
      </c>
      <c r="T1606" s="74" t="s">
        <v>2079</v>
      </c>
      <c r="U1606" s="74" t="s">
        <v>351</v>
      </c>
      <c r="V1606" s="74">
        <v>44488</v>
      </c>
      <c r="W1606" s="74">
        <v>44538</v>
      </c>
      <c r="X1606" s="55">
        <v>10206620</v>
      </c>
      <c r="Y1606" s="55" t="s">
        <v>132</v>
      </c>
      <c r="AB1606" s="74" t="s">
        <v>132</v>
      </c>
      <c r="AC1606" s="55" t="s">
        <v>132</v>
      </c>
      <c r="AL1606" s="74"/>
      <c r="AM1606" s="74"/>
      <c r="AW1606" s="74"/>
      <c r="AX1606" s="74"/>
    </row>
    <row r="1607" spans="1:50" ht="13" x14ac:dyDescent="0.15">
      <c r="A1607" s="55" t="str">
        <f>HYPERLINK("http://reports.ofsted.gov.uk/inspection-reports/find-inspection-report/provider/CARE/2625170","Ofsted Social Care Provider Webpage")</f>
        <v>Ofsted Social Care Provider Webpage</v>
      </c>
      <c r="B1607" s="55">
        <v>2625170</v>
      </c>
      <c r="D1607" s="55" t="s">
        <v>373</v>
      </c>
      <c r="E1607" s="74">
        <v>44321</v>
      </c>
      <c r="F1607" s="55" t="s">
        <v>344</v>
      </c>
      <c r="G1607" s="55" t="s">
        <v>360</v>
      </c>
      <c r="H1607" s="55" t="s">
        <v>360</v>
      </c>
      <c r="I1607" s="55" t="s">
        <v>360</v>
      </c>
      <c r="J1607" s="55" t="s">
        <v>360</v>
      </c>
      <c r="K1607" s="55" t="s">
        <v>360</v>
      </c>
      <c r="L1607" s="55" t="s">
        <v>360</v>
      </c>
      <c r="M1607" s="55" t="s">
        <v>150</v>
      </c>
      <c r="N1607" s="55" t="s">
        <v>150</v>
      </c>
      <c r="O1607" s="55" t="s">
        <v>203</v>
      </c>
      <c r="P1607" s="55" t="s">
        <v>2078</v>
      </c>
      <c r="Q1607" s="55" t="s">
        <v>350</v>
      </c>
      <c r="R1607" s="85">
        <v>4</v>
      </c>
      <c r="S1607" s="55">
        <v>0</v>
      </c>
      <c r="T1607" s="74" t="s">
        <v>2079</v>
      </c>
      <c r="U1607" s="74" t="s">
        <v>2053</v>
      </c>
      <c r="V1607" s="74">
        <v>44607</v>
      </c>
      <c r="W1607" s="74">
        <v>44670</v>
      </c>
      <c r="X1607" s="55">
        <v>10225319</v>
      </c>
      <c r="AL1607" s="74"/>
      <c r="AM1607" s="74"/>
      <c r="AW1607" s="74"/>
      <c r="AX1607" s="74"/>
    </row>
    <row r="1608" spans="1:50" ht="13" x14ac:dyDescent="0.15">
      <c r="A1608" s="55" t="str">
        <f>HYPERLINK("http://reports.ofsted.gov.uk/inspection-reports/find-inspection-report/provider/CARE/2625182","Ofsted Social Care Provider Webpage")</f>
        <v>Ofsted Social Care Provider Webpage</v>
      </c>
      <c r="B1608" s="55">
        <v>2625182</v>
      </c>
      <c r="D1608" s="55" t="s">
        <v>373</v>
      </c>
      <c r="E1608" s="74">
        <v>44258</v>
      </c>
      <c r="F1608" s="55" t="s">
        <v>344</v>
      </c>
      <c r="G1608" s="55" t="s">
        <v>360</v>
      </c>
      <c r="H1608" s="55" t="s">
        <v>360</v>
      </c>
      <c r="I1608" s="55" t="s">
        <v>360</v>
      </c>
      <c r="J1608" s="55" t="s">
        <v>360</v>
      </c>
      <c r="K1608" s="55" t="s">
        <v>360</v>
      </c>
      <c r="L1608" s="55" t="s">
        <v>360</v>
      </c>
      <c r="M1608" s="55" t="s">
        <v>144</v>
      </c>
      <c r="N1608" s="55" t="s">
        <v>144</v>
      </c>
      <c r="O1608" s="55" t="s">
        <v>217</v>
      </c>
      <c r="P1608" s="55" t="s">
        <v>384</v>
      </c>
      <c r="Q1608" s="55" t="s">
        <v>350</v>
      </c>
      <c r="R1608" s="85">
        <v>2</v>
      </c>
      <c r="S1608" s="55">
        <v>0</v>
      </c>
      <c r="T1608" s="74" t="s">
        <v>2016</v>
      </c>
      <c r="U1608" s="74" t="s">
        <v>351</v>
      </c>
      <c r="V1608" s="74">
        <v>44587</v>
      </c>
      <c r="W1608" s="74">
        <v>44627</v>
      </c>
      <c r="X1608" s="55">
        <v>10188296</v>
      </c>
      <c r="Y1608" s="55" t="s">
        <v>132</v>
      </c>
      <c r="AB1608" s="74" t="s">
        <v>132</v>
      </c>
      <c r="AC1608" s="55" t="s">
        <v>132</v>
      </c>
      <c r="AL1608" s="74"/>
      <c r="AM1608" s="74"/>
    </row>
    <row r="1609" spans="1:50" ht="13" x14ac:dyDescent="0.15">
      <c r="A1609" s="55" t="str">
        <f>HYPERLINK("http://reports.ofsted.gov.uk/inspection-reports/find-inspection-report/provider/CARE/2625371","Ofsted Social Care Provider Webpage")</f>
        <v>Ofsted Social Care Provider Webpage</v>
      </c>
      <c r="B1609" s="55">
        <v>2625371</v>
      </c>
      <c r="D1609" s="55" t="s">
        <v>373</v>
      </c>
      <c r="E1609" s="74">
        <v>44256</v>
      </c>
      <c r="F1609" s="55" t="s">
        <v>344</v>
      </c>
      <c r="G1609" s="55" t="s">
        <v>360</v>
      </c>
      <c r="H1609" s="55" t="s">
        <v>360</v>
      </c>
      <c r="I1609" s="55" t="s">
        <v>360</v>
      </c>
      <c r="J1609" s="55" t="s">
        <v>360</v>
      </c>
      <c r="K1609" s="55" t="s">
        <v>360</v>
      </c>
      <c r="L1609" s="55" t="s">
        <v>360</v>
      </c>
      <c r="M1609" s="55" t="s">
        <v>129</v>
      </c>
      <c r="N1609" s="55" t="s">
        <v>129</v>
      </c>
      <c r="O1609" s="55" t="s">
        <v>194</v>
      </c>
      <c r="P1609" s="55" t="s">
        <v>1012</v>
      </c>
      <c r="Q1609" s="55" t="s">
        <v>350</v>
      </c>
      <c r="R1609" s="85">
        <v>5</v>
      </c>
      <c r="S1609" s="55">
        <v>0</v>
      </c>
      <c r="T1609" s="74" t="s">
        <v>2080</v>
      </c>
      <c r="U1609" s="74" t="s">
        <v>351</v>
      </c>
      <c r="V1609" s="74">
        <v>44418</v>
      </c>
      <c r="W1609" s="74">
        <v>44452</v>
      </c>
      <c r="X1609" s="55">
        <v>10195149</v>
      </c>
      <c r="Y1609" s="55" t="s">
        <v>130</v>
      </c>
      <c r="AB1609" s="74" t="s">
        <v>130</v>
      </c>
      <c r="AC1609" s="55" t="s">
        <v>130</v>
      </c>
      <c r="AL1609" s="74"/>
      <c r="AM1609" s="74"/>
    </row>
    <row r="1610" spans="1:50" ht="13" x14ac:dyDescent="0.15">
      <c r="A1610" s="55" t="str">
        <f>HYPERLINK("http://reports.ofsted.gov.uk/inspection-reports/find-inspection-report/provider/CARE/2625371","Ofsted Social Care Provider Webpage")</f>
        <v>Ofsted Social Care Provider Webpage</v>
      </c>
      <c r="B1610" s="55">
        <v>2625371</v>
      </c>
      <c r="D1610" s="55" t="s">
        <v>373</v>
      </c>
      <c r="E1610" s="74">
        <v>44256</v>
      </c>
      <c r="F1610" s="55" t="s">
        <v>344</v>
      </c>
      <c r="G1610" s="55" t="s">
        <v>360</v>
      </c>
      <c r="H1610" s="55" t="s">
        <v>360</v>
      </c>
      <c r="I1610" s="55" t="s">
        <v>360</v>
      </c>
      <c r="J1610" s="55" t="s">
        <v>360</v>
      </c>
      <c r="K1610" s="55" t="s">
        <v>360</v>
      </c>
      <c r="L1610" s="55" t="s">
        <v>360</v>
      </c>
      <c r="M1610" s="55" t="s">
        <v>129</v>
      </c>
      <c r="N1610" s="55" t="s">
        <v>129</v>
      </c>
      <c r="O1610" s="55" t="s">
        <v>194</v>
      </c>
      <c r="P1610" s="55" t="s">
        <v>1012</v>
      </c>
      <c r="Q1610" s="55" t="s">
        <v>350</v>
      </c>
      <c r="R1610" s="85">
        <v>5</v>
      </c>
      <c r="S1610" s="55">
        <v>0</v>
      </c>
      <c r="T1610" s="74" t="s">
        <v>2080</v>
      </c>
      <c r="U1610" s="74" t="s">
        <v>351</v>
      </c>
      <c r="V1610" s="74">
        <v>44306</v>
      </c>
      <c r="W1610" s="74">
        <v>44343</v>
      </c>
      <c r="X1610" s="55">
        <v>10188293</v>
      </c>
      <c r="Y1610" s="55" t="s">
        <v>146</v>
      </c>
      <c r="AB1610" s="74" t="s">
        <v>146</v>
      </c>
      <c r="AC1610" s="55" t="s">
        <v>146</v>
      </c>
      <c r="AL1610" s="74"/>
      <c r="AM1610" s="74"/>
      <c r="AW1610" s="74"/>
      <c r="AX1610" s="74"/>
    </row>
    <row r="1611" spans="1:50" ht="13" x14ac:dyDescent="0.15">
      <c r="A1611" s="55" t="str">
        <f>HYPERLINK("http://reports.ofsted.gov.uk/inspection-reports/find-inspection-report/provider/CARE/2625585","Ofsted Social Care Provider Webpage")</f>
        <v>Ofsted Social Care Provider Webpage</v>
      </c>
      <c r="B1611" s="55">
        <v>2625585</v>
      </c>
      <c r="D1611" s="55" t="s">
        <v>373</v>
      </c>
      <c r="E1611" s="74">
        <v>44253</v>
      </c>
      <c r="F1611" s="55" t="s">
        <v>344</v>
      </c>
      <c r="G1611" s="55" t="s">
        <v>360</v>
      </c>
      <c r="H1611" s="55" t="s">
        <v>360</v>
      </c>
      <c r="I1611" s="55" t="s">
        <v>360</v>
      </c>
      <c r="J1611" s="55" t="s">
        <v>360</v>
      </c>
      <c r="K1611" s="55" t="s">
        <v>360</v>
      </c>
      <c r="L1611" s="55" t="s">
        <v>360</v>
      </c>
      <c r="M1611" s="55" t="s">
        <v>172</v>
      </c>
      <c r="N1611" s="55" t="s">
        <v>172</v>
      </c>
      <c r="O1611" s="55" t="s">
        <v>284</v>
      </c>
      <c r="P1611" s="55" t="s">
        <v>985</v>
      </c>
      <c r="Q1611" s="55" t="s">
        <v>350</v>
      </c>
      <c r="R1611" s="85">
        <v>4</v>
      </c>
      <c r="S1611" s="55">
        <v>0</v>
      </c>
      <c r="T1611" s="74" t="s">
        <v>1891</v>
      </c>
      <c r="U1611" s="74" t="s">
        <v>2053</v>
      </c>
      <c r="V1611" s="74">
        <v>44434</v>
      </c>
      <c r="W1611" s="74">
        <v>44466</v>
      </c>
      <c r="X1611" s="55">
        <v>10205802</v>
      </c>
      <c r="AL1611" s="74"/>
      <c r="AM1611" s="74"/>
      <c r="AW1611" s="74"/>
      <c r="AX1611" s="74"/>
    </row>
    <row r="1612" spans="1:50" ht="13" x14ac:dyDescent="0.15">
      <c r="A1612" s="55" t="str">
        <f>HYPERLINK("http://reports.ofsted.gov.uk/inspection-reports/find-inspection-report/provider/CARE/2625585","Ofsted Social Care Provider Webpage")</f>
        <v>Ofsted Social Care Provider Webpage</v>
      </c>
      <c r="B1612" s="55">
        <v>2625585</v>
      </c>
      <c r="D1612" s="55" t="s">
        <v>373</v>
      </c>
      <c r="E1612" s="74">
        <v>44253</v>
      </c>
      <c r="F1612" s="55" t="s">
        <v>344</v>
      </c>
      <c r="G1612" s="55" t="s">
        <v>360</v>
      </c>
      <c r="H1612" s="55" t="s">
        <v>360</v>
      </c>
      <c r="I1612" s="55" t="s">
        <v>360</v>
      </c>
      <c r="J1612" s="55" t="s">
        <v>360</v>
      </c>
      <c r="K1612" s="55" t="s">
        <v>360</v>
      </c>
      <c r="L1612" s="55" t="s">
        <v>360</v>
      </c>
      <c r="M1612" s="55" t="s">
        <v>172</v>
      </c>
      <c r="N1612" s="55" t="s">
        <v>172</v>
      </c>
      <c r="O1612" s="55" t="s">
        <v>284</v>
      </c>
      <c r="P1612" s="55" t="s">
        <v>985</v>
      </c>
      <c r="Q1612" s="55" t="s">
        <v>350</v>
      </c>
      <c r="R1612" s="85">
        <v>4</v>
      </c>
      <c r="S1612" s="55">
        <v>0</v>
      </c>
      <c r="T1612" s="74" t="s">
        <v>1891</v>
      </c>
      <c r="U1612" s="74" t="s">
        <v>351</v>
      </c>
      <c r="V1612" s="74">
        <v>44515</v>
      </c>
      <c r="W1612" s="74">
        <v>44547</v>
      </c>
      <c r="X1612" s="55">
        <v>10213252</v>
      </c>
      <c r="Y1612" s="55" t="s">
        <v>130</v>
      </c>
      <c r="AB1612" s="74" t="s">
        <v>130</v>
      </c>
      <c r="AC1612" s="55" t="s">
        <v>130</v>
      </c>
      <c r="AL1612" s="74"/>
      <c r="AM1612" s="74"/>
      <c r="AW1612" s="74"/>
      <c r="AX1612" s="74"/>
    </row>
    <row r="1613" spans="1:50" ht="13" x14ac:dyDescent="0.15">
      <c r="A1613" s="55" t="str">
        <f>HYPERLINK("http://reports.ofsted.gov.uk/inspection-reports/find-inspection-report/provider/CARE/2625585","Ofsted Social Care Provider Webpage")</f>
        <v>Ofsted Social Care Provider Webpage</v>
      </c>
      <c r="B1613" s="55">
        <v>2625585</v>
      </c>
      <c r="D1613" s="55" t="s">
        <v>373</v>
      </c>
      <c r="E1613" s="74">
        <v>44253</v>
      </c>
      <c r="F1613" s="55" t="s">
        <v>344</v>
      </c>
      <c r="G1613" s="55" t="s">
        <v>360</v>
      </c>
      <c r="H1613" s="55" t="s">
        <v>360</v>
      </c>
      <c r="I1613" s="55" t="s">
        <v>360</v>
      </c>
      <c r="J1613" s="55" t="s">
        <v>360</v>
      </c>
      <c r="K1613" s="55" t="s">
        <v>360</v>
      </c>
      <c r="L1613" s="55" t="s">
        <v>360</v>
      </c>
      <c r="M1613" s="55" t="s">
        <v>172</v>
      </c>
      <c r="N1613" s="55" t="s">
        <v>172</v>
      </c>
      <c r="O1613" s="55" t="s">
        <v>284</v>
      </c>
      <c r="P1613" s="55" t="s">
        <v>985</v>
      </c>
      <c r="Q1613" s="55" t="s">
        <v>350</v>
      </c>
      <c r="R1613" s="85">
        <v>4</v>
      </c>
      <c r="S1613" s="55">
        <v>0</v>
      </c>
      <c r="T1613" s="74" t="s">
        <v>1891</v>
      </c>
      <c r="U1613" s="74" t="s">
        <v>351</v>
      </c>
      <c r="V1613" s="74">
        <v>44460</v>
      </c>
      <c r="W1613" s="74">
        <v>44515</v>
      </c>
      <c r="X1613" s="55">
        <v>10188291</v>
      </c>
      <c r="Y1613" s="55" t="s">
        <v>146</v>
      </c>
      <c r="AB1613" s="74" t="s">
        <v>146</v>
      </c>
      <c r="AC1613" s="55" t="s">
        <v>146</v>
      </c>
      <c r="AL1613" s="74"/>
      <c r="AM1613" s="74"/>
      <c r="AW1613" s="74"/>
      <c r="AX1613" s="74"/>
    </row>
    <row r="1614" spans="1:50" ht="13" x14ac:dyDescent="0.15">
      <c r="A1614" s="55" t="str">
        <f>HYPERLINK("http://reports.ofsted.gov.uk/inspection-reports/find-inspection-report/provider/CARE/2625941","Ofsted Social Care Provider Webpage")</f>
        <v>Ofsted Social Care Provider Webpage</v>
      </c>
      <c r="B1614" s="55">
        <v>2625941</v>
      </c>
      <c r="D1614" s="55" t="s">
        <v>373</v>
      </c>
      <c r="E1614" s="74">
        <v>44259</v>
      </c>
      <c r="F1614" s="55" t="s">
        <v>344</v>
      </c>
      <c r="G1614" s="55" t="s">
        <v>360</v>
      </c>
      <c r="H1614" s="55" t="s">
        <v>360</v>
      </c>
      <c r="I1614" s="55" t="s">
        <v>360</v>
      </c>
      <c r="J1614" s="55" t="s">
        <v>360</v>
      </c>
      <c r="K1614" s="55" t="s">
        <v>360</v>
      </c>
      <c r="L1614" s="55" t="s">
        <v>360</v>
      </c>
      <c r="M1614" s="55" t="s">
        <v>378</v>
      </c>
      <c r="N1614" s="55" t="s">
        <v>170</v>
      </c>
      <c r="O1614" s="55" t="s">
        <v>264</v>
      </c>
      <c r="P1614" s="55" t="s">
        <v>437</v>
      </c>
      <c r="Q1614" s="55" t="s">
        <v>350</v>
      </c>
      <c r="R1614" s="85">
        <v>15</v>
      </c>
      <c r="S1614" s="55">
        <v>0</v>
      </c>
      <c r="T1614" s="74" t="s">
        <v>2071</v>
      </c>
      <c r="U1614" s="74" t="s">
        <v>351</v>
      </c>
      <c r="V1614" s="74">
        <v>44614</v>
      </c>
      <c r="W1614" s="74">
        <v>44659</v>
      </c>
      <c r="X1614" s="55">
        <v>10188299</v>
      </c>
      <c r="Y1614" s="55" t="s">
        <v>146</v>
      </c>
      <c r="AB1614" s="74" t="s">
        <v>146</v>
      </c>
      <c r="AC1614" s="55" t="s">
        <v>146</v>
      </c>
      <c r="AL1614" s="74"/>
      <c r="AM1614" s="74"/>
      <c r="AW1614" s="74"/>
      <c r="AX1614" s="74"/>
    </row>
    <row r="1615" spans="1:50" ht="13" x14ac:dyDescent="0.15">
      <c r="A1615" s="55" t="str">
        <f>HYPERLINK("http://reports.ofsted.gov.uk/inspection-reports/find-inspection-report/provider/CARE/2625942","Ofsted Social Care Provider Webpage")</f>
        <v>Ofsted Social Care Provider Webpage</v>
      </c>
      <c r="B1615" s="55">
        <v>2625942</v>
      </c>
      <c r="D1615" s="55" t="s">
        <v>373</v>
      </c>
      <c r="E1615" s="74">
        <v>44327</v>
      </c>
      <c r="F1615" s="55" t="s">
        <v>344</v>
      </c>
      <c r="G1615" s="55" t="s">
        <v>360</v>
      </c>
      <c r="H1615" s="55" t="s">
        <v>360</v>
      </c>
      <c r="I1615" s="55" t="s">
        <v>360</v>
      </c>
      <c r="J1615" s="55" t="s">
        <v>360</v>
      </c>
      <c r="K1615" s="55" t="s">
        <v>360</v>
      </c>
      <c r="L1615" s="55" t="s">
        <v>360</v>
      </c>
      <c r="M1615" s="55" t="s">
        <v>150</v>
      </c>
      <c r="N1615" s="55" t="s">
        <v>150</v>
      </c>
      <c r="O1615" s="55" t="s">
        <v>285</v>
      </c>
      <c r="P1615" s="55" t="s">
        <v>893</v>
      </c>
      <c r="Q1615" s="55" t="s">
        <v>350</v>
      </c>
      <c r="R1615" s="85">
        <v>4</v>
      </c>
      <c r="S1615" s="55">
        <v>0</v>
      </c>
      <c r="T1615" s="74" t="s">
        <v>931</v>
      </c>
      <c r="U1615" s="74" t="s">
        <v>351</v>
      </c>
      <c r="V1615" s="74">
        <v>44425</v>
      </c>
      <c r="W1615" s="74">
        <v>44460</v>
      </c>
      <c r="X1615" s="55">
        <v>10205114</v>
      </c>
      <c r="Y1615" s="55" t="s">
        <v>130</v>
      </c>
      <c r="AB1615" s="74" t="s">
        <v>130</v>
      </c>
      <c r="AC1615" s="55" t="s">
        <v>130</v>
      </c>
      <c r="AL1615" s="74"/>
      <c r="AM1615" s="74"/>
    </row>
    <row r="1616" spans="1:50" ht="13" x14ac:dyDescent="0.15">
      <c r="A1616" s="55" t="str">
        <f>HYPERLINK("http://reports.ofsted.gov.uk/inspection-reports/find-inspection-report/provider/CARE/2626047","Ofsted Social Care Provider Webpage")</f>
        <v>Ofsted Social Care Provider Webpage</v>
      </c>
      <c r="B1616" s="55">
        <v>2626047</v>
      </c>
      <c r="D1616" s="55" t="s">
        <v>373</v>
      </c>
      <c r="E1616" s="74">
        <v>44259</v>
      </c>
      <c r="F1616" s="55" t="s">
        <v>344</v>
      </c>
      <c r="G1616" s="55" t="s">
        <v>360</v>
      </c>
      <c r="H1616" s="55" t="s">
        <v>360</v>
      </c>
      <c r="I1616" s="55" t="s">
        <v>360</v>
      </c>
      <c r="J1616" s="55" t="s">
        <v>360</v>
      </c>
      <c r="K1616" s="55" t="s">
        <v>360</v>
      </c>
      <c r="L1616" s="55" t="s">
        <v>360</v>
      </c>
      <c r="M1616" s="55" t="s">
        <v>142</v>
      </c>
      <c r="N1616" s="55" t="s">
        <v>142</v>
      </c>
      <c r="O1616" s="55" t="s">
        <v>252</v>
      </c>
      <c r="P1616" s="55" t="s">
        <v>503</v>
      </c>
      <c r="Q1616" s="55" t="s">
        <v>350</v>
      </c>
      <c r="R1616" s="85">
        <v>5</v>
      </c>
      <c r="S1616" s="55">
        <v>0</v>
      </c>
      <c r="T1616" s="74" t="s">
        <v>385</v>
      </c>
      <c r="U1616" s="74" t="s">
        <v>351</v>
      </c>
      <c r="V1616" s="74">
        <v>44440</v>
      </c>
      <c r="W1616" s="74">
        <v>44474</v>
      </c>
      <c r="X1616" s="55">
        <v>10188300</v>
      </c>
      <c r="Y1616" s="55" t="s">
        <v>132</v>
      </c>
      <c r="AB1616" s="74" t="s">
        <v>132</v>
      </c>
      <c r="AC1616" s="55" t="s">
        <v>132</v>
      </c>
      <c r="AL1616" s="74"/>
      <c r="AM1616" s="74"/>
      <c r="AW1616" s="74"/>
      <c r="AX1616" s="74"/>
    </row>
    <row r="1617" spans="1:50" ht="13" x14ac:dyDescent="0.15">
      <c r="A1617" s="55" t="str">
        <f>HYPERLINK("http://reports.ofsted.gov.uk/inspection-reports/find-inspection-report/provider/CARE/2626293","Ofsted Social Care Provider Webpage")</f>
        <v>Ofsted Social Care Provider Webpage</v>
      </c>
      <c r="B1617" s="55">
        <v>2626293</v>
      </c>
      <c r="D1617" s="55" t="s">
        <v>373</v>
      </c>
      <c r="E1617" s="74">
        <v>44417</v>
      </c>
      <c r="F1617" s="55" t="s">
        <v>344</v>
      </c>
      <c r="G1617" s="55" t="s">
        <v>360</v>
      </c>
      <c r="H1617" s="55" t="s">
        <v>360</v>
      </c>
      <c r="I1617" s="55" t="s">
        <v>360</v>
      </c>
      <c r="J1617" s="55" t="s">
        <v>360</v>
      </c>
      <c r="K1617" s="55" t="s">
        <v>360</v>
      </c>
      <c r="L1617" s="55" t="s">
        <v>360</v>
      </c>
      <c r="M1617" s="55" t="s">
        <v>142</v>
      </c>
      <c r="N1617" s="55" t="s">
        <v>142</v>
      </c>
      <c r="O1617" s="55" t="s">
        <v>293</v>
      </c>
      <c r="P1617" s="55" t="s">
        <v>1060</v>
      </c>
      <c r="Q1617" s="55" t="s">
        <v>350</v>
      </c>
      <c r="R1617" s="85">
        <v>4</v>
      </c>
      <c r="S1617" s="55">
        <v>0</v>
      </c>
      <c r="T1617" s="74" t="s">
        <v>2077</v>
      </c>
      <c r="U1617" s="74" t="s">
        <v>351</v>
      </c>
      <c r="V1617" s="74">
        <v>44586</v>
      </c>
      <c r="W1617" s="74">
        <v>44620</v>
      </c>
      <c r="X1617" s="55">
        <v>10206509</v>
      </c>
      <c r="Y1617" s="55" t="s">
        <v>132</v>
      </c>
      <c r="AB1617" s="74" t="s">
        <v>132</v>
      </c>
      <c r="AC1617" s="55" t="s">
        <v>132</v>
      </c>
      <c r="AL1617" s="74"/>
      <c r="AM1617" s="74"/>
      <c r="AW1617" s="74"/>
      <c r="AX1617" s="74"/>
    </row>
    <row r="1618" spans="1:50" ht="13" x14ac:dyDescent="0.15">
      <c r="A1618" s="55" t="str">
        <f>HYPERLINK("http://reports.ofsted.gov.uk/inspection-reports/find-inspection-report/provider/CARE/2626458","Ofsted Social Care Provider Webpage")</f>
        <v>Ofsted Social Care Provider Webpage</v>
      </c>
      <c r="B1618" s="55">
        <v>2626458</v>
      </c>
      <c r="D1618" s="55" t="s">
        <v>373</v>
      </c>
      <c r="E1618" s="74">
        <v>44326</v>
      </c>
      <c r="F1618" s="55" t="s">
        <v>344</v>
      </c>
      <c r="G1618" s="55" t="s">
        <v>360</v>
      </c>
      <c r="H1618" s="55" t="s">
        <v>360</v>
      </c>
      <c r="I1618" s="55" t="s">
        <v>360</v>
      </c>
      <c r="J1618" s="55" t="s">
        <v>360</v>
      </c>
      <c r="K1618" s="55" t="s">
        <v>360</v>
      </c>
      <c r="L1618" s="55" t="s">
        <v>360</v>
      </c>
      <c r="M1618" s="55" t="s">
        <v>142</v>
      </c>
      <c r="N1618" s="55" t="s">
        <v>142</v>
      </c>
      <c r="O1618" s="55" t="s">
        <v>262</v>
      </c>
      <c r="P1618" s="55" t="s">
        <v>949</v>
      </c>
      <c r="Q1618" s="55" t="s">
        <v>350</v>
      </c>
      <c r="R1618" s="85">
        <v>3</v>
      </c>
      <c r="S1618" s="55">
        <v>0</v>
      </c>
      <c r="T1618" s="74" t="s">
        <v>1024</v>
      </c>
      <c r="U1618" s="74" t="s">
        <v>351</v>
      </c>
      <c r="V1618" s="74">
        <v>44608</v>
      </c>
      <c r="W1618" s="74">
        <v>44658</v>
      </c>
      <c r="X1618" s="55">
        <v>10204577</v>
      </c>
      <c r="Y1618" s="55" t="s">
        <v>132</v>
      </c>
      <c r="AB1618" s="74" t="s">
        <v>132</v>
      </c>
      <c r="AC1618" s="55" t="s">
        <v>132</v>
      </c>
      <c r="AL1618" s="74"/>
      <c r="AM1618" s="74"/>
    </row>
    <row r="1619" spans="1:50" ht="13" x14ac:dyDescent="0.15">
      <c r="A1619" s="55" t="str">
        <f>HYPERLINK("http://reports.ofsted.gov.uk/inspection-reports/find-inspection-report/provider/CARE/2626773","Ofsted Social Care Provider Webpage")</f>
        <v>Ofsted Social Care Provider Webpage</v>
      </c>
      <c r="B1619" s="55">
        <v>2626773</v>
      </c>
      <c r="D1619" s="55" t="s">
        <v>373</v>
      </c>
      <c r="E1619" s="74">
        <v>44230</v>
      </c>
      <c r="F1619" s="55" t="s">
        <v>344</v>
      </c>
      <c r="G1619" s="55" t="s">
        <v>360</v>
      </c>
      <c r="H1619" s="55" t="s">
        <v>360</v>
      </c>
      <c r="I1619" s="55" t="s">
        <v>360</v>
      </c>
      <c r="J1619" s="55" t="s">
        <v>360</v>
      </c>
      <c r="K1619" s="55" t="s">
        <v>360</v>
      </c>
      <c r="L1619" s="55" t="s">
        <v>360</v>
      </c>
      <c r="M1619" s="55" t="s">
        <v>138</v>
      </c>
      <c r="N1619" s="55" t="s">
        <v>138</v>
      </c>
      <c r="O1619" s="55" t="s">
        <v>196</v>
      </c>
      <c r="P1619" s="55" t="s">
        <v>1368</v>
      </c>
      <c r="Q1619" s="55" t="s">
        <v>380</v>
      </c>
      <c r="R1619" s="85">
        <v>3</v>
      </c>
      <c r="S1619" s="55">
        <v>0</v>
      </c>
      <c r="T1619" s="74" t="s">
        <v>2082</v>
      </c>
      <c r="U1619" s="74" t="s">
        <v>351</v>
      </c>
      <c r="V1619" s="74">
        <v>44396</v>
      </c>
      <c r="W1619" s="74">
        <v>44425</v>
      </c>
      <c r="X1619" s="55">
        <v>10188272</v>
      </c>
      <c r="Y1619" s="55" t="s">
        <v>132</v>
      </c>
      <c r="AB1619" s="74" t="s">
        <v>132</v>
      </c>
      <c r="AC1619" s="55" t="s">
        <v>132</v>
      </c>
      <c r="AL1619" s="74"/>
      <c r="AM1619" s="74"/>
      <c r="AW1619" s="74"/>
      <c r="AX1619" s="74"/>
    </row>
    <row r="1620" spans="1:50" ht="13" x14ac:dyDescent="0.15">
      <c r="A1620" s="55" t="str">
        <f>HYPERLINK("http://reports.ofsted.gov.uk/inspection-reports/find-inspection-report/provider/CARE/2627009","Ofsted Social Care Provider Webpage")</f>
        <v>Ofsted Social Care Provider Webpage</v>
      </c>
      <c r="B1620" s="55">
        <v>2627009</v>
      </c>
      <c r="D1620" s="55" t="s">
        <v>373</v>
      </c>
      <c r="E1620" s="74">
        <v>44426</v>
      </c>
      <c r="F1620" s="55" t="s">
        <v>344</v>
      </c>
      <c r="G1620" s="55" t="s">
        <v>360</v>
      </c>
      <c r="H1620" s="55" t="s">
        <v>360</v>
      </c>
      <c r="I1620" s="55" t="s">
        <v>360</v>
      </c>
      <c r="J1620" s="55" t="s">
        <v>360</v>
      </c>
      <c r="K1620" s="55" t="s">
        <v>360</v>
      </c>
      <c r="L1620" s="55" t="s">
        <v>360</v>
      </c>
      <c r="M1620" s="55" t="s">
        <v>172</v>
      </c>
      <c r="N1620" s="55" t="s">
        <v>172</v>
      </c>
      <c r="O1620" s="55" t="s">
        <v>214</v>
      </c>
      <c r="P1620" s="55" t="s">
        <v>1345</v>
      </c>
      <c r="Q1620" s="55" t="s">
        <v>350</v>
      </c>
      <c r="R1620" s="85">
        <v>4</v>
      </c>
      <c r="S1620" s="55">
        <v>0</v>
      </c>
      <c r="T1620" s="74" t="s">
        <v>2083</v>
      </c>
      <c r="U1620" s="74" t="s">
        <v>351</v>
      </c>
      <c r="V1620" s="74">
        <v>44592</v>
      </c>
      <c r="W1620" s="74">
        <v>44631</v>
      </c>
      <c r="X1620" s="55">
        <v>10206367</v>
      </c>
      <c r="Y1620" s="55" t="s">
        <v>132</v>
      </c>
      <c r="AB1620" s="74" t="s">
        <v>132</v>
      </c>
      <c r="AC1620" s="55" t="s">
        <v>132</v>
      </c>
      <c r="AL1620" s="74"/>
      <c r="AM1620" s="74"/>
      <c r="AW1620" s="74"/>
      <c r="AX1620" s="74"/>
    </row>
    <row r="1621" spans="1:50" ht="13" x14ac:dyDescent="0.15">
      <c r="A1621" s="55" t="str">
        <f>HYPERLINK("http://reports.ofsted.gov.uk/inspection-reports/find-inspection-report/provider/CARE/2627028","Ofsted Social Care Provider Webpage")</f>
        <v>Ofsted Social Care Provider Webpage</v>
      </c>
      <c r="B1621" s="55">
        <v>2627028</v>
      </c>
      <c r="D1621" s="55" t="s">
        <v>373</v>
      </c>
      <c r="E1621" s="74">
        <v>44293</v>
      </c>
      <c r="F1621" s="55" t="s">
        <v>344</v>
      </c>
      <c r="G1621" s="55" t="s">
        <v>360</v>
      </c>
      <c r="H1621" s="55" t="s">
        <v>360</v>
      </c>
      <c r="I1621" s="55" t="s">
        <v>360</v>
      </c>
      <c r="J1621" s="55" t="s">
        <v>360</v>
      </c>
      <c r="K1621" s="55" t="s">
        <v>360</v>
      </c>
      <c r="L1621" s="55" t="s">
        <v>360</v>
      </c>
      <c r="M1621" s="55" t="s">
        <v>172</v>
      </c>
      <c r="N1621" s="55" t="s">
        <v>172</v>
      </c>
      <c r="O1621" s="55" t="s">
        <v>171</v>
      </c>
      <c r="P1621" s="55" t="s">
        <v>895</v>
      </c>
      <c r="Q1621" s="55" t="s">
        <v>350</v>
      </c>
      <c r="R1621" s="85">
        <v>3</v>
      </c>
      <c r="S1621" s="55">
        <v>0</v>
      </c>
      <c r="T1621" s="74" t="s">
        <v>668</v>
      </c>
      <c r="U1621" s="74" t="s">
        <v>351</v>
      </c>
      <c r="V1621" s="74">
        <v>44600</v>
      </c>
      <c r="W1621" s="74">
        <v>44643</v>
      </c>
      <c r="X1621" s="55">
        <v>10192937</v>
      </c>
      <c r="Y1621" s="55" t="s">
        <v>132</v>
      </c>
      <c r="AB1621" s="74" t="s">
        <v>132</v>
      </c>
      <c r="AC1621" s="55" t="s">
        <v>132</v>
      </c>
      <c r="AL1621" s="74"/>
      <c r="AM1621" s="74"/>
    </row>
    <row r="1622" spans="1:50" ht="13" x14ac:dyDescent="0.15">
      <c r="A1622" s="55" t="str">
        <f>HYPERLINK("http://reports.ofsted.gov.uk/inspection-reports/find-inspection-report/provider/CARE/2627054","Ofsted Social Care Provider Webpage")</f>
        <v>Ofsted Social Care Provider Webpage</v>
      </c>
      <c r="B1622" s="55">
        <v>2627054</v>
      </c>
      <c r="D1622" s="55" t="s">
        <v>373</v>
      </c>
      <c r="E1622" s="74">
        <v>44320</v>
      </c>
      <c r="F1622" s="55" t="s">
        <v>344</v>
      </c>
      <c r="G1622" s="55" t="s">
        <v>360</v>
      </c>
      <c r="H1622" s="55" t="s">
        <v>360</v>
      </c>
      <c r="I1622" s="55" t="s">
        <v>360</v>
      </c>
      <c r="J1622" s="55" t="s">
        <v>360</v>
      </c>
      <c r="K1622" s="55" t="s">
        <v>360</v>
      </c>
      <c r="L1622" s="55" t="s">
        <v>360</v>
      </c>
      <c r="M1622" s="55" t="s">
        <v>142</v>
      </c>
      <c r="N1622" s="55" t="s">
        <v>142</v>
      </c>
      <c r="O1622" s="55" t="s">
        <v>262</v>
      </c>
      <c r="P1622" s="55" t="s">
        <v>488</v>
      </c>
      <c r="Q1622" s="55" t="s">
        <v>350</v>
      </c>
      <c r="R1622" s="85">
        <v>2</v>
      </c>
      <c r="S1622" s="55">
        <v>0</v>
      </c>
      <c r="T1622" s="74" t="s">
        <v>1307</v>
      </c>
      <c r="U1622" s="74" t="s">
        <v>351</v>
      </c>
      <c r="V1622" s="74">
        <v>44460</v>
      </c>
      <c r="W1622" s="74">
        <v>44498</v>
      </c>
      <c r="X1622" s="55">
        <v>10202655</v>
      </c>
      <c r="Y1622" s="55" t="s">
        <v>130</v>
      </c>
      <c r="AB1622" s="74" t="s">
        <v>130</v>
      </c>
      <c r="AC1622" s="55" t="s">
        <v>130</v>
      </c>
      <c r="AL1622" s="74"/>
      <c r="AM1622" s="74"/>
      <c r="AW1622" s="74"/>
      <c r="AX1622" s="74"/>
    </row>
    <row r="1623" spans="1:50" ht="13" x14ac:dyDescent="0.15">
      <c r="A1623" s="55" t="str">
        <f>HYPERLINK("http://reports.ofsted.gov.uk/inspection-reports/find-inspection-report/provider/CARE/2627088","Ofsted Social Care Provider Webpage")</f>
        <v>Ofsted Social Care Provider Webpage</v>
      </c>
      <c r="B1623" s="55">
        <v>2627088</v>
      </c>
      <c r="D1623" s="55" t="s">
        <v>373</v>
      </c>
      <c r="E1623" s="74">
        <v>44273</v>
      </c>
      <c r="F1623" s="55" t="s">
        <v>344</v>
      </c>
      <c r="G1623" s="55" t="s">
        <v>360</v>
      </c>
      <c r="H1623" s="55" t="s">
        <v>360</v>
      </c>
      <c r="I1623" s="55" t="s">
        <v>360</v>
      </c>
      <c r="J1623" s="55" t="s">
        <v>360</v>
      </c>
      <c r="K1623" s="55" t="s">
        <v>360</v>
      </c>
      <c r="L1623" s="55" t="s">
        <v>360</v>
      </c>
      <c r="M1623" s="55" t="s">
        <v>172</v>
      </c>
      <c r="N1623" s="55" t="s">
        <v>172</v>
      </c>
      <c r="O1623" s="55" t="s">
        <v>211</v>
      </c>
      <c r="P1623" s="55" t="s">
        <v>1062</v>
      </c>
      <c r="Q1623" s="55" t="s">
        <v>350</v>
      </c>
      <c r="R1623" s="85">
        <v>4</v>
      </c>
      <c r="S1623" s="55">
        <v>0</v>
      </c>
      <c r="T1623" s="74" t="s">
        <v>2084</v>
      </c>
      <c r="U1623" s="74" t="s">
        <v>2053</v>
      </c>
      <c r="V1623" s="74">
        <v>44614</v>
      </c>
      <c r="W1623" s="74">
        <v>44652</v>
      </c>
      <c r="X1623" s="55">
        <v>10220485</v>
      </c>
      <c r="AL1623" s="74"/>
      <c r="AM1623" s="74"/>
      <c r="AW1623" s="74"/>
      <c r="AX1623" s="74"/>
    </row>
    <row r="1624" spans="1:50" ht="13" x14ac:dyDescent="0.15">
      <c r="A1624" s="55" t="str">
        <f>HYPERLINK("http://reports.ofsted.gov.uk/inspection-reports/find-inspection-report/provider/CARE/2627088","Ofsted Social Care Provider Webpage")</f>
        <v>Ofsted Social Care Provider Webpage</v>
      </c>
      <c r="B1624" s="55">
        <v>2627088</v>
      </c>
      <c r="D1624" s="55" t="s">
        <v>373</v>
      </c>
      <c r="E1624" s="74">
        <v>44273</v>
      </c>
      <c r="F1624" s="55" t="s">
        <v>344</v>
      </c>
      <c r="G1624" s="55" t="s">
        <v>360</v>
      </c>
      <c r="H1624" s="55" t="s">
        <v>360</v>
      </c>
      <c r="I1624" s="55" t="s">
        <v>360</v>
      </c>
      <c r="J1624" s="55" t="s">
        <v>360</v>
      </c>
      <c r="K1624" s="55" t="s">
        <v>360</v>
      </c>
      <c r="L1624" s="55" t="s">
        <v>360</v>
      </c>
      <c r="M1624" s="55" t="s">
        <v>172</v>
      </c>
      <c r="N1624" s="55" t="s">
        <v>172</v>
      </c>
      <c r="O1624" s="55" t="s">
        <v>211</v>
      </c>
      <c r="P1624" s="55" t="s">
        <v>1062</v>
      </c>
      <c r="Q1624" s="55" t="s">
        <v>350</v>
      </c>
      <c r="R1624" s="85">
        <v>4</v>
      </c>
      <c r="S1624" s="55">
        <v>0</v>
      </c>
      <c r="T1624" s="74" t="s">
        <v>2084</v>
      </c>
      <c r="U1624" s="74" t="s">
        <v>6703</v>
      </c>
      <c r="V1624" s="74">
        <v>44579</v>
      </c>
      <c r="W1624" s="74">
        <v>44610</v>
      </c>
      <c r="X1624" s="55">
        <v>10207473</v>
      </c>
      <c r="Y1624" s="55" t="s">
        <v>6704</v>
      </c>
      <c r="AL1624" s="74"/>
      <c r="AM1624" s="74"/>
      <c r="AW1624" s="74"/>
      <c r="AX1624" s="74"/>
    </row>
    <row r="1625" spans="1:50" ht="13" x14ac:dyDescent="0.15">
      <c r="A1625" s="55" t="str">
        <f>HYPERLINK("http://reports.ofsted.gov.uk/inspection-reports/find-inspection-report/provider/CARE/2627088","Ofsted Social Care Provider Webpage")</f>
        <v>Ofsted Social Care Provider Webpage</v>
      </c>
      <c r="B1625" s="55">
        <v>2627088</v>
      </c>
      <c r="D1625" s="55" t="s">
        <v>373</v>
      </c>
      <c r="E1625" s="74">
        <v>44273</v>
      </c>
      <c r="F1625" s="55" t="s">
        <v>344</v>
      </c>
      <c r="G1625" s="55" t="s">
        <v>360</v>
      </c>
      <c r="H1625" s="55" t="s">
        <v>360</v>
      </c>
      <c r="I1625" s="55" t="s">
        <v>360</v>
      </c>
      <c r="J1625" s="55" t="s">
        <v>360</v>
      </c>
      <c r="K1625" s="55" t="s">
        <v>360</v>
      </c>
      <c r="L1625" s="55" t="s">
        <v>360</v>
      </c>
      <c r="M1625" s="55" t="s">
        <v>172</v>
      </c>
      <c r="N1625" s="55" t="s">
        <v>172</v>
      </c>
      <c r="O1625" s="55" t="s">
        <v>211</v>
      </c>
      <c r="P1625" s="55" t="s">
        <v>1062</v>
      </c>
      <c r="Q1625" s="55" t="s">
        <v>350</v>
      </c>
      <c r="R1625" s="85">
        <v>4</v>
      </c>
      <c r="S1625" s="55">
        <v>0</v>
      </c>
      <c r="T1625" s="74" t="s">
        <v>2084</v>
      </c>
      <c r="U1625" s="74" t="s">
        <v>351</v>
      </c>
      <c r="V1625" s="74">
        <v>44454</v>
      </c>
      <c r="W1625" s="74">
        <v>44480</v>
      </c>
      <c r="X1625" s="55">
        <v>10188310</v>
      </c>
      <c r="Y1625" s="55" t="s">
        <v>130</v>
      </c>
      <c r="AB1625" s="74" t="s">
        <v>130</v>
      </c>
      <c r="AC1625" s="55" t="s">
        <v>146</v>
      </c>
      <c r="AL1625" s="74"/>
      <c r="AM1625" s="74"/>
      <c r="AW1625" s="74"/>
      <c r="AX1625" s="74"/>
    </row>
    <row r="1626" spans="1:50" ht="13" x14ac:dyDescent="0.15">
      <c r="A1626" s="55" t="str">
        <f>HYPERLINK("http://reports.ofsted.gov.uk/inspection-reports/find-inspection-report/provider/CARE/2627409","Ofsted Social Care Provider Webpage")</f>
        <v>Ofsted Social Care Provider Webpage</v>
      </c>
      <c r="B1626" s="55">
        <v>2627409</v>
      </c>
      <c r="D1626" s="55" t="s">
        <v>373</v>
      </c>
      <c r="E1626" s="74">
        <v>44369</v>
      </c>
      <c r="F1626" s="55" t="s">
        <v>344</v>
      </c>
      <c r="G1626" s="55" t="s">
        <v>360</v>
      </c>
      <c r="H1626" s="55" t="s">
        <v>360</v>
      </c>
      <c r="I1626" s="55" t="s">
        <v>360</v>
      </c>
      <c r="J1626" s="55" t="s">
        <v>360</v>
      </c>
      <c r="K1626" s="55" t="s">
        <v>360</v>
      </c>
      <c r="L1626" s="55" t="s">
        <v>360</v>
      </c>
      <c r="M1626" s="55" t="s">
        <v>142</v>
      </c>
      <c r="N1626" s="55" t="s">
        <v>142</v>
      </c>
      <c r="O1626" s="55" t="s">
        <v>195</v>
      </c>
      <c r="P1626" s="55" t="s">
        <v>518</v>
      </c>
      <c r="Q1626" s="55" t="s">
        <v>350</v>
      </c>
      <c r="R1626" s="85">
        <v>4</v>
      </c>
      <c r="S1626" s="55">
        <v>0</v>
      </c>
      <c r="T1626" s="74" t="s">
        <v>515</v>
      </c>
      <c r="U1626" s="74" t="s">
        <v>351</v>
      </c>
      <c r="V1626" s="74">
        <v>44508</v>
      </c>
      <c r="W1626" s="74">
        <v>44540</v>
      </c>
      <c r="X1626" s="55">
        <v>10206473</v>
      </c>
      <c r="Y1626" s="55" t="s">
        <v>132</v>
      </c>
      <c r="AB1626" s="74" t="s">
        <v>130</v>
      </c>
      <c r="AC1626" s="55" t="s">
        <v>132</v>
      </c>
      <c r="AL1626" s="74"/>
      <c r="AM1626" s="74"/>
      <c r="AW1626" s="74"/>
      <c r="AX1626" s="74"/>
    </row>
    <row r="1627" spans="1:50" ht="13" x14ac:dyDescent="0.15">
      <c r="A1627" s="55" t="str">
        <f>HYPERLINK("http://reports.ofsted.gov.uk/inspection-reports/find-inspection-report/provider/CARE/2627967","Ofsted Social Care Provider Webpage")</f>
        <v>Ofsted Social Care Provider Webpage</v>
      </c>
      <c r="B1627" s="55">
        <v>2627967</v>
      </c>
      <c r="D1627" s="55" t="s">
        <v>373</v>
      </c>
      <c r="E1627" s="74">
        <v>44380</v>
      </c>
      <c r="F1627" s="55" t="s">
        <v>344</v>
      </c>
      <c r="G1627" s="55" t="s">
        <v>360</v>
      </c>
      <c r="H1627" s="55" t="s">
        <v>360</v>
      </c>
      <c r="I1627" s="55" t="s">
        <v>360</v>
      </c>
      <c r="J1627" s="55" t="s">
        <v>360</v>
      </c>
      <c r="K1627" s="55" t="s">
        <v>360</v>
      </c>
      <c r="L1627" s="55" t="s">
        <v>360</v>
      </c>
      <c r="M1627" s="55" t="s">
        <v>144</v>
      </c>
      <c r="N1627" s="55" t="s">
        <v>144</v>
      </c>
      <c r="O1627" s="55" t="s">
        <v>209</v>
      </c>
      <c r="P1627" s="55" t="s">
        <v>597</v>
      </c>
      <c r="Q1627" s="55" t="s">
        <v>350</v>
      </c>
      <c r="R1627" s="85">
        <v>3</v>
      </c>
      <c r="S1627" s="55">
        <v>0</v>
      </c>
      <c r="T1627" s="74" t="s">
        <v>598</v>
      </c>
      <c r="U1627" s="74" t="s">
        <v>351</v>
      </c>
      <c r="V1627" s="74">
        <v>44621</v>
      </c>
      <c r="W1627" s="74">
        <v>44676</v>
      </c>
      <c r="X1627" s="55">
        <v>10205015</v>
      </c>
      <c r="Y1627" s="55" t="s">
        <v>132</v>
      </c>
      <c r="AB1627" s="74" t="s">
        <v>132</v>
      </c>
      <c r="AC1627" s="55" t="s">
        <v>130</v>
      </c>
      <c r="AL1627" s="74"/>
      <c r="AM1627" s="74"/>
      <c r="AW1627" s="74"/>
      <c r="AX1627" s="74"/>
    </row>
    <row r="1628" spans="1:50" ht="13" x14ac:dyDescent="0.15">
      <c r="A1628" s="55" t="str">
        <f>HYPERLINK("http://reports.ofsted.gov.uk/inspection-reports/find-inspection-report/provider/CARE/2628430","Ofsted Social Care Provider Webpage")</f>
        <v>Ofsted Social Care Provider Webpage</v>
      </c>
      <c r="B1628" s="55">
        <v>2628430</v>
      </c>
      <c r="D1628" s="55" t="s">
        <v>373</v>
      </c>
      <c r="E1628" s="74">
        <v>44280</v>
      </c>
      <c r="F1628" s="55" t="s">
        <v>344</v>
      </c>
      <c r="G1628" s="55" t="s">
        <v>360</v>
      </c>
      <c r="H1628" s="55" t="s">
        <v>360</v>
      </c>
      <c r="I1628" s="55" t="s">
        <v>360</v>
      </c>
      <c r="J1628" s="55" t="s">
        <v>360</v>
      </c>
      <c r="K1628" s="55" t="s">
        <v>360</v>
      </c>
      <c r="L1628" s="55" t="s">
        <v>360</v>
      </c>
      <c r="M1628" s="55" t="s">
        <v>136</v>
      </c>
      <c r="N1628" s="55" t="s">
        <v>136</v>
      </c>
      <c r="O1628" s="55" t="s">
        <v>270</v>
      </c>
      <c r="P1628" s="55" t="s">
        <v>1752</v>
      </c>
      <c r="Q1628" s="55" t="s">
        <v>350</v>
      </c>
      <c r="R1628" s="85">
        <v>5</v>
      </c>
      <c r="S1628" s="55">
        <v>0</v>
      </c>
      <c r="T1628" s="74" t="s">
        <v>1236</v>
      </c>
      <c r="U1628" s="74" t="s">
        <v>351</v>
      </c>
      <c r="V1628" s="74">
        <v>44607</v>
      </c>
      <c r="W1628" s="74">
        <v>44644</v>
      </c>
      <c r="X1628" s="55">
        <v>10188317</v>
      </c>
      <c r="Y1628" s="55" t="s">
        <v>132</v>
      </c>
      <c r="AB1628" s="74" t="s">
        <v>132</v>
      </c>
      <c r="AC1628" s="55" t="s">
        <v>132</v>
      </c>
      <c r="AL1628" s="74"/>
      <c r="AM1628" s="74"/>
      <c r="AW1628" s="74"/>
      <c r="AX1628" s="74"/>
    </row>
    <row r="1629" spans="1:50" ht="13" x14ac:dyDescent="0.15">
      <c r="A1629" s="55" t="str">
        <f>HYPERLINK("http://reports.ofsted.gov.uk/inspection-reports/find-inspection-report/provider/CARE/2628534","Ofsted Social Care Provider Webpage")</f>
        <v>Ofsted Social Care Provider Webpage</v>
      </c>
      <c r="B1629" s="55">
        <v>2628534</v>
      </c>
      <c r="D1629" s="55" t="s">
        <v>373</v>
      </c>
      <c r="E1629" s="74">
        <v>44307</v>
      </c>
      <c r="F1629" s="55" t="s">
        <v>344</v>
      </c>
      <c r="G1629" s="55" t="s">
        <v>360</v>
      </c>
      <c r="H1629" s="55" t="s">
        <v>360</v>
      </c>
      <c r="I1629" s="55" t="s">
        <v>360</v>
      </c>
      <c r="J1629" s="55" t="s">
        <v>360</v>
      </c>
      <c r="K1629" s="55" t="s">
        <v>360</v>
      </c>
      <c r="L1629" s="55" t="s">
        <v>360</v>
      </c>
      <c r="M1629" s="55" t="s">
        <v>144</v>
      </c>
      <c r="N1629" s="55" t="s">
        <v>144</v>
      </c>
      <c r="O1629" s="55" t="s">
        <v>147</v>
      </c>
      <c r="P1629" s="55" t="s">
        <v>674</v>
      </c>
      <c r="Q1629" s="55" t="s">
        <v>362</v>
      </c>
      <c r="R1629" s="85">
        <v>1</v>
      </c>
      <c r="S1629" s="55">
        <v>0</v>
      </c>
      <c r="T1629" s="74" t="s">
        <v>675</v>
      </c>
      <c r="U1629" s="74" t="s">
        <v>351</v>
      </c>
      <c r="V1629" s="74">
        <v>44335</v>
      </c>
      <c r="W1629" s="74">
        <v>44371</v>
      </c>
      <c r="X1629" s="55">
        <v>10195703</v>
      </c>
      <c r="Y1629" s="55" t="s">
        <v>132</v>
      </c>
      <c r="AB1629" s="74" t="s">
        <v>132</v>
      </c>
      <c r="AC1629" s="55" t="s">
        <v>130</v>
      </c>
      <c r="AL1629" s="74"/>
      <c r="AM1629" s="74"/>
      <c r="AW1629" s="74"/>
      <c r="AX1629" s="74"/>
    </row>
    <row r="1630" spans="1:50" ht="13" x14ac:dyDescent="0.15">
      <c r="A1630" s="55" t="str">
        <f>HYPERLINK("http://reports.ofsted.gov.uk/inspection-reports/find-inspection-report/provider/CARE/2628612","Ofsted Social Care Provider Webpage")</f>
        <v>Ofsted Social Care Provider Webpage</v>
      </c>
      <c r="B1630" s="55">
        <v>2628612</v>
      </c>
      <c r="D1630" s="55" t="s">
        <v>373</v>
      </c>
      <c r="E1630" s="74">
        <v>44463</v>
      </c>
      <c r="F1630" s="55" t="s">
        <v>344</v>
      </c>
      <c r="G1630" s="55" t="s">
        <v>360</v>
      </c>
      <c r="H1630" s="55" t="s">
        <v>360</v>
      </c>
      <c r="I1630" s="55" t="s">
        <v>360</v>
      </c>
      <c r="J1630" s="55" t="s">
        <v>360</v>
      </c>
      <c r="K1630" s="55" t="s">
        <v>360</v>
      </c>
      <c r="L1630" s="55" t="s">
        <v>360</v>
      </c>
      <c r="M1630" s="55" t="s">
        <v>138</v>
      </c>
      <c r="N1630" s="55" t="s">
        <v>138</v>
      </c>
      <c r="O1630" s="55" t="s">
        <v>216</v>
      </c>
      <c r="P1630" s="55" t="s">
        <v>1968</v>
      </c>
      <c r="Q1630" s="55" t="s">
        <v>350</v>
      </c>
      <c r="R1630" s="85">
        <v>3</v>
      </c>
      <c r="S1630" s="55">
        <v>0</v>
      </c>
      <c r="T1630" s="74" t="s">
        <v>2097</v>
      </c>
      <c r="U1630" s="74" t="s">
        <v>351</v>
      </c>
      <c r="V1630" s="74">
        <v>44566</v>
      </c>
      <c r="W1630" s="74">
        <v>44593</v>
      </c>
      <c r="X1630" s="55">
        <v>10209736</v>
      </c>
      <c r="Y1630" s="55" t="s">
        <v>130</v>
      </c>
      <c r="AB1630" s="74" t="s">
        <v>130</v>
      </c>
      <c r="AC1630" s="55" t="s">
        <v>130</v>
      </c>
      <c r="AL1630" s="74"/>
      <c r="AM1630" s="74"/>
      <c r="AW1630" s="74"/>
      <c r="AX1630" s="74"/>
    </row>
    <row r="1631" spans="1:50" ht="13" x14ac:dyDescent="0.15">
      <c r="A1631" s="55" t="str">
        <f>HYPERLINK("http://reports.ofsted.gov.uk/inspection-reports/find-inspection-report/provider/CARE/2628612","Ofsted Social Care Provider Webpage")</f>
        <v>Ofsted Social Care Provider Webpage</v>
      </c>
      <c r="B1631" s="55">
        <v>2628612</v>
      </c>
      <c r="D1631" s="55" t="s">
        <v>373</v>
      </c>
      <c r="E1631" s="74">
        <v>44463</v>
      </c>
      <c r="F1631" s="55" t="s">
        <v>344</v>
      </c>
      <c r="G1631" s="55" t="s">
        <v>360</v>
      </c>
      <c r="H1631" s="55" t="s">
        <v>360</v>
      </c>
      <c r="I1631" s="55" t="s">
        <v>360</v>
      </c>
      <c r="J1631" s="55" t="s">
        <v>360</v>
      </c>
      <c r="K1631" s="55" t="s">
        <v>360</v>
      </c>
      <c r="L1631" s="55" t="s">
        <v>360</v>
      </c>
      <c r="M1631" s="55" t="s">
        <v>138</v>
      </c>
      <c r="N1631" s="55" t="s">
        <v>138</v>
      </c>
      <c r="O1631" s="55" t="s">
        <v>216</v>
      </c>
      <c r="P1631" s="55" t="s">
        <v>1968</v>
      </c>
      <c r="Q1631" s="55" t="s">
        <v>350</v>
      </c>
      <c r="R1631" s="85">
        <v>3</v>
      </c>
      <c r="S1631" s="55">
        <v>0</v>
      </c>
      <c r="T1631" s="74" t="s">
        <v>2097</v>
      </c>
      <c r="U1631" s="74" t="s">
        <v>6703</v>
      </c>
      <c r="V1631" s="74">
        <v>44627</v>
      </c>
      <c r="W1631" s="74">
        <v>44664</v>
      </c>
      <c r="X1631" s="55">
        <v>10220240</v>
      </c>
      <c r="Y1631" s="55" t="s">
        <v>6706</v>
      </c>
      <c r="AL1631" s="74"/>
      <c r="AM1631" s="74"/>
    </row>
    <row r="1632" spans="1:50" ht="13" x14ac:dyDescent="0.15">
      <c r="A1632" s="55" t="str">
        <f>HYPERLINK("http://reports.ofsted.gov.uk/inspection-reports/find-inspection-report/provider/CARE/2629073","Ofsted Social Care Provider Webpage")</f>
        <v>Ofsted Social Care Provider Webpage</v>
      </c>
      <c r="B1632" s="55">
        <v>2629073</v>
      </c>
      <c r="D1632" s="55" t="s">
        <v>373</v>
      </c>
      <c r="E1632" s="74">
        <v>44266</v>
      </c>
      <c r="F1632" s="55" t="s">
        <v>344</v>
      </c>
      <c r="G1632" s="55" t="s">
        <v>360</v>
      </c>
      <c r="H1632" s="55" t="s">
        <v>360</v>
      </c>
      <c r="I1632" s="55" t="s">
        <v>360</v>
      </c>
      <c r="J1632" s="55" t="s">
        <v>360</v>
      </c>
      <c r="K1632" s="55" t="s">
        <v>360</v>
      </c>
      <c r="L1632" s="55" t="s">
        <v>360</v>
      </c>
      <c r="M1632" s="55" t="s">
        <v>378</v>
      </c>
      <c r="N1632" s="55" t="s">
        <v>134</v>
      </c>
      <c r="O1632" s="55" t="s">
        <v>158</v>
      </c>
      <c r="P1632" s="55" t="s">
        <v>912</v>
      </c>
      <c r="Q1632" s="55" t="s">
        <v>350</v>
      </c>
      <c r="R1632" s="85">
        <v>1</v>
      </c>
      <c r="S1632" s="55">
        <v>0</v>
      </c>
      <c r="T1632" s="74" t="s">
        <v>951</v>
      </c>
      <c r="U1632" s="74" t="s">
        <v>351</v>
      </c>
      <c r="V1632" s="74">
        <v>44509</v>
      </c>
      <c r="W1632" s="74">
        <v>44547</v>
      </c>
      <c r="X1632" s="55">
        <v>10188307</v>
      </c>
      <c r="Y1632" s="55" t="s">
        <v>132</v>
      </c>
      <c r="AB1632" s="74" t="s">
        <v>132</v>
      </c>
      <c r="AC1632" s="55" t="s">
        <v>132</v>
      </c>
      <c r="AL1632" s="74"/>
      <c r="AM1632" s="74"/>
    </row>
    <row r="1633" spans="1:50" ht="13" x14ac:dyDescent="0.15">
      <c r="A1633" s="55" t="str">
        <f>HYPERLINK("http://reports.ofsted.gov.uk/inspection-reports/find-inspection-report/provider/CARE/2629097","Ofsted Social Care Provider Webpage")</f>
        <v>Ofsted Social Care Provider Webpage</v>
      </c>
      <c r="B1633" s="55">
        <v>2629097</v>
      </c>
      <c r="D1633" s="55" t="s">
        <v>373</v>
      </c>
      <c r="E1633" s="74">
        <v>44295</v>
      </c>
      <c r="F1633" s="55" t="s">
        <v>344</v>
      </c>
      <c r="G1633" s="55" t="s">
        <v>360</v>
      </c>
      <c r="H1633" s="55" t="s">
        <v>360</v>
      </c>
      <c r="I1633" s="55" t="s">
        <v>360</v>
      </c>
      <c r="J1633" s="55" t="s">
        <v>360</v>
      </c>
      <c r="K1633" s="55" t="s">
        <v>360</v>
      </c>
      <c r="L1633" s="55" t="s">
        <v>360</v>
      </c>
      <c r="M1633" s="55" t="s">
        <v>150</v>
      </c>
      <c r="N1633" s="55" t="s">
        <v>150</v>
      </c>
      <c r="O1633" s="55" t="s">
        <v>237</v>
      </c>
      <c r="P1633" s="55" t="s">
        <v>990</v>
      </c>
      <c r="Q1633" s="55" t="s">
        <v>350</v>
      </c>
      <c r="R1633" s="85">
        <v>3</v>
      </c>
      <c r="S1633" s="55">
        <v>0</v>
      </c>
      <c r="T1633" s="74" t="s">
        <v>962</v>
      </c>
      <c r="U1633" s="74" t="s">
        <v>351</v>
      </c>
      <c r="V1633" s="74">
        <v>44565</v>
      </c>
      <c r="W1633" s="74">
        <v>44616</v>
      </c>
      <c r="X1633" s="55">
        <v>10193626</v>
      </c>
      <c r="Y1633" s="55" t="s">
        <v>130</v>
      </c>
      <c r="AB1633" s="74" t="s">
        <v>130</v>
      </c>
      <c r="AC1633" s="55" t="s">
        <v>146</v>
      </c>
      <c r="AL1633" s="74"/>
      <c r="AM1633" s="74"/>
      <c r="AW1633" s="74"/>
      <c r="AX1633" s="74"/>
    </row>
    <row r="1634" spans="1:50" ht="13" x14ac:dyDescent="0.15">
      <c r="A1634" s="55" t="str">
        <f>HYPERLINK("http://reports.ofsted.gov.uk/inspection-reports/find-inspection-report/provider/CARE/2629230","Ofsted Social Care Provider Webpage")</f>
        <v>Ofsted Social Care Provider Webpage</v>
      </c>
      <c r="B1634" s="55">
        <v>2629230</v>
      </c>
      <c r="D1634" s="55" t="s">
        <v>373</v>
      </c>
      <c r="E1634" s="74">
        <v>44355</v>
      </c>
      <c r="F1634" s="55" t="s">
        <v>344</v>
      </c>
      <c r="G1634" s="55" t="s">
        <v>360</v>
      </c>
      <c r="H1634" s="55" t="s">
        <v>360</v>
      </c>
      <c r="I1634" s="55" t="s">
        <v>360</v>
      </c>
      <c r="J1634" s="55" t="s">
        <v>360</v>
      </c>
      <c r="K1634" s="55" t="s">
        <v>360</v>
      </c>
      <c r="L1634" s="55" t="s">
        <v>360</v>
      </c>
      <c r="M1634" s="55" t="s">
        <v>142</v>
      </c>
      <c r="N1634" s="55" t="s">
        <v>142</v>
      </c>
      <c r="O1634" s="55" t="s">
        <v>292</v>
      </c>
      <c r="P1634" s="55" t="s">
        <v>1162</v>
      </c>
      <c r="Q1634" s="55" t="s">
        <v>350</v>
      </c>
      <c r="R1634" s="85">
        <v>2</v>
      </c>
      <c r="S1634" s="55">
        <v>0</v>
      </c>
      <c r="T1634" s="74" t="s">
        <v>2049</v>
      </c>
      <c r="U1634" s="74" t="s">
        <v>351</v>
      </c>
      <c r="V1634" s="74">
        <v>44572</v>
      </c>
      <c r="W1634" s="74">
        <v>44610</v>
      </c>
      <c r="X1634" s="55">
        <v>10202748</v>
      </c>
      <c r="Y1634" s="55" t="s">
        <v>130</v>
      </c>
      <c r="AB1634" s="74" t="s">
        <v>130</v>
      </c>
      <c r="AC1634" s="55" t="s">
        <v>130</v>
      </c>
      <c r="AL1634" s="74"/>
      <c r="AM1634" s="74"/>
      <c r="AW1634" s="74"/>
      <c r="AX1634" s="74"/>
    </row>
    <row r="1635" spans="1:50" ht="13" x14ac:dyDescent="0.15">
      <c r="A1635" s="55" t="str">
        <f>HYPERLINK("http://reports.ofsted.gov.uk/inspection-reports/find-inspection-report/provider/CARE/2629335","Ofsted Social Care Provider Webpage")</f>
        <v>Ofsted Social Care Provider Webpage</v>
      </c>
      <c r="B1635" s="55">
        <v>2629335</v>
      </c>
      <c r="D1635" s="55" t="s">
        <v>373</v>
      </c>
      <c r="E1635" s="74">
        <v>44258</v>
      </c>
      <c r="F1635" s="55" t="s">
        <v>344</v>
      </c>
      <c r="G1635" s="55" t="s">
        <v>360</v>
      </c>
      <c r="H1635" s="55" t="s">
        <v>360</v>
      </c>
      <c r="I1635" s="55" t="s">
        <v>360</v>
      </c>
      <c r="J1635" s="55" t="s">
        <v>360</v>
      </c>
      <c r="K1635" s="55" t="s">
        <v>360</v>
      </c>
      <c r="L1635" s="55" t="s">
        <v>360</v>
      </c>
      <c r="M1635" s="55" t="s">
        <v>378</v>
      </c>
      <c r="N1635" s="55" t="s">
        <v>134</v>
      </c>
      <c r="O1635" s="55" t="s">
        <v>246</v>
      </c>
      <c r="P1635" s="55" t="s">
        <v>246</v>
      </c>
      <c r="Q1635" s="55" t="s">
        <v>380</v>
      </c>
      <c r="R1635" s="85">
        <v>2</v>
      </c>
      <c r="S1635" s="55">
        <v>0</v>
      </c>
      <c r="T1635" s="74" t="s">
        <v>1916</v>
      </c>
      <c r="U1635" s="74" t="s">
        <v>351</v>
      </c>
      <c r="V1635" s="74">
        <v>44397</v>
      </c>
      <c r="W1635" s="74">
        <v>44431</v>
      </c>
      <c r="X1635" s="55">
        <v>10188297</v>
      </c>
      <c r="Y1635" s="55" t="s">
        <v>132</v>
      </c>
      <c r="AB1635" s="74" t="s">
        <v>132</v>
      </c>
      <c r="AC1635" s="55" t="s">
        <v>130</v>
      </c>
      <c r="AL1635" s="74"/>
      <c r="AM1635" s="74"/>
    </row>
    <row r="1636" spans="1:50" ht="13" x14ac:dyDescent="0.15">
      <c r="A1636" s="55" t="str">
        <f>HYPERLINK("http://reports.ofsted.gov.uk/inspection-reports/find-inspection-report/provider/CARE/2629335","Ofsted Social Care Provider Webpage")</f>
        <v>Ofsted Social Care Provider Webpage</v>
      </c>
      <c r="B1636" s="55">
        <v>2629335</v>
      </c>
      <c r="D1636" s="55" t="s">
        <v>373</v>
      </c>
      <c r="E1636" s="74">
        <v>44258</v>
      </c>
      <c r="F1636" s="55" t="s">
        <v>344</v>
      </c>
      <c r="G1636" s="55" t="s">
        <v>360</v>
      </c>
      <c r="H1636" s="55" t="s">
        <v>360</v>
      </c>
      <c r="I1636" s="55" t="s">
        <v>360</v>
      </c>
      <c r="J1636" s="55" t="s">
        <v>360</v>
      </c>
      <c r="K1636" s="55" t="s">
        <v>360</v>
      </c>
      <c r="L1636" s="55" t="s">
        <v>360</v>
      </c>
      <c r="M1636" s="55" t="s">
        <v>378</v>
      </c>
      <c r="N1636" s="55" t="s">
        <v>134</v>
      </c>
      <c r="O1636" s="55" t="s">
        <v>246</v>
      </c>
      <c r="P1636" s="55" t="s">
        <v>246</v>
      </c>
      <c r="Q1636" s="55" t="s">
        <v>380</v>
      </c>
      <c r="R1636" s="85">
        <v>2</v>
      </c>
      <c r="S1636" s="55">
        <v>0</v>
      </c>
      <c r="T1636" s="74" t="s">
        <v>1916</v>
      </c>
      <c r="U1636" s="74" t="s">
        <v>2053</v>
      </c>
      <c r="V1636" s="74">
        <v>44572</v>
      </c>
      <c r="W1636" s="74">
        <v>44601</v>
      </c>
      <c r="X1636" s="55">
        <v>10218539</v>
      </c>
      <c r="AL1636" s="74"/>
      <c r="AM1636" s="74"/>
    </row>
    <row r="1637" spans="1:50" ht="13" x14ac:dyDescent="0.15">
      <c r="A1637" s="55" t="str">
        <f>HYPERLINK("http://reports.ofsted.gov.uk/inspection-reports/find-inspection-report/provider/CARE/2629335","Ofsted Social Care Provider Webpage")</f>
        <v>Ofsted Social Care Provider Webpage</v>
      </c>
      <c r="B1637" s="55">
        <v>2629335</v>
      </c>
      <c r="D1637" s="55" t="s">
        <v>373</v>
      </c>
      <c r="E1637" s="74">
        <v>44258</v>
      </c>
      <c r="F1637" s="55" t="s">
        <v>344</v>
      </c>
      <c r="G1637" s="55" t="s">
        <v>360</v>
      </c>
      <c r="H1637" s="55" t="s">
        <v>360</v>
      </c>
      <c r="I1637" s="55" t="s">
        <v>360</v>
      </c>
      <c r="J1637" s="55" t="s">
        <v>360</v>
      </c>
      <c r="K1637" s="55" t="s">
        <v>360</v>
      </c>
      <c r="L1637" s="55" t="s">
        <v>360</v>
      </c>
      <c r="M1637" s="55" t="s">
        <v>378</v>
      </c>
      <c r="N1637" s="55" t="s">
        <v>134</v>
      </c>
      <c r="O1637" s="55" t="s">
        <v>246</v>
      </c>
      <c r="P1637" s="55" t="s">
        <v>246</v>
      </c>
      <c r="Q1637" s="55" t="s">
        <v>380</v>
      </c>
      <c r="R1637" s="85">
        <v>2</v>
      </c>
      <c r="S1637" s="55">
        <v>0</v>
      </c>
      <c r="T1637" s="74" t="s">
        <v>1916</v>
      </c>
      <c r="U1637" s="74" t="s">
        <v>2053</v>
      </c>
      <c r="V1637" s="74">
        <v>44609</v>
      </c>
      <c r="W1637" s="74">
        <v>44652</v>
      </c>
      <c r="X1637" s="55">
        <v>10220237</v>
      </c>
      <c r="AL1637" s="74"/>
      <c r="AM1637" s="74"/>
      <c r="AW1637" s="74"/>
      <c r="AX1637" s="74"/>
    </row>
    <row r="1638" spans="1:50" ht="13" x14ac:dyDescent="0.15">
      <c r="A1638" s="55" t="str">
        <f>HYPERLINK("http://reports.ofsted.gov.uk/inspection-reports/find-inspection-report/provider/CARE/2629398","Ofsted Social Care Provider Webpage")</f>
        <v>Ofsted Social Care Provider Webpage</v>
      </c>
      <c r="B1638" s="55">
        <v>2629398</v>
      </c>
      <c r="D1638" s="55" t="s">
        <v>373</v>
      </c>
      <c r="E1638" s="74">
        <v>44251</v>
      </c>
      <c r="F1638" s="55" t="s">
        <v>6707</v>
      </c>
      <c r="G1638" s="55" t="s">
        <v>360</v>
      </c>
      <c r="H1638" s="55" t="s">
        <v>360</v>
      </c>
      <c r="I1638" s="55" t="s">
        <v>360</v>
      </c>
      <c r="J1638" s="55" t="s">
        <v>360</v>
      </c>
      <c r="K1638" s="55" t="s">
        <v>360</v>
      </c>
      <c r="L1638" s="55" t="s">
        <v>360</v>
      </c>
      <c r="M1638" s="55" t="s">
        <v>172</v>
      </c>
      <c r="N1638" s="55" t="s">
        <v>172</v>
      </c>
      <c r="O1638" s="55" t="s">
        <v>235</v>
      </c>
      <c r="P1638" s="55" t="s">
        <v>1036</v>
      </c>
      <c r="Q1638" s="55" t="s">
        <v>350</v>
      </c>
      <c r="R1638" s="85">
        <v>1</v>
      </c>
      <c r="S1638" s="55">
        <v>0</v>
      </c>
      <c r="T1638" s="74" t="s">
        <v>2144</v>
      </c>
      <c r="U1638" s="74" t="s">
        <v>351</v>
      </c>
      <c r="V1638" s="74">
        <v>44425</v>
      </c>
      <c r="W1638" s="74">
        <v>44460</v>
      </c>
      <c r="X1638" s="55">
        <v>10201544</v>
      </c>
      <c r="Y1638" s="55" t="s">
        <v>132</v>
      </c>
      <c r="AB1638" s="74" t="s">
        <v>130</v>
      </c>
      <c r="AC1638" s="55" t="s">
        <v>132</v>
      </c>
      <c r="AL1638" s="74"/>
      <c r="AM1638" s="74"/>
      <c r="AW1638" s="74"/>
      <c r="AX1638" s="74"/>
    </row>
    <row r="1639" spans="1:50" ht="13" x14ac:dyDescent="0.15">
      <c r="A1639" s="55" t="str">
        <f>HYPERLINK("http://reports.ofsted.gov.uk/inspection-reports/find-inspection-report/provider/CARE/2629398","Ofsted Social Care Provider Webpage")</f>
        <v>Ofsted Social Care Provider Webpage</v>
      </c>
      <c r="B1639" s="55">
        <v>2629398</v>
      </c>
      <c r="D1639" s="55" t="s">
        <v>373</v>
      </c>
      <c r="E1639" s="74">
        <v>44251</v>
      </c>
      <c r="F1639" s="55" t="s">
        <v>6707</v>
      </c>
      <c r="G1639" s="55" t="s">
        <v>360</v>
      </c>
      <c r="H1639" s="55" t="s">
        <v>360</v>
      </c>
      <c r="I1639" s="55" t="s">
        <v>360</v>
      </c>
      <c r="J1639" s="55" t="s">
        <v>360</v>
      </c>
      <c r="K1639" s="55" t="s">
        <v>360</v>
      </c>
      <c r="L1639" s="55" t="s">
        <v>360</v>
      </c>
      <c r="M1639" s="55" t="s">
        <v>172</v>
      </c>
      <c r="N1639" s="55" t="s">
        <v>172</v>
      </c>
      <c r="O1639" s="55" t="s">
        <v>235</v>
      </c>
      <c r="P1639" s="55" t="s">
        <v>1036</v>
      </c>
      <c r="Q1639" s="55" t="s">
        <v>350</v>
      </c>
      <c r="R1639" s="85">
        <v>1</v>
      </c>
      <c r="S1639" s="55">
        <v>0</v>
      </c>
      <c r="T1639" s="74" t="s">
        <v>2144</v>
      </c>
      <c r="U1639" s="74" t="s">
        <v>351</v>
      </c>
      <c r="V1639" s="74">
        <v>44377</v>
      </c>
      <c r="W1639" s="74">
        <v>44413</v>
      </c>
      <c r="X1639" s="55">
        <v>10188284</v>
      </c>
      <c r="Y1639" s="55" t="s">
        <v>146</v>
      </c>
      <c r="AB1639" s="74" t="s">
        <v>146</v>
      </c>
      <c r="AC1639" s="55" t="s">
        <v>146</v>
      </c>
      <c r="AL1639" s="74"/>
      <c r="AM1639" s="74"/>
      <c r="AW1639" s="74"/>
      <c r="AX1639" s="74"/>
    </row>
    <row r="1640" spans="1:50" ht="13" x14ac:dyDescent="0.15">
      <c r="A1640" s="55" t="str">
        <f>HYPERLINK("http://reports.ofsted.gov.uk/inspection-reports/find-inspection-report/provider/CARE/2629902","Ofsted Social Care Provider Webpage")</f>
        <v>Ofsted Social Care Provider Webpage</v>
      </c>
      <c r="B1640" s="55">
        <v>2629902</v>
      </c>
      <c r="D1640" s="55" t="s">
        <v>373</v>
      </c>
      <c r="E1640" s="74">
        <v>44343</v>
      </c>
      <c r="F1640" s="55" t="s">
        <v>344</v>
      </c>
      <c r="G1640" s="55" t="s">
        <v>360</v>
      </c>
      <c r="H1640" s="55" t="s">
        <v>360</v>
      </c>
      <c r="I1640" s="55" t="s">
        <v>360</v>
      </c>
      <c r="J1640" s="55" t="s">
        <v>360</v>
      </c>
      <c r="K1640" s="55" t="s">
        <v>360</v>
      </c>
      <c r="L1640" s="55" t="s">
        <v>360</v>
      </c>
      <c r="M1640" s="55" t="s">
        <v>378</v>
      </c>
      <c r="N1640" s="55" t="s">
        <v>170</v>
      </c>
      <c r="O1640" s="55" t="s">
        <v>243</v>
      </c>
      <c r="P1640" s="55" t="s">
        <v>1786</v>
      </c>
      <c r="Q1640" s="55" t="s">
        <v>350</v>
      </c>
      <c r="R1640" s="85">
        <v>5</v>
      </c>
      <c r="S1640" s="55">
        <v>0</v>
      </c>
      <c r="T1640" s="74" t="s">
        <v>481</v>
      </c>
      <c r="U1640" s="74" t="s">
        <v>351</v>
      </c>
      <c r="V1640" s="74">
        <v>44496</v>
      </c>
      <c r="W1640" s="74">
        <v>44537</v>
      </c>
      <c r="X1640" s="55">
        <v>10198687</v>
      </c>
      <c r="Y1640" s="55" t="s">
        <v>130</v>
      </c>
      <c r="AB1640" s="74" t="s">
        <v>130</v>
      </c>
      <c r="AC1640" s="55" t="s">
        <v>130</v>
      </c>
      <c r="AL1640" s="74"/>
      <c r="AM1640" s="74"/>
      <c r="AW1640" s="74"/>
      <c r="AX1640" s="74"/>
    </row>
    <row r="1641" spans="1:50" ht="13" x14ac:dyDescent="0.15">
      <c r="A1641" s="55" t="str">
        <f>HYPERLINK("http://reports.ofsted.gov.uk/inspection-reports/find-inspection-report/provider/CARE/2630701","Ofsted Social Care Provider Webpage")</f>
        <v>Ofsted Social Care Provider Webpage</v>
      </c>
      <c r="B1641" s="55">
        <v>2630701</v>
      </c>
      <c r="D1641" s="55" t="s">
        <v>373</v>
      </c>
      <c r="E1641" s="74">
        <v>44404</v>
      </c>
      <c r="F1641" s="55" t="s">
        <v>344</v>
      </c>
      <c r="G1641" s="55" t="s">
        <v>360</v>
      </c>
      <c r="H1641" s="55" t="s">
        <v>360</v>
      </c>
      <c r="I1641" s="55" t="s">
        <v>360</v>
      </c>
      <c r="J1641" s="55" t="s">
        <v>360</v>
      </c>
      <c r="K1641" s="55" t="s">
        <v>360</v>
      </c>
      <c r="L1641" s="55" t="s">
        <v>360</v>
      </c>
      <c r="M1641" s="55" t="s">
        <v>378</v>
      </c>
      <c r="N1641" s="55" t="s">
        <v>134</v>
      </c>
      <c r="O1641" s="55" t="s">
        <v>251</v>
      </c>
      <c r="P1641" s="55" t="s">
        <v>1709</v>
      </c>
      <c r="Q1641" s="55" t="s">
        <v>350</v>
      </c>
      <c r="R1641" s="85">
        <v>2</v>
      </c>
      <c r="S1641" s="55">
        <v>0</v>
      </c>
      <c r="T1641" s="74" t="s">
        <v>2098</v>
      </c>
      <c r="U1641" s="74" t="s">
        <v>351</v>
      </c>
      <c r="V1641" s="74">
        <v>44566</v>
      </c>
      <c r="W1641" s="74">
        <v>44624</v>
      </c>
      <c r="X1641" s="55">
        <v>10206616</v>
      </c>
      <c r="Y1641" s="55" t="s">
        <v>130</v>
      </c>
      <c r="AB1641" s="74" t="s">
        <v>130</v>
      </c>
      <c r="AC1641" s="55" t="s">
        <v>130</v>
      </c>
      <c r="AL1641" s="74"/>
      <c r="AM1641" s="74"/>
      <c r="AW1641" s="74"/>
      <c r="AX1641" s="74"/>
    </row>
    <row r="1642" spans="1:50" ht="13" x14ac:dyDescent="0.15">
      <c r="A1642" s="55" t="str">
        <f>HYPERLINK("http://reports.ofsted.gov.uk/inspection-reports/find-inspection-report/provider/CARE/2630728","Ofsted Social Care Provider Webpage")</f>
        <v>Ofsted Social Care Provider Webpage</v>
      </c>
      <c r="B1642" s="55">
        <v>2630728</v>
      </c>
      <c r="D1642" s="55" t="s">
        <v>373</v>
      </c>
      <c r="E1642" s="74">
        <v>44390</v>
      </c>
      <c r="F1642" s="55" t="s">
        <v>344</v>
      </c>
      <c r="G1642" s="55" t="s">
        <v>360</v>
      </c>
      <c r="H1642" s="55" t="s">
        <v>360</v>
      </c>
      <c r="I1642" s="55" t="s">
        <v>360</v>
      </c>
      <c r="J1642" s="55" t="s">
        <v>360</v>
      </c>
      <c r="K1642" s="55" t="s">
        <v>360</v>
      </c>
      <c r="L1642" s="55" t="s">
        <v>360</v>
      </c>
      <c r="M1642" s="55" t="s">
        <v>378</v>
      </c>
      <c r="N1642" s="55" t="s">
        <v>170</v>
      </c>
      <c r="O1642" s="55" t="s">
        <v>267</v>
      </c>
      <c r="P1642" s="55" t="s">
        <v>477</v>
      </c>
      <c r="Q1642" s="55" t="s">
        <v>362</v>
      </c>
      <c r="R1642" s="85">
        <v>3</v>
      </c>
      <c r="S1642" s="55">
        <v>0</v>
      </c>
      <c r="T1642" s="74" t="s">
        <v>2099</v>
      </c>
      <c r="U1642" s="74" t="s">
        <v>351</v>
      </c>
      <c r="V1642" s="74">
        <v>44628</v>
      </c>
      <c r="W1642" s="74">
        <v>44672</v>
      </c>
      <c r="X1642" s="55">
        <v>10204551</v>
      </c>
      <c r="Y1642" s="55" t="s">
        <v>132</v>
      </c>
      <c r="AB1642" s="74" t="s">
        <v>132</v>
      </c>
      <c r="AC1642" s="55" t="s">
        <v>132</v>
      </c>
      <c r="AL1642" s="74"/>
      <c r="AM1642" s="74"/>
      <c r="AW1642" s="74"/>
      <c r="AX1642" s="74"/>
    </row>
    <row r="1643" spans="1:50" ht="13" x14ac:dyDescent="0.15">
      <c r="A1643" s="55" t="str">
        <f>HYPERLINK("http://reports.ofsted.gov.uk/inspection-reports/find-inspection-report/provider/CARE/2630934","Ofsted Social Care Provider Webpage")</f>
        <v>Ofsted Social Care Provider Webpage</v>
      </c>
      <c r="B1643" s="55">
        <v>2630934</v>
      </c>
      <c r="D1643" s="55" t="s">
        <v>373</v>
      </c>
      <c r="E1643" s="74">
        <v>44260</v>
      </c>
      <c r="F1643" s="55" t="s">
        <v>344</v>
      </c>
      <c r="G1643" s="55" t="s">
        <v>360</v>
      </c>
      <c r="H1643" s="55" t="s">
        <v>360</v>
      </c>
      <c r="I1643" s="55" t="s">
        <v>360</v>
      </c>
      <c r="J1643" s="55" t="s">
        <v>360</v>
      </c>
      <c r="K1643" s="55" t="s">
        <v>360</v>
      </c>
      <c r="L1643" s="55" t="s">
        <v>360</v>
      </c>
      <c r="M1643" s="55" t="s">
        <v>172</v>
      </c>
      <c r="N1643" s="55" t="s">
        <v>172</v>
      </c>
      <c r="O1643" s="55" t="s">
        <v>173</v>
      </c>
      <c r="P1643" s="55" t="s">
        <v>1258</v>
      </c>
      <c r="Q1643" s="55" t="s">
        <v>350</v>
      </c>
      <c r="R1643" s="85">
        <v>5</v>
      </c>
      <c r="S1643" s="55">
        <v>0</v>
      </c>
      <c r="T1643" s="74" t="s">
        <v>450</v>
      </c>
      <c r="U1643" s="74" t="s">
        <v>351</v>
      </c>
      <c r="V1643" s="74">
        <v>44530</v>
      </c>
      <c r="W1643" s="74">
        <v>44571</v>
      </c>
      <c r="X1643" s="55">
        <v>10188302</v>
      </c>
      <c r="Y1643" s="55" t="s">
        <v>132</v>
      </c>
      <c r="AB1643" s="74" t="s">
        <v>132</v>
      </c>
      <c r="AC1643" s="55" t="s">
        <v>130</v>
      </c>
      <c r="AL1643" s="74"/>
      <c r="AM1643" s="74"/>
      <c r="AW1643" s="74"/>
      <c r="AX1643" s="74"/>
    </row>
    <row r="1644" spans="1:50" ht="13" x14ac:dyDescent="0.15">
      <c r="A1644" s="55" t="str">
        <f>HYPERLINK("http://reports.ofsted.gov.uk/inspection-reports/find-inspection-report/provider/CARE/2631136","Ofsted Social Care Provider Webpage")</f>
        <v>Ofsted Social Care Provider Webpage</v>
      </c>
      <c r="B1644" s="55">
        <v>2631136</v>
      </c>
      <c r="D1644" s="55" t="s">
        <v>373</v>
      </c>
      <c r="E1644" s="74">
        <v>44379</v>
      </c>
      <c r="F1644" s="55" t="s">
        <v>344</v>
      </c>
      <c r="G1644" s="55" t="s">
        <v>360</v>
      </c>
      <c r="H1644" s="55" t="s">
        <v>360</v>
      </c>
      <c r="I1644" s="55" t="s">
        <v>360</v>
      </c>
      <c r="J1644" s="55" t="s">
        <v>360</v>
      </c>
      <c r="K1644" s="55" t="s">
        <v>360</v>
      </c>
      <c r="L1644" s="55" t="s">
        <v>360</v>
      </c>
      <c r="M1644" s="55" t="s">
        <v>144</v>
      </c>
      <c r="N1644" s="55" t="s">
        <v>144</v>
      </c>
      <c r="O1644" s="55" t="s">
        <v>209</v>
      </c>
      <c r="P1644" s="55" t="s">
        <v>777</v>
      </c>
      <c r="Q1644" s="55" t="s">
        <v>350</v>
      </c>
      <c r="R1644" s="85">
        <v>2</v>
      </c>
      <c r="S1644" s="55">
        <v>0</v>
      </c>
      <c r="T1644" s="74" t="s">
        <v>2105</v>
      </c>
      <c r="U1644" s="74" t="s">
        <v>351</v>
      </c>
      <c r="V1644" s="74">
        <v>44614</v>
      </c>
      <c r="W1644" s="74">
        <v>44658</v>
      </c>
      <c r="X1644" s="55">
        <v>10210503</v>
      </c>
      <c r="Y1644" s="55" t="s">
        <v>132</v>
      </c>
      <c r="AB1644" s="74" t="s">
        <v>132</v>
      </c>
      <c r="AC1644" s="55" t="s">
        <v>132</v>
      </c>
      <c r="AL1644" s="74"/>
      <c r="AM1644" s="74"/>
    </row>
    <row r="1645" spans="1:50" ht="13" x14ac:dyDescent="0.15">
      <c r="A1645" s="55" t="str">
        <f>HYPERLINK("http://reports.ofsted.gov.uk/inspection-reports/find-inspection-report/provider/CARE/2631195","Ofsted Social Care Provider Webpage")</f>
        <v>Ofsted Social Care Provider Webpage</v>
      </c>
      <c r="B1645" s="55">
        <v>2631195</v>
      </c>
      <c r="D1645" s="55" t="s">
        <v>373</v>
      </c>
      <c r="E1645" s="74">
        <v>44295</v>
      </c>
      <c r="F1645" s="55" t="s">
        <v>6707</v>
      </c>
      <c r="G1645" s="55" t="s">
        <v>360</v>
      </c>
      <c r="H1645" s="55" t="s">
        <v>360</v>
      </c>
      <c r="I1645" s="55" t="s">
        <v>360</v>
      </c>
      <c r="J1645" s="55" t="s">
        <v>360</v>
      </c>
      <c r="K1645" s="55" t="s">
        <v>360</v>
      </c>
      <c r="L1645" s="55" t="s">
        <v>360</v>
      </c>
      <c r="M1645" s="55" t="s">
        <v>150</v>
      </c>
      <c r="N1645" s="55" t="s">
        <v>150</v>
      </c>
      <c r="O1645" s="55" t="s">
        <v>237</v>
      </c>
      <c r="P1645" s="55" t="s">
        <v>990</v>
      </c>
      <c r="Q1645" s="55" t="s">
        <v>350</v>
      </c>
      <c r="R1645" s="85">
        <v>3</v>
      </c>
      <c r="S1645" s="55">
        <v>0</v>
      </c>
      <c r="T1645" s="74" t="s">
        <v>962</v>
      </c>
      <c r="U1645" s="74" t="s">
        <v>351</v>
      </c>
      <c r="V1645" s="74">
        <v>44571</v>
      </c>
      <c r="W1645" s="74">
        <v>44616</v>
      </c>
      <c r="X1645" s="55">
        <v>10193625</v>
      </c>
      <c r="Y1645" s="55" t="s">
        <v>146</v>
      </c>
      <c r="AB1645" s="74" t="s">
        <v>146</v>
      </c>
      <c r="AC1645" s="55" t="s">
        <v>146</v>
      </c>
      <c r="AL1645" s="74"/>
      <c r="AM1645" s="74"/>
      <c r="AW1645" s="74"/>
      <c r="AX1645" s="74"/>
    </row>
    <row r="1646" spans="1:50" ht="13" x14ac:dyDescent="0.15">
      <c r="A1646" s="55" t="str">
        <f>HYPERLINK("http://reports.ofsted.gov.uk/inspection-reports/find-inspection-report/provider/CARE/2631195","Ofsted Social Care Provider Webpage")</f>
        <v>Ofsted Social Care Provider Webpage</v>
      </c>
      <c r="B1646" s="55">
        <v>2631195</v>
      </c>
      <c r="D1646" s="55" t="s">
        <v>373</v>
      </c>
      <c r="E1646" s="74">
        <v>44295</v>
      </c>
      <c r="F1646" s="55" t="s">
        <v>6707</v>
      </c>
      <c r="G1646" s="55" t="s">
        <v>360</v>
      </c>
      <c r="H1646" s="55" t="s">
        <v>360</v>
      </c>
      <c r="I1646" s="55" t="s">
        <v>360</v>
      </c>
      <c r="J1646" s="55" t="s">
        <v>360</v>
      </c>
      <c r="K1646" s="55" t="s">
        <v>360</v>
      </c>
      <c r="L1646" s="55" t="s">
        <v>360</v>
      </c>
      <c r="M1646" s="55" t="s">
        <v>150</v>
      </c>
      <c r="N1646" s="55" t="s">
        <v>150</v>
      </c>
      <c r="O1646" s="55" t="s">
        <v>237</v>
      </c>
      <c r="P1646" s="55" t="s">
        <v>990</v>
      </c>
      <c r="Q1646" s="55" t="s">
        <v>350</v>
      </c>
      <c r="R1646" s="85">
        <v>3</v>
      </c>
      <c r="S1646" s="55">
        <v>0</v>
      </c>
      <c r="T1646" s="74" t="s">
        <v>962</v>
      </c>
      <c r="U1646" s="74" t="s">
        <v>2053</v>
      </c>
      <c r="V1646" s="74">
        <v>44580</v>
      </c>
      <c r="W1646" s="74">
        <v>44621</v>
      </c>
      <c r="X1646" s="55">
        <v>10220234</v>
      </c>
      <c r="AL1646" s="74"/>
      <c r="AM1646" s="74"/>
      <c r="AW1646" s="74"/>
      <c r="AX1646" s="74"/>
    </row>
    <row r="1647" spans="1:50" ht="13" x14ac:dyDescent="0.15">
      <c r="A1647" s="55" t="str">
        <f>HYPERLINK("http://reports.ofsted.gov.uk/inspection-reports/find-inspection-report/provider/CARE/2631221","Ofsted Social Care Provider Webpage")</f>
        <v>Ofsted Social Care Provider Webpage</v>
      </c>
      <c r="B1647" s="55">
        <v>2631221</v>
      </c>
      <c r="D1647" s="55" t="s">
        <v>373</v>
      </c>
      <c r="E1647" s="74">
        <v>44334</v>
      </c>
      <c r="F1647" s="55" t="s">
        <v>344</v>
      </c>
      <c r="G1647" s="55" t="s">
        <v>360</v>
      </c>
      <c r="H1647" s="55" t="s">
        <v>360</v>
      </c>
      <c r="I1647" s="55" t="s">
        <v>360</v>
      </c>
      <c r="J1647" s="55" t="s">
        <v>360</v>
      </c>
      <c r="K1647" s="55" t="s">
        <v>360</v>
      </c>
      <c r="L1647" s="55" t="s">
        <v>360</v>
      </c>
      <c r="M1647" s="55" t="s">
        <v>144</v>
      </c>
      <c r="N1647" s="55" t="s">
        <v>144</v>
      </c>
      <c r="O1647" s="55" t="s">
        <v>168</v>
      </c>
      <c r="P1647" s="55" t="s">
        <v>2110</v>
      </c>
      <c r="Q1647" s="55" t="s">
        <v>350</v>
      </c>
      <c r="R1647" s="85">
        <v>1</v>
      </c>
      <c r="S1647" s="55">
        <v>0</v>
      </c>
      <c r="T1647" s="74" t="s">
        <v>2111</v>
      </c>
      <c r="U1647" s="74" t="s">
        <v>351</v>
      </c>
      <c r="V1647" s="74">
        <v>44581</v>
      </c>
      <c r="W1647" s="74">
        <v>44621</v>
      </c>
      <c r="X1647" s="55">
        <v>10198643</v>
      </c>
      <c r="Y1647" s="55" t="s">
        <v>132</v>
      </c>
      <c r="AB1647" s="74" t="s">
        <v>132</v>
      </c>
      <c r="AC1647" s="55" t="s">
        <v>132</v>
      </c>
      <c r="AL1647" s="74"/>
      <c r="AM1647" s="74"/>
      <c r="AW1647" s="74"/>
      <c r="AX1647" s="74"/>
    </row>
    <row r="1648" spans="1:50" ht="13" x14ac:dyDescent="0.15">
      <c r="A1648" s="55" t="str">
        <f>HYPERLINK("http://reports.ofsted.gov.uk/inspection-reports/find-inspection-report/provider/CARE/2631595","Ofsted Social Care Provider Webpage")</f>
        <v>Ofsted Social Care Provider Webpage</v>
      </c>
      <c r="B1648" s="55">
        <v>2631595</v>
      </c>
      <c r="D1648" s="55" t="s">
        <v>373</v>
      </c>
      <c r="E1648" s="74">
        <v>44333</v>
      </c>
      <c r="F1648" s="55" t="s">
        <v>344</v>
      </c>
      <c r="G1648" s="55" t="s">
        <v>360</v>
      </c>
      <c r="H1648" s="55" t="s">
        <v>360</v>
      </c>
      <c r="I1648" s="55" t="s">
        <v>360</v>
      </c>
      <c r="J1648" s="55" t="s">
        <v>360</v>
      </c>
      <c r="K1648" s="55" t="s">
        <v>360</v>
      </c>
      <c r="L1648" s="55" t="s">
        <v>360</v>
      </c>
      <c r="M1648" s="55" t="s">
        <v>138</v>
      </c>
      <c r="N1648" s="55" t="s">
        <v>138</v>
      </c>
      <c r="O1648" s="55" t="s">
        <v>159</v>
      </c>
      <c r="P1648" s="55" t="s">
        <v>633</v>
      </c>
      <c r="Q1648" s="55" t="s">
        <v>350</v>
      </c>
      <c r="R1648" s="85">
        <v>5</v>
      </c>
      <c r="S1648" s="55">
        <v>0</v>
      </c>
      <c r="T1648" s="74" t="s">
        <v>385</v>
      </c>
      <c r="U1648" s="74" t="s">
        <v>351</v>
      </c>
      <c r="V1648" s="74">
        <v>44516</v>
      </c>
      <c r="W1648" s="74">
        <v>44547</v>
      </c>
      <c r="X1648" s="55">
        <v>10197521</v>
      </c>
      <c r="Y1648" s="55" t="s">
        <v>132</v>
      </c>
      <c r="AB1648" s="74" t="s">
        <v>132</v>
      </c>
      <c r="AC1648" s="55" t="s">
        <v>132</v>
      </c>
      <c r="AL1648" s="74"/>
      <c r="AM1648" s="74"/>
      <c r="AW1648" s="74"/>
      <c r="AX1648" s="74"/>
    </row>
    <row r="1649" spans="1:50" ht="13" x14ac:dyDescent="0.15">
      <c r="A1649" s="55" t="str">
        <f>HYPERLINK("http://reports.ofsted.gov.uk/inspection-reports/find-inspection-report/provider/CARE/2631690","Ofsted Social Care Provider Webpage")</f>
        <v>Ofsted Social Care Provider Webpage</v>
      </c>
      <c r="B1649" s="55">
        <v>2631690</v>
      </c>
      <c r="D1649" s="55" t="s">
        <v>373</v>
      </c>
      <c r="E1649" s="74">
        <v>44315</v>
      </c>
      <c r="F1649" s="55" t="s">
        <v>344</v>
      </c>
      <c r="G1649" s="55" t="s">
        <v>360</v>
      </c>
      <c r="H1649" s="55" t="s">
        <v>360</v>
      </c>
      <c r="I1649" s="55" t="s">
        <v>360</v>
      </c>
      <c r="J1649" s="55" t="s">
        <v>360</v>
      </c>
      <c r="K1649" s="55" t="s">
        <v>360</v>
      </c>
      <c r="L1649" s="55" t="s">
        <v>360</v>
      </c>
      <c r="M1649" s="55" t="s">
        <v>142</v>
      </c>
      <c r="N1649" s="55" t="s">
        <v>142</v>
      </c>
      <c r="O1649" s="55" t="s">
        <v>195</v>
      </c>
      <c r="P1649" s="55" t="s">
        <v>518</v>
      </c>
      <c r="Q1649" s="55" t="s">
        <v>350</v>
      </c>
      <c r="R1649" s="85">
        <v>3</v>
      </c>
      <c r="S1649" s="55">
        <v>0</v>
      </c>
      <c r="T1649" s="74" t="s">
        <v>1115</v>
      </c>
      <c r="U1649" s="74" t="s">
        <v>351</v>
      </c>
      <c r="V1649" s="74">
        <v>44628</v>
      </c>
      <c r="W1649" s="74">
        <v>44672</v>
      </c>
      <c r="X1649" s="55">
        <v>10196888</v>
      </c>
      <c r="Y1649" s="55" t="s">
        <v>132</v>
      </c>
      <c r="AB1649" s="74" t="s">
        <v>132</v>
      </c>
      <c r="AC1649" s="55" t="s">
        <v>132</v>
      </c>
      <c r="AL1649" s="74"/>
      <c r="AM1649" s="74"/>
      <c r="AW1649" s="74"/>
      <c r="AX1649" s="74"/>
    </row>
    <row r="1650" spans="1:50" ht="13" x14ac:dyDescent="0.15">
      <c r="A1650" s="55" t="str">
        <f>HYPERLINK("http://reports.ofsted.gov.uk/inspection-reports/find-inspection-report/provider/CARE/2632092","Ofsted Social Care Provider Webpage")</f>
        <v>Ofsted Social Care Provider Webpage</v>
      </c>
      <c r="B1650" s="55">
        <v>2632092</v>
      </c>
      <c r="D1650" s="55" t="s">
        <v>373</v>
      </c>
      <c r="E1650" s="74">
        <v>44305</v>
      </c>
      <c r="F1650" s="55" t="s">
        <v>344</v>
      </c>
      <c r="G1650" s="55" t="s">
        <v>360</v>
      </c>
      <c r="H1650" s="55" t="s">
        <v>360</v>
      </c>
      <c r="I1650" s="55" t="s">
        <v>360</v>
      </c>
      <c r="J1650" s="55" t="s">
        <v>360</v>
      </c>
      <c r="K1650" s="55" t="s">
        <v>360</v>
      </c>
      <c r="L1650" s="55" t="s">
        <v>360</v>
      </c>
      <c r="M1650" s="55" t="s">
        <v>378</v>
      </c>
      <c r="N1650" s="55" t="s">
        <v>134</v>
      </c>
      <c r="O1650" s="55" t="s">
        <v>206</v>
      </c>
      <c r="P1650" s="55" t="s">
        <v>750</v>
      </c>
      <c r="Q1650" s="55" t="s">
        <v>350</v>
      </c>
      <c r="R1650" s="85">
        <v>2</v>
      </c>
      <c r="S1650" s="55">
        <v>0</v>
      </c>
      <c r="T1650" s="74" t="s">
        <v>485</v>
      </c>
      <c r="U1650" s="74" t="s">
        <v>351</v>
      </c>
      <c r="V1650" s="74">
        <v>44586</v>
      </c>
      <c r="W1650" s="74">
        <v>44620</v>
      </c>
      <c r="X1650" s="55">
        <v>10198645</v>
      </c>
      <c r="Y1650" s="55" t="s">
        <v>132</v>
      </c>
      <c r="AB1650" s="74" t="s">
        <v>132</v>
      </c>
      <c r="AC1650" s="55" t="s">
        <v>132</v>
      </c>
      <c r="AL1650" s="74"/>
      <c r="AM1650" s="74"/>
      <c r="AW1650" s="74"/>
      <c r="AX1650" s="74"/>
    </row>
    <row r="1651" spans="1:50" ht="13" x14ac:dyDescent="0.15">
      <c r="A1651" s="55" t="str">
        <f>HYPERLINK("http://reports.ofsted.gov.uk/inspection-reports/find-inspection-report/provider/CARE/2632330","Ofsted Social Care Provider Webpage")</f>
        <v>Ofsted Social Care Provider Webpage</v>
      </c>
      <c r="B1651" s="55">
        <v>2632330</v>
      </c>
      <c r="D1651" s="55" t="s">
        <v>373</v>
      </c>
      <c r="E1651" s="74">
        <v>44302</v>
      </c>
      <c r="F1651" s="55" t="s">
        <v>344</v>
      </c>
      <c r="G1651" s="55" t="s">
        <v>360</v>
      </c>
      <c r="H1651" s="55" t="s">
        <v>360</v>
      </c>
      <c r="I1651" s="55" t="s">
        <v>360</v>
      </c>
      <c r="J1651" s="55" t="s">
        <v>360</v>
      </c>
      <c r="K1651" s="55" t="s">
        <v>360</v>
      </c>
      <c r="L1651" s="55" t="s">
        <v>360</v>
      </c>
      <c r="M1651" s="55" t="s">
        <v>138</v>
      </c>
      <c r="N1651" s="55" t="s">
        <v>138</v>
      </c>
      <c r="O1651" s="55" t="s">
        <v>238</v>
      </c>
      <c r="P1651" s="55" t="s">
        <v>238</v>
      </c>
      <c r="Q1651" s="55" t="s">
        <v>350</v>
      </c>
      <c r="R1651" s="85">
        <v>4</v>
      </c>
      <c r="S1651" s="55">
        <v>0</v>
      </c>
      <c r="T1651" s="74" t="s">
        <v>2113</v>
      </c>
      <c r="U1651" s="74" t="s">
        <v>351</v>
      </c>
      <c r="V1651" s="74">
        <v>44544</v>
      </c>
      <c r="W1651" s="74">
        <v>44589</v>
      </c>
      <c r="X1651" s="55">
        <v>10197522</v>
      </c>
      <c r="Y1651" s="55" t="s">
        <v>132</v>
      </c>
      <c r="AB1651" s="74" t="s">
        <v>132</v>
      </c>
      <c r="AC1651" s="55" t="s">
        <v>132</v>
      </c>
      <c r="AL1651" s="74"/>
      <c r="AM1651" s="74"/>
      <c r="AW1651" s="74"/>
      <c r="AX1651" s="74"/>
    </row>
    <row r="1652" spans="1:50" ht="13" x14ac:dyDescent="0.15">
      <c r="A1652" s="55" t="str">
        <f>HYPERLINK("http://reports.ofsted.gov.uk/inspection-reports/find-inspection-report/provider/CARE/2632727","Ofsted Social Care Provider Webpage")</f>
        <v>Ofsted Social Care Provider Webpage</v>
      </c>
      <c r="B1652" s="55">
        <v>2632727</v>
      </c>
      <c r="D1652" s="55" t="s">
        <v>373</v>
      </c>
      <c r="E1652" s="74">
        <v>44393</v>
      </c>
      <c r="F1652" s="55" t="s">
        <v>344</v>
      </c>
      <c r="G1652" s="55" t="s">
        <v>360</v>
      </c>
      <c r="H1652" s="55" t="s">
        <v>360</v>
      </c>
      <c r="I1652" s="55" t="s">
        <v>360</v>
      </c>
      <c r="J1652" s="55" t="s">
        <v>360</v>
      </c>
      <c r="K1652" s="55" t="s">
        <v>360</v>
      </c>
      <c r="L1652" s="55" t="s">
        <v>360</v>
      </c>
      <c r="M1652" s="55" t="s">
        <v>144</v>
      </c>
      <c r="N1652" s="55" t="s">
        <v>144</v>
      </c>
      <c r="O1652" s="55" t="s">
        <v>209</v>
      </c>
      <c r="P1652" s="55" t="s">
        <v>597</v>
      </c>
      <c r="Q1652" s="55" t="s">
        <v>362</v>
      </c>
      <c r="R1652" s="85">
        <v>2</v>
      </c>
      <c r="S1652" s="55">
        <v>0</v>
      </c>
      <c r="T1652" s="74" t="s">
        <v>2115</v>
      </c>
      <c r="U1652" s="74" t="s">
        <v>351</v>
      </c>
      <c r="V1652" s="74">
        <v>44614</v>
      </c>
      <c r="W1652" s="74">
        <v>44656</v>
      </c>
      <c r="X1652" s="55">
        <v>10210500</v>
      </c>
      <c r="Y1652" s="55" t="s">
        <v>132</v>
      </c>
      <c r="AB1652" s="74" t="s">
        <v>132</v>
      </c>
      <c r="AC1652" s="55" t="s">
        <v>132</v>
      </c>
      <c r="AL1652" s="74"/>
      <c r="AM1652" s="74"/>
      <c r="AW1652" s="74"/>
      <c r="AX1652" s="74"/>
    </row>
    <row r="1653" spans="1:50" ht="13" x14ac:dyDescent="0.15">
      <c r="A1653" s="55" t="str">
        <f>HYPERLINK("http://reports.ofsted.gov.uk/inspection-reports/find-inspection-report/provider/CARE/2632917","Ofsted Social Care Provider Webpage")</f>
        <v>Ofsted Social Care Provider Webpage</v>
      </c>
      <c r="B1653" s="55">
        <v>2632917</v>
      </c>
      <c r="D1653" s="55" t="s">
        <v>373</v>
      </c>
      <c r="E1653" s="74">
        <v>44298</v>
      </c>
      <c r="F1653" s="55" t="s">
        <v>344</v>
      </c>
      <c r="G1653" s="55" t="s">
        <v>360</v>
      </c>
      <c r="H1653" s="55" t="s">
        <v>360</v>
      </c>
      <c r="I1653" s="55" t="s">
        <v>360</v>
      </c>
      <c r="J1653" s="55" t="s">
        <v>360</v>
      </c>
      <c r="K1653" s="55" t="s">
        <v>360</v>
      </c>
      <c r="L1653" s="55" t="s">
        <v>360</v>
      </c>
      <c r="M1653" s="55" t="s">
        <v>136</v>
      </c>
      <c r="N1653" s="55" t="s">
        <v>136</v>
      </c>
      <c r="O1653" s="55" t="s">
        <v>255</v>
      </c>
      <c r="P1653" s="55" t="s">
        <v>757</v>
      </c>
      <c r="Q1653" s="55" t="s">
        <v>350</v>
      </c>
      <c r="R1653" s="85">
        <v>2</v>
      </c>
      <c r="S1653" s="55">
        <v>0</v>
      </c>
      <c r="T1653" s="74" t="s">
        <v>721</v>
      </c>
      <c r="U1653" s="74" t="s">
        <v>2053</v>
      </c>
      <c r="V1653" s="74">
        <v>44453</v>
      </c>
      <c r="W1653" s="74">
        <v>44481</v>
      </c>
      <c r="X1653" s="55">
        <v>10205926</v>
      </c>
      <c r="AL1653" s="74"/>
      <c r="AM1653" s="74"/>
      <c r="AW1653" s="74"/>
      <c r="AX1653" s="74"/>
    </row>
    <row r="1654" spans="1:50" ht="13" x14ac:dyDescent="0.15">
      <c r="A1654" s="55" t="str">
        <f>HYPERLINK("http://reports.ofsted.gov.uk/inspection-reports/find-inspection-report/provider/CARE/2632917","Ofsted Social Care Provider Webpage")</f>
        <v>Ofsted Social Care Provider Webpage</v>
      </c>
      <c r="B1654" s="55">
        <v>2632917</v>
      </c>
      <c r="D1654" s="55" t="s">
        <v>373</v>
      </c>
      <c r="E1654" s="74">
        <v>44298</v>
      </c>
      <c r="F1654" s="55" t="s">
        <v>344</v>
      </c>
      <c r="G1654" s="55" t="s">
        <v>360</v>
      </c>
      <c r="H1654" s="55" t="s">
        <v>360</v>
      </c>
      <c r="I1654" s="55" t="s">
        <v>360</v>
      </c>
      <c r="J1654" s="55" t="s">
        <v>360</v>
      </c>
      <c r="K1654" s="55" t="s">
        <v>360</v>
      </c>
      <c r="L1654" s="55" t="s">
        <v>360</v>
      </c>
      <c r="M1654" s="55" t="s">
        <v>136</v>
      </c>
      <c r="N1654" s="55" t="s">
        <v>136</v>
      </c>
      <c r="O1654" s="55" t="s">
        <v>255</v>
      </c>
      <c r="P1654" s="55" t="s">
        <v>757</v>
      </c>
      <c r="Q1654" s="55" t="s">
        <v>350</v>
      </c>
      <c r="R1654" s="85">
        <v>2</v>
      </c>
      <c r="S1654" s="55">
        <v>0</v>
      </c>
      <c r="T1654" s="74" t="s">
        <v>721</v>
      </c>
      <c r="U1654" s="74" t="s">
        <v>351</v>
      </c>
      <c r="V1654" s="74">
        <v>44411</v>
      </c>
      <c r="W1654" s="74">
        <v>44448</v>
      </c>
      <c r="X1654" s="55">
        <v>10195767</v>
      </c>
      <c r="Y1654" s="55" t="s">
        <v>146</v>
      </c>
      <c r="AB1654" s="74" t="s">
        <v>146</v>
      </c>
      <c r="AC1654" s="55" t="s">
        <v>146</v>
      </c>
      <c r="AL1654" s="74"/>
      <c r="AM1654" s="74"/>
    </row>
    <row r="1655" spans="1:50" ht="13" x14ac:dyDescent="0.15">
      <c r="A1655" s="55" t="str">
        <f>HYPERLINK("http://reports.ofsted.gov.uk/inspection-reports/find-inspection-report/provider/CARE/2632917","Ofsted Social Care Provider Webpage")</f>
        <v>Ofsted Social Care Provider Webpage</v>
      </c>
      <c r="B1655" s="55">
        <v>2632917</v>
      </c>
      <c r="D1655" s="55" t="s">
        <v>373</v>
      </c>
      <c r="E1655" s="74">
        <v>44298</v>
      </c>
      <c r="F1655" s="55" t="s">
        <v>344</v>
      </c>
      <c r="G1655" s="55" t="s">
        <v>360</v>
      </c>
      <c r="H1655" s="55" t="s">
        <v>360</v>
      </c>
      <c r="I1655" s="55" t="s">
        <v>360</v>
      </c>
      <c r="J1655" s="55" t="s">
        <v>360</v>
      </c>
      <c r="K1655" s="55" t="s">
        <v>360</v>
      </c>
      <c r="L1655" s="55" t="s">
        <v>360</v>
      </c>
      <c r="M1655" s="55" t="s">
        <v>136</v>
      </c>
      <c r="N1655" s="55" t="s">
        <v>136</v>
      </c>
      <c r="O1655" s="55" t="s">
        <v>255</v>
      </c>
      <c r="P1655" s="55" t="s">
        <v>757</v>
      </c>
      <c r="Q1655" s="55" t="s">
        <v>350</v>
      </c>
      <c r="R1655" s="85">
        <v>2</v>
      </c>
      <c r="S1655" s="55">
        <v>0</v>
      </c>
      <c r="T1655" s="74" t="s">
        <v>721</v>
      </c>
      <c r="U1655" s="74" t="s">
        <v>351</v>
      </c>
      <c r="V1655" s="74">
        <v>44516</v>
      </c>
      <c r="W1655" s="74">
        <v>44560</v>
      </c>
      <c r="X1655" s="55">
        <v>10205927</v>
      </c>
      <c r="Y1655" s="55" t="s">
        <v>130</v>
      </c>
      <c r="AB1655" s="74" t="s">
        <v>130</v>
      </c>
      <c r="AC1655" s="55" t="s">
        <v>130</v>
      </c>
      <c r="AL1655" s="74"/>
      <c r="AM1655" s="74"/>
      <c r="AW1655" s="74"/>
      <c r="AX1655" s="74"/>
    </row>
    <row r="1656" spans="1:50" ht="13" x14ac:dyDescent="0.15">
      <c r="A1656" s="55" t="str">
        <f>HYPERLINK("http://reports.ofsted.gov.uk/inspection-reports/find-inspection-report/provider/CARE/2633026","Ofsted Social Care Provider Webpage")</f>
        <v>Ofsted Social Care Provider Webpage</v>
      </c>
      <c r="B1656" s="55">
        <v>2633026</v>
      </c>
      <c r="D1656" s="55" t="s">
        <v>373</v>
      </c>
      <c r="E1656" s="74">
        <v>44414</v>
      </c>
      <c r="F1656" s="55" t="s">
        <v>344</v>
      </c>
      <c r="G1656" s="55" t="s">
        <v>360</v>
      </c>
      <c r="H1656" s="55" t="s">
        <v>360</v>
      </c>
      <c r="I1656" s="55" t="s">
        <v>360</v>
      </c>
      <c r="J1656" s="55" t="s">
        <v>360</v>
      </c>
      <c r="K1656" s="55" t="s">
        <v>360</v>
      </c>
      <c r="L1656" s="55" t="s">
        <v>360</v>
      </c>
      <c r="M1656" s="55" t="s">
        <v>172</v>
      </c>
      <c r="N1656" s="55" t="s">
        <v>172</v>
      </c>
      <c r="O1656" s="55" t="s">
        <v>235</v>
      </c>
      <c r="P1656" s="55" t="s">
        <v>1036</v>
      </c>
      <c r="Q1656" s="55" t="s">
        <v>350</v>
      </c>
      <c r="R1656" s="85">
        <v>1</v>
      </c>
      <c r="S1656" s="55">
        <v>0</v>
      </c>
      <c r="T1656" s="74" t="s">
        <v>2116</v>
      </c>
      <c r="U1656" s="74" t="s">
        <v>351</v>
      </c>
      <c r="V1656" s="74">
        <v>44622</v>
      </c>
      <c r="W1656" s="74">
        <v>44665</v>
      </c>
      <c r="X1656" s="55">
        <v>10204279</v>
      </c>
      <c r="Y1656" s="55" t="s">
        <v>132</v>
      </c>
      <c r="AB1656" s="74" t="s">
        <v>130</v>
      </c>
      <c r="AC1656" s="55" t="s">
        <v>132</v>
      </c>
      <c r="AL1656" s="74"/>
      <c r="AM1656" s="74"/>
    </row>
    <row r="1657" spans="1:50" ht="13" x14ac:dyDescent="0.15">
      <c r="A1657" s="55" t="str">
        <f>HYPERLINK("http://reports.ofsted.gov.uk/inspection-reports/find-inspection-report/provider/CARE/2633117","Ofsted Social Care Provider Webpage")</f>
        <v>Ofsted Social Care Provider Webpage</v>
      </c>
      <c r="B1657" s="55">
        <v>2633117</v>
      </c>
      <c r="D1657" s="55" t="s">
        <v>373</v>
      </c>
      <c r="E1657" s="74">
        <v>44307</v>
      </c>
      <c r="F1657" s="55" t="s">
        <v>344</v>
      </c>
      <c r="G1657" s="55" t="s">
        <v>360</v>
      </c>
      <c r="H1657" s="55" t="s">
        <v>360</v>
      </c>
      <c r="I1657" s="55" t="s">
        <v>360</v>
      </c>
      <c r="J1657" s="55" t="s">
        <v>360</v>
      </c>
      <c r="K1657" s="55" t="s">
        <v>360</v>
      </c>
      <c r="L1657" s="55" t="s">
        <v>360</v>
      </c>
      <c r="M1657" s="55" t="s">
        <v>172</v>
      </c>
      <c r="N1657" s="55" t="s">
        <v>172</v>
      </c>
      <c r="O1657" s="55" t="s">
        <v>212</v>
      </c>
      <c r="P1657" s="55" t="s">
        <v>714</v>
      </c>
      <c r="Q1657" s="55" t="s">
        <v>350</v>
      </c>
      <c r="R1657" s="85">
        <v>3</v>
      </c>
      <c r="S1657" s="55">
        <v>0</v>
      </c>
      <c r="T1657" s="74" t="s">
        <v>2118</v>
      </c>
      <c r="U1657" s="74" t="s">
        <v>351</v>
      </c>
      <c r="V1657" s="74">
        <v>44579</v>
      </c>
      <c r="W1657" s="74">
        <v>44607</v>
      </c>
      <c r="X1657" s="55">
        <v>10193023</v>
      </c>
      <c r="Y1657" s="55" t="s">
        <v>130</v>
      </c>
      <c r="AB1657" s="74" t="s">
        <v>130</v>
      </c>
      <c r="AC1657" s="55" t="s">
        <v>130</v>
      </c>
      <c r="AL1657" s="74"/>
      <c r="AM1657" s="74"/>
    </row>
    <row r="1658" spans="1:50" ht="13" x14ac:dyDescent="0.15">
      <c r="A1658" s="55" t="str">
        <f>HYPERLINK("http://reports.ofsted.gov.uk/inspection-reports/find-inspection-report/provider/CARE/2633127","Ofsted Social Care Provider Webpage")</f>
        <v>Ofsted Social Care Provider Webpage</v>
      </c>
      <c r="B1658" s="55">
        <v>2633127</v>
      </c>
      <c r="D1658" s="55" t="s">
        <v>373</v>
      </c>
      <c r="E1658" s="74">
        <v>44390</v>
      </c>
      <c r="F1658" s="55" t="s">
        <v>344</v>
      </c>
      <c r="G1658" s="55" t="s">
        <v>360</v>
      </c>
      <c r="H1658" s="55" t="s">
        <v>360</v>
      </c>
      <c r="I1658" s="55" t="s">
        <v>360</v>
      </c>
      <c r="J1658" s="55" t="s">
        <v>360</v>
      </c>
      <c r="K1658" s="55" t="s">
        <v>360</v>
      </c>
      <c r="L1658" s="55" t="s">
        <v>360</v>
      </c>
      <c r="M1658" s="55" t="s">
        <v>142</v>
      </c>
      <c r="N1658" s="55" t="s">
        <v>142</v>
      </c>
      <c r="O1658" s="55" t="s">
        <v>292</v>
      </c>
      <c r="P1658" s="55" t="s">
        <v>976</v>
      </c>
      <c r="Q1658" s="55" t="s">
        <v>350</v>
      </c>
      <c r="R1658" s="85">
        <v>4</v>
      </c>
      <c r="S1658" s="55">
        <v>0</v>
      </c>
      <c r="T1658" s="74" t="s">
        <v>644</v>
      </c>
      <c r="U1658" s="74" t="s">
        <v>351</v>
      </c>
      <c r="V1658" s="74">
        <v>44573</v>
      </c>
      <c r="W1658" s="74">
        <v>44610</v>
      </c>
      <c r="X1658" s="55">
        <v>10204100</v>
      </c>
      <c r="Y1658" s="55" t="s">
        <v>130</v>
      </c>
      <c r="AB1658" s="74" t="s">
        <v>130</v>
      </c>
      <c r="AC1658" s="55" t="s">
        <v>146</v>
      </c>
      <c r="AL1658" s="74"/>
      <c r="AM1658" s="74"/>
      <c r="AW1658" s="74"/>
      <c r="AX1658" s="74"/>
    </row>
    <row r="1659" spans="1:50" ht="13" x14ac:dyDescent="0.15">
      <c r="A1659" s="55" t="str">
        <f>HYPERLINK("http://reports.ofsted.gov.uk/inspection-reports/find-inspection-report/provider/CARE/2633398","Ofsted Social Care Provider Webpage")</f>
        <v>Ofsted Social Care Provider Webpage</v>
      </c>
      <c r="B1659" s="55">
        <v>2633398</v>
      </c>
      <c r="D1659" s="55" t="s">
        <v>373</v>
      </c>
      <c r="E1659" s="74">
        <v>44407</v>
      </c>
      <c r="F1659" s="55" t="s">
        <v>344</v>
      </c>
      <c r="G1659" s="55" t="s">
        <v>360</v>
      </c>
      <c r="H1659" s="55" t="s">
        <v>360</v>
      </c>
      <c r="I1659" s="55" t="s">
        <v>360</v>
      </c>
      <c r="J1659" s="55" t="s">
        <v>360</v>
      </c>
      <c r="K1659" s="55" t="s">
        <v>360</v>
      </c>
      <c r="L1659" s="55" t="s">
        <v>360</v>
      </c>
      <c r="M1659" s="55" t="s">
        <v>142</v>
      </c>
      <c r="N1659" s="55" t="s">
        <v>142</v>
      </c>
      <c r="O1659" s="55" t="s">
        <v>272</v>
      </c>
      <c r="P1659" s="55" t="s">
        <v>653</v>
      </c>
      <c r="Q1659" s="55" t="s">
        <v>350</v>
      </c>
      <c r="R1659" s="85">
        <v>2</v>
      </c>
      <c r="S1659" s="55">
        <v>0</v>
      </c>
      <c r="T1659" s="74" t="s">
        <v>2119</v>
      </c>
      <c r="U1659" s="74" t="s">
        <v>351</v>
      </c>
      <c r="V1659" s="74">
        <v>44592</v>
      </c>
      <c r="W1659" s="74">
        <v>44635</v>
      </c>
      <c r="X1659" s="55">
        <v>10204101</v>
      </c>
      <c r="Y1659" s="55" t="s">
        <v>130</v>
      </c>
      <c r="AB1659" s="74" t="s">
        <v>130</v>
      </c>
      <c r="AC1659" s="55" t="s">
        <v>130</v>
      </c>
      <c r="AL1659" s="74"/>
      <c r="AM1659" s="74"/>
      <c r="AW1659" s="74"/>
      <c r="AX1659" s="74"/>
    </row>
    <row r="1660" spans="1:50" ht="13" x14ac:dyDescent="0.15">
      <c r="A1660" s="55" t="str">
        <f>HYPERLINK("http://reports.ofsted.gov.uk/inspection-reports/find-inspection-report/provider/CARE/2633410","Ofsted Social Care Provider Webpage")</f>
        <v>Ofsted Social Care Provider Webpage</v>
      </c>
      <c r="B1660" s="55">
        <v>2633410</v>
      </c>
      <c r="D1660" s="55" t="s">
        <v>373</v>
      </c>
      <c r="E1660" s="74">
        <v>44326</v>
      </c>
      <c r="F1660" s="55" t="s">
        <v>344</v>
      </c>
      <c r="G1660" s="55" t="s">
        <v>360</v>
      </c>
      <c r="H1660" s="55" t="s">
        <v>360</v>
      </c>
      <c r="I1660" s="55" t="s">
        <v>360</v>
      </c>
      <c r="J1660" s="55" t="s">
        <v>360</v>
      </c>
      <c r="K1660" s="55" t="s">
        <v>360</v>
      </c>
      <c r="L1660" s="55" t="s">
        <v>360</v>
      </c>
      <c r="M1660" s="55" t="s">
        <v>136</v>
      </c>
      <c r="N1660" s="55" t="s">
        <v>136</v>
      </c>
      <c r="O1660" s="55" t="s">
        <v>165</v>
      </c>
      <c r="P1660" s="55" t="s">
        <v>699</v>
      </c>
      <c r="Q1660" s="55" t="s">
        <v>380</v>
      </c>
      <c r="R1660" s="85">
        <v>3</v>
      </c>
      <c r="S1660" s="55">
        <v>0</v>
      </c>
      <c r="T1660" s="74" t="s">
        <v>2120</v>
      </c>
      <c r="U1660" s="74" t="s">
        <v>351</v>
      </c>
      <c r="V1660" s="74">
        <v>44593</v>
      </c>
      <c r="W1660" s="74">
        <v>44638</v>
      </c>
      <c r="X1660" s="55">
        <v>10207660</v>
      </c>
      <c r="Y1660" s="55" t="s">
        <v>132</v>
      </c>
      <c r="AB1660" s="74" t="s">
        <v>132</v>
      </c>
      <c r="AC1660" s="55" t="s">
        <v>130</v>
      </c>
      <c r="AL1660" s="74"/>
      <c r="AM1660" s="74"/>
      <c r="AW1660" s="74"/>
      <c r="AX1660" s="74"/>
    </row>
    <row r="1661" spans="1:50" ht="13" x14ac:dyDescent="0.15">
      <c r="A1661" s="55" t="str">
        <f>HYPERLINK("http://reports.ofsted.gov.uk/inspection-reports/find-inspection-report/provider/CARE/2633498","Ofsted Social Care Provider Webpage")</f>
        <v>Ofsted Social Care Provider Webpage</v>
      </c>
      <c r="B1661" s="55">
        <v>2633498</v>
      </c>
      <c r="D1661" s="55" t="s">
        <v>373</v>
      </c>
      <c r="E1661" s="74">
        <v>44263</v>
      </c>
      <c r="F1661" s="55" t="s">
        <v>344</v>
      </c>
      <c r="G1661" s="55" t="s">
        <v>360</v>
      </c>
      <c r="H1661" s="55" t="s">
        <v>360</v>
      </c>
      <c r="I1661" s="55" t="s">
        <v>360</v>
      </c>
      <c r="J1661" s="55" t="s">
        <v>360</v>
      </c>
      <c r="K1661" s="55" t="s">
        <v>360</v>
      </c>
      <c r="L1661" s="55" t="s">
        <v>360</v>
      </c>
      <c r="M1661" s="55" t="s">
        <v>142</v>
      </c>
      <c r="N1661" s="55" t="s">
        <v>142</v>
      </c>
      <c r="O1661" s="55" t="s">
        <v>292</v>
      </c>
      <c r="P1661" s="55" t="s">
        <v>1162</v>
      </c>
      <c r="Q1661" s="55" t="s">
        <v>350</v>
      </c>
      <c r="R1661" s="85">
        <v>2</v>
      </c>
      <c r="S1661" s="55">
        <v>0</v>
      </c>
      <c r="T1661" s="74" t="s">
        <v>1127</v>
      </c>
      <c r="U1661" s="74" t="s">
        <v>2053</v>
      </c>
      <c r="V1661" s="74">
        <v>44529</v>
      </c>
      <c r="W1661" s="74">
        <v>44575</v>
      </c>
      <c r="X1661" s="55">
        <v>10210173</v>
      </c>
      <c r="AL1661" s="74"/>
      <c r="AM1661" s="74"/>
    </row>
    <row r="1662" spans="1:50" ht="13" x14ac:dyDescent="0.15">
      <c r="A1662" s="55" t="str">
        <f>HYPERLINK("http://reports.ofsted.gov.uk/inspection-reports/find-inspection-report/provider/CARE/2633498","Ofsted Social Care Provider Webpage")</f>
        <v>Ofsted Social Care Provider Webpage</v>
      </c>
      <c r="B1662" s="55">
        <v>2633498</v>
      </c>
      <c r="D1662" s="55" t="s">
        <v>373</v>
      </c>
      <c r="E1662" s="74">
        <v>44263</v>
      </c>
      <c r="F1662" s="55" t="s">
        <v>344</v>
      </c>
      <c r="G1662" s="55" t="s">
        <v>360</v>
      </c>
      <c r="H1662" s="55" t="s">
        <v>360</v>
      </c>
      <c r="I1662" s="55" t="s">
        <v>360</v>
      </c>
      <c r="J1662" s="55" t="s">
        <v>360</v>
      </c>
      <c r="K1662" s="55" t="s">
        <v>360</v>
      </c>
      <c r="L1662" s="55" t="s">
        <v>360</v>
      </c>
      <c r="M1662" s="55" t="s">
        <v>142</v>
      </c>
      <c r="N1662" s="55" t="s">
        <v>142</v>
      </c>
      <c r="O1662" s="55" t="s">
        <v>292</v>
      </c>
      <c r="P1662" s="55" t="s">
        <v>1162</v>
      </c>
      <c r="Q1662" s="55" t="s">
        <v>350</v>
      </c>
      <c r="R1662" s="85">
        <v>2</v>
      </c>
      <c r="S1662" s="55">
        <v>0</v>
      </c>
      <c r="T1662" s="74" t="s">
        <v>1127</v>
      </c>
      <c r="U1662" s="74" t="s">
        <v>351</v>
      </c>
      <c r="V1662" s="74">
        <v>44473</v>
      </c>
      <c r="W1662" s="74">
        <v>44519</v>
      </c>
      <c r="X1662" s="55">
        <v>10188304</v>
      </c>
      <c r="Y1662" s="55" t="s">
        <v>146</v>
      </c>
      <c r="AB1662" s="74" t="s">
        <v>146</v>
      </c>
      <c r="AC1662" s="55" t="s">
        <v>146</v>
      </c>
      <c r="AL1662" s="74"/>
      <c r="AM1662" s="74"/>
      <c r="AW1662" s="74"/>
      <c r="AX1662" s="74"/>
    </row>
    <row r="1663" spans="1:50" ht="13" x14ac:dyDescent="0.15">
      <c r="A1663" s="55" t="str">
        <f>HYPERLINK("http://reports.ofsted.gov.uk/inspection-reports/find-inspection-report/provider/CARE/2633602","Ofsted Social Care Provider Webpage")</f>
        <v>Ofsted Social Care Provider Webpage</v>
      </c>
      <c r="B1663" s="55">
        <v>2633602</v>
      </c>
      <c r="D1663" s="55" t="s">
        <v>373</v>
      </c>
      <c r="E1663" s="74">
        <v>44287</v>
      </c>
      <c r="F1663" s="55" t="s">
        <v>344</v>
      </c>
      <c r="G1663" s="55" t="s">
        <v>360</v>
      </c>
      <c r="H1663" s="55" t="s">
        <v>360</v>
      </c>
      <c r="I1663" s="55" t="s">
        <v>360</v>
      </c>
      <c r="J1663" s="55" t="s">
        <v>360</v>
      </c>
      <c r="K1663" s="55" t="s">
        <v>360</v>
      </c>
      <c r="L1663" s="55" t="s">
        <v>360</v>
      </c>
      <c r="M1663" s="55" t="s">
        <v>378</v>
      </c>
      <c r="N1663" s="55" t="s">
        <v>134</v>
      </c>
      <c r="O1663" s="55" t="s">
        <v>204</v>
      </c>
      <c r="P1663" s="55" t="s">
        <v>1920</v>
      </c>
      <c r="Q1663" s="55" t="s">
        <v>380</v>
      </c>
      <c r="R1663" s="85">
        <v>4</v>
      </c>
      <c r="S1663" s="55">
        <v>0</v>
      </c>
      <c r="T1663" s="74" t="s">
        <v>1479</v>
      </c>
      <c r="U1663" s="74" t="s">
        <v>351</v>
      </c>
      <c r="V1663" s="74">
        <v>44447</v>
      </c>
      <c r="W1663" s="74">
        <v>44490</v>
      </c>
      <c r="X1663" s="55">
        <v>10198683</v>
      </c>
      <c r="Y1663" s="55" t="s">
        <v>132</v>
      </c>
      <c r="AB1663" s="74" t="s">
        <v>132</v>
      </c>
      <c r="AC1663" s="55" t="s">
        <v>132</v>
      </c>
      <c r="AL1663" s="74"/>
      <c r="AM1663" s="74"/>
      <c r="AW1663" s="74"/>
      <c r="AX1663" s="74"/>
    </row>
    <row r="1664" spans="1:50" ht="13" x14ac:dyDescent="0.15">
      <c r="A1664" s="55" t="str">
        <f>HYPERLINK("http://reports.ofsted.gov.uk/inspection-reports/find-inspection-report/provider/CARE/2633744","Ofsted Social Care Provider Webpage")</f>
        <v>Ofsted Social Care Provider Webpage</v>
      </c>
      <c r="B1664" s="55">
        <v>2633744</v>
      </c>
      <c r="D1664" s="55" t="s">
        <v>373</v>
      </c>
      <c r="E1664" s="74">
        <v>44355</v>
      </c>
      <c r="F1664" s="55" t="s">
        <v>344</v>
      </c>
      <c r="G1664" s="55" t="s">
        <v>360</v>
      </c>
      <c r="H1664" s="55" t="s">
        <v>360</v>
      </c>
      <c r="I1664" s="55" t="s">
        <v>360</v>
      </c>
      <c r="J1664" s="55" t="s">
        <v>360</v>
      </c>
      <c r="K1664" s="55" t="s">
        <v>360</v>
      </c>
      <c r="L1664" s="55" t="s">
        <v>360</v>
      </c>
      <c r="M1664" s="55" t="s">
        <v>142</v>
      </c>
      <c r="N1664" s="55" t="s">
        <v>142</v>
      </c>
      <c r="O1664" s="55" t="s">
        <v>293</v>
      </c>
      <c r="P1664" s="55" t="s">
        <v>1422</v>
      </c>
      <c r="Q1664" s="55" t="s">
        <v>350</v>
      </c>
      <c r="R1664" s="85">
        <v>3</v>
      </c>
      <c r="S1664" s="55">
        <v>0</v>
      </c>
      <c r="T1664" s="74" t="s">
        <v>1813</v>
      </c>
      <c r="U1664" s="74" t="s">
        <v>351</v>
      </c>
      <c r="V1664" s="74">
        <v>44607</v>
      </c>
      <c r="W1664" s="74">
        <v>44651</v>
      </c>
      <c r="X1664" s="55">
        <v>10217195</v>
      </c>
      <c r="Y1664" s="55" t="s">
        <v>130</v>
      </c>
      <c r="AB1664" s="74" t="s">
        <v>130</v>
      </c>
      <c r="AC1664" s="55" t="s">
        <v>130</v>
      </c>
      <c r="AL1664" s="74"/>
      <c r="AM1664" s="74"/>
      <c r="AW1664" s="74"/>
      <c r="AX1664" s="74"/>
    </row>
    <row r="1665" spans="1:50" ht="13" x14ac:dyDescent="0.15">
      <c r="A1665" s="55" t="str">
        <f>HYPERLINK("http://reports.ofsted.gov.uk/inspection-reports/find-inspection-report/provider/CARE/2633744","Ofsted Social Care Provider Webpage")</f>
        <v>Ofsted Social Care Provider Webpage</v>
      </c>
      <c r="B1665" s="55">
        <v>2633744</v>
      </c>
      <c r="D1665" s="55" t="s">
        <v>373</v>
      </c>
      <c r="E1665" s="74">
        <v>44355</v>
      </c>
      <c r="F1665" s="55" t="s">
        <v>344</v>
      </c>
      <c r="G1665" s="55" t="s">
        <v>360</v>
      </c>
      <c r="H1665" s="55" t="s">
        <v>360</v>
      </c>
      <c r="I1665" s="55" t="s">
        <v>360</v>
      </c>
      <c r="J1665" s="55" t="s">
        <v>360</v>
      </c>
      <c r="K1665" s="55" t="s">
        <v>360</v>
      </c>
      <c r="L1665" s="55" t="s">
        <v>360</v>
      </c>
      <c r="M1665" s="55" t="s">
        <v>142</v>
      </c>
      <c r="N1665" s="55" t="s">
        <v>142</v>
      </c>
      <c r="O1665" s="55" t="s">
        <v>293</v>
      </c>
      <c r="P1665" s="55" t="s">
        <v>1422</v>
      </c>
      <c r="Q1665" s="55" t="s">
        <v>350</v>
      </c>
      <c r="R1665" s="85">
        <v>3</v>
      </c>
      <c r="S1665" s="55">
        <v>0</v>
      </c>
      <c r="T1665" s="74" t="s">
        <v>1813</v>
      </c>
      <c r="U1665" s="74" t="s">
        <v>2053</v>
      </c>
      <c r="V1665" s="74">
        <v>44566</v>
      </c>
      <c r="W1665" s="74">
        <v>44589</v>
      </c>
      <c r="X1665" s="55">
        <v>10217194</v>
      </c>
      <c r="AL1665" s="74"/>
      <c r="AM1665" s="74"/>
      <c r="AW1665" s="74"/>
      <c r="AX1665" s="74"/>
    </row>
    <row r="1666" spans="1:50" ht="13" x14ac:dyDescent="0.15">
      <c r="A1666" s="55" t="str">
        <f>HYPERLINK("http://reports.ofsted.gov.uk/inspection-reports/find-inspection-report/provider/CARE/2633744","Ofsted Social Care Provider Webpage")</f>
        <v>Ofsted Social Care Provider Webpage</v>
      </c>
      <c r="B1666" s="55">
        <v>2633744</v>
      </c>
      <c r="D1666" s="55" t="s">
        <v>373</v>
      </c>
      <c r="E1666" s="74">
        <v>44355</v>
      </c>
      <c r="F1666" s="55" t="s">
        <v>344</v>
      </c>
      <c r="G1666" s="55" t="s">
        <v>360</v>
      </c>
      <c r="H1666" s="55" t="s">
        <v>360</v>
      </c>
      <c r="I1666" s="55" t="s">
        <v>360</v>
      </c>
      <c r="J1666" s="55" t="s">
        <v>360</v>
      </c>
      <c r="K1666" s="55" t="s">
        <v>360</v>
      </c>
      <c r="L1666" s="55" t="s">
        <v>360</v>
      </c>
      <c r="M1666" s="55" t="s">
        <v>142</v>
      </c>
      <c r="N1666" s="55" t="s">
        <v>142</v>
      </c>
      <c r="O1666" s="55" t="s">
        <v>293</v>
      </c>
      <c r="P1666" s="55" t="s">
        <v>1422</v>
      </c>
      <c r="Q1666" s="55" t="s">
        <v>350</v>
      </c>
      <c r="R1666" s="85">
        <v>3</v>
      </c>
      <c r="S1666" s="55">
        <v>0</v>
      </c>
      <c r="T1666" s="74" t="s">
        <v>1813</v>
      </c>
      <c r="U1666" s="74" t="s">
        <v>351</v>
      </c>
      <c r="V1666" s="74">
        <v>44524</v>
      </c>
      <c r="W1666" s="74">
        <v>44574</v>
      </c>
      <c r="X1666" s="55">
        <v>10208944</v>
      </c>
      <c r="Y1666" s="55" t="s">
        <v>146</v>
      </c>
      <c r="AB1666" s="74" t="s">
        <v>146</v>
      </c>
      <c r="AC1666" s="55" t="s">
        <v>146</v>
      </c>
      <c r="AL1666" s="74"/>
      <c r="AM1666" s="74"/>
      <c r="AW1666" s="74"/>
      <c r="AX1666" s="74"/>
    </row>
    <row r="1667" spans="1:50" ht="13" x14ac:dyDescent="0.15">
      <c r="A1667" s="55" t="str">
        <f>HYPERLINK("http://reports.ofsted.gov.uk/inspection-reports/find-inspection-report/provider/CARE/2634058","Ofsted Social Care Provider Webpage")</f>
        <v>Ofsted Social Care Provider Webpage</v>
      </c>
      <c r="B1667" s="55">
        <v>2634058</v>
      </c>
      <c r="D1667" s="55" t="s">
        <v>373</v>
      </c>
      <c r="E1667" s="74">
        <v>44398</v>
      </c>
      <c r="F1667" s="55" t="s">
        <v>6707</v>
      </c>
      <c r="G1667" s="55" t="s">
        <v>360</v>
      </c>
      <c r="H1667" s="55" t="s">
        <v>360</v>
      </c>
      <c r="I1667" s="55" t="s">
        <v>360</v>
      </c>
      <c r="J1667" s="55" t="s">
        <v>360</v>
      </c>
      <c r="K1667" s="55" t="s">
        <v>360</v>
      </c>
      <c r="L1667" s="55" t="s">
        <v>360</v>
      </c>
      <c r="M1667" s="55" t="s">
        <v>142</v>
      </c>
      <c r="N1667" s="55" t="s">
        <v>142</v>
      </c>
      <c r="O1667" s="55" t="s">
        <v>141</v>
      </c>
      <c r="P1667" s="55" t="s">
        <v>641</v>
      </c>
      <c r="Q1667" s="55" t="s">
        <v>350</v>
      </c>
      <c r="R1667" s="85">
        <v>3</v>
      </c>
      <c r="S1667" s="55">
        <v>0</v>
      </c>
      <c r="T1667" s="74" t="s">
        <v>1461</v>
      </c>
      <c r="U1667" s="74" t="s">
        <v>351</v>
      </c>
      <c r="V1667" s="74">
        <v>44482</v>
      </c>
      <c r="W1667" s="74">
        <v>44526</v>
      </c>
      <c r="X1667" s="55">
        <v>10202694</v>
      </c>
      <c r="Y1667" s="55" t="s">
        <v>146</v>
      </c>
      <c r="AB1667" s="74" t="s">
        <v>146</v>
      </c>
      <c r="AC1667" s="55" t="s">
        <v>146</v>
      </c>
      <c r="AL1667" s="74"/>
      <c r="AM1667" s="74"/>
      <c r="AW1667" s="74"/>
      <c r="AX1667" s="74"/>
    </row>
    <row r="1668" spans="1:50" ht="13" x14ac:dyDescent="0.15">
      <c r="A1668" s="55" t="str">
        <f>HYPERLINK("http://reports.ofsted.gov.uk/inspection-reports/find-inspection-report/provider/CARE/2634058","Ofsted Social Care Provider Webpage")</f>
        <v>Ofsted Social Care Provider Webpage</v>
      </c>
      <c r="B1668" s="55">
        <v>2634058</v>
      </c>
      <c r="D1668" s="55" t="s">
        <v>373</v>
      </c>
      <c r="E1668" s="74">
        <v>44398</v>
      </c>
      <c r="F1668" s="55" t="s">
        <v>6707</v>
      </c>
      <c r="G1668" s="55" t="s">
        <v>360</v>
      </c>
      <c r="H1668" s="55" t="s">
        <v>360</v>
      </c>
      <c r="I1668" s="55" t="s">
        <v>360</v>
      </c>
      <c r="J1668" s="55" t="s">
        <v>360</v>
      </c>
      <c r="K1668" s="55" t="s">
        <v>360</v>
      </c>
      <c r="L1668" s="55" t="s">
        <v>360</v>
      </c>
      <c r="M1668" s="55" t="s">
        <v>142</v>
      </c>
      <c r="N1668" s="55" t="s">
        <v>142</v>
      </c>
      <c r="O1668" s="55" t="s">
        <v>141</v>
      </c>
      <c r="P1668" s="55" t="s">
        <v>641</v>
      </c>
      <c r="Q1668" s="55" t="s">
        <v>350</v>
      </c>
      <c r="R1668" s="85">
        <v>3</v>
      </c>
      <c r="S1668" s="55">
        <v>0</v>
      </c>
      <c r="T1668" s="74" t="s">
        <v>1461</v>
      </c>
      <c r="U1668" s="74" t="s">
        <v>2053</v>
      </c>
      <c r="V1668" s="74">
        <v>44523</v>
      </c>
      <c r="W1668" s="74">
        <v>44572</v>
      </c>
      <c r="X1668" s="55">
        <v>10213773</v>
      </c>
      <c r="AL1668" s="74"/>
      <c r="AM1668" s="74"/>
      <c r="AW1668" s="74"/>
      <c r="AX1668" s="74"/>
    </row>
    <row r="1669" spans="1:50" ht="13" x14ac:dyDescent="0.15">
      <c r="A1669" s="55" t="str">
        <f>HYPERLINK("http://reports.ofsted.gov.uk/inspection-reports/find-inspection-report/provider/CARE/2634058","Ofsted Social Care Provider Webpage")</f>
        <v>Ofsted Social Care Provider Webpage</v>
      </c>
      <c r="B1669" s="55">
        <v>2634058</v>
      </c>
      <c r="D1669" s="55" t="s">
        <v>373</v>
      </c>
      <c r="E1669" s="74">
        <v>44398</v>
      </c>
      <c r="F1669" s="55" t="s">
        <v>6707</v>
      </c>
      <c r="G1669" s="55" t="s">
        <v>360</v>
      </c>
      <c r="H1669" s="55" t="s">
        <v>360</v>
      </c>
      <c r="I1669" s="55" t="s">
        <v>360</v>
      </c>
      <c r="J1669" s="55" t="s">
        <v>360</v>
      </c>
      <c r="K1669" s="55" t="s">
        <v>360</v>
      </c>
      <c r="L1669" s="55" t="s">
        <v>360</v>
      </c>
      <c r="M1669" s="55" t="s">
        <v>142</v>
      </c>
      <c r="N1669" s="55" t="s">
        <v>142</v>
      </c>
      <c r="O1669" s="55" t="s">
        <v>141</v>
      </c>
      <c r="P1669" s="55" t="s">
        <v>641</v>
      </c>
      <c r="Q1669" s="55" t="s">
        <v>350</v>
      </c>
      <c r="R1669" s="85">
        <v>3</v>
      </c>
      <c r="S1669" s="55">
        <v>0</v>
      </c>
      <c r="T1669" s="74" t="s">
        <v>1461</v>
      </c>
      <c r="U1669" s="74" t="s">
        <v>2053</v>
      </c>
      <c r="V1669" s="74">
        <v>44498</v>
      </c>
      <c r="W1669" s="74">
        <v>44540</v>
      </c>
      <c r="X1669" s="55">
        <v>10210045</v>
      </c>
      <c r="AL1669" s="74"/>
      <c r="AM1669" s="74"/>
      <c r="AW1669" s="74"/>
      <c r="AX1669" s="74"/>
    </row>
    <row r="1670" spans="1:50" ht="13" x14ac:dyDescent="0.15">
      <c r="A1670" s="55" t="str">
        <f>HYPERLINK("http://reports.ofsted.gov.uk/inspection-reports/find-inspection-report/provider/CARE/2634272","Ofsted Social Care Provider Webpage")</f>
        <v>Ofsted Social Care Provider Webpage</v>
      </c>
      <c r="B1670" s="55">
        <v>2634272</v>
      </c>
      <c r="D1670" s="55" t="s">
        <v>373</v>
      </c>
      <c r="E1670" s="74">
        <v>44390</v>
      </c>
      <c r="F1670" s="55" t="s">
        <v>344</v>
      </c>
      <c r="G1670" s="55" t="s">
        <v>360</v>
      </c>
      <c r="H1670" s="55" t="s">
        <v>360</v>
      </c>
      <c r="I1670" s="55" t="s">
        <v>360</v>
      </c>
      <c r="J1670" s="55" t="s">
        <v>360</v>
      </c>
      <c r="K1670" s="55" t="s">
        <v>360</v>
      </c>
      <c r="L1670" s="55" t="s">
        <v>360</v>
      </c>
      <c r="M1670" s="55" t="s">
        <v>144</v>
      </c>
      <c r="N1670" s="55" t="s">
        <v>144</v>
      </c>
      <c r="O1670" s="55" t="s">
        <v>215</v>
      </c>
      <c r="P1670" s="55" t="s">
        <v>655</v>
      </c>
      <c r="Q1670" s="55" t="s">
        <v>350</v>
      </c>
      <c r="R1670" s="85">
        <v>3</v>
      </c>
      <c r="S1670" s="55">
        <v>0</v>
      </c>
      <c r="T1670" s="74" t="s">
        <v>2122</v>
      </c>
      <c r="U1670" s="74" t="s">
        <v>351</v>
      </c>
      <c r="V1670" s="74">
        <v>44621</v>
      </c>
      <c r="W1670" s="74">
        <v>44658</v>
      </c>
      <c r="X1670" s="55">
        <v>10210493</v>
      </c>
      <c r="Y1670" s="55" t="s">
        <v>132</v>
      </c>
      <c r="AB1670" s="74" t="s">
        <v>132</v>
      </c>
      <c r="AC1670" s="55" t="s">
        <v>132</v>
      </c>
      <c r="AL1670" s="74"/>
      <c r="AM1670" s="74"/>
      <c r="AW1670" s="74"/>
      <c r="AX1670" s="74"/>
    </row>
    <row r="1671" spans="1:50" ht="13" x14ac:dyDescent="0.15">
      <c r="A1671" s="55" t="str">
        <f>HYPERLINK("http://reports.ofsted.gov.uk/inspection-reports/find-inspection-report/provider/CARE/2634397","Ofsted Social Care Provider Webpage")</f>
        <v>Ofsted Social Care Provider Webpage</v>
      </c>
      <c r="B1671" s="55">
        <v>2634397</v>
      </c>
      <c r="D1671" s="55" t="s">
        <v>373</v>
      </c>
      <c r="E1671" s="74">
        <v>44282</v>
      </c>
      <c r="F1671" s="55" t="s">
        <v>344</v>
      </c>
      <c r="G1671" s="55" t="s">
        <v>360</v>
      </c>
      <c r="H1671" s="55" t="s">
        <v>360</v>
      </c>
      <c r="I1671" s="55" t="s">
        <v>360</v>
      </c>
      <c r="J1671" s="55" t="s">
        <v>360</v>
      </c>
      <c r="K1671" s="55" t="s">
        <v>360</v>
      </c>
      <c r="L1671" s="55" t="s">
        <v>360</v>
      </c>
      <c r="M1671" s="55" t="s">
        <v>144</v>
      </c>
      <c r="N1671" s="55" t="s">
        <v>144</v>
      </c>
      <c r="O1671" s="55" t="s">
        <v>209</v>
      </c>
      <c r="P1671" s="55" t="s">
        <v>650</v>
      </c>
      <c r="Q1671" s="55" t="s">
        <v>350</v>
      </c>
      <c r="R1671" s="85">
        <v>1</v>
      </c>
      <c r="S1671" s="55">
        <v>0</v>
      </c>
      <c r="T1671" s="74" t="s">
        <v>1798</v>
      </c>
      <c r="U1671" s="74" t="s">
        <v>351</v>
      </c>
      <c r="V1671" s="74">
        <v>44609</v>
      </c>
      <c r="W1671" s="74">
        <v>44658</v>
      </c>
      <c r="X1671" s="55">
        <v>10188320</v>
      </c>
      <c r="Y1671" s="55" t="s">
        <v>132</v>
      </c>
      <c r="AB1671" s="74" t="s">
        <v>132</v>
      </c>
      <c r="AC1671" s="55" t="s">
        <v>132</v>
      </c>
      <c r="AL1671" s="74"/>
      <c r="AM1671" s="74"/>
      <c r="AW1671" s="74"/>
      <c r="AX1671" s="74"/>
    </row>
    <row r="1672" spans="1:50" ht="13" x14ac:dyDescent="0.15">
      <c r="A1672" s="55" t="str">
        <f>HYPERLINK("http://reports.ofsted.gov.uk/inspection-reports/find-inspection-report/provider/CARE/2634624","Ofsted Social Care Provider Webpage")</f>
        <v>Ofsted Social Care Provider Webpage</v>
      </c>
      <c r="B1672" s="55">
        <v>2634624</v>
      </c>
      <c r="D1672" s="55" t="s">
        <v>373</v>
      </c>
      <c r="E1672" s="74">
        <v>44336</v>
      </c>
      <c r="F1672" s="55" t="s">
        <v>344</v>
      </c>
      <c r="G1672" s="55" t="s">
        <v>360</v>
      </c>
      <c r="H1672" s="55" t="s">
        <v>360</v>
      </c>
      <c r="I1672" s="55" t="s">
        <v>360</v>
      </c>
      <c r="J1672" s="55" t="s">
        <v>360</v>
      </c>
      <c r="K1672" s="55" t="s">
        <v>360</v>
      </c>
      <c r="L1672" s="55" t="s">
        <v>360</v>
      </c>
      <c r="M1672" s="55" t="s">
        <v>172</v>
      </c>
      <c r="N1672" s="55" t="s">
        <v>172</v>
      </c>
      <c r="O1672" s="55" t="s">
        <v>212</v>
      </c>
      <c r="P1672" s="55" t="s">
        <v>842</v>
      </c>
      <c r="Q1672" s="55" t="s">
        <v>350</v>
      </c>
      <c r="R1672" s="85">
        <v>1</v>
      </c>
      <c r="S1672" s="55">
        <v>0</v>
      </c>
      <c r="T1672" s="74" t="s">
        <v>517</v>
      </c>
      <c r="U1672" s="74" t="s">
        <v>351</v>
      </c>
      <c r="V1672" s="74">
        <v>44427</v>
      </c>
      <c r="W1672" s="74">
        <v>44456</v>
      </c>
      <c r="X1672" s="55">
        <v>10196642</v>
      </c>
      <c r="Y1672" s="55" t="s">
        <v>130</v>
      </c>
      <c r="AB1672" s="74" t="s">
        <v>130</v>
      </c>
      <c r="AC1672" s="55" t="s">
        <v>130</v>
      </c>
      <c r="AL1672" s="74"/>
      <c r="AM1672" s="74"/>
    </row>
    <row r="1673" spans="1:50" ht="13" x14ac:dyDescent="0.15">
      <c r="A1673" s="55" t="str">
        <f>HYPERLINK("http://reports.ofsted.gov.uk/inspection-reports/find-inspection-report/provider/CARE/2634698","Ofsted Social Care Provider Webpage")</f>
        <v>Ofsted Social Care Provider Webpage</v>
      </c>
      <c r="B1673" s="55">
        <v>2634698</v>
      </c>
      <c r="D1673" s="55" t="s">
        <v>373</v>
      </c>
      <c r="E1673" s="74">
        <v>44353</v>
      </c>
      <c r="F1673" s="55" t="s">
        <v>344</v>
      </c>
      <c r="G1673" s="55" t="s">
        <v>360</v>
      </c>
      <c r="H1673" s="55" t="s">
        <v>360</v>
      </c>
      <c r="I1673" s="55" t="s">
        <v>360</v>
      </c>
      <c r="J1673" s="55" t="s">
        <v>360</v>
      </c>
      <c r="K1673" s="55" t="s">
        <v>360</v>
      </c>
      <c r="L1673" s="55" t="s">
        <v>360</v>
      </c>
      <c r="M1673" s="55" t="s">
        <v>142</v>
      </c>
      <c r="N1673" s="55" t="s">
        <v>142</v>
      </c>
      <c r="O1673" s="55" t="s">
        <v>282</v>
      </c>
      <c r="P1673" s="55" t="s">
        <v>1812</v>
      </c>
      <c r="Q1673" s="55" t="s">
        <v>350</v>
      </c>
      <c r="R1673" s="85">
        <v>2</v>
      </c>
      <c r="S1673" s="55">
        <v>0</v>
      </c>
      <c r="T1673" s="74" t="s">
        <v>493</v>
      </c>
      <c r="U1673" s="74" t="s">
        <v>351</v>
      </c>
      <c r="V1673" s="74">
        <v>44536</v>
      </c>
      <c r="W1673" s="74">
        <v>44581</v>
      </c>
      <c r="X1673" s="55">
        <v>10202749</v>
      </c>
      <c r="Y1673" s="55" t="s">
        <v>132</v>
      </c>
      <c r="AB1673" s="74" t="s">
        <v>132</v>
      </c>
      <c r="AC1673" s="55" t="s">
        <v>132</v>
      </c>
      <c r="AL1673" s="74"/>
      <c r="AM1673" s="74"/>
      <c r="AW1673" s="74"/>
      <c r="AX1673" s="74"/>
    </row>
    <row r="1674" spans="1:50" ht="13" x14ac:dyDescent="0.15">
      <c r="A1674" s="55" t="str">
        <f>HYPERLINK("http://reports.ofsted.gov.uk/inspection-reports/find-inspection-report/provider/CARE/2634720","Ofsted Social Care Provider Webpage")</f>
        <v>Ofsted Social Care Provider Webpage</v>
      </c>
      <c r="B1674" s="55">
        <v>2634720</v>
      </c>
      <c r="D1674" s="55" t="s">
        <v>373</v>
      </c>
      <c r="E1674" s="74">
        <v>44377</v>
      </c>
      <c r="F1674" s="55" t="s">
        <v>344</v>
      </c>
      <c r="G1674" s="55" t="s">
        <v>360</v>
      </c>
      <c r="H1674" s="55" t="s">
        <v>360</v>
      </c>
      <c r="I1674" s="55" t="s">
        <v>360</v>
      </c>
      <c r="J1674" s="55" t="s">
        <v>360</v>
      </c>
      <c r="K1674" s="55" t="s">
        <v>360</v>
      </c>
      <c r="L1674" s="55" t="s">
        <v>360</v>
      </c>
      <c r="M1674" s="55" t="s">
        <v>144</v>
      </c>
      <c r="N1674" s="55" t="s">
        <v>144</v>
      </c>
      <c r="O1674" s="55" t="s">
        <v>145</v>
      </c>
      <c r="P1674" s="55" t="s">
        <v>525</v>
      </c>
      <c r="Q1674" s="55" t="s">
        <v>350</v>
      </c>
      <c r="R1674" s="85">
        <v>2</v>
      </c>
      <c r="S1674" s="55">
        <v>0</v>
      </c>
      <c r="T1674" s="74" t="s">
        <v>485</v>
      </c>
      <c r="U1674" s="74" t="s">
        <v>351</v>
      </c>
      <c r="V1674" s="74">
        <v>44572</v>
      </c>
      <c r="W1674" s="74">
        <v>44610</v>
      </c>
      <c r="X1674" s="55">
        <v>10205014</v>
      </c>
      <c r="Y1674" s="55" t="s">
        <v>132</v>
      </c>
      <c r="AB1674" s="74" t="s">
        <v>132</v>
      </c>
      <c r="AC1674" s="55" t="s">
        <v>132</v>
      </c>
      <c r="AL1674" s="74"/>
      <c r="AM1674" s="74"/>
      <c r="AW1674" s="74"/>
      <c r="AX1674" s="74"/>
    </row>
    <row r="1675" spans="1:50" ht="13" x14ac:dyDescent="0.15">
      <c r="A1675" s="55" t="str">
        <f>HYPERLINK("http://reports.ofsted.gov.uk/inspection-reports/find-inspection-report/provider/CARE/2634800","Ofsted Social Care Provider Webpage")</f>
        <v>Ofsted Social Care Provider Webpage</v>
      </c>
      <c r="B1675" s="55">
        <v>2634800</v>
      </c>
      <c r="D1675" s="55" t="s">
        <v>373</v>
      </c>
      <c r="E1675" s="74">
        <v>44348</v>
      </c>
      <c r="F1675" s="55" t="s">
        <v>344</v>
      </c>
      <c r="G1675" s="55" t="s">
        <v>360</v>
      </c>
      <c r="H1675" s="55" t="s">
        <v>360</v>
      </c>
      <c r="I1675" s="55" t="s">
        <v>360</v>
      </c>
      <c r="J1675" s="55" t="s">
        <v>360</v>
      </c>
      <c r="K1675" s="55" t="s">
        <v>360</v>
      </c>
      <c r="L1675" s="55" t="s">
        <v>360</v>
      </c>
      <c r="M1675" s="55" t="s">
        <v>144</v>
      </c>
      <c r="N1675" s="55" t="s">
        <v>144</v>
      </c>
      <c r="O1675" s="55" t="s">
        <v>145</v>
      </c>
      <c r="P1675" s="55" t="s">
        <v>525</v>
      </c>
      <c r="Q1675" s="55" t="s">
        <v>350</v>
      </c>
      <c r="R1675" s="85">
        <v>1</v>
      </c>
      <c r="S1675" s="55">
        <v>0</v>
      </c>
      <c r="T1675" s="74" t="s">
        <v>485</v>
      </c>
      <c r="U1675" s="74" t="s">
        <v>351</v>
      </c>
      <c r="V1675" s="74">
        <v>44621</v>
      </c>
      <c r="W1675" s="74">
        <v>44658</v>
      </c>
      <c r="X1675" s="55">
        <v>10198247</v>
      </c>
      <c r="Y1675" s="55" t="s">
        <v>132</v>
      </c>
      <c r="AB1675" s="74" t="s">
        <v>132</v>
      </c>
      <c r="AC1675" s="55" t="s">
        <v>132</v>
      </c>
      <c r="AL1675" s="74"/>
      <c r="AM1675" s="74"/>
      <c r="AW1675" s="74"/>
      <c r="AX1675" s="74"/>
    </row>
    <row r="1676" spans="1:50" ht="13" x14ac:dyDescent="0.15">
      <c r="A1676" s="55" t="str">
        <f>HYPERLINK("http://reports.ofsted.gov.uk/inspection-reports/find-inspection-report/provider/CARE/2634929","Ofsted Social Care Provider Webpage")</f>
        <v>Ofsted Social Care Provider Webpage</v>
      </c>
      <c r="B1676" s="55">
        <v>2634929</v>
      </c>
      <c r="D1676" s="55" t="s">
        <v>373</v>
      </c>
      <c r="E1676" s="74">
        <v>44376</v>
      </c>
      <c r="F1676" s="55" t="s">
        <v>344</v>
      </c>
      <c r="G1676" s="55" t="s">
        <v>360</v>
      </c>
      <c r="H1676" s="55" t="s">
        <v>360</v>
      </c>
      <c r="I1676" s="55" t="s">
        <v>360</v>
      </c>
      <c r="J1676" s="55" t="s">
        <v>360</v>
      </c>
      <c r="K1676" s="55" t="s">
        <v>360</v>
      </c>
      <c r="L1676" s="55" t="s">
        <v>360</v>
      </c>
      <c r="M1676" s="55" t="s">
        <v>129</v>
      </c>
      <c r="N1676" s="55" t="s">
        <v>129</v>
      </c>
      <c r="O1676" s="55" t="s">
        <v>186</v>
      </c>
      <c r="P1676" s="55" t="s">
        <v>2125</v>
      </c>
      <c r="Q1676" s="55" t="s">
        <v>350</v>
      </c>
      <c r="R1676" s="85">
        <v>6</v>
      </c>
      <c r="S1676" s="55">
        <v>0</v>
      </c>
      <c r="T1676" s="74" t="s">
        <v>1856</v>
      </c>
      <c r="U1676" s="74" t="s">
        <v>351</v>
      </c>
      <c r="V1676" s="74">
        <v>44621</v>
      </c>
      <c r="W1676" s="74">
        <v>44655</v>
      </c>
      <c r="X1676" s="55">
        <v>10213484</v>
      </c>
      <c r="Y1676" s="55" t="s">
        <v>146</v>
      </c>
      <c r="AB1676" s="74" t="s">
        <v>146</v>
      </c>
      <c r="AC1676" s="55" t="s">
        <v>146</v>
      </c>
      <c r="AL1676" s="74"/>
      <c r="AM1676" s="74"/>
      <c r="AW1676" s="74"/>
      <c r="AX1676" s="74"/>
    </row>
    <row r="1677" spans="1:50" ht="13" x14ac:dyDescent="0.15">
      <c r="A1677" s="55" t="str">
        <f>HYPERLINK("http://reports.ofsted.gov.uk/inspection-reports/find-inspection-report/provider/CARE/2635062","Ofsted Social Care Provider Webpage")</f>
        <v>Ofsted Social Care Provider Webpage</v>
      </c>
      <c r="B1677" s="55">
        <v>2635062</v>
      </c>
      <c r="D1677" s="55" t="s">
        <v>373</v>
      </c>
      <c r="E1677" s="74">
        <v>44336</v>
      </c>
      <c r="F1677" s="55" t="s">
        <v>344</v>
      </c>
      <c r="G1677" s="55" t="s">
        <v>360</v>
      </c>
      <c r="H1677" s="55" t="s">
        <v>360</v>
      </c>
      <c r="I1677" s="55" t="s">
        <v>360</v>
      </c>
      <c r="J1677" s="55" t="s">
        <v>360</v>
      </c>
      <c r="K1677" s="55" t="s">
        <v>360</v>
      </c>
      <c r="L1677" s="55" t="s">
        <v>360</v>
      </c>
      <c r="M1677" s="55" t="s">
        <v>172</v>
      </c>
      <c r="N1677" s="55" t="s">
        <v>172</v>
      </c>
      <c r="O1677" s="55" t="s">
        <v>214</v>
      </c>
      <c r="P1677" s="55" t="s">
        <v>790</v>
      </c>
      <c r="Q1677" s="55" t="s">
        <v>350</v>
      </c>
      <c r="R1677" s="85">
        <v>3</v>
      </c>
      <c r="S1677" s="55">
        <v>0</v>
      </c>
      <c r="T1677" s="74" t="s">
        <v>517</v>
      </c>
      <c r="U1677" s="74" t="s">
        <v>351</v>
      </c>
      <c r="V1677" s="74">
        <v>44481</v>
      </c>
      <c r="W1677" s="74">
        <v>44512</v>
      </c>
      <c r="X1677" s="55">
        <v>10196643</v>
      </c>
      <c r="Y1677" s="55" t="s">
        <v>146</v>
      </c>
      <c r="AB1677" s="74" t="s">
        <v>146</v>
      </c>
      <c r="AC1677" s="55" t="s">
        <v>146</v>
      </c>
      <c r="AL1677" s="74"/>
      <c r="AM1677" s="74"/>
      <c r="AW1677" s="74"/>
      <c r="AX1677" s="74"/>
    </row>
    <row r="1678" spans="1:50" ht="13" x14ac:dyDescent="0.15">
      <c r="A1678" s="55" t="str">
        <f>HYPERLINK("http://reports.ofsted.gov.uk/inspection-reports/find-inspection-report/provider/CARE/2635062","Ofsted Social Care Provider Webpage")</f>
        <v>Ofsted Social Care Provider Webpage</v>
      </c>
      <c r="B1678" s="55">
        <v>2635062</v>
      </c>
      <c r="D1678" s="55" t="s">
        <v>373</v>
      </c>
      <c r="E1678" s="74">
        <v>44336</v>
      </c>
      <c r="F1678" s="55" t="s">
        <v>344</v>
      </c>
      <c r="G1678" s="55" t="s">
        <v>360</v>
      </c>
      <c r="H1678" s="55" t="s">
        <v>360</v>
      </c>
      <c r="I1678" s="55" t="s">
        <v>360</v>
      </c>
      <c r="J1678" s="55" t="s">
        <v>360</v>
      </c>
      <c r="K1678" s="55" t="s">
        <v>360</v>
      </c>
      <c r="L1678" s="55" t="s">
        <v>360</v>
      </c>
      <c r="M1678" s="55" t="s">
        <v>172</v>
      </c>
      <c r="N1678" s="55" t="s">
        <v>172</v>
      </c>
      <c r="O1678" s="55" t="s">
        <v>214</v>
      </c>
      <c r="P1678" s="55" t="s">
        <v>790</v>
      </c>
      <c r="Q1678" s="55" t="s">
        <v>350</v>
      </c>
      <c r="R1678" s="85">
        <v>3</v>
      </c>
      <c r="S1678" s="55">
        <v>0</v>
      </c>
      <c r="T1678" s="74" t="s">
        <v>517</v>
      </c>
      <c r="U1678" s="74" t="s">
        <v>351</v>
      </c>
      <c r="V1678" s="74">
        <v>44530</v>
      </c>
      <c r="W1678" s="74">
        <v>44574</v>
      </c>
      <c r="X1678" s="55">
        <v>10210566</v>
      </c>
      <c r="Y1678" s="55" t="s">
        <v>130</v>
      </c>
      <c r="AB1678" s="74" t="s">
        <v>130</v>
      </c>
      <c r="AC1678" s="55" t="s">
        <v>130</v>
      </c>
      <c r="AL1678" s="74"/>
      <c r="AM1678" s="74"/>
    </row>
    <row r="1679" spans="1:50" ht="13" x14ac:dyDescent="0.15">
      <c r="A1679" s="55" t="str">
        <f>HYPERLINK("http://reports.ofsted.gov.uk/inspection-reports/find-inspection-report/provider/CARE/2635351","Ofsted Social Care Provider Webpage")</f>
        <v>Ofsted Social Care Provider Webpage</v>
      </c>
      <c r="B1679" s="55">
        <v>2635351</v>
      </c>
      <c r="D1679" s="55" t="s">
        <v>479</v>
      </c>
      <c r="E1679" s="74">
        <v>44445</v>
      </c>
      <c r="F1679" s="55" t="s">
        <v>344</v>
      </c>
      <c r="G1679" s="55" t="s">
        <v>360</v>
      </c>
      <c r="H1679" s="55" t="s">
        <v>360</v>
      </c>
      <c r="I1679" s="55" t="s">
        <v>360</v>
      </c>
      <c r="J1679" s="55" t="s">
        <v>360</v>
      </c>
      <c r="K1679" s="55" t="s">
        <v>360</v>
      </c>
      <c r="L1679" s="55" t="s">
        <v>360</v>
      </c>
      <c r="M1679" s="55" t="s">
        <v>144</v>
      </c>
      <c r="N1679" s="55" t="s">
        <v>144</v>
      </c>
      <c r="O1679" s="55" t="s">
        <v>209</v>
      </c>
      <c r="P1679" s="55" t="s">
        <v>544</v>
      </c>
      <c r="Q1679" s="55" t="s">
        <v>350</v>
      </c>
      <c r="R1679" s="85">
        <v>12</v>
      </c>
      <c r="S1679" s="55">
        <v>0</v>
      </c>
      <c r="T1679" s="74" t="s">
        <v>2128</v>
      </c>
      <c r="U1679" s="74" t="s">
        <v>2053</v>
      </c>
      <c r="V1679" s="74">
        <v>44544</v>
      </c>
      <c r="W1679" s="74">
        <v>44602</v>
      </c>
      <c r="X1679" s="55">
        <v>10217281</v>
      </c>
      <c r="AL1679" s="74"/>
      <c r="AM1679" s="74"/>
      <c r="AW1679" s="74"/>
      <c r="AX1679" s="74"/>
    </row>
    <row r="1680" spans="1:50" ht="13" x14ac:dyDescent="0.15">
      <c r="A1680" s="55" t="str">
        <f>HYPERLINK("http://reports.ofsted.gov.uk/inspection-reports/find-inspection-report/provider/CARE/2635545","Ofsted Social Care Provider Webpage")</f>
        <v>Ofsted Social Care Provider Webpage</v>
      </c>
      <c r="B1680" s="55">
        <v>2635545</v>
      </c>
      <c r="D1680" s="55" t="s">
        <v>389</v>
      </c>
      <c r="E1680" s="74">
        <v>44383</v>
      </c>
      <c r="F1680" s="55" t="s">
        <v>344</v>
      </c>
      <c r="G1680" s="55" t="s">
        <v>2129</v>
      </c>
      <c r="H1680" s="55" t="s">
        <v>2130</v>
      </c>
      <c r="I1680" s="55" t="s">
        <v>2131</v>
      </c>
      <c r="J1680" s="55" t="s">
        <v>2132</v>
      </c>
      <c r="L1680" s="55" t="s">
        <v>2133</v>
      </c>
      <c r="M1680" s="55" t="s">
        <v>138</v>
      </c>
      <c r="N1680" s="55" t="s">
        <v>138</v>
      </c>
      <c r="O1680" s="55" t="s">
        <v>183</v>
      </c>
      <c r="P1680" s="55" t="s">
        <v>813</v>
      </c>
      <c r="Q1680" s="55" t="s">
        <v>350</v>
      </c>
      <c r="S1680" s="55">
        <v>0</v>
      </c>
      <c r="T1680" s="74" t="s">
        <v>2129</v>
      </c>
      <c r="U1680" s="74" t="s">
        <v>2053</v>
      </c>
      <c r="V1680" s="74">
        <v>44530</v>
      </c>
      <c r="W1680" s="74">
        <v>44560</v>
      </c>
      <c r="X1680" s="55">
        <v>10215976</v>
      </c>
      <c r="AL1680" s="74"/>
      <c r="AM1680" s="74"/>
      <c r="AW1680" s="74"/>
      <c r="AX1680" s="74"/>
    </row>
    <row r="1681" spans="1:50" ht="13" x14ac:dyDescent="0.15">
      <c r="A1681" s="55" t="str">
        <f>HYPERLINK("http://reports.ofsted.gov.uk/inspection-reports/find-inspection-report/provider/CARE/2635562","Ofsted Social Care Provider Webpage")</f>
        <v>Ofsted Social Care Provider Webpage</v>
      </c>
      <c r="B1681" s="55">
        <v>2635562</v>
      </c>
      <c r="D1681" s="55" t="s">
        <v>373</v>
      </c>
      <c r="E1681" s="74">
        <v>44273</v>
      </c>
      <c r="F1681" s="55" t="s">
        <v>344</v>
      </c>
      <c r="G1681" s="55" t="s">
        <v>360</v>
      </c>
      <c r="H1681" s="55" t="s">
        <v>360</v>
      </c>
      <c r="I1681" s="55" t="s">
        <v>360</v>
      </c>
      <c r="J1681" s="55" t="s">
        <v>360</v>
      </c>
      <c r="K1681" s="55" t="s">
        <v>360</v>
      </c>
      <c r="L1681" s="55" t="s">
        <v>360</v>
      </c>
      <c r="M1681" s="55" t="s">
        <v>172</v>
      </c>
      <c r="N1681" s="55" t="s">
        <v>172</v>
      </c>
      <c r="O1681" s="55" t="s">
        <v>235</v>
      </c>
      <c r="P1681" s="55" t="s">
        <v>494</v>
      </c>
      <c r="Q1681" s="55" t="s">
        <v>350</v>
      </c>
      <c r="R1681" s="85">
        <v>3</v>
      </c>
      <c r="S1681" s="55">
        <v>0</v>
      </c>
      <c r="T1681" s="74" t="s">
        <v>1375</v>
      </c>
      <c r="U1681" s="74" t="s">
        <v>351</v>
      </c>
      <c r="V1681" s="74">
        <v>44530</v>
      </c>
      <c r="W1681" s="74">
        <v>44572</v>
      </c>
      <c r="X1681" s="55">
        <v>10188311</v>
      </c>
      <c r="Y1681" s="55" t="s">
        <v>132</v>
      </c>
      <c r="AB1681" s="74" t="s">
        <v>132</v>
      </c>
      <c r="AC1681" s="55" t="s">
        <v>132</v>
      </c>
      <c r="AL1681" s="74"/>
      <c r="AM1681" s="74"/>
      <c r="AW1681" s="74"/>
      <c r="AX1681" s="74"/>
    </row>
    <row r="1682" spans="1:50" ht="13" x14ac:dyDescent="0.15">
      <c r="A1682" s="55" t="str">
        <f>HYPERLINK("http://reports.ofsted.gov.uk/inspection-reports/find-inspection-report/provider/CARE/2636494","Ofsted Social Care Provider Webpage")</f>
        <v>Ofsted Social Care Provider Webpage</v>
      </c>
      <c r="B1682" s="55">
        <v>2636494</v>
      </c>
      <c r="D1682" s="55" t="s">
        <v>373</v>
      </c>
      <c r="E1682" s="74">
        <v>44382</v>
      </c>
      <c r="F1682" s="55" t="s">
        <v>344</v>
      </c>
      <c r="G1682" s="55" t="s">
        <v>360</v>
      </c>
      <c r="H1682" s="55" t="s">
        <v>360</v>
      </c>
      <c r="I1682" s="55" t="s">
        <v>360</v>
      </c>
      <c r="J1682" s="55" t="s">
        <v>360</v>
      </c>
      <c r="K1682" s="55" t="s">
        <v>360</v>
      </c>
      <c r="L1682" s="55" t="s">
        <v>360</v>
      </c>
      <c r="M1682" s="55" t="s">
        <v>150</v>
      </c>
      <c r="N1682" s="55" t="s">
        <v>150</v>
      </c>
      <c r="O1682" s="55" t="s">
        <v>268</v>
      </c>
      <c r="P1682" s="55" t="s">
        <v>2140</v>
      </c>
      <c r="Q1682" s="55" t="s">
        <v>350</v>
      </c>
      <c r="R1682" s="85">
        <v>6</v>
      </c>
      <c r="S1682" s="55">
        <v>0</v>
      </c>
      <c r="T1682" s="74" t="s">
        <v>2141</v>
      </c>
      <c r="U1682" s="74" t="s">
        <v>351</v>
      </c>
      <c r="V1682" s="74">
        <v>44621</v>
      </c>
      <c r="W1682" s="74">
        <v>44670</v>
      </c>
      <c r="X1682" s="55">
        <v>10205007</v>
      </c>
      <c r="Y1682" s="55" t="s">
        <v>132</v>
      </c>
      <c r="AB1682" s="74" t="s">
        <v>132</v>
      </c>
      <c r="AC1682" s="55" t="s">
        <v>130</v>
      </c>
      <c r="AL1682" s="74"/>
      <c r="AM1682" s="74"/>
      <c r="AW1682" s="74"/>
      <c r="AX1682" s="74"/>
    </row>
    <row r="1683" spans="1:50" ht="13" x14ac:dyDescent="0.15">
      <c r="A1683" s="55" t="str">
        <f>HYPERLINK("http://reports.ofsted.gov.uk/inspection-reports/find-inspection-report/provider/CARE/2636743","Ofsted Social Care Provider Webpage")</f>
        <v>Ofsted Social Care Provider Webpage</v>
      </c>
      <c r="B1683" s="55">
        <v>2636743</v>
      </c>
      <c r="D1683" s="55" t="s">
        <v>373</v>
      </c>
      <c r="E1683" s="74">
        <v>44385</v>
      </c>
      <c r="F1683" s="55" t="s">
        <v>344</v>
      </c>
      <c r="G1683" s="55" t="s">
        <v>360</v>
      </c>
      <c r="H1683" s="55" t="s">
        <v>360</v>
      </c>
      <c r="I1683" s="55" t="s">
        <v>360</v>
      </c>
      <c r="J1683" s="55" t="s">
        <v>360</v>
      </c>
      <c r="K1683" s="55" t="s">
        <v>360</v>
      </c>
      <c r="L1683" s="55" t="s">
        <v>360</v>
      </c>
      <c r="M1683" s="55" t="s">
        <v>129</v>
      </c>
      <c r="N1683" s="55" t="s">
        <v>129</v>
      </c>
      <c r="O1683" s="55" t="s">
        <v>191</v>
      </c>
      <c r="P1683" s="55" t="s">
        <v>1224</v>
      </c>
      <c r="Q1683" s="55" t="s">
        <v>350</v>
      </c>
      <c r="R1683" s="85">
        <v>3</v>
      </c>
      <c r="S1683" s="55">
        <v>0</v>
      </c>
      <c r="T1683" s="74" t="s">
        <v>2142</v>
      </c>
      <c r="U1683" s="74" t="s">
        <v>351</v>
      </c>
      <c r="V1683" s="74">
        <v>44629</v>
      </c>
      <c r="W1683" s="74">
        <v>44678</v>
      </c>
      <c r="X1683" s="55">
        <v>10213486</v>
      </c>
      <c r="Y1683" s="55" t="s">
        <v>132</v>
      </c>
      <c r="AB1683" s="74" t="s">
        <v>130</v>
      </c>
      <c r="AC1683" s="55" t="s">
        <v>132</v>
      </c>
      <c r="AL1683" s="74"/>
      <c r="AM1683" s="74"/>
      <c r="AW1683" s="74"/>
      <c r="AX1683" s="74"/>
    </row>
    <row r="1684" spans="1:50" ht="13" x14ac:dyDescent="0.15">
      <c r="A1684" s="55" t="str">
        <f>HYPERLINK("http://reports.ofsted.gov.uk/inspection-reports/find-inspection-report/provider/CARE/2636921","Ofsted Social Care Provider Webpage")</f>
        <v>Ofsted Social Care Provider Webpage</v>
      </c>
      <c r="B1684" s="55">
        <v>2636921</v>
      </c>
      <c r="D1684" s="55" t="s">
        <v>373</v>
      </c>
      <c r="E1684" s="74">
        <v>44357</v>
      </c>
      <c r="F1684" s="55" t="s">
        <v>344</v>
      </c>
      <c r="G1684" s="55" t="s">
        <v>360</v>
      </c>
      <c r="H1684" s="55" t="s">
        <v>360</v>
      </c>
      <c r="I1684" s="55" t="s">
        <v>360</v>
      </c>
      <c r="J1684" s="55" t="s">
        <v>360</v>
      </c>
      <c r="K1684" s="55" t="s">
        <v>360</v>
      </c>
      <c r="L1684" s="55" t="s">
        <v>360</v>
      </c>
      <c r="M1684" s="55" t="s">
        <v>172</v>
      </c>
      <c r="N1684" s="55" t="s">
        <v>172</v>
      </c>
      <c r="O1684" s="55" t="s">
        <v>173</v>
      </c>
      <c r="P1684" s="55" t="s">
        <v>1540</v>
      </c>
      <c r="Q1684" s="55" t="s">
        <v>380</v>
      </c>
      <c r="R1684" s="85">
        <v>1</v>
      </c>
      <c r="S1684" s="55">
        <v>0</v>
      </c>
      <c r="T1684" s="74" t="s">
        <v>1431</v>
      </c>
      <c r="U1684" s="74" t="s">
        <v>351</v>
      </c>
      <c r="V1684" s="74">
        <v>44544</v>
      </c>
      <c r="W1684" s="74">
        <v>44588</v>
      </c>
      <c r="X1684" s="55">
        <v>10202058</v>
      </c>
      <c r="Y1684" s="55" t="s">
        <v>132</v>
      </c>
      <c r="AB1684" s="74" t="s">
        <v>132</v>
      </c>
      <c r="AC1684" s="55" t="s">
        <v>132</v>
      </c>
      <c r="AL1684" s="74"/>
      <c r="AM1684" s="74"/>
      <c r="AW1684" s="74"/>
      <c r="AX1684" s="74"/>
    </row>
    <row r="1685" spans="1:50" ht="13" x14ac:dyDescent="0.15">
      <c r="A1685" s="55" t="str">
        <f>HYPERLINK("http://reports.ofsted.gov.uk/inspection-reports/find-inspection-report/provider/CARE/2636991","Ofsted Social Care Provider Webpage")</f>
        <v>Ofsted Social Care Provider Webpage</v>
      </c>
      <c r="B1685" s="55">
        <v>2636991</v>
      </c>
      <c r="D1685" s="55" t="s">
        <v>373</v>
      </c>
      <c r="E1685" s="74">
        <v>44434</v>
      </c>
      <c r="F1685" s="55" t="s">
        <v>344</v>
      </c>
      <c r="G1685" s="55" t="s">
        <v>360</v>
      </c>
      <c r="H1685" s="55" t="s">
        <v>360</v>
      </c>
      <c r="I1685" s="55" t="s">
        <v>360</v>
      </c>
      <c r="J1685" s="55" t="s">
        <v>360</v>
      </c>
      <c r="K1685" s="55" t="s">
        <v>360</v>
      </c>
      <c r="L1685" s="55" t="s">
        <v>360</v>
      </c>
      <c r="M1685" s="55" t="s">
        <v>142</v>
      </c>
      <c r="N1685" s="55" t="s">
        <v>142</v>
      </c>
      <c r="O1685" s="55" t="s">
        <v>282</v>
      </c>
      <c r="P1685" s="55" t="s">
        <v>1812</v>
      </c>
      <c r="Q1685" s="55" t="s">
        <v>350</v>
      </c>
      <c r="R1685" s="85">
        <v>2</v>
      </c>
      <c r="S1685" s="55">
        <v>0</v>
      </c>
      <c r="T1685" s="74" t="s">
        <v>493</v>
      </c>
      <c r="U1685" s="74" t="s">
        <v>351</v>
      </c>
      <c r="V1685" s="74">
        <v>44586</v>
      </c>
      <c r="W1685" s="74">
        <v>44634</v>
      </c>
      <c r="X1685" s="55">
        <v>10208947</v>
      </c>
      <c r="Y1685" s="55" t="s">
        <v>132</v>
      </c>
      <c r="AB1685" s="74" t="s">
        <v>132</v>
      </c>
      <c r="AC1685" s="55" t="s">
        <v>132</v>
      </c>
      <c r="AL1685" s="74"/>
      <c r="AM1685" s="74"/>
      <c r="AW1685" s="74"/>
      <c r="AX1685" s="74"/>
    </row>
    <row r="1686" spans="1:50" ht="13" x14ac:dyDescent="0.15">
      <c r="A1686" s="55" t="str">
        <f>HYPERLINK("http://reports.ofsted.gov.uk/inspection-reports/find-inspection-report/provider/CARE/2636996","Ofsted Social Care Provider Webpage")</f>
        <v>Ofsted Social Care Provider Webpage</v>
      </c>
      <c r="B1686" s="55">
        <v>2636996</v>
      </c>
      <c r="D1686" s="55" t="s">
        <v>373</v>
      </c>
      <c r="E1686" s="74">
        <v>44456</v>
      </c>
      <c r="F1686" s="55" t="s">
        <v>344</v>
      </c>
      <c r="G1686" s="55" t="s">
        <v>360</v>
      </c>
      <c r="H1686" s="55" t="s">
        <v>360</v>
      </c>
      <c r="I1686" s="55" t="s">
        <v>360</v>
      </c>
      <c r="J1686" s="55" t="s">
        <v>360</v>
      </c>
      <c r="K1686" s="55" t="s">
        <v>360</v>
      </c>
      <c r="L1686" s="55" t="s">
        <v>360</v>
      </c>
      <c r="M1686" s="55" t="s">
        <v>142</v>
      </c>
      <c r="N1686" s="55" t="s">
        <v>142</v>
      </c>
      <c r="O1686" s="55" t="s">
        <v>293</v>
      </c>
      <c r="P1686" s="55" t="s">
        <v>1280</v>
      </c>
      <c r="Q1686" s="55" t="s">
        <v>350</v>
      </c>
      <c r="R1686" s="85">
        <v>4</v>
      </c>
      <c r="S1686" s="55">
        <v>0</v>
      </c>
      <c r="T1686" s="74" t="s">
        <v>2143</v>
      </c>
      <c r="U1686" s="74" t="s">
        <v>351</v>
      </c>
      <c r="V1686" s="74">
        <v>44592</v>
      </c>
      <c r="W1686" s="74">
        <v>44635</v>
      </c>
      <c r="X1686" s="55">
        <v>10212711</v>
      </c>
      <c r="Y1686" s="55" t="s">
        <v>130</v>
      </c>
      <c r="AB1686" s="74" t="s">
        <v>130</v>
      </c>
      <c r="AC1686" s="55" t="s">
        <v>130</v>
      </c>
      <c r="AL1686" s="74"/>
      <c r="AM1686" s="74"/>
      <c r="AW1686" s="74"/>
      <c r="AX1686" s="74"/>
    </row>
    <row r="1687" spans="1:50" ht="13" x14ac:dyDescent="0.15">
      <c r="A1687" s="55" t="str">
        <f>HYPERLINK("http://reports.ofsted.gov.uk/inspection-reports/find-inspection-report/provider/CARE/2637127","Ofsted Social Care Provider Webpage")</f>
        <v>Ofsted Social Care Provider Webpage</v>
      </c>
      <c r="B1687" s="55">
        <v>2637127</v>
      </c>
      <c r="D1687" s="55" t="s">
        <v>373</v>
      </c>
      <c r="E1687" s="74">
        <v>44315</v>
      </c>
      <c r="F1687" s="55" t="s">
        <v>344</v>
      </c>
      <c r="G1687" s="55" t="s">
        <v>360</v>
      </c>
      <c r="H1687" s="55" t="s">
        <v>360</v>
      </c>
      <c r="I1687" s="55" t="s">
        <v>360</v>
      </c>
      <c r="J1687" s="55" t="s">
        <v>360</v>
      </c>
      <c r="K1687" s="55" t="s">
        <v>360</v>
      </c>
      <c r="L1687" s="55" t="s">
        <v>360</v>
      </c>
      <c r="M1687" s="55" t="s">
        <v>172</v>
      </c>
      <c r="N1687" s="55" t="s">
        <v>172</v>
      </c>
      <c r="O1687" s="55" t="s">
        <v>212</v>
      </c>
      <c r="P1687" s="55" t="s">
        <v>798</v>
      </c>
      <c r="Q1687" s="55" t="s">
        <v>350</v>
      </c>
      <c r="R1687" s="85">
        <v>4</v>
      </c>
      <c r="S1687" s="55">
        <v>0</v>
      </c>
      <c r="T1687" s="74" t="s">
        <v>2144</v>
      </c>
      <c r="U1687" s="74" t="s">
        <v>6703</v>
      </c>
      <c r="V1687" s="74">
        <v>44635</v>
      </c>
      <c r="W1687" s="74">
        <v>44679</v>
      </c>
      <c r="X1687" s="55">
        <v>10207160</v>
      </c>
      <c r="Y1687" s="55" t="s">
        <v>6705</v>
      </c>
      <c r="AL1687" s="74"/>
      <c r="AM1687" s="74"/>
      <c r="AW1687" s="74"/>
      <c r="AX1687" s="74"/>
    </row>
    <row r="1688" spans="1:50" ht="13" x14ac:dyDescent="0.15">
      <c r="A1688" s="55" t="str">
        <f>HYPERLINK("http://reports.ofsted.gov.uk/inspection-reports/find-inspection-report/provider/CARE/2637127","Ofsted Social Care Provider Webpage")</f>
        <v>Ofsted Social Care Provider Webpage</v>
      </c>
      <c r="B1688" s="55">
        <v>2637127</v>
      </c>
      <c r="D1688" s="55" t="s">
        <v>373</v>
      </c>
      <c r="E1688" s="74">
        <v>44315</v>
      </c>
      <c r="F1688" s="55" t="s">
        <v>344</v>
      </c>
      <c r="G1688" s="55" t="s">
        <v>360</v>
      </c>
      <c r="H1688" s="55" t="s">
        <v>360</v>
      </c>
      <c r="I1688" s="55" t="s">
        <v>360</v>
      </c>
      <c r="J1688" s="55" t="s">
        <v>360</v>
      </c>
      <c r="K1688" s="55" t="s">
        <v>360</v>
      </c>
      <c r="L1688" s="55" t="s">
        <v>360</v>
      </c>
      <c r="M1688" s="55" t="s">
        <v>172</v>
      </c>
      <c r="N1688" s="55" t="s">
        <v>172</v>
      </c>
      <c r="O1688" s="55" t="s">
        <v>212</v>
      </c>
      <c r="P1688" s="55" t="s">
        <v>798</v>
      </c>
      <c r="Q1688" s="55" t="s">
        <v>350</v>
      </c>
      <c r="R1688" s="85">
        <v>4</v>
      </c>
      <c r="S1688" s="55">
        <v>0</v>
      </c>
      <c r="T1688" s="74" t="s">
        <v>2144</v>
      </c>
      <c r="U1688" s="74" t="s">
        <v>351</v>
      </c>
      <c r="V1688" s="74">
        <v>44404</v>
      </c>
      <c r="W1688" s="74">
        <v>44431</v>
      </c>
      <c r="X1688" s="55">
        <v>10195158</v>
      </c>
      <c r="Y1688" s="55" t="s">
        <v>130</v>
      </c>
      <c r="AB1688" s="74" t="s">
        <v>130</v>
      </c>
      <c r="AC1688" s="55" t="s">
        <v>130</v>
      </c>
      <c r="AL1688" s="74"/>
      <c r="AM1688" s="74"/>
      <c r="AW1688" s="74"/>
      <c r="AX1688" s="74"/>
    </row>
    <row r="1689" spans="1:50" ht="13" x14ac:dyDescent="0.15">
      <c r="A1689" s="55" t="str">
        <f>HYPERLINK("http://reports.ofsted.gov.uk/inspection-reports/find-inspection-report/provider/CARE/2637140","Ofsted Social Care Provider Webpage")</f>
        <v>Ofsted Social Care Provider Webpage</v>
      </c>
      <c r="B1689" s="55">
        <v>2637140</v>
      </c>
      <c r="D1689" s="55" t="s">
        <v>373</v>
      </c>
      <c r="E1689" s="74">
        <v>44442</v>
      </c>
      <c r="F1689" s="55" t="s">
        <v>344</v>
      </c>
      <c r="G1689" s="55" t="s">
        <v>360</v>
      </c>
      <c r="H1689" s="55" t="s">
        <v>360</v>
      </c>
      <c r="I1689" s="55" t="s">
        <v>360</v>
      </c>
      <c r="J1689" s="55" t="s">
        <v>360</v>
      </c>
      <c r="K1689" s="55" t="s">
        <v>360</v>
      </c>
      <c r="L1689" s="55" t="s">
        <v>360</v>
      </c>
      <c r="M1689" s="55" t="s">
        <v>172</v>
      </c>
      <c r="N1689" s="55" t="s">
        <v>172</v>
      </c>
      <c r="O1689" s="55" t="s">
        <v>212</v>
      </c>
      <c r="P1689" s="55" t="s">
        <v>842</v>
      </c>
      <c r="Q1689" s="55" t="s">
        <v>350</v>
      </c>
      <c r="R1689" s="85">
        <v>1</v>
      </c>
      <c r="S1689" s="55">
        <v>0</v>
      </c>
      <c r="T1689" s="74" t="s">
        <v>517</v>
      </c>
      <c r="U1689" s="74" t="s">
        <v>351</v>
      </c>
      <c r="V1689" s="74">
        <v>44586</v>
      </c>
      <c r="W1689" s="74">
        <v>44627</v>
      </c>
      <c r="X1689" s="55">
        <v>10206365</v>
      </c>
      <c r="Y1689" s="55" t="s">
        <v>130</v>
      </c>
      <c r="AB1689" s="74" t="s">
        <v>130</v>
      </c>
      <c r="AC1689" s="55" t="s">
        <v>130</v>
      </c>
      <c r="AL1689" s="74"/>
      <c r="AM1689" s="74"/>
      <c r="AW1689" s="74"/>
      <c r="AX1689" s="74"/>
    </row>
    <row r="1690" spans="1:50" ht="13" x14ac:dyDescent="0.15">
      <c r="A1690" s="55" t="str">
        <f>HYPERLINK("http://reports.ofsted.gov.uk/inspection-reports/find-inspection-report/provider/CARE/2637805","Ofsted Social Care Provider Webpage")</f>
        <v>Ofsted Social Care Provider Webpage</v>
      </c>
      <c r="B1690" s="55">
        <v>2637805</v>
      </c>
      <c r="D1690" s="55" t="s">
        <v>373</v>
      </c>
      <c r="E1690" s="74">
        <v>44348</v>
      </c>
      <c r="F1690" s="55" t="s">
        <v>344</v>
      </c>
      <c r="G1690" s="55" t="s">
        <v>360</v>
      </c>
      <c r="H1690" s="55" t="s">
        <v>360</v>
      </c>
      <c r="I1690" s="55" t="s">
        <v>360</v>
      </c>
      <c r="J1690" s="55" t="s">
        <v>360</v>
      </c>
      <c r="K1690" s="55" t="s">
        <v>360</v>
      </c>
      <c r="L1690" s="55" t="s">
        <v>360</v>
      </c>
      <c r="M1690" s="55" t="s">
        <v>138</v>
      </c>
      <c r="N1690" s="55" t="s">
        <v>138</v>
      </c>
      <c r="O1690" s="55" t="s">
        <v>273</v>
      </c>
      <c r="P1690" s="55" t="s">
        <v>584</v>
      </c>
      <c r="Q1690" s="55" t="s">
        <v>350</v>
      </c>
      <c r="R1690" s="85">
        <v>4</v>
      </c>
      <c r="S1690" s="55">
        <v>0</v>
      </c>
      <c r="T1690" s="74" t="s">
        <v>2159</v>
      </c>
      <c r="U1690" s="74" t="s">
        <v>351</v>
      </c>
      <c r="V1690" s="74">
        <v>44544</v>
      </c>
      <c r="W1690" s="74">
        <v>44581</v>
      </c>
      <c r="X1690" s="55">
        <v>10197524</v>
      </c>
      <c r="Y1690" s="55" t="s">
        <v>146</v>
      </c>
      <c r="AB1690" s="74" t="s">
        <v>146</v>
      </c>
      <c r="AC1690" s="55" t="s">
        <v>146</v>
      </c>
      <c r="AL1690" s="74"/>
      <c r="AM1690" s="74"/>
      <c r="AW1690" s="74"/>
      <c r="AX1690" s="74"/>
    </row>
    <row r="1691" spans="1:50" ht="13" x14ac:dyDescent="0.15">
      <c r="A1691" s="55" t="str">
        <f>HYPERLINK("http://reports.ofsted.gov.uk/inspection-reports/find-inspection-report/provider/CARE/2637805","Ofsted Social Care Provider Webpage")</f>
        <v>Ofsted Social Care Provider Webpage</v>
      </c>
      <c r="B1691" s="55">
        <v>2637805</v>
      </c>
      <c r="D1691" s="55" t="s">
        <v>373</v>
      </c>
      <c r="E1691" s="74">
        <v>44348</v>
      </c>
      <c r="F1691" s="55" t="s">
        <v>344</v>
      </c>
      <c r="G1691" s="55" t="s">
        <v>360</v>
      </c>
      <c r="H1691" s="55" t="s">
        <v>360</v>
      </c>
      <c r="I1691" s="55" t="s">
        <v>360</v>
      </c>
      <c r="J1691" s="55" t="s">
        <v>360</v>
      </c>
      <c r="K1691" s="55" t="s">
        <v>360</v>
      </c>
      <c r="L1691" s="55" t="s">
        <v>360</v>
      </c>
      <c r="M1691" s="55" t="s">
        <v>138</v>
      </c>
      <c r="N1691" s="55" t="s">
        <v>138</v>
      </c>
      <c r="O1691" s="55" t="s">
        <v>273</v>
      </c>
      <c r="P1691" s="55" t="s">
        <v>584</v>
      </c>
      <c r="Q1691" s="55" t="s">
        <v>350</v>
      </c>
      <c r="R1691" s="85">
        <v>4</v>
      </c>
      <c r="S1691" s="55">
        <v>0</v>
      </c>
      <c r="T1691" s="74" t="s">
        <v>2159</v>
      </c>
      <c r="U1691" s="74" t="s">
        <v>2053</v>
      </c>
      <c r="V1691" s="74">
        <v>44586</v>
      </c>
      <c r="W1691" s="74">
        <v>44608</v>
      </c>
      <c r="X1691" s="55">
        <v>10217695</v>
      </c>
      <c r="AL1691" s="74"/>
      <c r="AM1691" s="74"/>
    </row>
    <row r="1692" spans="1:50" ht="13" x14ac:dyDescent="0.15">
      <c r="A1692" s="55" t="str">
        <f>HYPERLINK("http://reports.ofsted.gov.uk/inspection-reports/find-inspection-report/provider/CARE/2638148","Ofsted Social Care Provider Webpage")</f>
        <v>Ofsted Social Care Provider Webpage</v>
      </c>
      <c r="B1692" s="55">
        <v>2638148</v>
      </c>
      <c r="D1692" s="55" t="s">
        <v>373</v>
      </c>
      <c r="E1692" s="74">
        <v>44382</v>
      </c>
      <c r="F1692" s="55" t="s">
        <v>344</v>
      </c>
      <c r="G1692" s="55" t="s">
        <v>360</v>
      </c>
      <c r="H1692" s="55" t="s">
        <v>360</v>
      </c>
      <c r="I1692" s="55" t="s">
        <v>360</v>
      </c>
      <c r="J1692" s="55" t="s">
        <v>360</v>
      </c>
      <c r="K1692" s="55" t="s">
        <v>360</v>
      </c>
      <c r="L1692" s="55" t="s">
        <v>360</v>
      </c>
      <c r="M1692" s="55" t="s">
        <v>138</v>
      </c>
      <c r="N1692" s="55" t="s">
        <v>138</v>
      </c>
      <c r="O1692" s="55" t="s">
        <v>238</v>
      </c>
      <c r="P1692" s="55" t="s">
        <v>238</v>
      </c>
      <c r="Q1692" s="55" t="s">
        <v>350</v>
      </c>
      <c r="R1692" s="85">
        <v>3</v>
      </c>
      <c r="S1692" s="55">
        <v>0</v>
      </c>
      <c r="T1692" s="74" t="s">
        <v>2160</v>
      </c>
      <c r="U1692" s="74" t="s">
        <v>351</v>
      </c>
      <c r="V1692" s="74">
        <v>44530</v>
      </c>
      <c r="W1692" s="74">
        <v>44559</v>
      </c>
      <c r="X1692" s="55">
        <v>10202067</v>
      </c>
      <c r="Y1692" s="55" t="s">
        <v>132</v>
      </c>
      <c r="AB1692" s="74" t="s">
        <v>132</v>
      </c>
      <c r="AC1692" s="55" t="s">
        <v>132</v>
      </c>
      <c r="AL1692" s="74"/>
      <c r="AM1692" s="74"/>
      <c r="AW1692" s="74"/>
      <c r="AX1692" s="74"/>
    </row>
    <row r="1693" spans="1:50" ht="13" x14ac:dyDescent="0.15">
      <c r="A1693" s="55" t="str">
        <f>HYPERLINK("http://reports.ofsted.gov.uk/inspection-reports/find-inspection-report/provider/CARE/2638202","Ofsted Social Care Provider Webpage")</f>
        <v>Ofsted Social Care Provider Webpage</v>
      </c>
      <c r="B1693" s="55">
        <v>2638202</v>
      </c>
      <c r="D1693" s="55" t="s">
        <v>373</v>
      </c>
      <c r="E1693" s="74">
        <v>44407</v>
      </c>
      <c r="F1693" s="55" t="s">
        <v>344</v>
      </c>
      <c r="G1693" s="55" t="s">
        <v>360</v>
      </c>
      <c r="H1693" s="55" t="s">
        <v>360</v>
      </c>
      <c r="I1693" s="55" t="s">
        <v>360</v>
      </c>
      <c r="J1693" s="55" t="s">
        <v>360</v>
      </c>
      <c r="K1693" s="55" t="s">
        <v>360</v>
      </c>
      <c r="L1693" s="55" t="s">
        <v>360</v>
      </c>
      <c r="M1693" s="55" t="s">
        <v>144</v>
      </c>
      <c r="N1693" s="55" t="s">
        <v>144</v>
      </c>
      <c r="O1693" s="55" t="s">
        <v>281</v>
      </c>
      <c r="P1693" s="55" t="s">
        <v>556</v>
      </c>
      <c r="Q1693" s="55" t="s">
        <v>350</v>
      </c>
      <c r="R1693" s="85">
        <v>1</v>
      </c>
      <c r="S1693" s="55">
        <v>0</v>
      </c>
      <c r="T1693" s="74" t="s">
        <v>1449</v>
      </c>
      <c r="U1693" s="74" t="s">
        <v>351</v>
      </c>
      <c r="V1693" s="74">
        <v>44635</v>
      </c>
      <c r="W1693" s="74">
        <v>44680</v>
      </c>
      <c r="X1693" s="55">
        <v>10210510</v>
      </c>
      <c r="Y1693" s="55" t="s">
        <v>130</v>
      </c>
      <c r="AB1693" s="74" t="s">
        <v>130</v>
      </c>
      <c r="AC1693" s="55" t="s">
        <v>130</v>
      </c>
      <c r="AL1693" s="74"/>
      <c r="AM1693" s="74"/>
      <c r="AW1693" s="74"/>
      <c r="AX1693" s="74"/>
    </row>
    <row r="1694" spans="1:50" ht="13" x14ac:dyDescent="0.15">
      <c r="A1694" s="55" t="str">
        <f>HYPERLINK("http://reports.ofsted.gov.uk/inspection-reports/find-inspection-report/provider/CARE/2638239","Ofsted Social Care Provider Webpage")</f>
        <v>Ofsted Social Care Provider Webpage</v>
      </c>
      <c r="B1694" s="55">
        <v>2638239</v>
      </c>
      <c r="D1694" s="55" t="s">
        <v>373</v>
      </c>
      <c r="E1694" s="74">
        <v>44404</v>
      </c>
      <c r="F1694" s="55" t="s">
        <v>344</v>
      </c>
      <c r="G1694" s="55" t="s">
        <v>360</v>
      </c>
      <c r="H1694" s="55" t="s">
        <v>360</v>
      </c>
      <c r="I1694" s="55" t="s">
        <v>360</v>
      </c>
      <c r="J1694" s="55" t="s">
        <v>360</v>
      </c>
      <c r="K1694" s="55" t="s">
        <v>360</v>
      </c>
      <c r="L1694" s="55" t="s">
        <v>360</v>
      </c>
      <c r="M1694" s="55" t="s">
        <v>378</v>
      </c>
      <c r="N1694" s="55" t="s">
        <v>134</v>
      </c>
      <c r="O1694" s="55" t="s">
        <v>175</v>
      </c>
      <c r="P1694" s="55" t="s">
        <v>678</v>
      </c>
      <c r="Q1694" s="55" t="s">
        <v>350</v>
      </c>
      <c r="R1694" s="85">
        <v>2</v>
      </c>
      <c r="S1694" s="55">
        <v>0</v>
      </c>
      <c r="T1694" s="74" t="s">
        <v>2162</v>
      </c>
      <c r="U1694" s="74" t="s">
        <v>351</v>
      </c>
      <c r="V1694" s="74">
        <v>44579</v>
      </c>
      <c r="W1694" s="74">
        <v>44620</v>
      </c>
      <c r="X1694" s="55">
        <v>10206615</v>
      </c>
      <c r="Y1694" s="55" t="s">
        <v>132</v>
      </c>
      <c r="AB1694" s="74" t="s">
        <v>132</v>
      </c>
      <c r="AC1694" s="55" t="s">
        <v>132</v>
      </c>
      <c r="AL1694" s="74"/>
      <c r="AM1694" s="74"/>
      <c r="AW1694" s="74"/>
      <c r="AX1694" s="74"/>
    </row>
    <row r="1695" spans="1:50" ht="13" x14ac:dyDescent="0.15">
      <c r="A1695" s="55" t="str">
        <f>HYPERLINK("http://reports.ofsted.gov.uk/inspection-reports/find-inspection-report/provider/CARE/2638322","Ofsted Social Care Provider Webpage")</f>
        <v>Ofsted Social Care Provider Webpage</v>
      </c>
      <c r="B1695" s="55">
        <v>2638322</v>
      </c>
      <c r="D1695" s="55" t="s">
        <v>373</v>
      </c>
      <c r="E1695" s="74">
        <v>44407</v>
      </c>
      <c r="F1695" s="55" t="s">
        <v>344</v>
      </c>
      <c r="G1695" s="55" t="s">
        <v>360</v>
      </c>
      <c r="H1695" s="55" t="s">
        <v>360</v>
      </c>
      <c r="I1695" s="55" t="s">
        <v>360</v>
      </c>
      <c r="J1695" s="55" t="s">
        <v>360</v>
      </c>
      <c r="K1695" s="55" t="s">
        <v>360</v>
      </c>
      <c r="L1695" s="55" t="s">
        <v>360</v>
      </c>
      <c r="M1695" s="55" t="s">
        <v>378</v>
      </c>
      <c r="N1695" s="55" t="s">
        <v>170</v>
      </c>
      <c r="O1695" s="55" t="s">
        <v>231</v>
      </c>
      <c r="P1695" s="55" t="s">
        <v>231</v>
      </c>
      <c r="Q1695" s="55" t="s">
        <v>350</v>
      </c>
      <c r="R1695" s="85">
        <v>3</v>
      </c>
      <c r="S1695" s="55">
        <v>0</v>
      </c>
      <c r="T1695" s="74" t="s">
        <v>2163</v>
      </c>
      <c r="U1695" s="74" t="s">
        <v>351</v>
      </c>
      <c r="V1695" s="74">
        <v>44593</v>
      </c>
      <c r="W1695" s="74">
        <v>44649</v>
      </c>
      <c r="X1695" s="55">
        <v>10206617</v>
      </c>
      <c r="Y1695" s="55" t="s">
        <v>130</v>
      </c>
      <c r="AB1695" s="74" t="s">
        <v>130</v>
      </c>
      <c r="AC1695" s="55" t="s">
        <v>130</v>
      </c>
      <c r="AL1695" s="74"/>
      <c r="AM1695" s="74"/>
      <c r="AW1695" s="74"/>
      <c r="AX1695" s="74"/>
    </row>
    <row r="1696" spans="1:50" ht="13" x14ac:dyDescent="0.15">
      <c r="A1696" s="55" t="str">
        <f>HYPERLINK("http://reports.ofsted.gov.uk/inspection-reports/find-inspection-report/provider/CARE/2638390","Ofsted Social Care Provider Webpage")</f>
        <v>Ofsted Social Care Provider Webpage</v>
      </c>
      <c r="B1696" s="55">
        <v>2638390</v>
      </c>
      <c r="D1696" s="55" t="s">
        <v>373</v>
      </c>
      <c r="E1696" s="74">
        <v>44372</v>
      </c>
      <c r="F1696" s="55" t="s">
        <v>344</v>
      </c>
      <c r="G1696" s="55" t="s">
        <v>360</v>
      </c>
      <c r="H1696" s="55" t="s">
        <v>360</v>
      </c>
      <c r="I1696" s="55" t="s">
        <v>360</v>
      </c>
      <c r="J1696" s="55" t="s">
        <v>360</v>
      </c>
      <c r="K1696" s="55" t="s">
        <v>360</v>
      </c>
      <c r="L1696" s="55" t="s">
        <v>360</v>
      </c>
      <c r="M1696" s="55" t="s">
        <v>144</v>
      </c>
      <c r="N1696" s="55" t="s">
        <v>144</v>
      </c>
      <c r="O1696" s="55" t="s">
        <v>145</v>
      </c>
      <c r="P1696" s="55" t="s">
        <v>525</v>
      </c>
      <c r="Q1696" s="55" t="s">
        <v>350</v>
      </c>
      <c r="R1696" s="85">
        <v>1</v>
      </c>
      <c r="S1696" s="55">
        <v>0</v>
      </c>
      <c r="T1696" s="74" t="s">
        <v>485</v>
      </c>
      <c r="U1696" s="74" t="s">
        <v>351</v>
      </c>
      <c r="V1696" s="74">
        <v>44621</v>
      </c>
      <c r="W1696" s="74">
        <v>44662</v>
      </c>
      <c r="X1696" s="55">
        <v>10210511</v>
      </c>
      <c r="Y1696" s="55" t="s">
        <v>132</v>
      </c>
      <c r="AB1696" s="74" t="s">
        <v>132</v>
      </c>
      <c r="AC1696" s="55" t="s">
        <v>132</v>
      </c>
      <c r="AL1696" s="74"/>
      <c r="AM1696" s="74"/>
    </row>
    <row r="1697" spans="1:50" ht="13" x14ac:dyDescent="0.15">
      <c r="A1697" s="55" t="str">
        <f>HYPERLINK("http://reports.ofsted.gov.uk/inspection-reports/find-inspection-report/provider/CARE/2638470","Ofsted Social Care Provider Webpage")</f>
        <v>Ofsted Social Care Provider Webpage</v>
      </c>
      <c r="B1697" s="55">
        <v>2638470</v>
      </c>
      <c r="D1697" s="55" t="s">
        <v>373</v>
      </c>
      <c r="E1697" s="74">
        <v>44314</v>
      </c>
      <c r="F1697" s="55" t="s">
        <v>344</v>
      </c>
      <c r="G1697" s="55" t="s">
        <v>360</v>
      </c>
      <c r="H1697" s="55" t="s">
        <v>360</v>
      </c>
      <c r="I1697" s="55" t="s">
        <v>360</v>
      </c>
      <c r="J1697" s="55" t="s">
        <v>360</v>
      </c>
      <c r="K1697" s="55" t="s">
        <v>360</v>
      </c>
      <c r="L1697" s="55" t="s">
        <v>360</v>
      </c>
      <c r="M1697" s="55" t="s">
        <v>142</v>
      </c>
      <c r="N1697" s="55" t="s">
        <v>142</v>
      </c>
      <c r="O1697" s="55" t="s">
        <v>262</v>
      </c>
      <c r="P1697" s="55" t="s">
        <v>916</v>
      </c>
      <c r="Q1697" s="55" t="s">
        <v>350</v>
      </c>
      <c r="R1697" s="85">
        <v>3</v>
      </c>
      <c r="S1697" s="55">
        <v>0</v>
      </c>
      <c r="T1697" s="74" t="s">
        <v>2169</v>
      </c>
      <c r="U1697" s="74" t="s">
        <v>351</v>
      </c>
      <c r="V1697" s="74">
        <v>44608</v>
      </c>
      <c r="W1697" s="74">
        <v>44649</v>
      </c>
      <c r="X1697" s="55">
        <v>10202146</v>
      </c>
      <c r="Y1697" s="55" t="s">
        <v>132</v>
      </c>
      <c r="AB1697" s="74" t="s">
        <v>132</v>
      </c>
      <c r="AC1697" s="55" t="s">
        <v>132</v>
      </c>
      <c r="AL1697" s="74"/>
      <c r="AM1697" s="74"/>
    </row>
    <row r="1698" spans="1:50" ht="13" x14ac:dyDescent="0.15">
      <c r="A1698" s="55" t="str">
        <f>HYPERLINK("http://reports.ofsted.gov.uk/inspection-reports/find-inspection-report/provider/CARE/2638487","Ofsted Social Care Provider Webpage")</f>
        <v>Ofsted Social Care Provider Webpage</v>
      </c>
      <c r="B1698" s="55">
        <v>2638487</v>
      </c>
      <c r="D1698" s="55" t="s">
        <v>373</v>
      </c>
      <c r="E1698" s="74">
        <v>44378</v>
      </c>
      <c r="F1698" s="55" t="s">
        <v>344</v>
      </c>
      <c r="G1698" s="55" t="s">
        <v>360</v>
      </c>
      <c r="H1698" s="55" t="s">
        <v>360</v>
      </c>
      <c r="I1698" s="55" t="s">
        <v>360</v>
      </c>
      <c r="J1698" s="55" t="s">
        <v>360</v>
      </c>
      <c r="K1698" s="55" t="s">
        <v>360</v>
      </c>
      <c r="L1698" s="55" t="s">
        <v>360</v>
      </c>
      <c r="M1698" s="55" t="s">
        <v>144</v>
      </c>
      <c r="N1698" s="55" t="s">
        <v>144</v>
      </c>
      <c r="O1698" s="55" t="s">
        <v>209</v>
      </c>
      <c r="P1698" s="55" t="s">
        <v>597</v>
      </c>
      <c r="Q1698" s="55" t="s">
        <v>350</v>
      </c>
      <c r="R1698" s="85">
        <v>4</v>
      </c>
      <c r="S1698" s="55">
        <v>0</v>
      </c>
      <c r="T1698" s="74" t="s">
        <v>737</v>
      </c>
      <c r="U1698" s="74" t="s">
        <v>351</v>
      </c>
      <c r="V1698" s="74">
        <v>44629</v>
      </c>
      <c r="W1698" s="74">
        <v>44677</v>
      </c>
      <c r="X1698" s="55">
        <v>10203103</v>
      </c>
      <c r="Y1698" s="55" t="s">
        <v>132</v>
      </c>
      <c r="AB1698" s="74" t="s">
        <v>132</v>
      </c>
      <c r="AC1698" s="55" t="s">
        <v>140</v>
      </c>
      <c r="AL1698" s="74"/>
      <c r="AM1698" s="74"/>
      <c r="AW1698" s="74"/>
      <c r="AX1698" s="74"/>
    </row>
    <row r="1699" spans="1:50" ht="13" x14ac:dyDescent="0.15">
      <c r="A1699" s="55" t="str">
        <f>HYPERLINK("http://reports.ofsted.gov.uk/inspection-reports/find-inspection-report/provider/CARE/2638590","Ofsted Social Care Provider Webpage")</f>
        <v>Ofsted Social Care Provider Webpage</v>
      </c>
      <c r="B1699" s="55">
        <v>2638590</v>
      </c>
      <c r="D1699" s="55" t="s">
        <v>373</v>
      </c>
      <c r="E1699" s="74">
        <v>44418</v>
      </c>
      <c r="F1699" s="55" t="s">
        <v>344</v>
      </c>
      <c r="G1699" s="55" t="s">
        <v>360</v>
      </c>
      <c r="H1699" s="55" t="s">
        <v>360</v>
      </c>
      <c r="I1699" s="55" t="s">
        <v>360</v>
      </c>
      <c r="J1699" s="55" t="s">
        <v>360</v>
      </c>
      <c r="K1699" s="55" t="s">
        <v>360</v>
      </c>
      <c r="L1699" s="55" t="s">
        <v>360</v>
      </c>
      <c r="M1699" s="55" t="s">
        <v>129</v>
      </c>
      <c r="N1699" s="55" t="s">
        <v>129</v>
      </c>
      <c r="O1699" s="55" t="s">
        <v>194</v>
      </c>
      <c r="P1699" s="55" t="s">
        <v>1833</v>
      </c>
      <c r="Q1699" s="55" t="s">
        <v>350</v>
      </c>
      <c r="R1699" s="85">
        <v>7</v>
      </c>
      <c r="S1699" s="55">
        <v>0</v>
      </c>
      <c r="T1699" s="74" t="s">
        <v>2170</v>
      </c>
      <c r="U1699" s="74" t="s">
        <v>351</v>
      </c>
      <c r="V1699" s="74">
        <v>44635</v>
      </c>
      <c r="W1699" s="74">
        <v>44678</v>
      </c>
      <c r="X1699" s="55">
        <v>10213487</v>
      </c>
      <c r="Y1699" s="55" t="s">
        <v>132</v>
      </c>
      <c r="AB1699" s="74" t="s">
        <v>132</v>
      </c>
      <c r="AC1699" s="55" t="s">
        <v>132</v>
      </c>
      <c r="AL1699" s="74"/>
      <c r="AM1699" s="74"/>
    </row>
    <row r="1700" spans="1:50" ht="13" x14ac:dyDescent="0.15">
      <c r="A1700" s="55" t="str">
        <f>HYPERLINK("http://reports.ofsted.gov.uk/inspection-reports/find-inspection-report/provider/CARE/2638736","Ofsted Social Care Provider Webpage")</f>
        <v>Ofsted Social Care Provider Webpage</v>
      </c>
      <c r="B1700" s="55">
        <v>2638736</v>
      </c>
      <c r="D1700" s="55" t="s">
        <v>373</v>
      </c>
      <c r="E1700" s="74">
        <v>44370</v>
      </c>
      <c r="F1700" s="55" t="s">
        <v>344</v>
      </c>
      <c r="G1700" s="55" t="s">
        <v>360</v>
      </c>
      <c r="H1700" s="55" t="s">
        <v>360</v>
      </c>
      <c r="I1700" s="55" t="s">
        <v>360</v>
      </c>
      <c r="J1700" s="55" t="s">
        <v>360</v>
      </c>
      <c r="K1700" s="55" t="s">
        <v>360</v>
      </c>
      <c r="L1700" s="55" t="s">
        <v>360</v>
      </c>
      <c r="M1700" s="55" t="s">
        <v>144</v>
      </c>
      <c r="N1700" s="55" t="s">
        <v>144</v>
      </c>
      <c r="O1700" s="55" t="s">
        <v>162</v>
      </c>
      <c r="P1700" s="55" t="s">
        <v>1502</v>
      </c>
      <c r="Q1700" s="55" t="s">
        <v>350</v>
      </c>
      <c r="R1700" s="85">
        <v>2</v>
      </c>
      <c r="S1700" s="55">
        <v>0</v>
      </c>
      <c r="T1700" s="74" t="s">
        <v>1503</v>
      </c>
      <c r="U1700" s="74" t="s">
        <v>351</v>
      </c>
      <c r="V1700" s="74">
        <v>44580</v>
      </c>
      <c r="W1700" s="74">
        <v>44613</v>
      </c>
      <c r="X1700" s="55">
        <v>10204326</v>
      </c>
      <c r="Y1700" s="55" t="s">
        <v>132</v>
      </c>
      <c r="AB1700" s="74" t="s">
        <v>132</v>
      </c>
      <c r="AC1700" s="55" t="s">
        <v>132</v>
      </c>
      <c r="AL1700" s="74"/>
      <c r="AM1700" s="74"/>
      <c r="AW1700" s="74"/>
      <c r="AX1700" s="74"/>
    </row>
    <row r="1701" spans="1:50" ht="13" x14ac:dyDescent="0.15">
      <c r="A1701" s="55" t="str">
        <f>HYPERLINK("http://reports.ofsted.gov.uk/inspection-reports/find-inspection-report/provider/CARE/2639632","Ofsted Social Care Provider Webpage")</f>
        <v>Ofsted Social Care Provider Webpage</v>
      </c>
      <c r="B1701" s="55">
        <v>2639632</v>
      </c>
      <c r="D1701" s="55" t="s">
        <v>373</v>
      </c>
      <c r="E1701" s="74">
        <v>44431</v>
      </c>
      <c r="F1701" s="55" t="s">
        <v>344</v>
      </c>
      <c r="G1701" s="55" t="s">
        <v>360</v>
      </c>
      <c r="H1701" s="55" t="s">
        <v>360</v>
      </c>
      <c r="I1701" s="55" t="s">
        <v>360</v>
      </c>
      <c r="J1701" s="55" t="s">
        <v>360</v>
      </c>
      <c r="K1701" s="55" t="s">
        <v>360</v>
      </c>
      <c r="L1701" s="55" t="s">
        <v>360</v>
      </c>
      <c r="M1701" s="55" t="s">
        <v>138</v>
      </c>
      <c r="N1701" s="55" t="s">
        <v>138</v>
      </c>
      <c r="O1701" s="55" t="s">
        <v>216</v>
      </c>
      <c r="P1701" s="55" t="s">
        <v>1968</v>
      </c>
      <c r="Q1701" s="55" t="s">
        <v>350</v>
      </c>
      <c r="R1701" s="85">
        <v>2</v>
      </c>
      <c r="S1701" s="55">
        <v>0</v>
      </c>
      <c r="T1701" s="74" t="s">
        <v>2174</v>
      </c>
      <c r="U1701" s="74" t="s">
        <v>351</v>
      </c>
      <c r="V1701" s="74">
        <v>44537</v>
      </c>
      <c r="W1701" s="74">
        <v>44580</v>
      </c>
      <c r="X1701" s="55">
        <v>10209737</v>
      </c>
      <c r="Y1701" s="55" t="s">
        <v>132</v>
      </c>
      <c r="AB1701" s="74" t="s">
        <v>132</v>
      </c>
      <c r="AC1701" s="55" t="s">
        <v>130</v>
      </c>
      <c r="AL1701" s="74"/>
      <c r="AM1701" s="74"/>
    </row>
    <row r="1702" spans="1:50" ht="13" x14ac:dyDescent="0.15">
      <c r="A1702" s="55" t="str">
        <f>HYPERLINK("http://reports.ofsted.gov.uk/inspection-reports/find-inspection-report/provider/CARE/2639649","Ofsted Social Care Provider Webpage")</f>
        <v>Ofsted Social Care Provider Webpage</v>
      </c>
      <c r="B1702" s="55">
        <v>2639649</v>
      </c>
      <c r="D1702" s="55" t="s">
        <v>373</v>
      </c>
      <c r="E1702" s="74">
        <v>44467</v>
      </c>
      <c r="F1702" s="55" t="s">
        <v>344</v>
      </c>
      <c r="G1702" s="55" t="s">
        <v>360</v>
      </c>
      <c r="H1702" s="55" t="s">
        <v>360</v>
      </c>
      <c r="I1702" s="55" t="s">
        <v>360</v>
      </c>
      <c r="J1702" s="55" t="s">
        <v>360</v>
      </c>
      <c r="K1702" s="55" t="s">
        <v>360</v>
      </c>
      <c r="L1702" s="55" t="s">
        <v>360</v>
      </c>
      <c r="M1702" s="55" t="s">
        <v>144</v>
      </c>
      <c r="N1702" s="55" t="s">
        <v>144</v>
      </c>
      <c r="O1702" s="55" t="s">
        <v>209</v>
      </c>
      <c r="P1702" s="55" t="s">
        <v>597</v>
      </c>
      <c r="Q1702" s="55" t="s">
        <v>350</v>
      </c>
      <c r="R1702" s="85">
        <v>2</v>
      </c>
      <c r="S1702" s="55">
        <v>0</v>
      </c>
      <c r="T1702" s="74" t="s">
        <v>2175</v>
      </c>
      <c r="U1702" s="74" t="s">
        <v>351</v>
      </c>
      <c r="V1702" s="74">
        <v>44586</v>
      </c>
      <c r="W1702" s="74">
        <v>44629</v>
      </c>
      <c r="X1702" s="55">
        <v>10209960</v>
      </c>
      <c r="Y1702" s="55" t="s">
        <v>146</v>
      </c>
      <c r="AB1702" s="74" t="s">
        <v>146</v>
      </c>
      <c r="AC1702" s="55" t="s">
        <v>146</v>
      </c>
      <c r="AL1702" s="74"/>
      <c r="AM1702" s="74"/>
      <c r="AW1702" s="74"/>
      <c r="AX1702" s="74"/>
    </row>
    <row r="1703" spans="1:50" ht="13" x14ac:dyDescent="0.15">
      <c r="A1703" s="55" t="str">
        <f>HYPERLINK("http://reports.ofsted.gov.uk/inspection-reports/find-inspection-report/provider/CARE/2640082","Ofsted Social Care Provider Webpage")</f>
        <v>Ofsted Social Care Provider Webpage</v>
      </c>
      <c r="B1703" s="55">
        <v>2640082</v>
      </c>
      <c r="D1703" s="55" t="s">
        <v>373</v>
      </c>
      <c r="E1703" s="74">
        <v>44336</v>
      </c>
      <c r="F1703" s="55" t="s">
        <v>344</v>
      </c>
      <c r="G1703" s="55" t="s">
        <v>360</v>
      </c>
      <c r="H1703" s="55" t="s">
        <v>360</v>
      </c>
      <c r="I1703" s="55" t="s">
        <v>360</v>
      </c>
      <c r="J1703" s="55" t="s">
        <v>360</v>
      </c>
      <c r="K1703" s="55" t="s">
        <v>360</v>
      </c>
      <c r="L1703" s="55" t="s">
        <v>360</v>
      </c>
      <c r="M1703" s="55" t="s">
        <v>138</v>
      </c>
      <c r="N1703" s="55" t="s">
        <v>138</v>
      </c>
      <c r="O1703" s="55" t="s">
        <v>224</v>
      </c>
      <c r="P1703" s="55" t="s">
        <v>2176</v>
      </c>
      <c r="Q1703" s="55" t="s">
        <v>350</v>
      </c>
      <c r="R1703" s="85">
        <v>3</v>
      </c>
      <c r="S1703" s="55">
        <v>0</v>
      </c>
      <c r="T1703" s="74" t="s">
        <v>2177</v>
      </c>
      <c r="U1703" s="74" t="s">
        <v>351</v>
      </c>
      <c r="V1703" s="74">
        <v>44585</v>
      </c>
      <c r="W1703" s="74">
        <v>44614</v>
      </c>
      <c r="X1703" s="55">
        <v>10197526</v>
      </c>
      <c r="Y1703" s="55" t="s">
        <v>132</v>
      </c>
      <c r="AB1703" s="74" t="s">
        <v>132</v>
      </c>
      <c r="AC1703" s="55" t="s">
        <v>132</v>
      </c>
      <c r="AL1703" s="74"/>
      <c r="AM1703" s="74"/>
      <c r="AW1703" s="74"/>
      <c r="AX1703" s="74"/>
    </row>
    <row r="1704" spans="1:50" ht="13" x14ac:dyDescent="0.15">
      <c r="A1704" s="55" t="str">
        <f>HYPERLINK("http://reports.ofsted.gov.uk/inspection-reports/find-inspection-report/provider/CARE/2641767","Ofsted Social Care Provider Webpage")</f>
        <v>Ofsted Social Care Provider Webpage</v>
      </c>
      <c r="B1704" s="55">
        <v>2641767</v>
      </c>
      <c r="D1704" s="55" t="s">
        <v>373</v>
      </c>
      <c r="E1704" s="74">
        <v>44398</v>
      </c>
      <c r="F1704" s="55" t="s">
        <v>728</v>
      </c>
      <c r="G1704" s="55" t="s">
        <v>360</v>
      </c>
      <c r="H1704" s="55" t="s">
        <v>360</v>
      </c>
      <c r="I1704" s="55" t="s">
        <v>360</v>
      </c>
      <c r="J1704" s="55" t="s">
        <v>360</v>
      </c>
      <c r="K1704" s="55" t="s">
        <v>360</v>
      </c>
      <c r="L1704" s="55" t="s">
        <v>360</v>
      </c>
      <c r="M1704" s="55" t="s">
        <v>144</v>
      </c>
      <c r="N1704" s="55" t="s">
        <v>144</v>
      </c>
      <c r="O1704" s="55" t="s">
        <v>209</v>
      </c>
      <c r="P1704" s="55" t="s">
        <v>555</v>
      </c>
      <c r="Q1704" s="55" t="s">
        <v>350</v>
      </c>
      <c r="R1704" s="85">
        <v>5</v>
      </c>
      <c r="S1704" s="55">
        <v>0</v>
      </c>
      <c r="T1704" s="74" t="s">
        <v>2193</v>
      </c>
      <c r="U1704" s="74" t="s">
        <v>2053</v>
      </c>
      <c r="V1704" s="74">
        <v>44634</v>
      </c>
      <c r="W1704" s="74">
        <v>44680</v>
      </c>
      <c r="X1704" s="55">
        <v>10226576</v>
      </c>
      <c r="AL1704" s="74"/>
      <c r="AM1704" s="74"/>
      <c r="AW1704" s="74"/>
      <c r="AX1704" s="74"/>
    </row>
    <row r="1705" spans="1:50" ht="13" x14ac:dyDescent="0.15">
      <c r="A1705" s="55" t="str">
        <f>HYPERLINK("http://reports.ofsted.gov.uk/inspection-reports/find-inspection-report/provider/CARE/2641767","Ofsted Social Care Provider Webpage")</f>
        <v>Ofsted Social Care Provider Webpage</v>
      </c>
      <c r="B1705" s="55">
        <v>2641767</v>
      </c>
      <c r="D1705" s="55" t="s">
        <v>373</v>
      </c>
      <c r="E1705" s="74">
        <v>44398</v>
      </c>
      <c r="F1705" s="55" t="s">
        <v>728</v>
      </c>
      <c r="G1705" s="55" t="s">
        <v>360</v>
      </c>
      <c r="H1705" s="55" t="s">
        <v>360</v>
      </c>
      <c r="I1705" s="55" t="s">
        <v>360</v>
      </c>
      <c r="J1705" s="55" t="s">
        <v>360</v>
      </c>
      <c r="K1705" s="55" t="s">
        <v>360</v>
      </c>
      <c r="L1705" s="55" t="s">
        <v>360</v>
      </c>
      <c r="M1705" s="55" t="s">
        <v>144</v>
      </c>
      <c r="N1705" s="55" t="s">
        <v>144</v>
      </c>
      <c r="O1705" s="55" t="s">
        <v>209</v>
      </c>
      <c r="P1705" s="55" t="s">
        <v>555</v>
      </c>
      <c r="Q1705" s="55" t="s">
        <v>350</v>
      </c>
      <c r="R1705" s="85">
        <v>5</v>
      </c>
      <c r="S1705" s="55">
        <v>0</v>
      </c>
      <c r="T1705" s="74" t="s">
        <v>2193</v>
      </c>
      <c r="U1705" s="74" t="s">
        <v>351</v>
      </c>
      <c r="V1705" s="74">
        <v>44593</v>
      </c>
      <c r="W1705" s="74">
        <v>44650</v>
      </c>
      <c r="X1705" s="55">
        <v>10205195</v>
      </c>
      <c r="Y1705" s="55" t="s">
        <v>146</v>
      </c>
      <c r="AB1705" s="74" t="s">
        <v>146</v>
      </c>
      <c r="AC1705" s="55" t="s">
        <v>146</v>
      </c>
      <c r="AL1705" s="74"/>
      <c r="AM1705" s="74"/>
      <c r="AW1705" s="74"/>
      <c r="AX1705" s="74"/>
    </row>
    <row r="1706" spans="1:50" ht="13" x14ac:dyDescent="0.15">
      <c r="A1706" s="55" t="str">
        <f>HYPERLINK("http://reports.ofsted.gov.uk/inspection-reports/find-inspection-report/provider/CARE/2641790","Ofsted Social Care Provider Webpage")</f>
        <v>Ofsted Social Care Provider Webpage</v>
      </c>
      <c r="B1706" s="55">
        <v>2641790</v>
      </c>
      <c r="D1706" s="55" t="s">
        <v>373</v>
      </c>
      <c r="E1706" s="74">
        <v>44340</v>
      </c>
      <c r="F1706" s="55" t="s">
        <v>344</v>
      </c>
      <c r="G1706" s="55" t="s">
        <v>360</v>
      </c>
      <c r="H1706" s="55" t="s">
        <v>360</v>
      </c>
      <c r="I1706" s="55" t="s">
        <v>360</v>
      </c>
      <c r="J1706" s="55" t="s">
        <v>360</v>
      </c>
      <c r="K1706" s="55" t="s">
        <v>360</v>
      </c>
      <c r="L1706" s="55" t="s">
        <v>360</v>
      </c>
      <c r="M1706" s="55" t="s">
        <v>144</v>
      </c>
      <c r="N1706" s="55" t="s">
        <v>144</v>
      </c>
      <c r="O1706" s="55" t="s">
        <v>209</v>
      </c>
      <c r="P1706" s="55" t="s">
        <v>474</v>
      </c>
      <c r="Q1706" s="55" t="s">
        <v>350</v>
      </c>
      <c r="R1706" s="85">
        <v>2</v>
      </c>
      <c r="S1706" s="55">
        <v>0</v>
      </c>
      <c r="T1706" s="74" t="s">
        <v>1638</v>
      </c>
      <c r="U1706" s="74" t="s">
        <v>351</v>
      </c>
      <c r="V1706" s="74">
        <v>44580</v>
      </c>
      <c r="W1706" s="74">
        <v>44650</v>
      </c>
      <c r="X1706" s="55">
        <v>10204554</v>
      </c>
      <c r="Y1706" s="55" t="s">
        <v>130</v>
      </c>
      <c r="AB1706" s="74" t="s">
        <v>130</v>
      </c>
      <c r="AC1706" s="55" t="s">
        <v>130</v>
      </c>
      <c r="AL1706" s="74"/>
      <c r="AM1706" s="74"/>
      <c r="AW1706" s="74"/>
      <c r="AX1706" s="74"/>
    </row>
    <row r="1707" spans="1:50" ht="13" x14ac:dyDescent="0.15">
      <c r="A1707" s="55" t="str">
        <f>HYPERLINK("http://reports.ofsted.gov.uk/inspection-reports/find-inspection-report/provider/CARE/2642297","Ofsted Social Care Provider Webpage")</f>
        <v>Ofsted Social Care Provider Webpage</v>
      </c>
      <c r="B1707" s="55">
        <v>2642297</v>
      </c>
      <c r="D1707" s="55" t="s">
        <v>373</v>
      </c>
      <c r="E1707" s="74">
        <v>44413</v>
      </c>
      <c r="F1707" s="55" t="s">
        <v>344</v>
      </c>
      <c r="G1707" s="55" t="s">
        <v>360</v>
      </c>
      <c r="H1707" s="55" t="s">
        <v>360</v>
      </c>
      <c r="I1707" s="55" t="s">
        <v>360</v>
      </c>
      <c r="J1707" s="55" t="s">
        <v>360</v>
      </c>
      <c r="K1707" s="55" t="s">
        <v>360</v>
      </c>
      <c r="L1707" s="55" t="s">
        <v>360</v>
      </c>
      <c r="M1707" s="55" t="s">
        <v>142</v>
      </c>
      <c r="N1707" s="55" t="s">
        <v>142</v>
      </c>
      <c r="O1707" s="55" t="s">
        <v>292</v>
      </c>
      <c r="P1707" s="55" t="s">
        <v>976</v>
      </c>
      <c r="Q1707" s="55" t="s">
        <v>350</v>
      </c>
      <c r="R1707" s="85">
        <v>3</v>
      </c>
      <c r="S1707" s="55">
        <v>0</v>
      </c>
      <c r="T1707" s="74" t="s">
        <v>2194</v>
      </c>
      <c r="U1707" s="74" t="s">
        <v>351</v>
      </c>
      <c r="V1707" s="74">
        <v>44579</v>
      </c>
      <c r="W1707" s="74">
        <v>44656</v>
      </c>
      <c r="X1707" s="55">
        <v>10205493</v>
      </c>
      <c r="Y1707" s="55" t="s">
        <v>130</v>
      </c>
      <c r="AB1707" s="74" t="s">
        <v>130</v>
      </c>
      <c r="AC1707" s="55" t="s">
        <v>130</v>
      </c>
      <c r="AL1707" s="74"/>
      <c r="AM1707" s="74"/>
      <c r="AW1707" s="74"/>
      <c r="AX1707" s="74"/>
    </row>
    <row r="1708" spans="1:50" ht="13" x14ac:dyDescent="0.15">
      <c r="A1708" s="55" t="str">
        <f>HYPERLINK("http://reports.ofsted.gov.uk/inspection-reports/find-inspection-report/provider/CARE/2642399","Ofsted Social Care Provider Webpage")</f>
        <v>Ofsted Social Care Provider Webpage</v>
      </c>
      <c r="B1708" s="55">
        <v>2642399</v>
      </c>
      <c r="D1708" s="55" t="s">
        <v>373</v>
      </c>
      <c r="E1708" s="74">
        <v>44459</v>
      </c>
      <c r="F1708" s="55" t="s">
        <v>344</v>
      </c>
      <c r="G1708" s="55" t="s">
        <v>360</v>
      </c>
      <c r="H1708" s="55" t="s">
        <v>360</v>
      </c>
      <c r="I1708" s="55" t="s">
        <v>360</v>
      </c>
      <c r="J1708" s="55" t="s">
        <v>360</v>
      </c>
      <c r="K1708" s="55" t="s">
        <v>360</v>
      </c>
      <c r="L1708" s="55" t="s">
        <v>360</v>
      </c>
      <c r="M1708" s="55" t="s">
        <v>142</v>
      </c>
      <c r="N1708" s="55" t="s">
        <v>142</v>
      </c>
      <c r="O1708" s="55" t="s">
        <v>262</v>
      </c>
      <c r="P1708" s="55" t="s">
        <v>618</v>
      </c>
      <c r="Q1708" s="55" t="s">
        <v>350</v>
      </c>
      <c r="R1708" s="85">
        <v>2</v>
      </c>
      <c r="S1708" s="55">
        <v>0</v>
      </c>
      <c r="T1708" s="74" t="s">
        <v>517</v>
      </c>
      <c r="U1708" s="74" t="s">
        <v>351</v>
      </c>
      <c r="V1708" s="74">
        <v>44628</v>
      </c>
      <c r="W1708" s="74">
        <v>44677</v>
      </c>
      <c r="X1708" s="55">
        <v>10219484</v>
      </c>
      <c r="Y1708" s="55" t="s">
        <v>130</v>
      </c>
      <c r="AB1708" s="74" t="s">
        <v>130</v>
      </c>
      <c r="AC1708" s="55" t="s">
        <v>130</v>
      </c>
      <c r="AL1708" s="74"/>
      <c r="AM1708" s="74"/>
    </row>
    <row r="1709" spans="1:50" ht="13" x14ac:dyDescent="0.15">
      <c r="A1709" s="55" t="str">
        <f>HYPERLINK("http://reports.ofsted.gov.uk/inspection-reports/find-inspection-report/provider/CARE/2642400","Ofsted Social Care Provider Webpage")</f>
        <v>Ofsted Social Care Provider Webpage</v>
      </c>
      <c r="B1709" s="55">
        <v>2642400</v>
      </c>
      <c r="D1709" s="55" t="s">
        <v>373</v>
      </c>
      <c r="E1709" s="74">
        <v>44404</v>
      </c>
      <c r="F1709" s="55" t="s">
        <v>344</v>
      </c>
      <c r="G1709" s="55" t="s">
        <v>360</v>
      </c>
      <c r="H1709" s="55" t="s">
        <v>360</v>
      </c>
      <c r="I1709" s="55" t="s">
        <v>360</v>
      </c>
      <c r="J1709" s="55" t="s">
        <v>360</v>
      </c>
      <c r="K1709" s="55" t="s">
        <v>360</v>
      </c>
      <c r="L1709" s="55" t="s">
        <v>360</v>
      </c>
      <c r="M1709" s="55" t="s">
        <v>144</v>
      </c>
      <c r="N1709" s="55" t="s">
        <v>144</v>
      </c>
      <c r="O1709" s="55" t="s">
        <v>209</v>
      </c>
      <c r="P1709" s="55" t="s">
        <v>777</v>
      </c>
      <c r="Q1709" s="55" t="s">
        <v>350</v>
      </c>
      <c r="R1709" s="85">
        <v>1</v>
      </c>
      <c r="S1709" s="55">
        <v>0</v>
      </c>
      <c r="T1709" s="74" t="s">
        <v>1971</v>
      </c>
      <c r="U1709" s="74" t="s">
        <v>351</v>
      </c>
      <c r="V1709" s="74">
        <v>44607</v>
      </c>
      <c r="W1709" s="74">
        <v>44651</v>
      </c>
      <c r="X1709" s="55">
        <v>10210501</v>
      </c>
      <c r="Y1709" s="55" t="s">
        <v>132</v>
      </c>
      <c r="AB1709" s="74" t="s">
        <v>132</v>
      </c>
      <c r="AC1709" s="55" t="s">
        <v>132</v>
      </c>
      <c r="AL1709" s="74"/>
      <c r="AM1709" s="74"/>
      <c r="AW1709" s="74"/>
      <c r="AX1709" s="74"/>
    </row>
    <row r="1710" spans="1:50" ht="13" x14ac:dyDescent="0.15">
      <c r="A1710" s="55" t="str">
        <f>HYPERLINK("http://reports.ofsted.gov.uk/inspection-reports/find-inspection-report/provider/CARE/2642423","Ofsted Social Care Provider Webpage")</f>
        <v>Ofsted Social Care Provider Webpage</v>
      </c>
      <c r="B1710" s="55">
        <v>2642423</v>
      </c>
      <c r="D1710" s="55" t="s">
        <v>373</v>
      </c>
      <c r="E1710" s="74">
        <v>44366</v>
      </c>
      <c r="F1710" s="55" t="s">
        <v>344</v>
      </c>
      <c r="G1710" s="55" t="s">
        <v>360</v>
      </c>
      <c r="H1710" s="55" t="s">
        <v>360</v>
      </c>
      <c r="I1710" s="55" t="s">
        <v>360</v>
      </c>
      <c r="J1710" s="55" t="s">
        <v>360</v>
      </c>
      <c r="K1710" s="55" t="s">
        <v>360</v>
      </c>
      <c r="L1710" s="55" t="s">
        <v>360</v>
      </c>
      <c r="M1710" s="55" t="s">
        <v>144</v>
      </c>
      <c r="N1710" s="55" t="s">
        <v>144</v>
      </c>
      <c r="O1710" s="55" t="s">
        <v>168</v>
      </c>
      <c r="P1710" s="55" t="s">
        <v>913</v>
      </c>
      <c r="Q1710" s="55" t="s">
        <v>350</v>
      </c>
      <c r="R1710" s="85">
        <v>3</v>
      </c>
      <c r="S1710" s="55">
        <v>0</v>
      </c>
      <c r="T1710" s="74" t="s">
        <v>915</v>
      </c>
      <c r="U1710" s="74" t="s">
        <v>351</v>
      </c>
      <c r="V1710" s="74">
        <v>44544</v>
      </c>
      <c r="W1710" s="74">
        <v>44589</v>
      </c>
      <c r="X1710" s="55">
        <v>10202035</v>
      </c>
      <c r="Y1710" s="55" t="s">
        <v>132</v>
      </c>
      <c r="AB1710" s="74" t="s">
        <v>132</v>
      </c>
      <c r="AC1710" s="55" t="s">
        <v>132</v>
      </c>
      <c r="AL1710" s="74"/>
      <c r="AM1710" s="74"/>
      <c r="AW1710" s="74"/>
      <c r="AX1710" s="74"/>
    </row>
    <row r="1711" spans="1:50" ht="13" x14ac:dyDescent="0.15">
      <c r="A1711" s="55" t="str">
        <f>HYPERLINK("http://reports.ofsted.gov.uk/inspection-reports/find-inspection-report/provider/CARE/2642570","Ofsted Social Care Provider Webpage")</f>
        <v>Ofsted Social Care Provider Webpage</v>
      </c>
      <c r="B1711" s="55">
        <v>2642570</v>
      </c>
      <c r="D1711" s="55" t="s">
        <v>373</v>
      </c>
      <c r="E1711" s="74">
        <v>44460</v>
      </c>
      <c r="F1711" s="55" t="s">
        <v>344</v>
      </c>
      <c r="G1711" s="55" t="s">
        <v>360</v>
      </c>
      <c r="H1711" s="55" t="s">
        <v>360</v>
      </c>
      <c r="I1711" s="55" t="s">
        <v>360</v>
      </c>
      <c r="J1711" s="55" t="s">
        <v>360</v>
      </c>
      <c r="K1711" s="55" t="s">
        <v>360</v>
      </c>
      <c r="L1711" s="55" t="s">
        <v>360</v>
      </c>
      <c r="M1711" s="55" t="s">
        <v>172</v>
      </c>
      <c r="N1711" s="55" t="s">
        <v>172</v>
      </c>
      <c r="O1711" s="55" t="s">
        <v>212</v>
      </c>
      <c r="P1711" s="55" t="s">
        <v>842</v>
      </c>
      <c r="Q1711" s="55" t="s">
        <v>350</v>
      </c>
      <c r="R1711" s="85">
        <v>3</v>
      </c>
      <c r="S1711" s="55">
        <v>0</v>
      </c>
      <c r="T1711" s="74" t="s">
        <v>950</v>
      </c>
      <c r="U1711" s="74" t="s">
        <v>351</v>
      </c>
      <c r="V1711" s="74">
        <v>44607</v>
      </c>
      <c r="W1711" s="74">
        <v>44651</v>
      </c>
      <c r="X1711" s="55">
        <v>10207559</v>
      </c>
      <c r="Y1711" s="55" t="s">
        <v>132</v>
      </c>
      <c r="AB1711" s="74" t="s">
        <v>130</v>
      </c>
      <c r="AC1711" s="55" t="s">
        <v>130</v>
      </c>
      <c r="AL1711" s="74"/>
      <c r="AM1711" s="74"/>
      <c r="AW1711" s="74"/>
      <c r="AX1711" s="74"/>
    </row>
    <row r="1712" spans="1:50" ht="13" x14ac:dyDescent="0.15">
      <c r="A1712" s="55" t="str">
        <f>HYPERLINK("http://reports.ofsted.gov.uk/inspection-reports/find-inspection-report/provider/CARE/2642643","Ofsted Social Care Provider Webpage")</f>
        <v>Ofsted Social Care Provider Webpage</v>
      </c>
      <c r="B1712" s="55">
        <v>2642643</v>
      </c>
      <c r="D1712" s="55" t="s">
        <v>373</v>
      </c>
      <c r="E1712" s="74">
        <v>44330</v>
      </c>
      <c r="F1712" s="55" t="s">
        <v>344</v>
      </c>
      <c r="G1712" s="55" t="s">
        <v>360</v>
      </c>
      <c r="H1712" s="55" t="s">
        <v>360</v>
      </c>
      <c r="I1712" s="55" t="s">
        <v>360</v>
      </c>
      <c r="J1712" s="55" t="s">
        <v>360</v>
      </c>
      <c r="K1712" s="55" t="s">
        <v>360</v>
      </c>
      <c r="L1712" s="55" t="s">
        <v>360</v>
      </c>
      <c r="M1712" s="55" t="s">
        <v>172</v>
      </c>
      <c r="N1712" s="55" t="s">
        <v>172</v>
      </c>
      <c r="O1712" s="55" t="s">
        <v>173</v>
      </c>
      <c r="P1712" s="55" t="s">
        <v>1069</v>
      </c>
      <c r="Q1712" s="55" t="s">
        <v>380</v>
      </c>
      <c r="R1712" s="85">
        <v>4</v>
      </c>
      <c r="S1712" s="55">
        <v>0</v>
      </c>
      <c r="T1712" s="74" t="s">
        <v>1431</v>
      </c>
      <c r="U1712" s="74" t="s">
        <v>351</v>
      </c>
      <c r="V1712" s="74">
        <v>44628</v>
      </c>
      <c r="W1712" s="74">
        <v>44665</v>
      </c>
      <c r="X1712" s="55">
        <v>10209375</v>
      </c>
      <c r="Y1712" s="55" t="s">
        <v>132</v>
      </c>
      <c r="AB1712" s="74" t="s">
        <v>132</v>
      </c>
      <c r="AC1712" s="55" t="s">
        <v>132</v>
      </c>
      <c r="AL1712" s="74"/>
      <c r="AM1712" s="74"/>
      <c r="AW1712" s="74"/>
      <c r="AX1712" s="74"/>
    </row>
    <row r="1713" spans="1:50" ht="13" x14ac:dyDescent="0.15">
      <c r="A1713" s="55" t="str">
        <f>HYPERLINK("http://reports.ofsted.gov.uk/inspection-reports/find-inspection-report/provider/CARE/2642842","Ofsted Social Care Provider Webpage")</f>
        <v>Ofsted Social Care Provider Webpage</v>
      </c>
      <c r="B1713" s="55">
        <v>2642842</v>
      </c>
      <c r="D1713" s="55" t="s">
        <v>373</v>
      </c>
      <c r="E1713" s="74">
        <v>44371</v>
      </c>
      <c r="F1713" s="55" t="s">
        <v>344</v>
      </c>
      <c r="G1713" s="55" t="s">
        <v>360</v>
      </c>
      <c r="H1713" s="55" t="s">
        <v>360</v>
      </c>
      <c r="I1713" s="55" t="s">
        <v>360</v>
      </c>
      <c r="J1713" s="55" t="s">
        <v>360</v>
      </c>
      <c r="K1713" s="55" t="s">
        <v>360</v>
      </c>
      <c r="L1713" s="55" t="s">
        <v>360</v>
      </c>
      <c r="M1713" s="55" t="s">
        <v>136</v>
      </c>
      <c r="N1713" s="55" t="s">
        <v>136</v>
      </c>
      <c r="O1713" s="55" t="s">
        <v>255</v>
      </c>
      <c r="P1713" s="55" t="s">
        <v>583</v>
      </c>
      <c r="Q1713" s="55" t="s">
        <v>350</v>
      </c>
      <c r="R1713" s="85">
        <v>3</v>
      </c>
      <c r="S1713" s="55">
        <v>0</v>
      </c>
      <c r="T1713" s="74" t="s">
        <v>2197</v>
      </c>
      <c r="U1713" s="74" t="s">
        <v>351</v>
      </c>
      <c r="V1713" s="74">
        <v>44585</v>
      </c>
      <c r="W1713" s="74">
        <v>44630</v>
      </c>
      <c r="X1713" s="55">
        <v>10209505</v>
      </c>
      <c r="Y1713" s="55" t="s">
        <v>132</v>
      </c>
      <c r="AB1713" s="74" t="s">
        <v>132</v>
      </c>
      <c r="AC1713" s="55" t="s">
        <v>132</v>
      </c>
      <c r="AL1713" s="74"/>
      <c r="AM1713" s="74"/>
      <c r="AW1713" s="74"/>
      <c r="AX1713" s="74"/>
    </row>
    <row r="1714" spans="1:50" ht="13" x14ac:dyDescent="0.15">
      <c r="A1714" s="55" t="str">
        <f>HYPERLINK("http://reports.ofsted.gov.uk/inspection-reports/find-inspection-report/provider/CARE/2643390","Ofsted Social Care Provider Webpage")</f>
        <v>Ofsted Social Care Provider Webpage</v>
      </c>
      <c r="B1714" s="55">
        <v>2643390</v>
      </c>
      <c r="D1714" s="55" t="s">
        <v>373</v>
      </c>
      <c r="E1714" s="74">
        <v>44446</v>
      </c>
      <c r="F1714" s="55" t="s">
        <v>344</v>
      </c>
      <c r="G1714" s="55" t="s">
        <v>360</v>
      </c>
      <c r="H1714" s="55" t="s">
        <v>360</v>
      </c>
      <c r="I1714" s="55" t="s">
        <v>360</v>
      </c>
      <c r="J1714" s="55" t="s">
        <v>360</v>
      </c>
      <c r="K1714" s="55" t="s">
        <v>360</v>
      </c>
      <c r="L1714" s="55" t="s">
        <v>360</v>
      </c>
      <c r="M1714" s="55" t="s">
        <v>136</v>
      </c>
      <c r="N1714" s="55" t="s">
        <v>136</v>
      </c>
      <c r="O1714" s="55" t="s">
        <v>705</v>
      </c>
      <c r="P1714" s="55" t="s">
        <v>706</v>
      </c>
      <c r="Q1714" s="55" t="s">
        <v>350</v>
      </c>
      <c r="R1714" s="85">
        <v>2</v>
      </c>
      <c r="S1714" s="55">
        <v>0</v>
      </c>
      <c r="T1714" s="74" t="s">
        <v>2047</v>
      </c>
      <c r="U1714" s="74" t="s">
        <v>351</v>
      </c>
      <c r="V1714" s="74">
        <v>44629</v>
      </c>
      <c r="W1714" s="74">
        <v>44672</v>
      </c>
      <c r="X1714" s="55">
        <v>10209362</v>
      </c>
      <c r="Y1714" s="55" t="s">
        <v>130</v>
      </c>
      <c r="AB1714" s="74" t="s">
        <v>130</v>
      </c>
      <c r="AC1714" s="55" t="s">
        <v>130</v>
      </c>
      <c r="AL1714" s="74"/>
      <c r="AM1714" s="74"/>
      <c r="AW1714" s="74"/>
      <c r="AX1714" s="74"/>
    </row>
    <row r="1715" spans="1:50" ht="13" x14ac:dyDescent="0.15">
      <c r="A1715" s="55" t="str">
        <f>HYPERLINK("http://reports.ofsted.gov.uk/inspection-reports/find-inspection-report/provider/CARE/2644456","Ofsted Social Care Provider Webpage")</f>
        <v>Ofsted Social Care Provider Webpage</v>
      </c>
      <c r="B1715" s="55">
        <v>2644456</v>
      </c>
      <c r="D1715" s="55" t="s">
        <v>373</v>
      </c>
      <c r="E1715" s="74">
        <v>44456</v>
      </c>
      <c r="F1715" s="55" t="s">
        <v>344</v>
      </c>
      <c r="G1715" s="55" t="s">
        <v>360</v>
      </c>
      <c r="H1715" s="55" t="s">
        <v>360</v>
      </c>
      <c r="I1715" s="55" t="s">
        <v>360</v>
      </c>
      <c r="J1715" s="55" t="s">
        <v>360</v>
      </c>
      <c r="K1715" s="55" t="s">
        <v>360</v>
      </c>
      <c r="L1715" s="55" t="s">
        <v>360</v>
      </c>
      <c r="M1715" s="55" t="s">
        <v>138</v>
      </c>
      <c r="N1715" s="55" t="s">
        <v>138</v>
      </c>
      <c r="O1715" s="55" t="s">
        <v>159</v>
      </c>
      <c r="P1715" s="55" t="s">
        <v>1025</v>
      </c>
      <c r="Q1715" s="55" t="s">
        <v>350</v>
      </c>
      <c r="R1715" s="85">
        <v>4</v>
      </c>
      <c r="S1715" s="55">
        <v>0</v>
      </c>
      <c r="T1715" s="74" t="s">
        <v>1676</v>
      </c>
      <c r="U1715" s="74" t="s">
        <v>351</v>
      </c>
      <c r="V1715" s="74">
        <v>44566</v>
      </c>
      <c r="W1715" s="74">
        <v>44588</v>
      </c>
      <c r="X1715" s="55">
        <v>10209738</v>
      </c>
      <c r="Y1715" s="55" t="s">
        <v>132</v>
      </c>
      <c r="AB1715" s="74" t="s">
        <v>132</v>
      </c>
      <c r="AC1715" s="55" t="s">
        <v>132</v>
      </c>
      <c r="AL1715" s="74"/>
      <c r="AM1715" s="74"/>
      <c r="AW1715" s="74"/>
      <c r="AX1715" s="74"/>
    </row>
    <row r="1716" spans="1:50" ht="13" x14ac:dyDescent="0.15">
      <c r="A1716" s="55" t="str">
        <f>HYPERLINK("http://reports.ofsted.gov.uk/inspection-reports/find-inspection-report/provider/CARE/2645163","Ofsted Social Care Provider Webpage")</f>
        <v>Ofsted Social Care Provider Webpage</v>
      </c>
      <c r="B1716" s="55">
        <v>2645163</v>
      </c>
      <c r="D1716" s="55" t="s">
        <v>373</v>
      </c>
      <c r="E1716" s="74">
        <v>44426</v>
      </c>
      <c r="F1716" s="55" t="s">
        <v>344</v>
      </c>
      <c r="G1716" s="55" t="s">
        <v>360</v>
      </c>
      <c r="H1716" s="55" t="s">
        <v>360</v>
      </c>
      <c r="I1716" s="55" t="s">
        <v>360</v>
      </c>
      <c r="J1716" s="55" t="s">
        <v>360</v>
      </c>
      <c r="K1716" s="55" t="s">
        <v>360</v>
      </c>
      <c r="L1716" s="55" t="s">
        <v>360</v>
      </c>
      <c r="M1716" s="55" t="s">
        <v>129</v>
      </c>
      <c r="N1716" s="55" t="s">
        <v>129</v>
      </c>
      <c r="O1716" s="55" t="s">
        <v>205</v>
      </c>
      <c r="P1716" s="55" t="s">
        <v>1312</v>
      </c>
      <c r="Q1716" s="55" t="s">
        <v>350</v>
      </c>
      <c r="R1716" s="85">
        <v>7</v>
      </c>
      <c r="S1716" s="55" t="s">
        <v>332</v>
      </c>
      <c r="T1716" s="74" t="s">
        <v>2219</v>
      </c>
      <c r="U1716" s="74" t="s">
        <v>351</v>
      </c>
      <c r="V1716" s="74">
        <v>44600</v>
      </c>
      <c r="W1716" s="74">
        <v>44643</v>
      </c>
      <c r="X1716" s="55">
        <v>10209677</v>
      </c>
      <c r="Y1716" s="55" t="s">
        <v>132</v>
      </c>
      <c r="AB1716" s="74" t="s">
        <v>132</v>
      </c>
      <c r="AC1716" s="55" t="s">
        <v>132</v>
      </c>
      <c r="AL1716" s="74"/>
      <c r="AM1716" s="74"/>
      <c r="AW1716" s="74"/>
      <c r="AX1716" s="74"/>
    </row>
    <row r="1717" spans="1:50" ht="13" x14ac:dyDescent="0.15">
      <c r="A1717" s="55" t="str">
        <f>HYPERLINK("http://reports.ofsted.gov.uk/inspection-reports/find-inspection-report/provider/CARE/2645184","Ofsted Social Care Provider Webpage")</f>
        <v>Ofsted Social Care Provider Webpage</v>
      </c>
      <c r="B1717" s="55">
        <v>2645184</v>
      </c>
      <c r="D1717" s="55" t="s">
        <v>373</v>
      </c>
      <c r="E1717" s="74">
        <v>44425</v>
      </c>
      <c r="F1717" s="55" t="s">
        <v>344</v>
      </c>
      <c r="G1717" s="55" t="s">
        <v>360</v>
      </c>
      <c r="H1717" s="55" t="s">
        <v>360</v>
      </c>
      <c r="I1717" s="55" t="s">
        <v>360</v>
      </c>
      <c r="J1717" s="55" t="s">
        <v>360</v>
      </c>
      <c r="K1717" s="55" t="s">
        <v>360</v>
      </c>
      <c r="L1717" s="55" t="s">
        <v>360</v>
      </c>
      <c r="M1717" s="55" t="s">
        <v>144</v>
      </c>
      <c r="N1717" s="55" t="s">
        <v>144</v>
      </c>
      <c r="O1717" s="55" t="s">
        <v>209</v>
      </c>
      <c r="P1717" s="55" t="s">
        <v>545</v>
      </c>
      <c r="Q1717" s="55" t="s">
        <v>350</v>
      </c>
      <c r="R1717" s="85">
        <v>4</v>
      </c>
      <c r="S1717" s="55">
        <v>0</v>
      </c>
      <c r="T1717" s="74" t="s">
        <v>489</v>
      </c>
      <c r="U1717" s="74" t="s">
        <v>351</v>
      </c>
      <c r="V1717" s="74">
        <v>44580</v>
      </c>
      <c r="W1717" s="74">
        <v>44616</v>
      </c>
      <c r="X1717" s="55">
        <v>10210504</v>
      </c>
      <c r="Y1717" s="55" t="s">
        <v>132</v>
      </c>
      <c r="AB1717" s="74" t="s">
        <v>132</v>
      </c>
      <c r="AC1717" s="55" t="s">
        <v>132</v>
      </c>
      <c r="AL1717" s="74"/>
      <c r="AM1717" s="74"/>
      <c r="AW1717" s="74"/>
      <c r="AX1717" s="74"/>
    </row>
    <row r="1718" spans="1:50" ht="13" x14ac:dyDescent="0.15">
      <c r="A1718" s="55" t="str">
        <f>HYPERLINK("http://reports.ofsted.gov.uk/inspection-reports/find-inspection-report/provider/CARE/2645675","Ofsted Social Care Provider Webpage")</f>
        <v>Ofsted Social Care Provider Webpage</v>
      </c>
      <c r="B1718" s="55">
        <v>2645675</v>
      </c>
      <c r="D1718" s="55" t="s">
        <v>373</v>
      </c>
      <c r="E1718" s="74">
        <v>44428</v>
      </c>
      <c r="F1718" s="55" t="s">
        <v>344</v>
      </c>
      <c r="G1718" s="55" t="s">
        <v>360</v>
      </c>
      <c r="H1718" s="55" t="s">
        <v>360</v>
      </c>
      <c r="I1718" s="55" t="s">
        <v>360</v>
      </c>
      <c r="J1718" s="55" t="s">
        <v>360</v>
      </c>
      <c r="K1718" s="55" t="s">
        <v>360</v>
      </c>
      <c r="L1718" s="55" t="s">
        <v>360</v>
      </c>
      <c r="M1718" s="55" t="s">
        <v>172</v>
      </c>
      <c r="N1718" s="55" t="s">
        <v>172</v>
      </c>
      <c r="O1718" s="55" t="s">
        <v>212</v>
      </c>
      <c r="P1718" s="55" t="s">
        <v>514</v>
      </c>
      <c r="Q1718" s="55" t="s">
        <v>350</v>
      </c>
      <c r="R1718" s="85">
        <v>2</v>
      </c>
      <c r="S1718" s="55">
        <v>0</v>
      </c>
      <c r="T1718" s="74" t="s">
        <v>2221</v>
      </c>
      <c r="U1718" s="74" t="s">
        <v>351</v>
      </c>
      <c r="V1718" s="74">
        <v>44601</v>
      </c>
      <c r="W1718" s="74">
        <v>44642</v>
      </c>
      <c r="X1718" s="55">
        <v>10206368</v>
      </c>
      <c r="Y1718" s="55" t="s">
        <v>132</v>
      </c>
      <c r="AB1718" s="74" t="s">
        <v>132</v>
      </c>
      <c r="AC1718" s="55" t="s">
        <v>132</v>
      </c>
      <c r="AL1718" s="74"/>
      <c r="AM1718" s="74"/>
      <c r="AW1718" s="74"/>
      <c r="AX1718" s="74"/>
    </row>
    <row r="1719" spans="1:50" ht="13" x14ac:dyDescent="0.15">
      <c r="A1719" s="55" t="str">
        <f>HYPERLINK("http://reports.ofsted.gov.uk/inspection-reports/find-inspection-report/provider/CARE/2645688","Ofsted Social Care Provider Webpage")</f>
        <v>Ofsted Social Care Provider Webpage</v>
      </c>
      <c r="B1719" s="55">
        <v>2645688</v>
      </c>
      <c r="D1719" s="55" t="s">
        <v>373</v>
      </c>
      <c r="E1719" s="74">
        <v>44420</v>
      </c>
      <c r="F1719" s="55" t="s">
        <v>344</v>
      </c>
      <c r="G1719" s="55" t="s">
        <v>360</v>
      </c>
      <c r="H1719" s="55" t="s">
        <v>360</v>
      </c>
      <c r="I1719" s="55" t="s">
        <v>360</v>
      </c>
      <c r="J1719" s="55" t="s">
        <v>360</v>
      </c>
      <c r="K1719" s="55" t="s">
        <v>360</v>
      </c>
      <c r="L1719" s="55" t="s">
        <v>360</v>
      </c>
      <c r="M1719" s="55" t="s">
        <v>172</v>
      </c>
      <c r="N1719" s="55" t="s">
        <v>172</v>
      </c>
      <c r="O1719" s="55" t="s">
        <v>173</v>
      </c>
      <c r="P1719" s="55" t="s">
        <v>1540</v>
      </c>
      <c r="Q1719" s="55" t="s">
        <v>350</v>
      </c>
      <c r="R1719" s="85">
        <v>5</v>
      </c>
      <c r="S1719" s="55">
        <v>0</v>
      </c>
      <c r="T1719" s="74" t="s">
        <v>2222</v>
      </c>
      <c r="U1719" s="74" t="s">
        <v>351</v>
      </c>
      <c r="V1719" s="74">
        <v>44585</v>
      </c>
      <c r="W1719" s="74">
        <v>44620</v>
      </c>
      <c r="X1719" s="55">
        <v>10206355</v>
      </c>
      <c r="Y1719" s="55" t="s">
        <v>132</v>
      </c>
      <c r="AB1719" s="74" t="s">
        <v>132</v>
      </c>
      <c r="AC1719" s="55" t="s">
        <v>132</v>
      </c>
      <c r="AL1719" s="74"/>
      <c r="AM1719" s="74"/>
      <c r="AW1719" s="74"/>
      <c r="AX1719" s="74"/>
    </row>
    <row r="1720" spans="1:50" ht="13" x14ac:dyDescent="0.15">
      <c r="A1720" s="55" t="str">
        <f>HYPERLINK("http://reports.ofsted.gov.uk/inspection-reports/find-inspection-report/provider/CARE/2645878","Ofsted Social Care Provider Webpage")</f>
        <v>Ofsted Social Care Provider Webpage</v>
      </c>
      <c r="B1720" s="55">
        <v>2645878</v>
      </c>
      <c r="D1720" s="55" t="s">
        <v>373</v>
      </c>
      <c r="E1720" s="74">
        <v>44399</v>
      </c>
      <c r="F1720" s="55" t="s">
        <v>344</v>
      </c>
      <c r="G1720" s="55" t="s">
        <v>360</v>
      </c>
      <c r="H1720" s="55" t="s">
        <v>360</v>
      </c>
      <c r="I1720" s="55" t="s">
        <v>360</v>
      </c>
      <c r="J1720" s="55" t="s">
        <v>360</v>
      </c>
      <c r="K1720" s="55" t="s">
        <v>360</v>
      </c>
      <c r="L1720" s="55" t="s">
        <v>360</v>
      </c>
      <c r="M1720" s="55" t="s">
        <v>144</v>
      </c>
      <c r="N1720" s="55" t="s">
        <v>144</v>
      </c>
      <c r="O1720" s="55" t="s">
        <v>209</v>
      </c>
      <c r="P1720" s="55" t="s">
        <v>597</v>
      </c>
      <c r="Q1720" s="55" t="s">
        <v>350</v>
      </c>
      <c r="R1720" s="85">
        <v>2</v>
      </c>
      <c r="S1720" s="55">
        <v>0</v>
      </c>
      <c r="T1720" s="74" t="s">
        <v>778</v>
      </c>
      <c r="U1720" s="74" t="s">
        <v>351</v>
      </c>
      <c r="V1720" s="74">
        <v>44621</v>
      </c>
      <c r="W1720" s="74">
        <v>44670</v>
      </c>
      <c r="X1720" s="55">
        <v>10210506</v>
      </c>
      <c r="Y1720" s="55" t="s">
        <v>132</v>
      </c>
      <c r="AB1720" s="74" t="s">
        <v>132</v>
      </c>
      <c r="AC1720" s="55" t="s">
        <v>132</v>
      </c>
      <c r="AL1720" s="74"/>
      <c r="AM1720" s="74"/>
    </row>
    <row r="1721" spans="1:50" ht="13" x14ac:dyDescent="0.15">
      <c r="A1721" s="55" t="str">
        <f>HYPERLINK("http://reports.ofsted.gov.uk/inspection-reports/find-inspection-report/provider/CARE/2646176","Ofsted Social Care Provider Webpage")</f>
        <v>Ofsted Social Care Provider Webpage</v>
      </c>
      <c r="B1721" s="55">
        <v>2646176</v>
      </c>
      <c r="D1721" s="55" t="s">
        <v>373</v>
      </c>
      <c r="E1721" s="74">
        <v>44454</v>
      </c>
      <c r="F1721" s="55" t="s">
        <v>344</v>
      </c>
      <c r="G1721" s="55" t="s">
        <v>360</v>
      </c>
      <c r="H1721" s="55" t="s">
        <v>360</v>
      </c>
      <c r="I1721" s="55" t="s">
        <v>360</v>
      </c>
      <c r="J1721" s="55" t="s">
        <v>360</v>
      </c>
      <c r="K1721" s="55" t="s">
        <v>360</v>
      </c>
      <c r="L1721" s="55" t="s">
        <v>360</v>
      </c>
      <c r="M1721" s="55" t="s">
        <v>172</v>
      </c>
      <c r="N1721" s="55" t="s">
        <v>172</v>
      </c>
      <c r="O1721" s="55" t="s">
        <v>173</v>
      </c>
      <c r="P1721" s="55" t="s">
        <v>1305</v>
      </c>
      <c r="Q1721" s="55" t="s">
        <v>350</v>
      </c>
      <c r="R1721" s="85">
        <v>3</v>
      </c>
      <c r="S1721" s="55">
        <v>0</v>
      </c>
      <c r="T1721" s="74" t="s">
        <v>2229</v>
      </c>
      <c r="U1721" s="74" t="s">
        <v>351</v>
      </c>
      <c r="V1721" s="74">
        <v>44606</v>
      </c>
      <c r="W1721" s="74">
        <v>44637</v>
      </c>
      <c r="X1721" s="55">
        <v>10207541</v>
      </c>
      <c r="Y1721" s="55" t="s">
        <v>132</v>
      </c>
      <c r="AB1721" s="74" t="s">
        <v>132</v>
      </c>
      <c r="AC1721" s="55" t="s">
        <v>132</v>
      </c>
      <c r="AL1721" s="74"/>
      <c r="AM1721" s="74"/>
      <c r="AW1721" s="74"/>
      <c r="AX1721" s="74"/>
    </row>
    <row r="1722" spans="1:50" ht="13" x14ac:dyDescent="0.15">
      <c r="A1722" s="55" t="str">
        <f>HYPERLINK("http://reports.ofsted.gov.uk/inspection-reports/find-inspection-report/provider/CARE/2647770","Ofsted Social Care Provider Webpage")</f>
        <v>Ofsted Social Care Provider Webpage</v>
      </c>
      <c r="B1722" s="55">
        <v>2647770</v>
      </c>
      <c r="D1722" s="55" t="s">
        <v>373</v>
      </c>
      <c r="E1722" s="74">
        <v>44441</v>
      </c>
      <c r="F1722" s="55" t="s">
        <v>344</v>
      </c>
      <c r="G1722" s="55" t="s">
        <v>360</v>
      </c>
      <c r="H1722" s="55" t="s">
        <v>360</v>
      </c>
      <c r="I1722" s="55" t="s">
        <v>360</v>
      </c>
      <c r="J1722" s="55" t="s">
        <v>360</v>
      </c>
      <c r="K1722" s="55" t="s">
        <v>360</v>
      </c>
      <c r="L1722" s="55" t="s">
        <v>360</v>
      </c>
      <c r="M1722" s="55" t="s">
        <v>144</v>
      </c>
      <c r="N1722" s="55" t="s">
        <v>144</v>
      </c>
      <c r="O1722" s="55" t="s">
        <v>162</v>
      </c>
      <c r="P1722" s="55" t="s">
        <v>1502</v>
      </c>
      <c r="Q1722" s="55" t="s">
        <v>350</v>
      </c>
      <c r="R1722" s="85">
        <v>8</v>
      </c>
      <c r="S1722" s="55">
        <v>0</v>
      </c>
      <c r="T1722" s="74" t="s">
        <v>1503</v>
      </c>
      <c r="U1722" s="74" t="s">
        <v>351</v>
      </c>
      <c r="V1722" s="74">
        <v>44544</v>
      </c>
      <c r="W1722" s="74">
        <v>44616</v>
      </c>
      <c r="X1722" s="55">
        <v>10210508</v>
      </c>
      <c r="Y1722" s="55" t="s">
        <v>130</v>
      </c>
      <c r="AB1722" s="74" t="s">
        <v>130</v>
      </c>
      <c r="AC1722" s="55" t="s">
        <v>130</v>
      </c>
      <c r="AL1722" s="74"/>
      <c r="AM1722" s="74"/>
      <c r="AW1722" s="74"/>
      <c r="AX1722" s="74"/>
    </row>
    <row r="1723" spans="1:50" ht="13" x14ac:dyDescent="0.15">
      <c r="A1723" s="55" t="str">
        <f>HYPERLINK("http://reports.ofsted.gov.uk/inspection-reports/find-inspection-report/provider/CARE/2647770","Ofsted Social Care Provider Webpage")</f>
        <v>Ofsted Social Care Provider Webpage</v>
      </c>
      <c r="B1723" s="55">
        <v>2647770</v>
      </c>
      <c r="D1723" s="55" t="s">
        <v>373</v>
      </c>
      <c r="E1723" s="74">
        <v>44441</v>
      </c>
      <c r="F1723" s="55" t="s">
        <v>344</v>
      </c>
      <c r="G1723" s="55" t="s">
        <v>360</v>
      </c>
      <c r="H1723" s="55" t="s">
        <v>360</v>
      </c>
      <c r="I1723" s="55" t="s">
        <v>360</v>
      </c>
      <c r="J1723" s="55" t="s">
        <v>360</v>
      </c>
      <c r="K1723" s="55" t="s">
        <v>360</v>
      </c>
      <c r="L1723" s="55" t="s">
        <v>360</v>
      </c>
      <c r="M1723" s="55" t="s">
        <v>144</v>
      </c>
      <c r="N1723" s="55" t="s">
        <v>144</v>
      </c>
      <c r="O1723" s="55" t="s">
        <v>162</v>
      </c>
      <c r="P1723" s="55" t="s">
        <v>1502</v>
      </c>
      <c r="Q1723" s="55" t="s">
        <v>350</v>
      </c>
      <c r="R1723" s="85">
        <v>8</v>
      </c>
      <c r="S1723" s="55">
        <v>0</v>
      </c>
      <c r="T1723" s="74" t="s">
        <v>1503</v>
      </c>
      <c r="U1723" s="74" t="s">
        <v>6703</v>
      </c>
      <c r="V1723" s="74">
        <v>44636</v>
      </c>
      <c r="W1723" s="74">
        <v>44673</v>
      </c>
      <c r="X1723" s="55">
        <v>10217376</v>
      </c>
      <c r="Y1723" s="55" t="s">
        <v>6706</v>
      </c>
      <c r="AL1723" s="74"/>
      <c r="AM1723" s="74"/>
      <c r="AW1723" s="74"/>
      <c r="AX1723" s="74"/>
    </row>
    <row r="1724" spans="1:50" ht="13" x14ac:dyDescent="0.15">
      <c r="A1724" s="55" t="str">
        <f>HYPERLINK("http://reports.ofsted.gov.uk/inspection-reports/find-inspection-report/provider/CARE/2648446","Ofsted Social Care Provider Webpage")</f>
        <v>Ofsted Social Care Provider Webpage</v>
      </c>
      <c r="B1724" s="55">
        <v>2648446</v>
      </c>
      <c r="D1724" s="55" t="s">
        <v>373</v>
      </c>
      <c r="E1724" s="74">
        <v>44455</v>
      </c>
      <c r="F1724" s="55" t="s">
        <v>344</v>
      </c>
      <c r="G1724" s="55" t="s">
        <v>360</v>
      </c>
      <c r="H1724" s="55" t="s">
        <v>360</v>
      </c>
      <c r="I1724" s="55" t="s">
        <v>360</v>
      </c>
      <c r="J1724" s="55" t="s">
        <v>360</v>
      </c>
      <c r="K1724" s="55" t="s">
        <v>360</v>
      </c>
      <c r="L1724" s="55" t="s">
        <v>360</v>
      </c>
      <c r="M1724" s="55" t="s">
        <v>142</v>
      </c>
      <c r="N1724" s="55" t="s">
        <v>142</v>
      </c>
      <c r="O1724" s="55" t="s">
        <v>166</v>
      </c>
      <c r="P1724" s="55" t="s">
        <v>1152</v>
      </c>
      <c r="Q1724" s="55" t="s">
        <v>350</v>
      </c>
      <c r="R1724" s="85">
        <v>4</v>
      </c>
      <c r="S1724" s="55">
        <v>0</v>
      </c>
      <c r="T1724" s="74" t="s">
        <v>2245</v>
      </c>
      <c r="U1724" s="74" t="s">
        <v>351</v>
      </c>
      <c r="V1724" s="74">
        <v>44609</v>
      </c>
      <c r="W1724" s="74">
        <v>44656</v>
      </c>
      <c r="X1724" s="55">
        <v>10207448</v>
      </c>
      <c r="Y1724" s="55" t="s">
        <v>132</v>
      </c>
      <c r="AB1724" s="74" t="s">
        <v>132</v>
      </c>
      <c r="AC1724" s="55" t="s">
        <v>132</v>
      </c>
      <c r="AL1724" s="74"/>
      <c r="AM1724" s="74"/>
      <c r="AW1724" s="74"/>
      <c r="AX1724" s="74"/>
    </row>
    <row r="1725" spans="1:50" ht="13" x14ac:dyDescent="0.15">
      <c r="A1725" s="55" t="str">
        <f>HYPERLINK("http://reports.ofsted.gov.uk/inspection-reports/find-inspection-report/provider/CARE/2650054","Ofsted Social Care Provider Webpage")</f>
        <v>Ofsted Social Care Provider Webpage</v>
      </c>
      <c r="B1725" s="55">
        <v>2650054</v>
      </c>
      <c r="D1725" s="55" t="s">
        <v>373</v>
      </c>
      <c r="E1725" s="74">
        <v>44480</v>
      </c>
      <c r="F1725" s="55" t="s">
        <v>344</v>
      </c>
      <c r="G1725" s="55" t="s">
        <v>360</v>
      </c>
      <c r="H1725" s="55" t="s">
        <v>360</v>
      </c>
      <c r="I1725" s="55" t="s">
        <v>360</v>
      </c>
      <c r="J1725" s="55" t="s">
        <v>360</v>
      </c>
      <c r="K1725" s="55" t="s">
        <v>360</v>
      </c>
      <c r="L1725" s="55" t="s">
        <v>360</v>
      </c>
      <c r="M1725" s="55" t="s">
        <v>172</v>
      </c>
      <c r="N1725" s="55" t="s">
        <v>172</v>
      </c>
      <c r="O1725" s="55" t="s">
        <v>228</v>
      </c>
      <c r="P1725" s="55" t="s">
        <v>991</v>
      </c>
      <c r="Q1725" s="55" t="s">
        <v>350</v>
      </c>
      <c r="R1725" s="85">
        <v>6</v>
      </c>
      <c r="S1725" s="55">
        <v>0</v>
      </c>
      <c r="T1725" s="74" t="s">
        <v>656</v>
      </c>
      <c r="U1725" s="74" t="s">
        <v>351</v>
      </c>
      <c r="V1725" s="74">
        <v>44516</v>
      </c>
      <c r="W1725" s="74">
        <v>44551</v>
      </c>
      <c r="X1725" s="55">
        <v>10213247</v>
      </c>
      <c r="Y1725" s="55" t="s">
        <v>132</v>
      </c>
      <c r="AB1725" s="74" t="s">
        <v>130</v>
      </c>
      <c r="AC1725" s="55" t="s">
        <v>130</v>
      </c>
      <c r="AL1725" s="74"/>
      <c r="AM1725" s="74"/>
      <c r="AW1725" s="74"/>
      <c r="AX1725" s="74"/>
    </row>
    <row r="1726" spans="1:50" ht="13" x14ac:dyDescent="0.15">
      <c r="A1726" s="55" t="str">
        <f>HYPERLINK("http://reports.ofsted.gov.uk/inspection-reports/find-inspection-report/provider/CARE/2651665","Ofsted Social Care Provider Webpage")</f>
        <v>Ofsted Social Care Provider Webpage</v>
      </c>
      <c r="B1726" s="55">
        <v>2651665</v>
      </c>
      <c r="D1726" s="55" t="s">
        <v>373</v>
      </c>
      <c r="E1726" s="74">
        <v>44453</v>
      </c>
      <c r="F1726" s="55" t="s">
        <v>344</v>
      </c>
      <c r="G1726" s="55" t="s">
        <v>360</v>
      </c>
      <c r="H1726" s="55" t="s">
        <v>360</v>
      </c>
      <c r="I1726" s="55" t="s">
        <v>360</v>
      </c>
      <c r="J1726" s="55" t="s">
        <v>360</v>
      </c>
      <c r="K1726" s="55" t="s">
        <v>360</v>
      </c>
      <c r="L1726" s="55" t="s">
        <v>360</v>
      </c>
      <c r="M1726" s="55" t="s">
        <v>138</v>
      </c>
      <c r="N1726" s="55" t="s">
        <v>138</v>
      </c>
      <c r="O1726" s="55" t="s">
        <v>266</v>
      </c>
      <c r="P1726" s="55" t="s">
        <v>1622</v>
      </c>
      <c r="Q1726" s="55" t="s">
        <v>350</v>
      </c>
      <c r="R1726" s="85">
        <v>4</v>
      </c>
      <c r="S1726" s="55">
        <v>0</v>
      </c>
      <c r="T1726" s="74" t="s">
        <v>1553</v>
      </c>
      <c r="U1726" s="74" t="s">
        <v>351</v>
      </c>
      <c r="V1726" s="74">
        <v>44593</v>
      </c>
      <c r="W1726" s="74">
        <v>44623</v>
      </c>
      <c r="X1726" s="55">
        <v>10209510</v>
      </c>
      <c r="Y1726" s="55" t="s">
        <v>132</v>
      </c>
      <c r="AB1726" s="74" t="s">
        <v>130</v>
      </c>
      <c r="AC1726" s="55" t="s">
        <v>132</v>
      </c>
      <c r="AL1726" s="74"/>
      <c r="AM1726" s="74"/>
      <c r="AW1726" s="74"/>
      <c r="AX1726" s="74"/>
    </row>
    <row r="1727" spans="1:50" ht="13" x14ac:dyDescent="0.15">
      <c r="A1727" s="55" t="str">
        <f>HYPERLINK("http://reports.ofsted.gov.uk/inspection-reports/find-inspection-report/provider/CARE/2652383","Ofsted Social Care Provider Webpage")</f>
        <v>Ofsted Social Care Provider Webpage</v>
      </c>
      <c r="B1727" s="55">
        <v>2652383</v>
      </c>
      <c r="D1727" s="55" t="s">
        <v>373</v>
      </c>
      <c r="E1727" s="74">
        <v>44440</v>
      </c>
      <c r="F1727" s="55" t="s">
        <v>344</v>
      </c>
      <c r="G1727" s="55" t="s">
        <v>360</v>
      </c>
      <c r="H1727" s="55" t="s">
        <v>360</v>
      </c>
      <c r="I1727" s="55" t="s">
        <v>360</v>
      </c>
      <c r="J1727" s="55" t="s">
        <v>360</v>
      </c>
      <c r="K1727" s="55" t="s">
        <v>360</v>
      </c>
      <c r="L1727" s="55" t="s">
        <v>360</v>
      </c>
      <c r="M1727" s="55" t="s">
        <v>138</v>
      </c>
      <c r="N1727" s="55" t="s">
        <v>138</v>
      </c>
      <c r="O1727" s="55" t="s">
        <v>224</v>
      </c>
      <c r="P1727" s="55" t="s">
        <v>2271</v>
      </c>
      <c r="Q1727" s="55" t="s">
        <v>380</v>
      </c>
      <c r="R1727" s="85">
        <v>2</v>
      </c>
      <c r="S1727" s="55">
        <v>0</v>
      </c>
      <c r="T1727" s="74" t="s">
        <v>2272</v>
      </c>
      <c r="U1727" s="74" t="s">
        <v>351</v>
      </c>
      <c r="V1727" s="74">
        <v>44580</v>
      </c>
      <c r="W1727" s="74">
        <v>44607</v>
      </c>
      <c r="X1727" s="55">
        <v>10209739</v>
      </c>
      <c r="Y1727" s="55" t="s">
        <v>132</v>
      </c>
      <c r="AB1727" s="74" t="s">
        <v>132</v>
      </c>
      <c r="AC1727" s="55" t="s">
        <v>132</v>
      </c>
      <c r="AL1727" s="74"/>
      <c r="AM1727" s="74"/>
    </row>
    <row r="1728" spans="1:50" ht="13" x14ac:dyDescent="0.15">
      <c r="A1728" s="55" t="str">
        <f>HYPERLINK("http://reports.ofsted.gov.uk/inspection-reports/find-inspection-report/provider/CARE/2652468","Ofsted Social Care Provider Webpage")</f>
        <v>Ofsted Social Care Provider Webpage</v>
      </c>
      <c r="B1728" s="55">
        <v>2652468</v>
      </c>
      <c r="D1728" s="55" t="s">
        <v>373</v>
      </c>
      <c r="E1728" s="74">
        <v>44442</v>
      </c>
      <c r="F1728" s="55" t="s">
        <v>344</v>
      </c>
      <c r="G1728" s="55" t="s">
        <v>360</v>
      </c>
      <c r="H1728" s="55" t="s">
        <v>360</v>
      </c>
      <c r="I1728" s="55" t="s">
        <v>360</v>
      </c>
      <c r="J1728" s="55" t="s">
        <v>360</v>
      </c>
      <c r="K1728" s="55" t="s">
        <v>360</v>
      </c>
      <c r="L1728" s="55" t="s">
        <v>360</v>
      </c>
      <c r="M1728" s="55" t="s">
        <v>136</v>
      </c>
      <c r="N1728" s="55" t="s">
        <v>136</v>
      </c>
      <c r="O1728" s="55" t="s">
        <v>705</v>
      </c>
      <c r="P1728" s="55" t="s">
        <v>2273</v>
      </c>
      <c r="Q1728" s="55" t="s">
        <v>350</v>
      </c>
      <c r="R1728" s="85">
        <v>1</v>
      </c>
      <c r="S1728" s="55">
        <v>0</v>
      </c>
      <c r="T1728" s="74" t="s">
        <v>2047</v>
      </c>
      <c r="U1728" s="74" t="s">
        <v>351</v>
      </c>
      <c r="V1728" s="74">
        <v>44586</v>
      </c>
      <c r="W1728" s="74">
        <v>44649</v>
      </c>
      <c r="X1728" s="55">
        <v>10209363</v>
      </c>
      <c r="Y1728" s="55" t="s">
        <v>132</v>
      </c>
      <c r="AB1728" s="74" t="s">
        <v>130</v>
      </c>
      <c r="AC1728" s="55" t="s">
        <v>132</v>
      </c>
      <c r="AL1728" s="74"/>
      <c r="AM1728" s="74"/>
      <c r="AW1728" s="74"/>
      <c r="AX1728" s="74"/>
    </row>
    <row r="1729" spans="1:50" ht="13" x14ac:dyDescent="0.15">
      <c r="A1729" s="55" t="str">
        <f>HYPERLINK("http://reports.ofsted.gov.uk/inspection-reports/find-inspection-report/provider/CARE/2652939","Ofsted Social Care Provider Webpage")</f>
        <v>Ofsted Social Care Provider Webpage</v>
      </c>
      <c r="B1729" s="55">
        <v>2652939</v>
      </c>
      <c r="D1729" s="55" t="s">
        <v>373</v>
      </c>
      <c r="E1729" s="74">
        <v>44496</v>
      </c>
      <c r="F1729" s="55" t="s">
        <v>344</v>
      </c>
      <c r="G1729" s="55" t="s">
        <v>360</v>
      </c>
      <c r="H1729" s="55" t="s">
        <v>360</v>
      </c>
      <c r="I1729" s="55" t="s">
        <v>360</v>
      </c>
      <c r="J1729" s="55" t="s">
        <v>360</v>
      </c>
      <c r="K1729" s="55" t="s">
        <v>360</v>
      </c>
      <c r="L1729" s="55" t="s">
        <v>360</v>
      </c>
      <c r="M1729" s="55" t="s">
        <v>138</v>
      </c>
      <c r="N1729" s="55" t="s">
        <v>138</v>
      </c>
      <c r="O1729" s="55" t="s">
        <v>266</v>
      </c>
      <c r="P1729" s="55" t="s">
        <v>1522</v>
      </c>
      <c r="Q1729" s="55" t="s">
        <v>350</v>
      </c>
      <c r="R1729" s="85">
        <v>5</v>
      </c>
      <c r="S1729" s="55">
        <v>0</v>
      </c>
      <c r="T1729" s="74" t="s">
        <v>2275</v>
      </c>
      <c r="U1729" s="74" t="s">
        <v>2053</v>
      </c>
      <c r="V1729" s="74">
        <v>44627</v>
      </c>
      <c r="W1729" s="74">
        <v>44665</v>
      </c>
      <c r="X1729" s="55">
        <v>10221234</v>
      </c>
      <c r="AL1729" s="74"/>
      <c r="AM1729" s="74"/>
      <c r="AW1729" s="74"/>
      <c r="AX1729" s="74"/>
    </row>
    <row r="1730" spans="1:50" ht="13" x14ac:dyDescent="0.15">
      <c r="A1730" s="55" t="str">
        <f>HYPERLINK("http://reports.ofsted.gov.uk/inspection-reports/find-inspection-report/provider/CARE/2652939","Ofsted Social Care Provider Webpage")</f>
        <v>Ofsted Social Care Provider Webpage</v>
      </c>
      <c r="B1730" s="55">
        <v>2652939</v>
      </c>
      <c r="D1730" s="55" t="s">
        <v>373</v>
      </c>
      <c r="E1730" s="74">
        <v>44496</v>
      </c>
      <c r="F1730" s="55" t="s">
        <v>344</v>
      </c>
      <c r="G1730" s="55" t="s">
        <v>360</v>
      </c>
      <c r="H1730" s="55" t="s">
        <v>360</v>
      </c>
      <c r="I1730" s="55" t="s">
        <v>360</v>
      </c>
      <c r="J1730" s="55" t="s">
        <v>360</v>
      </c>
      <c r="K1730" s="55" t="s">
        <v>360</v>
      </c>
      <c r="L1730" s="55" t="s">
        <v>360</v>
      </c>
      <c r="M1730" s="55" t="s">
        <v>138</v>
      </c>
      <c r="N1730" s="55" t="s">
        <v>138</v>
      </c>
      <c r="O1730" s="55" t="s">
        <v>266</v>
      </c>
      <c r="P1730" s="55" t="s">
        <v>1522</v>
      </c>
      <c r="Q1730" s="55" t="s">
        <v>350</v>
      </c>
      <c r="R1730" s="85">
        <v>5</v>
      </c>
      <c r="S1730" s="55">
        <v>0</v>
      </c>
      <c r="T1730" s="74" t="s">
        <v>2275</v>
      </c>
      <c r="U1730" s="74" t="s">
        <v>2053</v>
      </c>
      <c r="V1730" s="74">
        <v>44543</v>
      </c>
      <c r="W1730" s="74">
        <v>44566</v>
      </c>
      <c r="X1730" s="55">
        <v>10217115</v>
      </c>
      <c r="AL1730" s="74"/>
      <c r="AM1730" s="74"/>
      <c r="AW1730" s="74"/>
      <c r="AX1730" s="74"/>
    </row>
    <row r="1731" spans="1:50" ht="13" x14ac:dyDescent="0.15">
      <c r="A1731" s="55" t="str">
        <f>HYPERLINK("http://reports.ofsted.gov.uk/inspection-reports/find-inspection-report/provider/CARE/2654620","Ofsted Social Care Provider Webpage")</f>
        <v>Ofsted Social Care Provider Webpage</v>
      </c>
      <c r="B1731" s="55">
        <v>2654620</v>
      </c>
      <c r="D1731" s="55" t="s">
        <v>373</v>
      </c>
      <c r="E1731" s="74">
        <v>44456</v>
      </c>
      <c r="F1731" s="55" t="s">
        <v>344</v>
      </c>
      <c r="G1731" s="55" t="s">
        <v>360</v>
      </c>
      <c r="H1731" s="55" t="s">
        <v>360</v>
      </c>
      <c r="I1731" s="55" t="s">
        <v>360</v>
      </c>
      <c r="J1731" s="55" t="s">
        <v>360</v>
      </c>
      <c r="K1731" s="55" t="s">
        <v>360</v>
      </c>
      <c r="L1731" s="55" t="s">
        <v>360</v>
      </c>
      <c r="M1731" s="55" t="s">
        <v>129</v>
      </c>
      <c r="N1731" s="55" t="s">
        <v>129</v>
      </c>
      <c r="O1731" s="55" t="s">
        <v>187</v>
      </c>
      <c r="P1731" s="55" t="s">
        <v>2278</v>
      </c>
      <c r="Q1731" s="55" t="s">
        <v>350</v>
      </c>
      <c r="R1731" s="85">
        <v>2</v>
      </c>
      <c r="S1731" s="55">
        <v>0</v>
      </c>
      <c r="T1731" s="74" t="s">
        <v>2279</v>
      </c>
      <c r="U1731" s="74" t="s">
        <v>6703</v>
      </c>
      <c r="V1731" s="74">
        <v>44601</v>
      </c>
      <c r="W1731" s="74">
        <v>44657</v>
      </c>
      <c r="X1731" s="55">
        <v>10218028</v>
      </c>
      <c r="Y1731" s="55" t="s">
        <v>6706</v>
      </c>
      <c r="AL1731" s="74"/>
      <c r="AM1731" s="74"/>
    </row>
    <row r="1732" spans="1:50" ht="13" x14ac:dyDescent="0.15">
      <c r="A1732" s="55" t="str">
        <f>HYPERLINK("http://reports.ofsted.gov.uk/inspection-reports/find-inspection-report/provider/CARE/2654620","Ofsted Social Care Provider Webpage")</f>
        <v>Ofsted Social Care Provider Webpage</v>
      </c>
      <c r="B1732" s="55">
        <v>2654620</v>
      </c>
      <c r="D1732" s="55" t="s">
        <v>373</v>
      </c>
      <c r="E1732" s="74">
        <v>44456</v>
      </c>
      <c r="F1732" s="55" t="s">
        <v>344</v>
      </c>
      <c r="G1732" s="55" t="s">
        <v>360</v>
      </c>
      <c r="H1732" s="55" t="s">
        <v>360</v>
      </c>
      <c r="I1732" s="55" t="s">
        <v>360</v>
      </c>
      <c r="J1732" s="55" t="s">
        <v>360</v>
      </c>
      <c r="K1732" s="55" t="s">
        <v>360</v>
      </c>
      <c r="L1732" s="55" t="s">
        <v>360</v>
      </c>
      <c r="M1732" s="55" t="s">
        <v>129</v>
      </c>
      <c r="N1732" s="55" t="s">
        <v>129</v>
      </c>
      <c r="O1732" s="55" t="s">
        <v>187</v>
      </c>
      <c r="P1732" s="55" t="s">
        <v>2278</v>
      </c>
      <c r="Q1732" s="55" t="s">
        <v>350</v>
      </c>
      <c r="R1732" s="85">
        <v>2</v>
      </c>
      <c r="S1732" s="55">
        <v>0</v>
      </c>
      <c r="T1732" s="74" t="s">
        <v>2279</v>
      </c>
      <c r="U1732" s="74" t="s">
        <v>351</v>
      </c>
      <c r="V1732" s="74">
        <v>44545</v>
      </c>
      <c r="W1732" s="74">
        <v>44601</v>
      </c>
      <c r="X1732" s="55">
        <v>10209678</v>
      </c>
      <c r="Y1732" s="55" t="s">
        <v>130</v>
      </c>
      <c r="AB1732" s="74" t="s">
        <v>130</v>
      </c>
      <c r="AC1732" s="55" t="s">
        <v>146</v>
      </c>
      <c r="AL1732" s="74"/>
      <c r="AM1732" s="74"/>
      <c r="AW1732" s="74"/>
      <c r="AX1732" s="74"/>
    </row>
    <row r="1733" spans="1:50" ht="13" x14ac:dyDescent="0.15">
      <c r="A1733" s="55" t="str">
        <f>HYPERLINK("http://reports.ofsted.gov.uk/inspection-reports/find-inspection-report/provider/CARE/2654906","Ofsted Social Care Provider Webpage")</f>
        <v>Ofsted Social Care Provider Webpage</v>
      </c>
      <c r="B1733" s="55">
        <v>2654906</v>
      </c>
      <c r="D1733" s="55" t="s">
        <v>373</v>
      </c>
      <c r="E1733" s="74">
        <v>44434</v>
      </c>
      <c r="F1733" s="55" t="s">
        <v>344</v>
      </c>
      <c r="G1733" s="55" t="s">
        <v>360</v>
      </c>
      <c r="H1733" s="55" t="s">
        <v>360</v>
      </c>
      <c r="I1733" s="55" t="s">
        <v>360</v>
      </c>
      <c r="J1733" s="55" t="s">
        <v>360</v>
      </c>
      <c r="K1733" s="55" t="s">
        <v>360</v>
      </c>
      <c r="L1733" s="55" t="s">
        <v>360</v>
      </c>
      <c r="M1733" s="55" t="s">
        <v>150</v>
      </c>
      <c r="N1733" s="55" t="s">
        <v>150</v>
      </c>
      <c r="O1733" s="55" t="s">
        <v>203</v>
      </c>
      <c r="P1733" s="55" t="s">
        <v>593</v>
      </c>
      <c r="Q1733" s="55" t="s">
        <v>350</v>
      </c>
      <c r="R1733" s="85">
        <v>2</v>
      </c>
      <c r="S1733" s="55">
        <v>0</v>
      </c>
      <c r="T1733" s="74" t="s">
        <v>801</v>
      </c>
      <c r="U1733" s="74" t="s">
        <v>351</v>
      </c>
      <c r="V1733" s="74">
        <v>44578</v>
      </c>
      <c r="W1733" s="74">
        <v>44624</v>
      </c>
      <c r="X1733" s="55">
        <v>10205852</v>
      </c>
      <c r="Y1733" s="55" t="s">
        <v>132</v>
      </c>
      <c r="AB1733" s="74" t="s">
        <v>132</v>
      </c>
      <c r="AC1733" s="55" t="s">
        <v>132</v>
      </c>
      <c r="AL1733" s="74"/>
      <c r="AM1733" s="74"/>
    </row>
    <row r="1734" spans="1:50" ht="13" x14ac:dyDescent="0.15">
      <c r="A1734" s="55" t="str">
        <f>HYPERLINK("http://reports.ofsted.gov.uk/inspection-reports/find-inspection-report/provider/CARE/2655552","Ofsted Social Care Provider Webpage")</f>
        <v>Ofsted Social Care Provider Webpage</v>
      </c>
      <c r="B1734" s="55">
        <v>2655552</v>
      </c>
      <c r="D1734" s="55" t="s">
        <v>373</v>
      </c>
      <c r="E1734" s="74">
        <v>44522</v>
      </c>
      <c r="F1734" s="55" t="s">
        <v>6707</v>
      </c>
      <c r="G1734" s="55" t="s">
        <v>360</v>
      </c>
      <c r="H1734" s="55" t="s">
        <v>360</v>
      </c>
      <c r="I1734" s="55" t="s">
        <v>360</v>
      </c>
      <c r="J1734" s="55" t="s">
        <v>360</v>
      </c>
      <c r="K1734" s="55" t="s">
        <v>360</v>
      </c>
      <c r="L1734" s="55" t="s">
        <v>360</v>
      </c>
      <c r="M1734" s="55" t="s">
        <v>150</v>
      </c>
      <c r="N1734" s="55" t="s">
        <v>150</v>
      </c>
      <c r="O1734" s="55" t="s">
        <v>268</v>
      </c>
      <c r="P1734" s="55" t="s">
        <v>639</v>
      </c>
      <c r="Q1734" s="55" t="s">
        <v>350</v>
      </c>
      <c r="R1734" s="85">
        <v>2</v>
      </c>
      <c r="S1734" s="55">
        <v>0</v>
      </c>
      <c r="T1734" s="74" t="s">
        <v>6733</v>
      </c>
      <c r="U1734" s="74" t="s">
        <v>2053</v>
      </c>
      <c r="V1734" s="74">
        <v>44546</v>
      </c>
      <c r="W1734" s="74">
        <v>44593</v>
      </c>
      <c r="X1734" s="55">
        <v>10217177</v>
      </c>
      <c r="AL1734" s="74"/>
      <c r="AM1734" s="74"/>
      <c r="AW1734" s="74"/>
      <c r="AX1734" s="74"/>
    </row>
    <row r="1735" spans="1:50" ht="13" x14ac:dyDescent="0.15">
      <c r="A1735" s="55" t="str">
        <f>HYPERLINK("http://reports.ofsted.gov.uk/inspection-reports/find-inspection-report/provider/CARE/2656902","Ofsted Social Care Provider Webpage")</f>
        <v>Ofsted Social Care Provider Webpage</v>
      </c>
      <c r="B1735" s="55">
        <v>2656902</v>
      </c>
      <c r="D1735" s="55" t="s">
        <v>373</v>
      </c>
      <c r="E1735" s="74">
        <v>44466</v>
      </c>
      <c r="F1735" s="55" t="s">
        <v>344</v>
      </c>
      <c r="G1735" s="55" t="s">
        <v>360</v>
      </c>
      <c r="H1735" s="55" t="s">
        <v>360</v>
      </c>
      <c r="I1735" s="55" t="s">
        <v>360</v>
      </c>
      <c r="J1735" s="55" t="s">
        <v>360</v>
      </c>
      <c r="K1735" s="55" t="s">
        <v>360</v>
      </c>
      <c r="L1735" s="55" t="s">
        <v>360</v>
      </c>
      <c r="M1735" s="55" t="s">
        <v>172</v>
      </c>
      <c r="N1735" s="55" t="s">
        <v>172</v>
      </c>
      <c r="O1735" s="55" t="s">
        <v>212</v>
      </c>
      <c r="P1735" s="55" t="s">
        <v>798</v>
      </c>
      <c r="Q1735" s="55" t="s">
        <v>350</v>
      </c>
      <c r="R1735" s="85">
        <v>3</v>
      </c>
      <c r="S1735" s="55">
        <v>0</v>
      </c>
      <c r="T1735" s="74" t="s">
        <v>1819</v>
      </c>
      <c r="U1735" s="74" t="s">
        <v>351</v>
      </c>
      <c r="V1735" s="74">
        <v>44607</v>
      </c>
      <c r="W1735" s="74">
        <v>44650</v>
      </c>
      <c r="X1735" s="55">
        <v>10219554</v>
      </c>
      <c r="Y1735" s="55" t="s">
        <v>132</v>
      </c>
      <c r="AB1735" s="74" t="s">
        <v>132</v>
      </c>
      <c r="AC1735" s="55" t="s">
        <v>140</v>
      </c>
      <c r="AL1735" s="74"/>
      <c r="AM1735" s="74"/>
      <c r="AW1735" s="74"/>
      <c r="AX1735" s="74"/>
    </row>
    <row r="1736" spans="1:50" ht="13" x14ac:dyDescent="0.15">
      <c r="A1736" s="55" t="str">
        <f>HYPERLINK("http://reports.ofsted.gov.uk/inspection-reports/find-inspection-report/provider/CARE/2666995","Ofsted Social Care Provider Webpage")</f>
        <v>Ofsted Social Care Provider Webpage</v>
      </c>
      <c r="B1736" s="55">
        <v>2666995</v>
      </c>
      <c r="D1736" s="55" t="s">
        <v>373</v>
      </c>
      <c r="E1736" s="74">
        <v>44518</v>
      </c>
      <c r="F1736" s="55" t="s">
        <v>344</v>
      </c>
      <c r="G1736" s="55" t="s">
        <v>360</v>
      </c>
      <c r="H1736" s="55" t="s">
        <v>360</v>
      </c>
      <c r="I1736" s="55" t="s">
        <v>360</v>
      </c>
      <c r="J1736" s="55" t="s">
        <v>360</v>
      </c>
      <c r="K1736" s="55" t="s">
        <v>360</v>
      </c>
      <c r="L1736" s="55" t="s">
        <v>360</v>
      </c>
      <c r="M1736" s="55" t="s">
        <v>150</v>
      </c>
      <c r="N1736" s="55" t="s">
        <v>150</v>
      </c>
      <c r="O1736" s="55" t="s">
        <v>190</v>
      </c>
      <c r="P1736" s="55" t="s">
        <v>749</v>
      </c>
      <c r="Q1736" s="55" t="s">
        <v>350</v>
      </c>
      <c r="R1736" s="85">
        <v>5</v>
      </c>
      <c r="S1736" s="55">
        <v>0</v>
      </c>
      <c r="T1736" s="74" t="s">
        <v>1524</v>
      </c>
      <c r="U1736" s="74" t="s">
        <v>2053</v>
      </c>
      <c r="V1736" s="74">
        <v>44627</v>
      </c>
      <c r="W1736" s="74">
        <v>44677</v>
      </c>
      <c r="X1736" s="55">
        <v>10229950</v>
      </c>
      <c r="AL1736" s="74"/>
      <c r="AM1736" s="74"/>
      <c r="AW1736" s="74"/>
      <c r="AX1736" s="74"/>
    </row>
    <row r="1737" spans="1:50" ht="13" x14ac:dyDescent="0.15">
      <c r="A1737" s="55" t="str">
        <f>HYPERLINK("http://reports.ofsted.gov.uk/inspection-reports/find-inspection-report/provider/CARE/2666995","Ofsted Social Care Provider Webpage")</f>
        <v>Ofsted Social Care Provider Webpage</v>
      </c>
      <c r="B1737" s="55">
        <v>2666995</v>
      </c>
      <c r="D1737" s="55" t="s">
        <v>373</v>
      </c>
      <c r="E1737" s="74">
        <v>44518</v>
      </c>
      <c r="F1737" s="55" t="s">
        <v>344</v>
      </c>
      <c r="G1737" s="55" t="s">
        <v>360</v>
      </c>
      <c r="H1737" s="55" t="s">
        <v>360</v>
      </c>
      <c r="I1737" s="55" t="s">
        <v>360</v>
      </c>
      <c r="J1737" s="55" t="s">
        <v>360</v>
      </c>
      <c r="K1737" s="55" t="s">
        <v>360</v>
      </c>
      <c r="L1737" s="55" t="s">
        <v>360</v>
      </c>
      <c r="M1737" s="55" t="s">
        <v>150</v>
      </c>
      <c r="N1737" s="55" t="s">
        <v>150</v>
      </c>
      <c r="O1737" s="55" t="s">
        <v>190</v>
      </c>
      <c r="P1737" s="55" t="s">
        <v>749</v>
      </c>
      <c r="Q1737" s="55" t="s">
        <v>350</v>
      </c>
      <c r="R1737" s="85">
        <v>5</v>
      </c>
      <c r="S1737" s="55">
        <v>0</v>
      </c>
      <c r="T1737" s="74" t="s">
        <v>1524</v>
      </c>
      <c r="U1737" s="74" t="s">
        <v>2053</v>
      </c>
      <c r="V1737" s="74">
        <v>44616</v>
      </c>
      <c r="W1737" s="74">
        <v>44664</v>
      </c>
      <c r="X1737" s="55">
        <v>10226641</v>
      </c>
      <c r="AL1737" s="74"/>
      <c r="AM1737" s="74"/>
    </row>
    <row r="1738" spans="1:50" ht="13" x14ac:dyDescent="0.15">
      <c r="A1738" s="55" t="str">
        <f>HYPERLINK("http://reports.ofsted.gov.uk/inspection-reports/find-inspection-report/provider/CARE/SC000673","Ofsted Social Care Provider Webpage")</f>
        <v>Ofsted Social Care Provider Webpage</v>
      </c>
      <c r="B1738" s="55" t="s">
        <v>2362</v>
      </c>
      <c r="D1738" s="55" t="s">
        <v>373</v>
      </c>
      <c r="E1738" s="74">
        <v>34486</v>
      </c>
      <c r="F1738" s="55" t="s">
        <v>344</v>
      </c>
      <c r="G1738" s="55" t="s">
        <v>360</v>
      </c>
      <c r="H1738" s="55" t="s">
        <v>360</v>
      </c>
      <c r="I1738" s="55" t="s">
        <v>360</v>
      </c>
      <c r="J1738" s="55" t="s">
        <v>360</v>
      </c>
      <c r="K1738" s="55" t="s">
        <v>360</v>
      </c>
      <c r="L1738" s="55" t="s">
        <v>360</v>
      </c>
      <c r="M1738" s="55" t="s">
        <v>378</v>
      </c>
      <c r="N1738" s="55" t="s">
        <v>170</v>
      </c>
      <c r="O1738" s="55" t="s">
        <v>233</v>
      </c>
      <c r="P1738" s="55" t="s">
        <v>2363</v>
      </c>
      <c r="Q1738" s="55" t="s">
        <v>362</v>
      </c>
      <c r="R1738" s="85">
        <v>10</v>
      </c>
      <c r="S1738" s="55" t="s">
        <v>332</v>
      </c>
      <c r="T1738" s="74" t="s">
        <v>367</v>
      </c>
      <c r="U1738" s="74" t="s">
        <v>351</v>
      </c>
      <c r="V1738" s="74">
        <v>44459</v>
      </c>
      <c r="W1738" s="74">
        <v>44518</v>
      </c>
      <c r="X1738" s="55">
        <v>10186438</v>
      </c>
      <c r="Y1738" s="55" t="s">
        <v>130</v>
      </c>
      <c r="AB1738" s="74" t="s">
        <v>130</v>
      </c>
      <c r="AC1738" s="55" t="s">
        <v>130</v>
      </c>
      <c r="AL1738" s="74"/>
      <c r="AM1738" s="74"/>
      <c r="AW1738" s="74"/>
      <c r="AX1738" s="74"/>
    </row>
    <row r="1739" spans="1:50" ht="13" x14ac:dyDescent="0.15">
      <c r="A1739" s="55" t="str">
        <f>HYPERLINK("http://reports.ofsted.gov.uk/inspection-reports/find-inspection-report/provider/CARE/SC000802","Ofsted Social Care Provider Webpage")</f>
        <v>Ofsted Social Care Provider Webpage</v>
      </c>
      <c r="B1739" s="55" t="s">
        <v>2364</v>
      </c>
      <c r="D1739" s="55" t="s">
        <v>373</v>
      </c>
      <c r="E1739" s="74">
        <v>37013</v>
      </c>
      <c r="F1739" s="55" t="s">
        <v>344</v>
      </c>
      <c r="G1739" s="55" t="s">
        <v>360</v>
      </c>
      <c r="H1739" s="55" t="s">
        <v>360</v>
      </c>
      <c r="I1739" s="55" t="s">
        <v>360</v>
      </c>
      <c r="J1739" s="55" t="s">
        <v>360</v>
      </c>
      <c r="K1739" s="55" t="s">
        <v>360</v>
      </c>
      <c r="L1739" s="55" t="s">
        <v>360</v>
      </c>
      <c r="M1739" s="55" t="s">
        <v>378</v>
      </c>
      <c r="N1739" s="55" t="s">
        <v>170</v>
      </c>
      <c r="O1739" s="55" t="s">
        <v>169</v>
      </c>
      <c r="P1739" s="55" t="s">
        <v>434</v>
      </c>
      <c r="Q1739" s="55" t="s">
        <v>350</v>
      </c>
      <c r="R1739" s="85">
        <v>4</v>
      </c>
      <c r="S1739" s="55">
        <v>0</v>
      </c>
      <c r="T1739" s="74" t="s">
        <v>2365</v>
      </c>
      <c r="U1739" s="74" t="s">
        <v>351</v>
      </c>
      <c r="V1739" s="74">
        <v>44315</v>
      </c>
      <c r="W1739" s="74">
        <v>44357</v>
      </c>
      <c r="X1739" s="55">
        <v>10185144</v>
      </c>
      <c r="Y1739" s="55" t="s">
        <v>140</v>
      </c>
      <c r="AB1739" s="74" t="s">
        <v>132</v>
      </c>
      <c r="AC1739" s="55" t="s">
        <v>140</v>
      </c>
      <c r="AL1739" s="74"/>
      <c r="AM1739" s="74"/>
    </row>
    <row r="1740" spans="1:50" ht="13" x14ac:dyDescent="0.15">
      <c r="A1740" s="55" t="str">
        <f>HYPERLINK("http://reports.ofsted.gov.uk/inspection-reports/find-inspection-report/provider/CARE/SC000803","Ofsted Social Care Provider Webpage")</f>
        <v>Ofsted Social Care Provider Webpage</v>
      </c>
      <c r="B1740" s="55" t="s">
        <v>2366</v>
      </c>
      <c r="D1740" s="55" t="s">
        <v>373</v>
      </c>
      <c r="E1740" s="74">
        <v>37070</v>
      </c>
      <c r="F1740" s="55" t="s">
        <v>344</v>
      </c>
      <c r="G1740" s="55" t="s">
        <v>360</v>
      </c>
      <c r="H1740" s="55" t="s">
        <v>360</v>
      </c>
      <c r="I1740" s="55" t="s">
        <v>360</v>
      </c>
      <c r="J1740" s="55" t="s">
        <v>360</v>
      </c>
      <c r="K1740" s="55" t="s">
        <v>360</v>
      </c>
      <c r="L1740" s="55" t="s">
        <v>360</v>
      </c>
      <c r="M1740" s="55" t="s">
        <v>378</v>
      </c>
      <c r="N1740" s="55" t="s">
        <v>170</v>
      </c>
      <c r="O1740" s="55" t="s">
        <v>169</v>
      </c>
      <c r="P1740" s="55" t="s">
        <v>169</v>
      </c>
      <c r="Q1740" s="55" t="s">
        <v>350</v>
      </c>
      <c r="R1740" s="85">
        <v>3</v>
      </c>
      <c r="S1740" s="55">
        <v>0</v>
      </c>
      <c r="T1740" s="74" t="s">
        <v>2367</v>
      </c>
      <c r="U1740" s="74" t="s">
        <v>6703</v>
      </c>
      <c r="V1740" s="74">
        <v>44629</v>
      </c>
      <c r="W1740" s="74">
        <v>44673</v>
      </c>
      <c r="X1740" s="55">
        <v>10212766</v>
      </c>
      <c r="Y1740" s="55" t="s">
        <v>6705</v>
      </c>
      <c r="AL1740" s="74"/>
      <c r="AM1740" s="74"/>
    </row>
    <row r="1741" spans="1:50" ht="13" x14ac:dyDescent="0.15">
      <c r="A1741" s="55" t="str">
        <f>HYPERLINK("http://reports.ofsted.gov.uk/inspection-reports/find-inspection-report/provider/CARE/SC000803","Ofsted Social Care Provider Webpage")</f>
        <v>Ofsted Social Care Provider Webpage</v>
      </c>
      <c r="B1741" s="55" t="s">
        <v>2366</v>
      </c>
      <c r="D1741" s="55" t="s">
        <v>373</v>
      </c>
      <c r="E1741" s="74">
        <v>37070</v>
      </c>
      <c r="F1741" s="55" t="s">
        <v>344</v>
      </c>
      <c r="G1741" s="55" t="s">
        <v>360</v>
      </c>
      <c r="H1741" s="55" t="s">
        <v>360</v>
      </c>
      <c r="I1741" s="55" t="s">
        <v>360</v>
      </c>
      <c r="J1741" s="55" t="s">
        <v>360</v>
      </c>
      <c r="K1741" s="55" t="s">
        <v>360</v>
      </c>
      <c r="L1741" s="55" t="s">
        <v>360</v>
      </c>
      <c r="M1741" s="55" t="s">
        <v>378</v>
      </c>
      <c r="N1741" s="55" t="s">
        <v>170</v>
      </c>
      <c r="O1741" s="55" t="s">
        <v>169</v>
      </c>
      <c r="P1741" s="55" t="s">
        <v>169</v>
      </c>
      <c r="Q1741" s="55" t="s">
        <v>350</v>
      </c>
      <c r="R1741" s="85">
        <v>3</v>
      </c>
      <c r="S1741" s="55">
        <v>0</v>
      </c>
      <c r="T1741" s="74" t="s">
        <v>2367</v>
      </c>
      <c r="U1741" s="74" t="s">
        <v>351</v>
      </c>
      <c r="V1741" s="74">
        <v>44468</v>
      </c>
      <c r="W1741" s="74">
        <v>44533</v>
      </c>
      <c r="X1741" s="55">
        <v>10187107</v>
      </c>
      <c r="Y1741" s="55" t="s">
        <v>130</v>
      </c>
      <c r="AB1741" s="74" t="s">
        <v>130</v>
      </c>
      <c r="AC1741" s="55" t="s">
        <v>130</v>
      </c>
      <c r="AL1741" s="74"/>
      <c r="AM1741" s="74"/>
    </row>
    <row r="1742" spans="1:50" ht="13" x14ac:dyDescent="0.15">
      <c r="A1742" s="55" t="str">
        <f>HYPERLINK("http://reports.ofsted.gov.uk/inspection-reports/find-inspection-report/provider/CARE/SC000820","Ofsted Social Care Provider Webpage")</f>
        <v>Ofsted Social Care Provider Webpage</v>
      </c>
      <c r="B1742" s="55" t="s">
        <v>2368</v>
      </c>
      <c r="D1742" s="55" t="s">
        <v>373</v>
      </c>
      <c r="E1742" s="74">
        <v>37070</v>
      </c>
      <c r="F1742" s="55" t="s">
        <v>344</v>
      </c>
      <c r="G1742" s="55" t="s">
        <v>360</v>
      </c>
      <c r="H1742" s="55" t="s">
        <v>360</v>
      </c>
      <c r="I1742" s="55" t="s">
        <v>360</v>
      </c>
      <c r="J1742" s="55" t="s">
        <v>360</v>
      </c>
      <c r="K1742" s="55" t="s">
        <v>360</v>
      </c>
      <c r="L1742" s="55" t="s">
        <v>360</v>
      </c>
      <c r="M1742" s="55" t="s">
        <v>378</v>
      </c>
      <c r="N1742" s="55" t="s">
        <v>170</v>
      </c>
      <c r="O1742" s="55" t="s">
        <v>169</v>
      </c>
      <c r="P1742" s="55" t="s">
        <v>169</v>
      </c>
      <c r="Q1742" s="55" t="s">
        <v>350</v>
      </c>
      <c r="R1742" s="85">
        <v>5</v>
      </c>
      <c r="S1742" s="55">
        <v>0</v>
      </c>
      <c r="T1742" s="74" t="s">
        <v>2367</v>
      </c>
      <c r="U1742" s="74" t="s">
        <v>351</v>
      </c>
      <c r="V1742" s="74">
        <v>44454</v>
      </c>
      <c r="W1742" s="74">
        <v>44491</v>
      </c>
      <c r="X1742" s="55">
        <v>10185944</v>
      </c>
      <c r="Y1742" s="55" t="s">
        <v>132</v>
      </c>
      <c r="AB1742" s="74" t="s">
        <v>132</v>
      </c>
      <c r="AC1742" s="55" t="s">
        <v>132</v>
      </c>
      <c r="AL1742" s="74"/>
      <c r="AM1742" s="74"/>
    </row>
    <row r="1743" spans="1:50" ht="13" x14ac:dyDescent="0.15">
      <c r="A1743" s="55" t="str">
        <f>HYPERLINK("http://reports.ofsted.gov.uk/inspection-reports/find-inspection-report/provider/CARE/SC001016","Ofsted Social Care Provider Webpage")</f>
        <v>Ofsted Social Care Provider Webpage</v>
      </c>
      <c r="B1743" s="55" t="s">
        <v>2369</v>
      </c>
      <c r="D1743" s="55" t="s">
        <v>373</v>
      </c>
      <c r="E1743" s="74">
        <v>36943</v>
      </c>
      <c r="F1743" s="55" t="s">
        <v>344</v>
      </c>
      <c r="G1743" s="55" t="s">
        <v>360</v>
      </c>
      <c r="H1743" s="55" t="s">
        <v>360</v>
      </c>
      <c r="I1743" s="55" t="s">
        <v>360</v>
      </c>
      <c r="J1743" s="55" t="s">
        <v>360</v>
      </c>
      <c r="K1743" s="55" t="s">
        <v>360</v>
      </c>
      <c r="L1743" s="55" t="s">
        <v>360</v>
      </c>
      <c r="M1743" s="55" t="s">
        <v>378</v>
      </c>
      <c r="N1743" s="55" t="s">
        <v>134</v>
      </c>
      <c r="O1743" s="55" t="s">
        <v>158</v>
      </c>
      <c r="P1743" s="55" t="s">
        <v>480</v>
      </c>
      <c r="Q1743" s="55" t="s">
        <v>350</v>
      </c>
      <c r="R1743" s="85">
        <v>4</v>
      </c>
      <c r="S1743" s="55">
        <v>0</v>
      </c>
      <c r="T1743" s="74" t="s">
        <v>442</v>
      </c>
      <c r="U1743" s="74" t="s">
        <v>351</v>
      </c>
      <c r="V1743" s="74">
        <v>44446</v>
      </c>
      <c r="W1743" s="74">
        <v>44480</v>
      </c>
      <c r="X1743" s="55">
        <v>10186451</v>
      </c>
      <c r="Y1743" s="55" t="s">
        <v>140</v>
      </c>
      <c r="AB1743" s="74" t="s">
        <v>140</v>
      </c>
      <c r="AC1743" s="55" t="s">
        <v>140</v>
      </c>
      <c r="AL1743" s="74"/>
      <c r="AM1743" s="74"/>
    </row>
    <row r="1744" spans="1:50" ht="13" x14ac:dyDescent="0.15">
      <c r="A1744" s="55" t="str">
        <f>HYPERLINK("http://reports.ofsted.gov.uk/inspection-reports/find-inspection-report/provider/CARE/SC001038","Ofsted Social Care Provider Webpage")</f>
        <v>Ofsted Social Care Provider Webpage</v>
      </c>
      <c r="B1744" s="55" t="s">
        <v>2370</v>
      </c>
      <c r="C1744" s="55">
        <v>107589</v>
      </c>
      <c r="D1744" s="55" t="s">
        <v>413</v>
      </c>
      <c r="E1744" s="74">
        <v>37299</v>
      </c>
      <c r="F1744" s="55" t="s">
        <v>344</v>
      </c>
      <c r="G1744" s="55" t="s">
        <v>2371</v>
      </c>
      <c r="H1744" s="55" t="s">
        <v>2371</v>
      </c>
      <c r="I1744" s="55" t="s">
        <v>2372</v>
      </c>
      <c r="J1744" s="55" t="s">
        <v>2373</v>
      </c>
      <c r="K1744" s="55" t="s">
        <v>2374</v>
      </c>
      <c r="L1744" s="55" t="s">
        <v>2375</v>
      </c>
      <c r="M1744" s="55" t="s">
        <v>378</v>
      </c>
      <c r="N1744" s="55" t="s">
        <v>134</v>
      </c>
      <c r="O1744" s="55" t="s">
        <v>158</v>
      </c>
      <c r="P1744" s="55" t="s">
        <v>912</v>
      </c>
      <c r="Q1744" s="55" t="s">
        <v>362</v>
      </c>
      <c r="R1744" s="85">
        <v>80</v>
      </c>
      <c r="S1744" s="55">
        <v>0</v>
      </c>
      <c r="T1744" s="74" t="s">
        <v>2376</v>
      </c>
      <c r="U1744" s="74" t="s">
        <v>351</v>
      </c>
      <c r="V1744" s="74">
        <v>44593</v>
      </c>
      <c r="W1744" s="74">
        <v>44644</v>
      </c>
      <c r="X1744" s="55">
        <v>10183467</v>
      </c>
      <c r="Y1744" s="55" t="s">
        <v>140</v>
      </c>
      <c r="AB1744" s="74" t="s">
        <v>140</v>
      </c>
      <c r="AC1744" s="55" t="s">
        <v>140</v>
      </c>
      <c r="AL1744" s="74"/>
      <c r="AM1744" s="74"/>
    </row>
    <row r="1745" spans="1:50" ht="13" x14ac:dyDescent="0.15">
      <c r="A1745" s="55" t="str">
        <f>HYPERLINK("http://reports.ofsted.gov.uk/inspection-reports/find-inspection-report/provider/CARE/SC001531","Ofsted Social Care Provider Webpage")</f>
        <v>Ofsted Social Care Provider Webpage</v>
      </c>
      <c r="B1745" s="55" t="s">
        <v>2378</v>
      </c>
      <c r="D1745" s="55" t="s">
        <v>373</v>
      </c>
      <c r="E1745" s="74">
        <v>37347</v>
      </c>
      <c r="F1745" s="55" t="s">
        <v>344</v>
      </c>
      <c r="G1745" s="55" t="s">
        <v>360</v>
      </c>
      <c r="H1745" s="55" t="s">
        <v>360</v>
      </c>
      <c r="I1745" s="55" t="s">
        <v>360</v>
      </c>
      <c r="J1745" s="55" t="s">
        <v>360</v>
      </c>
      <c r="K1745" s="55" t="s">
        <v>360</v>
      </c>
      <c r="L1745" s="55" t="s">
        <v>360</v>
      </c>
      <c r="M1745" s="55" t="s">
        <v>378</v>
      </c>
      <c r="N1745" s="55" t="s">
        <v>134</v>
      </c>
      <c r="O1745" s="55" t="s">
        <v>210</v>
      </c>
      <c r="P1745" s="55" t="s">
        <v>624</v>
      </c>
      <c r="Q1745" s="55" t="s">
        <v>362</v>
      </c>
      <c r="R1745" s="85">
        <v>7</v>
      </c>
      <c r="S1745" s="55">
        <v>0</v>
      </c>
      <c r="T1745" s="74" t="s">
        <v>2379</v>
      </c>
      <c r="U1745" s="74" t="s">
        <v>351</v>
      </c>
      <c r="V1745" s="74">
        <v>44494</v>
      </c>
      <c r="W1745" s="74">
        <v>44532</v>
      </c>
      <c r="X1745" s="55">
        <v>10185915</v>
      </c>
      <c r="Y1745" s="55" t="s">
        <v>140</v>
      </c>
      <c r="AB1745" s="74" t="s">
        <v>132</v>
      </c>
      <c r="AC1745" s="55" t="s">
        <v>132</v>
      </c>
      <c r="AL1745" s="74"/>
      <c r="AM1745" s="74"/>
    </row>
    <row r="1746" spans="1:50" ht="13" x14ac:dyDescent="0.15">
      <c r="A1746" s="55" t="str">
        <f>HYPERLINK("http://reports.ofsted.gov.uk/inspection-reports/find-inspection-report/provider/CARE/SC001831","Ofsted Social Care Provider Webpage")</f>
        <v>Ofsted Social Care Provider Webpage</v>
      </c>
      <c r="B1746" s="55" t="s">
        <v>2387</v>
      </c>
      <c r="C1746" s="55">
        <v>120330</v>
      </c>
      <c r="D1746" s="55" t="s">
        <v>413</v>
      </c>
      <c r="E1746" s="74">
        <v>37299</v>
      </c>
      <c r="F1746" s="55" t="s">
        <v>344</v>
      </c>
      <c r="G1746" s="55" t="s">
        <v>2388</v>
      </c>
      <c r="H1746" s="55" t="s">
        <v>2389</v>
      </c>
      <c r="I1746" s="55" t="s">
        <v>2390</v>
      </c>
      <c r="J1746" s="55" t="s">
        <v>2391</v>
      </c>
      <c r="K1746" s="55" t="s">
        <v>212</v>
      </c>
      <c r="L1746" s="55" t="s">
        <v>2392</v>
      </c>
      <c r="M1746" s="55" t="s">
        <v>172</v>
      </c>
      <c r="N1746" s="55" t="s">
        <v>172</v>
      </c>
      <c r="O1746" s="55" t="s">
        <v>212</v>
      </c>
      <c r="P1746" s="55" t="s">
        <v>798</v>
      </c>
      <c r="Q1746" s="55" t="s">
        <v>350</v>
      </c>
      <c r="R1746" s="85">
        <v>14</v>
      </c>
      <c r="S1746" s="55">
        <v>0</v>
      </c>
      <c r="T1746" s="74" t="s">
        <v>881</v>
      </c>
      <c r="U1746" s="74" t="s">
        <v>351</v>
      </c>
      <c r="V1746" s="74">
        <v>44383</v>
      </c>
      <c r="W1746" s="74">
        <v>44449</v>
      </c>
      <c r="X1746" s="55">
        <v>10183488</v>
      </c>
      <c r="Y1746" s="55" t="s">
        <v>140</v>
      </c>
      <c r="AB1746" s="74" t="s">
        <v>140</v>
      </c>
      <c r="AC1746" s="55" t="s">
        <v>140</v>
      </c>
      <c r="AL1746" s="74"/>
      <c r="AM1746" s="74"/>
    </row>
    <row r="1747" spans="1:50" ht="13" x14ac:dyDescent="0.15">
      <c r="A1747" s="55" t="str">
        <f>HYPERLINK("http://reports.ofsted.gov.uk/inspection-reports/find-inspection-report/provider/CARE/SC002015","Ofsted Social Care Provider Webpage")</f>
        <v>Ofsted Social Care Provider Webpage</v>
      </c>
      <c r="B1747" s="55" t="s">
        <v>2393</v>
      </c>
      <c r="C1747" s="55">
        <v>113044</v>
      </c>
      <c r="D1747" s="55" t="s">
        <v>413</v>
      </c>
      <c r="E1747" s="74">
        <v>37299</v>
      </c>
      <c r="F1747" s="55" t="s">
        <v>344</v>
      </c>
      <c r="G1747" s="55" t="s">
        <v>2394</v>
      </c>
      <c r="H1747" s="55" t="s">
        <v>2395</v>
      </c>
      <c r="I1747" s="55" t="s">
        <v>2396</v>
      </c>
      <c r="J1747" s="55" t="s">
        <v>2397</v>
      </c>
      <c r="L1747" s="55" t="s">
        <v>2398</v>
      </c>
      <c r="M1747" s="55" t="s">
        <v>172</v>
      </c>
      <c r="N1747" s="55" t="s">
        <v>172</v>
      </c>
      <c r="O1747" s="55" t="s">
        <v>171</v>
      </c>
      <c r="P1747" s="55" t="s">
        <v>895</v>
      </c>
      <c r="Q1747" s="55" t="s">
        <v>362</v>
      </c>
      <c r="R1747" s="85">
        <v>63</v>
      </c>
      <c r="S1747" s="55">
        <v>0</v>
      </c>
      <c r="T1747" s="74" t="s">
        <v>2399</v>
      </c>
      <c r="U1747" s="74" t="s">
        <v>351</v>
      </c>
      <c r="V1747" s="74">
        <v>44376</v>
      </c>
      <c r="W1747" s="74">
        <v>44403</v>
      </c>
      <c r="X1747" s="55">
        <v>10183465</v>
      </c>
      <c r="Y1747" s="55" t="s">
        <v>140</v>
      </c>
      <c r="AB1747" s="74" t="s">
        <v>140</v>
      </c>
      <c r="AC1747" s="55" t="s">
        <v>140</v>
      </c>
      <c r="AL1747" s="74"/>
      <c r="AM1747" s="74"/>
    </row>
    <row r="1748" spans="1:50" ht="13" x14ac:dyDescent="0.15">
      <c r="A1748" s="55" t="str">
        <f>HYPERLINK("http://reports.ofsted.gov.uk/inspection-reports/find-inspection-report/provider/CARE/SC002270","Ofsted Social Care Provider Webpage")</f>
        <v>Ofsted Social Care Provider Webpage</v>
      </c>
      <c r="B1748" s="55" t="s">
        <v>2400</v>
      </c>
      <c r="C1748" s="55">
        <v>131119</v>
      </c>
      <c r="D1748" s="55" t="s">
        <v>398</v>
      </c>
      <c r="E1748" s="74">
        <v>37299</v>
      </c>
      <c r="F1748" s="55" t="s">
        <v>344</v>
      </c>
      <c r="G1748" s="55" t="s">
        <v>2401</v>
      </c>
      <c r="H1748" s="55" t="s">
        <v>2402</v>
      </c>
      <c r="I1748" s="55" t="s">
        <v>2403</v>
      </c>
      <c r="J1748" s="55" t="s">
        <v>2404</v>
      </c>
      <c r="L1748" s="55" t="s">
        <v>2405</v>
      </c>
      <c r="M1748" s="55" t="s">
        <v>172</v>
      </c>
      <c r="N1748" s="55" t="s">
        <v>172</v>
      </c>
      <c r="O1748" s="55" t="s">
        <v>234</v>
      </c>
      <c r="P1748" s="55" t="s">
        <v>965</v>
      </c>
      <c r="Q1748" s="55" t="s">
        <v>362</v>
      </c>
      <c r="R1748" s="85">
        <v>175</v>
      </c>
      <c r="S1748" s="55">
        <v>0</v>
      </c>
      <c r="T1748" s="74" t="s">
        <v>2406</v>
      </c>
      <c r="U1748" s="74" t="s">
        <v>351</v>
      </c>
      <c r="V1748" s="74">
        <v>44341</v>
      </c>
      <c r="W1748" s="74">
        <v>44382</v>
      </c>
      <c r="X1748" s="55">
        <v>10183251</v>
      </c>
      <c r="Y1748" s="55" t="s">
        <v>132</v>
      </c>
      <c r="AB1748" s="74" t="s">
        <v>132</v>
      </c>
      <c r="AC1748" s="55" t="s">
        <v>132</v>
      </c>
      <c r="AL1748" s="74"/>
      <c r="AM1748" s="74"/>
      <c r="AW1748" s="74"/>
      <c r="AX1748" s="74"/>
    </row>
    <row r="1749" spans="1:50" ht="13" x14ac:dyDescent="0.15">
      <c r="A1749" s="55" t="str">
        <f>HYPERLINK("http://reports.ofsted.gov.uk/inspection-reports/find-inspection-report/provider/CARE/SC002930","Ofsted Social Care Provider Webpage")</f>
        <v>Ofsted Social Care Provider Webpage</v>
      </c>
      <c r="B1749" s="55" t="s">
        <v>2407</v>
      </c>
      <c r="D1749" s="55" t="s">
        <v>373</v>
      </c>
      <c r="E1749" s="74">
        <v>37204</v>
      </c>
      <c r="F1749" s="55" t="s">
        <v>344</v>
      </c>
      <c r="G1749" s="55" t="s">
        <v>360</v>
      </c>
      <c r="H1749" s="55" t="s">
        <v>360</v>
      </c>
      <c r="I1749" s="55" t="s">
        <v>360</v>
      </c>
      <c r="J1749" s="55" t="s">
        <v>360</v>
      </c>
      <c r="K1749" s="55" t="s">
        <v>360</v>
      </c>
      <c r="L1749" s="55" t="s">
        <v>360</v>
      </c>
      <c r="M1749" s="55" t="s">
        <v>378</v>
      </c>
      <c r="N1749" s="55" t="s">
        <v>134</v>
      </c>
      <c r="O1749" s="55" t="s">
        <v>251</v>
      </c>
      <c r="P1749" s="55" t="s">
        <v>2408</v>
      </c>
      <c r="Q1749" s="55" t="s">
        <v>350</v>
      </c>
      <c r="R1749" s="85">
        <v>8</v>
      </c>
      <c r="S1749" s="55">
        <v>0</v>
      </c>
      <c r="T1749" s="74" t="s">
        <v>1259</v>
      </c>
      <c r="U1749" s="74" t="s">
        <v>351</v>
      </c>
      <c r="V1749" s="74">
        <v>44441</v>
      </c>
      <c r="W1749" s="74">
        <v>44473</v>
      </c>
      <c r="X1749" s="55">
        <v>10186683</v>
      </c>
      <c r="Y1749" s="55" t="s">
        <v>132</v>
      </c>
      <c r="AB1749" s="74" t="s">
        <v>132</v>
      </c>
      <c r="AC1749" s="55" t="s">
        <v>132</v>
      </c>
      <c r="AL1749" s="74"/>
      <c r="AM1749" s="74"/>
      <c r="AW1749" s="74"/>
      <c r="AX1749" s="74"/>
    </row>
    <row r="1750" spans="1:50" ht="13" x14ac:dyDescent="0.15">
      <c r="A1750" s="55" t="str">
        <f>HYPERLINK("http://reports.ofsted.gov.uk/inspection-reports/find-inspection-report/provider/CARE/SC003792","Ofsted Social Care Provider Webpage")</f>
        <v>Ofsted Social Care Provider Webpage</v>
      </c>
      <c r="B1750" s="55" t="s">
        <v>2409</v>
      </c>
      <c r="D1750" s="55" t="s">
        <v>373</v>
      </c>
      <c r="E1750" s="74">
        <v>36391</v>
      </c>
      <c r="F1750" s="55" t="s">
        <v>344</v>
      </c>
      <c r="G1750" s="55" t="s">
        <v>360</v>
      </c>
      <c r="H1750" s="55" t="s">
        <v>360</v>
      </c>
      <c r="I1750" s="55" t="s">
        <v>360</v>
      </c>
      <c r="J1750" s="55" t="s">
        <v>360</v>
      </c>
      <c r="K1750" s="55" t="s">
        <v>360</v>
      </c>
      <c r="L1750" s="55" t="s">
        <v>360</v>
      </c>
      <c r="M1750" s="55" t="s">
        <v>136</v>
      </c>
      <c r="N1750" s="55" t="s">
        <v>136</v>
      </c>
      <c r="O1750" s="55" t="s">
        <v>174</v>
      </c>
      <c r="P1750" s="55" t="s">
        <v>1975</v>
      </c>
      <c r="Q1750" s="55" t="s">
        <v>362</v>
      </c>
      <c r="R1750" s="85">
        <v>10</v>
      </c>
      <c r="S1750" s="55">
        <v>0</v>
      </c>
      <c r="T1750" s="74" t="s">
        <v>2410</v>
      </c>
      <c r="U1750" s="74" t="s">
        <v>351</v>
      </c>
      <c r="V1750" s="74">
        <v>44363</v>
      </c>
      <c r="W1750" s="74">
        <v>44403</v>
      </c>
      <c r="X1750" s="55">
        <v>10186828</v>
      </c>
      <c r="Y1750" s="55" t="s">
        <v>132</v>
      </c>
      <c r="AB1750" s="74" t="s">
        <v>130</v>
      </c>
      <c r="AC1750" s="55" t="s">
        <v>132</v>
      </c>
      <c r="AL1750" s="74"/>
      <c r="AM1750" s="74"/>
      <c r="AW1750" s="74"/>
      <c r="AX1750" s="74"/>
    </row>
    <row r="1751" spans="1:50" ht="13" x14ac:dyDescent="0.15">
      <c r="A1751" s="55" t="str">
        <f>HYPERLINK("http://reports.ofsted.gov.uk/inspection-reports/find-inspection-report/provider/CARE/SC003884","Ofsted Social Care Provider Webpage")</f>
        <v>Ofsted Social Care Provider Webpage</v>
      </c>
      <c r="B1751" s="55" t="s">
        <v>2411</v>
      </c>
      <c r="D1751" s="55" t="s">
        <v>373</v>
      </c>
      <c r="E1751" s="74">
        <v>37183</v>
      </c>
      <c r="F1751" s="55" t="s">
        <v>344</v>
      </c>
      <c r="G1751" s="55" t="s">
        <v>360</v>
      </c>
      <c r="H1751" s="55" t="s">
        <v>360</v>
      </c>
      <c r="I1751" s="55" t="s">
        <v>360</v>
      </c>
      <c r="J1751" s="55" t="s">
        <v>360</v>
      </c>
      <c r="K1751" s="55" t="s">
        <v>360</v>
      </c>
      <c r="L1751" s="55" t="s">
        <v>360</v>
      </c>
      <c r="M1751" s="55" t="s">
        <v>136</v>
      </c>
      <c r="N1751" s="55" t="s">
        <v>136</v>
      </c>
      <c r="O1751" s="55" t="s">
        <v>174</v>
      </c>
      <c r="P1751" s="55" t="s">
        <v>651</v>
      </c>
      <c r="Q1751" s="55" t="s">
        <v>350</v>
      </c>
      <c r="R1751" s="85">
        <v>1</v>
      </c>
      <c r="S1751" s="55">
        <v>0</v>
      </c>
      <c r="T1751" s="74" t="s">
        <v>652</v>
      </c>
      <c r="U1751" s="74" t="s">
        <v>351</v>
      </c>
      <c r="V1751" s="74">
        <v>44426</v>
      </c>
      <c r="W1751" s="74">
        <v>44456</v>
      </c>
      <c r="X1751" s="55">
        <v>10186608</v>
      </c>
      <c r="Y1751" s="55" t="s">
        <v>132</v>
      </c>
      <c r="AB1751" s="74" t="s">
        <v>132</v>
      </c>
      <c r="AC1751" s="55" t="s">
        <v>132</v>
      </c>
      <c r="AL1751" s="74"/>
      <c r="AM1751" s="74"/>
      <c r="AW1751" s="74"/>
      <c r="AX1751" s="74"/>
    </row>
    <row r="1752" spans="1:50" ht="13" x14ac:dyDescent="0.15">
      <c r="A1752" s="55" t="str">
        <f>HYPERLINK("http://reports.ofsted.gov.uk/inspection-reports/find-inspection-report/provider/CARE/SC003895","Ofsted Social Care Provider Webpage")</f>
        <v>Ofsted Social Care Provider Webpage</v>
      </c>
      <c r="B1752" s="55" t="s">
        <v>2412</v>
      </c>
      <c r="D1752" s="55" t="s">
        <v>413</v>
      </c>
      <c r="E1752" s="74">
        <v>37300</v>
      </c>
      <c r="F1752" s="55" t="s">
        <v>344</v>
      </c>
      <c r="G1752" s="55" t="s">
        <v>2413</v>
      </c>
      <c r="H1752" s="55" t="s">
        <v>2413</v>
      </c>
      <c r="I1752" s="55" t="s">
        <v>2414</v>
      </c>
      <c r="J1752" s="55" t="s">
        <v>2415</v>
      </c>
      <c r="K1752" s="55" t="s">
        <v>174</v>
      </c>
      <c r="L1752" s="55" t="s">
        <v>2416</v>
      </c>
      <c r="M1752" s="55" t="s">
        <v>136</v>
      </c>
      <c r="N1752" s="55" t="s">
        <v>136</v>
      </c>
      <c r="O1752" s="55" t="s">
        <v>174</v>
      </c>
      <c r="P1752" s="55" t="s">
        <v>651</v>
      </c>
      <c r="Q1752" s="55" t="s">
        <v>380</v>
      </c>
      <c r="R1752" s="85">
        <v>35</v>
      </c>
      <c r="S1752" s="55">
        <v>0</v>
      </c>
      <c r="T1752" s="74" t="s">
        <v>1525</v>
      </c>
      <c r="U1752" s="74" t="s">
        <v>351</v>
      </c>
      <c r="V1752" s="74">
        <v>44516</v>
      </c>
      <c r="W1752" s="74">
        <v>44575</v>
      </c>
      <c r="X1752" s="55">
        <v>10183575</v>
      </c>
      <c r="Y1752" s="55" t="s">
        <v>132</v>
      </c>
      <c r="AB1752" s="74" t="s">
        <v>132</v>
      </c>
      <c r="AC1752" s="55" t="s">
        <v>132</v>
      </c>
      <c r="AL1752" s="74"/>
      <c r="AM1752" s="74"/>
    </row>
    <row r="1753" spans="1:50" ht="13" x14ac:dyDescent="0.15">
      <c r="A1753" s="55" t="str">
        <f>HYPERLINK("http://reports.ofsted.gov.uk/inspection-reports/find-inspection-report/provider/CARE/SC004085","Ofsted Social Care Provider Webpage")</f>
        <v>Ofsted Social Care Provider Webpage</v>
      </c>
      <c r="B1753" s="55" t="s">
        <v>2417</v>
      </c>
      <c r="D1753" s="55" t="s">
        <v>373</v>
      </c>
      <c r="E1753" s="74">
        <v>34946</v>
      </c>
      <c r="F1753" s="55" t="s">
        <v>344</v>
      </c>
      <c r="G1753" s="55" t="s">
        <v>360</v>
      </c>
      <c r="H1753" s="55" t="s">
        <v>360</v>
      </c>
      <c r="I1753" s="55" t="s">
        <v>360</v>
      </c>
      <c r="J1753" s="55" t="s">
        <v>360</v>
      </c>
      <c r="K1753" s="55" t="s">
        <v>360</v>
      </c>
      <c r="L1753" s="55" t="s">
        <v>360</v>
      </c>
      <c r="M1753" s="55" t="s">
        <v>136</v>
      </c>
      <c r="N1753" s="55" t="s">
        <v>136</v>
      </c>
      <c r="O1753" s="55" t="s">
        <v>705</v>
      </c>
      <c r="P1753" s="55" t="s">
        <v>706</v>
      </c>
      <c r="Q1753" s="55" t="s">
        <v>362</v>
      </c>
      <c r="R1753" s="85">
        <v>4</v>
      </c>
      <c r="S1753" s="55" t="s">
        <v>332</v>
      </c>
      <c r="T1753" s="74" t="s">
        <v>2418</v>
      </c>
      <c r="U1753" s="74" t="s">
        <v>351</v>
      </c>
      <c r="V1753" s="74">
        <v>44550</v>
      </c>
      <c r="W1753" s="74">
        <v>44593</v>
      </c>
      <c r="X1753" s="55">
        <v>10186238</v>
      </c>
      <c r="Y1753" s="55" t="s">
        <v>132</v>
      </c>
      <c r="AB1753" s="74" t="s">
        <v>130</v>
      </c>
      <c r="AC1753" s="55" t="s">
        <v>132</v>
      </c>
      <c r="AL1753" s="74"/>
      <c r="AM1753" s="74"/>
      <c r="AW1753" s="74"/>
      <c r="AX1753" s="74"/>
    </row>
    <row r="1754" spans="1:50" ht="13" x14ac:dyDescent="0.15">
      <c r="A1754" s="55" t="str">
        <f>HYPERLINK("http://reports.ofsted.gov.uk/inspection-reports/find-inspection-report/provider/CARE/SC004429","Ofsted Social Care Provider Webpage")</f>
        <v>Ofsted Social Care Provider Webpage</v>
      </c>
      <c r="B1754" s="55" t="s">
        <v>2419</v>
      </c>
      <c r="D1754" s="55" t="s">
        <v>373</v>
      </c>
      <c r="E1754" s="74">
        <v>34365</v>
      </c>
      <c r="F1754" s="55" t="s">
        <v>344</v>
      </c>
      <c r="G1754" s="55" t="s">
        <v>360</v>
      </c>
      <c r="H1754" s="55" t="s">
        <v>360</v>
      </c>
      <c r="I1754" s="55" t="s">
        <v>360</v>
      </c>
      <c r="J1754" s="55" t="s">
        <v>360</v>
      </c>
      <c r="K1754" s="55" t="s">
        <v>360</v>
      </c>
      <c r="L1754" s="55" t="s">
        <v>360</v>
      </c>
      <c r="M1754" s="55" t="s">
        <v>142</v>
      </c>
      <c r="N1754" s="55" t="s">
        <v>142</v>
      </c>
      <c r="O1754" s="55" t="s">
        <v>282</v>
      </c>
      <c r="P1754" s="55" t="s">
        <v>922</v>
      </c>
      <c r="Q1754" s="55" t="s">
        <v>362</v>
      </c>
      <c r="R1754" s="85">
        <v>5</v>
      </c>
      <c r="S1754" s="55" t="s">
        <v>332</v>
      </c>
      <c r="T1754" s="74" t="s">
        <v>367</v>
      </c>
      <c r="U1754" s="74" t="s">
        <v>351</v>
      </c>
      <c r="V1754" s="74">
        <v>44481</v>
      </c>
      <c r="W1754" s="74">
        <v>44509</v>
      </c>
      <c r="X1754" s="55">
        <v>10187468</v>
      </c>
      <c r="Y1754" s="55" t="s">
        <v>132</v>
      </c>
      <c r="AB1754" s="74" t="s">
        <v>132</v>
      </c>
      <c r="AC1754" s="55" t="s">
        <v>132</v>
      </c>
      <c r="AL1754" s="74"/>
      <c r="AM1754" s="74"/>
      <c r="AW1754" s="74"/>
      <c r="AX1754" s="74"/>
    </row>
    <row r="1755" spans="1:50" ht="13" x14ac:dyDescent="0.15">
      <c r="A1755" s="55" t="str">
        <f>HYPERLINK("http://reports.ofsted.gov.uk/inspection-reports/find-inspection-report/provider/CARE/SC005040","Ofsted Social Care Provider Webpage")</f>
        <v>Ofsted Social Care Provider Webpage</v>
      </c>
      <c r="B1755" s="55" t="s">
        <v>2420</v>
      </c>
      <c r="D1755" s="55" t="s">
        <v>373</v>
      </c>
      <c r="E1755" s="74">
        <v>36552</v>
      </c>
      <c r="F1755" s="55" t="s">
        <v>344</v>
      </c>
      <c r="G1755" s="55" t="s">
        <v>360</v>
      </c>
      <c r="H1755" s="55" t="s">
        <v>360</v>
      </c>
      <c r="I1755" s="55" t="s">
        <v>360</v>
      </c>
      <c r="J1755" s="55" t="s">
        <v>360</v>
      </c>
      <c r="K1755" s="55" t="s">
        <v>360</v>
      </c>
      <c r="L1755" s="55" t="s">
        <v>360</v>
      </c>
      <c r="M1755" s="55" t="s">
        <v>142</v>
      </c>
      <c r="N1755" s="55" t="s">
        <v>142</v>
      </c>
      <c r="O1755" s="55" t="s">
        <v>262</v>
      </c>
      <c r="P1755" s="55" t="s">
        <v>618</v>
      </c>
      <c r="Q1755" s="55" t="s">
        <v>350</v>
      </c>
      <c r="R1755" s="85">
        <v>4</v>
      </c>
      <c r="S1755" s="55">
        <v>0</v>
      </c>
      <c r="T1755" s="74" t="s">
        <v>1505</v>
      </c>
      <c r="U1755" s="74" t="s">
        <v>351</v>
      </c>
      <c r="V1755" s="74">
        <v>44447</v>
      </c>
      <c r="W1755" s="74">
        <v>44491</v>
      </c>
      <c r="X1755" s="55">
        <v>10187239</v>
      </c>
      <c r="Y1755" s="55" t="s">
        <v>132</v>
      </c>
      <c r="AB1755" s="74" t="s">
        <v>132</v>
      </c>
      <c r="AC1755" s="55" t="s">
        <v>132</v>
      </c>
      <c r="AL1755" s="74"/>
      <c r="AM1755" s="74"/>
      <c r="AW1755" s="74"/>
      <c r="AX1755" s="74"/>
    </row>
    <row r="1756" spans="1:50" ht="13" x14ac:dyDescent="0.15">
      <c r="A1756" s="55" t="str">
        <f>HYPERLINK("http://reports.ofsted.gov.uk/inspection-reports/find-inspection-report/provider/CARE/SC005041","Ofsted Social Care Provider Webpage")</f>
        <v>Ofsted Social Care Provider Webpage</v>
      </c>
      <c r="B1756" s="55" t="s">
        <v>2421</v>
      </c>
      <c r="D1756" s="55" t="s">
        <v>373</v>
      </c>
      <c r="E1756" s="74">
        <v>35478</v>
      </c>
      <c r="F1756" s="55" t="s">
        <v>344</v>
      </c>
      <c r="G1756" s="55" t="s">
        <v>360</v>
      </c>
      <c r="H1756" s="55" t="s">
        <v>360</v>
      </c>
      <c r="I1756" s="55" t="s">
        <v>360</v>
      </c>
      <c r="J1756" s="55" t="s">
        <v>360</v>
      </c>
      <c r="K1756" s="55" t="s">
        <v>360</v>
      </c>
      <c r="L1756" s="55" t="s">
        <v>360</v>
      </c>
      <c r="M1756" s="55" t="s">
        <v>142</v>
      </c>
      <c r="N1756" s="55" t="s">
        <v>142</v>
      </c>
      <c r="O1756" s="55" t="s">
        <v>262</v>
      </c>
      <c r="P1756" s="55" t="s">
        <v>488</v>
      </c>
      <c r="Q1756" s="55" t="s">
        <v>350</v>
      </c>
      <c r="R1756" s="85">
        <v>10</v>
      </c>
      <c r="S1756" s="55">
        <v>0</v>
      </c>
      <c r="T1756" s="74" t="s">
        <v>2422</v>
      </c>
      <c r="U1756" s="74" t="s">
        <v>351</v>
      </c>
      <c r="V1756" s="74">
        <v>44543</v>
      </c>
      <c r="W1756" s="74">
        <v>44602</v>
      </c>
      <c r="X1756" s="55">
        <v>10185564</v>
      </c>
      <c r="Y1756" s="55" t="s">
        <v>132</v>
      </c>
      <c r="AB1756" s="74" t="s">
        <v>132</v>
      </c>
      <c r="AC1756" s="55" t="s">
        <v>132</v>
      </c>
      <c r="AL1756" s="74"/>
      <c r="AM1756" s="74"/>
      <c r="AW1756" s="74"/>
      <c r="AX1756" s="74"/>
    </row>
    <row r="1757" spans="1:50" ht="13" x14ac:dyDescent="0.15">
      <c r="A1757" s="55" t="str">
        <f>HYPERLINK("http://reports.ofsted.gov.uk/inspection-reports/find-inspection-report/provider/CARE/SC005042","Ofsted Social Care Provider Webpage")</f>
        <v>Ofsted Social Care Provider Webpage</v>
      </c>
      <c r="B1757" s="55" t="s">
        <v>2423</v>
      </c>
      <c r="D1757" s="55" t="s">
        <v>479</v>
      </c>
      <c r="E1757" s="74">
        <v>35863</v>
      </c>
      <c r="F1757" s="55" t="s">
        <v>344</v>
      </c>
      <c r="G1757" s="55" t="s">
        <v>360</v>
      </c>
      <c r="H1757" s="55" t="s">
        <v>360</v>
      </c>
      <c r="I1757" s="55" t="s">
        <v>360</v>
      </c>
      <c r="J1757" s="55" t="s">
        <v>360</v>
      </c>
      <c r="K1757" s="55" t="s">
        <v>360</v>
      </c>
      <c r="L1757" s="55" t="s">
        <v>360</v>
      </c>
      <c r="M1757" s="55" t="s">
        <v>142</v>
      </c>
      <c r="N1757" s="55" t="s">
        <v>142</v>
      </c>
      <c r="O1757" s="55" t="s">
        <v>262</v>
      </c>
      <c r="P1757" s="55" t="s">
        <v>618</v>
      </c>
      <c r="Q1757" s="55" t="s">
        <v>350</v>
      </c>
      <c r="R1757" s="85">
        <v>12</v>
      </c>
      <c r="S1757" s="55">
        <v>0</v>
      </c>
      <c r="T1757" s="74" t="s">
        <v>1505</v>
      </c>
      <c r="U1757" s="74" t="s">
        <v>351</v>
      </c>
      <c r="V1757" s="74">
        <v>44600</v>
      </c>
      <c r="W1757" s="74">
        <v>44651</v>
      </c>
      <c r="X1757" s="55">
        <v>10186906</v>
      </c>
      <c r="Y1757" s="55" t="s">
        <v>132</v>
      </c>
      <c r="AB1757" s="74" t="s">
        <v>132</v>
      </c>
      <c r="AC1757" s="55" t="s">
        <v>132</v>
      </c>
      <c r="AL1757" s="74"/>
      <c r="AM1757" s="74"/>
      <c r="AW1757" s="74"/>
      <c r="AX1757" s="74"/>
    </row>
    <row r="1758" spans="1:50" ht="13" x14ac:dyDescent="0.15">
      <c r="A1758" s="55" t="str">
        <f>HYPERLINK("http://reports.ofsted.gov.uk/inspection-reports/find-inspection-report/provider/CARE/SC005045","Ofsted Social Care Provider Webpage")</f>
        <v>Ofsted Social Care Provider Webpage</v>
      </c>
      <c r="B1758" s="55" t="s">
        <v>2424</v>
      </c>
      <c r="D1758" s="55" t="s">
        <v>373</v>
      </c>
      <c r="E1758" s="74">
        <v>36552</v>
      </c>
      <c r="F1758" s="55" t="s">
        <v>344</v>
      </c>
      <c r="G1758" s="55" t="s">
        <v>360</v>
      </c>
      <c r="H1758" s="55" t="s">
        <v>360</v>
      </c>
      <c r="I1758" s="55" t="s">
        <v>360</v>
      </c>
      <c r="J1758" s="55" t="s">
        <v>360</v>
      </c>
      <c r="K1758" s="55" t="s">
        <v>360</v>
      </c>
      <c r="L1758" s="55" t="s">
        <v>360</v>
      </c>
      <c r="M1758" s="55" t="s">
        <v>142</v>
      </c>
      <c r="N1758" s="55" t="s">
        <v>142</v>
      </c>
      <c r="O1758" s="55" t="s">
        <v>262</v>
      </c>
      <c r="P1758" s="55" t="s">
        <v>618</v>
      </c>
      <c r="Q1758" s="55" t="s">
        <v>350</v>
      </c>
      <c r="R1758" s="85">
        <v>3</v>
      </c>
      <c r="S1758" s="55">
        <v>0</v>
      </c>
      <c r="T1758" s="74" t="s">
        <v>1505</v>
      </c>
      <c r="U1758" s="74" t="s">
        <v>351</v>
      </c>
      <c r="V1758" s="74">
        <v>44515</v>
      </c>
      <c r="W1758" s="74">
        <v>44560</v>
      </c>
      <c r="X1758" s="55">
        <v>10187171</v>
      </c>
      <c r="Y1758" s="55" t="s">
        <v>130</v>
      </c>
      <c r="AB1758" s="74" t="s">
        <v>130</v>
      </c>
      <c r="AC1758" s="55" t="s">
        <v>130</v>
      </c>
      <c r="AL1758" s="74"/>
      <c r="AM1758" s="74"/>
    </row>
    <row r="1759" spans="1:50" ht="13" x14ac:dyDescent="0.15">
      <c r="A1759" s="55" t="str">
        <f>HYPERLINK("http://reports.ofsted.gov.uk/inspection-reports/find-inspection-report/provider/CARE/SC005048","Ofsted Social Care Provider Webpage")</f>
        <v>Ofsted Social Care Provider Webpage</v>
      </c>
      <c r="B1759" s="55" t="s">
        <v>2425</v>
      </c>
      <c r="D1759" s="55" t="s">
        <v>479</v>
      </c>
      <c r="E1759" s="74">
        <v>35200</v>
      </c>
      <c r="F1759" s="55" t="s">
        <v>344</v>
      </c>
      <c r="G1759" s="55" t="s">
        <v>360</v>
      </c>
      <c r="H1759" s="55" t="s">
        <v>360</v>
      </c>
      <c r="I1759" s="55" t="s">
        <v>360</v>
      </c>
      <c r="J1759" s="55" t="s">
        <v>360</v>
      </c>
      <c r="K1759" s="55" t="s">
        <v>360</v>
      </c>
      <c r="L1759" s="55" t="s">
        <v>360</v>
      </c>
      <c r="M1759" s="55" t="s">
        <v>142</v>
      </c>
      <c r="N1759" s="55" t="s">
        <v>142</v>
      </c>
      <c r="O1759" s="55" t="s">
        <v>262</v>
      </c>
      <c r="P1759" s="55" t="s">
        <v>618</v>
      </c>
      <c r="Q1759" s="55" t="s">
        <v>350</v>
      </c>
      <c r="R1759" s="85">
        <v>8</v>
      </c>
      <c r="S1759" s="55">
        <v>0</v>
      </c>
      <c r="T1759" s="74" t="s">
        <v>1505</v>
      </c>
      <c r="U1759" s="74" t="s">
        <v>351</v>
      </c>
      <c r="V1759" s="74">
        <v>44446</v>
      </c>
      <c r="W1759" s="74">
        <v>44475</v>
      </c>
      <c r="X1759" s="55">
        <v>10186290</v>
      </c>
      <c r="Y1759" s="55" t="s">
        <v>132</v>
      </c>
      <c r="AB1759" s="74" t="s">
        <v>132</v>
      </c>
      <c r="AC1759" s="55" t="s">
        <v>132</v>
      </c>
      <c r="AL1759" s="74"/>
      <c r="AM1759" s="74"/>
      <c r="AW1759" s="74"/>
      <c r="AX1759" s="74"/>
    </row>
    <row r="1760" spans="1:50" ht="13" x14ac:dyDescent="0.15">
      <c r="A1760" s="55" t="str">
        <f>HYPERLINK("http://reports.ofsted.gov.uk/inspection-reports/find-inspection-report/provider/CARE/SC005050","Ofsted Social Care Provider Webpage")</f>
        <v>Ofsted Social Care Provider Webpage</v>
      </c>
      <c r="B1760" s="55" t="s">
        <v>2426</v>
      </c>
      <c r="D1760" s="55" t="s">
        <v>373</v>
      </c>
      <c r="E1760" s="74">
        <v>35200</v>
      </c>
      <c r="F1760" s="55" t="s">
        <v>344</v>
      </c>
      <c r="G1760" s="55" t="s">
        <v>360</v>
      </c>
      <c r="H1760" s="55" t="s">
        <v>360</v>
      </c>
      <c r="I1760" s="55" t="s">
        <v>360</v>
      </c>
      <c r="J1760" s="55" t="s">
        <v>360</v>
      </c>
      <c r="K1760" s="55" t="s">
        <v>360</v>
      </c>
      <c r="L1760" s="55" t="s">
        <v>360</v>
      </c>
      <c r="M1760" s="55" t="s">
        <v>142</v>
      </c>
      <c r="N1760" s="55" t="s">
        <v>142</v>
      </c>
      <c r="O1760" s="55" t="s">
        <v>262</v>
      </c>
      <c r="P1760" s="55" t="s">
        <v>618</v>
      </c>
      <c r="Q1760" s="55" t="s">
        <v>350</v>
      </c>
      <c r="R1760" s="85">
        <v>5</v>
      </c>
      <c r="S1760" s="55">
        <v>0</v>
      </c>
      <c r="T1760" s="74" t="s">
        <v>1505</v>
      </c>
      <c r="U1760" s="74" t="s">
        <v>351</v>
      </c>
      <c r="V1760" s="74">
        <v>44404</v>
      </c>
      <c r="W1760" s="74">
        <v>44435</v>
      </c>
      <c r="X1760" s="55">
        <v>10186606</v>
      </c>
      <c r="Y1760" s="55" t="s">
        <v>132</v>
      </c>
      <c r="AB1760" s="74" t="s">
        <v>132</v>
      </c>
      <c r="AC1760" s="55" t="s">
        <v>132</v>
      </c>
      <c r="AL1760" s="74"/>
      <c r="AM1760" s="74"/>
      <c r="AW1760" s="74"/>
      <c r="AX1760" s="74"/>
    </row>
    <row r="1761" spans="1:50" ht="13" x14ac:dyDescent="0.15">
      <c r="A1761" s="55" t="str">
        <f>HYPERLINK("http://reports.ofsted.gov.uk/inspection-reports/find-inspection-report/provider/CARE/SC005204","Ofsted Social Care Provider Webpage")</f>
        <v>Ofsted Social Care Provider Webpage</v>
      </c>
      <c r="B1761" s="55" t="s">
        <v>2428</v>
      </c>
      <c r="D1761" s="55" t="s">
        <v>373</v>
      </c>
      <c r="E1761" s="74">
        <v>36749</v>
      </c>
      <c r="F1761" s="55" t="s">
        <v>344</v>
      </c>
      <c r="G1761" s="55" t="s">
        <v>360</v>
      </c>
      <c r="H1761" s="55" t="s">
        <v>360</v>
      </c>
      <c r="I1761" s="55" t="s">
        <v>360</v>
      </c>
      <c r="J1761" s="55" t="s">
        <v>360</v>
      </c>
      <c r="K1761" s="55" t="s">
        <v>360</v>
      </c>
      <c r="L1761" s="55" t="s">
        <v>360</v>
      </c>
      <c r="M1761" s="55" t="s">
        <v>144</v>
      </c>
      <c r="N1761" s="55" t="s">
        <v>144</v>
      </c>
      <c r="O1761" s="55" t="s">
        <v>188</v>
      </c>
      <c r="P1761" s="55" t="s">
        <v>188</v>
      </c>
      <c r="Q1761" s="55" t="s">
        <v>350</v>
      </c>
      <c r="R1761" s="85">
        <v>6</v>
      </c>
      <c r="S1761" s="55">
        <v>0</v>
      </c>
      <c r="T1761" s="74" t="s">
        <v>1363</v>
      </c>
      <c r="U1761" s="74" t="s">
        <v>351</v>
      </c>
      <c r="V1761" s="74">
        <v>44586</v>
      </c>
      <c r="W1761" s="74">
        <v>44621</v>
      </c>
      <c r="X1761" s="55">
        <v>10185418</v>
      </c>
      <c r="Y1761" s="55" t="s">
        <v>132</v>
      </c>
      <c r="AB1761" s="74" t="s">
        <v>140</v>
      </c>
      <c r="AC1761" s="55" t="s">
        <v>132</v>
      </c>
      <c r="AL1761" s="74"/>
      <c r="AM1761" s="74"/>
      <c r="AW1761" s="74"/>
      <c r="AX1761" s="74"/>
    </row>
    <row r="1762" spans="1:50" ht="13" x14ac:dyDescent="0.15">
      <c r="A1762" s="55" t="str">
        <f>HYPERLINK("http://reports.ofsted.gov.uk/inspection-reports/find-inspection-report/provider/CARE/SC005553","Ofsted Social Care Provider Webpage")</f>
        <v>Ofsted Social Care Provider Webpage</v>
      </c>
      <c r="B1762" s="55" t="s">
        <v>2429</v>
      </c>
      <c r="D1762" s="55" t="s">
        <v>373</v>
      </c>
      <c r="E1762" s="74">
        <v>36312</v>
      </c>
      <c r="F1762" s="55" t="s">
        <v>344</v>
      </c>
      <c r="G1762" s="55" t="s">
        <v>360</v>
      </c>
      <c r="H1762" s="55" t="s">
        <v>360</v>
      </c>
      <c r="I1762" s="55" t="s">
        <v>360</v>
      </c>
      <c r="J1762" s="55" t="s">
        <v>360</v>
      </c>
      <c r="K1762" s="55" t="s">
        <v>360</v>
      </c>
      <c r="L1762" s="55" t="s">
        <v>360</v>
      </c>
      <c r="M1762" s="55" t="s">
        <v>144</v>
      </c>
      <c r="N1762" s="55" t="s">
        <v>144</v>
      </c>
      <c r="O1762" s="55" t="s">
        <v>236</v>
      </c>
      <c r="P1762" s="55" t="s">
        <v>996</v>
      </c>
      <c r="Q1762" s="55" t="s">
        <v>350</v>
      </c>
      <c r="R1762" s="85">
        <v>5</v>
      </c>
      <c r="S1762" s="55">
        <v>0</v>
      </c>
      <c r="T1762" s="74" t="s">
        <v>2430</v>
      </c>
      <c r="U1762" s="74" t="s">
        <v>351</v>
      </c>
      <c r="V1762" s="74">
        <v>44600</v>
      </c>
      <c r="W1762" s="74">
        <v>44673</v>
      </c>
      <c r="X1762" s="55">
        <v>10187037</v>
      </c>
      <c r="Y1762" s="55" t="s">
        <v>132</v>
      </c>
      <c r="AB1762" s="74" t="s">
        <v>132</v>
      </c>
      <c r="AC1762" s="55" t="s">
        <v>132</v>
      </c>
      <c r="AL1762" s="74"/>
      <c r="AM1762" s="74"/>
      <c r="AW1762" s="74"/>
      <c r="AX1762" s="74"/>
    </row>
    <row r="1763" spans="1:50" ht="13" x14ac:dyDescent="0.15">
      <c r="A1763" s="55" t="str">
        <f>HYPERLINK("http://reports.ofsted.gov.uk/inspection-reports/find-inspection-report/provider/CARE/SC005567","Ofsted Social Care Provider Webpage")</f>
        <v>Ofsted Social Care Provider Webpage</v>
      </c>
      <c r="B1763" s="55" t="s">
        <v>2431</v>
      </c>
      <c r="D1763" s="55" t="s">
        <v>373</v>
      </c>
      <c r="E1763" s="74">
        <v>37071</v>
      </c>
      <c r="F1763" s="55" t="s">
        <v>344</v>
      </c>
      <c r="G1763" s="55" t="s">
        <v>360</v>
      </c>
      <c r="H1763" s="55" t="s">
        <v>360</v>
      </c>
      <c r="I1763" s="55" t="s">
        <v>360</v>
      </c>
      <c r="J1763" s="55" t="s">
        <v>360</v>
      </c>
      <c r="K1763" s="55" t="s">
        <v>360</v>
      </c>
      <c r="L1763" s="55" t="s">
        <v>360</v>
      </c>
      <c r="M1763" s="55" t="s">
        <v>144</v>
      </c>
      <c r="N1763" s="55" t="s">
        <v>144</v>
      </c>
      <c r="O1763" s="55" t="s">
        <v>271</v>
      </c>
      <c r="P1763" s="55" t="s">
        <v>870</v>
      </c>
      <c r="Q1763" s="55" t="s">
        <v>350</v>
      </c>
      <c r="R1763" s="85">
        <v>4</v>
      </c>
      <c r="S1763" s="55">
        <v>0</v>
      </c>
      <c r="T1763" s="74" t="s">
        <v>2432</v>
      </c>
      <c r="U1763" s="74" t="s">
        <v>351</v>
      </c>
      <c r="V1763" s="74">
        <v>44580</v>
      </c>
      <c r="W1763" s="74">
        <v>44615</v>
      </c>
      <c r="X1763" s="55">
        <v>10185734</v>
      </c>
      <c r="Y1763" s="55" t="s">
        <v>140</v>
      </c>
      <c r="AB1763" s="74" t="s">
        <v>140</v>
      </c>
      <c r="AC1763" s="55" t="s">
        <v>140</v>
      </c>
      <c r="AL1763" s="74"/>
      <c r="AM1763" s="74"/>
    </row>
    <row r="1764" spans="1:50" ht="13" x14ac:dyDescent="0.15">
      <c r="A1764" s="55" t="str">
        <f>HYPERLINK("http://reports.ofsted.gov.uk/inspection-reports/find-inspection-report/provider/CARE/SC005589","Ofsted Social Care Provider Webpage")</f>
        <v>Ofsted Social Care Provider Webpage</v>
      </c>
      <c r="B1764" s="55" t="s">
        <v>2433</v>
      </c>
      <c r="D1764" s="55" t="s">
        <v>373</v>
      </c>
      <c r="E1764" s="74">
        <v>37082</v>
      </c>
      <c r="F1764" s="55" t="s">
        <v>344</v>
      </c>
      <c r="G1764" s="55" t="s">
        <v>360</v>
      </c>
      <c r="H1764" s="55" t="s">
        <v>360</v>
      </c>
      <c r="I1764" s="55" t="s">
        <v>360</v>
      </c>
      <c r="J1764" s="55" t="s">
        <v>360</v>
      </c>
      <c r="K1764" s="55" t="s">
        <v>360</v>
      </c>
      <c r="L1764" s="55" t="s">
        <v>360</v>
      </c>
      <c r="M1764" s="55" t="s">
        <v>144</v>
      </c>
      <c r="N1764" s="55" t="s">
        <v>144</v>
      </c>
      <c r="O1764" s="55" t="s">
        <v>271</v>
      </c>
      <c r="P1764" s="55" t="s">
        <v>1122</v>
      </c>
      <c r="Q1764" s="55" t="s">
        <v>350</v>
      </c>
      <c r="R1764" s="85">
        <v>2</v>
      </c>
      <c r="S1764" s="55">
        <v>0</v>
      </c>
      <c r="T1764" s="74" t="s">
        <v>1505</v>
      </c>
      <c r="U1764" s="74" t="s">
        <v>351</v>
      </c>
      <c r="V1764" s="74">
        <v>44314</v>
      </c>
      <c r="W1764" s="74">
        <v>44342</v>
      </c>
      <c r="X1764" s="55">
        <v>10185892</v>
      </c>
      <c r="Y1764" s="55" t="s">
        <v>132</v>
      </c>
      <c r="AB1764" s="74" t="s">
        <v>132</v>
      </c>
      <c r="AC1764" s="55" t="s">
        <v>132</v>
      </c>
      <c r="AL1764" s="74"/>
      <c r="AM1764" s="74"/>
      <c r="AW1764" s="74"/>
      <c r="AX1764" s="74"/>
    </row>
    <row r="1765" spans="1:50" ht="13" x14ac:dyDescent="0.15">
      <c r="A1765" s="55" t="str">
        <f>HYPERLINK("http://reports.ofsted.gov.uk/inspection-reports/find-inspection-report/provider/CARE/SC005751","Ofsted Social Care Provider Webpage")</f>
        <v>Ofsted Social Care Provider Webpage</v>
      </c>
      <c r="B1765" s="55" t="s">
        <v>2434</v>
      </c>
      <c r="D1765" s="55" t="s">
        <v>373</v>
      </c>
      <c r="E1765" s="74">
        <v>37104</v>
      </c>
      <c r="F1765" s="55" t="s">
        <v>344</v>
      </c>
      <c r="G1765" s="55" t="s">
        <v>360</v>
      </c>
      <c r="H1765" s="55" t="s">
        <v>360</v>
      </c>
      <c r="I1765" s="55" t="s">
        <v>360</v>
      </c>
      <c r="J1765" s="55" t="s">
        <v>360</v>
      </c>
      <c r="K1765" s="55" t="s">
        <v>360</v>
      </c>
      <c r="L1765" s="55" t="s">
        <v>360</v>
      </c>
      <c r="M1765" s="55" t="s">
        <v>144</v>
      </c>
      <c r="N1765" s="55" t="s">
        <v>144</v>
      </c>
      <c r="O1765" s="55" t="s">
        <v>287</v>
      </c>
      <c r="P1765" s="55" t="s">
        <v>815</v>
      </c>
      <c r="Q1765" s="55" t="s">
        <v>350</v>
      </c>
      <c r="R1765" s="85">
        <v>1</v>
      </c>
      <c r="S1765" s="55">
        <v>0</v>
      </c>
      <c r="T1765" s="74" t="s">
        <v>2435</v>
      </c>
      <c r="U1765" s="74" t="s">
        <v>351</v>
      </c>
      <c r="V1765" s="74">
        <v>44615</v>
      </c>
      <c r="W1765" s="74">
        <v>44659</v>
      </c>
      <c r="X1765" s="55">
        <v>10185453</v>
      </c>
      <c r="Y1765" s="55" t="s">
        <v>130</v>
      </c>
      <c r="AB1765" s="74" t="s">
        <v>130</v>
      </c>
      <c r="AC1765" s="55" t="s">
        <v>130</v>
      </c>
      <c r="AL1765" s="74"/>
      <c r="AM1765" s="74"/>
      <c r="AW1765" s="74"/>
      <c r="AX1765" s="74"/>
    </row>
    <row r="1766" spans="1:50" ht="13" x14ac:dyDescent="0.15">
      <c r="A1766" s="55" t="str">
        <f>HYPERLINK("http://reports.ofsted.gov.uk/inspection-reports/find-inspection-report/provider/CARE/SC006010","Ofsted Social Care Provider Webpage")</f>
        <v>Ofsted Social Care Provider Webpage</v>
      </c>
      <c r="B1766" s="55" t="s">
        <v>2442</v>
      </c>
      <c r="D1766" s="55" t="s">
        <v>373</v>
      </c>
      <c r="E1766" s="74">
        <v>37062</v>
      </c>
      <c r="F1766" s="55" t="s">
        <v>344</v>
      </c>
      <c r="G1766" s="55" t="s">
        <v>360</v>
      </c>
      <c r="H1766" s="55" t="s">
        <v>360</v>
      </c>
      <c r="I1766" s="55" t="s">
        <v>360</v>
      </c>
      <c r="J1766" s="55" t="s">
        <v>360</v>
      </c>
      <c r="K1766" s="55" t="s">
        <v>360</v>
      </c>
      <c r="L1766" s="55" t="s">
        <v>360</v>
      </c>
      <c r="M1766" s="55" t="s">
        <v>144</v>
      </c>
      <c r="N1766" s="55" t="s">
        <v>144</v>
      </c>
      <c r="O1766" s="55" t="s">
        <v>209</v>
      </c>
      <c r="P1766" s="55" t="s">
        <v>597</v>
      </c>
      <c r="Q1766" s="55" t="s">
        <v>350</v>
      </c>
      <c r="R1766" s="85">
        <v>1</v>
      </c>
      <c r="S1766" s="55">
        <v>0</v>
      </c>
      <c r="T1766" s="74" t="s">
        <v>2435</v>
      </c>
      <c r="U1766" s="74" t="s">
        <v>351</v>
      </c>
      <c r="V1766" s="74">
        <v>44322</v>
      </c>
      <c r="W1766" s="74">
        <v>44369</v>
      </c>
      <c r="X1766" s="55">
        <v>10186109</v>
      </c>
      <c r="Y1766" s="55" t="s">
        <v>132</v>
      </c>
      <c r="AB1766" s="74" t="s">
        <v>132</v>
      </c>
      <c r="AC1766" s="55" t="s">
        <v>140</v>
      </c>
      <c r="AL1766" s="74"/>
      <c r="AM1766" s="74"/>
      <c r="AW1766" s="74"/>
      <c r="AX1766" s="74"/>
    </row>
    <row r="1767" spans="1:50" ht="13" x14ac:dyDescent="0.15">
      <c r="A1767" s="55" t="str">
        <f>HYPERLINK("http://reports.ofsted.gov.uk/inspection-reports/find-inspection-report/provider/CARE/SC006011","Ofsted Social Care Provider Webpage")</f>
        <v>Ofsted Social Care Provider Webpage</v>
      </c>
      <c r="B1767" s="55" t="s">
        <v>2443</v>
      </c>
      <c r="D1767" s="55" t="s">
        <v>373</v>
      </c>
      <c r="E1767" s="74">
        <v>37062</v>
      </c>
      <c r="F1767" s="55" t="s">
        <v>344</v>
      </c>
      <c r="G1767" s="55" t="s">
        <v>360</v>
      </c>
      <c r="H1767" s="55" t="s">
        <v>360</v>
      </c>
      <c r="I1767" s="55" t="s">
        <v>360</v>
      </c>
      <c r="J1767" s="55" t="s">
        <v>360</v>
      </c>
      <c r="K1767" s="55" t="s">
        <v>360</v>
      </c>
      <c r="L1767" s="55" t="s">
        <v>360</v>
      </c>
      <c r="M1767" s="55" t="s">
        <v>144</v>
      </c>
      <c r="N1767" s="55" t="s">
        <v>144</v>
      </c>
      <c r="O1767" s="55" t="s">
        <v>209</v>
      </c>
      <c r="P1767" s="55" t="s">
        <v>597</v>
      </c>
      <c r="Q1767" s="55" t="s">
        <v>350</v>
      </c>
      <c r="R1767" s="85">
        <v>2</v>
      </c>
      <c r="S1767" s="55">
        <v>0</v>
      </c>
      <c r="T1767" s="74" t="s">
        <v>2435</v>
      </c>
      <c r="U1767" s="74" t="s">
        <v>351</v>
      </c>
      <c r="V1767" s="74">
        <v>44363</v>
      </c>
      <c r="W1767" s="74">
        <v>44393</v>
      </c>
      <c r="X1767" s="55">
        <v>10186761</v>
      </c>
      <c r="Y1767" s="55" t="s">
        <v>132</v>
      </c>
      <c r="AB1767" s="74" t="s">
        <v>132</v>
      </c>
      <c r="AC1767" s="55" t="s">
        <v>132</v>
      </c>
      <c r="AL1767" s="74"/>
      <c r="AM1767" s="74"/>
      <c r="AW1767" s="74"/>
      <c r="AX1767" s="74"/>
    </row>
    <row r="1768" spans="1:50" ht="13" x14ac:dyDescent="0.15">
      <c r="A1768" s="55" t="str">
        <f>HYPERLINK("http://reports.ofsted.gov.uk/inspection-reports/find-inspection-report/provider/CARE/SC006014","Ofsted Social Care Provider Webpage")</f>
        <v>Ofsted Social Care Provider Webpage</v>
      </c>
      <c r="B1768" s="55" t="s">
        <v>2445</v>
      </c>
      <c r="D1768" s="55" t="s">
        <v>373</v>
      </c>
      <c r="E1768" s="74">
        <v>37062</v>
      </c>
      <c r="F1768" s="55" t="s">
        <v>344</v>
      </c>
      <c r="G1768" s="55" t="s">
        <v>360</v>
      </c>
      <c r="H1768" s="55" t="s">
        <v>360</v>
      </c>
      <c r="I1768" s="55" t="s">
        <v>360</v>
      </c>
      <c r="J1768" s="55" t="s">
        <v>360</v>
      </c>
      <c r="K1768" s="55" t="s">
        <v>360</v>
      </c>
      <c r="L1768" s="55" t="s">
        <v>360</v>
      </c>
      <c r="M1768" s="55" t="s">
        <v>144</v>
      </c>
      <c r="N1768" s="55" t="s">
        <v>144</v>
      </c>
      <c r="O1768" s="55" t="s">
        <v>209</v>
      </c>
      <c r="P1768" s="55" t="s">
        <v>597</v>
      </c>
      <c r="Q1768" s="55" t="s">
        <v>350</v>
      </c>
      <c r="R1768" s="85">
        <v>3</v>
      </c>
      <c r="S1768" s="55">
        <v>0</v>
      </c>
      <c r="T1768" s="74" t="s">
        <v>2435</v>
      </c>
      <c r="U1768" s="74" t="s">
        <v>351</v>
      </c>
      <c r="V1768" s="74">
        <v>44432</v>
      </c>
      <c r="W1768" s="74">
        <v>44470</v>
      </c>
      <c r="X1768" s="55">
        <v>10185260</v>
      </c>
      <c r="Y1768" s="55" t="s">
        <v>132</v>
      </c>
      <c r="AB1768" s="74" t="s">
        <v>132</v>
      </c>
      <c r="AC1768" s="55" t="s">
        <v>132</v>
      </c>
      <c r="AL1768" s="74"/>
      <c r="AM1768" s="74"/>
    </row>
    <row r="1769" spans="1:50" ht="13" x14ac:dyDescent="0.15">
      <c r="A1769" s="55" t="str">
        <f>HYPERLINK("http://reports.ofsted.gov.uk/inspection-reports/find-inspection-report/provider/CARE/SC006017","Ofsted Social Care Provider Webpage")</f>
        <v>Ofsted Social Care Provider Webpage</v>
      </c>
      <c r="B1769" s="55" t="s">
        <v>2446</v>
      </c>
      <c r="D1769" s="55" t="s">
        <v>373</v>
      </c>
      <c r="E1769" s="74">
        <v>37062</v>
      </c>
      <c r="F1769" s="55" t="s">
        <v>344</v>
      </c>
      <c r="G1769" s="55" t="s">
        <v>360</v>
      </c>
      <c r="H1769" s="55" t="s">
        <v>360</v>
      </c>
      <c r="I1769" s="55" t="s">
        <v>360</v>
      </c>
      <c r="J1769" s="55" t="s">
        <v>360</v>
      </c>
      <c r="K1769" s="55" t="s">
        <v>360</v>
      </c>
      <c r="L1769" s="55" t="s">
        <v>360</v>
      </c>
      <c r="M1769" s="55" t="s">
        <v>144</v>
      </c>
      <c r="N1769" s="55" t="s">
        <v>144</v>
      </c>
      <c r="O1769" s="55" t="s">
        <v>209</v>
      </c>
      <c r="P1769" s="55" t="s">
        <v>597</v>
      </c>
      <c r="Q1769" s="55" t="s">
        <v>350</v>
      </c>
      <c r="R1769" s="85">
        <v>1</v>
      </c>
      <c r="S1769" s="55">
        <v>0</v>
      </c>
      <c r="T1769" s="74" t="s">
        <v>2435</v>
      </c>
      <c r="U1769" s="74" t="s">
        <v>351</v>
      </c>
      <c r="V1769" s="74">
        <v>44481</v>
      </c>
      <c r="W1769" s="74">
        <v>44524</v>
      </c>
      <c r="X1769" s="55">
        <v>10186701</v>
      </c>
      <c r="Y1769" s="55" t="s">
        <v>132</v>
      </c>
      <c r="AB1769" s="74" t="s">
        <v>132</v>
      </c>
      <c r="AC1769" s="55" t="s">
        <v>132</v>
      </c>
      <c r="AL1769" s="74"/>
      <c r="AM1769" s="74"/>
      <c r="AW1769" s="74"/>
      <c r="AX1769" s="74"/>
    </row>
    <row r="1770" spans="1:50" ht="13" x14ac:dyDescent="0.15">
      <c r="A1770" s="55" t="str">
        <f>HYPERLINK("http://reports.ofsted.gov.uk/inspection-reports/find-inspection-report/provider/CARE/SC006294","Ofsted Social Care Provider Webpage")</f>
        <v>Ofsted Social Care Provider Webpage</v>
      </c>
      <c r="B1770" s="55" t="s">
        <v>2447</v>
      </c>
      <c r="D1770" s="55" t="s">
        <v>373</v>
      </c>
      <c r="E1770" s="74">
        <v>35929</v>
      </c>
      <c r="F1770" s="55" t="s">
        <v>344</v>
      </c>
      <c r="G1770" s="55" t="s">
        <v>360</v>
      </c>
      <c r="H1770" s="55" t="s">
        <v>360</v>
      </c>
      <c r="I1770" s="55" t="s">
        <v>360</v>
      </c>
      <c r="J1770" s="55" t="s">
        <v>360</v>
      </c>
      <c r="K1770" s="55" t="s">
        <v>360</v>
      </c>
      <c r="L1770" s="55" t="s">
        <v>360</v>
      </c>
      <c r="M1770" s="55" t="s">
        <v>378</v>
      </c>
      <c r="N1770" s="55" t="s">
        <v>134</v>
      </c>
      <c r="O1770" s="55" t="s">
        <v>277</v>
      </c>
      <c r="P1770" s="55" t="s">
        <v>1362</v>
      </c>
      <c r="Q1770" s="55" t="s">
        <v>350</v>
      </c>
      <c r="R1770" s="85">
        <v>4</v>
      </c>
      <c r="S1770" s="55">
        <v>0</v>
      </c>
      <c r="T1770" s="74" t="s">
        <v>2448</v>
      </c>
      <c r="U1770" s="74" t="s">
        <v>351</v>
      </c>
      <c r="V1770" s="74">
        <v>44613</v>
      </c>
      <c r="W1770" s="74">
        <v>44655</v>
      </c>
      <c r="X1770" s="55">
        <v>10186990</v>
      </c>
      <c r="Y1770" s="55" t="s">
        <v>132</v>
      </c>
      <c r="AB1770" s="74" t="s">
        <v>132</v>
      </c>
      <c r="AC1770" s="55" t="s">
        <v>132</v>
      </c>
      <c r="AL1770" s="74"/>
      <c r="AM1770" s="74"/>
      <c r="AW1770" s="74"/>
      <c r="AX1770" s="74"/>
    </row>
    <row r="1771" spans="1:50" ht="13" x14ac:dyDescent="0.15">
      <c r="A1771" s="55" t="str">
        <f>HYPERLINK("http://reports.ofsted.gov.uk/inspection-reports/find-inspection-report/provider/CARE/SC006329","Ofsted Social Care Provider Webpage")</f>
        <v>Ofsted Social Care Provider Webpage</v>
      </c>
      <c r="B1771" s="55" t="s">
        <v>2449</v>
      </c>
      <c r="C1771" s="55">
        <v>120345</v>
      </c>
      <c r="D1771" s="55" t="s">
        <v>398</v>
      </c>
      <c r="E1771" s="74">
        <v>37300</v>
      </c>
      <c r="F1771" s="55" t="s">
        <v>344</v>
      </c>
      <c r="G1771" s="55" t="s">
        <v>2450</v>
      </c>
      <c r="H1771" s="55" t="s">
        <v>2450</v>
      </c>
      <c r="I1771" s="55" t="s">
        <v>2451</v>
      </c>
      <c r="J1771" s="55" t="s">
        <v>211</v>
      </c>
      <c r="L1771" s="55" t="s">
        <v>2452</v>
      </c>
      <c r="M1771" s="55" t="s">
        <v>172</v>
      </c>
      <c r="N1771" s="55" t="s">
        <v>172</v>
      </c>
      <c r="O1771" s="55" t="s">
        <v>211</v>
      </c>
      <c r="P1771" s="55" t="s">
        <v>1062</v>
      </c>
      <c r="Q1771" s="55" t="s">
        <v>362</v>
      </c>
      <c r="R1771" s="85">
        <v>70</v>
      </c>
      <c r="S1771" s="55">
        <v>0</v>
      </c>
      <c r="U1771" s="74" t="s">
        <v>351</v>
      </c>
      <c r="V1771" s="74">
        <v>44481</v>
      </c>
      <c r="W1771" s="74">
        <v>44519</v>
      </c>
      <c r="X1771" s="55">
        <v>10183336</v>
      </c>
      <c r="Y1771" s="55" t="s">
        <v>132</v>
      </c>
      <c r="AB1771" s="74" t="s">
        <v>132</v>
      </c>
      <c r="AC1771" s="55" t="s">
        <v>132</v>
      </c>
      <c r="AL1771" s="74"/>
      <c r="AM1771" s="74"/>
    </row>
    <row r="1772" spans="1:50" ht="13" x14ac:dyDescent="0.15">
      <c r="A1772" s="55" t="str">
        <f>HYPERLINK("http://reports.ofsted.gov.uk/inspection-reports/find-inspection-report/provider/CARE/SC006451","Ofsted Social Care Provider Webpage")</f>
        <v>Ofsted Social Care Provider Webpage</v>
      </c>
      <c r="B1772" s="55" t="s">
        <v>2453</v>
      </c>
      <c r="C1772" s="55">
        <v>138094</v>
      </c>
      <c r="D1772" s="55" t="s">
        <v>413</v>
      </c>
      <c r="E1772" s="74">
        <v>37300</v>
      </c>
      <c r="F1772" s="55" t="s">
        <v>344</v>
      </c>
      <c r="G1772" s="55" t="s">
        <v>2454</v>
      </c>
      <c r="H1772" s="55" t="s">
        <v>2455</v>
      </c>
      <c r="I1772" s="55" t="s">
        <v>2456</v>
      </c>
      <c r="J1772" s="55" t="s">
        <v>2457</v>
      </c>
      <c r="L1772" s="55" t="s">
        <v>2458</v>
      </c>
      <c r="M1772" s="55" t="s">
        <v>172</v>
      </c>
      <c r="N1772" s="55" t="s">
        <v>172</v>
      </c>
      <c r="O1772" s="55" t="s">
        <v>211</v>
      </c>
      <c r="P1772" s="55" t="s">
        <v>1062</v>
      </c>
      <c r="Q1772" s="55" t="s">
        <v>420</v>
      </c>
      <c r="R1772" s="85">
        <v>18</v>
      </c>
      <c r="S1772" s="55">
        <v>0</v>
      </c>
      <c r="T1772" s="74" t="s">
        <v>2459</v>
      </c>
      <c r="U1772" s="74" t="s">
        <v>351</v>
      </c>
      <c r="V1772" s="74">
        <v>44586</v>
      </c>
      <c r="W1772" s="74">
        <v>44638</v>
      </c>
      <c r="X1772" s="55">
        <v>10183480</v>
      </c>
      <c r="Y1772" s="55" t="s">
        <v>140</v>
      </c>
      <c r="AB1772" s="74" t="s">
        <v>140</v>
      </c>
      <c r="AC1772" s="55" t="s">
        <v>140</v>
      </c>
      <c r="AL1772" s="74"/>
      <c r="AM1772" s="74"/>
    </row>
    <row r="1773" spans="1:50" ht="13" x14ac:dyDescent="0.15">
      <c r="A1773" s="55" t="str">
        <f>HYPERLINK("http://reports.ofsted.gov.uk/inspection-reports/find-inspection-report/provider/CARE/SC006452","Ofsted Social Care Provider Webpage")</f>
        <v>Ofsted Social Care Provider Webpage</v>
      </c>
      <c r="B1773" s="55" t="s">
        <v>2460</v>
      </c>
      <c r="D1773" s="55" t="s">
        <v>413</v>
      </c>
      <c r="E1773" s="74">
        <v>37300</v>
      </c>
      <c r="F1773" s="55" t="s">
        <v>344</v>
      </c>
      <c r="G1773" s="55" t="s">
        <v>2461</v>
      </c>
      <c r="H1773" s="55" t="s">
        <v>2461</v>
      </c>
      <c r="I1773" s="55" t="s">
        <v>2462</v>
      </c>
      <c r="J1773" s="55" t="s">
        <v>211</v>
      </c>
      <c r="L1773" s="55" t="s">
        <v>2463</v>
      </c>
      <c r="M1773" s="55" t="s">
        <v>172</v>
      </c>
      <c r="N1773" s="55" t="s">
        <v>172</v>
      </c>
      <c r="O1773" s="55" t="s">
        <v>211</v>
      </c>
      <c r="P1773" s="55" t="s">
        <v>2228</v>
      </c>
      <c r="Q1773" s="55" t="s">
        <v>380</v>
      </c>
      <c r="R1773" s="85">
        <v>8</v>
      </c>
      <c r="S1773" s="55">
        <v>0</v>
      </c>
      <c r="T1773" s="74" t="s">
        <v>2464</v>
      </c>
      <c r="U1773" s="74" t="s">
        <v>351</v>
      </c>
      <c r="V1773" s="74">
        <v>44516</v>
      </c>
      <c r="W1773" s="74">
        <v>44575</v>
      </c>
      <c r="X1773" s="55">
        <v>10183484</v>
      </c>
      <c r="Y1773" s="55" t="s">
        <v>140</v>
      </c>
      <c r="AB1773" s="74" t="s">
        <v>140</v>
      </c>
      <c r="AC1773" s="55" t="s">
        <v>140</v>
      </c>
      <c r="AL1773" s="74"/>
      <c r="AM1773" s="74"/>
    </row>
    <row r="1774" spans="1:50" ht="13" x14ac:dyDescent="0.15">
      <c r="A1774" s="55" t="str">
        <f>HYPERLINK("http://reports.ofsted.gov.uk/inspection-reports/find-inspection-report/provider/CARE/SC006614","Ofsted Social Care Provider Webpage")</f>
        <v>Ofsted Social Care Provider Webpage</v>
      </c>
      <c r="B1774" s="55" t="s">
        <v>2465</v>
      </c>
      <c r="C1774" s="55">
        <v>111505</v>
      </c>
      <c r="D1774" s="55" t="s">
        <v>413</v>
      </c>
      <c r="E1774" s="74">
        <v>37300</v>
      </c>
      <c r="F1774" s="55" t="s">
        <v>344</v>
      </c>
      <c r="G1774" s="55" t="s">
        <v>2466</v>
      </c>
      <c r="H1774" s="55" t="s">
        <v>2467</v>
      </c>
      <c r="I1774" s="55" t="s">
        <v>354</v>
      </c>
      <c r="J1774" s="55" t="s">
        <v>2468</v>
      </c>
      <c r="K1774" s="55" t="s">
        <v>2469</v>
      </c>
      <c r="L1774" s="55" t="s">
        <v>2470</v>
      </c>
      <c r="M1774" s="55" t="s">
        <v>144</v>
      </c>
      <c r="N1774" s="55" t="s">
        <v>144</v>
      </c>
      <c r="O1774" s="55" t="s">
        <v>163</v>
      </c>
      <c r="P1774" s="55" t="s">
        <v>376</v>
      </c>
      <c r="Q1774" s="55" t="s">
        <v>380</v>
      </c>
      <c r="R1774" s="85">
        <v>14</v>
      </c>
      <c r="S1774" s="55">
        <v>0</v>
      </c>
      <c r="T1774" s="74" t="s">
        <v>473</v>
      </c>
      <c r="U1774" s="74" t="s">
        <v>351</v>
      </c>
      <c r="V1774" s="74">
        <v>44531</v>
      </c>
      <c r="W1774" s="74">
        <v>44586</v>
      </c>
      <c r="X1774" s="55">
        <v>10183529</v>
      </c>
      <c r="Y1774" s="55" t="s">
        <v>140</v>
      </c>
      <c r="AB1774" s="74" t="s">
        <v>140</v>
      </c>
      <c r="AC1774" s="55" t="s">
        <v>140</v>
      </c>
      <c r="AL1774" s="74"/>
      <c r="AM1774" s="74"/>
    </row>
    <row r="1775" spans="1:50" ht="13" x14ac:dyDescent="0.15">
      <c r="A1775" s="55" t="str">
        <f>HYPERLINK("http://reports.ofsted.gov.uk/inspection-reports/find-inspection-report/provider/CARE/SC006621","Ofsted Social Care Provider Webpage")</f>
        <v>Ofsted Social Care Provider Webpage</v>
      </c>
      <c r="B1775" s="55" t="s">
        <v>2471</v>
      </c>
      <c r="C1775" s="55">
        <v>111517</v>
      </c>
      <c r="D1775" s="55" t="s">
        <v>413</v>
      </c>
      <c r="E1775" s="74">
        <v>37300</v>
      </c>
      <c r="F1775" s="55" t="s">
        <v>344</v>
      </c>
      <c r="G1775" s="55" t="s">
        <v>2472</v>
      </c>
      <c r="H1775" s="55" t="s">
        <v>2473</v>
      </c>
      <c r="I1775" s="55" t="s">
        <v>2474</v>
      </c>
      <c r="J1775" s="55" t="s">
        <v>2475</v>
      </c>
      <c r="K1775" s="55" t="s">
        <v>2469</v>
      </c>
      <c r="L1775" s="55" t="s">
        <v>2476</v>
      </c>
      <c r="M1775" s="55" t="s">
        <v>144</v>
      </c>
      <c r="N1775" s="55" t="s">
        <v>144</v>
      </c>
      <c r="O1775" s="55" t="s">
        <v>163</v>
      </c>
      <c r="P1775" s="55" t="s">
        <v>614</v>
      </c>
      <c r="Q1775" s="55" t="s">
        <v>380</v>
      </c>
      <c r="R1775" s="85">
        <v>18</v>
      </c>
      <c r="S1775" s="55">
        <v>0</v>
      </c>
      <c r="T1775" s="74" t="s">
        <v>473</v>
      </c>
      <c r="U1775" s="74" t="s">
        <v>351</v>
      </c>
      <c r="V1775" s="74">
        <v>44509</v>
      </c>
      <c r="W1775" s="74">
        <v>44581</v>
      </c>
      <c r="X1775" s="55">
        <v>10183525</v>
      </c>
      <c r="Y1775" s="55" t="s">
        <v>132</v>
      </c>
      <c r="AB1775" s="74" t="s">
        <v>132</v>
      </c>
      <c r="AC1775" s="55" t="s">
        <v>132</v>
      </c>
      <c r="AL1775" s="74"/>
      <c r="AM1775" s="74"/>
      <c r="AW1775" s="74"/>
      <c r="AX1775" s="74"/>
    </row>
    <row r="1776" spans="1:50" ht="13" x14ac:dyDescent="0.15">
      <c r="A1776" s="55" t="str">
        <f>HYPERLINK("http://reports.ofsted.gov.uk/inspection-reports/find-inspection-report/provider/CARE/SC006921","Ofsted Social Care Provider Webpage")</f>
        <v>Ofsted Social Care Provider Webpage</v>
      </c>
      <c r="B1776" s="55" t="s">
        <v>2489</v>
      </c>
      <c r="D1776" s="55" t="s">
        <v>373</v>
      </c>
      <c r="E1776" s="74">
        <v>35703</v>
      </c>
      <c r="F1776" s="55" t="s">
        <v>344</v>
      </c>
      <c r="G1776" s="55" t="s">
        <v>360</v>
      </c>
      <c r="H1776" s="55" t="s">
        <v>360</v>
      </c>
      <c r="I1776" s="55" t="s">
        <v>360</v>
      </c>
      <c r="J1776" s="55" t="s">
        <v>360</v>
      </c>
      <c r="K1776" s="55" t="s">
        <v>360</v>
      </c>
      <c r="L1776" s="55" t="s">
        <v>360</v>
      </c>
      <c r="M1776" s="55" t="s">
        <v>129</v>
      </c>
      <c r="N1776" s="55" t="s">
        <v>129</v>
      </c>
      <c r="O1776" s="55" t="s">
        <v>155</v>
      </c>
      <c r="P1776" s="55" t="s">
        <v>2490</v>
      </c>
      <c r="Q1776" s="55" t="s">
        <v>350</v>
      </c>
      <c r="R1776" s="85">
        <v>5</v>
      </c>
      <c r="S1776" s="55">
        <v>0</v>
      </c>
      <c r="T1776" s="74" t="s">
        <v>2197</v>
      </c>
      <c r="U1776" s="74" t="s">
        <v>351</v>
      </c>
      <c r="V1776" s="74">
        <v>44306</v>
      </c>
      <c r="W1776" s="74">
        <v>44337</v>
      </c>
      <c r="X1776" s="55">
        <v>10185488</v>
      </c>
      <c r="Y1776" s="55" t="s">
        <v>132</v>
      </c>
      <c r="AB1776" s="74" t="s">
        <v>132</v>
      </c>
      <c r="AC1776" s="55" t="s">
        <v>132</v>
      </c>
      <c r="AL1776" s="74"/>
      <c r="AM1776" s="74"/>
    </row>
    <row r="1777" spans="1:50" ht="13" x14ac:dyDescent="0.15">
      <c r="A1777" s="55" t="str">
        <f>HYPERLINK("http://reports.ofsted.gov.uk/inspection-reports/find-inspection-report/provider/CARE/SC006927","Ofsted Social Care Provider Webpage")</f>
        <v>Ofsted Social Care Provider Webpage</v>
      </c>
      <c r="B1777" s="55" t="s">
        <v>2491</v>
      </c>
      <c r="C1777" s="55">
        <v>101695</v>
      </c>
      <c r="D1777" s="55" t="s">
        <v>398</v>
      </c>
      <c r="E1777" s="74">
        <v>37300</v>
      </c>
      <c r="F1777" s="55" t="s">
        <v>344</v>
      </c>
      <c r="G1777" s="55" t="s">
        <v>2492</v>
      </c>
      <c r="H1777" s="55" t="s">
        <v>2493</v>
      </c>
      <c r="I1777" s="55" t="s">
        <v>2494</v>
      </c>
      <c r="J1777" s="55" t="s">
        <v>2495</v>
      </c>
      <c r="K1777" s="55" t="s">
        <v>203</v>
      </c>
      <c r="L1777" s="55" t="s">
        <v>2496</v>
      </c>
      <c r="M1777" s="55" t="s">
        <v>129</v>
      </c>
      <c r="N1777" s="55" t="s">
        <v>129</v>
      </c>
      <c r="O1777" s="55" t="s">
        <v>155</v>
      </c>
      <c r="P1777" s="55" t="s">
        <v>482</v>
      </c>
      <c r="Q1777" s="55" t="s">
        <v>350</v>
      </c>
      <c r="R1777" s="85">
        <v>155</v>
      </c>
      <c r="S1777" s="55">
        <v>0</v>
      </c>
      <c r="T1777" s="74" t="s">
        <v>2497</v>
      </c>
      <c r="U1777" s="74" t="s">
        <v>2053</v>
      </c>
      <c r="V1777" s="74">
        <v>44334</v>
      </c>
      <c r="W1777" s="74">
        <v>44382</v>
      </c>
      <c r="X1777" s="55">
        <v>10194711</v>
      </c>
      <c r="AL1777" s="74"/>
      <c r="AM1777" s="74"/>
    </row>
    <row r="1778" spans="1:50" ht="13" x14ac:dyDescent="0.15">
      <c r="A1778" s="55" t="str">
        <f>HYPERLINK("http://reports.ofsted.gov.uk/inspection-reports/find-inspection-report/provider/CARE/SC007290","Ofsted Social Care Provider Webpage")</f>
        <v>Ofsted Social Care Provider Webpage</v>
      </c>
      <c r="B1778" s="55" t="s">
        <v>2501</v>
      </c>
      <c r="D1778" s="55" t="s">
        <v>373</v>
      </c>
      <c r="E1778" s="74">
        <v>36095</v>
      </c>
      <c r="F1778" s="55" t="s">
        <v>344</v>
      </c>
      <c r="G1778" s="55" t="s">
        <v>360</v>
      </c>
      <c r="H1778" s="55" t="s">
        <v>360</v>
      </c>
      <c r="I1778" s="55" t="s">
        <v>360</v>
      </c>
      <c r="J1778" s="55" t="s">
        <v>360</v>
      </c>
      <c r="K1778" s="55" t="s">
        <v>360</v>
      </c>
      <c r="L1778" s="55" t="s">
        <v>360</v>
      </c>
      <c r="M1778" s="55" t="s">
        <v>129</v>
      </c>
      <c r="N1778" s="55" t="s">
        <v>129</v>
      </c>
      <c r="O1778" s="55" t="s">
        <v>279</v>
      </c>
      <c r="P1778" s="55" t="s">
        <v>1078</v>
      </c>
      <c r="Q1778" s="55" t="s">
        <v>350</v>
      </c>
      <c r="R1778" s="85">
        <v>4</v>
      </c>
      <c r="S1778" s="55">
        <v>0</v>
      </c>
      <c r="U1778" s="74" t="s">
        <v>351</v>
      </c>
      <c r="V1778" s="74">
        <v>44467</v>
      </c>
      <c r="W1778" s="74">
        <v>44503</v>
      </c>
      <c r="X1778" s="55">
        <v>10185079</v>
      </c>
      <c r="Y1778" s="55" t="s">
        <v>130</v>
      </c>
      <c r="AB1778" s="74" t="s">
        <v>130</v>
      </c>
      <c r="AC1778" s="55" t="s">
        <v>130</v>
      </c>
      <c r="AL1778" s="74"/>
      <c r="AM1778" s="74"/>
    </row>
    <row r="1779" spans="1:50" ht="13" x14ac:dyDescent="0.15">
      <c r="A1779" s="55" t="str">
        <f>HYPERLINK("http://reports.ofsted.gov.uk/inspection-reports/find-inspection-report/provider/CARE/SC007290","Ofsted Social Care Provider Webpage")</f>
        <v>Ofsted Social Care Provider Webpage</v>
      </c>
      <c r="B1779" s="55" t="s">
        <v>2501</v>
      </c>
      <c r="D1779" s="55" t="s">
        <v>373</v>
      </c>
      <c r="E1779" s="74">
        <v>36095</v>
      </c>
      <c r="F1779" s="55" t="s">
        <v>344</v>
      </c>
      <c r="G1779" s="55" t="s">
        <v>360</v>
      </c>
      <c r="H1779" s="55" t="s">
        <v>360</v>
      </c>
      <c r="I1779" s="55" t="s">
        <v>360</v>
      </c>
      <c r="J1779" s="55" t="s">
        <v>360</v>
      </c>
      <c r="K1779" s="55" t="s">
        <v>360</v>
      </c>
      <c r="L1779" s="55" t="s">
        <v>360</v>
      </c>
      <c r="M1779" s="55" t="s">
        <v>129</v>
      </c>
      <c r="N1779" s="55" t="s">
        <v>129</v>
      </c>
      <c r="O1779" s="55" t="s">
        <v>279</v>
      </c>
      <c r="P1779" s="55" t="s">
        <v>1078</v>
      </c>
      <c r="Q1779" s="55" t="s">
        <v>350</v>
      </c>
      <c r="R1779" s="85">
        <v>4</v>
      </c>
      <c r="S1779" s="55">
        <v>0</v>
      </c>
      <c r="U1779" s="74" t="s">
        <v>6703</v>
      </c>
      <c r="V1779" s="74">
        <v>44572</v>
      </c>
      <c r="W1779" s="74">
        <v>44600</v>
      </c>
      <c r="X1779" s="55">
        <v>10209582</v>
      </c>
      <c r="Y1779" s="55" t="s">
        <v>6706</v>
      </c>
      <c r="AL1779" s="74"/>
      <c r="AM1779" s="74"/>
    </row>
    <row r="1780" spans="1:50" ht="13" x14ac:dyDescent="0.15">
      <c r="A1780" s="55" t="str">
        <f>HYPERLINK("http://reports.ofsted.gov.uk/inspection-reports/find-inspection-report/provider/CARE/SC007608","Ofsted Social Care Provider Webpage")</f>
        <v>Ofsted Social Care Provider Webpage</v>
      </c>
      <c r="B1780" s="55" t="s">
        <v>2502</v>
      </c>
      <c r="D1780" s="55" t="s">
        <v>373</v>
      </c>
      <c r="E1780" s="74">
        <v>37072</v>
      </c>
      <c r="F1780" s="55" t="s">
        <v>344</v>
      </c>
      <c r="G1780" s="55" t="s">
        <v>360</v>
      </c>
      <c r="H1780" s="55" t="s">
        <v>360</v>
      </c>
      <c r="I1780" s="55" t="s">
        <v>360</v>
      </c>
      <c r="J1780" s="55" t="s">
        <v>360</v>
      </c>
      <c r="K1780" s="55" t="s">
        <v>360</v>
      </c>
      <c r="L1780" s="55" t="s">
        <v>360</v>
      </c>
      <c r="M1780" s="55" t="s">
        <v>378</v>
      </c>
      <c r="N1780" s="55" t="s">
        <v>170</v>
      </c>
      <c r="O1780" s="55" t="s">
        <v>178</v>
      </c>
      <c r="P1780" s="55" t="s">
        <v>1450</v>
      </c>
      <c r="Q1780" s="55" t="s">
        <v>350</v>
      </c>
      <c r="R1780" s="85">
        <v>3</v>
      </c>
      <c r="S1780" s="55">
        <v>0</v>
      </c>
      <c r="T1780" s="74" t="s">
        <v>2367</v>
      </c>
      <c r="U1780" s="74" t="s">
        <v>351</v>
      </c>
      <c r="V1780" s="74">
        <v>44621</v>
      </c>
      <c r="W1780" s="74">
        <v>44678</v>
      </c>
      <c r="X1780" s="55">
        <v>10186698</v>
      </c>
      <c r="Y1780" s="55" t="s">
        <v>132</v>
      </c>
      <c r="AB1780" s="74" t="s">
        <v>132</v>
      </c>
      <c r="AC1780" s="55" t="s">
        <v>130</v>
      </c>
      <c r="AL1780" s="74"/>
      <c r="AM1780" s="74"/>
    </row>
    <row r="1781" spans="1:50" ht="13" x14ac:dyDescent="0.15">
      <c r="A1781" s="55" t="str">
        <f>HYPERLINK("http://reports.ofsted.gov.uk/inspection-reports/find-inspection-report/provider/CARE/SC007916","Ofsted Social Care Provider Webpage")</f>
        <v>Ofsted Social Care Provider Webpage</v>
      </c>
      <c r="B1781" s="55" t="s">
        <v>2503</v>
      </c>
      <c r="C1781" s="55">
        <v>121735</v>
      </c>
      <c r="D1781" s="55" t="s">
        <v>398</v>
      </c>
      <c r="E1781" s="74">
        <v>37300</v>
      </c>
      <c r="F1781" s="55" t="s">
        <v>344</v>
      </c>
      <c r="G1781" s="55" t="s">
        <v>2504</v>
      </c>
      <c r="H1781" s="55" t="s">
        <v>2504</v>
      </c>
      <c r="I1781" s="55" t="s">
        <v>354</v>
      </c>
      <c r="J1781" s="55" t="s">
        <v>294</v>
      </c>
      <c r="L1781" s="55" t="s">
        <v>2505</v>
      </c>
      <c r="M1781" s="55" t="s">
        <v>378</v>
      </c>
      <c r="N1781" s="55" t="s">
        <v>134</v>
      </c>
      <c r="O1781" s="55" t="s">
        <v>232</v>
      </c>
      <c r="P1781" s="55" t="s">
        <v>2506</v>
      </c>
      <c r="Q1781" s="55" t="s">
        <v>350</v>
      </c>
      <c r="R1781" s="85">
        <v>518</v>
      </c>
      <c r="S1781" s="55">
        <v>0</v>
      </c>
      <c r="T1781" s="74" t="s">
        <v>2507</v>
      </c>
      <c r="U1781" s="74" t="s">
        <v>351</v>
      </c>
      <c r="V1781" s="74">
        <v>44530</v>
      </c>
      <c r="W1781" s="74">
        <v>44648</v>
      </c>
      <c r="X1781" s="55">
        <v>10213351</v>
      </c>
      <c r="Y1781" s="55" t="s">
        <v>146</v>
      </c>
      <c r="AB1781" s="74" t="s">
        <v>146</v>
      </c>
      <c r="AC1781" s="55" t="s">
        <v>146</v>
      </c>
      <c r="AL1781" s="74"/>
      <c r="AM1781" s="74"/>
    </row>
    <row r="1782" spans="1:50" ht="13" x14ac:dyDescent="0.15">
      <c r="A1782" s="55" t="str">
        <f>HYPERLINK("http://reports.ofsted.gov.uk/inspection-reports/find-inspection-report/provider/CARE/SC007922","Ofsted Social Care Provider Webpage")</f>
        <v>Ofsted Social Care Provider Webpage</v>
      </c>
      <c r="B1782" s="55" t="s">
        <v>2508</v>
      </c>
      <c r="C1782" s="55">
        <v>121765</v>
      </c>
      <c r="D1782" s="55" t="s">
        <v>413</v>
      </c>
      <c r="E1782" s="74">
        <v>37300</v>
      </c>
      <c r="F1782" s="55" t="s">
        <v>344</v>
      </c>
      <c r="G1782" s="55" t="s">
        <v>2509</v>
      </c>
      <c r="H1782" s="55" t="s">
        <v>2510</v>
      </c>
      <c r="I1782" s="55" t="s">
        <v>354</v>
      </c>
      <c r="J1782" s="55" t="s">
        <v>2511</v>
      </c>
      <c r="K1782" s="55" t="s">
        <v>232</v>
      </c>
      <c r="L1782" s="55" t="s">
        <v>2512</v>
      </c>
      <c r="M1782" s="55" t="s">
        <v>378</v>
      </c>
      <c r="N1782" s="55" t="s">
        <v>134</v>
      </c>
      <c r="O1782" s="55" t="s">
        <v>232</v>
      </c>
      <c r="P1782" s="55" t="s">
        <v>2506</v>
      </c>
      <c r="Q1782" s="55" t="s">
        <v>362</v>
      </c>
      <c r="R1782" s="85">
        <v>22</v>
      </c>
      <c r="S1782" s="55">
        <v>0</v>
      </c>
      <c r="T1782" s="74" t="s">
        <v>2509</v>
      </c>
      <c r="U1782" s="74" t="s">
        <v>351</v>
      </c>
      <c r="V1782" s="74">
        <v>44585</v>
      </c>
      <c r="W1782" s="74">
        <v>44636</v>
      </c>
      <c r="X1782" s="55">
        <v>10183512</v>
      </c>
      <c r="Y1782" s="55" t="s">
        <v>132</v>
      </c>
      <c r="AB1782" s="74" t="s">
        <v>132</v>
      </c>
      <c r="AC1782" s="55" t="s">
        <v>130</v>
      </c>
      <c r="AL1782" s="74"/>
      <c r="AM1782" s="74"/>
    </row>
    <row r="1783" spans="1:50" ht="13" x14ac:dyDescent="0.15">
      <c r="A1783" s="55" t="str">
        <f>HYPERLINK("http://reports.ofsted.gov.uk/inspection-reports/find-inspection-report/provider/CARE/SC007923","Ofsted Social Care Provider Webpage")</f>
        <v>Ofsted Social Care Provider Webpage</v>
      </c>
      <c r="B1783" s="55" t="s">
        <v>2513</v>
      </c>
      <c r="C1783" s="55">
        <v>121764</v>
      </c>
      <c r="D1783" s="55" t="s">
        <v>413</v>
      </c>
      <c r="E1783" s="74">
        <v>37300</v>
      </c>
      <c r="F1783" s="55" t="s">
        <v>344</v>
      </c>
      <c r="G1783" s="55" t="s">
        <v>2514</v>
      </c>
      <c r="H1783" s="55" t="s">
        <v>2514</v>
      </c>
      <c r="I1783" s="55" t="s">
        <v>2515</v>
      </c>
      <c r="J1783" s="55" t="s">
        <v>2516</v>
      </c>
      <c r="K1783" s="55" t="s">
        <v>232</v>
      </c>
      <c r="L1783" s="55" t="s">
        <v>2517</v>
      </c>
      <c r="M1783" s="55" t="s">
        <v>378</v>
      </c>
      <c r="N1783" s="55" t="s">
        <v>134</v>
      </c>
      <c r="O1783" s="55" t="s">
        <v>232</v>
      </c>
      <c r="P1783" s="55" t="s">
        <v>595</v>
      </c>
      <c r="Q1783" s="55" t="s">
        <v>380</v>
      </c>
      <c r="R1783" s="85">
        <v>20</v>
      </c>
      <c r="S1783" s="55">
        <v>0</v>
      </c>
      <c r="T1783" s="74" t="s">
        <v>998</v>
      </c>
      <c r="U1783" s="74" t="s">
        <v>351</v>
      </c>
      <c r="V1783" s="74">
        <v>44572</v>
      </c>
      <c r="W1783" s="74">
        <v>44620</v>
      </c>
      <c r="X1783" s="55">
        <v>10183513</v>
      </c>
      <c r="Y1783" s="55" t="s">
        <v>130</v>
      </c>
      <c r="AB1783" s="74" t="s">
        <v>130</v>
      </c>
      <c r="AC1783" s="55" t="s">
        <v>130</v>
      </c>
      <c r="AL1783" s="74"/>
      <c r="AM1783" s="74"/>
    </row>
    <row r="1784" spans="1:50" ht="13" x14ac:dyDescent="0.15">
      <c r="A1784" s="55" t="str">
        <f>HYPERLINK("http://reports.ofsted.gov.uk/inspection-reports/find-inspection-report/provider/CARE/SC007938","Ofsted Social Care Provider Webpage")</f>
        <v>Ofsted Social Care Provider Webpage</v>
      </c>
      <c r="B1784" s="55" t="s">
        <v>2518</v>
      </c>
      <c r="C1784" s="55">
        <v>121694</v>
      </c>
      <c r="D1784" s="55" t="s">
        <v>398</v>
      </c>
      <c r="E1784" s="74">
        <v>37300</v>
      </c>
      <c r="F1784" s="55" t="s">
        <v>344</v>
      </c>
      <c r="G1784" s="55" t="s">
        <v>2519</v>
      </c>
      <c r="H1784" s="55" t="s">
        <v>2519</v>
      </c>
      <c r="I1784" s="55" t="s">
        <v>2520</v>
      </c>
      <c r="J1784" s="55" t="s">
        <v>2521</v>
      </c>
      <c r="K1784" s="55" t="s">
        <v>232</v>
      </c>
      <c r="L1784" s="55" t="s">
        <v>2522</v>
      </c>
      <c r="M1784" s="55" t="s">
        <v>378</v>
      </c>
      <c r="N1784" s="55" t="s">
        <v>134</v>
      </c>
      <c r="O1784" s="55" t="s">
        <v>232</v>
      </c>
      <c r="P1784" s="55" t="s">
        <v>496</v>
      </c>
      <c r="Q1784" s="55" t="s">
        <v>380</v>
      </c>
      <c r="R1784" s="85">
        <v>107</v>
      </c>
      <c r="S1784" s="55">
        <v>0</v>
      </c>
      <c r="T1784" s="74" t="s">
        <v>998</v>
      </c>
      <c r="U1784" s="74" t="s">
        <v>351</v>
      </c>
      <c r="V1784" s="74">
        <v>44600</v>
      </c>
      <c r="W1784" s="74">
        <v>44652</v>
      </c>
      <c r="X1784" s="55">
        <v>10183306</v>
      </c>
      <c r="Y1784" s="55" t="s">
        <v>132</v>
      </c>
      <c r="AB1784" s="74" t="s">
        <v>132</v>
      </c>
      <c r="AC1784" s="55" t="s">
        <v>132</v>
      </c>
      <c r="AL1784" s="74"/>
      <c r="AM1784" s="74"/>
    </row>
    <row r="1785" spans="1:50" ht="13" x14ac:dyDescent="0.15">
      <c r="A1785" s="55" t="str">
        <f>HYPERLINK("http://reports.ofsted.gov.uk/inspection-reports/find-inspection-report/provider/CARE/SC007943","Ofsted Social Care Provider Webpage")</f>
        <v>Ofsted Social Care Provider Webpage</v>
      </c>
      <c r="B1785" s="55" t="s">
        <v>2523</v>
      </c>
      <c r="C1785" s="55">
        <v>121766</v>
      </c>
      <c r="D1785" s="55" t="s">
        <v>413</v>
      </c>
      <c r="E1785" s="74">
        <v>37300</v>
      </c>
      <c r="F1785" s="55" t="s">
        <v>344</v>
      </c>
      <c r="G1785" s="55" t="s">
        <v>2524</v>
      </c>
      <c r="H1785" s="55" t="s">
        <v>2524</v>
      </c>
      <c r="I1785" s="55" t="s">
        <v>2525</v>
      </c>
      <c r="J1785" s="55" t="s">
        <v>2526</v>
      </c>
      <c r="L1785" s="55" t="s">
        <v>2527</v>
      </c>
      <c r="M1785" s="55" t="s">
        <v>378</v>
      </c>
      <c r="N1785" s="55" t="s">
        <v>134</v>
      </c>
      <c r="O1785" s="55" t="s">
        <v>232</v>
      </c>
      <c r="P1785" s="55" t="s">
        <v>2506</v>
      </c>
      <c r="Q1785" s="55" t="s">
        <v>380</v>
      </c>
      <c r="R1785" s="85">
        <v>44</v>
      </c>
      <c r="S1785" s="55">
        <v>0</v>
      </c>
      <c r="T1785" s="74" t="s">
        <v>998</v>
      </c>
      <c r="U1785" s="74" t="s">
        <v>351</v>
      </c>
      <c r="V1785" s="74">
        <v>44327</v>
      </c>
      <c r="W1785" s="74">
        <v>44371</v>
      </c>
      <c r="X1785" s="55">
        <v>10183523</v>
      </c>
      <c r="Y1785" s="55" t="s">
        <v>132</v>
      </c>
      <c r="AB1785" s="74" t="s">
        <v>132</v>
      </c>
      <c r="AC1785" s="55" t="s">
        <v>132</v>
      </c>
      <c r="AL1785" s="74"/>
      <c r="AM1785" s="74"/>
    </row>
    <row r="1786" spans="1:50" ht="13" x14ac:dyDescent="0.15">
      <c r="A1786" s="55" t="str">
        <f t="shared" ref="A1786:A1791" si="3">HYPERLINK("http://reports.ofsted.gov.uk/inspection-reports/find-inspection-report/provider/CARE/SC008015","Ofsted Social Care Provider Webpage")</f>
        <v>Ofsted Social Care Provider Webpage</v>
      </c>
      <c r="B1786" s="55" t="s">
        <v>6734</v>
      </c>
      <c r="D1786" s="55" t="s">
        <v>479</v>
      </c>
      <c r="E1786" s="74">
        <v>35082</v>
      </c>
      <c r="F1786" s="55" t="s">
        <v>6707</v>
      </c>
      <c r="G1786" s="55" t="s">
        <v>360</v>
      </c>
      <c r="H1786" s="55" t="s">
        <v>360</v>
      </c>
      <c r="I1786" s="55" t="s">
        <v>360</v>
      </c>
      <c r="J1786" s="55" t="s">
        <v>360</v>
      </c>
      <c r="K1786" s="55" t="s">
        <v>360</v>
      </c>
      <c r="L1786" s="55" t="s">
        <v>360</v>
      </c>
      <c r="M1786" s="55" t="s">
        <v>378</v>
      </c>
      <c r="N1786" s="55" t="s">
        <v>134</v>
      </c>
      <c r="O1786" s="55" t="s">
        <v>175</v>
      </c>
      <c r="P1786" s="55" t="s">
        <v>678</v>
      </c>
      <c r="Q1786" s="55" t="s">
        <v>350</v>
      </c>
      <c r="R1786" s="85">
        <v>32</v>
      </c>
      <c r="S1786" s="55">
        <v>0</v>
      </c>
      <c r="T1786" s="74" t="s">
        <v>1672</v>
      </c>
      <c r="U1786" s="74" t="s">
        <v>2053</v>
      </c>
      <c r="V1786" s="74">
        <v>44522</v>
      </c>
      <c r="W1786" s="74">
        <v>44560</v>
      </c>
      <c r="X1786" s="55">
        <v>10210490</v>
      </c>
      <c r="AL1786" s="74"/>
      <c r="AM1786" s="74"/>
      <c r="AW1786" s="74"/>
      <c r="AX1786" s="74"/>
    </row>
    <row r="1787" spans="1:50" ht="13" x14ac:dyDescent="0.15">
      <c r="A1787" s="55" t="str">
        <f t="shared" si="3"/>
        <v>Ofsted Social Care Provider Webpage</v>
      </c>
      <c r="B1787" s="55" t="s">
        <v>6734</v>
      </c>
      <c r="D1787" s="55" t="s">
        <v>479</v>
      </c>
      <c r="E1787" s="74">
        <v>35082</v>
      </c>
      <c r="F1787" s="55" t="s">
        <v>6707</v>
      </c>
      <c r="G1787" s="55" t="s">
        <v>360</v>
      </c>
      <c r="H1787" s="55" t="s">
        <v>360</v>
      </c>
      <c r="I1787" s="55" t="s">
        <v>360</v>
      </c>
      <c r="J1787" s="55" t="s">
        <v>360</v>
      </c>
      <c r="K1787" s="55" t="s">
        <v>360</v>
      </c>
      <c r="L1787" s="55" t="s">
        <v>360</v>
      </c>
      <c r="M1787" s="55" t="s">
        <v>378</v>
      </c>
      <c r="N1787" s="55" t="s">
        <v>134</v>
      </c>
      <c r="O1787" s="55" t="s">
        <v>175</v>
      </c>
      <c r="P1787" s="55" t="s">
        <v>678</v>
      </c>
      <c r="Q1787" s="55" t="s">
        <v>350</v>
      </c>
      <c r="R1787" s="85">
        <v>32</v>
      </c>
      <c r="S1787" s="55">
        <v>0</v>
      </c>
      <c r="T1787" s="74" t="s">
        <v>1672</v>
      </c>
      <c r="U1787" s="74" t="s">
        <v>2053</v>
      </c>
      <c r="V1787" s="74">
        <v>44432</v>
      </c>
      <c r="W1787" s="74">
        <v>44459</v>
      </c>
      <c r="X1787" s="55">
        <v>10203324</v>
      </c>
      <c r="AL1787" s="74"/>
      <c r="AM1787" s="74"/>
      <c r="AW1787" s="74"/>
      <c r="AX1787" s="74"/>
    </row>
    <row r="1788" spans="1:50" ht="13" x14ac:dyDescent="0.15">
      <c r="A1788" s="55" t="str">
        <f t="shared" si="3"/>
        <v>Ofsted Social Care Provider Webpage</v>
      </c>
      <c r="B1788" s="55" t="s">
        <v>6734</v>
      </c>
      <c r="D1788" s="55" t="s">
        <v>479</v>
      </c>
      <c r="E1788" s="74">
        <v>35082</v>
      </c>
      <c r="F1788" s="55" t="s">
        <v>6707</v>
      </c>
      <c r="G1788" s="55" t="s">
        <v>360</v>
      </c>
      <c r="H1788" s="55" t="s">
        <v>360</v>
      </c>
      <c r="I1788" s="55" t="s">
        <v>360</v>
      </c>
      <c r="J1788" s="55" t="s">
        <v>360</v>
      </c>
      <c r="K1788" s="55" t="s">
        <v>360</v>
      </c>
      <c r="L1788" s="55" t="s">
        <v>360</v>
      </c>
      <c r="M1788" s="55" t="s">
        <v>378</v>
      </c>
      <c r="N1788" s="55" t="s">
        <v>134</v>
      </c>
      <c r="O1788" s="55" t="s">
        <v>175</v>
      </c>
      <c r="P1788" s="55" t="s">
        <v>678</v>
      </c>
      <c r="Q1788" s="55" t="s">
        <v>350</v>
      </c>
      <c r="R1788" s="85">
        <v>32</v>
      </c>
      <c r="S1788" s="55">
        <v>0</v>
      </c>
      <c r="T1788" s="74" t="s">
        <v>1672</v>
      </c>
      <c r="U1788" s="74" t="s">
        <v>2053</v>
      </c>
      <c r="V1788" s="74">
        <v>44397</v>
      </c>
      <c r="W1788" s="74">
        <v>44424</v>
      </c>
      <c r="X1788" s="55">
        <v>10202510</v>
      </c>
      <c r="AL1788" s="74"/>
      <c r="AM1788" s="74"/>
      <c r="AW1788" s="74"/>
      <c r="AX1788" s="74"/>
    </row>
    <row r="1789" spans="1:50" ht="13" x14ac:dyDescent="0.15">
      <c r="A1789" s="55" t="str">
        <f t="shared" si="3"/>
        <v>Ofsted Social Care Provider Webpage</v>
      </c>
      <c r="B1789" s="55" t="s">
        <v>6734</v>
      </c>
      <c r="D1789" s="55" t="s">
        <v>479</v>
      </c>
      <c r="E1789" s="74">
        <v>35082</v>
      </c>
      <c r="F1789" s="55" t="s">
        <v>6707</v>
      </c>
      <c r="G1789" s="55" t="s">
        <v>360</v>
      </c>
      <c r="H1789" s="55" t="s">
        <v>360</v>
      </c>
      <c r="I1789" s="55" t="s">
        <v>360</v>
      </c>
      <c r="J1789" s="55" t="s">
        <v>360</v>
      </c>
      <c r="K1789" s="55" t="s">
        <v>360</v>
      </c>
      <c r="L1789" s="55" t="s">
        <v>360</v>
      </c>
      <c r="M1789" s="55" t="s">
        <v>378</v>
      </c>
      <c r="N1789" s="55" t="s">
        <v>134</v>
      </c>
      <c r="O1789" s="55" t="s">
        <v>175</v>
      </c>
      <c r="P1789" s="55" t="s">
        <v>678</v>
      </c>
      <c r="Q1789" s="55" t="s">
        <v>350</v>
      </c>
      <c r="R1789" s="85">
        <v>32</v>
      </c>
      <c r="S1789" s="55">
        <v>0</v>
      </c>
      <c r="T1789" s="74" t="s">
        <v>1672</v>
      </c>
      <c r="U1789" s="74" t="s">
        <v>2053</v>
      </c>
      <c r="V1789" s="74">
        <v>44321</v>
      </c>
      <c r="W1789" s="74">
        <v>44363</v>
      </c>
      <c r="X1789" s="55">
        <v>10194773</v>
      </c>
      <c r="AL1789" s="74"/>
      <c r="AM1789" s="74"/>
      <c r="AW1789" s="74"/>
      <c r="AX1789" s="74"/>
    </row>
    <row r="1790" spans="1:50" ht="13" x14ac:dyDescent="0.15">
      <c r="A1790" s="55" t="str">
        <f t="shared" si="3"/>
        <v>Ofsted Social Care Provider Webpage</v>
      </c>
      <c r="B1790" s="55" t="s">
        <v>6734</v>
      </c>
      <c r="D1790" s="55" t="s">
        <v>479</v>
      </c>
      <c r="E1790" s="74">
        <v>35082</v>
      </c>
      <c r="F1790" s="55" t="s">
        <v>6707</v>
      </c>
      <c r="G1790" s="55" t="s">
        <v>360</v>
      </c>
      <c r="H1790" s="55" t="s">
        <v>360</v>
      </c>
      <c r="I1790" s="55" t="s">
        <v>360</v>
      </c>
      <c r="J1790" s="55" t="s">
        <v>360</v>
      </c>
      <c r="K1790" s="55" t="s">
        <v>360</v>
      </c>
      <c r="L1790" s="55" t="s">
        <v>360</v>
      </c>
      <c r="M1790" s="55" t="s">
        <v>378</v>
      </c>
      <c r="N1790" s="55" t="s">
        <v>134</v>
      </c>
      <c r="O1790" s="55" t="s">
        <v>175</v>
      </c>
      <c r="P1790" s="55" t="s">
        <v>678</v>
      </c>
      <c r="Q1790" s="55" t="s">
        <v>350</v>
      </c>
      <c r="R1790" s="85">
        <v>32</v>
      </c>
      <c r="S1790" s="55">
        <v>0</v>
      </c>
      <c r="T1790" s="74" t="s">
        <v>1672</v>
      </c>
      <c r="U1790" s="74" t="s">
        <v>2053</v>
      </c>
      <c r="V1790" s="74">
        <v>44356</v>
      </c>
      <c r="W1790" s="74">
        <v>44383</v>
      </c>
      <c r="X1790" s="55">
        <v>10197184</v>
      </c>
      <c r="AL1790" s="74"/>
      <c r="AM1790" s="74"/>
      <c r="AW1790" s="74"/>
      <c r="AX1790" s="74"/>
    </row>
    <row r="1791" spans="1:50" ht="13" x14ac:dyDescent="0.15">
      <c r="A1791" s="55" t="str">
        <f t="shared" si="3"/>
        <v>Ofsted Social Care Provider Webpage</v>
      </c>
      <c r="B1791" s="55" t="s">
        <v>6734</v>
      </c>
      <c r="D1791" s="55" t="s">
        <v>479</v>
      </c>
      <c r="E1791" s="74">
        <v>35082</v>
      </c>
      <c r="F1791" s="55" t="s">
        <v>6707</v>
      </c>
      <c r="G1791" s="55" t="s">
        <v>360</v>
      </c>
      <c r="H1791" s="55" t="s">
        <v>360</v>
      </c>
      <c r="I1791" s="55" t="s">
        <v>360</v>
      </c>
      <c r="J1791" s="55" t="s">
        <v>360</v>
      </c>
      <c r="K1791" s="55" t="s">
        <v>360</v>
      </c>
      <c r="L1791" s="55" t="s">
        <v>360</v>
      </c>
      <c r="M1791" s="55" t="s">
        <v>378</v>
      </c>
      <c r="N1791" s="55" t="s">
        <v>134</v>
      </c>
      <c r="O1791" s="55" t="s">
        <v>175</v>
      </c>
      <c r="P1791" s="55" t="s">
        <v>678</v>
      </c>
      <c r="Q1791" s="55" t="s">
        <v>350</v>
      </c>
      <c r="R1791" s="85">
        <v>32</v>
      </c>
      <c r="S1791" s="55">
        <v>0</v>
      </c>
      <c r="T1791" s="74" t="s">
        <v>1672</v>
      </c>
      <c r="U1791" s="74" t="s">
        <v>2053</v>
      </c>
      <c r="V1791" s="74">
        <v>44483</v>
      </c>
      <c r="W1791" s="74">
        <v>44538</v>
      </c>
      <c r="X1791" s="55">
        <v>10206487</v>
      </c>
      <c r="AL1791" s="74"/>
      <c r="AM1791" s="74"/>
      <c r="AW1791" s="74"/>
      <c r="AX1791" s="74"/>
    </row>
    <row r="1792" spans="1:50" ht="13" x14ac:dyDescent="0.15">
      <c r="A1792" s="55" t="str">
        <f>HYPERLINK("http://reports.ofsted.gov.uk/inspection-reports/find-inspection-report/provider/CARE/SC008268","Ofsted Social Care Provider Webpage")</f>
        <v>Ofsted Social Care Provider Webpage</v>
      </c>
      <c r="B1792" s="55" t="s">
        <v>2533</v>
      </c>
      <c r="D1792" s="55" t="s">
        <v>373</v>
      </c>
      <c r="E1792" s="74">
        <v>36861</v>
      </c>
      <c r="F1792" s="55" t="s">
        <v>344</v>
      </c>
      <c r="G1792" s="55" t="s">
        <v>360</v>
      </c>
      <c r="H1792" s="55" t="s">
        <v>360</v>
      </c>
      <c r="I1792" s="55" t="s">
        <v>360</v>
      </c>
      <c r="J1792" s="55" t="s">
        <v>360</v>
      </c>
      <c r="K1792" s="55" t="s">
        <v>360</v>
      </c>
      <c r="L1792" s="55" t="s">
        <v>360</v>
      </c>
      <c r="M1792" s="55" t="s">
        <v>142</v>
      </c>
      <c r="N1792" s="55" t="s">
        <v>142</v>
      </c>
      <c r="O1792" s="55" t="s">
        <v>265</v>
      </c>
      <c r="P1792" s="55" t="s">
        <v>1215</v>
      </c>
      <c r="Q1792" s="55" t="s">
        <v>350</v>
      </c>
      <c r="R1792" s="85">
        <v>2</v>
      </c>
      <c r="S1792" s="55">
        <v>0</v>
      </c>
      <c r="T1792" s="74" t="s">
        <v>1505</v>
      </c>
      <c r="U1792" s="74" t="s">
        <v>351</v>
      </c>
      <c r="V1792" s="74">
        <v>44424</v>
      </c>
      <c r="W1792" s="74">
        <v>44454</v>
      </c>
      <c r="X1792" s="55">
        <v>10187424</v>
      </c>
      <c r="Y1792" s="55" t="s">
        <v>132</v>
      </c>
      <c r="AB1792" s="74" t="s">
        <v>132</v>
      </c>
      <c r="AC1792" s="55" t="s">
        <v>132</v>
      </c>
      <c r="AL1792" s="74"/>
      <c r="AM1792" s="74"/>
      <c r="AW1792" s="74"/>
      <c r="AX1792" s="74"/>
    </row>
    <row r="1793" spans="1:50" ht="13" x14ac:dyDescent="0.15">
      <c r="A1793" s="55" t="str">
        <f>HYPERLINK("http://reports.ofsted.gov.uk/inspection-reports/find-inspection-report/provider/CARE/SC008269","Ofsted Social Care Provider Webpage")</f>
        <v>Ofsted Social Care Provider Webpage</v>
      </c>
      <c r="B1793" s="55" t="s">
        <v>2534</v>
      </c>
      <c r="D1793" s="55" t="s">
        <v>373</v>
      </c>
      <c r="E1793" s="74">
        <v>36882</v>
      </c>
      <c r="F1793" s="55" t="s">
        <v>344</v>
      </c>
      <c r="G1793" s="55" t="s">
        <v>360</v>
      </c>
      <c r="H1793" s="55" t="s">
        <v>360</v>
      </c>
      <c r="I1793" s="55" t="s">
        <v>360</v>
      </c>
      <c r="J1793" s="55" t="s">
        <v>360</v>
      </c>
      <c r="K1793" s="55" t="s">
        <v>360</v>
      </c>
      <c r="L1793" s="55" t="s">
        <v>360</v>
      </c>
      <c r="M1793" s="55" t="s">
        <v>142</v>
      </c>
      <c r="N1793" s="55" t="s">
        <v>142</v>
      </c>
      <c r="O1793" s="55" t="s">
        <v>265</v>
      </c>
      <c r="P1793" s="55" t="s">
        <v>1066</v>
      </c>
      <c r="Q1793" s="55" t="s">
        <v>350</v>
      </c>
      <c r="R1793" s="85">
        <v>3</v>
      </c>
      <c r="S1793" s="55">
        <v>0</v>
      </c>
      <c r="T1793" s="74" t="s">
        <v>1505</v>
      </c>
      <c r="U1793" s="74" t="s">
        <v>351</v>
      </c>
      <c r="V1793" s="74">
        <v>44517</v>
      </c>
      <c r="W1793" s="74">
        <v>44565</v>
      </c>
      <c r="X1793" s="55">
        <v>10185426</v>
      </c>
      <c r="Y1793" s="55" t="s">
        <v>132</v>
      </c>
      <c r="AB1793" s="74" t="s">
        <v>132</v>
      </c>
      <c r="AC1793" s="55" t="s">
        <v>132</v>
      </c>
      <c r="AL1793" s="74"/>
      <c r="AM1793" s="74"/>
      <c r="AW1793" s="74"/>
      <c r="AX1793" s="74"/>
    </row>
    <row r="1794" spans="1:50" ht="13" x14ac:dyDescent="0.15">
      <c r="A1794" s="55" t="str">
        <f>HYPERLINK("http://reports.ofsted.gov.uk/inspection-reports/find-inspection-report/provider/CARE/SC008270","Ofsted Social Care Provider Webpage")</f>
        <v>Ofsted Social Care Provider Webpage</v>
      </c>
      <c r="B1794" s="55" t="s">
        <v>2535</v>
      </c>
      <c r="D1794" s="55" t="s">
        <v>373</v>
      </c>
      <c r="E1794" s="74">
        <v>36861</v>
      </c>
      <c r="F1794" s="55" t="s">
        <v>344</v>
      </c>
      <c r="G1794" s="55" t="s">
        <v>360</v>
      </c>
      <c r="H1794" s="55" t="s">
        <v>360</v>
      </c>
      <c r="I1794" s="55" t="s">
        <v>360</v>
      </c>
      <c r="J1794" s="55" t="s">
        <v>360</v>
      </c>
      <c r="K1794" s="55" t="s">
        <v>360</v>
      </c>
      <c r="L1794" s="55" t="s">
        <v>360</v>
      </c>
      <c r="M1794" s="55" t="s">
        <v>142</v>
      </c>
      <c r="N1794" s="55" t="s">
        <v>142</v>
      </c>
      <c r="O1794" s="55" t="s">
        <v>265</v>
      </c>
      <c r="P1794" s="55" t="s">
        <v>1215</v>
      </c>
      <c r="Q1794" s="55" t="s">
        <v>350</v>
      </c>
      <c r="R1794" s="85">
        <v>2</v>
      </c>
      <c r="S1794" s="55">
        <v>0</v>
      </c>
      <c r="T1794" s="74" t="s">
        <v>1505</v>
      </c>
      <c r="U1794" s="74" t="s">
        <v>351</v>
      </c>
      <c r="V1794" s="74">
        <v>44356</v>
      </c>
      <c r="W1794" s="74">
        <v>44385</v>
      </c>
      <c r="X1794" s="55">
        <v>10187097</v>
      </c>
      <c r="Y1794" s="55" t="s">
        <v>132</v>
      </c>
      <c r="AB1794" s="74" t="s">
        <v>132</v>
      </c>
      <c r="AC1794" s="55" t="s">
        <v>132</v>
      </c>
      <c r="AL1794" s="74"/>
      <c r="AM1794" s="74"/>
    </row>
    <row r="1795" spans="1:50" ht="13" x14ac:dyDescent="0.15">
      <c r="A1795" s="55" t="str">
        <f>HYPERLINK("http://reports.ofsted.gov.uk/inspection-reports/find-inspection-report/provider/CARE/SC008271","Ofsted Social Care Provider Webpage")</f>
        <v>Ofsted Social Care Provider Webpage</v>
      </c>
      <c r="B1795" s="55" t="s">
        <v>2536</v>
      </c>
      <c r="D1795" s="55" t="s">
        <v>373</v>
      </c>
      <c r="E1795" s="74">
        <v>36882</v>
      </c>
      <c r="F1795" s="55" t="s">
        <v>344</v>
      </c>
      <c r="G1795" s="55" t="s">
        <v>360</v>
      </c>
      <c r="H1795" s="55" t="s">
        <v>360</v>
      </c>
      <c r="I1795" s="55" t="s">
        <v>360</v>
      </c>
      <c r="J1795" s="55" t="s">
        <v>360</v>
      </c>
      <c r="K1795" s="55" t="s">
        <v>360</v>
      </c>
      <c r="L1795" s="55" t="s">
        <v>360</v>
      </c>
      <c r="M1795" s="55" t="s">
        <v>142</v>
      </c>
      <c r="N1795" s="55" t="s">
        <v>142</v>
      </c>
      <c r="O1795" s="55" t="s">
        <v>265</v>
      </c>
      <c r="P1795" s="55" t="s">
        <v>540</v>
      </c>
      <c r="Q1795" s="55" t="s">
        <v>350</v>
      </c>
      <c r="R1795" s="85">
        <v>2</v>
      </c>
      <c r="S1795" s="55">
        <v>0</v>
      </c>
      <c r="T1795" s="74" t="s">
        <v>1505</v>
      </c>
      <c r="U1795" s="74" t="s">
        <v>351</v>
      </c>
      <c r="V1795" s="74">
        <v>44566</v>
      </c>
      <c r="W1795" s="74">
        <v>44608</v>
      </c>
      <c r="X1795" s="55">
        <v>10185235</v>
      </c>
      <c r="Y1795" s="55" t="s">
        <v>130</v>
      </c>
      <c r="AB1795" s="74" t="s">
        <v>130</v>
      </c>
      <c r="AC1795" s="55" t="s">
        <v>130</v>
      </c>
      <c r="AL1795" s="74"/>
      <c r="AM1795" s="74"/>
    </row>
    <row r="1796" spans="1:50" ht="13" x14ac:dyDescent="0.15">
      <c r="A1796" s="55" t="str">
        <f>HYPERLINK("http://reports.ofsted.gov.uk/inspection-reports/find-inspection-report/provider/CARE/SC008273","Ofsted Social Care Provider Webpage")</f>
        <v>Ofsted Social Care Provider Webpage</v>
      </c>
      <c r="B1796" s="55" t="s">
        <v>2537</v>
      </c>
      <c r="D1796" s="55" t="s">
        <v>373</v>
      </c>
      <c r="E1796" s="74">
        <v>36999</v>
      </c>
      <c r="F1796" s="55" t="s">
        <v>344</v>
      </c>
      <c r="G1796" s="55" t="s">
        <v>360</v>
      </c>
      <c r="H1796" s="55" t="s">
        <v>360</v>
      </c>
      <c r="I1796" s="55" t="s">
        <v>360</v>
      </c>
      <c r="J1796" s="55" t="s">
        <v>360</v>
      </c>
      <c r="K1796" s="55" t="s">
        <v>360</v>
      </c>
      <c r="L1796" s="55" t="s">
        <v>360</v>
      </c>
      <c r="M1796" s="55" t="s">
        <v>142</v>
      </c>
      <c r="N1796" s="55" t="s">
        <v>142</v>
      </c>
      <c r="O1796" s="55" t="s">
        <v>265</v>
      </c>
      <c r="P1796" s="55" t="s">
        <v>540</v>
      </c>
      <c r="Q1796" s="55" t="s">
        <v>350</v>
      </c>
      <c r="R1796" s="85">
        <v>2</v>
      </c>
      <c r="S1796" s="55">
        <v>0</v>
      </c>
      <c r="T1796" s="74" t="s">
        <v>910</v>
      </c>
      <c r="U1796" s="74" t="s">
        <v>351</v>
      </c>
      <c r="V1796" s="74">
        <v>44544</v>
      </c>
      <c r="W1796" s="74">
        <v>44588</v>
      </c>
      <c r="X1796" s="55">
        <v>10186665</v>
      </c>
      <c r="Y1796" s="55" t="s">
        <v>132</v>
      </c>
      <c r="AB1796" s="74" t="s">
        <v>132</v>
      </c>
      <c r="AC1796" s="55" t="s">
        <v>132</v>
      </c>
      <c r="AL1796" s="74"/>
      <c r="AM1796" s="74"/>
      <c r="AW1796" s="74"/>
      <c r="AX1796" s="74"/>
    </row>
    <row r="1797" spans="1:50" ht="13" x14ac:dyDescent="0.15">
      <c r="A1797" s="55" t="str">
        <f>HYPERLINK("http://reports.ofsted.gov.uk/inspection-reports/find-inspection-report/provider/CARE/SC008274","Ofsted Social Care Provider Webpage")</f>
        <v>Ofsted Social Care Provider Webpage</v>
      </c>
      <c r="B1797" s="55" t="s">
        <v>2538</v>
      </c>
      <c r="D1797" s="55" t="s">
        <v>373</v>
      </c>
      <c r="E1797" s="74">
        <v>36999</v>
      </c>
      <c r="F1797" s="55" t="s">
        <v>344</v>
      </c>
      <c r="G1797" s="55" t="s">
        <v>360</v>
      </c>
      <c r="H1797" s="55" t="s">
        <v>360</v>
      </c>
      <c r="I1797" s="55" t="s">
        <v>360</v>
      </c>
      <c r="J1797" s="55" t="s">
        <v>360</v>
      </c>
      <c r="K1797" s="55" t="s">
        <v>360</v>
      </c>
      <c r="L1797" s="55" t="s">
        <v>360</v>
      </c>
      <c r="M1797" s="55" t="s">
        <v>142</v>
      </c>
      <c r="N1797" s="55" t="s">
        <v>142</v>
      </c>
      <c r="O1797" s="55" t="s">
        <v>265</v>
      </c>
      <c r="P1797" s="55" t="s">
        <v>540</v>
      </c>
      <c r="Q1797" s="55" t="s">
        <v>350</v>
      </c>
      <c r="R1797" s="85">
        <v>1</v>
      </c>
      <c r="S1797" s="55">
        <v>0</v>
      </c>
      <c r="T1797" s="74" t="s">
        <v>910</v>
      </c>
      <c r="U1797" s="74" t="s">
        <v>351</v>
      </c>
      <c r="V1797" s="74">
        <v>44348</v>
      </c>
      <c r="W1797" s="74">
        <v>44377</v>
      </c>
      <c r="X1797" s="55">
        <v>10187584</v>
      </c>
      <c r="Y1797" s="55" t="s">
        <v>132</v>
      </c>
      <c r="AB1797" s="74" t="s">
        <v>132</v>
      </c>
      <c r="AC1797" s="55" t="s">
        <v>132</v>
      </c>
      <c r="AL1797" s="74"/>
      <c r="AM1797" s="74"/>
      <c r="AW1797" s="74"/>
      <c r="AX1797" s="74"/>
    </row>
    <row r="1798" spans="1:50" ht="13" x14ac:dyDescent="0.15">
      <c r="A1798" s="55" t="str">
        <f>HYPERLINK("http://reports.ofsted.gov.uk/inspection-reports/find-inspection-report/provider/CARE/SC008476","Ofsted Social Care Provider Webpage")</f>
        <v>Ofsted Social Care Provider Webpage</v>
      </c>
      <c r="B1798" s="55" t="s">
        <v>2539</v>
      </c>
      <c r="C1798" s="55">
        <v>105372</v>
      </c>
      <c r="D1798" s="55" t="s">
        <v>398</v>
      </c>
      <c r="E1798" s="74">
        <v>37300</v>
      </c>
      <c r="F1798" s="55" t="s">
        <v>344</v>
      </c>
      <c r="G1798" s="55" t="s">
        <v>2493</v>
      </c>
      <c r="H1798" s="55" t="s">
        <v>2540</v>
      </c>
      <c r="I1798" s="55" t="s">
        <v>2541</v>
      </c>
      <c r="J1798" s="55" t="s">
        <v>2542</v>
      </c>
      <c r="K1798" s="55" t="s">
        <v>209</v>
      </c>
      <c r="L1798" s="55" t="s">
        <v>2543</v>
      </c>
      <c r="M1798" s="55" t="s">
        <v>144</v>
      </c>
      <c r="N1798" s="55" t="s">
        <v>144</v>
      </c>
      <c r="O1798" s="55" t="s">
        <v>157</v>
      </c>
      <c r="P1798" s="55" t="s">
        <v>1092</v>
      </c>
      <c r="Q1798" s="55" t="s">
        <v>362</v>
      </c>
      <c r="R1798" s="85">
        <v>155</v>
      </c>
      <c r="S1798" s="55">
        <v>0</v>
      </c>
      <c r="U1798" s="74" t="s">
        <v>2053</v>
      </c>
      <c r="V1798" s="74">
        <v>44481</v>
      </c>
      <c r="W1798" s="74">
        <v>44531</v>
      </c>
      <c r="X1798" s="55">
        <v>10204563</v>
      </c>
      <c r="AL1798" s="74"/>
      <c r="AM1798" s="74"/>
      <c r="AW1798" s="74"/>
      <c r="AX1798" s="74"/>
    </row>
    <row r="1799" spans="1:50" ht="13" x14ac:dyDescent="0.15">
      <c r="A1799" s="55" t="str">
        <f>HYPERLINK("http://reports.ofsted.gov.uk/inspection-reports/find-inspection-report/provider/CARE/SC008476","Ofsted Social Care Provider Webpage")</f>
        <v>Ofsted Social Care Provider Webpage</v>
      </c>
      <c r="B1799" s="55" t="s">
        <v>2539</v>
      </c>
      <c r="C1799" s="55">
        <v>105372</v>
      </c>
      <c r="D1799" s="55" t="s">
        <v>398</v>
      </c>
      <c r="E1799" s="74">
        <v>37300</v>
      </c>
      <c r="F1799" s="55" t="s">
        <v>344</v>
      </c>
      <c r="G1799" s="55" t="s">
        <v>2493</v>
      </c>
      <c r="H1799" s="55" t="s">
        <v>2540</v>
      </c>
      <c r="I1799" s="55" t="s">
        <v>2541</v>
      </c>
      <c r="J1799" s="55" t="s">
        <v>2542</v>
      </c>
      <c r="K1799" s="55" t="s">
        <v>209</v>
      </c>
      <c r="L1799" s="55" t="s">
        <v>2543</v>
      </c>
      <c r="M1799" s="55" t="s">
        <v>144</v>
      </c>
      <c r="N1799" s="55" t="s">
        <v>144</v>
      </c>
      <c r="O1799" s="55" t="s">
        <v>157</v>
      </c>
      <c r="P1799" s="55" t="s">
        <v>1092</v>
      </c>
      <c r="Q1799" s="55" t="s">
        <v>362</v>
      </c>
      <c r="R1799" s="85">
        <v>155</v>
      </c>
      <c r="S1799" s="55">
        <v>0</v>
      </c>
      <c r="U1799" s="74" t="s">
        <v>351</v>
      </c>
      <c r="V1799" s="74">
        <v>44586</v>
      </c>
      <c r="W1799" s="74">
        <v>44645</v>
      </c>
      <c r="X1799" s="55">
        <v>10183283</v>
      </c>
      <c r="Y1799" s="55" t="s">
        <v>130</v>
      </c>
      <c r="AB1799" s="74" t="s">
        <v>132</v>
      </c>
      <c r="AC1799" s="55" t="s">
        <v>130</v>
      </c>
      <c r="AL1799" s="74"/>
      <c r="AM1799" s="74"/>
      <c r="AW1799" s="74"/>
      <c r="AX1799" s="74"/>
    </row>
    <row r="1800" spans="1:50" ht="13" x14ac:dyDescent="0.15">
      <c r="A1800" s="55" t="str">
        <f>HYPERLINK("http://reports.ofsted.gov.uk/inspection-reports/find-inspection-report/provider/CARE/SC008484","Ofsted Social Care Provider Webpage")</f>
        <v>Ofsted Social Care Provider Webpage</v>
      </c>
      <c r="B1800" s="55" t="s">
        <v>2544</v>
      </c>
      <c r="D1800" s="55" t="s">
        <v>373</v>
      </c>
      <c r="E1800" s="74">
        <v>34352</v>
      </c>
      <c r="F1800" s="55" t="s">
        <v>344</v>
      </c>
      <c r="G1800" s="55" t="s">
        <v>360</v>
      </c>
      <c r="H1800" s="55" t="s">
        <v>360</v>
      </c>
      <c r="I1800" s="55" t="s">
        <v>360</v>
      </c>
      <c r="J1800" s="55" t="s">
        <v>360</v>
      </c>
      <c r="K1800" s="55" t="s">
        <v>360</v>
      </c>
      <c r="L1800" s="55" t="s">
        <v>360</v>
      </c>
      <c r="M1800" s="55" t="s">
        <v>144</v>
      </c>
      <c r="N1800" s="55" t="s">
        <v>144</v>
      </c>
      <c r="O1800" s="55" t="s">
        <v>263</v>
      </c>
      <c r="P1800" s="55" t="s">
        <v>1211</v>
      </c>
      <c r="Q1800" s="55" t="s">
        <v>350</v>
      </c>
      <c r="R1800" s="85">
        <v>6</v>
      </c>
      <c r="S1800" s="55">
        <v>0</v>
      </c>
      <c r="U1800" s="74" t="s">
        <v>351</v>
      </c>
      <c r="V1800" s="74">
        <v>44543</v>
      </c>
      <c r="W1800" s="74">
        <v>44587</v>
      </c>
      <c r="X1800" s="55">
        <v>10185363</v>
      </c>
      <c r="Y1800" s="55" t="s">
        <v>132</v>
      </c>
      <c r="AB1800" s="74" t="s">
        <v>132</v>
      </c>
      <c r="AC1800" s="55" t="s">
        <v>130</v>
      </c>
      <c r="AL1800" s="74"/>
      <c r="AM1800" s="74"/>
      <c r="AW1800" s="74"/>
      <c r="AX1800" s="74"/>
    </row>
    <row r="1801" spans="1:50" ht="13" x14ac:dyDescent="0.15">
      <c r="A1801" s="55" t="str">
        <f>HYPERLINK("http://reports.ofsted.gov.uk/inspection-reports/find-inspection-report/provider/CARE/SC008485","Ofsted Social Care Provider Webpage")</f>
        <v>Ofsted Social Care Provider Webpage</v>
      </c>
      <c r="B1801" s="55" t="s">
        <v>2545</v>
      </c>
      <c r="D1801" s="55" t="s">
        <v>373</v>
      </c>
      <c r="E1801" s="74">
        <v>34900</v>
      </c>
      <c r="F1801" s="55" t="s">
        <v>344</v>
      </c>
      <c r="G1801" s="55" t="s">
        <v>360</v>
      </c>
      <c r="H1801" s="55" t="s">
        <v>360</v>
      </c>
      <c r="I1801" s="55" t="s">
        <v>360</v>
      </c>
      <c r="J1801" s="55" t="s">
        <v>360</v>
      </c>
      <c r="K1801" s="55" t="s">
        <v>360</v>
      </c>
      <c r="L1801" s="55" t="s">
        <v>360</v>
      </c>
      <c r="M1801" s="55" t="s">
        <v>144</v>
      </c>
      <c r="N1801" s="55" t="s">
        <v>144</v>
      </c>
      <c r="O1801" s="55" t="s">
        <v>263</v>
      </c>
      <c r="P1801" s="55" t="s">
        <v>876</v>
      </c>
      <c r="Q1801" s="55" t="s">
        <v>350</v>
      </c>
      <c r="R1801" s="85">
        <v>5</v>
      </c>
      <c r="S1801" s="55">
        <v>0</v>
      </c>
      <c r="T1801" s="74" t="s">
        <v>2359</v>
      </c>
      <c r="U1801" s="74" t="s">
        <v>351</v>
      </c>
      <c r="V1801" s="74">
        <v>44447</v>
      </c>
      <c r="W1801" s="74">
        <v>44481</v>
      </c>
      <c r="X1801" s="55">
        <v>10202494</v>
      </c>
      <c r="Y1801" s="55" t="s">
        <v>130</v>
      </c>
      <c r="AB1801" s="74" t="s">
        <v>130</v>
      </c>
      <c r="AC1801" s="55" t="s">
        <v>130</v>
      </c>
      <c r="AL1801" s="74"/>
      <c r="AM1801" s="74"/>
      <c r="AW1801" s="74"/>
      <c r="AX1801" s="74"/>
    </row>
    <row r="1802" spans="1:50" ht="13" x14ac:dyDescent="0.15">
      <c r="A1802" s="55" t="str">
        <f>HYPERLINK("http://reports.ofsted.gov.uk/inspection-reports/find-inspection-report/provider/CARE/SC008485","Ofsted Social Care Provider Webpage")</f>
        <v>Ofsted Social Care Provider Webpage</v>
      </c>
      <c r="B1802" s="55" t="s">
        <v>2545</v>
      </c>
      <c r="D1802" s="55" t="s">
        <v>373</v>
      </c>
      <c r="E1802" s="74">
        <v>34900</v>
      </c>
      <c r="F1802" s="55" t="s">
        <v>344</v>
      </c>
      <c r="G1802" s="55" t="s">
        <v>360</v>
      </c>
      <c r="H1802" s="55" t="s">
        <v>360</v>
      </c>
      <c r="I1802" s="55" t="s">
        <v>360</v>
      </c>
      <c r="J1802" s="55" t="s">
        <v>360</v>
      </c>
      <c r="K1802" s="55" t="s">
        <v>360</v>
      </c>
      <c r="L1802" s="55" t="s">
        <v>360</v>
      </c>
      <c r="M1802" s="55" t="s">
        <v>144</v>
      </c>
      <c r="N1802" s="55" t="s">
        <v>144</v>
      </c>
      <c r="O1802" s="55" t="s">
        <v>263</v>
      </c>
      <c r="P1802" s="55" t="s">
        <v>876</v>
      </c>
      <c r="Q1802" s="55" t="s">
        <v>350</v>
      </c>
      <c r="R1802" s="85">
        <v>5</v>
      </c>
      <c r="S1802" s="55">
        <v>0</v>
      </c>
      <c r="T1802" s="74" t="s">
        <v>2359</v>
      </c>
      <c r="U1802" s="74" t="s">
        <v>351</v>
      </c>
      <c r="V1802" s="74">
        <v>44384</v>
      </c>
      <c r="W1802" s="74">
        <v>44432</v>
      </c>
      <c r="X1802" s="55">
        <v>10185475</v>
      </c>
      <c r="Y1802" s="55" t="s">
        <v>146</v>
      </c>
      <c r="AB1802" s="74" t="s">
        <v>146</v>
      </c>
      <c r="AC1802" s="55" t="s">
        <v>146</v>
      </c>
      <c r="AL1802" s="74"/>
      <c r="AM1802" s="74"/>
      <c r="AW1802" s="74"/>
      <c r="AX1802" s="74"/>
    </row>
    <row r="1803" spans="1:50" ht="13" x14ac:dyDescent="0.15">
      <c r="A1803" s="55" t="str">
        <f>HYPERLINK("http://reports.ofsted.gov.uk/inspection-reports/find-inspection-report/provider/CARE/SC008486","Ofsted Social Care Provider Webpage")</f>
        <v>Ofsted Social Care Provider Webpage</v>
      </c>
      <c r="B1803" s="55" t="s">
        <v>2546</v>
      </c>
      <c r="D1803" s="55" t="s">
        <v>373</v>
      </c>
      <c r="E1803" s="74">
        <v>33915</v>
      </c>
      <c r="F1803" s="55" t="s">
        <v>344</v>
      </c>
      <c r="G1803" s="55" t="s">
        <v>360</v>
      </c>
      <c r="H1803" s="55" t="s">
        <v>360</v>
      </c>
      <c r="I1803" s="55" t="s">
        <v>360</v>
      </c>
      <c r="J1803" s="55" t="s">
        <v>360</v>
      </c>
      <c r="K1803" s="55" t="s">
        <v>360</v>
      </c>
      <c r="L1803" s="55" t="s">
        <v>360</v>
      </c>
      <c r="M1803" s="55" t="s">
        <v>144</v>
      </c>
      <c r="N1803" s="55" t="s">
        <v>144</v>
      </c>
      <c r="O1803" s="55" t="s">
        <v>263</v>
      </c>
      <c r="P1803" s="55" t="s">
        <v>263</v>
      </c>
      <c r="Q1803" s="55" t="s">
        <v>350</v>
      </c>
      <c r="R1803" s="85">
        <v>6</v>
      </c>
      <c r="S1803" s="55">
        <v>0</v>
      </c>
      <c r="T1803" s="74" t="s">
        <v>1505</v>
      </c>
      <c r="U1803" s="74" t="s">
        <v>351</v>
      </c>
      <c r="V1803" s="74">
        <v>44565</v>
      </c>
      <c r="W1803" s="74">
        <v>44596</v>
      </c>
      <c r="X1803" s="55">
        <v>10187562</v>
      </c>
      <c r="Y1803" s="55" t="s">
        <v>132</v>
      </c>
      <c r="AB1803" s="74" t="s">
        <v>132</v>
      </c>
      <c r="AC1803" s="55" t="s">
        <v>132</v>
      </c>
      <c r="AL1803" s="74"/>
      <c r="AM1803" s="74"/>
      <c r="AW1803" s="74"/>
      <c r="AX1803" s="74"/>
    </row>
    <row r="1804" spans="1:50" ht="13" x14ac:dyDescent="0.15">
      <c r="A1804" s="55" t="str">
        <f>HYPERLINK("http://reports.ofsted.gov.uk/inspection-reports/find-inspection-report/provider/CARE/SC008487","Ofsted Social Care Provider Webpage")</f>
        <v>Ofsted Social Care Provider Webpage</v>
      </c>
      <c r="B1804" s="55" t="s">
        <v>2547</v>
      </c>
      <c r="D1804" s="55" t="s">
        <v>373</v>
      </c>
      <c r="E1804" s="74">
        <v>33987</v>
      </c>
      <c r="F1804" s="55" t="s">
        <v>344</v>
      </c>
      <c r="G1804" s="55" t="s">
        <v>360</v>
      </c>
      <c r="H1804" s="55" t="s">
        <v>360</v>
      </c>
      <c r="I1804" s="55" t="s">
        <v>360</v>
      </c>
      <c r="J1804" s="55" t="s">
        <v>360</v>
      </c>
      <c r="K1804" s="55" t="s">
        <v>360</v>
      </c>
      <c r="L1804" s="55" t="s">
        <v>360</v>
      </c>
      <c r="M1804" s="55" t="s">
        <v>144</v>
      </c>
      <c r="N1804" s="55" t="s">
        <v>144</v>
      </c>
      <c r="O1804" s="55" t="s">
        <v>263</v>
      </c>
      <c r="P1804" s="55" t="s">
        <v>263</v>
      </c>
      <c r="Q1804" s="55" t="s">
        <v>350</v>
      </c>
      <c r="R1804" s="85">
        <v>6</v>
      </c>
      <c r="S1804" s="55">
        <v>0</v>
      </c>
      <c r="T1804" s="74" t="s">
        <v>1505</v>
      </c>
      <c r="U1804" s="74" t="s">
        <v>351</v>
      </c>
      <c r="V1804" s="74">
        <v>44593</v>
      </c>
      <c r="W1804" s="74">
        <v>44628</v>
      </c>
      <c r="X1804" s="55">
        <v>10186450</v>
      </c>
      <c r="Y1804" s="55" t="s">
        <v>140</v>
      </c>
      <c r="AB1804" s="74" t="s">
        <v>140</v>
      </c>
      <c r="AC1804" s="55" t="s">
        <v>140</v>
      </c>
      <c r="AL1804" s="74"/>
      <c r="AM1804" s="74"/>
      <c r="AW1804" s="74"/>
      <c r="AX1804" s="74"/>
    </row>
    <row r="1805" spans="1:50" ht="13" x14ac:dyDescent="0.15">
      <c r="A1805" s="55" t="str">
        <f>HYPERLINK("http://reports.ofsted.gov.uk/inspection-reports/find-inspection-report/provider/CARE/SC008488","Ofsted Social Care Provider Webpage")</f>
        <v>Ofsted Social Care Provider Webpage</v>
      </c>
      <c r="B1805" s="55" t="s">
        <v>2548</v>
      </c>
      <c r="D1805" s="55" t="s">
        <v>373</v>
      </c>
      <c r="E1805" s="74">
        <v>36404</v>
      </c>
      <c r="F1805" s="55" t="s">
        <v>344</v>
      </c>
      <c r="G1805" s="55" t="s">
        <v>360</v>
      </c>
      <c r="H1805" s="55" t="s">
        <v>360</v>
      </c>
      <c r="I1805" s="55" t="s">
        <v>360</v>
      </c>
      <c r="J1805" s="55" t="s">
        <v>360</v>
      </c>
      <c r="K1805" s="55" t="s">
        <v>360</v>
      </c>
      <c r="L1805" s="55" t="s">
        <v>360</v>
      </c>
      <c r="M1805" s="55" t="s">
        <v>144</v>
      </c>
      <c r="N1805" s="55" t="s">
        <v>144</v>
      </c>
      <c r="O1805" s="55" t="s">
        <v>263</v>
      </c>
      <c r="P1805" s="55" t="s">
        <v>1211</v>
      </c>
      <c r="Q1805" s="55" t="s">
        <v>350</v>
      </c>
      <c r="R1805" s="85">
        <v>8</v>
      </c>
      <c r="S1805" s="55">
        <v>0</v>
      </c>
      <c r="T1805" s="74" t="s">
        <v>630</v>
      </c>
      <c r="U1805" s="74" t="s">
        <v>6703</v>
      </c>
      <c r="V1805" s="74">
        <v>44536</v>
      </c>
      <c r="W1805" s="74">
        <v>44586</v>
      </c>
      <c r="X1805" s="55">
        <v>10209615</v>
      </c>
      <c r="Y1805" s="55" t="s">
        <v>6705</v>
      </c>
      <c r="AL1805" s="74"/>
      <c r="AM1805" s="74"/>
    </row>
    <row r="1806" spans="1:50" ht="13" x14ac:dyDescent="0.15">
      <c r="A1806" s="55" t="str">
        <f>HYPERLINK("http://reports.ofsted.gov.uk/inspection-reports/find-inspection-report/provider/CARE/SC008488","Ofsted Social Care Provider Webpage")</f>
        <v>Ofsted Social Care Provider Webpage</v>
      </c>
      <c r="B1806" s="55" t="s">
        <v>2548</v>
      </c>
      <c r="D1806" s="55" t="s">
        <v>373</v>
      </c>
      <c r="E1806" s="74">
        <v>36404</v>
      </c>
      <c r="F1806" s="55" t="s">
        <v>344</v>
      </c>
      <c r="G1806" s="55" t="s">
        <v>360</v>
      </c>
      <c r="H1806" s="55" t="s">
        <v>360</v>
      </c>
      <c r="I1806" s="55" t="s">
        <v>360</v>
      </c>
      <c r="J1806" s="55" t="s">
        <v>360</v>
      </c>
      <c r="K1806" s="55" t="s">
        <v>360</v>
      </c>
      <c r="L1806" s="55" t="s">
        <v>360</v>
      </c>
      <c r="M1806" s="55" t="s">
        <v>144</v>
      </c>
      <c r="N1806" s="55" t="s">
        <v>144</v>
      </c>
      <c r="O1806" s="55" t="s">
        <v>263</v>
      </c>
      <c r="P1806" s="55" t="s">
        <v>1211</v>
      </c>
      <c r="Q1806" s="55" t="s">
        <v>350</v>
      </c>
      <c r="R1806" s="85">
        <v>8</v>
      </c>
      <c r="S1806" s="55">
        <v>0</v>
      </c>
      <c r="T1806" s="74" t="s">
        <v>630</v>
      </c>
      <c r="U1806" s="74" t="s">
        <v>351</v>
      </c>
      <c r="V1806" s="74">
        <v>44391</v>
      </c>
      <c r="W1806" s="74">
        <v>44431</v>
      </c>
      <c r="X1806" s="55">
        <v>10186099</v>
      </c>
      <c r="Y1806" s="55" t="s">
        <v>130</v>
      </c>
      <c r="AB1806" s="74" t="s">
        <v>130</v>
      </c>
      <c r="AC1806" s="55" t="s">
        <v>146</v>
      </c>
      <c r="AL1806" s="74"/>
      <c r="AM1806" s="74"/>
      <c r="AW1806" s="74"/>
      <c r="AX1806" s="74"/>
    </row>
    <row r="1807" spans="1:50" ht="13" x14ac:dyDescent="0.15">
      <c r="A1807" s="55" t="str">
        <f>HYPERLINK("http://reports.ofsted.gov.uk/inspection-reports/find-inspection-report/provider/CARE/SC008490","Ofsted Social Care Provider Webpage")</f>
        <v>Ofsted Social Care Provider Webpage</v>
      </c>
      <c r="B1807" s="55" t="s">
        <v>2549</v>
      </c>
      <c r="D1807" s="55" t="s">
        <v>373</v>
      </c>
      <c r="E1807" s="74">
        <v>37020</v>
      </c>
      <c r="F1807" s="55" t="s">
        <v>344</v>
      </c>
      <c r="G1807" s="55" t="s">
        <v>360</v>
      </c>
      <c r="H1807" s="55" t="s">
        <v>360</v>
      </c>
      <c r="I1807" s="55" t="s">
        <v>360</v>
      </c>
      <c r="J1807" s="55" t="s">
        <v>360</v>
      </c>
      <c r="K1807" s="55" t="s">
        <v>360</v>
      </c>
      <c r="L1807" s="55" t="s">
        <v>360</v>
      </c>
      <c r="M1807" s="55" t="s">
        <v>144</v>
      </c>
      <c r="N1807" s="55" t="s">
        <v>144</v>
      </c>
      <c r="O1807" s="55" t="s">
        <v>263</v>
      </c>
      <c r="P1807" s="55" t="s">
        <v>876</v>
      </c>
      <c r="Q1807" s="55" t="s">
        <v>350</v>
      </c>
      <c r="R1807" s="85">
        <v>4</v>
      </c>
      <c r="S1807" s="55">
        <v>0</v>
      </c>
      <c r="T1807" s="74" t="s">
        <v>2432</v>
      </c>
      <c r="U1807" s="74" t="s">
        <v>351</v>
      </c>
      <c r="V1807" s="74">
        <v>44594</v>
      </c>
      <c r="W1807" s="74">
        <v>44638</v>
      </c>
      <c r="X1807" s="55">
        <v>10187254</v>
      </c>
      <c r="Y1807" s="55" t="s">
        <v>132</v>
      </c>
      <c r="AB1807" s="74" t="s">
        <v>132</v>
      </c>
      <c r="AC1807" s="55" t="s">
        <v>132</v>
      </c>
      <c r="AL1807" s="74"/>
      <c r="AM1807" s="74"/>
      <c r="AW1807" s="74"/>
      <c r="AX1807" s="74"/>
    </row>
    <row r="1808" spans="1:50" ht="13" x14ac:dyDescent="0.15">
      <c r="A1808" s="55" t="str">
        <f>HYPERLINK("http://reports.ofsted.gov.uk/inspection-reports/find-inspection-report/provider/CARE/SC008575","Ofsted Social Care Provider Webpage")</f>
        <v>Ofsted Social Care Provider Webpage</v>
      </c>
      <c r="B1808" s="55" t="s">
        <v>2550</v>
      </c>
      <c r="D1808" s="55" t="s">
        <v>373</v>
      </c>
      <c r="E1808" s="74">
        <v>36840</v>
      </c>
      <c r="F1808" s="55" t="s">
        <v>344</v>
      </c>
      <c r="G1808" s="55" t="s">
        <v>360</v>
      </c>
      <c r="H1808" s="55" t="s">
        <v>360</v>
      </c>
      <c r="I1808" s="55" t="s">
        <v>360</v>
      </c>
      <c r="J1808" s="55" t="s">
        <v>360</v>
      </c>
      <c r="K1808" s="55" t="s">
        <v>360</v>
      </c>
      <c r="L1808" s="55" t="s">
        <v>360</v>
      </c>
      <c r="M1808" s="55" t="s">
        <v>144</v>
      </c>
      <c r="N1808" s="55" t="s">
        <v>144</v>
      </c>
      <c r="O1808" s="55" t="s">
        <v>263</v>
      </c>
      <c r="P1808" s="55" t="s">
        <v>876</v>
      </c>
      <c r="Q1808" s="55" t="s">
        <v>362</v>
      </c>
      <c r="R1808" s="85">
        <v>5</v>
      </c>
      <c r="S1808" s="55">
        <v>0</v>
      </c>
      <c r="T1808" s="74" t="s">
        <v>2551</v>
      </c>
      <c r="U1808" s="74" t="s">
        <v>351</v>
      </c>
      <c r="V1808" s="74">
        <v>44482</v>
      </c>
      <c r="W1808" s="74">
        <v>44518</v>
      </c>
      <c r="X1808" s="55">
        <v>10187603</v>
      </c>
      <c r="Y1808" s="55" t="s">
        <v>132</v>
      </c>
      <c r="AB1808" s="74" t="s">
        <v>132</v>
      </c>
      <c r="AC1808" s="55" t="s">
        <v>132</v>
      </c>
      <c r="AL1808" s="74"/>
      <c r="AM1808" s="74"/>
      <c r="AW1808" s="74"/>
      <c r="AX1808" s="74"/>
    </row>
    <row r="1809" spans="1:50" ht="13" x14ac:dyDescent="0.15">
      <c r="A1809" s="55" t="str">
        <f>HYPERLINK("http://reports.ofsted.gov.uk/inspection-reports/find-inspection-report/provider/CARE/SC008600","Ofsted Social Care Provider Webpage")</f>
        <v>Ofsted Social Care Provider Webpage</v>
      </c>
      <c r="B1809" s="55" t="s">
        <v>2552</v>
      </c>
      <c r="D1809" s="55" t="s">
        <v>373</v>
      </c>
      <c r="E1809" s="74">
        <v>35858</v>
      </c>
      <c r="F1809" s="55" t="s">
        <v>344</v>
      </c>
      <c r="G1809" s="55" t="s">
        <v>360</v>
      </c>
      <c r="H1809" s="55" t="s">
        <v>360</v>
      </c>
      <c r="I1809" s="55" t="s">
        <v>360</v>
      </c>
      <c r="J1809" s="55" t="s">
        <v>360</v>
      </c>
      <c r="K1809" s="55" t="s">
        <v>360</v>
      </c>
      <c r="L1809" s="55" t="s">
        <v>360</v>
      </c>
      <c r="M1809" s="55" t="s">
        <v>144</v>
      </c>
      <c r="N1809" s="55" t="s">
        <v>144</v>
      </c>
      <c r="O1809" s="55" t="s">
        <v>263</v>
      </c>
      <c r="P1809" s="55" t="s">
        <v>876</v>
      </c>
      <c r="Q1809" s="55" t="s">
        <v>350</v>
      </c>
      <c r="R1809" s="85">
        <v>6</v>
      </c>
      <c r="S1809" s="55">
        <v>0</v>
      </c>
      <c r="T1809" s="74" t="s">
        <v>1093</v>
      </c>
      <c r="U1809" s="74" t="s">
        <v>351</v>
      </c>
      <c r="V1809" s="74">
        <v>44425</v>
      </c>
      <c r="W1809" s="74">
        <v>44470</v>
      </c>
      <c r="X1809" s="55">
        <v>10186106</v>
      </c>
      <c r="Y1809" s="55" t="s">
        <v>132</v>
      </c>
      <c r="AB1809" s="74" t="s">
        <v>132</v>
      </c>
      <c r="AC1809" s="55" t="s">
        <v>130</v>
      </c>
      <c r="AL1809" s="74"/>
      <c r="AM1809" s="74"/>
      <c r="AW1809" s="74"/>
      <c r="AX1809" s="74"/>
    </row>
    <row r="1810" spans="1:50" ht="13" x14ac:dyDescent="0.15">
      <c r="A1810" s="55" t="str">
        <f>HYPERLINK("http://reports.ofsted.gov.uk/inspection-reports/find-inspection-report/provider/CARE/SC008607","Ofsted Social Care Provider Webpage")</f>
        <v>Ofsted Social Care Provider Webpage</v>
      </c>
      <c r="B1810" s="55" t="s">
        <v>2553</v>
      </c>
      <c r="D1810" s="55" t="s">
        <v>373</v>
      </c>
      <c r="E1810" s="74">
        <v>37074</v>
      </c>
      <c r="F1810" s="55" t="s">
        <v>344</v>
      </c>
      <c r="G1810" s="55" t="s">
        <v>360</v>
      </c>
      <c r="H1810" s="55" t="s">
        <v>360</v>
      </c>
      <c r="I1810" s="55" t="s">
        <v>360</v>
      </c>
      <c r="J1810" s="55" t="s">
        <v>360</v>
      </c>
      <c r="K1810" s="55" t="s">
        <v>360</v>
      </c>
      <c r="L1810" s="55" t="s">
        <v>360</v>
      </c>
      <c r="M1810" s="55" t="s">
        <v>144</v>
      </c>
      <c r="N1810" s="55" t="s">
        <v>144</v>
      </c>
      <c r="O1810" s="55" t="s">
        <v>263</v>
      </c>
      <c r="P1810" s="55" t="s">
        <v>263</v>
      </c>
      <c r="Q1810" s="55" t="s">
        <v>350</v>
      </c>
      <c r="R1810" s="85">
        <v>2</v>
      </c>
      <c r="S1810" s="55">
        <v>0</v>
      </c>
      <c r="T1810" s="74" t="s">
        <v>1505</v>
      </c>
      <c r="U1810" s="74" t="s">
        <v>351</v>
      </c>
      <c r="V1810" s="74">
        <v>44432</v>
      </c>
      <c r="W1810" s="74">
        <v>44474</v>
      </c>
      <c r="X1810" s="55">
        <v>10185239</v>
      </c>
      <c r="Y1810" s="55" t="s">
        <v>132</v>
      </c>
      <c r="AB1810" s="74" t="s">
        <v>132</v>
      </c>
      <c r="AC1810" s="55" t="s">
        <v>132</v>
      </c>
      <c r="AL1810" s="74"/>
      <c r="AM1810" s="74"/>
      <c r="AW1810" s="74"/>
      <c r="AX1810" s="74"/>
    </row>
    <row r="1811" spans="1:50" ht="13" x14ac:dyDescent="0.15">
      <c r="A1811" s="55" t="str">
        <f>HYPERLINK("http://reports.ofsted.gov.uk/inspection-reports/find-inspection-report/provider/CARE/SC008608","Ofsted Social Care Provider Webpage")</f>
        <v>Ofsted Social Care Provider Webpage</v>
      </c>
      <c r="B1811" s="55" t="s">
        <v>2554</v>
      </c>
      <c r="D1811" s="55" t="s">
        <v>373</v>
      </c>
      <c r="E1811" s="74">
        <v>37074</v>
      </c>
      <c r="F1811" s="55" t="s">
        <v>344</v>
      </c>
      <c r="G1811" s="55" t="s">
        <v>360</v>
      </c>
      <c r="H1811" s="55" t="s">
        <v>360</v>
      </c>
      <c r="I1811" s="55" t="s">
        <v>360</v>
      </c>
      <c r="J1811" s="55" t="s">
        <v>360</v>
      </c>
      <c r="K1811" s="55" t="s">
        <v>360</v>
      </c>
      <c r="L1811" s="55" t="s">
        <v>360</v>
      </c>
      <c r="M1811" s="55" t="s">
        <v>144</v>
      </c>
      <c r="N1811" s="55" t="s">
        <v>144</v>
      </c>
      <c r="O1811" s="55" t="s">
        <v>263</v>
      </c>
      <c r="P1811" s="55" t="s">
        <v>1120</v>
      </c>
      <c r="Q1811" s="55" t="s">
        <v>350</v>
      </c>
      <c r="R1811" s="85">
        <v>2</v>
      </c>
      <c r="S1811" s="55">
        <v>0</v>
      </c>
      <c r="T1811" s="74" t="s">
        <v>1505</v>
      </c>
      <c r="U1811" s="74" t="s">
        <v>351</v>
      </c>
      <c r="V1811" s="74">
        <v>44628</v>
      </c>
      <c r="W1811" s="74">
        <v>44677</v>
      </c>
      <c r="X1811" s="55">
        <v>10186527</v>
      </c>
      <c r="Y1811" s="55" t="s">
        <v>132</v>
      </c>
      <c r="AB1811" s="74" t="s">
        <v>132</v>
      </c>
      <c r="AC1811" s="55" t="s">
        <v>132</v>
      </c>
      <c r="AL1811" s="74"/>
      <c r="AM1811" s="74"/>
      <c r="AW1811" s="74"/>
      <c r="AX1811" s="74"/>
    </row>
    <row r="1812" spans="1:50" ht="13" x14ac:dyDescent="0.15">
      <c r="A1812" s="55" t="str">
        <f>HYPERLINK("http://reports.ofsted.gov.uk/inspection-reports/find-inspection-report/provider/CARE/SC008761","Ofsted Social Care Provider Webpage")</f>
        <v>Ofsted Social Care Provider Webpage</v>
      </c>
      <c r="B1812" s="55" t="s">
        <v>2555</v>
      </c>
      <c r="C1812" s="55">
        <v>122956</v>
      </c>
      <c r="D1812" s="55" t="s">
        <v>413</v>
      </c>
      <c r="E1812" s="74">
        <v>37300</v>
      </c>
      <c r="F1812" s="55" t="s">
        <v>344</v>
      </c>
      <c r="G1812" s="55" t="s">
        <v>2556</v>
      </c>
      <c r="H1812" s="55" t="s">
        <v>2557</v>
      </c>
      <c r="I1812" s="55" t="s">
        <v>2558</v>
      </c>
      <c r="J1812" s="55" t="s">
        <v>2559</v>
      </c>
      <c r="K1812" s="55" t="s">
        <v>235</v>
      </c>
      <c r="L1812" s="55" t="s">
        <v>2560</v>
      </c>
      <c r="M1812" s="55" t="s">
        <v>172</v>
      </c>
      <c r="N1812" s="55" t="s">
        <v>172</v>
      </c>
      <c r="O1812" s="55" t="s">
        <v>235</v>
      </c>
      <c r="P1812" s="55" t="s">
        <v>1036</v>
      </c>
      <c r="Q1812" s="55" t="s">
        <v>362</v>
      </c>
      <c r="R1812" s="85">
        <v>9</v>
      </c>
      <c r="S1812" s="55">
        <v>0</v>
      </c>
      <c r="T1812" s="74" t="s">
        <v>2561</v>
      </c>
      <c r="U1812" s="74" t="s">
        <v>351</v>
      </c>
      <c r="V1812" s="74">
        <v>44376</v>
      </c>
      <c r="W1812" s="74">
        <v>44427</v>
      </c>
      <c r="X1812" s="55">
        <v>10183481</v>
      </c>
      <c r="Y1812" s="55" t="s">
        <v>132</v>
      </c>
      <c r="AB1812" s="74" t="s">
        <v>132</v>
      </c>
      <c r="AC1812" s="55" t="s">
        <v>132</v>
      </c>
      <c r="AL1812" s="74"/>
      <c r="AM1812" s="74"/>
      <c r="AW1812" s="74"/>
      <c r="AX1812" s="74"/>
    </row>
    <row r="1813" spans="1:50" ht="13" x14ac:dyDescent="0.15">
      <c r="A1813" s="55" t="str">
        <f>HYPERLINK("http://reports.ofsted.gov.uk/inspection-reports/find-inspection-report/provider/CARE/SC008810","Ofsted Social Care Provider Webpage")</f>
        <v>Ofsted Social Care Provider Webpage</v>
      </c>
      <c r="B1813" s="55" t="s">
        <v>2562</v>
      </c>
      <c r="D1813" s="55" t="s">
        <v>373</v>
      </c>
      <c r="E1813" s="74">
        <v>37300</v>
      </c>
      <c r="F1813" s="55" t="s">
        <v>344</v>
      </c>
      <c r="G1813" s="55" t="s">
        <v>360</v>
      </c>
      <c r="H1813" s="55" t="s">
        <v>360</v>
      </c>
      <c r="I1813" s="55" t="s">
        <v>360</v>
      </c>
      <c r="J1813" s="55" t="s">
        <v>360</v>
      </c>
      <c r="K1813" s="55" t="s">
        <v>360</v>
      </c>
      <c r="L1813" s="55" t="s">
        <v>360</v>
      </c>
      <c r="M1813" s="55" t="s">
        <v>172</v>
      </c>
      <c r="N1813" s="55" t="s">
        <v>172</v>
      </c>
      <c r="O1813" s="55" t="s">
        <v>235</v>
      </c>
      <c r="P1813" s="55" t="s">
        <v>494</v>
      </c>
      <c r="Q1813" s="55" t="s">
        <v>350</v>
      </c>
      <c r="R1813" s="85">
        <v>4</v>
      </c>
      <c r="S1813" s="55">
        <v>0</v>
      </c>
      <c r="T1813" s="74" t="s">
        <v>495</v>
      </c>
      <c r="U1813" s="74" t="s">
        <v>351</v>
      </c>
      <c r="V1813" s="74">
        <v>44321</v>
      </c>
      <c r="W1813" s="74">
        <v>44351</v>
      </c>
      <c r="X1813" s="55">
        <v>10186013</v>
      </c>
      <c r="Y1813" s="55" t="s">
        <v>132</v>
      </c>
      <c r="AB1813" s="74" t="s">
        <v>132</v>
      </c>
      <c r="AC1813" s="55" t="s">
        <v>132</v>
      </c>
      <c r="AL1813" s="74"/>
      <c r="AM1813" s="74"/>
      <c r="AW1813" s="74"/>
      <c r="AX1813" s="74"/>
    </row>
    <row r="1814" spans="1:50" ht="13" x14ac:dyDescent="0.15">
      <c r="A1814" s="55" t="str">
        <f>HYPERLINK("http://reports.ofsted.gov.uk/inspection-reports/find-inspection-report/provider/CARE/SC009423","Ofsted Social Care Provider Webpage")</f>
        <v>Ofsted Social Care Provider Webpage</v>
      </c>
      <c r="B1814" s="55" t="s">
        <v>2563</v>
      </c>
      <c r="C1814" s="55">
        <v>130285</v>
      </c>
      <c r="D1814" s="55" t="s">
        <v>398</v>
      </c>
      <c r="E1814" s="74">
        <v>37300</v>
      </c>
      <c r="F1814" s="55" t="s">
        <v>344</v>
      </c>
      <c r="G1814" s="55" t="s">
        <v>2564</v>
      </c>
      <c r="H1814" s="55" t="s">
        <v>2565</v>
      </c>
      <c r="I1814" s="55" t="s">
        <v>354</v>
      </c>
      <c r="J1814" s="55" t="s">
        <v>147</v>
      </c>
      <c r="K1814" s="55" t="s">
        <v>209</v>
      </c>
      <c r="L1814" s="55" t="s">
        <v>2566</v>
      </c>
      <c r="M1814" s="55" t="s">
        <v>144</v>
      </c>
      <c r="N1814" s="55" t="s">
        <v>144</v>
      </c>
      <c r="O1814" s="55" t="s">
        <v>147</v>
      </c>
      <c r="P1814" s="55" t="s">
        <v>387</v>
      </c>
      <c r="Q1814" s="55" t="s">
        <v>362</v>
      </c>
      <c r="R1814" s="85">
        <v>149</v>
      </c>
      <c r="S1814" s="55">
        <v>0</v>
      </c>
      <c r="T1814" s="74" t="s">
        <v>2564</v>
      </c>
      <c r="U1814" s="74" t="s">
        <v>2053</v>
      </c>
      <c r="V1814" s="74">
        <v>44363</v>
      </c>
      <c r="W1814" s="74">
        <v>44392</v>
      </c>
      <c r="X1814" s="55">
        <v>10195675</v>
      </c>
      <c r="AL1814" s="74"/>
      <c r="AM1814" s="74"/>
      <c r="AW1814" s="74"/>
      <c r="AX1814" s="74"/>
    </row>
    <row r="1815" spans="1:50" ht="13" x14ac:dyDescent="0.15">
      <c r="A1815" s="55" t="str">
        <f>HYPERLINK("http://reports.ofsted.gov.uk/inspection-reports/find-inspection-report/provider/CARE/SC009651","Ofsted Social Care Provider Webpage")</f>
        <v>Ofsted Social Care Provider Webpage</v>
      </c>
      <c r="B1815" s="55" t="s">
        <v>2567</v>
      </c>
      <c r="D1815" s="55" t="s">
        <v>373</v>
      </c>
      <c r="E1815" s="74">
        <v>35103</v>
      </c>
      <c r="F1815" s="55" t="s">
        <v>344</v>
      </c>
      <c r="G1815" s="55" t="s">
        <v>360</v>
      </c>
      <c r="H1815" s="55" t="s">
        <v>360</v>
      </c>
      <c r="I1815" s="55" t="s">
        <v>360</v>
      </c>
      <c r="J1815" s="55" t="s">
        <v>360</v>
      </c>
      <c r="K1815" s="55" t="s">
        <v>360</v>
      </c>
      <c r="L1815" s="55" t="s">
        <v>360</v>
      </c>
      <c r="M1815" s="55" t="s">
        <v>144</v>
      </c>
      <c r="N1815" s="55" t="s">
        <v>144</v>
      </c>
      <c r="O1815" s="55" t="s">
        <v>209</v>
      </c>
      <c r="P1815" s="55" t="s">
        <v>650</v>
      </c>
      <c r="Q1815" s="55" t="s">
        <v>350</v>
      </c>
      <c r="R1815" s="85">
        <v>4</v>
      </c>
      <c r="S1815" s="55">
        <v>0</v>
      </c>
      <c r="T1815" s="74" t="s">
        <v>1363</v>
      </c>
      <c r="U1815" s="74" t="s">
        <v>351</v>
      </c>
      <c r="V1815" s="74">
        <v>44314</v>
      </c>
      <c r="W1815" s="74">
        <v>44356</v>
      </c>
      <c r="X1815" s="55">
        <v>10185452</v>
      </c>
      <c r="Y1815" s="55" t="s">
        <v>140</v>
      </c>
      <c r="AB1815" s="74" t="s">
        <v>140</v>
      </c>
      <c r="AC1815" s="55" t="s">
        <v>140</v>
      </c>
      <c r="AL1815" s="74"/>
      <c r="AM1815" s="74"/>
      <c r="AW1815" s="74"/>
      <c r="AX1815" s="74"/>
    </row>
    <row r="1816" spans="1:50" ht="13" x14ac:dyDescent="0.15">
      <c r="A1816" s="55" t="str">
        <f>HYPERLINK("http://reports.ofsted.gov.uk/inspection-reports/find-inspection-report/provider/CARE/SC010090","Ofsted Social Care Provider Webpage")</f>
        <v>Ofsted Social Care Provider Webpage</v>
      </c>
      <c r="B1816" s="55" t="s">
        <v>2573</v>
      </c>
      <c r="D1816" s="55" t="s">
        <v>373</v>
      </c>
      <c r="E1816" s="74">
        <v>37246</v>
      </c>
      <c r="F1816" s="55" t="s">
        <v>344</v>
      </c>
      <c r="G1816" s="55" t="s">
        <v>360</v>
      </c>
      <c r="H1816" s="55" t="s">
        <v>360</v>
      </c>
      <c r="I1816" s="55" t="s">
        <v>360</v>
      </c>
      <c r="J1816" s="55" t="s">
        <v>360</v>
      </c>
      <c r="K1816" s="55" t="s">
        <v>360</v>
      </c>
      <c r="L1816" s="55" t="s">
        <v>360</v>
      </c>
      <c r="M1816" s="55" t="s">
        <v>144</v>
      </c>
      <c r="N1816" s="55" t="s">
        <v>144</v>
      </c>
      <c r="O1816" s="55" t="s">
        <v>209</v>
      </c>
      <c r="P1816" s="55" t="s">
        <v>364</v>
      </c>
      <c r="Q1816" s="55" t="s">
        <v>350</v>
      </c>
      <c r="R1816" s="85">
        <v>4</v>
      </c>
      <c r="S1816" s="55">
        <v>0</v>
      </c>
      <c r="T1816" s="74" t="s">
        <v>2574</v>
      </c>
      <c r="U1816" s="74" t="s">
        <v>351</v>
      </c>
      <c r="V1816" s="74">
        <v>44432</v>
      </c>
      <c r="W1816" s="74">
        <v>44468</v>
      </c>
      <c r="X1816" s="55">
        <v>10186678</v>
      </c>
      <c r="Y1816" s="55" t="s">
        <v>140</v>
      </c>
      <c r="AB1816" s="74" t="s">
        <v>140</v>
      </c>
      <c r="AC1816" s="55" t="s">
        <v>132</v>
      </c>
      <c r="AL1816" s="74"/>
      <c r="AM1816" s="74"/>
      <c r="AW1816" s="74"/>
      <c r="AX1816" s="74"/>
    </row>
    <row r="1817" spans="1:50" ht="13" x14ac:dyDescent="0.15">
      <c r="A1817" s="55" t="str">
        <f>HYPERLINK("http://reports.ofsted.gov.uk/inspection-reports/find-inspection-report/provider/CARE/SC010255","Ofsted Social Care Provider Webpage")</f>
        <v>Ofsted Social Care Provider Webpage</v>
      </c>
      <c r="B1817" s="55" t="s">
        <v>2575</v>
      </c>
      <c r="C1817" s="55">
        <v>145709</v>
      </c>
      <c r="D1817" s="55" t="s">
        <v>413</v>
      </c>
      <c r="E1817" s="74">
        <v>37300</v>
      </c>
      <c r="F1817" s="55" t="s">
        <v>344</v>
      </c>
      <c r="G1817" s="55" t="s">
        <v>2576</v>
      </c>
      <c r="H1817" s="55" t="s">
        <v>2576</v>
      </c>
      <c r="I1817" s="55" t="s">
        <v>2577</v>
      </c>
      <c r="J1817" s="55" t="s">
        <v>2578</v>
      </c>
      <c r="L1817" s="55" t="s">
        <v>2579</v>
      </c>
      <c r="M1817" s="55" t="s">
        <v>129</v>
      </c>
      <c r="N1817" s="55" t="s">
        <v>129</v>
      </c>
      <c r="O1817" s="55" t="s">
        <v>280</v>
      </c>
      <c r="P1817" s="55" t="s">
        <v>2580</v>
      </c>
      <c r="Q1817" s="55" t="s">
        <v>380</v>
      </c>
      <c r="R1817" s="85">
        <v>29</v>
      </c>
      <c r="S1817" s="55">
        <v>0</v>
      </c>
      <c r="T1817" s="74" t="s">
        <v>2581</v>
      </c>
      <c r="U1817" s="74" t="s">
        <v>351</v>
      </c>
      <c r="V1817" s="74">
        <v>44586</v>
      </c>
      <c r="W1817" s="74">
        <v>44638</v>
      </c>
      <c r="X1817" s="55">
        <v>10183508</v>
      </c>
      <c r="Y1817" s="55" t="s">
        <v>132</v>
      </c>
      <c r="AB1817" s="74" t="s">
        <v>132</v>
      </c>
      <c r="AC1817" s="55" t="s">
        <v>132</v>
      </c>
      <c r="AL1817" s="74"/>
      <c r="AM1817" s="74"/>
      <c r="AW1817" s="74"/>
      <c r="AX1817" s="74"/>
    </row>
    <row r="1818" spans="1:50" ht="13" x14ac:dyDescent="0.15">
      <c r="A1818" s="55" t="str">
        <f>HYPERLINK("http://reports.ofsted.gov.uk/inspection-reports/find-inspection-report/provider/CARE/SC010415","Ofsted Social Care Provider Webpage")</f>
        <v>Ofsted Social Care Provider Webpage</v>
      </c>
      <c r="B1818" s="55" t="s">
        <v>2582</v>
      </c>
      <c r="D1818" s="55" t="s">
        <v>373</v>
      </c>
      <c r="E1818" s="74">
        <v>34448</v>
      </c>
      <c r="F1818" s="55" t="s">
        <v>344</v>
      </c>
      <c r="G1818" s="55" t="s">
        <v>360</v>
      </c>
      <c r="H1818" s="55" t="s">
        <v>360</v>
      </c>
      <c r="I1818" s="55" t="s">
        <v>360</v>
      </c>
      <c r="J1818" s="55" t="s">
        <v>360</v>
      </c>
      <c r="K1818" s="55" t="s">
        <v>360</v>
      </c>
      <c r="L1818" s="55" t="s">
        <v>360</v>
      </c>
      <c r="M1818" s="55" t="s">
        <v>129</v>
      </c>
      <c r="N1818" s="55" t="s">
        <v>129</v>
      </c>
      <c r="O1818" s="55" t="s">
        <v>131</v>
      </c>
      <c r="P1818" s="55" t="s">
        <v>1606</v>
      </c>
      <c r="Q1818" s="55" t="s">
        <v>362</v>
      </c>
      <c r="R1818" s="85">
        <v>9</v>
      </c>
      <c r="S1818" s="55" t="s">
        <v>332</v>
      </c>
      <c r="T1818" s="74" t="s">
        <v>2583</v>
      </c>
      <c r="U1818" s="74" t="s">
        <v>351</v>
      </c>
      <c r="V1818" s="74">
        <v>44579</v>
      </c>
      <c r="W1818" s="74">
        <v>44613</v>
      </c>
      <c r="X1818" s="55">
        <v>10185380</v>
      </c>
      <c r="Y1818" s="55" t="s">
        <v>132</v>
      </c>
      <c r="AB1818" s="74" t="s">
        <v>132</v>
      </c>
      <c r="AC1818" s="55" t="s">
        <v>130</v>
      </c>
      <c r="AL1818" s="74"/>
      <c r="AM1818" s="74"/>
      <c r="AW1818" s="74"/>
      <c r="AX1818" s="74"/>
    </row>
    <row r="1819" spans="1:50" ht="13" x14ac:dyDescent="0.15">
      <c r="A1819" s="55" t="str">
        <f>HYPERLINK("http://reports.ofsted.gov.uk/inspection-reports/find-inspection-report/provider/CARE/SC010699","Ofsted Social Care Provider Webpage")</f>
        <v>Ofsted Social Care Provider Webpage</v>
      </c>
      <c r="B1819" s="55" t="s">
        <v>2584</v>
      </c>
      <c r="D1819" s="55" t="s">
        <v>373</v>
      </c>
      <c r="E1819" s="74">
        <v>37252</v>
      </c>
      <c r="F1819" s="55" t="s">
        <v>344</v>
      </c>
      <c r="G1819" s="55" t="s">
        <v>360</v>
      </c>
      <c r="H1819" s="55" t="s">
        <v>360</v>
      </c>
      <c r="I1819" s="55" t="s">
        <v>360</v>
      </c>
      <c r="J1819" s="55" t="s">
        <v>360</v>
      </c>
      <c r="K1819" s="55" t="s">
        <v>360</v>
      </c>
      <c r="L1819" s="55" t="s">
        <v>360</v>
      </c>
      <c r="M1819" s="55" t="s">
        <v>129</v>
      </c>
      <c r="N1819" s="55" t="s">
        <v>129</v>
      </c>
      <c r="O1819" s="55" t="s">
        <v>182</v>
      </c>
      <c r="P1819" s="55" t="s">
        <v>1660</v>
      </c>
      <c r="Q1819" s="55" t="s">
        <v>350</v>
      </c>
      <c r="R1819" s="85">
        <v>5</v>
      </c>
      <c r="S1819" s="55">
        <v>0</v>
      </c>
      <c r="U1819" s="74" t="s">
        <v>6703</v>
      </c>
      <c r="V1819" s="74">
        <v>44546</v>
      </c>
      <c r="W1819" s="74">
        <v>44602</v>
      </c>
      <c r="X1819" s="55">
        <v>10209401</v>
      </c>
      <c r="Y1819" s="55" t="s">
        <v>6704</v>
      </c>
      <c r="AL1819" s="74"/>
      <c r="AM1819" s="74"/>
      <c r="AW1819" s="74"/>
      <c r="AX1819" s="74"/>
    </row>
    <row r="1820" spans="1:50" ht="13" x14ac:dyDescent="0.15">
      <c r="A1820" s="55" t="str">
        <f>HYPERLINK("http://reports.ofsted.gov.uk/inspection-reports/find-inspection-report/provider/CARE/SC010699","Ofsted Social Care Provider Webpage")</f>
        <v>Ofsted Social Care Provider Webpage</v>
      </c>
      <c r="B1820" s="55" t="s">
        <v>2584</v>
      </c>
      <c r="D1820" s="55" t="s">
        <v>373</v>
      </c>
      <c r="E1820" s="74">
        <v>37252</v>
      </c>
      <c r="F1820" s="55" t="s">
        <v>344</v>
      </c>
      <c r="G1820" s="55" t="s">
        <v>360</v>
      </c>
      <c r="H1820" s="55" t="s">
        <v>360</v>
      </c>
      <c r="I1820" s="55" t="s">
        <v>360</v>
      </c>
      <c r="J1820" s="55" t="s">
        <v>360</v>
      </c>
      <c r="K1820" s="55" t="s">
        <v>360</v>
      </c>
      <c r="L1820" s="55" t="s">
        <v>360</v>
      </c>
      <c r="M1820" s="55" t="s">
        <v>129</v>
      </c>
      <c r="N1820" s="55" t="s">
        <v>129</v>
      </c>
      <c r="O1820" s="55" t="s">
        <v>182</v>
      </c>
      <c r="P1820" s="55" t="s">
        <v>1660</v>
      </c>
      <c r="Q1820" s="55" t="s">
        <v>350</v>
      </c>
      <c r="R1820" s="85">
        <v>5</v>
      </c>
      <c r="S1820" s="55">
        <v>0</v>
      </c>
      <c r="U1820" s="74" t="s">
        <v>2053</v>
      </c>
      <c r="V1820" s="74">
        <v>44615</v>
      </c>
      <c r="W1820" s="74">
        <v>44670</v>
      </c>
      <c r="X1820" s="55">
        <v>10220749</v>
      </c>
      <c r="AL1820" s="74"/>
      <c r="AM1820" s="74"/>
      <c r="AW1820" s="74"/>
      <c r="AX1820" s="74"/>
    </row>
    <row r="1821" spans="1:50" ht="13" x14ac:dyDescent="0.15">
      <c r="A1821" s="55" t="str">
        <f>HYPERLINK("http://reports.ofsted.gov.uk/inspection-reports/find-inspection-report/provider/CARE/SC010699","Ofsted Social Care Provider Webpage")</f>
        <v>Ofsted Social Care Provider Webpage</v>
      </c>
      <c r="B1821" s="55" t="s">
        <v>2584</v>
      </c>
      <c r="D1821" s="55" t="s">
        <v>373</v>
      </c>
      <c r="E1821" s="74">
        <v>37252</v>
      </c>
      <c r="F1821" s="55" t="s">
        <v>344</v>
      </c>
      <c r="G1821" s="55" t="s">
        <v>360</v>
      </c>
      <c r="H1821" s="55" t="s">
        <v>360</v>
      </c>
      <c r="I1821" s="55" t="s">
        <v>360</v>
      </c>
      <c r="J1821" s="55" t="s">
        <v>360</v>
      </c>
      <c r="K1821" s="55" t="s">
        <v>360</v>
      </c>
      <c r="L1821" s="55" t="s">
        <v>360</v>
      </c>
      <c r="M1821" s="55" t="s">
        <v>129</v>
      </c>
      <c r="N1821" s="55" t="s">
        <v>129</v>
      </c>
      <c r="O1821" s="55" t="s">
        <v>182</v>
      </c>
      <c r="P1821" s="55" t="s">
        <v>1660</v>
      </c>
      <c r="Q1821" s="55" t="s">
        <v>350</v>
      </c>
      <c r="R1821" s="85">
        <v>5</v>
      </c>
      <c r="S1821" s="55">
        <v>0</v>
      </c>
      <c r="U1821" s="74" t="s">
        <v>2053</v>
      </c>
      <c r="V1821" s="74">
        <v>44580</v>
      </c>
      <c r="W1821" s="74">
        <v>44610</v>
      </c>
      <c r="X1821" s="55">
        <v>10220239</v>
      </c>
      <c r="AL1821" s="74"/>
      <c r="AM1821" s="74"/>
    </row>
    <row r="1822" spans="1:50" ht="13" x14ac:dyDescent="0.15">
      <c r="A1822" s="55" t="str">
        <f>HYPERLINK("http://reports.ofsted.gov.uk/inspection-reports/find-inspection-report/provider/CARE/SC010699","Ofsted Social Care Provider Webpage")</f>
        <v>Ofsted Social Care Provider Webpage</v>
      </c>
      <c r="B1822" s="55" t="s">
        <v>2584</v>
      </c>
      <c r="D1822" s="55" t="s">
        <v>373</v>
      </c>
      <c r="E1822" s="74">
        <v>37252</v>
      </c>
      <c r="F1822" s="55" t="s">
        <v>344</v>
      </c>
      <c r="G1822" s="55" t="s">
        <v>360</v>
      </c>
      <c r="H1822" s="55" t="s">
        <v>360</v>
      </c>
      <c r="I1822" s="55" t="s">
        <v>360</v>
      </c>
      <c r="J1822" s="55" t="s">
        <v>360</v>
      </c>
      <c r="K1822" s="55" t="s">
        <v>360</v>
      </c>
      <c r="L1822" s="55" t="s">
        <v>360</v>
      </c>
      <c r="M1822" s="55" t="s">
        <v>129</v>
      </c>
      <c r="N1822" s="55" t="s">
        <v>129</v>
      </c>
      <c r="O1822" s="55" t="s">
        <v>182</v>
      </c>
      <c r="P1822" s="55" t="s">
        <v>1660</v>
      </c>
      <c r="Q1822" s="55" t="s">
        <v>350</v>
      </c>
      <c r="R1822" s="85">
        <v>5</v>
      </c>
      <c r="S1822" s="55">
        <v>0</v>
      </c>
      <c r="U1822" s="74" t="s">
        <v>351</v>
      </c>
      <c r="V1822" s="74">
        <v>44433</v>
      </c>
      <c r="W1822" s="74">
        <v>44468</v>
      </c>
      <c r="X1822" s="55">
        <v>10187431</v>
      </c>
      <c r="Y1822" s="55" t="s">
        <v>130</v>
      </c>
      <c r="AB1822" s="74" t="s">
        <v>130</v>
      </c>
      <c r="AC1822" s="55" t="s">
        <v>130</v>
      </c>
      <c r="AL1822" s="74"/>
      <c r="AM1822" s="74"/>
    </row>
    <row r="1823" spans="1:50" ht="13" x14ac:dyDescent="0.15">
      <c r="A1823" s="55" t="str">
        <f>HYPERLINK("http://reports.ofsted.gov.uk/inspection-reports/find-inspection-report/provider/CARE/SC011185","Ofsted Social Care Provider Webpage")</f>
        <v>Ofsted Social Care Provider Webpage</v>
      </c>
      <c r="B1823" s="55" t="s">
        <v>2590</v>
      </c>
      <c r="D1823" s="55" t="s">
        <v>373</v>
      </c>
      <c r="E1823" s="74">
        <v>33967</v>
      </c>
      <c r="F1823" s="55" t="s">
        <v>344</v>
      </c>
      <c r="G1823" s="55" t="s">
        <v>360</v>
      </c>
      <c r="H1823" s="55" t="s">
        <v>360</v>
      </c>
      <c r="I1823" s="55" t="s">
        <v>360</v>
      </c>
      <c r="J1823" s="55" t="s">
        <v>360</v>
      </c>
      <c r="K1823" s="55" t="s">
        <v>360</v>
      </c>
      <c r="L1823" s="55" t="s">
        <v>360</v>
      </c>
      <c r="M1823" s="55" t="s">
        <v>150</v>
      </c>
      <c r="N1823" s="55" t="s">
        <v>150</v>
      </c>
      <c r="O1823" s="55" t="s">
        <v>283</v>
      </c>
      <c r="P1823" s="55" t="s">
        <v>1492</v>
      </c>
      <c r="Q1823" s="55" t="s">
        <v>350</v>
      </c>
      <c r="R1823" s="85">
        <v>7</v>
      </c>
      <c r="S1823" s="55">
        <v>0</v>
      </c>
      <c r="T1823" s="74" t="s">
        <v>755</v>
      </c>
      <c r="U1823" s="74" t="s">
        <v>2053</v>
      </c>
      <c r="V1823" s="74">
        <v>44546</v>
      </c>
      <c r="W1823" s="74">
        <v>44602</v>
      </c>
      <c r="X1823" s="55">
        <v>10216415</v>
      </c>
      <c r="AL1823" s="74"/>
      <c r="AM1823" s="74"/>
      <c r="AW1823" s="74"/>
      <c r="AX1823" s="74"/>
    </row>
    <row r="1824" spans="1:50" ht="13" x14ac:dyDescent="0.15">
      <c r="A1824" s="55" t="str">
        <f>HYPERLINK("http://reports.ofsted.gov.uk/inspection-reports/find-inspection-report/provider/CARE/SC011185","Ofsted Social Care Provider Webpage")</f>
        <v>Ofsted Social Care Provider Webpage</v>
      </c>
      <c r="B1824" s="55" t="s">
        <v>2590</v>
      </c>
      <c r="D1824" s="55" t="s">
        <v>373</v>
      </c>
      <c r="E1824" s="74">
        <v>33967</v>
      </c>
      <c r="F1824" s="55" t="s">
        <v>344</v>
      </c>
      <c r="G1824" s="55" t="s">
        <v>360</v>
      </c>
      <c r="H1824" s="55" t="s">
        <v>360</v>
      </c>
      <c r="I1824" s="55" t="s">
        <v>360</v>
      </c>
      <c r="J1824" s="55" t="s">
        <v>360</v>
      </c>
      <c r="K1824" s="55" t="s">
        <v>360</v>
      </c>
      <c r="L1824" s="55" t="s">
        <v>360</v>
      </c>
      <c r="M1824" s="55" t="s">
        <v>150</v>
      </c>
      <c r="N1824" s="55" t="s">
        <v>150</v>
      </c>
      <c r="O1824" s="55" t="s">
        <v>283</v>
      </c>
      <c r="P1824" s="55" t="s">
        <v>1492</v>
      </c>
      <c r="Q1824" s="55" t="s">
        <v>350</v>
      </c>
      <c r="R1824" s="85">
        <v>7</v>
      </c>
      <c r="S1824" s="55">
        <v>0</v>
      </c>
      <c r="T1824" s="74" t="s">
        <v>755</v>
      </c>
      <c r="U1824" s="74" t="s">
        <v>351</v>
      </c>
      <c r="V1824" s="74">
        <v>44398</v>
      </c>
      <c r="W1824" s="74">
        <v>44445</v>
      </c>
      <c r="X1824" s="55">
        <v>10185390</v>
      </c>
      <c r="Y1824" s="55" t="s">
        <v>140</v>
      </c>
      <c r="AB1824" s="74" t="s">
        <v>140</v>
      </c>
      <c r="AC1824" s="55" t="s">
        <v>140</v>
      </c>
      <c r="AL1824" s="74"/>
      <c r="AM1824" s="74"/>
      <c r="AW1824" s="74"/>
      <c r="AX1824" s="74"/>
    </row>
    <row r="1825" spans="1:50" ht="13" x14ac:dyDescent="0.15">
      <c r="A1825" s="55" t="str">
        <f>HYPERLINK("http://reports.ofsted.gov.uk/inspection-reports/find-inspection-report/provider/CARE/SC011327","Ofsted Social Care Provider Webpage")</f>
        <v>Ofsted Social Care Provider Webpage</v>
      </c>
      <c r="B1825" s="55" t="s">
        <v>2591</v>
      </c>
      <c r="C1825" s="55">
        <v>110181</v>
      </c>
      <c r="D1825" s="55" t="s">
        <v>413</v>
      </c>
      <c r="E1825" s="74">
        <v>37301</v>
      </c>
      <c r="F1825" s="55" t="s">
        <v>344</v>
      </c>
      <c r="G1825" s="55" t="s">
        <v>2592</v>
      </c>
      <c r="H1825" s="55" t="s">
        <v>2593</v>
      </c>
      <c r="I1825" s="55" t="s">
        <v>2594</v>
      </c>
      <c r="J1825" s="55" t="s">
        <v>291</v>
      </c>
      <c r="K1825" s="55" t="s">
        <v>1402</v>
      </c>
      <c r="L1825" s="55" t="s">
        <v>2595</v>
      </c>
      <c r="M1825" s="55" t="s">
        <v>150</v>
      </c>
      <c r="N1825" s="55" t="s">
        <v>150</v>
      </c>
      <c r="O1825" s="55" t="s">
        <v>291</v>
      </c>
      <c r="P1825" s="55" t="s">
        <v>291</v>
      </c>
      <c r="Q1825" s="55" t="s">
        <v>362</v>
      </c>
      <c r="R1825" s="85">
        <v>20</v>
      </c>
      <c r="S1825" s="55">
        <v>0</v>
      </c>
      <c r="T1825" s="74" t="s">
        <v>1884</v>
      </c>
      <c r="U1825" s="74" t="s">
        <v>351</v>
      </c>
      <c r="V1825" s="74">
        <v>44503</v>
      </c>
      <c r="W1825" s="74">
        <v>44575</v>
      </c>
      <c r="X1825" s="55">
        <v>10183542</v>
      </c>
      <c r="Y1825" s="55" t="s">
        <v>140</v>
      </c>
      <c r="AB1825" s="74" t="s">
        <v>132</v>
      </c>
      <c r="AC1825" s="55" t="s">
        <v>140</v>
      </c>
      <c r="AL1825" s="74"/>
      <c r="AM1825" s="74"/>
    </row>
    <row r="1826" spans="1:50" ht="13" x14ac:dyDescent="0.15">
      <c r="A1826" s="55" t="str">
        <f>HYPERLINK("http://reports.ofsted.gov.uk/inspection-reports/find-inspection-report/provider/CARE/SC011972","Ofsted Social Care Provider Webpage")</f>
        <v>Ofsted Social Care Provider Webpage</v>
      </c>
      <c r="B1826" s="55" t="s">
        <v>2596</v>
      </c>
      <c r="D1826" s="55" t="s">
        <v>373</v>
      </c>
      <c r="E1826" s="74">
        <v>33953</v>
      </c>
      <c r="F1826" s="55" t="s">
        <v>344</v>
      </c>
      <c r="G1826" s="55" t="s">
        <v>360</v>
      </c>
      <c r="H1826" s="55" t="s">
        <v>360</v>
      </c>
      <c r="I1826" s="55" t="s">
        <v>360</v>
      </c>
      <c r="J1826" s="55" t="s">
        <v>360</v>
      </c>
      <c r="K1826" s="55" t="s">
        <v>360</v>
      </c>
      <c r="L1826" s="55" t="s">
        <v>360</v>
      </c>
      <c r="M1826" s="55" t="s">
        <v>150</v>
      </c>
      <c r="N1826" s="55" t="s">
        <v>150</v>
      </c>
      <c r="O1826" s="55" t="s">
        <v>190</v>
      </c>
      <c r="P1826" s="55" t="s">
        <v>830</v>
      </c>
      <c r="Q1826" s="55" t="s">
        <v>350</v>
      </c>
      <c r="R1826" s="85">
        <v>6</v>
      </c>
      <c r="S1826" s="55">
        <v>0</v>
      </c>
      <c r="T1826" s="74" t="s">
        <v>890</v>
      </c>
      <c r="U1826" s="74" t="s">
        <v>351</v>
      </c>
      <c r="V1826" s="74">
        <v>44482</v>
      </c>
      <c r="W1826" s="74">
        <v>44536</v>
      </c>
      <c r="X1826" s="55">
        <v>10185061</v>
      </c>
      <c r="Y1826" s="55" t="s">
        <v>132</v>
      </c>
      <c r="AB1826" s="74" t="s">
        <v>132</v>
      </c>
      <c r="AC1826" s="55" t="s">
        <v>132</v>
      </c>
      <c r="AL1826" s="74"/>
      <c r="AM1826" s="74"/>
      <c r="AW1826" s="74"/>
      <c r="AX1826" s="74"/>
    </row>
    <row r="1827" spans="1:50" ht="13" x14ac:dyDescent="0.15">
      <c r="A1827" s="55" t="str">
        <f>HYPERLINK("http://reports.ofsted.gov.uk/inspection-reports/find-inspection-report/provider/CARE/SC012001","Ofsted Social Care Provider Webpage")</f>
        <v>Ofsted Social Care Provider Webpage</v>
      </c>
      <c r="B1827" s="55" t="s">
        <v>2597</v>
      </c>
      <c r="D1827" s="55" t="s">
        <v>373</v>
      </c>
      <c r="E1827" s="74">
        <v>33954</v>
      </c>
      <c r="F1827" s="55" t="s">
        <v>344</v>
      </c>
      <c r="G1827" s="55" t="s">
        <v>360</v>
      </c>
      <c r="H1827" s="55" t="s">
        <v>360</v>
      </c>
      <c r="I1827" s="55" t="s">
        <v>360</v>
      </c>
      <c r="J1827" s="55" t="s">
        <v>360</v>
      </c>
      <c r="K1827" s="55" t="s">
        <v>360</v>
      </c>
      <c r="L1827" s="55" t="s">
        <v>360</v>
      </c>
      <c r="M1827" s="55" t="s">
        <v>150</v>
      </c>
      <c r="N1827" s="55" t="s">
        <v>150</v>
      </c>
      <c r="O1827" s="55" t="s">
        <v>190</v>
      </c>
      <c r="P1827" s="55" t="s">
        <v>830</v>
      </c>
      <c r="Q1827" s="55" t="s">
        <v>350</v>
      </c>
      <c r="R1827" s="85">
        <v>6</v>
      </c>
      <c r="S1827" s="55">
        <v>0</v>
      </c>
      <c r="T1827" s="74" t="s">
        <v>890</v>
      </c>
      <c r="U1827" s="74" t="s">
        <v>351</v>
      </c>
      <c r="V1827" s="74">
        <v>44445</v>
      </c>
      <c r="W1827" s="74">
        <v>44488</v>
      </c>
      <c r="X1827" s="55">
        <v>10185159</v>
      </c>
      <c r="Y1827" s="55" t="s">
        <v>132</v>
      </c>
      <c r="AB1827" s="74" t="s">
        <v>132</v>
      </c>
      <c r="AC1827" s="55" t="s">
        <v>132</v>
      </c>
      <c r="AL1827" s="74"/>
      <c r="AM1827" s="74"/>
      <c r="AW1827" s="74"/>
      <c r="AX1827" s="74"/>
    </row>
    <row r="1828" spans="1:50" ht="13" x14ac:dyDescent="0.15">
      <c r="A1828" s="55" t="str">
        <f>HYPERLINK("http://reports.ofsted.gov.uk/inspection-reports/find-inspection-report/provider/CARE/SC012014","Ofsted Social Care Provider Webpage")</f>
        <v>Ofsted Social Care Provider Webpage</v>
      </c>
      <c r="B1828" s="55" t="s">
        <v>2598</v>
      </c>
      <c r="C1828" s="55">
        <v>116584</v>
      </c>
      <c r="D1828" s="55" t="s">
        <v>413</v>
      </c>
      <c r="E1828" s="74">
        <v>37301</v>
      </c>
      <c r="F1828" s="55" t="s">
        <v>344</v>
      </c>
      <c r="G1828" s="55" t="s">
        <v>2599</v>
      </c>
      <c r="H1828" s="55" t="s">
        <v>2600</v>
      </c>
      <c r="I1828" s="55" t="s">
        <v>2601</v>
      </c>
      <c r="J1828" s="55" t="s">
        <v>2602</v>
      </c>
      <c r="K1828" s="55" t="s">
        <v>190</v>
      </c>
      <c r="L1828" s="55" t="s">
        <v>2603</v>
      </c>
      <c r="M1828" s="55" t="s">
        <v>150</v>
      </c>
      <c r="N1828" s="55" t="s">
        <v>150</v>
      </c>
      <c r="O1828" s="55" t="s">
        <v>190</v>
      </c>
      <c r="P1828" s="55" t="s">
        <v>887</v>
      </c>
      <c r="Q1828" s="55" t="s">
        <v>362</v>
      </c>
      <c r="R1828" s="85">
        <v>77</v>
      </c>
      <c r="S1828" s="55">
        <v>0</v>
      </c>
      <c r="T1828" s="74" t="s">
        <v>2599</v>
      </c>
      <c r="U1828" s="74" t="s">
        <v>351</v>
      </c>
      <c r="V1828" s="74">
        <v>44537</v>
      </c>
      <c r="W1828" s="74">
        <v>44595</v>
      </c>
      <c r="X1828" s="55">
        <v>10183472</v>
      </c>
      <c r="Y1828" s="55" t="s">
        <v>140</v>
      </c>
      <c r="AB1828" s="74" t="s">
        <v>140</v>
      </c>
      <c r="AC1828" s="55" t="s">
        <v>140</v>
      </c>
      <c r="AL1828" s="74"/>
      <c r="AM1828" s="74"/>
      <c r="AW1828" s="74"/>
      <c r="AX1828" s="74"/>
    </row>
    <row r="1829" spans="1:50" ht="13" x14ac:dyDescent="0.15">
      <c r="A1829" s="55" t="str">
        <f>HYPERLINK("http://reports.ofsted.gov.uk/inspection-reports/find-inspection-report/provider/CARE/SC012021","Ofsted Social Care Provider Webpage")</f>
        <v>Ofsted Social Care Provider Webpage</v>
      </c>
      <c r="B1829" s="55" t="s">
        <v>2610</v>
      </c>
      <c r="D1829" s="55" t="s">
        <v>479</v>
      </c>
      <c r="E1829" s="74">
        <v>37301</v>
      </c>
      <c r="F1829" s="55" t="s">
        <v>344</v>
      </c>
      <c r="G1829" s="55" t="s">
        <v>360</v>
      </c>
      <c r="H1829" s="55" t="s">
        <v>360</v>
      </c>
      <c r="I1829" s="55" t="s">
        <v>360</v>
      </c>
      <c r="J1829" s="55" t="s">
        <v>360</v>
      </c>
      <c r="K1829" s="55" t="s">
        <v>360</v>
      </c>
      <c r="L1829" s="55" t="s">
        <v>360</v>
      </c>
      <c r="M1829" s="55" t="s">
        <v>150</v>
      </c>
      <c r="N1829" s="55" t="s">
        <v>150</v>
      </c>
      <c r="O1829" s="55" t="s">
        <v>190</v>
      </c>
      <c r="P1829" s="55" t="s">
        <v>1428</v>
      </c>
      <c r="Q1829" s="55" t="s">
        <v>362</v>
      </c>
      <c r="R1829" s="85">
        <v>30</v>
      </c>
      <c r="S1829" s="55">
        <v>0</v>
      </c>
      <c r="T1829" s="74" t="s">
        <v>2611</v>
      </c>
      <c r="U1829" s="74" t="s">
        <v>351</v>
      </c>
      <c r="V1829" s="74">
        <v>44307</v>
      </c>
      <c r="W1829" s="74">
        <v>44344</v>
      </c>
      <c r="X1829" s="55">
        <v>10187266</v>
      </c>
      <c r="Y1829" s="55" t="s">
        <v>140</v>
      </c>
      <c r="AB1829" s="74" t="s">
        <v>132</v>
      </c>
      <c r="AC1829" s="55" t="s">
        <v>132</v>
      </c>
      <c r="AL1829" s="74"/>
      <c r="AM1829" s="74"/>
    </row>
    <row r="1830" spans="1:50" ht="13" x14ac:dyDescent="0.15">
      <c r="A1830" s="55" t="str">
        <f>HYPERLINK("http://reports.ofsted.gov.uk/inspection-reports/find-inspection-report/provider/CARE/SC012029","Ofsted Social Care Provider Webpage")</f>
        <v>Ofsted Social Care Provider Webpage</v>
      </c>
      <c r="B1830" s="55" t="s">
        <v>2619</v>
      </c>
      <c r="C1830" s="55">
        <v>116635</v>
      </c>
      <c r="D1830" s="55" t="s">
        <v>413</v>
      </c>
      <c r="E1830" s="74">
        <v>37301</v>
      </c>
      <c r="F1830" s="55" t="s">
        <v>344</v>
      </c>
      <c r="G1830" s="55" t="s">
        <v>2620</v>
      </c>
      <c r="H1830" s="55" t="s">
        <v>2621</v>
      </c>
      <c r="I1830" s="55" t="s">
        <v>2622</v>
      </c>
      <c r="J1830" s="55" t="s">
        <v>2623</v>
      </c>
      <c r="K1830" s="55" t="s">
        <v>190</v>
      </c>
      <c r="L1830" s="55" t="s">
        <v>2624</v>
      </c>
      <c r="M1830" s="55" t="s">
        <v>150</v>
      </c>
      <c r="N1830" s="55" t="s">
        <v>150</v>
      </c>
      <c r="O1830" s="55" t="s">
        <v>190</v>
      </c>
      <c r="P1830" s="55" t="s">
        <v>830</v>
      </c>
      <c r="Q1830" s="55" t="s">
        <v>380</v>
      </c>
      <c r="R1830" s="85">
        <v>10</v>
      </c>
      <c r="S1830" s="55">
        <v>0</v>
      </c>
      <c r="T1830" s="74" t="s">
        <v>967</v>
      </c>
      <c r="U1830" s="74" t="s">
        <v>351</v>
      </c>
      <c r="V1830" s="74">
        <v>44572</v>
      </c>
      <c r="W1830" s="74">
        <v>44613</v>
      </c>
      <c r="X1830" s="55">
        <v>10183565</v>
      </c>
      <c r="Y1830" s="55" t="s">
        <v>140</v>
      </c>
      <c r="AB1830" s="74" t="s">
        <v>140</v>
      </c>
      <c r="AC1830" s="55" t="s">
        <v>140</v>
      </c>
      <c r="AL1830" s="74"/>
      <c r="AM1830" s="74"/>
      <c r="AW1830" s="74"/>
      <c r="AX1830" s="74"/>
    </row>
    <row r="1831" spans="1:50" ht="13" x14ac:dyDescent="0.15">
      <c r="A1831" s="55" t="str">
        <f>HYPERLINK("http://reports.ofsted.gov.uk/inspection-reports/find-inspection-report/provider/CARE/SC012597","Ofsted Social Care Provider Webpage")</f>
        <v>Ofsted Social Care Provider Webpage</v>
      </c>
      <c r="B1831" s="55" t="s">
        <v>2635</v>
      </c>
      <c r="C1831" s="55">
        <v>118226</v>
      </c>
      <c r="D1831" s="55" t="s">
        <v>413</v>
      </c>
      <c r="E1831" s="74">
        <v>37301</v>
      </c>
      <c r="F1831" s="55" t="s">
        <v>344</v>
      </c>
      <c r="G1831" s="55" t="s">
        <v>2636</v>
      </c>
      <c r="H1831" s="55" t="s">
        <v>2637</v>
      </c>
      <c r="I1831" s="55" t="s">
        <v>2638</v>
      </c>
      <c r="J1831" s="55" t="s">
        <v>2639</v>
      </c>
      <c r="K1831" s="55" t="s">
        <v>199</v>
      </c>
      <c r="L1831" s="55" t="s">
        <v>2640</v>
      </c>
      <c r="M1831" s="55" t="s">
        <v>150</v>
      </c>
      <c r="N1831" s="55" t="s">
        <v>150</v>
      </c>
      <c r="O1831" s="55" t="s">
        <v>199</v>
      </c>
      <c r="P1831" s="55" t="s">
        <v>199</v>
      </c>
      <c r="Q1831" s="55" t="s">
        <v>362</v>
      </c>
      <c r="R1831" s="85">
        <v>37</v>
      </c>
      <c r="S1831" s="55">
        <v>0</v>
      </c>
      <c r="U1831" s="74" t="s">
        <v>351</v>
      </c>
      <c r="V1831" s="74">
        <v>44390</v>
      </c>
      <c r="W1831" s="74">
        <v>44446</v>
      </c>
      <c r="X1831" s="55">
        <v>10183551</v>
      </c>
      <c r="Y1831" s="55" t="s">
        <v>132</v>
      </c>
      <c r="AB1831" s="74" t="s">
        <v>132</v>
      </c>
      <c r="AC1831" s="55" t="s">
        <v>132</v>
      </c>
      <c r="AL1831" s="74"/>
      <c r="AM1831" s="74"/>
      <c r="AW1831" s="74"/>
      <c r="AX1831" s="74"/>
    </row>
    <row r="1832" spans="1:50" ht="13" x14ac:dyDescent="0.15">
      <c r="A1832" s="55" t="str">
        <f>HYPERLINK("http://reports.ofsted.gov.uk/inspection-reports/find-inspection-report/provider/CARE/SC013056","Ofsted Social Care Provider Webpage")</f>
        <v>Ofsted Social Care Provider Webpage</v>
      </c>
      <c r="B1832" s="55" t="s">
        <v>2646</v>
      </c>
      <c r="C1832" s="55">
        <v>123329</v>
      </c>
      <c r="D1832" s="55" t="s">
        <v>413</v>
      </c>
      <c r="E1832" s="74">
        <v>37301</v>
      </c>
      <c r="F1832" s="55" t="s">
        <v>344</v>
      </c>
      <c r="G1832" s="55" t="s">
        <v>2647</v>
      </c>
      <c r="H1832" s="55" t="s">
        <v>2647</v>
      </c>
      <c r="I1832" s="55" t="s">
        <v>2648</v>
      </c>
      <c r="J1832" s="55" t="s">
        <v>402</v>
      </c>
      <c r="L1832" s="55" t="s">
        <v>2649</v>
      </c>
      <c r="M1832" s="55" t="s">
        <v>150</v>
      </c>
      <c r="N1832" s="55" t="s">
        <v>150</v>
      </c>
      <c r="O1832" s="55" t="s">
        <v>237</v>
      </c>
      <c r="P1832" s="55" t="s">
        <v>635</v>
      </c>
      <c r="Q1832" s="55" t="s">
        <v>380</v>
      </c>
      <c r="R1832" s="85">
        <v>10</v>
      </c>
      <c r="S1832" s="55">
        <v>0</v>
      </c>
      <c r="T1832" s="74" t="s">
        <v>636</v>
      </c>
      <c r="U1832" s="74" t="s">
        <v>351</v>
      </c>
      <c r="V1832" s="74">
        <v>44481</v>
      </c>
      <c r="W1832" s="74">
        <v>44525</v>
      </c>
      <c r="X1832" s="55">
        <v>10183566</v>
      </c>
      <c r="Y1832" s="55" t="s">
        <v>132</v>
      </c>
      <c r="AB1832" s="74" t="s">
        <v>132</v>
      </c>
      <c r="AC1832" s="55" t="s">
        <v>132</v>
      </c>
      <c r="AL1832" s="74"/>
      <c r="AM1832" s="74"/>
      <c r="AW1832" s="74"/>
      <c r="AX1832" s="74"/>
    </row>
    <row r="1833" spans="1:50" ht="13" x14ac:dyDescent="0.15">
      <c r="A1833" s="55" t="str">
        <f>HYPERLINK("http://reports.ofsted.gov.uk/inspection-reports/find-inspection-report/provider/CARE/SC013143","Ofsted Social Care Provider Webpage")</f>
        <v>Ofsted Social Care Provider Webpage</v>
      </c>
      <c r="B1833" s="55" t="s">
        <v>2650</v>
      </c>
      <c r="D1833" s="55" t="s">
        <v>373</v>
      </c>
      <c r="E1833" s="74">
        <v>36892</v>
      </c>
      <c r="F1833" s="55" t="s">
        <v>344</v>
      </c>
      <c r="G1833" s="55" t="s">
        <v>360</v>
      </c>
      <c r="H1833" s="55" t="s">
        <v>360</v>
      </c>
      <c r="I1833" s="55" t="s">
        <v>360</v>
      </c>
      <c r="J1833" s="55" t="s">
        <v>360</v>
      </c>
      <c r="K1833" s="55" t="s">
        <v>360</v>
      </c>
      <c r="L1833" s="55" t="s">
        <v>360</v>
      </c>
      <c r="M1833" s="55" t="s">
        <v>150</v>
      </c>
      <c r="N1833" s="55" t="s">
        <v>150</v>
      </c>
      <c r="O1833" s="55" t="s">
        <v>237</v>
      </c>
      <c r="P1833" s="55" t="s">
        <v>859</v>
      </c>
      <c r="Q1833" s="55" t="s">
        <v>362</v>
      </c>
      <c r="R1833" s="85">
        <v>6</v>
      </c>
      <c r="S1833" s="55">
        <v>0</v>
      </c>
      <c r="T1833" s="74" t="s">
        <v>1884</v>
      </c>
      <c r="U1833" s="74" t="s">
        <v>351</v>
      </c>
      <c r="V1833" s="74">
        <v>44417</v>
      </c>
      <c r="W1833" s="74">
        <v>44454</v>
      </c>
      <c r="X1833" s="55">
        <v>10187075</v>
      </c>
      <c r="Y1833" s="55" t="s">
        <v>132</v>
      </c>
      <c r="AB1833" s="74" t="s">
        <v>132</v>
      </c>
      <c r="AC1833" s="55" t="s">
        <v>130</v>
      </c>
      <c r="AL1833" s="74"/>
      <c r="AM1833" s="74"/>
      <c r="AW1833" s="74"/>
      <c r="AX1833" s="74"/>
    </row>
    <row r="1834" spans="1:50" ht="13" x14ac:dyDescent="0.15">
      <c r="A1834" s="55" t="str">
        <f>HYPERLINK("http://reports.ofsted.gov.uk/inspection-reports/find-inspection-report/provider/CARE/SC013144","Ofsted Social Care Provider Webpage")</f>
        <v>Ofsted Social Care Provider Webpage</v>
      </c>
      <c r="B1834" s="55" t="s">
        <v>2651</v>
      </c>
      <c r="D1834" s="55" t="s">
        <v>373</v>
      </c>
      <c r="E1834" s="74">
        <v>36892</v>
      </c>
      <c r="F1834" s="55" t="s">
        <v>344</v>
      </c>
      <c r="G1834" s="55" t="s">
        <v>360</v>
      </c>
      <c r="H1834" s="55" t="s">
        <v>360</v>
      </c>
      <c r="I1834" s="55" t="s">
        <v>360</v>
      </c>
      <c r="J1834" s="55" t="s">
        <v>360</v>
      </c>
      <c r="K1834" s="55" t="s">
        <v>360</v>
      </c>
      <c r="L1834" s="55" t="s">
        <v>360</v>
      </c>
      <c r="M1834" s="55" t="s">
        <v>150</v>
      </c>
      <c r="N1834" s="55" t="s">
        <v>150</v>
      </c>
      <c r="O1834" s="55" t="s">
        <v>237</v>
      </c>
      <c r="P1834" s="55" t="s">
        <v>990</v>
      </c>
      <c r="Q1834" s="55" t="s">
        <v>362</v>
      </c>
      <c r="R1834" s="85">
        <v>6</v>
      </c>
      <c r="S1834" s="55" t="s">
        <v>332</v>
      </c>
      <c r="T1834" s="74" t="s">
        <v>1884</v>
      </c>
      <c r="U1834" s="74" t="s">
        <v>351</v>
      </c>
      <c r="V1834" s="74">
        <v>44459</v>
      </c>
      <c r="W1834" s="74">
        <v>44503</v>
      </c>
      <c r="X1834" s="55">
        <v>10187106</v>
      </c>
      <c r="Y1834" s="55" t="s">
        <v>132</v>
      </c>
      <c r="AB1834" s="74" t="s">
        <v>132</v>
      </c>
      <c r="AC1834" s="55" t="s">
        <v>140</v>
      </c>
      <c r="AL1834" s="74"/>
      <c r="AM1834" s="74"/>
      <c r="AW1834" s="74"/>
      <c r="AX1834" s="74"/>
    </row>
    <row r="1835" spans="1:50" ht="13" x14ac:dyDescent="0.15">
      <c r="A1835" s="55" t="str">
        <f>HYPERLINK("http://reports.ofsted.gov.uk/inspection-reports/find-inspection-report/provider/CARE/SC013553","Ofsted Social Care Provider Webpage")</f>
        <v>Ofsted Social Care Provider Webpage</v>
      </c>
      <c r="B1835" s="55" t="s">
        <v>2652</v>
      </c>
      <c r="D1835" s="55" t="s">
        <v>373</v>
      </c>
      <c r="E1835" s="74">
        <v>35811</v>
      </c>
      <c r="F1835" s="55" t="s">
        <v>344</v>
      </c>
      <c r="G1835" s="55" t="s">
        <v>360</v>
      </c>
      <c r="H1835" s="55" t="s">
        <v>360</v>
      </c>
      <c r="I1835" s="55" t="s">
        <v>360</v>
      </c>
      <c r="J1835" s="55" t="s">
        <v>360</v>
      </c>
      <c r="K1835" s="55" t="s">
        <v>360</v>
      </c>
      <c r="L1835" s="55" t="s">
        <v>360</v>
      </c>
      <c r="M1835" s="55" t="s">
        <v>150</v>
      </c>
      <c r="N1835" s="55" t="s">
        <v>150</v>
      </c>
      <c r="O1835" s="55" t="s">
        <v>268</v>
      </c>
      <c r="P1835" s="55" t="s">
        <v>2653</v>
      </c>
      <c r="Q1835" s="55" t="s">
        <v>350</v>
      </c>
      <c r="R1835" s="85">
        <v>8</v>
      </c>
      <c r="S1835" s="55">
        <v>0</v>
      </c>
      <c r="T1835" s="74" t="s">
        <v>2654</v>
      </c>
      <c r="U1835" s="74" t="s">
        <v>351</v>
      </c>
      <c r="V1835" s="74">
        <v>44580</v>
      </c>
      <c r="W1835" s="74">
        <v>44620</v>
      </c>
      <c r="X1835" s="55">
        <v>10185125</v>
      </c>
      <c r="Y1835" s="55" t="s">
        <v>130</v>
      </c>
      <c r="AB1835" s="74" t="s">
        <v>130</v>
      </c>
      <c r="AC1835" s="55" t="s">
        <v>130</v>
      </c>
      <c r="AL1835" s="74"/>
      <c r="AM1835" s="74"/>
      <c r="AW1835" s="74"/>
      <c r="AX1835" s="74"/>
    </row>
    <row r="1836" spans="1:50" ht="13" x14ac:dyDescent="0.15">
      <c r="A1836" s="55" t="str">
        <f>HYPERLINK("http://reports.ofsted.gov.uk/inspection-reports/find-inspection-report/provider/CARE/SC013598","Ofsted Social Care Provider Webpage")</f>
        <v>Ofsted Social Care Provider Webpage</v>
      </c>
      <c r="B1836" s="55" t="s">
        <v>2655</v>
      </c>
      <c r="D1836" s="55" t="s">
        <v>373</v>
      </c>
      <c r="E1836" s="74">
        <v>31497</v>
      </c>
      <c r="F1836" s="55" t="s">
        <v>344</v>
      </c>
      <c r="G1836" s="55" t="s">
        <v>360</v>
      </c>
      <c r="H1836" s="55" t="s">
        <v>360</v>
      </c>
      <c r="I1836" s="55" t="s">
        <v>360</v>
      </c>
      <c r="J1836" s="55" t="s">
        <v>360</v>
      </c>
      <c r="K1836" s="55" t="s">
        <v>360</v>
      </c>
      <c r="L1836" s="55" t="s">
        <v>360</v>
      </c>
      <c r="M1836" s="55" t="s">
        <v>150</v>
      </c>
      <c r="N1836" s="55" t="s">
        <v>150</v>
      </c>
      <c r="O1836" s="55" t="s">
        <v>268</v>
      </c>
      <c r="P1836" s="55" t="s">
        <v>1556</v>
      </c>
      <c r="Q1836" s="55" t="s">
        <v>362</v>
      </c>
      <c r="R1836" s="85">
        <v>14</v>
      </c>
      <c r="S1836" s="55" t="s">
        <v>332</v>
      </c>
      <c r="T1836" s="74" t="s">
        <v>2656</v>
      </c>
      <c r="U1836" s="74" t="s">
        <v>351</v>
      </c>
      <c r="V1836" s="74">
        <v>44299</v>
      </c>
      <c r="W1836" s="74">
        <v>44355</v>
      </c>
      <c r="X1836" s="55">
        <v>10185461</v>
      </c>
      <c r="Y1836" s="55" t="s">
        <v>132</v>
      </c>
      <c r="AB1836" s="74" t="s">
        <v>140</v>
      </c>
      <c r="AC1836" s="55" t="s">
        <v>140</v>
      </c>
      <c r="AL1836" s="74"/>
      <c r="AM1836" s="74"/>
      <c r="AW1836" s="74"/>
      <c r="AX1836" s="74"/>
    </row>
    <row r="1837" spans="1:50" ht="13" x14ac:dyDescent="0.15">
      <c r="A1837" s="55" t="str">
        <f>HYPERLINK("http://reports.ofsted.gov.uk/inspection-reports/find-inspection-report/provider/CARE/SC013743","Ofsted Social Care Provider Webpage")</f>
        <v>Ofsted Social Care Provider Webpage</v>
      </c>
      <c r="B1837" s="55" t="s">
        <v>2657</v>
      </c>
      <c r="D1837" s="55" t="s">
        <v>373</v>
      </c>
      <c r="E1837" s="74">
        <v>26780</v>
      </c>
      <c r="F1837" s="55" t="s">
        <v>344</v>
      </c>
      <c r="G1837" s="55" t="s">
        <v>360</v>
      </c>
      <c r="H1837" s="55" t="s">
        <v>360</v>
      </c>
      <c r="I1837" s="55" t="s">
        <v>360</v>
      </c>
      <c r="J1837" s="55" t="s">
        <v>360</v>
      </c>
      <c r="K1837" s="55" t="s">
        <v>360</v>
      </c>
      <c r="L1837" s="55" t="s">
        <v>360</v>
      </c>
      <c r="M1837" s="55" t="s">
        <v>150</v>
      </c>
      <c r="N1837" s="55" t="s">
        <v>150</v>
      </c>
      <c r="O1837" s="55" t="s">
        <v>268</v>
      </c>
      <c r="P1837" s="55" t="s">
        <v>1943</v>
      </c>
      <c r="Q1837" s="55" t="s">
        <v>362</v>
      </c>
      <c r="R1837" s="85">
        <v>16</v>
      </c>
      <c r="S1837" s="55">
        <v>0</v>
      </c>
      <c r="T1837" s="74" t="s">
        <v>367</v>
      </c>
      <c r="U1837" s="74" t="s">
        <v>351</v>
      </c>
      <c r="V1837" s="74">
        <v>44299</v>
      </c>
      <c r="W1837" s="74">
        <v>44348</v>
      </c>
      <c r="X1837" s="55">
        <v>10186679</v>
      </c>
      <c r="Y1837" s="55" t="s">
        <v>132</v>
      </c>
      <c r="AB1837" s="74" t="s">
        <v>132</v>
      </c>
      <c r="AC1837" s="55" t="s">
        <v>130</v>
      </c>
      <c r="AL1837" s="74"/>
      <c r="AM1837" s="74"/>
      <c r="AW1837" s="74"/>
      <c r="AX1837" s="74"/>
    </row>
    <row r="1838" spans="1:50" ht="13" x14ac:dyDescent="0.15">
      <c r="A1838" s="55" t="str">
        <f>HYPERLINK("http://reports.ofsted.gov.uk/inspection-reports/find-inspection-report/provider/CARE/SC013884","Ofsted Social Care Provider Webpage")</f>
        <v>Ofsted Social Care Provider Webpage</v>
      </c>
      <c r="B1838" s="55" t="s">
        <v>2661</v>
      </c>
      <c r="C1838" s="55">
        <v>144233</v>
      </c>
      <c r="D1838" s="55" t="s">
        <v>413</v>
      </c>
      <c r="E1838" s="74">
        <v>37301</v>
      </c>
      <c r="F1838" s="55" t="s">
        <v>344</v>
      </c>
      <c r="G1838" s="55" t="s">
        <v>2662</v>
      </c>
      <c r="H1838" s="55" t="s">
        <v>2662</v>
      </c>
      <c r="I1838" s="55" t="s">
        <v>2663</v>
      </c>
      <c r="J1838" s="55" t="s">
        <v>2664</v>
      </c>
      <c r="K1838" s="55" t="s">
        <v>268</v>
      </c>
      <c r="L1838" s="55" t="s">
        <v>2665</v>
      </c>
      <c r="M1838" s="55" t="s">
        <v>150</v>
      </c>
      <c r="N1838" s="55" t="s">
        <v>150</v>
      </c>
      <c r="O1838" s="55" t="s">
        <v>268</v>
      </c>
      <c r="P1838" s="55" t="s">
        <v>2666</v>
      </c>
      <c r="Q1838" s="55" t="s">
        <v>420</v>
      </c>
      <c r="R1838" s="85">
        <v>16</v>
      </c>
      <c r="S1838" s="55">
        <v>0</v>
      </c>
      <c r="T1838" s="74" t="s">
        <v>2667</v>
      </c>
      <c r="U1838" s="74" t="s">
        <v>351</v>
      </c>
      <c r="V1838" s="74">
        <v>44327</v>
      </c>
      <c r="W1838" s="74">
        <v>44384</v>
      </c>
      <c r="X1838" s="55">
        <v>10183546</v>
      </c>
      <c r="Y1838" s="55" t="s">
        <v>132</v>
      </c>
      <c r="AB1838" s="74" t="s">
        <v>132</v>
      </c>
      <c r="AC1838" s="55" t="s">
        <v>132</v>
      </c>
      <c r="AL1838" s="74"/>
      <c r="AM1838" s="74"/>
      <c r="AW1838" s="74"/>
      <c r="AX1838" s="74"/>
    </row>
    <row r="1839" spans="1:50" ht="13" x14ac:dyDescent="0.15">
      <c r="A1839" s="55" t="str">
        <f>HYPERLINK("http://reports.ofsted.gov.uk/inspection-reports/find-inspection-report/provider/CARE/SC013926","Ofsted Social Care Provider Webpage")</f>
        <v>Ofsted Social Care Provider Webpage</v>
      </c>
      <c r="B1839" s="55" t="s">
        <v>2691</v>
      </c>
      <c r="C1839" s="55">
        <v>125454</v>
      </c>
      <c r="D1839" s="55" t="s">
        <v>413</v>
      </c>
      <c r="E1839" s="74">
        <v>37301</v>
      </c>
      <c r="F1839" s="55" t="s">
        <v>344</v>
      </c>
      <c r="G1839" s="55" t="s">
        <v>2692</v>
      </c>
      <c r="H1839" s="55" t="s">
        <v>2692</v>
      </c>
      <c r="I1839" s="55" t="s">
        <v>2693</v>
      </c>
      <c r="J1839" s="55" t="s">
        <v>2694</v>
      </c>
      <c r="K1839" s="55" t="s">
        <v>268</v>
      </c>
      <c r="L1839" s="55" t="s">
        <v>2695</v>
      </c>
      <c r="M1839" s="55" t="s">
        <v>150</v>
      </c>
      <c r="N1839" s="55" t="s">
        <v>150</v>
      </c>
      <c r="O1839" s="55" t="s">
        <v>268</v>
      </c>
      <c r="P1839" s="55" t="s">
        <v>1943</v>
      </c>
      <c r="Q1839" s="55" t="s">
        <v>362</v>
      </c>
      <c r="R1839" s="85">
        <v>66</v>
      </c>
      <c r="S1839" s="55">
        <v>0</v>
      </c>
      <c r="T1839" s="74" t="s">
        <v>2696</v>
      </c>
      <c r="U1839" s="74" t="s">
        <v>351</v>
      </c>
      <c r="V1839" s="74">
        <v>44515</v>
      </c>
      <c r="W1839" s="74">
        <v>44581</v>
      </c>
      <c r="X1839" s="55">
        <v>10183470</v>
      </c>
      <c r="Y1839" s="55" t="s">
        <v>140</v>
      </c>
      <c r="AB1839" s="74" t="s">
        <v>140</v>
      </c>
      <c r="AC1839" s="55" t="s">
        <v>140</v>
      </c>
      <c r="AL1839" s="74"/>
      <c r="AM1839" s="74"/>
      <c r="AW1839" s="74"/>
      <c r="AX1839" s="74"/>
    </row>
    <row r="1840" spans="1:50" ht="13" x14ac:dyDescent="0.15">
      <c r="A1840" s="55" t="str">
        <f>HYPERLINK("http://reports.ofsted.gov.uk/inspection-reports/find-inspection-report/provider/CARE/SC013927","Ofsted Social Care Provider Webpage")</f>
        <v>Ofsted Social Care Provider Webpage</v>
      </c>
      <c r="B1840" s="55" t="s">
        <v>2697</v>
      </c>
      <c r="C1840" s="55">
        <v>125403</v>
      </c>
      <c r="D1840" s="55" t="s">
        <v>413</v>
      </c>
      <c r="E1840" s="74">
        <v>37301</v>
      </c>
      <c r="F1840" s="55" t="s">
        <v>344</v>
      </c>
      <c r="G1840" s="55" t="s">
        <v>2698</v>
      </c>
      <c r="H1840" s="55" t="s">
        <v>2699</v>
      </c>
      <c r="I1840" s="55" t="s">
        <v>2700</v>
      </c>
      <c r="J1840" s="55" t="s">
        <v>2701</v>
      </c>
      <c r="K1840" s="55" t="s">
        <v>268</v>
      </c>
      <c r="L1840" s="55" t="s">
        <v>2702</v>
      </c>
      <c r="M1840" s="55" t="s">
        <v>150</v>
      </c>
      <c r="N1840" s="55" t="s">
        <v>150</v>
      </c>
      <c r="O1840" s="55" t="s">
        <v>268</v>
      </c>
      <c r="P1840" s="55" t="s">
        <v>2653</v>
      </c>
      <c r="Q1840" s="55" t="s">
        <v>362</v>
      </c>
      <c r="R1840" s="85">
        <v>112</v>
      </c>
      <c r="S1840" s="55">
        <v>0</v>
      </c>
      <c r="T1840" s="74" t="s">
        <v>2703</v>
      </c>
      <c r="U1840" s="74" t="s">
        <v>351</v>
      </c>
      <c r="V1840" s="74">
        <v>44579</v>
      </c>
      <c r="W1840" s="74">
        <v>44623</v>
      </c>
      <c r="X1840" s="55">
        <v>10183479</v>
      </c>
      <c r="Y1840" s="55" t="s">
        <v>140</v>
      </c>
      <c r="AB1840" s="74" t="s">
        <v>140</v>
      </c>
      <c r="AC1840" s="55" t="s">
        <v>140</v>
      </c>
      <c r="AL1840" s="74"/>
      <c r="AM1840" s="74"/>
      <c r="AW1840" s="74"/>
      <c r="AX1840" s="74"/>
    </row>
    <row r="1841" spans="1:50" ht="13" x14ac:dyDescent="0.15">
      <c r="A1841" s="55" t="str">
        <f>HYPERLINK("http://reports.ofsted.gov.uk/inspection-reports/find-inspection-report/provider/CARE/SC014235","Ofsted Social Care Provider Webpage")</f>
        <v>Ofsted Social Care Provider Webpage</v>
      </c>
      <c r="B1841" s="55" t="s">
        <v>2710</v>
      </c>
      <c r="D1841" s="55" t="s">
        <v>373</v>
      </c>
      <c r="E1841" s="74">
        <v>36108</v>
      </c>
      <c r="F1841" s="55" t="s">
        <v>344</v>
      </c>
      <c r="G1841" s="55" t="s">
        <v>360</v>
      </c>
      <c r="H1841" s="55" t="s">
        <v>360</v>
      </c>
      <c r="I1841" s="55" t="s">
        <v>360</v>
      </c>
      <c r="J1841" s="55" t="s">
        <v>360</v>
      </c>
      <c r="K1841" s="55" t="s">
        <v>360</v>
      </c>
      <c r="L1841" s="55" t="s">
        <v>360</v>
      </c>
      <c r="M1841" s="55" t="s">
        <v>150</v>
      </c>
      <c r="N1841" s="55" t="s">
        <v>150</v>
      </c>
      <c r="O1841" s="55" t="s">
        <v>153</v>
      </c>
      <c r="P1841" s="55" t="s">
        <v>1331</v>
      </c>
      <c r="Q1841" s="55" t="s">
        <v>350</v>
      </c>
      <c r="R1841" s="85">
        <v>7</v>
      </c>
      <c r="S1841" s="55">
        <v>0</v>
      </c>
      <c r="T1841" s="74" t="s">
        <v>1332</v>
      </c>
      <c r="U1841" s="74" t="s">
        <v>351</v>
      </c>
      <c r="V1841" s="74">
        <v>44349</v>
      </c>
      <c r="W1841" s="74">
        <v>44392</v>
      </c>
      <c r="X1841" s="55">
        <v>10187010</v>
      </c>
      <c r="Y1841" s="55" t="s">
        <v>140</v>
      </c>
      <c r="AB1841" s="74" t="s">
        <v>132</v>
      </c>
      <c r="AC1841" s="55" t="s">
        <v>140</v>
      </c>
      <c r="AL1841" s="74"/>
      <c r="AM1841" s="74"/>
    </row>
    <row r="1842" spans="1:50" ht="13" x14ac:dyDescent="0.15">
      <c r="A1842" s="55" t="str">
        <f>HYPERLINK("http://reports.ofsted.gov.uk/inspection-reports/find-inspection-report/provider/CARE/SC014513","Ofsted Social Care Provider Webpage")</f>
        <v>Ofsted Social Care Provider Webpage</v>
      </c>
      <c r="B1842" s="55" t="s">
        <v>2711</v>
      </c>
      <c r="C1842" s="55">
        <v>126139</v>
      </c>
      <c r="D1842" s="55" t="s">
        <v>413</v>
      </c>
      <c r="E1842" s="74">
        <v>37301</v>
      </c>
      <c r="F1842" s="55" t="s">
        <v>344</v>
      </c>
      <c r="G1842" s="55" t="s">
        <v>2712</v>
      </c>
      <c r="H1842" s="55" t="s">
        <v>2713</v>
      </c>
      <c r="I1842" s="55" t="s">
        <v>2714</v>
      </c>
      <c r="J1842" s="55" t="s">
        <v>2715</v>
      </c>
      <c r="K1842" s="55" t="s">
        <v>285</v>
      </c>
      <c r="L1842" s="55" t="s">
        <v>2716</v>
      </c>
      <c r="M1842" s="55" t="s">
        <v>150</v>
      </c>
      <c r="N1842" s="55" t="s">
        <v>150</v>
      </c>
      <c r="O1842" s="55" t="s">
        <v>285</v>
      </c>
      <c r="P1842" s="55" t="s">
        <v>1810</v>
      </c>
      <c r="Q1842" s="55" t="s">
        <v>362</v>
      </c>
      <c r="R1842" s="85">
        <v>60</v>
      </c>
      <c r="S1842" s="55">
        <v>0</v>
      </c>
      <c r="T1842" s="74" t="s">
        <v>2717</v>
      </c>
      <c r="U1842" s="74" t="s">
        <v>351</v>
      </c>
      <c r="V1842" s="74">
        <v>44572</v>
      </c>
      <c r="W1842" s="74">
        <v>44631</v>
      </c>
      <c r="X1842" s="55">
        <v>10183468</v>
      </c>
      <c r="Y1842" s="55" t="s">
        <v>132</v>
      </c>
      <c r="AB1842" s="74" t="s">
        <v>132</v>
      </c>
      <c r="AC1842" s="55" t="s">
        <v>132</v>
      </c>
      <c r="AL1842" s="74"/>
      <c r="AM1842" s="74"/>
      <c r="AW1842" s="74"/>
      <c r="AX1842" s="74"/>
    </row>
    <row r="1843" spans="1:50" ht="13" x14ac:dyDescent="0.15">
      <c r="A1843" s="55" t="str">
        <f>HYPERLINK("http://reports.ofsted.gov.uk/inspection-reports/find-inspection-report/provider/CARE/SC014584","Ofsted Social Care Provider Webpage")</f>
        <v>Ofsted Social Care Provider Webpage</v>
      </c>
      <c r="B1843" s="55" t="s">
        <v>2718</v>
      </c>
      <c r="C1843" s="55">
        <v>135814</v>
      </c>
      <c r="D1843" s="55" t="s">
        <v>413</v>
      </c>
      <c r="E1843" s="74">
        <v>37301</v>
      </c>
      <c r="F1843" s="55" t="s">
        <v>344</v>
      </c>
      <c r="G1843" s="55" t="s">
        <v>2719</v>
      </c>
      <c r="H1843" s="55" t="s">
        <v>2719</v>
      </c>
      <c r="I1843" s="55" t="s">
        <v>2720</v>
      </c>
      <c r="J1843" s="55" t="s">
        <v>2721</v>
      </c>
      <c r="K1843" s="55" t="s">
        <v>285</v>
      </c>
      <c r="L1843" s="55" t="s">
        <v>2722</v>
      </c>
      <c r="M1843" s="55" t="s">
        <v>150</v>
      </c>
      <c r="N1843" s="55" t="s">
        <v>150</v>
      </c>
      <c r="O1843" s="55" t="s">
        <v>285</v>
      </c>
      <c r="P1843" s="55" t="s">
        <v>796</v>
      </c>
      <c r="Q1843" s="55" t="s">
        <v>362</v>
      </c>
      <c r="R1843" s="85">
        <v>15</v>
      </c>
      <c r="S1843" s="55">
        <v>0</v>
      </c>
      <c r="T1843" s="74" t="s">
        <v>2723</v>
      </c>
      <c r="U1843" s="74" t="s">
        <v>351</v>
      </c>
      <c r="V1843" s="74">
        <v>44327</v>
      </c>
      <c r="W1843" s="74">
        <v>44383</v>
      </c>
      <c r="X1843" s="55">
        <v>10183543</v>
      </c>
      <c r="Y1843" s="55" t="s">
        <v>140</v>
      </c>
      <c r="AB1843" s="74" t="s">
        <v>140</v>
      </c>
      <c r="AC1843" s="55" t="s">
        <v>140</v>
      </c>
      <c r="AL1843" s="74"/>
      <c r="AM1843" s="74"/>
      <c r="AW1843" s="74"/>
      <c r="AX1843" s="74"/>
    </row>
    <row r="1844" spans="1:50" ht="13" x14ac:dyDescent="0.15">
      <c r="A1844" s="55" t="str">
        <f>HYPERLINK("http://reports.ofsted.gov.uk/inspection-reports/find-inspection-report/provider/CARE/SC014848","Ofsted Social Care Provider Webpage")</f>
        <v>Ofsted Social Care Provider Webpage</v>
      </c>
      <c r="B1844" s="55" t="s">
        <v>2737</v>
      </c>
      <c r="D1844" s="55" t="s">
        <v>373</v>
      </c>
      <c r="E1844" s="74">
        <v>37073</v>
      </c>
      <c r="F1844" s="55" t="s">
        <v>344</v>
      </c>
      <c r="G1844" s="55" t="s">
        <v>360</v>
      </c>
      <c r="H1844" s="55" t="s">
        <v>360</v>
      </c>
      <c r="I1844" s="55" t="s">
        <v>360</v>
      </c>
      <c r="J1844" s="55" t="s">
        <v>360</v>
      </c>
      <c r="K1844" s="55" t="s">
        <v>360</v>
      </c>
      <c r="L1844" s="55" t="s">
        <v>360</v>
      </c>
      <c r="M1844" s="55" t="s">
        <v>150</v>
      </c>
      <c r="N1844" s="55" t="s">
        <v>150</v>
      </c>
      <c r="O1844" s="55" t="s">
        <v>285</v>
      </c>
      <c r="P1844" s="55" t="s">
        <v>2738</v>
      </c>
      <c r="Q1844" s="55" t="s">
        <v>350</v>
      </c>
      <c r="R1844" s="85">
        <v>6</v>
      </c>
      <c r="S1844" s="55">
        <v>0</v>
      </c>
      <c r="T1844" s="74" t="s">
        <v>2739</v>
      </c>
      <c r="U1844" s="74" t="s">
        <v>351</v>
      </c>
      <c r="V1844" s="74">
        <v>44567</v>
      </c>
      <c r="W1844" s="74">
        <v>44603</v>
      </c>
      <c r="X1844" s="55">
        <v>10187593</v>
      </c>
      <c r="Y1844" s="55" t="s">
        <v>132</v>
      </c>
      <c r="AB1844" s="74" t="s">
        <v>132</v>
      </c>
      <c r="AC1844" s="55" t="s">
        <v>140</v>
      </c>
      <c r="AL1844" s="74"/>
      <c r="AM1844" s="74"/>
    </row>
    <row r="1845" spans="1:50" ht="13" x14ac:dyDescent="0.15">
      <c r="A1845" s="55" t="str">
        <f>HYPERLINK("http://reports.ofsted.gov.uk/inspection-reports/find-inspection-report/provider/CARE/SC015254","Ofsted Social Care Provider Webpage")</f>
        <v>Ofsted Social Care Provider Webpage</v>
      </c>
      <c r="B1845" s="55" t="s">
        <v>2740</v>
      </c>
      <c r="D1845" s="55" t="s">
        <v>373</v>
      </c>
      <c r="E1845" s="74">
        <v>36373</v>
      </c>
      <c r="F1845" s="55" t="s">
        <v>344</v>
      </c>
      <c r="G1845" s="55" t="s">
        <v>360</v>
      </c>
      <c r="H1845" s="55" t="s">
        <v>360</v>
      </c>
      <c r="I1845" s="55" t="s">
        <v>360</v>
      </c>
      <c r="J1845" s="55" t="s">
        <v>360</v>
      </c>
      <c r="K1845" s="55" t="s">
        <v>360</v>
      </c>
      <c r="L1845" s="55" t="s">
        <v>360</v>
      </c>
      <c r="M1845" s="55" t="s">
        <v>138</v>
      </c>
      <c r="N1845" s="55" t="s">
        <v>138</v>
      </c>
      <c r="O1845" s="55" t="s">
        <v>159</v>
      </c>
      <c r="P1845" s="55" t="s">
        <v>1025</v>
      </c>
      <c r="Q1845" s="55" t="s">
        <v>350</v>
      </c>
      <c r="R1845" s="85">
        <v>5</v>
      </c>
      <c r="S1845" s="55">
        <v>0</v>
      </c>
      <c r="T1845" s="74" t="s">
        <v>2741</v>
      </c>
      <c r="U1845" s="74" t="s">
        <v>351</v>
      </c>
      <c r="V1845" s="74">
        <v>44375</v>
      </c>
      <c r="W1845" s="74">
        <v>44398</v>
      </c>
      <c r="X1845" s="55">
        <v>10186348</v>
      </c>
      <c r="Y1845" s="55" t="s">
        <v>140</v>
      </c>
      <c r="AB1845" s="74" t="s">
        <v>140</v>
      </c>
      <c r="AC1845" s="55" t="s">
        <v>140</v>
      </c>
      <c r="AL1845" s="74"/>
      <c r="AM1845" s="74"/>
      <c r="AW1845" s="74"/>
      <c r="AX1845" s="74"/>
    </row>
    <row r="1846" spans="1:50" ht="13" x14ac:dyDescent="0.15">
      <c r="A1846" s="55" t="str">
        <f>HYPERLINK("http://reports.ofsted.gov.uk/inspection-reports/find-inspection-report/provider/CARE/SC015264","Ofsted Social Care Provider Webpage")</f>
        <v>Ofsted Social Care Provider Webpage</v>
      </c>
      <c r="B1846" s="55" t="s">
        <v>6735</v>
      </c>
      <c r="D1846" s="55" t="s">
        <v>479</v>
      </c>
      <c r="E1846" s="74">
        <v>33939</v>
      </c>
      <c r="F1846" s="55" t="s">
        <v>6707</v>
      </c>
      <c r="G1846" s="55" t="s">
        <v>360</v>
      </c>
      <c r="H1846" s="55" t="s">
        <v>360</v>
      </c>
      <c r="I1846" s="55" t="s">
        <v>360</v>
      </c>
      <c r="J1846" s="55" t="s">
        <v>360</v>
      </c>
      <c r="K1846" s="55" t="s">
        <v>360</v>
      </c>
      <c r="L1846" s="55" t="s">
        <v>360</v>
      </c>
      <c r="M1846" s="55" t="s">
        <v>138</v>
      </c>
      <c r="N1846" s="55" t="s">
        <v>138</v>
      </c>
      <c r="O1846" s="55" t="s">
        <v>159</v>
      </c>
      <c r="P1846" s="55" t="s">
        <v>1025</v>
      </c>
      <c r="Q1846" s="55" t="s">
        <v>362</v>
      </c>
      <c r="R1846" s="85">
        <v>7</v>
      </c>
      <c r="S1846" s="55">
        <v>0</v>
      </c>
      <c r="T1846" s="74" t="s">
        <v>2743</v>
      </c>
      <c r="U1846" s="74" t="s">
        <v>351</v>
      </c>
      <c r="V1846" s="74">
        <v>44440</v>
      </c>
      <c r="W1846" s="74">
        <v>44463</v>
      </c>
      <c r="X1846" s="55">
        <v>10185447</v>
      </c>
      <c r="Y1846" s="55" t="s">
        <v>132</v>
      </c>
      <c r="AB1846" s="74" t="s">
        <v>132</v>
      </c>
      <c r="AC1846" s="55" t="s">
        <v>132</v>
      </c>
      <c r="AL1846" s="74"/>
      <c r="AM1846" s="74"/>
      <c r="AW1846" s="74"/>
      <c r="AX1846" s="74"/>
    </row>
    <row r="1847" spans="1:50" ht="13" x14ac:dyDescent="0.15">
      <c r="A1847" s="55" t="str">
        <f>HYPERLINK("http://reports.ofsted.gov.uk/inspection-reports/find-inspection-report/provider/CARE/SC015266","Ofsted Social Care Provider Webpage")</f>
        <v>Ofsted Social Care Provider Webpage</v>
      </c>
      <c r="B1847" s="55" t="s">
        <v>2742</v>
      </c>
      <c r="D1847" s="55" t="s">
        <v>373</v>
      </c>
      <c r="E1847" s="74">
        <v>35839</v>
      </c>
      <c r="F1847" s="55" t="s">
        <v>344</v>
      </c>
      <c r="G1847" s="55" t="s">
        <v>360</v>
      </c>
      <c r="H1847" s="55" t="s">
        <v>360</v>
      </c>
      <c r="I1847" s="55" t="s">
        <v>360</v>
      </c>
      <c r="J1847" s="55" t="s">
        <v>360</v>
      </c>
      <c r="K1847" s="55" t="s">
        <v>360</v>
      </c>
      <c r="L1847" s="55" t="s">
        <v>360</v>
      </c>
      <c r="M1847" s="55" t="s">
        <v>138</v>
      </c>
      <c r="N1847" s="55" t="s">
        <v>138</v>
      </c>
      <c r="O1847" s="55" t="s">
        <v>159</v>
      </c>
      <c r="P1847" s="55" t="s">
        <v>1025</v>
      </c>
      <c r="Q1847" s="55" t="s">
        <v>362</v>
      </c>
      <c r="R1847" s="85">
        <v>6</v>
      </c>
      <c r="S1847" s="55">
        <v>0</v>
      </c>
      <c r="T1847" s="74" t="s">
        <v>2743</v>
      </c>
      <c r="U1847" s="74" t="s">
        <v>351</v>
      </c>
      <c r="V1847" s="74">
        <v>44460</v>
      </c>
      <c r="W1847" s="74">
        <v>44488</v>
      </c>
      <c r="X1847" s="55">
        <v>10187304</v>
      </c>
      <c r="Y1847" s="55" t="s">
        <v>140</v>
      </c>
      <c r="AB1847" s="74" t="s">
        <v>140</v>
      </c>
      <c r="AC1847" s="55" t="s">
        <v>132</v>
      </c>
      <c r="AL1847" s="74"/>
      <c r="AM1847" s="74"/>
      <c r="AW1847" s="74"/>
      <c r="AX1847" s="74"/>
    </row>
    <row r="1848" spans="1:50" ht="13" x14ac:dyDescent="0.15">
      <c r="A1848" s="55" t="str">
        <f>HYPERLINK("http://reports.ofsted.gov.uk/inspection-reports/find-inspection-report/provider/CARE/SC016124","Ofsted Social Care Provider Webpage")</f>
        <v>Ofsted Social Care Provider Webpage</v>
      </c>
      <c r="B1848" s="55" t="s">
        <v>2744</v>
      </c>
      <c r="D1848" s="55" t="s">
        <v>373</v>
      </c>
      <c r="E1848" s="74">
        <v>37231</v>
      </c>
      <c r="F1848" s="55" t="s">
        <v>344</v>
      </c>
      <c r="G1848" s="55" t="s">
        <v>360</v>
      </c>
      <c r="H1848" s="55" t="s">
        <v>360</v>
      </c>
      <c r="I1848" s="55" t="s">
        <v>360</v>
      </c>
      <c r="J1848" s="55" t="s">
        <v>360</v>
      </c>
      <c r="K1848" s="55" t="s">
        <v>360</v>
      </c>
      <c r="L1848" s="55" t="s">
        <v>360</v>
      </c>
      <c r="M1848" s="55" t="s">
        <v>136</v>
      </c>
      <c r="N1848" s="55" t="s">
        <v>136</v>
      </c>
      <c r="O1848" s="55" t="s">
        <v>255</v>
      </c>
      <c r="P1848" s="55" t="s">
        <v>583</v>
      </c>
      <c r="Q1848" s="55" t="s">
        <v>350</v>
      </c>
      <c r="R1848" s="85">
        <v>3</v>
      </c>
      <c r="S1848" s="55">
        <v>0</v>
      </c>
      <c r="T1848" s="74" t="s">
        <v>900</v>
      </c>
      <c r="U1848" s="74" t="s">
        <v>351</v>
      </c>
      <c r="V1848" s="74">
        <v>44545</v>
      </c>
      <c r="W1848" s="74">
        <v>44592</v>
      </c>
      <c r="X1848" s="55">
        <v>10186951</v>
      </c>
      <c r="Y1848" s="55" t="s">
        <v>130</v>
      </c>
      <c r="AB1848" s="74" t="s">
        <v>132</v>
      </c>
      <c r="AC1848" s="55" t="s">
        <v>130</v>
      </c>
      <c r="AL1848" s="74"/>
      <c r="AM1848" s="74"/>
      <c r="AW1848" s="74"/>
      <c r="AX1848" s="74"/>
    </row>
    <row r="1849" spans="1:50" ht="13" x14ac:dyDescent="0.15">
      <c r="A1849" s="55" t="str">
        <f>HYPERLINK("http://reports.ofsted.gov.uk/inspection-reports/find-inspection-report/provider/CARE/SC016124","Ofsted Social Care Provider Webpage")</f>
        <v>Ofsted Social Care Provider Webpage</v>
      </c>
      <c r="B1849" s="55" t="s">
        <v>2744</v>
      </c>
      <c r="D1849" s="55" t="s">
        <v>373</v>
      </c>
      <c r="E1849" s="74">
        <v>37231</v>
      </c>
      <c r="F1849" s="55" t="s">
        <v>344</v>
      </c>
      <c r="G1849" s="55" t="s">
        <v>360</v>
      </c>
      <c r="H1849" s="55" t="s">
        <v>360</v>
      </c>
      <c r="I1849" s="55" t="s">
        <v>360</v>
      </c>
      <c r="J1849" s="55" t="s">
        <v>360</v>
      </c>
      <c r="K1849" s="55" t="s">
        <v>360</v>
      </c>
      <c r="L1849" s="55" t="s">
        <v>360</v>
      </c>
      <c r="M1849" s="55" t="s">
        <v>136</v>
      </c>
      <c r="N1849" s="55" t="s">
        <v>136</v>
      </c>
      <c r="O1849" s="55" t="s">
        <v>255</v>
      </c>
      <c r="P1849" s="55" t="s">
        <v>583</v>
      </c>
      <c r="Q1849" s="55" t="s">
        <v>350</v>
      </c>
      <c r="R1849" s="85">
        <v>3</v>
      </c>
      <c r="S1849" s="55">
        <v>0</v>
      </c>
      <c r="T1849" s="74" t="s">
        <v>900</v>
      </c>
      <c r="U1849" s="74" t="s">
        <v>6703</v>
      </c>
      <c r="V1849" s="74">
        <v>44622</v>
      </c>
      <c r="W1849" s="74">
        <v>44678</v>
      </c>
      <c r="X1849" s="55">
        <v>10219477</v>
      </c>
      <c r="Y1849" s="55" t="s">
        <v>6705</v>
      </c>
      <c r="AL1849" s="74"/>
      <c r="AM1849" s="74"/>
      <c r="AW1849" s="74"/>
      <c r="AX1849" s="74"/>
    </row>
    <row r="1850" spans="1:50" ht="13" x14ac:dyDescent="0.15">
      <c r="A1850" s="55" t="str">
        <f>HYPERLINK("http://reports.ofsted.gov.uk/inspection-reports/find-inspection-report/provider/CARE/SC016600","Ofsted Social Care Provider Webpage")</f>
        <v>Ofsted Social Care Provider Webpage</v>
      </c>
      <c r="B1850" s="55" t="s">
        <v>2745</v>
      </c>
      <c r="D1850" s="55" t="s">
        <v>373</v>
      </c>
      <c r="E1850" s="74">
        <v>33774</v>
      </c>
      <c r="F1850" s="55" t="s">
        <v>344</v>
      </c>
      <c r="G1850" s="55" t="s">
        <v>360</v>
      </c>
      <c r="H1850" s="55" t="s">
        <v>360</v>
      </c>
      <c r="I1850" s="55" t="s">
        <v>360</v>
      </c>
      <c r="J1850" s="55" t="s">
        <v>360</v>
      </c>
      <c r="K1850" s="55" t="s">
        <v>360</v>
      </c>
      <c r="L1850" s="55" t="s">
        <v>360</v>
      </c>
      <c r="M1850" s="55" t="s">
        <v>136</v>
      </c>
      <c r="N1850" s="55" t="s">
        <v>136</v>
      </c>
      <c r="O1850" s="55" t="s">
        <v>185</v>
      </c>
      <c r="P1850" s="55" t="s">
        <v>898</v>
      </c>
      <c r="Q1850" s="55" t="s">
        <v>350</v>
      </c>
      <c r="R1850" s="85">
        <v>5</v>
      </c>
      <c r="S1850" s="55">
        <v>0</v>
      </c>
      <c r="T1850" s="74" t="s">
        <v>2746</v>
      </c>
      <c r="U1850" s="74" t="s">
        <v>351</v>
      </c>
      <c r="V1850" s="74">
        <v>44326</v>
      </c>
      <c r="W1850" s="74">
        <v>44365</v>
      </c>
      <c r="X1850" s="55">
        <v>10187151</v>
      </c>
      <c r="Y1850" s="55" t="s">
        <v>130</v>
      </c>
      <c r="AB1850" s="74" t="s">
        <v>130</v>
      </c>
      <c r="AC1850" s="55" t="s">
        <v>146</v>
      </c>
      <c r="AL1850" s="74"/>
      <c r="AM1850" s="74"/>
    </row>
    <row r="1851" spans="1:50" ht="13" x14ac:dyDescent="0.15">
      <c r="A1851" s="55" t="str">
        <f>HYPERLINK("http://reports.ofsted.gov.uk/inspection-reports/find-inspection-report/provider/CARE/SC016600","Ofsted Social Care Provider Webpage")</f>
        <v>Ofsted Social Care Provider Webpage</v>
      </c>
      <c r="B1851" s="55" t="s">
        <v>2745</v>
      </c>
      <c r="D1851" s="55" t="s">
        <v>373</v>
      </c>
      <c r="E1851" s="74">
        <v>33774</v>
      </c>
      <c r="F1851" s="55" t="s">
        <v>344</v>
      </c>
      <c r="G1851" s="55" t="s">
        <v>360</v>
      </c>
      <c r="H1851" s="55" t="s">
        <v>360</v>
      </c>
      <c r="I1851" s="55" t="s">
        <v>360</v>
      </c>
      <c r="J1851" s="55" t="s">
        <v>360</v>
      </c>
      <c r="K1851" s="55" t="s">
        <v>360</v>
      </c>
      <c r="L1851" s="55" t="s">
        <v>360</v>
      </c>
      <c r="M1851" s="55" t="s">
        <v>136</v>
      </c>
      <c r="N1851" s="55" t="s">
        <v>136</v>
      </c>
      <c r="O1851" s="55" t="s">
        <v>185</v>
      </c>
      <c r="P1851" s="55" t="s">
        <v>898</v>
      </c>
      <c r="Q1851" s="55" t="s">
        <v>350</v>
      </c>
      <c r="R1851" s="85">
        <v>5</v>
      </c>
      <c r="S1851" s="55">
        <v>0</v>
      </c>
      <c r="T1851" s="74" t="s">
        <v>2746</v>
      </c>
      <c r="U1851" s="74" t="s">
        <v>6703</v>
      </c>
      <c r="V1851" s="74">
        <v>44453</v>
      </c>
      <c r="W1851" s="74">
        <v>44480</v>
      </c>
      <c r="X1851" s="55">
        <v>10197546</v>
      </c>
      <c r="Y1851" s="55" t="s">
        <v>6705</v>
      </c>
      <c r="AL1851" s="74"/>
      <c r="AM1851" s="74"/>
      <c r="AW1851" s="74"/>
      <c r="AX1851" s="74"/>
    </row>
    <row r="1852" spans="1:50" ht="13" x14ac:dyDescent="0.15">
      <c r="A1852" s="55" t="str">
        <f>HYPERLINK("http://reports.ofsted.gov.uk/inspection-reports/find-inspection-report/provider/CARE/SC016697","Ofsted Social Care Provider Webpage")</f>
        <v>Ofsted Social Care Provider Webpage</v>
      </c>
      <c r="B1852" s="55" t="s">
        <v>2747</v>
      </c>
      <c r="D1852" s="55" t="s">
        <v>373</v>
      </c>
      <c r="E1852" s="74">
        <v>37103</v>
      </c>
      <c r="F1852" s="55" t="s">
        <v>344</v>
      </c>
      <c r="G1852" s="55" t="s">
        <v>360</v>
      </c>
      <c r="H1852" s="55" t="s">
        <v>360</v>
      </c>
      <c r="I1852" s="55" t="s">
        <v>360</v>
      </c>
      <c r="J1852" s="55" t="s">
        <v>360</v>
      </c>
      <c r="K1852" s="55" t="s">
        <v>360</v>
      </c>
      <c r="L1852" s="55" t="s">
        <v>360</v>
      </c>
      <c r="M1852" s="55" t="s">
        <v>136</v>
      </c>
      <c r="N1852" s="55" t="s">
        <v>136</v>
      </c>
      <c r="O1852" s="55" t="s">
        <v>185</v>
      </c>
      <c r="P1852" s="55" t="s">
        <v>382</v>
      </c>
      <c r="Q1852" s="55" t="s">
        <v>350</v>
      </c>
      <c r="R1852" s="85">
        <v>4</v>
      </c>
      <c r="S1852" s="55">
        <v>0</v>
      </c>
      <c r="T1852" s="74" t="s">
        <v>2748</v>
      </c>
      <c r="U1852" s="74" t="s">
        <v>351</v>
      </c>
      <c r="V1852" s="74">
        <v>44411</v>
      </c>
      <c r="W1852" s="74">
        <v>44441</v>
      </c>
      <c r="X1852" s="55">
        <v>10187634</v>
      </c>
      <c r="Y1852" s="55" t="s">
        <v>140</v>
      </c>
      <c r="AB1852" s="74" t="s">
        <v>132</v>
      </c>
      <c r="AC1852" s="55" t="s">
        <v>140</v>
      </c>
      <c r="AL1852" s="74"/>
      <c r="AM1852" s="74"/>
    </row>
    <row r="1853" spans="1:50" ht="13" x14ac:dyDescent="0.15">
      <c r="A1853" s="55" t="str">
        <f>HYPERLINK("http://reports.ofsted.gov.uk/inspection-reports/find-inspection-report/provider/CARE/SC018009","Ofsted Social Care Provider Webpage")</f>
        <v>Ofsted Social Care Provider Webpage</v>
      </c>
      <c r="B1853" s="55" t="s">
        <v>2767</v>
      </c>
      <c r="C1853" s="55">
        <v>137814</v>
      </c>
      <c r="D1853" s="55" t="s">
        <v>398</v>
      </c>
      <c r="E1853" s="74">
        <v>37302</v>
      </c>
      <c r="F1853" s="55" t="s">
        <v>344</v>
      </c>
      <c r="G1853" s="55" t="s">
        <v>2768</v>
      </c>
      <c r="H1853" s="55" t="s">
        <v>2768</v>
      </c>
      <c r="I1853" s="55" t="s">
        <v>2769</v>
      </c>
      <c r="J1853" s="55" t="s">
        <v>2770</v>
      </c>
      <c r="L1853" s="55" t="s">
        <v>2771</v>
      </c>
      <c r="M1853" s="55" t="s">
        <v>138</v>
      </c>
      <c r="N1853" s="55" t="s">
        <v>138</v>
      </c>
      <c r="O1853" s="55" t="s">
        <v>183</v>
      </c>
      <c r="P1853" s="55" t="s">
        <v>508</v>
      </c>
      <c r="Q1853" s="55" t="s">
        <v>420</v>
      </c>
      <c r="R1853" s="85">
        <v>31</v>
      </c>
      <c r="S1853" s="55">
        <v>0</v>
      </c>
      <c r="T1853" s="74" t="s">
        <v>2768</v>
      </c>
      <c r="U1853" s="74" t="s">
        <v>351</v>
      </c>
      <c r="V1853" s="74">
        <v>44327</v>
      </c>
      <c r="W1853" s="74">
        <v>44385</v>
      </c>
      <c r="X1853" s="55">
        <v>10193503</v>
      </c>
      <c r="Y1853" s="55" t="s">
        <v>130</v>
      </c>
      <c r="AB1853" s="74" t="s">
        <v>130</v>
      </c>
      <c r="AC1853" s="55" t="s">
        <v>130</v>
      </c>
      <c r="AL1853" s="74"/>
      <c r="AM1853" s="74"/>
    </row>
    <row r="1854" spans="1:50" ht="13" x14ac:dyDescent="0.15">
      <c r="A1854" s="55" t="str">
        <f>HYPERLINK("http://reports.ofsted.gov.uk/inspection-reports/find-inspection-report/provider/CARE/SC018010","Ofsted Social Care Provider Webpage")</f>
        <v>Ofsted Social Care Provider Webpage</v>
      </c>
      <c r="B1854" s="55" t="s">
        <v>2772</v>
      </c>
      <c r="C1854" s="55">
        <v>115426</v>
      </c>
      <c r="D1854" s="55" t="s">
        <v>413</v>
      </c>
      <c r="E1854" s="74">
        <v>37302</v>
      </c>
      <c r="F1854" s="55" t="s">
        <v>344</v>
      </c>
      <c r="G1854" s="55" t="s">
        <v>2773</v>
      </c>
      <c r="H1854" s="55" t="s">
        <v>2773</v>
      </c>
      <c r="I1854" s="55" t="s">
        <v>2774</v>
      </c>
      <c r="J1854" s="55" t="s">
        <v>508</v>
      </c>
      <c r="K1854" s="55" t="s">
        <v>183</v>
      </c>
      <c r="L1854" s="55" t="s">
        <v>2775</v>
      </c>
      <c r="M1854" s="55" t="s">
        <v>138</v>
      </c>
      <c r="N1854" s="55" t="s">
        <v>138</v>
      </c>
      <c r="O1854" s="55" t="s">
        <v>183</v>
      </c>
      <c r="P1854" s="55" t="s">
        <v>510</v>
      </c>
      <c r="Q1854" s="55" t="s">
        <v>362</v>
      </c>
      <c r="R1854" s="85">
        <v>3</v>
      </c>
      <c r="S1854" s="55">
        <v>0</v>
      </c>
      <c r="T1854" s="74" t="s">
        <v>2776</v>
      </c>
      <c r="U1854" s="74" t="s">
        <v>351</v>
      </c>
      <c r="V1854" s="74">
        <v>44600</v>
      </c>
      <c r="W1854" s="74">
        <v>44638</v>
      </c>
      <c r="X1854" s="55">
        <v>10183492</v>
      </c>
      <c r="Y1854" s="55" t="s">
        <v>132</v>
      </c>
      <c r="AB1854" s="74" t="s">
        <v>132</v>
      </c>
      <c r="AC1854" s="55" t="s">
        <v>132</v>
      </c>
      <c r="AL1854" s="74"/>
      <c r="AM1854" s="74"/>
      <c r="AW1854" s="74"/>
      <c r="AX1854" s="74"/>
    </row>
    <row r="1855" spans="1:50" ht="13" x14ac:dyDescent="0.15">
      <c r="A1855" s="55" t="str">
        <f>HYPERLINK("http://reports.ofsted.gov.uk/inspection-reports/find-inspection-report/provider/CARE/SC018021","Ofsted Social Care Provider Webpage")</f>
        <v>Ofsted Social Care Provider Webpage</v>
      </c>
      <c r="B1855" s="55" t="s">
        <v>2777</v>
      </c>
      <c r="C1855" s="55">
        <v>115450</v>
      </c>
      <c r="D1855" s="55" t="s">
        <v>413</v>
      </c>
      <c r="E1855" s="74">
        <v>37302</v>
      </c>
      <c r="F1855" s="55" t="s">
        <v>344</v>
      </c>
      <c r="G1855" s="55" t="s">
        <v>2778</v>
      </c>
      <c r="H1855" s="55" t="s">
        <v>2778</v>
      </c>
      <c r="I1855" s="55" t="s">
        <v>2779</v>
      </c>
      <c r="J1855" s="55" t="s">
        <v>2780</v>
      </c>
      <c r="K1855" s="55" t="s">
        <v>183</v>
      </c>
      <c r="L1855" s="55" t="s">
        <v>2781</v>
      </c>
      <c r="M1855" s="55" t="s">
        <v>138</v>
      </c>
      <c r="N1855" s="55" t="s">
        <v>138</v>
      </c>
      <c r="O1855" s="55" t="s">
        <v>183</v>
      </c>
      <c r="P1855" s="55" t="s">
        <v>813</v>
      </c>
      <c r="Q1855" s="55" t="s">
        <v>380</v>
      </c>
      <c r="R1855" s="85">
        <v>56</v>
      </c>
      <c r="S1855" s="55">
        <v>0</v>
      </c>
      <c r="T1855" s="74" t="s">
        <v>1795</v>
      </c>
      <c r="U1855" s="74" t="s">
        <v>351</v>
      </c>
      <c r="V1855" s="74">
        <v>44621</v>
      </c>
      <c r="W1855" s="74">
        <v>44663</v>
      </c>
      <c r="X1855" s="55">
        <v>10183506</v>
      </c>
      <c r="Y1855" s="55" t="s">
        <v>140</v>
      </c>
      <c r="AB1855" s="74" t="s">
        <v>140</v>
      </c>
      <c r="AC1855" s="55" t="s">
        <v>140</v>
      </c>
      <c r="AL1855" s="74"/>
      <c r="AM1855" s="74"/>
    </row>
    <row r="1856" spans="1:50" ht="13" x14ac:dyDescent="0.15">
      <c r="A1856" s="55" t="str">
        <f>HYPERLINK("http://reports.ofsted.gov.uk/inspection-reports/find-inspection-report/provider/CARE/SC018026","Ofsted Social Care Provider Webpage")</f>
        <v>Ofsted Social Care Provider Webpage</v>
      </c>
      <c r="B1856" s="55" t="s">
        <v>2782</v>
      </c>
      <c r="C1856" s="55">
        <v>142612</v>
      </c>
      <c r="D1856" s="55" t="s">
        <v>413</v>
      </c>
      <c r="E1856" s="74">
        <v>37302</v>
      </c>
      <c r="F1856" s="55" t="s">
        <v>344</v>
      </c>
      <c r="G1856" s="55" t="s">
        <v>2783</v>
      </c>
      <c r="H1856" s="55" t="s">
        <v>2783</v>
      </c>
      <c r="I1856" s="55" t="s">
        <v>2784</v>
      </c>
      <c r="J1856" s="55" t="s">
        <v>2785</v>
      </c>
      <c r="K1856" s="55" t="s">
        <v>183</v>
      </c>
      <c r="L1856" s="55" t="s">
        <v>2786</v>
      </c>
      <c r="M1856" s="55" t="s">
        <v>138</v>
      </c>
      <c r="N1856" s="55" t="s">
        <v>138</v>
      </c>
      <c r="O1856" s="55" t="s">
        <v>183</v>
      </c>
      <c r="P1856" s="55" t="s">
        <v>1050</v>
      </c>
      <c r="Q1856" s="55" t="s">
        <v>420</v>
      </c>
      <c r="R1856" s="85">
        <v>40</v>
      </c>
      <c r="S1856" s="55">
        <v>0</v>
      </c>
      <c r="T1856" s="74" t="s">
        <v>2787</v>
      </c>
      <c r="U1856" s="74" t="s">
        <v>351</v>
      </c>
      <c r="V1856" s="74">
        <v>44453</v>
      </c>
      <c r="W1856" s="74">
        <v>44475</v>
      </c>
      <c r="X1856" s="55">
        <v>10183503</v>
      </c>
      <c r="Y1856" s="55" t="s">
        <v>132</v>
      </c>
      <c r="AB1856" s="74" t="s">
        <v>132</v>
      </c>
      <c r="AC1856" s="55" t="s">
        <v>132</v>
      </c>
      <c r="AL1856" s="74"/>
      <c r="AM1856" s="74"/>
      <c r="AW1856" s="74"/>
      <c r="AX1856" s="74"/>
    </row>
    <row r="1857" spans="1:50" ht="13" x14ac:dyDescent="0.15">
      <c r="A1857" s="55" t="str">
        <f>HYPERLINK("http://reports.ofsted.gov.uk/inspection-reports/find-inspection-report/provider/CARE/SC018238","Ofsted Social Care Provider Webpage")</f>
        <v>Ofsted Social Care Provider Webpage</v>
      </c>
      <c r="B1857" s="55" t="s">
        <v>2788</v>
      </c>
      <c r="D1857" s="55" t="s">
        <v>373</v>
      </c>
      <c r="E1857" s="74">
        <v>37062</v>
      </c>
      <c r="F1857" s="55" t="s">
        <v>344</v>
      </c>
      <c r="G1857" s="55" t="s">
        <v>360</v>
      </c>
      <c r="H1857" s="55" t="s">
        <v>360</v>
      </c>
      <c r="I1857" s="55" t="s">
        <v>360</v>
      </c>
      <c r="J1857" s="55" t="s">
        <v>360</v>
      </c>
      <c r="K1857" s="55" t="s">
        <v>360</v>
      </c>
      <c r="L1857" s="55" t="s">
        <v>360</v>
      </c>
      <c r="M1857" s="55" t="s">
        <v>378</v>
      </c>
      <c r="N1857" s="55" t="s">
        <v>134</v>
      </c>
      <c r="O1857" s="55" t="s">
        <v>133</v>
      </c>
      <c r="P1857" s="55" t="s">
        <v>2789</v>
      </c>
      <c r="Q1857" s="55" t="s">
        <v>350</v>
      </c>
      <c r="R1857" s="85">
        <v>1</v>
      </c>
      <c r="S1857" s="55">
        <v>0</v>
      </c>
      <c r="T1857" s="74" t="s">
        <v>2448</v>
      </c>
      <c r="U1857" s="74" t="s">
        <v>351</v>
      </c>
      <c r="V1857" s="74">
        <v>44516</v>
      </c>
      <c r="W1857" s="74">
        <v>44560</v>
      </c>
      <c r="X1857" s="55">
        <v>10185292</v>
      </c>
      <c r="Y1857" s="55" t="s">
        <v>140</v>
      </c>
      <c r="AB1857" s="74" t="s">
        <v>140</v>
      </c>
      <c r="AC1857" s="55" t="s">
        <v>140</v>
      </c>
      <c r="AL1857" s="74"/>
      <c r="AM1857" s="74"/>
      <c r="AW1857" s="74"/>
      <c r="AX1857" s="74"/>
    </row>
    <row r="1858" spans="1:50" ht="13" x14ac:dyDescent="0.15">
      <c r="A1858" s="55" t="str">
        <f>HYPERLINK("http://reports.ofsted.gov.uk/inspection-reports/find-inspection-report/provider/CARE/SC018241","Ofsted Social Care Provider Webpage")</f>
        <v>Ofsted Social Care Provider Webpage</v>
      </c>
      <c r="B1858" s="55" t="s">
        <v>2790</v>
      </c>
      <c r="D1858" s="55" t="s">
        <v>373</v>
      </c>
      <c r="E1858" s="74">
        <v>36796</v>
      </c>
      <c r="F1858" s="55" t="s">
        <v>344</v>
      </c>
      <c r="G1858" s="55" t="s">
        <v>360</v>
      </c>
      <c r="H1858" s="55" t="s">
        <v>360</v>
      </c>
      <c r="I1858" s="55" t="s">
        <v>360</v>
      </c>
      <c r="J1858" s="55" t="s">
        <v>360</v>
      </c>
      <c r="K1858" s="55" t="s">
        <v>360</v>
      </c>
      <c r="L1858" s="55" t="s">
        <v>360</v>
      </c>
      <c r="M1858" s="55" t="s">
        <v>378</v>
      </c>
      <c r="N1858" s="55" t="s">
        <v>134</v>
      </c>
      <c r="O1858" s="55" t="s">
        <v>133</v>
      </c>
      <c r="P1858" s="55" t="s">
        <v>1804</v>
      </c>
      <c r="Q1858" s="55" t="s">
        <v>350</v>
      </c>
      <c r="R1858" s="85">
        <v>4</v>
      </c>
      <c r="S1858" s="55">
        <v>0</v>
      </c>
      <c r="T1858" s="74" t="s">
        <v>2448</v>
      </c>
      <c r="U1858" s="74" t="s">
        <v>351</v>
      </c>
      <c r="V1858" s="74">
        <v>44601</v>
      </c>
      <c r="W1858" s="74">
        <v>44648</v>
      </c>
      <c r="X1858" s="55">
        <v>10186704</v>
      </c>
      <c r="Y1858" s="55" t="s">
        <v>140</v>
      </c>
      <c r="AB1858" s="74" t="s">
        <v>140</v>
      </c>
      <c r="AC1858" s="55" t="s">
        <v>140</v>
      </c>
      <c r="AL1858" s="74"/>
      <c r="AM1858" s="74"/>
      <c r="AW1858" s="74"/>
      <c r="AX1858" s="74"/>
    </row>
    <row r="1859" spans="1:50" ht="13" x14ac:dyDescent="0.15">
      <c r="A1859" s="55" t="str">
        <f>HYPERLINK("http://reports.ofsted.gov.uk/inspection-reports/find-inspection-report/provider/CARE/SC018958","Ofsted Social Care Provider Webpage")</f>
        <v>Ofsted Social Care Provider Webpage</v>
      </c>
      <c r="B1859" s="55" t="s">
        <v>2791</v>
      </c>
      <c r="C1859" s="55">
        <v>105137</v>
      </c>
      <c r="D1859" s="55" t="s">
        <v>413</v>
      </c>
      <c r="E1859" s="74">
        <v>37302</v>
      </c>
      <c r="F1859" s="55" t="s">
        <v>344</v>
      </c>
      <c r="G1859" s="55" t="s">
        <v>2792</v>
      </c>
      <c r="H1859" s="55" t="s">
        <v>2792</v>
      </c>
      <c r="I1859" s="55" t="s">
        <v>2793</v>
      </c>
      <c r="J1859" s="55" t="s">
        <v>2794</v>
      </c>
      <c r="K1859" s="55" t="s">
        <v>1339</v>
      </c>
      <c r="L1859" s="55" t="s">
        <v>2795</v>
      </c>
      <c r="M1859" s="55" t="s">
        <v>144</v>
      </c>
      <c r="N1859" s="55" t="s">
        <v>144</v>
      </c>
      <c r="O1859" s="55" t="s">
        <v>290</v>
      </c>
      <c r="P1859" s="55" t="s">
        <v>909</v>
      </c>
      <c r="Q1859" s="55" t="s">
        <v>362</v>
      </c>
      <c r="R1859" s="85">
        <v>8</v>
      </c>
      <c r="S1859" s="55">
        <v>0</v>
      </c>
      <c r="T1859" s="74" t="s">
        <v>2792</v>
      </c>
      <c r="U1859" s="74" t="s">
        <v>351</v>
      </c>
      <c r="V1859" s="74">
        <v>44369</v>
      </c>
      <c r="W1859" s="74">
        <v>44399</v>
      </c>
      <c r="X1859" s="55">
        <v>10183537</v>
      </c>
      <c r="Y1859" s="55" t="s">
        <v>132</v>
      </c>
      <c r="AB1859" s="74" t="s">
        <v>132</v>
      </c>
      <c r="AC1859" s="55" t="s">
        <v>132</v>
      </c>
      <c r="AL1859" s="74"/>
      <c r="AM1859" s="74"/>
      <c r="AW1859" s="74"/>
      <c r="AX1859" s="74"/>
    </row>
    <row r="1860" spans="1:50" ht="13" x14ac:dyDescent="0.15">
      <c r="A1860" s="55" t="str">
        <f>HYPERLINK("http://reports.ofsted.gov.uk/inspection-reports/find-inspection-report/provider/CARE/SC019441","Ofsted Social Care Provider Webpage")</f>
        <v>Ofsted Social Care Provider Webpage</v>
      </c>
      <c r="B1860" s="55" t="s">
        <v>2796</v>
      </c>
      <c r="D1860" s="55" t="s">
        <v>373</v>
      </c>
      <c r="E1860" s="74">
        <v>36158</v>
      </c>
      <c r="F1860" s="55" t="s">
        <v>344</v>
      </c>
      <c r="G1860" s="55" t="s">
        <v>360</v>
      </c>
      <c r="H1860" s="55" t="s">
        <v>360</v>
      </c>
      <c r="I1860" s="55" t="s">
        <v>360</v>
      </c>
      <c r="J1860" s="55" t="s">
        <v>360</v>
      </c>
      <c r="K1860" s="55" t="s">
        <v>360</v>
      </c>
      <c r="L1860" s="55" t="s">
        <v>360</v>
      </c>
      <c r="M1860" s="55" t="s">
        <v>138</v>
      </c>
      <c r="N1860" s="55" t="s">
        <v>138</v>
      </c>
      <c r="O1860" s="55" t="s">
        <v>196</v>
      </c>
      <c r="P1860" s="55" t="s">
        <v>1506</v>
      </c>
      <c r="Q1860" s="55" t="s">
        <v>362</v>
      </c>
      <c r="R1860" s="85">
        <v>5</v>
      </c>
      <c r="S1860" s="55" t="s">
        <v>332</v>
      </c>
      <c r="T1860" s="74" t="s">
        <v>2797</v>
      </c>
      <c r="U1860" s="74" t="s">
        <v>351</v>
      </c>
      <c r="V1860" s="74">
        <v>44578</v>
      </c>
      <c r="W1860" s="74">
        <v>44628</v>
      </c>
      <c r="X1860" s="55">
        <v>10186130</v>
      </c>
      <c r="Y1860" s="55" t="s">
        <v>132</v>
      </c>
      <c r="AB1860" s="74" t="s">
        <v>132</v>
      </c>
      <c r="AC1860" s="55" t="s">
        <v>132</v>
      </c>
      <c r="AL1860" s="74"/>
      <c r="AM1860" s="74"/>
      <c r="AW1860" s="74"/>
      <c r="AX1860" s="74"/>
    </row>
    <row r="1861" spans="1:50" ht="13" x14ac:dyDescent="0.15">
      <c r="A1861" s="55" t="str">
        <f>HYPERLINK("http://reports.ofsted.gov.uk/inspection-reports/find-inspection-report/provider/CARE/SC019505","Ofsted Social Care Provider Webpage")</f>
        <v>Ofsted Social Care Provider Webpage</v>
      </c>
      <c r="B1861" s="55" t="s">
        <v>2798</v>
      </c>
      <c r="C1861" s="55">
        <v>117646</v>
      </c>
      <c r="D1861" s="55" t="s">
        <v>413</v>
      </c>
      <c r="E1861" s="74">
        <v>30895</v>
      </c>
      <c r="F1861" s="55" t="s">
        <v>344</v>
      </c>
      <c r="G1861" s="55" t="s">
        <v>2799</v>
      </c>
      <c r="H1861" s="55" t="s">
        <v>2800</v>
      </c>
      <c r="I1861" s="55" t="s">
        <v>2801</v>
      </c>
      <c r="J1861" s="55" t="s">
        <v>2802</v>
      </c>
      <c r="K1861" s="55" t="s">
        <v>196</v>
      </c>
      <c r="L1861" s="55" t="s">
        <v>2803</v>
      </c>
      <c r="M1861" s="55" t="s">
        <v>138</v>
      </c>
      <c r="N1861" s="55" t="s">
        <v>138</v>
      </c>
      <c r="O1861" s="55" t="s">
        <v>196</v>
      </c>
      <c r="P1861" s="55" t="s">
        <v>441</v>
      </c>
      <c r="Q1861" s="55" t="s">
        <v>362</v>
      </c>
      <c r="R1861" s="85">
        <v>11</v>
      </c>
      <c r="S1861" s="55">
        <v>0</v>
      </c>
      <c r="T1861" s="74" t="s">
        <v>2804</v>
      </c>
      <c r="U1861" s="74" t="s">
        <v>351</v>
      </c>
      <c r="V1861" s="74">
        <v>44585</v>
      </c>
      <c r="W1861" s="74">
        <v>44629</v>
      </c>
      <c r="X1861" s="55">
        <v>10183502</v>
      </c>
      <c r="Y1861" s="55" t="s">
        <v>132</v>
      </c>
      <c r="AB1861" s="74" t="s">
        <v>132</v>
      </c>
      <c r="AC1861" s="55" t="s">
        <v>132</v>
      </c>
      <c r="AL1861" s="74"/>
      <c r="AM1861" s="74"/>
      <c r="AW1861" s="74"/>
      <c r="AX1861" s="74"/>
    </row>
    <row r="1862" spans="1:50" ht="13" x14ac:dyDescent="0.15">
      <c r="A1862" s="55" t="str">
        <f>HYPERLINK("http://reports.ofsted.gov.uk/inspection-reports/find-inspection-report/provider/CARE/SC020133","Ofsted Social Care Provider Webpage")</f>
        <v>Ofsted Social Care Provider Webpage</v>
      </c>
      <c r="B1862" s="55" t="s">
        <v>2805</v>
      </c>
      <c r="D1862" s="55" t="s">
        <v>373</v>
      </c>
      <c r="E1862" s="74">
        <v>35607</v>
      </c>
      <c r="F1862" s="55" t="s">
        <v>344</v>
      </c>
      <c r="G1862" s="55" t="s">
        <v>360</v>
      </c>
      <c r="H1862" s="55" t="s">
        <v>360</v>
      </c>
      <c r="I1862" s="55" t="s">
        <v>360</v>
      </c>
      <c r="J1862" s="55" t="s">
        <v>360</v>
      </c>
      <c r="K1862" s="55" t="s">
        <v>360</v>
      </c>
      <c r="L1862" s="55" t="s">
        <v>360</v>
      </c>
      <c r="M1862" s="55" t="s">
        <v>172</v>
      </c>
      <c r="N1862" s="55" t="s">
        <v>172</v>
      </c>
      <c r="O1862" s="55" t="s">
        <v>173</v>
      </c>
      <c r="P1862" s="55" t="s">
        <v>1540</v>
      </c>
      <c r="Q1862" s="55" t="s">
        <v>350</v>
      </c>
      <c r="R1862" s="85">
        <v>8</v>
      </c>
      <c r="S1862" s="55">
        <v>0</v>
      </c>
      <c r="T1862" s="74" t="s">
        <v>2267</v>
      </c>
      <c r="U1862" s="74" t="s">
        <v>351</v>
      </c>
      <c r="V1862" s="74">
        <v>44362</v>
      </c>
      <c r="W1862" s="74">
        <v>44396</v>
      </c>
      <c r="X1862" s="55">
        <v>10185500</v>
      </c>
      <c r="Y1862" s="55" t="s">
        <v>132</v>
      </c>
      <c r="AB1862" s="74" t="s">
        <v>132</v>
      </c>
      <c r="AC1862" s="55" t="s">
        <v>140</v>
      </c>
      <c r="AL1862" s="74"/>
      <c r="AM1862" s="74"/>
      <c r="AW1862" s="74"/>
      <c r="AX1862" s="74"/>
    </row>
    <row r="1863" spans="1:50" ht="13" x14ac:dyDescent="0.15">
      <c r="A1863" s="55" t="str">
        <f>HYPERLINK("http://reports.ofsted.gov.uk/inspection-reports/find-inspection-report/provider/CARE/SC020151","Ofsted Social Care Provider Webpage")</f>
        <v>Ofsted Social Care Provider Webpage</v>
      </c>
      <c r="B1863" s="55" t="s">
        <v>2806</v>
      </c>
      <c r="D1863" s="55" t="s">
        <v>373</v>
      </c>
      <c r="E1863" s="74">
        <v>36398</v>
      </c>
      <c r="F1863" s="55" t="s">
        <v>344</v>
      </c>
      <c r="G1863" s="55" t="s">
        <v>360</v>
      </c>
      <c r="H1863" s="55" t="s">
        <v>360</v>
      </c>
      <c r="I1863" s="55" t="s">
        <v>360</v>
      </c>
      <c r="J1863" s="55" t="s">
        <v>360</v>
      </c>
      <c r="K1863" s="55" t="s">
        <v>360</v>
      </c>
      <c r="L1863" s="55" t="s">
        <v>360</v>
      </c>
      <c r="M1863" s="55" t="s">
        <v>172</v>
      </c>
      <c r="N1863" s="55" t="s">
        <v>172</v>
      </c>
      <c r="O1863" s="55" t="s">
        <v>173</v>
      </c>
      <c r="P1863" s="55" t="s">
        <v>1540</v>
      </c>
      <c r="Q1863" s="55" t="s">
        <v>350</v>
      </c>
      <c r="R1863" s="85">
        <v>8</v>
      </c>
      <c r="S1863" s="55">
        <v>0</v>
      </c>
      <c r="T1863" s="74" t="s">
        <v>1848</v>
      </c>
      <c r="U1863" s="74" t="s">
        <v>351</v>
      </c>
      <c r="V1863" s="74">
        <v>44328</v>
      </c>
      <c r="W1863" s="74">
        <v>44356</v>
      </c>
      <c r="X1863" s="55">
        <v>10185845</v>
      </c>
      <c r="Y1863" s="55" t="s">
        <v>140</v>
      </c>
      <c r="AB1863" s="74" t="s">
        <v>140</v>
      </c>
      <c r="AC1863" s="55" t="s">
        <v>132</v>
      </c>
      <c r="AL1863" s="74"/>
      <c r="AM1863" s="74"/>
      <c r="AW1863" s="74"/>
      <c r="AX1863" s="74"/>
    </row>
    <row r="1864" spans="1:50" ht="13" x14ac:dyDescent="0.15">
      <c r="A1864" s="55" t="str">
        <f>HYPERLINK("http://reports.ofsted.gov.uk/inspection-reports/find-inspection-report/provider/CARE/SC020171","Ofsted Social Care Provider Webpage")</f>
        <v>Ofsted Social Care Provider Webpage</v>
      </c>
      <c r="B1864" s="55" t="s">
        <v>2807</v>
      </c>
      <c r="D1864" s="55" t="s">
        <v>373</v>
      </c>
      <c r="E1864" s="74">
        <v>37020</v>
      </c>
      <c r="F1864" s="55" t="s">
        <v>344</v>
      </c>
      <c r="G1864" s="55" t="s">
        <v>360</v>
      </c>
      <c r="H1864" s="55" t="s">
        <v>360</v>
      </c>
      <c r="I1864" s="55" t="s">
        <v>360</v>
      </c>
      <c r="J1864" s="55" t="s">
        <v>360</v>
      </c>
      <c r="K1864" s="55" t="s">
        <v>360</v>
      </c>
      <c r="L1864" s="55" t="s">
        <v>360</v>
      </c>
      <c r="M1864" s="55" t="s">
        <v>172</v>
      </c>
      <c r="N1864" s="55" t="s">
        <v>172</v>
      </c>
      <c r="O1864" s="55" t="s">
        <v>173</v>
      </c>
      <c r="P1864" s="55" t="s">
        <v>1540</v>
      </c>
      <c r="Q1864" s="55" t="s">
        <v>350</v>
      </c>
      <c r="R1864" s="85">
        <v>7</v>
      </c>
      <c r="S1864" s="55">
        <v>0</v>
      </c>
      <c r="T1864" s="74" t="s">
        <v>2267</v>
      </c>
      <c r="U1864" s="74" t="s">
        <v>351</v>
      </c>
      <c r="V1864" s="74">
        <v>44326</v>
      </c>
      <c r="W1864" s="74">
        <v>44363</v>
      </c>
      <c r="X1864" s="55">
        <v>10186102</v>
      </c>
      <c r="Y1864" s="55" t="s">
        <v>132</v>
      </c>
      <c r="AB1864" s="74" t="s">
        <v>132</v>
      </c>
      <c r="AC1864" s="55" t="s">
        <v>132</v>
      </c>
      <c r="AL1864" s="74"/>
      <c r="AM1864" s="74"/>
      <c r="AW1864" s="74"/>
      <c r="AX1864" s="74"/>
    </row>
    <row r="1865" spans="1:50" ht="13" x14ac:dyDescent="0.15">
      <c r="A1865" s="55" t="str">
        <f>HYPERLINK("http://reports.ofsted.gov.uk/inspection-reports/find-inspection-report/provider/CARE/SC020193","Ofsted Social Care Provider Webpage")</f>
        <v>Ofsted Social Care Provider Webpage</v>
      </c>
      <c r="B1865" s="55" t="s">
        <v>2808</v>
      </c>
      <c r="D1865" s="55" t="s">
        <v>479</v>
      </c>
      <c r="E1865" s="74">
        <v>36920</v>
      </c>
      <c r="F1865" s="55" t="s">
        <v>344</v>
      </c>
      <c r="G1865" s="55" t="s">
        <v>360</v>
      </c>
      <c r="H1865" s="55" t="s">
        <v>360</v>
      </c>
      <c r="I1865" s="55" t="s">
        <v>360</v>
      </c>
      <c r="J1865" s="55" t="s">
        <v>360</v>
      </c>
      <c r="K1865" s="55" t="s">
        <v>360</v>
      </c>
      <c r="L1865" s="55" t="s">
        <v>360</v>
      </c>
      <c r="M1865" s="55" t="s">
        <v>172</v>
      </c>
      <c r="N1865" s="55" t="s">
        <v>172</v>
      </c>
      <c r="O1865" s="55" t="s">
        <v>173</v>
      </c>
      <c r="P1865" s="55" t="s">
        <v>1069</v>
      </c>
      <c r="Q1865" s="55" t="s">
        <v>350</v>
      </c>
      <c r="R1865" s="85">
        <v>25</v>
      </c>
      <c r="S1865" s="55">
        <v>0</v>
      </c>
      <c r="T1865" s="74" t="s">
        <v>2809</v>
      </c>
      <c r="U1865" s="74" t="s">
        <v>351</v>
      </c>
      <c r="V1865" s="74">
        <v>44432</v>
      </c>
      <c r="W1865" s="74">
        <v>44469</v>
      </c>
      <c r="X1865" s="55">
        <v>10185097</v>
      </c>
      <c r="Y1865" s="55" t="s">
        <v>132</v>
      </c>
      <c r="AB1865" s="74" t="s">
        <v>132</v>
      </c>
      <c r="AC1865" s="55" t="s">
        <v>132</v>
      </c>
      <c r="AL1865" s="74"/>
      <c r="AM1865" s="74"/>
      <c r="AW1865" s="74"/>
      <c r="AX1865" s="74"/>
    </row>
    <row r="1866" spans="1:50" ht="13" x14ac:dyDescent="0.15">
      <c r="A1866" s="55" t="str">
        <f>HYPERLINK("http://reports.ofsted.gov.uk/inspection-reports/find-inspection-report/provider/CARE/SC020545","Ofsted Social Care Provider Webpage")</f>
        <v>Ofsted Social Care Provider Webpage</v>
      </c>
      <c r="B1866" s="55" t="s">
        <v>2810</v>
      </c>
      <c r="D1866" s="55" t="s">
        <v>373</v>
      </c>
      <c r="E1866" s="74">
        <v>36145</v>
      </c>
      <c r="F1866" s="55" t="s">
        <v>344</v>
      </c>
      <c r="G1866" s="55" t="s">
        <v>360</v>
      </c>
      <c r="H1866" s="55" t="s">
        <v>360</v>
      </c>
      <c r="I1866" s="55" t="s">
        <v>360</v>
      </c>
      <c r="J1866" s="55" t="s">
        <v>360</v>
      </c>
      <c r="K1866" s="55" t="s">
        <v>360</v>
      </c>
      <c r="L1866" s="55" t="s">
        <v>360</v>
      </c>
      <c r="M1866" s="55" t="s">
        <v>142</v>
      </c>
      <c r="N1866" s="55" t="s">
        <v>142</v>
      </c>
      <c r="O1866" s="55" t="s">
        <v>272</v>
      </c>
      <c r="P1866" s="55" t="s">
        <v>653</v>
      </c>
      <c r="Q1866" s="55" t="s">
        <v>350</v>
      </c>
      <c r="R1866" s="85">
        <v>5</v>
      </c>
      <c r="S1866" s="55">
        <v>0</v>
      </c>
      <c r="T1866" s="74" t="s">
        <v>2811</v>
      </c>
      <c r="U1866" s="74" t="s">
        <v>351</v>
      </c>
      <c r="V1866" s="74">
        <v>44467</v>
      </c>
      <c r="W1866" s="74">
        <v>44510</v>
      </c>
      <c r="X1866" s="55">
        <v>10185633</v>
      </c>
      <c r="Y1866" s="55" t="s">
        <v>130</v>
      </c>
      <c r="AB1866" s="74" t="s">
        <v>130</v>
      </c>
      <c r="AC1866" s="55" t="s">
        <v>130</v>
      </c>
      <c r="AL1866" s="74"/>
      <c r="AM1866" s="74"/>
      <c r="AW1866" s="74"/>
      <c r="AX1866" s="74"/>
    </row>
    <row r="1867" spans="1:50" ht="13" x14ac:dyDescent="0.15">
      <c r="A1867" s="55" t="str">
        <f>HYPERLINK("http://reports.ofsted.gov.uk/inspection-reports/find-inspection-report/provider/CARE/SC020558","Ofsted Social Care Provider Webpage")</f>
        <v>Ofsted Social Care Provider Webpage</v>
      </c>
      <c r="B1867" s="55" t="s">
        <v>2812</v>
      </c>
      <c r="D1867" s="55" t="s">
        <v>479</v>
      </c>
      <c r="E1867" s="74">
        <v>36997</v>
      </c>
      <c r="F1867" s="55" t="s">
        <v>344</v>
      </c>
      <c r="G1867" s="55" t="s">
        <v>360</v>
      </c>
      <c r="H1867" s="55" t="s">
        <v>360</v>
      </c>
      <c r="I1867" s="55" t="s">
        <v>360</v>
      </c>
      <c r="J1867" s="55" t="s">
        <v>360</v>
      </c>
      <c r="K1867" s="55" t="s">
        <v>360</v>
      </c>
      <c r="L1867" s="55" t="s">
        <v>360</v>
      </c>
      <c r="M1867" s="55" t="s">
        <v>142</v>
      </c>
      <c r="N1867" s="55" t="s">
        <v>142</v>
      </c>
      <c r="O1867" s="55" t="s">
        <v>272</v>
      </c>
      <c r="P1867" s="55" t="s">
        <v>653</v>
      </c>
      <c r="Q1867" s="55" t="s">
        <v>350</v>
      </c>
      <c r="R1867" s="85">
        <v>22</v>
      </c>
      <c r="S1867" s="55">
        <v>0</v>
      </c>
      <c r="T1867" s="74" t="s">
        <v>2813</v>
      </c>
      <c r="U1867" s="74" t="s">
        <v>351</v>
      </c>
      <c r="V1867" s="74">
        <v>44390</v>
      </c>
      <c r="W1867" s="74">
        <v>44428</v>
      </c>
      <c r="X1867" s="55">
        <v>10187483</v>
      </c>
      <c r="Y1867" s="55" t="s">
        <v>132</v>
      </c>
      <c r="AB1867" s="74" t="s">
        <v>132</v>
      </c>
      <c r="AC1867" s="55" t="s">
        <v>130</v>
      </c>
      <c r="AL1867" s="74"/>
      <c r="AM1867" s="74"/>
      <c r="AW1867" s="74"/>
      <c r="AX1867" s="74"/>
    </row>
    <row r="1868" spans="1:50" ht="13" x14ac:dyDescent="0.15">
      <c r="A1868" s="55" t="str">
        <f>HYPERLINK("http://reports.ofsted.gov.uk/inspection-reports/find-inspection-report/provider/CARE/SC020576","Ofsted Social Care Provider Webpage")</f>
        <v>Ofsted Social Care Provider Webpage</v>
      </c>
      <c r="B1868" s="55" t="s">
        <v>2814</v>
      </c>
      <c r="D1868" s="55" t="s">
        <v>373</v>
      </c>
      <c r="E1868" s="74">
        <v>36210</v>
      </c>
      <c r="F1868" s="55" t="s">
        <v>344</v>
      </c>
      <c r="G1868" s="55" t="s">
        <v>360</v>
      </c>
      <c r="H1868" s="55" t="s">
        <v>360</v>
      </c>
      <c r="I1868" s="55" t="s">
        <v>360</v>
      </c>
      <c r="J1868" s="55" t="s">
        <v>360</v>
      </c>
      <c r="K1868" s="55" t="s">
        <v>360</v>
      </c>
      <c r="L1868" s="55" t="s">
        <v>360</v>
      </c>
      <c r="M1868" s="55" t="s">
        <v>142</v>
      </c>
      <c r="N1868" s="55" t="s">
        <v>142</v>
      </c>
      <c r="O1868" s="55" t="s">
        <v>272</v>
      </c>
      <c r="P1868" s="55" t="s">
        <v>653</v>
      </c>
      <c r="Q1868" s="55" t="s">
        <v>350</v>
      </c>
      <c r="R1868" s="85">
        <v>5</v>
      </c>
      <c r="S1868" s="55">
        <v>0</v>
      </c>
      <c r="T1868" s="74" t="s">
        <v>2811</v>
      </c>
      <c r="U1868" s="74" t="s">
        <v>351</v>
      </c>
      <c r="V1868" s="74">
        <v>44370</v>
      </c>
      <c r="W1868" s="74">
        <v>44396</v>
      </c>
      <c r="X1868" s="55">
        <v>10187482</v>
      </c>
      <c r="Y1868" s="55" t="s">
        <v>132</v>
      </c>
      <c r="AB1868" s="74" t="s">
        <v>132</v>
      </c>
      <c r="AC1868" s="55" t="s">
        <v>132</v>
      </c>
      <c r="AL1868" s="74"/>
      <c r="AM1868" s="74"/>
    </row>
    <row r="1869" spans="1:50" ht="13" x14ac:dyDescent="0.15">
      <c r="A1869" s="55" t="str">
        <f>HYPERLINK("http://reports.ofsted.gov.uk/inspection-reports/find-inspection-report/provider/CARE/SC020594","Ofsted Social Care Provider Webpage")</f>
        <v>Ofsted Social Care Provider Webpage</v>
      </c>
      <c r="B1869" s="55" t="s">
        <v>2821</v>
      </c>
      <c r="D1869" s="55" t="s">
        <v>373</v>
      </c>
      <c r="E1869" s="74">
        <v>33960</v>
      </c>
      <c r="F1869" s="55" t="s">
        <v>344</v>
      </c>
      <c r="G1869" s="55" t="s">
        <v>360</v>
      </c>
      <c r="H1869" s="55" t="s">
        <v>360</v>
      </c>
      <c r="I1869" s="55" t="s">
        <v>360</v>
      </c>
      <c r="J1869" s="55" t="s">
        <v>360</v>
      </c>
      <c r="K1869" s="55" t="s">
        <v>360</v>
      </c>
      <c r="L1869" s="55" t="s">
        <v>360</v>
      </c>
      <c r="M1869" s="55" t="s">
        <v>142</v>
      </c>
      <c r="N1869" s="55" t="s">
        <v>142</v>
      </c>
      <c r="O1869" s="55" t="s">
        <v>252</v>
      </c>
      <c r="P1869" s="55" t="s">
        <v>503</v>
      </c>
      <c r="Q1869" s="55" t="s">
        <v>350</v>
      </c>
      <c r="R1869" s="85">
        <v>8</v>
      </c>
      <c r="S1869" s="55">
        <v>0</v>
      </c>
      <c r="T1869" s="74" t="s">
        <v>1365</v>
      </c>
      <c r="U1869" s="74" t="s">
        <v>351</v>
      </c>
      <c r="V1869" s="74">
        <v>44426</v>
      </c>
      <c r="W1869" s="74">
        <v>44474</v>
      </c>
      <c r="X1869" s="55">
        <v>10186416</v>
      </c>
      <c r="Y1869" s="55" t="s">
        <v>130</v>
      </c>
      <c r="AB1869" s="74" t="s">
        <v>130</v>
      </c>
      <c r="AC1869" s="55" t="s">
        <v>146</v>
      </c>
      <c r="AL1869" s="74"/>
      <c r="AM1869" s="74"/>
    </row>
    <row r="1870" spans="1:50" ht="13" x14ac:dyDescent="0.15">
      <c r="A1870" s="55" t="str">
        <f>HYPERLINK("http://reports.ofsted.gov.uk/inspection-reports/find-inspection-report/provider/CARE/SC020595","Ofsted Social Care Provider Webpage")</f>
        <v>Ofsted Social Care Provider Webpage</v>
      </c>
      <c r="B1870" s="55" t="s">
        <v>2822</v>
      </c>
      <c r="D1870" s="55" t="s">
        <v>373</v>
      </c>
      <c r="E1870" s="74">
        <v>34218</v>
      </c>
      <c r="F1870" s="55" t="s">
        <v>344</v>
      </c>
      <c r="G1870" s="55" t="s">
        <v>360</v>
      </c>
      <c r="H1870" s="55" t="s">
        <v>360</v>
      </c>
      <c r="I1870" s="55" t="s">
        <v>360</v>
      </c>
      <c r="J1870" s="55" t="s">
        <v>360</v>
      </c>
      <c r="K1870" s="55" t="s">
        <v>360</v>
      </c>
      <c r="L1870" s="55" t="s">
        <v>360</v>
      </c>
      <c r="M1870" s="55" t="s">
        <v>142</v>
      </c>
      <c r="N1870" s="55" t="s">
        <v>142</v>
      </c>
      <c r="O1870" s="55" t="s">
        <v>252</v>
      </c>
      <c r="P1870" s="55" t="s">
        <v>388</v>
      </c>
      <c r="Q1870" s="55" t="s">
        <v>350</v>
      </c>
      <c r="R1870" s="85">
        <v>4</v>
      </c>
      <c r="S1870" s="55">
        <v>0</v>
      </c>
      <c r="T1870" s="74" t="s">
        <v>1373</v>
      </c>
      <c r="U1870" s="74" t="s">
        <v>351</v>
      </c>
      <c r="V1870" s="74">
        <v>44307</v>
      </c>
      <c r="W1870" s="74">
        <v>44337</v>
      </c>
      <c r="X1870" s="55">
        <v>10186309</v>
      </c>
      <c r="Y1870" s="55" t="s">
        <v>140</v>
      </c>
      <c r="AB1870" s="74" t="s">
        <v>140</v>
      </c>
      <c r="AC1870" s="55" t="s">
        <v>140</v>
      </c>
      <c r="AL1870" s="74"/>
      <c r="AM1870" s="74"/>
    </row>
    <row r="1871" spans="1:50" ht="13" x14ac:dyDescent="0.15">
      <c r="A1871" s="55" t="str">
        <f>HYPERLINK("http://reports.ofsted.gov.uk/inspection-reports/find-inspection-report/provider/CARE/SC020602","Ofsted Social Care Provider Webpage")</f>
        <v>Ofsted Social Care Provider Webpage</v>
      </c>
      <c r="B1871" s="55" t="s">
        <v>2823</v>
      </c>
      <c r="D1871" s="55" t="s">
        <v>373</v>
      </c>
      <c r="E1871" s="74">
        <v>35244</v>
      </c>
      <c r="F1871" s="55" t="s">
        <v>344</v>
      </c>
      <c r="G1871" s="55" t="s">
        <v>360</v>
      </c>
      <c r="H1871" s="55" t="s">
        <v>360</v>
      </c>
      <c r="I1871" s="55" t="s">
        <v>360</v>
      </c>
      <c r="J1871" s="55" t="s">
        <v>360</v>
      </c>
      <c r="K1871" s="55" t="s">
        <v>360</v>
      </c>
      <c r="L1871" s="55" t="s">
        <v>360</v>
      </c>
      <c r="M1871" s="55" t="s">
        <v>142</v>
      </c>
      <c r="N1871" s="55" t="s">
        <v>142</v>
      </c>
      <c r="O1871" s="55" t="s">
        <v>252</v>
      </c>
      <c r="P1871" s="55" t="s">
        <v>388</v>
      </c>
      <c r="Q1871" s="55" t="s">
        <v>350</v>
      </c>
      <c r="R1871" s="85">
        <v>5</v>
      </c>
      <c r="S1871" s="55">
        <v>0</v>
      </c>
      <c r="T1871" s="74" t="s">
        <v>1182</v>
      </c>
      <c r="U1871" s="74" t="s">
        <v>351</v>
      </c>
      <c r="V1871" s="74">
        <v>44579</v>
      </c>
      <c r="W1871" s="74">
        <v>44615</v>
      </c>
      <c r="X1871" s="55">
        <v>10187303</v>
      </c>
      <c r="Y1871" s="55" t="s">
        <v>140</v>
      </c>
      <c r="AB1871" s="74" t="s">
        <v>140</v>
      </c>
      <c r="AC1871" s="55" t="s">
        <v>140</v>
      </c>
      <c r="AL1871" s="74"/>
      <c r="AM1871" s="74"/>
      <c r="AW1871" s="74"/>
      <c r="AX1871" s="74"/>
    </row>
    <row r="1872" spans="1:50" ht="13" x14ac:dyDescent="0.15">
      <c r="A1872" s="55" t="str">
        <f>HYPERLINK("http://reports.ofsted.gov.uk/inspection-reports/find-inspection-report/provider/CARE/SC020606","Ofsted Social Care Provider Webpage")</f>
        <v>Ofsted Social Care Provider Webpage</v>
      </c>
      <c r="B1872" s="55" t="s">
        <v>2824</v>
      </c>
      <c r="D1872" s="55" t="s">
        <v>373</v>
      </c>
      <c r="E1872" s="74">
        <v>37109</v>
      </c>
      <c r="F1872" s="55" t="s">
        <v>344</v>
      </c>
      <c r="G1872" s="55" t="s">
        <v>360</v>
      </c>
      <c r="H1872" s="55" t="s">
        <v>360</v>
      </c>
      <c r="I1872" s="55" t="s">
        <v>360</v>
      </c>
      <c r="J1872" s="55" t="s">
        <v>360</v>
      </c>
      <c r="K1872" s="55" t="s">
        <v>360</v>
      </c>
      <c r="L1872" s="55" t="s">
        <v>360</v>
      </c>
      <c r="M1872" s="55" t="s">
        <v>142</v>
      </c>
      <c r="N1872" s="55" t="s">
        <v>142</v>
      </c>
      <c r="O1872" s="55" t="s">
        <v>252</v>
      </c>
      <c r="P1872" s="55" t="s">
        <v>388</v>
      </c>
      <c r="Q1872" s="55" t="s">
        <v>350</v>
      </c>
      <c r="R1872" s="85">
        <v>3</v>
      </c>
      <c r="S1872" s="55">
        <v>0</v>
      </c>
      <c r="T1872" s="74" t="s">
        <v>1182</v>
      </c>
      <c r="U1872" s="74" t="s">
        <v>351</v>
      </c>
      <c r="V1872" s="74">
        <v>44397</v>
      </c>
      <c r="W1872" s="74">
        <v>44463</v>
      </c>
      <c r="X1872" s="55">
        <v>10186580</v>
      </c>
      <c r="Y1872" s="55" t="s">
        <v>132</v>
      </c>
      <c r="AB1872" s="74" t="s">
        <v>132</v>
      </c>
      <c r="AC1872" s="55" t="s">
        <v>132</v>
      </c>
      <c r="AL1872" s="74"/>
      <c r="AM1872" s="74"/>
      <c r="AW1872" s="74"/>
      <c r="AX1872" s="74"/>
    </row>
    <row r="1873" spans="1:50" ht="13" x14ac:dyDescent="0.15">
      <c r="A1873" s="55" t="str">
        <f>HYPERLINK("http://reports.ofsted.gov.uk/inspection-reports/find-inspection-report/provider/CARE/SC020607","Ofsted Social Care Provider Webpage")</f>
        <v>Ofsted Social Care Provider Webpage</v>
      </c>
      <c r="B1873" s="55" t="s">
        <v>2825</v>
      </c>
      <c r="D1873" s="55" t="s">
        <v>373</v>
      </c>
      <c r="E1873" s="74">
        <v>37109</v>
      </c>
      <c r="F1873" s="55" t="s">
        <v>344</v>
      </c>
      <c r="G1873" s="55" t="s">
        <v>360</v>
      </c>
      <c r="H1873" s="55" t="s">
        <v>360</v>
      </c>
      <c r="I1873" s="55" t="s">
        <v>360</v>
      </c>
      <c r="J1873" s="55" t="s">
        <v>360</v>
      </c>
      <c r="K1873" s="55" t="s">
        <v>360</v>
      </c>
      <c r="L1873" s="55" t="s">
        <v>360</v>
      </c>
      <c r="M1873" s="55" t="s">
        <v>142</v>
      </c>
      <c r="N1873" s="55" t="s">
        <v>142</v>
      </c>
      <c r="O1873" s="55" t="s">
        <v>252</v>
      </c>
      <c r="P1873" s="55" t="s">
        <v>386</v>
      </c>
      <c r="Q1873" s="55" t="s">
        <v>350</v>
      </c>
      <c r="R1873" s="85">
        <v>3</v>
      </c>
      <c r="S1873" s="55">
        <v>0</v>
      </c>
      <c r="T1873" s="74" t="s">
        <v>1182</v>
      </c>
      <c r="U1873" s="74" t="s">
        <v>351</v>
      </c>
      <c r="V1873" s="74">
        <v>44453</v>
      </c>
      <c r="W1873" s="74">
        <v>44487</v>
      </c>
      <c r="X1873" s="55">
        <v>10185791</v>
      </c>
      <c r="Y1873" s="55" t="s">
        <v>132</v>
      </c>
      <c r="AB1873" s="74" t="s">
        <v>132</v>
      </c>
      <c r="AC1873" s="55" t="s">
        <v>132</v>
      </c>
      <c r="AL1873" s="74"/>
      <c r="AM1873" s="74"/>
      <c r="AW1873" s="74"/>
      <c r="AX1873" s="74"/>
    </row>
    <row r="1874" spans="1:50" ht="13" x14ac:dyDescent="0.15">
      <c r="A1874" s="55" t="str">
        <f>HYPERLINK("http://reports.ofsted.gov.uk/inspection-reports/find-inspection-report/provider/CARE/SC020608","Ofsted Social Care Provider Webpage")</f>
        <v>Ofsted Social Care Provider Webpage</v>
      </c>
      <c r="B1874" s="55" t="s">
        <v>2826</v>
      </c>
      <c r="D1874" s="55" t="s">
        <v>373</v>
      </c>
      <c r="E1874" s="74">
        <v>37109</v>
      </c>
      <c r="F1874" s="55" t="s">
        <v>344</v>
      </c>
      <c r="G1874" s="55" t="s">
        <v>360</v>
      </c>
      <c r="H1874" s="55" t="s">
        <v>360</v>
      </c>
      <c r="I1874" s="55" t="s">
        <v>360</v>
      </c>
      <c r="J1874" s="55" t="s">
        <v>360</v>
      </c>
      <c r="K1874" s="55" t="s">
        <v>360</v>
      </c>
      <c r="L1874" s="55" t="s">
        <v>360</v>
      </c>
      <c r="M1874" s="55" t="s">
        <v>142</v>
      </c>
      <c r="N1874" s="55" t="s">
        <v>142</v>
      </c>
      <c r="O1874" s="55" t="s">
        <v>252</v>
      </c>
      <c r="P1874" s="55" t="s">
        <v>388</v>
      </c>
      <c r="Q1874" s="55" t="s">
        <v>350</v>
      </c>
      <c r="R1874" s="85">
        <v>3</v>
      </c>
      <c r="S1874" s="55">
        <v>0</v>
      </c>
      <c r="T1874" s="74" t="s">
        <v>1182</v>
      </c>
      <c r="U1874" s="74" t="s">
        <v>351</v>
      </c>
      <c r="V1874" s="74">
        <v>44307</v>
      </c>
      <c r="W1874" s="74">
        <v>44340</v>
      </c>
      <c r="X1874" s="55">
        <v>10185482</v>
      </c>
      <c r="Y1874" s="55" t="s">
        <v>132</v>
      </c>
      <c r="AB1874" s="74" t="s">
        <v>130</v>
      </c>
      <c r="AC1874" s="55" t="s">
        <v>132</v>
      </c>
      <c r="AL1874" s="74"/>
      <c r="AM1874" s="74"/>
      <c r="AW1874" s="74"/>
      <c r="AX1874" s="74"/>
    </row>
    <row r="1875" spans="1:50" ht="13" x14ac:dyDescent="0.15">
      <c r="A1875" s="55" t="str">
        <f>HYPERLINK("http://reports.ofsted.gov.uk/inspection-reports/find-inspection-report/provider/CARE/SC020610","Ofsted Social Care Provider Webpage")</f>
        <v>Ofsted Social Care Provider Webpage</v>
      </c>
      <c r="B1875" s="55" t="s">
        <v>2827</v>
      </c>
      <c r="D1875" s="55" t="s">
        <v>373</v>
      </c>
      <c r="E1875" s="74">
        <v>37109</v>
      </c>
      <c r="F1875" s="55" t="s">
        <v>344</v>
      </c>
      <c r="G1875" s="55" t="s">
        <v>360</v>
      </c>
      <c r="H1875" s="55" t="s">
        <v>360</v>
      </c>
      <c r="I1875" s="55" t="s">
        <v>360</v>
      </c>
      <c r="J1875" s="55" t="s">
        <v>360</v>
      </c>
      <c r="K1875" s="55" t="s">
        <v>360</v>
      </c>
      <c r="L1875" s="55" t="s">
        <v>360</v>
      </c>
      <c r="M1875" s="55" t="s">
        <v>142</v>
      </c>
      <c r="N1875" s="55" t="s">
        <v>142</v>
      </c>
      <c r="O1875" s="55" t="s">
        <v>252</v>
      </c>
      <c r="P1875" s="55" t="s">
        <v>388</v>
      </c>
      <c r="Q1875" s="55" t="s">
        <v>350</v>
      </c>
      <c r="R1875" s="85">
        <v>3</v>
      </c>
      <c r="S1875" s="55">
        <v>0</v>
      </c>
      <c r="T1875" s="74" t="s">
        <v>1182</v>
      </c>
      <c r="U1875" s="74" t="s">
        <v>351</v>
      </c>
      <c r="V1875" s="74">
        <v>44517</v>
      </c>
      <c r="W1875" s="74">
        <v>44551</v>
      </c>
      <c r="X1875" s="55">
        <v>10186170</v>
      </c>
      <c r="Y1875" s="55" t="s">
        <v>132</v>
      </c>
      <c r="AB1875" s="74" t="s">
        <v>132</v>
      </c>
      <c r="AC1875" s="55" t="s">
        <v>132</v>
      </c>
      <c r="AL1875" s="74"/>
      <c r="AM1875" s="74"/>
      <c r="AW1875" s="74"/>
      <c r="AX1875" s="74"/>
    </row>
    <row r="1876" spans="1:50" ht="13" x14ac:dyDescent="0.15">
      <c r="A1876" s="55" t="str">
        <f>HYPERLINK("http://reports.ofsted.gov.uk/inspection-reports/find-inspection-report/provider/CARE/SC020611","Ofsted Social Care Provider Webpage")</f>
        <v>Ofsted Social Care Provider Webpage</v>
      </c>
      <c r="B1876" s="55" t="s">
        <v>2828</v>
      </c>
      <c r="D1876" s="55" t="s">
        <v>373</v>
      </c>
      <c r="E1876" s="74">
        <v>37109</v>
      </c>
      <c r="F1876" s="55" t="s">
        <v>344</v>
      </c>
      <c r="G1876" s="55" t="s">
        <v>360</v>
      </c>
      <c r="H1876" s="55" t="s">
        <v>360</v>
      </c>
      <c r="I1876" s="55" t="s">
        <v>360</v>
      </c>
      <c r="J1876" s="55" t="s">
        <v>360</v>
      </c>
      <c r="K1876" s="55" t="s">
        <v>360</v>
      </c>
      <c r="L1876" s="55" t="s">
        <v>360</v>
      </c>
      <c r="M1876" s="55" t="s">
        <v>142</v>
      </c>
      <c r="N1876" s="55" t="s">
        <v>142</v>
      </c>
      <c r="O1876" s="55" t="s">
        <v>252</v>
      </c>
      <c r="P1876" s="55" t="s">
        <v>386</v>
      </c>
      <c r="Q1876" s="55" t="s">
        <v>350</v>
      </c>
      <c r="R1876" s="85">
        <v>3</v>
      </c>
      <c r="S1876" s="55">
        <v>0</v>
      </c>
      <c r="T1876" s="74" t="s">
        <v>1182</v>
      </c>
      <c r="U1876" s="74" t="s">
        <v>351</v>
      </c>
      <c r="V1876" s="74">
        <v>44545</v>
      </c>
      <c r="W1876" s="74">
        <v>44595</v>
      </c>
      <c r="X1876" s="55">
        <v>10213744</v>
      </c>
      <c r="Y1876" s="55" t="s">
        <v>130</v>
      </c>
      <c r="AB1876" s="74" t="s">
        <v>130</v>
      </c>
      <c r="AC1876" s="55" t="s">
        <v>130</v>
      </c>
      <c r="AL1876" s="74"/>
      <c r="AM1876" s="74"/>
      <c r="AW1876" s="74"/>
      <c r="AX1876" s="74"/>
    </row>
    <row r="1877" spans="1:50" ht="13" x14ac:dyDescent="0.15">
      <c r="A1877" s="55" t="str">
        <f>HYPERLINK("http://reports.ofsted.gov.uk/inspection-reports/find-inspection-report/provider/CARE/SC020611","Ofsted Social Care Provider Webpage")</f>
        <v>Ofsted Social Care Provider Webpage</v>
      </c>
      <c r="B1877" s="55" t="s">
        <v>2828</v>
      </c>
      <c r="D1877" s="55" t="s">
        <v>373</v>
      </c>
      <c r="E1877" s="74">
        <v>37109</v>
      </c>
      <c r="F1877" s="55" t="s">
        <v>344</v>
      </c>
      <c r="G1877" s="55" t="s">
        <v>360</v>
      </c>
      <c r="H1877" s="55" t="s">
        <v>360</v>
      </c>
      <c r="I1877" s="55" t="s">
        <v>360</v>
      </c>
      <c r="J1877" s="55" t="s">
        <v>360</v>
      </c>
      <c r="K1877" s="55" t="s">
        <v>360</v>
      </c>
      <c r="L1877" s="55" t="s">
        <v>360</v>
      </c>
      <c r="M1877" s="55" t="s">
        <v>142</v>
      </c>
      <c r="N1877" s="55" t="s">
        <v>142</v>
      </c>
      <c r="O1877" s="55" t="s">
        <v>252</v>
      </c>
      <c r="P1877" s="55" t="s">
        <v>386</v>
      </c>
      <c r="Q1877" s="55" t="s">
        <v>350</v>
      </c>
      <c r="R1877" s="85">
        <v>3</v>
      </c>
      <c r="S1877" s="55">
        <v>0</v>
      </c>
      <c r="T1877" s="74" t="s">
        <v>1182</v>
      </c>
      <c r="U1877" s="74" t="s">
        <v>351</v>
      </c>
      <c r="V1877" s="74">
        <v>44501</v>
      </c>
      <c r="W1877" s="74">
        <v>44539</v>
      </c>
      <c r="X1877" s="55">
        <v>10186736</v>
      </c>
      <c r="Y1877" s="55" t="s">
        <v>146</v>
      </c>
      <c r="AB1877" s="74" t="s">
        <v>146</v>
      </c>
      <c r="AC1877" s="55" t="s">
        <v>146</v>
      </c>
      <c r="AL1877" s="74"/>
      <c r="AM1877" s="74"/>
      <c r="AW1877" s="74"/>
      <c r="AX1877" s="74"/>
    </row>
    <row r="1878" spans="1:50" ht="13" x14ac:dyDescent="0.15">
      <c r="A1878" s="55" t="str">
        <f>HYPERLINK("http://reports.ofsted.gov.uk/inspection-reports/find-inspection-report/provider/CARE/SC020630","Ofsted Social Care Provider Webpage")</f>
        <v>Ofsted Social Care Provider Webpage</v>
      </c>
      <c r="B1878" s="55" t="s">
        <v>2829</v>
      </c>
      <c r="D1878" s="55" t="s">
        <v>373</v>
      </c>
      <c r="E1878" s="74">
        <v>37208</v>
      </c>
      <c r="F1878" s="55" t="s">
        <v>344</v>
      </c>
      <c r="G1878" s="55" t="s">
        <v>360</v>
      </c>
      <c r="H1878" s="55" t="s">
        <v>360</v>
      </c>
      <c r="I1878" s="55" t="s">
        <v>360</v>
      </c>
      <c r="J1878" s="55" t="s">
        <v>360</v>
      </c>
      <c r="K1878" s="55" t="s">
        <v>360</v>
      </c>
      <c r="L1878" s="55" t="s">
        <v>360</v>
      </c>
      <c r="M1878" s="55" t="s">
        <v>142</v>
      </c>
      <c r="N1878" s="55" t="s">
        <v>142</v>
      </c>
      <c r="O1878" s="55" t="s">
        <v>252</v>
      </c>
      <c r="P1878" s="55" t="s">
        <v>386</v>
      </c>
      <c r="Q1878" s="55" t="s">
        <v>350</v>
      </c>
      <c r="R1878" s="85">
        <v>6</v>
      </c>
      <c r="S1878" s="55">
        <v>0</v>
      </c>
      <c r="T1878" s="74" t="s">
        <v>2811</v>
      </c>
      <c r="U1878" s="74" t="s">
        <v>351</v>
      </c>
      <c r="V1878" s="74">
        <v>44621</v>
      </c>
      <c r="W1878" s="74">
        <v>44659</v>
      </c>
      <c r="X1878" s="55">
        <v>10186078</v>
      </c>
      <c r="Y1878" s="55" t="s">
        <v>130</v>
      </c>
      <c r="AB1878" s="74" t="s">
        <v>130</v>
      </c>
      <c r="AC1878" s="55" t="s">
        <v>146</v>
      </c>
      <c r="AL1878" s="74"/>
      <c r="AM1878" s="74"/>
    </row>
    <row r="1879" spans="1:50" ht="13" x14ac:dyDescent="0.15">
      <c r="A1879" s="55" t="str">
        <f>HYPERLINK("http://reports.ofsted.gov.uk/inspection-reports/find-inspection-report/provider/CARE/SC020675","Ofsted Social Care Provider Webpage")</f>
        <v>Ofsted Social Care Provider Webpage</v>
      </c>
      <c r="B1879" s="55" t="s">
        <v>2830</v>
      </c>
      <c r="D1879" s="55" t="s">
        <v>373</v>
      </c>
      <c r="E1879" s="74">
        <v>35796</v>
      </c>
      <c r="F1879" s="55" t="s">
        <v>344</v>
      </c>
      <c r="G1879" s="55" t="s">
        <v>360</v>
      </c>
      <c r="H1879" s="55" t="s">
        <v>360</v>
      </c>
      <c r="I1879" s="55" t="s">
        <v>360</v>
      </c>
      <c r="J1879" s="55" t="s">
        <v>360</v>
      </c>
      <c r="K1879" s="55" t="s">
        <v>360</v>
      </c>
      <c r="L1879" s="55" t="s">
        <v>360</v>
      </c>
      <c r="M1879" s="55" t="s">
        <v>142</v>
      </c>
      <c r="N1879" s="55" t="s">
        <v>142</v>
      </c>
      <c r="O1879" s="55" t="s">
        <v>252</v>
      </c>
      <c r="P1879" s="55" t="s">
        <v>388</v>
      </c>
      <c r="Q1879" s="55" t="s">
        <v>362</v>
      </c>
      <c r="R1879" s="85">
        <v>4</v>
      </c>
      <c r="S1879" s="55" t="s">
        <v>332</v>
      </c>
      <c r="T1879" s="74" t="s">
        <v>367</v>
      </c>
      <c r="U1879" s="74" t="s">
        <v>351</v>
      </c>
      <c r="V1879" s="74">
        <v>44516</v>
      </c>
      <c r="W1879" s="74">
        <v>44547</v>
      </c>
      <c r="X1879" s="55">
        <v>10187099</v>
      </c>
      <c r="Y1879" s="55" t="s">
        <v>132</v>
      </c>
      <c r="AB1879" s="74" t="s">
        <v>132</v>
      </c>
      <c r="AC1879" s="55" t="s">
        <v>132</v>
      </c>
      <c r="AL1879" s="74"/>
      <c r="AM1879" s="74"/>
      <c r="AW1879" s="74"/>
      <c r="AX1879" s="74"/>
    </row>
    <row r="1880" spans="1:50" ht="13" x14ac:dyDescent="0.15">
      <c r="A1880" s="55" t="str">
        <f>HYPERLINK("http://reports.ofsted.gov.uk/inspection-reports/find-inspection-report/provider/CARE/SC020859","Ofsted Social Care Provider Webpage")</f>
        <v>Ofsted Social Care Provider Webpage</v>
      </c>
      <c r="B1880" s="55" t="s">
        <v>2837</v>
      </c>
      <c r="D1880" s="55" t="s">
        <v>373</v>
      </c>
      <c r="E1880" s="74">
        <v>44503</v>
      </c>
      <c r="F1880" s="55" t="s">
        <v>344</v>
      </c>
      <c r="G1880" s="55" t="s">
        <v>360</v>
      </c>
      <c r="H1880" s="55" t="s">
        <v>360</v>
      </c>
      <c r="I1880" s="55" t="s">
        <v>360</v>
      </c>
      <c r="J1880" s="55" t="s">
        <v>360</v>
      </c>
      <c r="K1880" s="55" t="s">
        <v>360</v>
      </c>
      <c r="L1880" s="55" t="s">
        <v>360</v>
      </c>
      <c r="M1880" s="55" t="s">
        <v>142</v>
      </c>
      <c r="N1880" s="55" t="s">
        <v>142</v>
      </c>
      <c r="O1880" s="55" t="s">
        <v>278</v>
      </c>
      <c r="P1880" s="55" t="s">
        <v>611</v>
      </c>
      <c r="Q1880" s="55" t="s">
        <v>350</v>
      </c>
      <c r="R1880" s="85">
        <v>6</v>
      </c>
      <c r="S1880" s="55">
        <v>0</v>
      </c>
      <c r="T1880" s="74" t="s">
        <v>1164</v>
      </c>
      <c r="U1880" s="74" t="s">
        <v>2053</v>
      </c>
      <c r="V1880" s="74">
        <v>44502</v>
      </c>
      <c r="W1880" s="74">
        <v>44532</v>
      </c>
      <c r="X1880" s="55">
        <v>10212848</v>
      </c>
      <c r="AL1880" s="74"/>
      <c r="AM1880" s="74"/>
    </row>
    <row r="1881" spans="1:50" ht="13" x14ac:dyDescent="0.15">
      <c r="A1881" s="55" t="str">
        <f>HYPERLINK("http://reports.ofsted.gov.uk/inspection-reports/find-inspection-report/provider/CARE/SC020859","Ofsted Social Care Provider Webpage")</f>
        <v>Ofsted Social Care Provider Webpage</v>
      </c>
      <c r="B1881" s="55" t="s">
        <v>2837</v>
      </c>
      <c r="D1881" s="55" t="s">
        <v>373</v>
      </c>
      <c r="E1881" s="74">
        <v>44503</v>
      </c>
      <c r="F1881" s="55" t="s">
        <v>344</v>
      </c>
      <c r="G1881" s="55" t="s">
        <v>360</v>
      </c>
      <c r="H1881" s="55" t="s">
        <v>360</v>
      </c>
      <c r="I1881" s="55" t="s">
        <v>360</v>
      </c>
      <c r="J1881" s="55" t="s">
        <v>360</v>
      </c>
      <c r="K1881" s="55" t="s">
        <v>360</v>
      </c>
      <c r="L1881" s="55" t="s">
        <v>360</v>
      </c>
      <c r="M1881" s="55" t="s">
        <v>142</v>
      </c>
      <c r="N1881" s="55" t="s">
        <v>142</v>
      </c>
      <c r="O1881" s="55" t="s">
        <v>278</v>
      </c>
      <c r="P1881" s="55" t="s">
        <v>611</v>
      </c>
      <c r="Q1881" s="55" t="s">
        <v>350</v>
      </c>
      <c r="R1881" s="85">
        <v>6</v>
      </c>
      <c r="S1881" s="55">
        <v>0</v>
      </c>
      <c r="T1881" s="74" t="s">
        <v>1164</v>
      </c>
      <c r="U1881" s="74" t="s">
        <v>351</v>
      </c>
      <c r="V1881" s="74">
        <v>44461</v>
      </c>
      <c r="W1881" s="74">
        <v>44572</v>
      </c>
      <c r="X1881" s="55">
        <v>10186755</v>
      </c>
      <c r="Y1881" s="55" t="s">
        <v>146</v>
      </c>
      <c r="AB1881" s="74" t="s">
        <v>146</v>
      </c>
      <c r="AC1881" s="55" t="s">
        <v>146</v>
      </c>
      <c r="AL1881" s="74"/>
      <c r="AM1881" s="74"/>
      <c r="AW1881" s="74"/>
      <c r="AX1881" s="74"/>
    </row>
    <row r="1882" spans="1:50" ht="13" x14ac:dyDescent="0.15">
      <c r="A1882" s="55" t="str">
        <f>HYPERLINK("http://reports.ofsted.gov.uk/inspection-reports/find-inspection-report/provider/CARE/SC021677","Ofsted Social Care Provider Webpage")</f>
        <v>Ofsted Social Care Provider Webpage</v>
      </c>
      <c r="B1882" s="55" t="s">
        <v>2838</v>
      </c>
      <c r="D1882" s="55" t="s">
        <v>373</v>
      </c>
      <c r="E1882" s="74">
        <v>37127</v>
      </c>
      <c r="F1882" s="55" t="s">
        <v>344</v>
      </c>
      <c r="G1882" s="55" t="s">
        <v>360</v>
      </c>
      <c r="H1882" s="55" t="s">
        <v>360</v>
      </c>
      <c r="I1882" s="55" t="s">
        <v>360</v>
      </c>
      <c r="J1882" s="55" t="s">
        <v>360</v>
      </c>
      <c r="K1882" s="55" t="s">
        <v>360</v>
      </c>
      <c r="L1882" s="55" t="s">
        <v>360</v>
      </c>
      <c r="M1882" s="55" t="s">
        <v>144</v>
      </c>
      <c r="N1882" s="55" t="s">
        <v>144</v>
      </c>
      <c r="O1882" s="55" t="s">
        <v>217</v>
      </c>
      <c r="P1882" s="55" t="s">
        <v>903</v>
      </c>
      <c r="Q1882" s="55" t="s">
        <v>350</v>
      </c>
      <c r="R1882" s="85">
        <v>4</v>
      </c>
      <c r="S1882" s="55">
        <v>0</v>
      </c>
      <c r="T1882" s="74" t="s">
        <v>1505</v>
      </c>
      <c r="U1882" s="74" t="s">
        <v>351</v>
      </c>
      <c r="V1882" s="74">
        <v>44404</v>
      </c>
      <c r="W1882" s="74">
        <v>44433</v>
      </c>
      <c r="X1882" s="55">
        <v>10185161</v>
      </c>
      <c r="Y1882" s="55" t="s">
        <v>132</v>
      </c>
      <c r="AB1882" s="74" t="s">
        <v>132</v>
      </c>
      <c r="AC1882" s="55" t="s">
        <v>132</v>
      </c>
      <c r="AL1882" s="74"/>
      <c r="AM1882" s="74"/>
      <c r="AW1882" s="74"/>
      <c r="AX1882" s="74"/>
    </row>
    <row r="1883" spans="1:50" ht="13" x14ac:dyDescent="0.15">
      <c r="A1883" s="55" t="str">
        <f>HYPERLINK("http://reports.ofsted.gov.uk/inspection-reports/find-inspection-report/provider/CARE/SC021679","Ofsted Social Care Provider Webpage")</f>
        <v>Ofsted Social Care Provider Webpage</v>
      </c>
      <c r="B1883" s="55" t="s">
        <v>2839</v>
      </c>
      <c r="D1883" s="55" t="s">
        <v>373</v>
      </c>
      <c r="E1883" s="74">
        <v>34859</v>
      </c>
      <c r="F1883" s="55" t="s">
        <v>344</v>
      </c>
      <c r="G1883" s="55" t="s">
        <v>360</v>
      </c>
      <c r="H1883" s="55" t="s">
        <v>360</v>
      </c>
      <c r="I1883" s="55" t="s">
        <v>360</v>
      </c>
      <c r="J1883" s="55" t="s">
        <v>360</v>
      </c>
      <c r="K1883" s="55" t="s">
        <v>360</v>
      </c>
      <c r="L1883" s="55" t="s">
        <v>360</v>
      </c>
      <c r="M1883" s="55" t="s">
        <v>144</v>
      </c>
      <c r="N1883" s="55" t="s">
        <v>144</v>
      </c>
      <c r="O1883" s="55" t="s">
        <v>217</v>
      </c>
      <c r="P1883" s="55" t="s">
        <v>384</v>
      </c>
      <c r="Q1883" s="55" t="s">
        <v>350</v>
      </c>
      <c r="R1883" s="85">
        <v>4</v>
      </c>
      <c r="S1883" s="55">
        <v>0</v>
      </c>
      <c r="T1883" s="74" t="s">
        <v>1505</v>
      </c>
      <c r="U1883" s="74" t="s">
        <v>351</v>
      </c>
      <c r="V1883" s="74">
        <v>44376</v>
      </c>
      <c r="W1883" s="74">
        <v>44404</v>
      </c>
      <c r="X1883" s="55">
        <v>10185202</v>
      </c>
      <c r="Y1883" s="55" t="s">
        <v>132</v>
      </c>
      <c r="AB1883" s="74" t="s">
        <v>132</v>
      </c>
      <c r="AC1883" s="55" t="s">
        <v>132</v>
      </c>
      <c r="AL1883" s="74"/>
      <c r="AM1883" s="74"/>
      <c r="AW1883" s="74"/>
      <c r="AX1883" s="74"/>
    </row>
    <row r="1884" spans="1:50" ht="13" x14ac:dyDescent="0.15">
      <c r="A1884" s="55" t="str">
        <f>HYPERLINK("http://reports.ofsted.gov.uk/inspection-reports/find-inspection-report/provider/CARE/SC021683","Ofsted Social Care Provider Webpage")</f>
        <v>Ofsted Social Care Provider Webpage</v>
      </c>
      <c r="B1884" s="55" t="s">
        <v>2840</v>
      </c>
      <c r="D1884" s="55" t="s">
        <v>373</v>
      </c>
      <c r="E1884" s="74">
        <v>37127</v>
      </c>
      <c r="F1884" s="55" t="s">
        <v>344</v>
      </c>
      <c r="G1884" s="55" t="s">
        <v>360</v>
      </c>
      <c r="H1884" s="55" t="s">
        <v>360</v>
      </c>
      <c r="I1884" s="55" t="s">
        <v>360</v>
      </c>
      <c r="J1884" s="55" t="s">
        <v>360</v>
      </c>
      <c r="K1884" s="55" t="s">
        <v>360</v>
      </c>
      <c r="L1884" s="55" t="s">
        <v>360</v>
      </c>
      <c r="M1884" s="55" t="s">
        <v>144</v>
      </c>
      <c r="N1884" s="55" t="s">
        <v>144</v>
      </c>
      <c r="O1884" s="55" t="s">
        <v>217</v>
      </c>
      <c r="P1884" s="55" t="s">
        <v>384</v>
      </c>
      <c r="Q1884" s="55" t="s">
        <v>350</v>
      </c>
      <c r="R1884" s="85">
        <v>4</v>
      </c>
      <c r="S1884" s="55">
        <v>0</v>
      </c>
      <c r="T1884" s="74" t="s">
        <v>1505</v>
      </c>
      <c r="U1884" s="74" t="s">
        <v>351</v>
      </c>
      <c r="V1884" s="74">
        <v>44504</v>
      </c>
      <c r="W1884" s="74">
        <v>44544</v>
      </c>
      <c r="X1884" s="55">
        <v>10186354</v>
      </c>
      <c r="Y1884" s="55" t="s">
        <v>132</v>
      </c>
      <c r="AB1884" s="74" t="s">
        <v>132</v>
      </c>
      <c r="AC1884" s="55" t="s">
        <v>132</v>
      </c>
      <c r="AL1884" s="74"/>
      <c r="AM1884" s="74"/>
      <c r="AW1884" s="74"/>
      <c r="AX1884" s="74"/>
    </row>
    <row r="1885" spans="1:50" ht="13" x14ac:dyDescent="0.15">
      <c r="A1885" s="55" t="str">
        <f>HYPERLINK("http://reports.ofsted.gov.uk/inspection-reports/find-inspection-report/provider/CARE/SC021684","Ofsted Social Care Provider Webpage")</f>
        <v>Ofsted Social Care Provider Webpage</v>
      </c>
      <c r="B1885" s="55" t="s">
        <v>2841</v>
      </c>
      <c r="D1885" s="55" t="s">
        <v>373</v>
      </c>
      <c r="E1885" s="74">
        <v>37229</v>
      </c>
      <c r="F1885" s="55" t="s">
        <v>344</v>
      </c>
      <c r="G1885" s="55" t="s">
        <v>360</v>
      </c>
      <c r="H1885" s="55" t="s">
        <v>360</v>
      </c>
      <c r="I1885" s="55" t="s">
        <v>360</v>
      </c>
      <c r="J1885" s="55" t="s">
        <v>360</v>
      </c>
      <c r="K1885" s="55" t="s">
        <v>360</v>
      </c>
      <c r="L1885" s="55" t="s">
        <v>360</v>
      </c>
      <c r="M1885" s="55" t="s">
        <v>144</v>
      </c>
      <c r="N1885" s="55" t="s">
        <v>144</v>
      </c>
      <c r="O1885" s="55" t="s">
        <v>217</v>
      </c>
      <c r="P1885" s="55" t="s">
        <v>384</v>
      </c>
      <c r="Q1885" s="55" t="s">
        <v>350</v>
      </c>
      <c r="R1885" s="85">
        <v>6</v>
      </c>
      <c r="S1885" s="55">
        <v>0</v>
      </c>
      <c r="T1885" s="74" t="s">
        <v>2842</v>
      </c>
      <c r="U1885" s="74" t="s">
        <v>351</v>
      </c>
      <c r="V1885" s="74">
        <v>44454</v>
      </c>
      <c r="W1885" s="74">
        <v>44491</v>
      </c>
      <c r="X1885" s="55">
        <v>10186460</v>
      </c>
      <c r="Y1885" s="55" t="s">
        <v>132</v>
      </c>
      <c r="AB1885" s="74" t="s">
        <v>132</v>
      </c>
      <c r="AC1885" s="55" t="s">
        <v>130</v>
      </c>
      <c r="AL1885" s="74"/>
      <c r="AM1885" s="74"/>
    </row>
    <row r="1886" spans="1:50" ht="13" x14ac:dyDescent="0.15">
      <c r="A1886" s="55" t="str">
        <f>HYPERLINK("http://reports.ofsted.gov.uk/inspection-reports/find-inspection-report/provider/CARE/SC022216","Ofsted Social Care Provider Webpage")</f>
        <v>Ofsted Social Care Provider Webpage</v>
      </c>
      <c r="B1886" s="55" t="s">
        <v>2843</v>
      </c>
      <c r="C1886" s="55">
        <v>113654</v>
      </c>
      <c r="D1886" s="55" t="s">
        <v>413</v>
      </c>
      <c r="E1886" s="74">
        <v>37305</v>
      </c>
      <c r="F1886" s="55" t="s">
        <v>344</v>
      </c>
      <c r="G1886" s="55" t="s">
        <v>2844</v>
      </c>
      <c r="H1886" s="55" t="s">
        <v>2845</v>
      </c>
      <c r="I1886" s="55" t="s">
        <v>2846</v>
      </c>
      <c r="J1886" s="55" t="s">
        <v>2847</v>
      </c>
      <c r="K1886" s="55" t="s">
        <v>174</v>
      </c>
      <c r="L1886" s="55" t="s">
        <v>2848</v>
      </c>
      <c r="M1886" s="55" t="s">
        <v>136</v>
      </c>
      <c r="N1886" s="55" t="s">
        <v>136</v>
      </c>
      <c r="O1886" s="55" t="s">
        <v>174</v>
      </c>
      <c r="P1886" s="55" t="s">
        <v>572</v>
      </c>
      <c r="Q1886" s="55" t="s">
        <v>362</v>
      </c>
      <c r="R1886" s="85">
        <v>24</v>
      </c>
      <c r="S1886" s="55">
        <v>0</v>
      </c>
      <c r="T1886" s="74" t="s">
        <v>1797</v>
      </c>
      <c r="U1886" s="74" t="s">
        <v>351</v>
      </c>
      <c r="V1886" s="74">
        <v>44460</v>
      </c>
      <c r="W1886" s="74">
        <v>44518</v>
      </c>
      <c r="X1886" s="55">
        <v>10183568</v>
      </c>
      <c r="Y1886" s="55" t="s">
        <v>132</v>
      </c>
      <c r="AB1886" s="74" t="s">
        <v>132</v>
      </c>
      <c r="AC1886" s="55" t="s">
        <v>132</v>
      </c>
      <c r="AL1886" s="74"/>
      <c r="AM1886" s="74"/>
      <c r="AW1886" s="74"/>
      <c r="AX1886" s="74"/>
    </row>
    <row r="1887" spans="1:50" ht="13" x14ac:dyDescent="0.15">
      <c r="A1887" s="55" t="str">
        <f>HYPERLINK("http://reports.ofsted.gov.uk/inspection-reports/find-inspection-report/provider/CARE/SC022223","Ofsted Social Care Provider Webpage")</f>
        <v>Ofsted Social Care Provider Webpage</v>
      </c>
      <c r="B1887" s="55" t="s">
        <v>2849</v>
      </c>
      <c r="C1887" s="55">
        <v>113652</v>
      </c>
      <c r="D1887" s="55" t="s">
        <v>413</v>
      </c>
      <c r="E1887" s="74">
        <v>37305</v>
      </c>
      <c r="F1887" s="55" t="s">
        <v>344</v>
      </c>
      <c r="G1887" s="55" t="s">
        <v>2850</v>
      </c>
      <c r="H1887" s="55" t="s">
        <v>2850</v>
      </c>
      <c r="I1887" s="55" t="s">
        <v>2851</v>
      </c>
      <c r="J1887" s="55" t="s">
        <v>2852</v>
      </c>
      <c r="L1887" s="55" t="s">
        <v>2853</v>
      </c>
      <c r="M1887" s="55" t="s">
        <v>136</v>
      </c>
      <c r="N1887" s="55" t="s">
        <v>136</v>
      </c>
      <c r="O1887" s="55" t="s">
        <v>174</v>
      </c>
      <c r="P1887" s="55" t="s">
        <v>572</v>
      </c>
      <c r="Q1887" s="55" t="s">
        <v>362</v>
      </c>
      <c r="R1887" s="85">
        <v>30</v>
      </c>
      <c r="S1887" s="55">
        <v>0</v>
      </c>
      <c r="T1887" s="74" t="s">
        <v>2850</v>
      </c>
      <c r="U1887" s="74" t="s">
        <v>351</v>
      </c>
      <c r="V1887" s="74">
        <v>44607</v>
      </c>
      <c r="W1887" s="74">
        <v>44676</v>
      </c>
      <c r="X1887" s="55">
        <v>10183581</v>
      </c>
      <c r="Y1887" s="55" t="s">
        <v>132</v>
      </c>
      <c r="AB1887" s="74" t="s">
        <v>130</v>
      </c>
      <c r="AC1887" s="55" t="s">
        <v>130</v>
      </c>
      <c r="AL1887" s="74"/>
      <c r="AM1887" s="74"/>
      <c r="AW1887" s="74"/>
      <c r="AX1887" s="74"/>
    </row>
    <row r="1888" spans="1:50" ht="13" x14ac:dyDescent="0.15">
      <c r="A1888" s="55" t="str">
        <f>HYPERLINK("http://reports.ofsted.gov.uk/inspection-reports/find-inspection-report/provider/CARE/SC022231","Ofsted Social Care Provider Webpage")</f>
        <v>Ofsted Social Care Provider Webpage</v>
      </c>
      <c r="B1888" s="55" t="s">
        <v>2854</v>
      </c>
      <c r="C1888" s="55">
        <v>131552</v>
      </c>
      <c r="D1888" s="55" t="s">
        <v>413</v>
      </c>
      <c r="E1888" s="74">
        <v>37305</v>
      </c>
      <c r="F1888" s="55" t="s">
        <v>344</v>
      </c>
      <c r="G1888" s="55" t="s">
        <v>2855</v>
      </c>
      <c r="H1888" s="55" t="s">
        <v>1525</v>
      </c>
      <c r="I1888" s="55" t="s">
        <v>2856</v>
      </c>
      <c r="J1888" s="55" t="s">
        <v>2857</v>
      </c>
      <c r="K1888" s="55" t="s">
        <v>174</v>
      </c>
      <c r="L1888" s="55" t="s">
        <v>2858</v>
      </c>
      <c r="M1888" s="55" t="s">
        <v>136</v>
      </c>
      <c r="N1888" s="55" t="s">
        <v>136</v>
      </c>
      <c r="O1888" s="55" t="s">
        <v>174</v>
      </c>
      <c r="P1888" s="55" t="s">
        <v>857</v>
      </c>
      <c r="Q1888" s="55" t="s">
        <v>380</v>
      </c>
      <c r="R1888" s="85">
        <v>40</v>
      </c>
      <c r="S1888" s="55">
        <v>0</v>
      </c>
      <c r="T1888" s="74" t="s">
        <v>1525</v>
      </c>
      <c r="U1888" s="74" t="s">
        <v>351</v>
      </c>
      <c r="V1888" s="74">
        <v>44452</v>
      </c>
      <c r="W1888" s="74">
        <v>44480</v>
      </c>
      <c r="X1888" s="55">
        <v>10183570</v>
      </c>
      <c r="Y1888" s="55" t="s">
        <v>140</v>
      </c>
      <c r="AB1888" s="74" t="s">
        <v>140</v>
      </c>
      <c r="AC1888" s="55" t="s">
        <v>140</v>
      </c>
      <c r="AL1888" s="74"/>
      <c r="AM1888" s="74"/>
      <c r="AW1888" s="74"/>
      <c r="AX1888" s="74"/>
    </row>
    <row r="1889" spans="1:50" ht="13" x14ac:dyDescent="0.15">
      <c r="A1889" s="55" t="str">
        <f>HYPERLINK("http://reports.ofsted.gov.uk/inspection-reports/find-inspection-report/provider/CARE/SC022438","Ofsted Social Care Provider Webpage")</f>
        <v>Ofsted Social Care Provider Webpage</v>
      </c>
      <c r="B1889" s="55" t="s">
        <v>2859</v>
      </c>
      <c r="D1889" s="55" t="s">
        <v>373</v>
      </c>
      <c r="E1889" s="74">
        <v>37092</v>
      </c>
      <c r="F1889" s="55" t="s">
        <v>344</v>
      </c>
      <c r="G1889" s="55" t="s">
        <v>360</v>
      </c>
      <c r="H1889" s="55" t="s">
        <v>360</v>
      </c>
      <c r="I1889" s="55" t="s">
        <v>360</v>
      </c>
      <c r="J1889" s="55" t="s">
        <v>360</v>
      </c>
      <c r="K1889" s="55" t="s">
        <v>360</v>
      </c>
      <c r="L1889" s="55" t="s">
        <v>360</v>
      </c>
      <c r="M1889" s="55" t="s">
        <v>144</v>
      </c>
      <c r="N1889" s="55" t="s">
        <v>144</v>
      </c>
      <c r="O1889" s="55" t="s">
        <v>261</v>
      </c>
      <c r="P1889" s="55" t="s">
        <v>512</v>
      </c>
      <c r="Q1889" s="55" t="s">
        <v>350</v>
      </c>
      <c r="R1889" s="85">
        <v>1</v>
      </c>
      <c r="S1889" s="55">
        <v>0</v>
      </c>
      <c r="T1889" s="74" t="s">
        <v>2860</v>
      </c>
      <c r="U1889" s="74" t="s">
        <v>351</v>
      </c>
      <c r="V1889" s="74">
        <v>44306</v>
      </c>
      <c r="W1889" s="74">
        <v>44340</v>
      </c>
      <c r="X1889" s="55">
        <v>10185022</v>
      </c>
      <c r="Y1889" s="55" t="s">
        <v>132</v>
      </c>
      <c r="AB1889" s="74" t="s">
        <v>132</v>
      </c>
      <c r="AC1889" s="55" t="s">
        <v>132</v>
      </c>
      <c r="AL1889" s="74"/>
      <c r="AM1889" s="74"/>
      <c r="AW1889" s="74"/>
      <c r="AX1889" s="74"/>
    </row>
    <row r="1890" spans="1:50" ht="13" x14ac:dyDescent="0.15">
      <c r="A1890" s="55" t="str">
        <f>HYPERLINK("http://reports.ofsted.gov.uk/inspection-reports/find-inspection-report/provider/CARE/SC022442","Ofsted Social Care Provider Webpage")</f>
        <v>Ofsted Social Care Provider Webpage</v>
      </c>
      <c r="B1890" s="55" t="s">
        <v>2861</v>
      </c>
      <c r="D1890" s="55" t="s">
        <v>373</v>
      </c>
      <c r="E1890" s="74">
        <v>37092</v>
      </c>
      <c r="F1890" s="55" t="s">
        <v>344</v>
      </c>
      <c r="G1890" s="55" t="s">
        <v>360</v>
      </c>
      <c r="H1890" s="55" t="s">
        <v>360</v>
      </c>
      <c r="I1890" s="55" t="s">
        <v>360</v>
      </c>
      <c r="J1890" s="55" t="s">
        <v>360</v>
      </c>
      <c r="K1890" s="55" t="s">
        <v>360</v>
      </c>
      <c r="L1890" s="55" t="s">
        <v>360</v>
      </c>
      <c r="M1890" s="55" t="s">
        <v>144</v>
      </c>
      <c r="N1890" s="55" t="s">
        <v>144</v>
      </c>
      <c r="O1890" s="55" t="s">
        <v>261</v>
      </c>
      <c r="P1890" s="55" t="s">
        <v>512</v>
      </c>
      <c r="Q1890" s="55" t="s">
        <v>350</v>
      </c>
      <c r="R1890" s="85">
        <v>1</v>
      </c>
      <c r="S1890" s="55">
        <v>0</v>
      </c>
      <c r="T1890" s="74" t="s">
        <v>2860</v>
      </c>
      <c r="U1890" s="74" t="s">
        <v>351</v>
      </c>
      <c r="V1890" s="74">
        <v>44418</v>
      </c>
      <c r="W1890" s="74">
        <v>44461</v>
      </c>
      <c r="X1890" s="55">
        <v>10185033</v>
      </c>
      <c r="Y1890" s="55" t="s">
        <v>130</v>
      </c>
      <c r="AB1890" s="74" t="s">
        <v>130</v>
      </c>
      <c r="AC1890" s="55" t="s">
        <v>130</v>
      </c>
      <c r="AL1890" s="74"/>
      <c r="AM1890" s="74"/>
      <c r="AW1890" s="74"/>
      <c r="AX1890" s="74"/>
    </row>
    <row r="1891" spans="1:50" ht="13" x14ac:dyDescent="0.15">
      <c r="A1891" s="55" t="str">
        <f>HYPERLINK("http://reports.ofsted.gov.uk/inspection-reports/find-inspection-report/provider/CARE/SC022447","Ofsted Social Care Provider Webpage")</f>
        <v>Ofsted Social Care Provider Webpage</v>
      </c>
      <c r="B1891" s="55" t="s">
        <v>2862</v>
      </c>
      <c r="D1891" s="55" t="s">
        <v>373</v>
      </c>
      <c r="E1891" s="74">
        <v>37305</v>
      </c>
      <c r="F1891" s="55" t="s">
        <v>344</v>
      </c>
      <c r="G1891" s="55" t="s">
        <v>360</v>
      </c>
      <c r="H1891" s="55" t="s">
        <v>360</v>
      </c>
      <c r="I1891" s="55" t="s">
        <v>360</v>
      </c>
      <c r="J1891" s="55" t="s">
        <v>360</v>
      </c>
      <c r="K1891" s="55" t="s">
        <v>360</v>
      </c>
      <c r="L1891" s="55" t="s">
        <v>360</v>
      </c>
      <c r="M1891" s="55" t="s">
        <v>144</v>
      </c>
      <c r="N1891" s="55" t="s">
        <v>144</v>
      </c>
      <c r="O1891" s="55" t="s">
        <v>261</v>
      </c>
      <c r="P1891" s="55" t="s">
        <v>512</v>
      </c>
      <c r="Q1891" s="55" t="s">
        <v>362</v>
      </c>
      <c r="R1891" s="85">
        <v>3</v>
      </c>
      <c r="S1891" s="55">
        <v>0</v>
      </c>
      <c r="T1891" s="74" t="s">
        <v>2360</v>
      </c>
      <c r="U1891" s="74" t="s">
        <v>351</v>
      </c>
      <c r="V1891" s="74">
        <v>44517</v>
      </c>
      <c r="W1891" s="74">
        <v>44559</v>
      </c>
      <c r="X1891" s="55">
        <v>10187013</v>
      </c>
      <c r="Y1891" s="55" t="s">
        <v>132</v>
      </c>
      <c r="AB1891" s="74" t="s">
        <v>132</v>
      </c>
      <c r="AC1891" s="55" t="s">
        <v>132</v>
      </c>
      <c r="AL1891" s="74"/>
      <c r="AM1891" s="74"/>
      <c r="AW1891" s="74"/>
      <c r="AX1891" s="74"/>
    </row>
    <row r="1892" spans="1:50" ht="13" x14ac:dyDescent="0.15">
      <c r="A1892" s="55" t="str">
        <f>HYPERLINK("http://reports.ofsted.gov.uk/inspection-reports/find-inspection-report/provider/CARE/SC022448","Ofsted Social Care Provider Webpage")</f>
        <v>Ofsted Social Care Provider Webpage</v>
      </c>
      <c r="B1892" s="55" t="s">
        <v>2863</v>
      </c>
      <c r="D1892" s="55" t="s">
        <v>2864</v>
      </c>
      <c r="E1892" s="74">
        <v>37305</v>
      </c>
      <c r="F1892" s="55" t="s">
        <v>344</v>
      </c>
      <c r="G1892" s="55" t="s">
        <v>360</v>
      </c>
      <c r="H1892" s="55" t="s">
        <v>360</v>
      </c>
      <c r="I1892" s="55" t="s">
        <v>360</v>
      </c>
      <c r="J1892" s="55" t="s">
        <v>360</v>
      </c>
      <c r="K1892" s="55" t="s">
        <v>360</v>
      </c>
      <c r="L1892" s="55" t="s">
        <v>360</v>
      </c>
      <c r="M1892" s="55" t="s">
        <v>144</v>
      </c>
      <c r="N1892" s="55" t="s">
        <v>144</v>
      </c>
      <c r="O1892" s="55" t="s">
        <v>261</v>
      </c>
      <c r="P1892" s="55" t="s">
        <v>512</v>
      </c>
      <c r="Q1892" s="55" t="s">
        <v>362</v>
      </c>
      <c r="R1892" s="85">
        <v>12</v>
      </c>
      <c r="S1892" s="55">
        <v>0</v>
      </c>
      <c r="T1892" s="74" t="s">
        <v>2360</v>
      </c>
      <c r="U1892" s="74" t="s">
        <v>6703</v>
      </c>
      <c r="V1892" s="74">
        <v>44580</v>
      </c>
      <c r="W1892" s="74">
        <v>44613</v>
      </c>
      <c r="X1892" s="55">
        <v>10165453</v>
      </c>
      <c r="Y1892" s="55" t="s">
        <v>6706</v>
      </c>
      <c r="AL1892" s="74"/>
      <c r="AM1892" s="74"/>
    </row>
    <row r="1893" spans="1:50" ht="13" x14ac:dyDescent="0.15">
      <c r="A1893" s="55" t="str">
        <f>HYPERLINK("http://reports.ofsted.gov.uk/inspection-reports/find-inspection-report/provider/CARE/SC022448","Ofsted Social Care Provider Webpage")</f>
        <v>Ofsted Social Care Provider Webpage</v>
      </c>
      <c r="B1893" s="55" t="s">
        <v>2863</v>
      </c>
      <c r="D1893" s="55" t="s">
        <v>2864</v>
      </c>
      <c r="E1893" s="74">
        <v>37305</v>
      </c>
      <c r="F1893" s="55" t="s">
        <v>344</v>
      </c>
      <c r="G1893" s="55" t="s">
        <v>360</v>
      </c>
      <c r="H1893" s="55" t="s">
        <v>360</v>
      </c>
      <c r="I1893" s="55" t="s">
        <v>360</v>
      </c>
      <c r="J1893" s="55" t="s">
        <v>360</v>
      </c>
      <c r="K1893" s="55" t="s">
        <v>360</v>
      </c>
      <c r="L1893" s="55" t="s">
        <v>360</v>
      </c>
      <c r="M1893" s="55" t="s">
        <v>144</v>
      </c>
      <c r="N1893" s="55" t="s">
        <v>144</v>
      </c>
      <c r="O1893" s="55" t="s">
        <v>261</v>
      </c>
      <c r="P1893" s="55" t="s">
        <v>512</v>
      </c>
      <c r="Q1893" s="55" t="s">
        <v>362</v>
      </c>
      <c r="R1893" s="85">
        <v>12</v>
      </c>
      <c r="S1893" s="55">
        <v>0</v>
      </c>
      <c r="T1893" s="74" t="s">
        <v>2360</v>
      </c>
      <c r="U1893" s="74" t="s">
        <v>351</v>
      </c>
      <c r="V1893" s="74">
        <v>44453</v>
      </c>
      <c r="W1893" s="74">
        <v>44482</v>
      </c>
      <c r="X1893" s="55">
        <v>10165452</v>
      </c>
      <c r="Y1893" s="55" t="s">
        <v>140</v>
      </c>
      <c r="Z1893" s="55" t="s">
        <v>132</v>
      </c>
      <c r="AA1893" s="55" t="s">
        <v>140</v>
      </c>
      <c r="AB1893" s="74" t="s">
        <v>140</v>
      </c>
      <c r="AC1893" s="55" t="s">
        <v>140</v>
      </c>
      <c r="AL1893" s="74"/>
      <c r="AM1893" s="74"/>
      <c r="AW1893" s="74"/>
      <c r="AX1893" s="74"/>
    </row>
    <row r="1894" spans="1:50" ht="13" x14ac:dyDescent="0.15">
      <c r="A1894" s="55" t="str">
        <f>HYPERLINK("http://reports.ofsted.gov.uk/inspection-reports/find-inspection-report/provider/CARE/SC022464","Ofsted Social Care Provider Webpage")</f>
        <v>Ofsted Social Care Provider Webpage</v>
      </c>
      <c r="B1894" s="55" t="s">
        <v>2865</v>
      </c>
      <c r="D1894" s="55" t="s">
        <v>373</v>
      </c>
      <c r="E1894" s="74">
        <v>37305</v>
      </c>
      <c r="F1894" s="55" t="s">
        <v>344</v>
      </c>
      <c r="G1894" s="55" t="s">
        <v>360</v>
      </c>
      <c r="H1894" s="55" t="s">
        <v>360</v>
      </c>
      <c r="I1894" s="55" t="s">
        <v>360</v>
      </c>
      <c r="J1894" s="55" t="s">
        <v>360</v>
      </c>
      <c r="K1894" s="55" t="s">
        <v>360</v>
      </c>
      <c r="L1894" s="55" t="s">
        <v>360</v>
      </c>
      <c r="M1894" s="55" t="s">
        <v>144</v>
      </c>
      <c r="N1894" s="55" t="s">
        <v>144</v>
      </c>
      <c r="O1894" s="55" t="s">
        <v>261</v>
      </c>
      <c r="P1894" s="55" t="s">
        <v>792</v>
      </c>
      <c r="Q1894" s="55" t="s">
        <v>350</v>
      </c>
      <c r="R1894" s="85">
        <v>1</v>
      </c>
      <c r="S1894" s="55">
        <v>0</v>
      </c>
      <c r="T1894" s="74" t="s">
        <v>2860</v>
      </c>
      <c r="U1894" s="74" t="s">
        <v>351</v>
      </c>
      <c r="V1894" s="74">
        <v>44377</v>
      </c>
      <c r="W1894" s="74">
        <v>44418</v>
      </c>
      <c r="X1894" s="55">
        <v>10185008</v>
      </c>
      <c r="Y1894" s="55" t="s">
        <v>146</v>
      </c>
      <c r="AB1894" s="74" t="s">
        <v>146</v>
      </c>
      <c r="AC1894" s="55" t="s">
        <v>146</v>
      </c>
      <c r="AL1894" s="74"/>
      <c r="AM1894" s="74"/>
      <c r="AW1894" s="74"/>
      <c r="AX1894" s="74"/>
    </row>
    <row r="1895" spans="1:50" ht="13" x14ac:dyDescent="0.15">
      <c r="A1895" s="55" t="str">
        <f>HYPERLINK("http://reports.ofsted.gov.uk/inspection-reports/find-inspection-report/provider/CARE/SC022464","Ofsted Social Care Provider Webpage")</f>
        <v>Ofsted Social Care Provider Webpage</v>
      </c>
      <c r="B1895" s="55" t="s">
        <v>2865</v>
      </c>
      <c r="D1895" s="55" t="s">
        <v>373</v>
      </c>
      <c r="E1895" s="74">
        <v>37305</v>
      </c>
      <c r="F1895" s="55" t="s">
        <v>344</v>
      </c>
      <c r="G1895" s="55" t="s">
        <v>360</v>
      </c>
      <c r="H1895" s="55" t="s">
        <v>360</v>
      </c>
      <c r="I1895" s="55" t="s">
        <v>360</v>
      </c>
      <c r="J1895" s="55" t="s">
        <v>360</v>
      </c>
      <c r="K1895" s="55" t="s">
        <v>360</v>
      </c>
      <c r="L1895" s="55" t="s">
        <v>360</v>
      </c>
      <c r="M1895" s="55" t="s">
        <v>144</v>
      </c>
      <c r="N1895" s="55" t="s">
        <v>144</v>
      </c>
      <c r="O1895" s="55" t="s">
        <v>261</v>
      </c>
      <c r="P1895" s="55" t="s">
        <v>792</v>
      </c>
      <c r="Q1895" s="55" t="s">
        <v>350</v>
      </c>
      <c r="R1895" s="85">
        <v>1</v>
      </c>
      <c r="S1895" s="55">
        <v>0</v>
      </c>
      <c r="T1895" s="74" t="s">
        <v>2860</v>
      </c>
      <c r="U1895" s="74" t="s">
        <v>351</v>
      </c>
      <c r="V1895" s="74">
        <v>44496</v>
      </c>
      <c r="W1895" s="74">
        <v>44533</v>
      </c>
      <c r="X1895" s="55">
        <v>10212707</v>
      </c>
      <c r="Y1895" s="55" t="s">
        <v>130</v>
      </c>
      <c r="AB1895" s="74" t="s">
        <v>130</v>
      </c>
      <c r="AC1895" s="55" t="s">
        <v>130</v>
      </c>
      <c r="AL1895" s="74"/>
      <c r="AM1895" s="74"/>
      <c r="AW1895" s="74"/>
      <c r="AX1895" s="74"/>
    </row>
    <row r="1896" spans="1:50" ht="13" x14ac:dyDescent="0.15">
      <c r="A1896" s="55" t="str">
        <f>HYPERLINK("http://reports.ofsted.gov.uk/inspection-reports/find-inspection-report/provider/CARE/SC022464","Ofsted Social Care Provider Webpage")</f>
        <v>Ofsted Social Care Provider Webpage</v>
      </c>
      <c r="B1896" s="55" t="s">
        <v>2865</v>
      </c>
      <c r="D1896" s="55" t="s">
        <v>373</v>
      </c>
      <c r="E1896" s="74">
        <v>37305</v>
      </c>
      <c r="F1896" s="55" t="s">
        <v>344</v>
      </c>
      <c r="G1896" s="55" t="s">
        <v>360</v>
      </c>
      <c r="H1896" s="55" t="s">
        <v>360</v>
      </c>
      <c r="I1896" s="55" t="s">
        <v>360</v>
      </c>
      <c r="J1896" s="55" t="s">
        <v>360</v>
      </c>
      <c r="K1896" s="55" t="s">
        <v>360</v>
      </c>
      <c r="L1896" s="55" t="s">
        <v>360</v>
      </c>
      <c r="M1896" s="55" t="s">
        <v>144</v>
      </c>
      <c r="N1896" s="55" t="s">
        <v>144</v>
      </c>
      <c r="O1896" s="55" t="s">
        <v>261</v>
      </c>
      <c r="P1896" s="55" t="s">
        <v>792</v>
      </c>
      <c r="Q1896" s="55" t="s">
        <v>350</v>
      </c>
      <c r="R1896" s="85">
        <v>1</v>
      </c>
      <c r="S1896" s="55">
        <v>0</v>
      </c>
      <c r="T1896" s="74" t="s">
        <v>2860</v>
      </c>
      <c r="U1896" s="74" t="s">
        <v>2053</v>
      </c>
      <c r="V1896" s="74">
        <v>44424</v>
      </c>
      <c r="W1896" s="74">
        <v>44453</v>
      </c>
      <c r="X1896" s="55">
        <v>10204379</v>
      </c>
      <c r="AL1896" s="74"/>
      <c r="AM1896" s="74"/>
      <c r="AW1896" s="74"/>
      <c r="AX1896" s="74"/>
    </row>
    <row r="1897" spans="1:50" ht="13" x14ac:dyDescent="0.15">
      <c r="A1897" s="55" t="str">
        <f>HYPERLINK("http://reports.ofsted.gov.uk/inspection-reports/find-inspection-report/provider/CARE/SC023097","Ofsted Social Care Provider Webpage")</f>
        <v>Ofsted Social Care Provider Webpage</v>
      </c>
      <c r="B1897" s="55" t="s">
        <v>2866</v>
      </c>
      <c r="C1897" s="55">
        <v>137934</v>
      </c>
      <c r="D1897" s="55" t="s">
        <v>413</v>
      </c>
      <c r="E1897" s="74">
        <v>37305</v>
      </c>
      <c r="F1897" s="55" t="s">
        <v>344</v>
      </c>
      <c r="G1897" s="55" t="s">
        <v>2867</v>
      </c>
      <c r="H1897" s="55" t="s">
        <v>2867</v>
      </c>
      <c r="I1897" s="55" t="s">
        <v>2868</v>
      </c>
      <c r="J1897" s="55" t="s">
        <v>2094</v>
      </c>
      <c r="K1897" s="55" t="s">
        <v>156</v>
      </c>
      <c r="L1897" s="55" t="s">
        <v>2869</v>
      </c>
      <c r="M1897" s="55" t="s">
        <v>150</v>
      </c>
      <c r="N1897" s="55" t="s">
        <v>150</v>
      </c>
      <c r="O1897" s="55" t="s">
        <v>156</v>
      </c>
      <c r="P1897" s="55" t="s">
        <v>2870</v>
      </c>
      <c r="Q1897" s="55" t="s">
        <v>420</v>
      </c>
      <c r="R1897" s="85">
        <v>20</v>
      </c>
      <c r="S1897" s="55">
        <v>0</v>
      </c>
      <c r="T1897" s="74" t="s">
        <v>2867</v>
      </c>
      <c r="U1897" s="74" t="s">
        <v>351</v>
      </c>
      <c r="V1897" s="74">
        <v>44586</v>
      </c>
      <c r="W1897" s="74">
        <v>44629</v>
      </c>
      <c r="X1897" s="55">
        <v>10183538</v>
      </c>
      <c r="Y1897" s="55" t="s">
        <v>132</v>
      </c>
      <c r="AB1897" s="74" t="s">
        <v>132</v>
      </c>
      <c r="AC1897" s="55" t="s">
        <v>132</v>
      </c>
      <c r="AL1897" s="74"/>
      <c r="AM1897" s="74"/>
      <c r="AW1897" s="74"/>
      <c r="AX1897" s="74"/>
    </row>
    <row r="1898" spans="1:50" ht="13" x14ac:dyDescent="0.15">
      <c r="A1898" s="55" t="str">
        <f>HYPERLINK("http://reports.ofsted.gov.uk/inspection-reports/find-inspection-report/provider/CARE/SC023637","Ofsted Social Care Provider Webpage")</f>
        <v>Ofsted Social Care Provider Webpage</v>
      </c>
      <c r="B1898" s="55" t="s">
        <v>2872</v>
      </c>
      <c r="D1898" s="55" t="s">
        <v>373</v>
      </c>
      <c r="E1898" s="74">
        <v>37091</v>
      </c>
      <c r="F1898" s="55" t="s">
        <v>344</v>
      </c>
      <c r="G1898" s="55" t="s">
        <v>360</v>
      </c>
      <c r="H1898" s="55" t="s">
        <v>360</v>
      </c>
      <c r="I1898" s="55" t="s">
        <v>360</v>
      </c>
      <c r="J1898" s="55" t="s">
        <v>360</v>
      </c>
      <c r="K1898" s="55" t="s">
        <v>360</v>
      </c>
      <c r="L1898" s="55" t="s">
        <v>360</v>
      </c>
      <c r="M1898" s="55" t="s">
        <v>150</v>
      </c>
      <c r="N1898" s="55" t="s">
        <v>150</v>
      </c>
      <c r="O1898" s="55" t="s">
        <v>203</v>
      </c>
      <c r="P1898" s="55" t="s">
        <v>1268</v>
      </c>
      <c r="Q1898" s="55" t="s">
        <v>350</v>
      </c>
      <c r="R1898" s="85">
        <v>8</v>
      </c>
      <c r="S1898" s="55">
        <v>0</v>
      </c>
      <c r="T1898" s="74" t="s">
        <v>2873</v>
      </c>
      <c r="U1898" s="74" t="s">
        <v>351</v>
      </c>
      <c r="V1898" s="74">
        <v>44606</v>
      </c>
      <c r="W1898" s="74">
        <v>44651</v>
      </c>
      <c r="X1898" s="55">
        <v>10185947</v>
      </c>
      <c r="Y1898" s="55" t="s">
        <v>132</v>
      </c>
      <c r="AB1898" s="74" t="s">
        <v>132</v>
      </c>
      <c r="AC1898" s="55" t="s">
        <v>132</v>
      </c>
      <c r="AL1898" s="74"/>
      <c r="AM1898" s="74"/>
      <c r="AW1898" s="74"/>
      <c r="AX1898" s="74"/>
    </row>
    <row r="1899" spans="1:50" ht="13" x14ac:dyDescent="0.15">
      <c r="A1899" s="55" t="str">
        <f>HYPERLINK("http://reports.ofsted.gov.uk/inspection-reports/find-inspection-report/provider/CARE/SC023645","Ofsted Social Care Provider Webpage")</f>
        <v>Ofsted Social Care Provider Webpage</v>
      </c>
      <c r="B1899" s="55" t="s">
        <v>2874</v>
      </c>
      <c r="D1899" s="55" t="s">
        <v>373</v>
      </c>
      <c r="E1899" s="74">
        <v>36712</v>
      </c>
      <c r="F1899" s="55" t="s">
        <v>344</v>
      </c>
      <c r="G1899" s="55" t="s">
        <v>360</v>
      </c>
      <c r="H1899" s="55" t="s">
        <v>360</v>
      </c>
      <c r="I1899" s="55" t="s">
        <v>360</v>
      </c>
      <c r="J1899" s="55" t="s">
        <v>360</v>
      </c>
      <c r="K1899" s="55" t="s">
        <v>360</v>
      </c>
      <c r="L1899" s="55" t="s">
        <v>360</v>
      </c>
      <c r="M1899" s="55" t="s">
        <v>150</v>
      </c>
      <c r="N1899" s="55" t="s">
        <v>150</v>
      </c>
      <c r="O1899" s="55" t="s">
        <v>203</v>
      </c>
      <c r="P1899" s="55" t="s">
        <v>1263</v>
      </c>
      <c r="Q1899" s="55" t="s">
        <v>350</v>
      </c>
      <c r="R1899" s="85">
        <v>7</v>
      </c>
      <c r="S1899" s="55">
        <v>0</v>
      </c>
      <c r="T1899" s="74" t="s">
        <v>483</v>
      </c>
      <c r="U1899" s="74" t="s">
        <v>351</v>
      </c>
      <c r="V1899" s="74">
        <v>44509</v>
      </c>
      <c r="W1899" s="74">
        <v>44533</v>
      </c>
      <c r="X1899" s="55">
        <v>10187318</v>
      </c>
      <c r="Y1899" s="55" t="s">
        <v>132</v>
      </c>
      <c r="AB1899" s="74" t="s">
        <v>132</v>
      </c>
      <c r="AC1899" s="55" t="s">
        <v>132</v>
      </c>
      <c r="AL1899" s="74"/>
      <c r="AM1899" s="74"/>
    </row>
    <row r="1900" spans="1:50" ht="13" x14ac:dyDescent="0.15">
      <c r="A1900" s="55" t="str">
        <f>HYPERLINK("http://reports.ofsted.gov.uk/inspection-reports/find-inspection-report/provider/CARE/SC023646","Ofsted Social Care Provider Webpage")</f>
        <v>Ofsted Social Care Provider Webpage</v>
      </c>
      <c r="B1900" s="55" t="s">
        <v>2875</v>
      </c>
      <c r="D1900" s="55" t="s">
        <v>373</v>
      </c>
      <c r="E1900" s="74">
        <v>35982</v>
      </c>
      <c r="F1900" s="55" t="s">
        <v>344</v>
      </c>
      <c r="G1900" s="55" t="s">
        <v>360</v>
      </c>
      <c r="H1900" s="55" t="s">
        <v>360</v>
      </c>
      <c r="I1900" s="55" t="s">
        <v>360</v>
      </c>
      <c r="J1900" s="55" t="s">
        <v>360</v>
      </c>
      <c r="K1900" s="55" t="s">
        <v>360</v>
      </c>
      <c r="L1900" s="55" t="s">
        <v>360</v>
      </c>
      <c r="M1900" s="55" t="s">
        <v>150</v>
      </c>
      <c r="N1900" s="55" t="s">
        <v>150</v>
      </c>
      <c r="O1900" s="55" t="s">
        <v>203</v>
      </c>
      <c r="P1900" s="55" t="s">
        <v>800</v>
      </c>
      <c r="Q1900" s="55" t="s">
        <v>350</v>
      </c>
      <c r="R1900" s="85">
        <v>7</v>
      </c>
      <c r="S1900" s="55">
        <v>0</v>
      </c>
      <c r="T1900" s="74" t="s">
        <v>483</v>
      </c>
      <c r="U1900" s="74" t="s">
        <v>351</v>
      </c>
      <c r="V1900" s="74">
        <v>44536</v>
      </c>
      <c r="W1900" s="74">
        <v>44585</v>
      </c>
      <c r="X1900" s="55">
        <v>10187275</v>
      </c>
      <c r="Y1900" s="55" t="s">
        <v>140</v>
      </c>
      <c r="AB1900" s="74" t="s">
        <v>140</v>
      </c>
      <c r="AC1900" s="55" t="s">
        <v>140</v>
      </c>
      <c r="AL1900" s="74"/>
      <c r="AM1900" s="74"/>
      <c r="AW1900" s="74"/>
      <c r="AX1900" s="74"/>
    </row>
    <row r="1901" spans="1:50" ht="13" x14ac:dyDescent="0.15">
      <c r="A1901" s="55" t="str">
        <f>HYPERLINK("http://reports.ofsted.gov.uk/inspection-reports/find-inspection-report/provider/CARE/SC023651","Ofsted Social Care Provider Webpage")</f>
        <v>Ofsted Social Care Provider Webpage</v>
      </c>
      <c r="B1901" s="55" t="s">
        <v>2876</v>
      </c>
      <c r="D1901" s="55" t="s">
        <v>373</v>
      </c>
      <c r="E1901" s="74">
        <v>34684</v>
      </c>
      <c r="F1901" s="55" t="s">
        <v>344</v>
      </c>
      <c r="G1901" s="55" t="s">
        <v>360</v>
      </c>
      <c r="H1901" s="55" t="s">
        <v>360</v>
      </c>
      <c r="I1901" s="55" t="s">
        <v>360</v>
      </c>
      <c r="J1901" s="55" t="s">
        <v>360</v>
      </c>
      <c r="K1901" s="55" t="s">
        <v>360</v>
      </c>
      <c r="L1901" s="55" t="s">
        <v>360</v>
      </c>
      <c r="M1901" s="55" t="s">
        <v>150</v>
      </c>
      <c r="N1901" s="55" t="s">
        <v>150</v>
      </c>
      <c r="O1901" s="55" t="s">
        <v>203</v>
      </c>
      <c r="P1901" s="55" t="s">
        <v>1038</v>
      </c>
      <c r="Q1901" s="55" t="s">
        <v>350</v>
      </c>
      <c r="R1901" s="85">
        <v>8</v>
      </c>
      <c r="S1901" s="55">
        <v>0</v>
      </c>
      <c r="T1901" s="74" t="s">
        <v>2877</v>
      </c>
      <c r="U1901" s="74" t="s">
        <v>351</v>
      </c>
      <c r="V1901" s="74">
        <v>44321</v>
      </c>
      <c r="W1901" s="74">
        <v>44369</v>
      </c>
      <c r="X1901" s="55">
        <v>10186256</v>
      </c>
      <c r="Y1901" s="55" t="s">
        <v>132</v>
      </c>
      <c r="AB1901" s="74" t="s">
        <v>132</v>
      </c>
      <c r="AC1901" s="55" t="s">
        <v>130</v>
      </c>
      <c r="AL1901" s="74"/>
      <c r="AM1901" s="74"/>
      <c r="AW1901" s="74"/>
      <c r="AX1901" s="74"/>
    </row>
    <row r="1902" spans="1:50" ht="13" x14ac:dyDescent="0.15">
      <c r="A1902" s="55" t="str">
        <f>HYPERLINK("http://reports.ofsted.gov.uk/inspection-reports/find-inspection-report/provider/CARE/SC023693","Ofsted Social Care Provider Webpage")</f>
        <v>Ofsted Social Care Provider Webpage</v>
      </c>
      <c r="B1902" s="55" t="s">
        <v>2884</v>
      </c>
      <c r="C1902" s="55">
        <v>119056</v>
      </c>
      <c r="D1902" s="55" t="s">
        <v>413</v>
      </c>
      <c r="E1902" s="74">
        <v>37305</v>
      </c>
      <c r="F1902" s="55" t="s">
        <v>344</v>
      </c>
      <c r="G1902" s="55" t="s">
        <v>2885</v>
      </c>
      <c r="H1902" s="55" t="s">
        <v>2886</v>
      </c>
      <c r="I1902" s="55" t="s">
        <v>2887</v>
      </c>
      <c r="J1902" s="55" t="s">
        <v>2888</v>
      </c>
      <c r="K1902" s="55" t="s">
        <v>203</v>
      </c>
      <c r="L1902" s="55" t="s">
        <v>2889</v>
      </c>
      <c r="M1902" s="55" t="s">
        <v>150</v>
      </c>
      <c r="N1902" s="55" t="s">
        <v>150</v>
      </c>
      <c r="O1902" s="55" t="s">
        <v>203</v>
      </c>
      <c r="P1902" s="55" t="s">
        <v>1263</v>
      </c>
      <c r="Q1902" s="55" t="s">
        <v>380</v>
      </c>
      <c r="R1902" s="85">
        <v>19</v>
      </c>
      <c r="S1902" s="55">
        <v>0</v>
      </c>
      <c r="T1902" s="74" t="s">
        <v>1547</v>
      </c>
      <c r="U1902" s="74" t="s">
        <v>351</v>
      </c>
      <c r="V1902" s="74">
        <v>44481</v>
      </c>
      <c r="W1902" s="74">
        <v>44537</v>
      </c>
      <c r="X1902" s="55">
        <v>10183555</v>
      </c>
      <c r="Y1902" s="55" t="s">
        <v>140</v>
      </c>
      <c r="AB1902" s="74" t="s">
        <v>132</v>
      </c>
      <c r="AC1902" s="55" t="s">
        <v>132</v>
      </c>
      <c r="AL1902" s="74"/>
      <c r="AM1902" s="74"/>
      <c r="AW1902" s="74"/>
      <c r="AX1902" s="74"/>
    </row>
    <row r="1903" spans="1:50" ht="13" x14ac:dyDescent="0.15">
      <c r="A1903" s="55" t="str">
        <f>HYPERLINK("http://reports.ofsted.gov.uk/inspection-reports/find-inspection-report/provider/CARE/SC023736","Ofsted Social Care Provider Webpage")</f>
        <v>Ofsted Social Care Provider Webpage</v>
      </c>
      <c r="B1903" s="55" t="s">
        <v>2890</v>
      </c>
      <c r="D1903" s="55" t="s">
        <v>373</v>
      </c>
      <c r="E1903" s="74">
        <v>37089</v>
      </c>
      <c r="F1903" s="55" t="s">
        <v>344</v>
      </c>
      <c r="G1903" s="55" t="s">
        <v>360</v>
      </c>
      <c r="H1903" s="55" t="s">
        <v>360</v>
      </c>
      <c r="I1903" s="55" t="s">
        <v>360</v>
      </c>
      <c r="J1903" s="55" t="s">
        <v>360</v>
      </c>
      <c r="K1903" s="55" t="s">
        <v>360</v>
      </c>
      <c r="L1903" s="55" t="s">
        <v>360</v>
      </c>
      <c r="M1903" s="55" t="s">
        <v>150</v>
      </c>
      <c r="N1903" s="55" t="s">
        <v>150</v>
      </c>
      <c r="O1903" s="55" t="s">
        <v>203</v>
      </c>
      <c r="P1903" s="55" t="s">
        <v>800</v>
      </c>
      <c r="Q1903" s="55" t="s">
        <v>350</v>
      </c>
      <c r="R1903" s="85">
        <v>3</v>
      </c>
      <c r="S1903" s="55">
        <v>0</v>
      </c>
      <c r="T1903" s="74" t="s">
        <v>2891</v>
      </c>
      <c r="U1903" s="74" t="s">
        <v>351</v>
      </c>
      <c r="V1903" s="74">
        <v>44613</v>
      </c>
      <c r="W1903" s="74">
        <v>44657</v>
      </c>
      <c r="X1903" s="55">
        <v>10187570</v>
      </c>
      <c r="Y1903" s="55" t="s">
        <v>132</v>
      </c>
      <c r="AB1903" s="74" t="s">
        <v>132</v>
      </c>
      <c r="AC1903" s="55" t="s">
        <v>130</v>
      </c>
      <c r="AL1903" s="74"/>
      <c r="AM1903" s="74"/>
      <c r="AW1903" s="74"/>
      <c r="AX1903" s="74"/>
    </row>
    <row r="1904" spans="1:50" ht="13" x14ac:dyDescent="0.15">
      <c r="A1904" s="55" t="str">
        <f>HYPERLINK("http://reports.ofsted.gov.uk/inspection-reports/find-inspection-report/provider/CARE/SC023737","Ofsted Social Care Provider Webpage")</f>
        <v>Ofsted Social Care Provider Webpage</v>
      </c>
      <c r="B1904" s="55" t="s">
        <v>2892</v>
      </c>
      <c r="D1904" s="55" t="s">
        <v>373</v>
      </c>
      <c r="E1904" s="74">
        <v>37068</v>
      </c>
      <c r="F1904" s="55" t="s">
        <v>344</v>
      </c>
      <c r="G1904" s="55" t="s">
        <v>360</v>
      </c>
      <c r="H1904" s="55" t="s">
        <v>360</v>
      </c>
      <c r="I1904" s="55" t="s">
        <v>360</v>
      </c>
      <c r="J1904" s="55" t="s">
        <v>360</v>
      </c>
      <c r="K1904" s="55" t="s">
        <v>360</v>
      </c>
      <c r="L1904" s="55" t="s">
        <v>360</v>
      </c>
      <c r="M1904" s="55" t="s">
        <v>150</v>
      </c>
      <c r="N1904" s="55" t="s">
        <v>150</v>
      </c>
      <c r="O1904" s="55" t="s">
        <v>203</v>
      </c>
      <c r="P1904" s="55" t="s">
        <v>800</v>
      </c>
      <c r="Q1904" s="55" t="s">
        <v>350</v>
      </c>
      <c r="R1904" s="85">
        <v>3</v>
      </c>
      <c r="S1904" s="55">
        <v>0</v>
      </c>
      <c r="T1904" s="74" t="s">
        <v>2891</v>
      </c>
      <c r="U1904" s="74" t="s">
        <v>351</v>
      </c>
      <c r="V1904" s="74">
        <v>44606</v>
      </c>
      <c r="W1904" s="74">
        <v>44671</v>
      </c>
      <c r="X1904" s="55">
        <v>10187070</v>
      </c>
      <c r="Y1904" s="55" t="s">
        <v>132</v>
      </c>
      <c r="AB1904" s="74" t="s">
        <v>132</v>
      </c>
      <c r="AC1904" s="55" t="s">
        <v>130</v>
      </c>
      <c r="AL1904" s="74"/>
      <c r="AM1904" s="74"/>
    </row>
    <row r="1905" spans="1:50" ht="13" x14ac:dyDescent="0.15">
      <c r="A1905" s="55" t="str">
        <f>HYPERLINK("http://reports.ofsted.gov.uk/inspection-reports/find-inspection-report/provider/CARE/SC023739","Ofsted Social Care Provider Webpage")</f>
        <v>Ofsted Social Care Provider Webpage</v>
      </c>
      <c r="B1905" s="55" t="s">
        <v>2893</v>
      </c>
      <c r="D1905" s="55" t="s">
        <v>373</v>
      </c>
      <c r="E1905" s="74">
        <v>37083</v>
      </c>
      <c r="F1905" s="55" t="s">
        <v>344</v>
      </c>
      <c r="G1905" s="55" t="s">
        <v>360</v>
      </c>
      <c r="H1905" s="55" t="s">
        <v>360</v>
      </c>
      <c r="I1905" s="55" t="s">
        <v>360</v>
      </c>
      <c r="J1905" s="55" t="s">
        <v>360</v>
      </c>
      <c r="K1905" s="55" t="s">
        <v>360</v>
      </c>
      <c r="L1905" s="55" t="s">
        <v>360</v>
      </c>
      <c r="M1905" s="55" t="s">
        <v>150</v>
      </c>
      <c r="N1905" s="55" t="s">
        <v>150</v>
      </c>
      <c r="O1905" s="55" t="s">
        <v>203</v>
      </c>
      <c r="P1905" s="55" t="s">
        <v>1263</v>
      </c>
      <c r="Q1905" s="55" t="s">
        <v>350</v>
      </c>
      <c r="R1905" s="85">
        <v>3</v>
      </c>
      <c r="S1905" s="55">
        <v>0</v>
      </c>
      <c r="T1905" s="74" t="s">
        <v>2891</v>
      </c>
      <c r="U1905" s="74" t="s">
        <v>351</v>
      </c>
      <c r="V1905" s="74">
        <v>44636</v>
      </c>
      <c r="W1905" s="74">
        <v>44676</v>
      </c>
      <c r="X1905" s="55">
        <v>10185524</v>
      </c>
      <c r="Y1905" s="55" t="s">
        <v>140</v>
      </c>
      <c r="AB1905" s="74" t="s">
        <v>140</v>
      </c>
      <c r="AC1905" s="55" t="s">
        <v>140</v>
      </c>
      <c r="AL1905" s="74"/>
      <c r="AM1905" s="74"/>
      <c r="AW1905" s="74"/>
      <c r="AX1905" s="74"/>
    </row>
    <row r="1906" spans="1:50" ht="13" x14ac:dyDescent="0.15">
      <c r="A1906" s="55" t="str">
        <f>HYPERLINK("http://reports.ofsted.gov.uk/inspection-reports/find-inspection-report/provider/CARE/SC023740","Ofsted Social Care Provider Webpage")</f>
        <v>Ofsted Social Care Provider Webpage</v>
      </c>
      <c r="B1906" s="55" t="s">
        <v>2894</v>
      </c>
      <c r="D1906" s="55" t="s">
        <v>373</v>
      </c>
      <c r="E1906" s="74">
        <v>37089</v>
      </c>
      <c r="F1906" s="55" t="s">
        <v>344</v>
      </c>
      <c r="G1906" s="55" t="s">
        <v>360</v>
      </c>
      <c r="H1906" s="55" t="s">
        <v>360</v>
      </c>
      <c r="I1906" s="55" t="s">
        <v>360</v>
      </c>
      <c r="J1906" s="55" t="s">
        <v>360</v>
      </c>
      <c r="K1906" s="55" t="s">
        <v>360</v>
      </c>
      <c r="L1906" s="55" t="s">
        <v>360</v>
      </c>
      <c r="M1906" s="55" t="s">
        <v>150</v>
      </c>
      <c r="N1906" s="55" t="s">
        <v>150</v>
      </c>
      <c r="O1906" s="55" t="s">
        <v>203</v>
      </c>
      <c r="P1906" s="55" t="s">
        <v>800</v>
      </c>
      <c r="Q1906" s="55" t="s">
        <v>350</v>
      </c>
      <c r="R1906" s="85">
        <v>3</v>
      </c>
      <c r="S1906" s="55">
        <v>0</v>
      </c>
      <c r="T1906" s="74" t="s">
        <v>2891</v>
      </c>
      <c r="U1906" s="74" t="s">
        <v>351</v>
      </c>
      <c r="V1906" s="74">
        <v>44355</v>
      </c>
      <c r="W1906" s="74">
        <v>44414</v>
      </c>
      <c r="X1906" s="55">
        <v>10186875</v>
      </c>
      <c r="Y1906" s="55" t="s">
        <v>132</v>
      </c>
      <c r="AB1906" s="74" t="s">
        <v>132</v>
      </c>
      <c r="AC1906" s="55" t="s">
        <v>132</v>
      </c>
      <c r="AL1906" s="74"/>
      <c r="AM1906" s="74"/>
      <c r="AW1906" s="74"/>
      <c r="AX1906" s="74"/>
    </row>
    <row r="1907" spans="1:50" ht="13" x14ac:dyDescent="0.15">
      <c r="A1907" s="55" t="str">
        <f>HYPERLINK("http://reports.ofsted.gov.uk/inspection-reports/find-inspection-report/provider/CARE/SC023741","Ofsted Social Care Provider Webpage")</f>
        <v>Ofsted Social Care Provider Webpage</v>
      </c>
      <c r="B1907" s="55" t="s">
        <v>2895</v>
      </c>
      <c r="D1907" s="55" t="s">
        <v>373</v>
      </c>
      <c r="E1907" s="74">
        <v>37068</v>
      </c>
      <c r="F1907" s="55" t="s">
        <v>344</v>
      </c>
      <c r="G1907" s="55" t="s">
        <v>360</v>
      </c>
      <c r="H1907" s="55" t="s">
        <v>360</v>
      </c>
      <c r="I1907" s="55" t="s">
        <v>360</v>
      </c>
      <c r="J1907" s="55" t="s">
        <v>360</v>
      </c>
      <c r="K1907" s="55" t="s">
        <v>360</v>
      </c>
      <c r="L1907" s="55" t="s">
        <v>360</v>
      </c>
      <c r="M1907" s="55" t="s">
        <v>150</v>
      </c>
      <c r="N1907" s="55" t="s">
        <v>150</v>
      </c>
      <c r="O1907" s="55" t="s">
        <v>203</v>
      </c>
      <c r="P1907" s="55" t="s">
        <v>800</v>
      </c>
      <c r="Q1907" s="55" t="s">
        <v>350</v>
      </c>
      <c r="R1907" s="85">
        <v>3</v>
      </c>
      <c r="S1907" s="55">
        <v>0</v>
      </c>
      <c r="T1907" s="74" t="s">
        <v>2891</v>
      </c>
      <c r="U1907" s="74" t="s">
        <v>351</v>
      </c>
      <c r="V1907" s="74">
        <v>44321</v>
      </c>
      <c r="W1907" s="74">
        <v>44372</v>
      </c>
      <c r="X1907" s="55">
        <v>10186269</v>
      </c>
      <c r="Y1907" s="55" t="s">
        <v>140</v>
      </c>
      <c r="AB1907" s="74" t="s">
        <v>140</v>
      </c>
      <c r="AC1907" s="55" t="s">
        <v>140</v>
      </c>
      <c r="AL1907" s="74"/>
      <c r="AM1907" s="74"/>
      <c r="AW1907" s="74"/>
      <c r="AX1907" s="74"/>
    </row>
    <row r="1908" spans="1:50" ht="13" x14ac:dyDescent="0.15">
      <c r="A1908" s="55" t="str">
        <f>HYPERLINK("http://reports.ofsted.gov.uk/inspection-reports/find-inspection-report/provider/CARE/SC023743","Ofsted Social Care Provider Webpage")</f>
        <v>Ofsted Social Care Provider Webpage</v>
      </c>
      <c r="B1908" s="55" t="s">
        <v>2896</v>
      </c>
      <c r="D1908" s="55" t="s">
        <v>373</v>
      </c>
      <c r="E1908" s="74">
        <v>37068</v>
      </c>
      <c r="F1908" s="55" t="s">
        <v>344</v>
      </c>
      <c r="G1908" s="55" t="s">
        <v>360</v>
      </c>
      <c r="H1908" s="55" t="s">
        <v>360</v>
      </c>
      <c r="I1908" s="55" t="s">
        <v>360</v>
      </c>
      <c r="J1908" s="55" t="s">
        <v>360</v>
      </c>
      <c r="K1908" s="55" t="s">
        <v>360</v>
      </c>
      <c r="L1908" s="55" t="s">
        <v>360</v>
      </c>
      <c r="M1908" s="55" t="s">
        <v>150</v>
      </c>
      <c r="N1908" s="55" t="s">
        <v>150</v>
      </c>
      <c r="O1908" s="55" t="s">
        <v>203</v>
      </c>
      <c r="P1908" s="55" t="s">
        <v>1263</v>
      </c>
      <c r="Q1908" s="55" t="s">
        <v>350</v>
      </c>
      <c r="R1908" s="85">
        <v>3</v>
      </c>
      <c r="S1908" s="55">
        <v>0</v>
      </c>
      <c r="T1908" s="74" t="s">
        <v>2891</v>
      </c>
      <c r="U1908" s="74" t="s">
        <v>351</v>
      </c>
      <c r="V1908" s="74">
        <v>44335</v>
      </c>
      <c r="W1908" s="74">
        <v>44400</v>
      </c>
      <c r="X1908" s="55">
        <v>10185195</v>
      </c>
      <c r="Y1908" s="55" t="s">
        <v>132</v>
      </c>
      <c r="AB1908" s="74" t="s">
        <v>132</v>
      </c>
      <c r="AC1908" s="55" t="s">
        <v>132</v>
      </c>
      <c r="AL1908" s="74"/>
      <c r="AM1908" s="74"/>
      <c r="AW1908" s="74"/>
      <c r="AX1908" s="74"/>
    </row>
    <row r="1909" spans="1:50" ht="13" x14ac:dyDescent="0.15">
      <c r="A1909" s="55" t="str">
        <f>HYPERLINK("http://reports.ofsted.gov.uk/inspection-reports/find-inspection-report/provider/CARE/SC023744","Ofsted Social Care Provider Webpage")</f>
        <v>Ofsted Social Care Provider Webpage</v>
      </c>
      <c r="B1909" s="55" t="s">
        <v>2897</v>
      </c>
      <c r="D1909" s="55" t="s">
        <v>373</v>
      </c>
      <c r="E1909" s="74">
        <v>37088</v>
      </c>
      <c r="F1909" s="55" t="s">
        <v>344</v>
      </c>
      <c r="G1909" s="55" t="s">
        <v>360</v>
      </c>
      <c r="H1909" s="55" t="s">
        <v>360</v>
      </c>
      <c r="I1909" s="55" t="s">
        <v>360</v>
      </c>
      <c r="J1909" s="55" t="s">
        <v>360</v>
      </c>
      <c r="K1909" s="55" t="s">
        <v>360</v>
      </c>
      <c r="L1909" s="55" t="s">
        <v>360</v>
      </c>
      <c r="M1909" s="55" t="s">
        <v>150</v>
      </c>
      <c r="N1909" s="55" t="s">
        <v>150</v>
      </c>
      <c r="O1909" s="55" t="s">
        <v>203</v>
      </c>
      <c r="P1909" s="55" t="s">
        <v>1263</v>
      </c>
      <c r="Q1909" s="55" t="s">
        <v>350</v>
      </c>
      <c r="R1909" s="85">
        <v>3</v>
      </c>
      <c r="S1909" s="55">
        <v>0</v>
      </c>
      <c r="T1909" s="74" t="s">
        <v>2891</v>
      </c>
      <c r="U1909" s="74" t="s">
        <v>351</v>
      </c>
      <c r="V1909" s="74">
        <v>44446</v>
      </c>
      <c r="W1909" s="74">
        <v>44481</v>
      </c>
      <c r="X1909" s="55">
        <v>10185146</v>
      </c>
      <c r="Y1909" s="55" t="s">
        <v>132</v>
      </c>
      <c r="AB1909" s="74" t="s">
        <v>132</v>
      </c>
      <c r="AC1909" s="55" t="s">
        <v>132</v>
      </c>
      <c r="AL1909" s="74"/>
      <c r="AM1909" s="74"/>
      <c r="AW1909" s="74"/>
      <c r="AX1909" s="74"/>
    </row>
    <row r="1910" spans="1:50" ht="13" x14ac:dyDescent="0.15">
      <c r="A1910" s="55" t="str">
        <f>HYPERLINK("http://reports.ofsted.gov.uk/inspection-reports/find-inspection-report/provider/CARE/SC023745","Ofsted Social Care Provider Webpage")</f>
        <v>Ofsted Social Care Provider Webpage</v>
      </c>
      <c r="B1910" s="55" t="s">
        <v>2898</v>
      </c>
      <c r="D1910" s="55" t="s">
        <v>373</v>
      </c>
      <c r="E1910" s="74">
        <v>37068</v>
      </c>
      <c r="F1910" s="55" t="s">
        <v>344</v>
      </c>
      <c r="G1910" s="55" t="s">
        <v>360</v>
      </c>
      <c r="H1910" s="55" t="s">
        <v>360</v>
      </c>
      <c r="I1910" s="55" t="s">
        <v>360</v>
      </c>
      <c r="J1910" s="55" t="s">
        <v>360</v>
      </c>
      <c r="K1910" s="55" t="s">
        <v>360</v>
      </c>
      <c r="L1910" s="55" t="s">
        <v>360</v>
      </c>
      <c r="M1910" s="55" t="s">
        <v>150</v>
      </c>
      <c r="N1910" s="55" t="s">
        <v>150</v>
      </c>
      <c r="O1910" s="55" t="s">
        <v>203</v>
      </c>
      <c r="P1910" s="55" t="s">
        <v>1263</v>
      </c>
      <c r="Q1910" s="55" t="s">
        <v>350</v>
      </c>
      <c r="R1910" s="85">
        <v>3</v>
      </c>
      <c r="S1910" s="55">
        <v>0</v>
      </c>
      <c r="T1910" s="74" t="s">
        <v>2891</v>
      </c>
      <c r="U1910" s="74" t="s">
        <v>351</v>
      </c>
      <c r="V1910" s="74">
        <v>44440</v>
      </c>
      <c r="W1910" s="74">
        <v>44480</v>
      </c>
      <c r="X1910" s="55">
        <v>10185350</v>
      </c>
      <c r="Y1910" s="55" t="s">
        <v>132</v>
      </c>
      <c r="AB1910" s="74" t="s">
        <v>132</v>
      </c>
      <c r="AC1910" s="55" t="s">
        <v>132</v>
      </c>
      <c r="AL1910" s="74"/>
      <c r="AM1910" s="74"/>
    </row>
    <row r="1911" spans="1:50" ht="13" x14ac:dyDescent="0.15">
      <c r="A1911" s="55" t="str">
        <f>HYPERLINK("http://reports.ofsted.gov.uk/inspection-reports/find-inspection-report/provider/CARE/SC023746","Ofsted Social Care Provider Webpage")</f>
        <v>Ofsted Social Care Provider Webpage</v>
      </c>
      <c r="B1911" s="55" t="s">
        <v>2899</v>
      </c>
      <c r="D1911" s="55" t="s">
        <v>373</v>
      </c>
      <c r="E1911" s="74">
        <v>37068</v>
      </c>
      <c r="F1911" s="55" t="s">
        <v>344</v>
      </c>
      <c r="G1911" s="55" t="s">
        <v>360</v>
      </c>
      <c r="H1911" s="55" t="s">
        <v>360</v>
      </c>
      <c r="I1911" s="55" t="s">
        <v>360</v>
      </c>
      <c r="J1911" s="55" t="s">
        <v>360</v>
      </c>
      <c r="K1911" s="55" t="s">
        <v>360</v>
      </c>
      <c r="L1911" s="55" t="s">
        <v>360</v>
      </c>
      <c r="M1911" s="55" t="s">
        <v>150</v>
      </c>
      <c r="N1911" s="55" t="s">
        <v>150</v>
      </c>
      <c r="O1911" s="55" t="s">
        <v>203</v>
      </c>
      <c r="P1911" s="55" t="s">
        <v>1263</v>
      </c>
      <c r="Q1911" s="55" t="s">
        <v>350</v>
      </c>
      <c r="R1911" s="85">
        <v>3</v>
      </c>
      <c r="S1911" s="55">
        <v>0</v>
      </c>
      <c r="T1911" s="74" t="s">
        <v>2891</v>
      </c>
      <c r="U1911" s="74" t="s">
        <v>351</v>
      </c>
      <c r="V1911" s="74">
        <v>44349</v>
      </c>
      <c r="W1911" s="74">
        <v>44396</v>
      </c>
      <c r="X1911" s="55">
        <v>10185621</v>
      </c>
      <c r="Y1911" s="55" t="s">
        <v>140</v>
      </c>
      <c r="AB1911" s="74" t="s">
        <v>140</v>
      </c>
      <c r="AC1911" s="55" t="s">
        <v>140</v>
      </c>
      <c r="AL1911" s="74"/>
      <c r="AM1911" s="74"/>
      <c r="AW1911" s="74"/>
      <c r="AX1911" s="74"/>
    </row>
    <row r="1912" spans="1:50" ht="13" x14ac:dyDescent="0.15">
      <c r="A1912" s="55" t="str">
        <f>HYPERLINK("http://reports.ofsted.gov.uk/inspection-reports/find-inspection-report/provider/CARE/SC024089","Ofsted Social Care Provider Webpage")</f>
        <v>Ofsted Social Care Provider Webpage</v>
      </c>
      <c r="B1912" s="55" t="s">
        <v>2905</v>
      </c>
      <c r="D1912" s="55" t="s">
        <v>373</v>
      </c>
      <c r="E1912" s="74">
        <v>37064</v>
      </c>
      <c r="F1912" s="55" t="s">
        <v>344</v>
      </c>
      <c r="G1912" s="55" t="s">
        <v>360</v>
      </c>
      <c r="H1912" s="55" t="s">
        <v>360</v>
      </c>
      <c r="I1912" s="55" t="s">
        <v>360</v>
      </c>
      <c r="J1912" s="55" t="s">
        <v>360</v>
      </c>
      <c r="K1912" s="55" t="s">
        <v>360</v>
      </c>
      <c r="L1912" s="55" t="s">
        <v>360</v>
      </c>
      <c r="M1912" s="55" t="s">
        <v>150</v>
      </c>
      <c r="N1912" s="55" t="s">
        <v>150</v>
      </c>
      <c r="O1912" s="55" t="s">
        <v>203</v>
      </c>
      <c r="P1912" s="55" t="s">
        <v>563</v>
      </c>
      <c r="Q1912" s="55" t="s">
        <v>350</v>
      </c>
      <c r="R1912" s="85">
        <v>3</v>
      </c>
      <c r="S1912" s="55">
        <v>0</v>
      </c>
      <c r="T1912" s="74" t="s">
        <v>2906</v>
      </c>
      <c r="U1912" s="74" t="s">
        <v>351</v>
      </c>
      <c r="V1912" s="74">
        <v>44349</v>
      </c>
      <c r="W1912" s="74">
        <v>44509</v>
      </c>
      <c r="X1912" s="55">
        <v>10187287</v>
      </c>
      <c r="Y1912" s="55" t="s">
        <v>130</v>
      </c>
      <c r="AB1912" s="74" t="s">
        <v>130</v>
      </c>
      <c r="AC1912" s="55" t="s">
        <v>130</v>
      </c>
      <c r="AL1912" s="74"/>
      <c r="AM1912" s="74"/>
    </row>
    <row r="1913" spans="1:50" ht="13" x14ac:dyDescent="0.15">
      <c r="A1913" s="55" t="str">
        <f>HYPERLINK("http://reports.ofsted.gov.uk/inspection-reports/find-inspection-report/provider/CARE/SC024573","Ofsted Social Care Provider Webpage")</f>
        <v>Ofsted Social Care Provider Webpage</v>
      </c>
      <c r="B1913" s="55" t="s">
        <v>2907</v>
      </c>
      <c r="C1913" s="55">
        <v>137459</v>
      </c>
      <c r="D1913" s="55" t="s">
        <v>413</v>
      </c>
      <c r="E1913" s="74">
        <v>37305</v>
      </c>
      <c r="F1913" s="55" t="s">
        <v>344</v>
      </c>
      <c r="G1913" s="55" t="s">
        <v>2908</v>
      </c>
      <c r="H1913" s="55" t="s">
        <v>2908</v>
      </c>
      <c r="I1913" s="55" t="s">
        <v>2909</v>
      </c>
      <c r="J1913" s="55" t="s">
        <v>2910</v>
      </c>
      <c r="K1913" s="55" t="s">
        <v>266</v>
      </c>
      <c r="L1913" s="55" t="s">
        <v>2911</v>
      </c>
      <c r="M1913" s="55" t="s">
        <v>138</v>
      </c>
      <c r="N1913" s="55" t="s">
        <v>138</v>
      </c>
      <c r="O1913" s="55" t="s">
        <v>266</v>
      </c>
      <c r="P1913" s="55" t="s">
        <v>2912</v>
      </c>
      <c r="Q1913" s="55" t="s">
        <v>420</v>
      </c>
      <c r="R1913" s="85">
        <v>16</v>
      </c>
      <c r="S1913" s="55">
        <v>0</v>
      </c>
      <c r="T1913" s="74" t="s">
        <v>2908</v>
      </c>
      <c r="U1913" s="74" t="s">
        <v>351</v>
      </c>
      <c r="V1913" s="74">
        <v>44502</v>
      </c>
      <c r="W1913" s="74">
        <v>44525</v>
      </c>
      <c r="X1913" s="55">
        <v>10183505</v>
      </c>
      <c r="Y1913" s="55" t="s">
        <v>140</v>
      </c>
      <c r="AB1913" s="74" t="s">
        <v>140</v>
      </c>
      <c r="AC1913" s="55" t="s">
        <v>140</v>
      </c>
      <c r="AL1913" s="74"/>
      <c r="AM1913" s="74"/>
      <c r="AW1913" s="74"/>
      <c r="AX1913" s="74"/>
    </row>
    <row r="1914" spans="1:50" ht="13" x14ac:dyDescent="0.15">
      <c r="A1914" s="55" t="str">
        <f>HYPERLINK("http://reports.ofsted.gov.uk/inspection-reports/find-inspection-report/provider/CARE/SC024575","Ofsted Social Care Provider Webpage")</f>
        <v>Ofsted Social Care Provider Webpage</v>
      </c>
      <c r="B1914" s="55" t="s">
        <v>2913</v>
      </c>
      <c r="C1914" s="55">
        <v>124879</v>
      </c>
      <c r="D1914" s="55" t="s">
        <v>413</v>
      </c>
      <c r="E1914" s="74">
        <v>37305</v>
      </c>
      <c r="F1914" s="55" t="s">
        <v>344</v>
      </c>
      <c r="G1914" s="55" t="s">
        <v>2914</v>
      </c>
      <c r="H1914" s="55" t="s">
        <v>2914</v>
      </c>
      <c r="I1914" s="55" t="s">
        <v>2915</v>
      </c>
      <c r="J1914" s="55" t="s">
        <v>2916</v>
      </c>
      <c r="K1914" s="55" t="s">
        <v>266</v>
      </c>
      <c r="L1914" s="55" t="s">
        <v>2917</v>
      </c>
      <c r="M1914" s="55" t="s">
        <v>138</v>
      </c>
      <c r="N1914" s="55" t="s">
        <v>138</v>
      </c>
      <c r="O1914" s="55" t="s">
        <v>266</v>
      </c>
      <c r="P1914" s="55" t="s">
        <v>1522</v>
      </c>
      <c r="Q1914" s="55" t="s">
        <v>350</v>
      </c>
      <c r="R1914" s="85">
        <v>16</v>
      </c>
      <c r="S1914" s="55">
        <v>0</v>
      </c>
      <c r="U1914" s="74" t="s">
        <v>351</v>
      </c>
      <c r="V1914" s="74">
        <v>44614</v>
      </c>
      <c r="W1914" s="74">
        <v>44655</v>
      </c>
      <c r="X1914" s="55">
        <v>10183489</v>
      </c>
      <c r="Y1914" s="55" t="s">
        <v>132</v>
      </c>
      <c r="AB1914" s="74" t="s">
        <v>132</v>
      </c>
      <c r="AC1914" s="55" t="s">
        <v>132</v>
      </c>
      <c r="AL1914" s="74"/>
      <c r="AM1914" s="74"/>
      <c r="AW1914" s="74"/>
      <c r="AX1914" s="74"/>
    </row>
    <row r="1915" spans="1:50" ht="13" x14ac:dyDescent="0.15">
      <c r="A1915" s="55" t="str">
        <f>HYPERLINK("http://reports.ofsted.gov.uk/inspection-reports/find-inspection-report/provider/CARE/SC024588","Ofsted Social Care Provider Webpage")</f>
        <v>Ofsted Social Care Provider Webpage</v>
      </c>
      <c r="B1915" s="55" t="s">
        <v>2923</v>
      </c>
      <c r="C1915" s="55">
        <v>124890</v>
      </c>
      <c r="D1915" s="55" t="s">
        <v>413</v>
      </c>
      <c r="E1915" s="74">
        <v>37305</v>
      </c>
      <c r="F1915" s="55" t="s">
        <v>344</v>
      </c>
      <c r="G1915" s="55" t="s">
        <v>2924</v>
      </c>
      <c r="H1915" s="55" t="s">
        <v>2925</v>
      </c>
      <c r="I1915" s="55" t="s">
        <v>2926</v>
      </c>
      <c r="J1915" s="55" t="s">
        <v>2927</v>
      </c>
      <c r="L1915" s="55" t="s">
        <v>2928</v>
      </c>
      <c r="M1915" s="55" t="s">
        <v>138</v>
      </c>
      <c r="N1915" s="55" t="s">
        <v>138</v>
      </c>
      <c r="O1915" s="55" t="s">
        <v>266</v>
      </c>
      <c r="P1915" s="55" t="s">
        <v>1622</v>
      </c>
      <c r="Q1915" s="55" t="s">
        <v>350</v>
      </c>
      <c r="R1915" s="85">
        <v>10</v>
      </c>
      <c r="S1915" s="55">
        <v>0</v>
      </c>
      <c r="T1915" s="74" t="s">
        <v>2929</v>
      </c>
      <c r="U1915" s="74" t="s">
        <v>351</v>
      </c>
      <c r="V1915" s="74">
        <v>44453</v>
      </c>
      <c r="W1915" s="74">
        <v>44502</v>
      </c>
      <c r="X1915" s="55">
        <v>10183490</v>
      </c>
      <c r="Y1915" s="55" t="s">
        <v>130</v>
      </c>
      <c r="AB1915" s="74" t="s">
        <v>130</v>
      </c>
      <c r="AC1915" s="55" t="s">
        <v>130</v>
      </c>
      <c r="AL1915" s="74"/>
      <c r="AM1915" s="74"/>
      <c r="AW1915" s="74"/>
      <c r="AX1915" s="74"/>
    </row>
    <row r="1916" spans="1:50" ht="13" x14ac:dyDescent="0.15">
      <c r="A1916" s="55" t="str">
        <f>HYPERLINK("http://reports.ofsted.gov.uk/inspection-reports/find-inspection-report/provider/CARE/SC024610","Ofsted Social Care Provider Webpage")</f>
        <v>Ofsted Social Care Provider Webpage</v>
      </c>
      <c r="B1916" s="55" t="s">
        <v>2930</v>
      </c>
      <c r="C1916" s="55">
        <v>137433</v>
      </c>
      <c r="D1916" s="55" t="s">
        <v>413</v>
      </c>
      <c r="E1916" s="74">
        <v>37305</v>
      </c>
      <c r="F1916" s="55" t="s">
        <v>344</v>
      </c>
      <c r="G1916" s="55" t="s">
        <v>2931</v>
      </c>
      <c r="H1916" s="55" t="s">
        <v>2931</v>
      </c>
      <c r="I1916" s="55" t="s">
        <v>2932</v>
      </c>
      <c r="J1916" s="55" t="s">
        <v>2933</v>
      </c>
      <c r="K1916" s="55" t="s">
        <v>266</v>
      </c>
      <c r="L1916" s="55" t="s">
        <v>2934</v>
      </c>
      <c r="M1916" s="55" t="s">
        <v>138</v>
      </c>
      <c r="N1916" s="55" t="s">
        <v>138</v>
      </c>
      <c r="O1916" s="55" t="s">
        <v>266</v>
      </c>
      <c r="P1916" s="55" t="s">
        <v>934</v>
      </c>
      <c r="Q1916" s="55" t="s">
        <v>420</v>
      </c>
      <c r="R1916" s="85">
        <v>23</v>
      </c>
      <c r="S1916" s="55">
        <v>0</v>
      </c>
      <c r="T1916" s="74" t="s">
        <v>2187</v>
      </c>
      <c r="U1916" s="74" t="s">
        <v>351</v>
      </c>
      <c r="V1916" s="74">
        <v>44321</v>
      </c>
      <c r="W1916" s="74">
        <v>44351</v>
      </c>
      <c r="X1916" s="55">
        <v>10183501</v>
      </c>
      <c r="Y1916" s="55" t="s">
        <v>140</v>
      </c>
      <c r="AB1916" s="74" t="s">
        <v>140</v>
      </c>
      <c r="AC1916" s="55" t="s">
        <v>140</v>
      </c>
      <c r="AL1916" s="74"/>
      <c r="AM1916" s="74"/>
      <c r="AW1916" s="74"/>
      <c r="AX1916" s="74"/>
    </row>
    <row r="1917" spans="1:50" ht="13" x14ac:dyDescent="0.15">
      <c r="A1917" s="55" t="str">
        <f>HYPERLINK("http://reports.ofsted.gov.uk/inspection-reports/find-inspection-report/provider/CARE/SC024808","Ofsted Social Care Provider Webpage")</f>
        <v>Ofsted Social Care Provider Webpage</v>
      </c>
      <c r="B1917" s="55" t="s">
        <v>2935</v>
      </c>
      <c r="D1917" s="55" t="s">
        <v>373</v>
      </c>
      <c r="E1917" s="74">
        <v>34430</v>
      </c>
      <c r="F1917" s="55" t="s">
        <v>344</v>
      </c>
      <c r="G1917" s="55" t="s">
        <v>360</v>
      </c>
      <c r="H1917" s="55" t="s">
        <v>360</v>
      </c>
      <c r="I1917" s="55" t="s">
        <v>360</v>
      </c>
      <c r="J1917" s="55" t="s">
        <v>360</v>
      </c>
      <c r="K1917" s="55" t="s">
        <v>360</v>
      </c>
      <c r="L1917" s="55" t="s">
        <v>360</v>
      </c>
      <c r="M1917" s="55" t="s">
        <v>142</v>
      </c>
      <c r="N1917" s="55" t="s">
        <v>142</v>
      </c>
      <c r="O1917" s="55" t="s">
        <v>195</v>
      </c>
      <c r="P1917" s="55" t="s">
        <v>747</v>
      </c>
      <c r="Q1917" s="55" t="s">
        <v>350</v>
      </c>
      <c r="R1917" s="85">
        <v>4</v>
      </c>
      <c r="S1917" s="55">
        <v>0</v>
      </c>
      <c r="T1917" s="74" t="s">
        <v>1365</v>
      </c>
      <c r="U1917" s="74" t="s">
        <v>351</v>
      </c>
      <c r="V1917" s="74">
        <v>44454</v>
      </c>
      <c r="W1917" s="74">
        <v>44484</v>
      </c>
      <c r="X1917" s="55">
        <v>10186435</v>
      </c>
      <c r="Y1917" s="55" t="s">
        <v>132</v>
      </c>
      <c r="AB1917" s="74" t="s">
        <v>132</v>
      </c>
      <c r="AC1917" s="55" t="s">
        <v>132</v>
      </c>
      <c r="AL1917" s="74"/>
      <c r="AM1917" s="74"/>
      <c r="AW1917" s="74"/>
      <c r="AX1917" s="74"/>
    </row>
    <row r="1918" spans="1:50" ht="13" x14ac:dyDescent="0.15">
      <c r="A1918" s="55" t="str">
        <f>HYPERLINK("http://reports.ofsted.gov.uk/inspection-reports/find-inspection-report/provider/CARE/SC025395","Ofsted Social Care Provider Webpage")</f>
        <v>Ofsted Social Care Provider Webpage</v>
      </c>
      <c r="B1918" s="55" t="s">
        <v>2943</v>
      </c>
      <c r="D1918" s="55" t="s">
        <v>373</v>
      </c>
      <c r="E1918" s="74">
        <v>37306</v>
      </c>
      <c r="F1918" s="55" t="s">
        <v>344</v>
      </c>
      <c r="G1918" s="55" t="s">
        <v>360</v>
      </c>
      <c r="H1918" s="55" t="s">
        <v>360</v>
      </c>
      <c r="I1918" s="55" t="s">
        <v>360</v>
      </c>
      <c r="J1918" s="55" t="s">
        <v>360</v>
      </c>
      <c r="K1918" s="55" t="s">
        <v>360</v>
      </c>
      <c r="L1918" s="55" t="s">
        <v>360</v>
      </c>
      <c r="M1918" s="55" t="s">
        <v>144</v>
      </c>
      <c r="N1918" s="55" t="s">
        <v>144</v>
      </c>
      <c r="O1918" s="55" t="s">
        <v>250</v>
      </c>
      <c r="P1918" s="55" t="s">
        <v>1372</v>
      </c>
      <c r="Q1918" s="55" t="s">
        <v>362</v>
      </c>
      <c r="R1918" s="85">
        <v>19</v>
      </c>
      <c r="S1918" s="55">
        <v>0</v>
      </c>
      <c r="T1918" s="74" t="s">
        <v>2360</v>
      </c>
      <c r="U1918" s="74" t="s">
        <v>351</v>
      </c>
      <c r="V1918" s="74">
        <v>44475</v>
      </c>
      <c r="W1918" s="74">
        <v>44512</v>
      </c>
      <c r="X1918" s="55">
        <v>10185503</v>
      </c>
      <c r="Y1918" s="55" t="s">
        <v>146</v>
      </c>
      <c r="AB1918" s="74" t="s">
        <v>146</v>
      </c>
      <c r="AC1918" s="55" t="s">
        <v>146</v>
      </c>
      <c r="AL1918" s="74"/>
      <c r="AM1918" s="74"/>
    </row>
    <row r="1919" spans="1:50" ht="13" x14ac:dyDescent="0.15">
      <c r="A1919" s="55" t="str">
        <f>HYPERLINK("http://reports.ofsted.gov.uk/inspection-reports/find-inspection-report/provider/CARE/SC025395","Ofsted Social Care Provider Webpage")</f>
        <v>Ofsted Social Care Provider Webpage</v>
      </c>
      <c r="B1919" s="55" t="s">
        <v>2943</v>
      </c>
      <c r="D1919" s="55" t="s">
        <v>373</v>
      </c>
      <c r="E1919" s="74">
        <v>37306</v>
      </c>
      <c r="F1919" s="55" t="s">
        <v>344</v>
      </c>
      <c r="G1919" s="55" t="s">
        <v>360</v>
      </c>
      <c r="H1919" s="55" t="s">
        <v>360</v>
      </c>
      <c r="I1919" s="55" t="s">
        <v>360</v>
      </c>
      <c r="J1919" s="55" t="s">
        <v>360</v>
      </c>
      <c r="K1919" s="55" t="s">
        <v>360</v>
      </c>
      <c r="L1919" s="55" t="s">
        <v>360</v>
      </c>
      <c r="M1919" s="55" t="s">
        <v>144</v>
      </c>
      <c r="N1919" s="55" t="s">
        <v>144</v>
      </c>
      <c r="O1919" s="55" t="s">
        <v>250</v>
      </c>
      <c r="P1919" s="55" t="s">
        <v>1372</v>
      </c>
      <c r="Q1919" s="55" t="s">
        <v>362</v>
      </c>
      <c r="R1919" s="85">
        <v>19</v>
      </c>
      <c r="S1919" s="55">
        <v>0</v>
      </c>
      <c r="T1919" s="74" t="s">
        <v>2360</v>
      </c>
      <c r="U1919" s="74" t="s">
        <v>2053</v>
      </c>
      <c r="V1919" s="74">
        <v>44635</v>
      </c>
      <c r="W1919" s="74">
        <v>44679</v>
      </c>
      <c r="X1919" s="55">
        <v>10220850</v>
      </c>
      <c r="AL1919" s="74"/>
      <c r="AM1919" s="74"/>
      <c r="AW1919" s="74"/>
      <c r="AX1919" s="74"/>
    </row>
    <row r="1920" spans="1:50" ht="13" x14ac:dyDescent="0.15">
      <c r="A1920" s="55" t="str">
        <f>HYPERLINK("http://reports.ofsted.gov.uk/inspection-reports/find-inspection-report/provider/CARE/SC025395","Ofsted Social Care Provider Webpage")</f>
        <v>Ofsted Social Care Provider Webpage</v>
      </c>
      <c r="B1920" s="55" t="s">
        <v>2943</v>
      </c>
      <c r="D1920" s="55" t="s">
        <v>373</v>
      </c>
      <c r="E1920" s="74">
        <v>37306</v>
      </c>
      <c r="F1920" s="55" t="s">
        <v>344</v>
      </c>
      <c r="G1920" s="55" t="s">
        <v>360</v>
      </c>
      <c r="H1920" s="55" t="s">
        <v>360</v>
      </c>
      <c r="I1920" s="55" t="s">
        <v>360</v>
      </c>
      <c r="J1920" s="55" t="s">
        <v>360</v>
      </c>
      <c r="K1920" s="55" t="s">
        <v>360</v>
      </c>
      <c r="L1920" s="55" t="s">
        <v>360</v>
      </c>
      <c r="M1920" s="55" t="s">
        <v>144</v>
      </c>
      <c r="N1920" s="55" t="s">
        <v>144</v>
      </c>
      <c r="O1920" s="55" t="s">
        <v>250</v>
      </c>
      <c r="P1920" s="55" t="s">
        <v>1372</v>
      </c>
      <c r="Q1920" s="55" t="s">
        <v>362</v>
      </c>
      <c r="R1920" s="85">
        <v>19</v>
      </c>
      <c r="S1920" s="55">
        <v>0</v>
      </c>
      <c r="T1920" s="74" t="s">
        <v>2360</v>
      </c>
      <c r="U1920" s="74" t="s">
        <v>2053</v>
      </c>
      <c r="V1920" s="74">
        <v>44559</v>
      </c>
      <c r="W1920" s="74">
        <v>44595</v>
      </c>
      <c r="X1920" s="55">
        <v>10216303</v>
      </c>
      <c r="AL1920" s="74"/>
      <c r="AM1920" s="74"/>
    </row>
    <row r="1921" spans="1:50" ht="13" x14ac:dyDescent="0.15">
      <c r="A1921" s="55" t="str">
        <f>HYPERLINK("http://reports.ofsted.gov.uk/inspection-reports/find-inspection-report/provider/CARE/SC025395","Ofsted Social Care Provider Webpage")</f>
        <v>Ofsted Social Care Provider Webpage</v>
      </c>
      <c r="B1921" s="55" t="s">
        <v>2943</v>
      </c>
      <c r="D1921" s="55" t="s">
        <v>373</v>
      </c>
      <c r="E1921" s="74">
        <v>37306</v>
      </c>
      <c r="F1921" s="55" t="s">
        <v>344</v>
      </c>
      <c r="G1921" s="55" t="s">
        <v>360</v>
      </c>
      <c r="H1921" s="55" t="s">
        <v>360</v>
      </c>
      <c r="I1921" s="55" t="s">
        <v>360</v>
      </c>
      <c r="J1921" s="55" t="s">
        <v>360</v>
      </c>
      <c r="K1921" s="55" t="s">
        <v>360</v>
      </c>
      <c r="L1921" s="55" t="s">
        <v>360</v>
      </c>
      <c r="M1921" s="55" t="s">
        <v>144</v>
      </c>
      <c r="N1921" s="55" t="s">
        <v>144</v>
      </c>
      <c r="O1921" s="55" t="s">
        <v>250</v>
      </c>
      <c r="P1921" s="55" t="s">
        <v>1372</v>
      </c>
      <c r="Q1921" s="55" t="s">
        <v>362</v>
      </c>
      <c r="R1921" s="85">
        <v>19</v>
      </c>
      <c r="S1921" s="55">
        <v>0</v>
      </c>
      <c r="T1921" s="74" t="s">
        <v>2360</v>
      </c>
      <c r="U1921" s="74" t="s">
        <v>2053</v>
      </c>
      <c r="V1921" s="74">
        <v>44524</v>
      </c>
      <c r="W1921" s="74">
        <v>44565</v>
      </c>
      <c r="X1921" s="55">
        <v>10209966</v>
      </c>
      <c r="AL1921" s="74"/>
      <c r="AM1921" s="74"/>
      <c r="AW1921" s="74"/>
      <c r="AX1921" s="74"/>
    </row>
    <row r="1922" spans="1:50" ht="13" x14ac:dyDescent="0.15">
      <c r="A1922" s="55" t="str">
        <f>HYPERLINK("http://reports.ofsted.gov.uk/inspection-reports/find-inspection-report/provider/CARE/SC025395","Ofsted Social Care Provider Webpage")</f>
        <v>Ofsted Social Care Provider Webpage</v>
      </c>
      <c r="B1922" s="55" t="s">
        <v>2943</v>
      </c>
      <c r="D1922" s="55" t="s">
        <v>373</v>
      </c>
      <c r="E1922" s="74">
        <v>37306</v>
      </c>
      <c r="F1922" s="55" t="s">
        <v>344</v>
      </c>
      <c r="G1922" s="55" t="s">
        <v>360</v>
      </c>
      <c r="H1922" s="55" t="s">
        <v>360</v>
      </c>
      <c r="I1922" s="55" t="s">
        <v>360</v>
      </c>
      <c r="J1922" s="55" t="s">
        <v>360</v>
      </c>
      <c r="K1922" s="55" t="s">
        <v>360</v>
      </c>
      <c r="L1922" s="55" t="s">
        <v>360</v>
      </c>
      <c r="M1922" s="55" t="s">
        <v>144</v>
      </c>
      <c r="N1922" s="55" t="s">
        <v>144</v>
      </c>
      <c r="O1922" s="55" t="s">
        <v>250</v>
      </c>
      <c r="P1922" s="55" t="s">
        <v>1372</v>
      </c>
      <c r="Q1922" s="55" t="s">
        <v>362</v>
      </c>
      <c r="R1922" s="85">
        <v>19</v>
      </c>
      <c r="S1922" s="55">
        <v>0</v>
      </c>
      <c r="T1922" s="74" t="s">
        <v>2360</v>
      </c>
      <c r="U1922" s="74" t="s">
        <v>351</v>
      </c>
      <c r="V1922" s="74">
        <v>44579</v>
      </c>
      <c r="W1922" s="74">
        <v>44610</v>
      </c>
      <c r="X1922" s="55">
        <v>10209967</v>
      </c>
      <c r="Y1922" s="55" t="s">
        <v>146</v>
      </c>
      <c r="AB1922" s="74" t="s">
        <v>146</v>
      </c>
      <c r="AC1922" s="55" t="s">
        <v>146</v>
      </c>
      <c r="AL1922" s="74"/>
      <c r="AM1922" s="74"/>
      <c r="AW1922" s="74"/>
      <c r="AX1922" s="74"/>
    </row>
    <row r="1923" spans="1:50" ht="13" x14ac:dyDescent="0.15">
      <c r="A1923" s="55" t="str">
        <f>HYPERLINK("http://reports.ofsted.gov.uk/inspection-reports/find-inspection-report/provider/CARE/SC025409","Ofsted Social Care Provider Webpage")</f>
        <v>Ofsted Social Care Provider Webpage</v>
      </c>
      <c r="B1923" s="55" t="s">
        <v>2944</v>
      </c>
      <c r="D1923" s="55" t="s">
        <v>373</v>
      </c>
      <c r="E1923" s="74">
        <v>37175</v>
      </c>
      <c r="F1923" s="55" t="s">
        <v>344</v>
      </c>
      <c r="G1923" s="55" t="s">
        <v>360</v>
      </c>
      <c r="H1923" s="55" t="s">
        <v>360</v>
      </c>
      <c r="I1923" s="55" t="s">
        <v>360</v>
      </c>
      <c r="J1923" s="55" t="s">
        <v>360</v>
      </c>
      <c r="K1923" s="55" t="s">
        <v>360</v>
      </c>
      <c r="L1923" s="55" t="s">
        <v>360</v>
      </c>
      <c r="M1923" s="55" t="s">
        <v>144</v>
      </c>
      <c r="N1923" s="55" t="s">
        <v>144</v>
      </c>
      <c r="O1923" s="55" t="s">
        <v>215</v>
      </c>
      <c r="P1923" s="55" t="s">
        <v>1440</v>
      </c>
      <c r="Q1923" s="55" t="s">
        <v>350</v>
      </c>
      <c r="R1923" s="85">
        <v>3</v>
      </c>
      <c r="S1923" s="55">
        <v>0</v>
      </c>
      <c r="T1923" s="74" t="s">
        <v>1505</v>
      </c>
      <c r="U1923" s="74" t="s">
        <v>351</v>
      </c>
      <c r="V1923" s="74">
        <v>44621</v>
      </c>
      <c r="W1923" s="74">
        <v>44662</v>
      </c>
      <c r="X1923" s="55">
        <v>10186918</v>
      </c>
      <c r="Y1923" s="55" t="s">
        <v>132</v>
      </c>
      <c r="AB1923" s="74" t="s">
        <v>132</v>
      </c>
      <c r="AC1923" s="55" t="s">
        <v>132</v>
      </c>
      <c r="AL1923" s="74"/>
      <c r="AM1923" s="74"/>
    </row>
    <row r="1924" spans="1:50" ht="13" x14ac:dyDescent="0.15">
      <c r="A1924" s="55" t="str">
        <f>HYPERLINK("http://reports.ofsted.gov.uk/inspection-reports/find-inspection-report/provider/CARE/SC025417","Ofsted Social Care Provider Webpage")</f>
        <v>Ofsted Social Care Provider Webpage</v>
      </c>
      <c r="B1924" s="55" t="s">
        <v>2945</v>
      </c>
      <c r="D1924" s="55" t="s">
        <v>373</v>
      </c>
      <c r="E1924" s="74">
        <v>37071</v>
      </c>
      <c r="F1924" s="55" t="s">
        <v>344</v>
      </c>
      <c r="G1924" s="55" t="s">
        <v>360</v>
      </c>
      <c r="H1924" s="55" t="s">
        <v>360</v>
      </c>
      <c r="I1924" s="55" t="s">
        <v>360</v>
      </c>
      <c r="J1924" s="55" t="s">
        <v>360</v>
      </c>
      <c r="K1924" s="55" t="s">
        <v>360</v>
      </c>
      <c r="L1924" s="55" t="s">
        <v>360</v>
      </c>
      <c r="M1924" s="55" t="s">
        <v>144</v>
      </c>
      <c r="N1924" s="55" t="s">
        <v>144</v>
      </c>
      <c r="O1924" s="55" t="s">
        <v>215</v>
      </c>
      <c r="P1924" s="55" t="s">
        <v>1440</v>
      </c>
      <c r="Q1924" s="55" t="s">
        <v>350</v>
      </c>
      <c r="R1924" s="85">
        <v>4</v>
      </c>
      <c r="S1924" s="55">
        <v>0</v>
      </c>
      <c r="T1924" s="74" t="s">
        <v>1505</v>
      </c>
      <c r="U1924" s="74" t="s">
        <v>351</v>
      </c>
      <c r="V1924" s="74">
        <v>44390</v>
      </c>
      <c r="W1924" s="74">
        <v>44425</v>
      </c>
      <c r="X1924" s="55">
        <v>10185196</v>
      </c>
      <c r="Y1924" s="55" t="s">
        <v>130</v>
      </c>
      <c r="AB1924" s="74" t="s">
        <v>130</v>
      </c>
      <c r="AC1924" s="55" t="s">
        <v>130</v>
      </c>
      <c r="AL1924" s="74"/>
      <c r="AM1924" s="74"/>
      <c r="AW1924" s="74"/>
      <c r="AX1924" s="74"/>
    </row>
    <row r="1925" spans="1:50" ht="13" x14ac:dyDescent="0.15">
      <c r="A1925" s="55" t="str">
        <f>HYPERLINK("http://reports.ofsted.gov.uk/inspection-reports/find-inspection-report/provider/CARE/SC025420","Ofsted Social Care Provider Webpage")</f>
        <v>Ofsted Social Care Provider Webpage</v>
      </c>
      <c r="B1925" s="55" t="s">
        <v>2946</v>
      </c>
      <c r="D1925" s="55" t="s">
        <v>373</v>
      </c>
      <c r="E1925" s="74">
        <v>36844</v>
      </c>
      <c r="F1925" s="55" t="s">
        <v>344</v>
      </c>
      <c r="G1925" s="55" t="s">
        <v>360</v>
      </c>
      <c r="H1925" s="55" t="s">
        <v>360</v>
      </c>
      <c r="I1925" s="55" t="s">
        <v>360</v>
      </c>
      <c r="J1925" s="55" t="s">
        <v>360</v>
      </c>
      <c r="K1925" s="55" t="s">
        <v>360</v>
      </c>
      <c r="L1925" s="55" t="s">
        <v>360</v>
      </c>
      <c r="M1925" s="55" t="s">
        <v>144</v>
      </c>
      <c r="N1925" s="55" t="s">
        <v>144</v>
      </c>
      <c r="O1925" s="55" t="s">
        <v>215</v>
      </c>
      <c r="P1925" s="55" t="s">
        <v>1207</v>
      </c>
      <c r="Q1925" s="55" t="s">
        <v>350</v>
      </c>
      <c r="R1925" s="85">
        <v>6</v>
      </c>
      <c r="S1925" s="55">
        <v>0</v>
      </c>
      <c r="T1925" s="74" t="s">
        <v>2947</v>
      </c>
      <c r="U1925" s="74" t="s">
        <v>351</v>
      </c>
      <c r="V1925" s="74">
        <v>44383</v>
      </c>
      <c r="W1925" s="74">
        <v>44420</v>
      </c>
      <c r="X1925" s="55">
        <v>10186544</v>
      </c>
      <c r="Y1925" s="55" t="s">
        <v>130</v>
      </c>
      <c r="AB1925" s="74" t="s">
        <v>130</v>
      </c>
      <c r="AC1925" s="55" t="s">
        <v>130</v>
      </c>
      <c r="AL1925" s="74"/>
      <c r="AM1925" s="74"/>
      <c r="AW1925" s="74"/>
      <c r="AX1925" s="74"/>
    </row>
    <row r="1926" spans="1:50" ht="13" x14ac:dyDescent="0.15">
      <c r="A1926" s="55" t="str">
        <f>HYPERLINK("http://reports.ofsted.gov.uk/inspection-reports/find-inspection-report/provider/CARE/SC025420","Ofsted Social Care Provider Webpage")</f>
        <v>Ofsted Social Care Provider Webpage</v>
      </c>
      <c r="B1926" s="55" t="s">
        <v>2946</v>
      </c>
      <c r="D1926" s="55" t="s">
        <v>373</v>
      </c>
      <c r="E1926" s="74">
        <v>36844</v>
      </c>
      <c r="F1926" s="55" t="s">
        <v>344</v>
      </c>
      <c r="G1926" s="55" t="s">
        <v>360</v>
      </c>
      <c r="H1926" s="55" t="s">
        <v>360</v>
      </c>
      <c r="I1926" s="55" t="s">
        <v>360</v>
      </c>
      <c r="J1926" s="55" t="s">
        <v>360</v>
      </c>
      <c r="K1926" s="55" t="s">
        <v>360</v>
      </c>
      <c r="L1926" s="55" t="s">
        <v>360</v>
      </c>
      <c r="M1926" s="55" t="s">
        <v>144</v>
      </c>
      <c r="N1926" s="55" t="s">
        <v>144</v>
      </c>
      <c r="O1926" s="55" t="s">
        <v>215</v>
      </c>
      <c r="P1926" s="55" t="s">
        <v>1207</v>
      </c>
      <c r="Q1926" s="55" t="s">
        <v>350</v>
      </c>
      <c r="R1926" s="85">
        <v>6</v>
      </c>
      <c r="S1926" s="55">
        <v>0</v>
      </c>
      <c r="T1926" s="74" t="s">
        <v>2947</v>
      </c>
      <c r="U1926" s="74" t="s">
        <v>6703</v>
      </c>
      <c r="V1926" s="74">
        <v>44546</v>
      </c>
      <c r="W1926" s="74">
        <v>44592</v>
      </c>
      <c r="X1926" s="55">
        <v>10209611</v>
      </c>
      <c r="Y1926" s="55" t="s">
        <v>6706</v>
      </c>
      <c r="AL1926" s="74"/>
      <c r="AM1926" s="74"/>
    </row>
    <row r="1927" spans="1:50" ht="13" x14ac:dyDescent="0.15">
      <c r="A1927" s="55" t="str">
        <f>HYPERLINK("http://reports.ofsted.gov.uk/inspection-reports/find-inspection-report/provider/CARE/SC025657","Ofsted Social Care Provider Webpage")</f>
        <v>Ofsted Social Care Provider Webpage</v>
      </c>
      <c r="B1927" s="55" t="s">
        <v>2948</v>
      </c>
      <c r="D1927" s="55" t="s">
        <v>373</v>
      </c>
      <c r="E1927" s="74">
        <v>37102</v>
      </c>
      <c r="F1927" s="55" t="s">
        <v>344</v>
      </c>
      <c r="G1927" s="55" t="s">
        <v>360</v>
      </c>
      <c r="H1927" s="55" t="s">
        <v>360</v>
      </c>
      <c r="I1927" s="55" t="s">
        <v>360</v>
      </c>
      <c r="J1927" s="55" t="s">
        <v>360</v>
      </c>
      <c r="K1927" s="55" t="s">
        <v>360</v>
      </c>
      <c r="L1927" s="55" t="s">
        <v>360</v>
      </c>
      <c r="M1927" s="55" t="s">
        <v>129</v>
      </c>
      <c r="N1927" s="55" t="s">
        <v>129</v>
      </c>
      <c r="O1927" s="55" t="s">
        <v>213</v>
      </c>
      <c r="P1927" s="55" t="s">
        <v>1020</v>
      </c>
      <c r="Q1927" s="55" t="s">
        <v>350</v>
      </c>
      <c r="R1927" s="85">
        <v>11</v>
      </c>
      <c r="S1927" s="55">
        <v>0</v>
      </c>
      <c r="T1927" s="74" t="s">
        <v>2196</v>
      </c>
      <c r="U1927" s="74" t="s">
        <v>351</v>
      </c>
      <c r="V1927" s="74">
        <v>44601</v>
      </c>
      <c r="W1927" s="74">
        <v>44648</v>
      </c>
      <c r="X1927" s="55">
        <v>10185094</v>
      </c>
      <c r="Y1927" s="55" t="s">
        <v>130</v>
      </c>
      <c r="AB1927" s="74" t="s">
        <v>130</v>
      </c>
      <c r="AC1927" s="55" t="s">
        <v>130</v>
      </c>
      <c r="AL1927" s="74"/>
      <c r="AM1927" s="74"/>
    </row>
    <row r="1928" spans="1:50" ht="13" x14ac:dyDescent="0.15">
      <c r="A1928" s="55" t="str">
        <f>HYPERLINK("http://reports.ofsted.gov.uk/inspection-reports/find-inspection-report/provider/CARE/SC025664","Ofsted Social Care Provider Webpage")</f>
        <v>Ofsted Social Care Provider Webpage</v>
      </c>
      <c r="B1928" s="55" t="s">
        <v>2949</v>
      </c>
      <c r="D1928" s="55" t="s">
        <v>373</v>
      </c>
      <c r="E1928" s="74">
        <v>37068</v>
      </c>
      <c r="F1928" s="55" t="s">
        <v>344</v>
      </c>
      <c r="G1928" s="55" t="s">
        <v>360</v>
      </c>
      <c r="H1928" s="55" t="s">
        <v>360</v>
      </c>
      <c r="I1928" s="55" t="s">
        <v>360</v>
      </c>
      <c r="J1928" s="55" t="s">
        <v>360</v>
      </c>
      <c r="K1928" s="55" t="s">
        <v>360</v>
      </c>
      <c r="L1928" s="55" t="s">
        <v>360</v>
      </c>
      <c r="M1928" s="55" t="s">
        <v>129</v>
      </c>
      <c r="N1928" s="55" t="s">
        <v>129</v>
      </c>
      <c r="O1928" s="55" t="s">
        <v>213</v>
      </c>
      <c r="P1928" s="55" t="s">
        <v>1160</v>
      </c>
      <c r="Q1928" s="55" t="s">
        <v>350</v>
      </c>
      <c r="R1928" s="85">
        <v>3</v>
      </c>
      <c r="S1928" s="55">
        <v>0</v>
      </c>
      <c r="T1928" s="74" t="s">
        <v>1597</v>
      </c>
      <c r="U1928" s="74" t="s">
        <v>351</v>
      </c>
      <c r="V1928" s="74">
        <v>44482</v>
      </c>
      <c r="W1928" s="74">
        <v>44518</v>
      </c>
      <c r="X1928" s="55">
        <v>10185051</v>
      </c>
      <c r="Y1928" s="55" t="s">
        <v>132</v>
      </c>
      <c r="AB1928" s="74" t="s">
        <v>132</v>
      </c>
      <c r="AC1928" s="55" t="s">
        <v>132</v>
      </c>
      <c r="AL1928" s="74"/>
      <c r="AM1928" s="74"/>
    </row>
    <row r="1929" spans="1:50" ht="13" x14ac:dyDescent="0.15">
      <c r="A1929" s="55" t="str">
        <f>HYPERLINK("http://reports.ofsted.gov.uk/inspection-reports/find-inspection-report/provider/CARE/SC025695","Ofsted Social Care Provider Webpage")</f>
        <v>Ofsted Social Care Provider Webpage</v>
      </c>
      <c r="B1929" s="55" t="s">
        <v>2950</v>
      </c>
      <c r="D1929" s="55" t="s">
        <v>373</v>
      </c>
      <c r="E1929" s="74">
        <v>37228</v>
      </c>
      <c r="F1929" s="55" t="s">
        <v>344</v>
      </c>
      <c r="G1929" s="55" t="s">
        <v>360</v>
      </c>
      <c r="H1929" s="55" t="s">
        <v>360</v>
      </c>
      <c r="I1929" s="55" t="s">
        <v>360</v>
      </c>
      <c r="J1929" s="55" t="s">
        <v>360</v>
      </c>
      <c r="K1929" s="55" t="s">
        <v>360</v>
      </c>
      <c r="L1929" s="55" t="s">
        <v>360</v>
      </c>
      <c r="M1929" s="55" t="s">
        <v>129</v>
      </c>
      <c r="N1929" s="55" t="s">
        <v>129</v>
      </c>
      <c r="O1929" s="55" t="s">
        <v>160</v>
      </c>
      <c r="P1929" s="55" t="s">
        <v>2951</v>
      </c>
      <c r="Q1929" s="55" t="s">
        <v>362</v>
      </c>
      <c r="R1929" s="85">
        <v>8</v>
      </c>
      <c r="S1929" s="55">
        <v>0</v>
      </c>
      <c r="T1929" s="74" t="s">
        <v>432</v>
      </c>
      <c r="U1929" s="74" t="s">
        <v>351</v>
      </c>
      <c r="V1929" s="74">
        <v>44593</v>
      </c>
      <c r="W1929" s="74">
        <v>44627</v>
      </c>
      <c r="X1929" s="55">
        <v>10186949</v>
      </c>
      <c r="Y1929" s="55" t="s">
        <v>132</v>
      </c>
      <c r="AB1929" s="74" t="s">
        <v>132</v>
      </c>
      <c r="AC1929" s="55" t="s">
        <v>132</v>
      </c>
      <c r="AL1929" s="74"/>
      <c r="AM1929" s="74"/>
    </row>
    <row r="1930" spans="1:50" ht="13" x14ac:dyDescent="0.15">
      <c r="A1930" s="55" t="str">
        <f>HYPERLINK("http://reports.ofsted.gov.uk/inspection-reports/find-inspection-report/provider/CARE/SC025700","Ofsted Social Care Provider Webpage")</f>
        <v>Ofsted Social Care Provider Webpage</v>
      </c>
      <c r="B1930" s="55" t="s">
        <v>2952</v>
      </c>
      <c r="D1930" s="55" t="s">
        <v>373</v>
      </c>
      <c r="E1930" s="74">
        <v>36364</v>
      </c>
      <c r="F1930" s="55" t="s">
        <v>344</v>
      </c>
      <c r="G1930" s="55" t="s">
        <v>360</v>
      </c>
      <c r="H1930" s="55" t="s">
        <v>360</v>
      </c>
      <c r="I1930" s="55" t="s">
        <v>360</v>
      </c>
      <c r="J1930" s="55" t="s">
        <v>360</v>
      </c>
      <c r="K1930" s="55" t="s">
        <v>360</v>
      </c>
      <c r="L1930" s="55" t="s">
        <v>360</v>
      </c>
      <c r="M1930" s="55" t="s">
        <v>138</v>
      </c>
      <c r="N1930" s="55" t="s">
        <v>138</v>
      </c>
      <c r="O1930" s="55" t="s">
        <v>224</v>
      </c>
      <c r="P1930" s="55" t="s">
        <v>1294</v>
      </c>
      <c r="Q1930" s="55" t="s">
        <v>362</v>
      </c>
      <c r="R1930" s="85">
        <v>11</v>
      </c>
      <c r="S1930" s="55">
        <v>0</v>
      </c>
      <c r="T1930" s="74" t="s">
        <v>1119</v>
      </c>
      <c r="U1930" s="74" t="s">
        <v>351</v>
      </c>
      <c r="V1930" s="74">
        <v>44516</v>
      </c>
      <c r="W1930" s="74">
        <v>44546</v>
      </c>
      <c r="X1930" s="55">
        <v>10185627</v>
      </c>
      <c r="Y1930" s="55" t="s">
        <v>140</v>
      </c>
      <c r="AB1930" s="74" t="s">
        <v>140</v>
      </c>
      <c r="AC1930" s="55" t="s">
        <v>140</v>
      </c>
      <c r="AL1930" s="74"/>
      <c r="AM1930" s="74"/>
    </row>
    <row r="1931" spans="1:50" ht="13" x14ac:dyDescent="0.15">
      <c r="A1931" s="55" t="str">
        <f>HYPERLINK("http://reports.ofsted.gov.uk/inspection-reports/find-inspection-report/provider/CARE/SC025712","Ofsted Social Care Provider Webpage")</f>
        <v>Ofsted Social Care Provider Webpage</v>
      </c>
      <c r="B1931" s="55" t="s">
        <v>2953</v>
      </c>
      <c r="D1931" s="55" t="s">
        <v>373</v>
      </c>
      <c r="E1931" s="74">
        <v>35765</v>
      </c>
      <c r="F1931" s="55" t="s">
        <v>344</v>
      </c>
      <c r="G1931" s="55" t="s">
        <v>360</v>
      </c>
      <c r="H1931" s="55" t="s">
        <v>360</v>
      </c>
      <c r="I1931" s="55" t="s">
        <v>360</v>
      </c>
      <c r="J1931" s="55" t="s">
        <v>360</v>
      </c>
      <c r="K1931" s="55" t="s">
        <v>360</v>
      </c>
      <c r="L1931" s="55" t="s">
        <v>360</v>
      </c>
      <c r="M1931" s="55" t="s">
        <v>144</v>
      </c>
      <c r="N1931" s="55" t="s">
        <v>144</v>
      </c>
      <c r="O1931" s="55" t="s">
        <v>263</v>
      </c>
      <c r="P1931" s="55" t="s">
        <v>1120</v>
      </c>
      <c r="Q1931" s="55" t="s">
        <v>362</v>
      </c>
      <c r="R1931" s="85">
        <v>2</v>
      </c>
      <c r="S1931" s="55">
        <v>0</v>
      </c>
      <c r="T1931" s="74" t="s">
        <v>2551</v>
      </c>
      <c r="U1931" s="74" t="s">
        <v>351</v>
      </c>
      <c r="V1931" s="74">
        <v>44383</v>
      </c>
      <c r="W1931" s="74">
        <v>44413</v>
      </c>
      <c r="X1931" s="55">
        <v>10186533</v>
      </c>
      <c r="Y1931" s="55" t="s">
        <v>132</v>
      </c>
      <c r="AB1931" s="74" t="s">
        <v>132</v>
      </c>
      <c r="AC1931" s="55" t="s">
        <v>132</v>
      </c>
      <c r="AL1931" s="74"/>
      <c r="AM1931" s="74"/>
    </row>
    <row r="1932" spans="1:50" ht="13" x14ac:dyDescent="0.15">
      <c r="A1932" s="55" t="str">
        <f>HYPERLINK("http://reports.ofsted.gov.uk/inspection-reports/find-inspection-report/provider/CARE/SC025713","Ofsted Social Care Provider Webpage")</f>
        <v>Ofsted Social Care Provider Webpage</v>
      </c>
      <c r="B1932" s="55" t="s">
        <v>2954</v>
      </c>
      <c r="D1932" s="55" t="s">
        <v>373</v>
      </c>
      <c r="E1932" s="74">
        <v>36206</v>
      </c>
      <c r="F1932" s="55" t="s">
        <v>344</v>
      </c>
      <c r="G1932" s="55" t="s">
        <v>360</v>
      </c>
      <c r="H1932" s="55" t="s">
        <v>360</v>
      </c>
      <c r="I1932" s="55" t="s">
        <v>360</v>
      </c>
      <c r="J1932" s="55" t="s">
        <v>360</v>
      </c>
      <c r="K1932" s="55" t="s">
        <v>360</v>
      </c>
      <c r="L1932" s="55" t="s">
        <v>360</v>
      </c>
      <c r="M1932" s="55" t="s">
        <v>144</v>
      </c>
      <c r="N1932" s="55" t="s">
        <v>144</v>
      </c>
      <c r="O1932" s="55" t="s">
        <v>263</v>
      </c>
      <c r="P1932" s="55" t="s">
        <v>1211</v>
      </c>
      <c r="Q1932" s="55" t="s">
        <v>362</v>
      </c>
      <c r="R1932" s="85">
        <v>3</v>
      </c>
      <c r="S1932" s="55">
        <v>0</v>
      </c>
      <c r="T1932" s="74" t="s">
        <v>2551</v>
      </c>
      <c r="U1932" s="74" t="s">
        <v>351</v>
      </c>
      <c r="V1932" s="74">
        <v>44635</v>
      </c>
      <c r="W1932" s="74">
        <v>44678</v>
      </c>
      <c r="X1932" s="55">
        <v>10185548</v>
      </c>
      <c r="Y1932" s="55" t="s">
        <v>140</v>
      </c>
      <c r="AB1932" s="74" t="s">
        <v>140</v>
      </c>
      <c r="AC1932" s="55" t="s">
        <v>140</v>
      </c>
      <c r="AL1932" s="74"/>
      <c r="AM1932" s="74"/>
      <c r="AW1932" s="74"/>
      <c r="AX1932" s="74"/>
    </row>
    <row r="1933" spans="1:50" ht="13" x14ac:dyDescent="0.15">
      <c r="A1933" s="55" t="str">
        <f>HYPERLINK("http://reports.ofsted.gov.uk/inspection-reports/find-inspection-report/provider/CARE/SC025714","Ofsted Social Care Provider Webpage")</f>
        <v>Ofsted Social Care Provider Webpage</v>
      </c>
      <c r="B1933" s="55" t="s">
        <v>2955</v>
      </c>
      <c r="D1933" s="55" t="s">
        <v>373</v>
      </c>
      <c r="E1933" s="74">
        <v>36300</v>
      </c>
      <c r="F1933" s="55" t="s">
        <v>344</v>
      </c>
      <c r="G1933" s="55" t="s">
        <v>360</v>
      </c>
      <c r="H1933" s="55" t="s">
        <v>360</v>
      </c>
      <c r="I1933" s="55" t="s">
        <v>360</v>
      </c>
      <c r="J1933" s="55" t="s">
        <v>360</v>
      </c>
      <c r="K1933" s="55" t="s">
        <v>360</v>
      </c>
      <c r="L1933" s="55" t="s">
        <v>360</v>
      </c>
      <c r="M1933" s="55" t="s">
        <v>144</v>
      </c>
      <c r="N1933" s="55" t="s">
        <v>144</v>
      </c>
      <c r="O1933" s="55" t="s">
        <v>263</v>
      </c>
      <c r="P1933" s="55" t="s">
        <v>263</v>
      </c>
      <c r="Q1933" s="55" t="s">
        <v>362</v>
      </c>
      <c r="R1933" s="85">
        <v>5</v>
      </c>
      <c r="S1933" s="55">
        <v>0</v>
      </c>
      <c r="T1933" s="74" t="s">
        <v>2551</v>
      </c>
      <c r="U1933" s="74" t="s">
        <v>351</v>
      </c>
      <c r="V1933" s="74">
        <v>44628</v>
      </c>
      <c r="W1933" s="74">
        <v>44670</v>
      </c>
      <c r="X1933" s="55">
        <v>10185521</v>
      </c>
      <c r="Y1933" s="55" t="s">
        <v>132</v>
      </c>
      <c r="AB1933" s="74" t="s">
        <v>132</v>
      </c>
      <c r="AC1933" s="55" t="s">
        <v>140</v>
      </c>
      <c r="AL1933" s="74"/>
      <c r="AM1933" s="74"/>
      <c r="AW1933" s="74"/>
      <c r="AX1933" s="74"/>
    </row>
    <row r="1934" spans="1:50" ht="13" x14ac:dyDescent="0.15">
      <c r="A1934" s="55" t="str">
        <f>HYPERLINK("http://reports.ofsted.gov.uk/inspection-reports/find-inspection-report/provider/CARE/SC025715","Ofsted Social Care Provider Webpage")</f>
        <v>Ofsted Social Care Provider Webpage</v>
      </c>
      <c r="B1934" s="55" t="s">
        <v>2956</v>
      </c>
      <c r="D1934" s="55" t="s">
        <v>373</v>
      </c>
      <c r="E1934" s="74">
        <v>36580</v>
      </c>
      <c r="F1934" s="55" t="s">
        <v>344</v>
      </c>
      <c r="G1934" s="55" t="s">
        <v>360</v>
      </c>
      <c r="H1934" s="55" t="s">
        <v>360</v>
      </c>
      <c r="I1934" s="55" t="s">
        <v>360</v>
      </c>
      <c r="J1934" s="55" t="s">
        <v>360</v>
      </c>
      <c r="K1934" s="55" t="s">
        <v>360</v>
      </c>
      <c r="L1934" s="55" t="s">
        <v>360</v>
      </c>
      <c r="M1934" s="55" t="s">
        <v>144</v>
      </c>
      <c r="N1934" s="55" t="s">
        <v>144</v>
      </c>
      <c r="O1934" s="55" t="s">
        <v>263</v>
      </c>
      <c r="P1934" s="55" t="s">
        <v>1211</v>
      </c>
      <c r="Q1934" s="55" t="s">
        <v>362</v>
      </c>
      <c r="R1934" s="85">
        <v>3</v>
      </c>
      <c r="S1934" s="55">
        <v>0</v>
      </c>
      <c r="T1934" s="74" t="s">
        <v>2551</v>
      </c>
      <c r="U1934" s="74" t="s">
        <v>351</v>
      </c>
      <c r="V1934" s="74">
        <v>44474</v>
      </c>
      <c r="W1934" s="74">
        <v>44508</v>
      </c>
      <c r="X1934" s="55">
        <v>10186700</v>
      </c>
      <c r="Y1934" s="55" t="s">
        <v>132</v>
      </c>
      <c r="AB1934" s="74" t="s">
        <v>132</v>
      </c>
      <c r="AC1934" s="55" t="s">
        <v>132</v>
      </c>
      <c r="AL1934" s="74"/>
      <c r="AM1934" s="74"/>
      <c r="AW1934" s="74"/>
      <c r="AX1934" s="74"/>
    </row>
    <row r="1935" spans="1:50" ht="13" x14ac:dyDescent="0.15">
      <c r="A1935" s="55" t="str">
        <f>HYPERLINK("http://reports.ofsted.gov.uk/inspection-reports/find-inspection-report/provider/CARE/SC025718","Ofsted Social Care Provider Webpage")</f>
        <v>Ofsted Social Care Provider Webpage</v>
      </c>
      <c r="B1935" s="55" t="s">
        <v>2957</v>
      </c>
      <c r="D1935" s="55" t="s">
        <v>373</v>
      </c>
      <c r="E1935" s="74">
        <v>35019</v>
      </c>
      <c r="F1935" s="55" t="s">
        <v>344</v>
      </c>
      <c r="G1935" s="55" t="s">
        <v>360</v>
      </c>
      <c r="H1935" s="55" t="s">
        <v>360</v>
      </c>
      <c r="I1935" s="55" t="s">
        <v>360</v>
      </c>
      <c r="J1935" s="55" t="s">
        <v>360</v>
      </c>
      <c r="K1935" s="55" t="s">
        <v>360</v>
      </c>
      <c r="L1935" s="55" t="s">
        <v>360</v>
      </c>
      <c r="M1935" s="55" t="s">
        <v>138</v>
      </c>
      <c r="N1935" s="55" t="s">
        <v>138</v>
      </c>
      <c r="O1935" s="55" t="s">
        <v>224</v>
      </c>
      <c r="P1935" s="55" t="s">
        <v>1552</v>
      </c>
      <c r="Q1935" s="55" t="s">
        <v>362</v>
      </c>
      <c r="R1935" s="85">
        <v>4</v>
      </c>
      <c r="S1935" s="55">
        <v>0</v>
      </c>
      <c r="T1935" s="74" t="s">
        <v>557</v>
      </c>
      <c r="U1935" s="74" t="s">
        <v>351</v>
      </c>
      <c r="V1935" s="74">
        <v>44321</v>
      </c>
      <c r="W1935" s="74">
        <v>44344</v>
      </c>
      <c r="X1935" s="55">
        <v>10185317</v>
      </c>
      <c r="Y1935" s="55" t="s">
        <v>132</v>
      </c>
      <c r="AB1935" s="74" t="s">
        <v>132</v>
      </c>
      <c r="AC1935" s="55" t="s">
        <v>132</v>
      </c>
      <c r="AL1935" s="74"/>
      <c r="AM1935" s="74"/>
    </row>
    <row r="1936" spans="1:50" ht="13" x14ac:dyDescent="0.15">
      <c r="A1936" s="55" t="str">
        <f>HYPERLINK("http://reports.ofsted.gov.uk/inspection-reports/find-inspection-report/provider/CARE/SC025733","Ofsted Social Care Provider Webpage")</f>
        <v>Ofsted Social Care Provider Webpage</v>
      </c>
      <c r="B1936" s="55" t="s">
        <v>2958</v>
      </c>
      <c r="D1936" s="55" t="s">
        <v>373</v>
      </c>
      <c r="E1936" s="74">
        <v>26834</v>
      </c>
      <c r="F1936" s="55" t="s">
        <v>344</v>
      </c>
      <c r="G1936" s="55" t="s">
        <v>360</v>
      </c>
      <c r="H1936" s="55" t="s">
        <v>360</v>
      </c>
      <c r="I1936" s="55" t="s">
        <v>360</v>
      </c>
      <c r="J1936" s="55" t="s">
        <v>360</v>
      </c>
      <c r="K1936" s="55" t="s">
        <v>360</v>
      </c>
      <c r="L1936" s="55" t="s">
        <v>360</v>
      </c>
      <c r="M1936" s="55" t="s">
        <v>138</v>
      </c>
      <c r="N1936" s="55" t="s">
        <v>138</v>
      </c>
      <c r="O1936" s="55" t="s">
        <v>159</v>
      </c>
      <c r="P1936" s="55" t="s">
        <v>1985</v>
      </c>
      <c r="Q1936" s="55" t="s">
        <v>362</v>
      </c>
      <c r="R1936" s="85">
        <v>17</v>
      </c>
      <c r="S1936" s="55">
        <v>0</v>
      </c>
      <c r="T1936" s="74" t="s">
        <v>2959</v>
      </c>
      <c r="U1936" s="74" t="s">
        <v>351</v>
      </c>
      <c r="V1936" s="74">
        <v>44312</v>
      </c>
      <c r="W1936" s="74">
        <v>44335</v>
      </c>
      <c r="X1936" s="55">
        <v>10185838</v>
      </c>
      <c r="Y1936" s="55" t="s">
        <v>130</v>
      </c>
      <c r="AB1936" s="74" t="s">
        <v>130</v>
      </c>
      <c r="AC1936" s="55" t="s">
        <v>130</v>
      </c>
      <c r="AL1936" s="74"/>
      <c r="AM1936" s="74"/>
      <c r="AW1936" s="74"/>
      <c r="AX1936" s="74"/>
    </row>
    <row r="1937" spans="1:50" ht="13" x14ac:dyDescent="0.15">
      <c r="A1937" s="55" t="str">
        <f>HYPERLINK("http://reports.ofsted.gov.uk/inspection-reports/find-inspection-report/provider/CARE/SC025740","Ofsted Social Care Provider Webpage")</f>
        <v>Ofsted Social Care Provider Webpage</v>
      </c>
      <c r="B1937" s="55" t="s">
        <v>2961</v>
      </c>
      <c r="D1937" s="55" t="s">
        <v>373</v>
      </c>
      <c r="E1937" s="74">
        <v>35726</v>
      </c>
      <c r="F1937" s="55" t="s">
        <v>344</v>
      </c>
      <c r="G1937" s="55" t="s">
        <v>360</v>
      </c>
      <c r="H1937" s="55" t="s">
        <v>360</v>
      </c>
      <c r="I1937" s="55" t="s">
        <v>360</v>
      </c>
      <c r="J1937" s="55" t="s">
        <v>360</v>
      </c>
      <c r="K1937" s="55" t="s">
        <v>360</v>
      </c>
      <c r="L1937" s="55" t="s">
        <v>360</v>
      </c>
      <c r="M1937" s="55" t="s">
        <v>144</v>
      </c>
      <c r="N1937" s="55" t="s">
        <v>144</v>
      </c>
      <c r="O1937" s="55" t="s">
        <v>263</v>
      </c>
      <c r="P1937" s="55" t="s">
        <v>876</v>
      </c>
      <c r="Q1937" s="55" t="s">
        <v>362</v>
      </c>
      <c r="R1937" s="85">
        <v>6</v>
      </c>
      <c r="S1937" s="55">
        <v>0</v>
      </c>
      <c r="T1937" s="74" t="s">
        <v>2551</v>
      </c>
      <c r="U1937" s="74" t="s">
        <v>351</v>
      </c>
      <c r="V1937" s="74">
        <v>44628</v>
      </c>
      <c r="W1937" s="74">
        <v>44671</v>
      </c>
      <c r="X1937" s="55">
        <v>10186245</v>
      </c>
      <c r="Y1937" s="55" t="s">
        <v>132</v>
      </c>
      <c r="AB1937" s="74" t="s">
        <v>132</v>
      </c>
      <c r="AC1937" s="55" t="s">
        <v>130</v>
      </c>
      <c r="AL1937" s="74"/>
      <c r="AM1937" s="74"/>
      <c r="AW1937" s="74"/>
      <c r="AX1937" s="74"/>
    </row>
    <row r="1938" spans="1:50" ht="13" x14ac:dyDescent="0.15">
      <c r="A1938" s="55" t="str">
        <f>HYPERLINK("http://reports.ofsted.gov.uk/inspection-reports/find-inspection-report/provider/CARE/SC025744","Ofsted Social Care Provider Webpage")</f>
        <v>Ofsted Social Care Provider Webpage</v>
      </c>
      <c r="B1938" s="55" t="s">
        <v>2962</v>
      </c>
      <c r="D1938" s="55" t="s">
        <v>373</v>
      </c>
      <c r="E1938" s="74">
        <v>34443</v>
      </c>
      <c r="F1938" s="55" t="s">
        <v>344</v>
      </c>
      <c r="G1938" s="55" t="s">
        <v>360</v>
      </c>
      <c r="H1938" s="55" t="s">
        <v>360</v>
      </c>
      <c r="I1938" s="55" t="s">
        <v>360</v>
      </c>
      <c r="J1938" s="55" t="s">
        <v>360</v>
      </c>
      <c r="K1938" s="55" t="s">
        <v>360</v>
      </c>
      <c r="L1938" s="55" t="s">
        <v>360</v>
      </c>
      <c r="M1938" s="55" t="s">
        <v>144</v>
      </c>
      <c r="N1938" s="55" t="s">
        <v>144</v>
      </c>
      <c r="O1938" s="55" t="s">
        <v>263</v>
      </c>
      <c r="P1938" s="55" t="s">
        <v>263</v>
      </c>
      <c r="Q1938" s="55" t="s">
        <v>362</v>
      </c>
      <c r="R1938" s="85">
        <v>6</v>
      </c>
      <c r="S1938" s="55">
        <v>0</v>
      </c>
      <c r="T1938" s="74" t="s">
        <v>2551</v>
      </c>
      <c r="U1938" s="74" t="s">
        <v>351</v>
      </c>
      <c r="V1938" s="74">
        <v>44622</v>
      </c>
      <c r="W1938" s="74">
        <v>44671</v>
      </c>
      <c r="X1938" s="55">
        <v>10186220</v>
      </c>
      <c r="Y1938" s="55" t="s">
        <v>132</v>
      </c>
      <c r="AB1938" s="74" t="s">
        <v>132</v>
      </c>
      <c r="AC1938" s="55" t="s">
        <v>132</v>
      </c>
      <c r="AL1938" s="74"/>
      <c r="AM1938" s="74"/>
      <c r="AW1938" s="74"/>
      <c r="AX1938" s="74"/>
    </row>
    <row r="1939" spans="1:50" ht="13" x14ac:dyDescent="0.15">
      <c r="A1939" s="55" t="str">
        <f>HYPERLINK("http://reports.ofsted.gov.uk/inspection-reports/find-inspection-report/provider/CARE/SC025745","Ofsted Social Care Provider Webpage")</f>
        <v>Ofsted Social Care Provider Webpage</v>
      </c>
      <c r="B1939" s="55" t="s">
        <v>2963</v>
      </c>
      <c r="D1939" s="55" t="s">
        <v>373</v>
      </c>
      <c r="E1939" s="74">
        <v>34788</v>
      </c>
      <c r="F1939" s="55" t="s">
        <v>344</v>
      </c>
      <c r="G1939" s="55" t="s">
        <v>360</v>
      </c>
      <c r="H1939" s="55" t="s">
        <v>360</v>
      </c>
      <c r="I1939" s="55" t="s">
        <v>360</v>
      </c>
      <c r="J1939" s="55" t="s">
        <v>360</v>
      </c>
      <c r="K1939" s="55" t="s">
        <v>360</v>
      </c>
      <c r="L1939" s="55" t="s">
        <v>360</v>
      </c>
      <c r="M1939" s="55" t="s">
        <v>144</v>
      </c>
      <c r="N1939" s="55" t="s">
        <v>144</v>
      </c>
      <c r="O1939" s="55" t="s">
        <v>263</v>
      </c>
      <c r="P1939" s="55" t="s">
        <v>1211</v>
      </c>
      <c r="Q1939" s="55" t="s">
        <v>362</v>
      </c>
      <c r="R1939" s="85">
        <v>5</v>
      </c>
      <c r="S1939" s="55" t="s">
        <v>332</v>
      </c>
      <c r="T1939" s="74" t="s">
        <v>2551</v>
      </c>
      <c r="U1939" s="74" t="s">
        <v>351</v>
      </c>
      <c r="V1939" s="74">
        <v>44538</v>
      </c>
      <c r="W1939" s="74">
        <v>44586</v>
      </c>
      <c r="X1939" s="55">
        <v>10186403</v>
      </c>
      <c r="Y1939" s="55" t="s">
        <v>132</v>
      </c>
      <c r="AB1939" s="74" t="s">
        <v>132</v>
      </c>
      <c r="AC1939" s="55" t="s">
        <v>132</v>
      </c>
      <c r="AL1939" s="74"/>
      <c r="AM1939" s="74"/>
      <c r="AW1939" s="74"/>
      <c r="AX1939" s="74"/>
    </row>
    <row r="1940" spans="1:50" ht="13" x14ac:dyDescent="0.15">
      <c r="A1940" s="55" t="str">
        <f>HYPERLINK("http://reports.ofsted.gov.uk/inspection-reports/find-inspection-report/provider/CARE/SC025747","Ofsted Social Care Provider Webpage")</f>
        <v>Ofsted Social Care Provider Webpage</v>
      </c>
      <c r="B1940" s="55" t="s">
        <v>2964</v>
      </c>
      <c r="D1940" s="55" t="s">
        <v>373</v>
      </c>
      <c r="E1940" s="74">
        <v>34390</v>
      </c>
      <c r="F1940" s="55" t="s">
        <v>344</v>
      </c>
      <c r="G1940" s="55" t="s">
        <v>360</v>
      </c>
      <c r="H1940" s="55" t="s">
        <v>360</v>
      </c>
      <c r="I1940" s="55" t="s">
        <v>360</v>
      </c>
      <c r="J1940" s="55" t="s">
        <v>360</v>
      </c>
      <c r="K1940" s="55" t="s">
        <v>360</v>
      </c>
      <c r="L1940" s="55" t="s">
        <v>360</v>
      </c>
      <c r="M1940" s="55" t="s">
        <v>144</v>
      </c>
      <c r="N1940" s="55" t="s">
        <v>144</v>
      </c>
      <c r="O1940" s="55" t="s">
        <v>263</v>
      </c>
      <c r="P1940" s="55" t="s">
        <v>263</v>
      </c>
      <c r="Q1940" s="55" t="s">
        <v>362</v>
      </c>
      <c r="R1940" s="85">
        <v>3</v>
      </c>
      <c r="S1940" s="55">
        <v>0</v>
      </c>
      <c r="T1940" s="74" t="s">
        <v>2551</v>
      </c>
      <c r="U1940" s="74" t="s">
        <v>351</v>
      </c>
      <c r="V1940" s="74">
        <v>44573</v>
      </c>
      <c r="W1940" s="74">
        <v>44602</v>
      </c>
      <c r="X1940" s="55">
        <v>10187447</v>
      </c>
      <c r="Y1940" s="55" t="s">
        <v>132</v>
      </c>
      <c r="AB1940" s="74" t="s">
        <v>132</v>
      </c>
      <c r="AC1940" s="55" t="s">
        <v>132</v>
      </c>
      <c r="AL1940" s="74"/>
      <c r="AM1940" s="74"/>
      <c r="AW1940" s="74"/>
      <c r="AX1940" s="74"/>
    </row>
    <row r="1941" spans="1:50" ht="13" x14ac:dyDescent="0.15">
      <c r="A1941" s="55" t="str">
        <f>HYPERLINK("http://reports.ofsted.gov.uk/inspection-reports/find-inspection-report/provider/CARE/SC025812","Ofsted Social Care Provider Webpage")</f>
        <v>Ofsted Social Care Provider Webpage</v>
      </c>
      <c r="B1941" s="55" t="s">
        <v>2965</v>
      </c>
      <c r="D1941" s="55" t="s">
        <v>373</v>
      </c>
      <c r="E1941" s="74">
        <v>35222</v>
      </c>
      <c r="F1941" s="55" t="s">
        <v>344</v>
      </c>
      <c r="G1941" s="55" t="s">
        <v>360</v>
      </c>
      <c r="H1941" s="55" t="s">
        <v>360</v>
      </c>
      <c r="I1941" s="55" t="s">
        <v>360</v>
      </c>
      <c r="J1941" s="55" t="s">
        <v>360</v>
      </c>
      <c r="K1941" s="55" t="s">
        <v>360</v>
      </c>
      <c r="L1941" s="55" t="s">
        <v>360</v>
      </c>
      <c r="M1941" s="55" t="s">
        <v>129</v>
      </c>
      <c r="N1941" s="55" t="s">
        <v>129</v>
      </c>
      <c r="O1941" s="55" t="s">
        <v>167</v>
      </c>
      <c r="P1941" s="55" t="s">
        <v>866</v>
      </c>
      <c r="Q1941" s="55" t="s">
        <v>350</v>
      </c>
      <c r="R1941" s="85">
        <v>4</v>
      </c>
      <c r="S1941" s="55">
        <v>0</v>
      </c>
      <c r="T1941" s="74" t="s">
        <v>2966</v>
      </c>
      <c r="U1941" s="74" t="s">
        <v>351</v>
      </c>
      <c r="V1941" s="74">
        <v>44510</v>
      </c>
      <c r="W1941" s="74">
        <v>44579</v>
      </c>
      <c r="X1941" s="55">
        <v>10186467</v>
      </c>
      <c r="Y1941" s="55" t="s">
        <v>132</v>
      </c>
      <c r="AB1941" s="74" t="s">
        <v>130</v>
      </c>
      <c r="AC1941" s="55" t="s">
        <v>132</v>
      </c>
      <c r="AL1941" s="74"/>
      <c r="AM1941" s="74"/>
      <c r="AW1941" s="74"/>
      <c r="AX1941" s="74"/>
    </row>
    <row r="1942" spans="1:50" ht="13" x14ac:dyDescent="0.15">
      <c r="A1942" s="55" t="str">
        <f>HYPERLINK("http://reports.ofsted.gov.uk/inspection-reports/find-inspection-report/provider/CARE/SC025940","Ofsted Social Care Provider Webpage")</f>
        <v>Ofsted Social Care Provider Webpage</v>
      </c>
      <c r="B1942" s="55" t="s">
        <v>2968</v>
      </c>
      <c r="D1942" s="55" t="s">
        <v>373</v>
      </c>
      <c r="E1942" s="74">
        <v>33921</v>
      </c>
      <c r="F1942" s="55" t="s">
        <v>344</v>
      </c>
      <c r="G1942" s="55" t="s">
        <v>360</v>
      </c>
      <c r="H1942" s="55" t="s">
        <v>360</v>
      </c>
      <c r="I1942" s="55" t="s">
        <v>360</v>
      </c>
      <c r="J1942" s="55" t="s">
        <v>360</v>
      </c>
      <c r="K1942" s="55" t="s">
        <v>360</v>
      </c>
      <c r="L1942" s="55" t="s">
        <v>360</v>
      </c>
      <c r="M1942" s="55" t="s">
        <v>129</v>
      </c>
      <c r="N1942" s="55" t="s">
        <v>129</v>
      </c>
      <c r="O1942" s="55" t="s">
        <v>242</v>
      </c>
      <c r="P1942" s="55" t="s">
        <v>1519</v>
      </c>
      <c r="Q1942" s="55" t="s">
        <v>362</v>
      </c>
      <c r="R1942" s="85">
        <v>6</v>
      </c>
      <c r="S1942" s="55">
        <v>0</v>
      </c>
      <c r="T1942" s="74" t="s">
        <v>1884</v>
      </c>
      <c r="U1942" s="74" t="s">
        <v>351</v>
      </c>
      <c r="V1942" s="74">
        <v>44579</v>
      </c>
      <c r="W1942" s="74">
        <v>44635</v>
      </c>
      <c r="X1942" s="55">
        <v>10185204</v>
      </c>
      <c r="Y1942" s="55" t="s">
        <v>132</v>
      </c>
      <c r="AB1942" s="74" t="s">
        <v>132</v>
      </c>
      <c r="AC1942" s="55" t="s">
        <v>130</v>
      </c>
      <c r="AL1942" s="74"/>
      <c r="AM1942" s="74"/>
      <c r="AW1942" s="74"/>
      <c r="AX1942" s="74"/>
    </row>
    <row r="1943" spans="1:50" ht="13" x14ac:dyDescent="0.15">
      <c r="A1943" s="55" t="str">
        <f>HYPERLINK("http://reports.ofsted.gov.uk/inspection-reports/find-inspection-report/provider/CARE/SC026910","Ofsted Social Care Provider Webpage")</f>
        <v>Ofsted Social Care Provider Webpage</v>
      </c>
      <c r="B1943" s="55" t="s">
        <v>2969</v>
      </c>
      <c r="D1943" s="55" t="s">
        <v>479</v>
      </c>
      <c r="E1943" s="74">
        <v>37306</v>
      </c>
      <c r="F1943" s="55" t="s">
        <v>344</v>
      </c>
      <c r="G1943" s="55" t="s">
        <v>360</v>
      </c>
      <c r="H1943" s="55" t="s">
        <v>360</v>
      </c>
      <c r="I1943" s="55" t="s">
        <v>360</v>
      </c>
      <c r="J1943" s="55" t="s">
        <v>360</v>
      </c>
      <c r="K1943" s="55" t="s">
        <v>360</v>
      </c>
      <c r="L1943" s="55" t="s">
        <v>360</v>
      </c>
      <c r="M1943" s="55" t="s">
        <v>136</v>
      </c>
      <c r="N1943" s="55" t="s">
        <v>136</v>
      </c>
      <c r="O1943" s="55" t="s">
        <v>176</v>
      </c>
      <c r="P1943" s="55" t="s">
        <v>2060</v>
      </c>
      <c r="Q1943" s="55" t="s">
        <v>350</v>
      </c>
      <c r="R1943" s="85">
        <v>68</v>
      </c>
      <c r="S1943" s="55">
        <v>0</v>
      </c>
      <c r="T1943" s="74" t="s">
        <v>596</v>
      </c>
      <c r="U1943" s="74" t="s">
        <v>351</v>
      </c>
      <c r="V1943" s="74">
        <v>44621</v>
      </c>
      <c r="W1943" s="74">
        <v>44656</v>
      </c>
      <c r="X1943" s="55">
        <v>10187207</v>
      </c>
      <c r="Y1943" s="55" t="s">
        <v>130</v>
      </c>
      <c r="AB1943" s="74" t="s">
        <v>130</v>
      </c>
      <c r="AC1943" s="55" t="s">
        <v>130</v>
      </c>
      <c r="AL1943" s="74"/>
      <c r="AM1943" s="74"/>
    </row>
    <row r="1944" spans="1:50" ht="13" x14ac:dyDescent="0.15">
      <c r="A1944" s="55" t="str">
        <f>HYPERLINK("http://reports.ofsted.gov.uk/inspection-reports/find-inspection-report/provider/CARE/SC027138","Ofsted Social Care Provider Webpage")</f>
        <v>Ofsted Social Care Provider Webpage</v>
      </c>
      <c r="B1944" s="55" t="s">
        <v>2971</v>
      </c>
      <c r="C1944" s="55">
        <v>102464</v>
      </c>
      <c r="D1944" s="55" t="s">
        <v>413</v>
      </c>
      <c r="E1944" s="74">
        <v>37306</v>
      </c>
      <c r="F1944" s="55" t="s">
        <v>344</v>
      </c>
      <c r="G1944" s="55" t="s">
        <v>2972</v>
      </c>
      <c r="H1944" s="55" t="s">
        <v>2973</v>
      </c>
      <c r="I1944" s="55" t="s">
        <v>2974</v>
      </c>
      <c r="J1944" s="55" t="s">
        <v>2975</v>
      </c>
      <c r="K1944" s="55" t="s">
        <v>1746</v>
      </c>
      <c r="L1944" s="55" t="s">
        <v>2976</v>
      </c>
      <c r="M1944" s="55" t="s">
        <v>129</v>
      </c>
      <c r="N1944" s="55" t="s">
        <v>129</v>
      </c>
      <c r="O1944" s="55" t="s">
        <v>197</v>
      </c>
      <c r="P1944" s="55" t="s">
        <v>532</v>
      </c>
      <c r="Q1944" s="55" t="s">
        <v>350</v>
      </c>
      <c r="R1944" s="85">
        <v>22</v>
      </c>
      <c r="S1944" s="55">
        <v>0</v>
      </c>
      <c r="T1944" s="74" t="s">
        <v>2972</v>
      </c>
      <c r="U1944" s="74" t="s">
        <v>351</v>
      </c>
      <c r="V1944" s="74">
        <v>44516</v>
      </c>
      <c r="W1944" s="74">
        <v>44578</v>
      </c>
      <c r="X1944" s="55">
        <v>10183510</v>
      </c>
      <c r="Y1944" s="55" t="s">
        <v>132</v>
      </c>
      <c r="AB1944" s="74" t="s">
        <v>132</v>
      </c>
      <c r="AC1944" s="55" t="s">
        <v>132</v>
      </c>
      <c r="AL1944" s="74"/>
      <c r="AM1944" s="74"/>
      <c r="AW1944" s="74"/>
      <c r="AX1944" s="74"/>
    </row>
    <row r="1945" spans="1:50" ht="13" x14ac:dyDescent="0.15">
      <c r="A1945" s="55" t="str">
        <f>HYPERLINK("http://reports.ofsted.gov.uk/inspection-reports/find-inspection-report/provider/CARE/SC028174","Ofsted Social Care Provider Webpage")</f>
        <v>Ofsted Social Care Provider Webpage</v>
      </c>
      <c r="B1945" s="55" t="s">
        <v>2983</v>
      </c>
      <c r="D1945" s="55" t="s">
        <v>373</v>
      </c>
      <c r="E1945" s="74">
        <v>37370</v>
      </c>
      <c r="F1945" s="55" t="s">
        <v>344</v>
      </c>
      <c r="G1945" s="55" t="s">
        <v>360</v>
      </c>
      <c r="H1945" s="55" t="s">
        <v>360</v>
      </c>
      <c r="I1945" s="55" t="s">
        <v>360</v>
      </c>
      <c r="J1945" s="55" t="s">
        <v>360</v>
      </c>
      <c r="K1945" s="55" t="s">
        <v>360</v>
      </c>
      <c r="L1945" s="55" t="s">
        <v>360</v>
      </c>
      <c r="M1945" s="55" t="s">
        <v>172</v>
      </c>
      <c r="N1945" s="55" t="s">
        <v>172</v>
      </c>
      <c r="O1945" s="55" t="s">
        <v>214</v>
      </c>
      <c r="P1945" s="55" t="s">
        <v>790</v>
      </c>
      <c r="Q1945" s="55" t="s">
        <v>350</v>
      </c>
      <c r="R1945" s="85">
        <v>4</v>
      </c>
      <c r="S1945" s="55">
        <v>0</v>
      </c>
      <c r="T1945" s="74" t="s">
        <v>791</v>
      </c>
      <c r="U1945" s="74" t="s">
        <v>351</v>
      </c>
      <c r="V1945" s="74">
        <v>44446</v>
      </c>
      <c r="W1945" s="74">
        <v>44477</v>
      </c>
      <c r="X1945" s="55">
        <v>10185572</v>
      </c>
      <c r="Y1945" s="55" t="s">
        <v>132</v>
      </c>
      <c r="AB1945" s="74" t="s">
        <v>130</v>
      </c>
      <c r="AC1945" s="55" t="s">
        <v>132</v>
      </c>
      <c r="AL1945" s="74"/>
      <c r="AM1945" s="74"/>
    </row>
    <row r="1946" spans="1:50" ht="13" x14ac:dyDescent="0.15">
      <c r="A1946" s="55" t="str">
        <f>HYPERLINK("http://reports.ofsted.gov.uk/inspection-reports/find-inspection-report/provider/CARE/SC028460","Ofsted Social Care Provider Webpage")</f>
        <v>Ofsted Social Care Provider Webpage</v>
      </c>
      <c r="B1946" s="55" t="s">
        <v>2984</v>
      </c>
      <c r="D1946" s="55" t="s">
        <v>373</v>
      </c>
      <c r="E1946" s="74">
        <v>37376</v>
      </c>
      <c r="F1946" s="55" t="s">
        <v>344</v>
      </c>
      <c r="G1946" s="55" t="s">
        <v>360</v>
      </c>
      <c r="H1946" s="55" t="s">
        <v>360</v>
      </c>
      <c r="I1946" s="55" t="s">
        <v>360</v>
      </c>
      <c r="J1946" s="55" t="s">
        <v>360</v>
      </c>
      <c r="K1946" s="55" t="s">
        <v>360</v>
      </c>
      <c r="L1946" s="55" t="s">
        <v>360</v>
      </c>
      <c r="M1946" s="55" t="s">
        <v>129</v>
      </c>
      <c r="N1946" s="55" t="s">
        <v>129</v>
      </c>
      <c r="O1946" s="55" t="s">
        <v>191</v>
      </c>
      <c r="P1946" s="55" t="s">
        <v>2985</v>
      </c>
      <c r="Q1946" s="55" t="s">
        <v>350</v>
      </c>
      <c r="R1946" s="85">
        <v>4</v>
      </c>
      <c r="S1946" s="55">
        <v>0</v>
      </c>
      <c r="U1946" s="74" t="s">
        <v>351</v>
      </c>
      <c r="V1946" s="74">
        <v>44320</v>
      </c>
      <c r="W1946" s="74">
        <v>44351</v>
      </c>
      <c r="X1946" s="55">
        <v>10187639</v>
      </c>
      <c r="Y1946" s="55" t="s">
        <v>132</v>
      </c>
      <c r="AB1946" s="74" t="s">
        <v>132</v>
      </c>
      <c r="AC1946" s="55" t="s">
        <v>132</v>
      </c>
      <c r="AL1946" s="74"/>
      <c r="AM1946" s="74"/>
      <c r="AW1946" s="74"/>
      <c r="AX1946" s="74"/>
    </row>
    <row r="1947" spans="1:50" ht="13" x14ac:dyDescent="0.15">
      <c r="A1947" s="55" t="str">
        <f>HYPERLINK("http://reports.ofsted.gov.uk/inspection-reports/find-inspection-report/provider/CARE/SC028505","Ofsted Social Care Provider Webpage")</f>
        <v>Ofsted Social Care Provider Webpage</v>
      </c>
      <c r="B1947" s="55" t="s">
        <v>2986</v>
      </c>
      <c r="D1947" s="55" t="s">
        <v>373</v>
      </c>
      <c r="E1947" s="74">
        <v>37376</v>
      </c>
      <c r="F1947" s="55" t="s">
        <v>344</v>
      </c>
      <c r="G1947" s="55" t="s">
        <v>360</v>
      </c>
      <c r="H1947" s="55" t="s">
        <v>360</v>
      </c>
      <c r="I1947" s="55" t="s">
        <v>360</v>
      </c>
      <c r="J1947" s="55" t="s">
        <v>360</v>
      </c>
      <c r="K1947" s="55" t="s">
        <v>360</v>
      </c>
      <c r="L1947" s="55" t="s">
        <v>360</v>
      </c>
      <c r="M1947" s="55" t="s">
        <v>150</v>
      </c>
      <c r="N1947" s="55" t="s">
        <v>150</v>
      </c>
      <c r="O1947" s="55" t="s">
        <v>268</v>
      </c>
      <c r="P1947" s="55" t="s">
        <v>639</v>
      </c>
      <c r="Q1947" s="55" t="s">
        <v>350</v>
      </c>
      <c r="R1947" s="85">
        <v>4</v>
      </c>
      <c r="S1947" s="55">
        <v>0</v>
      </c>
      <c r="T1947" s="74" t="s">
        <v>2654</v>
      </c>
      <c r="U1947" s="74" t="s">
        <v>351</v>
      </c>
      <c r="V1947" s="74">
        <v>44391</v>
      </c>
      <c r="W1947" s="74">
        <v>44440</v>
      </c>
      <c r="X1947" s="55">
        <v>10185722</v>
      </c>
      <c r="Y1947" s="55" t="s">
        <v>132</v>
      </c>
      <c r="AB1947" s="74" t="s">
        <v>132</v>
      </c>
      <c r="AC1947" s="55" t="s">
        <v>132</v>
      </c>
      <c r="AL1947" s="74"/>
      <c r="AM1947" s="74"/>
      <c r="AW1947" s="74"/>
      <c r="AX1947" s="74"/>
    </row>
    <row r="1948" spans="1:50" ht="13" x14ac:dyDescent="0.15">
      <c r="A1948" s="55" t="str">
        <f>HYPERLINK("http://reports.ofsted.gov.uk/inspection-reports/find-inspection-report/provider/CARE/SC028526","Ofsted Social Care Provider Webpage")</f>
        <v>Ofsted Social Care Provider Webpage</v>
      </c>
      <c r="B1948" s="55" t="s">
        <v>2987</v>
      </c>
      <c r="D1948" s="55" t="s">
        <v>373</v>
      </c>
      <c r="E1948" s="74">
        <v>37377</v>
      </c>
      <c r="F1948" s="55" t="s">
        <v>344</v>
      </c>
      <c r="G1948" s="55" t="s">
        <v>360</v>
      </c>
      <c r="H1948" s="55" t="s">
        <v>360</v>
      </c>
      <c r="I1948" s="55" t="s">
        <v>360</v>
      </c>
      <c r="J1948" s="55" t="s">
        <v>360</v>
      </c>
      <c r="K1948" s="55" t="s">
        <v>360</v>
      </c>
      <c r="L1948" s="55" t="s">
        <v>360</v>
      </c>
      <c r="M1948" s="55" t="s">
        <v>150</v>
      </c>
      <c r="N1948" s="55" t="s">
        <v>150</v>
      </c>
      <c r="O1948" s="55" t="s">
        <v>181</v>
      </c>
      <c r="P1948" s="55" t="s">
        <v>626</v>
      </c>
      <c r="Q1948" s="55" t="s">
        <v>350</v>
      </c>
      <c r="R1948" s="85">
        <v>2</v>
      </c>
      <c r="S1948" s="55">
        <v>0</v>
      </c>
      <c r="T1948" s="74" t="s">
        <v>627</v>
      </c>
      <c r="U1948" s="74" t="s">
        <v>351</v>
      </c>
      <c r="V1948" s="74">
        <v>44446</v>
      </c>
      <c r="W1948" s="74">
        <v>44487</v>
      </c>
      <c r="X1948" s="55">
        <v>10185675</v>
      </c>
      <c r="Y1948" s="55" t="s">
        <v>140</v>
      </c>
      <c r="AB1948" s="74" t="s">
        <v>140</v>
      </c>
      <c r="AC1948" s="55" t="s">
        <v>140</v>
      </c>
      <c r="AL1948" s="74"/>
      <c r="AM1948" s="74"/>
    </row>
    <row r="1949" spans="1:50" ht="13" x14ac:dyDescent="0.15">
      <c r="A1949" s="55" t="str">
        <f>HYPERLINK("http://reports.ofsted.gov.uk/inspection-reports/find-inspection-report/provider/CARE/SC028536","Ofsted Social Care Provider Webpage")</f>
        <v>Ofsted Social Care Provider Webpage</v>
      </c>
      <c r="B1949" s="55" t="s">
        <v>2988</v>
      </c>
      <c r="D1949" s="55" t="s">
        <v>373</v>
      </c>
      <c r="E1949" s="74">
        <v>37377</v>
      </c>
      <c r="F1949" s="55" t="s">
        <v>344</v>
      </c>
      <c r="G1949" s="55" t="s">
        <v>360</v>
      </c>
      <c r="H1949" s="55" t="s">
        <v>360</v>
      </c>
      <c r="I1949" s="55" t="s">
        <v>360</v>
      </c>
      <c r="J1949" s="55" t="s">
        <v>360</v>
      </c>
      <c r="K1949" s="55" t="s">
        <v>360</v>
      </c>
      <c r="L1949" s="55" t="s">
        <v>360</v>
      </c>
      <c r="M1949" s="55" t="s">
        <v>150</v>
      </c>
      <c r="N1949" s="55" t="s">
        <v>150</v>
      </c>
      <c r="O1949" s="55" t="s">
        <v>181</v>
      </c>
      <c r="P1949" s="55" t="s">
        <v>429</v>
      </c>
      <c r="Q1949" s="55" t="s">
        <v>350</v>
      </c>
      <c r="R1949" s="85">
        <v>2</v>
      </c>
      <c r="S1949" s="55">
        <v>0</v>
      </c>
      <c r="T1949" s="74" t="s">
        <v>627</v>
      </c>
      <c r="U1949" s="74" t="s">
        <v>351</v>
      </c>
      <c r="V1949" s="74">
        <v>44581</v>
      </c>
      <c r="W1949" s="74">
        <v>44621</v>
      </c>
      <c r="X1949" s="55">
        <v>10186401</v>
      </c>
      <c r="Y1949" s="55" t="s">
        <v>140</v>
      </c>
      <c r="AB1949" s="74" t="s">
        <v>140</v>
      </c>
      <c r="AC1949" s="55" t="s">
        <v>140</v>
      </c>
      <c r="AL1949" s="74"/>
      <c r="AM1949" s="74"/>
    </row>
    <row r="1950" spans="1:50" ht="13" x14ac:dyDescent="0.15">
      <c r="A1950" s="55" t="str">
        <f>HYPERLINK("http://reports.ofsted.gov.uk/inspection-reports/find-inspection-report/provider/CARE/SC028598","Ofsted Social Care Provider Webpage")</f>
        <v>Ofsted Social Care Provider Webpage</v>
      </c>
      <c r="B1950" s="55" t="s">
        <v>2989</v>
      </c>
      <c r="D1950" s="55" t="s">
        <v>373</v>
      </c>
      <c r="E1950" s="74">
        <v>37377</v>
      </c>
      <c r="F1950" s="55" t="s">
        <v>344</v>
      </c>
      <c r="G1950" s="55" t="s">
        <v>360</v>
      </c>
      <c r="H1950" s="55" t="s">
        <v>360</v>
      </c>
      <c r="I1950" s="55" t="s">
        <v>360</v>
      </c>
      <c r="J1950" s="55" t="s">
        <v>360</v>
      </c>
      <c r="K1950" s="55" t="s">
        <v>360</v>
      </c>
      <c r="L1950" s="55" t="s">
        <v>360</v>
      </c>
      <c r="M1950" s="55" t="s">
        <v>129</v>
      </c>
      <c r="N1950" s="55" t="s">
        <v>129</v>
      </c>
      <c r="O1950" s="55" t="s">
        <v>279</v>
      </c>
      <c r="P1950" s="55" t="s">
        <v>2499</v>
      </c>
      <c r="Q1950" s="55" t="s">
        <v>350</v>
      </c>
      <c r="R1950" s="85">
        <v>5</v>
      </c>
      <c r="S1950" s="55">
        <v>0</v>
      </c>
      <c r="T1950" s="74" t="s">
        <v>2990</v>
      </c>
      <c r="U1950" s="74" t="s">
        <v>2053</v>
      </c>
      <c r="V1950" s="74">
        <v>44628</v>
      </c>
      <c r="W1950" s="74">
        <v>44676</v>
      </c>
      <c r="X1950" s="55">
        <v>10226749</v>
      </c>
      <c r="AL1950" s="74"/>
      <c r="AM1950" s="74"/>
    </row>
    <row r="1951" spans="1:50" ht="13" x14ac:dyDescent="0.15">
      <c r="A1951" s="55" t="str">
        <f>HYPERLINK("http://reports.ofsted.gov.uk/inspection-reports/find-inspection-report/provider/CARE/SC028599","Ofsted Social Care Provider Webpage")</f>
        <v>Ofsted Social Care Provider Webpage</v>
      </c>
      <c r="B1951" s="55" t="s">
        <v>2991</v>
      </c>
      <c r="D1951" s="55" t="s">
        <v>373</v>
      </c>
      <c r="E1951" s="74">
        <v>37377</v>
      </c>
      <c r="F1951" s="55" t="s">
        <v>344</v>
      </c>
      <c r="G1951" s="55" t="s">
        <v>360</v>
      </c>
      <c r="H1951" s="55" t="s">
        <v>360</v>
      </c>
      <c r="I1951" s="55" t="s">
        <v>360</v>
      </c>
      <c r="J1951" s="55" t="s">
        <v>360</v>
      </c>
      <c r="K1951" s="55" t="s">
        <v>360</v>
      </c>
      <c r="L1951" s="55" t="s">
        <v>360</v>
      </c>
      <c r="M1951" s="55" t="s">
        <v>138</v>
      </c>
      <c r="N1951" s="55" t="s">
        <v>138</v>
      </c>
      <c r="O1951" s="55" t="s">
        <v>216</v>
      </c>
      <c r="P1951" s="55" t="s">
        <v>1918</v>
      </c>
      <c r="Q1951" s="55" t="s">
        <v>350</v>
      </c>
      <c r="R1951" s="85">
        <v>7</v>
      </c>
      <c r="S1951" s="55">
        <v>0</v>
      </c>
      <c r="T1951" s="74" t="s">
        <v>2992</v>
      </c>
      <c r="U1951" s="74" t="s">
        <v>351</v>
      </c>
      <c r="V1951" s="74">
        <v>44355</v>
      </c>
      <c r="W1951" s="74">
        <v>44389</v>
      </c>
      <c r="X1951" s="55">
        <v>10187630</v>
      </c>
      <c r="Y1951" s="55" t="s">
        <v>132</v>
      </c>
      <c r="AB1951" s="74" t="s">
        <v>132</v>
      </c>
      <c r="AC1951" s="55" t="s">
        <v>132</v>
      </c>
      <c r="AL1951" s="74"/>
      <c r="AM1951" s="74"/>
    </row>
    <row r="1952" spans="1:50" ht="13" x14ac:dyDescent="0.15">
      <c r="A1952" s="55" t="str">
        <f>HYPERLINK("http://reports.ofsted.gov.uk/inspection-reports/find-inspection-report/provider/CARE/SC028868","Ofsted Social Care Provider Webpage")</f>
        <v>Ofsted Social Care Provider Webpage</v>
      </c>
      <c r="B1952" s="55" t="s">
        <v>2993</v>
      </c>
      <c r="D1952" s="55" t="s">
        <v>373</v>
      </c>
      <c r="E1952" s="74">
        <v>37385</v>
      </c>
      <c r="F1952" s="55" t="s">
        <v>344</v>
      </c>
      <c r="G1952" s="55" t="s">
        <v>360</v>
      </c>
      <c r="H1952" s="55" t="s">
        <v>360</v>
      </c>
      <c r="I1952" s="55" t="s">
        <v>360</v>
      </c>
      <c r="J1952" s="55" t="s">
        <v>360</v>
      </c>
      <c r="K1952" s="55" t="s">
        <v>360</v>
      </c>
      <c r="L1952" s="55" t="s">
        <v>360</v>
      </c>
      <c r="M1952" s="55" t="s">
        <v>136</v>
      </c>
      <c r="N1952" s="55" t="s">
        <v>136</v>
      </c>
      <c r="O1952" s="55" t="s">
        <v>185</v>
      </c>
      <c r="P1952" s="55" t="s">
        <v>1292</v>
      </c>
      <c r="Q1952" s="55" t="s">
        <v>350</v>
      </c>
      <c r="R1952" s="85">
        <v>4</v>
      </c>
      <c r="S1952" s="55">
        <v>0</v>
      </c>
      <c r="T1952" s="74" t="s">
        <v>2994</v>
      </c>
      <c r="U1952" s="74" t="s">
        <v>351</v>
      </c>
      <c r="V1952" s="74">
        <v>44411</v>
      </c>
      <c r="W1952" s="74">
        <v>44447</v>
      </c>
      <c r="X1952" s="55">
        <v>10186043</v>
      </c>
      <c r="Y1952" s="55" t="s">
        <v>132</v>
      </c>
      <c r="AB1952" s="74" t="s">
        <v>132</v>
      </c>
      <c r="AC1952" s="55" t="s">
        <v>130</v>
      </c>
      <c r="AL1952" s="74"/>
      <c r="AM1952" s="74"/>
      <c r="AW1952" s="74"/>
      <c r="AX1952" s="74"/>
    </row>
    <row r="1953" spans="1:50" ht="13" x14ac:dyDescent="0.15">
      <c r="A1953" s="55" t="str">
        <f>HYPERLINK("http://reports.ofsted.gov.uk/inspection-reports/find-inspection-report/provider/CARE/SC028905","Ofsted Social Care Provider Webpage")</f>
        <v>Ofsted Social Care Provider Webpage</v>
      </c>
      <c r="B1953" s="55" t="s">
        <v>2995</v>
      </c>
      <c r="D1953" s="55" t="s">
        <v>373</v>
      </c>
      <c r="E1953" s="74">
        <v>37805</v>
      </c>
      <c r="F1953" s="55" t="s">
        <v>344</v>
      </c>
      <c r="G1953" s="55" t="s">
        <v>360</v>
      </c>
      <c r="H1953" s="55" t="s">
        <v>360</v>
      </c>
      <c r="I1953" s="55" t="s">
        <v>360</v>
      </c>
      <c r="J1953" s="55" t="s">
        <v>360</v>
      </c>
      <c r="K1953" s="55" t="s">
        <v>360</v>
      </c>
      <c r="L1953" s="55" t="s">
        <v>360</v>
      </c>
      <c r="M1953" s="55" t="s">
        <v>142</v>
      </c>
      <c r="N1953" s="55" t="s">
        <v>142</v>
      </c>
      <c r="O1953" s="55" t="s">
        <v>262</v>
      </c>
      <c r="P1953" s="55" t="s">
        <v>1035</v>
      </c>
      <c r="Q1953" s="55" t="s">
        <v>380</v>
      </c>
      <c r="R1953" s="85">
        <v>5</v>
      </c>
      <c r="S1953" s="55">
        <v>0</v>
      </c>
      <c r="T1953" s="74" t="s">
        <v>2996</v>
      </c>
      <c r="U1953" s="74" t="s">
        <v>351</v>
      </c>
      <c r="V1953" s="74">
        <v>44607</v>
      </c>
      <c r="W1953" s="74">
        <v>44651</v>
      </c>
      <c r="X1953" s="55">
        <v>10187120</v>
      </c>
      <c r="Y1953" s="55" t="s">
        <v>132</v>
      </c>
      <c r="AB1953" s="74" t="s">
        <v>132</v>
      </c>
      <c r="AC1953" s="55" t="s">
        <v>132</v>
      </c>
      <c r="AL1953" s="74"/>
      <c r="AM1953" s="74"/>
      <c r="AW1953" s="74"/>
      <c r="AX1953" s="74"/>
    </row>
    <row r="1954" spans="1:50" ht="13" x14ac:dyDescent="0.15">
      <c r="A1954" s="55" t="str">
        <f>HYPERLINK("http://reports.ofsted.gov.uk/inspection-reports/find-inspection-report/provider/CARE/SC029504","Ofsted Social Care Provider Webpage")</f>
        <v>Ofsted Social Care Provider Webpage</v>
      </c>
      <c r="B1954" s="55" t="s">
        <v>2997</v>
      </c>
      <c r="D1954" s="55" t="s">
        <v>373</v>
      </c>
      <c r="E1954" s="74">
        <v>37665</v>
      </c>
      <c r="F1954" s="55" t="s">
        <v>344</v>
      </c>
      <c r="G1954" s="55" t="s">
        <v>360</v>
      </c>
      <c r="H1954" s="55" t="s">
        <v>360</v>
      </c>
      <c r="I1954" s="55" t="s">
        <v>360</v>
      </c>
      <c r="J1954" s="55" t="s">
        <v>360</v>
      </c>
      <c r="K1954" s="55" t="s">
        <v>360</v>
      </c>
      <c r="L1954" s="55" t="s">
        <v>360</v>
      </c>
      <c r="M1954" s="55" t="s">
        <v>172</v>
      </c>
      <c r="N1954" s="55" t="s">
        <v>172</v>
      </c>
      <c r="O1954" s="55" t="s">
        <v>234</v>
      </c>
      <c r="P1954" s="55" t="s">
        <v>965</v>
      </c>
      <c r="Q1954" s="55" t="s">
        <v>350</v>
      </c>
      <c r="R1954" s="85">
        <v>4</v>
      </c>
      <c r="S1954" s="55">
        <v>0</v>
      </c>
      <c r="T1954" s="74" t="s">
        <v>495</v>
      </c>
      <c r="U1954" s="74" t="s">
        <v>351</v>
      </c>
      <c r="V1954" s="74">
        <v>44418</v>
      </c>
      <c r="W1954" s="74">
        <v>44462</v>
      </c>
      <c r="X1954" s="55">
        <v>10186945</v>
      </c>
      <c r="Y1954" s="55" t="s">
        <v>132</v>
      </c>
      <c r="AB1954" s="74" t="s">
        <v>130</v>
      </c>
      <c r="AC1954" s="55" t="s">
        <v>132</v>
      </c>
      <c r="AL1954" s="74"/>
      <c r="AM1954" s="74"/>
    </row>
    <row r="1955" spans="1:50" ht="13" x14ac:dyDescent="0.15">
      <c r="A1955" s="55" t="str">
        <f>HYPERLINK("http://reports.ofsted.gov.uk/inspection-reports/find-inspection-report/provider/CARE/SC029560","Ofsted Social Care Provider Webpage")</f>
        <v>Ofsted Social Care Provider Webpage</v>
      </c>
      <c r="B1955" s="55" t="s">
        <v>2998</v>
      </c>
      <c r="D1955" s="55" t="s">
        <v>373</v>
      </c>
      <c r="E1955" s="74">
        <v>37398</v>
      </c>
      <c r="F1955" s="55" t="s">
        <v>344</v>
      </c>
      <c r="G1955" s="55" t="s">
        <v>360</v>
      </c>
      <c r="H1955" s="55" t="s">
        <v>360</v>
      </c>
      <c r="I1955" s="55" t="s">
        <v>360</v>
      </c>
      <c r="J1955" s="55" t="s">
        <v>360</v>
      </c>
      <c r="K1955" s="55" t="s">
        <v>360</v>
      </c>
      <c r="L1955" s="55" t="s">
        <v>360</v>
      </c>
      <c r="M1955" s="55" t="s">
        <v>138</v>
      </c>
      <c r="N1955" s="55" t="s">
        <v>138</v>
      </c>
      <c r="O1955" s="55" t="s">
        <v>259</v>
      </c>
      <c r="P1955" s="55" t="s">
        <v>1914</v>
      </c>
      <c r="Q1955" s="55" t="s">
        <v>350</v>
      </c>
      <c r="R1955" s="85">
        <v>6</v>
      </c>
      <c r="S1955" s="55">
        <v>0</v>
      </c>
      <c r="T1955" s="74" t="s">
        <v>638</v>
      </c>
      <c r="U1955" s="74" t="s">
        <v>351</v>
      </c>
      <c r="V1955" s="74">
        <v>44328</v>
      </c>
      <c r="W1955" s="74">
        <v>44361</v>
      </c>
      <c r="X1955" s="55">
        <v>10186180</v>
      </c>
      <c r="Y1955" s="55" t="s">
        <v>130</v>
      </c>
      <c r="AB1955" s="74" t="s">
        <v>130</v>
      </c>
      <c r="AC1955" s="55" t="s">
        <v>130</v>
      </c>
      <c r="AL1955" s="74"/>
      <c r="AM1955" s="74"/>
    </row>
    <row r="1956" spans="1:50" ht="13" x14ac:dyDescent="0.15">
      <c r="A1956" s="55" t="str">
        <f>HYPERLINK("http://reports.ofsted.gov.uk/inspection-reports/find-inspection-report/provider/CARE/SC029560","Ofsted Social Care Provider Webpage")</f>
        <v>Ofsted Social Care Provider Webpage</v>
      </c>
      <c r="B1956" s="55" t="s">
        <v>2998</v>
      </c>
      <c r="D1956" s="55" t="s">
        <v>373</v>
      </c>
      <c r="E1956" s="74">
        <v>37398</v>
      </c>
      <c r="F1956" s="55" t="s">
        <v>344</v>
      </c>
      <c r="G1956" s="55" t="s">
        <v>360</v>
      </c>
      <c r="H1956" s="55" t="s">
        <v>360</v>
      </c>
      <c r="I1956" s="55" t="s">
        <v>360</v>
      </c>
      <c r="J1956" s="55" t="s">
        <v>360</v>
      </c>
      <c r="K1956" s="55" t="s">
        <v>360</v>
      </c>
      <c r="L1956" s="55" t="s">
        <v>360</v>
      </c>
      <c r="M1956" s="55" t="s">
        <v>138</v>
      </c>
      <c r="N1956" s="55" t="s">
        <v>138</v>
      </c>
      <c r="O1956" s="55" t="s">
        <v>259</v>
      </c>
      <c r="P1956" s="55" t="s">
        <v>1914</v>
      </c>
      <c r="Q1956" s="55" t="s">
        <v>350</v>
      </c>
      <c r="R1956" s="85">
        <v>6</v>
      </c>
      <c r="S1956" s="55">
        <v>0</v>
      </c>
      <c r="T1956" s="74" t="s">
        <v>638</v>
      </c>
      <c r="U1956" s="74" t="s">
        <v>6703</v>
      </c>
      <c r="V1956" s="74">
        <v>44629</v>
      </c>
      <c r="W1956" s="74">
        <v>44665</v>
      </c>
      <c r="X1956" s="55">
        <v>10205250</v>
      </c>
      <c r="Y1956" s="55" t="s">
        <v>6706</v>
      </c>
      <c r="AL1956" s="74"/>
      <c r="AM1956" s="74"/>
      <c r="AW1956" s="74"/>
      <c r="AX1956" s="74"/>
    </row>
    <row r="1957" spans="1:50" ht="13" x14ac:dyDescent="0.15">
      <c r="A1957" s="55" t="str">
        <f>HYPERLINK("http://reports.ofsted.gov.uk/inspection-reports/find-inspection-report/provider/CARE/SC029865","Ofsted Social Care Provider Webpage")</f>
        <v>Ofsted Social Care Provider Webpage</v>
      </c>
      <c r="B1957" s="55" t="s">
        <v>2999</v>
      </c>
      <c r="D1957" s="55" t="s">
        <v>373</v>
      </c>
      <c r="E1957" s="74">
        <v>37620</v>
      </c>
      <c r="F1957" s="55" t="s">
        <v>344</v>
      </c>
      <c r="G1957" s="55" t="s">
        <v>360</v>
      </c>
      <c r="H1957" s="55" t="s">
        <v>360</v>
      </c>
      <c r="I1957" s="55" t="s">
        <v>360</v>
      </c>
      <c r="J1957" s="55" t="s">
        <v>360</v>
      </c>
      <c r="K1957" s="55" t="s">
        <v>360</v>
      </c>
      <c r="L1957" s="55" t="s">
        <v>360</v>
      </c>
      <c r="M1957" s="55" t="s">
        <v>150</v>
      </c>
      <c r="N1957" s="55" t="s">
        <v>150</v>
      </c>
      <c r="O1957" s="55" t="s">
        <v>285</v>
      </c>
      <c r="P1957" s="55" t="s">
        <v>1810</v>
      </c>
      <c r="Q1957" s="55" t="s">
        <v>350</v>
      </c>
      <c r="R1957" s="85">
        <v>4</v>
      </c>
      <c r="S1957" s="55">
        <v>0</v>
      </c>
      <c r="T1957" s="74" t="s">
        <v>931</v>
      </c>
      <c r="U1957" s="74" t="s">
        <v>351</v>
      </c>
      <c r="V1957" s="74">
        <v>44573</v>
      </c>
      <c r="W1957" s="74">
        <v>44617</v>
      </c>
      <c r="X1957" s="55">
        <v>10186146</v>
      </c>
      <c r="Y1957" s="55" t="s">
        <v>132</v>
      </c>
      <c r="AB1957" s="74" t="s">
        <v>132</v>
      </c>
      <c r="AC1957" s="55" t="s">
        <v>132</v>
      </c>
      <c r="AL1957" s="74"/>
      <c r="AM1957" s="74"/>
      <c r="AW1957" s="74"/>
      <c r="AX1957" s="74"/>
    </row>
    <row r="1958" spans="1:50" ht="13" x14ac:dyDescent="0.15">
      <c r="A1958" s="55" t="str">
        <f>HYPERLINK("http://reports.ofsted.gov.uk/inspection-reports/find-inspection-report/provider/CARE/SC029950","Ofsted Social Care Provider Webpage")</f>
        <v>Ofsted Social Care Provider Webpage</v>
      </c>
      <c r="B1958" s="55" t="s">
        <v>3000</v>
      </c>
      <c r="D1958" s="55" t="s">
        <v>373</v>
      </c>
      <c r="E1958" s="74">
        <v>38114</v>
      </c>
      <c r="F1958" s="55" t="s">
        <v>344</v>
      </c>
      <c r="G1958" s="55" t="s">
        <v>360</v>
      </c>
      <c r="H1958" s="55" t="s">
        <v>360</v>
      </c>
      <c r="I1958" s="55" t="s">
        <v>360</v>
      </c>
      <c r="J1958" s="55" t="s">
        <v>360</v>
      </c>
      <c r="K1958" s="55" t="s">
        <v>360</v>
      </c>
      <c r="L1958" s="55" t="s">
        <v>360</v>
      </c>
      <c r="M1958" s="55" t="s">
        <v>136</v>
      </c>
      <c r="N1958" s="55" t="s">
        <v>136</v>
      </c>
      <c r="O1958" s="55" t="s">
        <v>255</v>
      </c>
      <c r="P1958" s="55" t="s">
        <v>609</v>
      </c>
      <c r="Q1958" s="55" t="s">
        <v>380</v>
      </c>
      <c r="R1958" s="85">
        <v>6</v>
      </c>
      <c r="S1958" s="55" t="s">
        <v>332</v>
      </c>
      <c r="T1958" s="74" t="s">
        <v>3001</v>
      </c>
      <c r="U1958" s="74" t="s">
        <v>351</v>
      </c>
      <c r="V1958" s="74">
        <v>44306</v>
      </c>
      <c r="W1958" s="74">
        <v>44343</v>
      </c>
      <c r="X1958" s="55">
        <v>10187192</v>
      </c>
      <c r="Y1958" s="55" t="s">
        <v>132</v>
      </c>
      <c r="AB1958" s="74" t="s">
        <v>132</v>
      </c>
      <c r="AC1958" s="55" t="s">
        <v>132</v>
      </c>
      <c r="AL1958" s="74"/>
      <c r="AM1958" s="74"/>
      <c r="AW1958" s="74"/>
      <c r="AX1958" s="74"/>
    </row>
    <row r="1959" spans="1:50" ht="13" x14ac:dyDescent="0.15">
      <c r="A1959" s="55" t="str">
        <f>HYPERLINK("http://reports.ofsted.gov.uk/inspection-reports/find-inspection-report/provider/CARE/SC030367","Ofsted Social Care Provider Webpage")</f>
        <v>Ofsted Social Care Provider Webpage</v>
      </c>
      <c r="B1959" s="55" t="s">
        <v>3002</v>
      </c>
      <c r="D1959" s="55" t="s">
        <v>479</v>
      </c>
      <c r="E1959" s="74">
        <v>37895</v>
      </c>
      <c r="F1959" s="55" t="s">
        <v>344</v>
      </c>
      <c r="G1959" s="55" t="s">
        <v>360</v>
      </c>
      <c r="H1959" s="55" t="s">
        <v>360</v>
      </c>
      <c r="I1959" s="55" t="s">
        <v>360</v>
      </c>
      <c r="J1959" s="55" t="s">
        <v>360</v>
      </c>
      <c r="K1959" s="55" t="s">
        <v>360</v>
      </c>
      <c r="L1959" s="55" t="s">
        <v>360</v>
      </c>
      <c r="M1959" s="55" t="s">
        <v>136</v>
      </c>
      <c r="N1959" s="55" t="s">
        <v>136</v>
      </c>
      <c r="O1959" s="55" t="s">
        <v>185</v>
      </c>
      <c r="P1959" s="55" t="s">
        <v>3003</v>
      </c>
      <c r="Q1959" s="55" t="s">
        <v>362</v>
      </c>
      <c r="R1959" s="85">
        <v>42</v>
      </c>
      <c r="S1959" s="55">
        <v>0</v>
      </c>
      <c r="T1959" s="74" t="s">
        <v>3004</v>
      </c>
      <c r="U1959" s="74" t="s">
        <v>351</v>
      </c>
      <c r="V1959" s="74">
        <v>44503</v>
      </c>
      <c r="W1959" s="74">
        <v>44531</v>
      </c>
      <c r="X1959" s="55">
        <v>10185526</v>
      </c>
      <c r="Y1959" s="55" t="s">
        <v>132</v>
      </c>
      <c r="AB1959" s="74" t="s">
        <v>132</v>
      </c>
      <c r="AC1959" s="55" t="s">
        <v>132</v>
      </c>
      <c r="AL1959" s="74"/>
      <c r="AM1959" s="74"/>
      <c r="AW1959" s="74"/>
      <c r="AX1959" s="74"/>
    </row>
    <row r="1960" spans="1:50" ht="13" x14ac:dyDescent="0.15">
      <c r="A1960" s="55" t="str">
        <f>HYPERLINK("http://reports.ofsted.gov.uk/inspection-reports/find-inspection-report/provider/CARE/SC030439","Ofsted Social Care Provider Webpage")</f>
        <v>Ofsted Social Care Provider Webpage</v>
      </c>
      <c r="B1960" s="55" t="s">
        <v>3005</v>
      </c>
      <c r="D1960" s="55" t="s">
        <v>373</v>
      </c>
      <c r="E1960" s="74">
        <v>38114</v>
      </c>
      <c r="F1960" s="55" t="s">
        <v>344</v>
      </c>
      <c r="G1960" s="55" t="s">
        <v>360</v>
      </c>
      <c r="H1960" s="55" t="s">
        <v>360</v>
      </c>
      <c r="I1960" s="55" t="s">
        <v>360</v>
      </c>
      <c r="J1960" s="55" t="s">
        <v>360</v>
      </c>
      <c r="K1960" s="55" t="s">
        <v>360</v>
      </c>
      <c r="L1960" s="55" t="s">
        <v>360</v>
      </c>
      <c r="M1960" s="55" t="s">
        <v>136</v>
      </c>
      <c r="N1960" s="55" t="s">
        <v>136</v>
      </c>
      <c r="O1960" s="55" t="s">
        <v>255</v>
      </c>
      <c r="P1960" s="55" t="s">
        <v>583</v>
      </c>
      <c r="Q1960" s="55" t="s">
        <v>380</v>
      </c>
      <c r="R1960" s="85">
        <v>6</v>
      </c>
      <c r="S1960" s="55">
        <v>0</v>
      </c>
      <c r="T1960" s="74" t="s">
        <v>3001</v>
      </c>
      <c r="U1960" s="74" t="s">
        <v>351</v>
      </c>
      <c r="V1960" s="74">
        <v>44384</v>
      </c>
      <c r="W1960" s="74">
        <v>44414</v>
      </c>
      <c r="X1960" s="55">
        <v>10185240</v>
      </c>
      <c r="Y1960" s="55" t="s">
        <v>130</v>
      </c>
      <c r="AB1960" s="74" t="s">
        <v>130</v>
      </c>
      <c r="AC1960" s="55" t="s">
        <v>146</v>
      </c>
      <c r="AL1960" s="74"/>
      <c r="AM1960" s="74"/>
      <c r="AW1960" s="74"/>
      <c r="AX1960" s="74"/>
    </row>
    <row r="1961" spans="1:50" ht="13" x14ac:dyDescent="0.15">
      <c r="A1961" s="55" t="str">
        <f>HYPERLINK("http://reports.ofsted.gov.uk/inspection-reports/find-inspection-report/provider/CARE/SC030650","Ofsted Social Care Provider Webpage")</f>
        <v>Ofsted Social Care Provider Webpage</v>
      </c>
      <c r="B1961" s="55" t="s">
        <v>3006</v>
      </c>
      <c r="D1961" s="55" t="s">
        <v>373</v>
      </c>
      <c r="E1961" s="74">
        <v>37610</v>
      </c>
      <c r="F1961" s="55" t="s">
        <v>344</v>
      </c>
      <c r="G1961" s="55" t="s">
        <v>360</v>
      </c>
      <c r="H1961" s="55" t="s">
        <v>360</v>
      </c>
      <c r="I1961" s="55" t="s">
        <v>360</v>
      </c>
      <c r="J1961" s="55" t="s">
        <v>360</v>
      </c>
      <c r="K1961" s="55" t="s">
        <v>360</v>
      </c>
      <c r="L1961" s="55" t="s">
        <v>360</v>
      </c>
      <c r="M1961" s="55" t="s">
        <v>136</v>
      </c>
      <c r="N1961" s="55" t="s">
        <v>136</v>
      </c>
      <c r="O1961" s="55" t="s">
        <v>185</v>
      </c>
      <c r="P1961" s="55" t="s">
        <v>1292</v>
      </c>
      <c r="Q1961" s="55" t="s">
        <v>350</v>
      </c>
      <c r="R1961" s="85">
        <v>5</v>
      </c>
      <c r="S1961" s="55">
        <v>0</v>
      </c>
      <c r="T1961" s="74" t="s">
        <v>2994</v>
      </c>
      <c r="U1961" s="74" t="s">
        <v>351</v>
      </c>
      <c r="V1961" s="74">
        <v>44608</v>
      </c>
      <c r="W1961" s="74">
        <v>44652</v>
      </c>
      <c r="X1961" s="55">
        <v>10187339</v>
      </c>
      <c r="Y1961" s="55" t="s">
        <v>132</v>
      </c>
      <c r="AB1961" s="74" t="s">
        <v>132</v>
      </c>
      <c r="AC1961" s="55" t="s">
        <v>132</v>
      </c>
      <c r="AL1961" s="74"/>
      <c r="AM1961" s="74"/>
      <c r="AW1961" s="74"/>
      <c r="AX1961" s="74"/>
    </row>
    <row r="1962" spans="1:50" ht="13" x14ac:dyDescent="0.15">
      <c r="A1962" s="55" t="str">
        <f>HYPERLINK("http://reports.ofsted.gov.uk/inspection-reports/find-inspection-report/provider/CARE/SC030677","Ofsted Social Care Provider Webpage")</f>
        <v>Ofsted Social Care Provider Webpage</v>
      </c>
      <c r="B1962" s="55" t="s">
        <v>3007</v>
      </c>
      <c r="D1962" s="55" t="s">
        <v>373</v>
      </c>
      <c r="E1962" s="74">
        <v>38302</v>
      </c>
      <c r="F1962" s="55" t="s">
        <v>344</v>
      </c>
      <c r="G1962" s="55" t="s">
        <v>360</v>
      </c>
      <c r="H1962" s="55" t="s">
        <v>360</v>
      </c>
      <c r="I1962" s="55" t="s">
        <v>360</v>
      </c>
      <c r="J1962" s="55" t="s">
        <v>360</v>
      </c>
      <c r="K1962" s="55" t="s">
        <v>360</v>
      </c>
      <c r="L1962" s="55" t="s">
        <v>360</v>
      </c>
      <c r="M1962" s="55" t="s">
        <v>150</v>
      </c>
      <c r="N1962" s="55" t="s">
        <v>150</v>
      </c>
      <c r="O1962" s="55" t="s">
        <v>283</v>
      </c>
      <c r="P1962" s="55" t="s">
        <v>1333</v>
      </c>
      <c r="Q1962" s="55" t="s">
        <v>380</v>
      </c>
      <c r="R1962" s="85">
        <v>6</v>
      </c>
      <c r="S1962" s="55" t="s">
        <v>332</v>
      </c>
      <c r="T1962" s="74" t="s">
        <v>3008</v>
      </c>
      <c r="U1962" s="74" t="s">
        <v>351</v>
      </c>
      <c r="V1962" s="74">
        <v>44334</v>
      </c>
      <c r="W1962" s="74">
        <v>44413</v>
      </c>
      <c r="X1962" s="55">
        <v>10185416</v>
      </c>
      <c r="Y1962" s="55" t="s">
        <v>132</v>
      </c>
      <c r="AB1962" s="74" t="s">
        <v>132</v>
      </c>
      <c r="AC1962" s="55" t="s">
        <v>132</v>
      </c>
      <c r="AL1962" s="74"/>
      <c r="AM1962" s="74"/>
      <c r="AW1962" s="74"/>
      <c r="AX1962" s="74"/>
    </row>
    <row r="1963" spans="1:50" ht="13" x14ac:dyDescent="0.15">
      <c r="A1963" s="55" t="str">
        <f>HYPERLINK("http://reports.ofsted.gov.uk/inspection-reports/find-inspection-report/provider/CARE/SC030713","Ofsted Social Care Provider Webpage")</f>
        <v>Ofsted Social Care Provider Webpage</v>
      </c>
      <c r="B1963" s="55" t="s">
        <v>3009</v>
      </c>
      <c r="D1963" s="55" t="s">
        <v>373</v>
      </c>
      <c r="E1963" s="74">
        <v>38120</v>
      </c>
      <c r="F1963" s="55" t="s">
        <v>344</v>
      </c>
      <c r="G1963" s="55" t="s">
        <v>360</v>
      </c>
      <c r="H1963" s="55" t="s">
        <v>360</v>
      </c>
      <c r="I1963" s="55" t="s">
        <v>360</v>
      </c>
      <c r="J1963" s="55" t="s">
        <v>360</v>
      </c>
      <c r="K1963" s="55" t="s">
        <v>360</v>
      </c>
      <c r="L1963" s="55" t="s">
        <v>360</v>
      </c>
      <c r="M1963" s="55" t="s">
        <v>150</v>
      </c>
      <c r="N1963" s="55" t="s">
        <v>150</v>
      </c>
      <c r="O1963" s="55" t="s">
        <v>291</v>
      </c>
      <c r="P1963" s="55" t="s">
        <v>486</v>
      </c>
      <c r="Q1963" s="55" t="s">
        <v>380</v>
      </c>
      <c r="R1963" s="85">
        <v>5</v>
      </c>
      <c r="S1963" s="55" t="s">
        <v>332</v>
      </c>
      <c r="T1963" s="74" t="s">
        <v>3010</v>
      </c>
      <c r="U1963" s="74" t="s">
        <v>351</v>
      </c>
      <c r="V1963" s="74">
        <v>44377</v>
      </c>
      <c r="W1963" s="74">
        <v>44442</v>
      </c>
      <c r="X1963" s="55">
        <v>10185332</v>
      </c>
      <c r="Y1963" s="55" t="s">
        <v>140</v>
      </c>
      <c r="AB1963" s="74" t="s">
        <v>140</v>
      </c>
      <c r="AC1963" s="55" t="s">
        <v>140</v>
      </c>
      <c r="AL1963" s="74"/>
      <c r="AM1963" s="74"/>
      <c r="AW1963" s="74"/>
      <c r="AX1963" s="74"/>
    </row>
    <row r="1964" spans="1:50" ht="13" x14ac:dyDescent="0.15">
      <c r="A1964" s="55" t="str">
        <f>HYPERLINK("http://reports.ofsted.gov.uk/inspection-reports/find-inspection-report/provider/CARE/SC030797","Ofsted Social Care Provider Webpage")</f>
        <v>Ofsted Social Care Provider Webpage</v>
      </c>
      <c r="B1964" s="55" t="s">
        <v>3011</v>
      </c>
      <c r="D1964" s="55" t="s">
        <v>373</v>
      </c>
      <c r="E1964" s="74">
        <v>37530</v>
      </c>
      <c r="F1964" s="55" t="s">
        <v>344</v>
      </c>
      <c r="G1964" s="55" t="s">
        <v>360</v>
      </c>
      <c r="H1964" s="55" t="s">
        <v>360</v>
      </c>
      <c r="I1964" s="55" t="s">
        <v>360</v>
      </c>
      <c r="J1964" s="55" t="s">
        <v>360</v>
      </c>
      <c r="K1964" s="55" t="s">
        <v>360</v>
      </c>
      <c r="L1964" s="55" t="s">
        <v>360</v>
      </c>
      <c r="M1964" s="55" t="s">
        <v>150</v>
      </c>
      <c r="N1964" s="55" t="s">
        <v>150</v>
      </c>
      <c r="O1964" s="55" t="s">
        <v>203</v>
      </c>
      <c r="P1964" s="55" t="s">
        <v>1268</v>
      </c>
      <c r="Q1964" s="55" t="s">
        <v>350</v>
      </c>
      <c r="R1964" s="85">
        <v>9</v>
      </c>
      <c r="S1964" s="55">
        <v>0</v>
      </c>
      <c r="T1964" s="74" t="s">
        <v>2891</v>
      </c>
      <c r="U1964" s="74" t="s">
        <v>351</v>
      </c>
      <c r="V1964" s="74">
        <v>44405</v>
      </c>
      <c r="W1964" s="74">
        <v>44442</v>
      </c>
      <c r="X1964" s="55">
        <v>10186798</v>
      </c>
      <c r="Y1964" s="55" t="s">
        <v>132</v>
      </c>
      <c r="AB1964" s="74" t="s">
        <v>132</v>
      </c>
      <c r="AC1964" s="55" t="s">
        <v>132</v>
      </c>
      <c r="AL1964" s="74"/>
      <c r="AM1964" s="74"/>
      <c r="AW1964" s="74"/>
      <c r="AX1964" s="74"/>
    </row>
    <row r="1965" spans="1:50" ht="13" x14ac:dyDescent="0.15">
      <c r="A1965" s="55" t="str">
        <f>HYPERLINK("http://reports.ofsted.gov.uk/inspection-reports/find-inspection-report/provider/CARE/SC030967","Ofsted Social Care Provider Webpage")</f>
        <v>Ofsted Social Care Provider Webpage</v>
      </c>
      <c r="B1965" s="55" t="s">
        <v>3012</v>
      </c>
      <c r="D1965" s="55" t="s">
        <v>373</v>
      </c>
      <c r="E1965" s="74">
        <v>37697</v>
      </c>
      <c r="F1965" s="55" t="s">
        <v>344</v>
      </c>
      <c r="G1965" s="55" t="s">
        <v>360</v>
      </c>
      <c r="H1965" s="55" t="s">
        <v>360</v>
      </c>
      <c r="I1965" s="55" t="s">
        <v>360</v>
      </c>
      <c r="J1965" s="55" t="s">
        <v>360</v>
      </c>
      <c r="K1965" s="55" t="s">
        <v>360</v>
      </c>
      <c r="L1965" s="55" t="s">
        <v>360</v>
      </c>
      <c r="M1965" s="55" t="s">
        <v>378</v>
      </c>
      <c r="N1965" s="55" t="s">
        <v>170</v>
      </c>
      <c r="O1965" s="55" t="s">
        <v>193</v>
      </c>
      <c r="P1965" s="55" t="s">
        <v>193</v>
      </c>
      <c r="Q1965" s="55" t="s">
        <v>380</v>
      </c>
      <c r="R1965" s="85">
        <v>8</v>
      </c>
      <c r="S1965" s="55">
        <v>0</v>
      </c>
      <c r="T1965" s="74" t="s">
        <v>1353</v>
      </c>
      <c r="U1965" s="74" t="s">
        <v>351</v>
      </c>
      <c r="V1965" s="74">
        <v>44355</v>
      </c>
      <c r="W1965" s="74">
        <v>44398</v>
      </c>
      <c r="X1965" s="55">
        <v>10185685</v>
      </c>
      <c r="Y1965" s="55" t="s">
        <v>140</v>
      </c>
      <c r="AB1965" s="74" t="s">
        <v>132</v>
      </c>
      <c r="AC1965" s="55" t="s">
        <v>140</v>
      </c>
      <c r="AL1965" s="74"/>
      <c r="AM1965" s="74"/>
      <c r="AW1965" s="74"/>
      <c r="AX1965" s="74"/>
    </row>
    <row r="1966" spans="1:50" ht="13" x14ac:dyDescent="0.15">
      <c r="A1966" s="55" t="str">
        <f>HYPERLINK("http://reports.ofsted.gov.uk/inspection-reports/find-inspection-report/provider/CARE/SC031220","Ofsted Social Care Provider Webpage")</f>
        <v>Ofsted Social Care Provider Webpage</v>
      </c>
      <c r="B1966" s="55" t="s">
        <v>3019</v>
      </c>
      <c r="D1966" s="55" t="s">
        <v>373</v>
      </c>
      <c r="E1966" s="74">
        <v>37523</v>
      </c>
      <c r="F1966" s="55" t="s">
        <v>344</v>
      </c>
      <c r="G1966" s="55" t="s">
        <v>360</v>
      </c>
      <c r="H1966" s="55" t="s">
        <v>360</v>
      </c>
      <c r="I1966" s="55" t="s">
        <v>360</v>
      </c>
      <c r="J1966" s="55" t="s">
        <v>360</v>
      </c>
      <c r="K1966" s="55" t="s">
        <v>360</v>
      </c>
      <c r="L1966" s="55" t="s">
        <v>360</v>
      </c>
      <c r="M1966" s="55" t="s">
        <v>378</v>
      </c>
      <c r="N1966" s="55" t="s">
        <v>134</v>
      </c>
      <c r="O1966" s="55" t="s">
        <v>158</v>
      </c>
      <c r="P1966" s="55" t="s">
        <v>912</v>
      </c>
      <c r="Q1966" s="55" t="s">
        <v>350</v>
      </c>
      <c r="R1966" s="85">
        <v>6</v>
      </c>
      <c r="S1966" s="55">
        <v>0</v>
      </c>
      <c r="T1966" s="74" t="s">
        <v>574</v>
      </c>
      <c r="U1966" s="74" t="s">
        <v>351</v>
      </c>
      <c r="V1966" s="74">
        <v>44606</v>
      </c>
      <c r="W1966" s="74">
        <v>44652</v>
      </c>
      <c r="X1966" s="55">
        <v>10187163</v>
      </c>
      <c r="Y1966" s="55" t="s">
        <v>132</v>
      </c>
      <c r="AB1966" s="74" t="s">
        <v>132</v>
      </c>
      <c r="AC1966" s="55" t="s">
        <v>132</v>
      </c>
      <c r="AL1966" s="74"/>
      <c r="AM1966" s="74"/>
      <c r="AW1966" s="74"/>
      <c r="AX1966" s="74"/>
    </row>
    <row r="1967" spans="1:50" ht="13" x14ac:dyDescent="0.15">
      <c r="A1967" s="55" t="str">
        <f>HYPERLINK("http://reports.ofsted.gov.uk/inspection-reports/find-inspection-report/provider/CARE/SC031479","Ofsted Social Care Provider Webpage")</f>
        <v>Ofsted Social Care Provider Webpage</v>
      </c>
      <c r="B1967" s="55" t="s">
        <v>3027</v>
      </c>
      <c r="D1967" s="55" t="s">
        <v>373</v>
      </c>
      <c r="E1967" s="74">
        <v>37708</v>
      </c>
      <c r="F1967" s="55" t="s">
        <v>344</v>
      </c>
      <c r="G1967" s="55" t="s">
        <v>360</v>
      </c>
      <c r="H1967" s="55" t="s">
        <v>360</v>
      </c>
      <c r="I1967" s="55" t="s">
        <v>360</v>
      </c>
      <c r="J1967" s="55" t="s">
        <v>360</v>
      </c>
      <c r="K1967" s="55" t="s">
        <v>360</v>
      </c>
      <c r="L1967" s="55" t="s">
        <v>360</v>
      </c>
      <c r="M1967" s="55" t="s">
        <v>129</v>
      </c>
      <c r="N1967" s="55" t="s">
        <v>129</v>
      </c>
      <c r="O1967" s="55" t="s">
        <v>260</v>
      </c>
      <c r="P1967" s="55" t="s">
        <v>753</v>
      </c>
      <c r="Q1967" s="55" t="s">
        <v>380</v>
      </c>
      <c r="R1967" s="85">
        <v>5</v>
      </c>
      <c r="S1967" s="55" t="s">
        <v>332</v>
      </c>
      <c r="T1967" s="74" t="s">
        <v>3028</v>
      </c>
      <c r="U1967" s="74" t="s">
        <v>351</v>
      </c>
      <c r="V1967" s="74">
        <v>44391</v>
      </c>
      <c r="W1967" s="74">
        <v>44491</v>
      </c>
      <c r="X1967" s="55">
        <v>10186628</v>
      </c>
      <c r="Y1967" s="55" t="s">
        <v>132</v>
      </c>
      <c r="AB1967" s="74" t="s">
        <v>130</v>
      </c>
      <c r="AC1967" s="55" t="s">
        <v>132</v>
      </c>
      <c r="AL1967" s="74"/>
      <c r="AM1967" s="74"/>
      <c r="AW1967" s="74"/>
      <c r="AX1967" s="74"/>
    </row>
    <row r="1968" spans="1:50" ht="13" x14ac:dyDescent="0.15">
      <c r="A1968" s="55" t="str">
        <f>HYPERLINK("http://reports.ofsted.gov.uk/inspection-reports/find-inspection-report/provider/CARE/SC031490","Ofsted Social Care Provider Webpage")</f>
        <v>Ofsted Social Care Provider Webpage</v>
      </c>
      <c r="B1968" s="55" t="s">
        <v>3029</v>
      </c>
      <c r="D1968" s="55" t="s">
        <v>2864</v>
      </c>
      <c r="E1968" s="74">
        <v>37844</v>
      </c>
      <c r="F1968" s="55" t="s">
        <v>344</v>
      </c>
      <c r="G1968" s="55" t="s">
        <v>360</v>
      </c>
      <c r="H1968" s="55" t="s">
        <v>360</v>
      </c>
      <c r="I1968" s="55" t="s">
        <v>360</v>
      </c>
      <c r="J1968" s="55" t="s">
        <v>360</v>
      </c>
      <c r="K1968" s="55" t="s">
        <v>360</v>
      </c>
      <c r="L1968" s="55" t="s">
        <v>360</v>
      </c>
      <c r="M1968" s="55" t="s">
        <v>150</v>
      </c>
      <c r="N1968" s="55" t="s">
        <v>150</v>
      </c>
      <c r="O1968" s="55" t="s">
        <v>181</v>
      </c>
      <c r="P1968" s="55" t="s">
        <v>1142</v>
      </c>
      <c r="Q1968" s="55" t="s">
        <v>380</v>
      </c>
      <c r="R1968" s="85">
        <v>7</v>
      </c>
      <c r="S1968" s="55">
        <v>0</v>
      </c>
      <c r="T1968" s="74" t="s">
        <v>3026</v>
      </c>
      <c r="U1968" s="74" t="s">
        <v>6703</v>
      </c>
      <c r="V1968" s="74">
        <v>44411</v>
      </c>
      <c r="W1968" s="74">
        <v>44441</v>
      </c>
      <c r="X1968" s="55">
        <v>10165459</v>
      </c>
      <c r="Y1968" s="55" t="s">
        <v>6706</v>
      </c>
      <c r="AL1968" s="74"/>
      <c r="AM1968" s="74"/>
      <c r="AW1968" s="74"/>
      <c r="AX1968" s="74"/>
    </row>
    <row r="1969" spans="1:50" ht="13" x14ac:dyDescent="0.15">
      <c r="A1969" s="55" t="str">
        <f>HYPERLINK("http://reports.ofsted.gov.uk/inspection-reports/find-inspection-report/provider/CARE/SC031490","Ofsted Social Care Provider Webpage")</f>
        <v>Ofsted Social Care Provider Webpage</v>
      </c>
      <c r="B1969" s="55" t="s">
        <v>3029</v>
      </c>
      <c r="D1969" s="55" t="s">
        <v>2864</v>
      </c>
      <c r="E1969" s="74">
        <v>37844</v>
      </c>
      <c r="F1969" s="55" t="s">
        <v>344</v>
      </c>
      <c r="G1969" s="55" t="s">
        <v>360</v>
      </c>
      <c r="H1969" s="55" t="s">
        <v>360</v>
      </c>
      <c r="I1969" s="55" t="s">
        <v>360</v>
      </c>
      <c r="J1969" s="55" t="s">
        <v>360</v>
      </c>
      <c r="K1969" s="55" t="s">
        <v>360</v>
      </c>
      <c r="L1969" s="55" t="s">
        <v>360</v>
      </c>
      <c r="M1969" s="55" t="s">
        <v>150</v>
      </c>
      <c r="N1969" s="55" t="s">
        <v>150</v>
      </c>
      <c r="O1969" s="55" t="s">
        <v>181</v>
      </c>
      <c r="P1969" s="55" t="s">
        <v>1142</v>
      </c>
      <c r="Q1969" s="55" t="s">
        <v>380</v>
      </c>
      <c r="R1969" s="85">
        <v>7</v>
      </c>
      <c r="S1969" s="55">
        <v>0</v>
      </c>
      <c r="T1969" s="74" t="s">
        <v>3026</v>
      </c>
      <c r="U1969" s="74" t="s">
        <v>351</v>
      </c>
      <c r="V1969" s="74">
        <v>44544</v>
      </c>
      <c r="W1969" s="74">
        <v>44582</v>
      </c>
      <c r="X1969" s="55">
        <v>10165457</v>
      </c>
      <c r="Y1969" s="55" t="s">
        <v>132</v>
      </c>
      <c r="Z1969" s="55" t="s">
        <v>132</v>
      </c>
      <c r="AA1969" s="55" t="s">
        <v>132</v>
      </c>
      <c r="AB1969" s="74" t="s">
        <v>132</v>
      </c>
      <c r="AC1969" s="55" t="s">
        <v>132</v>
      </c>
      <c r="AL1969" s="74"/>
      <c r="AM1969" s="74"/>
      <c r="AW1969" s="74"/>
      <c r="AX1969" s="74"/>
    </row>
    <row r="1970" spans="1:50" ht="13" x14ac:dyDescent="0.15">
      <c r="A1970" s="55" t="str">
        <f>HYPERLINK("http://reports.ofsted.gov.uk/inspection-reports/find-inspection-report/provider/CARE/SC031504","Ofsted Social Care Provider Webpage")</f>
        <v>Ofsted Social Care Provider Webpage</v>
      </c>
      <c r="B1970" s="55" t="s">
        <v>3030</v>
      </c>
      <c r="D1970" s="55" t="s">
        <v>373</v>
      </c>
      <c r="E1970" s="74">
        <v>37728</v>
      </c>
      <c r="F1970" s="55" t="s">
        <v>344</v>
      </c>
      <c r="G1970" s="55" t="s">
        <v>360</v>
      </c>
      <c r="H1970" s="55" t="s">
        <v>360</v>
      </c>
      <c r="I1970" s="55" t="s">
        <v>360</v>
      </c>
      <c r="J1970" s="55" t="s">
        <v>360</v>
      </c>
      <c r="K1970" s="55" t="s">
        <v>360</v>
      </c>
      <c r="L1970" s="55" t="s">
        <v>360</v>
      </c>
      <c r="M1970" s="55" t="s">
        <v>136</v>
      </c>
      <c r="N1970" s="55" t="s">
        <v>136</v>
      </c>
      <c r="O1970" s="55" t="s">
        <v>154</v>
      </c>
      <c r="P1970" s="55" t="s">
        <v>2290</v>
      </c>
      <c r="Q1970" s="55" t="s">
        <v>380</v>
      </c>
      <c r="R1970" s="85">
        <v>6</v>
      </c>
      <c r="S1970" s="55" t="s">
        <v>332</v>
      </c>
      <c r="T1970" s="74" t="s">
        <v>1687</v>
      </c>
      <c r="U1970" s="74" t="s">
        <v>351</v>
      </c>
      <c r="V1970" s="74">
        <v>44334</v>
      </c>
      <c r="W1970" s="74">
        <v>44369</v>
      </c>
      <c r="X1970" s="55">
        <v>10185386</v>
      </c>
      <c r="Y1970" s="55" t="s">
        <v>132</v>
      </c>
      <c r="AB1970" s="74" t="s">
        <v>132</v>
      </c>
      <c r="AC1970" s="55" t="s">
        <v>132</v>
      </c>
      <c r="AL1970" s="74"/>
      <c r="AM1970" s="74"/>
      <c r="AW1970" s="74"/>
      <c r="AX1970" s="74"/>
    </row>
    <row r="1971" spans="1:50" ht="13" x14ac:dyDescent="0.15">
      <c r="A1971" s="55" t="str">
        <f>HYPERLINK("http://reports.ofsted.gov.uk/inspection-reports/find-inspection-report/provider/CARE/SC031698","Ofsted Social Care Provider Webpage")</f>
        <v>Ofsted Social Care Provider Webpage</v>
      </c>
      <c r="B1971" s="55" t="s">
        <v>3038</v>
      </c>
      <c r="D1971" s="55" t="s">
        <v>373</v>
      </c>
      <c r="E1971" s="74">
        <v>37833</v>
      </c>
      <c r="F1971" s="55" t="s">
        <v>344</v>
      </c>
      <c r="G1971" s="55" t="s">
        <v>360</v>
      </c>
      <c r="H1971" s="55" t="s">
        <v>360</v>
      </c>
      <c r="I1971" s="55" t="s">
        <v>360</v>
      </c>
      <c r="J1971" s="55" t="s">
        <v>360</v>
      </c>
      <c r="K1971" s="55" t="s">
        <v>360</v>
      </c>
      <c r="L1971" s="55" t="s">
        <v>360</v>
      </c>
      <c r="M1971" s="55" t="s">
        <v>150</v>
      </c>
      <c r="N1971" s="55" t="s">
        <v>150</v>
      </c>
      <c r="O1971" s="55" t="s">
        <v>181</v>
      </c>
      <c r="P1971" s="55" t="s">
        <v>626</v>
      </c>
      <c r="Q1971" s="55" t="s">
        <v>380</v>
      </c>
      <c r="R1971" s="85">
        <v>8</v>
      </c>
      <c r="S1971" s="55">
        <v>0</v>
      </c>
      <c r="T1971" s="74" t="s">
        <v>3026</v>
      </c>
      <c r="U1971" s="74" t="s">
        <v>351</v>
      </c>
      <c r="V1971" s="74">
        <v>44455</v>
      </c>
      <c r="W1971" s="74">
        <v>44503</v>
      </c>
      <c r="X1971" s="55">
        <v>10185069</v>
      </c>
      <c r="Y1971" s="55" t="s">
        <v>132</v>
      </c>
      <c r="AB1971" s="74" t="s">
        <v>132</v>
      </c>
      <c r="AC1971" s="55" t="s">
        <v>132</v>
      </c>
      <c r="AL1971" s="74"/>
      <c r="AM1971" s="74"/>
    </row>
    <row r="1972" spans="1:50" ht="13" x14ac:dyDescent="0.15">
      <c r="A1972" s="55" t="str">
        <f>HYPERLINK("http://reports.ofsted.gov.uk/inspection-reports/find-inspection-report/provider/CARE/SC032058","Ofsted Social Care Provider Webpage")</f>
        <v>Ofsted Social Care Provider Webpage</v>
      </c>
      <c r="B1972" s="55" t="s">
        <v>3039</v>
      </c>
      <c r="D1972" s="55" t="s">
        <v>373</v>
      </c>
      <c r="E1972" s="74">
        <v>37847</v>
      </c>
      <c r="F1972" s="55" t="s">
        <v>344</v>
      </c>
      <c r="G1972" s="55" t="s">
        <v>360</v>
      </c>
      <c r="H1972" s="55" t="s">
        <v>360</v>
      </c>
      <c r="I1972" s="55" t="s">
        <v>360</v>
      </c>
      <c r="J1972" s="55" t="s">
        <v>360</v>
      </c>
      <c r="K1972" s="55" t="s">
        <v>360</v>
      </c>
      <c r="L1972" s="55" t="s">
        <v>360</v>
      </c>
      <c r="M1972" s="55" t="s">
        <v>150</v>
      </c>
      <c r="N1972" s="55" t="s">
        <v>150</v>
      </c>
      <c r="O1972" s="55" t="s">
        <v>156</v>
      </c>
      <c r="P1972" s="55" t="s">
        <v>1277</v>
      </c>
      <c r="Q1972" s="55" t="s">
        <v>380</v>
      </c>
      <c r="R1972" s="85">
        <v>6</v>
      </c>
      <c r="S1972" s="55">
        <v>0</v>
      </c>
      <c r="T1972" s="74" t="s">
        <v>1278</v>
      </c>
      <c r="U1972" s="74" t="s">
        <v>351</v>
      </c>
      <c r="V1972" s="74">
        <v>44313</v>
      </c>
      <c r="W1972" s="74">
        <v>44362</v>
      </c>
      <c r="X1972" s="55">
        <v>10187343</v>
      </c>
      <c r="Y1972" s="55" t="s">
        <v>132</v>
      </c>
      <c r="AB1972" s="74" t="s">
        <v>132</v>
      </c>
      <c r="AC1972" s="55" t="s">
        <v>132</v>
      </c>
      <c r="AL1972" s="74"/>
      <c r="AM1972" s="74"/>
      <c r="AW1972" s="74"/>
      <c r="AX1972" s="74"/>
    </row>
    <row r="1973" spans="1:50" ht="13" x14ac:dyDescent="0.15">
      <c r="A1973" s="55" t="str">
        <f>HYPERLINK("http://reports.ofsted.gov.uk/inspection-reports/find-inspection-report/provider/CARE/SC032069","Ofsted Social Care Provider Webpage")</f>
        <v>Ofsted Social Care Provider Webpage</v>
      </c>
      <c r="B1973" s="55" t="s">
        <v>3040</v>
      </c>
      <c r="D1973" s="55" t="s">
        <v>373</v>
      </c>
      <c r="E1973" s="74">
        <v>37469</v>
      </c>
      <c r="F1973" s="55" t="s">
        <v>344</v>
      </c>
      <c r="G1973" s="55" t="s">
        <v>360</v>
      </c>
      <c r="H1973" s="55" t="s">
        <v>360</v>
      </c>
      <c r="I1973" s="55" t="s">
        <v>360</v>
      </c>
      <c r="J1973" s="55" t="s">
        <v>360</v>
      </c>
      <c r="K1973" s="55" t="s">
        <v>360</v>
      </c>
      <c r="L1973" s="55" t="s">
        <v>360</v>
      </c>
      <c r="M1973" s="55" t="s">
        <v>172</v>
      </c>
      <c r="N1973" s="55" t="s">
        <v>172</v>
      </c>
      <c r="O1973" s="55" t="s">
        <v>212</v>
      </c>
      <c r="P1973" s="55" t="s">
        <v>547</v>
      </c>
      <c r="Q1973" s="55" t="s">
        <v>362</v>
      </c>
      <c r="R1973" s="85">
        <v>8</v>
      </c>
      <c r="S1973" s="55" t="s">
        <v>332</v>
      </c>
      <c r="T1973" s="74" t="s">
        <v>3041</v>
      </c>
      <c r="U1973" s="74" t="s">
        <v>351</v>
      </c>
      <c r="V1973" s="74">
        <v>44355</v>
      </c>
      <c r="W1973" s="74">
        <v>44377</v>
      </c>
      <c r="X1973" s="55">
        <v>10187257</v>
      </c>
      <c r="Y1973" s="55" t="s">
        <v>132</v>
      </c>
      <c r="AB1973" s="74" t="s">
        <v>132</v>
      </c>
      <c r="AC1973" s="55" t="s">
        <v>130</v>
      </c>
      <c r="AL1973" s="74"/>
      <c r="AM1973" s="74"/>
      <c r="AW1973" s="74"/>
      <c r="AX1973" s="74"/>
    </row>
    <row r="1974" spans="1:50" ht="13" x14ac:dyDescent="0.15">
      <c r="A1974" s="55" t="str">
        <f>HYPERLINK("http://reports.ofsted.gov.uk/inspection-reports/find-inspection-report/provider/CARE/SC032083","Ofsted Social Care Provider Webpage")</f>
        <v>Ofsted Social Care Provider Webpage</v>
      </c>
      <c r="B1974" s="55" t="s">
        <v>3042</v>
      </c>
      <c r="D1974" s="55" t="s">
        <v>373</v>
      </c>
      <c r="E1974" s="74">
        <v>37434</v>
      </c>
      <c r="F1974" s="55" t="s">
        <v>344</v>
      </c>
      <c r="G1974" s="55" t="s">
        <v>360</v>
      </c>
      <c r="H1974" s="55" t="s">
        <v>360</v>
      </c>
      <c r="I1974" s="55" t="s">
        <v>360</v>
      </c>
      <c r="J1974" s="55" t="s">
        <v>360</v>
      </c>
      <c r="K1974" s="55" t="s">
        <v>360</v>
      </c>
      <c r="L1974" s="55" t="s">
        <v>360</v>
      </c>
      <c r="M1974" s="55" t="s">
        <v>144</v>
      </c>
      <c r="N1974" s="55" t="s">
        <v>144</v>
      </c>
      <c r="O1974" s="55" t="s">
        <v>163</v>
      </c>
      <c r="P1974" s="55" t="s">
        <v>1587</v>
      </c>
      <c r="Q1974" s="55" t="s">
        <v>350</v>
      </c>
      <c r="R1974" s="85">
        <v>3</v>
      </c>
      <c r="S1974" s="55">
        <v>0</v>
      </c>
      <c r="T1974" s="74" t="s">
        <v>2811</v>
      </c>
      <c r="U1974" s="74" t="s">
        <v>351</v>
      </c>
      <c r="V1974" s="74">
        <v>44308</v>
      </c>
      <c r="W1974" s="74">
        <v>44351</v>
      </c>
      <c r="X1974" s="55">
        <v>10187653</v>
      </c>
      <c r="Y1974" s="55" t="s">
        <v>132</v>
      </c>
      <c r="AB1974" s="74" t="s">
        <v>132</v>
      </c>
      <c r="AC1974" s="55" t="s">
        <v>132</v>
      </c>
      <c r="AL1974" s="74"/>
      <c r="AM1974" s="74"/>
      <c r="AW1974" s="74"/>
      <c r="AX1974" s="74"/>
    </row>
    <row r="1975" spans="1:50" ht="13" x14ac:dyDescent="0.15">
      <c r="A1975" s="55" t="str">
        <f>HYPERLINK("http://reports.ofsted.gov.uk/inspection-reports/find-inspection-report/provider/CARE/SC032163","Ofsted Social Care Provider Webpage")</f>
        <v>Ofsted Social Care Provider Webpage</v>
      </c>
      <c r="B1975" s="55" t="s">
        <v>3044</v>
      </c>
      <c r="D1975" s="55" t="s">
        <v>373</v>
      </c>
      <c r="E1975" s="74">
        <v>37820</v>
      </c>
      <c r="F1975" s="55" t="s">
        <v>344</v>
      </c>
      <c r="G1975" s="55" t="s">
        <v>360</v>
      </c>
      <c r="H1975" s="55" t="s">
        <v>360</v>
      </c>
      <c r="I1975" s="55" t="s">
        <v>360</v>
      </c>
      <c r="J1975" s="55" t="s">
        <v>360</v>
      </c>
      <c r="K1975" s="55" t="s">
        <v>360</v>
      </c>
      <c r="L1975" s="55" t="s">
        <v>360</v>
      </c>
      <c r="M1975" s="55" t="s">
        <v>136</v>
      </c>
      <c r="N1975" s="55" t="s">
        <v>136</v>
      </c>
      <c r="O1975" s="55" t="s">
        <v>176</v>
      </c>
      <c r="P1975" s="55" t="s">
        <v>526</v>
      </c>
      <c r="Q1975" s="55" t="s">
        <v>380</v>
      </c>
      <c r="R1975" s="85">
        <v>9</v>
      </c>
      <c r="S1975" s="55">
        <v>0</v>
      </c>
      <c r="T1975" s="74" t="s">
        <v>2074</v>
      </c>
      <c r="U1975" s="74" t="s">
        <v>351</v>
      </c>
      <c r="V1975" s="74">
        <v>44313</v>
      </c>
      <c r="W1975" s="74">
        <v>44350</v>
      </c>
      <c r="X1975" s="55">
        <v>10187161</v>
      </c>
      <c r="Y1975" s="55" t="s">
        <v>132</v>
      </c>
      <c r="AB1975" s="74" t="s">
        <v>132</v>
      </c>
      <c r="AC1975" s="55" t="s">
        <v>132</v>
      </c>
      <c r="AL1975" s="74"/>
      <c r="AM1975" s="74"/>
    </row>
    <row r="1976" spans="1:50" ht="13" x14ac:dyDescent="0.15">
      <c r="A1976" s="55" t="str">
        <f>HYPERLINK("http://reports.ofsted.gov.uk/inspection-reports/find-inspection-report/provider/CARE/SC032315","Ofsted Social Care Provider Webpage")</f>
        <v>Ofsted Social Care Provider Webpage</v>
      </c>
      <c r="B1976" s="55" t="s">
        <v>3046</v>
      </c>
      <c r="D1976" s="55" t="s">
        <v>373</v>
      </c>
      <c r="E1976" s="74">
        <v>37838</v>
      </c>
      <c r="F1976" s="55" t="s">
        <v>344</v>
      </c>
      <c r="G1976" s="55" t="s">
        <v>360</v>
      </c>
      <c r="H1976" s="55" t="s">
        <v>360</v>
      </c>
      <c r="I1976" s="55" t="s">
        <v>360</v>
      </c>
      <c r="J1976" s="55" t="s">
        <v>360</v>
      </c>
      <c r="K1976" s="55" t="s">
        <v>360</v>
      </c>
      <c r="L1976" s="55" t="s">
        <v>360</v>
      </c>
      <c r="M1976" s="55" t="s">
        <v>150</v>
      </c>
      <c r="N1976" s="55" t="s">
        <v>150</v>
      </c>
      <c r="O1976" s="55" t="s">
        <v>153</v>
      </c>
      <c r="P1976" s="55" t="s">
        <v>829</v>
      </c>
      <c r="Q1976" s="55" t="s">
        <v>380</v>
      </c>
      <c r="R1976" s="85">
        <v>5</v>
      </c>
      <c r="S1976" s="55">
        <v>0</v>
      </c>
      <c r="T1976" s="74" t="s">
        <v>3047</v>
      </c>
      <c r="U1976" s="74" t="s">
        <v>351</v>
      </c>
      <c r="V1976" s="74">
        <v>44412</v>
      </c>
      <c r="W1976" s="74">
        <v>44456</v>
      </c>
      <c r="X1976" s="55">
        <v>10187428</v>
      </c>
      <c r="Y1976" s="55" t="s">
        <v>140</v>
      </c>
      <c r="AB1976" s="74" t="s">
        <v>140</v>
      </c>
      <c r="AC1976" s="55" t="s">
        <v>132</v>
      </c>
      <c r="AL1976" s="74"/>
      <c r="AM1976" s="74"/>
    </row>
    <row r="1977" spans="1:50" ht="13" x14ac:dyDescent="0.15">
      <c r="A1977" s="55" t="str">
        <f>HYPERLINK("http://reports.ofsted.gov.uk/inspection-reports/find-inspection-report/provider/CARE/SC032439","Ofsted Social Care Provider Webpage")</f>
        <v>Ofsted Social Care Provider Webpage</v>
      </c>
      <c r="B1977" s="55" t="s">
        <v>3048</v>
      </c>
      <c r="D1977" s="55" t="s">
        <v>373</v>
      </c>
      <c r="E1977" s="74">
        <v>38036</v>
      </c>
      <c r="F1977" s="55" t="s">
        <v>344</v>
      </c>
      <c r="G1977" s="55" t="s">
        <v>360</v>
      </c>
      <c r="H1977" s="55" t="s">
        <v>360</v>
      </c>
      <c r="I1977" s="55" t="s">
        <v>360</v>
      </c>
      <c r="J1977" s="55" t="s">
        <v>360</v>
      </c>
      <c r="K1977" s="55" t="s">
        <v>360</v>
      </c>
      <c r="L1977" s="55" t="s">
        <v>360</v>
      </c>
      <c r="M1977" s="55" t="s">
        <v>136</v>
      </c>
      <c r="N1977" s="55" t="s">
        <v>136</v>
      </c>
      <c r="O1977" s="55" t="s">
        <v>288</v>
      </c>
      <c r="P1977" s="55" t="s">
        <v>1487</v>
      </c>
      <c r="Q1977" s="55" t="s">
        <v>380</v>
      </c>
      <c r="R1977" s="85">
        <v>7</v>
      </c>
      <c r="S1977" s="55" t="s">
        <v>332</v>
      </c>
      <c r="T1977" s="74" t="s">
        <v>1389</v>
      </c>
      <c r="U1977" s="74" t="s">
        <v>351</v>
      </c>
      <c r="V1977" s="74">
        <v>44614</v>
      </c>
      <c r="W1977" s="74">
        <v>44656</v>
      </c>
      <c r="X1977" s="55">
        <v>10185403</v>
      </c>
      <c r="Y1977" s="55" t="s">
        <v>146</v>
      </c>
      <c r="AB1977" s="74" t="s">
        <v>146</v>
      </c>
      <c r="AC1977" s="55" t="s">
        <v>146</v>
      </c>
      <c r="AL1977" s="74"/>
      <c r="AM1977" s="74"/>
      <c r="AW1977" s="74"/>
      <c r="AX1977" s="74"/>
    </row>
    <row r="1978" spans="1:50" ht="13" x14ac:dyDescent="0.15">
      <c r="A1978" s="55" t="str">
        <f>HYPERLINK("http://reports.ofsted.gov.uk/inspection-reports/find-inspection-report/provider/CARE/SC032468","Ofsted Social Care Provider Webpage")</f>
        <v>Ofsted Social Care Provider Webpage</v>
      </c>
      <c r="B1978" s="55" t="s">
        <v>3049</v>
      </c>
      <c r="D1978" s="55" t="s">
        <v>373</v>
      </c>
      <c r="E1978" s="74">
        <v>37931</v>
      </c>
      <c r="F1978" s="55" t="s">
        <v>344</v>
      </c>
      <c r="G1978" s="55" t="s">
        <v>360</v>
      </c>
      <c r="H1978" s="55" t="s">
        <v>360</v>
      </c>
      <c r="I1978" s="55" t="s">
        <v>360</v>
      </c>
      <c r="J1978" s="55" t="s">
        <v>360</v>
      </c>
      <c r="K1978" s="55" t="s">
        <v>360</v>
      </c>
      <c r="L1978" s="55" t="s">
        <v>360</v>
      </c>
      <c r="M1978" s="55" t="s">
        <v>129</v>
      </c>
      <c r="N1978" s="55" t="s">
        <v>129</v>
      </c>
      <c r="O1978" s="55" t="s">
        <v>279</v>
      </c>
      <c r="P1978" s="55" t="s">
        <v>1078</v>
      </c>
      <c r="Q1978" s="55" t="s">
        <v>350</v>
      </c>
      <c r="R1978" s="85">
        <v>4</v>
      </c>
      <c r="S1978" s="55">
        <v>0</v>
      </c>
      <c r="T1978" s="74" t="s">
        <v>3050</v>
      </c>
      <c r="U1978" s="74" t="s">
        <v>351</v>
      </c>
      <c r="V1978" s="74">
        <v>44362</v>
      </c>
      <c r="W1978" s="74">
        <v>44403</v>
      </c>
      <c r="X1978" s="55">
        <v>10185078</v>
      </c>
      <c r="Y1978" s="55" t="s">
        <v>132</v>
      </c>
      <c r="AB1978" s="74" t="s">
        <v>132</v>
      </c>
      <c r="AC1978" s="55" t="s">
        <v>130</v>
      </c>
      <c r="AL1978" s="74"/>
      <c r="AM1978" s="74"/>
    </row>
    <row r="1979" spans="1:50" ht="13" x14ac:dyDescent="0.15">
      <c r="A1979" s="55" t="str">
        <f>HYPERLINK("http://reports.ofsted.gov.uk/inspection-reports/find-inspection-report/provider/CARE/SC032475","Ofsted Social Care Provider Webpage")</f>
        <v>Ofsted Social Care Provider Webpage</v>
      </c>
      <c r="B1979" s="55" t="s">
        <v>3051</v>
      </c>
      <c r="D1979" s="55" t="s">
        <v>373</v>
      </c>
      <c r="E1979" s="74">
        <v>37964</v>
      </c>
      <c r="F1979" s="55" t="s">
        <v>344</v>
      </c>
      <c r="G1979" s="55" t="s">
        <v>360</v>
      </c>
      <c r="H1979" s="55" t="s">
        <v>360</v>
      </c>
      <c r="I1979" s="55" t="s">
        <v>360</v>
      </c>
      <c r="J1979" s="55" t="s">
        <v>360</v>
      </c>
      <c r="K1979" s="55" t="s">
        <v>360</v>
      </c>
      <c r="L1979" s="55" t="s">
        <v>360</v>
      </c>
      <c r="M1979" s="55" t="s">
        <v>144</v>
      </c>
      <c r="N1979" s="55" t="s">
        <v>144</v>
      </c>
      <c r="O1979" s="55" t="s">
        <v>276</v>
      </c>
      <c r="P1979" s="55" t="s">
        <v>3052</v>
      </c>
      <c r="Q1979" s="55" t="s">
        <v>380</v>
      </c>
      <c r="R1979" s="85">
        <v>5</v>
      </c>
      <c r="S1979" s="55">
        <v>0</v>
      </c>
      <c r="T1979" s="74" t="s">
        <v>3053</v>
      </c>
      <c r="U1979" s="74" t="s">
        <v>351</v>
      </c>
      <c r="V1979" s="74">
        <v>44481</v>
      </c>
      <c r="W1979" s="74">
        <v>44511</v>
      </c>
      <c r="X1979" s="55">
        <v>10186602</v>
      </c>
      <c r="Y1979" s="55" t="s">
        <v>132</v>
      </c>
      <c r="AB1979" s="74" t="s">
        <v>132</v>
      </c>
      <c r="AC1979" s="55" t="s">
        <v>130</v>
      </c>
      <c r="AL1979" s="74"/>
      <c r="AM1979" s="74"/>
    </row>
    <row r="1980" spans="1:50" ht="13" x14ac:dyDescent="0.15">
      <c r="A1980" s="55" t="str">
        <f>HYPERLINK("http://reports.ofsted.gov.uk/inspection-reports/find-inspection-report/provider/CARE/SC032496","Ofsted Social Care Provider Webpage")</f>
        <v>Ofsted Social Care Provider Webpage</v>
      </c>
      <c r="B1980" s="55" t="s">
        <v>3054</v>
      </c>
      <c r="D1980" s="55" t="s">
        <v>373</v>
      </c>
      <c r="E1980" s="74">
        <v>38022</v>
      </c>
      <c r="F1980" s="55" t="s">
        <v>344</v>
      </c>
      <c r="G1980" s="55" t="s">
        <v>360</v>
      </c>
      <c r="H1980" s="55" t="s">
        <v>360</v>
      </c>
      <c r="I1980" s="55" t="s">
        <v>360</v>
      </c>
      <c r="J1980" s="55" t="s">
        <v>360</v>
      </c>
      <c r="K1980" s="55" t="s">
        <v>360</v>
      </c>
      <c r="L1980" s="55" t="s">
        <v>360</v>
      </c>
      <c r="M1980" s="55" t="s">
        <v>144</v>
      </c>
      <c r="N1980" s="55" t="s">
        <v>144</v>
      </c>
      <c r="O1980" s="55" t="s">
        <v>276</v>
      </c>
      <c r="P1980" s="55" t="s">
        <v>3052</v>
      </c>
      <c r="Q1980" s="55" t="s">
        <v>380</v>
      </c>
      <c r="R1980" s="85">
        <v>6</v>
      </c>
      <c r="S1980" s="55">
        <v>0</v>
      </c>
      <c r="T1980" s="74" t="s">
        <v>3053</v>
      </c>
      <c r="U1980" s="74" t="s">
        <v>6703</v>
      </c>
      <c r="V1980" s="74">
        <v>44581</v>
      </c>
      <c r="W1980" s="74">
        <v>44610</v>
      </c>
      <c r="X1980" s="55">
        <v>10209606</v>
      </c>
      <c r="Y1980" s="55" t="s">
        <v>6705</v>
      </c>
      <c r="AL1980" s="74"/>
      <c r="AM1980" s="74"/>
    </row>
    <row r="1981" spans="1:50" ht="13" x14ac:dyDescent="0.15">
      <c r="A1981" s="55" t="str">
        <f>HYPERLINK("http://reports.ofsted.gov.uk/inspection-reports/find-inspection-report/provider/CARE/SC032496","Ofsted Social Care Provider Webpage")</f>
        <v>Ofsted Social Care Provider Webpage</v>
      </c>
      <c r="B1981" s="55" t="s">
        <v>3054</v>
      </c>
      <c r="D1981" s="55" t="s">
        <v>373</v>
      </c>
      <c r="E1981" s="74">
        <v>38022</v>
      </c>
      <c r="F1981" s="55" t="s">
        <v>344</v>
      </c>
      <c r="G1981" s="55" t="s">
        <v>360</v>
      </c>
      <c r="H1981" s="55" t="s">
        <v>360</v>
      </c>
      <c r="I1981" s="55" t="s">
        <v>360</v>
      </c>
      <c r="J1981" s="55" t="s">
        <v>360</v>
      </c>
      <c r="K1981" s="55" t="s">
        <v>360</v>
      </c>
      <c r="L1981" s="55" t="s">
        <v>360</v>
      </c>
      <c r="M1981" s="55" t="s">
        <v>144</v>
      </c>
      <c r="N1981" s="55" t="s">
        <v>144</v>
      </c>
      <c r="O1981" s="55" t="s">
        <v>276</v>
      </c>
      <c r="P1981" s="55" t="s">
        <v>3052</v>
      </c>
      <c r="Q1981" s="55" t="s">
        <v>380</v>
      </c>
      <c r="R1981" s="85">
        <v>6</v>
      </c>
      <c r="S1981" s="55">
        <v>0</v>
      </c>
      <c r="T1981" s="74" t="s">
        <v>3053</v>
      </c>
      <c r="U1981" s="74" t="s">
        <v>351</v>
      </c>
      <c r="V1981" s="74">
        <v>44404</v>
      </c>
      <c r="W1981" s="74">
        <v>44440</v>
      </c>
      <c r="X1981" s="55">
        <v>10186155</v>
      </c>
      <c r="Y1981" s="55" t="s">
        <v>130</v>
      </c>
      <c r="AB1981" s="74" t="s">
        <v>130</v>
      </c>
      <c r="AC1981" s="55" t="s">
        <v>130</v>
      </c>
      <c r="AL1981" s="74"/>
      <c r="AM1981" s="74"/>
      <c r="AW1981" s="74"/>
      <c r="AX1981" s="74"/>
    </row>
    <row r="1982" spans="1:50" ht="13" x14ac:dyDescent="0.15">
      <c r="A1982" s="55" t="str">
        <f>HYPERLINK("http://reports.ofsted.gov.uk/inspection-reports/find-inspection-report/provider/CARE/SC032502","Ofsted Social Care Provider Webpage")</f>
        <v>Ofsted Social Care Provider Webpage</v>
      </c>
      <c r="B1982" s="55" t="s">
        <v>3055</v>
      </c>
      <c r="D1982" s="55" t="s">
        <v>373</v>
      </c>
      <c r="E1982" s="74">
        <v>37942</v>
      </c>
      <c r="F1982" s="55" t="s">
        <v>344</v>
      </c>
      <c r="G1982" s="55" t="s">
        <v>360</v>
      </c>
      <c r="H1982" s="55" t="s">
        <v>360</v>
      </c>
      <c r="I1982" s="55" t="s">
        <v>360</v>
      </c>
      <c r="J1982" s="55" t="s">
        <v>360</v>
      </c>
      <c r="K1982" s="55" t="s">
        <v>360</v>
      </c>
      <c r="L1982" s="55" t="s">
        <v>360</v>
      </c>
      <c r="M1982" s="55" t="s">
        <v>129</v>
      </c>
      <c r="N1982" s="55" t="s">
        <v>129</v>
      </c>
      <c r="O1982" s="55" t="s">
        <v>197</v>
      </c>
      <c r="P1982" s="55" t="s">
        <v>3056</v>
      </c>
      <c r="Q1982" s="55" t="s">
        <v>380</v>
      </c>
      <c r="R1982" s="85">
        <v>13</v>
      </c>
      <c r="S1982" s="55">
        <v>0</v>
      </c>
      <c r="T1982" s="74" t="s">
        <v>3057</v>
      </c>
      <c r="U1982" s="74" t="s">
        <v>351</v>
      </c>
      <c r="V1982" s="74">
        <v>44573</v>
      </c>
      <c r="W1982" s="74">
        <v>44603</v>
      </c>
      <c r="X1982" s="55">
        <v>10185448</v>
      </c>
      <c r="Y1982" s="55" t="s">
        <v>132</v>
      </c>
      <c r="AB1982" s="74" t="s">
        <v>132</v>
      </c>
      <c r="AC1982" s="55" t="s">
        <v>132</v>
      </c>
      <c r="AL1982" s="74"/>
      <c r="AM1982" s="74"/>
    </row>
    <row r="1983" spans="1:50" ht="13" x14ac:dyDescent="0.15">
      <c r="A1983" s="55" t="str">
        <f>HYPERLINK("http://reports.ofsted.gov.uk/inspection-reports/find-inspection-report/provider/CARE/SC032565","Ofsted Social Care Provider Webpage")</f>
        <v>Ofsted Social Care Provider Webpage</v>
      </c>
      <c r="B1983" s="55" t="s">
        <v>3058</v>
      </c>
      <c r="D1983" s="55" t="s">
        <v>373</v>
      </c>
      <c r="E1983" s="74">
        <v>37788</v>
      </c>
      <c r="F1983" s="55" t="s">
        <v>344</v>
      </c>
      <c r="G1983" s="55" t="s">
        <v>360</v>
      </c>
      <c r="H1983" s="55" t="s">
        <v>360</v>
      </c>
      <c r="I1983" s="55" t="s">
        <v>360</v>
      </c>
      <c r="J1983" s="55" t="s">
        <v>360</v>
      </c>
      <c r="K1983" s="55" t="s">
        <v>360</v>
      </c>
      <c r="L1983" s="55" t="s">
        <v>360</v>
      </c>
      <c r="M1983" s="55" t="s">
        <v>142</v>
      </c>
      <c r="N1983" s="55" t="s">
        <v>142</v>
      </c>
      <c r="O1983" s="55" t="s">
        <v>265</v>
      </c>
      <c r="P1983" s="55" t="s">
        <v>540</v>
      </c>
      <c r="Q1983" s="55" t="s">
        <v>380</v>
      </c>
      <c r="R1983" s="85">
        <v>6</v>
      </c>
      <c r="S1983" s="55" t="s">
        <v>332</v>
      </c>
      <c r="T1983" s="74" t="s">
        <v>1067</v>
      </c>
      <c r="U1983" s="74" t="s">
        <v>351</v>
      </c>
      <c r="V1983" s="74">
        <v>44419</v>
      </c>
      <c r="W1983" s="74">
        <v>44456</v>
      </c>
      <c r="X1983" s="55">
        <v>10187585</v>
      </c>
      <c r="Y1983" s="55" t="s">
        <v>132</v>
      </c>
      <c r="AB1983" s="74" t="s">
        <v>132</v>
      </c>
      <c r="AC1983" s="55" t="s">
        <v>132</v>
      </c>
      <c r="AL1983" s="74"/>
      <c r="AM1983" s="74"/>
      <c r="AW1983" s="74"/>
      <c r="AX1983" s="74"/>
    </row>
    <row r="1984" spans="1:50" ht="13" x14ac:dyDescent="0.15">
      <c r="A1984" s="55" t="str">
        <f>HYPERLINK("http://reports.ofsted.gov.uk/inspection-reports/find-inspection-report/provider/CARE/SC032600","Ofsted Social Care Provider Webpage")</f>
        <v>Ofsted Social Care Provider Webpage</v>
      </c>
      <c r="B1984" s="55" t="s">
        <v>3059</v>
      </c>
      <c r="D1984" s="55" t="s">
        <v>373</v>
      </c>
      <c r="E1984" s="74">
        <v>37834</v>
      </c>
      <c r="F1984" s="55" t="s">
        <v>344</v>
      </c>
      <c r="G1984" s="55" t="s">
        <v>360</v>
      </c>
      <c r="H1984" s="55" t="s">
        <v>360</v>
      </c>
      <c r="I1984" s="55" t="s">
        <v>360</v>
      </c>
      <c r="J1984" s="55" t="s">
        <v>360</v>
      </c>
      <c r="K1984" s="55" t="s">
        <v>360</v>
      </c>
      <c r="L1984" s="55" t="s">
        <v>360</v>
      </c>
      <c r="M1984" s="55" t="s">
        <v>129</v>
      </c>
      <c r="N1984" s="55" t="s">
        <v>129</v>
      </c>
      <c r="O1984" s="55" t="s">
        <v>198</v>
      </c>
      <c r="P1984" s="55" t="s">
        <v>1287</v>
      </c>
      <c r="Q1984" s="55" t="s">
        <v>380</v>
      </c>
      <c r="R1984" s="85">
        <v>6</v>
      </c>
      <c r="S1984" s="55">
        <v>0</v>
      </c>
      <c r="T1984" s="74" t="s">
        <v>3060</v>
      </c>
      <c r="U1984" s="74" t="s">
        <v>351</v>
      </c>
      <c r="V1984" s="74">
        <v>44531</v>
      </c>
      <c r="W1984" s="74">
        <v>44586</v>
      </c>
      <c r="X1984" s="55">
        <v>10187498</v>
      </c>
      <c r="Y1984" s="55" t="s">
        <v>140</v>
      </c>
      <c r="AB1984" s="74" t="s">
        <v>140</v>
      </c>
      <c r="AC1984" s="55" t="s">
        <v>140</v>
      </c>
      <c r="AL1984" s="74"/>
      <c r="AM1984" s="74"/>
      <c r="AW1984" s="74"/>
      <c r="AX1984" s="74"/>
    </row>
    <row r="1985" spans="1:50" ht="13" x14ac:dyDescent="0.15">
      <c r="A1985" s="55" t="str">
        <f>HYPERLINK("http://reports.ofsted.gov.uk/inspection-reports/find-inspection-report/provider/CARE/SC032697","Ofsted Social Care Provider Webpage")</f>
        <v>Ofsted Social Care Provider Webpage</v>
      </c>
      <c r="B1985" s="55" t="s">
        <v>3061</v>
      </c>
      <c r="D1985" s="55" t="s">
        <v>373</v>
      </c>
      <c r="E1985" s="74">
        <v>37795</v>
      </c>
      <c r="F1985" s="55" t="s">
        <v>344</v>
      </c>
      <c r="G1985" s="55" t="s">
        <v>360</v>
      </c>
      <c r="H1985" s="55" t="s">
        <v>360</v>
      </c>
      <c r="I1985" s="55" t="s">
        <v>360</v>
      </c>
      <c r="J1985" s="55" t="s">
        <v>360</v>
      </c>
      <c r="K1985" s="55" t="s">
        <v>360</v>
      </c>
      <c r="L1985" s="55" t="s">
        <v>360</v>
      </c>
      <c r="M1985" s="55" t="s">
        <v>378</v>
      </c>
      <c r="N1985" s="55" t="s">
        <v>170</v>
      </c>
      <c r="O1985" s="55" t="s">
        <v>257</v>
      </c>
      <c r="P1985" s="55" t="s">
        <v>3062</v>
      </c>
      <c r="Q1985" s="55" t="s">
        <v>380</v>
      </c>
      <c r="R1985" s="85">
        <v>6</v>
      </c>
      <c r="S1985" s="55">
        <v>0</v>
      </c>
      <c r="T1985" s="74" t="s">
        <v>1184</v>
      </c>
      <c r="U1985" s="74" t="s">
        <v>351</v>
      </c>
      <c r="V1985" s="74">
        <v>44539</v>
      </c>
      <c r="W1985" s="74">
        <v>44588</v>
      </c>
      <c r="X1985" s="55">
        <v>10185957</v>
      </c>
      <c r="Y1985" s="55" t="s">
        <v>140</v>
      </c>
      <c r="AB1985" s="74" t="s">
        <v>132</v>
      </c>
      <c r="AC1985" s="55" t="s">
        <v>140</v>
      </c>
      <c r="AL1985" s="74"/>
      <c r="AM1985" s="74"/>
      <c r="AW1985" s="74"/>
      <c r="AX1985" s="74"/>
    </row>
    <row r="1986" spans="1:50" ht="13" x14ac:dyDescent="0.15">
      <c r="A1986" s="55" t="str">
        <f>HYPERLINK("http://reports.ofsted.gov.uk/inspection-reports/find-inspection-report/provider/CARE/SC032701","Ofsted Social Care Provider Webpage")</f>
        <v>Ofsted Social Care Provider Webpage</v>
      </c>
      <c r="B1986" s="55" t="s">
        <v>3063</v>
      </c>
      <c r="D1986" s="55" t="s">
        <v>373</v>
      </c>
      <c r="E1986" s="74">
        <v>37783</v>
      </c>
      <c r="F1986" s="55" t="s">
        <v>344</v>
      </c>
      <c r="G1986" s="55" t="s">
        <v>360</v>
      </c>
      <c r="H1986" s="55" t="s">
        <v>360</v>
      </c>
      <c r="I1986" s="55" t="s">
        <v>360</v>
      </c>
      <c r="J1986" s="55" t="s">
        <v>360</v>
      </c>
      <c r="K1986" s="55" t="s">
        <v>360</v>
      </c>
      <c r="L1986" s="55" t="s">
        <v>360</v>
      </c>
      <c r="M1986" s="55" t="s">
        <v>378</v>
      </c>
      <c r="N1986" s="55" t="s">
        <v>170</v>
      </c>
      <c r="O1986" s="55" t="s">
        <v>257</v>
      </c>
      <c r="P1986" s="55" t="s">
        <v>1183</v>
      </c>
      <c r="Q1986" s="55" t="s">
        <v>380</v>
      </c>
      <c r="R1986" s="85">
        <v>5</v>
      </c>
      <c r="S1986" s="55">
        <v>0</v>
      </c>
      <c r="T1986" s="74" t="s">
        <v>1184</v>
      </c>
      <c r="U1986" s="74" t="s">
        <v>6703</v>
      </c>
      <c r="V1986" s="74">
        <v>44609</v>
      </c>
      <c r="W1986" s="74">
        <v>44663</v>
      </c>
      <c r="X1986" s="55">
        <v>10214433</v>
      </c>
      <c r="Y1986" s="55" t="s">
        <v>6705</v>
      </c>
      <c r="AL1986" s="74"/>
      <c r="AM1986" s="74"/>
      <c r="AW1986" s="74"/>
      <c r="AX1986" s="74"/>
    </row>
    <row r="1987" spans="1:50" ht="13" x14ac:dyDescent="0.15">
      <c r="A1987" s="55" t="str">
        <f>HYPERLINK("http://reports.ofsted.gov.uk/inspection-reports/find-inspection-report/provider/CARE/SC032701","Ofsted Social Care Provider Webpage")</f>
        <v>Ofsted Social Care Provider Webpage</v>
      </c>
      <c r="B1987" s="55" t="s">
        <v>3063</v>
      </c>
      <c r="D1987" s="55" t="s">
        <v>373</v>
      </c>
      <c r="E1987" s="74">
        <v>37783</v>
      </c>
      <c r="F1987" s="55" t="s">
        <v>344</v>
      </c>
      <c r="G1987" s="55" t="s">
        <v>360</v>
      </c>
      <c r="H1987" s="55" t="s">
        <v>360</v>
      </c>
      <c r="I1987" s="55" t="s">
        <v>360</v>
      </c>
      <c r="J1987" s="55" t="s">
        <v>360</v>
      </c>
      <c r="K1987" s="55" t="s">
        <v>360</v>
      </c>
      <c r="L1987" s="55" t="s">
        <v>360</v>
      </c>
      <c r="M1987" s="55" t="s">
        <v>378</v>
      </c>
      <c r="N1987" s="55" t="s">
        <v>170</v>
      </c>
      <c r="O1987" s="55" t="s">
        <v>257</v>
      </c>
      <c r="P1987" s="55" t="s">
        <v>1183</v>
      </c>
      <c r="Q1987" s="55" t="s">
        <v>380</v>
      </c>
      <c r="R1987" s="85">
        <v>5</v>
      </c>
      <c r="S1987" s="55">
        <v>0</v>
      </c>
      <c r="T1987" s="74" t="s">
        <v>1184</v>
      </c>
      <c r="U1987" s="74" t="s">
        <v>351</v>
      </c>
      <c r="V1987" s="74">
        <v>44509</v>
      </c>
      <c r="W1987" s="74">
        <v>44544</v>
      </c>
      <c r="X1987" s="55">
        <v>10187529</v>
      </c>
      <c r="Y1987" s="55" t="s">
        <v>130</v>
      </c>
      <c r="AB1987" s="74" t="s">
        <v>130</v>
      </c>
      <c r="AC1987" s="55" t="s">
        <v>130</v>
      </c>
      <c r="AL1987" s="74"/>
      <c r="AM1987" s="74"/>
      <c r="AW1987" s="74"/>
      <c r="AX1987" s="74"/>
    </row>
    <row r="1988" spans="1:50" ht="13" x14ac:dyDescent="0.15">
      <c r="A1988" s="55" t="str">
        <f>HYPERLINK("http://reports.ofsted.gov.uk/inspection-reports/find-inspection-report/provider/CARE/SC032760","Ofsted Social Care Provider Webpage")</f>
        <v>Ofsted Social Care Provider Webpage</v>
      </c>
      <c r="B1988" s="55" t="s">
        <v>3064</v>
      </c>
      <c r="D1988" s="55" t="s">
        <v>389</v>
      </c>
      <c r="E1988" s="74">
        <v>37547</v>
      </c>
      <c r="F1988" s="55" t="s">
        <v>344</v>
      </c>
      <c r="G1988" s="55" t="s">
        <v>3065</v>
      </c>
      <c r="H1988" s="55" t="s">
        <v>3066</v>
      </c>
      <c r="I1988" s="55" t="s">
        <v>3067</v>
      </c>
      <c r="J1988" s="55" t="s">
        <v>3068</v>
      </c>
      <c r="K1988" s="55" t="s">
        <v>185</v>
      </c>
      <c r="L1988" s="55" t="s">
        <v>3069</v>
      </c>
      <c r="M1988" s="55" t="s">
        <v>136</v>
      </c>
      <c r="N1988" s="55" t="s">
        <v>136</v>
      </c>
      <c r="O1988" s="55" t="s">
        <v>185</v>
      </c>
      <c r="P1988" s="55" t="s">
        <v>898</v>
      </c>
      <c r="Q1988" s="55" t="s">
        <v>350</v>
      </c>
      <c r="S1988" s="55">
        <v>0</v>
      </c>
      <c r="T1988" s="74" t="s">
        <v>3070</v>
      </c>
      <c r="U1988" s="74" t="s">
        <v>351</v>
      </c>
      <c r="V1988" s="74">
        <v>44613</v>
      </c>
      <c r="W1988" s="74">
        <v>44672</v>
      </c>
      <c r="X1988" s="55">
        <v>10183418</v>
      </c>
      <c r="Y1988" s="55" t="s">
        <v>132</v>
      </c>
      <c r="AB1988" s="74" t="s">
        <v>132</v>
      </c>
      <c r="AC1988" s="55" t="s">
        <v>132</v>
      </c>
      <c r="AL1988" s="74"/>
      <c r="AM1988" s="74"/>
    </row>
    <row r="1989" spans="1:50" ht="13" x14ac:dyDescent="0.15">
      <c r="A1989" s="55" t="str">
        <f>HYPERLINK("http://reports.ofsted.gov.uk/inspection-reports/find-inspection-report/provider/CARE/SC032838","Ofsted Social Care Provider Webpage")</f>
        <v>Ofsted Social Care Provider Webpage</v>
      </c>
      <c r="B1989" s="55" t="s">
        <v>3071</v>
      </c>
      <c r="D1989" s="55" t="s">
        <v>479</v>
      </c>
      <c r="E1989" s="74">
        <v>38042</v>
      </c>
      <c r="F1989" s="55" t="s">
        <v>344</v>
      </c>
      <c r="G1989" s="55" t="s">
        <v>360</v>
      </c>
      <c r="H1989" s="55" t="s">
        <v>360</v>
      </c>
      <c r="I1989" s="55" t="s">
        <v>360</v>
      </c>
      <c r="J1989" s="55" t="s">
        <v>360</v>
      </c>
      <c r="K1989" s="55" t="s">
        <v>360</v>
      </c>
      <c r="L1989" s="55" t="s">
        <v>360</v>
      </c>
      <c r="M1989" s="55" t="s">
        <v>144</v>
      </c>
      <c r="N1989" s="55" t="s">
        <v>144</v>
      </c>
      <c r="O1989" s="55" t="s">
        <v>168</v>
      </c>
      <c r="P1989" s="55" t="s">
        <v>834</v>
      </c>
      <c r="Q1989" s="55" t="s">
        <v>350</v>
      </c>
      <c r="R1989" s="85">
        <v>8</v>
      </c>
      <c r="S1989" s="55">
        <v>0</v>
      </c>
      <c r="T1989" s="74" t="s">
        <v>3072</v>
      </c>
      <c r="U1989" s="74" t="s">
        <v>351</v>
      </c>
      <c r="V1989" s="74">
        <v>44411</v>
      </c>
      <c r="W1989" s="74">
        <v>44453</v>
      </c>
      <c r="X1989" s="55">
        <v>10185727</v>
      </c>
      <c r="Y1989" s="55" t="s">
        <v>140</v>
      </c>
      <c r="AB1989" s="74" t="s">
        <v>140</v>
      </c>
      <c r="AC1989" s="55" t="s">
        <v>140</v>
      </c>
      <c r="AL1989" s="74"/>
      <c r="AM1989" s="74"/>
      <c r="AW1989" s="74"/>
      <c r="AX1989" s="74"/>
    </row>
    <row r="1990" spans="1:50" ht="13" x14ac:dyDescent="0.15">
      <c r="A1990" s="55" t="str">
        <f>HYPERLINK("http://reports.ofsted.gov.uk/inspection-reports/find-inspection-report/provider/CARE/SC033016","Ofsted Social Care Provider Webpage")</f>
        <v>Ofsted Social Care Provider Webpage</v>
      </c>
      <c r="B1990" s="55" t="s">
        <v>3078</v>
      </c>
      <c r="C1990" s="55">
        <v>131016</v>
      </c>
      <c r="D1990" s="55" t="s">
        <v>413</v>
      </c>
      <c r="E1990" s="74">
        <v>37447</v>
      </c>
      <c r="F1990" s="55" t="s">
        <v>344</v>
      </c>
      <c r="G1990" s="55" t="s">
        <v>3079</v>
      </c>
      <c r="H1990" s="55" t="s">
        <v>1333</v>
      </c>
      <c r="I1990" s="55" t="s">
        <v>3080</v>
      </c>
      <c r="J1990" s="55" t="s">
        <v>3081</v>
      </c>
      <c r="K1990" s="55" t="s">
        <v>255</v>
      </c>
      <c r="L1990" s="55" t="s">
        <v>3082</v>
      </c>
      <c r="M1990" s="55" t="s">
        <v>136</v>
      </c>
      <c r="N1990" s="55" t="s">
        <v>136</v>
      </c>
      <c r="O1990" s="55" t="s">
        <v>255</v>
      </c>
      <c r="P1990" s="55" t="s">
        <v>609</v>
      </c>
      <c r="Q1990" s="55" t="s">
        <v>350</v>
      </c>
      <c r="R1990" s="85">
        <v>8</v>
      </c>
      <c r="S1990" s="55">
        <v>0</v>
      </c>
      <c r="T1990" s="74" t="s">
        <v>450</v>
      </c>
      <c r="U1990" s="74" t="s">
        <v>351</v>
      </c>
      <c r="V1990" s="74">
        <v>44502</v>
      </c>
      <c r="W1990" s="74">
        <v>44538</v>
      </c>
      <c r="X1990" s="55">
        <v>10183573</v>
      </c>
      <c r="Y1990" s="55" t="s">
        <v>130</v>
      </c>
      <c r="AB1990" s="74" t="s">
        <v>130</v>
      </c>
      <c r="AC1990" s="55" t="s">
        <v>130</v>
      </c>
      <c r="AL1990" s="74"/>
      <c r="AM1990" s="74"/>
      <c r="AW1990" s="74"/>
      <c r="AX1990" s="74"/>
    </row>
    <row r="1991" spans="1:50" ht="13" x14ac:dyDescent="0.15">
      <c r="A1991" s="55" t="str">
        <f>HYPERLINK("http://reports.ofsted.gov.uk/inspection-reports/find-inspection-report/provider/CARE/SC033056","Ofsted Social Care Provider Webpage")</f>
        <v>Ofsted Social Care Provider Webpage</v>
      </c>
      <c r="B1991" s="55" t="s">
        <v>3083</v>
      </c>
      <c r="D1991" s="55" t="s">
        <v>373</v>
      </c>
      <c r="E1991" s="74">
        <v>37711</v>
      </c>
      <c r="F1991" s="55" t="s">
        <v>344</v>
      </c>
      <c r="G1991" s="55" t="s">
        <v>360</v>
      </c>
      <c r="H1991" s="55" t="s">
        <v>360</v>
      </c>
      <c r="I1991" s="55" t="s">
        <v>360</v>
      </c>
      <c r="J1991" s="55" t="s">
        <v>360</v>
      </c>
      <c r="K1991" s="55" t="s">
        <v>360</v>
      </c>
      <c r="L1991" s="55" t="s">
        <v>360</v>
      </c>
      <c r="M1991" s="55" t="s">
        <v>142</v>
      </c>
      <c r="N1991" s="55" t="s">
        <v>142</v>
      </c>
      <c r="O1991" s="55" t="s">
        <v>166</v>
      </c>
      <c r="P1991" s="55" t="s">
        <v>1476</v>
      </c>
      <c r="Q1991" s="55" t="s">
        <v>380</v>
      </c>
      <c r="R1991" s="85">
        <v>4</v>
      </c>
      <c r="S1991" s="55" t="s">
        <v>332</v>
      </c>
      <c r="T1991" s="74" t="s">
        <v>1302</v>
      </c>
      <c r="U1991" s="74" t="s">
        <v>351</v>
      </c>
      <c r="V1991" s="74">
        <v>44341</v>
      </c>
      <c r="W1991" s="74">
        <v>44371</v>
      </c>
      <c r="X1991" s="55">
        <v>10187670</v>
      </c>
      <c r="Y1991" s="55" t="s">
        <v>132</v>
      </c>
      <c r="AB1991" s="74" t="s">
        <v>132</v>
      </c>
      <c r="AC1991" s="55" t="s">
        <v>132</v>
      </c>
      <c r="AL1991" s="74"/>
      <c r="AM1991" s="74"/>
      <c r="AW1991" s="74"/>
      <c r="AX1991" s="74"/>
    </row>
    <row r="1992" spans="1:50" ht="13" x14ac:dyDescent="0.15">
      <c r="A1992" s="55" t="str">
        <f>HYPERLINK("http://reports.ofsted.gov.uk/inspection-reports/find-inspection-report/provider/CARE/SC033089","Ofsted Social Care Provider Webpage")</f>
        <v>Ofsted Social Care Provider Webpage</v>
      </c>
      <c r="B1992" s="55" t="s">
        <v>3084</v>
      </c>
      <c r="C1992" s="55">
        <v>123920</v>
      </c>
      <c r="D1992" s="55" t="s">
        <v>413</v>
      </c>
      <c r="E1992" s="74">
        <v>37448</v>
      </c>
      <c r="F1992" s="55" t="s">
        <v>344</v>
      </c>
      <c r="G1992" s="55" t="s">
        <v>3085</v>
      </c>
      <c r="H1992" s="55" t="s">
        <v>3086</v>
      </c>
      <c r="I1992" s="55" t="s">
        <v>3087</v>
      </c>
      <c r="J1992" s="55" t="s">
        <v>3088</v>
      </c>
      <c r="K1992" s="55" t="s">
        <v>255</v>
      </c>
      <c r="L1992" s="55" t="s">
        <v>3089</v>
      </c>
      <c r="M1992" s="55" t="s">
        <v>136</v>
      </c>
      <c r="N1992" s="55" t="s">
        <v>136</v>
      </c>
      <c r="O1992" s="55" t="s">
        <v>255</v>
      </c>
      <c r="P1992" s="55" t="s">
        <v>609</v>
      </c>
      <c r="Q1992" s="55" t="s">
        <v>362</v>
      </c>
      <c r="R1992" s="85">
        <v>23</v>
      </c>
      <c r="S1992" s="55">
        <v>0</v>
      </c>
      <c r="U1992" s="74" t="s">
        <v>351</v>
      </c>
      <c r="V1992" s="74">
        <v>44487</v>
      </c>
      <c r="W1992" s="74">
        <v>44524</v>
      </c>
      <c r="X1992" s="55">
        <v>10183579</v>
      </c>
      <c r="Y1992" s="55" t="s">
        <v>132</v>
      </c>
      <c r="AB1992" s="74" t="s">
        <v>132</v>
      </c>
      <c r="AC1992" s="55" t="s">
        <v>132</v>
      </c>
      <c r="AL1992" s="74"/>
      <c r="AM1992" s="74"/>
    </row>
    <row r="1993" spans="1:50" ht="13" x14ac:dyDescent="0.15">
      <c r="A1993" s="55" t="str">
        <f>HYPERLINK("http://reports.ofsted.gov.uk/inspection-reports/find-inspection-report/provider/CARE/SC033120","Ofsted Social Care Provider Webpage")</f>
        <v>Ofsted Social Care Provider Webpage</v>
      </c>
      <c r="B1993" s="55" t="s">
        <v>3090</v>
      </c>
      <c r="D1993" s="55" t="s">
        <v>373</v>
      </c>
      <c r="E1993" s="74">
        <v>37994</v>
      </c>
      <c r="F1993" s="55" t="s">
        <v>344</v>
      </c>
      <c r="G1993" s="55" t="s">
        <v>360</v>
      </c>
      <c r="H1993" s="55" t="s">
        <v>360</v>
      </c>
      <c r="I1993" s="55" t="s">
        <v>360</v>
      </c>
      <c r="J1993" s="55" t="s">
        <v>360</v>
      </c>
      <c r="K1993" s="55" t="s">
        <v>360</v>
      </c>
      <c r="L1993" s="55" t="s">
        <v>360</v>
      </c>
      <c r="M1993" s="55" t="s">
        <v>138</v>
      </c>
      <c r="N1993" s="55" t="s">
        <v>138</v>
      </c>
      <c r="O1993" s="55" t="s">
        <v>216</v>
      </c>
      <c r="P1993" s="55" t="s">
        <v>1968</v>
      </c>
      <c r="Q1993" s="55" t="s">
        <v>380</v>
      </c>
      <c r="R1993" s="85">
        <v>5</v>
      </c>
      <c r="S1993" s="55" t="s">
        <v>332</v>
      </c>
      <c r="T1993" s="74" t="s">
        <v>3091</v>
      </c>
      <c r="U1993" s="74" t="s">
        <v>351</v>
      </c>
      <c r="V1993" s="74">
        <v>44299</v>
      </c>
      <c r="W1993" s="74">
        <v>44335</v>
      </c>
      <c r="X1993" s="55">
        <v>10186275</v>
      </c>
      <c r="Y1993" s="55" t="s">
        <v>132</v>
      </c>
      <c r="AB1993" s="74" t="s">
        <v>132</v>
      </c>
      <c r="AC1993" s="55" t="s">
        <v>132</v>
      </c>
      <c r="AL1993" s="74"/>
      <c r="AM1993" s="74"/>
    </row>
    <row r="1994" spans="1:50" ht="13" x14ac:dyDescent="0.15">
      <c r="A1994" s="55" t="str">
        <f>HYPERLINK("http://reports.ofsted.gov.uk/inspection-reports/find-inspection-report/provider/CARE/SC033127","Ofsted Social Care Provider Webpage")</f>
        <v>Ofsted Social Care Provider Webpage</v>
      </c>
      <c r="B1994" s="55" t="s">
        <v>3092</v>
      </c>
      <c r="D1994" s="55" t="s">
        <v>373</v>
      </c>
      <c r="E1994" s="74">
        <v>38006</v>
      </c>
      <c r="F1994" s="55" t="s">
        <v>344</v>
      </c>
      <c r="G1994" s="55" t="s">
        <v>360</v>
      </c>
      <c r="H1994" s="55" t="s">
        <v>360</v>
      </c>
      <c r="I1994" s="55" t="s">
        <v>360</v>
      </c>
      <c r="J1994" s="55" t="s">
        <v>360</v>
      </c>
      <c r="K1994" s="55" t="s">
        <v>360</v>
      </c>
      <c r="L1994" s="55" t="s">
        <v>360</v>
      </c>
      <c r="M1994" s="55" t="s">
        <v>378</v>
      </c>
      <c r="N1994" s="55" t="s">
        <v>134</v>
      </c>
      <c r="O1994" s="55" t="s">
        <v>225</v>
      </c>
      <c r="P1994" s="55" t="s">
        <v>1667</v>
      </c>
      <c r="Q1994" s="55" t="s">
        <v>380</v>
      </c>
      <c r="R1994" s="85">
        <v>11</v>
      </c>
      <c r="S1994" s="55" t="s">
        <v>332</v>
      </c>
      <c r="T1994" s="74" t="s">
        <v>1668</v>
      </c>
      <c r="U1994" s="74" t="s">
        <v>351</v>
      </c>
      <c r="V1994" s="74">
        <v>44391</v>
      </c>
      <c r="W1994" s="74">
        <v>44441</v>
      </c>
      <c r="X1994" s="55">
        <v>10185544</v>
      </c>
      <c r="Y1994" s="55" t="s">
        <v>132</v>
      </c>
      <c r="AB1994" s="74" t="s">
        <v>132</v>
      </c>
      <c r="AC1994" s="55" t="s">
        <v>130</v>
      </c>
      <c r="AL1994" s="74"/>
      <c r="AM1994" s="74"/>
    </row>
    <row r="1995" spans="1:50" ht="13" x14ac:dyDescent="0.15">
      <c r="A1995" s="55" t="str">
        <f>HYPERLINK("http://reports.ofsted.gov.uk/inspection-reports/find-inspection-report/provider/CARE/SC033152","Ofsted Social Care Provider Webpage")</f>
        <v>Ofsted Social Care Provider Webpage</v>
      </c>
      <c r="B1995" s="55" t="s">
        <v>3093</v>
      </c>
      <c r="D1995" s="55" t="s">
        <v>373</v>
      </c>
      <c r="E1995" s="74">
        <v>38125</v>
      </c>
      <c r="F1995" s="55" t="s">
        <v>344</v>
      </c>
      <c r="G1995" s="55" t="s">
        <v>360</v>
      </c>
      <c r="H1995" s="55" t="s">
        <v>360</v>
      </c>
      <c r="I1995" s="55" t="s">
        <v>360</v>
      </c>
      <c r="J1995" s="55" t="s">
        <v>360</v>
      </c>
      <c r="K1995" s="55" t="s">
        <v>360</v>
      </c>
      <c r="L1995" s="55" t="s">
        <v>360</v>
      </c>
      <c r="M1995" s="55" t="s">
        <v>378</v>
      </c>
      <c r="N1995" s="55" t="s">
        <v>134</v>
      </c>
      <c r="O1995" s="55" t="s">
        <v>226</v>
      </c>
      <c r="P1995" s="55" t="s">
        <v>3094</v>
      </c>
      <c r="Q1995" s="55" t="s">
        <v>380</v>
      </c>
      <c r="R1995" s="85">
        <v>6</v>
      </c>
      <c r="S1995" s="55" t="s">
        <v>332</v>
      </c>
      <c r="T1995" s="74" t="s">
        <v>3095</v>
      </c>
      <c r="U1995" s="74" t="s">
        <v>351</v>
      </c>
      <c r="V1995" s="74">
        <v>44480</v>
      </c>
      <c r="W1995" s="74">
        <v>44505</v>
      </c>
      <c r="X1995" s="55">
        <v>10187176</v>
      </c>
      <c r="Y1995" s="55" t="s">
        <v>140</v>
      </c>
      <c r="AB1995" s="74" t="s">
        <v>140</v>
      </c>
      <c r="AC1995" s="55" t="s">
        <v>140</v>
      </c>
      <c r="AL1995" s="74"/>
      <c r="AM1995" s="74"/>
    </row>
    <row r="1996" spans="1:50" ht="13" x14ac:dyDescent="0.15">
      <c r="A1996" s="55" t="str">
        <f>HYPERLINK("http://reports.ofsted.gov.uk/inspection-reports/find-inspection-report/provider/CARE/SC033174","Ofsted Social Care Provider Webpage")</f>
        <v>Ofsted Social Care Provider Webpage</v>
      </c>
      <c r="B1996" s="55" t="s">
        <v>3096</v>
      </c>
      <c r="D1996" s="55" t="s">
        <v>373</v>
      </c>
      <c r="E1996" s="74">
        <v>37960</v>
      </c>
      <c r="F1996" s="55" t="s">
        <v>344</v>
      </c>
      <c r="G1996" s="55" t="s">
        <v>360</v>
      </c>
      <c r="H1996" s="55" t="s">
        <v>360</v>
      </c>
      <c r="I1996" s="55" t="s">
        <v>360</v>
      </c>
      <c r="J1996" s="55" t="s">
        <v>360</v>
      </c>
      <c r="K1996" s="55" t="s">
        <v>360</v>
      </c>
      <c r="L1996" s="55" t="s">
        <v>360</v>
      </c>
      <c r="M1996" s="55" t="s">
        <v>150</v>
      </c>
      <c r="N1996" s="55" t="s">
        <v>150</v>
      </c>
      <c r="O1996" s="55" t="s">
        <v>190</v>
      </c>
      <c r="P1996" s="55" t="s">
        <v>1428</v>
      </c>
      <c r="Q1996" s="55" t="s">
        <v>380</v>
      </c>
      <c r="R1996" s="85">
        <v>5</v>
      </c>
      <c r="S1996" s="55">
        <v>0</v>
      </c>
      <c r="T1996" s="74" t="s">
        <v>967</v>
      </c>
      <c r="U1996" s="74" t="s">
        <v>351</v>
      </c>
      <c r="V1996" s="74">
        <v>44312</v>
      </c>
      <c r="W1996" s="74">
        <v>44371</v>
      </c>
      <c r="X1996" s="55">
        <v>10187280</v>
      </c>
      <c r="Y1996" s="55" t="s">
        <v>132</v>
      </c>
      <c r="AB1996" s="74" t="s">
        <v>132</v>
      </c>
      <c r="AC1996" s="55" t="s">
        <v>130</v>
      </c>
      <c r="AL1996" s="74"/>
      <c r="AM1996" s="74"/>
    </row>
    <row r="1997" spans="1:50" ht="13" x14ac:dyDescent="0.15">
      <c r="A1997" s="55" t="str">
        <f>HYPERLINK("http://reports.ofsted.gov.uk/inspection-reports/find-inspection-report/provider/CARE/SC033268","Ofsted Social Care Provider Webpage")</f>
        <v>Ofsted Social Care Provider Webpage</v>
      </c>
      <c r="B1997" s="55" t="s">
        <v>3111</v>
      </c>
      <c r="D1997" s="55" t="s">
        <v>479</v>
      </c>
      <c r="E1997" s="74">
        <v>38022</v>
      </c>
      <c r="F1997" s="55" t="s">
        <v>344</v>
      </c>
      <c r="G1997" s="55" t="s">
        <v>360</v>
      </c>
      <c r="H1997" s="55" t="s">
        <v>360</v>
      </c>
      <c r="I1997" s="55" t="s">
        <v>360</v>
      </c>
      <c r="J1997" s="55" t="s">
        <v>360</v>
      </c>
      <c r="K1997" s="55" t="s">
        <v>360</v>
      </c>
      <c r="L1997" s="55" t="s">
        <v>360</v>
      </c>
      <c r="M1997" s="55" t="s">
        <v>144</v>
      </c>
      <c r="N1997" s="55" t="s">
        <v>144</v>
      </c>
      <c r="O1997" s="55" t="s">
        <v>168</v>
      </c>
      <c r="P1997" s="55" t="s">
        <v>834</v>
      </c>
      <c r="Q1997" s="55" t="s">
        <v>350</v>
      </c>
      <c r="R1997" s="85">
        <v>12</v>
      </c>
      <c r="S1997" s="55">
        <v>0</v>
      </c>
      <c r="T1997" s="74" t="s">
        <v>3072</v>
      </c>
      <c r="U1997" s="74" t="s">
        <v>351</v>
      </c>
      <c r="V1997" s="74">
        <v>44306</v>
      </c>
      <c r="W1997" s="74">
        <v>44350</v>
      </c>
      <c r="X1997" s="55">
        <v>10185129</v>
      </c>
      <c r="Y1997" s="55" t="s">
        <v>132</v>
      </c>
      <c r="AB1997" s="74" t="s">
        <v>132</v>
      </c>
      <c r="AC1997" s="55" t="s">
        <v>132</v>
      </c>
      <c r="AL1997" s="74"/>
      <c r="AM1997" s="74"/>
      <c r="AW1997" s="74"/>
      <c r="AX1997" s="74"/>
    </row>
    <row r="1998" spans="1:50" ht="13" x14ac:dyDescent="0.15">
      <c r="A1998" s="55" t="str">
        <f>HYPERLINK("http://reports.ofsted.gov.uk/inspection-reports/find-inspection-report/provider/CARE/SC033326","Ofsted Social Care Provider Webpage")</f>
        <v>Ofsted Social Care Provider Webpage</v>
      </c>
      <c r="B1998" s="55" t="s">
        <v>3112</v>
      </c>
      <c r="D1998" s="55" t="s">
        <v>373</v>
      </c>
      <c r="E1998" s="74">
        <v>37901</v>
      </c>
      <c r="F1998" s="55" t="s">
        <v>344</v>
      </c>
      <c r="G1998" s="55" t="s">
        <v>360</v>
      </c>
      <c r="H1998" s="55" t="s">
        <v>360</v>
      </c>
      <c r="I1998" s="55" t="s">
        <v>360</v>
      </c>
      <c r="J1998" s="55" t="s">
        <v>360</v>
      </c>
      <c r="K1998" s="55" t="s">
        <v>360</v>
      </c>
      <c r="L1998" s="55" t="s">
        <v>360</v>
      </c>
      <c r="M1998" s="55" t="s">
        <v>378</v>
      </c>
      <c r="N1998" s="55" t="s">
        <v>134</v>
      </c>
      <c r="O1998" s="55" t="s">
        <v>206</v>
      </c>
      <c r="P1998" s="55" t="s">
        <v>1655</v>
      </c>
      <c r="Q1998" s="55" t="s">
        <v>380</v>
      </c>
      <c r="R1998" s="85">
        <v>4</v>
      </c>
      <c r="S1998" s="55">
        <v>0</v>
      </c>
      <c r="T1998" s="74" t="s">
        <v>3113</v>
      </c>
      <c r="U1998" s="74" t="s">
        <v>351</v>
      </c>
      <c r="V1998" s="74">
        <v>44452</v>
      </c>
      <c r="W1998" s="74">
        <v>44491</v>
      </c>
      <c r="X1998" s="55">
        <v>10187604</v>
      </c>
      <c r="Y1998" s="55" t="s">
        <v>130</v>
      </c>
      <c r="AB1998" s="74" t="s">
        <v>130</v>
      </c>
      <c r="AC1998" s="55" t="s">
        <v>130</v>
      </c>
      <c r="AL1998" s="74"/>
      <c r="AM1998" s="74"/>
    </row>
    <row r="1999" spans="1:50" ht="13" x14ac:dyDescent="0.15">
      <c r="A1999" s="55" t="str">
        <f>HYPERLINK("http://reports.ofsted.gov.uk/inspection-reports/find-inspection-report/provider/CARE/SC033326","Ofsted Social Care Provider Webpage")</f>
        <v>Ofsted Social Care Provider Webpage</v>
      </c>
      <c r="B1999" s="55" t="s">
        <v>3112</v>
      </c>
      <c r="D1999" s="55" t="s">
        <v>373</v>
      </c>
      <c r="E1999" s="74">
        <v>37901</v>
      </c>
      <c r="F1999" s="55" t="s">
        <v>344</v>
      </c>
      <c r="G1999" s="55" t="s">
        <v>360</v>
      </c>
      <c r="H1999" s="55" t="s">
        <v>360</v>
      </c>
      <c r="I1999" s="55" t="s">
        <v>360</v>
      </c>
      <c r="J1999" s="55" t="s">
        <v>360</v>
      </c>
      <c r="K1999" s="55" t="s">
        <v>360</v>
      </c>
      <c r="L1999" s="55" t="s">
        <v>360</v>
      </c>
      <c r="M1999" s="55" t="s">
        <v>378</v>
      </c>
      <c r="N1999" s="55" t="s">
        <v>134</v>
      </c>
      <c r="O1999" s="55" t="s">
        <v>206</v>
      </c>
      <c r="P1999" s="55" t="s">
        <v>1655</v>
      </c>
      <c r="Q1999" s="55" t="s">
        <v>380</v>
      </c>
      <c r="R1999" s="85">
        <v>4</v>
      </c>
      <c r="S1999" s="55">
        <v>0</v>
      </c>
      <c r="T1999" s="74" t="s">
        <v>3113</v>
      </c>
      <c r="U1999" s="74" t="s">
        <v>6703</v>
      </c>
      <c r="V1999" s="74">
        <v>44567</v>
      </c>
      <c r="W1999" s="74">
        <v>44600</v>
      </c>
      <c r="X1999" s="55">
        <v>10210781</v>
      </c>
      <c r="Y1999" s="55" t="s">
        <v>6704</v>
      </c>
      <c r="AL1999" s="74"/>
      <c r="AM1999" s="74"/>
    </row>
    <row r="2000" spans="1:50" ht="13" x14ac:dyDescent="0.15">
      <c r="A2000" s="55" t="str">
        <f>HYPERLINK("http://reports.ofsted.gov.uk/inspection-reports/find-inspection-report/provider/CARE/SC033326","Ofsted Social Care Provider Webpage")</f>
        <v>Ofsted Social Care Provider Webpage</v>
      </c>
      <c r="B2000" s="55" t="s">
        <v>3112</v>
      </c>
      <c r="D2000" s="55" t="s">
        <v>373</v>
      </c>
      <c r="E2000" s="74">
        <v>37901</v>
      </c>
      <c r="F2000" s="55" t="s">
        <v>344</v>
      </c>
      <c r="G2000" s="55" t="s">
        <v>360</v>
      </c>
      <c r="H2000" s="55" t="s">
        <v>360</v>
      </c>
      <c r="I2000" s="55" t="s">
        <v>360</v>
      </c>
      <c r="J2000" s="55" t="s">
        <v>360</v>
      </c>
      <c r="K2000" s="55" t="s">
        <v>360</v>
      </c>
      <c r="L2000" s="55" t="s">
        <v>360</v>
      </c>
      <c r="M2000" s="55" t="s">
        <v>378</v>
      </c>
      <c r="N2000" s="55" t="s">
        <v>134</v>
      </c>
      <c r="O2000" s="55" t="s">
        <v>206</v>
      </c>
      <c r="P2000" s="55" t="s">
        <v>1655</v>
      </c>
      <c r="Q2000" s="55" t="s">
        <v>380</v>
      </c>
      <c r="R2000" s="85">
        <v>4</v>
      </c>
      <c r="S2000" s="55">
        <v>0</v>
      </c>
      <c r="T2000" s="74" t="s">
        <v>3113</v>
      </c>
      <c r="U2000" s="74" t="s">
        <v>2053</v>
      </c>
      <c r="V2000" s="74">
        <v>44614</v>
      </c>
      <c r="W2000" s="74">
        <v>44659</v>
      </c>
      <c r="X2000" s="55">
        <v>10219400</v>
      </c>
      <c r="AL2000" s="74"/>
      <c r="AM2000" s="74"/>
      <c r="AW2000" s="74"/>
      <c r="AX2000" s="74"/>
    </row>
    <row r="2001" spans="1:50" ht="13" x14ac:dyDescent="0.15">
      <c r="A2001" s="55" t="str">
        <f>HYPERLINK("http://reports.ofsted.gov.uk/inspection-reports/find-inspection-report/provider/CARE/SC033362","Ofsted Social Care Provider Webpage")</f>
        <v>Ofsted Social Care Provider Webpage</v>
      </c>
      <c r="B2001" s="55" t="s">
        <v>3114</v>
      </c>
      <c r="D2001" s="55" t="s">
        <v>2864</v>
      </c>
      <c r="E2001" s="74">
        <v>37781</v>
      </c>
      <c r="F2001" s="55" t="s">
        <v>344</v>
      </c>
      <c r="G2001" s="55" t="s">
        <v>360</v>
      </c>
      <c r="H2001" s="55" t="s">
        <v>360</v>
      </c>
      <c r="I2001" s="55" t="s">
        <v>360</v>
      </c>
      <c r="J2001" s="55" t="s">
        <v>360</v>
      </c>
      <c r="K2001" s="55" t="s">
        <v>360</v>
      </c>
      <c r="L2001" s="55" t="s">
        <v>360</v>
      </c>
      <c r="M2001" s="55" t="s">
        <v>138</v>
      </c>
      <c r="N2001" s="55" t="s">
        <v>138</v>
      </c>
      <c r="O2001" s="55" t="s">
        <v>238</v>
      </c>
      <c r="P2001" s="55" t="s">
        <v>1080</v>
      </c>
      <c r="Q2001" s="55" t="s">
        <v>380</v>
      </c>
      <c r="R2001" s="85">
        <v>16</v>
      </c>
      <c r="S2001" s="55">
        <v>0</v>
      </c>
      <c r="T2001" s="74" t="s">
        <v>3115</v>
      </c>
      <c r="U2001" s="74" t="s">
        <v>351</v>
      </c>
      <c r="V2001" s="74">
        <v>44482</v>
      </c>
      <c r="W2001" s="74">
        <v>44544</v>
      </c>
      <c r="X2001" s="55">
        <v>10165436</v>
      </c>
      <c r="Y2001" s="55" t="s">
        <v>130</v>
      </c>
      <c r="Z2001" s="55" t="s">
        <v>130</v>
      </c>
      <c r="AA2001" s="55" t="s">
        <v>130</v>
      </c>
      <c r="AB2001" s="74" t="s">
        <v>130</v>
      </c>
      <c r="AC2001" s="55" t="s">
        <v>130</v>
      </c>
      <c r="AL2001" s="74"/>
      <c r="AM2001" s="74"/>
    </row>
    <row r="2002" spans="1:50" ht="13" x14ac:dyDescent="0.15">
      <c r="A2002" s="55" t="str">
        <f>HYPERLINK("http://reports.ofsted.gov.uk/inspection-reports/find-inspection-report/provider/CARE/SC033362","Ofsted Social Care Provider Webpage")</f>
        <v>Ofsted Social Care Provider Webpage</v>
      </c>
      <c r="B2002" s="55" t="s">
        <v>3114</v>
      </c>
      <c r="D2002" s="55" t="s">
        <v>2864</v>
      </c>
      <c r="E2002" s="74">
        <v>37781</v>
      </c>
      <c r="F2002" s="55" t="s">
        <v>344</v>
      </c>
      <c r="G2002" s="55" t="s">
        <v>360</v>
      </c>
      <c r="H2002" s="55" t="s">
        <v>360</v>
      </c>
      <c r="I2002" s="55" t="s">
        <v>360</v>
      </c>
      <c r="J2002" s="55" t="s">
        <v>360</v>
      </c>
      <c r="K2002" s="55" t="s">
        <v>360</v>
      </c>
      <c r="L2002" s="55" t="s">
        <v>360</v>
      </c>
      <c r="M2002" s="55" t="s">
        <v>138</v>
      </c>
      <c r="N2002" s="55" t="s">
        <v>138</v>
      </c>
      <c r="O2002" s="55" t="s">
        <v>238</v>
      </c>
      <c r="P2002" s="55" t="s">
        <v>1080</v>
      </c>
      <c r="Q2002" s="55" t="s">
        <v>380</v>
      </c>
      <c r="R2002" s="85">
        <v>16</v>
      </c>
      <c r="S2002" s="55">
        <v>0</v>
      </c>
      <c r="T2002" s="74" t="s">
        <v>3115</v>
      </c>
      <c r="U2002" s="74" t="s">
        <v>6703</v>
      </c>
      <c r="V2002" s="74">
        <v>44630</v>
      </c>
      <c r="W2002" s="74">
        <v>44655</v>
      </c>
      <c r="X2002" s="55">
        <v>10165437</v>
      </c>
      <c r="Y2002" s="55" t="s">
        <v>6704</v>
      </c>
      <c r="AL2002" s="74"/>
      <c r="AM2002" s="74"/>
      <c r="AW2002" s="74"/>
      <c r="AX2002" s="74"/>
    </row>
    <row r="2003" spans="1:50" ht="13" x14ac:dyDescent="0.15">
      <c r="A2003" s="55" t="str">
        <f>HYPERLINK("http://reports.ofsted.gov.uk/inspection-reports/find-inspection-report/provider/CARE/SC033367","Ofsted Social Care Provider Webpage")</f>
        <v>Ofsted Social Care Provider Webpage</v>
      </c>
      <c r="B2003" s="55" t="s">
        <v>3116</v>
      </c>
      <c r="D2003" s="55" t="s">
        <v>373</v>
      </c>
      <c r="E2003" s="74">
        <v>37901</v>
      </c>
      <c r="F2003" s="55" t="s">
        <v>344</v>
      </c>
      <c r="G2003" s="55" t="s">
        <v>360</v>
      </c>
      <c r="H2003" s="55" t="s">
        <v>360</v>
      </c>
      <c r="I2003" s="55" t="s">
        <v>360</v>
      </c>
      <c r="J2003" s="55" t="s">
        <v>360</v>
      </c>
      <c r="K2003" s="55" t="s">
        <v>360</v>
      </c>
      <c r="L2003" s="55" t="s">
        <v>360</v>
      </c>
      <c r="M2003" s="55" t="s">
        <v>378</v>
      </c>
      <c r="N2003" s="55" t="s">
        <v>134</v>
      </c>
      <c r="O2003" s="55" t="s">
        <v>206</v>
      </c>
      <c r="P2003" s="55" t="s">
        <v>760</v>
      </c>
      <c r="Q2003" s="55" t="s">
        <v>380</v>
      </c>
      <c r="R2003" s="85">
        <v>4</v>
      </c>
      <c r="S2003" s="55">
        <v>0</v>
      </c>
      <c r="T2003" s="74" t="s">
        <v>3113</v>
      </c>
      <c r="U2003" s="74" t="s">
        <v>351</v>
      </c>
      <c r="V2003" s="74">
        <v>44467</v>
      </c>
      <c r="W2003" s="74">
        <v>44501</v>
      </c>
      <c r="X2003" s="55">
        <v>10185943</v>
      </c>
      <c r="Y2003" s="55" t="s">
        <v>132</v>
      </c>
      <c r="AB2003" s="74" t="s">
        <v>132</v>
      </c>
      <c r="AC2003" s="55" t="s">
        <v>132</v>
      </c>
      <c r="AL2003" s="74"/>
      <c r="AM2003" s="74"/>
      <c r="AW2003" s="74"/>
      <c r="AX2003" s="74"/>
    </row>
    <row r="2004" spans="1:50" ht="13" x14ac:dyDescent="0.15">
      <c r="A2004" s="55" t="str">
        <f>HYPERLINK("http://reports.ofsted.gov.uk/inspection-reports/find-inspection-report/provider/CARE/SC033370","Ofsted Social Care Provider Webpage")</f>
        <v>Ofsted Social Care Provider Webpage</v>
      </c>
      <c r="B2004" s="55" t="s">
        <v>3117</v>
      </c>
      <c r="D2004" s="55" t="s">
        <v>373</v>
      </c>
      <c r="E2004" s="74">
        <v>37819</v>
      </c>
      <c r="F2004" s="55" t="s">
        <v>344</v>
      </c>
      <c r="G2004" s="55" t="s">
        <v>360</v>
      </c>
      <c r="H2004" s="55" t="s">
        <v>360</v>
      </c>
      <c r="I2004" s="55" t="s">
        <v>360</v>
      </c>
      <c r="J2004" s="55" t="s">
        <v>360</v>
      </c>
      <c r="K2004" s="55" t="s">
        <v>360</v>
      </c>
      <c r="L2004" s="55" t="s">
        <v>360</v>
      </c>
      <c r="M2004" s="55" t="s">
        <v>378</v>
      </c>
      <c r="N2004" s="55" t="s">
        <v>134</v>
      </c>
      <c r="O2004" s="55" t="s">
        <v>210</v>
      </c>
      <c r="P2004" s="55" t="s">
        <v>1250</v>
      </c>
      <c r="Q2004" s="55" t="s">
        <v>380</v>
      </c>
      <c r="R2004" s="85">
        <v>5</v>
      </c>
      <c r="S2004" s="55">
        <v>0</v>
      </c>
      <c r="T2004" s="74" t="s">
        <v>543</v>
      </c>
      <c r="U2004" s="74" t="s">
        <v>351</v>
      </c>
      <c r="V2004" s="74">
        <v>44362</v>
      </c>
      <c r="W2004" s="74">
        <v>44398</v>
      </c>
      <c r="X2004" s="55">
        <v>10187014</v>
      </c>
      <c r="Y2004" s="55" t="s">
        <v>132</v>
      </c>
      <c r="AB2004" s="74" t="s">
        <v>132</v>
      </c>
      <c r="AC2004" s="55" t="s">
        <v>132</v>
      </c>
      <c r="AL2004" s="74"/>
      <c r="AM2004" s="74"/>
      <c r="AW2004" s="74"/>
      <c r="AX2004" s="74"/>
    </row>
    <row r="2005" spans="1:50" ht="13" x14ac:dyDescent="0.15">
      <c r="A2005" s="55" t="str">
        <f>HYPERLINK("http://reports.ofsted.gov.uk/inspection-reports/find-inspection-report/provider/CARE/SC033387","Ofsted Social Care Provider Webpage")</f>
        <v>Ofsted Social Care Provider Webpage</v>
      </c>
      <c r="B2005" s="55" t="s">
        <v>3118</v>
      </c>
      <c r="D2005" s="55" t="s">
        <v>373</v>
      </c>
      <c r="E2005" s="74">
        <v>37895</v>
      </c>
      <c r="F2005" s="55" t="s">
        <v>344</v>
      </c>
      <c r="G2005" s="55" t="s">
        <v>360</v>
      </c>
      <c r="H2005" s="55" t="s">
        <v>360</v>
      </c>
      <c r="I2005" s="55" t="s">
        <v>360</v>
      </c>
      <c r="J2005" s="55" t="s">
        <v>360</v>
      </c>
      <c r="K2005" s="55" t="s">
        <v>360</v>
      </c>
      <c r="L2005" s="55" t="s">
        <v>360</v>
      </c>
      <c r="M2005" s="55" t="s">
        <v>378</v>
      </c>
      <c r="N2005" s="55" t="s">
        <v>134</v>
      </c>
      <c r="O2005" s="55" t="s">
        <v>206</v>
      </c>
      <c r="P2005" s="55" t="s">
        <v>750</v>
      </c>
      <c r="Q2005" s="55" t="s">
        <v>380</v>
      </c>
      <c r="R2005" s="85">
        <v>8</v>
      </c>
      <c r="S2005" s="55">
        <v>0</v>
      </c>
      <c r="T2005" s="74" t="s">
        <v>3113</v>
      </c>
      <c r="U2005" s="74" t="s">
        <v>351</v>
      </c>
      <c r="V2005" s="74">
        <v>44487</v>
      </c>
      <c r="W2005" s="74">
        <v>44532</v>
      </c>
      <c r="X2005" s="55">
        <v>10186625</v>
      </c>
      <c r="Y2005" s="55" t="s">
        <v>132</v>
      </c>
      <c r="AB2005" s="74" t="s">
        <v>132</v>
      </c>
      <c r="AC2005" s="55" t="s">
        <v>132</v>
      </c>
      <c r="AL2005" s="74"/>
      <c r="AM2005" s="74"/>
      <c r="AW2005" s="74"/>
      <c r="AX2005" s="74"/>
    </row>
    <row r="2006" spans="1:50" ht="13" x14ac:dyDescent="0.15">
      <c r="A2006" s="88" t="str">
        <f>HYPERLINK("http://reports.ofsted.gov.uk/inspection-reports/find-inspection-report/provider/CARE/SC033389","Ofsted Social Care Provider Webpage")</f>
        <v>Ofsted Social Care Provider Webpage</v>
      </c>
      <c r="B2006" s="55" t="s">
        <v>3119</v>
      </c>
      <c r="D2006" s="55" t="s">
        <v>373</v>
      </c>
      <c r="E2006" s="74">
        <v>37819</v>
      </c>
      <c r="F2006" s="55" t="s">
        <v>344</v>
      </c>
      <c r="G2006" s="55" t="s">
        <v>360</v>
      </c>
      <c r="H2006" s="55" t="s">
        <v>360</v>
      </c>
      <c r="I2006" s="55" t="s">
        <v>360</v>
      </c>
      <c r="J2006" s="55" t="s">
        <v>360</v>
      </c>
      <c r="K2006" s="55" t="s">
        <v>360</v>
      </c>
      <c r="L2006" s="55" t="s">
        <v>360</v>
      </c>
      <c r="M2006" s="55" t="s">
        <v>378</v>
      </c>
      <c r="N2006" s="55" t="s">
        <v>134</v>
      </c>
      <c r="O2006" s="55" t="s">
        <v>210</v>
      </c>
      <c r="P2006" s="55" t="s">
        <v>3120</v>
      </c>
      <c r="Q2006" s="55" t="s">
        <v>380</v>
      </c>
      <c r="R2006" s="85">
        <v>5</v>
      </c>
      <c r="S2006" s="55">
        <v>0</v>
      </c>
      <c r="T2006" s="74" t="s">
        <v>543</v>
      </c>
      <c r="U2006" s="74" t="s">
        <v>351</v>
      </c>
      <c r="V2006" s="74">
        <v>44501</v>
      </c>
      <c r="W2006" s="74">
        <v>44529</v>
      </c>
      <c r="X2006" s="55">
        <v>10186300</v>
      </c>
      <c r="Y2006" s="55" t="s">
        <v>132</v>
      </c>
      <c r="AB2006" s="74" t="s">
        <v>132</v>
      </c>
      <c r="AC2006" s="55" t="s">
        <v>132</v>
      </c>
      <c r="AL2006" s="74"/>
      <c r="AM2006" s="74"/>
    </row>
    <row r="2007" spans="1:50" ht="13" x14ac:dyDescent="0.15">
      <c r="A2007" s="55" t="str">
        <f>HYPERLINK("http://reports.ofsted.gov.uk/inspection-reports/find-inspection-report/provider/CARE/SC033457","Ofsted Social Care Provider Webpage")</f>
        <v>Ofsted Social Care Provider Webpage</v>
      </c>
      <c r="B2007" s="55" t="s">
        <v>3129</v>
      </c>
      <c r="D2007" s="55" t="s">
        <v>2864</v>
      </c>
      <c r="E2007" s="74">
        <v>37812</v>
      </c>
      <c r="F2007" s="55" t="s">
        <v>344</v>
      </c>
      <c r="G2007" s="55" t="s">
        <v>360</v>
      </c>
      <c r="H2007" s="55" t="s">
        <v>360</v>
      </c>
      <c r="I2007" s="55" t="s">
        <v>360</v>
      </c>
      <c r="J2007" s="55" t="s">
        <v>360</v>
      </c>
      <c r="K2007" s="55" t="s">
        <v>360</v>
      </c>
      <c r="L2007" s="55" t="s">
        <v>360</v>
      </c>
      <c r="M2007" s="55" t="s">
        <v>378</v>
      </c>
      <c r="N2007" s="55" t="s">
        <v>134</v>
      </c>
      <c r="O2007" s="55" t="s">
        <v>210</v>
      </c>
      <c r="P2007" s="55" t="s">
        <v>3120</v>
      </c>
      <c r="Q2007" s="55" t="s">
        <v>380</v>
      </c>
      <c r="R2007" s="85">
        <v>24</v>
      </c>
      <c r="S2007" s="55">
        <v>0</v>
      </c>
      <c r="T2007" s="74" t="s">
        <v>543</v>
      </c>
      <c r="U2007" s="74" t="s">
        <v>6703</v>
      </c>
      <c r="V2007" s="74">
        <v>44475</v>
      </c>
      <c r="W2007" s="74">
        <v>44511</v>
      </c>
      <c r="X2007" s="55">
        <v>10165441</v>
      </c>
      <c r="Y2007" s="55" t="s">
        <v>6706</v>
      </c>
      <c r="AL2007" s="74"/>
      <c r="AM2007" s="74"/>
    </row>
    <row r="2008" spans="1:50" ht="13" x14ac:dyDescent="0.15">
      <c r="A2008" s="55" t="str">
        <f>HYPERLINK("http://reports.ofsted.gov.uk/inspection-reports/find-inspection-report/provider/CARE/SC033457","Ofsted Social Care Provider Webpage")</f>
        <v>Ofsted Social Care Provider Webpage</v>
      </c>
      <c r="B2008" s="55" t="s">
        <v>3129</v>
      </c>
      <c r="D2008" s="55" t="s">
        <v>2864</v>
      </c>
      <c r="E2008" s="74">
        <v>37812</v>
      </c>
      <c r="F2008" s="55" t="s">
        <v>344</v>
      </c>
      <c r="G2008" s="55" t="s">
        <v>360</v>
      </c>
      <c r="H2008" s="55" t="s">
        <v>360</v>
      </c>
      <c r="I2008" s="55" t="s">
        <v>360</v>
      </c>
      <c r="J2008" s="55" t="s">
        <v>360</v>
      </c>
      <c r="K2008" s="55" t="s">
        <v>360</v>
      </c>
      <c r="L2008" s="55" t="s">
        <v>360</v>
      </c>
      <c r="M2008" s="55" t="s">
        <v>378</v>
      </c>
      <c r="N2008" s="55" t="s">
        <v>134</v>
      </c>
      <c r="O2008" s="55" t="s">
        <v>210</v>
      </c>
      <c r="P2008" s="55" t="s">
        <v>3120</v>
      </c>
      <c r="Q2008" s="55" t="s">
        <v>380</v>
      </c>
      <c r="R2008" s="85">
        <v>24</v>
      </c>
      <c r="S2008" s="55">
        <v>0</v>
      </c>
      <c r="T2008" s="74" t="s">
        <v>543</v>
      </c>
      <c r="U2008" s="74" t="s">
        <v>351</v>
      </c>
      <c r="V2008" s="74">
        <v>44327</v>
      </c>
      <c r="W2008" s="74">
        <v>44375</v>
      </c>
      <c r="X2008" s="55">
        <v>10165440</v>
      </c>
      <c r="Y2008" s="55" t="s">
        <v>140</v>
      </c>
      <c r="Z2008" s="55" t="s">
        <v>140</v>
      </c>
      <c r="AA2008" s="55" t="s">
        <v>132</v>
      </c>
      <c r="AB2008" s="74" t="s">
        <v>140</v>
      </c>
      <c r="AC2008" s="55" t="s">
        <v>140</v>
      </c>
      <c r="AL2008" s="74"/>
      <c r="AM2008" s="74"/>
    </row>
    <row r="2009" spans="1:50" ht="13" x14ac:dyDescent="0.15">
      <c r="A2009" s="55" t="str">
        <f>HYPERLINK("http://reports.ofsted.gov.uk/inspection-reports/find-inspection-report/provider/CARE/SC033467","Ofsted Social Care Provider Webpage")</f>
        <v>Ofsted Social Care Provider Webpage</v>
      </c>
      <c r="B2009" s="55" t="s">
        <v>3130</v>
      </c>
      <c r="D2009" s="55" t="s">
        <v>373</v>
      </c>
      <c r="E2009" s="74">
        <v>37797</v>
      </c>
      <c r="F2009" s="55" t="s">
        <v>344</v>
      </c>
      <c r="G2009" s="55" t="s">
        <v>360</v>
      </c>
      <c r="H2009" s="55" t="s">
        <v>360</v>
      </c>
      <c r="I2009" s="55" t="s">
        <v>360</v>
      </c>
      <c r="J2009" s="55" t="s">
        <v>360</v>
      </c>
      <c r="K2009" s="55" t="s">
        <v>360</v>
      </c>
      <c r="L2009" s="55" t="s">
        <v>360</v>
      </c>
      <c r="M2009" s="55" t="s">
        <v>378</v>
      </c>
      <c r="N2009" s="55" t="s">
        <v>170</v>
      </c>
      <c r="O2009" s="55" t="s">
        <v>222</v>
      </c>
      <c r="P2009" s="55" t="s">
        <v>3131</v>
      </c>
      <c r="Q2009" s="55" t="s">
        <v>362</v>
      </c>
      <c r="R2009" s="85">
        <v>8</v>
      </c>
      <c r="S2009" s="55">
        <v>0</v>
      </c>
      <c r="T2009" s="74" t="s">
        <v>3132</v>
      </c>
      <c r="U2009" s="74" t="s">
        <v>351</v>
      </c>
      <c r="V2009" s="74">
        <v>44586</v>
      </c>
      <c r="W2009" s="74">
        <v>44621</v>
      </c>
      <c r="X2009" s="55">
        <v>10185182</v>
      </c>
      <c r="Y2009" s="55" t="s">
        <v>132</v>
      </c>
      <c r="AB2009" s="74" t="s">
        <v>132</v>
      </c>
      <c r="AC2009" s="55" t="s">
        <v>132</v>
      </c>
      <c r="AL2009" s="74"/>
      <c r="AM2009" s="74"/>
      <c r="AW2009" s="74"/>
      <c r="AX2009" s="74"/>
    </row>
    <row r="2010" spans="1:50" ht="13" x14ac:dyDescent="0.15">
      <c r="A2010" s="55" t="str">
        <f>HYPERLINK("http://reports.ofsted.gov.uk/inspection-reports/find-inspection-report/provider/CARE/SC033492","Ofsted Social Care Provider Webpage")</f>
        <v>Ofsted Social Care Provider Webpage</v>
      </c>
      <c r="B2010" s="55" t="s">
        <v>3140</v>
      </c>
      <c r="D2010" s="55" t="s">
        <v>373</v>
      </c>
      <c r="E2010" s="74">
        <v>37798</v>
      </c>
      <c r="F2010" s="55" t="s">
        <v>344</v>
      </c>
      <c r="G2010" s="55" t="s">
        <v>360</v>
      </c>
      <c r="H2010" s="55" t="s">
        <v>360</v>
      </c>
      <c r="I2010" s="55" t="s">
        <v>360</v>
      </c>
      <c r="J2010" s="55" t="s">
        <v>360</v>
      </c>
      <c r="K2010" s="55" t="s">
        <v>360</v>
      </c>
      <c r="L2010" s="55" t="s">
        <v>360</v>
      </c>
      <c r="M2010" s="55" t="s">
        <v>378</v>
      </c>
      <c r="N2010" s="55" t="s">
        <v>134</v>
      </c>
      <c r="O2010" s="55" t="s">
        <v>151</v>
      </c>
      <c r="P2010" s="55" t="s">
        <v>3141</v>
      </c>
      <c r="Q2010" s="55" t="s">
        <v>380</v>
      </c>
      <c r="R2010" s="85">
        <v>7</v>
      </c>
      <c r="S2010" s="55">
        <v>0</v>
      </c>
      <c r="T2010" s="74" t="s">
        <v>1220</v>
      </c>
      <c r="U2010" s="74" t="s">
        <v>351</v>
      </c>
      <c r="V2010" s="74">
        <v>44453</v>
      </c>
      <c r="W2010" s="74">
        <v>44503</v>
      </c>
      <c r="X2010" s="55">
        <v>10186388</v>
      </c>
      <c r="Y2010" s="55" t="s">
        <v>132</v>
      </c>
      <c r="AB2010" s="74" t="s">
        <v>132</v>
      </c>
      <c r="AC2010" s="55" t="s">
        <v>132</v>
      </c>
      <c r="AL2010" s="74"/>
      <c r="AM2010" s="74"/>
    </row>
    <row r="2011" spans="1:50" ht="13" x14ac:dyDescent="0.15">
      <c r="A2011" s="55" t="str">
        <f>HYPERLINK("http://reports.ofsted.gov.uk/inspection-reports/find-inspection-report/provider/CARE/SC033502","Ofsted Social Care Provider Webpage")</f>
        <v>Ofsted Social Care Provider Webpage</v>
      </c>
      <c r="B2011" s="55" t="s">
        <v>3142</v>
      </c>
      <c r="D2011" s="55" t="s">
        <v>373</v>
      </c>
      <c r="E2011" s="74">
        <v>37798</v>
      </c>
      <c r="F2011" s="55" t="s">
        <v>344</v>
      </c>
      <c r="G2011" s="55" t="s">
        <v>360</v>
      </c>
      <c r="H2011" s="55" t="s">
        <v>360</v>
      </c>
      <c r="I2011" s="55" t="s">
        <v>360</v>
      </c>
      <c r="J2011" s="55" t="s">
        <v>360</v>
      </c>
      <c r="K2011" s="55" t="s">
        <v>360</v>
      </c>
      <c r="L2011" s="55" t="s">
        <v>360</v>
      </c>
      <c r="M2011" s="55" t="s">
        <v>378</v>
      </c>
      <c r="N2011" s="55" t="s">
        <v>134</v>
      </c>
      <c r="O2011" s="55" t="s">
        <v>151</v>
      </c>
      <c r="P2011" s="55" t="s">
        <v>1778</v>
      </c>
      <c r="Q2011" s="55" t="s">
        <v>380</v>
      </c>
      <c r="R2011" s="85">
        <v>6</v>
      </c>
      <c r="S2011" s="55">
        <v>0</v>
      </c>
      <c r="T2011" s="74" t="s">
        <v>1220</v>
      </c>
      <c r="U2011" s="74" t="s">
        <v>351</v>
      </c>
      <c r="V2011" s="74">
        <v>44306</v>
      </c>
      <c r="W2011" s="74">
        <v>44348</v>
      </c>
      <c r="X2011" s="55">
        <v>10186505</v>
      </c>
      <c r="Y2011" s="55" t="s">
        <v>132</v>
      </c>
      <c r="AB2011" s="74" t="s">
        <v>132</v>
      </c>
      <c r="AC2011" s="55" t="s">
        <v>132</v>
      </c>
      <c r="AL2011" s="74"/>
      <c r="AM2011" s="74"/>
    </row>
    <row r="2012" spans="1:50" ht="13" x14ac:dyDescent="0.15">
      <c r="A2012" s="55" t="str">
        <f>HYPERLINK("http://reports.ofsted.gov.uk/inspection-reports/find-inspection-report/provider/CARE/SC033502","Ofsted Social Care Provider Webpage")</f>
        <v>Ofsted Social Care Provider Webpage</v>
      </c>
      <c r="B2012" s="55" t="s">
        <v>3142</v>
      </c>
      <c r="D2012" s="55" t="s">
        <v>373</v>
      </c>
      <c r="E2012" s="74">
        <v>37798</v>
      </c>
      <c r="F2012" s="55" t="s">
        <v>344</v>
      </c>
      <c r="G2012" s="55" t="s">
        <v>360</v>
      </c>
      <c r="H2012" s="55" t="s">
        <v>360</v>
      </c>
      <c r="I2012" s="55" t="s">
        <v>360</v>
      </c>
      <c r="J2012" s="55" t="s">
        <v>360</v>
      </c>
      <c r="K2012" s="55" t="s">
        <v>360</v>
      </c>
      <c r="L2012" s="55" t="s">
        <v>360</v>
      </c>
      <c r="M2012" s="55" t="s">
        <v>378</v>
      </c>
      <c r="N2012" s="55" t="s">
        <v>134</v>
      </c>
      <c r="O2012" s="55" t="s">
        <v>151</v>
      </c>
      <c r="P2012" s="55" t="s">
        <v>1778</v>
      </c>
      <c r="Q2012" s="55" t="s">
        <v>380</v>
      </c>
      <c r="R2012" s="85">
        <v>6</v>
      </c>
      <c r="S2012" s="55">
        <v>0</v>
      </c>
      <c r="T2012" s="74" t="s">
        <v>1220</v>
      </c>
      <c r="U2012" s="74" t="s">
        <v>2053</v>
      </c>
      <c r="V2012" s="74">
        <v>44586</v>
      </c>
      <c r="W2012" s="74">
        <v>44627</v>
      </c>
      <c r="X2012" s="55">
        <v>10217683</v>
      </c>
      <c r="AL2012" s="74"/>
      <c r="AM2012" s="74"/>
    </row>
    <row r="2013" spans="1:50" ht="13" x14ac:dyDescent="0.15">
      <c r="A2013" s="55" t="str">
        <f>HYPERLINK("http://reports.ofsted.gov.uk/inspection-reports/find-inspection-report/provider/CARE/SC033502","Ofsted Social Care Provider Webpage")</f>
        <v>Ofsted Social Care Provider Webpage</v>
      </c>
      <c r="B2013" s="55" t="s">
        <v>3142</v>
      </c>
      <c r="D2013" s="55" t="s">
        <v>373</v>
      </c>
      <c r="E2013" s="74">
        <v>37798</v>
      </c>
      <c r="F2013" s="55" t="s">
        <v>344</v>
      </c>
      <c r="G2013" s="55" t="s">
        <v>360</v>
      </c>
      <c r="H2013" s="55" t="s">
        <v>360</v>
      </c>
      <c r="I2013" s="55" t="s">
        <v>360</v>
      </c>
      <c r="J2013" s="55" t="s">
        <v>360</v>
      </c>
      <c r="K2013" s="55" t="s">
        <v>360</v>
      </c>
      <c r="L2013" s="55" t="s">
        <v>360</v>
      </c>
      <c r="M2013" s="55" t="s">
        <v>378</v>
      </c>
      <c r="N2013" s="55" t="s">
        <v>134</v>
      </c>
      <c r="O2013" s="55" t="s">
        <v>151</v>
      </c>
      <c r="P2013" s="55" t="s">
        <v>1778</v>
      </c>
      <c r="Q2013" s="55" t="s">
        <v>380</v>
      </c>
      <c r="R2013" s="85">
        <v>6</v>
      </c>
      <c r="S2013" s="55">
        <v>0</v>
      </c>
      <c r="T2013" s="74" t="s">
        <v>1220</v>
      </c>
      <c r="U2013" s="74" t="s">
        <v>6703</v>
      </c>
      <c r="V2013" s="74">
        <v>44544</v>
      </c>
      <c r="W2013" s="74">
        <v>44593</v>
      </c>
      <c r="X2013" s="55">
        <v>10210608</v>
      </c>
      <c r="Y2013" s="55" t="s">
        <v>6704</v>
      </c>
      <c r="AL2013" s="74"/>
      <c r="AM2013" s="74"/>
    </row>
    <row r="2014" spans="1:50" ht="13" x14ac:dyDescent="0.15">
      <c r="A2014" s="55" t="str">
        <f>HYPERLINK("http://reports.ofsted.gov.uk/inspection-reports/find-inspection-report/provider/CARE/SC033611","Ofsted Social Care Provider Webpage")</f>
        <v>Ofsted Social Care Provider Webpage</v>
      </c>
      <c r="B2014" s="55" t="s">
        <v>3149</v>
      </c>
      <c r="D2014" s="55" t="s">
        <v>373</v>
      </c>
      <c r="E2014" s="74">
        <v>37925</v>
      </c>
      <c r="F2014" s="55" t="s">
        <v>344</v>
      </c>
      <c r="G2014" s="55" t="s">
        <v>360</v>
      </c>
      <c r="H2014" s="55" t="s">
        <v>360</v>
      </c>
      <c r="I2014" s="55" t="s">
        <v>360</v>
      </c>
      <c r="J2014" s="55" t="s">
        <v>360</v>
      </c>
      <c r="K2014" s="55" t="s">
        <v>360</v>
      </c>
      <c r="L2014" s="55" t="s">
        <v>360</v>
      </c>
      <c r="M2014" s="55" t="s">
        <v>144</v>
      </c>
      <c r="N2014" s="55" t="s">
        <v>144</v>
      </c>
      <c r="O2014" s="55" t="s">
        <v>145</v>
      </c>
      <c r="P2014" s="55" t="s">
        <v>525</v>
      </c>
      <c r="Q2014" s="55" t="s">
        <v>380</v>
      </c>
      <c r="R2014" s="85">
        <v>7</v>
      </c>
      <c r="S2014" s="55" t="s">
        <v>332</v>
      </c>
      <c r="T2014" s="74" t="s">
        <v>3150</v>
      </c>
      <c r="U2014" s="74" t="s">
        <v>351</v>
      </c>
      <c r="V2014" s="74">
        <v>44622</v>
      </c>
      <c r="W2014" s="74">
        <v>44670</v>
      </c>
      <c r="X2014" s="55">
        <v>10186066</v>
      </c>
      <c r="Y2014" s="55" t="s">
        <v>132</v>
      </c>
      <c r="AB2014" s="74" t="s">
        <v>132</v>
      </c>
      <c r="AC2014" s="55" t="s">
        <v>132</v>
      </c>
      <c r="AL2014" s="74"/>
      <c r="AM2014" s="74"/>
      <c r="AW2014" s="74"/>
      <c r="AX2014" s="74"/>
    </row>
    <row r="2015" spans="1:50" ht="13" x14ac:dyDescent="0.15">
      <c r="A2015" s="55" t="str">
        <f>HYPERLINK("http://reports.ofsted.gov.uk/inspection-reports/find-inspection-report/provider/CARE/SC033628","Ofsted Social Care Provider Webpage")</f>
        <v>Ofsted Social Care Provider Webpage</v>
      </c>
      <c r="B2015" s="55" t="s">
        <v>3151</v>
      </c>
      <c r="D2015" s="55" t="s">
        <v>373</v>
      </c>
      <c r="E2015" s="74">
        <v>37798</v>
      </c>
      <c r="F2015" s="55" t="s">
        <v>344</v>
      </c>
      <c r="G2015" s="55" t="s">
        <v>360</v>
      </c>
      <c r="H2015" s="55" t="s">
        <v>360</v>
      </c>
      <c r="I2015" s="55" t="s">
        <v>360</v>
      </c>
      <c r="J2015" s="55" t="s">
        <v>360</v>
      </c>
      <c r="K2015" s="55" t="s">
        <v>360</v>
      </c>
      <c r="L2015" s="55" t="s">
        <v>360</v>
      </c>
      <c r="M2015" s="55" t="s">
        <v>378</v>
      </c>
      <c r="N2015" s="55" t="s">
        <v>134</v>
      </c>
      <c r="O2015" s="55" t="s">
        <v>151</v>
      </c>
      <c r="P2015" s="55" t="s">
        <v>1921</v>
      </c>
      <c r="Q2015" s="55" t="s">
        <v>380</v>
      </c>
      <c r="R2015" s="85">
        <v>6</v>
      </c>
      <c r="S2015" s="55" t="s">
        <v>332</v>
      </c>
      <c r="T2015" s="74" t="s">
        <v>1220</v>
      </c>
      <c r="U2015" s="74" t="s">
        <v>351</v>
      </c>
      <c r="V2015" s="74">
        <v>44460</v>
      </c>
      <c r="W2015" s="74">
        <v>44495</v>
      </c>
      <c r="X2015" s="55">
        <v>10185498</v>
      </c>
      <c r="Y2015" s="55" t="s">
        <v>132</v>
      </c>
      <c r="AB2015" s="74" t="s">
        <v>132</v>
      </c>
      <c r="AC2015" s="55" t="s">
        <v>132</v>
      </c>
      <c r="AL2015" s="74"/>
      <c r="AM2015" s="74"/>
      <c r="AW2015" s="74"/>
      <c r="AX2015" s="74"/>
    </row>
    <row r="2016" spans="1:50" ht="13" x14ac:dyDescent="0.15">
      <c r="A2016" s="55" t="str">
        <f>HYPERLINK("http://reports.ofsted.gov.uk/inspection-reports/find-inspection-report/provider/CARE/SC033642","Ofsted Social Care Provider Webpage")</f>
        <v>Ofsted Social Care Provider Webpage</v>
      </c>
      <c r="B2016" s="55" t="s">
        <v>3152</v>
      </c>
      <c r="D2016" s="55" t="s">
        <v>373</v>
      </c>
      <c r="E2016" s="74">
        <v>37679</v>
      </c>
      <c r="F2016" s="55" t="s">
        <v>344</v>
      </c>
      <c r="G2016" s="55" t="s">
        <v>360</v>
      </c>
      <c r="H2016" s="55" t="s">
        <v>360</v>
      </c>
      <c r="I2016" s="55" t="s">
        <v>360</v>
      </c>
      <c r="J2016" s="55" t="s">
        <v>360</v>
      </c>
      <c r="K2016" s="55" t="s">
        <v>360</v>
      </c>
      <c r="L2016" s="55" t="s">
        <v>360</v>
      </c>
      <c r="M2016" s="55" t="s">
        <v>378</v>
      </c>
      <c r="N2016" s="55" t="s">
        <v>170</v>
      </c>
      <c r="O2016" s="55" t="s">
        <v>222</v>
      </c>
      <c r="P2016" s="55" t="s">
        <v>2188</v>
      </c>
      <c r="Q2016" s="55" t="s">
        <v>380</v>
      </c>
      <c r="R2016" s="85">
        <v>6</v>
      </c>
      <c r="S2016" s="55">
        <v>0</v>
      </c>
      <c r="T2016" s="74" t="s">
        <v>687</v>
      </c>
      <c r="U2016" s="74" t="s">
        <v>351</v>
      </c>
      <c r="V2016" s="74">
        <v>44383</v>
      </c>
      <c r="W2016" s="74">
        <v>44426</v>
      </c>
      <c r="X2016" s="55">
        <v>10186975</v>
      </c>
      <c r="Y2016" s="55" t="s">
        <v>146</v>
      </c>
      <c r="AB2016" s="74" t="s">
        <v>146</v>
      </c>
      <c r="AC2016" s="55" t="s">
        <v>146</v>
      </c>
      <c r="AL2016" s="74"/>
      <c r="AM2016" s="74"/>
      <c r="AW2016" s="74"/>
      <c r="AX2016" s="74"/>
    </row>
    <row r="2017" spans="1:50" ht="13" x14ac:dyDescent="0.15">
      <c r="A2017" s="55" t="str">
        <f>HYPERLINK("http://reports.ofsted.gov.uk/inspection-reports/find-inspection-report/provider/CARE/SC033642","Ofsted Social Care Provider Webpage")</f>
        <v>Ofsted Social Care Provider Webpage</v>
      </c>
      <c r="B2017" s="55" t="s">
        <v>3152</v>
      </c>
      <c r="D2017" s="55" t="s">
        <v>373</v>
      </c>
      <c r="E2017" s="74">
        <v>37679</v>
      </c>
      <c r="F2017" s="55" t="s">
        <v>344</v>
      </c>
      <c r="G2017" s="55" t="s">
        <v>360</v>
      </c>
      <c r="H2017" s="55" t="s">
        <v>360</v>
      </c>
      <c r="I2017" s="55" t="s">
        <v>360</v>
      </c>
      <c r="J2017" s="55" t="s">
        <v>360</v>
      </c>
      <c r="K2017" s="55" t="s">
        <v>360</v>
      </c>
      <c r="L2017" s="55" t="s">
        <v>360</v>
      </c>
      <c r="M2017" s="55" t="s">
        <v>378</v>
      </c>
      <c r="N2017" s="55" t="s">
        <v>170</v>
      </c>
      <c r="O2017" s="55" t="s">
        <v>222</v>
      </c>
      <c r="P2017" s="55" t="s">
        <v>2188</v>
      </c>
      <c r="Q2017" s="55" t="s">
        <v>380</v>
      </c>
      <c r="R2017" s="85">
        <v>6</v>
      </c>
      <c r="S2017" s="55">
        <v>0</v>
      </c>
      <c r="T2017" s="74" t="s">
        <v>687</v>
      </c>
      <c r="U2017" s="74" t="s">
        <v>351</v>
      </c>
      <c r="V2017" s="74">
        <v>44467</v>
      </c>
      <c r="W2017" s="74">
        <v>44517</v>
      </c>
      <c r="X2017" s="55">
        <v>10205026</v>
      </c>
      <c r="Y2017" s="55" t="s">
        <v>132</v>
      </c>
      <c r="AB2017" s="74" t="s">
        <v>132</v>
      </c>
      <c r="AC2017" s="55" t="s">
        <v>132</v>
      </c>
      <c r="AL2017" s="74"/>
      <c r="AM2017" s="74"/>
      <c r="AW2017" s="74"/>
      <c r="AX2017" s="74"/>
    </row>
    <row r="2018" spans="1:50" ht="13" x14ac:dyDescent="0.15">
      <c r="A2018" s="55" t="str">
        <f>HYPERLINK("http://reports.ofsted.gov.uk/inspection-reports/find-inspection-report/provider/CARE/SC033642","Ofsted Social Care Provider Webpage")</f>
        <v>Ofsted Social Care Provider Webpage</v>
      </c>
      <c r="B2018" s="55" t="s">
        <v>3152</v>
      </c>
      <c r="D2018" s="55" t="s">
        <v>373</v>
      </c>
      <c r="E2018" s="74">
        <v>37679</v>
      </c>
      <c r="F2018" s="55" t="s">
        <v>344</v>
      </c>
      <c r="G2018" s="55" t="s">
        <v>360</v>
      </c>
      <c r="H2018" s="55" t="s">
        <v>360</v>
      </c>
      <c r="I2018" s="55" t="s">
        <v>360</v>
      </c>
      <c r="J2018" s="55" t="s">
        <v>360</v>
      </c>
      <c r="K2018" s="55" t="s">
        <v>360</v>
      </c>
      <c r="L2018" s="55" t="s">
        <v>360</v>
      </c>
      <c r="M2018" s="55" t="s">
        <v>378</v>
      </c>
      <c r="N2018" s="55" t="s">
        <v>170</v>
      </c>
      <c r="O2018" s="55" t="s">
        <v>222</v>
      </c>
      <c r="P2018" s="55" t="s">
        <v>2188</v>
      </c>
      <c r="Q2018" s="55" t="s">
        <v>380</v>
      </c>
      <c r="R2018" s="85">
        <v>6</v>
      </c>
      <c r="S2018" s="55">
        <v>0</v>
      </c>
      <c r="T2018" s="74" t="s">
        <v>687</v>
      </c>
      <c r="U2018" s="74" t="s">
        <v>2053</v>
      </c>
      <c r="V2018" s="74">
        <v>44419</v>
      </c>
      <c r="W2018" s="74">
        <v>44452</v>
      </c>
      <c r="X2018" s="55">
        <v>10201926</v>
      </c>
      <c r="AL2018" s="74"/>
      <c r="AM2018" s="74"/>
      <c r="AW2018" s="74"/>
      <c r="AX2018" s="74"/>
    </row>
    <row r="2019" spans="1:50" ht="13" x14ac:dyDescent="0.15">
      <c r="A2019" s="55" t="str">
        <f>HYPERLINK("http://reports.ofsted.gov.uk/inspection-reports/find-inspection-report/provider/CARE/SC033645","Ofsted Social Care Provider Webpage")</f>
        <v>Ofsted Social Care Provider Webpage</v>
      </c>
      <c r="B2019" s="55" t="s">
        <v>3153</v>
      </c>
      <c r="D2019" s="55" t="s">
        <v>373</v>
      </c>
      <c r="E2019" s="74">
        <v>37720</v>
      </c>
      <c r="F2019" s="55" t="s">
        <v>344</v>
      </c>
      <c r="G2019" s="55" t="s">
        <v>360</v>
      </c>
      <c r="H2019" s="55" t="s">
        <v>360</v>
      </c>
      <c r="I2019" s="55" t="s">
        <v>360</v>
      </c>
      <c r="J2019" s="55" t="s">
        <v>360</v>
      </c>
      <c r="K2019" s="55" t="s">
        <v>360</v>
      </c>
      <c r="L2019" s="55" t="s">
        <v>360</v>
      </c>
      <c r="M2019" s="55" t="s">
        <v>378</v>
      </c>
      <c r="N2019" s="55" t="s">
        <v>170</v>
      </c>
      <c r="O2019" s="55" t="s">
        <v>222</v>
      </c>
      <c r="P2019" s="55" t="s">
        <v>3131</v>
      </c>
      <c r="Q2019" s="55" t="s">
        <v>380</v>
      </c>
      <c r="R2019" s="85">
        <v>6</v>
      </c>
      <c r="S2019" s="55" t="s">
        <v>332</v>
      </c>
      <c r="T2019" s="74" t="s">
        <v>687</v>
      </c>
      <c r="U2019" s="74" t="s">
        <v>351</v>
      </c>
      <c r="V2019" s="74">
        <v>44621</v>
      </c>
      <c r="W2019" s="74">
        <v>44662</v>
      </c>
      <c r="X2019" s="55">
        <v>10185231</v>
      </c>
      <c r="Y2019" s="55" t="s">
        <v>130</v>
      </c>
      <c r="AB2019" s="74" t="s">
        <v>130</v>
      </c>
      <c r="AC2019" s="55" t="s">
        <v>130</v>
      </c>
      <c r="AL2019" s="74"/>
      <c r="AM2019" s="74"/>
    </row>
    <row r="2020" spans="1:50" ht="13" x14ac:dyDescent="0.15">
      <c r="A2020" s="55" t="str">
        <f>HYPERLINK("http://reports.ofsted.gov.uk/inspection-reports/find-inspection-report/provider/CARE/SC033657","Ofsted Social Care Provider Webpage")</f>
        <v>Ofsted Social Care Provider Webpage</v>
      </c>
      <c r="B2020" s="55" t="s">
        <v>3154</v>
      </c>
      <c r="D2020" s="55" t="s">
        <v>373</v>
      </c>
      <c r="E2020" s="74">
        <v>37812</v>
      </c>
      <c r="F2020" s="55" t="s">
        <v>344</v>
      </c>
      <c r="G2020" s="55" t="s">
        <v>360</v>
      </c>
      <c r="H2020" s="55" t="s">
        <v>360</v>
      </c>
      <c r="I2020" s="55" t="s">
        <v>360</v>
      </c>
      <c r="J2020" s="55" t="s">
        <v>360</v>
      </c>
      <c r="K2020" s="55" t="s">
        <v>360</v>
      </c>
      <c r="L2020" s="55" t="s">
        <v>360</v>
      </c>
      <c r="M2020" s="55" t="s">
        <v>378</v>
      </c>
      <c r="N2020" s="55" t="s">
        <v>134</v>
      </c>
      <c r="O2020" s="55" t="s">
        <v>210</v>
      </c>
      <c r="P2020" s="55" t="s">
        <v>1989</v>
      </c>
      <c r="Q2020" s="55" t="s">
        <v>380</v>
      </c>
      <c r="R2020" s="85">
        <v>5</v>
      </c>
      <c r="S2020" s="55">
        <v>0</v>
      </c>
      <c r="T2020" s="74" t="s">
        <v>543</v>
      </c>
      <c r="U2020" s="74" t="s">
        <v>351</v>
      </c>
      <c r="V2020" s="74">
        <v>44404</v>
      </c>
      <c r="W2020" s="74">
        <v>44434</v>
      </c>
      <c r="X2020" s="55">
        <v>10186251</v>
      </c>
      <c r="Y2020" s="55" t="s">
        <v>132</v>
      </c>
      <c r="AB2020" s="74" t="s">
        <v>132</v>
      </c>
      <c r="AC2020" s="55" t="s">
        <v>132</v>
      </c>
      <c r="AL2020" s="74"/>
      <c r="AM2020" s="74"/>
      <c r="AW2020" s="74"/>
      <c r="AX2020" s="74"/>
    </row>
    <row r="2021" spans="1:50" ht="13" x14ac:dyDescent="0.15">
      <c r="A2021" s="55" t="str">
        <f>HYPERLINK("http://reports.ofsted.gov.uk/inspection-reports/find-inspection-report/provider/CARE/SC033806","Ofsted Social Care Provider Webpage")</f>
        <v>Ofsted Social Care Provider Webpage</v>
      </c>
      <c r="B2021" s="55" t="s">
        <v>3165</v>
      </c>
      <c r="D2021" s="55" t="s">
        <v>389</v>
      </c>
      <c r="E2021" s="74">
        <v>37694</v>
      </c>
      <c r="F2021" s="55" t="s">
        <v>344</v>
      </c>
      <c r="G2021" s="55" t="s">
        <v>3166</v>
      </c>
      <c r="H2021" s="55" t="s">
        <v>3167</v>
      </c>
      <c r="I2021" s="55" t="s">
        <v>354</v>
      </c>
      <c r="J2021" s="55" t="s">
        <v>3168</v>
      </c>
      <c r="K2021" s="55" t="s">
        <v>183</v>
      </c>
      <c r="L2021" s="55" t="s">
        <v>3169</v>
      </c>
      <c r="M2021" s="55" t="s">
        <v>129</v>
      </c>
      <c r="N2021" s="55" t="s">
        <v>129</v>
      </c>
      <c r="O2021" s="55" t="s">
        <v>194</v>
      </c>
      <c r="P2021" s="55" t="s">
        <v>1833</v>
      </c>
      <c r="Q2021" s="55" t="s">
        <v>350</v>
      </c>
      <c r="S2021" s="55">
        <v>0</v>
      </c>
      <c r="T2021" s="74" t="s">
        <v>3170</v>
      </c>
      <c r="U2021" s="74" t="s">
        <v>351</v>
      </c>
      <c r="V2021" s="74">
        <v>44571</v>
      </c>
      <c r="W2021" s="74">
        <v>44615</v>
      </c>
      <c r="X2021" s="55">
        <v>10183354</v>
      </c>
      <c r="Y2021" s="55" t="s">
        <v>132</v>
      </c>
      <c r="AB2021" s="74" t="s">
        <v>130</v>
      </c>
      <c r="AC2021" s="55" t="s">
        <v>132</v>
      </c>
      <c r="AL2021" s="74"/>
      <c r="AM2021" s="74"/>
      <c r="AW2021" s="74"/>
      <c r="AX2021" s="74"/>
    </row>
    <row r="2022" spans="1:50" ht="13" x14ac:dyDescent="0.15">
      <c r="A2022" s="55" t="str">
        <f>HYPERLINK("http://reports.ofsted.gov.uk/inspection-reports/find-inspection-report/provider/CARE/SC033808","Ofsted Social Care Provider Webpage")</f>
        <v>Ofsted Social Care Provider Webpage</v>
      </c>
      <c r="B2022" s="55" t="s">
        <v>3171</v>
      </c>
      <c r="D2022" s="55" t="s">
        <v>373</v>
      </c>
      <c r="E2022" s="74">
        <v>37872</v>
      </c>
      <c r="F2022" s="55" t="s">
        <v>344</v>
      </c>
      <c r="G2022" s="55" t="s">
        <v>360</v>
      </c>
      <c r="H2022" s="55" t="s">
        <v>360</v>
      </c>
      <c r="I2022" s="55" t="s">
        <v>360</v>
      </c>
      <c r="J2022" s="55" t="s">
        <v>360</v>
      </c>
      <c r="K2022" s="55" t="s">
        <v>360</v>
      </c>
      <c r="L2022" s="55" t="s">
        <v>360</v>
      </c>
      <c r="M2022" s="55" t="s">
        <v>378</v>
      </c>
      <c r="N2022" s="55" t="s">
        <v>134</v>
      </c>
      <c r="O2022" s="55" t="s">
        <v>277</v>
      </c>
      <c r="P2022" s="55" t="s">
        <v>277</v>
      </c>
      <c r="Q2022" s="55" t="s">
        <v>380</v>
      </c>
      <c r="R2022" s="85">
        <v>7</v>
      </c>
      <c r="S2022" s="55" t="s">
        <v>332</v>
      </c>
      <c r="T2022" s="74" t="s">
        <v>1575</v>
      </c>
      <c r="U2022" s="74" t="s">
        <v>351</v>
      </c>
      <c r="V2022" s="74">
        <v>44580</v>
      </c>
      <c r="W2022" s="74">
        <v>44635</v>
      </c>
      <c r="X2022" s="55">
        <v>10187469</v>
      </c>
      <c r="Y2022" s="55" t="s">
        <v>132</v>
      </c>
      <c r="AB2022" s="74" t="s">
        <v>132</v>
      </c>
      <c r="AC2022" s="55" t="s">
        <v>132</v>
      </c>
      <c r="AL2022" s="74"/>
      <c r="AM2022" s="74"/>
      <c r="AW2022" s="74"/>
      <c r="AX2022" s="74"/>
    </row>
    <row r="2023" spans="1:50" ht="13" x14ac:dyDescent="0.15">
      <c r="A2023" s="55" t="str">
        <f>HYPERLINK("http://reports.ofsted.gov.uk/inspection-reports/find-inspection-report/provider/CARE/SC033817","Ofsted Social Care Provider Webpage")</f>
        <v>Ofsted Social Care Provider Webpage</v>
      </c>
      <c r="B2023" s="55" t="s">
        <v>3172</v>
      </c>
      <c r="D2023" s="55" t="s">
        <v>373</v>
      </c>
      <c r="E2023" s="74">
        <v>37547</v>
      </c>
      <c r="F2023" s="55" t="s">
        <v>344</v>
      </c>
      <c r="G2023" s="55" t="s">
        <v>360</v>
      </c>
      <c r="H2023" s="55" t="s">
        <v>360</v>
      </c>
      <c r="I2023" s="55" t="s">
        <v>360</v>
      </c>
      <c r="J2023" s="55" t="s">
        <v>360</v>
      </c>
      <c r="K2023" s="55" t="s">
        <v>360</v>
      </c>
      <c r="L2023" s="55" t="s">
        <v>360</v>
      </c>
      <c r="M2023" s="55" t="s">
        <v>172</v>
      </c>
      <c r="N2023" s="55" t="s">
        <v>172</v>
      </c>
      <c r="O2023" s="55" t="s">
        <v>228</v>
      </c>
      <c r="P2023" s="55" t="s">
        <v>991</v>
      </c>
      <c r="Q2023" s="55" t="s">
        <v>350</v>
      </c>
      <c r="R2023" s="85">
        <v>4</v>
      </c>
      <c r="S2023" s="55">
        <v>0</v>
      </c>
      <c r="T2023" s="74" t="s">
        <v>791</v>
      </c>
      <c r="U2023" s="74" t="s">
        <v>351</v>
      </c>
      <c r="V2023" s="74">
        <v>44467</v>
      </c>
      <c r="W2023" s="74">
        <v>44504</v>
      </c>
      <c r="X2023" s="55">
        <v>10186448</v>
      </c>
      <c r="Y2023" s="55" t="s">
        <v>140</v>
      </c>
      <c r="AB2023" s="74" t="s">
        <v>132</v>
      </c>
      <c r="AC2023" s="55" t="s">
        <v>140</v>
      </c>
      <c r="AL2023" s="74"/>
      <c r="AM2023" s="74"/>
      <c r="AW2023" s="74"/>
      <c r="AX2023" s="74"/>
    </row>
    <row r="2024" spans="1:50" ht="13" x14ac:dyDescent="0.15">
      <c r="A2024" s="55" t="str">
        <f>HYPERLINK("http://reports.ofsted.gov.uk/inspection-reports/find-inspection-report/provider/CARE/SC033840","Ofsted Social Care Provider Webpage")</f>
        <v>Ofsted Social Care Provider Webpage</v>
      </c>
      <c r="B2024" s="55" t="s">
        <v>3180</v>
      </c>
      <c r="D2024" s="55" t="s">
        <v>373</v>
      </c>
      <c r="E2024" s="74">
        <v>37740</v>
      </c>
      <c r="F2024" s="55" t="s">
        <v>344</v>
      </c>
      <c r="G2024" s="55" t="s">
        <v>360</v>
      </c>
      <c r="H2024" s="55" t="s">
        <v>360</v>
      </c>
      <c r="I2024" s="55" t="s">
        <v>360</v>
      </c>
      <c r="J2024" s="55" t="s">
        <v>360</v>
      </c>
      <c r="K2024" s="55" t="s">
        <v>360</v>
      </c>
      <c r="L2024" s="55" t="s">
        <v>360</v>
      </c>
      <c r="M2024" s="55" t="s">
        <v>378</v>
      </c>
      <c r="N2024" s="55" t="s">
        <v>170</v>
      </c>
      <c r="O2024" s="55" t="s">
        <v>220</v>
      </c>
      <c r="P2024" s="55" t="s">
        <v>220</v>
      </c>
      <c r="Q2024" s="55" t="s">
        <v>380</v>
      </c>
      <c r="R2024" s="85">
        <v>9</v>
      </c>
      <c r="S2024" s="55" t="s">
        <v>332</v>
      </c>
      <c r="T2024" s="74" t="s">
        <v>1674</v>
      </c>
      <c r="U2024" s="74" t="s">
        <v>351</v>
      </c>
      <c r="V2024" s="74">
        <v>44572</v>
      </c>
      <c r="W2024" s="74">
        <v>44602</v>
      </c>
      <c r="X2024" s="55">
        <v>10185843</v>
      </c>
      <c r="Y2024" s="55" t="s">
        <v>132</v>
      </c>
      <c r="AB2024" s="74" t="s">
        <v>132</v>
      </c>
      <c r="AC2024" s="55" t="s">
        <v>132</v>
      </c>
      <c r="AL2024" s="74"/>
      <c r="AM2024" s="74"/>
    </row>
    <row r="2025" spans="1:50" ht="13" x14ac:dyDescent="0.15">
      <c r="A2025" s="55" t="str">
        <f>HYPERLINK("http://reports.ofsted.gov.uk/inspection-reports/find-inspection-report/provider/CARE/SC033896","Ofsted Social Care Provider Webpage")</f>
        <v>Ofsted Social Care Provider Webpage</v>
      </c>
      <c r="B2025" s="55" t="s">
        <v>3181</v>
      </c>
      <c r="D2025" s="55" t="s">
        <v>373</v>
      </c>
      <c r="E2025" s="74">
        <v>37686</v>
      </c>
      <c r="F2025" s="55" t="s">
        <v>344</v>
      </c>
      <c r="G2025" s="55" t="s">
        <v>360</v>
      </c>
      <c r="H2025" s="55" t="s">
        <v>360</v>
      </c>
      <c r="I2025" s="55" t="s">
        <v>360</v>
      </c>
      <c r="J2025" s="55" t="s">
        <v>360</v>
      </c>
      <c r="K2025" s="55" t="s">
        <v>360</v>
      </c>
      <c r="L2025" s="55" t="s">
        <v>360</v>
      </c>
      <c r="M2025" s="55" t="s">
        <v>150</v>
      </c>
      <c r="N2025" s="55" t="s">
        <v>150</v>
      </c>
      <c r="O2025" s="55" t="s">
        <v>237</v>
      </c>
      <c r="P2025" s="55" t="s">
        <v>859</v>
      </c>
      <c r="Q2025" s="55" t="s">
        <v>380</v>
      </c>
      <c r="R2025" s="85">
        <v>6</v>
      </c>
      <c r="S2025" s="55">
        <v>0</v>
      </c>
      <c r="T2025" s="74" t="s">
        <v>636</v>
      </c>
      <c r="U2025" s="74" t="s">
        <v>351</v>
      </c>
      <c r="V2025" s="74">
        <v>44424</v>
      </c>
      <c r="W2025" s="74">
        <v>44463</v>
      </c>
      <c r="X2025" s="55">
        <v>10185036</v>
      </c>
      <c r="Y2025" s="55" t="s">
        <v>132</v>
      </c>
      <c r="AB2025" s="74" t="s">
        <v>130</v>
      </c>
      <c r="AC2025" s="55" t="s">
        <v>132</v>
      </c>
      <c r="AL2025" s="74"/>
      <c r="AM2025" s="74"/>
      <c r="AW2025" s="74"/>
      <c r="AX2025" s="74"/>
    </row>
    <row r="2026" spans="1:50" ht="13" x14ac:dyDescent="0.15">
      <c r="A2026" s="55" t="str">
        <f>HYPERLINK("http://reports.ofsted.gov.uk/inspection-reports/find-inspection-report/provider/CARE/SC033919","Ofsted Social Care Provider Webpage")</f>
        <v>Ofsted Social Care Provider Webpage</v>
      </c>
      <c r="B2026" s="55" t="s">
        <v>3182</v>
      </c>
      <c r="D2026" s="55" t="s">
        <v>373</v>
      </c>
      <c r="E2026" s="74">
        <v>37942</v>
      </c>
      <c r="F2026" s="55" t="s">
        <v>344</v>
      </c>
      <c r="G2026" s="55" t="s">
        <v>360</v>
      </c>
      <c r="H2026" s="55" t="s">
        <v>360</v>
      </c>
      <c r="I2026" s="55" t="s">
        <v>360</v>
      </c>
      <c r="J2026" s="55" t="s">
        <v>360</v>
      </c>
      <c r="K2026" s="55" t="s">
        <v>360</v>
      </c>
      <c r="L2026" s="55" t="s">
        <v>360</v>
      </c>
      <c r="M2026" s="55" t="s">
        <v>129</v>
      </c>
      <c r="N2026" s="55" t="s">
        <v>129</v>
      </c>
      <c r="O2026" s="55" t="s">
        <v>192</v>
      </c>
      <c r="P2026" s="55" t="s">
        <v>718</v>
      </c>
      <c r="Q2026" s="55" t="s">
        <v>380</v>
      </c>
      <c r="R2026" s="85">
        <v>5</v>
      </c>
      <c r="S2026" s="55" t="s">
        <v>332</v>
      </c>
      <c r="T2026" s="74" t="s">
        <v>3183</v>
      </c>
      <c r="U2026" s="74" t="s">
        <v>351</v>
      </c>
      <c r="V2026" s="74">
        <v>44370</v>
      </c>
      <c r="W2026" s="74">
        <v>44399</v>
      </c>
      <c r="X2026" s="55">
        <v>10187201</v>
      </c>
      <c r="Y2026" s="55" t="s">
        <v>140</v>
      </c>
      <c r="AB2026" s="74" t="s">
        <v>140</v>
      </c>
      <c r="AC2026" s="55" t="s">
        <v>140</v>
      </c>
      <c r="AL2026" s="74"/>
      <c r="AM2026" s="74"/>
    </row>
    <row r="2027" spans="1:50" ht="13" x14ac:dyDescent="0.15">
      <c r="A2027" s="55" t="str">
        <f>HYPERLINK("http://reports.ofsted.gov.uk/inspection-reports/find-inspection-report/provider/CARE/SC034000","Ofsted Social Care Provider Webpage")</f>
        <v>Ofsted Social Care Provider Webpage</v>
      </c>
      <c r="B2027" s="55" t="s">
        <v>3190</v>
      </c>
      <c r="D2027" s="55" t="s">
        <v>389</v>
      </c>
      <c r="E2027" s="74">
        <v>37706</v>
      </c>
      <c r="F2027" s="55" t="s">
        <v>344</v>
      </c>
      <c r="G2027" s="55" t="s">
        <v>3191</v>
      </c>
      <c r="H2027" s="55" t="s">
        <v>3192</v>
      </c>
      <c r="I2027" s="55" t="s">
        <v>3193</v>
      </c>
      <c r="J2027" s="55" t="s">
        <v>3194</v>
      </c>
      <c r="L2027" s="55" t="s">
        <v>3195</v>
      </c>
      <c r="M2027" s="55" t="s">
        <v>378</v>
      </c>
      <c r="N2027" s="55" t="s">
        <v>170</v>
      </c>
      <c r="O2027" s="55" t="s">
        <v>233</v>
      </c>
      <c r="P2027" s="55" t="s">
        <v>1376</v>
      </c>
      <c r="Q2027" s="55" t="s">
        <v>362</v>
      </c>
      <c r="S2027" s="55">
        <v>0</v>
      </c>
      <c r="T2027" s="74" t="s">
        <v>3196</v>
      </c>
      <c r="U2027" s="74" t="s">
        <v>351</v>
      </c>
      <c r="V2027" s="74">
        <v>44592</v>
      </c>
      <c r="W2027" s="74">
        <v>44648</v>
      </c>
      <c r="X2027" s="55">
        <v>10183357</v>
      </c>
      <c r="Y2027" s="55" t="s">
        <v>132</v>
      </c>
      <c r="AB2027" s="74" t="s">
        <v>132</v>
      </c>
      <c r="AC2027" s="55" t="s">
        <v>140</v>
      </c>
      <c r="AL2027" s="74"/>
      <c r="AM2027" s="74"/>
      <c r="AW2027" s="74"/>
      <c r="AX2027" s="74"/>
    </row>
    <row r="2028" spans="1:50" ht="13" x14ac:dyDescent="0.15">
      <c r="A2028" s="55" t="str">
        <f>HYPERLINK("http://reports.ofsted.gov.uk/inspection-reports/find-inspection-report/provider/CARE/SC034012","Ofsted Social Care Provider Webpage")</f>
        <v>Ofsted Social Care Provider Webpage</v>
      </c>
      <c r="B2028" s="55" t="s">
        <v>3197</v>
      </c>
      <c r="D2028" s="55" t="s">
        <v>373</v>
      </c>
      <c r="E2028" s="74">
        <v>37874</v>
      </c>
      <c r="F2028" s="55" t="s">
        <v>344</v>
      </c>
      <c r="G2028" s="55" t="s">
        <v>360</v>
      </c>
      <c r="H2028" s="55" t="s">
        <v>360</v>
      </c>
      <c r="I2028" s="55" t="s">
        <v>360</v>
      </c>
      <c r="J2028" s="55" t="s">
        <v>360</v>
      </c>
      <c r="K2028" s="55" t="s">
        <v>360</v>
      </c>
      <c r="L2028" s="55" t="s">
        <v>360</v>
      </c>
      <c r="M2028" s="55" t="s">
        <v>144</v>
      </c>
      <c r="N2028" s="55" t="s">
        <v>144</v>
      </c>
      <c r="O2028" s="55" t="s">
        <v>271</v>
      </c>
      <c r="P2028" s="55" t="s">
        <v>870</v>
      </c>
      <c r="Q2028" s="55" t="s">
        <v>380</v>
      </c>
      <c r="R2028" s="85">
        <v>3</v>
      </c>
      <c r="S2028" s="55">
        <v>0</v>
      </c>
      <c r="T2028" s="74" t="s">
        <v>1121</v>
      </c>
      <c r="U2028" s="74" t="s">
        <v>351</v>
      </c>
      <c r="V2028" s="74">
        <v>44608</v>
      </c>
      <c r="W2028" s="74">
        <v>44655</v>
      </c>
      <c r="X2028" s="55">
        <v>10185462</v>
      </c>
      <c r="Y2028" s="55" t="s">
        <v>132</v>
      </c>
      <c r="AB2028" s="74" t="s">
        <v>132</v>
      </c>
      <c r="AC2028" s="55" t="s">
        <v>130</v>
      </c>
      <c r="AL2028" s="74"/>
      <c r="AM2028" s="74"/>
      <c r="AW2028" s="74"/>
      <c r="AX2028" s="74"/>
    </row>
    <row r="2029" spans="1:50" ht="13" x14ac:dyDescent="0.15">
      <c r="A2029" s="55" t="str">
        <f>HYPERLINK("http://reports.ofsted.gov.uk/inspection-reports/find-inspection-report/provider/CARE/SC034087","Ofsted Social Care Provider Webpage")</f>
        <v>Ofsted Social Care Provider Webpage</v>
      </c>
      <c r="B2029" s="55" t="s">
        <v>3200</v>
      </c>
      <c r="D2029" s="55" t="s">
        <v>389</v>
      </c>
      <c r="E2029" s="74">
        <v>37834</v>
      </c>
      <c r="F2029" s="55" t="s">
        <v>344</v>
      </c>
      <c r="G2029" s="55" t="s">
        <v>3201</v>
      </c>
      <c r="H2029" s="55" t="s">
        <v>3202</v>
      </c>
      <c r="I2029" s="55" t="s">
        <v>3203</v>
      </c>
      <c r="J2029" s="55" t="s">
        <v>2578</v>
      </c>
      <c r="L2029" s="55" t="s">
        <v>3204</v>
      </c>
      <c r="M2029" s="55" t="s">
        <v>129</v>
      </c>
      <c r="N2029" s="55" t="s">
        <v>129</v>
      </c>
      <c r="O2029" s="55" t="s">
        <v>160</v>
      </c>
      <c r="P2029" s="55" t="s">
        <v>447</v>
      </c>
      <c r="Q2029" s="55" t="s">
        <v>362</v>
      </c>
      <c r="S2029" s="55">
        <v>0</v>
      </c>
      <c r="T2029" s="74" t="s">
        <v>3205</v>
      </c>
      <c r="U2029" s="74" t="s">
        <v>351</v>
      </c>
      <c r="V2029" s="74">
        <v>44515</v>
      </c>
      <c r="W2029" s="74">
        <v>44580</v>
      </c>
      <c r="X2029" s="55">
        <v>10205950</v>
      </c>
      <c r="Y2029" s="55" t="s">
        <v>140</v>
      </c>
      <c r="AL2029" s="74"/>
      <c r="AM2029" s="74"/>
      <c r="AW2029" s="74"/>
      <c r="AX2029" s="74"/>
    </row>
    <row r="2030" spans="1:50" ht="13" x14ac:dyDescent="0.15">
      <c r="A2030" s="55" t="str">
        <f>HYPERLINK("http://reports.ofsted.gov.uk/inspection-reports/find-inspection-report/provider/CARE/SC034108","Ofsted Social Care Provider Webpage")</f>
        <v>Ofsted Social Care Provider Webpage</v>
      </c>
      <c r="B2030" s="55" t="s">
        <v>3206</v>
      </c>
      <c r="D2030" s="55" t="s">
        <v>373</v>
      </c>
      <c r="E2030" s="74">
        <v>37874</v>
      </c>
      <c r="F2030" s="55" t="s">
        <v>344</v>
      </c>
      <c r="G2030" s="55" t="s">
        <v>360</v>
      </c>
      <c r="H2030" s="55" t="s">
        <v>360</v>
      </c>
      <c r="I2030" s="55" t="s">
        <v>360</v>
      </c>
      <c r="J2030" s="55" t="s">
        <v>360</v>
      </c>
      <c r="K2030" s="55" t="s">
        <v>360</v>
      </c>
      <c r="L2030" s="55" t="s">
        <v>360</v>
      </c>
      <c r="M2030" s="55" t="s">
        <v>144</v>
      </c>
      <c r="N2030" s="55" t="s">
        <v>144</v>
      </c>
      <c r="O2030" s="55" t="s">
        <v>271</v>
      </c>
      <c r="P2030" s="55" t="s">
        <v>1120</v>
      </c>
      <c r="Q2030" s="55" t="s">
        <v>380</v>
      </c>
      <c r="R2030" s="85">
        <v>6</v>
      </c>
      <c r="S2030" s="55" t="s">
        <v>332</v>
      </c>
      <c r="T2030" s="74" t="s">
        <v>1121</v>
      </c>
      <c r="U2030" s="74" t="s">
        <v>351</v>
      </c>
      <c r="V2030" s="74">
        <v>44545</v>
      </c>
      <c r="W2030" s="74">
        <v>44593</v>
      </c>
      <c r="X2030" s="55">
        <v>10185299</v>
      </c>
      <c r="Y2030" s="55" t="s">
        <v>132</v>
      </c>
      <c r="AB2030" s="74" t="s">
        <v>132</v>
      </c>
      <c r="AC2030" s="55" t="s">
        <v>132</v>
      </c>
      <c r="AL2030" s="74"/>
      <c r="AM2030" s="74"/>
      <c r="AW2030" s="74"/>
      <c r="AX2030" s="74"/>
    </row>
    <row r="2031" spans="1:50" ht="13" x14ac:dyDescent="0.15">
      <c r="A2031" s="55" t="str">
        <f>HYPERLINK("http://reports.ofsted.gov.uk/inspection-reports/find-inspection-report/provider/CARE/SC034158","Ofsted Social Care Provider Webpage")</f>
        <v>Ofsted Social Care Provider Webpage</v>
      </c>
      <c r="B2031" s="55" t="s">
        <v>3207</v>
      </c>
      <c r="D2031" s="55" t="s">
        <v>373</v>
      </c>
      <c r="E2031" s="74">
        <v>37830</v>
      </c>
      <c r="F2031" s="55" t="s">
        <v>344</v>
      </c>
      <c r="G2031" s="55" t="s">
        <v>360</v>
      </c>
      <c r="H2031" s="55" t="s">
        <v>360</v>
      </c>
      <c r="I2031" s="55" t="s">
        <v>360</v>
      </c>
      <c r="J2031" s="55" t="s">
        <v>360</v>
      </c>
      <c r="K2031" s="55" t="s">
        <v>360</v>
      </c>
      <c r="L2031" s="55" t="s">
        <v>360</v>
      </c>
      <c r="M2031" s="55" t="s">
        <v>144</v>
      </c>
      <c r="N2031" s="55" t="s">
        <v>144</v>
      </c>
      <c r="O2031" s="55" t="s">
        <v>168</v>
      </c>
      <c r="P2031" s="55" t="s">
        <v>834</v>
      </c>
      <c r="Q2031" s="55" t="s">
        <v>380</v>
      </c>
      <c r="R2031" s="85">
        <v>4</v>
      </c>
      <c r="S2031" s="55" t="s">
        <v>332</v>
      </c>
      <c r="T2031" s="74" t="s">
        <v>1432</v>
      </c>
      <c r="U2031" s="74" t="s">
        <v>351</v>
      </c>
      <c r="V2031" s="74">
        <v>44629</v>
      </c>
      <c r="W2031" s="74">
        <v>44680</v>
      </c>
      <c r="X2031" s="55">
        <v>10186916</v>
      </c>
      <c r="Y2031" s="55" t="s">
        <v>132</v>
      </c>
      <c r="AB2031" s="74" t="s">
        <v>132</v>
      </c>
      <c r="AC2031" s="55" t="s">
        <v>132</v>
      </c>
      <c r="AL2031" s="74"/>
      <c r="AM2031" s="74"/>
      <c r="AW2031" s="74"/>
      <c r="AX2031" s="74"/>
    </row>
    <row r="2032" spans="1:50" ht="13" x14ac:dyDescent="0.15">
      <c r="A2032" s="55" t="str">
        <f>HYPERLINK("http://reports.ofsted.gov.uk/inspection-reports/find-inspection-report/provider/CARE/SC034184","Ofsted Social Care Provider Webpage")</f>
        <v>Ofsted Social Care Provider Webpage</v>
      </c>
      <c r="B2032" s="55" t="s">
        <v>6736</v>
      </c>
      <c r="D2032" s="55" t="s">
        <v>373</v>
      </c>
      <c r="E2032" s="74">
        <v>37726</v>
      </c>
      <c r="F2032" s="55" t="s">
        <v>6707</v>
      </c>
      <c r="G2032" s="55" t="s">
        <v>360</v>
      </c>
      <c r="H2032" s="55" t="s">
        <v>360</v>
      </c>
      <c r="I2032" s="55" t="s">
        <v>360</v>
      </c>
      <c r="J2032" s="55" t="s">
        <v>360</v>
      </c>
      <c r="K2032" s="55" t="s">
        <v>360</v>
      </c>
      <c r="L2032" s="55" t="s">
        <v>360</v>
      </c>
      <c r="M2032" s="55" t="s">
        <v>136</v>
      </c>
      <c r="N2032" s="55" t="s">
        <v>136</v>
      </c>
      <c r="O2032" s="55" t="s">
        <v>154</v>
      </c>
      <c r="P2032" s="55" t="s">
        <v>1818</v>
      </c>
      <c r="Q2032" s="55" t="s">
        <v>380</v>
      </c>
      <c r="R2032" s="85">
        <v>5</v>
      </c>
      <c r="S2032" s="55">
        <v>0</v>
      </c>
      <c r="T2032" s="74" t="s">
        <v>1687</v>
      </c>
      <c r="U2032" s="74" t="s">
        <v>2053</v>
      </c>
      <c r="V2032" s="74">
        <v>44447</v>
      </c>
      <c r="W2032" s="74">
        <v>44484</v>
      </c>
      <c r="X2032" s="55">
        <v>10206507</v>
      </c>
      <c r="AL2032" s="74"/>
      <c r="AM2032" s="74"/>
      <c r="AW2032" s="74"/>
      <c r="AX2032" s="74"/>
    </row>
    <row r="2033" spans="1:50" ht="13" x14ac:dyDescent="0.15">
      <c r="A2033" s="55" t="str">
        <f>HYPERLINK("http://reports.ofsted.gov.uk/inspection-reports/find-inspection-report/provider/CARE/SC034189","Ofsted Social Care Provider Webpage")</f>
        <v>Ofsted Social Care Provider Webpage</v>
      </c>
      <c r="B2033" s="55" t="s">
        <v>3209</v>
      </c>
      <c r="D2033" s="55" t="s">
        <v>373</v>
      </c>
      <c r="E2033" s="74">
        <v>37908</v>
      </c>
      <c r="F2033" s="55" t="s">
        <v>344</v>
      </c>
      <c r="G2033" s="55" t="s">
        <v>360</v>
      </c>
      <c r="H2033" s="55" t="s">
        <v>360</v>
      </c>
      <c r="I2033" s="55" t="s">
        <v>360</v>
      </c>
      <c r="J2033" s="55" t="s">
        <v>360</v>
      </c>
      <c r="K2033" s="55" t="s">
        <v>360</v>
      </c>
      <c r="L2033" s="55" t="s">
        <v>360</v>
      </c>
      <c r="M2033" s="55" t="s">
        <v>378</v>
      </c>
      <c r="N2033" s="55" t="s">
        <v>134</v>
      </c>
      <c r="O2033" s="55" t="s">
        <v>232</v>
      </c>
      <c r="P2033" s="55" t="s">
        <v>3210</v>
      </c>
      <c r="Q2033" s="55" t="s">
        <v>380</v>
      </c>
      <c r="R2033" s="85">
        <v>6</v>
      </c>
      <c r="S2033" s="55">
        <v>0</v>
      </c>
      <c r="T2033" s="74" t="s">
        <v>998</v>
      </c>
      <c r="U2033" s="74" t="s">
        <v>351</v>
      </c>
      <c r="V2033" s="74">
        <v>44565</v>
      </c>
      <c r="W2033" s="74">
        <v>44608</v>
      </c>
      <c r="X2033" s="55">
        <v>10185613</v>
      </c>
      <c r="Y2033" s="55" t="s">
        <v>132</v>
      </c>
      <c r="AB2033" s="74" t="s">
        <v>132</v>
      </c>
      <c r="AC2033" s="55" t="s">
        <v>132</v>
      </c>
      <c r="AL2033" s="74"/>
      <c r="AM2033" s="74"/>
      <c r="AW2033" s="74"/>
      <c r="AX2033" s="74"/>
    </row>
    <row r="2034" spans="1:50" ht="13" x14ac:dyDescent="0.15">
      <c r="A2034" s="55" t="str">
        <f>HYPERLINK("http://reports.ofsted.gov.uk/inspection-reports/find-inspection-report/provider/CARE/SC034210","Ofsted Social Care Provider Webpage")</f>
        <v>Ofsted Social Care Provider Webpage</v>
      </c>
      <c r="B2034" s="55" t="s">
        <v>3211</v>
      </c>
      <c r="D2034" s="55" t="s">
        <v>373</v>
      </c>
      <c r="E2034" s="74">
        <v>37908</v>
      </c>
      <c r="F2034" s="55" t="s">
        <v>344</v>
      </c>
      <c r="G2034" s="55" t="s">
        <v>360</v>
      </c>
      <c r="H2034" s="55" t="s">
        <v>360</v>
      </c>
      <c r="I2034" s="55" t="s">
        <v>360</v>
      </c>
      <c r="J2034" s="55" t="s">
        <v>360</v>
      </c>
      <c r="K2034" s="55" t="s">
        <v>360</v>
      </c>
      <c r="L2034" s="55" t="s">
        <v>360</v>
      </c>
      <c r="M2034" s="55" t="s">
        <v>378</v>
      </c>
      <c r="N2034" s="55" t="s">
        <v>134</v>
      </c>
      <c r="O2034" s="55" t="s">
        <v>232</v>
      </c>
      <c r="P2034" s="55" t="s">
        <v>3210</v>
      </c>
      <c r="Q2034" s="55" t="s">
        <v>380</v>
      </c>
      <c r="R2034" s="85">
        <v>9</v>
      </c>
      <c r="S2034" s="55" t="s">
        <v>332</v>
      </c>
      <c r="T2034" s="74" t="s">
        <v>998</v>
      </c>
      <c r="U2034" s="74" t="s">
        <v>351</v>
      </c>
      <c r="V2034" s="74">
        <v>44629</v>
      </c>
      <c r="W2034" s="74">
        <v>44680</v>
      </c>
      <c r="X2034" s="55">
        <v>10186517</v>
      </c>
      <c r="Y2034" s="55" t="s">
        <v>132</v>
      </c>
      <c r="AB2034" s="74" t="s">
        <v>132</v>
      </c>
      <c r="AC2034" s="55" t="s">
        <v>140</v>
      </c>
      <c r="AL2034" s="74"/>
      <c r="AM2034" s="74"/>
      <c r="AW2034" s="74"/>
      <c r="AX2034" s="74"/>
    </row>
    <row r="2035" spans="1:50" ht="13" x14ac:dyDescent="0.15">
      <c r="A2035" s="55" t="str">
        <f>HYPERLINK("http://reports.ofsted.gov.uk/inspection-reports/find-inspection-report/provider/CARE/SC034235","Ofsted Social Care Provider Webpage")</f>
        <v>Ofsted Social Care Provider Webpage</v>
      </c>
      <c r="B2035" s="55" t="s">
        <v>3220</v>
      </c>
      <c r="D2035" s="55" t="s">
        <v>373</v>
      </c>
      <c r="E2035" s="74">
        <v>37908</v>
      </c>
      <c r="F2035" s="55" t="s">
        <v>344</v>
      </c>
      <c r="G2035" s="55" t="s">
        <v>360</v>
      </c>
      <c r="H2035" s="55" t="s">
        <v>360</v>
      </c>
      <c r="I2035" s="55" t="s">
        <v>360</v>
      </c>
      <c r="J2035" s="55" t="s">
        <v>360</v>
      </c>
      <c r="K2035" s="55" t="s">
        <v>360</v>
      </c>
      <c r="L2035" s="55" t="s">
        <v>360</v>
      </c>
      <c r="M2035" s="55" t="s">
        <v>378</v>
      </c>
      <c r="N2035" s="55" t="s">
        <v>134</v>
      </c>
      <c r="O2035" s="55" t="s">
        <v>232</v>
      </c>
      <c r="P2035" s="55" t="s">
        <v>595</v>
      </c>
      <c r="Q2035" s="55" t="s">
        <v>380</v>
      </c>
      <c r="R2035" s="85">
        <v>6</v>
      </c>
      <c r="S2035" s="55">
        <v>0</v>
      </c>
      <c r="T2035" s="74" t="s">
        <v>998</v>
      </c>
      <c r="U2035" s="74" t="s">
        <v>351</v>
      </c>
      <c r="V2035" s="74">
        <v>44607</v>
      </c>
      <c r="W2035" s="74">
        <v>44658</v>
      </c>
      <c r="X2035" s="55">
        <v>10187051</v>
      </c>
      <c r="Y2035" s="55" t="s">
        <v>130</v>
      </c>
      <c r="AB2035" s="74" t="s">
        <v>130</v>
      </c>
      <c r="AC2035" s="55" t="s">
        <v>130</v>
      </c>
      <c r="AL2035" s="74"/>
      <c r="AM2035" s="74"/>
      <c r="AW2035" s="74"/>
      <c r="AX2035" s="74"/>
    </row>
    <row r="2036" spans="1:50" ht="13" x14ac:dyDescent="0.15">
      <c r="A2036" s="55" t="str">
        <f>HYPERLINK("http://reports.ofsted.gov.uk/inspection-reports/find-inspection-report/provider/CARE/SC034241","Ofsted Social Care Provider Webpage")</f>
        <v>Ofsted Social Care Provider Webpage</v>
      </c>
      <c r="B2036" s="55" t="s">
        <v>3221</v>
      </c>
      <c r="D2036" s="55" t="s">
        <v>479</v>
      </c>
      <c r="E2036" s="74">
        <v>37617</v>
      </c>
      <c r="F2036" s="55" t="s">
        <v>344</v>
      </c>
      <c r="G2036" s="55" t="s">
        <v>360</v>
      </c>
      <c r="H2036" s="55" t="s">
        <v>360</v>
      </c>
      <c r="I2036" s="55" t="s">
        <v>360</v>
      </c>
      <c r="J2036" s="55" t="s">
        <v>360</v>
      </c>
      <c r="K2036" s="55" t="s">
        <v>360</v>
      </c>
      <c r="L2036" s="55" t="s">
        <v>360</v>
      </c>
      <c r="M2036" s="55" t="s">
        <v>172</v>
      </c>
      <c r="N2036" s="55" t="s">
        <v>172</v>
      </c>
      <c r="O2036" s="55" t="s">
        <v>214</v>
      </c>
      <c r="P2036" s="55" t="s">
        <v>1426</v>
      </c>
      <c r="Q2036" s="55" t="s">
        <v>350</v>
      </c>
      <c r="R2036" s="85">
        <v>55</v>
      </c>
      <c r="S2036" s="55">
        <v>0</v>
      </c>
      <c r="T2036" s="74" t="s">
        <v>1290</v>
      </c>
      <c r="U2036" s="74" t="s">
        <v>351</v>
      </c>
      <c r="V2036" s="74">
        <v>44432</v>
      </c>
      <c r="W2036" s="74">
        <v>44467</v>
      </c>
      <c r="X2036" s="55">
        <v>10185089</v>
      </c>
      <c r="Y2036" s="55" t="s">
        <v>132</v>
      </c>
      <c r="AB2036" s="74" t="s">
        <v>132</v>
      </c>
      <c r="AC2036" s="55" t="s">
        <v>132</v>
      </c>
      <c r="AL2036" s="74"/>
      <c r="AM2036" s="74"/>
      <c r="AW2036" s="74"/>
      <c r="AX2036" s="74"/>
    </row>
    <row r="2037" spans="1:50" ht="13" x14ac:dyDescent="0.15">
      <c r="A2037" s="55" t="str">
        <f>HYPERLINK("http://reports.ofsted.gov.uk/inspection-reports/find-inspection-report/provider/CARE/SC034253","Ofsted Social Care Provider Webpage")</f>
        <v>Ofsted Social Care Provider Webpage</v>
      </c>
      <c r="B2037" s="55" t="s">
        <v>3222</v>
      </c>
      <c r="D2037" s="55" t="s">
        <v>389</v>
      </c>
      <c r="E2037" s="74">
        <v>37804</v>
      </c>
      <c r="F2037" s="55" t="s">
        <v>344</v>
      </c>
      <c r="G2037" s="55" t="s">
        <v>3223</v>
      </c>
      <c r="H2037" s="55" t="s">
        <v>3224</v>
      </c>
      <c r="I2037" s="55" t="s">
        <v>3225</v>
      </c>
      <c r="J2037" s="55" t="s">
        <v>3226</v>
      </c>
      <c r="K2037" s="55" t="s">
        <v>183</v>
      </c>
      <c r="L2037" s="55" t="s">
        <v>3227</v>
      </c>
      <c r="M2037" s="55" t="s">
        <v>138</v>
      </c>
      <c r="N2037" s="55" t="s">
        <v>138</v>
      </c>
      <c r="O2037" s="55" t="s">
        <v>183</v>
      </c>
      <c r="P2037" s="55" t="s">
        <v>584</v>
      </c>
      <c r="Q2037" s="55" t="s">
        <v>350</v>
      </c>
      <c r="S2037" s="55">
        <v>0</v>
      </c>
      <c r="T2037" s="74" t="s">
        <v>3228</v>
      </c>
      <c r="U2037" s="74" t="s">
        <v>351</v>
      </c>
      <c r="V2037" s="74">
        <v>44613</v>
      </c>
      <c r="W2037" s="74">
        <v>44656</v>
      </c>
      <c r="X2037" s="55">
        <v>10183347</v>
      </c>
      <c r="Y2037" s="55" t="s">
        <v>140</v>
      </c>
      <c r="AB2037" s="74" t="s">
        <v>140</v>
      </c>
      <c r="AC2037" s="55" t="s">
        <v>140</v>
      </c>
      <c r="AL2037" s="74"/>
      <c r="AM2037" s="74"/>
      <c r="AW2037" s="74"/>
      <c r="AX2037" s="74"/>
    </row>
    <row r="2038" spans="1:50" ht="13" x14ac:dyDescent="0.15">
      <c r="A2038" s="55" t="str">
        <f>HYPERLINK("http://reports.ofsted.gov.uk/inspection-reports/find-inspection-report/provider/CARE/SC034301","Ofsted Social Care Provider Webpage")</f>
        <v>Ofsted Social Care Provider Webpage</v>
      </c>
      <c r="B2038" s="55" t="s">
        <v>3229</v>
      </c>
      <c r="D2038" s="55" t="s">
        <v>373</v>
      </c>
      <c r="E2038" s="74">
        <v>37726</v>
      </c>
      <c r="F2038" s="55" t="s">
        <v>344</v>
      </c>
      <c r="G2038" s="55" t="s">
        <v>360</v>
      </c>
      <c r="H2038" s="55" t="s">
        <v>360</v>
      </c>
      <c r="I2038" s="55" t="s">
        <v>360</v>
      </c>
      <c r="J2038" s="55" t="s">
        <v>360</v>
      </c>
      <c r="K2038" s="55" t="s">
        <v>360</v>
      </c>
      <c r="L2038" s="55" t="s">
        <v>360</v>
      </c>
      <c r="M2038" s="55" t="s">
        <v>136</v>
      </c>
      <c r="N2038" s="55" t="s">
        <v>136</v>
      </c>
      <c r="O2038" s="55" t="s">
        <v>154</v>
      </c>
      <c r="P2038" s="55" t="s">
        <v>2290</v>
      </c>
      <c r="Q2038" s="55" t="s">
        <v>380</v>
      </c>
      <c r="R2038" s="85">
        <v>5</v>
      </c>
      <c r="S2038" s="55">
        <v>0</v>
      </c>
      <c r="T2038" s="74" t="s">
        <v>1687</v>
      </c>
      <c r="U2038" s="74" t="s">
        <v>351</v>
      </c>
      <c r="V2038" s="74">
        <v>44327</v>
      </c>
      <c r="W2038" s="74">
        <v>44361</v>
      </c>
      <c r="X2038" s="55">
        <v>10185028</v>
      </c>
      <c r="Y2038" s="55" t="s">
        <v>132</v>
      </c>
      <c r="AB2038" s="74" t="s">
        <v>132</v>
      </c>
      <c r="AC2038" s="55" t="s">
        <v>130</v>
      </c>
      <c r="AL2038" s="74"/>
      <c r="AM2038" s="74"/>
      <c r="AW2038" s="74"/>
      <c r="AX2038" s="74"/>
    </row>
    <row r="2039" spans="1:50" ht="13" x14ac:dyDescent="0.15">
      <c r="A2039" s="55" t="str">
        <f>HYPERLINK("http://reports.ofsted.gov.uk/inspection-reports/find-inspection-report/provider/CARE/SC034313","Ofsted Social Care Provider Webpage")</f>
        <v>Ofsted Social Care Provider Webpage</v>
      </c>
      <c r="B2039" s="55" t="s">
        <v>3230</v>
      </c>
      <c r="D2039" s="55" t="s">
        <v>373</v>
      </c>
      <c r="E2039" s="74">
        <v>37712</v>
      </c>
      <c r="F2039" s="55" t="s">
        <v>344</v>
      </c>
      <c r="G2039" s="55" t="s">
        <v>360</v>
      </c>
      <c r="H2039" s="55" t="s">
        <v>360</v>
      </c>
      <c r="I2039" s="55" t="s">
        <v>360</v>
      </c>
      <c r="J2039" s="55" t="s">
        <v>360</v>
      </c>
      <c r="K2039" s="55" t="s">
        <v>360</v>
      </c>
      <c r="L2039" s="55" t="s">
        <v>360</v>
      </c>
      <c r="M2039" s="55" t="s">
        <v>378</v>
      </c>
      <c r="N2039" s="55" t="s">
        <v>134</v>
      </c>
      <c r="O2039" s="55" t="s">
        <v>204</v>
      </c>
      <c r="P2039" s="55" t="s">
        <v>1920</v>
      </c>
      <c r="Q2039" s="55" t="s">
        <v>380</v>
      </c>
      <c r="R2039" s="85">
        <v>6</v>
      </c>
      <c r="S2039" s="55">
        <v>0</v>
      </c>
      <c r="T2039" s="74" t="s">
        <v>1479</v>
      </c>
      <c r="U2039" s="74" t="s">
        <v>351</v>
      </c>
      <c r="V2039" s="74">
        <v>44453</v>
      </c>
      <c r="W2039" s="74">
        <v>44491</v>
      </c>
      <c r="X2039" s="55">
        <v>10185005</v>
      </c>
      <c r="Y2039" s="55" t="s">
        <v>140</v>
      </c>
      <c r="AB2039" s="74" t="s">
        <v>140</v>
      </c>
      <c r="AC2039" s="55" t="s">
        <v>132</v>
      </c>
      <c r="AL2039" s="74"/>
      <c r="AM2039" s="74"/>
    </row>
    <row r="2040" spans="1:50" ht="13" x14ac:dyDescent="0.15">
      <c r="A2040" s="55" t="str">
        <f>HYPERLINK("http://reports.ofsted.gov.uk/inspection-reports/find-inspection-report/provider/CARE/SC034383","Ofsted Social Care Provider Webpage")</f>
        <v>Ofsted Social Care Provider Webpage</v>
      </c>
      <c r="B2040" s="55" t="s">
        <v>3231</v>
      </c>
      <c r="C2040" s="55">
        <v>115813</v>
      </c>
      <c r="D2040" s="55" t="s">
        <v>413</v>
      </c>
      <c r="E2040" s="74">
        <v>37461</v>
      </c>
      <c r="F2040" s="55" t="s">
        <v>344</v>
      </c>
      <c r="G2040" s="55" t="s">
        <v>3232</v>
      </c>
      <c r="H2040" s="55" t="s">
        <v>3233</v>
      </c>
      <c r="I2040" s="55" t="s">
        <v>3234</v>
      </c>
      <c r="J2040" s="55" t="s">
        <v>3235</v>
      </c>
      <c r="K2040" s="55" t="s">
        <v>185</v>
      </c>
      <c r="L2040" s="55" t="s">
        <v>3236</v>
      </c>
      <c r="M2040" s="55" t="s">
        <v>136</v>
      </c>
      <c r="N2040" s="55" t="s">
        <v>136</v>
      </c>
      <c r="O2040" s="55" t="s">
        <v>185</v>
      </c>
      <c r="P2040" s="55" t="s">
        <v>898</v>
      </c>
      <c r="Q2040" s="55" t="s">
        <v>362</v>
      </c>
      <c r="R2040" s="85">
        <v>15</v>
      </c>
      <c r="S2040" s="55">
        <v>0</v>
      </c>
      <c r="T2040" s="74" t="s">
        <v>3237</v>
      </c>
      <c r="U2040" s="74" t="s">
        <v>351</v>
      </c>
      <c r="V2040" s="74">
        <v>44523</v>
      </c>
      <c r="W2040" s="74">
        <v>44585</v>
      </c>
      <c r="X2040" s="55">
        <v>10183578</v>
      </c>
      <c r="Y2040" s="55" t="s">
        <v>132</v>
      </c>
      <c r="AB2040" s="74" t="s">
        <v>132</v>
      </c>
      <c r="AC2040" s="55" t="s">
        <v>132</v>
      </c>
      <c r="AL2040" s="74"/>
      <c r="AM2040" s="74"/>
    </row>
    <row r="2041" spans="1:50" ht="13" x14ac:dyDescent="0.15">
      <c r="A2041" s="55" t="str">
        <f>HYPERLINK("http://reports.ofsted.gov.uk/inspection-reports/find-inspection-report/provider/CARE/SC034419","Ofsted Social Care Provider Webpage")</f>
        <v>Ofsted Social Care Provider Webpage</v>
      </c>
      <c r="B2041" s="55" t="s">
        <v>3240</v>
      </c>
      <c r="D2041" s="55" t="s">
        <v>373</v>
      </c>
      <c r="E2041" s="74">
        <v>37874</v>
      </c>
      <c r="F2041" s="55" t="s">
        <v>344</v>
      </c>
      <c r="G2041" s="55" t="s">
        <v>360</v>
      </c>
      <c r="H2041" s="55" t="s">
        <v>360</v>
      </c>
      <c r="I2041" s="55" t="s">
        <v>360</v>
      </c>
      <c r="J2041" s="55" t="s">
        <v>360</v>
      </c>
      <c r="K2041" s="55" t="s">
        <v>360</v>
      </c>
      <c r="L2041" s="55" t="s">
        <v>360</v>
      </c>
      <c r="M2041" s="55" t="s">
        <v>138</v>
      </c>
      <c r="N2041" s="55" t="s">
        <v>138</v>
      </c>
      <c r="O2041" s="55" t="s">
        <v>224</v>
      </c>
      <c r="P2041" s="55" t="s">
        <v>1872</v>
      </c>
      <c r="Q2041" s="55" t="s">
        <v>380</v>
      </c>
      <c r="R2041" s="85">
        <v>4</v>
      </c>
      <c r="S2041" s="55" t="s">
        <v>332</v>
      </c>
      <c r="T2041" s="74" t="s">
        <v>2272</v>
      </c>
      <c r="U2041" s="74" t="s">
        <v>351</v>
      </c>
      <c r="V2041" s="74">
        <v>44424</v>
      </c>
      <c r="W2041" s="74">
        <v>44454</v>
      </c>
      <c r="X2041" s="55">
        <v>10186355</v>
      </c>
      <c r="Y2041" s="55" t="s">
        <v>132</v>
      </c>
      <c r="AB2041" s="74" t="s">
        <v>132</v>
      </c>
      <c r="AC2041" s="55" t="s">
        <v>132</v>
      </c>
      <c r="AL2041" s="74"/>
      <c r="AM2041" s="74"/>
    </row>
    <row r="2042" spans="1:50" ht="13" x14ac:dyDescent="0.15">
      <c r="A2042" s="55" t="str">
        <f>HYPERLINK("http://reports.ofsted.gov.uk/inspection-reports/find-inspection-report/provider/CARE/SC034441","Ofsted Social Care Provider Webpage")</f>
        <v>Ofsted Social Care Provider Webpage</v>
      </c>
      <c r="B2042" s="55" t="s">
        <v>3241</v>
      </c>
      <c r="D2042" s="55" t="s">
        <v>373</v>
      </c>
      <c r="E2042" s="74">
        <v>37895</v>
      </c>
      <c r="F2042" s="55" t="s">
        <v>344</v>
      </c>
      <c r="G2042" s="55" t="s">
        <v>360</v>
      </c>
      <c r="H2042" s="55" t="s">
        <v>360</v>
      </c>
      <c r="I2042" s="55" t="s">
        <v>360</v>
      </c>
      <c r="J2042" s="55" t="s">
        <v>360</v>
      </c>
      <c r="K2042" s="55" t="s">
        <v>360</v>
      </c>
      <c r="L2042" s="55" t="s">
        <v>360</v>
      </c>
      <c r="M2042" s="55" t="s">
        <v>378</v>
      </c>
      <c r="N2042" s="55" t="s">
        <v>134</v>
      </c>
      <c r="O2042" s="55" t="s">
        <v>206</v>
      </c>
      <c r="P2042" s="55" t="s">
        <v>760</v>
      </c>
      <c r="Q2042" s="55" t="s">
        <v>380</v>
      </c>
      <c r="R2042" s="85">
        <v>8</v>
      </c>
      <c r="S2042" s="55">
        <v>0</v>
      </c>
      <c r="T2042" s="74" t="s">
        <v>3113</v>
      </c>
      <c r="U2042" s="74" t="s">
        <v>351</v>
      </c>
      <c r="V2042" s="74">
        <v>44327</v>
      </c>
      <c r="W2042" s="74">
        <v>44362</v>
      </c>
      <c r="X2042" s="55">
        <v>10185658</v>
      </c>
      <c r="Y2042" s="55" t="s">
        <v>140</v>
      </c>
      <c r="AB2042" s="74" t="s">
        <v>140</v>
      </c>
      <c r="AC2042" s="55" t="s">
        <v>140</v>
      </c>
      <c r="AL2042" s="74"/>
      <c r="AM2042" s="74"/>
    </row>
    <row r="2043" spans="1:50" ht="13" x14ac:dyDescent="0.15">
      <c r="A2043" s="55" t="str">
        <f>HYPERLINK("http://reports.ofsted.gov.uk/inspection-reports/find-inspection-report/provider/CARE/SC034480","Ofsted Social Care Provider Webpage")</f>
        <v>Ofsted Social Care Provider Webpage</v>
      </c>
      <c r="B2043" s="55" t="s">
        <v>3242</v>
      </c>
      <c r="D2043" s="55" t="s">
        <v>373</v>
      </c>
      <c r="E2043" s="74">
        <v>37979</v>
      </c>
      <c r="F2043" s="55" t="s">
        <v>344</v>
      </c>
      <c r="G2043" s="55" t="s">
        <v>360</v>
      </c>
      <c r="H2043" s="55" t="s">
        <v>360</v>
      </c>
      <c r="I2043" s="55" t="s">
        <v>360</v>
      </c>
      <c r="J2043" s="55" t="s">
        <v>360</v>
      </c>
      <c r="K2043" s="55" t="s">
        <v>360</v>
      </c>
      <c r="L2043" s="55" t="s">
        <v>360</v>
      </c>
      <c r="M2043" s="55" t="s">
        <v>138</v>
      </c>
      <c r="N2043" s="55" t="s">
        <v>138</v>
      </c>
      <c r="O2043" s="55" t="s">
        <v>224</v>
      </c>
      <c r="P2043" s="55" t="s">
        <v>1294</v>
      </c>
      <c r="Q2043" s="55" t="s">
        <v>380</v>
      </c>
      <c r="R2043" s="85">
        <v>4</v>
      </c>
      <c r="S2043" s="55" t="s">
        <v>332</v>
      </c>
      <c r="T2043" s="74" t="s">
        <v>2272</v>
      </c>
      <c r="U2043" s="74" t="s">
        <v>2053</v>
      </c>
      <c r="V2043" s="74">
        <v>44341</v>
      </c>
      <c r="W2043" s="74">
        <v>44368</v>
      </c>
      <c r="X2043" s="55">
        <v>10195854</v>
      </c>
      <c r="AL2043" s="74"/>
      <c r="AM2043" s="74"/>
    </row>
    <row r="2044" spans="1:50" ht="13" x14ac:dyDescent="0.15">
      <c r="A2044" s="55" t="str">
        <f>HYPERLINK("http://reports.ofsted.gov.uk/inspection-reports/find-inspection-report/provider/CARE/SC034480","Ofsted Social Care Provider Webpage")</f>
        <v>Ofsted Social Care Provider Webpage</v>
      </c>
      <c r="B2044" s="55" t="s">
        <v>3242</v>
      </c>
      <c r="D2044" s="55" t="s">
        <v>373</v>
      </c>
      <c r="E2044" s="74">
        <v>37979</v>
      </c>
      <c r="F2044" s="55" t="s">
        <v>344</v>
      </c>
      <c r="G2044" s="55" t="s">
        <v>360</v>
      </c>
      <c r="H2044" s="55" t="s">
        <v>360</v>
      </c>
      <c r="I2044" s="55" t="s">
        <v>360</v>
      </c>
      <c r="J2044" s="55" t="s">
        <v>360</v>
      </c>
      <c r="K2044" s="55" t="s">
        <v>360</v>
      </c>
      <c r="L2044" s="55" t="s">
        <v>360</v>
      </c>
      <c r="M2044" s="55" t="s">
        <v>138</v>
      </c>
      <c r="N2044" s="55" t="s">
        <v>138</v>
      </c>
      <c r="O2044" s="55" t="s">
        <v>224</v>
      </c>
      <c r="P2044" s="55" t="s">
        <v>1294</v>
      </c>
      <c r="Q2044" s="55" t="s">
        <v>380</v>
      </c>
      <c r="R2044" s="85">
        <v>4</v>
      </c>
      <c r="S2044" s="55" t="s">
        <v>332</v>
      </c>
      <c r="T2044" s="74" t="s">
        <v>2272</v>
      </c>
      <c r="U2044" s="74" t="s">
        <v>6703</v>
      </c>
      <c r="V2044" s="74">
        <v>44614</v>
      </c>
      <c r="W2044" s="74">
        <v>44652</v>
      </c>
      <c r="X2044" s="55">
        <v>10219474</v>
      </c>
      <c r="Y2044" s="55" t="s">
        <v>6705</v>
      </c>
      <c r="AL2044" s="74"/>
      <c r="AM2044" s="74"/>
      <c r="AW2044" s="74"/>
      <c r="AX2044" s="74"/>
    </row>
    <row r="2045" spans="1:50" ht="13" x14ac:dyDescent="0.15">
      <c r="A2045" s="55" t="str">
        <f>HYPERLINK("http://reports.ofsted.gov.uk/inspection-reports/find-inspection-report/provider/CARE/SC034480","Ofsted Social Care Provider Webpage")</f>
        <v>Ofsted Social Care Provider Webpage</v>
      </c>
      <c r="B2045" s="55" t="s">
        <v>3242</v>
      </c>
      <c r="D2045" s="55" t="s">
        <v>373</v>
      </c>
      <c r="E2045" s="74">
        <v>37979</v>
      </c>
      <c r="F2045" s="55" t="s">
        <v>344</v>
      </c>
      <c r="G2045" s="55" t="s">
        <v>360</v>
      </c>
      <c r="H2045" s="55" t="s">
        <v>360</v>
      </c>
      <c r="I2045" s="55" t="s">
        <v>360</v>
      </c>
      <c r="J2045" s="55" t="s">
        <v>360</v>
      </c>
      <c r="K2045" s="55" t="s">
        <v>360</v>
      </c>
      <c r="L2045" s="55" t="s">
        <v>360</v>
      </c>
      <c r="M2045" s="55" t="s">
        <v>138</v>
      </c>
      <c r="N2045" s="55" t="s">
        <v>138</v>
      </c>
      <c r="O2045" s="55" t="s">
        <v>224</v>
      </c>
      <c r="P2045" s="55" t="s">
        <v>1294</v>
      </c>
      <c r="Q2045" s="55" t="s">
        <v>380</v>
      </c>
      <c r="R2045" s="85">
        <v>4</v>
      </c>
      <c r="S2045" s="55" t="s">
        <v>332</v>
      </c>
      <c r="T2045" s="74" t="s">
        <v>2272</v>
      </c>
      <c r="U2045" s="74" t="s">
        <v>351</v>
      </c>
      <c r="V2045" s="74">
        <v>44523</v>
      </c>
      <c r="W2045" s="74">
        <v>44565</v>
      </c>
      <c r="X2045" s="55">
        <v>10186534</v>
      </c>
      <c r="Y2045" s="55" t="s">
        <v>130</v>
      </c>
      <c r="AB2045" s="74" t="s">
        <v>130</v>
      </c>
      <c r="AC2045" s="55" t="s">
        <v>130</v>
      </c>
      <c r="AL2045" s="74"/>
      <c r="AM2045" s="74"/>
    </row>
    <row r="2046" spans="1:50" ht="13" x14ac:dyDescent="0.15">
      <c r="A2046" s="55" t="str">
        <f>HYPERLINK("http://reports.ofsted.gov.uk/inspection-reports/find-inspection-report/provider/CARE/SC034686","Ofsted Social Care Provider Webpage")</f>
        <v>Ofsted Social Care Provider Webpage</v>
      </c>
      <c r="B2046" s="55" t="s">
        <v>3244</v>
      </c>
      <c r="D2046" s="55" t="s">
        <v>373</v>
      </c>
      <c r="E2046" s="74">
        <v>37869</v>
      </c>
      <c r="F2046" s="55" t="s">
        <v>344</v>
      </c>
      <c r="G2046" s="55" t="s">
        <v>360</v>
      </c>
      <c r="H2046" s="55" t="s">
        <v>360</v>
      </c>
      <c r="I2046" s="55" t="s">
        <v>360</v>
      </c>
      <c r="J2046" s="55" t="s">
        <v>360</v>
      </c>
      <c r="K2046" s="55" t="s">
        <v>360</v>
      </c>
      <c r="L2046" s="55" t="s">
        <v>360</v>
      </c>
      <c r="M2046" s="55" t="s">
        <v>378</v>
      </c>
      <c r="N2046" s="55" t="s">
        <v>170</v>
      </c>
      <c r="O2046" s="55" t="s">
        <v>178</v>
      </c>
      <c r="P2046" s="55" t="s">
        <v>2014</v>
      </c>
      <c r="Q2046" s="55" t="s">
        <v>380</v>
      </c>
      <c r="R2046" s="85">
        <v>5</v>
      </c>
      <c r="S2046" s="55">
        <v>0</v>
      </c>
      <c r="T2046" s="74" t="s">
        <v>2068</v>
      </c>
      <c r="U2046" s="74" t="s">
        <v>351</v>
      </c>
      <c r="V2046" s="74">
        <v>44516</v>
      </c>
      <c r="W2046" s="74">
        <v>44550</v>
      </c>
      <c r="X2046" s="55">
        <v>10186513</v>
      </c>
      <c r="Y2046" s="55" t="s">
        <v>132</v>
      </c>
      <c r="AB2046" s="74" t="s">
        <v>132</v>
      </c>
      <c r="AC2046" s="55" t="s">
        <v>132</v>
      </c>
      <c r="AL2046" s="74"/>
      <c r="AM2046" s="74"/>
    </row>
    <row r="2047" spans="1:50" ht="13" x14ac:dyDescent="0.15">
      <c r="A2047" s="55" t="str">
        <f>HYPERLINK("http://reports.ofsted.gov.uk/inspection-reports/find-inspection-report/provider/CARE/SC034706","Ofsted Social Care Provider Webpage")</f>
        <v>Ofsted Social Care Provider Webpage</v>
      </c>
      <c r="B2047" s="55" t="s">
        <v>3245</v>
      </c>
      <c r="D2047" s="55" t="s">
        <v>373</v>
      </c>
      <c r="E2047" s="74">
        <v>37712</v>
      </c>
      <c r="F2047" s="55" t="s">
        <v>344</v>
      </c>
      <c r="G2047" s="55" t="s">
        <v>360</v>
      </c>
      <c r="H2047" s="55" t="s">
        <v>360</v>
      </c>
      <c r="I2047" s="55" t="s">
        <v>360</v>
      </c>
      <c r="J2047" s="55" t="s">
        <v>360</v>
      </c>
      <c r="K2047" s="55" t="s">
        <v>360</v>
      </c>
      <c r="L2047" s="55" t="s">
        <v>360</v>
      </c>
      <c r="M2047" s="55" t="s">
        <v>378</v>
      </c>
      <c r="N2047" s="55" t="s">
        <v>134</v>
      </c>
      <c r="O2047" s="55" t="s">
        <v>204</v>
      </c>
      <c r="P2047" s="55" t="s">
        <v>1920</v>
      </c>
      <c r="Q2047" s="55" t="s">
        <v>380</v>
      </c>
      <c r="R2047" s="85">
        <v>4</v>
      </c>
      <c r="S2047" s="55">
        <v>0</v>
      </c>
      <c r="T2047" s="74" t="s">
        <v>1479</v>
      </c>
      <c r="U2047" s="74" t="s">
        <v>351</v>
      </c>
      <c r="V2047" s="74">
        <v>44349</v>
      </c>
      <c r="W2047" s="74">
        <v>44382</v>
      </c>
      <c r="X2047" s="55">
        <v>10186405</v>
      </c>
      <c r="Y2047" s="55" t="s">
        <v>132</v>
      </c>
      <c r="AB2047" s="74" t="s">
        <v>132</v>
      </c>
      <c r="AC2047" s="55" t="s">
        <v>132</v>
      </c>
      <c r="AL2047" s="74"/>
      <c r="AM2047" s="74"/>
      <c r="AW2047" s="74"/>
      <c r="AX2047" s="74"/>
    </row>
    <row r="2048" spans="1:50" ht="13" x14ac:dyDescent="0.15">
      <c r="A2048" s="55" t="str">
        <f>HYPERLINK("http://reports.ofsted.gov.uk/inspection-reports/find-inspection-report/provider/CARE/SC034746","Ofsted Social Care Provider Webpage")</f>
        <v>Ofsted Social Care Provider Webpage</v>
      </c>
      <c r="B2048" s="55" t="s">
        <v>3246</v>
      </c>
      <c r="D2048" s="55" t="s">
        <v>373</v>
      </c>
      <c r="E2048" s="74">
        <v>37712</v>
      </c>
      <c r="F2048" s="55" t="s">
        <v>344</v>
      </c>
      <c r="G2048" s="55" t="s">
        <v>360</v>
      </c>
      <c r="H2048" s="55" t="s">
        <v>360</v>
      </c>
      <c r="I2048" s="55" t="s">
        <v>360</v>
      </c>
      <c r="J2048" s="55" t="s">
        <v>360</v>
      </c>
      <c r="K2048" s="55" t="s">
        <v>360</v>
      </c>
      <c r="L2048" s="55" t="s">
        <v>360</v>
      </c>
      <c r="M2048" s="55" t="s">
        <v>378</v>
      </c>
      <c r="N2048" s="55" t="s">
        <v>134</v>
      </c>
      <c r="O2048" s="55" t="s">
        <v>204</v>
      </c>
      <c r="P2048" s="55" t="s">
        <v>1478</v>
      </c>
      <c r="Q2048" s="55" t="s">
        <v>380</v>
      </c>
      <c r="R2048" s="85">
        <v>4</v>
      </c>
      <c r="S2048" s="55">
        <v>0</v>
      </c>
      <c r="T2048" s="74" t="s">
        <v>1479</v>
      </c>
      <c r="U2048" s="74" t="s">
        <v>2053</v>
      </c>
      <c r="V2048" s="74">
        <v>44356</v>
      </c>
      <c r="W2048" s="74">
        <v>44393</v>
      </c>
      <c r="X2048" s="55">
        <v>10197057</v>
      </c>
      <c r="AL2048" s="74"/>
      <c r="AM2048" s="74"/>
    </row>
    <row r="2049" spans="1:50" ht="13" x14ac:dyDescent="0.15">
      <c r="A2049" s="55" t="str">
        <f>HYPERLINK("http://reports.ofsted.gov.uk/inspection-reports/find-inspection-report/provider/CARE/SC034746","Ofsted Social Care Provider Webpage")</f>
        <v>Ofsted Social Care Provider Webpage</v>
      </c>
      <c r="B2049" s="55" t="s">
        <v>3246</v>
      </c>
      <c r="D2049" s="55" t="s">
        <v>373</v>
      </c>
      <c r="E2049" s="74">
        <v>37712</v>
      </c>
      <c r="F2049" s="55" t="s">
        <v>344</v>
      </c>
      <c r="G2049" s="55" t="s">
        <v>360</v>
      </c>
      <c r="H2049" s="55" t="s">
        <v>360</v>
      </c>
      <c r="I2049" s="55" t="s">
        <v>360</v>
      </c>
      <c r="J2049" s="55" t="s">
        <v>360</v>
      </c>
      <c r="K2049" s="55" t="s">
        <v>360</v>
      </c>
      <c r="L2049" s="55" t="s">
        <v>360</v>
      </c>
      <c r="M2049" s="55" t="s">
        <v>378</v>
      </c>
      <c r="N2049" s="55" t="s">
        <v>134</v>
      </c>
      <c r="O2049" s="55" t="s">
        <v>204</v>
      </c>
      <c r="P2049" s="55" t="s">
        <v>1478</v>
      </c>
      <c r="Q2049" s="55" t="s">
        <v>380</v>
      </c>
      <c r="R2049" s="85">
        <v>4</v>
      </c>
      <c r="S2049" s="55">
        <v>0</v>
      </c>
      <c r="T2049" s="74" t="s">
        <v>1479</v>
      </c>
      <c r="U2049" s="74" t="s">
        <v>351</v>
      </c>
      <c r="V2049" s="74">
        <v>44313</v>
      </c>
      <c r="W2049" s="74">
        <v>44372</v>
      </c>
      <c r="X2049" s="55">
        <v>10185009</v>
      </c>
      <c r="Y2049" s="55" t="s">
        <v>146</v>
      </c>
      <c r="AB2049" s="74" t="s">
        <v>146</v>
      </c>
      <c r="AC2049" s="55" t="s">
        <v>146</v>
      </c>
      <c r="AL2049" s="74"/>
      <c r="AM2049" s="74"/>
      <c r="AW2049" s="74"/>
      <c r="AX2049" s="74"/>
    </row>
    <row r="2050" spans="1:50" ht="13" x14ac:dyDescent="0.15">
      <c r="A2050" s="55" t="str">
        <f>HYPERLINK("http://reports.ofsted.gov.uk/inspection-reports/find-inspection-report/provider/CARE/SC034746","Ofsted Social Care Provider Webpage")</f>
        <v>Ofsted Social Care Provider Webpage</v>
      </c>
      <c r="B2050" s="55" t="s">
        <v>3246</v>
      </c>
      <c r="D2050" s="55" t="s">
        <v>373</v>
      </c>
      <c r="E2050" s="74">
        <v>37712</v>
      </c>
      <c r="F2050" s="55" t="s">
        <v>344</v>
      </c>
      <c r="G2050" s="55" t="s">
        <v>360</v>
      </c>
      <c r="H2050" s="55" t="s">
        <v>360</v>
      </c>
      <c r="I2050" s="55" t="s">
        <v>360</v>
      </c>
      <c r="J2050" s="55" t="s">
        <v>360</v>
      </c>
      <c r="K2050" s="55" t="s">
        <v>360</v>
      </c>
      <c r="L2050" s="55" t="s">
        <v>360</v>
      </c>
      <c r="M2050" s="55" t="s">
        <v>378</v>
      </c>
      <c r="N2050" s="55" t="s">
        <v>134</v>
      </c>
      <c r="O2050" s="55" t="s">
        <v>204</v>
      </c>
      <c r="P2050" s="55" t="s">
        <v>1478</v>
      </c>
      <c r="Q2050" s="55" t="s">
        <v>380</v>
      </c>
      <c r="R2050" s="85">
        <v>4</v>
      </c>
      <c r="S2050" s="55">
        <v>0</v>
      </c>
      <c r="T2050" s="74" t="s">
        <v>1479</v>
      </c>
      <c r="U2050" s="74" t="s">
        <v>351</v>
      </c>
      <c r="V2050" s="74">
        <v>44433</v>
      </c>
      <c r="W2050" s="74">
        <v>44466</v>
      </c>
      <c r="X2050" s="55">
        <v>10197056</v>
      </c>
      <c r="Y2050" s="55" t="s">
        <v>130</v>
      </c>
      <c r="AB2050" s="74" t="s">
        <v>130</v>
      </c>
      <c r="AC2050" s="55" t="s">
        <v>130</v>
      </c>
      <c r="AL2050" s="74"/>
      <c r="AM2050" s="74"/>
      <c r="AW2050" s="74"/>
      <c r="AX2050" s="74"/>
    </row>
    <row r="2051" spans="1:50" ht="13" x14ac:dyDescent="0.15">
      <c r="A2051" s="55" t="str">
        <f>HYPERLINK("http://reports.ofsted.gov.uk/inspection-reports/find-inspection-report/provider/CARE/SC034797","Ofsted Social Care Provider Webpage")</f>
        <v>Ofsted Social Care Provider Webpage</v>
      </c>
      <c r="B2051" s="55" t="s">
        <v>3253</v>
      </c>
      <c r="D2051" s="55" t="s">
        <v>373</v>
      </c>
      <c r="E2051" s="74">
        <v>37979</v>
      </c>
      <c r="F2051" s="55" t="s">
        <v>344</v>
      </c>
      <c r="G2051" s="55" t="s">
        <v>360</v>
      </c>
      <c r="H2051" s="55" t="s">
        <v>360</v>
      </c>
      <c r="I2051" s="55" t="s">
        <v>360</v>
      </c>
      <c r="J2051" s="55" t="s">
        <v>360</v>
      </c>
      <c r="K2051" s="55" t="s">
        <v>360</v>
      </c>
      <c r="L2051" s="55" t="s">
        <v>360</v>
      </c>
      <c r="M2051" s="55" t="s">
        <v>138</v>
      </c>
      <c r="N2051" s="55" t="s">
        <v>138</v>
      </c>
      <c r="O2051" s="55" t="s">
        <v>224</v>
      </c>
      <c r="P2051" s="55" t="s">
        <v>1675</v>
      </c>
      <c r="Q2051" s="55" t="s">
        <v>380</v>
      </c>
      <c r="R2051" s="85">
        <v>4</v>
      </c>
      <c r="S2051" s="55">
        <v>0</v>
      </c>
      <c r="T2051" s="74" t="s">
        <v>2272</v>
      </c>
      <c r="U2051" s="74" t="s">
        <v>351</v>
      </c>
      <c r="V2051" s="74">
        <v>44446</v>
      </c>
      <c r="W2051" s="74">
        <v>44473</v>
      </c>
      <c r="X2051" s="55">
        <v>10185634</v>
      </c>
      <c r="Y2051" s="55" t="s">
        <v>146</v>
      </c>
      <c r="AB2051" s="74" t="s">
        <v>146</v>
      </c>
      <c r="AC2051" s="55" t="s">
        <v>146</v>
      </c>
      <c r="AL2051" s="74"/>
      <c r="AM2051" s="74"/>
      <c r="AW2051" s="74"/>
      <c r="AX2051" s="74"/>
    </row>
    <row r="2052" spans="1:50" ht="13" x14ac:dyDescent="0.15">
      <c r="A2052" s="55" t="str">
        <f>HYPERLINK("http://reports.ofsted.gov.uk/inspection-reports/find-inspection-report/provider/CARE/SC034797","Ofsted Social Care Provider Webpage")</f>
        <v>Ofsted Social Care Provider Webpage</v>
      </c>
      <c r="B2052" s="55" t="s">
        <v>3253</v>
      </c>
      <c r="D2052" s="55" t="s">
        <v>373</v>
      </c>
      <c r="E2052" s="74">
        <v>37979</v>
      </c>
      <c r="F2052" s="55" t="s">
        <v>344</v>
      </c>
      <c r="G2052" s="55" t="s">
        <v>360</v>
      </c>
      <c r="H2052" s="55" t="s">
        <v>360</v>
      </c>
      <c r="I2052" s="55" t="s">
        <v>360</v>
      </c>
      <c r="J2052" s="55" t="s">
        <v>360</v>
      </c>
      <c r="K2052" s="55" t="s">
        <v>360</v>
      </c>
      <c r="L2052" s="55" t="s">
        <v>360</v>
      </c>
      <c r="M2052" s="55" t="s">
        <v>138</v>
      </c>
      <c r="N2052" s="55" t="s">
        <v>138</v>
      </c>
      <c r="O2052" s="55" t="s">
        <v>224</v>
      </c>
      <c r="P2052" s="55" t="s">
        <v>1675</v>
      </c>
      <c r="Q2052" s="55" t="s">
        <v>380</v>
      </c>
      <c r="R2052" s="85">
        <v>4</v>
      </c>
      <c r="S2052" s="55">
        <v>0</v>
      </c>
      <c r="T2052" s="74" t="s">
        <v>2272</v>
      </c>
      <c r="U2052" s="74" t="s">
        <v>351</v>
      </c>
      <c r="V2052" s="74">
        <v>44530</v>
      </c>
      <c r="W2052" s="74">
        <v>44572</v>
      </c>
      <c r="X2052" s="55">
        <v>10206672</v>
      </c>
      <c r="Y2052" s="55" t="s">
        <v>130</v>
      </c>
      <c r="AB2052" s="74" t="s">
        <v>132</v>
      </c>
      <c r="AC2052" s="55" t="s">
        <v>130</v>
      </c>
      <c r="AL2052" s="74"/>
      <c r="AM2052" s="74"/>
      <c r="AW2052" s="74"/>
      <c r="AX2052" s="74"/>
    </row>
    <row r="2053" spans="1:50" ht="13" x14ac:dyDescent="0.15">
      <c r="A2053" s="55" t="str">
        <f>HYPERLINK("http://reports.ofsted.gov.uk/inspection-reports/find-inspection-report/provider/CARE/SC034797","Ofsted Social Care Provider Webpage")</f>
        <v>Ofsted Social Care Provider Webpage</v>
      </c>
      <c r="B2053" s="55" t="s">
        <v>3253</v>
      </c>
      <c r="D2053" s="55" t="s">
        <v>373</v>
      </c>
      <c r="E2053" s="74">
        <v>37979</v>
      </c>
      <c r="F2053" s="55" t="s">
        <v>344</v>
      </c>
      <c r="G2053" s="55" t="s">
        <v>360</v>
      </c>
      <c r="H2053" s="55" t="s">
        <v>360</v>
      </c>
      <c r="I2053" s="55" t="s">
        <v>360</v>
      </c>
      <c r="J2053" s="55" t="s">
        <v>360</v>
      </c>
      <c r="K2053" s="55" t="s">
        <v>360</v>
      </c>
      <c r="L2053" s="55" t="s">
        <v>360</v>
      </c>
      <c r="M2053" s="55" t="s">
        <v>138</v>
      </c>
      <c r="N2053" s="55" t="s">
        <v>138</v>
      </c>
      <c r="O2053" s="55" t="s">
        <v>224</v>
      </c>
      <c r="P2053" s="55" t="s">
        <v>1675</v>
      </c>
      <c r="Q2053" s="55" t="s">
        <v>380</v>
      </c>
      <c r="R2053" s="85">
        <v>4</v>
      </c>
      <c r="S2053" s="55">
        <v>0</v>
      </c>
      <c r="T2053" s="74" t="s">
        <v>2272</v>
      </c>
      <c r="U2053" s="74" t="s">
        <v>2053</v>
      </c>
      <c r="V2053" s="74">
        <v>44481</v>
      </c>
      <c r="W2053" s="74">
        <v>44505</v>
      </c>
      <c r="X2053" s="55">
        <v>10206671</v>
      </c>
      <c r="AL2053" s="74"/>
      <c r="AM2053" s="74"/>
      <c r="AW2053" s="74"/>
      <c r="AX2053" s="74"/>
    </row>
    <row r="2054" spans="1:50" ht="13" x14ac:dyDescent="0.15">
      <c r="A2054" s="55" t="str">
        <f>HYPERLINK("http://reports.ofsted.gov.uk/inspection-reports/find-inspection-report/provider/CARE/SC034849","Ofsted Social Care Provider Webpage")</f>
        <v>Ofsted Social Care Provider Webpage</v>
      </c>
      <c r="B2054" s="55" t="s">
        <v>3259</v>
      </c>
      <c r="D2054" s="55" t="s">
        <v>373</v>
      </c>
      <c r="E2054" s="74">
        <v>37347</v>
      </c>
      <c r="F2054" s="55" t="s">
        <v>344</v>
      </c>
      <c r="G2054" s="55" t="s">
        <v>360</v>
      </c>
      <c r="H2054" s="55" t="s">
        <v>360</v>
      </c>
      <c r="I2054" s="55" t="s">
        <v>360</v>
      </c>
      <c r="J2054" s="55" t="s">
        <v>360</v>
      </c>
      <c r="K2054" s="55" t="s">
        <v>360</v>
      </c>
      <c r="L2054" s="55" t="s">
        <v>360</v>
      </c>
      <c r="M2054" s="55" t="s">
        <v>144</v>
      </c>
      <c r="N2054" s="55" t="s">
        <v>144</v>
      </c>
      <c r="O2054" s="55" t="s">
        <v>163</v>
      </c>
      <c r="P2054" s="55" t="s">
        <v>376</v>
      </c>
      <c r="Q2054" s="55" t="s">
        <v>380</v>
      </c>
      <c r="R2054" s="85">
        <v>3</v>
      </c>
      <c r="S2054" s="55" t="s">
        <v>332</v>
      </c>
      <c r="T2054" s="74" t="s">
        <v>473</v>
      </c>
      <c r="U2054" s="74" t="s">
        <v>351</v>
      </c>
      <c r="V2054" s="74">
        <v>44574</v>
      </c>
      <c r="W2054" s="74">
        <v>44637</v>
      </c>
      <c r="X2054" s="55">
        <v>10186731</v>
      </c>
      <c r="Y2054" s="55" t="s">
        <v>140</v>
      </c>
      <c r="AB2054" s="74" t="s">
        <v>140</v>
      </c>
      <c r="AC2054" s="55" t="s">
        <v>140</v>
      </c>
      <c r="AL2054" s="74"/>
      <c r="AM2054" s="74"/>
      <c r="AW2054" s="74"/>
      <c r="AX2054" s="74"/>
    </row>
    <row r="2055" spans="1:50" ht="13" x14ac:dyDescent="0.15">
      <c r="A2055" s="55" t="str">
        <f>HYPERLINK("http://reports.ofsted.gov.uk/inspection-reports/find-inspection-report/provider/CARE/SC034851","Ofsted Social Care Provider Webpage")</f>
        <v>Ofsted Social Care Provider Webpage</v>
      </c>
      <c r="B2055" s="55" t="s">
        <v>3260</v>
      </c>
      <c r="D2055" s="55" t="s">
        <v>373</v>
      </c>
      <c r="E2055" s="74">
        <v>37883</v>
      </c>
      <c r="F2055" s="55" t="s">
        <v>344</v>
      </c>
      <c r="G2055" s="55" t="s">
        <v>360</v>
      </c>
      <c r="H2055" s="55" t="s">
        <v>360</v>
      </c>
      <c r="I2055" s="55" t="s">
        <v>360</v>
      </c>
      <c r="J2055" s="55" t="s">
        <v>360</v>
      </c>
      <c r="K2055" s="55" t="s">
        <v>360</v>
      </c>
      <c r="L2055" s="55" t="s">
        <v>360</v>
      </c>
      <c r="M2055" s="55" t="s">
        <v>144</v>
      </c>
      <c r="N2055" s="55" t="s">
        <v>144</v>
      </c>
      <c r="O2055" s="55" t="s">
        <v>245</v>
      </c>
      <c r="P2055" s="55" t="s">
        <v>245</v>
      </c>
      <c r="Q2055" s="55" t="s">
        <v>380</v>
      </c>
      <c r="R2055" s="85">
        <v>5</v>
      </c>
      <c r="S2055" s="55">
        <v>0</v>
      </c>
      <c r="T2055" s="74" t="s">
        <v>776</v>
      </c>
      <c r="U2055" s="74" t="s">
        <v>351</v>
      </c>
      <c r="V2055" s="74">
        <v>44613</v>
      </c>
      <c r="W2055" s="74">
        <v>44658</v>
      </c>
      <c r="X2055" s="55">
        <v>10186356</v>
      </c>
      <c r="Y2055" s="55" t="s">
        <v>130</v>
      </c>
      <c r="AB2055" s="74" t="s">
        <v>130</v>
      </c>
      <c r="AC2055" s="55" t="s">
        <v>130</v>
      </c>
      <c r="AL2055" s="74"/>
      <c r="AM2055" s="74"/>
    </row>
    <row r="2056" spans="1:50" ht="13" x14ac:dyDescent="0.15">
      <c r="A2056" s="55" t="str">
        <f>HYPERLINK("http://reports.ofsted.gov.uk/inspection-reports/find-inspection-report/provider/CARE/SC034855","Ofsted Social Care Provider Webpage")</f>
        <v>Ofsted Social Care Provider Webpage</v>
      </c>
      <c r="B2056" s="55" t="s">
        <v>3261</v>
      </c>
      <c r="D2056" s="55" t="s">
        <v>389</v>
      </c>
      <c r="E2056" s="74">
        <v>38001</v>
      </c>
      <c r="F2056" s="55" t="s">
        <v>344</v>
      </c>
      <c r="G2056" s="55" t="s">
        <v>3262</v>
      </c>
      <c r="H2056" s="55" t="s">
        <v>3263</v>
      </c>
      <c r="I2056" s="55" t="s">
        <v>3264</v>
      </c>
      <c r="J2056" s="55" t="s">
        <v>2753</v>
      </c>
      <c r="L2056" s="55" t="s">
        <v>3265</v>
      </c>
      <c r="M2056" s="55" t="s">
        <v>142</v>
      </c>
      <c r="N2056" s="55" t="s">
        <v>142</v>
      </c>
      <c r="O2056" s="55" t="s">
        <v>282</v>
      </c>
      <c r="P2056" s="55" t="s">
        <v>3266</v>
      </c>
      <c r="Q2056" s="55" t="s">
        <v>362</v>
      </c>
      <c r="S2056" s="55">
        <v>0</v>
      </c>
      <c r="T2056" s="74" t="s">
        <v>3263</v>
      </c>
      <c r="U2056" s="74" t="s">
        <v>351</v>
      </c>
      <c r="V2056" s="74">
        <v>44578</v>
      </c>
      <c r="W2056" s="74">
        <v>44679</v>
      </c>
      <c r="X2056" s="55">
        <v>10183436</v>
      </c>
      <c r="Y2056" s="55" t="s">
        <v>132</v>
      </c>
      <c r="AB2056" s="74" t="s">
        <v>132</v>
      </c>
      <c r="AC2056" s="55" t="s">
        <v>130</v>
      </c>
      <c r="AL2056" s="74"/>
      <c r="AM2056" s="74"/>
    </row>
    <row r="2057" spans="1:50" ht="13" x14ac:dyDescent="0.15">
      <c r="A2057" s="55" t="str">
        <f>HYPERLINK("http://reports.ofsted.gov.uk/inspection-reports/find-inspection-report/provider/CARE/SC034900","Ofsted Social Care Provider Webpage")</f>
        <v>Ofsted Social Care Provider Webpage</v>
      </c>
      <c r="B2057" s="55" t="s">
        <v>3267</v>
      </c>
      <c r="D2057" s="55" t="s">
        <v>373</v>
      </c>
      <c r="E2057" s="74">
        <v>37953</v>
      </c>
      <c r="F2057" s="55" t="s">
        <v>344</v>
      </c>
      <c r="G2057" s="55" t="s">
        <v>360</v>
      </c>
      <c r="H2057" s="55" t="s">
        <v>360</v>
      </c>
      <c r="I2057" s="55" t="s">
        <v>360</v>
      </c>
      <c r="J2057" s="55" t="s">
        <v>360</v>
      </c>
      <c r="K2057" s="55" t="s">
        <v>360</v>
      </c>
      <c r="L2057" s="55" t="s">
        <v>360</v>
      </c>
      <c r="M2057" s="55" t="s">
        <v>172</v>
      </c>
      <c r="N2057" s="55" t="s">
        <v>172</v>
      </c>
      <c r="O2057" s="55" t="s">
        <v>234</v>
      </c>
      <c r="P2057" s="55" t="s">
        <v>369</v>
      </c>
      <c r="Q2057" s="55" t="s">
        <v>380</v>
      </c>
      <c r="R2057" s="85">
        <v>11</v>
      </c>
      <c r="S2057" s="55" t="s">
        <v>332</v>
      </c>
      <c r="T2057" s="74" t="s">
        <v>1271</v>
      </c>
      <c r="U2057" s="74" t="s">
        <v>351</v>
      </c>
      <c r="V2057" s="74">
        <v>44621</v>
      </c>
      <c r="W2057" s="74">
        <v>44662</v>
      </c>
      <c r="X2057" s="55">
        <v>10185877</v>
      </c>
      <c r="Y2057" s="55" t="s">
        <v>140</v>
      </c>
      <c r="AB2057" s="74" t="s">
        <v>140</v>
      </c>
      <c r="AC2057" s="55" t="s">
        <v>140</v>
      </c>
      <c r="AL2057" s="74"/>
      <c r="AM2057" s="74"/>
    </row>
    <row r="2058" spans="1:50" ht="13" x14ac:dyDescent="0.15">
      <c r="A2058" s="55" t="str">
        <f>HYPERLINK("http://reports.ofsted.gov.uk/inspection-reports/find-inspection-report/provider/CARE/SC034908","Ofsted Social Care Provider Webpage")</f>
        <v>Ofsted Social Care Provider Webpage</v>
      </c>
      <c r="B2058" s="55" t="s">
        <v>3274</v>
      </c>
      <c r="D2058" s="55" t="s">
        <v>389</v>
      </c>
      <c r="E2058" s="74">
        <v>37945</v>
      </c>
      <c r="F2058" s="55" t="s">
        <v>344</v>
      </c>
      <c r="G2058" s="55" t="s">
        <v>3275</v>
      </c>
      <c r="H2058" s="55" t="s">
        <v>3276</v>
      </c>
      <c r="I2058" s="55" t="s">
        <v>3277</v>
      </c>
      <c r="J2058" s="55" t="s">
        <v>3278</v>
      </c>
      <c r="K2058" s="55" t="s">
        <v>129</v>
      </c>
      <c r="L2058" s="55" t="s">
        <v>3279</v>
      </c>
      <c r="M2058" s="55" t="s">
        <v>129</v>
      </c>
      <c r="N2058" s="55" t="s">
        <v>129</v>
      </c>
      <c r="O2058" s="55" t="s">
        <v>152</v>
      </c>
      <c r="P2058" s="55" t="s">
        <v>1130</v>
      </c>
      <c r="Q2058" s="55" t="s">
        <v>350</v>
      </c>
      <c r="S2058" s="55">
        <v>0</v>
      </c>
      <c r="T2058" s="74" t="s">
        <v>3280</v>
      </c>
      <c r="U2058" s="74" t="s">
        <v>351</v>
      </c>
      <c r="V2058" s="74">
        <v>44627</v>
      </c>
      <c r="W2058" s="74">
        <v>44677</v>
      </c>
      <c r="X2058" s="55">
        <v>10183352</v>
      </c>
      <c r="Y2058" s="55" t="s">
        <v>132</v>
      </c>
      <c r="AB2058" s="74" t="s">
        <v>132</v>
      </c>
      <c r="AC2058" s="55" t="s">
        <v>132</v>
      </c>
      <c r="AL2058" s="74"/>
      <c r="AM2058" s="74"/>
      <c r="AW2058" s="74"/>
      <c r="AX2058" s="74"/>
    </row>
    <row r="2059" spans="1:50" ht="13" x14ac:dyDescent="0.15">
      <c r="A2059" s="55" t="str">
        <f>HYPERLINK("http://reports.ofsted.gov.uk/inspection-reports/find-inspection-report/provider/CARE/SC034922","Ofsted Social Care Provider Webpage")</f>
        <v>Ofsted Social Care Provider Webpage</v>
      </c>
      <c r="B2059" s="55" t="s">
        <v>3281</v>
      </c>
      <c r="D2059" s="55" t="s">
        <v>373</v>
      </c>
      <c r="E2059" s="74">
        <v>37883</v>
      </c>
      <c r="F2059" s="55" t="s">
        <v>344</v>
      </c>
      <c r="G2059" s="55" t="s">
        <v>360</v>
      </c>
      <c r="H2059" s="55" t="s">
        <v>360</v>
      </c>
      <c r="I2059" s="55" t="s">
        <v>360</v>
      </c>
      <c r="J2059" s="55" t="s">
        <v>360</v>
      </c>
      <c r="K2059" s="55" t="s">
        <v>360</v>
      </c>
      <c r="L2059" s="55" t="s">
        <v>360</v>
      </c>
      <c r="M2059" s="55" t="s">
        <v>144</v>
      </c>
      <c r="N2059" s="55" t="s">
        <v>144</v>
      </c>
      <c r="O2059" s="55" t="s">
        <v>245</v>
      </c>
      <c r="P2059" s="55" t="s">
        <v>1796</v>
      </c>
      <c r="Q2059" s="55" t="s">
        <v>380</v>
      </c>
      <c r="R2059" s="85">
        <v>4</v>
      </c>
      <c r="S2059" s="55">
        <v>0</v>
      </c>
      <c r="T2059" s="74" t="s">
        <v>776</v>
      </c>
      <c r="U2059" s="74" t="s">
        <v>351</v>
      </c>
      <c r="V2059" s="74">
        <v>44488</v>
      </c>
      <c r="W2059" s="74">
        <v>44524</v>
      </c>
      <c r="X2059" s="55">
        <v>10185813</v>
      </c>
      <c r="Y2059" s="55" t="s">
        <v>132</v>
      </c>
      <c r="AB2059" s="74" t="s">
        <v>132</v>
      </c>
      <c r="AC2059" s="55" t="s">
        <v>132</v>
      </c>
      <c r="AL2059" s="74"/>
      <c r="AM2059" s="74"/>
    </row>
    <row r="2060" spans="1:50" ht="13" x14ac:dyDescent="0.15">
      <c r="A2060" s="55" t="str">
        <f>HYPERLINK("http://reports.ofsted.gov.uk/inspection-reports/find-inspection-report/provider/CARE/SC034944","Ofsted Social Care Provider Webpage")</f>
        <v>Ofsted Social Care Provider Webpage</v>
      </c>
      <c r="B2060" s="55" t="s">
        <v>3282</v>
      </c>
      <c r="D2060" s="55" t="s">
        <v>373</v>
      </c>
      <c r="E2060" s="74">
        <v>37686</v>
      </c>
      <c r="F2060" s="55" t="s">
        <v>344</v>
      </c>
      <c r="G2060" s="55" t="s">
        <v>360</v>
      </c>
      <c r="H2060" s="55" t="s">
        <v>360</v>
      </c>
      <c r="I2060" s="55" t="s">
        <v>360</v>
      </c>
      <c r="J2060" s="55" t="s">
        <v>360</v>
      </c>
      <c r="K2060" s="55" t="s">
        <v>360</v>
      </c>
      <c r="L2060" s="55" t="s">
        <v>360</v>
      </c>
      <c r="M2060" s="55" t="s">
        <v>144</v>
      </c>
      <c r="N2060" s="55" t="s">
        <v>144</v>
      </c>
      <c r="O2060" s="55" t="s">
        <v>209</v>
      </c>
      <c r="P2060" s="55" t="s">
        <v>629</v>
      </c>
      <c r="Q2060" s="55" t="s">
        <v>350</v>
      </c>
      <c r="R2060" s="85">
        <v>4</v>
      </c>
      <c r="S2060" s="55">
        <v>0</v>
      </c>
      <c r="T2060" s="74" t="s">
        <v>1363</v>
      </c>
      <c r="U2060" s="74" t="s">
        <v>351</v>
      </c>
      <c r="V2060" s="74">
        <v>44531</v>
      </c>
      <c r="W2060" s="74">
        <v>44574</v>
      </c>
      <c r="X2060" s="55">
        <v>10185150</v>
      </c>
      <c r="Y2060" s="55" t="s">
        <v>140</v>
      </c>
      <c r="AB2060" s="74" t="s">
        <v>140</v>
      </c>
      <c r="AC2060" s="55" t="s">
        <v>132</v>
      </c>
      <c r="AL2060" s="74"/>
      <c r="AM2060" s="74"/>
    </row>
    <row r="2061" spans="1:50" ht="13" x14ac:dyDescent="0.15">
      <c r="A2061" s="55" t="str">
        <f>HYPERLINK("http://reports.ofsted.gov.uk/inspection-reports/find-inspection-report/provider/CARE/SC034953","Ofsted Social Care Provider Webpage")</f>
        <v>Ofsted Social Care Provider Webpage</v>
      </c>
      <c r="B2061" s="55" t="s">
        <v>3283</v>
      </c>
      <c r="D2061" s="55" t="s">
        <v>373</v>
      </c>
      <c r="E2061" s="74">
        <v>37838</v>
      </c>
      <c r="F2061" s="55" t="s">
        <v>344</v>
      </c>
      <c r="G2061" s="55" t="s">
        <v>360</v>
      </c>
      <c r="H2061" s="55" t="s">
        <v>360</v>
      </c>
      <c r="I2061" s="55" t="s">
        <v>360</v>
      </c>
      <c r="J2061" s="55" t="s">
        <v>360</v>
      </c>
      <c r="K2061" s="55" t="s">
        <v>360</v>
      </c>
      <c r="L2061" s="55" t="s">
        <v>360</v>
      </c>
      <c r="M2061" s="55" t="s">
        <v>378</v>
      </c>
      <c r="N2061" s="55" t="s">
        <v>134</v>
      </c>
      <c r="O2061" s="55" t="s">
        <v>158</v>
      </c>
      <c r="P2061" s="55" t="s">
        <v>480</v>
      </c>
      <c r="Q2061" s="55" t="s">
        <v>380</v>
      </c>
      <c r="R2061" s="85">
        <v>5</v>
      </c>
      <c r="S2061" s="55">
        <v>0</v>
      </c>
      <c r="T2061" s="74" t="s">
        <v>756</v>
      </c>
      <c r="U2061" s="74" t="s">
        <v>351</v>
      </c>
      <c r="V2061" s="74">
        <v>44544</v>
      </c>
      <c r="W2061" s="74">
        <v>44586</v>
      </c>
      <c r="X2061" s="55">
        <v>10185530</v>
      </c>
      <c r="Y2061" s="55" t="s">
        <v>140</v>
      </c>
      <c r="AB2061" s="74" t="s">
        <v>140</v>
      </c>
      <c r="AC2061" s="55" t="s">
        <v>132</v>
      </c>
      <c r="AL2061" s="74"/>
      <c r="AM2061" s="74"/>
      <c r="AW2061" s="74"/>
      <c r="AX2061" s="74"/>
    </row>
    <row r="2062" spans="1:50" ht="13" x14ac:dyDescent="0.15">
      <c r="A2062" s="55" t="str">
        <f>HYPERLINK("http://reports.ofsted.gov.uk/inspection-reports/find-inspection-report/provider/CARE/SC034969","Ofsted Social Care Provider Webpage")</f>
        <v>Ofsted Social Care Provider Webpage</v>
      </c>
      <c r="B2062" s="55" t="s">
        <v>3284</v>
      </c>
      <c r="D2062" s="55" t="s">
        <v>373</v>
      </c>
      <c r="E2062" s="74">
        <v>37953</v>
      </c>
      <c r="F2062" s="55" t="s">
        <v>344</v>
      </c>
      <c r="G2062" s="55" t="s">
        <v>360</v>
      </c>
      <c r="H2062" s="55" t="s">
        <v>360</v>
      </c>
      <c r="I2062" s="55" t="s">
        <v>360</v>
      </c>
      <c r="J2062" s="55" t="s">
        <v>360</v>
      </c>
      <c r="K2062" s="55" t="s">
        <v>360</v>
      </c>
      <c r="L2062" s="55" t="s">
        <v>360</v>
      </c>
      <c r="M2062" s="55" t="s">
        <v>172</v>
      </c>
      <c r="N2062" s="55" t="s">
        <v>172</v>
      </c>
      <c r="O2062" s="55" t="s">
        <v>234</v>
      </c>
      <c r="P2062" s="55" t="s">
        <v>457</v>
      </c>
      <c r="Q2062" s="55" t="s">
        <v>380</v>
      </c>
      <c r="R2062" s="85">
        <v>4</v>
      </c>
      <c r="S2062" s="55">
        <v>0</v>
      </c>
      <c r="T2062" s="74" t="s">
        <v>1271</v>
      </c>
      <c r="U2062" s="74" t="s">
        <v>351</v>
      </c>
      <c r="V2062" s="74">
        <v>44523</v>
      </c>
      <c r="W2062" s="74">
        <v>44571</v>
      </c>
      <c r="X2062" s="55">
        <v>10185580</v>
      </c>
      <c r="Y2062" s="55" t="s">
        <v>130</v>
      </c>
      <c r="AB2062" s="74" t="s">
        <v>130</v>
      </c>
      <c r="AC2062" s="55" t="s">
        <v>130</v>
      </c>
      <c r="AL2062" s="74"/>
      <c r="AM2062" s="74"/>
      <c r="AW2062" s="74"/>
      <c r="AX2062" s="74"/>
    </row>
    <row r="2063" spans="1:50" ht="13" x14ac:dyDescent="0.15">
      <c r="A2063" s="55" t="str">
        <f>HYPERLINK("http://reports.ofsted.gov.uk/inspection-reports/find-inspection-report/provider/CARE/SC034969","Ofsted Social Care Provider Webpage")</f>
        <v>Ofsted Social Care Provider Webpage</v>
      </c>
      <c r="B2063" s="55" t="s">
        <v>3284</v>
      </c>
      <c r="D2063" s="55" t="s">
        <v>373</v>
      </c>
      <c r="E2063" s="74">
        <v>37953</v>
      </c>
      <c r="F2063" s="55" t="s">
        <v>344</v>
      </c>
      <c r="G2063" s="55" t="s">
        <v>360</v>
      </c>
      <c r="H2063" s="55" t="s">
        <v>360</v>
      </c>
      <c r="I2063" s="55" t="s">
        <v>360</v>
      </c>
      <c r="J2063" s="55" t="s">
        <v>360</v>
      </c>
      <c r="K2063" s="55" t="s">
        <v>360</v>
      </c>
      <c r="L2063" s="55" t="s">
        <v>360</v>
      </c>
      <c r="M2063" s="55" t="s">
        <v>172</v>
      </c>
      <c r="N2063" s="55" t="s">
        <v>172</v>
      </c>
      <c r="O2063" s="55" t="s">
        <v>234</v>
      </c>
      <c r="P2063" s="55" t="s">
        <v>457</v>
      </c>
      <c r="Q2063" s="55" t="s">
        <v>380</v>
      </c>
      <c r="R2063" s="85">
        <v>4</v>
      </c>
      <c r="S2063" s="55">
        <v>0</v>
      </c>
      <c r="T2063" s="74" t="s">
        <v>1271</v>
      </c>
      <c r="U2063" s="74" t="s">
        <v>6703</v>
      </c>
      <c r="V2063" s="74">
        <v>44620</v>
      </c>
      <c r="W2063" s="74">
        <v>44658</v>
      </c>
      <c r="X2063" s="55">
        <v>10217697</v>
      </c>
      <c r="Y2063" s="55" t="s">
        <v>6704</v>
      </c>
      <c r="AL2063" s="74"/>
      <c r="AM2063" s="74"/>
      <c r="AW2063" s="74"/>
      <c r="AX2063" s="74"/>
    </row>
    <row r="2064" spans="1:50" ht="13" x14ac:dyDescent="0.15">
      <c r="A2064" s="55" t="str">
        <f>HYPERLINK("http://reports.ofsted.gov.uk/inspection-reports/find-inspection-report/provider/CARE/SC035105","Ofsted Social Care Provider Webpage")</f>
        <v>Ofsted Social Care Provider Webpage</v>
      </c>
      <c r="B2064" s="55" t="s">
        <v>6737</v>
      </c>
      <c r="D2064" s="55" t="s">
        <v>373</v>
      </c>
      <c r="E2064" s="74">
        <v>37869</v>
      </c>
      <c r="F2064" s="55" t="s">
        <v>6707</v>
      </c>
      <c r="G2064" s="55" t="s">
        <v>360</v>
      </c>
      <c r="H2064" s="55" t="s">
        <v>360</v>
      </c>
      <c r="I2064" s="55" t="s">
        <v>360</v>
      </c>
      <c r="J2064" s="55" t="s">
        <v>360</v>
      </c>
      <c r="K2064" s="55" t="s">
        <v>360</v>
      </c>
      <c r="L2064" s="55" t="s">
        <v>360</v>
      </c>
      <c r="M2064" s="55" t="s">
        <v>378</v>
      </c>
      <c r="N2064" s="55" t="s">
        <v>170</v>
      </c>
      <c r="O2064" s="55" t="s">
        <v>178</v>
      </c>
      <c r="P2064" s="55" t="s">
        <v>434</v>
      </c>
      <c r="Q2064" s="55" t="s">
        <v>380</v>
      </c>
      <c r="R2064" s="85">
        <v>4</v>
      </c>
      <c r="S2064" s="55">
        <v>0</v>
      </c>
      <c r="T2064" s="74" t="s">
        <v>2068</v>
      </c>
      <c r="U2064" s="74" t="s">
        <v>351</v>
      </c>
      <c r="V2064" s="74">
        <v>44350</v>
      </c>
      <c r="W2064" s="74">
        <v>44390</v>
      </c>
      <c r="X2064" s="55">
        <v>10185425</v>
      </c>
      <c r="Y2064" s="55" t="s">
        <v>146</v>
      </c>
      <c r="AB2064" s="74" t="s">
        <v>146</v>
      </c>
      <c r="AC2064" s="55" t="s">
        <v>146</v>
      </c>
      <c r="AL2064" s="74"/>
      <c r="AM2064" s="74"/>
    </row>
    <row r="2065" spans="1:50" ht="13" x14ac:dyDescent="0.15">
      <c r="A2065" s="55" t="str">
        <f>HYPERLINK("http://reports.ofsted.gov.uk/inspection-reports/find-inspection-report/provider/CARE/SC035137","Ofsted Social Care Provider Webpage")</f>
        <v>Ofsted Social Care Provider Webpage</v>
      </c>
      <c r="B2065" s="55" t="s">
        <v>3292</v>
      </c>
      <c r="D2065" s="55" t="s">
        <v>373</v>
      </c>
      <c r="E2065" s="74">
        <v>37868</v>
      </c>
      <c r="F2065" s="55" t="s">
        <v>344</v>
      </c>
      <c r="G2065" s="55" t="s">
        <v>360</v>
      </c>
      <c r="H2065" s="55" t="s">
        <v>360</v>
      </c>
      <c r="I2065" s="55" t="s">
        <v>360</v>
      </c>
      <c r="J2065" s="55" t="s">
        <v>360</v>
      </c>
      <c r="K2065" s="55" t="s">
        <v>360</v>
      </c>
      <c r="L2065" s="55" t="s">
        <v>360</v>
      </c>
      <c r="M2065" s="55" t="s">
        <v>378</v>
      </c>
      <c r="N2065" s="55" t="s">
        <v>170</v>
      </c>
      <c r="O2065" s="55" t="s">
        <v>178</v>
      </c>
      <c r="P2065" s="55" t="s">
        <v>1450</v>
      </c>
      <c r="Q2065" s="55" t="s">
        <v>380</v>
      </c>
      <c r="R2065" s="85">
        <v>3</v>
      </c>
      <c r="S2065" s="55">
        <v>0</v>
      </c>
      <c r="T2065" s="74" t="s">
        <v>2068</v>
      </c>
      <c r="U2065" s="74" t="s">
        <v>351</v>
      </c>
      <c r="V2065" s="74">
        <v>44502</v>
      </c>
      <c r="W2065" s="74">
        <v>44538</v>
      </c>
      <c r="X2065" s="55">
        <v>10185967</v>
      </c>
      <c r="Y2065" s="55" t="s">
        <v>132</v>
      </c>
      <c r="AB2065" s="74" t="s">
        <v>132</v>
      </c>
      <c r="AC2065" s="55" t="s">
        <v>132</v>
      </c>
      <c r="AL2065" s="74"/>
      <c r="AM2065" s="74"/>
      <c r="AW2065" s="74"/>
      <c r="AX2065" s="74"/>
    </row>
    <row r="2066" spans="1:50" ht="13" x14ac:dyDescent="0.15">
      <c r="A2066" s="55" t="str">
        <f>HYPERLINK("http://reports.ofsted.gov.uk/inspection-reports/find-inspection-report/provider/CARE/SC035154","Ofsted Social Care Provider Webpage")</f>
        <v>Ofsted Social Care Provider Webpage</v>
      </c>
      <c r="B2066" s="55" t="s">
        <v>3293</v>
      </c>
      <c r="D2066" s="55" t="s">
        <v>373</v>
      </c>
      <c r="E2066" s="74">
        <v>37866</v>
      </c>
      <c r="F2066" s="55" t="s">
        <v>344</v>
      </c>
      <c r="G2066" s="55" t="s">
        <v>360</v>
      </c>
      <c r="H2066" s="55" t="s">
        <v>360</v>
      </c>
      <c r="I2066" s="55" t="s">
        <v>360</v>
      </c>
      <c r="J2066" s="55" t="s">
        <v>360</v>
      </c>
      <c r="K2066" s="55" t="s">
        <v>360</v>
      </c>
      <c r="L2066" s="55" t="s">
        <v>360</v>
      </c>
      <c r="M2066" s="55" t="s">
        <v>378</v>
      </c>
      <c r="N2066" s="55" t="s">
        <v>134</v>
      </c>
      <c r="O2066" s="55" t="s">
        <v>158</v>
      </c>
      <c r="P2066" s="55" t="s">
        <v>480</v>
      </c>
      <c r="Q2066" s="55" t="s">
        <v>380</v>
      </c>
      <c r="R2066" s="85">
        <v>5</v>
      </c>
      <c r="S2066" s="55" t="s">
        <v>332</v>
      </c>
      <c r="T2066" s="74" t="s">
        <v>756</v>
      </c>
      <c r="U2066" s="74" t="s">
        <v>6703</v>
      </c>
      <c r="V2066" s="74">
        <v>44574</v>
      </c>
      <c r="W2066" s="74">
        <v>44596</v>
      </c>
      <c r="X2066" s="55">
        <v>10212718</v>
      </c>
      <c r="Y2066" s="55" t="s">
        <v>6705</v>
      </c>
      <c r="AL2066" s="74"/>
      <c r="AM2066" s="74"/>
      <c r="AW2066" s="74"/>
      <c r="AX2066" s="74"/>
    </row>
    <row r="2067" spans="1:50" ht="13" x14ac:dyDescent="0.15">
      <c r="A2067" s="55" t="str">
        <f>HYPERLINK("http://reports.ofsted.gov.uk/inspection-reports/find-inspection-report/provider/CARE/SC035154","Ofsted Social Care Provider Webpage")</f>
        <v>Ofsted Social Care Provider Webpage</v>
      </c>
      <c r="B2067" s="55" t="s">
        <v>3293</v>
      </c>
      <c r="D2067" s="55" t="s">
        <v>373</v>
      </c>
      <c r="E2067" s="74">
        <v>37866</v>
      </c>
      <c r="F2067" s="55" t="s">
        <v>344</v>
      </c>
      <c r="G2067" s="55" t="s">
        <v>360</v>
      </c>
      <c r="H2067" s="55" t="s">
        <v>360</v>
      </c>
      <c r="I2067" s="55" t="s">
        <v>360</v>
      </c>
      <c r="J2067" s="55" t="s">
        <v>360</v>
      </c>
      <c r="K2067" s="55" t="s">
        <v>360</v>
      </c>
      <c r="L2067" s="55" t="s">
        <v>360</v>
      </c>
      <c r="M2067" s="55" t="s">
        <v>378</v>
      </c>
      <c r="N2067" s="55" t="s">
        <v>134</v>
      </c>
      <c r="O2067" s="55" t="s">
        <v>158</v>
      </c>
      <c r="P2067" s="55" t="s">
        <v>480</v>
      </c>
      <c r="Q2067" s="55" t="s">
        <v>380</v>
      </c>
      <c r="R2067" s="85">
        <v>5</v>
      </c>
      <c r="S2067" s="55" t="s">
        <v>332</v>
      </c>
      <c r="T2067" s="74" t="s">
        <v>756</v>
      </c>
      <c r="U2067" s="74" t="s">
        <v>351</v>
      </c>
      <c r="V2067" s="74">
        <v>44411</v>
      </c>
      <c r="W2067" s="74">
        <v>44446</v>
      </c>
      <c r="X2067" s="55">
        <v>10185749</v>
      </c>
      <c r="Y2067" s="55" t="s">
        <v>130</v>
      </c>
      <c r="AB2067" s="74" t="s">
        <v>130</v>
      </c>
      <c r="AC2067" s="55" t="s">
        <v>130</v>
      </c>
      <c r="AL2067" s="74"/>
      <c r="AM2067" s="74"/>
      <c r="AW2067" s="74"/>
      <c r="AX2067" s="74"/>
    </row>
    <row r="2068" spans="1:50" ht="13" x14ac:dyDescent="0.15">
      <c r="A2068" s="55" t="str">
        <f>HYPERLINK("http://reports.ofsted.gov.uk/inspection-reports/find-inspection-report/provider/CARE/SC035155","Ofsted Social Care Provider Webpage")</f>
        <v>Ofsted Social Care Provider Webpage</v>
      </c>
      <c r="B2068" s="55" t="s">
        <v>3294</v>
      </c>
      <c r="D2068" s="55" t="s">
        <v>373</v>
      </c>
      <c r="E2068" s="74">
        <v>37873</v>
      </c>
      <c r="F2068" s="55" t="s">
        <v>344</v>
      </c>
      <c r="G2068" s="55" t="s">
        <v>360</v>
      </c>
      <c r="H2068" s="55" t="s">
        <v>360</v>
      </c>
      <c r="I2068" s="55" t="s">
        <v>360</v>
      </c>
      <c r="J2068" s="55" t="s">
        <v>360</v>
      </c>
      <c r="K2068" s="55" t="s">
        <v>360</v>
      </c>
      <c r="L2068" s="55" t="s">
        <v>360</v>
      </c>
      <c r="M2068" s="55" t="s">
        <v>378</v>
      </c>
      <c r="N2068" s="55" t="s">
        <v>134</v>
      </c>
      <c r="O2068" s="55" t="s">
        <v>158</v>
      </c>
      <c r="P2068" s="55" t="s">
        <v>480</v>
      </c>
      <c r="Q2068" s="55" t="s">
        <v>380</v>
      </c>
      <c r="R2068" s="85">
        <v>7</v>
      </c>
      <c r="S2068" s="55" t="s">
        <v>332</v>
      </c>
      <c r="T2068" s="74" t="s">
        <v>756</v>
      </c>
      <c r="U2068" s="74" t="s">
        <v>351</v>
      </c>
      <c r="V2068" s="74">
        <v>44495</v>
      </c>
      <c r="W2068" s="74">
        <v>44531</v>
      </c>
      <c r="X2068" s="55">
        <v>10186244</v>
      </c>
      <c r="Y2068" s="55" t="s">
        <v>140</v>
      </c>
      <c r="AB2068" s="74" t="s">
        <v>140</v>
      </c>
      <c r="AC2068" s="55" t="s">
        <v>140</v>
      </c>
      <c r="AL2068" s="74"/>
      <c r="AM2068" s="74"/>
      <c r="AW2068" s="74"/>
      <c r="AX2068" s="74"/>
    </row>
    <row r="2069" spans="1:50" ht="13" x14ac:dyDescent="0.15">
      <c r="A2069" s="55" t="str">
        <f>HYPERLINK("http://reports.ofsted.gov.uk/inspection-reports/find-inspection-report/provider/CARE/SC035181","Ofsted Social Care Provider Webpage")</f>
        <v>Ofsted Social Care Provider Webpage</v>
      </c>
      <c r="B2069" s="55" t="s">
        <v>3295</v>
      </c>
      <c r="D2069" s="55" t="s">
        <v>373</v>
      </c>
      <c r="E2069" s="74">
        <v>37868</v>
      </c>
      <c r="F2069" s="55" t="s">
        <v>344</v>
      </c>
      <c r="G2069" s="55" t="s">
        <v>360</v>
      </c>
      <c r="H2069" s="55" t="s">
        <v>360</v>
      </c>
      <c r="I2069" s="55" t="s">
        <v>360</v>
      </c>
      <c r="J2069" s="55" t="s">
        <v>360</v>
      </c>
      <c r="K2069" s="55" t="s">
        <v>360</v>
      </c>
      <c r="L2069" s="55" t="s">
        <v>360</v>
      </c>
      <c r="M2069" s="55" t="s">
        <v>378</v>
      </c>
      <c r="N2069" s="55" t="s">
        <v>170</v>
      </c>
      <c r="O2069" s="55" t="s">
        <v>178</v>
      </c>
      <c r="P2069" s="55" t="s">
        <v>1450</v>
      </c>
      <c r="Q2069" s="55" t="s">
        <v>380</v>
      </c>
      <c r="R2069" s="85">
        <v>5</v>
      </c>
      <c r="S2069" s="55">
        <v>0</v>
      </c>
      <c r="T2069" s="74" t="s">
        <v>2068</v>
      </c>
      <c r="U2069" s="74" t="s">
        <v>351</v>
      </c>
      <c r="V2069" s="74">
        <v>44467</v>
      </c>
      <c r="W2069" s="74">
        <v>44497</v>
      </c>
      <c r="X2069" s="55">
        <v>10186456</v>
      </c>
      <c r="Y2069" s="55" t="s">
        <v>130</v>
      </c>
      <c r="AB2069" s="74" t="s">
        <v>130</v>
      </c>
      <c r="AC2069" s="55" t="s">
        <v>130</v>
      </c>
      <c r="AL2069" s="74"/>
      <c r="AM2069" s="74"/>
    </row>
    <row r="2070" spans="1:50" ht="13" x14ac:dyDescent="0.15">
      <c r="A2070" s="55" t="str">
        <f>HYPERLINK("http://reports.ofsted.gov.uk/inspection-reports/find-inspection-report/provider/CARE/SC035181","Ofsted Social Care Provider Webpage")</f>
        <v>Ofsted Social Care Provider Webpage</v>
      </c>
      <c r="B2070" s="55" t="s">
        <v>3295</v>
      </c>
      <c r="D2070" s="55" t="s">
        <v>373</v>
      </c>
      <c r="E2070" s="74">
        <v>37868</v>
      </c>
      <c r="F2070" s="55" t="s">
        <v>344</v>
      </c>
      <c r="G2070" s="55" t="s">
        <v>360</v>
      </c>
      <c r="H2070" s="55" t="s">
        <v>360</v>
      </c>
      <c r="I2070" s="55" t="s">
        <v>360</v>
      </c>
      <c r="J2070" s="55" t="s">
        <v>360</v>
      </c>
      <c r="K2070" s="55" t="s">
        <v>360</v>
      </c>
      <c r="L2070" s="55" t="s">
        <v>360</v>
      </c>
      <c r="M2070" s="55" t="s">
        <v>378</v>
      </c>
      <c r="N2070" s="55" t="s">
        <v>170</v>
      </c>
      <c r="O2070" s="55" t="s">
        <v>178</v>
      </c>
      <c r="P2070" s="55" t="s">
        <v>1450</v>
      </c>
      <c r="Q2070" s="55" t="s">
        <v>380</v>
      </c>
      <c r="R2070" s="85">
        <v>5</v>
      </c>
      <c r="S2070" s="55">
        <v>0</v>
      </c>
      <c r="T2070" s="74" t="s">
        <v>2068</v>
      </c>
      <c r="U2070" s="74" t="s">
        <v>6703</v>
      </c>
      <c r="V2070" s="74">
        <v>44572</v>
      </c>
      <c r="W2070" s="74">
        <v>44596</v>
      </c>
      <c r="X2070" s="55">
        <v>10210093</v>
      </c>
      <c r="Y2070" s="55" t="s">
        <v>6706</v>
      </c>
      <c r="AL2070" s="74"/>
      <c r="AM2070" s="74"/>
      <c r="AW2070" s="74"/>
      <c r="AX2070" s="74"/>
    </row>
    <row r="2071" spans="1:50" ht="13" x14ac:dyDescent="0.15">
      <c r="A2071" s="55" t="str">
        <f>HYPERLINK("http://reports.ofsted.gov.uk/inspection-reports/find-inspection-report/provider/CARE/SC035220","Ofsted Social Care Provider Webpage")</f>
        <v>Ofsted Social Care Provider Webpage</v>
      </c>
      <c r="B2071" s="55" t="s">
        <v>3296</v>
      </c>
      <c r="D2071" s="55" t="s">
        <v>373</v>
      </c>
      <c r="E2071" s="74">
        <v>37869</v>
      </c>
      <c r="F2071" s="55" t="s">
        <v>344</v>
      </c>
      <c r="G2071" s="55" t="s">
        <v>360</v>
      </c>
      <c r="H2071" s="55" t="s">
        <v>360</v>
      </c>
      <c r="I2071" s="55" t="s">
        <v>360</v>
      </c>
      <c r="J2071" s="55" t="s">
        <v>360</v>
      </c>
      <c r="K2071" s="55" t="s">
        <v>360</v>
      </c>
      <c r="L2071" s="55" t="s">
        <v>360</v>
      </c>
      <c r="M2071" s="55" t="s">
        <v>378</v>
      </c>
      <c r="N2071" s="55" t="s">
        <v>170</v>
      </c>
      <c r="O2071" s="55" t="s">
        <v>178</v>
      </c>
      <c r="P2071" s="55" t="s">
        <v>2014</v>
      </c>
      <c r="Q2071" s="55" t="s">
        <v>380</v>
      </c>
      <c r="R2071" s="85">
        <v>3</v>
      </c>
      <c r="S2071" s="55">
        <v>0</v>
      </c>
      <c r="T2071" s="74" t="s">
        <v>2068</v>
      </c>
      <c r="U2071" s="74" t="s">
        <v>351</v>
      </c>
      <c r="V2071" s="74">
        <v>44327</v>
      </c>
      <c r="W2071" s="74">
        <v>44371</v>
      </c>
      <c r="X2071" s="55">
        <v>10187492</v>
      </c>
      <c r="Y2071" s="55" t="s">
        <v>132</v>
      </c>
      <c r="AB2071" s="74" t="s">
        <v>130</v>
      </c>
      <c r="AC2071" s="55" t="s">
        <v>132</v>
      </c>
      <c r="AL2071" s="74"/>
      <c r="AM2071" s="74"/>
    </row>
    <row r="2072" spans="1:50" ht="13" x14ac:dyDescent="0.15">
      <c r="A2072" s="55" t="str">
        <f>HYPERLINK("http://reports.ofsted.gov.uk/inspection-reports/find-inspection-report/provider/CARE/SC035222","Ofsted Social Care Provider Webpage")</f>
        <v>Ofsted Social Care Provider Webpage</v>
      </c>
      <c r="B2072" s="55" t="s">
        <v>3297</v>
      </c>
      <c r="D2072" s="55" t="s">
        <v>373</v>
      </c>
      <c r="E2072" s="74">
        <v>37662</v>
      </c>
      <c r="F2072" s="55" t="s">
        <v>344</v>
      </c>
      <c r="G2072" s="55" t="s">
        <v>360</v>
      </c>
      <c r="H2072" s="55" t="s">
        <v>360</v>
      </c>
      <c r="I2072" s="55" t="s">
        <v>360</v>
      </c>
      <c r="J2072" s="55" t="s">
        <v>360</v>
      </c>
      <c r="K2072" s="55" t="s">
        <v>360</v>
      </c>
      <c r="L2072" s="55" t="s">
        <v>360</v>
      </c>
      <c r="M2072" s="55" t="s">
        <v>378</v>
      </c>
      <c r="N2072" s="55" t="s">
        <v>170</v>
      </c>
      <c r="O2072" s="55" t="s">
        <v>264</v>
      </c>
      <c r="P2072" s="55" t="s">
        <v>437</v>
      </c>
      <c r="Q2072" s="55" t="s">
        <v>380</v>
      </c>
      <c r="R2072" s="85">
        <v>3</v>
      </c>
      <c r="S2072" s="55">
        <v>0</v>
      </c>
      <c r="T2072" s="74" t="s">
        <v>1696</v>
      </c>
      <c r="U2072" s="74" t="s">
        <v>351</v>
      </c>
      <c r="V2072" s="74">
        <v>44481</v>
      </c>
      <c r="W2072" s="74">
        <v>44530</v>
      </c>
      <c r="X2072" s="55">
        <v>10186843</v>
      </c>
      <c r="Y2072" s="55" t="s">
        <v>132</v>
      </c>
      <c r="AB2072" s="74" t="s">
        <v>132</v>
      </c>
      <c r="AC2072" s="55" t="s">
        <v>132</v>
      </c>
      <c r="AL2072" s="74"/>
      <c r="AM2072" s="74"/>
      <c r="AW2072" s="74"/>
      <c r="AX2072" s="74"/>
    </row>
    <row r="2073" spans="1:50" ht="13" x14ac:dyDescent="0.15">
      <c r="A2073" s="55" t="str">
        <f>HYPERLINK("http://reports.ofsted.gov.uk/inspection-reports/find-inspection-report/provider/CARE/SC035235","Ofsted Social Care Provider Webpage")</f>
        <v>Ofsted Social Care Provider Webpage</v>
      </c>
      <c r="B2073" s="55" t="s">
        <v>3298</v>
      </c>
      <c r="D2073" s="55" t="s">
        <v>373</v>
      </c>
      <c r="E2073" s="74">
        <v>37868</v>
      </c>
      <c r="F2073" s="55" t="s">
        <v>344</v>
      </c>
      <c r="G2073" s="55" t="s">
        <v>360</v>
      </c>
      <c r="H2073" s="55" t="s">
        <v>360</v>
      </c>
      <c r="I2073" s="55" t="s">
        <v>360</v>
      </c>
      <c r="J2073" s="55" t="s">
        <v>360</v>
      </c>
      <c r="K2073" s="55" t="s">
        <v>360</v>
      </c>
      <c r="L2073" s="55" t="s">
        <v>360</v>
      </c>
      <c r="M2073" s="55" t="s">
        <v>378</v>
      </c>
      <c r="N2073" s="55" t="s">
        <v>170</v>
      </c>
      <c r="O2073" s="55" t="s">
        <v>178</v>
      </c>
      <c r="P2073" s="55" t="s">
        <v>2014</v>
      </c>
      <c r="Q2073" s="55" t="s">
        <v>380</v>
      </c>
      <c r="R2073" s="85">
        <v>3</v>
      </c>
      <c r="S2073" s="55">
        <v>0</v>
      </c>
      <c r="T2073" s="74" t="s">
        <v>2068</v>
      </c>
      <c r="U2073" s="74" t="s">
        <v>351</v>
      </c>
      <c r="V2073" s="74">
        <v>44522</v>
      </c>
      <c r="W2073" s="74">
        <v>44560</v>
      </c>
      <c r="X2073" s="55">
        <v>10185273</v>
      </c>
      <c r="Y2073" s="55" t="s">
        <v>132</v>
      </c>
      <c r="AB2073" s="74" t="s">
        <v>132</v>
      </c>
      <c r="AC2073" s="55" t="s">
        <v>132</v>
      </c>
      <c r="AL2073" s="74"/>
      <c r="AM2073" s="74"/>
      <c r="AW2073" s="74"/>
      <c r="AX2073" s="74"/>
    </row>
    <row r="2074" spans="1:50" ht="13" x14ac:dyDescent="0.15">
      <c r="A2074" s="55" t="str">
        <f>HYPERLINK("http://reports.ofsted.gov.uk/inspection-reports/find-inspection-report/provider/CARE/SC035241","Ofsted Social Care Provider Webpage")</f>
        <v>Ofsted Social Care Provider Webpage</v>
      </c>
      <c r="B2074" s="55" t="s">
        <v>3299</v>
      </c>
      <c r="D2074" s="55" t="s">
        <v>479</v>
      </c>
      <c r="E2074" s="74">
        <v>37785</v>
      </c>
      <c r="F2074" s="55" t="s">
        <v>344</v>
      </c>
      <c r="G2074" s="55" t="s">
        <v>360</v>
      </c>
      <c r="H2074" s="55" t="s">
        <v>360</v>
      </c>
      <c r="I2074" s="55" t="s">
        <v>360</v>
      </c>
      <c r="J2074" s="55" t="s">
        <v>360</v>
      </c>
      <c r="K2074" s="55" t="s">
        <v>360</v>
      </c>
      <c r="L2074" s="55" t="s">
        <v>360</v>
      </c>
      <c r="M2074" s="55" t="s">
        <v>378</v>
      </c>
      <c r="N2074" s="55" t="s">
        <v>134</v>
      </c>
      <c r="O2074" s="55" t="s">
        <v>175</v>
      </c>
      <c r="P2074" s="55" t="s">
        <v>666</v>
      </c>
      <c r="Q2074" s="55" t="s">
        <v>350</v>
      </c>
      <c r="R2074" s="85">
        <v>9</v>
      </c>
      <c r="S2074" s="55">
        <v>0</v>
      </c>
      <c r="T2074" s="74" t="s">
        <v>2532</v>
      </c>
      <c r="U2074" s="74" t="s">
        <v>351</v>
      </c>
      <c r="V2074" s="74">
        <v>44523</v>
      </c>
      <c r="W2074" s="74">
        <v>44566</v>
      </c>
      <c r="X2074" s="55">
        <v>10185600</v>
      </c>
      <c r="Y2074" s="55" t="s">
        <v>140</v>
      </c>
      <c r="AB2074" s="74" t="s">
        <v>140</v>
      </c>
      <c r="AC2074" s="55" t="s">
        <v>140</v>
      </c>
      <c r="AL2074" s="74"/>
      <c r="AM2074" s="74"/>
      <c r="AW2074" s="74"/>
      <c r="AX2074" s="74"/>
    </row>
    <row r="2075" spans="1:50" ht="13" x14ac:dyDescent="0.15">
      <c r="A2075" s="55" t="str">
        <f>HYPERLINK("http://reports.ofsted.gov.uk/inspection-reports/find-inspection-report/provider/CARE/SC035247","Ofsted Social Care Provider Webpage")</f>
        <v>Ofsted Social Care Provider Webpage</v>
      </c>
      <c r="B2075" s="55" t="s">
        <v>3300</v>
      </c>
      <c r="D2075" s="55" t="s">
        <v>373</v>
      </c>
      <c r="E2075" s="74">
        <v>37869</v>
      </c>
      <c r="F2075" s="55" t="s">
        <v>344</v>
      </c>
      <c r="G2075" s="55" t="s">
        <v>360</v>
      </c>
      <c r="H2075" s="55" t="s">
        <v>360</v>
      </c>
      <c r="I2075" s="55" t="s">
        <v>360</v>
      </c>
      <c r="J2075" s="55" t="s">
        <v>360</v>
      </c>
      <c r="K2075" s="55" t="s">
        <v>360</v>
      </c>
      <c r="L2075" s="55" t="s">
        <v>360</v>
      </c>
      <c r="M2075" s="55" t="s">
        <v>378</v>
      </c>
      <c r="N2075" s="55" t="s">
        <v>170</v>
      </c>
      <c r="O2075" s="55" t="s">
        <v>178</v>
      </c>
      <c r="P2075" s="55" t="s">
        <v>2014</v>
      </c>
      <c r="Q2075" s="55" t="s">
        <v>380</v>
      </c>
      <c r="R2075" s="85">
        <v>7</v>
      </c>
      <c r="S2075" s="55" t="s">
        <v>332</v>
      </c>
      <c r="T2075" s="74" t="s">
        <v>2068</v>
      </c>
      <c r="U2075" s="74" t="s">
        <v>351</v>
      </c>
      <c r="V2075" s="74">
        <v>44362</v>
      </c>
      <c r="W2075" s="74">
        <v>44393</v>
      </c>
      <c r="X2075" s="55">
        <v>10186660</v>
      </c>
      <c r="Y2075" s="55" t="s">
        <v>132</v>
      </c>
      <c r="AB2075" s="74" t="s">
        <v>132</v>
      </c>
      <c r="AC2075" s="55" t="s">
        <v>132</v>
      </c>
      <c r="AL2075" s="74"/>
      <c r="AM2075" s="74"/>
      <c r="AW2075" s="74"/>
      <c r="AX2075" s="74"/>
    </row>
    <row r="2076" spans="1:50" ht="13" x14ac:dyDescent="0.15">
      <c r="A2076" s="55" t="str">
        <f>HYPERLINK("http://reports.ofsted.gov.uk/inspection-reports/find-inspection-report/provider/CARE/SC035380","Ofsted Social Care Provider Webpage")</f>
        <v>Ofsted Social Care Provider Webpage</v>
      </c>
      <c r="B2076" s="55" t="s">
        <v>3315</v>
      </c>
      <c r="D2076" s="55" t="s">
        <v>373</v>
      </c>
      <c r="E2076" s="74">
        <v>37705</v>
      </c>
      <c r="F2076" s="55" t="s">
        <v>344</v>
      </c>
      <c r="G2076" s="55" t="s">
        <v>360</v>
      </c>
      <c r="H2076" s="55" t="s">
        <v>360</v>
      </c>
      <c r="I2076" s="55" t="s">
        <v>360</v>
      </c>
      <c r="J2076" s="55" t="s">
        <v>360</v>
      </c>
      <c r="K2076" s="55" t="s">
        <v>360</v>
      </c>
      <c r="L2076" s="55" t="s">
        <v>360</v>
      </c>
      <c r="M2076" s="55" t="s">
        <v>378</v>
      </c>
      <c r="N2076" s="55" t="s">
        <v>170</v>
      </c>
      <c r="O2076" s="55" t="s">
        <v>264</v>
      </c>
      <c r="P2076" s="55" t="s">
        <v>1334</v>
      </c>
      <c r="Q2076" s="55" t="s">
        <v>380</v>
      </c>
      <c r="R2076" s="85">
        <v>6</v>
      </c>
      <c r="S2076" s="55" t="s">
        <v>332</v>
      </c>
      <c r="T2076" s="74" t="s">
        <v>1696</v>
      </c>
      <c r="U2076" s="74" t="s">
        <v>351</v>
      </c>
      <c r="V2076" s="74">
        <v>44593</v>
      </c>
      <c r="W2076" s="74">
        <v>44630</v>
      </c>
      <c r="X2076" s="55">
        <v>10187493</v>
      </c>
      <c r="Y2076" s="55" t="s">
        <v>132</v>
      </c>
      <c r="AB2076" s="74" t="s">
        <v>132</v>
      </c>
      <c r="AC2076" s="55" t="s">
        <v>132</v>
      </c>
      <c r="AL2076" s="74"/>
      <c r="AM2076" s="74"/>
      <c r="AW2076" s="74"/>
      <c r="AX2076" s="74"/>
    </row>
    <row r="2077" spans="1:50" ht="13" x14ac:dyDescent="0.15">
      <c r="A2077" s="55" t="str">
        <f>HYPERLINK("http://reports.ofsted.gov.uk/inspection-reports/find-inspection-report/provider/CARE/SC035387","Ofsted Social Care Provider Webpage")</f>
        <v>Ofsted Social Care Provider Webpage</v>
      </c>
      <c r="B2077" s="55" t="s">
        <v>3316</v>
      </c>
      <c r="D2077" s="55" t="s">
        <v>373</v>
      </c>
      <c r="E2077" s="74">
        <v>37662</v>
      </c>
      <c r="F2077" s="55" t="s">
        <v>344</v>
      </c>
      <c r="G2077" s="55" t="s">
        <v>360</v>
      </c>
      <c r="H2077" s="55" t="s">
        <v>360</v>
      </c>
      <c r="I2077" s="55" t="s">
        <v>360</v>
      </c>
      <c r="J2077" s="55" t="s">
        <v>360</v>
      </c>
      <c r="K2077" s="55" t="s">
        <v>360</v>
      </c>
      <c r="L2077" s="55" t="s">
        <v>360</v>
      </c>
      <c r="M2077" s="55" t="s">
        <v>378</v>
      </c>
      <c r="N2077" s="55" t="s">
        <v>170</v>
      </c>
      <c r="O2077" s="55" t="s">
        <v>264</v>
      </c>
      <c r="P2077" s="55" t="s">
        <v>437</v>
      </c>
      <c r="Q2077" s="55" t="s">
        <v>380</v>
      </c>
      <c r="R2077" s="85">
        <v>6</v>
      </c>
      <c r="S2077" s="55">
        <v>0</v>
      </c>
      <c r="T2077" s="74" t="s">
        <v>1696</v>
      </c>
      <c r="U2077" s="74" t="s">
        <v>351</v>
      </c>
      <c r="V2077" s="74">
        <v>44495</v>
      </c>
      <c r="W2077" s="74">
        <v>44547</v>
      </c>
      <c r="X2077" s="55">
        <v>10186583</v>
      </c>
      <c r="Y2077" s="55" t="s">
        <v>130</v>
      </c>
      <c r="AB2077" s="74" t="s">
        <v>130</v>
      </c>
      <c r="AC2077" s="55" t="s">
        <v>130</v>
      </c>
      <c r="AL2077" s="74"/>
      <c r="AM2077" s="74"/>
      <c r="AW2077" s="74"/>
      <c r="AX2077" s="74"/>
    </row>
    <row r="2078" spans="1:50" ht="13" x14ac:dyDescent="0.15">
      <c r="A2078" s="55" t="str">
        <f>HYPERLINK("http://reports.ofsted.gov.uk/inspection-reports/find-inspection-report/provider/CARE/SC035387","Ofsted Social Care Provider Webpage")</f>
        <v>Ofsted Social Care Provider Webpage</v>
      </c>
      <c r="B2078" s="55" t="s">
        <v>3316</v>
      </c>
      <c r="D2078" s="55" t="s">
        <v>373</v>
      </c>
      <c r="E2078" s="74">
        <v>37662</v>
      </c>
      <c r="F2078" s="55" t="s">
        <v>344</v>
      </c>
      <c r="G2078" s="55" t="s">
        <v>360</v>
      </c>
      <c r="H2078" s="55" t="s">
        <v>360</v>
      </c>
      <c r="I2078" s="55" t="s">
        <v>360</v>
      </c>
      <c r="J2078" s="55" t="s">
        <v>360</v>
      </c>
      <c r="K2078" s="55" t="s">
        <v>360</v>
      </c>
      <c r="L2078" s="55" t="s">
        <v>360</v>
      </c>
      <c r="M2078" s="55" t="s">
        <v>378</v>
      </c>
      <c r="N2078" s="55" t="s">
        <v>170</v>
      </c>
      <c r="O2078" s="55" t="s">
        <v>264</v>
      </c>
      <c r="P2078" s="55" t="s">
        <v>437</v>
      </c>
      <c r="Q2078" s="55" t="s">
        <v>380</v>
      </c>
      <c r="R2078" s="85">
        <v>6</v>
      </c>
      <c r="S2078" s="55">
        <v>0</v>
      </c>
      <c r="T2078" s="74" t="s">
        <v>1696</v>
      </c>
      <c r="U2078" s="74" t="s">
        <v>6703</v>
      </c>
      <c r="V2078" s="74">
        <v>44587</v>
      </c>
      <c r="W2078" s="74">
        <v>44623</v>
      </c>
      <c r="X2078" s="55">
        <v>10213971</v>
      </c>
      <c r="Y2078" s="55" t="s">
        <v>6706</v>
      </c>
      <c r="AL2078" s="74"/>
      <c r="AM2078" s="74"/>
    </row>
    <row r="2079" spans="1:50" ht="13" x14ac:dyDescent="0.15">
      <c r="A2079" s="55" t="str">
        <f>HYPERLINK("http://reports.ofsted.gov.uk/inspection-reports/find-inspection-report/provider/CARE/SC035409","Ofsted Social Care Provider Webpage")</f>
        <v>Ofsted Social Care Provider Webpage</v>
      </c>
      <c r="B2079" s="55" t="s">
        <v>3317</v>
      </c>
      <c r="D2079" s="55" t="s">
        <v>2864</v>
      </c>
      <c r="E2079" s="74">
        <v>37733</v>
      </c>
      <c r="F2079" s="55" t="s">
        <v>344</v>
      </c>
      <c r="G2079" s="55" t="s">
        <v>360</v>
      </c>
      <c r="H2079" s="55" t="s">
        <v>360</v>
      </c>
      <c r="I2079" s="55" t="s">
        <v>360</v>
      </c>
      <c r="J2079" s="55" t="s">
        <v>360</v>
      </c>
      <c r="K2079" s="55" t="s">
        <v>360</v>
      </c>
      <c r="L2079" s="55" t="s">
        <v>360</v>
      </c>
      <c r="M2079" s="55" t="s">
        <v>378</v>
      </c>
      <c r="N2079" s="55" t="s">
        <v>170</v>
      </c>
      <c r="O2079" s="55" t="s">
        <v>233</v>
      </c>
      <c r="P2079" s="55" t="s">
        <v>2363</v>
      </c>
      <c r="Q2079" s="55" t="s">
        <v>380</v>
      </c>
      <c r="R2079" s="85">
        <v>12</v>
      </c>
      <c r="S2079" s="55">
        <v>0</v>
      </c>
      <c r="T2079" s="74" t="s">
        <v>381</v>
      </c>
      <c r="U2079" s="74" t="s">
        <v>6703</v>
      </c>
      <c r="V2079" s="74">
        <v>44460</v>
      </c>
      <c r="W2079" s="74">
        <v>44488</v>
      </c>
      <c r="X2079" s="55">
        <v>10206815</v>
      </c>
      <c r="Y2079" s="55" t="s">
        <v>6706</v>
      </c>
      <c r="AL2079" s="74"/>
      <c r="AM2079" s="74"/>
      <c r="AW2079" s="74"/>
      <c r="AX2079" s="74"/>
    </row>
    <row r="2080" spans="1:50" ht="13" x14ac:dyDescent="0.15">
      <c r="A2080" s="55" t="str">
        <f>HYPERLINK("http://reports.ofsted.gov.uk/inspection-reports/find-inspection-report/provider/CARE/SC035428","Ofsted Social Care Provider Webpage")</f>
        <v>Ofsted Social Care Provider Webpage</v>
      </c>
      <c r="B2080" s="55" t="s">
        <v>3322</v>
      </c>
      <c r="D2080" s="55" t="s">
        <v>373</v>
      </c>
      <c r="E2080" s="74">
        <v>37991</v>
      </c>
      <c r="F2080" s="55" t="s">
        <v>344</v>
      </c>
      <c r="G2080" s="55" t="s">
        <v>360</v>
      </c>
      <c r="H2080" s="55" t="s">
        <v>360</v>
      </c>
      <c r="I2080" s="55" t="s">
        <v>360</v>
      </c>
      <c r="J2080" s="55" t="s">
        <v>360</v>
      </c>
      <c r="K2080" s="55" t="s">
        <v>360</v>
      </c>
      <c r="L2080" s="55" t="s">
        <v>360</v>
      </c>
      <c r="M2080" s="55" t="s">
        <v>144</v>
      </c>
      <c r="N2080" s="55" t="s">
        <v>144</v>
      </c>
      <c r="O2080" s="55" t="s">
        <v>209</v>
      </c>
      <c r="P2080" s="55" t="s">
        <v>777</v>
      </c>
      <c r="Q2080" s="55" t="s">
        <v>380</v>
      </c>
      <c r="R2080" s="85">
        <v>1</v>
      </c>
      <c r="S2080" s="55">
        <v>0</v>
      </c>
      <c r="T2080" s="74" t="s">
        <v>657</v>
      </c>
      <c r="U2080" s="74" t="s">
        <v>351</v>
      </c>
      <c r="V2080" s="74">
        <v>44369</v>
      </c>
      <c r="W2080" s="74">
        <v>44405</v>
      </c>
      <c r="X2080" s="55">
        <v>10187154</v>
      </c>
      <c r="Y2080" s="55" t="s">
        <v>146</v>
      </c>
      <c r="AB2080" s="74" t="s">
        <v>146</v>
      </c>
      <c r="AC2080" s="55" t="s">
        <v>146</v>
      </c>
      <c r="AL2080" s="74"/>
      <c r="AM2080" s="74"/>
    </row>
    <row r="2081" spans="1:50" ht="13" x14ac:dyDescent="0.15">
      <c r="A2081" s="55" t="str">
        <f>HYPERLINK("http://reports.ofsted.gov.uk/inspection-reports/find-inspection-report/provider/CARE/SC035428","Ofsted Social Care Provider Webpage")</f>
        <v>Ofsted Social Care Provider Webpage</v>
      </c>
      <c r="B2081" s="55" t="s">
        <v>3322</v>
      </c>
      <c r="D2081" s="55" t="s">
        <v>373</v>
      </c>
      <c r="E2081" s="74">
        <v>37991</v>
      </c>
      <c r="F2081" s="55" t="s">
        <v>344</v>
      </c>
      <c r="G2081" s="55" t="s">
        <v>360</v>
      </c>
      <c r="H2081" s="55" t="s">
        <v>360</v>
      </c>
      <c r="I2081" s="55" t="s">
        <v>360</v>
      </c>
      <c r="J2081" s="55" t="s">
        <v>360</v>
      </c>
      <c r="K2081" s="55" t="s">
        <v>360</v>
      </c>
      <c r="L2081" s="55" t="s">
        <v>360</v>
      </c>
      <c r="M2081" s="55" t="s">
        <v>144</v>
      </c>
      <c r="N2081" s="55" t="s">
        <v>144</v>
      </c>
      <c r="O2081" s="55" t="s">
        <v>209</v>
      </c>
      <c r="P2081" s="55" t="s">
        <v>777</v>
      </c>
      <c r="Q2081" s="55" t="s">
        <v>380</v>
      </c>
      <c r="R2081" s="85">
        <v>1</v>
      </c>
      <c r="S2081" s="55">
        <v>0</v>
      </c>
      <c r="T2081" s="74" t="s">
        <v>657</v>
      </c>
      <c r="U2081" s="74" t="s">
        <v>351</v>
      </c>
      <c r="V2081" s="74">
        <v>44425</v>
      </c>
      <c r="W2081" s="74">
        <v>44459</v>
      </c>
      <c r="X2081" s="55">
        <v>10199167</v>
      </c>
      <c r="Y2081" s="55" t="s">
        <v>146</v>
      </c>
      <c r="AB2081" s="74" t="s">
        <v>146</v>
      </c>
      <c r="AC2081" s="55" t="s">
        <v>146</v>
      </c>
      <c r="AL2081" s="74"/>
      <c r="AM2081" s="74"/>
      <c r="AW2081" s="74"/>
      <c r="AX2081" s="74"/>
    </row>
    <row r="2082" spans="1:50" ht="13" x14ac:dyDescent="0.15">
      <c r="A2082" s="55" t="str">
        <f>HYPERLINK("http://reports.ofsted.gov.uk/inspection-reports/find-inspection-report/provider/CARE/SC035428","Ofsted Social Care Provider Webpage")</f>
        <v>Ofsted Social Care Provider Webpage</v>
      </c>
      <c r="B2082" s="55" t="s">
        <v>3322</v>
      </c>
      <c r="D2082" s="55" t="s">
        <v>373</v>
      </c>
      <c r="E2082" s="74">
        <v>37991</v>
      </c>
      <c r="F2082" s="55" t="s">
        <v>344</v>
      </c>
      <c r="G2082" s="55" t="s">
        <v>360</v>
      </c>
      <c r="H2082" s="55" t="s">
        <v>360</v>
      </c>
      <c r="I2082" s="55" t="s">
        <v>360</v>
      </c>
      <c r="J2082" s="55" t="s">
        <v>360</v>
      </c>
      <c r="K2082" s="55" t="s">
        <v>360</v>
      </c>
      <c r="L2082" s="55" t="s">
        <v>360</v>
      </c>
      <c r="M2082" s="55" t="s">
        <v>144</v>
      </c>
      <c r="N2082" s="55" t="s">
        <v>144</v>
      </c>
      <c r="O2082" s="55" t="s">
        <v>209</v>
      </c>
      <c r="P2082" s="55" t="s">
        <v>777</v>
      </c>
      <c r="Q2082" s="55" t="s">
        <v>380</v>
      </c>
      <c r="R2082" s="85">
        <v>1</v>
      </c>
      <c r="S2082" s="55">
        <v>0</v>
      </c>
      <c r="T2082" s="74" t="s">
        <v>657</v>
      </c>
      <c r="U2082" s="74" t="s">
        <v>2053</v>
      </c>
      <c r="V2082" s="74">
        <v>44488</v>
      </c>
      <c r="W2082" s="74">
        <v>44550</v>
      </c>
      <c r="X2082" s="55">
        <v>10210536</v>
      </c>
      <c r="AL2082" s="74"/>
      <c r="AM2082" s="74"/>
      <c r="AW2082" s="74"/>
      <c r="AX2082" s="74"/>
    </row>
    <row r="2083" spans="1:50" ht="13" x14ac:dyDescent="0.15">
      <c r="A2083" s="55" t="str">
        <f>HYPERLINK("http://reports.ofsted.gov.uk/inspection-reports/find-inspection-report/provider/CARE/SC035428","Ofsted Social Care Provider Webpage")</f>
        <v>Ofsted Social Care Provider Webpage</v>
      </c>
      <c r="B2083" s="55" t="s">
        <v>3322</v>
      </c>
      <c r="D2083" s="55" t="s">
        <v>373</v>
      </c>
      <c r="E2083" s="74">
        <v>37991</v>
      </c>
      <c r="F2083" s="55" t="s">
        <v>344</v>
      </c>
      <c r="G2083" s="55" t="s">
        <v>360</v>
      </c>
      <c r="H2083" s="55" t="s">
        <v>360</v>
      </c>
      <c r="I2083" s="55" t="s">
        <v>360</v>
      </c>
      <c r="J2083" s="55" t="s">
        <v>360</v>
      </c>
      <c r="K2083" s="55" t="s">
        <v>360</v>
      </c>
      <c r="L2083" s="55" t="s">
        <v>360</v>
      </c>
      <c r="M2083" s="55" t="s">
        <v>144</v>
      </c>
      <c r="N2083" s="55" t="s">
        <v>144</v>
      </c>
      <c r="O2083" s="55" t="s">
        <v>209</v>
      </c>
      <c r="P2083" s="55" t="s">
        <v>777</v>
      </c>
      <c r="Q2083" s="55" t="s">
        <v>380</v>
      </c>
      <c r="R2083" s="85">
        <v>1</v>
      </c>
      <c r="S2083" s="55">
        <v>0</v>
      </c>
      <c r="T2083" s="74" t="s">
        <v>657</v>
      </c>
      <c r="U2083" s="74" t="s">
        <v>2053</v>
      </c>
      <c r="V2083" s="74">
        <v>44511</v>
      </c>
      <c r="W2083" s="74">
        <v>44543</v>
      </c>
      <c r="X2083" s="55">
        <v>10213782</v>
      </c>
      <c r="AL2083" s="74"/>
      <c r="AM2083" s="74"/>
      <c r="AW2083" s="74"/>
      <c r="AX2083" s="74"/>
    </row>
    <row r="2084" spans="1:50" ht="13" x14ac:dyDescent="0.15">
      <c r="A2084" s="55" t="str">
        <f>HYPERLINK("http://reports.ofsted.gov.uk/inspection-reports/find-inspection-report/provider/CARE/SC035428","Ofsted Social Care Provider Webpage")</f>
        <v>Ofsted Social Care Provider Webpage</v>
      </c>
      <c r="B2084" s="55" t="s">
        <v>3322</v>
      </c>
      <c r="D2084" s="55" t="s">
        <v>373</v>
      </c>
      <c r="E2084" s="74">
        <v>37991</v>
      </c>
      <c r="F2084" s="55" t="s">
        <v>344</v>
      </c>
      <c r="G2084" s="55" t="s">
        <v>360</v>
      </c>
      <c r="H2084" s="55" t="s">
        <v>360</v>
      </c>
      <c r="I2084" s="55" t="s">
        <v>360</v>
      </c>
      <c r="J2084" s="55" t="s">
        <v>360</v>
      </c>
      <c r="K2084" s="55" t="s">
        <v>360</v>
      </c>
      <c r="L2084" s="55" t="s">
        <v>360</v>
      </c>
      <c r="M2084" s="55" t="s">
        <v>144</v>
      </c>
      <c r="N2084" s="55" t="s">
        <v>144</v>
      </c>
      <c r="O2084" s="55" t="s">
        <v>209</v>
      </c>
      <c r="P2084" s="55" t="s">
        <v>777</v>
      </c>
      <c r="Q2084" s="55" t="s">
        <v>380</v>
      </c>
      <c r="R2084" s="85">
        <v>1</v>
      </c>
      <c r="S2084" s="55">
        <v>0</v>
      </c>
      <c r="T2084" s="74" t="s">
        <v>657</v>
      </c>
      <c r="U2084" s="74" t="s">
        <v>351</v>
      </c>
      <c r="V2084" s="74">
        <v>44537</v>
      </c>
      <c r="W2084" s="74">
        <v>44586</v>
      </c>
      <c r="X2084" s="55">
        <v>10210141</v>
      </c>
      <c r="Y2084" s="55" t="s">
        <v>132</v>
      </c>
      <c r="AB2084" s="74" t="s">
        <v>130</v>
      </c>
      <c r="AC2084" s="55" t="s">
        <v>132</v>
      </c>
      <c r="AL2084" s="74"/>
      <c r="AM2084" s="74"/>
      <c r="AW2084" s="74"/>
      <c r="AX2084" s="74"/>
    </row>
    <row r="2085" spans="1:50" ht="13" x14ac:dyDescent="0.15">
      <c r="A2085" s="55" t="str">
        <f>HYPERLINK("http://reports.ofsted.gov.uk/inspection-reports/find-inspection-report/provider/CARE/SC035439","Ofsted Social Care Provider Webpage")</f>
        <v>Ofsted Social Care Provider Webpage</v>
      </c>
      <c r="B2085" s="55" t="s">
        <v>3323</v>
      </c>
      <c r="D2085" s="55" t="s">
        <v>373</v>
      </c>
      <c r="E2085" s="74">
        <v>37928</v>
      </c>
      <c r="F2085" s="55" t="s">
        <v>344</v>
      </c>
      <c r="G2085" s="55" t="s">
        <v>360</v>
      </c>
      <c r="H2085" s="55" t="s">
        <v>360</v>
      </c>
      <c r="I2085" s="55" t="s">
        <v>360</v>
      </c>
      <c r="J2085" s="55" t="s">
        <v>360</v>
      </c>
      <c r="K2085" s="55" t="s">
        <v>360</v>
      </c>
      <c r="L2085" s="55" t="s">
        <v>360</v>
      </c>
      <c r="M2085" s="55" t="s">
        <v>144</v>
      </c>
      <c r="N2085" s="55" t="s">
        <v>144</v>
      </c>
      <c r="O2085" s="55" t="s">
        <v>209</v>
      </c>
      <c r="P2085" s="55" t="s">
        <v>777</v>
      </c>
      <c r="Q2085" s="55" t="s">
        <v>380</v>
      </c>
      <c r="R2085" s="85">
        <v>6</v>
      </c>
      <c r="S2085" s="55">
        <v>0</v>
      </c>
      <c r="T2085" s="74" t="s">
        <v>657</v>
      </c>
      <c r="U2085" s="74" t="s">
        <v>351</v>
      </c>
      <c r="V2085" s="74">
        <v>44566</v>
      </c>
      <c r="W2085" s="74">
        <v>44610</v>
      </c>
      <c r="X2085" s="55">
        <v>10187382</v>
      </c>
      <c r="Y2085" s="55" t="s">
        <v>132</v>
      </c>
      <c r="AB2085" s="74" t="s">
        <v>132</v>
      </c>
      <c r="AC2085" s="55" t="s">
        <v>132</v>
      </c>
      <c r="AL2085" s="74"/>
      <c r="AM2085" s="74"/>
      <c r="AW2085" s="74"/>
      <c r="AX2085" s="74"/>
    </row>
    <row r="2086" spans="1:50" ht="13" x14ac:dyDescent="0.15">
      <c r="A2086" s="55" t="str">
        <f>HYPERLINK("http://reports.ofsted.gov.uk/inspection-reports/find-inspection-report/provider/CARE/SC035459","Ofsted Social Care Provider Webpage")</f>
        <v>Ofsted Social Care Provider Webpage</v>
      </c>
      <c r="B2086" s="55" t="s">
        <v>3324</v>
      </c>
      <c r="D2086" s="55" t="s">
        <v>373</v>
      </c>
      <c r="E2086" s="74">
        <v>37928</v>
      </c>
      <c r="F2086" s="55" t="s">
        <v>344</v>
      </c>
      <c r="G2086" s="55" t="s">
        <v>360</v>
      </c>
      <c r="H2086" s="55" t="s">
        <v>360</v>
      </c>
      <c r="I2086" s="55" t="s">
        <v>360</v>
      </c>
      <c r="J2086" s="55" t="s">
        <v>360</v>
      </c>
      <c r="K2086" s="55" t="s">
        <v>360</v>
      </c>
      <c r="L2086" s="55" t="s">
        <v>360</v>
      </c>
      <c r="M2086" s="55" t="s">
        <v>144</v>
      </c>
      <c r="N2086" s="55" t="s">
        <v>144</v>
      </c>
      <c r="O2086" s="55" t="s">
        <v>209</v>
      </c>
      <c r="P2086" s="55" t="s">
        <v>474</v>
      </c>
      <c r="Q2086" s="55" t="s">
        <v>380</v>
      </c>
      <c r="R2086" s="85">
        <v>6</v>
      </c>
      <c r="S2086" s="55" t="s">
        <v>332</v>
      </c>
      <c r="T2086" s="74" t="s">
        <v>657</v>
      </c>
      <c r="U2086" s="74" t="s">
        <v>351</v>
      </c>
      <c r="V2086" s="74">
        <v>44628</v>
      </c>
      <c r="W2086" s="74">
        <v>44679</v>
      </c>
      <c r="X2086" s="55">
        <v>10185100</v>
      </c>
      <c r="Y2086" s="55" t="s">
        <v>140</v>
      </c>
      <c r="AB2086" s="74" t="s">
        <v>140</v>
      </c>
      <c r="AC2086" s="55" t="s">
        <v>140</v>
      </c>
      <c r="AL2086" s="74"/>
      <c r="AM2086" s="74"/>
      <c r="AW2086" s="74"/>
      <c r="AX2086" s="74"/>
    </row>
    <row r="2087" spans="1:50" ht="13" x14ac:dyDescent="0.15">
      <c r="A2087" s="55" t="str">
        <f>HYPERLINK("http://reports.ofsted.gov.uk/inspection-reports/find-inspection-report/provider/CARE/SC035492","Ofsted Social Care Provider Webpage")</f>
        <v>Ofsted Social Care Provider Webpage</v>
      </c>
      <c r="B2087" s="55" t="s">
        <v>3326</v>
      </c>
      <c r="D2087" s="55" t="s">
        <v>373</v>
      </c>
      <c r="E2087" s="74">
        <v>37922</v>
      </c>
      <c r="F2087" s="55" t="s">
        <v>344</v>
      </c>
      <c r="G2087" s="55" t="s">
        <v>360</v>
      </c>
      <c r="H2087" s="55" t="s">
        <v>360</v>
      </c>
      <c r="I2087" s="55" t="s">
        <v>360</v>
      </c>
      <c r="J2087" s="55" t="s">
        <v>360</v>
      </c>
      <c r="K2087" s="55" t="s">
        <v>360</v>
      </c>
      <c r="L2087" s="55" t="s">
        <v>360</v>
      </c>
      <c r="M2087" s="55" t="s">
        <v>144</v>
      </c>
      <c r="N2087" s="55" t="s">
        <v>144</v>
      </c>
      <c r="O2087" s="55" t="s">
        <v>236</v>
      </c>
      <c r="P2087" s="55" t="s">
        <v>1122</v>
      </c>
      <c r="Q2087" s="55" t="s">
        <v>380</v>
      </c>
      <c r="R2087" s="85">
        <v>4</v>
      </c>
      <c r="S2087" s="55">
        <v>0</v>
      </c>
      <c r="T2087" s="74" t="s">
        <v>3314</v>
      </c>
      <c r="U2087" s="74" t="s">
        <v>351</v>
      </c>
      <c r="V2087" s="74">
        <v>44566</v>
      </c>
      <c r="W2087" s="74">
        <v>44596</v>
      </c>
      <c r="X2087" s="55">
        <v>10187652</v>
      </c>
      <c r="Y2087" s="55" t="s">
        <v>132</v>
      </c>
      <c r="AB2087" s="74" t="s">
        <v>132</v>
      </c>
      <c r="AC2087" s="55" t="s">
        <v>130</v>
      </c>
      <c r="AL2087" s="74"/>
      <c r="AM2087" s="74"/>
      <c r="AW2087" s="74"/>
      <c r="AX2087" s="74"/>
    </row>
    <row r="2088" spans="1:50" ht="13" x14ac:dyDescent="0.15">
      <c r="A2088" s="55" t="str">
        <f>HYPERLINK("http://reports.ofsted.gov.uk/inspection-reports/find-inspection-report/provider/CARE/SC035499","Ofsted Social Care Provider Webpage")</f>
        <v>Ofsted Social Care Provider Webpage</v>
      </c>
      <c r="B2088" s="55" t="s">
        <v>3327</v>
      </c>
      <c r="D2088" s="55" t="s">
        <v>373</v>
      </c>
      <c r="E2088" s="74">
        <v>37712</v>
      </c>
      <c r="F2088" s="55" t="s">
        <v>344</v>
      </c>
      <c r="G2088" s="55" t="s">
        <v>360</v>
      </c>
      <c r="H2088" s="55" t="s">
        <v>360</v>
      </c>
      <c r="I2088" s="55" t="s">
        <v>360</v>
      </c>
      <c r="J2088" s="55" t="s">
        <v>360</v>
      </c>
      <c r="K2088" s="55" t="s">
        <v>360</v>
      </c>
      <c r="L2088" s="55" t="s">
        <v>360</v>
      </c>
      <c r="M2088" s="55" t="s">
        <v>378</v>
      </c>
      <c r="N2088" s="55" t="s">
        <v>134</v>
      </c>
      <c r="O2088" s="55" t="s">
        <v>180</v>
      </c>
      <c r="P2088" s="55" t="s">
        <v>1483</v>
      </c>
      <c r="Q2088" s="55" t="s">
        <v>380</v>
      </c>
      <c r="R2088" s="85">
        <v>6</v>
      </c>
      <c r="S2088" s="55">
        <v>0</v>
      </c>
      <c r="T2088" s="74" t="s">
        <v>2361</v>
      </c>
      <c r="U2088" s="74" t="s">
        <v>351</v>
      </c>
      <c r="V2088" s="74">
        <v>44488</v>
      </c>
      <c r="W2088" s="74">
        <v>44537</v>
      </c>
      <c r="X2088" s="55">
        <v>10187173</v>
      </c>
      <c r="Y2088" s="55" t="s">
        <v>146</v>
      </c>
      <c r="AB2088" s="74" t="s">
        <v>146</v>
      </c>
      <c r="AC2088" s="55" t="s">
        <v>146</v>
      </c>
      <c r="AL2088" s="74"/>
      <c r="AM2088" s="74"/>
      <c r="AW2088" s="74"/>
      <c r="AX2088" s="74"/>
    </row>
    <row r="2089" spans="1:50" ht="13" x14ac:dyDescent="0.15">
      <c r="A2089" s="55" t="str">
        <f>HYPERLINK("http://reports.ofsted.gov.uk/inspection-reports/find-inspection-report/provider/CARE/SC035499","Ofsted Social Care Provider Webpage")</f>
        <v>Ofsted Social Care Provider Webpage</v>
      </c>
      <c r="B2089" s="55" t="s">
        <v>3327</v>
      </c>
      <c r="D2089" s="55" t="s">
        <v>373</v>
      </c>
      <c r="E2089" s="74">
        <v>37712</v>
      </c>
      <c r="F2089" s="55" t="s">
        <v>344</v>
      </c>
      <c r="G2089" s="55" t="s">
        <v>360</v>
      </c>
      <c r="H2089" s="55" t="s">
        <v>360</v>
      </c>
      <c r="I2089" s="55" t="s">
        <v>360</v>
      </c>
      <c r="J2089" s="55" t="s">
        <v>360</v>
      </c>
      <c r="K2089" s="55" t="s">
        <v>360</v>
      </c>
      <c r="L2089" s="55" t="s">
        <v>360</v>
      </c>
      <c r="M2089" s="55" t="s">
        <v>378</v>
      </c>
      <c r="N2089" s="55" t="s">
        <v>134</v>
      </c>
      <c r="O2089" s="55" t="s">
        <v>180</v>
      </c>
      <c r="P2089" s="55" t="s">
        <v>1483</v>
      </c>
      <c r="Q2089" s="55" t="s">
        <v>380</v>
      </c>
      <c r="R2089" s="85">
        <v>6</v>
      </c>
      <c r="S2089" s="55">
        <v>0</v>
      </c>
      <c r="T2089" s="74" t="s">
        <v>2361</v>
      </c>
      <c r="U2089" s="74" t="s">
        <v>351</v>
      </c>
      <c r="V2089" s="74">
        <v>44586</v>
      </c>
      <c r="W2089" s="74">
        <v>44636</v>
      </c>
      <c r="X2089" s="55">
        <v>10210855</v>
      </c>
      <c r="Y2089" s="55" t="s">
        <v>130</v>
      </c>
      <c r="AB2089" s="74" t="s">
        <v>130</v>
      </c>
      <c r="AC2089" s="55" t="s">
        <v>130</v>
      </c>
      <c r="AL2089" s="74"/>
      <c r="AM2089" s="74"/>
    </row>
    <row r="2090" spans="1:50" ht="13" x14ac:dyDescent="0.15">
      <c r="A2090" s="55" t="str">
        <f>HYPERLINK("http://reports.ofsted.gov.uk/inspection-reports/find-inspection-report/provider/CARE/SC035499","Ofsted Social Care Provider Webpage")</f>
        <v>Ofsted Social Care Provider Webpage</v>
      </c>
      <c r="B2090" s="55" t="s">
        <v>3327</v>
      </c>
      <c r="D2090" s="55" t="s">
        <v>373</v>
      </c>
      <c r="E2090" s="74">
        <v>37712</v>
      </c>
      <c r="F2090" s="55" t="s">
        <v>344</v>
      </c>
      <c r="G2090" s="55" t="s">
        <v>360</v>
      </c>
      <c r="H2090" s="55" t="s">
        <v>360</v>
      </c>
      <c r="I2090" s="55" t="s">
        <v>360</v>
      </c>
      <c r="J2090" s="55" t="s">
        <v>360</v>
      </c>
      <c r="K2090" s="55" t="s">
        <v>360</v>
      </c>
      <c r="L2090" s="55" t="s">
        <v>360</v>
      </c>
      <c r="M2090" s="55" t="s">
        <v>378</v>
      </c>
      <c r="N2090" s="55" t="s">
        <v>134</v>
      </c>
      <c r="O2090" s="55" t="s">
        <v>180</v>
      </c>
      <c r="P2090" s="55" t="s">
        <v>1483</v>
      </c>
      <c r="Q2090" s="55" t="s">
        <v>380</v>
      </c>
      <c r="R2090" s="85">
        <v>6</v>
      </c>
      <c r="S2090" s="55">
        <v>0</v>
      </c>
      <c r="T2090" s="74" t="s">
        <v>2361</v>
      </c>
      <c r="U2090" s="74" t="s">
        <v>2053</v>
      </c>
      <c r="V2090" s="74">
        <v>44537</v>
      </c>
      <c r="W2090" s="74">
        <v>44574</v>
      </c>
      <c r="X2090" s="55">
        <v>10210853</v>
      </c>
      <c r="AL2090" s="74"/>
      <c r="AM2090" s="74"/>
      <c r="AW2090" s="74"/>
      <c r="AX2090" s="74"/>
    </row>
    <row r="2091" spans="1:50" ht="13" x14ac:dyDescent="0.15">
      <c r="A2091" s="55" t="str">
        <f>HYPERLINK("http://reports.ofsted.gov.uk/inspection-reports/find-inspection-report/provider/CARE/SC035500","Ofsted Social Care Provider Webpage")</f>
        <v>Ofsted Social Care Provider Webpage</v>
      </c>
      <c r="B2091" s="55" t="s">
        <v>3328</v>
      </c>
      <c r="D2091" s="55" t="s">
        <v>2864</v>
      </c>
      <c r="E2091" s="74">
        <v>37636</v>
      </c>
      <c r="F2091" s="55" t="s">
        <v>344</v>
      </c>
      <c r="G2091" s="55" t="s">
        <v>360</v>
      </c>
      <c r="H2091" s="55" t="s">
        <v>360</v>
      </c>
      <c r="I2091" s="55" t="s">
        <v>360</v>
      </c>
      <c r="J2091" s="55" t="s">
        <v>360</v>
      </c>
      <c r="K2091" s="55" t="s">
        <v>360</v>
      </c>
      <c r="L2091" s="55" t="s">
        <v>360</v>
      </c>
      <c r="M2091" s="55" t="s">
        <v>136</v>
      </c>
      <c r="N2091" s="55" t="s">
        <v>136</v>
      </c>
      <c r="O2091" s="55" t="s">
        <v>256</v>
      </c>
      <c r="P2091" s="55" t="s">
        <v>3329</v>
      </c>
      <c r="Q2091" s="55" t="s">
        <v>380</v>
      </c>
      <c r="R2091" s="85">
        <v>24</v>
      </c>
      <c r="S2091" s="55">
        <v>0</v>
      </c>
      <c r="T2091" s="74" t="s">
        <v>3330</v>
      </c>
      <c r="U2091" s="74" t="s">
        <v>351</v>
      </c>
      <c r="V2091" s="74">
        <v>44355</v>
      </c>
      <c r="W2091" s="74">
        <v>44386</v>
      </c>
      <c r="X2091" s="55">
        <v>10193908</v>
      </c>
      <c r="Y2091" s="55" t="s">
        <v>132</v>
      </c>
      <c r="Z2091" s="55" t="s">
        <v>132</v>
      </c>
      <c r="AA2091" s="55" t="s">
        <v>132</v>
      </c>
      <c r="AB2091" s="74" t="s">
        <v>132</v>
      </c>
      <c r="AC2091" s="55" t="s">
        <v>130</v>
      </c>
      <c r="AL2091" s="74"/>
      <c r="AM2091" s="74"/>
      <c r="AW2091" s="74"/>
      <c r="AX2091" s="74"/>
    </row>
    <row r="2092" spans="1:50" ht="13" x14ac:dyDescent="0.15">
      <c r="A2092" s="55" t="str">
        <f>HYPERLINK("http://reports.ofsted.gov.uk/inspection-reports/find-inspection-report/provider/CARE/SC035500","Ofsted Social Care Provider Webpage")</f>
        <v>Ofsted Social Care Provider Webpage</v>
      </c>
      <c r="B2092" s="55" t="s">
        <v>3328</v>
      </c>
      <c r="D2092" s="55" t="s">
        <v>2864</v>
      </c>
      <c r="E2092" s="74">
        <v>37636</v>
      </c>
      <c r="F2092" s="55" t="s">
        <v>344</v>
      </c>
      <c r="G2092" s="55" t="s">
        <v>360</v>
      </c>
      <c r="H2092" s="55" t="s">
        <v>360</v>
      </c>
      <c r="I2092" s="55" t="s">
        <v>360</v>
      </c>
      <c r="J2092" s="55" t="s">
        <v>360</v>
      </c>
      <c r="K2092" s="55" t="s">
        <v>360</v>
      </c>
      <c r="L2092" s="55" t="s">
        <v>360</v>
      </c>
      <c r="M2092" s="55" t="s">
        <v>136</v>
      </c>
      <c r="N2092" s="55" t="s">
        <v>136</v>
      </c>
      <c r="O2092" s="55" t="s">
        <v>256</v>
      </c>
      <c r="P2092" s="55" t="s">
        <v>3329</v>
      </c>
      <c r="Q2092" s="55" t="s">
        <v>380</v>
      </c>
      <c r="R2092" s="85">
        <v>24</v>
      </c>
      <c r="S2092" s="55">
        <v>0</v>
      </c>
      <c r="T2092" s="74" t="s">
        <v>3330</v>
      </c>
      <c r="U2092" s="74" t="s">
        <v>351</v>
      </c>
      <c r="V2092" s="74">
        <v>44306</v>
      </c>
      <c r="W2092" s="74">
        <v>44342</v>
      </c>
      <c r="X2092" s="55">
        <v>10165450</v>
      </c>
      <c r="Y2092" s="55" t="s">
        <v>146</v>
      </c>
      <c r="Z2092" s="55" t="s">
        <v>132</v>
      </c>
      <c r="AA2092" s="55" t="s">
        <v>132</v>
      </c>
      <c r="AB2092" s="74" t="s">
        <v>146</v>
      </c>
      <c r="AC2092" s="55" t="s">
        <v>146</v>
      </c>
      <c r="AL2092" s="74"/>
      <c r="AM2092" s="74"/>
      <c r="AW2092" s="74"/>
      <c r="AX2092" s="74"/>
    </row>
    <row r="2093" spans="1:50" ht="13" x14ac:dyDescent="0.15">
      <c r="A2093" s="55" t="str">
        <f>HYPERLINK("http://reports.ofsted.gov.uk/inspection-reports/find-inspection-report/provider/CARE/SC035518","Ofsted Social Care Provider Webpage")</f>
        <v>Ofsted Social Care Provider Webpage</v>
      </c>
      <c r="B2093" s="55" t="s">
        <v>3331</v>
      </c>
      <c r="D2093" s="55" t="s">
        <v>479</v>
      </c>
      <c r="E2093" s="74">
        <v>38005</v>
      </c>
      <c r="F2093" s="55" t="s">
        <v>344</v>
      </c>
      <c r="G2093" s="55" t="s">
        <v>360</v>
      </c>
      <c r="H2093" s="55" t="s">
        <v>360</v>
      </c>
      <c r="I2093" s="55" t="s">
        <v>360</v>
      </c>
      <c r="J2093" s="55" t="s">
        <v>360</v>
      </c>
      <c r="K2093" s="55" t="s">
        <v>360</v>
      </c>
      <c r="L2093" s="55" t="s">
        <v>360</v>
      </c>
      <c r="M2093" s="55" t="s">
        <v>144</v>
      </c>
      <c r="N2093" s="55" t="s">
        <v>144</v>
      </c>
      <c r="O2093" s="55" t="s">
        <v>263</v>
      </c>
      <c r="P2093" s="55" t="s">
        <v>1211</v>
      </c>
      <c r="Q2093" s="55" t="s">
        <v>362</v>
      </c>
      <c r="R2093" s="85">
        <v>24</v>
      </c>
      <c r="S2093" s="55">
        <v>0</v>
      </c>
      <c r="T2093" s="74" t="s">
        <v>1847</v>
      </c>
      <c r="U2093" s="74" t="s">
        <v>351</v>
      </c>
      <c r="V2093" s="74">
        <v>44531</v>
      </c>
      <c r="W2093" s="74">
        <v>44588</v>
      </c>
      <c r="X2093" s="55">
        <v>10186877</v>
      </c>
      <c r="Y2093" s="55" t="s">
        <v>132</v>
      </c>
      <c r="AB2093" s="74" t="s">
        <v>132</v>
      </c>
      <c r="AC2093" s="55" t="s">
        <v>132</v>
      </c>
      <c r="AL2093" s="74"/>
      <c r="AM2093" s="74"/>
      <c r="AW2093" s="74"/>
      <c r="AX2093" s="74"/>
    </row>
    <row r="2094" spans="1:50" ht="13" x14ac:dyDescent="0.15">
      <c r="A2094" s="55" t="str">
        <f>HYPERLINK("http://reports.ofsted.gov.uk/inspection-reports/find-inspection-report/provider/CARE/SC035543","Ofsted Social Care Provider Webpage")</f>
        <v>Ofsted Social Care Provider Webpage</v>
      </c>
      <c r="B2094" s="55" t="s">
        <v>3332</v>
      </c>
      <c r="D2094" s="55" t="s">
        <v>373</v>
      </c>
      <c r="E2094" s="74">
        <v>37712</v>
      </c>
      <c r="F2094" s="55" t="s">
        <v>344</v>
      </c>
      <c r="G2094" s="55" t="s">
        <v>360</v>
      </c>
      <c r="H2094" s="55" t="s">
        <v>360</v>
      </c>
      <c r="I2094" s="55" t="s">
        <v>360</v>
      </c>
      <c r="J2094" s="55" t="s">
        <v>360</v>
      </c>
      <c r="K2094" s="55" t="s">
        <v>360</v>
      </c>
      <c r="L2094" s="55" t="s">
        <v>360</v>
      </c>
      <c r="M2094" s="55" t="s">
        <v>378</v>
      </c>
      <c r="N2094" s="55" t="s">
        <v>134</v>
      </c>
      <c r="O2094" s="55" t="s">
        <v>180</v>
      </c>
      <c r="P2094" s="55" t="s">
        <v>1483</v>
      </c>
      <c r="Q2094" s="55" t="s">
        <v>380</v>
      </c>
      <c r="R2094" s="85">
        <v>6</v>
      </c>
      <c r="S2094" s="55">
        <v>0</v>
      </c>
      <c r="T2094" s="74" t="s">
        <v>2361</v>
      </c>
      <c r="U2094" s="74" t="s">
        <v>6703</v>
      </c>
      <c r="V2094" s="74">
        <v>44550</v>
      </c>
      <c r="W2094" s="74">
        <v>44592</v>
      </c>
      <c r="X2094" s="55">
        <v>10210486</v>
      </c>
      <c r="Y2094" s="55" t="s">
        <v>6706</v>
      </c>
      <c r="AL2094" s="74"/>
      <c r="AM2094" s="74"/>
    </row>
    <row r="2095" spans="1:50" ht="13" x14ac:dyDescent="0.15">
      <c r="A2095" s="55" t="str">
        <f>HYPERLINK("http://reports.ofsted.gov.uk/inspection-reports/find-inspection-report/provider/CARE/SC035543","Ofsted Social Care Provider Webpage")</f>
        <v>Ofsted Social Care Provider Webpage</v>
      </c>
      <c r="B2095" s="55" t="s">
        <v>3332</v>
      </c>
      <c r="D2095" s="55" t="s">
        <v>373</v>
      </c>
      <c r="E2095" s="74">
        <v>37712</v>
      </c>
      <c r="F2095" s="55" t="s">
        <v>344</v>
      </c>
      <c r="G2095" s="55" t="s">
        <v>360</v>
      </c>
      <c r="H2095" s="55" t="s">
        <v>360</v>
      </c>
      <c r="I2095" s="55" t="s">
        <v>360</v>
      </c>
      <c r="J2095" s="55" t="s">
        <v>360</v>
      </c>
      <c r="K2095" s="55" t="s">
        <v>360</v>
      </c>
      <c r="L2095" s="55" t="s">
        <v>360</v>
      </c>
      <c r="M2095" s="55" t="s">
        <v>378</v>
      </c>
      <c r="N2095" s="55" t="s">
        <v>134</v>
      </c>
      <c r="O2095" s="55" t="s">
        <v>180</v>
      </c>
      <c r="P2095" s="55" t="s">
        <v>1483</v>
      </c>
      <c r="Q2095" s="55" t="s">
        <v>380</v>
      </c>
      <c r="R2095" s="85">
        <v>6</v>
      </c>
      <c r="S2095" s="55">
        <v>0</v>
      </c>
      <c r="T2095" s="74" t="s">
        <v>2361</v>
      </c>
      <c r="U2095" s="74" t="s">
        <v>351</v>
      </c>
      <c r="V2095" s="74">
        <v>44419</v>
      </c>
      <c r="W2095" s="74">
        <v>44474</v>
      </c>
      <c r="X2095" s="55">
        <v>10185408</v>
      </c>
      <c r="Y2095" s="55" t="s">
        <v>130</v>
      </c>
      <c r="AB2095" s="74" t="s">
        <v>130</v>
      </c>
      <c r="AC2095" s="55" t="s">
        <v>146</v>
      </c>
      <c r="AL2095" s="74"/>
      <c r="AM2095" s="74"/>
    </row>
    <row r="2096" spans="1:50" ht="13" x14ac:dyDescent="0.15">
      <c r="A2096" s="55" t="str">
        <f>HYPERLINK("http://reports.ofsted.gov.uk/inspection-reports/find-inspection-report/provider/CARE/SC035593","Ofsted Social Care Provider Webpage")</f>
        <v>Ofsted Social Care Provider Webpage</v>
      </c>
      <c r="B2096" s="55" t="s">
        <v>3338</v>
      </c>
      <c r="D2096" s="55" t="s">
        <v>373</v>
      </c>
      <c r="E2096" s="74">
        <v>37707</v>
      </c>
      <c r="F2096" s="55" t="s">
        <v>344</v>
      </c>
      <c r="G2096" s="55" t="s">
        <v>360</v>
      </c>
      <c r="H2096" s="55" t="s">
        <v>360</v>
      </c>
      <c r="I2096" s="55" t="s">
        <v>360</v>
      </c>
      <c r="J2096" s="55" t="s">
        <v>360</v>
      </c>
      <c r="K2096" s="55" t="s">
        <v>360</v>
      </c>
      <c r="L2096" s="55" t="s">
        <v>360</v>
      </c>
      <c r="M2096" s="55" t="s">
        <v>150</v>
      </c>
      <c r="N2096" s="55" t="s">
        <v>150</v>
      </c>
      <c r="O2096" s="55" t="s">
        <v>190</v>
      </c>
      <c r="P2096" s="55" t="s">
        <v>749</v>
      </c>
      <c r="Q2096" s="55" t="s">
        <v>350</v>
      </c>
      <c r="R2096" s="85">
        <v>4</v>
      </c>
      <c r="S2096" s="55">
        <v>0</v>
      </c>
      <c r="T2096" s="74" t="s">
        <v>888</v>
      </c>
      <c r="U2096" s="74" t="s">
        <v>351</v>
      </c>
      <c r="V2096" s="74">
        <v>44601</v>
      </c>
      <c r="W2096" s="74">
        <v>44650</v>
      </c>
      <c r="X2096" s="55">
        <v>10186557</v>
      </c>
      <c r="Y2096" s="55" t="s">
        <v>130</v>
      </c>
      <c r="AB2096" s="74" t="s">
        <v>130</v>
      </c>
      <c r="AC2096" s="55" t="s">
        <v>146</v>
      </c>
      <c r="AL2096" s="74"/>
      <c r="AM2096" s="74"/>
      <c r="AW2096" s="74"/>
      <c r="AX2096" s="74"/>
    </row>
    <row r="2097" spans="1:50" ht="13" x14ac:dyDescent="0.15">
      <c r="A2097" s="55" t="str">
        <f>HYPERLINK("http://reports.ofsted.gov.uk/inspection-reports/find-inspection-report/provider/CARE/SC035625","Ofsted Social Care Provider Webpage")</f>
        <v>Ofsted Social Care Provider Webpage</v>
      </c>
      <c r="B2097" s="55" t="s">
        <v>3339</v>
      </c>
      <c r="D2097" s="55" t="s">
        <v>479</v>
      </c>
      <c r="E2097" s="74">
        <v>37741</v>
      </c>
      <c r="F2097" s="55" t="s">
        <v>344</v>
      </c>
      <c r="G2097" s="55" t="s">
        <v>360</v>
      </c>
      <c r="H2097" s="55" t="s">
        <v>360</v>
      </c>
      <c r="I2097" s="55" t="s">
        <v>360</v>
      </c>
      <c r="J2097" s="55" t="s">
        <v>360</v>
      </c>
      <c r="K2097" s="55" t="s">
        <v>360</v>
      </c>
      <c r="L2097" s="55" t="s">
        <v>360</v>
      </c>
      <c r="M2097" s="55" t="s">
        <v>142</v>
      </c>
      <c r="N2097" s="55" t="s">
        <v>142</v>
      </c>
      <c r="O2097" s="55" t="s">
        <v>195</v>
      </c>
      <c r="P2097" s="55" t="s">
        <v>518</v>
      </c>
      <c r="Q2097" s="55" t="s">
        <v>350</v>
      </c>
      <c r="R2097" s="85">
        <v>30</v>
      </c>
      <c r="S2097" s="55">
        <v>0</v>
      </c>
      <c r="T2097" s="74" t="s">
        <v>3340</v>
      </c>
      <c r="U2097" s="74" t="s">
        <v>351</v>
      </c>
      <c r="V2097" s="74">
        <v>44376</v>
      </c>
      <c r="W2097" s="74">
        <v>44397</v>
      </c>
      <c r="X2097" s="55">
        <v>10186871</v>
      </c>
      <c r="Y2097" s="55" t="s">
        <v>132</v>
      </c>
      <c r="AB2097" s="74" t="s">
        <v>132</v>
      </c>
      <c r="AC2097" s="55" t="s">
        <v>132</v>
      </c>
      <c r="AL2097" s="74"/>
      <c r="AM2097" s="74"/>
      <c r="AW2097" s="74"/>
      <c r="AX2097" s="74"/>
    </row>
    <row r="2098" spans="1:50" ht="13" x14ac:dyDescent="0.15">
      <c r="A2098" s="55" t="str">
        <f>HYPERLINK("http://reports.ofsted.gov.uk/inspection-reports/find-inspection-report/provider/CARE/SC035648","Ofsted Social Care Provider Webpage")</f>
        <v>Ofsted Social Care Provider Webpage</v>
      </c>
      <c r="B2098" s="55" t="s">
        <v>3341</v>
      </c>
      <c r="D2098" s="55" t="s">
        <v>2864</v>
      </c>
      <c r="E2098" s="74">
        <v>37868</v>
      </c>
      <c r="F2098" s="55" t="s">
        <v>344</v>
      </c>
      <c r="G2098" s="55" t="s">
        <v>360</v>
      </c>
      <c r="H2098" s="55" t="s">
        <v>360</v>
      </c>
      <c r="I2098" s="55" t="s">
        <v>360</v>
      </c>
      <c r="J2098" s="55" t="s">
        <v>360</v>
      </c>
      <c r="K2098" s="55" t="s">
        <v>360</v>
      </c>
      <c r="L2098" s="55" t="s">
        <v>360</v>
      </c>
      <c r="M2098" s="55" t="s">
        <v>378</v>
      </c>
      <c r="N2098" s="55" t="s">
        <v>170</v>
      </c>
      <c r="O2098" s="55" t="s">
        <v>178</v>
      </c>
      <c r="P2098" s="55" t="s">
        <v>434</v>
      </c>
      <c r="Q2098" s="55" t="s">
        <v>380</v>
      </c>
      <c r="R2098" s="85">
        <v>38</v>
      </c>
      <c r="S2098" s="55">
        <v>0</v>
      </c>
      <c r="T2098" s="74" t="s">
        <v>2068</v>
      </c>
      <c r="U2098" s="74" t="s">
        <v>351</v>
      </c>
      <c r="V2098" s="74">
        <v>44299</v>
      </c>
      <c r="W2098" s="74">
        <v>44357</v>
      </c>
      <c r="X2098" s="55">
        <v>10165454</v>
      </c>
      <c r="Y2098" s="55" t="s">
        <v>140</v>
      </c>
      <c r="Z2098" s="55" t="s">
        <v>132</v>
      </c>
      <c r="AA2098" s="55" t="s">
        <v>140</v>
      </c>
      <c r="AB2098" s="74" t="s">
        <v>140</v>
      </c>
      <c r="AC2098" s="55" t="s">
        <v>140</v>
      </c>
      <c r="AL2098" s="74"/>
      <c r="AM2098" s="74"/>
      <c r="AW2098" s="74"/>
      <c r="AX2098" s="74"/>
    </row>
    <row r="2099" spans="1:50" ht="13" x14ac:dyDescent="0.15">
      <c r="A2099" s="55" t="str">
        <f>HYPERLINK("http://reports.ofsted.gov.uk/inspection-reports/find-inspection-report/provider/CARE/SC035648","Ofsted Social Care Provider Webpage")</f>
        <v>Ofsted Social Care Provider Webpage</v>
      </c>
      <c r="B2099" s="55" t="s">
        <v>3341</v>
      </c>
      <c r="D2099" s="55" t="s">
        <v>2864</v>
      </c>
      <c r="E2099" s="74">
        <v>37868</v>
      </c>
      <c r="F2099" s="55" t="s">
        <v>344</v>
      </c>
      <c r="G2099" s="55" t="s">
        <v>360</v>
      </c>
      <c r="H2099" s="55" t="s">
        <v>360</v>
      </c>
      <c r="I2099" s="55" t="s">
        <v>360</v>
      </c>
      <c r="J2099" s="55" t="s">
        <v>360</v>
      </c>
      <c r="K2099" s="55" t="s">
        <v>360</v>
      </c>
      <c r="L2099" s="55" t="s">
        <v>360</v>
      </c>
      <c r="M2099" s="55" t="s">
        <v>378</v>
      </c>
      <c r="N2099" s="55" t="s">
        <v>170</v>
      </c>
      <c r="O2099" s="55" t="s">
        <v>178</v>
      </c>
      <c r="P2099" s="55" t="s">
        <v>434</v>
      </c>
      <c r="Q2099" s="55" t="s">
        <v>380</v>
      </c>
      <c r="R2099" s="85">
        <v>38</v>
      </c>
      <c r="S2099" s="55">
        <v>0</v>
      </c>
      <c r="T2099" s="74" t="s">
        <v>2068</v>
      </c>
      <c r="U2099" s="74" t="s">
        <v>6703</v>
      </c>
      <c r="V2099" s="74">
        <v>44503</v>
      </c>
      <c r="W2099" s="74">
        <v>44532</v>
      </c>
      <c r="X2099" s="55">
        <v>10165456</v>
      </c>
      <c r="Y2099" s="55" t="s">
        <v>6706</v>
      </c>
      <c r="AL2099" s="74"/>
      <c r="AM2099" s="74"/>
      <c r="AW2099" s="74"/>
      <c r="AX2099" s="74"/>
    </row>
    <row r="2100" spans="1:50" ht="13" x14ac:dyDescent="0.15">
      <c r="A2100" s="55" t="str">
        <f>HYPERLINK("http://reports.ofsted.gov.uk/inspection-reports/find-inspection-report/provider/CARE/SC035657","Ofsted Social Care Provider Webpage")</f>
        <v>Ofsted Social Care Provider Webpage</v>
      </c>
      <c r="B2100" s="55" t="s">
        <v>3342</v>
      </c>
      <c r="D2100" s="55" t="s">
        <v>373</v>
      </c>
      <c r="E2100" s="74">
        <v>37642</v>
      </c>
      <c r="F2100" s="55" t="s">
        <v>344</v>
      </c>
      <c r="G2100" s="55" t="s">
        <v>360</v>
      </c>
      <c r="H2100" s="55" t="s">
        <v>360</v>
      </c>
      <c r="I2100" s="55" t="s">
        <v>360</v>
      </c>
      <c r="J2100" s="55" t="s">
        <v>360</v>
      </c>
      <c r="K2100" s="55" t="s">
        <v>360</v>
      </c>
      <c r="L2100" s="55" t="s">
        <v>360</v>
      </c>
      <c r="M2100" s="55" t="s">
        <v>144</v>
      </c>
      <c r="N2100" s="55" t="s">
        <v>144</v>
      </c>
      <c r="O2100" s="55" t="s">
        <v>236</v>
      </c>
      <c r="P2100" s="55" t="s">
        <v>996</v>
      </c>
      <c r="Q2100" s="55" t="s">
        <v>350</v>
      </c>
      <c r="R2100" s="85">
        <v>7</v>
      </c>
      <c r="S2100" s="55">
        <v>0</v>
      </c>
      <c r="T2100" s="74" t="s">
        <v>385</v>
      </c>
      <c r="U2100" s="74" t="s">
        <v>351</v>
      </c>
      <c r="V2100" s="74">
        <v>44343</v>
      </c>
      <c r="W2100" s="74">
        <v>44379</v>
      </c>
      <c r="X2100" s="55">
        <v>10185104</v>
      </c>
      <c r="Y2100" s="55" t="s">
        <v>146</v>
      </c>
      <c r="AB2100" s="74" t="s">
        <v>146</v>
      </c>
      <c r="AC2100" s="55" t="s">
        <v>146</v>
      </c>
      <c r="AL2100" s="74"/>
      <c r="AM2100" s="74"/>
      <c r="AW2100" s="74"/>
      <c r="AX2100" s="74"/>
    </row>
    <row r="2101" spans="1:50" ht="13" x14ac:dyDescent="0.15">
      <c r="A2101" s="55" t="str">
        <f>HYPERLINK("http://reports.ofsted.gov.uk/inspection-reports/find-inspection-report/provider/CARE/SC035657","Ofsted Social Care Provider Webpage")</f>
        <v>Ofsted Social Care Provider Webpage</v>
      </c>
      <c r="B2101" s="55" t="s">
        <v>3342</v>
      </c>
      <c r="D2101" s="55" t="s">
        <v>373</v>
      </c>
      <c r="E2101" s="74">
        <v>37642</v>
      </c>
      <c r="F2101" s="55" t="s">
        <v>344</v>
      </c>
      <c r="G2101" s="55" t="s">
        <v>360</v>
      </c>
      <c r="H2101" s="55" t="s">
        <v>360</v>
      </c>
      <c r="I2101" s="55" t="s">
        <v>360</v>
      </c>
      <c r="J2101" s="55" t="s">
        <v>360</v>
      </c>
      <c r="K2101" s="55" t="s">
        <v>360</v>
      </c>
      <c r="L2101" s="55" t="s">
        <v>360</v>
      </c>
      <c r="M2101" s="55" t="s">
        <v>144</v>
      </c>
      <c r="N2101" s="55" t="s">
        <v>144</v>
      </c>
      <c r="O2101" s="55" t="s">
        <v>236</v>
      </c>
      <c r="P2101" s="55" t="s">
        <v>996</v>
      </c>
      <c r="Q2101" s="55" t="s">
        <v>350</v>
      </c>
      <c r="R2101" s="85">
        <v>7</v>
      </c>
      <c r="S2101" s="55">
        <v>0</v>
      </c>
      <c r="T2101" s="74" t="s">
        <v>385</v>
      </c>
      <c r="U2101" s="74" t="s">
        <v>351</v>
      </c>
      <c r="V2101" s="74">
        <v>44390</v>
      </c>
      <c r="W2101" s="74">
        <v>44427</v>
      </c>
      <c r="X2101" s="55">
        <v>10201563</v>
      </c>
      <c r="Y2101" s="55" t="s">
        <v>132</v>
      </c>
      <c r="AB2101" s="74" t="s">
        <v>132</v>
      </c>
      <c r="AC2101" s="55" t="s">
        <v>130</v>
      </c>
      <c r="AL2101" s="74"/>
      <c r="AM2101" s="74"/>
      <c r="AW2101" s="74"/>
      <c r="AX2101" s="74"/>
    </row>
    <row r="2102" spans="1:50" ht="13" x14ac:dyDescent="0.15">
      <c r="A2102" s="55" t="str">
        <f t="shared" ref="A2102:A2107" si="4">HYPERLINK("http://reports.ofsted.gov.uk/inspection-reports/find-inspection-report/provider/CARE/SC035687","Ofsted Social Care Provider Webpage")</f>
        <v>Ofsted Social Care Provider Webpage</v>
      </c>
      <c r="B2102" s="55" t="s">
        <v>6738</v>
      </c>
      <c r="D2102" s="55" t="s">
        <v>479</v>
      </c>
      <c r="E2102" s="74">
        <v>37921</v>
      </c>
      <c r="F2102" s="55" t="s">
        <v>6707</v>
      </c>
      <c r="G2102" s="55" t="s">
        <v>360</v>
      </c>
      <c r="H2102" s="55" t="s">
        <v>360</v>
      </c>
      <c r="I2102" s="55" t="s">
        <v>360</v>
      </c>
      <c r="J2102" s="55" t="s">
        <v>360</v>
      </c>
      <c r="K2102" s="55" t="s">
        <v>360</v>
      </c>
      <c r="L2102" s="55" t="s">
        <v>360</v>
      </c>
      <c r="M2102" s="55" t="s">
        <v>378</v>
      </c>
      <c r="N2102" s="55" t="s">
        <v>134</v>
      </c>
      <c r="O2102" s="55" t="s">
        <v>175</v>
      </c>
      <c r="P2102" s="55" t="s">
        <v>678</v>
      </c>
      <c r="Q2102" s="55" t="s">
        <v>350</v>
      </c>
      <c r="R2102" s="85">
        <v>37</v>
      </c>
      <c r="S2102" s="55">
        <v>0</v>
      </c>
      <c r="T2102" s="74" t="s">
        <v>6739</v>
      </c>
      <c r="U2102" s="74" t="s">
        <v>2053</v>
      </c>
      <c r="V2102" s="74">
        <v>44431</v>
      </c>
      <c r="W2102" s="74">
        <v>44459</v>
      </c>
      <c r="X2102" s="55">
        <v>10203323</v>
      </c>
      <c r="AL2102" s="74"/>
      <c r="AM2102" s="74"/>
    </row>
    <row r="2103" spans="1:50" ht="13" x14ac:dyDescent="0.15">
      <c r="A2103" s="55" t="str">
        <f t="shared" si="4"/>
        <v>Ofsted Social Care Provider Webpage</v>
      </c>
      <c r="B2103" s="55" t="s">
        <v>6738</v>
      </c>
      <c r="D2103" s="55" t="s">
        <v>479</v>
      </c>
      <c r="E2103" s="74">
        <v>37921</v>
      </c>
      <c r="F2103" s="55" t="s">
        <v>6707</v>
      </c>
      <c r="G2103" s="55" t="s">
        <v>360</v>
      </c>
      <c r="H2103" s="55" t="s">
        <v>360</v>
      </c>
      <c r="I2103" s="55" t="s">
        <v>360</v>
      </c>
      <c r="J2103" s="55" t="s">
        <v>360</v>
      </c>
      <c r="K2103" s="55" t="s">
        <v>360</v>
      </c>
      <c r="L2103" s="55" t="s">
        <v>360</v>
      </c>
      <c r="M2103" s="55" t="s">
        <v>378</v>
      </c>
      <c r="N2103" s="55" t="s">
        <v>134</v>
      </c>
      <c r="O2103" s="55" t="s">
        <v>175</v>
      </c>
      <c r="P2103" s="55" t="s">
        <v>678</v>
      </c>
      <c r="Q2103" s="55" t="s">
        <v>350</v>
      </c>
      <c r="R2103" s="85">
        <v>37</v>
      </c>
      <c r="S2103" s="55">
        <v>0</v>
      </c>
      <c r="T2103" s="74" t="s">
        <v>6739</v>
      </c>
      <c r="U2103" s="74" t="s">
        <v>2053</v>
      </c>
      <c r="V2103" s="74">
        <v>44483</v>
      </c>
      <c r="W2103" s="74">
        <v>44538</v>
      </c>
      <c r="X2103" s="55">
        <v>10206486</v>
      </c>
      <c r="AL2103" s="74"/>
      <c r="AM2103" s="74"/>
    </row>
    <row r="2104" spans="1:50" ht="13" x14ac:dyDescent="0.15">
      <c r="A2104" s="55" t="str">
        <f t="shared" si="4"/>
        <v>Ofsted Social Care Provider Webpage</v>
      </c>
      <c r="B2104" s="55" t="s">
        <v>6738</v>
      </c>
      <c r="D2104" s="55" t="s">
        <v>479</v>
      </c>
      <c r="E2104" s="74">
        <v>37921</v>
      </c>
      <c r="F2104" s="55" t="s">
        <v>6707</v>
      </c>
      <c r="G2104" s="55" t="s">
        <v>360</v>
      </c>
      <c r="H2104" s="55" t="s">
        <v>360</v>
      </c>
      <c r="I2104" s="55" t="s">
        <v>360</v>
      </c>
      <c r="J2104" s="55" t="s">
        <v>360</v>
      </c>
      <c r="K2104" s="55" t="s">
        <v>360</v>
      </c>
      <c r="L2104" s="55" t="s">
        <v>360</v>
      </c>
      <c r="M2104" s="55" t="s">
        <v>378</v>
      </c>
      <c r="N2104" s="55" t="s">
        <v>134</v>
      </c>
      <c r="O2104" s="55" t="s">
        <v>175</v>
      </c>
      <c r="P2104" s="55" t="s">
        <v>678</v>
      </c>
      <c r="Q2104" s="55" t="s">
        <v>350</v>
      </c>
      <c r="R2104" s="85">
        <v>37</v>
      </c>
      <c r="S2104" s="55">
        <v>0</v>
      </c>
      <c r="T2104" s="74" t="s">
        <v>6739</v>
      </c>
      <c r="U2104" s="74" t="s">
        <v>2053</v>
      </c>
      <c r="V2104" s="74">
        <v>44356</v>
      </c>
      <c r="W2104" s="74">
        <v>44385</v>
      </c>
      <c r="X2104" s="55">
        <v>10197183</v>
      </c>
      <c r="AL2104" s="74"/>
      <c r="AM2104" s="74"/>
    </row>
    <row r="2105" spans="1:50" ht="13" x14ac:dyDescent="0.15">
      <c r="A2105" s="55" t="str">
        <f t="shared" si="4"/>
        <v>Ofsted Social Care Provider Webpage</v>
      </c>
      <c r="B2105" s="55" t="s">
        <v>6738</v>
      </c>
      <c r="D2105" s="55" t="s">
        <v>479</v>
      </c>
      <c r="E2105" s="74">
        <v>37921</v>
      </c>
      <c r="F2105" s="55" t="s">
        <v>6707</v>
      </c>
      <c r="G2105" s="55" t="s">
        <v>360</v>
      </c>
      <c r="H2105" s="55" t="s">
        <v>360</v>
      </c>
      <c r="I2105" s="55" t="s">
        <v>360</v>
      </c>
      <c r="J2105" s="55" t="s">
        <v>360</v>
      </c>
      <c r="K2105" s="55" t="s">
        <v>360</v>
      </c>
      <c r="L2105" s="55" t="s">
        <v>360</v>
      </c>
      <c r="M2105" s="55" t="s">
        <v>378</v>
      </c>
      <c r="N2105" s="55" t="s">
        <v>134</v>
      </c>
      <c r="O2105" s="55" t="s">
        <v>175</v>
      </c>
      <c r="P2105" s="55" t="s">
        <v>678</v>
      </c>
      <c r="Q2105" s="55" t="s">
        <v>350</v>
      </c>
      <c r="R2105" s="85">
        <v>37</v>
      </c>
      <c r="S2105" s="55">
        <v>0</v>
      </c>
      <c r="T2105" s="74" t="s">
        <v>6739</v>
      </c>
      <c r="U2105" s="74" t="s">
        <v>2053</v>
      </c>
      <c r="V2105" s="74">
        <v>44522</v>
      </c>
      <c r="W2105" s="74">
        <v>44560</v>
      </c>
      <c r="X2105" s="55">
        <v>10210489</v>
      </c>
      <c r="AL2105" s="74"/>
      <c r="AM2105" s="74"/>
      <c r="AW2105" s="74"/>
      <c r="AX2105" s="74"/>
    </row>
    <row r="2106" spans="1:50" ht="13" x14ac:dyDescent="0.15">
      <c r="A2106" s="55" t="str">
        <f t="shared" si="4"/>
        <v>Ofsted Social Care Provider Webpage</v>
      </c>
      <c r="B2106" s="55" t="s">
        <v>6738</v>
      </c>
      <c r="D2106" s="55" t="s">
        <v>479</v>
      </c>
      <c r="E2106" s="74">
        <v>37921</v>
      </c>
      <c r="F2106" s="55" t="s">
        <v>6707</v>
      </c>
      <c r="G2106" s="55" t="s">
        <v>360</v>
      </c>
      <c r="H2106" s="55" t="s">
        <v>360</v>
      </c>
      <c r="I2106" s="55" t="s">
        <v>360</v>
      </c>
      <c r="J2106" s="55" t="s">
        <v>360</v>
      </c>
      <c r="K2106" s="55" t="s">
        <v>360</v>
      </c>
      <c r="L2106" s="55" t="s">
        <v>360</v>
      </c>
      <c r="M2106" s="55" t="s">
        <v>378</v>
      </c>
      <c r="N2106" s="55" t="s">
        <v>134</v>
      </c>
      <c r="O2106" s="55" t="s">
        <v>175</v>
      </c>
      <c r="P2106" s="55" t="s">
        <v>678</v>
      </c>
      <c r="Q2106" s="55" t="s">
        <v>350</v>
      </c>
      <c r="R2106" s="85">
        <v>37</v>
      </c>
      <c r="S2106" s="55">
        <v>0</v>
      </c>
      <c r="T2106" s="74" t="s">
        <v>6739</v>
      </c>
      <c r="U2106" s="74" t="s">
        <v>2053</v>
      </c>
      <c r="V2106" s="74">
        <v>44321</v>
      </c>
      <c r="W2106" s="74">
        <v>44363</v>
      </c>
      <c r="X2106" s="55">
        <v>10194851</v>
      </c>
      <c r="AL2106" s="74"/>
      <c r="AM2106" s="74"/>
      <c r="AW2106" s="74"/>
      <c r="AX2106" s="74"/>
    </row>
    <row r="2107" spans="1:50" ht="13" x14ac:dyDescent="0.15">
      <c r="A2107" s="55" t="str">
        <f t="shared" si="4"/>
        <v>Ofsted Social Care Provider Webpage</v>
      </c>
      <c r="B2107" s="55" t="s">
        <v>6738</v>
      </c>
      <c r="D2107" s="55" t="s">
        <v>479</v>
      </c>
      <c r="E2107" s="74">
        <v>37921</v>
      </c>
      <c r="F2107" s="55" t="s">
        <v>6707</v>
      </c>
      <c r="G2107" s="55" t="s">
        <v>360</v>
      </c>
      <c r="H2107" s="55" t="s">
        <v>360</v>
      </c>
      <c r="I2107" s="55" t="s">
        <v>360</v>
      </c>
      <c r="J2107" s="55" t="s">
        <v>360</v>
      </c>
      <c r="K2107" s="55" t="s">
        <v>360</v>
      </c>
      <c r="L2107" s="55" t="s">
        <v>360</v>
      </c>
      <c r="M2107" s="55" t="s">
        <v>378</v>
      </c>
      <c r="N2107" s="55" t="s">
        <v>134</v>
      </c>
      <c r="O2107" s="55" t="s">
        <v>175</v>
      </c>
      <c r="P2107" s="55" t="s">
        <v>678</v>
      </c>
      <c r="Q2107" s="55" t="s">
        <v>350</v>
      </c>
      <c r="R2107" s="85">
        <v>37</v>
      </c>
      <c r="S2107" s="55">
        <v>0</v>
      </c>
      <c r="T2107" s="74" t="s">
        <v>6739</v>
      </c>
      <c r="U2107" s="74" t="s">
        <v>2053</v>
      </c>
      <c r="V2107" s="74">
        <v>44397</v>
      </c>
      <c r="W2107" s="74">
        <v>44425</v>
      </c>
      <c r="X2107" s="55">
        <v>10202504</v>
      </c>
      <c r="AL2107" s="74"/>
      <c r="AM2107" s="74"/>
      <c r="AW2107" s="74"/>
      <c r="AX2107" s="74"/>
    </row>
    <row r="2108" spans="1:50" ht="13" x14ac:dyDescent="0.15">
      <c r="A2108" s="55" t="str">
        <f>HYPERLINK("http://reports.ofsted.gov.uk/inspection-reports/find-inspection-report/provider/CARE/SC035805","Ofsted Social Care Provider Webpage")</f>
        <v>Ofsted Social Care Provider Webpage</v>
      </c>
      <c r="B2108" s="55" t="s">
        <v>3343</v>
      </c>
      <c r="C2108" s="55">
        <v>119873</v>
      </c>
      <c r="D2108" s="55" t="s">
        <v>413</v>
      </c>
      <c r="E2108" s="74">
        <v>37480</v>
      </c>
      <c r="F2108" s="55" t="s">
        <v>344</v>
      </c>
      <c r="G2108" s="55" t="s">
        <v>3344</v>
      </c>
      <c r="H2108" s="55" t="s">
        <v>3345</v>
      </c>
      <c r="I2108" s="55" t="s">
        <v>3346</v>
      </c>
      <c r="J2108" s="55" t="s">
        <v>3347</v>
      </c>
      <c r="L2108" s="55" t="s">
        <v>3348</v>
      </c>
      <c r="M2108" s="55" t="s">
        <v>144</v>
      </c>
      <c r="N2108" s="55" t="s">
        <v>144</v>
      </c>
      <c r="O2108" s="55" t="s">
        <v>209</v>
      </c>
      <c r="P2108" s="55" t="s">
        <v>364</v>
      </c>
      <c r="Q2108" s="55" t="s">
        <v>380</v>
      </c>
      <c r="R2108" s="85">
        <v>20</v>
      </c>
      <c r="S2108" s="55">
        <v>0</v>
      </c>
      <c r="T2108" s="74" t="s">
        <v>657</v>
      </c>
      <c r="U2108" s="74" t="s">
        <v>351</v>
      </c>
      <c r="V2108" s="74">
        <v>44326</v>
      </c>
      <c r="W2108" s="74">
        <v>44372</v>
      </c>
      <c r="X2108" s="55">
        <v>10183536</v>
      </c>
      <c r="Y2108" s="55" t="s">
        <v>130</v>
      </c>
      <c r="AB2108" s="74" t="s">
        <v>130</v>
      </c>
      <c r="AC2108" s="55" t="s">
        <v>130</v>
      </c>
      <c r="AL2108" s="74"/>
      <c r="AM2108" s="74"/>
      <c r="AW2108" s="74"/>
      <c r="AX2108" s="74"/>
    </row>
    <row r="2109" spans="1:50" ht="13" x14ac:dyDescent="0.15">
      <c r="A2109" s="55" t="str">
        <f>HYPERLINK("http://reports.ofsted.gov.uk/inspection-reports/find-inspection-report/provider/CARE/SC035954","Ofsted Social Care Provider Webpage")</f>
        <v>Ofsted Social Care Provider Webpage</v>
      </c>
      <c r="B2109" s="55" t="s">
        <v>3349</v>
      </c>
      <c r="D2109" s="55" t="s">
        <v>373</v>
      </c>
      <c r="E2109" s="74">
        <v>37876</v>
      </c>
      <c r="F2109" s="55" t="s">
        <v>344</v>
      </c>
      <c r="G2109" s="55" t="s">
        <v>360</v>
      </c>
      <c r="H2109" s="55" t="s">
        <v>360</v>
      </c>
      <c r="I2109" s="55" t="s">
        <v>360</v>
      </c>
      <c r="J2109" s="55" t="s">
        <v>360</v>
      </c>
      <c r="K2109" s="55" t="s">
        <v>360</v>
      </c>
      <c r="L2109" s="55" t="s">
        <v>360</v>
      </c>
      <c r="M2109" s="55" t="s">
        <v>144</v>
      </c>
      <c r="N2109" s="55" t="s">
        <v>144</v>
      </c>
      <c r="O2109" s="55" t="s">
        <v>290</v>
      </c>
      <c r="P2109" s="55" t="s">
        <v>1099</v>
      </c>
      <c r="Q2109" s="55" t="s">
        <v>380</v>
      </c>
      <c r="R2109" s="85">
        <v>9</v>
      </c>
      <c r="S2109" s="55">
        <v>0</v>
      </c>
      <c r="T2109" s="74" t="s">
        <v>3350</v>
      </c>
      <c r="U2109" s="74" t="s">
        <v>351</v>
      </c>
      <c r="V2109" s="74">
        <v>44481</v>
      </c>
      <c r="W2109" s="74">
        <v>44531</v>
      </c>
      <c r="X2109" s="55">
        <v>10187563</v>
      </c>
      <c r="Y2109" s="55" t="s">
        <v>130</v>
      </c>
      <c r="AB2109" s="74" t="s">
        <v>130</v>
      </c>
      <c r="AC2109" s="55" t="s">
        <v>130</v>
      </c>
      <c r="AL2109" s="74"/>
      <c r="AM2109" s="74"/>
      <c r="AW2109" s="74"/>
      <c r="AX2109" s="74"/>
    </row>
    <row r="2110" spans="1:50" ht="13" x14ac:dyDescent="0.15">
      <c r="A2110" s="55" t="str">
        <f>HYPERLINK("http://reports.ofsted.gov.uk/inspection-reports/find-inspection-report/provider/CARE/SC035971","Ofsted Social Care Provider Webpage")</f>
        <v>Ofsted Social Care Provider Webpage</v>
      </c>
      <c r="B2110" s="55" t="s">
        <v>3353</v>
      </c>
      <c r="D2110" s="55" t="s">
        <v>373</v>
      </c>
      <c r="E2110" s="74">
        <v>37648</v>
      </c>
      <c r="F2110" s="55" t="s">
        <v>344</v>
      </c>
      <c r="G2110" s="55" t="s">
        <v>360</v>
      </c>
      <c r="H2110" s="55" t="s">
        <v>360</v>
      </c>
      <c r="I2110" s="55" t="s">
        <v>360</v>
      </c>
      <c r="J2110" s="55" t="s">
        <v>360</v>
      </c>
      <c r="K2110" s="55" t="s">
        <v>360</v>
      </c>
      <c r="L2110" s="55" t="s">
        <v>360</v>
      </c>
      <c r="M2110" s="55" t="s">
        <v>144</v>
      </c>
      <c r="N2110" s="55" t="s">
        <v>144</v>
      </c>
      <c r="O2110" s="55" t="s">
        <v>261</v>
      </c>
      <c r="P2110" s="55" t="s">
        <v>512</v>
      </c>
      <c r="Q2110" s="55" t="s">
        <v>380</v>
      </c>
      <c r="R2110" s="85">
        <v>4</v>
      </c>
      <c r="S2110" s="55" t="s">
        <v>332</v>
      </c>
      <c r="T2110" s="74" t="s">
        <v>3354</v>
      </c>
      <c r="U2110" s="74" t="s">
        <v>351</v>
      </c>
      <c r="V2110" s="74">
        <v>44446</v>
      </c>
      <c r="W2110" s="74">
        <v>44483</v>
      </c>
      <c r="X2110" s="55">
        <v>10185059</v>
      </c>
      <c r="Y2110" s="55" t="s">
        <v>140</v>
      </c>
      <c r="AB2110" s="74" t="s">
        <v>140</v>
      </c>
      <c r="AC2110" s="55" t="s">
        <v>140</v>
      </c>
      <c r="AL2110" s="74"/>
      <c r="AM2110" s="74"/>
      <c r="AW2110" s="74"/>
      <c r="AX2110" s="74"/>
    </row>
    <row r="2111" spans="1:50" ht="13" x14ac:dyDescent="0.15">
      <c r="A2111" s="55" t="str">
        <f>HYPERLINK("http://reports.ofsted.gov.uk/inspection-reports/find-inspection-report/provider/CARE/SC035976","Ofsted Social Care Provider Webpage")</f>
        <v>Ofsted Social Care Provider Webpage</v>
      </c>
      <c r="B2111" s="55" t="s">
        <v>3355</v>
      </c>
      <c r="D2111" s="55" t="s">
        <v>373</v>
      </c>
      <c r="E2111" s="74">
        <v>37977</v>
      </c>
      <c r="F2111" s="55" t="s">
        <v>344</v>
      </c>
      <c r="G2111" s="55" t="s">
        <v>360</v>
      </c>
      <c r="H2111" s="55" t="s">
        <v>360</v>
      </c>
      <c r="I2111" s="55" t="s">
        <v>360</v>
      </c>
      <c r="J2111" s="55" t="s">
        <v>360</v>
      </c>
      <c r="K2111" s="55" t="s">
        <v>360</v>
      </c>
      <c r="L2111" s="55" t="s">
        <v>360</v>
      </c>
      <c r="M2111" s="55" t="s">
        <v>172</v>
      </c>
      <c r="N2111" s="55" t="s">
        <v>172</v>
      </c>
      <c r="O2111" s="55" t="s">
        <v>173</v>
      </c>
      <c r="P2111" s="55" t="s">
        <v>961</v>
      </c>
      <c r="Q2111" s="55" t="s">
        <v>380</v>
      </c>
      <c r="R2111" s="85">
        <v>4</v>
      </c>
      <c r="S2111" s="55">
        <v>0</v>
      </c>
      <c r="T2111" s="74" t="s">
        <v>1431</v>
      </c>
      <c r="U2111" s="74" t="s">
        <v>351</v>
      </c>
      <c r="V2111" s="74">
        <v>44418</v>
      </c>
      <c r="W2111" s="74">
        <v>44448</v>
      </c>
      <c r="X2111" s="55">
        <v>10186038</v>
      </c>
      <c r="Y2111" s="55" t="s">
        <v>132</v>
      </c>
      <c r="AB2111" s="74" t="s">
        <v>132</v>
      </c>
      <c r="AC2111" s="55" t="s">
        <v>132</v>
      </c>
      <c r="AL2111" s="74"/>
      <c r="AM2111" s="74"/>
    </row>
    <row r="2112" spans="1:50" ht="13" x14ac:dyDescent="0.15">
      <c r="A2112" s="55" t="str">
        <f>HYPERLINK("http://reports.ofsted.gov.uk/inspection-reports/find-inspection-report/provider/CARE/SC036009","Ofsted Social Care Provider Webpage")</f>
        <v>Ofsted Social Care Provider Webpage</v>
      </c>
      <c r="B2112" s="55" t="s">
        <v>3356</v>
      </c>
      <c r="D2112" s="55" t="s">
        <v>373</v>
      </c>
      <c r="E2112" s="74">
        <v>37733</v>
      </c>
      <c r="F2112" s="55" t="s">
        <v>344</v>
      </c>
      <c r="G2112" s="55" t="s">
        <v>360</v>
      </c>
      <c r="H2112" s="55" t="s">
        <v>360</v>
      </c>
      <c r="I2112" s="55" t="s">
        <v>360</v>
      </c>
      <c r="J2112" s="55" t="s">
        <v>360</v>
      </c>
      <c r="K2112" s="55" t="s">
        <v>360</v>
      </c>
      <c r="L2112" s="55" t="s">
        <v>360</v>
      </c>
      <c r="M2112" s="55" t="s">
        <v>378</v>
      </c>
      <c r="N2112" s="55" t="s">
        <v>134</v>
      </c>
      <c r="O2112" s="55" t="s">
        <v>251</v>
      </c>
      <c r="P2112" s="55" t="s">
        <v>3357</v>
      </c>
      <c r="Q2112" s="55" t="s">
        <v>380</v>
      </c>
      <c r="R2112" s="85">
        <v>6</v>
      </c>
      <c r="S2112" s="55" t="s">
        <v>332</v>
      </c>
      <c r="T2112" s="74" t="s">
        <v>3358</v>
      </c>
      <c r="U2112" s="74" t="s">
        <v>351</v>
      </c>
      <c r="V2112" s="74">
        <v>44461</v>
      </c>
      <c r="W2112" s="74">
        <v>44508</v>
      </c>
      <c r="X2112" s="55">
        <v>10185437</v>
      </c>
      <c r="Y2112" s="55" t="s">
        <v>140</v>
      </c>
      <c r="AB2112" s="74" t="s">
        <v>140</v>
      </c>
      <c r="AC2112" s="55" t="s">
        <v>132</v>
      </c>
      <c r="AL2112" s="74"/>
      <c r="AM2112" s="74"/>
    </row>
    <row r="2113" spans="1:50" ht="13" x14ac:dyDescent="0.15">
      <c r="A2113" s="55" t="str">
        <f>HYPERLINK("http://reports.ofsted.gov.uk/inspection-reports/find-inspection-report/provider/CARE/SC036023","Ofsted Social Care Provider Webpage")</f>
        <v>Ofsted Social Care Provider Webpage</v>
      </c>
      <c r="B2113" s="55" t="s">
        <v>3361</v>
      </c>
      <c r="D2113" s="55" t="s">
        <v>373</v>
      </c>
      <c r="E2113" s="74">
        <v>37707</v>
      </c>
      <c r="F2113" s="55" t="s">
        <v>344</v>
      </c>
      <c r="G2113" s="55" t="s">
        <v>360</v>
      </c>
      <c r="H2113" s="55" t="s">
        <v>360</v>
      </c>
      <c r="I2113" s="55" t="s">
        <v>360</v>
      </c>
      <c r="J2113" s="55" t="s">
        <v>360</v>
      </c>
      <c r="K2113" s="55" t="s">
        <v>360</v>
      </c>
      <c r="L2113" s="55" t="s">
        <v>360</v>
      </c>
      <c r="M2113" s="55" t="s">
        <v>378</v>
      </c>
      <c r="N2113" s="55" t="s">
        <v>134</v>
      </c>
      <c r="O2113" s="55" t="s">
        <v>251</v>
      </c>
      <c r="P2113" s="55" t="s">
        <v>1709</v>
      </c>
      <c r="Q2113" s="55" t="s">
        <v>380</v>
      </c>
      <c r="R2113" s="85">
        <v>8</v>
      </c>
      <c r="S2113" s="55" t="s">
        <v>332</v>
      </c>
      <c r="T2113" s="74" t="s">
        <v>3358</v>
      </c>
      <c r="U2113" s="74" t="s">
        <v>6703</v>
      </c>
      <c r="V2113" s="74">
        <v>44589</v>
      </c>
      <c r="W2113" s="74">
        <v>44635</v>
      </c>
      <c r="X2113" s="55">
        <v>10210598</v>
      </c>
      <c r="Y2113" s="55" t="s">
        <v>6705</v>
      </c>
      <c r="AL2113" s="74"/>
      <c r="AM2113" s="74"/>
      <c r="AW2113" s="74"/>
      <c r="AX2113" s="74"/>
    </row>
    <row r="2114" spans="1:50" ht="13" x14ac:dyDescent="0.15">
      <c r="A2114" s="55" t="str">
        <f>HYPERLINK("http://reports.ofsted.gov.uk/inspection-reports/find-inspection-report/provider/CARE/SC036023","Ofsted Social Care Provider Webpage")</f>
        <v>Ofsted Social Care Provider Webpage</v>
      </c>
      <c r="B2114" s="55" t="s">
        <v>3361</v>
      </c>
      <c r="D2114" s="55" t="s">
        <v>373</v>
      </c>
      <c r="E2114" s="74">
        <v>37707</v>
      </c>
      <c r="F2114" s="55" t="s">
        <v>344</v>
      </c>
      <c r="G2114" s="55" t="s">
        <v>360</v>
      </c>
      <c r="H2114" s="55" t="s">
        <v>360</v>
      </c>
      <c r="I2114" s="55" t="s">
        <v>360</v>
      </c>
      <c r="J2114" s="55" t="s">
        <v>360</v>
      </c>
      <c r="K2114" s="55" t="s">
        <v>360</v>
      </c>
      <c r="L2114" s="55" t="s">
        <v>360</v>
      </c>
      <c r="M2114" s="55" t="s">
        <v>378</v>
      </c>
      <c r="N2114" s="55" t="s">
        <v>134</v>
      </c>
      <c r="O2114" s="55" t="s">
        <v>251</v>
      </c>
      <c r="P2114" s="55" t="s">
        <v>1709</v>
      </c>
      <c r="Q2114" s="55" t="s">
        <v>380</v>
      </c>
      <c r="R2114" s="85">
        <v>8</v>
      </c>
      <c r="S2114" s="55" t="s">
        <v>332</v>
      </c>
      <c r="T2114" s="74" t="s">
        <v>3358</v>
      </c>
      <c r="U2114" s="74" t="s">
        <v>351</v>
      </c>
      <c r="V2114" s="74">
        <v>44355</v>
      </c>
      <c r="W2114" s="74">
        <v>44393</v>
      </c>
      <c r="X2114" s="55">
        <v>10186884</v>
      </c>
      <c r="Y2114" s="55" t="s">
        <v>130</v>
      </c>
      <c r="AB2114" s="74" t="s">
        <v>130</v>
      </c>
      <c r="AC2114" s="55" t="s">
        <v>146</v>
      </c>
      <c r="AL2114" s="74"/>
      <c r="AM2114" s="74"/>
    </row>
    <row r="2115" spans="1:50" ht="13" x14ac:dyDescent="0.15">
      <c r="A2115" s="55" t="str">
        <f>HYPERLINK("http://reports.ofsted.gov.uk/inspection-reports/find-inspection-report/provider/CARE/SC036026","Ofsted Social Care Provider Webpage")</f>
        <v>Ofsted Social Care Provider Webpage</v>
      </c>
      <c r="B2115" s="55" t="s">
        <v>3362</v>
      </c>
      <c r="D2115" s="55" t="s">
        <v>373</v>
      </c>
      <c r="E2115" s="74">
        <v>37741</v>
      </c>
      <c r="F2115" s="55" t="s">
        <v>344</v>
      </c>
      <c r="G2115" s="55" t="s">
        <v>360</v>
      </c>
      <c r="H2115" s="55" t="s">
        <v>360</v>
      </c>
      <c r="I2115" s="55" t="s">
        <v>360</v>
      </c>
      <c r="J2115" s="55" t="s">
        <v>360</v>
      </c>
      <c r="K2115" s="55" t="s">
        <v>360</v>
      </c>
      <c r="L2115" s="55" t="s">
        <v>360</v>
      </c>
      <c r="M2115" s="55" t="s">
        <v>378</v>
      </c>
      <c r="N2115" s="55" t="s">
        <v>134</v>
      </c>
      <c r="O2115" s="55" t="s">
        <v>251</v>
      </c>
      <c r="P2115" s="55" t="s">
        <v>3363</v>
      </c>
      <c r="Q2115" s="55" t="s">
        <v>380</v>
      </c>
      <c r="R2115" s="85">
        <v>5</v>
      </c>
      <c r="S2115" s="55">
        <v>0</v>
      </c>
      <c r="T2115" s="74" t="s">
        <v>3358</v>
      </c>
      <c r="U2115" s="74" t="s">
        <v>351</v>
      </c>
      <c r="V2115" s="74">
        <v>44432</v>
      </c>
      <c r="W2115" s="74">
        <v>44475</v>
      </c>
      <c r="X2115" s="55">
        <v>10186359</v>
      </c>
      <c r="Y2115" s="55" t="s">
        <v>132</v>
      </c>
      <c r="AB2115" s="74" t="s">
        <v>132</v>
      </c>
      <c r="AC2115" s="55" t="s">
        <v>130</v>
      </c>
      <c r="AL2115" s="74"/>
      <c r="AM2115" s="74"/>
      <c r="AW2115" s="74"/>
      <c r="AX2115" s="74"/>
    </row>
    <row r="2116" spans="1:50" ht="13" x14ac:dyDescent="0.15">
      <c r="A2116" s="55" t="str">
        <f>HYPERLINK("http://reports.ofsted.gov.uk/inspection-reports/find-inspection-report/provider/CARE/SC036057","Ofsted Social Care Provider Webpage")</f>
        <v>Ofsted Social Care Provider Webpage</v>
      </c>
      <c r="B2116" s="55" t="s">
        <v>3364</v>
      </c>
      <c r="D2116" s="55" t="s">
        <v>389</v>
      </c>
      <c r="E2116" s="74">
        <v>37916</v>
      </c>
      <c r="F2116" s="55" t="s">
        <v>344</v>
      </c>
      <c r="G2116" s="55" t="s">
        <v>3365</v>
      </c>
      <c r="H2116" s="55" t="s">
        <v>3365</v>
      </c>
      <c r="I2116" s="55" t="s">
        <v>3366</v>
      </c>
      <c r="J2116" s="55" t="s">
        <v>3367</v>
      </c>
      <c r="K2116" s="55" t="s">
        <v>3368</v>
      </c>
      <c r="L2116" s="55" t="s">
        <v>3369</v>
      </c>
      <c r="M2116" s="55" t="s">
        <v>378</v>
      </c>
      <c r="N2116" s="55" t="s">
        <v>170</v>
      </c>
      <c r="O2116" s="55" t="s">
        <v>178</v>
      </c>
      <c r="P2116" s="55" t="s">
        <v>952</v>
      </c>
      <c r="Q2116" s="55" t="s">
        <v>350</v>
      </c>
      <c r="S2116" s="55">
        <v>0</v>
      </c>
      <c r="T2116" s="74" t="s">
        <v>3370</v>
      </c>
      <c r="U2116" s="74" t="s">
        <v>351</v>
      </c>
      <c r="V2116" s="74">
        <v>44473</v>
      </c>
      <c r="W2116" s="74">
        <v>44503</v>
      </c>
      <c r="X2116" s="55">
        <v>10183375</v>
      </c>
      <c r="Y2116" s="55" t="s">
        <v>132</v>
      </c>
      <c r="AB2116" s="74" t="s">
        <v>132</v>
      </c>
      <c r="AC2116" s="55" t="s">
        <v>132</v>
      </c>
      <c r="AL2116" s="74"/>
      <c r="AM2116" s="74"/>
      <c r="AW2116" s="74"/>
      <c r="AX2116" s="74"/>
    </row>
    <row r="2117" spans="1:50" ht="13" x14ac:dyDescent="0.15">
      <c r="A2117" s="55" t="str">
        <f>HYPERLINK("http://reports.ofsted.gov.uk/inspection-reports/find-inspection-report/provider/CARE/SC036157","Ofsted Social Care Provider Webpage")</f>
        <v>Ofsted Social Care Provider Webpage</v>
      </c>
      <c r="B2117" s="55" t="s">
        <v>3376</v>
      </c>
      <c r="D2117" s="55" t="s">
        <v>373</v>
      </c>
      <c r="E2117" s="74">
        <v>37712</v>
      </c>
      <c r="F2117" s="55" t="s">
        <v>344</v>
      </c>
      <c r="G2117" s="55" t="s">
        <v>360</v>
      </c>
      <c r="H2117" s="55" t="s">
        <v>360</v>
      </c>
      <c r="I2117" s="55" t="s">
        <v>360</v>
      </c>
      <c r="J2117" s="55" t="s">
        <v>360</v>
      </c>
      <c r="K2117" s="55" t="s">
        <v>360</v>
      </c>
      <c r="L2117" s="55" t="s">
        <v>360</v>
      </c>
      <c r="M2117" s="55" t="s">
        <v>378</v>
      </c>
      <c r="N2117" s="55" t="s">
        <v>134</v>
      </c>
      <c r="O2117" s="55" t="s">
        <v>204</v>
      </c>
      <c r="P2117" s="55" t="s">
        <v>929</v>
      </c>
      <c r="Q2117" s="55" t="s">
        <v>380</v>
      </c>
      <c r="R2117" s="85">
        <v>8</v>
      </c>
      <c r="S2117" s="55">
        <v>0</v>
      </c>
      <c r="T2117" s="74" t="s">
        <v>1479</v>
      </c>
      <c r="U2117" s="74" t="s">
        <v>351</v>
      </c>
      <c r="V2117" s="74">
        <v>44475</v>
      </c>
      <c r="W2117" s="74">
        <v>44510</v>
      </c>
      <c r="X2117" s="55">
        <v>10186171</v>
      </c>
      <c r="Y2117" s="55" t="s">
        <v>132</v>
      </c>
      <c r="AB2117" s="74" t="s">
        <v>132</v>
      </c>
      <c r="AC2117" s="55" t="s">
        <v>132</v>
      </c>
      <c r="AL2117" s="74"/>
      <c r="AM2117" s="74"/>
      <c r="AW2117" s="74"/>
      <c r="AX2117" s="74"/>
    </row>
    <row r="2118" spans="1:50" ht="13" x14ac:dyDescent="0.15">
      <c r="A2118" s="55" t="str">
        <f>HYPERLINK("http://reports.ofsted.gov.uk/inspection-reports/find-inspection-report/provider/CARE/SC036186","Ofsted Social Care Provider Webpage")</f>
        <v>Ofsted Social Care Provider Webpage</v>
      </c>
      <c r="B2118" s="55" t="s">
        <v>3377</v>
      </c>
      <c r="D2118" s="55" t="s">
        <v>373</v>
      </c>
      <c r="E2118" s="74">
        <v>37966</v>
      </c>
      <c r="F2118" s="55" t="s">
        <v>344</v>
      </c>
      <c r="G2118" s="55" t="s">
        <v>360</v>
      </c>
      <c r="H2118" s="55" t="s">
        <v>360</v>
      </c>
      <c r="I2118" s="55" t="s">
        <v>360</v>
      </c>
      <c r="J2118" s="55" t="s">
        <v>360</v>
      </c>
      <c r="K2118" s="55" t="s">
        <v>360</v>
      </c>
      <c r="L2118" s="55" t="s">
        <v>360</v>
      </c>
      <c r="M2118" s="55" t="s">
        <v>172</v>
      </c>
      <c r="N2118" s="55" t="s">
        <v>172</v>
      </c>
      <c r="O2118" s="55" t="s">
        <v>173</v>
      </c>
      <c r="P2118" s="55" t="s">
        <v>961</v>
      </c>
      <c r="Q2118" s="55" t="s">
        <v>380</v>
      </c>
      <c r="R2118" s="85">
        <v>8</v>
      </c>
      <c r="S2118" s="55" t="s">
        <v>332</v>
      </c>
      <c r="T2118" s="74" t="s">
        <v>1431</v>
      </c>
      <c r="U2118" s="74" t="s">
        <v>351</v>
      </c>
      <c r="V2118" s="74">
        <v>44572</v>
      </c>
      <c r="W2118" s="74">
        <v>44610</v>
      </c>
      <c r="X2118" s="55">
        <v>10187111</v>
      </c>
      <c r="Y2118" s="55" t="s">
        <v>140</v>
      </c>
      <c r="AB2118" s="74" t="s">
        <v>140</v>
      </c>
      <c r="AC2118" s="55" t="s">
        <v>140</v>
      </c>
      <c r="AL2118" s="74"/>
      <c r="AM2118" s="74"/>
      <c r="AW2118" s="74"/>
      <c r="AX2118" s="74"/>
    </row>
    <row r="2119" spans="1:50" ht="13" x14ac:dyDescent="0.15">
      <c r="A2119" s="55" t="str">
        <f>HYPERLINK("http://reports.ofsted.gov.uk/inspection-reports/find-inspection-report/provider/CARE/SC036240","Ofsted Social Care Provider Webpage")</f>
        <v>Ofsted Social Care Provider Webpage</v>
      </c>
      <c r="B2119" s="55" t="s">
        <v>3385</v>
      </c>
      <c r="D2119" s="55" t="s">
        <v>373</v>
      </c>
      <c r="E2119" s="74">
        <v>37938</v>
      </c>
      <c r="F2119" s="55" t="s">
        <v>344</v>
      </c>
      <c r="G2119" s="55" t="s">
        <v>360</v>
      </c>
      <c r="H2119" s="55" t="s">
        <v>360</v>
      </c>
      <c r="I2119" s="55" t="s">
        <v>360</v>
      </c>
      <c r="J2119" s="55" t="s">
        <v>360</v>
      </c>
      <c r="K2119" s="55" t="s">
        <v>360</v>
      </c>
      <c r="L2119" s="55" t="s">
        <v>360</v>
      </c>
      <c r="M2119" s="55" t="s">
        <v>172</v>
      </c>
      <c r="N2119" s="55" t="s">
        <v>172</v>
      </c>
      <c r="O2119" s="55" t="s">
        <v>171</v>
      </c>
      <c r="P2119" s="55" t="s">
        <v>983</v>
      </c>
      <c r="Q2119" s="55" t="s">
        <v>380</v>
      </c>
      <c r="R2119" s="85">
        <v>6</v>
      </c>
      <c r="S2119" s="55">
        <v>0</v>
      </c>
      <c r="T2119" s="74" t="s">
        <v>3360</v>
      </c>
      <c r="U2119" s="74" t="s">
        <v>351</v>
      </c>
      <c r="V2119" s="74">
        <v>44509</v>
      </c>
      <c r="W2119" s="74">
        <v>44546</v>
      </c>
      <c r="X2119" s="55">
        <v>10186431</v>
      </c>
      <c r="Y2119" s="55" t="s">
        <v>132</v>
      </c>
      <c r="AB2119" s="74" t="s">
        <v>132</v>
      </c>
      <c r="AC2119" s="55" t="s">
        <v>132</v>
      </c>
      <c r="AL2119" s="74"/>
      <c r="AM2119" s="74"/>
      <c r="AW2119" s="74"/>
      <c r="AX2119" s="74"/>
    </row>
    <row r="2120" spans="1:50" ht="13" x14ac:dyDescent="0.15">
      <c r="A2120" s="55" t="str">
        <f>HYPERLINK("http://reports.ofsted.gov.uk/inspection-reports/find-inspection-report/provider/CARE/SC036242","Ofsted Social Care Provider Webpage")</f>
        <v>Ofsted Social Care Provider Webpage</v>
      </c>
      <c r="B2120" s="55" t="s">
        <v>3386</v>
      </c>
      <c r="D2120" s="55" t="s">
        <v>389</v>
      </c>
      <c r="E2120" s="74">
        <v>37712</v>
      </c>
      <c r="F2120" s="55" t="s">
        <v>344</v>
      </c>
      <c r="G2120" s="55" t="s">
        <v>3387</v>
      </c>
      <c r="H2120" s="55" t="s">
        <v>3388</v>
      </c>
      <c r="I2120" s="55" t="s">
        <v>3389</v>
      </c>
      <c r="J2120" s="55" t="s">
        <v>3390</v>
      </c>
      <c r="L2120" s="55" t="s">
        <v>3391</v>
      </c>
      <c r="M2120" s="55" t="s">
        <v>378</v>
      </c>
      <c r="N2120" s="55" t="s">
        <v>170</v>
      </c>
      <c r="O2120" s="55" t="s">
        <v>243</v>
      </c>
      <c r="P2120" s="55" t="s">
        <v>1786</v>
      </c>
      <c r="Q2120" s="55" t="s">
        <v>362</v>
      </c>
      <c r="S2120" s="55">
        <v>0</v>
      </c>
      <c r="T2120" s="74" t="s">
        <v>367</v>
      </c>
      <c r="U2120" s="74" t="s">
        <v>351</v>
      </c>
      <c r="V2120" s="74">
        <v>44578</v>
      </c>
      <c r="W2120" s="74">
        <v>44616</v>
      </c>
      <c r="X2120" s="55">
        <v>10183372</v>
      </c>
      <c r="Y2120" s="55" t="s">
        <v>132</v>
      </c>
      <c r="AB2120" s="74" t="s">
        <v>132</v>
      </c>
      <c r="AC2120" s="55" t="s">
        <v>132</v>
      </c>
      <c r="AL2120" s="74"/>
      <c r="AM2120" s="74"/>
      <c r="AW2120" s="74"/>
      <c r="AX2120" s="74"/>
    </row>
    <row r="2121" spans="1:50" ht="13" x14ac:dyDescent="0.15">
      <c r="A2121" s="55" t="str">
        <f>HYPERLINK("http://reports.ofsted.gov.uk/inspection-reports/find-inspection-report/provider/CARE/SC036243","Ofsted Social Care Provider Webpage")</f>
        <v>Ofsted Social Care Provider Webpage</v>
      </c>
      <c r="B2121" s="55" t="s">
        <v>3392</v>
      </c>
      <c r="D2121" s="55" t="s">
        <v>373</v>
      </c>
      <c r="E2121" s="74">
        <v>38029</v>
      </c>
      <c r="F2121" s="55" t="s">
        <v>344</v>
      </c>
      <c r="G2121" s="55" t="s">
        <v>360</v>
      </c>
      <c r="H2121" s="55" t="s">
        <v>360</v>
      </c>
      <c r="I2121" s="55" t="s">
        <v>360</v>
      </c>
      <c r="J2121" s="55" t="s">
        <v>360</v>
      </c>
      <c r="K2121" s="55" t="s">
        <v>360</v>
      </c>
      <c r="L2121" s="55" t="s">
        <v>360</v>
      </c>
      <c r="M2121" s="55" t="s">
        <v>172</v>
      </c>
      <c r="N2121" s="55" t="s">
        <v>172</v>
      </c>
      <c r="O2121" s="55" t="s">
        <v>171</v>
      </c>
      <c r="P2121" s="55" t="s">
        <v>983</v>
      </c>
      <c r="Q2121" s="55" t="s">
        <v>380</v>
      </c>
      <c r="R2121" s="85">
        <v>6</v>
      </c>
      <c r="S2121" s="55">
        <v>0</v>
      </c>
      <c r="T2121" s="74" t="s">
        <v>3360</v>
      </c>
      <c r="U2121" s="74" t="s">
        <v>351</v>
      </c>
      <c r="V2121" s="74">
        <v>44488</v>
      </c>
      <c r="W2121" s="74">
        <v>44531</v>
      </c>
      <c r="X2121" s="55">
        <v>10185617</v>
      </c>
      <c r="Y2121" s="55" t="s">
        <v>130</v>
      </c>
      <c r="AB2121" s="74" t="s">
        <v>130</v>
      </c>
      <c r="AC2121" s="55" t="s">
        <v>130</v>
      </c>
      <c r="AL2121" s="74"/>
      <c r="AM2121" s="74"/>
      <c r="AW2121" s="74"/>
      <c r="AX2121" s="74"/>
    </row>
    <row r="2122" spans="1:50" ht="13" x14ac:dyDescent="0.15">
      <c r="A2122" s="55" t="str">
        <f>HYPERLINK("http://reports.ofsted.gov.uk/inspection-reports/find-inspection-report/provider/CARE/SC036248","Ofsted Social Care Provider Webpage")</f>
        <v>Ofsted Social Care Provider Webpage</v>
      </c>
      <c r="B2122" s="55" t="s">
        <v>3393</v>
      </c>
      <c r="D2122" s="55" t="s">
        <v>373</v>
      </c>
      <c r="E2122" s="74">
        <v>37966</v>
      </c>
      <c r="F2122" s="55" t="s">
        <v>344</v>
      </c>
      <c r="G2122" s="55" t="s">
        <v>360</v>
      </c>
      <c r="H2122" s="55" t="s">
        <v>360</v>
      </c>
      <c r="I2122" s="55" t="s">
        <v>360</v>
      </c>
      <c r="J2122" s="55" t="s">
        <v>360</v>
      </c>
      <c r="K2122" s="55" t="s">
        <v>360</v>
      </c>
      <c r="L2122" s="55" t="s">
        <v>360</v>
      </c>
      <c r="M2122" s="55" t="s">
        <v>172</v>
      </c>
      <c r="N2122" s="55" t="s">
        <v>172</v>
      </c>
      <c r="O2122" s="55" t="s">
        <v>173</v>
      </c>
      <c r="P2122" s="55" t="s">
        <v>860</v>
      </c>
      <c r="Q2122" s="55" t="s">
        <v>380</v>
      </c>
      <c r="R2122" s="85">
        <v>5</v>
      </c>
      <c r="S2122" s="55">
        <v>0</v>
      </c>
      <c r="T2122" s="74" t="s">
        <v>1431</v>
      </c>
      <c r="U2122" s="74" t="s">
        <v>351</v>
      </c>
      <c r="V2122" s="74">
        <v>44299</v>
      </c>
      <c r="W2122" s="74">
        <v>44333</v>
      </c>
      <c r="X2122" s="55">
        <v>10186096</v>
      </c>
      <c r="Y2122" s="55" t="s">
        <v>132</v>
      </c>
      <c r="AB2122" s="74" t="s">
        <v>132</v>
      </c>
      <c r="AC2122" s="55" t="s">
        <v>132</v>
      </c>
      <c r="AL2122" s="74"/>
      <c r="AM2122" s="74"/>
      <c r="AW2122" s="74"/>
      <c r="AX2122" s="74"/>
    </row>
    <row r="2123" spans="1:50" ht="13" x14ac:dyDescent="0.15">
      <c r="A2123" s="55" t="str">
        <f>HYPERLINK("http://reports.ofsted.gov.uk/inspection-reports/find-inspection-report/provider/CARE/SC036261","Ofsted Social Care Provider Webpage")</f>
        <v>Ofsted Social Care Provider Webpage</v>
      </c>
      <c r="B2123" s="55" t="s">
        <v>3394</v>
      </c>
      <c r="D2123" s="55" t="s">
        <v>389</v>
      </c>
      <c r="E2123" s="74">
        <v>37931</v>
      </c>
      <c r="F2123" s="55" t="s">
        <v>344</v>
      </c>
      <c r="G2123" s="55" t="s">
        <v>3395</v>
      </c>
      <c r="H2123" s="55" t="s">
        <v>3396</v>
      </c>
      <c r="I2123" s="55" t="s">
        <v>3397</v>
      </c>
      <c r="J2123" s="55" t="s">
        <v>2614</v>
      </c>
      <c r="K2123" s="55" t="s">
        <v>1037</v>
      </c>
      <c r="L2123" s="55" t="s">
        <v>3398</v>
      </c>
      <c r="M2123" s="55" t="s">
        <v>136</v>
      </c>
      <c r="N2123" s="55" t="s">
        <v>136</v>
      </c>
      <c r="O2123" s="55" t="s">
        <v>288</v>
      </c>
      <c r="P2123" s="55" t="s">
        <v>1037</v>
      </c>
      <c r="Q2123" s="55" t="s">
        <v>350</v>
      </c>
      <c r="S2123" s="55">
        <v>0</v>
      </c>
      <c r="T2123" s="74" t="s">
        <v>2197</v>
      </c>
      <c r="U2123" s="74" t="s">
        <v>351</v>
      </c>
      <c r="V2123" s="74">
        <v>44578</v>
      </c>
      <c r="W2123" s="74">
        <v>44615</v>
      </c>
      <c r="X2123" s="55">
        <v>10183419</v>
      </c>
      <c r="Y2123" s="55" t="s">
        <v>132</v>
      </c>
      <c r="AB2123" s="74" t="s">
        <v>132</v>
      </c>
      <c r="AC2123" s="55" t="s">
        <v>132</v>
      </c>
      <c r="AL2123" s="74"/>
      <c r="AM2123" s="74"/>
      <c r="AW2123" s="74"/>
      <c r="AX2123" s="74"/>
    </row>
    <row r="2124" spans="1:50" ht="13" x14ac:dyDescent="0.15">
      <c r="A2124" s="55" t="str">
        <f>HYPERLINK("http://reports.ofsted.gov.uk/inspection-reports/find-inspection-report/provider/CARE/SC036262","Ofsted Social Care Provider Webpage")</f>
        <v>Ofsted Social Care Provider Webpage</v>
      </c>
      <c r="B2124" s="55" t="s">
        <v>3399</v>
      </c>
      <c r="D2124" s="55" t="s">
        <v>373</v>
      </c>
      <c r="E2124" s="74">
        <v>38071</v>
      </c>
      <c r="F2124" s="55" t="s">
        <v>344</v>
      </c>
      <c r="G2124" s="55" t="s">
        <v>360</v>
      </c>
      <c r="H2124" s="55" t="s">
        <v>360</v>
      </c>
      <c r="I2124" s="55" t="s">
        <v>360</v>
      </c>
      <c r="J2124" s="55" t="s">
        <v>360</v>
      </c>
      <c r="K2124" s="55" t="s">
        <v>360</v>
      </c>
      <c r="L2124" s="55" t="s">
        <v>360</v>
      </c>
      <c r="M2124" s="55" t="s">
        <v>172</v>
      </c>
      <c r="N2124" s="55" t="s">
        <v>172</v>
      </c>
      <c r="O2124" s="55" t="s">
        <v>173</v>
      </c>
      <c r="P2124" s="55" t="s">
        <v>2307</v>
      </c>
      <c r="Q2124" s="55" t="s">
        <v>380</v>
      </c>
      <c r="R2124" s="85">
        <v>3</v>
      </c>
      <c r="S2124" s="55">
        <v>0</v>
      </c>
      <c r="T2124" s="74" t="s">
        <v>1431</v>
      </c>
      <c r="U2124" s="74" t="s">
        <v>351</v>
      </c>
      <c r="V2124" s="74">
        <v>44586</v>
      </c>
      <c r="W2124" s="74">
        <v>44623</v>
      </c>
      <c r="X2124" s="55">
        <v>10187322</v>
      </c>
      <c r="Y2124" s="55" t="s">
        <v>140</v>
      </c>
      <c r="AB2124" s="74" t="s">
        <v>140</v>
      </c>
      <c r="AC2124" s="55" t="s">
        <v>140</v>
      </c>
      <c r="AL2124" s="74"/>
      <c r="AM2124" s="74"/>
      <c r="AW2124" s="74"/>
      <c r="AX2124" s="74"/>
    </row>
    <row r="2125" spans="1:50" ht="13" x14ac:dyDescent="0.15">
      <c r="A2125" s="55" t="str">
        <f>HYPERLINK("http://reports.ofsted.gov.uk/inspection-reports/find-inspection-report/provider/CARE/SC036298","Ofsted Social Care Provider Webpage")</f>
        <v>Ofsted Social Care Provider Webpage</v>
      </c>
      <c r="B2125" s="55" t="s">
        <v>3400</v>
      </c>
      <c r="D2125" s="55" t="s">
        <v>373</v>
      </c>
      <c r="E2125" s="74">
        <v>38006</v>
      </c>
      <c r="F2125" s="55" t="s">
        <v>344</v>
      </c>
      <c r="G2125" s="55" t="s">
        <v>360</v>
      </c>
      <c r="H2125" s="55" t="s">
        <v>360</v>
      </c>
      <c r="I2125" s="55" t="s">
        <v>360</v>
      </c>
      <c r="J2125" s="55" t="s">
        <v>360</v>
      </c>
      <c r="K2125" s="55" t="s">
        <v>360</v>
      </c>
      <c r="L2125" s="55" t="s">
        <v>360</v>
      </c>
      <c r="M2125" s="55" t="s">
        <v>144</v>
      </c>
      <c r="N2125" s="55" t="s">
        <v>144</v>
      </c>
      <c r="O2125" s="55" t="s">
        <v>250</v>
      </c>
      <c r="P2125" s="55" t="s">
        <v>759</v>
      </c>
      <c r="Q2125" s="55" t="s">
        <v>380</v>
      </c>
      <c r="R2125" s="85">
        <v>5</v>
      </c>
      <c r="S2125" s="55" t="s">
        <v>332</v>
      </c>
      <c r="T2125" s="74" t="s">
        <v>3401</v>
      </c>
      <c r="U2125" s="74" t="s">
        <v>2053</v>
      </c>
      <c r="V2125" s="74">
        <v>44565</v>
      </c>
      <c r="W2125" s="74">
        <v>44589</v>
      </c>
      <c r="X2125" s="55">
        <v>10214851</v>
      </c>
      <c r="AL2125" s="74"/>
      <c r="AM2125" s="74"/>
      <c r="AW2125" s="74"/>
      <c r="AX2125" s="74"/>
    </row>
    <row r="2126" spans="1:50" ht="13" x14ac:dyDescent="0.15">
      <c r="A2126" s="55" t="str">
        <f>HYPERLINK("http://reports.ofsted.gov.uk/inspection-reports/find-inspection-report/provider/CARE/SC036298","Ofsted Social Care Provider Webpage")</f>
        <v>Ofsted Social Care Provider Webpage</v>
      </c>
      <c r="B2126" s="55" t="s">
        <v>3400</v>
      </c>
      <c r="D2126" s="55" t="s">
        <v>373</v>
      </c>
      <c r="E2126" s="74">
        <v>38006</v>
      </c>
      <c r="F2126" s="55" t="s">
        <v>344</v>
      </c>
      <c r="G2126" s="55" t="s">
        <v>360</v>
      </c>
      <c r="H2126" s="55" t="s">
        <v>360</v>
      </c>
      <c r="I2126" s="55" t="s">
        <v>360</v>
      </c>
      <c r="J2126" s="55" t="s">
        <v>360</v>
      </c>
      <c r="K2126" s="55" t="s">
        <v>360</v>
      </c>
      <c r="L2126" s="55" t="s">
        <v>360</v>
      </c>
      <c r="M2126" s="55" t="s">
        <v>144</v>
      </c>
      <c r="N2126" s="55" t="s">
        <v>144</v>
      </c>
      <c r="O2126" s="55" t="s">
        <v>250</v>
      </c>
      <c r="P2126" s="55" t="s">
        <v>759</v>
      </c>
      <c r="Q2126" s="55" t="s">
        <v>380</v>
      </c>
      <c r="R2126" s="85">
        <v>5</v>
      </c>
      <c r="S2126" s="55" t="s">
        <v>332</v>
      </c>
      <c r="T2126" s="74" t="s">
        <v>3401</v>
      </c>
      <c r="U2126" s="74" t="s">
        <v>351</v>
      </c>
      <c r="V2126" s="74">
        <v>44509</v>
      </c>
      <c r="W2126" s="74">
        <v>44550</v>
      </c>
      <c r="X2126" s="55">
        <v>10187005</v>
      </c>
      <c r="Y2126" s="55" t="s">
        <v>146</v>
      </c>
      <c r="AB2126" s="74" t="s">
        <v>146</v>
      </c>
      <c r="AC2126" s="55" t="s">
        <v>146</v>
      </c>
      <c r="AL2126" s="74"/>
      <c r="AM2126" s="74"/>
      <c r="AW2126" s="74"/>
      <c r="AX2126" s="74"/>
    </row>
    <row r="2127" spans="1:50" ht="13" x14ac:dyDescent="0.15">
      <c r="A2127" s="55" t="str">
        <f>HYPERLINK("http://reports.ofsted.gov.uk/inspection-reports/find-inspection-report/provider/CARE/SC036304","Ofsted Social Care Provider Webpage")</f>
        <v>Ofsted Social Care Provider Webpage</v>
      </c>
      <c r="B2127" s="55" t="s">
        <v>3402</v>
      </c>
      <c r="D2127" s="55" t="s">
        <v>373</v>
      </c>
      <c r="E2127" s="74">
        <v>37705</v>
      </c>
      <c r="F2127" s="55" t="s">
        <v>344</v>
      </c>
      <c r="G2127" s="55" t="s">
        <v>360</v>
      </c>
      <c r="H2127" s="55" t="s">
        <v>360</v>
      </c>
      <c r="I2127" s="55" t="s">
        <v>360</v>
      </c>
      <c r="J2127" s="55" t="s">
        <v>360</v>
      </c>
      <c r="K2127" s="55" t="s">
        <v>360</v>
      </c>
      <c r="L2127" s="55" t="s">
        <v>360</v>
      </c>
      <c r="M2127" s="55" t="s">
        <v>144</v>
      </c>
      <c r="N2127" s="55" t="s">
        <v>144</v>
      </c>
      <c r="O2127" s="55" t="s">
        <v>250</v>
      </c>
      <c r="P2127" s="55" t="s">
        <v>759</v>
      </c>
      <c r="Q2127" s="55" t="s">
        <v>380</v>
      </c>
      <c r="R2127" s="85">
        <v>2</v>
      </c>
      <c r="S2127" s="55">
        <v>0</v>
      </c>
      <c r="T2127" s="74" t="s">
        <v>3401</v>
      </c>
      <c r="U2127" s="74" t="s">
        <v>351</v>
      </c>
      <c r="V2127" s="74">
        <v>44369</v>
      </c>
      <c r="W2127" s="74">
        <v>44403</v>
      </c>
      <c r="X2127" s="55">
        <v>10185457</v>
      </c>
      <c r="Y2127" s="55" t="s">
        <v>146</v>
      </c>
      <c r="AB2127" s="74" t="s">
        <v>146</v>
      </c>
      <c r="AC2127" s="55" t="s">
        <v>146</v>
      </c>
      <c r="AL2127" s="74"/>
      <c r="AM2127" s="74"/>
      <c r="AW2127" s="74"/>
      <c r="AX2127" s="74"/>
    </row>
    <row r="2128" spans="1:50" ht="13" x14ac:dyDescent="0.15">
      <c r="A2128" s="55" t="str">
        <f>HYPERLINK("http://reports.ofsted.gov.uk/inspection-reports/find-inspection-report/provider/CARE/SC036400","Ofsted Social Care Provider Webpage")</f>
        <v>Ofsted Social Care Provider Webpage</v>
      </c>
      <c r="B2128" s="55" t="s">
        <v>3403</v>
      </c>
      <c r="D2128" s="55" t="s">
        <v>389</v>
      </c>
      <c r="E2128" s="74">
        <v>38352</v>
      </c>
      <c r="F2128" s="55" t="s">
        <v>344</v>
      </c>
      <c r="G2128" s="55" t="s">
        <v>3395</v>
      </c>
      <c r="H2128" s="55" t="s">
        <v>3404</v>
      </c>
      <c r="I2128" s="55" t="s">
        <v>3405</v>
      </c>
      <c r="J2128" s="55" t="s">
        <v>3017</v>
      </c>
      <c r="L2128" s="55" t="s">
        <v>3406</v>
      </c>
      <c r="M2128" s="55" t="s">
        <v>136</v>
      </c>
      <c r="N2128" s="55" t="s">
        <v>136</v>
      </c>
      <c r="O2128" s="55" t="s">
        <v>154</v>
      </c>
      <c r="P2128" s="55" t="s">
        <v>1818</v>
      </c>
      <c r="Q2128" s="55" t="s">
        <v>350</v>
      </c>
      <c r="S2128" s="55">
        <v>0</v>
      </c>
      <c r="T2128" s="74" t="s">
        <v>2197</v>
      </c>
      <c r="U2128" s="74" t="s">
        <v>351</v>
      </c>
      <c r="V2128" s="74">
        <v>44592</v>
      </c>
      <c r="W2128" s="74">
        <v>44644</v>
      </c>
      <c r="X2128" s="55">
        <v>10183420</v>
      </c>
      <c r="Y2128" s="55" t="s">
        <v>132</v>
      </c>
      <c r="AB2128" s="74" t="s">
        <v>132</v>
      </c>
      <c r="AC2128" s="55" t="s">
        <v>132</v>
      </c>
      <c r="AL2128" s="74"/>
      <c r="AM2128" s="74"/>
      <c r="AW2128" s="74"/>
      <c r="AX2128" s="74"/>
    </row>
    <row r="2129" spans="1:50" ht="13" x14ac:dyDescent="0.15">
      <c r="A2129" s="55" t="str">
        <f>HYPERLINK("http://reports.ofsted.gov.uk/inspection-reports/find-inspection-report/provider/CARE/SC036488","Ofsted Social Care Provider Webpage")</f>
        <v>Ofsted Social Care Provider Webpage</v>
      </c>
      <c r="B2129" s="55" t="s">
        <v>3407</v>
      </c>
      <c r="D2129" s="55" t="s">
        <v>389</v>
      </c>
      <c r="E2129" s="74">
        <v>37930</v>
      </c>
      <c r="F2129" s="55" t="s">
        <v>344</v>
      </c>
      <c r="G2129" s="55" t="s">
        <v>3408</v>
      </c>
      <c r="H2129" s="55" t="s">
        <v>3409</v>
      </c>
      <c r="I2129" s="55" t="s">
        <v>3410</v>
      </c>
      <c r="J2129" s="55" t="s">
        <v>3411</v>
      </c>
      <c r="K2129" s="55" t="s">
        <v>203</v>
      </c>
      <c r="L2129" s="55" t="s">
        <v>3412</v>
      </c>
      <c r="M2129" s="55" t="s">
        <v>150</v>
      </c>
      <c r="N2129" s="55" t="s">
        <v>150</v>
      </c>
      <c r="O2129" s="55" t="s">
        <v>203</v>
      </c>
      <c r="P2129" s="55" t="s">
        <v>563</v>
      </c>
      <c r="Q2129" s="55" t="s">
        <v>350</v>
      </c>
      <c r="S2129" s="55">
        <v>0</v>
      </c>
      <c r="T2129" s="74" t="s">
        <v>3413</v>
      </c>
      <c r="U2129" s="74" t="s">
        <v>351</v>
      </c>
      <c r="V2129" s="74">
        <v>44466</v>
      </c>
      <c r="W2129" s="74">
        <v>44511</v>
      </c>
      <c r="X2129" s="55">
        <v>10183403</v>
      </c>
      <c r="Y2129" s="55" t="s">
        <v>140</v>
      </c>
      <c r="AB2129" s="74" t="s">
        <v>140</v>
      </c>
      <c r="AC2129" s="55" t="s">
        <v>140</v>
      </c>
      <c r="AL2129" s="74"/>
      <c r="AM2129" s="74"/>
      <c r="AW2129" s="74"/>
      <c r="AX2129" s="74"/>
    </row>
    <row r="2130" spans="1:50" ht="13" x14ac:dyDescent="0.15">
      <c r="A2130" s="55" t="str">
        <f>HYPERLINK("http://reports.ofsted.gov.uk/inspection-reports/find-inspection-report/provider/CARE/SC036530","Ofsted Social Care Provider Webpage")</f>
        <v>Ofsted Social Care Provider Webpage</v>
      </c>
      <c r="B2130" s="55" t="s">
        <v>3414</v>
      </c>
      <c r="D2130" s="55" t="s">
        <v>389</v>
      </c>
      <c r="E2130" s="74">
        <v>37833</v>
      </c>
      <c r="F2130" s="55" t="s">
        <v>344</v>
      </c>
      <c r="G2130" s="55" t="s">
        <v>3415</v>
      </c>
      <c r="H2130" s="55" t="s">
        <v>3416</v>
      </c>
      <c r="I2130" s="55" t="s">
        <v>3417</v>
      </c>
      <c r="J2130" s="55" t="s">
        <v>3418</v>
      </c>
      <c r="K2130" s="55" t="s">
        <v>203</v>
      </c>
      <c r="L2130" s="55" t="s">
        <v>3419</v>
      </c>
      <c r="M2130" s="55" t="s">
        <v>150</v>
      </c>
      <c r="N2130" s="55" t="s">
        <v>150</v>
      </c>
      <c r="O2130" s="55" t="s">
        <v>203</v>
      </c>
      <c r="P2130" s="55" t="s">
        <v>1835</v>
      </c>
      <c r="Q2130" s="55" t="s">
        <v>362</v>
      </c>
      <c r="S2130" s="55">
        <v>0</v>
      </c>
      <c r="T2130" s="74" t="s">
        <v>3420</v>
      </c>
      <c r="U2130" s="74" t="s">
        <v>2053</v>
      </c>
      <c r="V2130" s="74">
        <v>44614</v>
      </c>
      <c r="W2130" s="74">
        <v>44670</v>
      </c>
      <c r="X2130" s="55">
        <v>10218033</v>
      </c>
      <c r="AL2130" s="74"/>
      <c r="AM2130" s="74"/>
      <c r="AW2130" s="74"/>
      <c r="AX2130" s="74"/>
    </row>
    <row r="2131" spans="1:50" ht="13" x14ac:dyDescent="0.15">
      <c r="A2131" s="55" t="str">
        <f>HYPERLINK("http://reports.ofsted.gov.uk/inspection-reports/find-inspection-report/provider/CARE/SC036530","Ofsted Social Care Provider Webpage")</f>
        <v>Ofsted Social Care Provider Webpage</v>
      </c>
      <c r="B2131" s="55" t="s">
        <v>3414</v>
      </c>
      <c r="D2131" s="55" t="s">
        <v>389</v>
      </c>
      <c r="E2131" s="74">
        <v>37833</v>
      </c>
      <c r="F2131" s="55" t="s">
        <v>344</v>
      </c>
      <c r="G2131" s="55" t="s">
        <v>3415</v>
      </c>
      <c r="H2131" s="55" t="s">
        <v>3416</v>
      </c>
      <c r="I2131" s="55" t="s">
        <v>3417</v>
      </c>
      <c r="J2131" s="55" t="s">
        <v>3418</v>
      </c>
      <c r="K2131" s="55" t="s">
        <v>203</v>
      </c>
      <c r="L2131" s="55" t="s">
        <v>3419</v>
      </c>
      <c r="M2131" s="55" t="s">
        <v>150</v>
      </c>
      <c r="N2131" s="55" t="s">
        <v>150</v>
      </c>
      <c r="O2131" s="55" t="s">
        <v>203</v>
      </c>
      <c r="P2131" s="55" t="s">
        <v>1835</v>
      </c>
      <c r="Q2131" s="55" t="s">
        <v>362</v>
      </c>
      <c r="S2131" s="55">
        <v>0</v>
      </c>
      <c r="T2131" s="74" t="s">
        <v>3420</v>
      </c>
      <c r="U2131" s="74" t="s">
        <v>2053</v>
      </c>
      <c r="V2131" s="74">
        <v>44551</v>
      </c>
      <c r="W2131" s="74">
        <v>44614</v>
      </c>
      <c r="X2131" s="55">
        <v>10217283</v>
      </c>
      <c r="AL2131" s="74"/>
      <c r="AM2131" s="74"/>
      <c r="AW2131" s="74"/>
      <c r="AX2131" s="74"/>
    </row>
    <row r="2132" spans="1:50" ht="13" x14ac:dyDescent="0.15">
      <c r="A2132" s="55" t="str">
        <f>HYPERLINK("http://reports.ofsted.gov.uk/inspection-reports/find-inspection-report/provider/CARE/SC036540","Ofsted Social Care Provider Webpage")</f>
        <v>Ofsted Social Care Provider Webpage</v>
      </c>
      <c r="B2132" s="55" t="s">
        <v>3421</v>
      </c>
      <c r="D2132" s="55" t="s">
        <v>389</v>
      </c>
      <c r="E2132" s="74">
        <v>38019</v>
      </c>
      <c r="F2132" s="55" t="s">
        <v>344</v>
      </c>
      <c r="G2132" s="55" t="s">
        <v>3422</v>
      </c>
      <c r="H2132" s="55" t="s">
        <v>3423</v>
      </c>
      <c r="I2132" s="55" t="s">
        <v>354</v>
      </c>
      <c r="J2132" s="55" t="s">
        <v>3424</v>
      </c>
      <c r="L2132" s="55" t="s">
        <v>3425</v>
      </c>
      <c r="M2132" s="55" t="s">
        <v>150</v>
      </c>
      <c r="N2132" s="55" t="s">
        <v>150</v>
      </c>
      <c r="O2132" s="55" t="s">
        <v>203</v>
      </c>
      <c r="P2132" s="55" t="s">
        <v>2078</v>
      </c>
      <c r="Q2132" s="55" t="s">
        <v>350</v>
      </c>
      <c r="S2132" s="55">
        <v>0</v>
      </c>
      <c r="T2132" s="74" t="s">
        <v>3426</v>
      </c>
      <c r="U2132" s="74" t="s">
        <v>351</v>
      </c>
      <c r="V2132" s="74">
        <v>44515</v>
      </c>
      <c r="W2132" s="74">
        <v>44599</v>
      </c>
      <c r="X2132" s="55">
        <v>10183408</v>
      </c>
      <c r="Y2132" s="55" t="s">
        <v>132</v>
      </c>
      <c r="AB2132" s="74" t="s">
        <v>132</v>
      </c>
      <c r="AC2132" s="55" t="s">
        <v>132</v>
      </c>
      <c r="AL2132" s="74"/>
      <c r="AM2132" s="74"/>
      <c r="AW2132" s="74"/>
      <c r="AX2132" s="74"/>
    </row>
    <row r="2133" spans="1:50" ht="13" x14ac:dyDescent="0.15">
      <c r="A2133" s="55" t="str">
        <f>HYPERLINK("http://reports.ofsted.gov.uk/inspection-reports/find-inspection-report/provider/CARE/SC036583","Ofsted Social Care Provider Webpage")</f>
        <v>Ofsted Social Care Provider Webpage</v>
      </c>
      <c r="B2133" s="55" t="s">
        <v>3427</v>
      </c>
      <c r="D2133" s="55" t="s">
        <v>389</v>
      </c>
      <c r="E2133" s="74">
        <v>38063</v>
      </c>
      <c r="F2133" s="55" t="s">
        <v>344</v>
      </c>
      <c r="G2133" s="55" t="s">
        <v>3428</v>
      </c>
      <c r="H2133" s="55" t="s">
        <v>3429</v>
      </c>
      <c r="I2133" s="55" t="s">
        <v>354</v>
      </c>
      <c r="J2133" s="55" t="s">
        <v>3430</v>
      </c>
      <c r="K2133" s="55" t="s">
        <v>203</v>
      </c>
      <c r="L2133" s="55" t="s">
        <v>3431</v>
      </c>
      <c r="M2133" s="55" t="s">
        <v>150</v>
      </c>
      <c r="N2133" s="55" t="s">
        <v>150</v>
      </c>
      <c r="O2133" s="55" t="s">
        <v>203</v>
      </c>
      <c r="P2133" s="55" t="s">
        <v>1263</v>
      </c>
      <c r="Q2133" s="55" t="s">
        <v>350</v>
      </c>
      <c r="S2133" s="55">
        <v>0</v>
      </c>
      <c r="T2133" s="74" t="s">
        <v>2891</v>
      </c>
      <c r="U2133" s="74" t="s">
        <v>351</v>
      </c>
      <c r="V2133" s="74">
        <v>44466</v>
      </c>
      <c r="W2133" s="74">
        <v>44525</v>
      </c>
      <c r="X2133" s="55">
        <v>10183411</v>
      </c>
      <c r="Y2133" s="55" t="s">
        <v>132</v>
      </c>
      <c r="AB2133" s="74" t="s">
        <v>132</v>
      </c>
      <c r="AC2133" s="55" t="s">
        <v>132</v>
      </c>
      <c r="AL2133" s="74"/>
      <c r="AM2133" s="74"/>
      <c r="AW2133" s="74"/>
      <c r="AX2133" s="74"/>
    </row>
    <row r="2134" spans="1:50" ht="13" x14ac:dyDescent="0.15">
      <c r="A2134" s="55" t="str">
        <f>HYPERLINK("http://reports.ofsted.gov.uk/inspection-reports/find-inspection-report/provider/CARE/SC036627","Ofsted Social Care Provider Webpage")</f>
        <v>Ofsted Social Care Provider Webpage</v>
      </c>
      <c r="B2134" s="55" t="s">
        <v>3451</v>
      </c>
      <c r="D2134" s="55" t="s">
        <v>389</v>
      </c>
      <c r="E2134" s="74">
        <v>37859</v>
      </c>
      <c r="F2134" s="55" t="s">
        <v>344</v>
      </c>
      <c r="G2134" s="55" t="s">
        <v>3452</v>
      </c>
      <c r="H2134" s="55" t="s">
        <v>3453</v>
      </c>
      <c r="I2134" s="55" t="s">
        <v>3454</v>
      </c>
      <c r="J2134" s="55" t="s">
        <v>3455</v>
      </c>
      <c r="L2134" s="55" t="s">
        <v>3456</v>
      </c>
      <c r="M2134" s="55" t="s">
        <v>142</v>
      </c>
      <c r="N2134" s="55" t="s">
        <v>142</v>
      </c>
      <c r="O2134" s="55" t="s">
        <v>292</v>
      </c>
      <c r="P2134" s="55" t="s">
        <v>1052</v>
      </c>
      <c r="Q2134" s="55" t="s">
        <v>350</v>
      </c>
      <c r="S2134" s="55">
        <v>0</v>
      </c>
      <c r="T2134" s="74" t="s">
        <v>1164</v>
      </c>
      <c r="U2134" s="74" t="s">
        <v>351</v>
      </c>
      <c r="V2134" s="74">
        <v>44522</v>
      </c>
      <c r="W2134" s="74">
        <v>44582</v>
      </c>
      <c r="X2134" s="55">
        <v>10183433</v>
      </c>
      <c r="Y2134" s="55" t="s">
        <v>140</v>
      </c>
      <c r="AB2134" s="74" t="s">
        <v>132</v>
      </c>
      <c r="AC2134" s="55" t="s">
        <v>140</v>
      </c>
      <c r="AL2134" s="74"/>
      <c r="AM2134" s="74"/>
      <c r="AW2134" s="74"/>
      <c r="AX2134" s="74"/>
    </row>
    <row r="2135" spans="1:50" ht="13" x14ac:dyDescent="0.15">
      <c r="A2135" s="55" t="str">
        <f>HYPERLINK("http://reports.ofsted.gov.uk/inspection-reports/find-inspection-report/provider/CARE/SC036732","Ofsted Social Care Provider Webpage")</f>
        <v>Ofsted Social Care Provider Webpage</v>
      </c>
      <c r="B2135" s="55" t="s">
        <v>3476</v>
      </c>
      <c r="D2135" s="55" t="s">
        <v>373</v>
      </c>
      <c r="E2135" s="74">
        <v>37659</v>
      </c>
      <c r="F2135" s="55" t="s">
        <v>344</v>
      </c>
      <c r="G2135" s="55" t="s">
        <v>360</v>
      </c>
      <c r="H2135" s="55" t="s">
        <v>360</v>
      </c>
      <c r="I2135" s="55" t="s">
        <v>360</v>
      </c>
      <c r="J2135" s="55" t="s">
        <v>360</v>
      </c>
      <c r="K2135" s="55" t="s">
        <v>360</v>
      </c>
      <c r="L2135" s="55" t="s">
        <v>360</v>
      </c>
      <c r="M2135" s="55" t="s">
        <v>172</v>
      </c>
      <c r="N2135" s="55" t="s">
        <v>172</v>
      </c>
      <c r="O2135" s="55" t="s">
        <v>235</v>
      </c>
      <c r="P2135" s="55" t="s">
        <v>2338</v>
      </c>
      <c r="Q2135" s="55" t="s">
        <v>380</v>
      </c>
      <c r="R2135" s="85">
        <v>8</v>
      </c>
      <c r="S2135" s="55" t="s">
        <v>332</v>
      </c>
      <c r="T2135" s="74" t="s">
        <v>3477</v>
      </c>
      <c r="U2135" s="74" t="s">
        <v>351</v>
      </c>
      <c r="V2135" s="74">
        <v>44516</v>
      </c>
      <c r="W2135" s="74">
        <v>44546</v>
      </c>
      <c r="X2135" s="55">
        <v>10187198</v>
      </c>
      <c r="Y2135" s="55" t="s">
        <v>130</v>
      </c>
      <c r="AB2135" s="74" t="s">
        <v>130</v>
      </c>
      <c r="AC2135" s="55" t="s">
        <v>130</v>
      </c>
      <c r="AL2135" s="74"/>
      <c r="AM2135" s="74"/>
      <c r="AW2135" s="74"/>
      <c r="AX2135" s="74"/>
    </row>
    <row r="2136" spans="1:50" ht="13" x14ac:dyDescent="0.15">
      <c r="A2136" s="55" t="str">
        <f>HYPERLINK("http://reports.ofsted.gov.uk/inspection-reports/find-inspection-report/provider/CARE/SC036737","Ofsted Social Care Provider Webpage")</f>
        <v>Ofsted Social Care Provider Webpage</v>
      </c>
      <c r="B2136" s="55" t="s">
        <v>3478</v>
      </c>
      <c r="D2136" s="55" t="s">
        <v>373</v>
      </c>
      <c r="E2136" s="74">
        <v>37953</v>
      </c>
      <c r="F2136" s="55" t="s">
        <v>344</v>
      </c>
      <c r="G2136" s="55" t="s">
        <v>360</v>
      </c>
      <c r="H2136" s="55" t="s">
        <v>360</v>
      </c>
      <c r="I2136" s="55" t="s">
        <v>360</v>
      </c>
      <c r="J2136" s="55" t="s">
        <v>360</v>
      </c>
      <c r="K2136" s="55" t="s">
        <v>360</v>
      </c>
      <c r="L2136" s="55" t="s">
        <v>360</v>
      </c>
      <c r="M2136" s="55" t="s">
        <v>172</v>
      </c>
      <c r="N2136" s="55" t="s">
        <v>172</v>
      </c>
      <c r="O2136" s="55" t="s">
        <v>235</v>
      </c>
      <c r="P2136" s="55" t="s">
        <v>628</v>
      </c>
      <c r="Q2136" s="55" t="s">
        <v>380</v>
      </c>
      <c r="R2136" s="85">
        <v>16</v>
      </c>
      <c r="S2136" s="55">
        <v>0</v>
      </c>
      <c r="T2136" s="74" t="s">
        <v>3477</v>
      </c>
      <c r="U2136" s="74" t="s">
        <v>351</v>
      </c>
      <c r="V2136" s="74">
        <v>44567</v>
      </c>
      <c r="W2136" s="74">
        <v>44621</v>
      </c>
      <c r="X2136" s="55">
        <v>10185712</v>
      </c>
      <c r="Y2136" s="55" t="s">
        <v>140</v>
      </c>
      <c r="AB2136" s="74" t="s">
        <v>132</v>
      </c>
      <c r="AC2136" s="55" t="s">
        <v>132</v>
      </c>
      <c r="AL2136" s="74"/>
      <c r="AM2136" s="74"/>
      <c r="AW2136" s="74"/>
      <c r="AX2136" s="74"/>
    </row>
    <row r="2137" spans="1:50" ht="13" x14ac:dyDescent="0.15">
      <c r="A2137" s="55" t="str">
        <f>HYPERLINK("http://reports.ofsted.gov.uk/inspection-reports/find-inspection-report/provider/CARE/SC036740","Ofsted Social Care Provider Webpage")</f>
        <v>Ofsted Social Care Provider Webpage</v>
      </c>
      <c r="B2137" s="55" t="s">
        <v>3479</v>
      </c>
      <c r="D2137" s="55" t="s">
        <v>2864</v>
      </c>
      <c r="E2137" s="74">
        <v>37953</v>
      </c>
      <c r="F2137" s="55" t="s">
        <v>344</v>
      </c>
      <c r="G2137" s="55" t="s">
        <v>360</v>
      </c>
      <c r="H2137" s="55" t="s">
        <v>360</v>
      </c>
      <c r="I2137" s="55" t="s">
        <v>360</v>
      </c>
      <c r="J2137" s="55" t="s">
        <v>360</v>
      </c>
      <c r="K2137" s="55" t="s">
        <v>360</v>
      </c>
      <c r="L2137" s="55" t="s">
        <v>360</v>
      </c>
      <c r="M2137" s="55" t="s">
        <v>172</v>
      </c>
      <c r="N2137" s="55" t="s">
        <v>172</v>
      </c>
      <c r="O2137" s="55" t="s">
        <v>235</v>
      </c>
      <c r="P2137" s="55" t="s">
        <v>1355</v>
      </c>
      <c r="Q2137" s="55" t="s">
        <v>380</v>
      </c>
      <c r="R2137" s="85">
        <v>20</v>
      </c>
      <c r="S2137" s="55">
        <v>0</v>
      </c>
      <c r="T2137" s="74" t="s">
        <v>3477</v>
      </c>
      <c r="U2137" s="74" t="s">
        <v>6703</v>
      </c>
      <c r="V2137" s="74">
        <v>44566</v>
      </c>
      <c r="W2137" s="74">
        <v>44594</v>
      </c>
      <c r="X2137" s="55">
        <v>10165444</v>
      </c>
      <c r="Y2137" s="55" t="s">
        <v>6706</v>
      </c>
      <c r="AL2137" s="74"/>
      <c r="AM2137" s="74"/>
      <c r="AW2137" s="74"/>
      <c r="AX2137" s="74"/>
    </row>
    <row r="2138" spans="1:50" ht="13" x14ac:dyDescent="0.15">
      <c r="A2138" s="55" t="str">
        <f>HYPERLINK("http://reports.ofsted.gov.uk/inspection-reports/find-inspection-report/provider/CARE/SC036740","Ofsted Social Care Provider Webpage")</f>
        <v>Ofsted Social Care Provider Webpage</v>
      </c>
      <c r="B2138" s="55" t="s">
        <v>3479</v>
      </c>
      <c r="D2138" s="55" t="s">
        <v>2864</v>
      </c>
      <c r="E2138" s="74">
        <v>37953</v>
      </c>
      <c r="F2138" s="55" t="s">
        <v>344</v>
      </c>
      <c r="G2138" s="55" t="s">
        <v>360</v>
      </c>
      <c r="H2138" s="55" t="s">
        <v>360</v>
      </c>
      <c r="I2138" s="55" t="s">
        <v>360</v>
      </c>
      <c r="J2138" s="55" t="s">
        <v>360</v>
      </c>
      <c r="K2138" s="55" t="s">
        <v>360</v>
      </c>
      <c r="L2138" s="55" t="s">
        <v>360</v>
      </c>
      <c r="M2138" s="55" t="s">
        <v>172</v>
      </c>
      <c r="N2138" s="55" t="s">
        <v>172</v>
      </c>
      <c r="O2138" s="55" t="s">
        <v>235</v>
      </c>
      <c r="P2138" s="55" t="s">
        <v>1355</v>
      </c>
      <c r="Q2138" s="55" t="s">
        <v>380</v>
      </c>
      <c r="R2138" s="85">
        <v>20</v>
      </c>
      <c r="S2138" s="55">
        <v>0</v>
      </c>
      <c r="T2138" s="74" t="s">
        <v>3477</v>
      </c>
      <c r="U2138" s="74" t="s">
        <v>351</v>
      </c>
      <c r="V2138" s="74">
        <v>44369</v>
      </c>
      <c r="W2138" s="74">
        <v>44411</v>
      </c>
      <c r="X2138" s="55">
        <v>10165443</v>
      </c>
      <c r="Y2138" s="55" t="s">
        <v>132</v>
      </c>
      <c r="Z2138" s="55" t="s">
        <v>130</v>
      </c>
      <c r="AA2138" s="55" t="s">
        <v>132</v>
      </c>
      <c r="AB2138" s="74" t="s">
        <v>132</v>
      </c>
      <c r="AC2138" s="55" t="s">
        <v>132</v>
      </c>
      <c r="AL2138" s="74"/>
      <c r="AM2138" s="74"/>
      <c r="AW2138" s="74"/>
      <c r="AX2138" s="74"/>
    </row>
    <row r="2139" spans="1:50" ht="13" x14ac:dyDescent="0.15">
      <c r="A2139" s="55" t="str">
        <f>HYPERLINK("http://reports.ofsted.gov.uk/inspection-reports/find-inspection-report/provider/CARE/SC036773","Ofsted Social Care Provider Webpage")</f>
        <v>Ofsted Social Care Provider Webpage</v>
      </c>
      <c r="B2139" s="55" t="s">
        <v>3480</v>
      </c>
      <c r="D2139" s="55" t="s">
        <v>373</v>
      </c>
      <c r="E2139" s="74">
        <v>37762</v>
      </c>
      <c r="F2139" s="55" t="s">
        <v>344</v>
      </c>
      <c r="G2139" s="55" t="s">
        <v>360</v>
      </c>
      <c r="H2139" s="55" t="s">
        <v>360</v>
      </c>
      <c r="I2139" s="55" t="s">
        <v>360</v>
      </c>
      <c r="J2139" s="55" t="s">
        <v>360</v>
      </c>
      <c r="K2139" s="55" t="s">
        <v>360</v>
      </c>
      <c r="L2139" s="55" t="s">
        <v>360</v>
      </c>
      <c r="M2139" s="55" t="s">
        <v>378</v>
      </c>
      <c r="N2139" s="55" t="s">
        <v>170</v>
      </c>
      <c r="O2139" s="55" t="s">
        <v>184</v>
      </c>
      <c r="P2139" s="55" t="s">
        <v>676</v>
      </c>
      <c r="Q2139" s="55" t="s">
        <v>380</v>
      </c>
      <c r="R2139" s="85">
        <v>5</v>
      </c>
      <c r="S2139" s="55">
        <v>0</v>
      </c>
      <c r="T2139" s="74" t="s">
        <v>1711</v>
      </c>
      <c r="U2139" s="74" t="s">
        <v>351</v>
      </c>
      <c r="V2139" s="74">
        <v>44355</v>
      </c>
      <c r="W2139" s="74">
        <v>44391</v>
      </c>
      <c r="X2139" s="55">
        <v>10185278</v>
      </c>
      <c r="Y2139" s="55" t="s">
        <v>132</v>
      </c>
      <c r="AB2139" s="74" t="s">
        <v>132</v>
      </c>
      <c r="AC2139" s="55" t="s">
        <v>132</v>
      </c>
      <c r="AL2139" s="74"/>
      <c r="AM2139" s="74"/>
    </row>
    <row r="2140" spans="1:50" ht="13" x14ac:dyDescent="0.15">
      <c r="A2140" s="55" t="str">
        <f>HYPERLINK("http://reports.ofsted.gov.uk/inspection-reports/find-inspection-report/provider/CARE/SC036804","Ofsted Social Care Provider Webpage")</f>
        <v>Ofsted Social Care Provider Webpage</v>
      </c>
      <c r="B2140" s="55" t="s">
        <v>3481</v>
      </c>
      <c r="D2140" s="55" t="s">
        <v>373</v>
      </c>
      <c r="E2140" s="74">
        <v>37762</v>
      </c>
      <c r="F2140" s="55" t="s">
        <v>344</v>
      </c>
      <c r="G2140" s="55" t="s">
        <v>360</v>
      </c>
      <c r="H2140" s="55" t="s">
        <v>360</v>
      </c>
      <c r="I2140" s="55" t="s">
        <v>360</v>
      </c>
      <c r="J2140" s="55" t="s">
        <v>360</v>
      </c>
      <c r="K2140" s="55" t="s">
        <v>360</v>
      </c>
      <c r="L2140" s="55" t="s">
        <v>360</v>
      </c>
      <c r="M2140" s="55" t="s">
        <v>378</v>
      </c>
      <c r="N2140" s="55" t="s">
        <v>170</v>
      </c>
      <c r="O2140" s="55" t="s">
        <v>184</v>
      </c>
      <c r="P2140" s="55" t="s">
        <v>184</v>
      </c>
      <c r="Q2140" s="55" t="s">
        <v>380</v>
      </c>
      <c r="R2140" s="85">
        <v>6</v>
      </c>
      <c r="S2140" s="55" t="s">
        <v>332</v>
      </c>
      <c r="T2140" s="74" t="s">
        <v>1711</v>
      </c>
      <c r="U2140" s="74" t="s">
        <v>351</v>
      </c>
      <c r="V2140" s="74">
        <v>44390</v>
      </c>
      <c r="W2140" s="74">
        <v>44432</v>
      </c>
      <c r="X2140" s="55">
        <v>10185889</v>
      </c>
      <c r="Y2140" s="55" t="s">
        <v>132</v>
      </c>
      <c r="AB2140" s="74" t="s">
        <v>132</v>
      </c>
      <c r="AC2140" s="55" t="s">
        <v>132</v>
      </c>
      <c r="AL2140" s="74"/>
      <c r="AM2140" s="74"/>
      <c r="AW2140" s="74"/>
      <c r="AX2140" s="74"/>
    </row>
    <row r="2141" spans="1:50" ht="13" x14ac:dyDescent="0.15">
      <c r="A2141" s="55" t="str">
        <f>HYPERLINK("http://reports.ofsted.gov.uk/inspection-reports/find-inspection-report/provider/CARE/SC036888","Ofsted Social Care Provider Webpage")</f>
        <v>Ofsted Social Care Provider Webpage</v>
      </c>
      <c r="B2141" s="55" t="s">
        <v>3482</v>
      </c>
      <c r="D2141" s="55" t="s">
        <v>389</v>
      </c>
      <c r="E2141" s="74">
        <v>37946</v>
      </c>
      <c r="F2141" s="55" t="s">
        <v>344</v>
      </c>
      <c r="G2141" s="55" t="s">
        <v>3483</v>
      </c>
      <c r="H2141" s="55" t="s">
        <v>3484</v>
      </c>
      <c r="I2141" s="55" t="s">
        <v>3485</v>
      </c>
      <c r="J2141" s="55" t="s">
        <v>224</v>
      </c>
      <c r="L2141" s="55" t="s">
        <v>3486</v>
      </c>
      <c r="M2141" s="55" t="s">
        <v>138</v>
      </c>
      <c r="N2141" s="55" t="s">
        <v>138</v>
      </c>
      <c r="O2141" s="55" t="s">
        <v>224</v>
      </c>
      <c r="P2141" s="55" t="s">
        <v>374</v>
      </c>
      <c r="Q2141" s="55" t="s">
        <v>350</v>
      </c>
      <c r="S2141" s="55">
        <v>0</v>
      </c>
      <c r="T2141" s="74" t="s">
        <v>3487</v>
      </c>
      <c r="U2141" s="74" t="s">
        <v>351</v>
      </c>
      <c r="V2141" s="74">
        <v>44312</v>
      </c>
      <c r="W2141" s="74">
        <v>44343</v>
      </c>
      <c r="X2141" s="55">
        <v>10183344</v>
      </c>
      <c r="Y2141" s="55" t="s">
        <v>132</v>
      </c>
      <c r="AB2141" s="74" t="s">
        <v>132</v>
      </c>
      <c r="AC2141" s="55" t="s">
        <v>132</v>
      </c>
      <c r="AL2141" s="74"/>
      <c r="AM2141" s="74"/>
      <c r="AW2141" s="74"/>
      <c r="AX2141" s="74"/>
    </row>
    <row r="2142" spans="1:50" ht="13" x14ac:dyDescent="0.15">
      <c r="A2142" s="55" t="str">
        <f>HYPERLINK("http://reports.ofsted.gov.uk/inspection-reports/find-inspection-report/provider/CARE/SC036917","Ofsted Social Care Provider Webpage")</f>
        <v>Ofsted Social Care Provider Webpage</v>
      </c>
      <c r="B2142" s="55" t="s">
        <v>3488</v>
      </c>
      <c r="D2142" s="55" t="s">
        <v>373</v>
      </c>
      <c r="E2142" s="74">
        <v>37722</v>
      </c>
      <c r="F2142" s="55" t="s">
        <v>344</v>
      </c>
      <c r="G2142" s="55" t="s">
        <v>360</v>
      </c>
      <c r="H2142" s="55" t="s">
        <v>360</v>
      </c>
      <c r="I2142" s="55" t="s">
        <v>360</v>
      </c>
      <c r="J2142" s="55" t="s">
        <v>360</v>
      </c>
      <c r="K2142" s="55" t="s">
        <v>360</v>
      </c>
      <c r="L2142" s="55" t="s">
        <v>360</v>
      </c>
      <c r="M2142" s="55" t="s">
        <v>129</v>
      </c>
      <c r="N2142" s="55" t="s">
        <v>129</v>
      </c>
      <c r="O2142" s="55" t="s">
        <v>186</v>
      </c>
      <c r="P2142" s="55" t="s">
        <v>769</v>
      </c>
      <c r="Q2142" s="55" t="s">
        <v>380</v>
      </c>
      <c r="R2142" s="85">
        <v>5</v>
      </c>
      <c r="S2142" s="55">
        <v>0</v>
      </c>
      <c r="T2142" s="74" t="s">
        <v>3489</v>
      </c>
      <c r="U2142" s="74" t="s">
        <v>351</v>
      </c>
      <c r="V2142" s="74">
        <v>44488</v>
      </c>
      <c r="W2142" s="74">
        <v>44593</v>
      </c>
      <c r="X2142" s="55">
        <v>10185346</v>
      </c>
      <c r="Y2142" s="55" t="s">
        <v>140</v>
      </c>
      <c r="AB2142" s="74" t="s">
        <v>132</v>
      </c>
      <c r="AC2142" s="55" t="s">
        <v>140</v>
      </c>
      <c r="AL2142" s="74"/>
      <c r="AM2142" s="74"/>
    </row>
    <row r="2143" spans="1:50" ht="13" x14ac:dyDescent="0.15">
      <c r="A2143" s="55" t="str">
        <f>HYPERLINK("http://reports.ofsted.gov.uk/inspection-reports/find-inspection-report/provider/CARE/SC037164","Ofsted Social Care Provider Webpage")</f>
        <v>Ofsted Social Care Provider Webpage</v>
      </c>
      <c r="B2143" s="55" t="s">
        <v>3502</v>
      </c>
      <c r="D2143" s="55" t="s">
        <v>389</v>
      </c>
      <c r="E2143" s="74">
        <v>38135</v>
      </c>
      <c r="F2143" s="55" t="s">
        <v>344</v>
      </c>
      <c r="G2143" s="55" t="s">
        <v>3503</v>
      </c>
      <c r="H2143" s="55" t="s">
        <v>3503</v>
      </c>
      <c r="I2143" s="55" t="s">
        <v>3504</v>
      </c>
      <c r="J2143" s="55" t="s">
        <v>2753</v>
      </c>
      <c r="L2143" s="55" t="s">
        <v>3505</v>
      </c>
      <c r="M2143" s="55" t="s">
        <v>142</v>
      </c>
      <c r="N2143" s="55" t="s">
        <v>142</v>
      </c>
      <c r="O2143" s="55" t="s">
        <v>141</v>
      </c>
      <c r="P2143" s="55" t="s">
        <v>2048</v>
      </c>
      <c r="Q2143" s="55" t="s">
        <v>350</v>
      </c>
      <c r="S2143" s="55">
        <v>0</v>
      </c>
      <c r="T2143" s="74" t="s">
        <v>3372</v>
      </c>
      <c r="U2143" s="74" t="s">
        <v>351</v>
      </c>
      <c r="V2143" s="74">
        <v>44480</v>
      </c>
      <c r="W2143" s="74">
        <v>44529</v>
      </c>
      <c r="X2143" s="55">
        <v>10183439</v>
      </c>
      <c r="Y2143" s="55" t="s">
        <v>140</v>
      </c>
      <c r="AB2143" s="74" t="s">
        <v>140</v>
      </c>
      <c r="AC2143" s="55" t="s">
        <v>140</v>
      </c>
      <c r="AL2143" s="74"/>
      <c r="AM2143" s="74"/>
      <c r="AW2143" s="74"/>
      <c r="AX2143" s="74"/>
    </row>
    <row r="2144" spans="1:50" ht="13" x14ac:dyDescent="0.15">
      <c r="A2144" s="55" t="str">
        <f>HYPERLINK("http://reports.ofsted.gov.uk/inspection-reports/find-inspection-report/provider/CARE/SC037181","Ofsted Social Care Provider Webpage")</f>
        <v>Ofsted Social Care Provider Webpage</v>
      </c>
      <c r="B2144" s="55" t="s">
        <v>3506</v>
      </c>
      <c r="D2144" s="55" t="s">
        <v>373</v>
      </c>
      <c r="E2144" s="74">
        <v>37568</v>
      </c>
      <c r="F2144" s="55" t="s">
        <v>344</v>
      </c>
      <c r="G2144" s="55" t="s">
        <v>360</v>
      </c>
      <c r="H2144" s="55" t="s">
        <v>360</v>
      </c>
      <c r="I2144" s="55" t="s">
        <v>360</v>
      </c>
      <c r="J2144" s="55" t="s">
        <v>360</v>
      </c>
      <c r="K2144" s="55" t="s">
        <v>360</v>
      </c>
      <c r="L2144" s="55" t="s">
        <v>360</v>
      </c>
      <c r="M2144" s="55" t="s">
        <v>144</v>
      </c>
      <c r="N2144" s="55" t="s">
        <v>144</v>
      </c>
      <c r="O2144" s="55" t="s">
        <v>250</v>
      </c>
      <c r="P2144" s="55" t="s">
        <v>759</v>
      </c>
      <c r="Q2144" s="55" t="s">
        <v>350</v>
      </c>
      <c r="R2144" s="85">
        <v>2</v>
      </c>
      <c r="S2144" s="55">
        <v>0</v>
      </c>
      <c r="T2144" s="74" t="s">
        <v>1600</v>
      </c>
      <c r="U2144" s="74" t="s">
        <v>351</v>
      </c>
      <c r="V2144" s="74">
        <v>44566</v>
      </c>
      <c r="W2144" s="74">
        <v>44599</v>
      </c>
      <c r="X2144" s="55">
        <v>10187404</v>
      </c>
      <c r="Y2144" s="55" t="s">
        <v>132</v>
      </c>
      <c r="AB2144" s="74" t="s">
        <v>132</v>
      </c>
      <c r="AC2144" s="55" t="s">
        <v>132</v>
      </c>
      <c r="AL2144" s="74"/>
      <c r="AM2144" s="74"/>
      <c r="AW2144" s="74"/>
      <c r="AX2144" s="74"/>
    </row>
    <row r="2145" spans="1:50" ht="13" x14ac:dyDescent="0.15">
      <c r="A2145" s="55" t="str">
        <f>HYPERLINK("http://reports.ofsted.gov.uk/inspection-reports/find-inspection-report/provider/CARE/SC037248","Ofsted Social Care Provider Webpage")</f>
        <v>Ofsted Social Care Provider Webpage</v>
      </c>
      <c r="B2145" s="55" t="s">
        <v>3507</v>
      </c>
      <c r="D2145" s="55" t="s">
        <v>373</v>
      </c>
      <c r="E2145" s="74">
        <v>37938</v>
      </c>
      <c r="F2145" s="55" t="s">
        <v>344</v>
      </c>
      <c r="G2145" s="55" t="s">
        <v>360</v>
      </c>
      <c r="H2145" s="55" t="s">
        <v>360</v>
      </c>
      <c r="I2145" s="55" t="s">
        <v>360</v>
      </c>
      <c r="J2145" s="55" t="s">
        <v>360</v>
      </c>
      <c r="K2145" s="55" t="s">
        <v>360</v>
      </c>
      <c r="L2145" s="55" t="s">
        <v>360</v>
      </c>
      <c r="M2145" s="55" t="s">
        <v>129</v>
      </c>
      <c r="N2145" s="55" t="s">
        <v>129</v>
      </c>
      <c r="O2145" s="55" t="s">
        <v>128</v>
      </c>
      <c r="P2145" s="55" t="s">
        <v>1467</v>
      </c>
      <c r="Q2145" s="55" t="s">
        <v>350</v>
      </c>
      <c r="R2145" s="85">
        <v>6</v>
      </c>
      <c r="S2145" s="55">
        <v>0</v>
      </c>
      <c r="T2145" s="74" t="s">
        <v>3508</v>
      </c>
      <c r="U2145" s="74" t="s">
        <v>351</v>
      </c>
      <c r="V2145" s="74">
        <v>44517</v>
      </c>
      <c r="W2145" s="74">
        <v>44565</v>
      </c>
      <c r="X2145" s="55">
        <v>10186022</v>
      </c>
      <c r="Y2145" s="55" t="s">
        <v>140</v>
      </c>
      <c r="AB2145" s="74" t="s">
        <v>132</v>
      </c>
      <c r="AC2145" s="55" t="s">
        <v>140</v>
      </c>
      <c r="AL2145" s="74"/>
      <c r="AM2145" s="74"/>
    </row>
    <row r="2146" spans="1:50" ht="13" x14ac:dyDescent="0.15">
      <c r="A2146" s="55" t="str">
        <f>HYPERLINK("http://reports.ofsted.gov.uk/inspection-reports/find-inspection-report/provider/CARE/SC037256","Ofsted Social Care Provider Webpage")</f>
        <v>Ofsted Social Care Provider Webpage</v>
      </c>
      <c r="B2146" s="55" t="s">
        <v>3509</v>
      </c>
      <c r="D2146" s="55" t="s">
        <v>373</v>
      </c>
      <c r="E2146" s="74">
        <v>37697</v>
      </c>
      <c r="F2146" s="55" t="s">
        <v>344</v>
      </c>
      <c r="G2146" s="55" t="s">
        <v>360</v>
      </c>
      <c r="H2146" s="55" t="s">
        <v>360</v>
      </c>
      <c r="I2146" s="55" t="s">
        <v>360</v>
      </c>
      <c r="J2146" s="55" t="s">
        <v>360</v>
      </c>
      <c r="K2146" s="55" t="s">
        <v>360</v>
      </c>
      <c r="L2146" s="55" t="s">
        <v>360</v>
      </c>
      <c r="M2146" s="55" t="s">
        <v>138</v>
      </c>
      <c r="N2146" s="55" t="s">
        <v>138</v>
      </c>
      <c r="O2146" s="55" t="s">
        <v>266</v>
      </c>
      <c r="P2146" s="55" t="s">
        <v>2912</v>
      </c>
      <c r="Q2146" s="55" t="s">
        <v>380</v>
      </c>
      <c r="R2146" s="85">
        <v>7</v>
      </c>
      <c r="S2146" s="55">
        <v>0</v>
      </c>
      <c r="T2146" s="74" t="s">
        <v>3510</v>
      </c>
      <c r="U2146" s="74" t="s">
        <v>6703</v>
      </c>
      <c r="V2146" s="74">
        <v>44482</v>
      </c>
      <c r="W2146" s="74">
        <v>44510</v>
      </c>
      <c r="X2146" s="55">
        <v>10205251</v>
      </c>
      <c r="Y2146" s="55" t="s">
        <v>6704</v>
      </c>
      <c r="AL2146" s="74"/>
      <c r="AM2146" s="74"/>
      <c r="AW2146" s="74"/>
      <c r="AX2146" s="74"/>
    </row>
    <row r="2147" spans="1:50" ht="13" x14ac:dyDescent="0.15">
      <c r="A2147" s="55" t="str">
        <f>HYPERLINK("http://reports.ofsted.gov.uk/inspection-reports/find-inspection-report/provider/CARE/SC037256","Ofsted Social Care Provider Webpage")</f>
        <v>Ofsted Social Care Provider Webpage</v>
      </c>
      <c r="B2147" s="55" t="s">
        <v>3509</v>
      </c>
      <c r="D2147" s="55" t="s">
        <v>373</v>
      </c>
      <c r="E2147" s="74">
        <v>37697</v>
      </c>
      <c r="F2147" s="55" t="s">
        <v>344</v>
      </c>
      <c r="G2147" s="55" t="s">
        <v>360</v>
      </c>
      <c r="H2147" s="55" t="s">
        <v>360</v>
      </c>
      <c r="I2147" s="55" t="s">
        <v>360</v>
      </c>
      <c r="J2147" s="55" t="s">
        <v>360</v>
      </c>
      <c r="K2147" s="55" t="s">
        <v>360</v>
      </c>
      <c r="L2147" s="55" t="s">
        <v>360</v>
      </c>
      <c r="M2147" s="55" t="s">
        <v>138</v>
      </c>
      <c r="N2147" s="55" t="s">
        <v>138</v>
      </c>
      <c r="O2147" s="55" t="s">
        <v>266</v>
      </c>
      <c r="P2147" s="55" t="s">
        <v>2912</v>
      </c>
      <c r="Q2147" s="55" t="s">
        <v>380</v>
      </c>
      <c r="R2147" s="85">
        <v>7</v>
      </c>
      <c r="S2147" s="55">
        <v>0</v>
      </c>
      <c r="T2147" s="74" t="s">
        <v>3510</v>
      </c>
      <c r="U2147" s="74" t="s">
        <v>351</v>
      </c>
      <c r="V2147" s="74">
        <v>44298</v>
      </c>
      <c r="W2147" s="74">
        <v>44323</v>
      </c>
      <c r="X2147" s="55">
        <v>10187642</v>
      </c>
      <c r="Y2147" s="55" t="s">
        <v>130</v>
      </c>
      <c r="AB2147" s="74" t="s">
        <v>130</v>
      </c>
      <c r="AC2147" s="55" t="s">
        <v>130</v>
      </c>
      <c r="AL2147" s="74"/>
      <c r="AM2147" s="74"/>
      <c r="AW2147" s="74"/>
      <c r="AX2147" s="74"/>
    </row>
    <row r="2148" spans="1:50" ht="13" x14ac:dyDescent="0.15">
      <c r="A2148" s="55" t="str">
        <f>HYPERLINK("http://reports.ofsted.gov.uk/inspection-reports/find-inspection-report/provider/CARE/SC037281","Ofsted Social Care Provider Webpage")</f>
        <v>Ofsted Social Care Provider Webpage</v>
      </c>
      <c r="B2148" s="55" t="s">
        <v>3511</v>
      </c>
      <c r="D2148" s="55" t="s">
        <v>373</v>
      </c>
      <c r="E2148" s="74">
        <v>37683</v>
      </c>
      <c r="F2148" s="55" t="s">
        <v>344</v>
      </c>
      <c r="G2148" s="55" t="s">
        <v>360</v>
      </c>
      <c r="H2148" s="55" t="s">
        <v>360</v>
      </c>
      <c r="I2148" s="55" t="s">
        <v>360</v>
      </c>
      <c r="J2148" s="55" t="s">
        <v>360</v>
      </c>
      <c r="K2148" s="55" t="s">
        <v>360</v>
      </c>
      <c r="L2148" s="55" t="s">
        <v>360</v>
      </c>
      <c r="M2148" s="55" t="s">
        <v>138</v>
      </c>
      <c r="N2148" s="55" t="s">
        <v>138</v>
      </c>
      <c r="O2148" s="55" t="s">
        <v>266</v>
      </c>
      <c r="P2148" s="55" t="s">
        <v>2912</v>
      </c>
      <c r="Q2148" s="55" t="s">
        <v>380</v>
      </c>
      <c r="R2148" s="85">
        <v>7</v>
      </c>
      <c r="S2148" s="55">
        <v>0</v>
      </c>
      <c r="T2148" s="74" t="s">
        <v>3510</v>
      </c>
      <c r="U2148" s="74" t="s">
        <v>351</v>
      </c>
      <c r="V2148" s="74">
        <v>44384</v>
      </c>
      <c r="W2148" s="74">
        <v>44420</v>
      </c>
      <c r="X2148" s="55">
        <v>10185652</v>
      </c>
      <c r="Y2148" s="55" t="s">
        <v>132</v>
      </c>
      <c r="AB2148" s="74" t="s">
        <v>132</v>
      </c>
      <c r="AC2148" s="55" t="s">
        <v>132</v>
      </c>
      <c r="AL2148" s="74"/>
      <c r="AM2148" s="74"/>
      <c r="AW2148" s="74"/>
      <c r="AX2148" s="74"/>
    </row>
    <row r="2149" spans="1:50" ht="13" x14ac:dyDescent="0.15">
      <c r="A2149" s="55" t="str">
        <f>HYPERLINK("http://reports.ofsted.gov.uk/inspection-reports/find-inspection-report/provider/CARE/SC037282","Ofsted Social Care Provider Webpage")</f>
        <v>Ofsted Social Care Provider Webpage</v>
      </c>
      <c r="B2149" s="55" t="s">
        <v>3512</v>
      </c>
      <c r="D2149" s="55" t="s">
        <v>373</v>
      </c>
      <c r="E2149" s="74">
        <v>37502</v>
      </c>
      <c r="F2149" s="55" t="s">
        <v>344</v>
      </c>
      <c r="G2149" s="55" t="s">
        <v>360</v>
      </c>
      <c r="H2149" s="55" t="s">
        <v>360</v>
      </c>
      <c r="I2149" s="55" t="s">
        <v>360</v>
      </c>
      <c r="J2149" s="55" t="s">
        <v>360</v>
      </c>
      <c r="K2149" s="55" t="s">
        <v>360</v>
      </c>
      <c r="L2149" s="55" t="s">
        <v>360</v>
      </c>
      <c r="M2149" s="55" t="s">
        <v>150</v>
      </c>
      <c r="N2149" s="55" t="s">
        <v>150</v>
      </c>
      <c r="O2149" s="55" t="s">
        <v>203</v>
      </c>
      <c r="P2149" s="55" t="s">
        <v>1038</v>
      </c>
      <c r="Q2149" s="55" t="s">
        <v>380</v>
      </c>
      <c r="R2149" s="85">
        <v>7</v>
      </c>
      <c r="S2149" s="55" t="s">
        <v>332</v>
      </c>
      <c r="T2149" s="74" t="s">
        <v>1547</v>
      </c>
      <c r="U2149" s="74" t="s">
        <v>2053</v>
      </c>
      <c r="V2149" s="74">
        <v>44572</v>
      </c>
      <c r="W2149" s="74">
        <v>44617</v>
      </c>
      <c r="X2149" s="55">
        <v>10219530</v>
      </c>
      <c r="AL2149" s="74"/>
      <c r="AM2149" s="74"/>
      <c r="AW2149" s="74"/>
      <c r="AX2149" s="74"/>
    </row>
    <row r="2150" spans="1:50" ht="13" x14ac:dyDescent="0.15">
      <c r="A2150" s="55" t="str">
        <f>HYPERLINK("http://reports.ofsted.gov.uk/inspection-reports/find-inspection-report/provider/CARE/SC037282","Ofsted Social Care Provider Webpage")</f>
        <v>Ofsted Social Care Provider Webpage</v>
      </c>
      <c r="B2150" s="55" t="s">
        <v>3512</v>
      </c>
      <c r="D2150" s="55" t="s">
        <v>373</v>
      </c>
      <c r="E2150" s="74">
        <v>37502</v>
      </c>
      <c r="F2150" s="55" t="s">
        <v>344</v>
      </c>
      <c r="G2150" s="55" t="s">
        <v>360</v>
      </c>
      <c r="H2150" s="55" t="s">
        <v>360</v>
      </c>
      <c r="I2150" s="55" t="s">
        <v>360</v>
      </c>
      <c r="J2150" s="55" t="s">
        <v>360</v>
      </c>
      <c r="K2150" s="55" t="s">
        <v>360</v>
      </c>
      <c r="L2150" s="55" t="s">
        <v>360</v>
      </c>
      <c r="M2150" s="55" t="s">
        <v>150</v>
      </c>
      <c r="N2150" s="55" t="s">
        <v>150</v>
      </c>
      <c r="O2150" s="55" t="s">
        <v>203</v>
      </c>
      <c r="P2150" s="55" t="s">
        <v>1038</v>
      </c>
      <c r="Q2150" s="55" t="s">
        <v>380</v>
      </c>
      <c r="R2150" s="85">
        <v>7</v>
      </c>
      <c r="S2150" s="55" t="s">
        <v>332</v>
      </c>
      <c r="T2150" s="74" t="s">
        <v>1547</v>
      </c>
      <c r="U2150" s="74" t="s">
        <v>351</v>
      </c>
      <c r="V2150" s="74">
        <v>44524</v>
      </c>
      <c r="W2150" s="74">
        <v>44593</v>
      </c>
      <c r="X2150" s="55">
        <v>10185700</v>
      </c>
      <c r="Y2150" s="55" t="s">
        <v>132</v>
      </c>
      <c r="AB2150" s="74" t="s">
        <v>132</v>
      </c>
      <c r="AC2150" s="55" t="s">
        <v>130</v>
      </c>
      <c r="AL2150" s="74"/>
      <c r="AM2150" s="74"/>
      <c r="AW2150" s="74"/>
      <c r="AX2150" s="74"/>
    </row>
    <row r="2151" spans="1:50" ht="13" x14ac:dyDescent="0.15">
      <c r="A2151" s="55" t="str">
        <f>HYPERLINK("http://reports.ofsted.gov.uk/inspection-reports/find-inspection-report/provider/CARE/SC037302","Ofsted Social Care Provider Webpage")</f>
        <v>Ofsted Social Care Provider Webpage</v>
      </c>
      <c r="B2151" s="55" t="s">
        <v>3513</v>
      </c>
      <c r="D2151" s="55" t="s">
        <v>373</v>
      </c>
      <c r="E2151" s="74">
        <v>37883</v>
      </c>
      <c r="F2151" s="55" t="s">
        <v>344</v>
      </c>
      <c r="G2151" s="55" t="s">
        <v>360</v>
      </c>
      <c r="H2151" s="55" t="s">
        <v>360</v>
      </c>
      <c r="I2151" s="55" t="s">
        <v>360</v>
      </c>
      <c r="J2151" s="55" t="s">
        <v>360</v>
      </c>
      <c r="K2151" s="55" t="s">
        <v>360</v>
      </c>
      <c r="L2151" s="55" t="s">
        <v>360</v>
      </c>
      <c r="M2151" s="55" t="s">
        <v>144</v>
      </c>
      <c r="N2151" s="55" t="s">
        <v>144</v>
      </c>
      <c r="O2151" s="55" t="s">
        <v>281</v>
      </c>
      <c r="P2151" s="55" t="s">
        <v>556</v>
      </c>
      <c r="Q2151" s="55" t="s">
        <v>380</v>
      </c>
      <c r="R2151" s="85">
        <v>3</v>
      </c>
      <c r="S2151" s="55">
        <v>0</v>
      </c>
      <c r="T2151" s="74" t="s">
        <v>2081</v>
      </c>
      <c r="U2151" s="74" t="s">
        <v>351</v>
      </c>
      <c r="V2151" s="74">
        <v>44628</v>
      </c>
      <c r="W2151" s="74">
        <v>44673</v>
      </c>
      <c r="X2151" s="55">
        <v>10186863</v>
      </c>
      <c r="Y2151" s="55" t="s">
        <v>130</v>
      </c>
      <c r="AB2151" s="74" t="s">
        <v>132</v>
      </c>
      <c r="AC2151" s="55" t="s">
        <v>130</v>
      </c>
      <c r="AL2151" s="74"/>
      <c r="AM2151" s="74"/>
    </row>
    <row r="2152" spans="1:50" ht="13" x14ac:dyDescent="0.15">
      <c r="A2152" s="55" t="str">
        <f>HYPERLINK("http://reports.ofsted.gov.uk/inspection-reports/find-inspection-report/provider/CARE/SC037309","Ofsted Social Care Provider Webpage")</f>
        <v>Ofsted Social Care Provider Webpage</v>
      </c>
      <c r="B2152" s="55" t="s">
        <v>3519</v>
      </c>
      <c r="D2152" s="55" t="s">
        <v>373</v>
      </c>
      <c r="E2152" s="74">
        <v>37503</v>
      </c>
      <c r="F2152" s="55" t="s">
        <v>344</v>
      </c>
      <c r="G2152" s="55" t="s">
        <v>360</v>
      </c>
      <c r="H2152" s="55" t="s">
        <v>360</v>
      </c>
      <c r="I2152" s="55" t="s">
        <v>360</v>
      </c>
      <c r="J2152" s="55" t="s">
        <v>360</v>
      </c>
      <c r="K2152" s="55" t="s">
        <v>360</v>
      </c>
      <c r="L2152" s="55" t="s">
        <v>360</v>
      </c>
      <c r="M2152" s="55" t="s">
        <v>150</v>
      </c>
      <c r="N2152" s="55" t="s">
        <v>150</v>
      </c>
      <c r="O2152" s="55" t="s">
        <v>203</v>
      </c>
      <c r="P2152" s="55" t="s">
        <v>1268</v>
      </c>
      <c r="Q2152" s="55" t="s">
        <v>362</v>
      </c>
      <c r="R2152" s="85">
        <v>9</v>
      </c>
      <c r="S2152" s="55">
        <v>0</v>
      </c>
      <c r="T2152" s="74" t="s">
        <v>824</v>
      </c>
      <c r="U2152" s="74" t="s">
        <v>351</v>
      </c>
      <c r="V2152" s="74">
        <v>44432</v>
      </c>
      <c r="W2152" s="74">
        <v>44480</v>
      </c>
      <c r="X2152" s="55">
        <v>10186065</v>
      </c>
      <c r="Y2152" s="55" t="s">
        <v>140</v>
      </c>
      <c r="AB2152" s="74" t="s">
        <v>140</v>
      </c>
      <c r="AC2152" s="55" t="s">
        <v>132</v>
      </c>
      <c r="AL2152" s="74"/>
      <c r="AM2152" s="74"/>
      <c r="AW2152" s="74"/>
      <c r="AX2152" s="74"/>
    </row>
    <row r="2153" spans="1:50" ht="13" x14ac:dyDescent="0.15">
      <c r="A2153" s="55" t="str">
        <f>HYPERLINK("http://reports.ofsted.gov.uk/inspection-reports/find-inspection-report/provider/CARE/SC037327","Ofsted Social Care Provider Webpage")</f>
        <v>Ofsted Social Care Provider Webpage</v>
      </c>
      <c r="B2153" s="55" t="s">
        <v>3520</v>
      </c>
      <c r="D2153" s="55" t="s">
        <v>373</v>
      </c>
      <c r="E2153" s="74">
        <v>37503</v>
      </c>
      <c r="F2153" s="55" t="s">
        <v>344</v>
      </c>
      <c r="G2153" s="55" t="s">
        <v>360</v>
      </c>
      <c r="H2153" s="55" t="s">
        <v>360</v>
      </c>
      <c r="I2153" s="55" t="s">
        <v>360</v>
      </c>
      <c r="J2153" s="55" t="s">
        <v>360</v>
      </c>
      <c r="K2153" s="55" t="s">
        <v>360</v>
      </c>
      <c r="L2153" s="55" t="s">
        <v>360</v>
      </c>
      <c r="M2153" s="55" t="s">
        <v>150</v>
      </c>
      <c r="N2153" s="55" t="s">
        <v>150</v>
      </c>
      <c r="O2153" s="55" t="s">
        <v>203</v>
      </c>
      <c r="P2153" s="55" t="s">
        <v>1268</v>
      </c>
      <c r="Q2153" s="55" t="s">
        <v>362</v>
      </c>
      <c r="R2153" s="85">
        <v>8</v>
      </c>
      <c r="S2153" s="55">
        <v>0</v>
      </c>
      <c r="T2153" s="74" t="s">
        <v>824</v>
      </c>
      <c r="U2153" s="74" t="s">
        <v>351</v>
      </c>
      <c r="V2153" s="74">
        <v>44327</v>
      </c>
      <c r="W2153" s="74">
        <v>44390</v>
      </c>
      <c r="X2153" s="55">
        <v>10187074</v>
      </c>
      <c r="Y2153" s="55" t="s">
        <v>140</v>
      </c>
      <c r="AB2153" s="74" t="s">
        <v>140</v>
      </c>
      <c r="AC2153" s="55" t="s">
        <v>140</v>
      </c>
      <c r="AL2153" s="74"/>
      <c r="AM2153" s="74"/>
      <c r="AW2153" s="74"/>
      <c r="AX2153" s="74"/>
    </row>
    <row r="2154" spans="1:50" ht="13" x14ac:dyDescent="0.15">
      <c r="A2154" s="55" t="str">
        <f>HYPERLINK("http://reports.ofsted.gov.uk/inspection-reports/find-inspection-report/provider/CARE/SC037441","Ofsted Social Care Provider Webpage")</f>
        <v>Ofsted Social Care Provider Webpage</v>
      </c>
      <c r="B2154" s="55" t="s">
        <v>3521</v>
      </c>
      <c r="D2154" s="55" t="s">
        <v>373</v>
      </c>
      <c r="E2154" s="74">
        <v>37673</v>
      </c>
      <c r="F2154" s="55" t="s">
        <v>344</v>
      </c>
      <c r="G2154" s="55" t="s">
        <v>360</v>
      </c>
      <c r="H2154" s="55" t="s">
        <v>360</v>
      </c>
      <c r="I2154" s="55" t="s">
        <v>360</v>
      </c>
      <c r="J2154" s="55" t="s">
        <v>360</v>
      </c>
      <c r="K2154" s="55" t="s">
        <v>360</v>
      </c>
      <c r="L2154" s="55" t="s">
        <v>360</v>
      </c>
      <c r="M2154" s="55" t="s">
        <v>150</v>
      </c>
      <c r="N2154" s="55" t="s">
        <v>150</v>
      </c>
      <c r="O2154" s="55" t="s">
        <v>285</v>
      </c>
      <c r="P2154" s="55" t="s">
        <v>2738</v>
      </c>
      <c r="Q2154" s="55" t="s">
        <v>380</v>
      </c>
      <c r="R2154" s="85">
        <v>4</v>
      </c>
      <c r="S2154" s="55">
        <v>0</v>
      </c>
      <c r="T2154" s="74" t="s">
        <v>2238</v>
      </c>
      <c r="U2154" s="74" t="s">
        <v>351</v>
      </c>
      <c r="V2154" s="74">
        <v>44313</v>
      </c>
      <c r="W2154" s="74">
        <v>44357</v>
      </c>
      <c r="X2154" s="55">
        <v>10185971</v>
      </c>
      <c r="Y2154" s="55" t="s">
        <v>140</v>
      </c>
      <c r="AB2154" s="74" t="s">
        <v>140</v>
      </c>
      <c r="AC2154" s="55" t="s">
        <v>140</v>
      </c>
      <c r="AL2154" s="74"/>
      <c r="AM2154" s="74"/>
    </row>
    <row r="2155" spans="1:50" ht="13" x14ac:dyDescent="0.15">
      <c r="A2155" s="55" t="str">
        <f>HYPERLINK("http://reports.ofsted.gov.uk/inspection-reports/find-inspection-report/provider/CARE/SC037447","Ofsted Social Care Provider Webpage")</f>
        <v>Ofsted Social Care Provider Webpage</v>
      </c>
      <c r="B2155" s="55" t="s">
        <v>3522</v>
      </c>
      <c r="D2155" s="55" t="s">
        <v>373</v>
      </c>
      <c r="E2155" s="74">
        <v>37673</v>
      </c>
      <c r="F2155" s="55" t="s">
        <v>344</v>
      </c>
      <c r="G2155" s="55" t="s">
        <v>360</v>
      </c>
      <c r="H2155" s="55" t="s">
        <v>360</v>
      </c>
      <c r="I2155" s="55" t="s">
        <v>360</v>
      </c>
      <c r="J2155" s="55" t="s">
        <v>360</v>
      </c>
      <c r="K2155" s="55" t="s">
        <v>360</v>
      </c>
      <c r="L2155" s="55" t="s">
        <v>360</v>
      </c>
      <c r="M2155" s="55" t="s">
        <v>150</v>
      </c>
      <c r="N2155" s="55" t="s">
        <v>150</v>
      </c>
      <c r="O2155" s="55" t="s">
        <v>285</v>
      </c>
      <c r="P2155" s="55" t="s">
        <v>1810</v>
      </c>
      <c r="Q2155" s="55" t="s">
        <v>380</v>
      </c>
      <c r="R2155" s="85">
        <v>16</v>
      </c>
      <c r="S2155" s="55">
        <v>0</v>
      </c>
      <c r="T2155" s="74" t="s">
        <v>2238</v>
      </c>
      <c r="U2155" s="74" t="s">
        <v>351</v>
      </c>
      <c r="V2155" s="74">
        <v>44300</v>
      </c>
      <c r="W2155" s="74">
        <v>44344</v>
      </c>
      <c r="X2155" s="55">
        <v>10186618</v>
      </c>
      <c r="Y2155" s="55" t="s">
        <v>140</v>
      </c>
      <c r="AB2155" s="74" t="s">
        <v>140</v>
      </c>
      <c r="AC2155" s="55" t="s">
        <v>140</v>
      </c>
      <c r="AL2155" s="74"/>
      <c r="AM2155" s="74"/>
      <c r="AW2155" s="74"/>
      <c r="AX2155" s="74"/>
    </row>
    <row r="2156" spans="1:50" ht="13" x14ac:dyDescent="0.15">
      <c r="A2156" s="55" t="str">
        <f>HYPERLINK("http://reports.ofsted.gov.uk/inspection-reports/find-inspection-report/provider/CARE/SC037454","Ofsted Social Care Provider Webpage")</f>
        <v>Ofsted Social Care Provider Webpage</v>
      </c>
      <c r="B2156" s="55" t="s">
        <v>3523</v>
      </c>
      <c r="D2156" s="55" t="s">
        <v>373</v>
      </c>
      <c r="E2156" s="74">
        <v>37673</v>
      </c>
      <c r="F2156" s="55" t="s">
        <v>344</v>
      </c>
      <c r="G2156" s="55" t="s">
        <v>360</v>
      </c>
      <c r="H2156" s="55" t="s">
        <v>360</v>
      </c>
      <c r="I2156" s="55" t="s">
        <v>360</v>
      </c>
      <c r="J2156" s="55" t="s">
        <v>360</v>
      </c>
      <c r="K2156" s="55" t="s">
        <v>360</v>
      </c>
      <c r="L2156" s="55" t="s">
        <v>360</v>
      </c>
      <c r="M2156" s="55" t="s">
        <v>150</v>
      </c>
      <c r="N2156" s="55" t="s">
        <v>150</v>
      </c>
      <c r="O2156" s="55" t="s">
        <v>285</v>
      </c>
      <c r="P2156" s="55" t="s">
        <v>2738</v>
      </c>
      <c r="Q2156" s="55" t="s">
        <v>380</v>
      </c>
      <c r="R2156" s="85">
        <v>5</v>
      </c>
      <c r="S2156" s="55">
        <v>0</v>
      </c>
      <c r="T2156" s="74" t="s">
        <v>2238</v>
      </c>
      <c r="U2156" s="74" t="s">
        <v>351</v>
      </c>
      <c r="V2156" s="74">
        <v>44341</v>
      </c>
      <c r="W2156" s="74">
        <v>44406</v>
      </c>
      <c r="X2156" s="55">
        <v>10185016</v>
      </c>
      <c r="Y2156" s="55" t="s">
        <v>140</v>
      </c>
      <c r="AB2156" s="74" t="s">
        <v>132</v>
      </c>
      <c r="AC2156" s="55" t="s">
        <v>132</v>
      </c>
      <c r="AL2156" s="74"/>
      <c r="AM2156" s="74"/>
      <c r="AW2156" s="74"/>
      <c r="AX2156" s="74"/>
    </row>
    <row r="2157" spans="1:50" ht="13" x14ac:dyDescent="0.15">
      <c r="A2157" s="55" t="str">
        <f>HYPERLINK("http://reports.ofsted.gov.uk/inspection-reports/find-inspection-report/provider/CARE/SC037521","Ofsted Social Care Provider Webpage")</f>
        <v>Ofsted Social Care Provider Webpage</v>
      </c>
      <c r="B2157" s="55" t="s">
        <v>3524</v>
      </c>
      <c r="D2157" s="55" t="s">
        <v>373</v>
      </c>
      <c r="E2157" s="74">
        <v>37735</v>
      </c>
      <c r="F2157" s="55" t="s">
        <v>344</v>
      </c>
      <c r="G2157" s="55" t="s">
        <v>360</v>
      </c>
      <c r="H2157" s="55" t="s">
        <v>360</v>
      </c>
      <c r="I2157" s="55" t="s">
        <v>360</v>
      </c>
      <c r="J2157" s="55" t="s">
        <v>360</v>
      </c>
      <c r="K2157" s="55" t="s">
        <v>360</v>
      </c>
      <c r="L2157" s="55" t="s">
        <v>360</v>
      </c>
      <c r="M2157" s="55" t="s">
        <v>378</v>
      </c>
      <c r="N2157" s="55" t="s">
        <v>134</v>
      </c>
      <c r="O2157" s="55" t="s">
        <v>246</v>
      </c>
      <c r="P2157" s="55" t="s">
        <v>246</v>
      </c>
      <c r="Q2157" s="55" t="s">
        <v>380</v>
      </c>
      <c r="R2157" s="85">
        <v>9</v>
      </c>
      <c r="S2157" s="55" t="s">
        <v>332</v>
      </c>
      <c r="T2157" s="74" t="s">
        <v>1916</v>
      </c>
      <c r="U2157" s="74" t="s">
        <v>351</v>
      </c>
      <c r="V2157" s="74">
        <v>44433</v>
      </c>
      <c r="W2157" s="74">
        <v>44470</v>
      </c>
      <c r="X2157" s="55">
        <v>10186224</v>
      </c>
      <c r="Y2157" s="55" t="s">
        <v>140</v>
      </c>
      <c r="AB2157" s="74" t="s">
        <v>140</v>
      </c>
      <c r="AC2157" s="55" t="s">
        <v>132</v>
      </c>
      <c r="AL2157" s="74"/>
      <c r="AM2157" s="74"/>
      <c r="AW2157" s="74"/>
      <c r="AX2157" s="74"/>
    </row>
    <row r="2158" spans="1:50" ht="13" x14ac:dyDescent="0.15">
      <c r="A2158" s="55" t="str">
        <f>HYPERLINK("http://reports.ofsted.gov.uk/inspection-reports/find-inspection-report/provider/CARE/SC037588","Ofsted Social Care Provider Webpage")</f>
        <v>Ofsted Social Care Provider Webpage</v>
      </c>
      <c r="B2158" s="55" t="s">
        <v>3530</v>
      </c>
      <c r="D2158" s="55" t="s">
        <v>373</v>
      </c>
      <c r="E2158" s="74">
        <v>37900</v>
      </c>
      <c r="F2158" s="55" t="s">
        <v>344</v>
      </c>
      <c r="G2158" s="55" t="s">
        <v>360</v>
      </c>
      <c r="H2158" s="55" t="s">
        <v>360</v>
      </c>
      <c r="I2158" s="55" t="s">
        <v>360</v>
      </c>
      <c r="J2158" s="55" t="s">
        <v>360</v>
      </c>
      <c r="K2158" s="55" t="s">
        <v>360</v>
      </c>
      <c r="L2158" s="55" t="s">
        <v>360</v>
      </c>
      <c r="M2158" s="55" t="s">
        <v>150</v>
      </c>
      <c r="N2158" s="55" t="s">
        <v>150</v>
      </c>
      <c r="O2158" s="55" t="s">
        <v>240</v>
      </c>
      <c r="P2158" s="55" t="s">
        <v>1784</v>
      </c>
      <c r="Q2158" s="55" t="s">
        <v>380</v>
      </c>
      <c r="R2158" s="85">
        <v>6</v>
      </c>
      <c r="S2158" s="55" t="s">
        <v>332</v>
      </c>
      <c r="T2158" s="74" t="s">
        <v>788</v>
      </c>
      <c r="U2158" s="74" t="s">
        <v>351</v>
      </c>
      <c r="V2158" s="74">
        <v>44587</v>
      </c>
      <c r="W2158" s="74">
        <v>44648</v>
      </c>
      <c r="X2158" s="55">
        <v>10185243</v>
      </c>
      <c r="Y2158" s="55" t="s">
        <v>132</v>
      </c>
      <c r="AB2158" s="74" t="s">
        <v>132</v>
      </c>
      <c r="AC2158" s="55" t="s">
        <v>130</v>
      </c>
      <c r="AL2158" s="74"/>
      <c r="AM2158" s="74"/>
    </row>
    <row r="2159" spans="1:50" ht="13" x14ac:dyDescent="0.15">
      <c r="A2159" s="55" t="str">
        <f>HYPERLINK("http://reports.ofsted.gov.uk/inspection-reports/find-inspection-report/provider/CARE/SC037596","Ofsted Social Care Provider Webpage")</f>
        <v>Ofsted Social Care Provider Webpage</v>
      </c>
      <c r="B2159" s="55" t="s">
        <v>3531</v>
      </c>
      <c r="D2159" s="55" t="s">
        <v>373</v>
      </c>
      <c r="E2159" s="74">
        <v>37575</v>
      </c>
      <c r="F2159" s="55" t="s">
        <v>344</v>
      </c>
      <c r="G2159" s="55" t="s">
        <v>360</v>
      </c>
      <c r="H2159" s="55" t="s">
        <v>360</v>
      </c>
      <c r="I2159" s="55" t="s">
        <v>360</v>
      </c>
      <c r="J2159" s="55" t="s">
        <v>360</v>
      </c>
      <c r="K2159" s="55" t="s">
        <v>360</v>
      </c>
      <c r="L2159" s="55" t="s">
        <v>360</v>
      </c>
      <c r="M2159" s="55" t="s">
        <v>136</v>
      </c>
      <c r="N2159" s="55" t="s">
        <v>136</v>
      </c>
      <c r="O2159" s="55" t="s">
        <v>288</v>
      </c>
      <c r="P2159" s="55" t="s">
        <v>1037</v>
      </c>
      <c r="Q2159" s="55" t="s">
        <v>350</v>
      </c>
      <c r="R2159" s="85">
        <v>4</v>
      </c>
      <c r="S2159" s="55">
        <v>0</v>
      </c>
      <c r="T2159" s="74" t="s">
        <v>832</v>
      </c>
      <c r="U2159" s="74" t="s">
        <v>351</v>
      </c>
      <c r="V2159" s="74">
        <v>44488</v>
      </c>
      <c r="W2159" s="74">
        <v>44525</v>
      </c>
      <c r="X2159" s="55">
        <v>10187195</v>
      </c>
      <c r="Y2159" s="55" t="s">
        <v>132</v>
      </c>
      <c r="AB2159" s="74" t="s">
        <v>132</v>
      </c>
      <c r="AC2159" s="55" t="s">
        <v>130</v>
      </c>
      <c r="AL2159" s="74"/>
      <c r="AM2159" s="74"/>
      <c r="AW2159" s="74"/>
      <c r="AX2159" s="74"/>
    </row>
    <row r="2160" spans="1:50" ht="13" x14ac:dyDescent="0.15">
      <c r="A2160" s="55" t="str">
        <f>HYPERLINK("http://reports.ofsted.gov.uk/inspection-reports/find-inspection-report/provider/CARE/SC037657","Ofsted Social Care Provider Webpage")</f>
        <v>Ofsted Social Care Provider Webpage</v>
      </c>
      <c r="B2160" s="55" t="s">
        <v>3533</v>
      </c>
      <c r="D2160" s="55" t="s">
        <v>373</v>
      </c>
      <c r="E2160" s="74">
        <v>37952</v>
      </c>
      <c r="F2160" s="55" t="s">
        <v>344</v>
      </c>
      <c r="G2160" s="55" t="s">
        <v>360</v>
      </c>
      <c r="H2160" s="55" t="s">
        <v>360</v>
      </c>
      <c r="I2160" s="55" t="s">
        <v>360</v>
      </c>
      <c r="J2160" s="55" t="s">
        <v>360</v>
      </c>
      <c r="K2160" s="55" t="s">
        <v>360</v>
      </c>
      <c r="L2160" s="55" t="s">
        <v>360</v>
      </c>
      <c r="M2160" s="55" t="s">
        <v>144</v>
      </c>
      <c r="N2160" s="55" t="s">
        <v>144</v>
      </c>
      <c r="O2160" s="55" t="s">
        <v>207</v>
      </c>
      <c r="P2160" s="55" t="s">
        <v>207</v>
      </c>
      <c r="Q2160" s="55" t="s">
        <v>380</v>
      </c>
      <c r="R2160" s="85">
        <v>3</v>
      </c>
      <c r="S2160" s="55">
        <v>0</v>
      </c>
      <c r="T2160" s="74" t="s">
        <v>841</v>
      </c>
      <c r="U2160" s="74" t="s">
        <v>351</v>
      </c>
      <c r="V2160" s="74">
        <v>44572</v>
      </c>
      <c r="W2160" s="74">
        <v>44607</v>
      </c>
      <c r="X2160" s="55">
        <v>10185232</v>
      </c>
      <c r="Y2160" s="55" t="s">
        <v>130</v>
      </c>
      <c r="AB2160" s="74" t="s">
        <v>130</v>
      </c>
      <c r="AC2160" s="55" t="s">
        <v>130</v>
      </c>
      <c r="AL2160" s="74"/>
      <c r="AM2160" s="74"/>
      <c r="AW2160" s="74"/>
      <c r="AX2160" s="74"/>
    </row>
    <row r="2161" spans="1:50" ht="13" x14ac:dyDescent="0.15">
      <c r="A2161" s="55" t="str">
        <f>HYPERLINK("http://reports.ofsted.gov.uk/inspection-reports/find-inspection-report/provider/CARE/SC037670","Ofsted Social Care Provider Webpage")</f>
        <v>Ofsted Social Care Provider Webpage</v>
      </c>
      <c r="B2161" s="55" t="s">
        <v>3534</v>
      </c>
      <c r="D2161" s="55" t="s">
        <v>373</v>
      </c>
      <c r="E2161" s="74">
        <v>37656</v>
      </c>
      <c r="F2161" s="55" t="s">
        <v>344</v>
      </c>
      <c r="G2161" s="55" t="s">
        <v>360</v>
      </c>
      <c r="H2161" s="55" t="s">
        <v>360</v>
      </c>
      <c r="I2161" s="55" t="s">
        <v>360</v>
      </c>
      <c r="J2161" s="55" t="s">
        <v>360</v>
      </c>
      <c r="K2161" s="55" t="s">
        <v>360</v>
      </c>
      <c r="L2161" s="55" t="s">
        <v>360</v>
      </c>
      <c r="M2161" s="55" t="s">
        <v>144</v>
      </c>
      <c r="N2161" s="55" t="s">
        <v>144</v>
      </c>
      <c r="O2161" s="55" t="s">
        <v>207</v>
      </c>
      <c r="P2161" s="55" t="s">
        <v>207</v>
      </c>
      <c r="Q2161" s="55" t="s">
        <v>380</v>
      </c>
      <c r="R2161" s="85">
        <v>2</v>
      </c>
      <c r="S2161" s="55">
        <v>0</v>
      </c>
      <c r="T2161" s="74" t="s">
        <v>841</v>
      </c>
      <c r="U2161" s="74" t="s">
        <v>351</v>
      </c>
      <c r="V2161" s="74">
        <v>44566</v>
      </c>
      <c r="W2161" s="74">
        <v>44595</v>
      </c>
      <c r="X2161" s="55">
        <v>10186592</v>
      </c>
      <c r="Y2161" s="55" t="s">
        <v>132</v>
      </c>
      <c r="AB2161" s="74" t="s">
        <v>132</v>
      </c>
      <c r="AC2161" s="55" t="s">
        <v>132</v>
      </c>
      <c r="AL2161" s="74"/>
      <c r="AM2161" s="74"/>
      <c r="AW2161" s="74"/>
      <c r="AX2161" s="74"/>
    </row>
    <row r="2162" spans="1:50" ht="13" x14ac:dyDescent="0.15">
      <c r="A2162" s="55" t="str">
        <f>HYPERLINK("http://reports.ofsted.gov.uk/inspection-reports/find-inspection-report/provider/CARE/SC037762","Ofsted Social Care Provider Webpage")</f>
        <v>Ofsted Social Care Provider Webpage</v>
      </c>
      <c r="B2162" s="55" t="s">
        <v>3535</v>
      </c>
      <c r="D2162" s="55" t="s">
        <v>373</v>
      </c>
      <c r="E2162" s="74">
        <v>37900</v>
      </c>
      <c r="F2162" s="55" t="s">
        <v>344</v>
      </c>
      <c r="G2162" s="55" t="s">
        <v>360</v>
      </c>
      <c r="H2162" s="55" t="s">
        <v>360</v>
      </c>
      <c r="I2162" s="55" t="s">
        <v>360</v>
      </c>
      <c r="J2162" s="55" t="s">
        <v>360</v>
      </c>
      <c r="K2162" s="55" t="s">
        <v>360</v>
      </c>
      <c r="L2162" s="55" t="s">
        <v>360</v>
      </c>
      <c r="M2162" s="55" t="s">
        <v>150</v>
      </c>
      <c r="N2162" s="55" t="s">
        <v>150</v>
      </c>
      <c r="O2162" s="55" t="s">
        <v>240</v>
      </c>
      <c r="P2162" s="55" t="s">
        <v>1784</v>
      </c>
      <c r="Q2162" s="55" t="s">
        <v>380</v>
      </c>
      <c r="R2162" s="85">
        <v>5</v>
      </c>
      <c r="S2162" s="55">
        <v>0</v>
      </c>
      <c r="T2162" s="74" t="s">
        <v>788</v>
      </c>
      <c r="U2162" s="74" t="s">
        <v>351</v>
      </c>
      <c r="V2162" s="74">
        <v>44313</v>
      </c>
      <c r="W2162" s="74">
        <v>44361</v>
      </c>
      <c r="X2162" s="55">
        <v>10187660</v>
      </c>
      <c r="Y2162" s="55" t="s">
        <v>132</v>
      </c>
      <c r="AB2162" s="74" t="s">
        <v>132</v>
      </c>
      <c r="AC2162" s="55" t="s">
        <v>132</v>
      </c>
      <c r="AL2162" s="74"/>
      <c r="AM2162" s="74"/>
      <c r="AW2162" s="74"/>
      <c r="AX2162" s="74"/>
    </row>
    <row r="2163" spans="1:50" ht="13" x14ac:dyDescent="0.15">
      <c r="A2163" s="55" t="str">
        <f>HYPERLINK("http://reports.ofsted.gov.uk/inspection-reports/find-inspection-report/provider/CARE/SC037861","Ofsted Social Care Provider Webpage")</f>
        <v>Ofsted Social Care Provider Webpage</v>
      </c>
      <c r="B2163" s="55" t="s">
        <v>3543</v>
      </c>
      <c r="D2163" s="55" t="s">
        <v>373</v>
      </c>
      <c r="E2163" s="74">
        <v>37869</v>
      </c>
      <c r="F2163" s="55" t="s">
        <v>344</v>
      </c>
      <c r="G2163" s="55" t="s">
        <v>360</v>
      </c>
      <c r="H2163" s="55" t="s">
        <v>360</v>
      </c>
      <c r="I2163" s="55" t="s">
        <v>360</v>
      </c>
      <c r="J2163" s="55" t="s">
        <v>360</v>
      </c>
      <c r="K2163" s="55" t="s">
        <v>360</v>
      </c>
      <c r="L2163" s="55" t="s">
        <v>360</v>
      </c>
      <c r="M2163" s="55" t="s">
        <v>378</v>
      </c>
      <c r="N2163" s="55" t="s">
        <v>170</v>
      </c>
      <c r="O2163" s="55" t="s">
        <v>169</v>
      </c>
      <c r="P2163" s="55" t="s">
        <v>169</v>
      </c>
      <c r="Q2163" s="55" t="s">
        <v>380</v>
      </c>
      <c r="R2163" s="85">
        <v>3</v>
      </c>
      <c r="S2163" s="55">
        <v>0</v>
      </c>
      <c r="T2163" s="74" t="s">
        <v>3544</v>
      </c>
      <c r="U2163" s="74" t="s">
        <v>351</v>
      </c>
      <c r="V2163" s="74">
        <v>44362</v>
      </c>
      <c r="W2163" s="74">
        <v>44407</v>
      </c>
      <c r="X2163" s="55">
        <v>10185650</v>
      </c>
      <c r="Y2163" s="55" t="s">
        <v>130</v>
      </c>
      <c r="AB2163" s="74" t="s">
        <v>130</v>
      </c>
      <c r="AC2163" s="55" t="s">
        <v>132</v>
      </c>
      <c r="AL2163" s="74"/>
      <c r="AM2163" s="74"/>
    </row>
    <row r="2164" spans="1:50" ht="13" x14ac:dyDescent="0.15">
      <c r="A2164" s="55" t="str">
        <f>HYPERLINK("http://reports.ofsted.gov.uk/inspection-reports/find-inspection-report/provider/CARE/SC037910","Ofsted Social Care Provider Webpage")</f>
        <v>Ofsted Social Care Provider Webpage</v>
      </c>
      <c r="B2164" s="55" t="s">
        <v>3545</v>
      </c>
      <c r="D2164" s="55" t="s">
        <v>373</v>
      </c>
      <c r="E2164" s="74">
        <v>37964</v>
      </c>
      <c r="F2164" s="55" t="s">
        <v>344</v>
      </c>
      <c r="G2164" s="55" t="s">
        <v>360</v>
      </c>
      <c r="H2164" s="55" t="s">
        <v>360</v>
      </c>
      <c r="I2164" s="55" t="s">
        <v>360</v>
      </c>
      <c r="J2164" s="55" t="s">
        <v>360</v>
      </c>
      <c r="K2164" s="55" t="s">
        <v>360</v>
      </c>
      <c r="L2164" s="55" t="s">
        <v>360</v>
      </c>
      <c r="M2164" s="55" t="s">
        <v>150</v>
      </c>
      <c r="N2164" s="55" t="s">
        <v>150</v>
      </c>
      <c r="O2164" s="55" t="s">
        <v>190</v>
      </c>
      <c r="P2164" s="55" t="s">
        <v>936</v>
      </c>
      <c r="Q2164" s="55" t="s">
        <v>380</v>
      </c>
      <c r="R2164" s="85">
        <v>4</v>
      </c>
      <c r="S2164" s="55">
        <v>0</v>
      </c>
      <c r="T2164" s="74" t="s">
        <v>967</v>
      </c>
      <c r="U2164" s="74" t="s">
        <v>351</v>
      </c>
      <c r="V2164" s="74">
        <v>44383</v>
      </c>
      <c r="W2164" s="74">
        <v>44448</v>
      </c>
      <c r="X2164" s="55">
        <v>10185556</v>
      </c>
      <c r="Y2164" s="55" t="s">
        <v>130</v>
      </c>
      <c r="AB2164" s="74" t="s">
        <v>130</v>
      </c>
      <c r="AC2164" s="55" t="s">
        <v>130</v>
      </c>
      <c r="AL2164" s="74"/>
      <c r="AM2164" s="74"/>
    </row>
    <row r="2165" spans="1:50" ht="13" x14ac:dyDescent="0.15">
      <c r="A2165" s="55" t="str">
        <f>HYPERLINK("http://reports.ofsted.gov.uk/inspection-reports/find-inspection-report/provider/CARE/SC037984","Ofsted Social Care Provider Webpage")</f>
        <v>Ofsted Social Care Provider Webpage</v>
      </c>
      <c r="B2165" s="55" t="s">
        <v>3546</v>
      </c>
      <c r="D2165" s="55" t="s">
        <v>373</v>
      </c>
      <c r="E2165" s="74">
        <v>37869</v>
      </c>
      <c r="F2165" s="55" t="s">
        <v>344</v>
      </c>
      <c r="G2165" s="55" t="s">
        <v>360</v>
      </c>
      <c r="H2165" s="55" t="s">
        <v>360</v>
      </c>
      <c r="I2165" s="55" t="s">
        <v>360</v>
      </c>
      <c r="J2165" s="55" t="s">
        <v>360</v>
      </c>
      <c r="K2165" s="55" t="s">
        <v>360</v>
      </c>
      <c r="L2165" s="55" t="s">
        <v>360</v>
      </c>
      <c r="M2165" s="55" t="s">
        <v>378</v>
      </c>
      <c r="N2165" s="55" t="s">
        <v>170</v>
      </c>
      <c r="O2165" s="55" t="s">
        <v>169</v>
      </c>
      <c r="P2165" s="55" t="s">
        <v>169</v>
      </c>
      <c r="Q2165" s="55" t="s">
        <v>380</v>
      </c>
      <c r="R2165" s="85">
        <v>3</v>
      </c>
      <c r="S2165" s="55">
        <v>0</v>
      </c>
      <c r="T2165" s="74" t="s">
        <v>3544</v>
      </c>
      <c r="U2165" s="74" t="s">
        <v>351</v>
      </c>
      <c r="V2165" s="74">
        <v>44621</v>
      </c>
      <c r="W2165" s="74">
        <v>44663</v>
      </c>
      <c r="X2165" s="55">
        <v>10185618</v>
      </c>
      <c r="Y2165" s="55" t="s">
        <v>132</v>
      </c>
      <c r="AB2165" s="74" t="s">
        <v>132</v>
      </c>
      <c r="AC2165" s="55" t="s">
        <v>132</v>
      </c>
      <c r="AL2165" s="74"/>
      <c r="AM2165" s="74"/>
      <c r="AW2165" s="74"/>
      <c r="AX2165" s="74"/>
    </row>
    <row r="2166" spans="1:50" ht="13" x14ac:dyDescent="0.15">
      <c r="A2166" s="55" t="str">
        <f>HYPERLINK("http://reports.ofsted.gov.uk/inspection-reports/find-inspection-report/provider/CARE/SC038134","Ofsted Social Care Provider Webpage")</f>
        <v>Ofsted Social Care Provider Webpage</v>
      </c>
      <c r="B2166" s="55" t="s">
        <v>3556</v>
      </c>
      <c r="D2166" s="55" t="s">
        <v>389</v>
      </c>
      <c r="E2166" s="74">
        <v>37802</v>
      </c>
      <c r="F2166" s="55" t="s">
        <v>344</v>
      </c>
      <c r="G2166" s="55" t="s">
        <v>770</v>
      </c>
      <c r="H2166" s="55" t="s">
        <v>3557</v>
      </c>
      <c r="I2166" s="55" t="s">
        <v>3558</v>
      </c>
      <c r="J2166" s="55" t="s">
        <v>3559</v>
      </c>
      <c r="L2166" s="55" t="s">
        <v>3560</v>
      </c>
      <c r="M2166" s="55" t="s">
        <v>150</v>
      </c>
      <c r="N2166" s="55" t="s">
        <v>150</v>
      </c>
      <c r="O2166" s="55" t="s">
        <v>203</v>
      </c>
      <c r="P2166" s="55" t="s">
        <v>3559</v>
      </c>
      <c r="Q2166" s="55" t="s">
        <v>350</v>
      </c>
      <c r="S2166" s="55">
        <v>0</v>
      </c>
      <c r="T2166" s="74" t="s">
        <v>775</v>
      </c>
      <c r="U2166" s="74" t="s">
        <v>351</v>
      </c>
      <c r="V2166" s="74">
        <v>44543</v>
      </c>
      <c r="W2166" s="74">
        <v>44592</v>
      </c>
      <c r="X2166" s="55">
        <v>10183404</v>
      </c>
      <c r="Y2166" s="55" t="s">
        <v>132</v>
      </c>
      <c r="AB2166" s="74" t="s">
        <v>132</v>
      </c>
      <c r="AC2166" s="55" t="s">
        <v>132</v>
      </c>
      <c r="AL2166" s="74"/>
      <c r="AM2166" s="74"/>
      <c r="AW2166" s="74"/>
      <c r="AX2166" s="74"/>
    </row>
    <row r="2167" spans="1:50" ht="13" x14ac:dyDescent="0.15">
      <c r="A2167" s="55" t="str">
        <f>HYPERLINK("http://reports.ofsted.gov.uk/inspection-reports/find-inspection-report/provider/CARE/SC038276","Ofsted Social Care Provider Webpage")</f>
        <v>Ofsted Social Care Provider Webpage</v>
      </c>
      <c r="B2167" s="55" t="s">
        <v>3567</v>
      </c>
      <c r="D2167" s="55" t="s">
        <v>479</v>
      </c>
      <c r="E2167" s="74">
        <v>37795</v>
      </c>
      <c r="F2167" s="55" t="s">
        <v>344</v>
      </c>
      <c r="G2167" s="55" t="s">
        <v>360</v>
      </c>
      <c r="H2167" s="55" t="s">
        <v>360</v>
      </c>
      <c r="I2167" s="55" t="s">
        <v>360</v>
      </c>
      <c r="J2167" s="55" t="s">
        <v>360</v>
      </c>
      <c r="K2167" s="55" t="s">
        <v>360</v>
      </c>
      <c r="L2167" s="55" t="s">
        <v>360</v>
      </c>
      <c r="M2167" s="55" t="s">
        <v>144</v>
      </c>
      <c r="N2167" s="55" t="s">
        <v>144</v>
      </c>
      <c r="O2167" s="55" t="s">
        <v>168</v>
      </c>
      <c r="P2167" s="55" t="s">
        <v>834</v>
      </c>
      <c r="Q2167" s="55" t="s">
        <v>350</v>
      </c>
      <c r="R2167" s="85">
        <v>48</v>
      </c>
      <c r="S2167" s="55">
        <v>0</v>
      </c>
      <c r="T2167" s="74" t="s">
        <v>3568</v>
      </c>
      <c r="U2167" s="74" t="s">
        <v>351</v>
      </c>
      <c r="V2167" s="74">
        <v>44328</v>
      </c>
      <c r="W2167" s="74">
        <v>44363</v>
      </c>
      <c r="X2167" s="55">
        <v>10187438</v>
      </c>
      <c r="Y2167" s="55" t="s">
        <v>132</v>
      </c>
      <c r="AB2167" s="74" t="s">
        <v>132</v>
      </c>
      <c r="AC2167" s="55" t="s">
        <v>132</v>
      </c>
      <c r="AL2167" s="74"/>
      <c r="AM2167" s="74"/>
      <c r="AW2167" s="74"/>
      <c r="AX2167" s="74"/>
    </row>
    <row r="2168" spans="1:50" ht="13" x14ac:dyDescent="0.15">
      <c r="A2168" s="55" t="str">
        <f>HYPERLINK("http://reports.ofsted.gov.uk/inspection-reports/find-inspection-report/provider/CARE/SC038284","Ofsted Social Care Provider Webpage")</f>
        <v>Ofsted Social Care Provider Webpage</v>
      </c>
      <c r="B2168" s="55" t="s">
        <v>3569</v>
      </c>
      <c r="C2168" s="55">
        <v>121256</v>
      </c>
      <c r="D2168" s="55" t="s">
        <v>413</v>
      </c>
      <c r="E2168" s="74">
        <v>37523</v>
      </c>
      <c r="F2168" s="55" t="s">
        <v>344</v>
      </c>
      <c r="G2168" s="55" t="s">
        <v>3570</v>
      </c>
      <c r="H2168" s="55" t="s">
        <v>3570</v>
      </c>
      <c r="I2168" s="55" t="s">
        <v>3571</v>
      </c>
      <c r="J2168" s="55" t="s">
        <v>3572</v>
      </c>
      <c r="K2168" s="55" t="s">
        <v>224</v>
      </c>
      <c r="L2168" s="55" t="s">
        <v>3573</v>
      </c>
      <c r="M2168" s="55" t="s">
        <v>138</v>
      </c>
      <c r="N2168" s="55" t="s">
        <v>138</v>
      </c>
      <c r="O2168" s="55" t="s">
        <v>224</v>
      </c>
      <c r="P2168" s="55" t="s">
        <v>1294</v>
      </c>
      <c r="Q2168" s="55" t="s">
        <v>380</v>
      </c>
      <c r="R2168" s="85">
        <v>28</v>
      </c>
      <c r="S2168" s="55">
        <v>0</v>
      </c>
      <c r="T2168" s="74" t="s">
        <v>2272</v>
      </c>
      <c r="U2168" s="74" t="s">
        <v>351</v>
      </c>
      <c r="V2168" s="74">
        <v>44376</v>
      </c>
      <c r="W2168" s="74">
        <v>44419</v>
      </c>
      <c r="X2168" s="55">
        <v>10183495</v>
      </c>
      <c r="Y2168" s="55" t="s">
        <v>132</v>
      </c>
      <c r="AB2168" s="74" t="s">
        <v>132</v>
      </c>
      <c r="AC2168" s="55" t="s">
        <v>132</v>
      </c>
      <c r="AL2168" s="74"/>
      <c r="AM2168" s="74"/>
      <c r="AW2168" s="74"/>
      <c r="AX2168" s="74"/>
    </row>
    <row r="2169" spans="1:50" ht="13" x14ac:dyDescent="0.15">
      <c r="A2169" s="55" t="str">
        <f>HYPERLINK("http://reports.ofsted.gov.uk/inspection-reports/find-inspection-report/provider/CARE/SC038324","Ofsted Social Care Provider Webpage")</f>
        <v>Ofsted Social Care Provider Webpage</v>
      </c>
      <c r="B2169" s="55" t="s">
        <v>3574</v>
      </c>
      <c r="C2169" s="55">
        <v>139099</v>
      </c>
      <c r="D2169" s="55" t="s">
        <v>413</v>
      </c>
      <c r="E2169" s="74">
        <v>37525</v>
      </c>
      <c r="F2169" s="55" t="s">
        <v>344</v>
      </c>
      <c r="G2169" s="55" t="s">
        <v>3575</v>
      </c>
      <c r="H2169" s="55" t="s">
        <v>3576</v>
      </c>
      <c r="I2169" s="55" t="s">
        <v>3577</v>
      </c>
      <c r="J2169" s="55" t="s">
        <v>3578</v>
      </c>
      <c r="L2169" s="55" t="s">
        <v>3579</v>
      </c>
      <c r="M2169" s="55" t="s">
        <v>138</v>
      </c>
      <c r="N2169" s="55" t="s">
        <v>138</v>
      </c>
      <c r="O2169" s="55" t="s">
        <v>224</v>
      </c>
      <c r="P2169" s="55" t="s">
        <v>1530</v>
      </c>
      <c r="Q2169" s="55" t="s">
        <v>420</v>
      </c>
      <c r="R2169" s="85">
        <v>31</v>
      </c>
      <c r="S2169" s="55">
        <v>0</v>
      </c>
      <c r="T2169" s="74" t="s">
        <v>3580</v>
      </c>
      <c r="U2169" s="74" t="s">
        <v>351</v>
      </c>
      <c r="V2169" s="74">
        <v>44621</v>
      </c>
      <c r="W2169" s="74">
        <v>44655</v>
      </c>
      <c r="X2169" s="55">
        <v>10183493</v>
      </c>
      <c r="Y2169" s="55" t="s">
        <v>140</v>
      </c>
      <c r="AB2169" s="74" t="s">
        <v>132</v>
      </c>
      <c r="AC2169" s="55" t="s">
        <v>140</v>
      </c>
      <c r="AL2169" s="74"/>
      <c r="AM2169" s="74"/>
      <c r="AW2169" s="74"/>
      <c r="AX2169" s="74"/>
    </row>
    <row r="2170" spans="1:50" ht="13" x14ac:dyDescent="0.15">
      <c r="A2170" s="55" t="str">
        <f>HYPERLINK("http://reports.ofsted.gov.uk/inspection-reports/find-inspection-report/provider/CARE/SC038435","Ofsted Social Care Provider Webpage")</f>
        <v>Ofsted Social Care Provider Webpage</v>
      </c>
      <c r="B2170" s="55" t="s">
        <v>3581</v>
      </c>
      <c r="D2170" s="55" t="s">
        <v>479</v>
      </c>
      <c r="E2170" s="74">
        <v>37895</v>
      </c>
      <c r="F2170" s="55" t="s">
        <v>344</v>
      </c>
      <c r="G2170" s="55" t="s">
        <v>360</v>
      </c>
      <c r="H2170" s="55" t="s">
        <v>360</v>
      </c>
      <c r="I2170" s="55" t="s">
        <v>360</v>
      </c>
      <c r="J2170" s="55" t="s">
        <v>360</v>
      </c>
      <c r="K2170" s="55" t="s">
        <v>360</v>
      </c>
      <c r="L2170" s="55" t="s">
        <v>360</v>
      </c>
      <c r="M2170" s="55" t="s">
        <v>142</v>
      </c>
      <c r="N2170" s="55" t="s">
        <v>142</v>
      </c>
      <c r="O2170" s="55" t="s">
        <v>293</v>
      </c>
      <c r="P2170" s="55" t="s">
        <v>1641</v>
      </c>
      <c r="Q2170" s="55" t="s">
        <v>362</v>
      </c>
      <c r="R2170" s="85">
        <v>61</v>
      </c>
      <c r="S2170" s="55">
        <v>0</v>
      </c>
      <c r="T2170" s="74" t="s">
        <v>3582</v>
      </c>
      <c r="U2170" s="74" t="s">
        <v>351</v>
      </c>
      <c r="V2170" s="74">
        <v>44328</v>
      </c>
      <c r="W2170" s="74">
        <v>44371</v>
      </c>
      <c r="X2170" s="55">
        <v>10187079</v>
      </c>
      <c r="Y2170" s="55" t="s">
        <v>132</v>
      </c>
      <c r="AB2170" s="74" t="s">
        <v>132</v>
      </c>
      <c r="AC2170" s="55" t="s">
        <v>132</v>
      </c>
      <c r="AL2170" s="74"/>
      <c r="AM2170" s="74"/>
      <c r="AW2170" s="74"/>
      <c r="AX2170" s="74"/>
    </row>
    <row r="2171" spans="1:50" ht="13" x14ac:dyDescent="0.15">
      <c r="A2171" s="55" t="str">
        <f>HYPERLINK("http://reports.ofsted.gov.uk/inspection-reports/find-inspection-report/provider/CARE/SC038500","Ofsted Social Care Provider Webpage")</f>
        <v>Ofsted Social Care Provider Webpage</v>
      </c>
      <c r="B2171" s="55" t="s">
        <v>3583</v>
      </c>
      <c r="D2171" s="55" t="s">
        <v>373</v>
      </c>
      <c r="E2171" s="74">
        <v>37733</v>
      </c>
      <c r="F2171" s="55" t="s">
        <v>344</v>
      </c>
      <c r="G2171" s="55" t="s">
        <v>360</v>
      </c>
      <c r="H2171" s="55" t="s">
        <v>360</v>
      </c>
      <c r="I2171" s="55" t="s">
        <v>360</v>
      </c>
      <c r="J2171" s="55" t="s">
        <v>360</v>
      </c>
      <c r="K2171" s="55" t="s">
        <v>360</v>
      </c>
      <c r="L2171" s="55" t="s">
        <v>360</v>
      </c>
      <c r="M2171" s="55" t="s">
        <v>142</v>
      </c>
      <c r="N2171" s="55" t="s">
        <v>142</v>
      </c>
      <c r="O2171" s="55" t="s">
        <v>177</v>
      </c>
      <c r="P2171" s="55" t="s">
        <v>835</v>
      </c>
      <c r="Q2171" s="55" t="s">
        <v>380</v>
      </c>
      <c r="R2171" s="85">
        <v>4</v>
      </c>
      <c r="S2171" s="55">
        <v>0</v>
      </c>
      <c r="T2171" s="74" t="s">
        <v>3584</v>
      </c>
      <c r="U2171" s="74" t="s">
        <v>351</v>
      </c>
      <c r="V2171" s="74">
        <v>44495</v>
      </c>
      <c r="W2171" s="74">
        <v>44530</v>
      </c>
      <c r="X2171" s="55">
        <v>10187021</v>
      </c>
      <c r="Y2171" s="55" t="s">
        <v>130</v>
      </c>
      <c r="AB2171" s="74" t="s">
        <v>130</v>
      </c>
      <c r="AC2171" s="55" t="s">
        <v>130</v>
      </c>
      <c r="AL2171" s="74"/>
      <c r="AM2171" s="74"/>
      <c r="AW2171" s="74"/>
      <c r="AX2171" s="74"/>
    </row>
    <row r="2172" spans="1:50" ht="13" x14ac:dyDescent="0.15">
      <c r="A2172" s="55" t="str">
        <f>HYPERLINK("http://reports.ofsted.gov.uk/inspection-reports/find-inspection-report/provider/CARE/SC038500","Ofsted Social Care Provider Webpage")</f>
        <v>Ofsted Social Care Provider Webpage</v>
      </c>
      <c r="B2172" s="55" t="s">
        <v>3583</v>
      </c>
      <c r="D2172" s="55" t="s">
        <v>373</v>
      </c>
      <c r="E2172" s="74">
        <v>37733</v>
      </c>
      <c r="F2172" s="55" t="s">
        <v>344</v>
      </c>
      <c r="G2172" s="55" t="s">
        <v>360</v>
      </c>
      <c r="H2172" s="55" t="s">
        <v>360</v>
      </c>
      <c r="I2172" s="55" t="s">
        <v>360</v>
      </c>
      <c r="J2172" s="55" t="s">
        <v>360</v>
      </c>
      <c r="K2172" s="55" t="s">
        <v>360</v>
      </c>
      <c r="L2172" s="55" t="s">
        <v>360</v>
      </c>
      <c r="M2172" s="55" t="s">
        <v>142</v>
      </c>
      <c r="N2172" s="55" t="s">
        <v>142</v>
      </c>
      <c r="O2172" s="55" t="s">
        <v>177</v>
      </c>
      <c r="P2172" s="55" t="s">
        <v>835</v>
      </c>
      <c r="Q2172" s="55" t="s">
        <v>380</v>
      </c>
      <c r="R2172" s="85">
        <v>4</v>
      </c>
      <c r="S2172" s="55">
        <v>0</v>
      </c>
      <c r="T2172" s="74" t="s">
        <v>3584</v>
      </c>
      <c r="U2172" s="74" t="s">
        <v>2053</v>
      </c>
      <c r="V2172" s="74">
        <v>44585</v>
      </c>
      <c r="W2172" s="74">
        <v>44634</v>
      </c>
      <c r="X2172" s="55">
        <v>10219388</v>
      </c>
      <c r="AL2172" s="74"/>
      <c r="AM2172" s="74"/>
      <c r="AW2172" s="74"/>
      <c r="AX2172" s="74"/>
    </row>
    <row r="2173" spans="1:50" ht="13" x14ac:dyDescent="0.15">
      <c r="A2173" s="55" t="str">
        <f>HYPERLINK("http://reports.ofsted.gov.uk/inspection-reports/find-inspection-report/provider/CARE/SC038500","Ofsted Social Care Provider Webpage")</f>
        <v>Ofsted Social Care Provider Webpage</v>
      </c>
      <c r="B2173" s="55" t="s">
        <v>3583</v>
      </c>
      <c r="D2173" s="55" t="s">
        <v>373</v>
      </c>
      <c r="E2173" s="74">
        <v>37733</v>
      </c>
      <c r="F2173" s="55" t="s">
        <v>344</v>
      </c>
      <c r="G2173" s="55" t="s">
        <v>360</v>
      </c>
      <c r="H2173" s="55" t="s">
        <v>360</v>
      </c>
      <c r="I2173" s="55" t="s">
        <v>360</v>
      </c>
      <c r="J2173" s="55" t="s">
        <v>360</v>
      </c>
      <c r="K2173" s="55" t="s">
        <v>360</v>
      </c>
      <c r="L2173" s="55" t="s">
        <v>360</v>
      </c>
      <c r="M2173" s="55" t="s">
        <v>142</v>
      </c>
      <c r="N2173" s="55" t="s">
        <v>142</v>
      </c>
      <c r="O2173" s="55" t="s">
        <v>177</v>
      </c>
      <c r="P2173" s="55" t="s">
        <v>835</v>
      </c>
      <c r="Q2173" s="55" t="s">
        <v>380</v>
      </c>
      <c r="R2173" s="85">
        <v>4</v>
      </c>
      <c r="S2173" s="55">
        <v>0</v>
      </c>
      <c r="T2173" s="74" t="s">
        <v>3584</v>
      </c>
      <c r="U2173" s="74" t="s">
        <v>2053</v>
      </c>
      <c r="V2173" s="74">
        <v>44630</v>
      </c>
      <c r="W2173" s="74">
        <v>44680</v>
      </c>
      <c r="X2173" s="55">
        <v>10219389</v>
      </c>
      <c r="AL2173" s="74"/>
      <c r="AM2173" s="74"/>
      <c r="AW2173" s="74"/>
      <c r="AX2173" s="74"/>
    </row>
    <row r="2174" spans="1:50" ht="13" x14ac:dyDescent="0.15">
      <c r="A2174" s="55" t="str">
        <f>HYPERLINK("http://reports.ofsted.gov.uk/inspection-reports/find-inspection-report/provider/CARE/SC038500","Ofsted Social Care Provider Webpage")</f>
        <v>Ofsted Social Care Provider Webpage</v>
      </c>
      <c r="B2174" s="55" t="s">
        <v>3583</v>
      </c>
      <c r="D2174" s="55" t="s">
        <v>373</v>
      </c>
      <c r="E2174" s="74">
        <v>37733</v>
      </c>
      <c r="F2174" s="55" t="s">
        <v>344</v>
      </c>
      <c r="G2174" s="55" t="s">
        <v>360</v>
      </c>
      <c r="H2174" s="55" t="s">
        <v>360</v>
      </c>
      <c r="I2174" s="55" t="s">
        <v>360</v>
      </c>
      <c r="J2174" s="55" t="s">
        <v>360</v>
      </c>
      <c r="K2174" s="55" t="s">
        <v>360</v>
      </c>
      <c r="L2174" s="55" t="s">
        <v>360</v>
      </c>
      <c r="M2174" s="55" t="s">
        <v>142</v>
      </c>
      <c r="N2174" s="55" t="s">
        <v>142</v>
      </c>
      <c r="O2174" s="55" t="s">
        <v>177</v>
      </c>
      <c r="P2174" s="55" t="s">
        <v>835</v>
      </c>
      <c r="Q2174" s="55" t="s">
        <v>380</v>
      </c>
      <c r="R2174" s="85">
        <v>4</v>
      </c>
      <c r="S2174" s="55">
        <v>0</v>
      </c>
      <c r="T2174" s="74" t="s">
        <v>3584</v>
      </c>
      <c r="U2174" s="74" t="s">
        <v>6703</v>
      </c>
      <c r="V2174" s="74">
        <v>44546</v>
      </c>
      <c r="W2174" s="74">
        <v>44595</v>
      </c>
      <c r="X2174" s="55">
        <v>10217239</v>
      </c>
      <c r="Y2174" s="55" t="s">
        <v>6704</v>
      </c>
      <c r="AL2174" s="74"/>
      <c r="AM2174" s="74"/>
      <c r="AW2174" s="74"/>
      <c r="AX2174" s="74"/>
    </row>
    <row r="2175" spans="1:50" ht="13" x14ac:dyDescent="0.15">
      <c r="A2175" s="55" t="str">
        <f>HYPERLINK("http://reports.ofsted.gov.uk/inspection-reports/find-inspection-report/provider/CARE/SC038522","Ofsted Social Care Provider Webpage")</f>
        <v>Ofsted Social Care Provider Webpage</v>
      </c>
      <c r="B2175" s="55" t="s">
        <v>3585</v>
      </c>
      <c r="D2175" s="55" t="s">
        <v>373</v>
      </c>
      <c r="E2175" s="74">
        <v>37573</v>
      </c>
      <c r="F2175" s="55" t="s">
        <v>344</v>
      </c>
      <c r="G2175" s="55" t="s">
        <v>360</v>
      </c>
      <c r="H2175" s="55" t="s">
        <v>360</v>
      </c>
      <c r="I2175" s="55" t="s">
        <v>360</v>
      </c>
      <c r="J2175" s="55" t="s">
        <v>360</v>
      </c>
      <c r="K2175" s="55" t="s">
        <v>360</v>
      </c>
      <c r="L2175" s="55" t="s">
        <v>360</v>
      </c>
      <c r="M2175" s="55" t="s">
        <v>150</v>
      </c>
      <c r="N2175" s="55" t="s">
        <v>150</v>
      </c>
      <c r="O2175" s="55" t="s">
        <v>285</v>
      </c>
      <c r="P2175" s="55" t="s">
        <v>2738</v>
      </c>
      <c r="Q2175" s="55" t="s">
        <v>350</v>
      </c>
      <c r="R2175" s="85">
        <v>5</v>
      </c>
      <c r="S2175" s="55">
        <v>0</v>
      </c>
      <c r="T2175" s="74" t="s">
        <v>3586</v>
      </c>
      <c r="U2175" s="74" t="s">
        <v>351</v>
      </c>
      <c r="V2175" s="74">
        <v>44503</v>
      </c>
      <c r="W2175" s="74">
        <v>44550</v>
      </c>
      <c r="X2175" s="55">
        <v>10208980</v>
      </c>
      <c r="Y2175" s="55" t="s">
        <v>132</v>
      </c>
      <c r="AB2175" s="74" t="s">
        <v>132</v>
      </c>
      <c r="AC2175" s="55" t="s">
        <v>130</v>
      </c>
      <c r="AL2175" s="74"/>
      <c r="AM2175" s="74"/>
    </row>
    <row r="2176" spans="1:50" ht="13" x14ac:dyDescent="0.15">
      <c r="A2176" s="55" t="str">
        <f>HYPERLINK("http://reports.ofsted.gov.uk/inspection-reports/find-inspection-report/provider/CARE/SC038522","Ofsted Social Care Provider Webpage")</f>
        <v>Ofsted Social Care Provider Webpage</v>
      </c>
      <c r="B2176" s="55" t="s">
        <v>3585</v>
      </c>
      <c r="D2176" s="55" t="s">
        <v>373</v>
      </c>
      <c r="E2176" s="74">
        <v>37573</v>
      </c>
      <c r="F2176" s="55" t="s">
        <v>344</v>
      </c>
      <c r="G2176" s="55" t="s">
        <v>360</v>
      </c>
      <c r="H2176" s="55" t="s">
        <v>360</v>
      </c>
      <c r="I2176" s="55" t="s">
        <v>360</v>
      </c>
      <c r="J2176" s="55" t="s">
        <v>360</v>
      </c>
      <c r="K2176" s="55" t="s">
        <v>360</v>
      </c>
      <c r="L2176" s="55" t="s">
        <v>360</v>
      </c>
      <c r="M2176" s="55" t="s">
        <v>150</v>
      </c>
      <c r="N2176" s="55" t="s">
        <v>150</v>
      </c>
      <c r="O2176" s="55" t="s">
        <v>285</v>
      </c>
      <c r="P2176" s="55" t="s">
        <v>2738</v>
      </c>
      <c r="Q2176" s="55" t="s">
        <v>350</v>
      </c>
      <c r="R2176" s="85">
        <v>5</v>
      </c>
      <c r="S2176" s="55">
        <v>0</v>
      </c>
      <c r="T2176" s="74" t="s">
        <v>3586</v>
      </c>
      <c r="U2176" s="74" t="s">
        <v>351</v>
      </c>
      <c r="V2176" s="74">
        <v>44406</v>
      </c>
      <c r="W2176" s="74">
        <v>44468</v>
      </c>
      <c r="X2176" s="55">
        <v>10186266</v>
      </c>
      <c r="Y2176" s="55" t="s">
        <v>146</v>
      </c>
      <c r="AB2176" s="74" t="s">
        <v>146</v>
      </c>
      <c r="AC2176" s="55" t="s">
        <v>146</v>
      </c>
      <c r="AL2176" s="74"/>
      <c r="AM2176" s="74"/>
      <c r="AW2176" s="74"/>
      <c r="AX2176" s="74"/>
    </row>
    <row r="2177" spans="1:50" ht="13" x14ac:dyDescent="0.15">
      <c r="A2177" s="55" t="str">
        <f>HYPERLINK("http://reports.ofsted.gov.uk/inspection-reports/find-inspection-report/provider/CARE/SC038522","Ofsted Social Care Provider Webpage")</f>
        <v>Ofsted Social Care Provider Webpage</v>
      </c>
      <c r="B2177" s="55" t="s">
        <v>3585</v>
      </c>
      <c r="D2177" s="55" t="s">
        <v>373</v>
      </c>
      <c r="E2177" s="74">
        <v>37573</v>
      </c>
      <c r="F2177" s="55" t="s">
        <v>344</v>
      </c>
      <c r="G2177" s="55" t="s">
        <v>360</v>
      </c>
      <c r="H2177" s="55" t="s">
        <v>360</v>
      </c>
      <c r="I2177" s="55" t="s">
        <v>360</v>
      </c>
      <c r="J2177" s="55" t="s">
        <v>360</v>
      </c>
      <c r="K2177" s="55" t="s">
        <v>360</v>
      </c>
      <c r="L2177" s="55" t="s">
        <v>360</v>
      </c>
      <c r="M2177" s="55" t="s">
        <v>150</v>
      </c>
      <c r="N2177" s="55" t="s">
        <v>150</v>
      </c>
      <c r="O2177" s="55" t="s">
        <v>285</v>
      </c>
      <c r="P2177" s="55" t="s">
        <v>2738</v>
      </c>
      <c r="Q2177" s="55" t="s">
        <v>350</v>
      </c>
      <c r="R2177" s="85">
        <v>5</v>
      </c>
      <c r="S2177" s="55">
        <v>0</v>
      </c>
      <c r="T2177" s="74" t="s">
        <v>3586</v>
      </c>
      <c r="U2177" s="74" t="s">
        <v>2053</v>
      </c>
      <c r="V2177" s="74">
        <v>44456</v>
      </c>
      <c r="W2177" s="74">
        <v>44509</v>
      </c>
      <c r="X2177" s="55">
        <v>10207465</v>
      </c>
      <c r="AL2177" s="74"/>
      <c r="AM2177" s="74"/>
    </row>
    <row r="2178" spans="1:50" ht="13" x14ac:dyDescent="0.15">
      <c r="A2178" s="55" t="str">
        <f>HYPERLINK("http://reports.ofsted.gov.uk/inspection-reports/find-inspection-report/provider/CARE/SC038526","Ofsted Social Care Provider Webpage")</f>
        <v>Ofsted Social Care Provider Webpage</v>
      </c>
      <c r="B2178" s="55" t="s">
        <v>3587</v>
      </c>
      <c r="D2178" s="55" t="s">
        <v>373</v>
      </c>
      <c r="E2178" s="74">
        <v>37631</v>
      </c>
      <c r="F2178" s="55" t="s">
        <v>344</v>
      </c>
      <c r="G2178" s="55" t="s">
        <v>360</v>
      </c>
      <c r="H2178" s="55" t="s">
        <v>360</v>
      </c>
      <c r="I2178" s="55" t="s">
        <v>360</v>
      </c>
      <c r="J2178" s="55" t="s">
        <v>360</v>
      </c>
      <c r="K2178" s="55" t="s">
        <v>360</v>
      </c>
      <c r="L2178" s="55" t="s">
        <v>360</v>
      </c>
      <c r="M2178" s="55" t="s">
        <v>142</v>
      </c>
      <c r="N2178" s="55" t="s">
        <v>142</v>
      </c>
      <c r="O2178" s="55" t="s">
        <v>278</v>
      </c>
      <c r="P2178" s="55" t="s">
        <v>611</v>
      </c>
      <c r="Q2178" s="55" t="s">
        <v>350</v>
      </c>
      <c r="R2178" s="85">
        <v>9</v>
      </c>
      <c r="S2178" s="55">
        <v>0</v>
      </c>
      <c r="T2178" s="74" t="s">
        <v>1164</v>
      </c>
      <c r="U2178" s="74" t="s">
        <v>351</v>
      </c>
      <c r="V2178" s="74">
        <v>44621</v>
      </c>
      <c r="W2178" s="74">
        <v>44662</v>
      </c>
      <c r="X2178" s="55">
        <v>10186546</v>
      </c>
      <c r="Y2178" s="55" t="s">
        <v>130</v>
      </c>
      <c r="AB2178" s="74" t="s">
        <v>130</v>
      </c>
      <c r="AC2178" s="55" t="s">
        <v>130</v>
      </c>
      <c r="AL2178" s="74"/>
      <c r="AM2178" s="74"/>
    </row>
    <row r="2179" spans="1:50" ht="13" x14ac:dyDescent="0.15">
      <c r="A2179" s="55" t="str">
        <f>HYPERLINK("http://reports.ofsted.gov.uk/inspection-reports/find-inspection-report/provider/CARE/SC038534","Ofsted Social Care Provider Webpage")</f>
        <v>Ofsted Social Care Provider Webpage</v>
      </c>
      <c r="B2179" s="55" t="s">
        <v>3588</v>
      </c>
      <c r="D2179" s="55" t="s">
        <v>389</v>
      </c>
      <c r="E2179" s="74">
        <v>37971</v>
      </c>
      <c r="F2179" s="55" t="s">
        <v>344</v>
      </c>
      <c r="G2179" s="55" t="s">
        <v>3589</v>
      </c>
      <c r="H2179" s="55" t="s">
        <v>3590</v>
      </c>
      <c r="I2179" s="55" t="s">
        <v>3591</v>
      </c>
      <c r="J2179" s="55" t="s">
        <v>3430</v>
      </c>
      <c r="K2179" s="55" t="s">
        <v>203</v>
      </c>
      <c r="L2179" s="55" t="s">
        <v>3592</v>
      </c>
      <c r="M2179" s="55" t="s">
        <v>150</v>
      </c>
      <c r="N2179" s="55" t="s">
        <v>150</v>
      </c>
      <c r="O2179" s="55" t="s">
        <v>203</v>
      </c>
      <c r="P2179" s="55" t="s">
        <v>1263</v>
      </c>
      <c r="Q2179" s="55" t="s">
        <v>362</v>
      </c>
      <c r="S2179" s="55">
        <v>0</v>
      </c>
      <c r="T2179" s="74" t="s">
        <v>367</v>
      </c>
      <c r="U2179" s="74" t="s">
        <v>351</v>
      </c>
      <c r="V2179" s="74">
        <v>44487</v>
      </c>
      <c r="W2179" s="74">
        <v>44529</v>
      </c>
      <c r="X2179" s="55">
        <v>10183406</v>
      </c>
      <c r="Y2179" s="55" t="s">
        <v>132</v>
      </c>
      <c r="AB2179" s="74" t="s">
        <v>132</v>
      </c>
      <c r="AC2179" s="55" t="s">
        <v>132</v>
      </c>
      <c r="AL2179" s="74"/>
      <c r="AM2179" s="74"/>
    </row>
    <row r="2180" spans="1:50" ht="13" x14ac:dyDescent="0.15">
      <c r="A2180" s="55" t="str">
        <f>HYPERLINK("http://reports.ofsted.gov.uk/inspection-reports/find-inspection-report/provider/CARE/SC038557","Ofsted Social Care Provider Webpage")</f>
        <v>Ofsted Social Care Provider Webpage</v>
      </c>
      <c r="B2180" s="55" t="s">
        <v>3593</v>
      </c>
      <c r="D2180" s="55" t="s">
        <v>373</v>
      </c>
      <c r="E2180" s="74">
        <v>37778</v>
      </c>
      <c r="F2180" s="55" t="s">
        <v>344</v>
      </c>
      <c r="G2180" s="55" t="s">
        <v>360</v>
      </c>
      <c r="H2180" s="55" t="s">
        <v>360</v>
      </c>
      <c r="I2180" s="55" t="s">
        <v>360</v>
      </c>
      <c r="J2180" s="55" t="s">
        <v>360</v>
      </c>
      <c r="K2180" s="55" t="s">
        <v>360</v>
      </c>
      <c r="L2180" s="55" t="s">
        <v>360</v>
      </c>
      <c r="M2180" s="55" t="s">
        <v>378</v>
      </c>
      <c r="N2180" s="55" t="s">
        <v>170</v>
      </c>
      <c r="O2180" s="55" t="s">
        <v>231</v>
      </c>
      <c r="P2180" s="55" t="s">
        <v>231</v>
      </c>
      <c r="Q2180" s="55" t="s">
        <v>380</v>
      </c>
      <c r="R2180" s="85">
        <v>5</v>
      </c>
      <c r="S2180" s="55" t="s">
        <v>332</v>
      </c>
      <c r="T2180" s="74" t="s">
        <v>1945</v>
      </c>
      <c r="U2180" s="74" t="s">
        <v>351</v>
      </c>
      <c r="V2180" s="74">
        <v>44410</v>
      </c>
      <c r="W2180" s="74">
        <v>44434</v>
      </c>
      <c r="X2180" s="55">
        <v>10185076</v>
      </c>
      <c r="Y2180" s="55" t="s">
        <v>140</v>
      </c>
      <c r="AB2180" s="74" t="s">
        <v>132</v>
      </c>
      <c r="AC2180" s="55" t="s">
        <v>132</v>
      </c>
      <c r="AL2180" s="74"/>
      <c r="AM2180" s="74"/>
      <c r="AW2180" s="74"/>
      <c r="AX2180" s="74"/>
    </row>
    <row r="2181" spans="1:50" ht="13" x14ac:dyDescent="0.15">
      <c r="A2181" s="55" t="str">
        <f>HYPERLINK("http://reports.ofsted.gov.uk/inspection-reports/find-inspection-report/provider/CARE/SC038564","Ofsted Social Care Provider Webpage")</f>
        <v>Ofsted Social Care Provider Webpage</v>
      </c>
      <c r="B2181" s="55" t="s">
        <v>3594</v>
      </c>
      <c r="D2181" s="55" t="s">
        <v>373</v>
      </c>
      <c r="E2181" s="74">
        <v>37797</v>
      </c>
      <c r="F2181" s="55" t="s">
        <v>344</v>
      </c>
      <c r="G2181" s="55" t="s">
        <v>360</v>
      </c>
      <c r="H2181" s="55" t="s">
        <v>360</v>
      </c>
      <c r="I2181" s="55" t="s">
        <v>360</v>
      </c>
      <c r="J2181" s="55" t="s">
        <v>360</v>
      </c>
      <c r="K2181" s="55" t="s">
        <v>360</v>
      </c>
      <c r="L2181" s="55" t="s">
        <v>360</v>
      </c>
      <c r="M2181" s="55" t="s">
        <v>378</v>
      </c>
      <c r="N2181" s="55" t="s">
        <v>170</v>
      </c>
      <c r="O2181" s="55" t="s">
        <v>231</v>
      </c>
      <c r="P2181" s="55" t="s">
        <v>231</v>
      </c>
      <c r="Q2181" s="55" t="s">
        <v>380</v>
      </c>
      <c r="R2181" s="85">
        <v>5</v>
      </c>
      <c r="S2181" s="55">
        <v>0</v>
      </c>
      <c r="T2181" s="74" t="s">
        <v>1945</v>
      </c>
      <c r="U2181" s="74" t="s">
        <v>351</v>
      </c>
      <c r="V2181" s="74">
        <v>44439</v>
      </c>
      <c r="W2181" s="74">
        <v>44466</v>
      </c>
      <c r="X2181" s="55">
        <v>10186823</v>
      </c>
      <c r="Y2181" s="55" t="s">
        <v>132</v>
      </c>
      <c r="AB2181" s="74" t="s">
        <v>132</v>
      </c>
      <c r="AC2181" s="55" t="s">
        <v>132</v>
      </c>
      <c r="AL2181" s="74"/>
      <c r="AM2181" s="74"/>
      <c r="AW2181" s="74"/>
      <c r="AX2181" s="74"/>
    </row>
    <row r="2182" spans="1:50" ht="13" x14ac:dyDescent="0.15">
      <c r="A2182" s="55" t="str">
        <f>HYPERLINK("http://reports.ofsted.gov.uk/inspection-reports/find-inspection-report/provider/CARE/SC038719","Ofsted Social Care Provider Webpage")</f>
        <v>Ofsted Social Care Provider Webpage</v>
      </c>
      <c r="B2182" s="55" t="s">
        <v>3595</v>
      </c>
      <c r="D2182" s="55" t="s">
        <v>2864</v>
      </c>
      <c r="E2182" s="74">
        <v>38077</v>
      </c>
      <c r="F2182" s="55" t="s">
        <v>344</v>
      </c>
      <c r="G2182" s="55" t="s">
        <v>360</v>
      </c>
      <c r="H2182" s="55" t="s">
        <v>360</v>
      </c>
      <c r="I2182" s="55" t="s">
        <v>360</v>
      </c>
      <c r="J2182" s="55" t="s">
        <v>360</v>
      </c>
      <c r="K2182" s="55" t="s">
        <v>360</v>
      </c>
      <c r="L2182" s="55" t="s">
        <v>360</v>
      </c>
      <c r="M2182" s="55" t="s">
        <v>150</v>
      </c>
      <c r="N2182" s="55" t="s">
        <v>150</v>
      </c>
      <c r="O2182" s="55" t="s">
        <v>190</v>
      </c>
      <c r="P2182" s="55" t="s">
        <v>500</v>
      </c>
      <c r="Q2182" s="55" t="s">
        <v>380</v>
      </c>
      <c r="R2182" s="85">
        <v>16</v>
      </c>
      <c r="S2182" s="55">
        <v>0</v>
      </c>
      <c r="T2182" s="74" t="s">
        <v>967</v>
      </c>
      <c r="U2182" s="74" t="s">
        <v>351</v>
      </c>
      <c r="V2182" s="74">
        <v>44383</v>
      </c>
      <c r="W2182" s="74">
        <v>44431</v>
      </c>
      <c r="X2182" s="55">
        <v>10165438</v>
      </c>
      <c r="Y2182" s="55" t="s">
        <v>130</v>
      </c>
      <c r="Z2182" s="55" t="s">
        <v>130</v>
      </c>
      <c r="AA2182" s="55" t="s">
        <v>130</v>
      </c>
      <c r="AB2182" s="74" t="s">
        <v>130</v>
      </c>
      <c r="AC2182" s="55" t="s">
        <v>130</v>
      </c>
      <c r="AL2182" s="74"/>
      <c r="AM2182" s="74"/>
      <c r="AW2182" s="74"/>
      <c r="AX2182" s="74"/>
    </row>
    <row r="2183" spans="1:50" ht="13" x14ac:dyDescent="0.15">
      <c r="A2183" s="55" t="str">
        <f>HYPERLINK("http://reports.ofsted.gov.uk/inspection-reports/find-inspection-report/provider/CARE/SC038723","Ofsted Social Care Provider Webpage")</f>
        <v>Ofsted Social Care Provider Webpage</v>
      </c>
      <c r="B2183" s="55" t="s">
        <v>3596</v>
      </c>
      <c r="C2183" s="55">
        <v>140997</v>
      </c>
      <c r="D2183" s="55" t="s">
        <v>413</v>
      </c>
      <c r="E2183" s="74">
        <v>37537</v>
      </c>
      <c r="F2183" s="55" t="s">
        <v>344</v>
      </c>
      <c r="G2183" s="55" t="s">
        <v>3597</v>
      </c>
      <c r="H2183" s="55" t="s">
        <v>3598</v>
      </c>
      <c r="I2183" s="55" t="s">
        <v>3599</v>
      </c>
      <c r="J2183" s="55" t="s">
        <v>3600</v>
      </c>
      <c r="L2183" s="55" t="s">
        <v>3601</v>
      </c>
      <c r="M2183" s="55" t="s">
        <v>142</v>
      </c>
      <c r="N2183" s="55" t="s">
        <v>142</v>
      </c>
      <c r="O2183" s="55" t="s">
        <v>262</v>
      </c>
      <c r="P2183" s="55" t="s">
        <v>916</v>
      </c>
      <c r="Q2183" s="55" t="s">
        <v>420</v>
      </c>
      <c r="R2183" s="85">
        <v>63</v>
      </c>
      <c r="S2183" s="55">
        <v>0</v>
      </c>
      <c r="T2183" s="74" t="s">
        <v>3602</v>
      </c>
      <c r="U2183" s="74" t="s">
        <v>351</v>
      </c>
      <c r="V2183" s="74">
        <v>44537</v>
      </c>
      <c r="W2183" s="74">
        <v>44586</v>
      </c>
      <c r="X2183" s="55">
        <v>10183477</v>
      </c>
      <c r="Y2183" s="55" t="s">
        <v>132</v>
      </c>
      <c r="AB2183" s="74" t="s">
        <v>132</v>
      </c>
      <c r="AC2183" s="55" t="s">
        <v>132</v>
      </c>
      <c r="AL2183" s="74"/>
      <c r="AM2183" s="74"/>
      <c r="AW2183" s="74"/>
      <c r="AX2183" s="74"/>
    </row>
    <row r="2184" spans="1:50" ht="13" x14ac:dyDescent="0.15">
      <c r="A2184" s="55" t="str">
        <f>HYPERLINK("http://reports.ofsted.gov.uk/inspection-reports/find-inspection-report/provider/CARE/SC038727","Ofsted Social Care Provider Webpage")</f>
        <v>Ofsted Social Care Provider Webpage</v>
      </c>
      <c r="B2184" s="55" t="s">
        <v>3607</v>
      </c>
      <c r="C2184" s="55">
        <v>124496</v>
      </c>
      <c r="D2184" s="55" t="s">
        <v>413</v>
      </c>
      <c r="E2184" s="74">
        <v>37537</v>
      </c>
      <c r="F2184" s="55" t="s">
        <v>344</v>
      </c>
      <c r="G2184" s="55" t="s">
        <v>3608</v>
      </c>
      <c r="H2184" s="55" t="s">
        <v>2996</v>
      </c>
      <c r="I2184" s="55" t="s">
        <v>3609</v>
      </c>
      <c r="J2184" s="55" t="s">
        <v>3610</v>
      </c>
      <c r="K2184" s="55" t="s">
        <v>262</v>
      </c>
      <c r="L2184" s="55" t="s">
        <v>3611</v>
      </c>
      <c r="M2184" s="55" t="s">
        <v>142</v>
      </c>
      <c r="N2184" s="55" t="s">
        <v>142</v>
      </c>
      <c r="O2184" s="55" t="s">
        <v>262</v>
      </c>
      <c r="P2184" s="55" t="s">
        <v>618</v>
      </c>
      <c r="Q2184" s="55" t="s">
        <v>380</v>
      </c>
      <c r="R2184" s="85">
        <v>18</v>
      </c>
      <c r="S2184" s="55">
        <v>0</v>
      </c>
      <c r="T2184" s="74" t="s">
        <v>2996</v>
      </c>
      <c r="U2184" s="74" t="s">
        <v>351</v>
      </c>
      <c r="V2184" s="74">
        <v>44579</v>
      </c>
      <c r="W2184" s="74">
        <v>44628</v>
      </c>
      <c r="X2184" s="55">
        <v>10183584</v>
      </c>
      <c r="Y2184" s="55" t="s">
        <v>140</v>
      </c>
      <c r="AB2184" s="74" t="s">
        <v>140</v>
      </c>
      <c r="AC2184" s="55" t="s">
        <v>140</v>
      </c>
      <c r="AL2184" s="74"/>
      <c r="AM2184" s="74"/>
      <c r="AW2184" s="74"/>
      <c r="AX2184" s="74"/>
    </row>
    <row r="2185" spans="1:50" ht="13" x14ac:dyDescent="0.15">
      <c r="A2185" s="55" t="str">
        <f>HYPERLINK("http://reports.ofsted.gov.uk/inspection-reports/find-inspection-report/provider/CARE/SC038728","Ofsted Social Care Provider Webpage")</f>
        <v>Ofsted Social Care Provider Webpage</v>
      </c>
      <c r="B2185" s="55" t="s">
        <v>3612</v>
      </c>
      <c r="C2185" s="55">
        <v>142094</v>
      </c>
      <c r="D2185" s="55" t="s">
        <v>413</v>
      </c>
      <c r="E2185" s="74">
        <v>37537</v>
      </c>
      <c r="F2185" s="55" t="s">
        <v>344</v>
      </c>
      <c r="G2185" s="55" t="s">
        <v>3613</v>
      </c>
      <c r="H2185" s="55" t="s">
        <v>3614</v>
      </c>
      <c r="I2185" s="55" t="s">
        <v>3615</v>
      </c>
      <c r="J2185" s="55" t="s">
        <v>3616</v>
      </c>
      <c r="K2185" s="55" t="s">
        <v>262</v>
      </c>
      <c r="L2185" s="55" t="s">
        <v>3617</v>
      </c>
      <c r="M2185" s="55" t="s">
        <v>142</v>
      </c>
      <c r="N2185" s="55" t="s">
        <v>142</v>
      </c>
      <c r="O2185" s="55" t="s">
        <v>262</v>
      </c>
      <c r="P2185" s="55" t="s">
        <v>1859</v>
      </c>
      <c r="Q2185" s="55" t="s">
        <v>420</v>
      </c>
      <c r="R2185" s="85">
        <v>32</v>
      </c>
      <c r="S2185" s="55">
        <v>0</v>
      </c>
      <c r="T2185" s="74" t="s">
        <v>3602</v>
      </c>
      <c r="U2185" s="74" t="s">
        <v>351</v>
      </c>
      <c r="V2185" s="74">
        <v>44516</v>
      </c>
      <c r="W2185" s="74">
        <v>44585</v>
      </c>
      <c r="X2185" s="55">
        <v>10183588</v>
      </c>
      <c r="Y2185" s="55" t="s">
        <v>140</v>
      </c>
      <c r="AB2185" s="74" t="s">
        <v>140</v>
      </c>
      <c r="AC2185" s="55" t="s">
        <v>140</v>
      </c>
      <c r="AL2185" s="74"/>
      <c r="AM2185" s="74"/>
      <c r="AW2185" s="74"/>
      <c r="AX2185" s="74"/>
    </row>
    <row r="2186" spans="1:50" ht="13" x14ac:dyDescent="0.15">
      <c r="A2186" s="55" t="str">
        <f>HYPERLINK("http://reports.ofsted.gov.uk/inspection-reports/find-inspection-report/provider/CARE/SC038731","Ofsted Social Care Provider Webpage")</f>
        <v>Ofsted Social Care Provider Webpage</v>
      </c>
      <c r="B2186" s="55" t="s">
        <v>3625</v>
      </c>
      <c r="C2186" s="55">
        <v>142169</v>
      </c>
      <c r="D2186" s="55" t="s">
        <v>413</v>
      </c>
      <c r="E2186" s="74">
        <v>37537</v>
      </c>
      <c r="F2186" s="55" t="s">
        <v>344</v>
      </c>
      <c r="G2186" s="55" t="s">
        <v>3626</v>
      </c>
      <c r="H2186" s="55" t="s">
        <v>3627</v>
      </c>
      <c r="I2186" s="55" t="s">
        <v>3628</v>
      </c>
      <c r="J2186" s="55" t="s">
        <v>265</v>
      </c>
      <c r="K2186" s="55" t="s">
        <v>262</v>
      </c>
      <c r="L2186" s="55" t="s">
        <v>3629</v>
      </c>
      <c r="M2186" s="55" t="s">
        <v>142</v>
      </c>
      <c r="N2186" s="55" t="s">
        <v>142</v>
      </c>
      <c r="O2186" s="55" t="s">
        <v>262</v>
      </c>
      <c r="P2186" s="55" t="s">
        <v>618</v>
      </c>
      <c r="Q2186" s="55" t="s">
        <v>420</v>
      </c>
      <c r="R2186" s="85">
        <v>7</v>
      </c>
      <c r="S2186" s="55">
        <v>0</v>
      </c>
      <c r="T2186" s="74" t="s">
        <v>3624</v>
      </c>
      <c r="U2186" s="74" t="s">
        <v>351</v>
      </c>
      <c r="V2186" s="74">
        <v>44592</v>
      </c>
      <c r="W2186" s="74">
        <v>44645</v>
      </c>
      <c r="X2186" s="55">
        <v>10183583</v>
      </c>
      <c r="Y2186" s="55" t="s">
        <v>140</v>
      </c>
      <c r="AB2186" s="74" t="s">
        <v>140</v>
      </c>
      <c r="AC2186" s="55" t="s">
        <v>140</v>
      </c>
      <c r="AL2186" s="74"/>
      <c r="AM2186" s="74"/>
      <c r="AW2186" s="74"/>
      <c r="AX2186" s="74"/>
    </row>
    <row r="2187" spans="1:50" ht="13" x14ac:dyDescent="0.15">
      <c r="A2187" s="55" t="str">
        <f>HYPERLINK("http://reports.ofsted.gov.uk/inspection-reports/find-inspection-report/provider/CARE/SC038761","Ofsted Social Care Provider Webpage")</f>
        <v>Ofsted Social Care Provider Webpage</v>
      </c>
      <c r="B2187" s="55" t="s">
        <v>3635</v>
      </c>
      <c r="D2187" s="55" t="s">
        <v>373</v>
      </c>
      <c r="E2187" s="74">
        <v>37554</v>
      </c>
      <c r="F2187" s="55" t="s">
        <v>344</v>
      </c>
      <c r="G2187" s="55" t="s">
        <v>360</v>
      </c>
      <c r="H2187" s="55" t="s">
        <v>360</v>
      </c>
      <c r="I2187" s="55" t="s">
        <v>360</v>
      </c>
      <c r="J2187" s="55" t="s">
        <v>360</v>
      </c>
      <c r="K2187" s="55" t="s">
        <v>360</v>
      </c>
      <c r="L2187" s="55" t="s">
        <v>360</v>
      </c>
      <c r="M2187" s="55" t="s">
        <v>138</v>
      </c>
      <c r="N2187" s="55" t="s">
        <v>138</v>
      </c>
      <c r="O2187" s="55" t="s">
        <v>266</v>
      </c>
      <c r="P2187" s="55" t="s">
        <v>934</v>
      </c>
      <c r="Q2187" s="55" t="s">
        <v>380</v>
      </c>
      <c r="R2187" s="85">
        <v>6</v>
      </c>
      <c r="S2187" s="55">
        <v>0</v>
      </c>
      <c r="T2187" s="74" t="s">
        <v>3510</v>
      </c>
      <c r="U2187" s="74" t="s">
        <v>351</v>
      </c>
      <c r="V2187" s="74">
        <v>44390</v>
      </c>
      <c r="W2187" s="74">
        <v>44413</v>
      </c>
      <c r="X2187" s="55">
        <v>10186806</v>
      </c>
      <c r="Y2187" s="55" t="s">
        <v>132</v>
      </c>
      <c r="AB2187" s="74" t="s">
        <v>132</v>
      </c>
      <c r="AC2187" s="55" t="s">
        <v>132</v>
      </c>
      <c r="AL2187" s="74"/>
      <c r="AM2187" s="74"/>
      <c r="AW2187" s="74"/>
      <c r="AX2187" s="74"/>
    </row>
    <row r="2188" spans="1:50" ht="13" x14ac:dyDescent="0.15">
      <c r="A2188" s="55" t="str">
        <f>HYPERLINK("http://reports.ofsted.gov.uk/inspection-reports/find-inspection-report/provider/CARE/SC038780","Ofsted Social Care Provider Webpage")</f>
        <v>Ofsted Social Care Provider Webpage</v>
      </c>
      <c r="B2188" s="55" t="s">
        <v>3636</v>
      </c>
      <c r="D2188" s="55" t="s">
        <v>373</v>
      </c>
      <c r="E2188" s="74">
        <v>37806</v>
      </c>
      <c r="F2188" s="55" t="s">
        <v>344</v>
      </c>
      <c r="G2188" s="55" t="s">
        <v>360</v>
      </c>
      <c r="H2188" s="55" t="s">
        <v>360</v>
      </c>
      <c r="I2188" s="55" t="s">
        <v>360</v>
      </c>
      <c r="J2188" s="55" t="s">
        <v>360</v>
      </c>
      <c r="K2188" s="55" t="s">
        <v>360</v>
      </c>
      <c r="L2188" s="55" t="s">
        <v>360</v>
      </c>
      <c r="M2188" s="55" t="s">
        <v>172</v>
      </c>
      <c r="N2188" s="55" t="s">
        <v>172</v>
      </c>
      <c r="O2188" s="55" t="s">
        <v>171</v>
      </c>
      <c r="P2188" s="55" t="s">
        <v>895</v>
      </c>
      <c r="Q2188" s="55" t="s">
        <v>350</v>
      </c>
      <c r="R2188" s="85">
        <v>4</v>
      </c>
      <c r="S2188" s="55">
        <v>0</v>
      </c>
      <c r="T2188" s="74" t="s">
        <v>861</v>
      </c>
      <c r="U2188" s="74" t="s">
        <v>351</v>
      </c>
      <c r="V2188" s="74">
        <v>44480</v>
      </c>
      <c r="W2188" s="74">
        <v>44525</v>
      </c>
      <c r="X2188" s="55">
        <v>10186948</v>
      </c>
      <c r="Y2188" s="55" t="s">
        <v>132</v>
      </c>
      <c r="AB2188" s="74" t="s">
        <v>132</v>
      </c>
      <c r="AC2188" s="55" t="s">
        <v>132</v>
      </c>
      <c r="AL2188" s="74"/>
      <c r="AM2188" s="74"/>
    </row>
    <row r="2189" spans="1:50" ht="13" x14ac:dyDescent="0.15">
      <c r="A2189" s="55" t="str">
        <f>HYPERLINK("http://reports.ofsted.gov.uk/inspection-reports/find-inspection-report/provider/CARE/SC038906","Ofsted Social Care Provider Webpage")</f>
        <v>Ofsted Social Care Provider Webpage</v>
      </c>
      <c r="B2189" s="55" t="s">
        <v>3642</v>
      </c>
      <c r="D2189" s="55" t="s">
        <v>373</v>
      </c>
      <c r="E2189" s="74">
        <v>37543</v>
      </c>
      <c r="F2189" s="55" t="s">
        <v>344</v>
      </c>
      <c r="G2189" s="55" t="s">
        <v>360</v>
      </c>
      <c r="H2189" s="55" t="s">
        <v>360</v>
      </c>
      <c r="I2189" s="55" t="s">
        <v>360</v>
      </c>
      <c r="J2189" s="55" t="s">
        <v>360</v>
      </c>
      <c r="K2189" s="55" t="s">
        <v>360</v>
      </c>
      <c r="L2189" s="55" t="s">
        <v>360</v>
      </c>
      <c r="M2189" s="55" t="s">
        <v>129</v>
      </c>
      <c r="N2189" s="55" t="s">
        <v>129</v>
      </c>
      <c r="O2189" s="55" t="s">
        <v>192</v>
      </c>
      <c r="P2189" s="55" t="s">
        <v>1191</v>
      </c>
      <c r="Q2189" s="55" t="s">
        <v>350</v>
      </c>
      <c r="R2189" s="85">
        <v>3</v>
      </c>
      <c r="S2189" s="55">
        <v>0</v>
      </c>
      <c r="U2189" s="74" t="s">
        <v>351</v>
      </c>
      <c r="V2189" s="74">
        <v>44340</v>
      </c>
      <c r="W2189" s="74">
        <v>44375</v>
      </c>
      <c r="X2189" s="55">
        <v>10185597</v>
      </c>
      <c r="Y2189" s="55" t="s">
        <v>132</v>
      </c>
      <c r="AB2189" s="74" t="s">
        <v>132</v>
      </c>
      <c r="AC2189" s="55" t="s">
        <v>132</v>
      </c>
      <c r="AL2189" s="74"/>
      <c r="AM2189" s="74"/>
      <c r="AW2189" s="74"/>
      <c r="AX2189" s="74"/>
    </row>
    <row r="2190" spans="1:50" ht="13" x14ac:dyDescent="0.15">
      <c r="A2190" s="55" t="str">
        <f>HYPERLINK("http://reports.ofsted.gov.uk/inspection-reports/find-inspection-report/provider/CARE/SC038930","Ofsted Social Care Provider Webpage")</f>
        <v>Ofsted Social Care Provider Webpage</v>
      </c>
      <c r="B2190" s="55" t="s">
        <v>3643</v>
      </c>
      <c r="D2190" s="55" t="s">
        <v>389</v>
      </c>
      <c r="E2190" s="74">
        <v>37621</v>
      </c>
      <c r="F2190" s="55" t="s">
        <v>344</v>
      </c>
      <c r="G2190" s="55" t="s">
        <v>3644</v>
      </c>
      <c r="H2190" s="55" t="s">
        <v>3645</v>
      </c>
      <c r="I2190" s="55" t="s">
        <v>3646</v>
      </c>
      <c r="J2190" s="55" t="s">
        <v>240</v>
      </c>
      <c r="K2190" s="55" t="s">
        <v>190</v>
      </c>
      <c r="L2190" s="55" t="s">
        <v>1783</v>
      </c>
      <c r="M2190" s="55" t="s">
        <v>150</v>
      </c>
      <c r="N2190" s="55" t="s">
        <v>150</v>
      </c>
      <c r="O2190" s="55" t="s">
        <v>240</v>
      </c>
      <c r="P2190" s="55" t="s">
        <v>1784</v>
      </c>
      <c r="Q2190" s="55" t="s">
        <v>350</v>
      </c>
      <c r="S2190" s="55">
        <v>0</v>
      </c>
      <c r="T2190" s="74" t="s">
        <v>456</v>
      </c>
      <c r="U2190" s="74" t="s">
        <v>351</v>
      </c>
      <c r="V2190" s="74">
        <v>44501</v>
      </c>
      <c r="W2190" s="74">
        <v>44587</v>
      </c>
      <c r="X2190" s="55">
        <v>10183410</v>
      </c>
      <c r="Y2190" s="55" t="s">
        <v>140</v>
      </c>
      <c r="AB2190" s="74" t="s">
        <v>140</v>
      </c>
      <c r="AC2190" s="55" t="s">
        <v>132</v>
      </c>
      <c r="AL2190" s="74"/>
      <c r="AM2190" s="74"/>
    </row>
    <row r="2191" spans="1:50" ht="13" x14ac:dyDescent="0.15">
      <c r="A2191" s="55" t="str">
        <f>HYPERLINK("http://reports.ofsted.gov.uk/inspection-reports/find-inspection-report/provider/CARE/SC038961","Ofsted Social Care Provider Webpage")</f>
        <v>Ofsted Social Care Provider Webpage</v>
      </c>
      <c r="B2191" s="55" t="s">
        <v>3647</v>
      </c>
      <c r="D2191" s="55" t="s">
        <v>373</v>
      </c>
      <c r="E2191" s="74">
        <v>37711</v>
      </c>
      <c r="F2191" s="55" t="s">
        <v>344</v>
      </c>
      <c r="G2191" s="55" t="s">
        <v>360</v>
      </c>
      <c r="H2191" s="55" t="s">
        <v>360</v>
      </c>
      <c r="I2191" s="55" t="s">
        <v>360</v>
      </c>
      <c r="J2191" s="55" t="s">
        <v>360</v>
      </c>
      <c r="K2191" s="55" t="s">
        <v>360</v>
      </c>
      <c r="L2191" s="55" t="s">
        <v>360</v>
      </c>
      <c r="M2191" s="55" t="s">
        <v>172</v>
      </c>
      <c r="N2191" s="55" t="s">
        <v>172</v>
      </c>
      <c r="O2191" s="55" t="s">
        <v>211</v>
      </c>
      <c r="P2191" s="55" t="s">
        <v>2228</v>
      </c>
      <c r="Q2191" s="55" t="s">
        <v>380</v>
      </c>
      <c r="R2191" s="85">
        <v>10</v>
      </c>
      <c r="S2191" s="55">
        <v>0</v>
      </c>
      <c r="T2191" s="74" t="s">
        <v>2464</v>
      </c>
      <c r="U2191" s="74" t="s">
        <v>351</v>
      </c>
      <c r="V2191" s="74">
        <v>44411</v>
      </c>
      <c r="W2191" s="74">
        <v>44448</v>
      </c>
      <c r="X2191" s="55">
        <v>10187540</v>
      </c>
      <c r="Y2191" s="55" t="s">
        <v>140</v>
      </c>
      <c r="AB2191" s="74" t="s">
        <v>132</v>
      </c>
      <c r="AC2191" s="55" t="s">
        <v>140</v>
      </c>
      <c r="AL2191" s="74"/>
      <c r="AM2191" s="74"/>
      <c r="AW2191" s="74"/>
      <c r="AX2191" s="74"/>
    </row>
    <row r="2192" spans="1:50" ht="13" x14ac:dyDescent="0.15">
      <c r="A2192" s="55" t="str">
        <f>HYPERLINK("http://reports.ofsted.gov.uk/inspection-reports/find-inspection-report/provider/CARE/SC039001","Ofsted Social Care Provider Webpage")</f>
        <v>Ofsted Social Care Provider Webpage</v>
      </c>
      <c r="B2192" s="55" t="s">
        <v>3648</v>
      </c>
      <c r="D2192" s="55" t="s">
        <v>373</v>
      </c>
      <c r="E2192" s="74">
        <v>37711</v>
      </c>
      <c r="F2192" s="55" t="s">
        <v>344</v>
      </c>
      <c r="G2192" s="55" t="s">
        <v>360</v>
      </c>
      <c r="H2192" s="55" t="s">
        <v>360</v>
      </c>
      <c r="I2192" s="55" t="s">
        <v>360</v>
      </c>
      <c r="J2192" s="55" t="s">
        <v>360</v>
      </c>
      <c r="K2192" s="55" t="s">
        <v>360</v>
      </c>
      <c r="L2192" s="55" t="s">
        <v>360</v>
      </c>
      <c r="M2192" s="55" t="s">
        <v>172</v>
      </c>
      <c r="N2192" s="55" t="s">
        <v>172</v>
      </c>
      <c r="O2192" s="55" t="s">
        <v>211</v>
      </c>
      <c r="P2192" s="55" t="s">
        <v>1062</v>
      </c>
      <c r="Q2192" s="55" t="s">
        <v>380</v>
      </c>
      <c r="R2192" s="85">
        <v>7</v>
      </c>
      <c r="S2192" s="55">
        <v>0</v>
      </c>
      <c r="T2192" s="74" t="s">
        <v>2464</v>
      </c>
      <c r="U2192" s="74" t="s">
        <v>351</v>
      </c>
      <c r="V2192" s="74">
        <v>44396</v>
      </c>
      <c r="W2192" s="74">
        <v>44431</v>
      </c>
      <c r="X2192" s="55">
        <v>10185987</v>
      </c>
      <c r="Y2192" s="55" t="s">
        <v>132</v>
      </c>
      <c r="AB2192" s="74" t="s">
        <v>130</v>
      </c>
      <c r="AC2192" s="55" t="s">
        <v>132</v>
      </c>
      <c r="AL2192" s="74"/>
      <c r="AM2192" s="74"/>
      <c r="AW2192" s="74"/>
      <c r="AX2192" s="74"/>
    </row>
    <row r="2193" spans="1:50" ht="13" x14ac:dyDescent="0.15">
      <c r="A2193" s="55" t="str">
        <f>HYPERLINK("http://reports.ofsted.gov.uk/inspection-reports/find-inspection-report/provider/CARE/SC039025","Ofsted Social Care Provider Webpage")</f>
        <v>Ofsted Social Care Provider Webpage</v>
      </c>
      <c r="B2193" s="55" t="s">
        <v>3649</v>
      </c>
      <c r="D2193" s="55" t="s">
        <v>373</v>
      </c>
      <c r="E2193" s="74">
        <v>37711</v>
      </c>
      <c r="F2193" s="55" t="s">
        <v>344</v>
      </c>
      <c r="G2193" s="55" t="s">
        <v>360</v>
      </c>
      <c r="H2193" s="55" t="s">
        <v>360</v>
      </c>
      <c r="I2193" s="55" t="s">
        <v>360</v>
      </c>
      <c r="J2193" s="55" t="s">
        <v>360</v>
      </c>
      <c r="K2193" s="55" t="s">
        <v>360</v>
      </c>
      <c r="L2193" s="55" t="s">
        <v>360</v>
      </c>
      <c r="M2193" s="55" t="s">
        <v>172</v>
      </c>
      <c r="N2193" s="55" t="s">
        <v>172</v>
      </c>
      <c r="O2193" s="55" t="s">
        <v>211</v>
      </c>
      <c r="P2193" s="55" t="s">
        <v>1343</v>
      </c>
      <c r="Q2193" s="55" t="s">
        <v>380</v>
      </c>
      <c r="R2193" s="85">
        <v>6</v>
      </c>
      <c r="S2193" s="55">
        <v>0</v>
      </c>
      <c r="T2193" s="74" t="s">
        <v>2464</v>
      </c>
      <c r="U2193" s="74" t="s">
        <v>351</v>
      </c>
      <c r="V2193" s="74">
        <v>44439</v>
      </c>
      <c r="W2193" s="74">
        <v>44466</v>
      </c>
      <c r="X2193" s="55">
        <v>10187165</v>
      </c>
      <c r="Y2193" s="55" t="s">
        <v>140</v>
      </c>
      <c r="AB2193" s="74" t="s">
        <v>140</v>
      </c>
      <c r="AC2193" s="55" t="s">
        <v>140</v>
      </c>
      <c r="AL2193" s="74"/>
      <c r="AM2193" s="74"/>
      <c r="AW2193" s="74"/>
      <c r="AX2193" s="74"/>
    </row>
    <row r="2194" spans="1:50" ht="13" x14ac:dyDescent="0.15">
      <c r="A2194" s="55" t="str">
        <f>HYPERLINK("http://reports.ofsted.gov.uk/inspection-reports/find-inspection-report/provider/CARE/SC039038","Ofsted Social Care Provider Webpage")</f>
        <v>Ofsted Social Care Provider Webpage</v>
      </c>
      <c r="B2194" s="55" t="s">
        <v>3650</v>
      </c>
      <c r="D2194" s="55" t="s">
        <v>373</v>
      </c>
      <c r="E2194" s="74">
        <v>37711</v>
      </c>
      <c r="F2194" s="55" t="s">
        <v>344</v>
      </c>
      <c r="G2194" s="55" t="s">
        <v>360</v>
      </c>
      <c r="H2194" s="55" t="s">
        <v>360</v>
      </c>
      <c r="I2194" s="55" t="s">
        <v>360</v>
      </c>
      <c r="J2194" s="55" t="s">
        <v>360</v>
      </c>
      <c r="K2194" s="55" t="s">
        <v>360</v>
      </c>
      <c r="L2194" s="55" t="s">
        <v>360</v>
      </c>
      <c r="M2194" s="55" t="s">
        <v>172</v>
      </c>
      <c r="N2194" s="55" t="s">
        <v>172</v>
      </c>
      <c r="O2194" s="55" t="s">
        <v>211</v>
      </c>
      <c r="P2194" s="55" t="s">
        <v>1062</v>
      </c>
      <c r="Q2194" s="55" t="s">
        <v>380</v>
      </c>
      <c r="R2194" s="85">
        <v>7</v>
      </c>
      <c r="S2194" s="55">
        <v>0</v>
      </c>
      <c r="T2194" s="74" t="s">
        <v>2464</v>
      </c>
      <c r="U2194" s="74" t="s">
        <v>351</v>
      </c>
      <c r="V2194" s="74">
        <v>44405</v>
      </c>
      <c r="W2194" s="74">
        <v>44441</v>
      </c>
      <c r="X2194" s="55">
        <v>10186652</v>
      </c>
      <c r="Y2194" s="55" t="s">
        <v>132</v>
      </c>
      <c r="AB2194" s="74" t="s">
        <v>130</v>
      </c>
      <c r="AC2194" s="55" t="s">
        <v>132</v>
      </c>
      <c r="AL2194" s="74"/>
      <c r="AM2194" s="74"/>
      <c r="AW2194" s="74"/>
      <c r="AX2194" s="74"/>
    </row>
    <row r="2195" spans="1:50" ht="13" x14ac:dyDescent="0.15">
      <c r="A2195" s="55" t="str">
        <f>HYPERLINK("http://reports.ofsted.gov.uk/inspection-reports/find-inspection-report/provider/CARE/SC039056","Ofsted Social Care Provider Webpage")</f>
        <v>Ofsted Social Care Provider Webpage</v>
      </c>
      <c r="B2195" s="55" t="s">
        <v>3651</v>
      </c>
      <c r="D2195" s="55" t="s">
        <v>373</v>
      </c>
      <c r="E2195" s="74">
        <v>37711</v>
      </c>
      <c r="F2195" s="55" t="s">
        <v>344</v>
      </c>
      <c r="G2195" s="55" t="s">
        <v>360</v>
      </c>
      <c r="H2195" s="55" t="s">
        <v>360</v>
      </c>
      <c r="I2195" s="55" t="s">
        <v>360</v>
      </c>
      <c r="J2195" s="55" t="s">
        <v>360</v>
      </c>
      <c r="K2195" s="55" t="s">
        <v>360</v>
      </c>
      <c r="L2195" s="55" t="s">
        <v>360</v>
      </c>
      <c r="M2195" s="55" t="s">
        <v>172</v>
      </c>
      <c r="N2195" s="55" t="s">
        <v>172</v>
      </c>
      <c r="O2195" s="55" t="s">
        <v>211</v>
      </c>
      <c r="P2195" s="55" t="s">
        <v>1062</v>
      </c>
      <c r="Q2195" s="55" t="s">
        <v>380</v>
      </c>
      <c r="R2195" s="85">
        <v>9</v>
      </c>
      <c r="S2195" s="55">
        <v>0</v>
      </c>
      <c r="T2195" s="74" t="s">
        <v>2464</v>
      </c>
      <c r="U2195" s="74" t="s">
        <v>351</v>
      </c>
      <c r="V2195" s="74">
        <v>44594</v>
      </c>
      <c r="W2195" s="74">
        <v>44636</v>
      </c>
      <c r="X2195" s="55">
        <v>10185560</v>
      </c>
      <c r="Y2195" s="55" t="s">
        <v>140</v>
      </c>
      <c r="AB2195" s="74" t="s">
        <v>140</v>
      </c>
      <c r="AC2195" s="55" t="s">
        <v>140</v>
      </c>
      <c r="AL2195" s="74"/>
      <c r="AM2195" s="74"/>
      <c r="AW2195" s="74"/>
      <c r="AX2195" s="74"/>
    </row>
    <row r="2196" spans="1:50" ht="13" x14ac:dyDescent="0.15">
      <c r="A2196" s="55" t="str">
        <f>HYPERLINK("http://reports.ofsted.gov.uk/inspection-reports/find-inspection-report/provider/CARE/SC039070","Ofsted Social Care Provider Webpage")</f>
        <v>Ofsted Social Care Provider Webpage</v>
      </c>
      <c r="B2196" s="55" t="s">
        <v>3652</v>
      </c>
      <c r="D2196" s="55" t="s">
        <v>373</v>
      </c>
      <c r="E2196" s="74">
        <v>37924</v>
      </c>
      <c r="F2196" s="55" t="s">
        <v>344</v>
      </c>
      <c r="G2196" s="55" t="s">
        <v>360</v>
      </c>
      <c r="H2196" s="55" t="s">
        <v>360</v>
      </c>
      <c r="I2196" s="55" t="s">
        <v>360</v>
      </c>
      <c r="J2196" s="55" t="s">
        <v>360</v>
      </c>
      <c r="K2196" s="55" t="s">
        <v>360</v>
      </c>
      <c r="L2196" s="55" t="s">
        <v>360</v>
      </c>
      <c r="M2196" s="55" t="s">
        <v>144</v>
      </c>
      <c r="N2196" s="55" t="s">
        <v>144</v>
      </c>
      <c r="O2196" s="55" t="s">
        <v>263</v>
      </c>
      <c r="P2196" s="55" t="s">
        <v>876</v>
      </c>
      <c r="Q2196" s="55" t="s">
        <v>380</v>
      </c>
      <c r="R2196" s="85">
        <v>5</v>
      </c>
      <c r="S2196" s="55">
        <v>0</v>
      </c>
      <c r="T2196" s="74" t="s">
        <v>1212</v>
      </c>
      <c r="U2196" s="74" t="s">
        <v>351</v>
      </c>
      <c r="V2196" s="74">
        <v>44606</v>
      </c>
      <c r="W2196" s="74">
        <v>44645</v>
      </c>
      <c r="X2196" s="55">
        <v>10185599</v>
      </c>
      <c r="Y2196" s="55" t="s">
        <v>132</v>
      </c>
      <c r="AB2196" s="74" t="s">
        <v>132</v>
      </c>
      <c r="AC2196" s="55" t="s">
        <v>130</v>
      </c>
      <c r="AL2196" s="74"/>
      <c r="AM2196" s="74"/>
      <c r="AW2196" s="74"/>
      <c r="AX2196" s="74"/>
    </row>
    <row r="2197" spans="1:50" ht="13" x14ac:dyDescent="0.15">
      <c r="A2197" s="55" t="str">
        <f>HYPERLINK("http://reports.ofsted.gov.uk/inspection-reports/find-inspection-report/provider/CARE/SC039112","Ofsted Social Care Provider Webpage")</f>
        <v>Ofsted Social Care Provider Webpage</v>
      </c>
      <c r="B2197" s="55" t="s">
        <v>3666</v>
      </c>
      <c r="C2197" s="55">
        <v>144286</v>
      </c>
      <c r="D2197" s="55" t="s">
        <v>413</v>
      </c>
      <c r="E2197" s="74">
        <v>37546</v>
      </c>
      <c r="F2197" s="55" t="s">
        <v>344</v>
      </c>
      <c r="G2197" s="55" t="s">
        <v>3667</v>
      </c>
      <c r="H2197" s="55" t="s">
        <v>3668</v>
      </c>
      <c r="I2197" s="55" t="s">
        <v>3669</v>
      </c>
      <c r="J2197" s="55" t="s">
        <v>3670</v>
      </c>
      <c r="K2197" s="55" t="s">
        <v>288</v>
      </c>
      <c r="L2197" s="55" t="s">
        <v>3671</v>
      </c>
      <c r="M2197" s="55" t="s">
        <v>136</v>
      </c>
      <c r="N2197" s="55" t="s">
        <v>136</v>
      </c>
      <c r="O2197" s="55" t="s">
        <v>288</v>
      </c>
      <c r="P2197" s="55" t="s">
        <v>1101</v>
      </c>
      <c r="Q2197" s="55" t="s">
        <v>420</v>
      </c>
      <c r="R2197" s="85">
        <v>40</v>
      </c>
      <c r="S2197" s="55">
        <v>0</v>
      </c>
      <c r="T2197" s="74" t="s">
        <v>3672</v>
      </c>
      <c r="U2197" s="74" t="s">
        <v>351</v>
      </c>
      <c r="V2197" s="74">
        <v>44320</v>
      </c>
      <c r="W2197" s="74">
        <v>44350</v>
      </c>
      <c r="X2197" s="55">
        <v>10183475</v>
      </c>
      <c r="Y2197" s="55" t="s">
        <v>132</v>
      </c>
      <c r="AB2197" s="74" t="s">
        <v>132</v>
      </c>
      <c r="AC2197" s="55" t="s">
        <v>132</v>
      </c>
      <c r="AL2197" s="74"/>
      <c r="AM2197" s="74"/>
      <c r="AW2197" s="74"/>
      <c r="AX2197" s="74"/>
    </row>
    <row r="2198" spans="1:50" ht="13" x14ac:dyDescent="0.15">
      <c r="A2198" s="55" t="str">
        <f>HYPERLINK("http://reports.ofsted.gov.uk/inspection-reports/find-inspection-report/provider/CARE/SC039141","Ofsted Social Care Provider Webpage")</f>
        <v>Ofsted Social Care Provider Webpage</v>
      </c>
      <c r="B2198" s="55" t="s">
        <v>3673</v>
      </c>
      <c r="C2198" s="55">
        <v>126535</v>
      </c>
      <c r="D2198" s="55" t="s">
        <v>413</v>
      </c>
      <c r="E2198" s="74">
        <v>37547</v>
      </c>
      <c r="F2198" s="55" t="s">
        <v>344</v>
      </c>
      <c r="G2198" s="55" t="s">
        <v>3674</v>
      </c>
      <c r="H2198" s="55" t="s">
        <v>3674</v>
      </c>
      <c r="I2198" s="55" t="s">
        <v>3675</v>
      </c>
      <c r="J2198" s="55" t="s">
        <v>3676</v>
      </c>
      <c r="L2198" s="55" t="s">
        <v>3677</v>
      </c>
      <c r="M2198" s="55" t="s">
        <v>136</v>
      </c>
      <c r="N2198" s="55" t="s">
        <v>136</v>
      </c>
      <c r="O2198" s="55" t="s">
        <v>288</v>
      </c>
      <c r="P2198" s="55" t="s">
        <v>1037</v>
      </c>
      <c r="Q2198" s="55" t="s">
        <v>350</v>
      </c>
      <c r="R2198" s="85">
        <v>160</v>
      </c>
      <c r="S2198" s="55">
        <v>0</v>
      </c>
      <c r="U2198" s="74" t="s">
        <v>351</v>
      </c>
      <c r="V2198" s="74">
        <v>44579</v>
      </c>
      <c r="W2198" s="74">
        <v>44629</v>
      </c>
      <c r="X2198" s="55">
        <v>10183464</v>
      </c>
      <c r="Y2198" s="55" t="s">
        <v>140</v>
      </c>
      <c r="AB2198" s="74" t="s">
        <v>132</v>
      </c>
      <c r="AC2198" s="55" t="s">
        <v>140</v>
      </c>
      <c r="AL2198" s="74"/>
      <c r="AM2198" s="74"/>
    </row>
    <row r="2199" spans="1:50" ht="13" x14ac:dyDescent="0.15">
      <c r="A2199" s="55" t="str">
        <f>HYPERLINK("http://reports.ofsted.gov.uk/inspection-reports/find-inspection-report/provider/CARE/SC039213","Ofsted Social Care Provider Webpage")</f>
        <v>Ofsted Social Care Provider Webpage</v>
      </c>
      <c r="B2199" s="55" t="s">
        <v>3678</v>
      </c>
      <c r="D2199" s="55" t="s">
        <v>373</v>
      </c>
      <c r="E2199" s="74">
        <v>37820</v>
      </c>
      <c r="F2199" s="55" t="s">
        <v>344</v>
      </c>
      <c r="G2199" s="55" t="s">
        <v>360</v>
      </c>
      <c r="H2199" s="55" t="s">
        <v>360</v>
      </c>
      <c r="I2199" s="55" t="s">
        <v>360</v>
      </c>
      <c r="J2199" s="55" t="s">
        <v>360</v>
      </c>
      <c r="K2199" s="55" t="s">
        <v>360</v>
      </c>
      <c r="L2199" s="55" t="s">
        <v>360</v>
      </c>
      <c r="M2199" s="55" t="s">
        <v>129</v>
      </c>
      <c r="N2199" s="55" t="s">
        <v>129</v>
      </c>
      <c r="O2199" s="55" t="s">
        <v>191</v>
      </c>
      <c r="P2199" s="55" t="s">
        <v>1224</v>
      </c>
      <c r="Q2199" s="55" t="s">
        <v>350</v>
      </c>
      <c r="R2199" s="85">
        <v>6</v>
      </c>
      <c r="S2199" s="55">
        <v>0</v>
      </c>
      <c r="U2199" s="74" t="s">
        <v>351</v>
      </c>
      <c r="V2199" s="74">
        <v>44412</v>
      </c>
      <c r="W2199" s="74">
        <v>44476</v>
      </c>
      <c r="X2199" s="55">
        <v>10186478</v>
      </c>
      <c r="Y2199" s="55" t="s">
        <v>130</v>
      </c>
      <c r="AB2199" s="74" t="s">
        <v>130</v>
      </c>
      <c r="AC2199" s="55" t="s">
        <v>130</v>
      </c>
      <c r="AL2199" s="74"/>
      <c r="AM2199" s="74"/>
      <c r="AW2199" s="74"/>
      <c r="AX2199" s="74"/>
    </row>
    <row r="2200" spans="1:50" ht="13" x14ac:dyDescent="0.15">
      <c r="A2200" s="55" t="str">
        <f>HYPERLINK("http://reports.ofsted.gov.uk/inspection-reports/find-inspection-report/provider/CARE/SC039213","Ofsted Social Care Provider Webpage")</f>
        <v>Ofsted Social Care Provider Webpage</v>
      </c>
      <c r="B2200" s="55" t="s">
        <v>3678</v>
      </c>
      <c r="D2200" s="55" t="s">
        <v>373</v>
      </c>
      <c r="E2200" s="74">
        <v>37820</v>
      </c>
      <c r="F2200" s="55" t="s">
        <v>344</v>
      </c>
      <c r="G2200" s="55" t="s">
        <v>360</v>
      </c>
      <c r="H2200" s="55" t="s">
        <v>360</v>
      </c>
      <c r="I2200" s="55" t="s">
        <v>360</v>
      </c>
      <c r="J2200" s="55" t="s">
        <v>360</v>
      </c>
      <c r="K2200" s="55" t="s">
        <v>360</v>
      </c>
      <c r="L2200" s="55" t="s">
        <v>360</v>
      </c>
      <c r="M2200" s="55" t="s">
        <v>129</v>
      </c>
      <c r="N2200" s="55" t="s">
        <v>129</v>
      </c>
      <c r="O2200" s="55" t="s">
        <v>191</v>
      </c>
      <c r="P2200" s="55" t="s">
        <v>1224</v>
      </c>
      <c r="Q2200" s="55" t="s">
        <v>350</v>
      </c>
      <c r="R2200" s="85">
        <v>6</v>
      </c>
      <c r="S2200" s="55">
        <v>0</v>
      </c>
      <c r="U2200" s="74" t="s">
        <v>351</v>
      </c>
      <c r="V2200" s="74">
        <v>44425</v>
      </c>
      <c r="W2200" s="74">
        <v>44476</v>
      </c>
      <c r="X2200" s="55">
        <v>10205029</v>
      </c>
      <c r="Y2200" s="55" t="s">
        <v>132</v>
      </c>
      <c r="AB2200" s="74" t="s">
        <v>132</v>
      </c>
      <c r="AC2200" s="55" t="s">
        <v>130</v>
      </c>
      <c r="AL2200" s="74"/>
      <c r="AM2200" s="74"/>
      <c r="AW2200" s="74"/>
      <c r="AX2200" s="74"/>
    </row>
    <row r="2201" spans="1:50" ht="13" x14ac:dyDescent="0.15">
      <c r="A2201" s="55" t="str">
        <f>HYPERLINK("http://reports.ofsted.gov.uk/inspection-reports/find-inspection-report/provider/CARE/SC039248","Ofsted Social Care Provider Webpage")</f>
        <v>Ofsted Social Care Provider Webpage</v>
      </c>
      <c r="B2201" s="55" t="s">
        <v>3679</v>
      </c>
      <c r="D2201" s="55" t="s">
        <v>373</v>
      </c>
      <c r="E2201" s="74">
        <v>37945</v>
      </c>
      <c r="F2201" s="55" t="s">
        <v>344</v>
      </c>
      <c r="G2201" s="55" t="s">
        <v>360</v>
      </c>
      <c r="H2201" s="55" t="s">
        <v>360</v>
      </c>
      <c r="I2201" s="55" t="s">
        <v>360</v>
      </c>
      <c r="J2201" s="55" t="s">
        <v>360</v>
      </c>
      <c r="K2201" s="55" t="s">
        <v>360</v>
      </c>
      <c r="L2201" s="55" t="s">
        <v>360</v>
      </c>
      <c r="M2201" s="55" t="s">
        <v>144</v>
      </c>
      <c r="N2201" s="55" t="s">
        <v>144</v>
      </c>
      <c r="O2201" s="55" t="s">
        <v>209</v>
      </c>
      <c r="P2201" s="55" t="s">
        <v>597</v>
      </c>
      <c r="Q2201" s="55" t="s">
        <v>380</v>
      </c>
      <c r="R2201" s="85">
        <v>6</v>
      </c>
      <c r="S2201" s="55">
        <v>0</v>
      </c>
      <c r="T2201" s="74" t="s">
        <v>657</v>
      </c>
      <c r="U2201" s="74" t="s">
        <v>351</v>
      </c>
      <c r="V2201" s="74">
        <v>44613</v>
      </c>
      <c r="W2201" s="74">
        <v>44663</v>
      </c>
      <c r="X2201" s="55">
        <v>10187373</v>
      </c>
      <c r="Y2201" s="55" t="s">
        <v>146</v>
      </c>
      <c r="AB2201" s="74" t="s">
        <v>146</v>
      </c>
      <c r="AC2201" s="55" t="s">
        <v>146</v>
      </c>
      <c r="AL2201" s="74"/>
      <c r="AM2201" s="74"/>
      <c r="AW2201" s="74"/>
      <c r="AX2201" s="74"/>
    </row>
    <row r="2202" spans="1:50" ht="13" x14ac:dyDescent="0.15">
      <c r="A2202" s="55" t="str">
        <f>HYPERLINK("http://reports.ofsted.gov.uk/inspection-reports/find-inspection-report/provider/CARE/SC039275","Ofsted Social Care Provider Webpage")</f>
        <v>Ofsted Social Care Provider Webpage</v>
      </c>
      <c r="B2202" s="55" t="s">
        <v>3685</v>
      </c>
      <c r="C2202" s="55">
        <v>131355</v>
      </c>
      <c r="D2202" s="55" t="s">
        <v>398</v>
      </c>
      <c r="E2202" s="74">
        <v>37550</v>
      </c>
      <c r="F2202" s="55" t="s">
        <v>344</v>
      </c>
      <c r="G2202" s="55" t="s">
        <v>3686</v>
      </c>
      <c r="H2202" s="55" t="s">
        <v>3686</v>
      </c>
      <c r="I2202" s="55" t="s">
        <v>3687</v>
      </c>
      <c r="J2202" s="55" t="s">
        <v>3347</v>
      </c>
      <c r="L2202" s="55" t="s">
        <v>3688</v>
      </c>
      <c r="M2202" s="55" t="s">
        <v>144</v>
      </c>
      <c r="N2202" s="55" t="s">
        <v>144</v>
      </c>
      <c r="O2202" s="55" t="s">
        <v>209</v>
      </c>
      <c r="P2202" s="55" t="s">
        <v>474</v>
      </c>
      <c r="Q2202" s="55" t="s">
        <v>350</v>
      </c>
      <c r="R2202" s="85">
        <v>295</v>
      </c>
      <c r="S2202" s="55">
        <v>0</v>
      </c>
      <c r="T2202" s="74" t="s">
        <v>3689</v>
      </c>
      <c r="U2202" s="74" t="s">
        <v>351</v>
      </c>
      <c r="V2202" s="74">
        <v>44600</v>
      </c>
      <c r="W2202" s="74">
        <v>44652</v>
      </c>
      <c r="X2202" s="55">
        <v>10210828</v>
      </c>
      <c r="Y2202" s="55" t="s">
        <v>132</v>
      </c>
      <c r="AB2202" s="74" t="s">
        <v>132</v>
      </c>
      <c r="AC2202" s="55" t="s">
        <v>132</v>
      </c>
      <c r="AL2202" s="74"/>
      <c r="AM2202" s="74"/>
    </row>
    <row r="2203" spans="1:50" ht="13" x14ac:dyDescent="0.15">
      <c r="A2203" s="55" t="str">
        <f>HYPERLINK("http://reports.ofsted.gov.uk/inspection-reports/find-inspection-report/provider/CARE/SC039414","Ofsted Social Care Provider Webpage")</f>
        <v>Ofsted Social Care Provider Webpage</v>
      </c>
      <c r="B2203" s="55" t="s">
        <v>3690</v>
      </c>
      <c r="D2203" s="55" t="s">
        <v>373</v>
      </c>
      <c r="E2203" s="74">
        <v>37928</v>
      </c>
      <c r="F2203" s="55" t="s">
        <v>344</v>
      </c>
      <c r="G2203" s="55" t="s">
        <v>360</v>
      </c>
      <c r="H2203" s="55" t="s">
        <v>360</v>
      </c>
      <c r="I2203" s="55" t="s">
        <v>360</v>
      </c>
      <c r="J2203" s="55" t="s">
        <v>360</v>
      </c>
      <c r="K2203" s="55" t="s">
        <v>360</v>
      </c>
      <c r="L2203" s="55" t="s">
        <v>360</v>
      </c>
      <c r="M2203" s="55" t="s">
        <v>378</v>
      </c>
      <c r="N2203" s="55" t="s">
        <v>134</v>
      </c>
      <c r="O2203" s="55" t="s">
        <v>251</v>
      </c>
      <c r="P2203" s="55" t="s">
        <v>1709</v>
      </c>
      <c r="Q2203" s="55" t="s">
        <v>380</v>
      </c>
      <c r="R2203" s="85">
        <v>4</v>
      </c>
      <c r="S2203" s="55">
        <v>0</v>
      </c>
      <c r="T2203" s="74" t="s">
        <v>3358</v>
      </c>
      <c r="U2203" s="74" t="s">
        <v>351</v>
      </c>
      <c r="V2203" s="74">
        <v>44622</v>
      </c>
      <c r="W2203" s="74">
        <v>44672</v>
      </c>
      <c r="X2203" s="55">
        <v>10215975</v>
      </c>
      <c r="Y2203" s="55" t="s">
        <v>130</v>
      </c>
      <c r="AB2203" s="74" t="s">
        <v>130</v>
      </c>
      <c r="AC2203" s="55" t="s">
        <v>130</v>
      </c>
      <c r="AL2203" s="74"/>
      <c r="AM2203" s="74"/>
      <c r="AW2203" s="74"/>
      <c r="AX2203" s="74"/>
    </row>
    <row r="2204" spans="1:50" ht="13" x14ac:dyDescent="0.15">
      <c r="A2204" s="55" t="str">
        <f>HYPERLINK("http://reports.ofsted.gov.uk/inspection-reports/find-inspection-report/provider/CARE/SC039414","Ofsted Social Care Provider Webpage")</f>
        <v>Ofsted Social Care Provider Webpage</v>
      </c>
      <c r="B2204" s="55" t="s">
        <v>3690</v>
      </c>
      <c r="D2204" s="55" t="s">
        <v>373</v>
      </c>
      <c r="E2204" s="74">
        <v>37928</v>
      </c>
      <c r="F2204" s="55" t="s">
        <v>344</v>
      </c>
      <c r="G2204" s="55" t="s">
        <v>360</v>
      </c>
      <c r="H2204" s="55" t="s">
        <v>360</v>
      </c>
      <c r="I2204" s="55" t="s">
        <v>360</v>
      </c>
      <c r="J2204" s="55" t="s">
        <v>360</v>
      </c>
      <c r="K2204" s="55" t="s">
        <v>360</v>
      </c>
      <c r="L2204" s="55" t="s">
        <v>360</v>
      </c>
      <c r="M2204" s="55" t="s">
        <v>378</v>
      </c>
      <c r="N2204" s="55" t="s">
        <v>134</v>
      </c>
      <c r="O2204" s="55" t="s">
        <v>251</v>
      </c>
      <c r="P2204" s="55" t="s">
        <v>1709</v>
      </c>
      <c r="Q2204" s="55" t="s">
        <v>380</v>
      </c>
      <c r="R2204" s="85">
        <v>4</v>
      </c>
      <c r="S2204" s="55">
        <v>0</v>
      </c>
      <c r="T2204" s="74" t="s">
        <v>3358</v>
      </c>
      <c r="U2204" s="74" t="s">
        <v>351</v>
      </c>
      <c r="V2204" s="74">
        <v>44510</v>
      </c>
      <c r="W2204" s="74">
        <v>44559</v>
      </c>
      <c r="X2204" s="55">
        <v>10186439</v>
      </c>
      <c r="Y2204" s="55" t="s">
        <v>146</v>
      </c>
      <c r="AB2204" s="74" t="s">
        <v>146</v>
      </c>
      <c r="AC2204" s="55" t="s">
        <v>146</v>
      </c>
      <c r="AL2204" s="74"/>
      <c r="AM2204" s="74"/>
      <c r="AW2204" s="74"/>
      <c r="AX2204" s="74"/>
    </row>
    <row r="2205" spans="1:50" ht="13" x14ac:dyDescent="0.15">
      <c r="A2205" s="55" t="str">
        <f>HYPERLINK("http://reports.ofsted.gov.uk/inspection-reports/find-inspection-report/provider/CARE/SC039414","Ofsted Social Care Provider Webpage")</f>
        <v>Ofsted Social Care Provider Webpage</v>
      </c>
      <c r="B2205" s="55" t="s">
        <v>3690</v>
      </c>
      <c r="D2205" s="55" t="s">
        <v>373</v>
      </c>
      <c r="E2205" s="74">
        <v>37928</v>
      </c>
      <c r="F2205" s="55" t="s">
        <v>344</v>
      </c>
      <c r="G2205" s="55" t="s">
        <v>360</v>
      </c>
      <c r="H2205" s="55" t="s">
        <v>360</v>
      </c>
      <c r="I2205" s="55" t="s">
        <v>360</v>
      </c>
      <c r="J2205" s="55" t="s">
        <v>360</v>
      </c>
      <c r="K2205" s="55" t="s">
        <v>360</v>
      </c>
      <c r="L2205" s="55" t="s">
        <v>360</v>
      </c>
      <c r="M2205" s="55" t="s">
        <v>378</v>
      </c>
      <c r="N2205" s="55" t="s">
        <v>134</v>
      </c>
      <c r="O2205" s="55" t="s">
        <v>251</v>
      </c>
      <c r="P2205" s="55" t="s">
        <v>1709</v>
      </c>
      <c r="Q2205" s="55" t="s">
        <v>380</v>
      </c>
      <c r="R2205" s="85">
        <v>4</v>
      </c>
      <c r="S2205" s="55">
        <v>0</v>
      </c>
      <c r="T2205" s="74" t="s">
        <v>3358</v>
      </c>
      <c r="U2205" s="74" t="s">
        <v>2053</v>
      </c>
      <c r="V2205" s="74">
        <v>44566</v>
      </c>
      <c r="W2205" s="74">
        <v>44610</v>
      </c>
      <c r="X2205" s="55">
        <v>10215974</v>
      </c>
      <c r="AL2205" s="74"/>
      <c r="AM2205" s="74"/>
      <c r="AW2205" s="74"/>
      <c r="AX2205" s="74"/>
    </row>
    <row r="2206" spans="1:50" ht="13" x14ac:dyDescent="0.15">
      <c r="A2206" s="55" t="str">
        <f>HYPERLINK("http://reports.ofsted.gov.uk/inspection-reports/find-inspection-report/provider/CARE/SC039559","Ofsted Social Care Provider Webpage")</f>
        <v>Ofsted Social Care Provider Webpage</v>
      </c>
      <c r="B2206" s="55" t="s">
        <v>3691</v>
      </c>
      <c r="D2206" s="55" t="s">
        <v>373</v>
      </c>
      <c r="E2206" s="74">
        <v>37879</v>
      </c>
      <c r="F2206" s="55" t="s">
        <v>344</v>
      </c>
      <c r="G2206" s="55" t="s">
        <v>360</v>
      </c>
      <c r="H2206" s="55" t="s">
        <v>360</v>
      </c>
      <c r="I2206" s="55" t="s">
        <v>360</v>
      </c>
      <c r="J2206" s="55" t="s">
        <v>360</v>
      </c>
      <c r="K2206" s="55" t="s">
        <v>360</v>
      </c>
      <c r="L2206" s="55" t="s">
        <v>360</v>
      </c>
      <c r="M2206" s="55" t="s">
        <v>144</v>
      </c>
      <c r="N2206" s="55" t="s">
        <v>144</v>
      </c>
      <c r="O2206" s="55" t="s">
        <v>188</v>
      </c>
      <c r="P2206" s="55" t="s">
        <v>188</v>
      </c>
      <c r="Q2206" s="55" t="s">
        <v>380</v>
      </c>
      <c r="R2206" s="85">
        <v>4</v>
      </c>
      <c r="S2206" s="55" t="s">
        <v>332</v>
      </c>
      <c r="T2206" s="74" t="s">
        <v>3692</v>
      </c>
      <c r="U2206" s="74" t="s">
        <v>351</v>
      </c>
      <c r="V2206" s="74">
        <v>44516</v>
      </c>
      <c r="W2206" s="74">
        <v>44546</v>
      </c>
      <c r="X2206" s="55">
        <v>10186084</v>
      </c>
      <c r="Y2206" s="55" t="s">
        <v>132</v>
      </c>
      <c r="AB2206" s="74" t="s">
        <v>132</v>
      </c>
      <c r="AC2206" s="55" t="s">
        <v>132</v>
      </c>
      <c r="AL2206" s="74"/>
      <c r="AM2206" s="74"/>
      <c r="AW2206" s="74"/>
      <c r="AX2206" s="74"/>
    </row>
    <row r="2207" spans="1:50" ht="13" x14ac:dyDescent="0.15">
      <c r="A2207" s="55" t="str">
        <f>HYPERLINK("http://reports.ofsted.gov.uk/inspection-reports/find-inspection-report/provider/CARE/SC039673","Ofsted Social Care Provider Webpage")</f>
        <v>Ofsted Social Care Provider Webpage</v>
      </c>
      <c r="B2207" s="55" t="s">
        <v>3700</v>
      </c>
      <c r="D2207" s="55" t="s">
        <v>373</v>
      </c>
      <c r="E2207" s="74">
        <v>37852</v>
      </c>
      <c r="F2207" s="55" t="s">
        <v>344</v>
      </c>
      <c r="G2207" s="55" t="s">
        <v>360</v>
      </c>
      <c r="H2207" s="55" t="s">
        <v>360</v>
      </c>
      <c r="I2207" s="55" t="s">
        <v>360</v>
      </c>
      <c r="J2207" s="55" t="s">
        <v>360</v>
      </c>
      <c r="K2207" s="55" t="s">
        <v>360</v>
      </c>
      <c r="L2207" s="55" t="s">
        <v>360</v>
      </c>
      <c r="M2207" s="55" t="s">
        <v>144</v>
      </c>
      <c r="N2207" s="55" t="s">
        <v>144</v>
      </c>
      <c r="O2207" s="55" t="s">
        <v>209</v>
      </c>
      <c r="P2207" s="55" t="s">
        <v>650</v>
      </c>
      <c r="Q2207" s="55" t="s">
        <v>380</v>
      </c>
      <c r="R2207" s="85">
        <v>6</v>
      </c>
      <c r="S2207" s="55">
        <v>0</v>
      </c>
      <c r="T2207" s="74" t="s">
        <v>657</v>
      </c>
      <c r="U2207" s="74" t="s">
        <v>351</v>
      </c>
      <c r="V2207" s="74">
        <v>44586</v>
      </c>
      <c r="W2207" s="74">
        <v>44642</v>
      </c>
      <c r="X2207" s="55">
        <v>10185537</v>
      </c>
      <c r="Y2207" s="55" t="s">
        <v>146</v>
      </c>
      <c r="AB2207" s="74" t="s">
        <v>146</v>
      </c>
      <c r="AC2207" s="55" t="s">
        <v>146</v>
      </c>
      <c r="AL2207" s="74"/>
      <c r="AM2207" s="74"/>
      <c r="AW2207" s="74"/>
      <c r="AX2207" s="74"/>
    </row>
    <row r="2208" spans="1:50" ht="13" x14ac:dyDescent="0.15">
      <c r="A2208" s="55" t="str">
        <f>HYPERLINK("http://reports.ofsted.gov.uk/inspection-reports/find-inspection-report/provider/CARE/SC039673","Ofsted Social Care Provider Webpage")</f>
        <v>Ofsted Social Care Provider Webpage</v>
      </c>
      <c r="B2208" s="55" t="s">
        <v>3700</v>
      </c>
      <c r="D2208" s="55" t="s">
        <v>373</v>
      </c>
      <c r="E2208" s="74">
        <v>37852</v>
      </c>
      <c r="F2208" s="55" t="s">
        <v>344</v>
      </c>
      <c r="G2208" s="55" t="s">
        <v>360</v>
      </c>
      <c r="H2208" s="55" t="s">
        <v>360</v>
      </c>
      <c r="I2208" s="55" t="s">
        <v>360</v>
      </c>
      <c r="J2208" s="55" t="s">
        <v>360</v>
      </c>
      <c r="K2208" s="55" t="s">
        <v>360</v>
      </c>
      <c r="L2208" s="55" t="s">
        <v>360</v>
      </c>
      <c r="M2208" s="55" t="s">
        <v>144</v>
      </c>
      <c r="N2208" s="55" t="s">
        <v>144</v>
      </c>
      <c r="O2208" s="55" t="s">
        <v>209</v>
      </c>
      <c r="P2208" s="55" t="s">
        <v>650</v>
      </c>
      <c r="Q2208" s="55" t="s">
        <v>380</v>
      </c>
      <c r="R2208" s="85">
        <v>6</v>
      </c>
      <c r="S2208" s="55">
        <v>0</v>
      </c>
      <c r="T2208" s="74" t="s">
        <v>657</v>
      </c>
      <c r="U2208" s="74" t="s">
        <v>2053</v>
      </c>
      <c r="V2208" s="74">
        <v>44627</v>
      </c>
      <c r="W2208" s="74">
        <v>44678</v>
      </c>
      <c r="X2208" s="55">
        <v>10225626</v>
      </c>
      <c r="AL2208" s="74"/>
      <c r="AM2208" s="74"/>
      <c r="AW2208" s="74"/>
      <c r="AX2208" s="74"/>
    </row>
    <row r="2209" spans="1:50" ht="13" x14ac:dyDescent="0.15">
      <c r="A2209" s="55" t="str">
        <f>HYPERLINK("http://reports.ofsted.gov.uk/inspection-reports/find-inspection-report/provider/CARE/SC039676","Ofsted Social Care Provider Webpage")</f>
        <v>Ofsted Social Care Provider Webpage</v>
      </c>
      <c r="B2209" s="55" t="s">
        <v>3701</v>
      </c>
      <c r="D2209" s="55" t="s">
        <v>373</v>
      </c>
      <c r="E2209" s="74">
        <v>37992</v>
      </c>
      <c r="F2209" s="55" t="s">
        <v>344</v>
      </c>
      <c r="G2209" s="55" t="s">
        <v>360</v>
      </c>
      <c r="H2209" s="55" t="s">
        <v>360</v>
      </c>
      <c r="I2209" s="55" t="s">
        <v>360</v>
      </c>
      <c r="J2209" s="55" t="s">
        <v>360</v>
      </c>
      <c r="K2209" s="55" t="s">
        <v>360</v>
      </c>
      <c r="L2209" s="55" t="s">
        <v>360</v>
      </c>
      <c r="M2209" s="55" t="s">
        <v>144</v>
      </c>
      <c r="N2209" s="55" t="s">
        <v>144</v>
      </c>
      <c r="O2209" s="55" t="s">
        <v>209</v>
      </c>
      <c r="P2209" s="55" t="s">
        <v>629</v>
      </c>
      <c r="Q2209" s="55" t="s">
        <v>380</v>
      </c>
      <c r="R2209" s="85">
        <v>6</v>
      </c>
      <c r="S2209" s="55" t="s">
        <v>332</v>
      </c>
      <c r="T2209" s="74" t="s">
        <v>657</v>
      </c>
      <c r="U2209" s="74" t="s">
        <v>351</v>
      </c>
      <c r="V2209" s="74">
        <v>44635</v>
      </c>
      <c r="W2209" s="74">
        <v>44680</v>
      </c>
      <c r="X2209" s="55">
        <v>10185907</v>
      </c>
      <c r="Y2209" s="55" t="s">
        <v>132</v>
      </c>
      <c r="AB2209" s="74" t="s">
        <v>132</v>
      </c>
      <c r="AC2209" s="55" t="s">
        <v>130</v>
      </c>
      <c r="AL2209" s="74"/>
      <c r="AM2209" s="74"/>
    </row>
    <row r="2210" spans="1:50" ht="13" x14ac:dyDescent="0.15">
      <c r="A2210" s="55" t="str">
        <f>HYPERLINK("http://reports.ofsted.gov.uk/inspection-reports/find-inspection-report/provider/CARE/SC039683","Ofsted Social Care Provider Webpage")</f>
        <v>Ofsted Social Care Provider Webpage</v>
      </c>
      <c r="B2210" s="55" t="s">
        <v>3702</v>
      </c>
      <c r="D2210" s="55" t="s">
        <v>373</v>
      </c>
      <c r="E2210" s="74">
        <v>37852</v>
      </c>
      <c r="F2210" s="55" t="s">
        <v>344</v>
      </c>
      <c r="G2210" s="55" t="s">
        <v>360</v>
      </c>
      <c r="H2210" s="55" t="s">
        <v>360</v>
      </c>
      <c r="I2210" s="55" t="s">
        <v>360</v>
      </c>
      <c r="J2210" s="55" t="s">
        <v>360</v>
      </c>
      <c r="K2210" s="55" t="s">
        <v>360</v>
      </c>
      <c r="L2210" s="55" t="s">
        <v>360</v>
      </c>
      <c r="M2210" s="55" t="s">
        <v>144</v>
      </c>
      <c r="N2210" s="55" t="s">
        <v>144</v>
      </c>
      <c r="O2210" s="55" t="s">
        <v>209</v>
      </c>
      <c r="P2210" s="55" t="s">
        <v>629</v>
      </c>
      <c r="Q2210" s="55" t="s">
        <v>380</v>
      </c>
      <c r="R2210" s="85">
        <v>6</v>
      </c>
      <c r="S2210" s="55">
        <v>0</v>
      </c>
      <c r="T2210" s="74" t="s">
        <v>657</v>
      </c>
      <c r="U2210" s="74" t="s">
        <v>351</v>
      </c>
      <c r="V2210" s="74">
        <v>44321</v>
      </c>
      <c r="W2210" s="74">
        <v>44362</v>
      </c>
      <c r="X2210" s="55">
        <v>10187465</v>
      </c>
      <c r="Y2210" s="55" t="s">
        <v>132</v>
      </c>
      <c r="AB2210" s="74" t="s">
        <v>132</v>
      </c>
      <c r="AC2210" s="55" t="s">
        <v>132</v>
      </c>
      <c r="AL2210" s="74"/>
      <c r="AM2210" s="74"/>
    </row>
    <row r="2211" spans="1:50" ht="13" x14ac:dyDescent="0.15">
      <c r="A2211" s="55" t="str">
        <f>HYPERLINK("http://reports.ofsted.gov.uk/inspection-reports/find-inspection-report/provider/CARE/SC039689","Ofsted Social Care Provider Webpage")</f>
        <v>Ofsted Social Care Provider Webpage</v>
      </c>
      <c r="B2211" s="55" t="s">
        <v>3703</v>
      </c>
      <c r="D2211" s="55" t="s">
        <v>373</v>
      </c>
      <c r="E2211" s="74">
        <v>37939</v>
      </c>
      <c r="F2211" s="55" t="s">
        <v>344</v>
      </c>
      <c r="G2211" s="55" t="s">
        <v>360</v>
      </c>
      <c r="H2211" s="55" t="s">
        <v>360</v>
      </c>
      <c r="I2211" s="55" t="s">
        <v>360</v>
      </c>
      <c r="J2211" s="55" t="s">
        <v>360</v>
      </c>
      <c r="K2211" s="55" t="s">
        <v>360</v>
      </c>
      <c r="L2211" s="55" t="s">
        <v>360</v>
      </c>
      <c r="M2211" s="55" t="s">
        <v>144</v>
      </c>
      <c r="N2211" s="55" t="s">
        <v>144</v>
      </c>
      <c r="O2211" s="55" t="s">
        <v>209</v>
      </c>
      <c r="P2211" s="55" t="s">
        <v>545</v>
      </c>
      <c r="Q2211" s="55" t="s">
        <v>380</v>
      </c>
      <c r="R2211" s="85">
        <v>6</v>
      </c>
      <c r="S2211" s="55">
        <v>0</v>
      </c>
      <c r="T2211" s="74" t="s">
        <v>657</v>
      </c>
      <c r="U2211" s="74" t="s">
        <v>351</v>
      </c>
      <c r="V2211" s="74">
        <v>44453</v>
      </c>
      <c r="W2211" s="74">
        <v>44517</v>
      </c>
      <c r="X2211" s="55">
        <v>10187234</v>
      </c>
      <c r="Y2211" s="55" t="s">
        <v>130</v>
      </c>
      <c r="AB2211" s="74" t="s">
        <v>130</v>
      </c>
      <c r="AC2211" s="55" t="s">
        <v>130</v>
      </c>
      <c r="AL2211" s="74"/>
      <c r="AM2211" s="74"/>
      <c r="AW2211" s="74"/>
      <c r="AX2211" s="74"/>
    </row>
    <row r="2212" spans="1:50" ht="13" x14ac:dyDescent="0.15">
      <c r="A2212" s="55" t="str">
        <f>HYPERLINK("http://reports.ofsted.gov.uk/inspection-reports/find-inspection-report/provider/CARE/SC039847","Ofsted Social Care Provider Webpage")</f>
        <v>Ofsted Social Care Provider Webpage</v>
      </c>
      <c r="B2212" s="55" t="s">
        <v>3704</v>
      </c>
      <c r="C2212" s="55">
        <v>137313</v>
      </c>
      <c r="D2212" s="55" t="s">
        <v>398</v>
      </c>
      <c r="E2212" s="74">
        <v>37567</v>
      </c>
      <c r="F2212" s="55" t="s">
        <v>344</v>
      </c>
      <c r="G2212" s="55" t="s">
        <v>3705</v>
      </c>
      <c r="H2212" s="55" t="s">
        <v>3706</v>
      </c>
      <c r="I2212" s="55" t="s">
        <v>354</v>
      </c>
      <c r="J2212" s="55" t="s">
        <v>3707</v>
      </c>
      <c r="K2212" s="55" t="s">
        <v>255</v>
      </c>
      <c r="L2212" s="55" t="s">
        <v>3708</v>
      </c>
      <c r="M2212" s="55" t="s">
        <v>136</v>
      </c>
      <c r="N2212" s="55" t="s">
        <v>136</v>
      </c>
      <c r="O2212" s="55" t="s">
        <v>255</v>
      </c>
      <c r="P2212" s="55" t="s">
        <v>609</v>
      </c>
      <c r="Q2212" s="55" t="s">
        <v>420</v>
      </c>
      <c r="R2212" s="85">
        <v>164</v>
      </c>
      <c r="S2212" s="55">
        <v>0</v>
      </c>
      <c r="T2212" s="74" t="s">
        <v>3709</v>
      </c>
      <c r="U2212" s="74" t="s">
        <v>351</v>
      </c>
      <c r="V2212" s="74">
        <v>44508</v>
      </c>
      <c r="W2212" s="74">
        <v>44566</v>
      </c>
      <c r="X2212" s="55">
        <v>10183281</v>
      </c>
      <c r="Y2212" s="55" t="s">
        <v>132</v>
      </c>
      <c r="AB2212" s="74" t="s">
        <v>132</v>
      </c>
      <c r="AC2212" s="55" t="s">
        <v>132</v>
      </c>
      <c r="AL2212" s="74"/>
      <c r="AM2212" s="74"/>
      <c r="AW2212" s="74"/>
      <c r="AX2212" s="74"/>
    </row>
    <row r="2213" spans="1:50" ht="13" x14ac:dyDescent="0.15">
      <c r="A2213" s="55" t="str">
        <f>HYPERLINK("http://reports.ofsted.gov.uk/inspection-reports/find-inspection-report/provider/CARE/SC039897","Ofsted Social Care Provider Webpage")</f>
        <v>Ofsted Social Care Provider Webpage</v>
      </c>
      <c r="B2213" s="55" t="s">
        <v>3710</v>
      </c>
      <c r="D2213" s="55" t="s">
        <v>373</v>
      </c>
      <c r="E2213" s="74">
        <v>37733</v>
      </c>
      <c r="F2213" s="55" t="s">
        <v>344</v>
      </c>
      <c r="G2213" s="55" t="s">
        <v>360</v>
      </c>
      <c r="H2213" s="55" t="s">
        <v>360</v>
      </c>
      <c r="I2213" s="55" t="s">
        <v>360</v>
      </c>
      <c r="J2213" s="55" t="s">
        <v>360</v>
      </c>
      <c r="K2213" s="55" t="s">
        <v>360</v>
      </c>
      <c r="L2213" s="55" t="s">
        <v>360</v>
      </c>
      <c r="M2213" s="55" t="s">
        <v>142</v>
      </c>
      <c r="N2213" s="55" t="s">
        <v>142</v>
      </c>
      <c r="O2213" s="55" t="s">
        <v>177</v>
      </c>
      <c r="P2213" s="55" t="s">
        <v>835</v>
      </c>
      <c r="Q2213" s="55" t="s">
        <v>380</v>
      </c>
      <c r="R2213" s="85">
        <v>4</v>
      </c>
      <c r="S2213" s="55">
        <v>0</v>
      </c>
      <c r="T2213" s="74" t="s">
        <v>3584</v>
      </c>
      <c r="U2213" s="74" t="s">
        <v>2053</v>
      </c>
      <c r="V2213" s="74">
        <v>44594</v>
      </c>
      <c r="W2213" s="74">
        <v>44634</v>
      </c>
      <c r="X2213" s="55">
        <v>10221300</v>
      </c>
      <c r="AL2213" s="74"/>
      <c r="AM2213" s="74"/>
      <c r="AW2213" s="74"/>
      <c r="AX2213" s="74"/>
    </row>
    <row r="2214" spans="1:50" ht="13" x14ac:dyDescent="0.15">
      <c r="A2214" s="55" t="str">
        <f>HYPERLINK("http://reports.ofsted.gov.uk/inspection-reports/find-inspection-report/provider/CARE/SC039900","Ofsted Social Care Provider Webpage")</f>
        <v>Ofsted Social Care Provider Webpage</v>
      </c>
      <c r="B2214" s="55" t="s">
        <v>3711</v>
      </c>
      <c r="D2214" s="55" t="s">
        <v>373</v>
      </c>
      <c r="E2214" s="74">
        <v>37733</v>
      </c>
      <c r="F2214" s="55" t="s">
        <v>344</v>
      </c>
      <c r="G2214" s="55" t="s">
        <v>360</v>
      </c>
      <c r="H2214" s="55" t="s">
        <v>360</v>
      </c>
      <c r="I2214" s="55" t="s">
        <v>360</v>
      </c>
      <c r="J2214" s="55" t="s">
        <v>360</v>
      </c>
      <c r="K2214" s="55" t="s">
        <v>360</v>
      </c>
      <c r="L2214" s="55" t="s">
        <v>360</v>
      </c>
      <c r="M2214" s="55" t="s">
        <v>142</v>
      </c>
      <c r="N2214" s="55" t="s">
        <v>142</v>
      </c>
      <c r="O2214" s="55" t="s">
        <v>177</v>
      </c>
      <c r="P2214" s="55" t="s">
        <v>835</v>
      </c>
      <c r="Q2214" s="55" t="s">
        <v>380</v>
      </c>
      <c r="R2214" s="85">
        <v>7</v>
      </c>
      <c r="S2214" s="55">
        <v>0</v>
      </c>
      <c r="T2214" s="74" t="s">
        <v>3584</v>
      </c>
      <c r="U2214" s="74" t="s">
        <v>351</v>
      </c>
      <c r="V2214" s="74">
        <v>44453</v>
      </c>
      <c r="W2214" s="74">
        <v>44487</v>
      </c>
      <c r="X2214" s="55">
        <v>10187399</v>
      </c>
      <c r="Y2214" s="55" t="s">
        <v>132</v>
      </c>
      <c r="AB2214" s="74" t="s">
        <v>132</v>
      </c>
      <c r="AC2214" s="55" t="s">
        <v>130</v>
      </c>
      <c r="AL2214" s="74"/>
      <c r="AM2214" s="74"/>
      <c r="AW2214" s="74"/>
      <c r="AX2214" s="74"/>
    </row>
    <row r="2215" spans="1:50" ht="13" x14ac:dyDescent="0.15">
      <c r="A2215" s="55" t="str">
        <f>HYPERLINK("http://reports.ofsted.gov.uk/inspection-reports/find-inspection-report/provider/CARE/SC040058","Ofsted Social Care Provider Webpage")</f>
        <v>Ofsted Social Care Provider Webpage</v>
      </c>
      <c r="B2215" s="55" t="s">
        <v>3712</v>
      </c>
      <c r="C2215" s="55">
        <v>112456</v>
      </c>
      <c r="D2215" s="55" t="s">
        <v>413</v>
      </c>
      <c r="E2215" s="74">
        <v>37573</v>
      </c>
      <c r="F2215" s="55" t="s">
        <v>344</v>
      </c>
      <c r="G2215" s="55" t="s">
        <v>3713</v>
      </c>
      <c r="H2215" s="55" t="s">
        <v>3713</v>
      </c>
      <c r="I2215" s="55" t="s">
        <v>3714</v>
      </c>
      <c r="J2215" s="55" t="s">
        <v>3715</v>
      </c>
      <c r="L2215" s="55" t="s">
        <v>3716</v>
      </c>
      <c r="M2215" s="55" t="s">
        <v>378</v>
      </c>
      <c r="N2215" s="55" t="s">
        <v>134</v>
      </c>
      <c r="O2215" s="55" t="s">
        <v>232</v>
      </c>
      <c r="P2215" s="55" t="s">
        <v>496</v>
      </c>
      <c r="Q2215" s="55" t="s">
        <v>350</v>
      </c>
      <c r="R2215" s="85">
        <v>28</v>
      </c>
      <c r="S2215" s="55">
        <v>0</v>
      </c>
      <c r="T2215" s="74" t="s">
        <v>3717</v>
      </c>
      <c r="U2215" s="74" t="s">
        <v>351</v>
      </c>
      <c r="V2215" s="74">
        <v>44461</v>
      </c>
      <c r="W2215" s="74">
        <v>44510</v>
      </c>
      <c r="X2215" s="55">
        <v>10183514</v>
      </c>
      <c r="Y2215" s="55" t="s">
        <v>140</v>
      </c>
      <c r="AB2215" s="74" t="s">
        <v>140</v>
      </c>
      <c r="AC2215" s="55" t="s">
        <v>140</v>
      </c>
      <c r="AL2215" s="74"/>
      <c r="AM2215" s="74"/>
      <c r="AW2215" s="74"/>
      <c r="AX2215" s="74"/>
    </row>
    <row r="2216" spans="1:50" ht="13" x14ac:dyDescent="0.15">
      <c r="A2216" s="55" t="str">
        <f>HYPERLINK("http://reports.ofsted.gov.uk/inspection-reports/find-inspection-report/provider/CARE/SC040063","Ofsted Social Care Provider Webpage")</f>
        <v>Ofsted Social Care Provider Webpage</v>
      </c>
      <c r="B2216" s="55" t="s">
        <v>3718</v>
      </c>
      <c r="C2216" s="55">
        <v>112452</v>
      </c>
      <c r="D2216" s="55" t="s">
        <v>413</v>
      </c>
      <c r="E2216" s="74">
        <v>37573</v>
      </c>
      <c r="F2216" s="55" t="s">
        <v>344</v>
      </c>
      <c r="G2216" s="55" t="s">
        <v>3719</v>
      </c>
      <c r="H2216" s="55" t="s">
        <v>3720</v>
      </c>
      <c r="I2216" s="55" t="s">
        <v>3721</v>
      </c>
      <c r="J2216" s="55" t="s">
        <v>3722</v>
      </c>
      <c r="K2216" s="55" t="s">
        <v>168</v>
      </c>
      <c r="L2216" s="55" t="s">
        <v>3723</v>
      </c>
      <c r="M2216" s="55" t="s">
        <v>144</v>
      </c>
      <c r="N2216" s="55" t="s">
        <v>144</v>
      </c>
      <c r="O2216" s="55" t="s">
        <v>168</v>
      </c>
      <c r="P2216" s="55" t="s">
        <v>834</v>
      </c>
      <c r="Q2216" s="55" t="s">
        <v>350</v>
      </c>
      <c r="R2216" s="85">
        <v>16</v>
      </c>
      <c r="S2216" s="55">
        <v>0</v>
      </c>
      <c r="T2216" s="74" t="s">
        <v>3717</v>
      </c>
      <c r="U2216" s="74" t="s">
        <v>351</v>
      </c>
      <c r="V2216" s="74">
        <v>44488</v>
      </c>
      <c r="W2216" s="74">
        <v>44539</v>
      </c>
      <c r="X2216" s="55">
        <v>10183530</v>
      </c>
      <c r="Y2216" s="55" t="s">
        <v>132</v>
      </c>
      <c r="AB2216" s="74" t="s">
        <v>132</v>
      </c>
      <c r="AC2216" s="55" t="s">
        <v>132</v>
      </c>
      <c r="AL2216" s="74"/>
      <c r="AM2216" s="74"/>
      <c r="AW2216" s="74"/>
      <c r="AX2216" s="74"/>
    </row>
    <row r="2217" spans="1:50" ht="13" x14ac:dyDescent="0.15">
      <c r="A2217" s="55" t="str">
        <f>HYPERLINK("http://reports.ofsted.gov.uk/inspection-reports/find-inspection-report/provider/CARE/SC040105","Ofsted Social Care Provider Webpage")</f>
        <v>Ofsted Social Care Provider Webpage</v>
      </c>
      <c r="B2217" s="55" t="s">
        <v>3730</v>
      </c>
      <c r="D2217" s="55" t="s">
        <v>373</v>
      </c>
      <c r="E2217" s="74">
        <v>37712</v>
      </c>
      <c r="F2217" s="55" t="s">
        <v>344</v>
      </c>
      <c r="G2217" s="55" t="s">
        <v>360</v>
      </c>
      <c r="H2217" s="55" t="s">
        <v>360</v>
      </c>
      <c r="I2217" s="55" t="s">
        <v>360</v>
      </c>
      <c r="J2217" s="55" t="s">
        <v>360</v>
      </c>
      <c r="K2217" s="55" t="s">
        <v>360</v>
      </c>
      <c r="L2217" s="55" t="s">
        <v>360</v>
      </c>
      <c r="M2217" s="55" t="s">
        <v>378</v>
      </c>
      <c r="N2217" s="55" t="s">
        <v>134</v>
      </c>
      <c r="O2217" s="55" t="s">
        <v>204</v>
      </c>
      <c r="P2217" s="55" t="s">
        <v>1478</v>
      </c>
      <c r="Q2217" s="55" t="s">
        <v>380</v>
      </c>
      <c r="R2217" s="85">
        <v>6</v>
      </c>
      <c r="S2217" s="55">
        <v>0</v>
      </c>
      <c r="T2217" s="74" t="s">
        <v>1479</v>
      </c>
      <c r="U2217" s="74" t="s">
        <v>351</v>
      </c>
      <c r="V2217" s="74">
        <v>44390</v>
      </c>
      <c r="W2217" s="74">
        <v>44425</v>
      </c>
      <c r="X2217" s="55">
        <v>10185018</v>
      </c>
      <c r="Y2217" s="55" t="s">
        <v>146</v>
      </c>
      <c r="AB2217" s="74" t="s">
        <v>146</v>
      </c>
      <c r="AC2217" s="55" t="s">
        <v>130</v>
      </c>
      <c r="AL2217" s="74"/>
      <c r="AM2217" s="74"/>
      <c r="AW2217" s="74"/>
      <c r="AX2217" s="74"/>
    </row>
    <row r="2218" spans="1:50" ht="13" x14ac:dyDescent="0.15">
      <c r="A2218" s="55" t="str">
        <f>HYPERLINK("http://reports.ofsted.gov.uk/inspection-reports/find-inspection-report/provider/CARE/SC040105","Ofsted Social Care Provider Webpage")</f>
        <v>Ofsted Social Care Provider Webpage</v>
      </c>
      <c r="B2218" s="55" t="s">
        <v>3730</v>
      </c>
      <c r="D2218" s="55" t="s">
        <v>373</v>
      </c>
      <c r="E2218" s="74">
        <v>37712</v>
      </c>
      <c r="F2218" s="55" t="s">
        <v>344</v>
      </c>
      <c r="G2218" s="55" t="s">
        <v>360</v>
      </c>
      <c r="H2218" s="55" t="s">
        <v>360</v>
      </c>
      <c r="I2218" s="55" t="s">
        <v>360</v>
      </c>
      <c r="J2218" s="55" t="s">
        <v>360</v>
      </c>
      <c r="K2218" s="55" t="s">
        <v>360</v>
      </c>
      <c r="L2218" s="55" t="s">
        <v>360</v>
      </c>
      <c r="M2218" s="55" t="s">
        <v>378</v>
      </c>
      <c r="N2218" s="55" t="s">
        <v>134</v>
      </c>
      <c r="O2218" s="55" t="s">
        <v>204</v>
      </c>
      <c r="P2218" s="55" t="s">
        <v>1478</v>
      </c>
      <c r="Q2218" s="55" t="s">
        <v>380</v>
      </c>
      <c r="R2218" s="85">
        <v>6</v>
      </c>
      <c r="S2218" s="55">
        <v>0</v>
      </c>
      <c r="T2218" s="74" t="s">
        <v>1479</v>
      </c>
      <c r="U2218" s="74" t="s">
        <v>2053</v>
      </c>
      <c r="V2218" s="74">
        <v>44432</v>
      </c>
      <c r="W2218" s="74">
        <v>44466</v>
      </c>
      <c r="X2218" s="55">
        <v>10202496</v>
      </c>
      <c r="AL2218" s="74"/>
      <c r="AM2218" s="74"/>
    </row>
    <row r="2219" spans="1:50" ht="13" x14ac:dyDescent="0.15">
      <c r="A2219" s="55" t="str">
        <f>HYPERLINK("http://reports.ofsted.gov.uk/inspection-reports/find-inspection-report/provider/CARE/SC040105","Ofsted Social Care Provider Webpage")</f>
        <v>Ofsted Social Care Provider Webpage</v>
      </c>
      <c r="B2219" s="55" t="s">
        <v>3730</v>
      </c>
      <c r="D2219" s="55" t="s">
        <v>373</v>
      </c>
      <c r="E2219" s="74">
        <v>37712</v>
      </c>
      <c r="F2219" s="55" t="s">
        <v>344</v>
      </c>
      <c r="G2219" s="55" t="s">
        <v>360</v>
      </c>
      <c r="H2219" s="55" t="s">
        <v>360</v>
      </c>
      <c r="I2219" s="55" t="s">
        <v>360</v>
      </c>
      <c r="J2219" s="55" t="s">
        <v>360</v>
      </c>
      <c r="K2219" s="55" t="s">
        <v>360</v>
      </c>
      <c r="L2219" s="55" t="s">
        <v>360</v>
      </c>
      <c r="M2219" s="55" t="s">
        <v>378</v>
      </c>
      <c r="N2219" s="55" t="s">
        <v>134</v>
      </c>
      <c r="O2219" s="55" t="s">
        <v>204</v>
      </c>
      <c r="P2219" s="55" t="s">
        <v>1478</v>
      </c>
      <c r="Q2219" s="55" t="s">
        <v>380</v>
      </c>
      <c r="R2219" s="85">
        <v>6</v>
      </c>
      <c r="S2219" s="55">
        <v>0</v>
      </c>
      <c r="T2219" s="74" t="s">
        <v>1479</v>
      </c>
      <c r="U2219" s="74" t="s">
        <v>351</v>
      </c>
      <c r="V2219" s="74">
        <v>44495</v>
      </c>
      <c r="W2219" s="74">
        <v>44540</v>
      </c>
      <c r="X2219" s="55">
        <v>10202495</v>
      </c>
      <c r="Y2219" s="55" t="s">
        <v>130</v>
      </c>
      <c r="AB2219" s="74" t="s">
        <v>130</v>
      </c>
      <c r="AC2219" s="55" t="s">
        <v>130</v>
      </c>
      <c r="AL2219" s="74"/>
      <c r="AM2219" s="74"/>
      <c r="AW2219" s="74"/>
      <c r="AX2219" s="74"/>
    </row>
    <row r="2220" spans="1:50" ht="13" x14ac:dyDescent="0.15">
      <c r="A2220" s="55" t="str">
        <f>HYPERLINK("http://reports.ofsted.gov.uk/inspection-reports/find-inspection-report/provider/CARE/SC040132","Ofsted Social Care Provider Webpage")</f>
        <v>Ofsted Social Care Provider Webpage</v>
      </c>
      <c r="B2220" s="55" t="s">
        <v>3731</v>
      </c>
      <c r="D2220" s="55" t="s">
        <v>373</v>
      </c>
      <c r="E2220" s="74">
        <v>37817</v>
      </c>
      <c r="F2220" s="55" t="s">
        <v>344</v>
      </c>
      <c r="G2220" s="55" t="s">
        <v>360</v>
      </c>
      <c r="H2220" s="55" t="s">
        <v>360</v>
      </c>
      <c r="I2220" s="55" t="s">
        <v>360</v>
      </c>
      <c r="J2220" s="55" t="s">
        <v>360</v>
      </c>
      <c r="K2220" s="55" t="s">
        <v>360</v>
      </c>
      <c r="L2220" s="55" t="s">
        <v>360</v>
      </c>
      <c r="M2220" s="55" t="s">
        <v>136</v>
      </c>
      <c r="N2220" s="55" t="s">
        <v>136</v>
      </c>
      <c r="O2220" s="55" t="s">
        <v>165</v>
      </c>
      <c r="P2220" s="55" t="s">
        <v>2318</v>
      </c>
      <c r="Q2220" s="55" t="s">
        <v>380</v>
      </c>
      <c r="R2220" s="85">
        <v>4</v>
      </c>
      <c r="S2220" s="55" t="s">
        <v>332</v>
      </c>
      <c r="T2220" s="74" t="s">
        <v>2120</v>
      </c>
      <c r="U2220" s="74" t="s">
        <v>2053</v>
      </c>
      <c r="V2220" s="74">
        <v>44510</v>
      </c>
      <c r="W2220" s="74">
        <v>44546</v>
      </c>
      <c r="X2220" s="55">
        <v>10213970</v>
      </c>
      <c r="AL2220" s="74"/>
      <c r="AM2220" s="74"/>
    </row>
    <row r="2221" spans="1:50" ht="13" x14ac:dyDescent="0.15">
      <c r="A2221" s="55" t="str">
        <f>HYPERLINK("http://reports.ofsted.gov.uk/inspection-reports/find-inspection-report/provider/CARE/SC040132","Ofsted Social Care Provider Webpage")</f>
        <v>Ofsted Social Care Provider Webpage</v>
      </c>
      <c r="B2221" s="55" t="s">
        <v>3731</v>
      </c>
      <c r="D2221" s="55" t="s">
        <v>373</v>
      </c>
      <c r="E2221" s="74">
        <v>37817</v>
      </c>
      <c r="F2221" s="55" t="s">
        <v>344</v>
      </c>
      <c r="G2221" s="55" t="s">
        <v>360</v>
      </c>
      <c r="H2221" s="55" t="s">
        <v>360</v>
      </c>
      <c r="I2221" s="55" t="s">
        <v>360</v>
      </c>
      <c r="J2221" s="55" t="s">
        <v>360</v>
      </c>
      <c r="K2221" s="55" t="s">
        <v>360</v>
      </c>
      <c r="L2221" s="55" t="s">
        <v>360</v>
      </c>
      <c r="M2221" s="55" t="s">
        <v>136</v>
      </c>
      <c r="N2221" s="55" t="s">
        <v>136</v>
      </c>
      <c r="O2221" s="55" t="s">
        <v>165</v>
      </c>
      <c r="P2221" s="55" t="s">
        <v>2318</v>
      </c>
      <c r="Q2221" s="55" t="s">
        <v>380</v>
      </c>
      <c r="R2221" s="85">
        <v>4</v>
      </c>
      <c r="S2221" s="55" t="s">
        <v>332</v>
      </c>
      <c r="T2221" s="74" t="s">
        <v>2120</v>
      </c>
      <c r="U2221" s="74" t="s">
        <v>2053</v>
      </c>
      <c r="V2221" s="74">
        <v>44474</v>
      </c>
      <c r="W2221" s="74">
        <v>44509</v>
      </c>
      <c r="X2221" s="55">
        <v>10206922</v>
      </c>
      <c r="AL2221" s="74"/>
      <c r="AM2221" s="74"/>
    </row>
    <row r="2222" spans="1:50" ht="13" x14ac:dyDescent="0.15">
      <c r="A2222" s="55" t="str">
        <f>HYPERLINK("http://reports.ofsted.gov.uk/inspection-reports/find-inspection-report/provider/CARE/SC040132","Ofsted Social Care Provider Webpage")</f>
        <v>Ofsted Social Care Provider Webpage</v>
      </c>
      <c r="B2222" s="55" t="s">
        <v>3731</v>
      </c>
      <c r="D2222" s="55" t="s">
        <v>373</v>
      </c>
      <c r="E2222" s="74">
        <v>37817</v>
      </c>
      <c r="F2222" s="55" t="s">
        <v>344</v>
      </c>
      <c r="G2222" s="55" t="s">
        <v>360</v>
      </c>
      <c r="H2222" s="55" t="s">
        <v>360</v>
      </c>
      <c r="I2222" s="55" t="s">
        <v>360</v>
      </c>
      <c r="J2222" s="55" t="s">
        <v>360</v>
      </c>
      <c r="K2222" s="55" t="s">
        <v>360</v>
      </c>
      <c r="L2222" s="55" t="s">
        <v>360</v>
      </c>
      <c r="M2222" s="55" t="s">
        <v>136</v>
      </c>
      <c r="N2222" s="55" t="s">
        <v>136</v>
      </c>
      <c r="O2222" s="55" t="s">
        <v>165</v>
      </c>
      <c r="P2222" s="55" t="s">
        <v>2318</v>
      </c>
      <c r="Q2222" s="55" t="s">
        <v>380</v>
      </c>
      <c r="R2222" s="85">
        <v>4</v>
      </c>
      <c r="S2222" s="55" t="s">
        <v>332</v>
      </c>
      <c r="T2222" s="74" t="s">
        <v>2120</v>
      </c>
      <c r="U2222" s="74" t="s">
        <v>351</v>
      </c>
      <c r="V2222" s="74">
        <v>44424</v>
      </c>
      <c r="W2222" s="74">
        <v>44455</v>
      </c>
      <c r="X2222" s="55">
        <v>10186746</v>
      </c>
      <c r="Y2222" s="55" t="s">
        <v>146</v>
      </c>
      <c r="AB2222" s="74" t="s">
        <v>146</v>
      </c>
      <c r="AC2222" s="55" t="s">
        <v>146</v>
      </c>
      <c r="AL2222" s="74"/>
      <c r="AM2222" s="74"/>
      <c r="AW2222" s="74"/>
      <c r="AX2222" s="74"/>
    </row>
    <row r="2223" spans="1:50" ht="13" x14ac:dyDescent="0.15">
      <c r="A2223" s="55" t="str">
        <f>HYPERLINK("http://reports.ofsted.gov.uk/inspection-reports/find-inspection-report/provider/CARE/SC040191","Ofsted Social Care Provider Webpage")</f>
        <v>Ofsted Social Care Provider Webpage</v>
      </c>
      <c r="B2223" s="55" t="s">
        <v>3733</v>
      </c>
      <c r="D2223" s="55" t="s">
        <v>373</v>
      </c>
      <c r="E2223" s="74">
        <v>37578</v>
      </c>
      <c r="F2223" s="55" t="s">
        <v>344</v>
      </c>
      <c r="G2223" s="55" t="s">
        <v>360</v>
      </c>
      <c r="H2223" s="55" t="s">
        <v>360</v>
      </c>
      <c r="I2223" s="55" t="s">
        <v>360</v>
      </c>
      <c r="J2223" s="55" t="s">
        <v>360</v>
      </c>
      <c r="K2223" s="55" t="s">
        <v>360</v>
      </c>
      <c r="L2223" s="55" t="s">
        <v>360</v>
      </c>
      <c r="M2223" s="55" t="s">
        <v>138</v>
      </c>
      <c r="N2223" s="55" t="s">
        <v>138</v>
      </c>
      <c r="O2223" s="55" t="s">
        <v>224</v>
      </c>
      <c r="P2223" s="55" t="s">
        <v>2271</v>
      </c>
      <c r="Q2223" s="55" t="s">
        <v>362</v>
      </c>
      <c r="R2223" s="85">
        <v>4</v>
      </c>
      <c r="S2223" s="55">
        <v>0</v>
      </c>
      <c r="T2223" s="74" t="s">
        <v>557</v>
      </c>
      <c r="U2223" s="74" t="s">
        <v>2053</v>
      </c>
      <c r="V2223" s="74">
        <v>44383</v>
      </c>
      <c r="W2223" s="74">
        <v>44406</v>
      </c>
      <c r="X2223" s="55">
        <v>10197760</v>
      </c>
      <c r="AL2223" s="74"/>
      <c r="AM2223" s="74"/>
      <c r="AW2223" s="74"/>
      <c r="AX2223" s="74"/>
    </row>
    <row r="2224" spans="1:50" ht="13" x14ac:dyDescent="0.15">
      <c r="A2224" s="55" t="str">
        <f>HYPERLINK("http://reports.ofsted.gov.uk/inspection-reports/find-inspection-report/provider/CARE/SC040191","Ofsted Social Care Provider Webpage")</f>
        <v>Ofsted Social Care Provider Webpage</v>
      </c>
      <c r="B2224" s="55" t="s">
        <v>3733</v>
      </c>
      <c r="D2224" s="55" t="s">
        <v>373</v>
      </c>
      <c r="E2224" s="74">
        <v>37578</v>
      </c>
      <c r="F2224" s="55" t="s">
        <v>344</v>
      </c>
      <c r="G2224" s="55" t="s">
        <v>360</v>
      </c>
      <c r="H2224" s="55" t="s">
        <v>360</v>
      </c>
      <c r="I2224" s="55" t="s">
        <v>360</v>
      </c>
      <c r="J2224" s="55" t="s">
        <v>360</v>
      </c>
      <c r="K2224" s="55" t="s">
        <v>360</v>
      </c>
      <c r="L2224" s="55" t="s">
        <v>360</v>
      </c>
      <c r="M2224" s="55" t="s">
        <v>138</v>
      </c>
      <c r="N2224" s="55" t="s">
        <v>138</v>
      </c>
      <c r="O2224" s="55" t="s">
        <v>224</v>
      </c>
      <c r="P2224" s="55" t="s">
        <v>2271</v>
      </c>
      <c r="Q2224" s="55" t="s">
        <v>362</v>
      </c>
      <c r="R2224" s="85">
        <v>4</v>
      </c>
      <c r="S2224" s="55">
        <v>0</v>
      </c>
      <c r="T2224" s="74" t="s">
        <v>557</v>
      </c>
      <c r="U2224" s="74" t="s">
        <v>2053</v>
      </c>
      <c r="V2224" s="74">
        <v>44603</v>
      </c>
      <c r="W2224" s="74">
        <v>44622</v>
      </c>
      <c r="X2224" s="55">
        <v>10213845</v>
      </c>
      <c r="AL2224" s="74"/>
      <c r="AM2224" s="74"/>
      <c r="AW2224" s="74"/>
      <c r="AX2224" s="74"/>
    </row>
    <row r="2225" spans="1:50" ht="13" x14ac:dyDescent="0.15">
      <c r="A2225" s="55" t="str">
        <f>HYPERLINK("http://reports.ofsted.gov.uk/inspection-reports/find-inspection-report/provider/CARE/SC040266","Ofsted Social Care Provider Webpage")</f>
        <v>Ofsted Social Care Provider Webpage</v>
      </c>
      <c r="B2225" s="55" t="s">
        <v>3734</v>
      </c>
      <c r="D2225" s="55" t="s">
        <v>373</v>
      </c>
      <c r="E2225" s="74">
        <v>37848</v>
      </c>
      <c r="F2225" s="55" t="s">
        <v>344</v>
      </c>
      <c r="G2225" s="55" t="s">
        <v>360</v>
      </c>
      <c r="H2225" s="55" t="s">
        <v>360</v>
      </c>
      <c r="I2225" s="55" t="s">
        <v>360</v>
      </c>
      <c r="J2225" s="55" t="s">
        <v>360</v>
      </c>
      <c r="K2225" s="55" t="s">
        <v>360</v>
      </c>
      <c r="L2225" s="55" t="s">
        <v>360</v>
      </c>
      <c r="M2225" s="55" t="s">
        <v>144</v>
      </c>
      <c r="N2225" s="55" t="s">
        <v>144</v>
      </c>
      <c r="O2225" s="55" t="s">
        <v>287</v>
      </c>
      <c r="P2225" s="55" t="s">
        <v>287</v>
      </c>
      <c r="Q2225" s="55" t="s">
        <v>380</v>
      </c>
      <c r="R2225" s="85">
        <v>5</v>
      </c>
      <c r="S2225" s="55">
        <v>0</v>
      </c>
      <c r="T2225" s="74" t="s">
        <v>882</v>
      </c>
      <c r="U2225" s="74" t="s">
        <v>351</v>
      </c>
      <c r="V2225" s="74">
        <v>44355</v>
      </c>
      <c r="W2225" s="74">
        <v>44396</v>
      </c>
      <c r="X2225" s="55">
        <v>10186424</v>
      </c>
      <c r="Y2225" s="55" t="s">
        <v>146</v>
      </c>
      <c r="AB2225" s="74" t="s">
        <v>146</v>
      </c>
      <c r="AC2225" s="55" t="s">
        <v>146</v>
      </c>
      <c r="AL2225" s="74"/>
      <c r="AM2225" s="74"/>
      <c r="AW2225" s="74"/>
      <c r="AX2225" s="74"/>
    </row>
    <row r="2226" spans="1:50" ht="13" x14ac:dyDescent="0.15">
      <c r="A2226" s="55" t="str">
        <f>HYPERLINK("http://reports.ofsted.gov.uk/inspection-reports/find-inspection-report/provider/CARE/SC040408","Ofsted Social Care Provider Webpage")</f>
        <v>Ofsted Social Care Provider Webpage</v>
      </c>
      <c r="B2226" s="55" t="s">
        <v>3740</v>
      </c>
      <c r="D2226" s="55" t="s">
        <v>389</v>
      </c>
      <c r="E2226" s="74">
        <v>38104</v>
      </c>
      <c r="F2226" s="55" t="s">
        <v>344</v>
      </c>
      <c r="G2226" s="55" t="s">
        <v>3741</v>
      </c>
      <c r="H2226" s="55" t="s">
        <v>3742</v>
      </c>
      <c r="I2226" s="55" t="s">
        <v>3743</v>
      </c>
      <c r="J2226" s="55" t="s">
        <v>561</v>
      </c>
      <c r="K2226" s="55" t="s">
        <v>209</v>
      </c>
      <c r="L2226" s="55" t="s">
        <v>3744</v>
      </c>
      <c r="M2226" s="55" t="s">
        <v>144</v>
      </c>
      <c r="N2226" s="55" t="s">
        <v>144</v>
      </c>
      <c r="O2226" s="55" t="s">
        <v>209</v>
      </c>
      <c r="P2226" s="55" t="s">
        <v>561</v>
      </c>
      <c r="Q2226" s="55" t="s">
        <v>350</v>
      </c>
      <c r="S2226" s="55">
        <v>0</v>
      </c>
      <c r="T2226" s="74" t="s">
        <v>3529</v>
      </c>
      <c r="U2226" s="74" t="s">
        <v>351</v>
      </c>
      <c r="V2226" s="74">
        <v>44585</v>
      </c>
      <c r="W2226" s="74">
        <v>44634</v>
      </c>
      <c r="X2226" s="55">
        <v>10183401</v>
      </c>
      <c r="Y2226" s="55" t="s">
        <v>132</v>
      </c>
      <c r="AB2226" s="74" t="s">
        <v>132</v>
      </c>
      <c r="AC2226" s="55" t="s">
        <v>130</v>
      </c>
      <c r="AL2226" s="74"/>
      <c r="AM2226" s="74"/>
      <c r="AW2226" s="74"/>
      <c r="AX2226" s="74"/>
    </row>
    <row r="2227" spans="1:50" ht="13" x14ac:dyDescent="0.15">
      <c r="A2227" s="55" t="str">
        <f>HYPERLINK("http://reports.ofsted.gov.uk/inspection-reports/find-inspection-report/provider/CARE/SC040437","Ofsted Social Care Provider Webpage")</f>
        <v>Ofsted Social Care Provider Webpage</v>
      </c>
      <c r="B2227" s="55" t="s">
        <v>3745</v>
      </c>
      <c r="D2227" s="55" t="s">
        <v>373</v>
      </c>
      <c r="E2227" s="74">
        <v>37950</v>
      </c>
      <c r="F2227" s="55" t="s">
        <v>344</v>
      </c>
      <c r="G2227" s="55" t="s">
        <v>360</v>
      </c>
      <c r="H2227" s="55" t="s">
        <v>360</v>
      </c>
      <c r="I2227" s="55" t="s">
        <v>360</v>
      </c>
      <c r="J2227" s="55" t="s">
        <v>360</v>
      </c>
      <c r="K2227" s="55" t="s">
        <v>360</v>
      </c>
      <c r="L2227" s="55" t="s">
        <v>360</v>
      </c>
      <c r="M2227" s="55" t="s">
        <v>144</v>
      </c>
      <c r="N2227" s="55" t="s">
        <v>144</v>
      </c>
      <c r="O2227" s="55" t="s">
        <v>143</v>
      </c>
      <c r="P2227" s="55" t="s">
        <v>2439</v>
      </c>
      <c r="Q2227" s="55" t="s">
        <v>380</v>
      </c>
      <c r="R2227" s="85">
        <v>5</v>
      </c>
      <c r="S2227" s="55">
        <v>0</v>
      </c>
      <c r="T2227" s="74" t="s">
        <v>3746</v>
      </c>
      <c r="U2227" s="74" t="s">
        <v>351</v>
      </c>
      <c r="V2227" s="74">
        <v>44382</v>
      </c>
      <c r="W2227" s="74">
        <v>44413</v>
      </c>
      <c r="X2227" s="55">
        <v>10187333</v>
      </c>
      <c r="Y2227" s="55" t="s">
        <v>132</v>
      </c>
      <c r="AB2227" s="74" t="s">
        <v>132</v>
      </c>
      <c r="AC2227" s="55" t="s">
        <v>132</v>
      </c>
      <c r="AL2227" s="74"/>
      <c r="AM2227" s="74"/>
      <c r="AW2227" s="74"/>
      <c r="AX2227" s="74"/>
    </row>
    <row r="2228" spans="1:50" ht="13" x14ac:dyDescent="0.15">
      <c r="A2228" s="55" t="str">
        <f>HYPERLINK("http://reports.ofsted.gov.uk/inspection-reports/find-inspection-report/provider/CARE/SC040491","Ofsted Social Care Provider Webpage")</f>
        <v>Ofsted Social Care Provider Webpage</v>
      </c>
      <c r="B2228" s="55" t="s">
        <v>3747</v>
      </c>
      <c r="D2228" s="55" t="s">
        <v>373</v>
      </c>
      <c r="E2228" s="74">
        <v>37817</v>
      </c>
      <c r="F2228" s="55" t="s">
        <v>344</v>
      </c>
      <c r="G2228" s="55" t="s">
        <v>360</v>
      </c>
      <c r="H2228" s="55" t="s">
        <v>360</v>
      </c>
      <c r="I2228" s="55" t="s">
        <v>360</v>
      </c>
      <c r="J2228" s="55" t="s">
        <v>360</v>
      </c>
      <c r="K2228" s="55" t="s">
        <v>360</v>
      </c>
      <c r="L2228" s="55" t="s">
        <v>360</v>
      </c>
      <c r="M2228" s="55" t="s">
        <v>136</v>
      </c>
      <c r="N2228" s="55" t="s">
        <v>136</v>
      </c>
      <c r="O2228" s="55" t="s">
        <v>165</v>
      </c>
      <c r="P2228" s="55" t="s">
        <v>748</v>
      </c>
      <c r="Q2228" s="55" t="s">
        <v>380</v>
      </c>
      <c r="R2228" s="85">
        <v>5</v>
      </c>
      <c r="S2228" s="55" t="s">
        <v>332</v>
      </c>
      <c r="T2228" s="74" t="s">
        <v>2120</v>
      </c>
      <c r="U2228" s="74" t="s">
        <v>351</v>
      </c>
      <c r="V2228" s="74">
        <v>44467</v>
      </c>
      <c r="W2228" s="74">
        <v>44497</v>
      </c>
      <c r="X2228" s="55">
        <v>10186540</v>
      </c>
      <c r="Y2228" s="55" t="s">
        <v>132</v>
      </c>
      <c r="AB2228" s="74" t="s">
        <v>132</v>
      </c>
      <c r="AC2228" s="55" t="s">
        <v>132</v>
      </c>
      <c r="AL2228" s="74"/>
      <c r="AM2228" s="74"/>
      <c r="AW2228" s="74"/>
      <c r="AX2228" s="74"/>
    </row>
    <row r="2229" spans="1:50" ht="13" x14ac:dyDescent="0.15">
      <c r="A2229" s="55" t="str">
        <f>HYPERLINK("http://reports.ofsted.gov.uk/inspection-reports/find-inspection-report/provider/CARE/SC040500","Ofsted Social Care Provider Webpage")</f>
        <v>Ofsted Social Care Provider Webpage</v>
      </c>
      <c r="B2229" s="55" t="s">
        <v>3748</v>
      </c>
      <c r="D2229" s="55" t="s">
        <v>2864</v>
      </c>
      <c r="E2229" s="74">
        <v>38125</v>
      </c>
      <c r="F2229" s="55" t="s">
        <v>344</v>
      </c>
      <c r="G2229" s="55" t="s">
        <v>360</v>
      </c>
      <c r="H2229" s="55" t="s">
        <v>360</v>
      </c>
      <c r="I2229" s="55" t="s">
        <v>360</v>
      </c>
      <c r="J2229" s="55" t="s">
        <v>360</v>
      </c>
      <c r="K2229" s="55" t="s">
        <v>360</v>
      </c>
      <c r="L2229" s="55" t="s">
        <v>360</v>
      </c>
      <c r="M2229" s="55" t="s">
        <v>144</v>
      </c>
      <c r="N2229" s="55" t="s">
        <v>144</v>
      </c>
      <c r="O2229" s="55" t="s">
        <v>248</v>
      </c>
      <c r="P2229" s="55" t="s">
        <v>492</v>
      </c>
      <c r="Q2229" s="55" t="s">
        <v>380</v>
      </c>
      <c r="R2229" s="85">
        <v>27</v>
      </c>
      <c r="S2229" s="55">
        <v>0</v>
      </c>
      <c r="T2229" s="74" t="s">
        <v>3749</v>
      </c>
      <c r="U2229" s="74" t="s">
        <v>6703</v>
      </c>
      <c r="V2229" s="74">
        <v>44411</v>
      </c>
      <c r="W2229" s="74">
        <v>44435</v>
      </c>
      <c r="X2229" s="55">
        <v>10169452</v>
      </c>
      <c r="Y2229" s="55" t="s">
        <v>6706</v>
      </c>
      <c r="AL2229" s="74"/>
      <c r="AM2229" s="74"/>
      <c r="AW2229" s="74"/>
      <c r="AX2229" s="74"/>
    </row>
    <row r="2230" spans="1:50" ht="13" x14ac:dyDescent="0.15">
      <c r="A2230" s="55" t="str">
        <f>HYPERLINK("http://reports.ofsted.gov.uk/inspection-reports/find-inspection-report/provider/CARE/SC040509","Ofsted Social Care Provider Webpage")</f>
        <v>Ofsted Social Care Provider Webpage</v>
      </c>
      <c r="B2230" s="55" t="s">
        <v>3754</v>
      </c>
      <c r="D2230" s="55" t="s">
        <v>373</v>
      </c>
      <c r="E2230" s="74">
        <v>38042</v>
      </c>
      <c r="F2230" s="55" t="s">
        <v>344</v>
      </c>
      <c r="G2230" s="55" t="s">
        <v>360</v>
      </c>
      <c r="H2230" s="55" t="s">
        <v>360</v>
      </c>
      <c r="I2230" s="55" t="s">
        <v>360</v>
      </c>
      <c r="J2230" s="55" t="s">
        <v>360</v>
      </c>
      <c r="K2230" s="55" t="s">
        <v>360</v>
      </c>
      <c r="L2230" s="55" t="s">
        <v>360</v>
      </c>
      <c r="M2230" s="55" t="s">
        <v>144</v>
      </c>
      <c r="N2230" s="55" t="s">
        <v>144</v>
      </c>
      <c r="O2230" s="55" t="s">
        <v>248</v>
      </c>
      <c r="P2230" s="55" t="s">
        <v>397</v>
      </c>
      <c r="Q2230" s="55" t="s">
        <v>380</v>
      </c>
      <c r="R2230" s="85">
        <v>3</v>
      </c>
      <c r="S2230" s="55">
        <v>0</v>
      </c>
      <c r="T2230" s="74" t="s">
        <v>3749</v>
      </c>
      <c r="U2230" s="74" t="s">
        <v>351</v>
      </c>
      <c r="V2230" s="74">
        <v>44615</v>
      </c>
      <c r="W2230" s="74">
        <v>44659</v>
      </c>
      <c r="X2230" s="55">
        <v>10186531</v>
      </c>
      <c r="Y2230" s="55" t="s">
        <v>130</v>
      </c>
      <c r="AB2230" s="74" t="s">
        <v>130</v>
      </c>
      <c r="AC2230" s="55" t="s">
        <v>130</v>
      </c>
      <c r="AL2230" s="74"/>
      <c r="AM2230" s="74"/>
      <c r="AW2230" s="74"/>
      <c r="AX2230" s="74"/>
    </row>
    <row r="2231" spans="1:50" ht="13" x14ac:dyDescent="0.15">
      <c r="A2231" s="55" t="str">
        <f>HYPERLINK("http://reports.ofsted.gov.uk/inspection-reports/find-inspection-report/provider/CARE/SC040510","Ofsted Social Care Provider Webpage")</f>
        <v>Ofsted Social Care Provider Webpage</v>
      </c>
      <c r="B2231" s="55" t="s">
        <v>3755</v>
      </c>
      <c r="C2231" s="55">
        <v>114341</v>
      </c>
      <c r="D2231" s="55" t="s">
        <v>413</v>
      </c>
      <c r="E2231" s="74">
        <v>37586</v>
      </c>
      <c r="F2231" s="55" t="s">
        <v>344</v>
      </c>
      <c r="G2231" s="55" t="s">
        <v>3756</v>
      </c>
      <c r="H2231" s="55" t="s">
        <v>3756</v>
      </c>
      <c r="I2231" s="55" t="s">
        <v>3757</v>
      </c>
      <c r="J2231" s="55" t="s">
        <v>3382</v>
      </c>
      <c r="K2231" s="55" t="s">
        <v>3368</v>
      </c>
      <c r="L2231" s="55" t="s">
        <v>3758</v>
      </c>
      <c r="M2231" s="55" t="s">
        <v>378</v>
      </c>
      <c r="N2231" s="55" t="s">
        <v>170</v>
      </c>
      <c r="O2231" s="55" t="s">
        <v>178</v>
      </c>
      <c r="P2231" s="55" t="s">
        <v>434</v>
      </c>
      <c r="Q2231" s="55" t="s">
        <v>380</v>
      </c>
      <c r="R2231" s="85">
        <v>10</v>
      </c>
      <c r="S2231" s="55">
        <v>0</v>
      </c>
      <c r="T2231" s="74" t="s">
        <v>2068</v>
      </c>
      <c r="U2231" s="74" t="s">
        <v>351</v>
      </c>
      <c r="V2231" s="74">
        <v>44607</v>
      </c>
      <c r="W2231" s="74">
        <v>44649</v>
      </c>
      <c r="X2231" s="55">
        <v>10183522</v>
      </c>
      <c r="Y2231" s="55" t="s">
        <v>130</v>
      </c>
      <c r="AB2231" s="74" t="s">
        <v>130</v>
      </c>
      <c r="AC2231" s="55" t="s">
        <v>130</v>
      </c>
      <c r="AL2231" s="74"/>
      <c r="AM2231" s="74"/>
      <c r="AW2231" s="74"/>
      <c r="AX2231" s="74"/>
    </row>
    <row r="2232" spans="1:50" ht="13" x14ac:dyDescent="0.15">
      <c r="A2232" s="55" t="str">
        <f>HYPERLINK("http://reports.ofsted.gov.uk/inspection-reports/find-inspection-report/provider/CARE/SC040511","Ofsted Social Care Provider Webpage")</f>
        <v>Ofsted Social Care Provider Webpage</v>
      </c>
      <c r="B2232" s="55" t="s">
        <v>3759</v>
      </c>
      <c r="D2232" s="55" t="s">
        <v>373</v>
      </c>
      <c r="E2232" s="74">
        <v>38075</v>
      </c>
      <c r="F2232" s="55" t="s">
        <v>344</v>
      </c>
      <c r="G2232" s="55" t="s">
        <v>360</v>
      </c>
      <c r="H2232" s="55" t="s">
        <v>360</v>
      </c>
      <c r="I2232" s="55" t="s">
        <v>360</v>
      </c>
      <c r="J2232" s="55" t="s">
        <v>360</v>
      </c>
      <c r="K2232" s="55" t="s">
        <v>360</v>
      </c>
      <c r="L2232" s="55" t="s">
        <v>360</v>
      </c>
      <c r="M2232" s="55" t="s">
        <v>144</v>
      </c>
      <c r="N2232" s="55" t="s">
        <v>144</v>
      </c>
      <c r="O2232" s="55" t="s">
        <v>248</v>
      </c>
      <c r="P2232" s="55" t="s">
        <v>492</v>
      </c>
      <c r="Q2232" s="55" t="s">
        <v>380</v>
      </c>
      <c r="R2232" s="85">
        <v>6</v>
      </c>
      <c r="S2232" s="55">
        <v>0</v>
      </c>
      <c r="T2232" s="74" t="s">
        <v>3749</v>
      </c>
      <c r="U2232" s="74" t="s">
        <v>6703</v>
      </c>
      <c r="V2232" s="74">
        <v>44525</v>
      </c>
      <c r="W2232" s="74">
        <v>44571</v>
      </c>
      <c r="X2232" s="55">
        <v>10209597</v>
      </c>
      <c r="Y2232" s="55" t="s">
        <v>6705</v>
      </c>
      <c r="AL2232" s="74"/>
      <c r="AM2232" s="74"/>
      <c r="AW2232" s="74"/>
      <c r="AX2232" s="74"/>
    </row>
    <row r="2233" spans="1:50" ht="13" x14ac:dyDescent="0.15">
      <c r="A2233" s="55" t="str">
        <f>HYPERLINK("http://reports.ofsted.gov.uk/inspection-reports/find-inspection-report/provider/CARE/SC040511","Ofsted Social Care Provider Webpage")</f>
        <v>Ofsted Social Care Provider Webpage</v>
      </c>
      <c r="B2233" s="55" t="s">
        <v>3759</v>
      </c>
      <c r="D2233" s="55" t="s">
        <v>373</v>
      </c>
      <c r="E2233" s="74">
        <v>38075</v>
      </c>
      <c r="F2233" s="55" t="s">
        <v>344</v>
      </c>
      <c r="G2233" s="55" t="s">
        <v>360</v>
      </c>
      <c r="H2233" s="55" t="s">
        <v>360</v>
      </c>
      <c r="I2233" s="55" t="s">
        <v>360</v>
      </c>
      <c r="J2233" s="55" t="s">
        <v>360</v>
      </c>
      <c r="K2233" s="55" t="s">
        <v>360</v>
      </c>
      <c r="L2233" s="55" t="s">
        <v>360</v>
      </c>
      <c r="M2233" s="55" t="s">
        <v>144</v>
      </c>
      <c r="N2233" s="55" t="s">
        <v>144</v>
      </c>
      <c r="O2233" s="55" t="s">
        <v>248</v>
      </c>
      <c r="P2233" s="55" t="s">
        <v>492</v>
      </c>
      <c r="Q2233" s="55" t="s">
        <v>380</v>
      </c>
      <c r="R2233" s="85">
        <v>6</v>
      </c>
      <c r="S2233" s="55">
        <v>0</v>
      </c>
      <c r="T2233" s="74" t="s">
        <v>3749</v>
      </c>
      <c r="U2233" s="74" t="s">
        <v>351</v>
      </c>
      <c r="V2233" s="74">
        <v>44405</v>
      </c>
      <c r="W2233" s="74">
        <v>44440</v>
      </c>
      <c r="X2233" s="55">
        <v>10186867</v>
      </c>
      <c r="Y2233" s="55" t="s">
        <v>130</v>
      </c>
      <c r="AB2233" s="74" t="s">
        <v>130</v>
      </c>
      <c r="AC2233" s="55" t="s">
        <v>130</v>
      </c>
      <c r="AL2233" s="74"/>
      <c r="AM2233" s="74"/>
      <c r="AW2233" s="74"/>
      <c r="AX2233" s="74"/>
    </row>
    <row r="2234" spans="1:50" ht="13" x14ac:dyDescent="0.15">
      <c r="A2234" s="55" t="str">
        <f>HYPERLINK("http://reports.ofsted.gov.uk/inspection-reports/find-inspection-report/provider/CARE/SC040580","Ofsted Social Care Provider Webpage")</f>
        <v>Ofsted Social Care Provider Webpage</v>
      </c>
      <c r="B2234" s="55" t="s">
        <v>3760</v>
      </c>
      <c r="D2234" s="55" t="s">
        <v>389</v>
      </c>
      <c r="E2234" s="74">
        <v>37874</v>
      </c>
      <c r="F2234" s="55" t="s">
        <v>344</v>
      </c>
      <c r="G2234" s="55" t="s">
        <v>3761</v>
      </c>
      <c r="H2234" s="55" t="s">
        <v>3762</v>
      </c>
      <c r="I2234" s="55" t="s">
        <v>354</v>
      </c>
      <c r="J2234" s="55" t="s">
        <v>3763</v>
      </c>
      <c r="L2234" s="55" t="s">
        <v>3764</v>
      </c>
      <c r="M2234" s="55" t="s">
        <v>144</v>
      </c>
      <c r="N2234" s="55" t="s">
        <v>144</v>
      </c>
      <c r="O2234" s="55" t="s">
        <v>215</v>
      </c>
      <c r="P2234" s="55" t="s">
        <v>1203</v>
      </c>
      <c r="Q2234" s="55" t="s">
        <v>362</v>
      </c>
      <c r="S2234" s="55">
        <v>0</v>
      </c>
      <c r="T2234" s="74" t="s">
        <v>1884</v>
      </c>
      <c r="U2234" s="74" t="s">
        <v>351</v>
      </c>
      <c r="V2234" s="74">
        <v>44417</v>
      </c>
      <c r="W2234" s="74">
        <v>44469</v>
      </c>
      <c r="X2234" s="55">
        <v>10183387</v>
      </c>
      <c r="Y2234" s="55" t="s">
        <v>140</v>
      </c>
      <c r="AB2234" s="74" t="s">
        <v>132</v>
      </c>
      <c r="AC2234" s="55" t="s">
        <v>140</v>
      </c>
      <c r="AL2234" s="74"/>
      <c r="AM2234" s="74"/>
      <c r="AW2234" s="74"/>
      <c r="AX2234" s="74"/>
    </row>
    <row r="2235" spans="1:50" ht="13" x14ac:dyDescent="0.15">
      <c r="A2235" s="55" t="str">
        <f>HYPERLINK("http://reports.ofsted.gov.uk/inspection-reports/find-inspection-report/provider/CARE/SC040583","Ofsted Social Care Provider Webpage")</f>
        <v>Ofsted Social Care Provider Webpage</v>
      </c>
      <c r="B2235" s="55" t="s">
        <v>3765</v>
      </c>
      <c r="D2235" s="55" t="s">
        <v>373</v>
      </c>
      <c r="E2235" s="74">
        <v>37650</v>
      </c>
      <c r="F2235" s="55" t="s">
        <v>344</v>
      </c>
      <c r="G2235" s="55" t="s">
        <v>360</v>
      </c>
      <c r="H2235" s="55" t="s">
        <v>360</v>
      </c>
      <c r="I2235" s="55" t="s">
        <v>360</v>
      </c>
      <c r="J2235" s="55" t="s">
        <v>360</v>
      </c>
      <c r="K2235" s="55" t="s">
        <v>360</v>
      </c>
      <c r="L2235" s="55" t="s">
        <v>360</v>
      </c>
      <c r="M2235" s="55" t="s">
        <v>378</v>
      </c>
      <c r="N2235" s="55" t="s">
        <v>170</v>
      </c>
      <c r="O2235" s="55" t="s">
        <v>264</v>
      </c>
      <c r="P2235" s="55" t="s">
        <v>437</v>
      </c>
      <c r="Q2235" s="55" t="s">
        <v>380</v>
      </c>
      <c r="R2235" s="85">
        <v>3</v>
      </c>
      <c r="S2235" s="55">
        <v>0</v>
      </c>
      <c r="T2235" s="74" t="s">
        <v>1696</v>
      </c>
      <c r="U2235" s="74" t="s">
        <v>351</v>
      </c>
      <c r="V2235" s="74">
        <v>44502</v>
      </c>
      <c r="W2235" s="74">
        <v>44546</v>
      </c>
      <c r="X2235" s="55">
        <v>10187394</v>
      </c>
      <c r="Y2235" s="55" t="s">
        <v>140</v>
      </c>
      <c r="AB2235" s="74" t="s">
        <v>140</v>
      </c>
      <c r="AC2235" s="55" t="s">
        <v>140</v>
      </c>
      <c r="AL2235" s="74"/>
      <c r="AM2235" s="74"/>
      <c r="AW2235" s="74"/>
      <c r="AX2235" s="74"/>
    </row>
    <row r="2236" spans="1:50" ht="13" x14ac:dyDescent="0.15">
      <c r="A2236" s="55" t="str">
        <f>HYPERLINK("http://reports.ofsted.gov.uk/inspection-reports/find-inspection-report/provider/CARE/SC040628","Ofsted Social Care Provider Webpage")</f>
        <v>Ofsted Social Care Provider Webpage</v>
      </c>
      <c r="B2236" s="55" t="s">
        <v>6740</v>
      </c>
      <c r="D2236" s="55" t="s">
        <v>373</v>
      </c>
      <c r="E2236" s="74">
        <v>37904</v>
      </c>
      <c r="F2236" s="55" t="s">
        <v>6707</v>
      </c>
      <c r="G2236" s="55" t="s">
        <v>360</v>
      </c>
      <c r="H2236" s="55" t="s">
        <v>360</v>
      </c>
      <c r="I2236" s="55" t="s">
        <v>360</v>
      </c>
      <c r="J2236" s="55" t="s">
        <v>360</v>
      </c>
      <c r="K2236" s="55" t="s">
        <v>360</v>
      </c>
      <c r="L2236" s="55" t="s">
        <v>360</v>
      </c>
      <c r="M2236" s="55" t="s">
        <v>150</v>
      </c>
      <c r="N2236" s="55" t="s">
        <v>150</v>
      </c>
      <c r="O2236" s="55" t="s">
        <v>268</v>
      </c>
      <c r="P2236" s="55" t="s">
        <v>2666</v>
      </c>
      <c r="Q2236" s="55" t="s">
        <v>380</v>
      </c>
      <c r="R2236" s="85">
        <v>6</v>
      </c>
      <c r="S2236" s="55">
        <v>0</v>
      </c>
      <c r="T2236" s="74" t="s">
        <v>640</v>
      </c>
      <c r="U2236" s="74" t="s">
        <v>351</v>
      </c>
      <c r="V2236" s="74">
        <v>44321</v>
      </c>
      <c r="W2236" s="74">
        <v>44364</v>
      </c>
      <c r="X2236" s="55">
        <v>10186139</v>
      </c>
      <c r="Y2236" s="55" t="s">
        <v>132</v>
      </c>
      <c r="AB2236" s="74" t="s">
        <v>130</v>
      </c>
      <c r="AC2236" s="55" t="s">
        <v>130</v>
      </c>
      <c r="AL2236" s="74"/>
      <c r="AM2236" s="74"/>
      <c r="AW2236" s="74"/>
      <c r="AX2236" s="74"/>
    </row>
    <row r="2237" spans="1:50" ht="13" x14ac:dyDescent="0.15">
      <c r="A2237" s="55" t="str">
        <f>HYPERLINK("http://reports.ofsted.gov.uk/inspection-reports/find-inspection-report/provider/CARE/SC040628","Ofsted Social Care Provider Webpage")</f>
        <v>Ofsted Social Care Provider Webpage</v>
      </c>
      <c r="B2237" s="55" t="s">
        <v>6740</v>
      </c>
      <c r="D2237" s="55" t="s">
        <v>373</v>
      </c>
      <c r="E2237" s="74">
        <v>37904</v>
      </c>
      <c r="F2237" s="55" t="s">
        <v>6707</v>
      </c>
      <c r="G2237" s="55" t="s">
        <v>360</v>
      </c>
      <c r="H2237" s="55" t="s">
        <v>360</v>
      </c>
      <c r="I2237" s="55" t="s">
        <v>360</v>
      </c>
      <c r="J2237" s="55" t="s">
        <v>360</v>
      </c>
      <c r="K2237" s="55" t="s">
        <v>360</v>
      </c>
      <c r="L2237" s="55" t="s">
        <v>360</v>
      </c>
      <c r="M2237" s="55" t="s">
        <v>150</v>
      </c>
      <c r="N2237" s="55" t="s">
        <v>150</v>
      </c>
      <c r="O2237" s="55" t="s">
        <v>268</v>
      </c>
      <c r="P2237" s="55" t="s">
        <v>2666</v>
      </c>
      <c r="Q2237" s="55" t="s">
        <v>380</v>
      </c>
      <c r="R2237" s="85">
        <v>6</v>
      </c>
      <c r="S2237" s="55">
        <v>0</v>
      </c>
      <c r="T2237" s="74" t="s">
        <v>640</v>
      </c>
      <c r="U2237" s="74" t="s">
        <v>6703</v>
      </c>
      <c r="V2237" s="74">
        <v>44601</v>
      </c>
      <c r="W2237" s="74">
        <v>44645</v>
      </c>
      <c r="X2237" s="55">
        <v>10212856</v>
      </c>
      <c r="Y2237" s="55" t="s">
        <v>6704</v>
      </c>
      <c r="AL2237" s="74"/>
      <c r="AM2237" s="74"/>
      <c r="AW2237" s="74"/>
      <c r="AX2237" s="74"/>
    </row>
    <row r="2238" spans="1:50" ht="13" x14ac:dyDescent="0.15">
      <c r="A2238" s="55" t="str">
        <f>HYPERLINK("http://reports.ofsted.gov.uk/inspection-reports/find-inspection-report/provider/CARE/SC040631","Ofsted Social Care Provider Webpage")</f>
        <v>Ofsted Social Care Provider Webpage</v>
      </c>
      <c r="B2238" s="55" t="s">
        <v>3766</v>
      </c>
      <c r="D2238" s="55" t="s">
        <v>373</v>
      </c>
      <c r="E2238" s="74">
        <v>37943</v>
      </c>
      <c r="F2238" s="55" t="s">
        <v>344</v>
      </c>
      <c r="G2238" s="55" t="s">
        <v>360</v>
      </c>
      <c r="H2238" s="55" t="s">
        <v>360</v>
      </c>
      <c r="I2238" s="55" t="s">
        <v>360</v>
      </c>
      <c r="J2238" s="55" t="s">
        <v>360</v>
      </c>
      <c r="K2238" s="55" t="s">
        <v>360</v>
      </c>
      <c r="L2238" s="55" t="s">
        <v>360</v>
      </c>
      <c r="M2238" s="55" t="s">
        <v>150</v>
      </c>
      <c r="N2238" s="55" t="s">
        <v>150</v>
      </c>
      <c r="O2238" s="55" t="s">
        <v>268</v>
      </c>
      <c r="P2238" s="55" t="s">
        <v>395</v>
      </c>
      <c r="Q2238" s="55" t="s">
        <v>380</v>
      </c>
      <c r="R2238" s="85">
        <v>4</v>
      </c>
      <c r="S2238" s="55">
        <v>0</v>
      </c>
      <c r="T2238" s="74" t="s">
        <v>640</v>
      </c>
      <c r="U2238" s="74" t="s">
        <v>351</v>
      </c>
      <c r="V2238" s="74">
        <v>44341</v>
      </c>
      <c r="W2238" s="74">
        <v>44406</v>
      </c>
      <c r="X2238" s="55">
        <v>10185690</v>
      </c>
      <c r="Y2238" s="55" t="s">
        <v>132</v>
      </c>
      <c r="AB2238" s="74" t="s">
        <v>132</v>
      </c>
      <c r="AC2238" s="55" t="s">
        <v>132</v>
      </c>
      <c r="AL2238" s="74"/>
      <c r="AM2238" s="74"/>
      <c r="AW2238" s="74"/>
      <c r="AX2238" s="74"/>
    </row>
    <row r="2239" spans="1:50" ht="13" x14ac:dyDescent="0.15">
      <c r="A2239" s="55" t="str">
        <f>HYPERLINK("http://reports.ofsted.gov.uk/inspection-reports/find-inspection-report/provider/CARE/SC040633","Ofsted Social Care Provider Webpage")</f>
        <v>Ofsted Social Care Provider Webpage</v>
      </c>
      <c r="B2239" s="55" t="s">
        <v>3767</v>
      </c>
      <c r="D2239" s="55" t="s">
        <v>373</v>
      </c>
      <c r="E2239" s="74">
        <v>37960</v>
      </c>
      <c r="F2239" s="55" t="s">
        <v>344</v>
      </c>
      <c r="G2239" s="55" t="s">
        <v>360</v>
      </c>
      <c r="H2239" s="55" t="s">
        <v>360</v>
      </c>
      <c r="I2239" s="55" t="s">
        <v>360</v>
      </c>
      <c r="J2239" s="55" t="s">
        <v>360</v>
      </c>
      <c r="K2239" s="55" t="s">
        <v>360</v>
      </c>
      <c r="L2239" s="55" t="s">
        <v>360</v>
      </c>
      <c r="M2239" s="55" t="s">
        <v>150</v>
      </c>
      <c r="N2239" s="55" t="s">
        <v>150</v>
      </c>
      <c r="O2239" s="55" t="s">
        <v>268</v>
      </c>
      <c r="P2239" s="55" t="s">
        <v>2682</v>
      </c>
      <c r="Q2239" s="55" t="s">
        <v>380</v>
      </c>
      <c r="R2239" s="85">
        <v>5</v>
      </c>
      <c r="S2239" s="55">
        <v>0</v>
      </c>
      <c r="T2239" s="74" t="s">
        <v>640</v>
      </c>
      <c r="U2239" s="74" t="s">
        <v>351</v>
      </c>
      <c r="V2239" s="74">
        <v>44341</v>
      </c>
      <c r="W2239" s="74">
        <v>44389</v>
      </c>
      <c r="X2239" s="55">
        <v>10185383</v>
      </c>
      <c r="Y2239" s="55" t="s">
        <v>140</v>
      </c>
      <c r="AB2239" s="74" t="s">
        <v>140</v>
      </c>
      <c r="AC2239" s="55" t="s">
        <v>140</v>
      </c>
      <c r="AL2239" s="74"/>
      <c r="AM2239" s="74"/>
      <c r="AW2239" s="74"/>
      <c r="AX2239" s="74"/>
    </row>
    <row r="2240" spans="1:50" ht="13" x14ac:dyDescent="0.15">
      <c r="A2240" s="55" t="str">
        <f>HYPERLINK("http://reports.ofsted.gov.uk/inspection-reports/find-inspection-report/provider/CARE/SC040642","Ofsted Social Care Provider Webpage")</f>
        <v>Ofsted Social Care Provider Webpage</v>
      </c>
      <c r="B2240" s="55" t="s">
        <v>3769</v>
      </c>
      <c r="D2240" s="55" t="s">
        <v>373</v>
      </c>
      <c r="E2240" s="74">
        <v>37944</v>
      </c>
      <c r="F2240" s="55" t="s">
        <v>344</v>
      </c>
      <c r="G2240" s="55" t="s">
        <v>360</v>
      </c>
      <c r="H2240" s="55" t="s">
        <v>360</v>
      </c>
      <c r="I2240" s="55" t="s">
        <v>360</v>
      </c>
      <c r="J2240" s="55" t="s">
        <v>360</v>
      </c>
      <c r="K2240" s="55" t="s">
        <v>360</v>
      </c>
      <c r="L2240" s="55" t="s">
        <v>360</v>
      </c>
      <c r="M2240" s="55" t="s">
        <v>150</v>
      </c>
      <c r="N2240" s="55" t="s">
        <v>150</v>
      </c>
      <c r="O2240" s="55" t="s">
        <v>268</v>
      </c>
      <c r="P2240" s="55" t="s">
        <v>639</v>
      </c>
      <c r="Q2240" s="55" t="s">
        <v>380</v>
      </c>
      <c r="R2240" s="85">
        <v>5</v>
      </c>
      <c r="S2240" s="55">
        <v>0</v>
      </c>
      <c r="T2240" s="74" t="s">
        <v>640</v>
      </c>
      <c r="U2240" s="74" t="s">
        <v>351</v>
      </c>
      <c r="V2240" s="74">
        <v>44313</v>
      </c>
      <c r="W2240" s="74">
        <v>44362</v>
      </c>
      <c r="X2240" s="55">
        <v>10186223</v>
      </c>
      <c r="Y2240" s="55" t="s">
        <v>140</v>
      </c>
      <c r="AB2240" s="74" t="s">
        <v>140</v>
      </c>
      <c r="AC2240" s="55" t="s">
        <v>140</v>
      </c>
      <c r="AL2240" s="74"/>
      <c r="AM2240" s="74"/>
    </row>
    <row r="2241" spans="1:50" ht="13" x14ac:dyDescent="0.15">
      <c r="A2241" s="55" t="str">
        <f>HYPERLINK("http://reports.ofsted.gov.uk/inspection-reports/find-inspection-report/provider/CARE/SC040719","Ofsted Social Care Provider Webpage")</f>
        <v>Ofsted Social Care Provider Webpage</v>
      </c>
      <c r="B2241" s="55" t="s">
        <v>3770</v>
      </c>
      <c r="D2241" s="55" t="s">
        <v>373</v>
      </c>
      <c r="E2241" s="74">
        <v>37820</v>
      </c>
      <c r="F2241" s="55" t="s">
        <v>344</v>
      </c>
      <c r="G2241" s="55" t="s">
        <v>360</v>
      </c>
      <c r="H2241" s="55" t="s">
        <v>360</v>
      </c>
      <c r="I2241" s="55" t="s">
        <v>360</v>
      </c>
      <c r="J2241" s="55" t="s">
        <v>360</v>
      </c>
      <c r="K2241" s="55" t="s">
        <v>360</v>
      </c>
      <c r="L2241" s="55" t="s">
        <v>360</v>
      </c>
      <c r="M2241" s="55" t="s">
        <v>144</v>
      </c>
      <c r="N2241" s="55" t="s">
        <v>144</v>
      </c>
      <c r="O2241" s="55" t="s">
        <v>147</v>
      </c>
      <c r="P2241" s="55" t="s">
        <v>674</v>
      </c>
      <c r="Q2241" s="55" t="s">
        <v>380</v>
      </c>
      <c r="R2241" s="85">
        <v>3</v>
      </c>
      <c r="S2241" s="55">
        <v>0</v>
      </c>
      <c r="T2241" s="74" t="s">
        <v>3771</v>
      </c>
      <c r="U2241" s="74" t="s">
        <v>351</v>
      </c>
      <c r="V2241" s="74">
        <v>44616</v>
      </c>
      <c r="W2241" s="74">
        <v>44659</v>
      </c>
      <c r="X2241" s="55">
        <v>10185295</v>
      </c>
      <c r="Y2241" s="55" t="s">
        <v>130</v>
      </c>
      <c r="AB2241" s="74" t="s">
        <v>130</v>
      </c>
      <c r="AC2241" s="55" t="s">
        <v>130</v>
      </c>
      <c r="AL2241" s="74"/>
      <c r="AM2241" s="74"/>
      <c r="AW2241" s="74"/>
      <c r="AX2241" s="74"/>
    </row>
    <row r="2242" spans="1:50" ht="13" x14ac:dyDescent="0.15">
      <c r="A2242" s="55" t="str">
        <f>HYPERLINK("http://reports.ofsted.gov.uk/inspection-reports/find-inspection-report/provider/CARE/SC040720","Ofsted Social Care Provider Webpage")</f>
        <v>Ofsted Social Care Provider Webpage</v>
      </c>
      <c r="B2242" s="55" t="s">
        <v>3772</v>
      </c>
      <c r="C2242" s="55">
        <v>104735</v>
      </c>
      <c r="D2242" s="55" t="s">
        <v>413</v>
      </c>
      <c r="E2242" s="74">
        <v>37589</v>
      </c>
      <c r="F2242" s="55" t="s">
        <v>344</v>
      </c>
      <c r="G2242" s="55" t="s">
        <v>3773</v>
      </c>
      <c r="H2242" s="55" t="s">
        <v>3774</v>
      </c>
      <c r="I2242" s="55" t="s">
        <v>3775</v>
      </c>
      <c r="J2242" s="55" t="s">
        <v>3763</v>
      </c>
      <c r="L2242" s="55" t="s">
        <v>3776</v>
      </c>
      <c r="M2242" s="55" t="s">
        <v>144</v>
      </c>
      <c r="N2242" s="55" t="s">
        <v>144</v>
      </c>
      <c r="O2242" s="55" t="s">
        <v>215</v>
      </c>
      <c r="P2242" s="55" t="s">
        <v>1440</v>
      </c>
      <c r="Q2242" s="55" t="s">
        <v>362</v>
      </c>
      <c r="R2242" s="85">
        <v>10</v>
      </c>
      <c r="S2242" s="55">
        <v>0</v>
      </c>
      <c r="T2242" s="74" t="s">
        <v>3777</v>
      </c>
      <c r="U2242" s="74" t="s">
        <v>351</v>
      </c>
      <c r="V2242" s="74">
        <v>44474</v>
      </c>
      <c r="W2242" s="74">
        <v>44519</v>
      </c>
      <c r="X2242" s="55">
        <v>10183533</v>
      </c>
      <c r="Y2242" s="55" t="s">
        <v>132</v>
      </c>
      <c r="AB2242" s="74" t="s">
        <v>132</v>
      </c>
      <c r="AC2242" s="55" t="s">
        <v>130</v>
      </c>
      <c r="AL2242" s="74"/>
      <c r="AM2242" s="74"/>
      <c r="AW2242" s="74"/>
      <c r="AX2242" s="74"/>
    </row>
    <row r="2243" spans="1:50" ht="13" x14ac:dyDescent="0.15">
      <c r="A2243" s="55" t="str">
        <f>HYPERLINK("http://reports.ofsted.gov.uk/inspection-reports/find-inspection-report/provider/CARE/SC040723","Ofsted Social Care Provider Webpage")</f>
        <v>Ofsted Social Care Provider Webpage</v>
      </c>
      <c r="B2243" s="55" t="s">
        <v>3778</v>
      </c>
      <c r="D2243" s="55" t="s">
        <v>373</v>
      </c>
      <c r="E2243" s="74">
        <v>37820</v>
      </c>
      <c r="F2243" s="55" t="s">
        <v>344</v>
      </c>
      <c r="G2243" s="55" t="s">
        <v>360</v>
      </c>
      <c r="H2243" s="55" t="s">
        <v>360</v>
      </c>
      <c r="I2243" s="55" t="s">
        <v>360</v>
      </c>
      <c r="J2243" s="55" t="s">
        <v>360</v>
      </c>
      <c r="K2243" s="55" t="s">
        <v>360</v>
      </c>
      <c r="L2243" s="55" t="s">
        <v>360</v>
      </c>
      <c r="M2243" s="55" t="s">
        <v>144</v>
      </c>
      <c r="N2243" s="55" t="s">
        <v>144</v>
      </c>
      <c r="O2243" s="55" t="s">
        <v>147</v>
      </c>
      <c r="P2243" s="55" t="s">
        <v>674</v>
      </c>
      <c r="Q2243" s="55" t="s">
        <v>380</v>
      </c>
      <c r="R2243" s="85">
        <v>4</v>
      </c>
      <c r="S2243" s="55">
        <v>0</v>
      </c>
      <c r="T2243" s="74" t="s">
        <v>3771</v>
      </c>
      <c r="U2243" s="74" t="s">
        <v>351</v>
      </c>
      <c r="V2243" s="74">
        <v>44510</v>
      </c>
      <c r="W2243" s="74">
        <v>44550</v>
      </c>
      <c r="X2243" s="55">
        <v>10185584</v>
      </c>
      <c r="Y2243" s="55" t="s">
        <v>132</v>
      </c>
      <c r="AB2243" s="74" t="s">
        <v>132</v>
      </c>
      <c r="AC2243" s="55" t="s">
        <v>130</v>
      </c>
      <c r="AL2243" s="74"/>
      <c r="AM2243" s="74"/>
    </row>
    <row r="2244" spans="1:50" ht="13" x14ac:dyDescent="0.15">
      <c r="A2244" s="55" t="str">
        <f>HYPERLINK("http://reports.ofsted.gov.uk/inspection-reports/find-inspection-report/provider/CARE/SC040733","Ofsted Social Care Provider Webpage")</f>
        <v>Ofsted Social Care Provider Webpage</v>
      </c>
      <c r="B2244" s="55" t="s">
        <v>3785</v>
      </c>
      <c r="D2244" s="55" t="s">
        <v>373</v>
      </c>
      <c r="E2244" s="74">
        <v>38042</v>
      </c>
      <c r="F2244" s="55" t="s">
        <v>344</v>
      </c>
      <c r="G2244" s="55" t="s">
        <v>360</v>
      </c>
      <c r="H2244" s="55" t="s">
        <v>360</v>
      </c>
      <c r="I2244" s="55" t="s">
        <v>360</v>
      </c>
      <c r="J2244" s="55" t="s">
        <v>360</v>
      </c>
      <c r="K2244" s="55" t="s">
        <v>360</v>
      </c>
      <c r="L2244" s="55" t="s">
        <v>360</v>
      </c>
      <c r="M2244" s="55" t="s">
        <v>144</v>
      </c>
      <c r="N2244" s="55" t="s">
        <v>144</v>
      </c>
      <c r="O2244" s="55" t="s">
        <v>248</v>
      </c>
      <c r="P2244" s="55" t="s">
        <v>492</v>
      </c>
      <c r="Q2244" s="55" t="s">
        <v>380</v>
      </c>
      <c r="R2244" s="85">
        <v>4</v>
      </c>
      <c r="S2244" s="55">
        <v>0</v>
      </c>
      <c r="T2244" s="74" t="s">
        <v>3749</v>
      </c>
      <c r="U2244" s="74" t="s">
        <v>351</v>
      </c>
      <c r="V2244" s="74">
        <v>44361</v>
      </c>
      <c r="W2244" s="74">
        <v>44391</v>
      </c>
      <c r="X2244" s="55">
        <v>10187534</v>
      </c>
      <c r="Y2244" s="55" t="s">
        <v>130</v>
      </c>
      <c r="AB2244" s="74" t="s">
        <v>130</v>
      </c>
      <c r="AC2244" s="55" t="s">
        <v>130</v>
      </c>
      <c r="AL2244" s="74"/>
      <c r="AM2244" s="74"/>
      <c r="AW2244" s="74"/>
      <c r="AX2244" s="74"/>
    </row>
    <row r="2245" spans="1:50" ht="13" x14ac:dyDescent="0.15">
      <c r="A2245" s="55" t="str">
        <f>HYPERLINK("http://reports.ofsted.gov.uk/inspection-reports/find-inspection-report/provider/CARE/SC040733","Ofsted Social Care Provider Webpage")</f>
        <v>Ofsted Social Care Provider Webpage</v>
      </c>
      <c r="B2245" s="55" t="s">
        <v>3785</v>
      </c>
      <c r="D2245" s="55" t="s">
        <v>373</v>
      </c>
      <c r="E2245" s="74">
        <v>38042</v>
      </c>
      <c r="F2245" s="55" t="s">
        <v>344</v>
      </c>
      <c r="G2245" s="55" t="s">
        <v>360</v>
      </c>
      <c r="H2245" s="55" t="s">
        <v>360</v>
      </c>
      <c r="I2245" s="55" t="s">
        <v>360</v>
      </c>
      <c r="J2245" s="55" t="s">
        <v>360</v>
      </c>
      <c r="K2245" s="55" t="s">
        <v>360</v>
      </c>
      <c r="L2245" s="55" t="s">
        <v>360</v>
      </c>
      <c r="M2245" s="55" t="s">
        <v>144</v>
      </c>
      <c r="N2245" s="55" t="s">
        <v>144</v>
      </c>
      <c r="O2245" s="55" t="s">
        <v>248</v>
      </c>
      <c r="P2245" s="55" t="s">
        <v>492</v>
      </c>
      <c r="Q2245" s="55" t="s">
        <v>380</v>
      </c>
      <c r="R2245" s="85">
        <v>4</v>
      </c>
      <c r="S2245" s="55">
        <v>0</v>
      </c>
      <c r="T2245" s="74" t="s">
        <v>3749</v>
      </c>
      <c r="U2245" s="74" t="s">
        <v>6703</v>
      </c>
      <c r="V2245" s="74">
        <v>44593</v>
      </c>
      <c r="W2245" s="74">
        <v>44622</v>
      </c>
      <c r="X2245" s="55">
        <v>10209587</v>
      </c>
      <c r="Y2245" s="55" t="s">
        <v>6706</v>
      </c>
      <c r="AL2245" s="74"/>
      <c r="AM2245" s="74"/>
      <c r="AW2245" s="74"/>
      <c r="AX2245" s="74"/>
    </row>
    <row r="2246" spans="1:50" ht="13" x14ac:dyDescent="0.15">
      <c r="A2246" s="55" t="str">
        <f>HYPERLINK("http://reports.ofsted.gov.uk/inspection-reports/find-inspection-report/provider/CARE/SC040785","Ofsted Social Care Provider Webpage")</f>
        <v>Ofsted Social Care Provider Webpage</v>
      </c>
      <c r="B2246" s="55" t="s">
        <v>3786</v>
      </c>
      <c r="D2246" s="55" t="s">
        <v>373</v>
      </c>
      <c r="E2246" s="74">
        <v>37685</v>
      </c>
      <c r="F2246" s="55" t="s">
        <v>344</v>
      </c>
      <c r="G2246" s="55" t="s">
        <v>360</v>
      </c>
      <c r="H2246" s="55" t="s">
        <v>360</v>
      </c>
      <c r="I2246" s="55" t="s">
        <v>360</v>
      </c>
      <c r="J2246" s="55" t="s">
        <v>360</v>
      </c>
      <c r="K2246" s="55" t="s">
        <v>360</v>
      </c>
      <c r="L2246" s="55" t="s">
        <v>360</v>
      </c>
      <c r="M2246" s="55" t="s">
        <v>144</v>
      </c>
      <c r="N2246" s="55" t="s">
        <v>144</v>
      </c>
      <c r="O2246" s="55" t="s">
        <v>250</v>
      </c>
      <c r="P2246" s="55" t="s">
        <v>361</v>
      </c>
      <c r="Q2246" s="55" t="s">
        <v>350</v>
      </c>
      <c r="R2246" s="85">
        <v>2</v>
      </c>
      <c r="S2246" s="55">
        <v>0</v>
      </c>
      <c r="T2246" s="74" t="s">
        <v>2860</v>
      </c>
      <c r="U2246" s="74" t="s">
        <v>351</v>
      </c>
      <c r="V2246" s="74">
        <v>44635</v>
      </c>
      <c r="W2246" s="74">
        <v>44678</v>
      </c>
      <c r="X2246" s="55">
        <v>10185623</v>
      </c>
      <c r="Y2246" s="55" t="s">
        <v>132</v>
      </c>
      <c r="AB2246" s="74" t="s">
        <v>132</v>
      </c>
      <c r="AC2246" s="55" t="s">
        <v>130</v>
      </c>
      <c r="AL2246" s="74"/>
      <c r="AM2246" s="74"/>
      <c r="AW2246" s="74"/>
      <c r="AX2246" s="74"/>
    </row>
    <row r="2247" spans="1:50" ht="13" x14ac:dyDescent="0.15">
      <c r="A2247" s="55" t="str">
        <f>HYPERLINK("http://reports.ofsted.gov.uk/inspection-reports/find-inspection-report/provider/CARE/SC040982","Ofsted Social Care Provider Webpage")</f>
        <v>Ofsted Social Care Provider Webpage</v>
      </c>
      <c r="B2247" s="55" t="s">
        <v>3793</v>
      </c>
      <c r="D2247" s="55" t="s">
        <v>373</v>
      </c>
      <c r="E2247" s="74">
        <v>37771</v>
      </c>
      <c r="F2247" s="55" t="s">
        <v>344</v>
      </c>
      <c r="G2247" s="55" t="s">
        <v>360</v>
      </c>
      <c r="H2247" s="55" t="s">
        <v>360</v>
      </c>
      <c r="I2247" s="55" t="s">
        <v>360</v>
      </c>
      <c r="J2247" s="55" t="s">
        <v>360</v>
      </c>
      <c r="K2247" s="55" t="s">
        <v>360</v>
      </c>
      <c r="L2247" s="55" t="s">
        <v>360</v>
      </c>
      <c r="M2247" s="55" t="s">
        <v>144</v>
      </c>
      <c r="N2247" s="55" t="s">
        <v>144</v>
      </c>
      <c r="O2247" s="55" t="s">
        <v>287</v>
      </c>
      <c r="P2247" s="55" t="s">
        <v>815</v>
      </c>
      <c r="Q2247" s="55" t="s">
        <v>380</v>
      </c>
      <c r="R2247" s="85">
        <v>5</v>
      </c>
      <c r="S2247" s="55" t="s">
        <v>332</v>
      </c>
      <c r="T2247" s="74" t="s">
        <v>882</v>
      </c>
      <c r="U2247" s="74" t="s">
        <v>2053</v>
      </c>
      <c r="V2247" s="74">
        <v>44456</v>
      </c>
      <c r="W2247" s="74">
        <v>44490</v>
      </c>
      <c r="X2247" s="55">
        <v>10206357</v>
      </c>
      <c r="AL2247" s="74"/>
      <c r="AM2247" s="74"/>
      <c r="AW2247" s="74"/>
      <c r="AX2247" s="74"/>
    </row>
    <row r="2248" spans="1:50" ht="13" x14ac:dyDescent="0.15">
      <c r="A2248" s="55" t="str">
        <f>HYPERLINK("http://reports.ofsted.gov.uk/inspection-reports/find-inspection-report/provider/CARE/SC040982","Ofsted Social Care Provider Webpage")</f>
        <v>Ofsted Social Care Provider Webpage</v>
      </c>
      <c r="B2248" s="55" t="s">
        <v>3793</v>
      </c>
      <c r="D2248" s="55" t="s">
        <v>373</v>
      </c>
      <c r="E2248" s="74">
        <v>37771</v>
      </c>
      <c r="F2248" s="55" t="s">
        <v>344</v>
      </c>
      <c r="G2248" s="55" t="s">
        <v>360</v>
      </c>
      <c r="H2248" s="55" t="s">
        <v>360</v>
      </c>
      <c r="I2248" s="55" t="s">
        <v>360</v>
      </c>
      <c r="J2248" s="55" t="s">
        <v>360</v>
      </c>
      <c r="K2248" s="55" t="s">
        <v>360</v>
      </c>
      <c r="L2248" s="55" t="s">
        <v>360</v>
      </c>
      <c r="M2248" s="55" t="s">
        <v>144</v>
      </c>
      <c r="N2248" s="55" t="s">
        <v>144</v>
      </c>
      <c r="O2248" s="55" t="s">
        <v>287</v>
      </c>
      <c r="P2248" s="55" t="s">
        <v>815</v>
      </c>
      <c r="Q2248" s="55" t="s">
        <v>380</v>
      </c>
      <c r="R2248" s="85">
        <v>5</v>
      </c>
      <c r="S2248" s="55" t="s">
        <v>332</v>
      </c>
      <c r="T2248" s="74" t="s">
        <v>882</v>
      </c>
      <c r="U2248" s="74" t="s">
        <v>351</v>
      </c>
      <c r="V2248" s="74">
        <v>44397</v>
      </c>
      <c r="W2248" s="74">
        <v>44449</v>
      </c>
      <c r="X2248" s="55">
        <v>10186188</v>
      </c>
      <c r="Y2248" s="55" t="s">
        <v>146</v>
      </c>
      <c r="AB2248" s="74" t="s">
        <v>146</v>
      </c>
      <c r="AC2248" s="55" t="s">
        <v>146</v>
      </c>
      <c r="AL2248" s="74"/>
      <c r="AM2248" s="74"/>
      <c r="AW2248" s="74"/>
      <c r="AX2248" s="74"/>
    </row>
    <row r="2249" spans="1:50" ht="13" x14ac:dyDescent="0.15">
      <c r="A2249" s="55" t="str">
        <f>HYPERLINK("http://reports.ofsted.gov.uk/inspection-reports/find-inspection-report/provider/CARE/SC040982","Ofsted Social Care Provider Webpage")</f>
        <v>Ofsted Social Care Provider Webpage</v>
      </c>
      <c r="B2249" s="55" t="s">
        <v>3793</v>
      </c>
      <c r="D2249" s="55" t="s">
        <v>373</v>
      </c>
      <c r="E2249" s="74">
        <v>37771</v>
      </c>
      <c r="F2249" s="55" t="s">
        <v>344</v>
      </c>
      <c r="G2249" s="55" t="s">
        <v>360</v>
      </c>
      <c r="H2249" s="55" t="s">
        <v>360</v>
      </c>
      <c r="I2249" s="55" t="s">
        <v>360</v>
      </c>
      <c r="J2249" s="55" t="s">
        <v>360</v>
      </c>
      <c r="K2249" s="55" t="s">
        <v>360</v>
      </c>
      <c r="L2249" s="55" t="s">
        <v>360</v>
      </c>
      <c r="M2249" s="55" t="s">
        <v>144</v>
      </c>
      <c r="N2249" s="55" t="s">
        <v>144</v>
      </c>
      <c r="O2249" s="55" t="s">
        <v>287</v>
      </c>
      <c r="P2249" s="55" t="s">
        <v>815</v>
      </c>
      <c r="Q2249" s="55" t="s">
        <v>380</v>
      </c>
      <c r="R2249" s="85">
        <v>5</v>
      </c>
      <c r="S2249" s="55" t="s">
        <v>332</v>
      </c>
      <c r="T2249" s="74" t="s">
        <v>882</v>
      </c>
      <c r="U2249" s="74" t="s">
        <v>351</v>
      </c>
      <c r="V2249" s="74">
        <v>44510</v>
      </c>
      <c r="W2249" s="74">
        <v>44550</v>
      </c>
      <c r="X2249" s="55">
        <v>10212708</v>
      </c>
      <c r="Y2249" s="55" t="s">
        <v>132</v>
      </c>
      <c r="AB2249" s="74" t="s">
        <v>132</v>
      </c>
      <c r="AC2249" s="55" t="s">
        <v>132</v>
      </c>
      <c r="AL2249" s="74"/>
      <c r="AM2249" s="74"/>
    </row>
    <row r="2250" spans="1:50" ht="13" x14ac:dyDescent="0.15">
      <c r="A2250" s="55" t="str">
        <f>HYPERLINK("http://reports.ofsted.gov.uk/inspection-reports/find-inspection-report/provider/CARE/SC041223","Ofsted Social Care Provider Webpage")</f>
        <v>Ofsted Social Care Provider Webpage</v>
      </c>
      <c r="B2250" s="55" t="s">
        <v>3794</v>
      </c>
      <c r="C2250" s="55">
        <v>137478</v>
      </c>
      <c r="D2250" s="55" t="s">
        <v>413</v>
      </c>
      <c r="E2250" s="74">
        <v>37603</v>
      </c>
      <c r="F2250" s="55" t="s">
        <v>344</v>
      </c>
      <c r="G2250" s="55" t="s">
        <v>3795</v>
      </c>
      <c r="H2250" s="55" t="s">
        <v>3796</v>
      </c>
      <c r="I2250" s="55" t="s">
        <v>3797</v>
      </c>
      <c r="J2250" s="55" t="s">
        <v>3798</v>
      </c>
      <c r="K2250" s="55" t="s">
        <v>165</v>
      </c>
      <c r="L2250" s="55" t="s">
        <v>3799</v>
      </c>
      <c r="M2250" s="55" t="s">
        <v>136</v>
      </c>
      <c r="N2250" s="55" t="s">
        <v>136</v>
      </c>
      <c r="O2250" s="55" t="s">
        <v>165</v>
      </c>
      <c r="P2250" s="55" t="s">
        <v>2318</v>
      </c>
      <c r="Q2250" s="55" t="s">
        <v>420</v>
      </c>
      <c r="R2250" s="85">
        <v>23</v>
      </c>
      <c r="S2250" s="55">
        <v>0</v>
      </c>
      <c r="T2250" s="74" t="s">
        <v>3800</v>
      </c>
      <c r="U2250" s="74" t="s">
        <v>351</v>
      </c>
      <c r="V2250" s="74">
        <v>44382</v>
      </c>
      <c r="W2250" s="74">
        <v>44463</v>
      </c>
      <c r="X2250" s="55">
        <v>10183576</v>
      </c>
      <c r="Y2250" s="55" t="s">
        <v>132</v>
      </c>
      <c r="AB2250" s="74" t="s">
        <v>132</v>
      </c>
      <c r="AC2250" s="55" t="s">
        <v>132</v>
      </c>
      <c r="AL2250" s="74"/>
      <c r="AM2250" s="74"/>
      <c r="AW2250" s="74"/>
      <c r="AX2250" s="74"/>
    </row>
    <row r="2251" spans="1:50" ht="13" x14ac:dyDescent="0.15">
      <c r="A2251" s="55" t="str">
        <f>HYPERLINK("http://reports.ofsted.gov.uk/inspection-reports/find-inspection-report/provider/CARE/SC041298","Ofsted Social Care Provider Webpage")</f>
        <v>Ofsted Social Care Provider Webpage</v>
      </c>
      <c r="B2251" s="55" t="s">
        <v>3801</v>
      </c>
      <c r="C2251" s="55">
        <v>107791</v>
      </c>
      <c r="D2251" s="55" t="s">
        <v>398</v>
      </c>
      <c r="E2251" s="74">
        <v>37607</v>
      </c>
      <c r="F2251" s="55" t="s">
        <v>344</v>
      </c>
      <c r="G2251" s="55" t="s">
        <v>3802</v>
      </c>
      <c r="H2251" s="55" t="s">
        <v>3802</v>
      </c>
      <c r="I2251" s="55" t="s">
        <v>3803</v>
      </c>
      <c r="J2251" s="55" t="s">
        <v>750</v>
      </c>
      <c r="K2251" s="55" t="s">
        <v>2374</v>
      </c>
      <c r="L2251" s="55" t="s">
        <v>3804</v>
      </c>
      <c r="M2251" s="55" t="s">
        <v>378</v>
      </c>
      <c r="N2251" s="55" t="s">
        <v>134</v>
      </c>
      <c r="O2251" s="55" t="s">
        <v>206</v>
      </c>
      <c r="P2251" s="55" t="s">
        <v>750</v>
      </c>
      <c r="Q2251" s="55" t="s">
        <v>362</v>
      </c>
      <c r="R2251" s="85">
        <v>205</v>
      </c>
      <c r="S2251" s="55">
        <v>0</v>
      </c>
      <c r="T2251" s="74" t="s">
        <v>3805</v>
      </c>
      <c r="U2251" s="74" t="s">
        <v>2053</v>
      </c>
      <c r="V2251" s="74">
        <v>44524</v>
      </c>
      <c r="W2251" s="74">
        <v>44585</v>
      </c>
      <c r="X2251" s="55">
        <v>10213474</v>
      </c>
      <c r="AL2251" s="74"/>
      <c r="AM2251" s="74"/>
      <c r="AW2251" s="74"/>
      <c r="AX2251" s="74"/>
    </row>
    <row r="2252" spans="1:50" ht="13" x14ac:dyDescent="0.15">
      <c r="A2252" s="55" t="str">
        <f>HYPERLINK("http://reports.ofsted.gov.uk/inspection-reports/find-inspection-report/provider/CARE/SC041476","Ofsted Social Care Provider Webpage")</f>
        <v>Ofsted Social Care Provider Webpage</v>
      </c>
      <c r="B2252" s="55" t="s">
        <v>3812</v>
      </c>
      <c r="C2252" s="55">
        <v>137493</v>
      </c>
      <c r="D2252" s="55" t="s">
        <v>413</v>
      </c>
      <c r="E2252" s="74">
        <v>37610</v>
      </c>
      <c r="F2252" s="55" t="s">
        <v>344</v>
      </c>
      <c r="G2252" s="55" t="s">
        <v>3813</v>
      </c>
      <c r="H2252" s="55" t="s">
        <v>3813</v>
      </c>
      <c r="I2252" s="55" t="s">
        <v>3814</v>
      </c>
      <c r="J2252" s="55" t="s">
        <v>3815</v>
      </c>
      <c r="L2252" s="55" t="s">
        <v>3816</v>
      </c>
      <c r="M2252" s="55" t="s">
        <v>136</v>
      </c>
      <c r="N2252" s="55" t="s">
        <v>136</v>
      </c>
      <c r="O2252" s="55" t="s">
        <v>135</v>
      </c>
      <c r="P2252" s="55" t="s">
        <v>831</v>
      </c>
      <c r="Q2252" s="55" t="s">
        <v>420</v>
      </c>
      <c r="R2252" s="85">
        <v>11</v>
      </c>
      <c r="S2252" s="55">
        <v>0</v>
      </c>
      <c r="T2252" s="74" t="s">
        <v>3817</v>
      </c>
      <c r="U2252" s="74" t="s">
        <v>351</v>
      </c>
      <c r="V2252" s="74">
        <v>44460</v>
      </c>
      <c r="W2252" s="74">
        <v>44515</v>
      </c>
      <c r="X2252" s="55">
        <v>10183569</v>
      </c>
      <c r="Y2252" s="55" t="s">
        <v>132</v>
      </c>
      <c r="AB2252" s="74" t="s">
        <v>132</v>
      </c>
      <c r="AC2252" s="55" t="s">
        <v>132</v>
      </c>
      <c r="AL2252" s="74"/>
      <c r="AM2252" s="74"/>
      <c r="AW2252" s="74"/>
      <c r="AX2252" s="74"/>
    </row>
    <row r="2253" spans="1:50" ht="13" x14ac:dyDescent="0.15">
      <c r="A2253" s="55" t="str">
        <f>HYPERLINK("http://reports.ofsted.gov.uk/inspection-reports/find-inspection-report/provider/CARE/SC041487","Ofsted Social Care Provider Webpage")</f>
        <v>Ofsted Social Care Provider Webpage</v>
      </c>
      <c r="B2253" s="55" t="s">
        <v>3818</v>
      </c>
      <c r="C2253" s="55">
        <v>122384</v>
      </c>
      <c r="D2253" s="55" t="s">
        <v>413</v>
      </c>
      <c r="E2253" s="74">
        <v>37610</v>
      </c>
      <c r="F2253" s="55" t="s">
        <v>344</v>
      </c>
      <c r="G2253" s="55" t="s">
        <v>3819</v>
      </c>
      <c r="H2253" s="55" t="s">
        <v>3820</v>
      </c>
      <c r="I2253" s="55" t="s">
        <v>3821</v>
      </c>
      <c r="J2253" s="55" t="s">
        <v>3822</v>
      </c>
      <c r="K2253" s="55" t="s">
        <v>233</v>
      </c>
      <c r="L2253" s="55" t="s">
        <v>3823</v>
      </c>
      <c r="M2253" s="55" t="s">
        <v>378</v>
      </c>
      <c r="N2253" s="55" t="s">
        <v>170</v>
      </c>
      <c r="O2253" s="55" t="s">
        <v>233</v>
      </c>
      <c r="P2253" s="55" t="s">
        <v>1999</v>
      </c>
      <c r="Q2253" s="55" t="s">
        <v>380</v>
      </c>
      <c r="R2253" s="85">
        <v>9</v>
      </c>
      <c r="S2253" s="55">
        <v>0</v>
      </c>
      <c r="T2253" s="74" t="s">
        <v>381</v>
      </c>
      <c r="U2253" s="74" t="s">
        <v>351</v>
      </c>
      <c r="V2253" s="74">
        <v>44538</v>
      </c>
      <c r="W2253" s="74">
        <v>44588</v>
      </c>
      <c r="X2253" s="55">
        <v>10183511</v>
      </c>
      <c r="Y2253" s="55" t="s">
        <v>132</v>
      </c>
      <c r="AB2253" s="74" t="s">
        <v>132</v>
      </c>
      <c r="AC2253" s="55" t="s">
        <v>132</v>
      </c>
      <c r="AL2253" s="74"/>
      <c r="AM2253" s="74"/>
      <c r="AW2253" s="74"/>
      <c r="AX2253" s="74"/>
    </row>
    <row r="2254" spans="1:50" ht="13" x14ac:dyDescent="0.15">
      <c r="A2254" s="55" t="str">
        <f>HYPERLINK("http://reports.ofsted.gov.uk/inspection-reports/find-inspection-report/provider/CARE/SC041633","Ofsted Social Care Provider Webpage")</f>
        <v>Ofsted Social Care Provider Webpage</v>
      </c>
      <c r="B2254" s="55" t="s">
        <v>3824</v>
      </c>
      <c r="C2254" s="55">
        <v>131878</v>
      </c>
      <c r="D2254" s="55" t="s">
        <v>693</v>
      </c>
      <c r="E2254" s="74">
        <v>37621</v>
      </c>
      <c r="F2254" s="55" t="s">
        <v>344</v>
      </c>
      <c r="G2254" s="55" t="s">
        <v>3825</v>
      </c>
      <c r="H2254" s="55" t="s">
        <v>3826</v>
      </c>
      <c r="I2254" s="55" t="s">
        <v>3827</v>
      </c>
      <c r="J2254" s="55" t="s">
        <v>3076</v>
      </c>
      <c r="K2254" s="55" t="s">
        <v>255</v>
      </c>
      <c r="L2254" s="55" t="s">
        <v>3828</v>
      </c>
      <c r="M2254" s="55" t="s">
        <v>136</v>
      </c>
      <c r="N2254" s="55" t="s">
        <v>136</v>
      </c>
      <c r="O2254" s="55" t="s">
        <v>255</v>
      </c>
      <c r="P2254" s="55" t="s">
        <v>609</v>
      </c>
      <c r="Q2254" s="55" t="s">
        <v>350</v>
      </c>
      <c r="R2254" s="85">
        <v>54</v>
      </c>
      <c r="S2254" s="55">
        <v>0</v>
      </c>
      <c r="T2254" s="74" t="s">
        <v>450</v>
      </c>
      <c r="U2254" s="74" t="s">
        <v>351</v>
      </c>
      <c r="V2254" s="74">
        <v>44510</v>
      </c>
      <c r="W2254" s="74">
        <v>44543</v>
      </c>
      <c r="X2254" s="55">
        <v>10183329</v>
      </c>
      <c r="Y2254" s="55" t="s">
        <v>130</v>
      </c>
      <c r="AB2254" s="74" t="s">
        <v>130</v>
      </c>
      <c r="AC2254" s="55" t="s">
        <v>130</v>
      </c>
      <c r="AL2254" s="74"/>
      <c r="AM2254" s="74"/>
      <c r="AW2254" s="74"/>
      <c r="AX2254" s="74"/>
    </row>
    <row r="2255" spans="1:50" ht="13" x14ac:dyDescent="0.15">
      <c r="A2255" s="55" t="str">
        <f>HYPERLINK("http://reports.ofsted.gov.uk/inspection-reports/find-inspection-report/provider/CARE/SC041787","Ofsted Social Care Provider Webpage")</f>
        <v>Ofsted Social Care Provider Webpage</v>
      </c>
      <c r="B2255" s="55" t="s">
        <v>3829</v>
      </c>
      <c r="C2255" s="55">
        <v>119026</v>
      </c>
      <c r="D2255" s="55" t="s">
        <v>413</v>
      </c>
      <c r="E2255" s="74">
        <v>37629</v>
      </c>
      <c r="F2255" s="55" t="s">
        <v>344</v>
      </c>
      <c r="G2255" s="55" t="s">
        <v>3830</v>
      </c>
      <c r="H2255" s="55" t="s">
        <v>3831</v>
      </c>
      <c r="I2255" s="55" t="s">
        <v>354</v>
      </c>
      <c r="J2255" s="55" t="s">
        <v>417</v>
      </c>
      <c r="K2255" s="55" t="s">
        <v>203</v>
      </c>
      <c r="L2255" s="55" t="s">
        <v>3832</v>
      </c>
      <c r="M2255" s="55" t="s">
        <v>150</v>
      </c>
      <c r="N2255" s="55" t="s">
        <v>150</v>
      </c>
      <c r="O2255" s="55" t="s">
        <v>203</v>
      </c>
      <c r="P2255" s="55" t="s">
        <v>419</v>
      </c>
      <c r="Q2255" s="55" t="s">
        <v>380</v>
      </c>
      <c r="R2255" s="85">
        <v>19</v>
      </c>
      <c r="S2255" s="55">
        <v>0</v>
      </c>
      <c r="T2255" s="74" t="s">
        <v>1547</v>
      </c>
      <c r="U2255" s="74" t="s">
        <v>351</v>
      </c>
      <c r="V2255" s="74">
        <v>44510</v>
      </c>
      <c r="W2255" s="74">
        <v>44575</v>
      </c>
      <c r="X2255" s="55">
        <v>10183540</v>
      </c>
      <c r="Y2255" s="55" t="s">
        <v>140</v>
      </c>
      <c r="AB2255" s="74" t="s">
        <v>140</v>
      </c>
      <c r="AC2255" s="55" t="s">
        <v>140</v>
      </c>
      <c r="AL2255" s="74"/>
      <c r="AM2255" s="74"/>
      <c r="AW2255" s="74"/>
      <c r="AX2255" s="74"/>
    </row>
    <row r="2256" spans="1:50" ht="13" x14ac:dyDescent="0.15">
      <c r="A2256" s="55" t="str">
        <f>HYPERLINK("http://reports.ofsted.gov.uk/inspection-reports/find-inspection-report/provider/CARE/SC041887","Ofsted Social Care Provider Webpage")</f>
        <v>Ofsted Social Care Provider Webpage</v>
      </c>
      <c r="B2256" s="55" t="s">
        <v>3843</v>
      </c>
      <c r="D2256" s="55" t="s">
        <v>373</v>
      </c>
      <c r="E2256" s="74">
        <v>37952</v>
      </c>
      <c r="F2256" s="55" t="s">
        <v>344</v>
      </c>
      <c r="G2256" s="55" t="s">
        <v>360</v>
      </c>
      <c r="H2256" s="55" t="s">
        <v>360</v>
      </c>
      <c r="I2256" s="55" t="s">
        <v>360</v>
      </c>
      <c r="J2256" s="55" t="s">
        <v>360</v>
      </c>
      <c r="K2256" s="55" t="s">
        <v>360</v>
      </c>
      <c r="L2256" s="55" t="s">
        <v>360</v>
      </c>
      <c r="M2256" s="55" t="s">
        <v>129</v>
      </c>
      <c r="N2256" s="55" t="s">
        <v>129</v>
      </c>
      <c r="O2256" s="55" t="s">
        <v>167</v>
      </c>
      <c r="P2256" s="55" t="s">
        <v>553</v>
      </c>
      <c r="Q2256" s="55" t="s">
        <v>380</v>
      </c>
      <c r="R2256" s="85">
        <v>7</v>
      </c>
      <c r="S2256" s="55" t="s">
        <v>332</v>
      </c>
      <c r="T2256" s="74" t="s">
        <v>3844</v>
      </c>
      <c r="U2256" s="74" t="s">
        <v>351</v>
      </c>
      <c r="V2256" s="74">
        <v>44523</v>
      </c>
      <c r="W2256" s="74">
        <v>44578</v>
      </c>
      <c r="X2256" s="55">
        <v>10185393</v>
      </c>
      <c r="Y2256" s="55" t="s">
        <v>132</v>
      </c>
      <c r="AB2256" s="74" t="s">
        <v>132</v>
      </c>
      <c r="AC2256" s="55" t="s">
        <v>130</v>
      </c>
      <c r="AL2256" s="74"/>
      <c r="AM2256" s="74"/>
    </row>
    <row r="2257" spans="1:50" ht="13" x14ac:dyDescent="0.15">
      <c r="A2257" s="55" t="str">
        <f>HYPERLINK("http://reports.ofsted.gov.uk/inspection-reports/find-inspection-report/provider/CARE/SC041920","Ofsted Social Care Provider Webpage")</f>
        <v>Ofsted Social Care Provider Webpage</v>
      </c>
      <c r="B2257" s="55" t="s">
        <v>3852</v>
      </c>
      <c r="C2257" s="55">
        <v>130623</v>
      </c>
      <c r="D2257" s="55" t="s">
        <v>693</v>
      </c>
      <c r="E2257" s="74">
        <v>37634</v>
      </c>
      <c r="F2257" s="55" t="s">
        <v>344</v>
      </c>
      <c r="G2257" s="55" t="s">
        <v>3853</v>
      </c>
      <c r="H2257" s="55" t="s">
        <v>3854</v>
      </c>
      <c r="I2257" s="55" t="s">
        <v>354</v>
      </c>
      <c r="J2257" s="55" t="s">
        <v>3855</v>
      </c>
      <c r="K2257" s="55" t="s">
        <v>2469</v>
      </c>
      <c r="L2257" s="55" t="s">
        <v>3856</v>
      </c>
      <c r="M2257" s="55" t="s">
        <v>144</v>
      </c>
      <c r="N2257" s="55" t="s">
        <v>144</v>
      </c>
      <c r="O2257" s="55" t="s">
        <v>162</v>
      </c>
      <c r="P2257" s="55" t="s">
        <v>376</v>
      </c>
      <c r="Q2257" s="55" t="s">
        <v>362</v>
      </c>
      <c r="R2257" s="85">
        <v>808</v>
      </c>
      <c r="S2257" s="55">
        <v>0</v>
      </c>
      <c r="T2257" s="74" t="s">
        <v>3857</v>
      </c>
      <c r="U2257" s="74" t="s">
        <v>351</v>
      </c>
      <c r="V2257" s="74">
        <v>44579</v>
      </c>
      <c r="W2257" s="74">
        <v>44629</v>
      </c>
      <c r="X2257" s="55">
        <v>10183332</v>
      </c>
      <c r="Y2257" s="55" t="s">
        <v>132</v>
      </c>
      <c r="AB2257" s="74" t="s">
        <v>132</v>
      </c>
      <c r="AC2257" s="55" t="s">
        <v>132</v>
      </c>
      <c r="AL2257" s="74"/>
      <c r="AM2257" s="74"/>
    </row>
    <row r="2258" spans="1:50" ht="13" x14ac:dyDescent="0.15">
      <c r="A2258" s="55" t="str">
        <f>HYPERLINK("http://reports.ofsted.gov.uk/inspection-reports/find-inspection-report/provider/CARE/SC042117","Ofsted Social Care Provider Webpage")</f>
        <v>Ofsted Social Care Provider Webpage</v>
      </c>
      <c r="B2258" s="55" t="s">
        <v>3868</v>
      </c>
      <c r="C2258" s="55">
        <v>130772</v>
      </c>
      <c r="D2258" s="55" t="s">
        <v>693</v>
      </c>
      <c r="E2258" s="74">
        <v>37638</v>
      </c>
      <c r="F2258" s="55" t="s">
        <v>344</v>
      </c>
      <c r="G2258" s="55" t="s">
        <v>3869</v>
      </c>
      <c r="H2258" s="55" t="s">
        <v>3869</v>
      </c>
      <c r="I2258" s="55" t="s">
        <v>3870</v>
      </c>
      <c r="J2258" s="55" t="s">
        <v>3160</v>
      </c>
      <c r="L2258" s="55" t="s">
        <v>3871</v>
      </c>
      <c r="M2258" s="55" t="s">
        <v>172</v>
      </c>
      <c r="N2258" s="55" t="s">
        <v>172</v>
      </c>
      <c r="O2258" s="55" t="s">
        <v>284</v>
      </c>
      <c r="P2258" s="55" t="s">
        <v>357</v>
      </c>
      <c r="Q2258" s="55" t="s">
        <v>350</v>
      </c>
      <c r="R2258" s="85">
        <v>50</v>
      </c>
      <c r="S2258" s="55">
        <v>0</v>
      </c>
      <c r="T2258" s="74" t="s">
        <v>3869</v>
      </c>
      <c r="U2258" s="74" t="s">
        <v>351</v>
      </c>
      <c r="V2258" s="74">
        <v>44600</v>
      </c>
      <c r="W2258" s="74">
        <v>44638</v>
      </c>
      <c r="X2258" s="55">
        <v>10183324</v>
      </c>
      <c r="Y2258" s="55" t="s">
        <v>132</v>
      </c>
      <c r="AB2258" s="74" t="s">
        <v>132</v>
      </c>
      <c r="AC2258" s="55" t="s">
        <v>132</v>
      </c>
      <c r="AL2258" s="74"/>
      <c r="AM2258" s="74"/>
    </row>
    <row r="2259" spans="1:50" ht="13" x14ac:dyDescent="0.15">
      <c r="A2259" s="55" t="str">
        <f>HYPERLINK("http://reports.ofsted.gov.uk/inspection-reports/find-inspection-report/provider/CARE/SC042132","Ofsted Social Care Provider Webpage")</f>
        <v>Ofsted Social Care Provider Webpage</v>
      </c>
      <c r="B2259" s="55" t="s">
        <v>3872</v>
      </c>
      <c r="C2259" s="55">
        <v>101094</v>
      </c>
      <c r="D2259" s="55" t="s">
        <v>413</v>
      </c>
      <c r="E2259" s="74">
        <v>37638</v>
      </c>
      <c r="F2259" s="55" t="s">
        <v>344</v>
      </c>
      <c r="G2259" s="55" t="s">
        <v>3873</v>
      </c>
      <c r="H2259" s="55" t="s">
        <v>3874</v>
      </c>
      <c r="I2259" s="55" t="s">
        <v>354</v>
      </c>
      <c r="J2259" s="55" t="s">
        <v>2578</v>
      </c>
      <c r="L2259" s="55" t="s">
        <v>3875</v>
      </c>
      <c r="M2259" s="55" t="s">
        <v>129</v>
      </c>
      <c r="N2259" s="55" t="s">
        <v>129</v>
      </c>
      <c r="O2259" s="55" t="s">
        <v>280</v>
      </c>
      <c r="P2259" s="55" t="s">
        <v>1367</v>
      </c>
      <c r="Q2259" s="55" t="s">
        <v>380</v>
      </c>
      <c r="R2259" s="85">
        <v>17</v>
      </c>
      <c r="S2259" s="55">
        <v>0</v>
      </c>
      <c r="T2259" s="74" t="s">
        <v>2581</v>
      </c>
      <c r="U2259" s="74" t="s">
        <v>351</v>
      </c>
      <c r="V2259" s="74">
        <v>44488</v>
      </c>
      <c r="W2259" s="74">
        <v>44531</v>
      </c>
      <c r="X2259" s="55">
        <v>10183509</v>
      </c>
      <c r="Y2259" s="55" t="s">
        <v>140</v>
      </c>
      <c r="AB2259" s="74" t="s">
        <v>140</v>
      </c>
      <c r="AC2259" s="55" t="s">
        <v>140</v>
      </c>
      <c r="AL2259" s="74"/>
      <c r="AM2259" s="74"/>
    </row>
    <row r="2260" spans="1:50" ht="13" x14ac:dyDescent="0.15">
      <c r="A2260" s="55" t="str">
        <f>HYPERLINK("http://reports.ofsted.gov.uk/inspection-reports/find-inspection-report/provider/CARE/SC042147","Ofsted Social Care Provider Webpage")</f>
        <v>Ofsted Social Care Provider Webpage</v>
      </c>
      <c r="B2260" s="55" t="s">
        <v>3876</v>
      </c>
      <c r="D2260" s="55" t="s">
        <v>373</v>
      </c>
      <c r="E2260" s="74">
        <v>37700</v>
      </c>
      <c r="F2260" s="55" t="s">
        <v>344</v>
      </c>
      <c r="G2260" s="55" t="s">
        <v>360</v>
      </c>
      <c r="H2260" s="55" t="s">
        <v>360</v>
      </c>
      <c r="I2260" s="55" t="s">
        <v>360</v>
      </c>
      <c r="J2260" s="55" t="s">
        <v>360</v>
      </c>
      <c r="K2260" s="55" t="s">
        <v>360</v>
      </c>
      <c r="L2260" s="55" t="s">
        <v>360</v>
      </c>
      <c r="M2260" s="55" t="s">
        <v>150</v>
      </c>
      <c r="N2260" s="55" t="s">
        <v>150</v>
      </c>
      <c r="O2260" s="55" t="s">
        <v>285</v>
      </c>
      <c r="P2260" s="55" t="s">
        <v>575</v>
      </c>
      <c r="Q2260" s="55" t="s">
        <v>350</v>
      </c>
      <c r="R2260" s="85">
        <v>6</v>
      </c>
      <c r="S2260" s="55">
        <v>0</v>
      </c>
      <c r="T2260" s="74" t="s">
        <v>1962</v>
      </c>
      <c r="U2260" s="74" t="s">
        <v>351</v>
      </c>
      <c r="V2260" s="74">
        <v>44600</v>
      </c>
      <c r="W2260" s="74">
        <v>44672</v>
      </c>
      <c r="X2260" s="55">
        <v>10185108</v>
      </c>
      <c r="Y2260" s="55" t="s">
        <v>140</v>
      </c>
      <c r="AB2260" s="74" t="s">
        <v>140</v>
      </c>
      <c r="AC2260" s="55" t="s">
        <v>140</v>
      </c>
      <c r="AL2260" s="74"/>
      <c r="AM2260" s="74"/>
    </row>
    <row r="2261" spans="1:50" ht="13" x14ac:dyDescent="0.15">
      <c r="A2261" s="55" t="str">
        <f>HYPERLINK("http://reports.ofsted.gov.uk/inspection-reports/find-inspection-report/provider/CARE/SC042320","Ofsted Social Care Provider Webpage")</f>
        <v>Ofsted Social Care Provider Webpage</v>
      </c>
      <c r="B2261" s="55" t="s">
        <v>3883</v>
      </c>
      <c r="C2261" s="55">
        <v>140898</v>
      </c>
      <c r="D2261" s="55" t="s">
        <v>398</v>
      </c>
      <c r="E2261" s="74">
        <v>37648</v>
      </c>
      <c r="F2261" s="55" t="s">
        <v>344</v>
      </c>
      <c r="G2261" s="55" t="s">
        <v>3884</v>
      </c>
      <c r="H2261" s="55" t="s">
        <v>3884</v>
      </c>
      <c r="I2261" s="55" t="s">
        <v>3885</v>
      </c>
      <c r="J2261" s="55" t="s">
        <v>3886</v>
      </c>
      <c r="K2261" s="55" t="s">
        <v>176</v>
      </c>
      <c r="L2261" s="55" t="s">
        <v>3887</v>
      </c>
      <c r="M2261" s="55" t="s">
        <v>136</v>
      </c>
      <c r="N2261" s="55" t="s">
        <v>136</v>
      </c>
      <c r="O2261" s="55" t="s">
        <v>176</v>
      </c>
      <c r="P2261" s="55" t="s">
        <v>2060</v>
      </c>
      <c r="Q2261" s="55" t="s">
        <v>420</v>
      </c>
      <c r="R2261" s="85">
        <v>110</v>
      </c>
      <c r="S2261" s="55">
        <v>0</v>
      </c>
      <c r="T2261" s="74" t="s">
        <v>3888</v>
      </c>
      <c r="U2261" s="74" t="s">
        <v>351</v>
      </c>
      <c r="V2261" s="74">
        <v>44599</v>
      </c>
      <c r="W2261" s="74">
        <v>44641</v>
      </c>
      <c r="X2261" s="55">
        <v>10183309</v>
      </c>
      <c r="Y2261" s="55" t="s">
        <v>130</v>
      </c>
      <c r="AB2261" s="74" t="s">
        <v>130</v>
      </c>
      <c r="AC2261" s="55" t="s">
        <v>146</v>
      </c>
      <c r="AL2261" s="74"/>
      <c r="AM2261" s="74"/>
    </row>
    <row r="2262" spans="1:50" ht="13" x14ac:dyDescent="0.15">
      <c r="A2262" s="55" t="str">
        <f>HYPERLINK("http://reports.ofsted.gov.uk/inspection-reports/find-inspection-report/provider/CARE/SC042446","Ofsted Social Care Provider Webpage")</f>
        <v>Ofsted Social Care Provider Webpage</v>
      </c>
      <c r="B2262" s="55" t="s">
        <v>3893</v>
      </c>
      <c r="D2262" s="55" t="s">
        <v>373</v>
      </c>
      <c r="E2262" s="74">
        <v>37963</v>
      </c>
      <c r="F2262" s="55" t="s">
        <v>344</v>
      </c>
      <c r="G2262" s="55" t="s">
        <v>360</v>
      </c>
      <c r="H2262" s="55" t="s">
        <v>360</v>
      </c>
      <c r="I2262" s="55" t="s">
        <v>360</v>
      </c>
      <c r="J2262" s="55" t="s">
        <v>360</v>
      </c>
      <c r="K2262" s="55" t="s">
        <v>360</v>
      </c>
      <c r="L2262" s="55" t="s">
        <v>360</v>
      </c>
      <c r="M2262" s="55" t="s">
        <v>150</v>
      </c>
      <c r="N2262" s="55" t="s">
        <v>150</v>
      </c>
      <c r="O2262" s="55" t="s">
        <v>258</v>
      </c>
      <c r="P2262" s="55" t="s">
        <v>455</v>
      </c>
      <c r="Q2262" s="55" t="s">
        <v>362</v>
      </c>
      <c r="R2262" s="85">
        <v>8</v>
      </c>
      <c r="S2262" s="55" t="s">
        <v>332</v>
      </c>
      <c r="T2262" s="74" t="s">
        <v>3894</v>
      </c>
      <c r="U2262" s="74" t="s">
        <v>351</v>
      </c>
      <c r="V2262" s="74">
        <v>44524</v>
      </c>
      <c r="W2262" s="74">
        <v>44574</v>
      </c>
      <c r="X2262" s="55">
        <v>10186579</v>
      </c>
      <c r="Y2262" s="55" t="s">
        <v>132</v>
      </c>
      <c r="AB2262" s="74" t="s">
        <v>132</v>
      </c>
      <c r="AC2262" s="55" t="s">
        <v>132</v>
      </c>
      <c r="AL2262" s="74"/>
      <c r="AM2262" s="74"/>
    </row>
    <row r="2263" spans="1:50" ht="13" x14ac:dyDescent="0.15">
      <c r="A2263" s="55" t="str">
        <f>HYPERLINK("http://reports.ofsted.gov.uk/inspection-reports/find-inspection-report/provider/CARE/SC042606","Ofsted Social Care Provider Webpage")</f>
        <v>Ofsted Social Care Provider Webpage</v>
      </c>
      <c r="B2263" s="55" t="s">
        <v>3902</v>
      </c>
      <c r="C2263" s="55">
        <v>121254</v>
      </c>
      <c r="D2263" s="55" t="s">
        <v>413</v>
      </c>
      <c r="E2263" s="74">
        <v>37656</v>
      </c>
      <c r="F2263" s="55" t="s">
        <v>344</v>
      </c>
      <c r="G2263" s="55" t="s">
        <v>3903</v>
      </c>
      <c r="H2263" s="55" t="s">
        <v>3903</v>
      </c>
      <c r="I2263" s="55" t="s">
        <v>3904</v>
      </c>
      <c r="J2263" s="55" t="s">
        <v>3905</v>
      </c>
      <c r="K2263" s="55" t="s">
        <v>224</v>
      </c>
      <c r="L2263" s="55" t="s">
        <v>3906</v>
      </c>
      <c r="M2263" s="55" t="s">
        <v>138</v>
      </c>
      <c r="N2263" s="55" t="s">
        <v>138</v>
      </c>
      <c r="O2263" s="55" t="s">
        <v>224</v>
      </c>
      <c r="P2263" s="55" t="s">
        <v>1552</v>
      </c>
      <c r="Q2263" s="55" t="s">
        <v>380</v>
      </c>
      <c r="R2263" s="85">
        <v>26</v>
      </c>
      <c r="S2263" s="55">
        <v>0</v>
      </c>
      <c r="T2263" s="74" t="s">
        <v>2272</v>
      </c>
      <c r="U2263" s="74" t="s">
        <v>351</v>
      </c>
      <c r="V2263" s="74">
        <v>44593</v>
      </c>
      <c r="W2263" s="74">
        <v>44630</v>
      </c>
      <c r="X2263" s="55">
        <v>10183504</v>
      </c>
      <c r="Y2263" s="55" t="s">
        <v>132</v>
      </c>
      <c r="AB2263" s="74" t="s">
        <v>130</v>
      </c>
      <c r="AC2263" s="55" t="s">
        <v>132</v>
      </c>
      <c r="AL2263" s="74"/>
      <c r="AM2263" s="74"/>
      <c r="AW2263" s="74"/>
      <c r="AX2263" s="74"/>
    </row>
    <row r="2264" spans="1:50" ht="13" x14ac:dyDescent="0.15">
      <c r="A2264" s="55" t="str">
        <f>HYPERLINK("http://reports.ofsted.gov.uk/inspection-reports/find-inspection-report/provider/CARE/SC042652","Ofsted Social Care Provider Webpage")</f>
        <v>Ofsted Social Care Provider Webpage</v>
      </c>
      <c r="B2264" s="55" t="s">
        <v>3912</v>
      </c>
      <c r="D2264" s="55" t="s">
        <v>373</v>
      </c>
      <c r="E2264" s="74">
        <v>37700</v>
      </c>
      <c r="F2264" s="55" t="s">
        <v>344</v>
      </c>
      <c r="G2264" s="55" t="s">
        <v>360</v>
      </c>
      <c r="H2264" s="55" t="s">
        <v>360</v>
      </c>
      <c r="I2264" s="55" t="s">
        <v>360</v>
      </c>
      <c r="J2264" s="55" t="s">
        <v>360</v>
      </c>
      <c r="K2264" s="55" t="s">
        <v>360</v>
      </c>
      <c r="L2264" s="55" t="s">
        <v>360</v>
      </c>
      <c r="M2264" s="55" t="s">
        <v>144</v>
      </c>
      <c r="N2264" s="55" t="s">
        <v>144</v>
      </c>
      <c r="O2264" s="55" t="s">
        <v>250</v>
      </c>
      <c r="P2264" s="55" t="s">
        <v>759</v>
      </c>
      <c r="Q2264" s="55" t="s">
        <v>350</v>
      </c>
      <c r="R2264" s="85">
        <v>3</v>
      </c>
      <c r="S2264" s="55">
        <v>0</v>
      </c>
      <c r="T2264" s="74" t="s">
        <v>1600</v>
      </c>
      <c r="U2264" s="74" t="s">
        <v>351</v>
      </c>
      <c r="V2264" s="74">
        <v>44466</v>
      </c>
      <c r="W2264" s="74">
        <v>44494</v>
      </c>
      <c r="X2264" s="55">
        <v>10186962</v>
      </c>
      <c r="Y2264" s="55" t="s">
        <v>132</v>
      </c>
      <c r="AB2264" s="74" t="s">
        <v>132</v>
      </c>
      <c r="AC2264" s="55" t="s">
        <v>132</v>
      </c>
      <c r="AL2264" s="74"/>
      <c r="AM2264" s="74"/>
      <c r="AW2264" s="74"/>
      <c r="AX2264" s="74"/>
    </row>
    <row r="2265" spans="1:50" ht="13" x14ac:dyDescent="0.15">
      <c r="A2265" s="55" t="str">
        <f>HYPERLINK("http://reports.ofsted.gov.uk/inspection-reports/find-inspection-report/provider/CARE/SC042921","Ofsted Social Care Provider Webpage")</f>
        <v>Ofsted Social Care Provider Webpage</v>
      </c>
      <c r="B2265" s="55" t="s">
        <v>3932</v>
      </c>
      <c r="D2265" s="55" t="s">
        <v>2864</v>
      </c>
      <c r="E2265" s="74">
        <v>37923</v>
      </c>
      <c r="F2265" s="55" t="s">
        <v>344</v>
      </c>
      <c r="G2265" s="55" t="s">
        <v>360</v>
      </c>
      <c r="H2265" s="55" t="s">
        <v>360</v>
      </c>
      <c r="I2265" s="55" t="s">
        <v>360</v>
      </c>
      <c r="J2265" s="55" t="s">
        <v>360</v>
      </c>
      <c r="K2265" s="55" t="s">
        <v>360</v>
      </c>
      <c r="L2265" s="55" t="s">
        <v>360</v>
      </c>
      <c r="M2265" s="55" t="s">
        <v>172</v>
      </c>
      <c r="N2265" s="55" t="s">
        <v>172</v>
      </c>
      <c r="O2265" s="55" t="s">
        <v>214</v>
      </c>
      <c r="P2265" s="55" t="s">
        <v>1426</v>
      </c>
      <c r="Q2265" s="55" t="s">
        <v>380</v>
      </c>
      <c r="R2265" s="85">
        <v>12</v>
      </c>
      <c r="S2265" s="55">
        <v>0</v>
      </c>
      <c r="T2265" s="74" t="s">
        <v>3933</v>
      </c>
      <c r="U2265" s="74" t="s">
        <v>351</v>
      </c>
      <c r="V2265" s="74">
        <v>44516</v>
      </c>
      <c r="W2265" s="74">
        <v>44572</v>
      </c>
      <c r="X2265" s="55">
        <v>10165447</v>
      </c>
      <c r="Y2265" s="55" t="s">
        <v>132</v>
      </c>
      <c r="Z2265" s="55" t="s">
        <v>130</v>
      </c>
      <c r="AA2265" s="55" t="s">
        <v>132</v>
      </c>
      <c r="AB2265" s="74" t="s">
        <v>132</v>
      </c>
      <c r="AC2265" s="55" t="s">
        <v>132</v>
      </c>
      <c r="AL2265" s="74"/>
      <c r="AM2265" s="74"/>
      <c r="AW2265" s="74"/>
      <c r="AX2265" s="74"/>
    </row>
    <row r="2266" spans="1:50" ht="13" x14ac:dyDescent="0.15">
      <c r="A2266" s="55" t="str">
        <f>HYPERLINK("http://reports.ofsted.gov.uk/inspection-reports/find-inspection-report/provider/CARE/SC042921","Ofsted Social Care Provider Webpage")</f>
        <v>Ofsted Social Care Provider Webpage</v>
      </c>
      <c r="B2266" s="55" t="s">
        <v>3932</v>
      </c>
      <c r="D2266" s="55" t="s">
        <v>2864</v>
      </c>
      <c r="E2266" s="74">
        <v>37923</v>
      </c>
      <c r="F2266" s="55" t="s">
        <v>344</v>
      </c>
      <c r="G2266" s="55" t="s">
        <v>360</v>
      </c>
      <c r="H2266" s="55" t="s">
        <v>360</v>
      </c>
      <c r="I2266" s="55" t="s">
        <v>360</v>
      </c>
      <c r="J2266" s="55" t="s">
        <v>360</v>
      </c>
      <c r="K2266" s="55" t="s">
        <v>360</v>
      </c>
      <c r="L2266" s="55" t="s">
        <v>360</v>
      </c>
      <c r="M2266" s="55" t="s">
        <v>172</v>
      </c>
      <c r="N2266" s="55" t="s">
        <v>172</v>
      </c>
      <c r="O2266" s="55" t="s">
        <v>214</v>
      </c>
      <c r="P2266" s="55" t="s">
        <v>1426</v>
      </c>
      <c r="Q2266" s="55" t="s">
        <v>380</v>
      </c>
      <c r="R2266" s="85">
        <v>12</v>
      </c>
      <c r="S2266" s="55">
        <v>0</v>
      </c>
      <c r="T2266" s="74" t="s">
        <v>3933</v>
      </c>
      <c r="U2266" s="74" t="s">
        <v>6703</v>
      </c>
      <c r="V2266" s="74">
        <v>44334</v>
      </c>
      <c r="W2266" s="74">
        <v>44368</v>
      </c>
      <c r="X2266" s="55">
        <v>10165449</v>
      </c>
      <c r="Y2266" s="55" t="s">
        <v>6706</v>
      </c>
      <c r="AL2266" s="74"/>
      <c r="AM2266" s="74"/>
      <c r="AW2266" s="74"/>
      <c r="AX2266" s="74"/>
    </row>
    <row r="2267" spans="1:50" ht="13" x14ac:dyDescent="0.15">
      <c r="A2267" s="55" t="str">
        <f>HYPERLINK("http://reports.ofsted.gov.uk/inspection-reports/find-inspection-report/provider/CARE/SC042950","Ofsted Social Care Provider Webpage")</f>
        <v>Ofsted Social Care Provider Webpage</v>
      </c>
      <c r="B2267" s="55" t="s">
        <v>3934</v>
      </c>
      <c r="D2267" s="55" t="s">
        <v>373</v>
      </c>
      <c r="E2267" s="74">
        <v>38015</v>
      </c>
      <c r="F2267" s="55" t="s">
        <v>344</v>
      </c>
      <c r="G2267" s="55" t="s">
        <v>360</v>
      </c>
      <c r="H2267" s="55" t="s">
        <v>360</v>
      </c>
      <c r="I2267" s="55" t="s">
        <v>360</v>
      </c>
      <c r="J2267" s="55" t="s">
        <v>360</v>
      </c>
      <c r="K2267" s="55" t="s">
        <v>360</v>
      </c>
      <c r="L2267" s="55" t="s">
        <v>360</v>
      </c>
      <c r="M2267" s="55" t="s">
        <v>172</v>
      </c>
      <c r="N2267" s="55" t="s">
        <v>172</v>
      </c>
      <c r="O2267" s="55" t="s">
        <v>214</v>
      </c>
      <c r="P2267" s="55" t="s">
        <v>1561</v>
      </c>
      <c r="Q2267" s="55" t="s">
        <v>380</v>
      </c>
      <c r="R2267" s="85">
        <v>6</v>
      </c>
      <c r="S2267" s="55">
        <v>0</v>
      </c>
      <c r="T2267" s="74" t="s">
        <v>3933</v>
      </c>
      <c r="U2267" s="74" t="s">
        <v>351</v>
      </c>
      <c r="V2267" s="74">
        <v>44539</v>
      </c>
      <c r="W2267" s="74">
        <v>44581</v>
      </c>
      <c r="X2267" s="55">
        <v>10186680</v>
      </c>
      <c r="Y2267" s="55" t="s">
        <v>132</v>
      </c>
      <c r="AB2267" s="74" t="s">
        <v>132</v>
      </c>
      <c r="AC2267" s="55" t="s">
        <v>132</v>
      </c>
      <c r="AL2267" s="74"/>
      <c r="AM2267" s="74"/>
      <c r="AW2267" s="74"/>
      <c r="AX2267" s="74"/>
    </row>
    <row r="2268" spans="1:50" ht="13" x14ac:dyDescent="0.15">
      <c r="A2268" s="55" t="str">
        <f>HYPERLINK("http://reports.ofsted.gov.uk/inspection-reports/find-inspection-report/provider/CARE/SC042967","Ofsted Social Care Provider Webpage")</f>
        <v>Ofsted Social Care Provider Webpage</v>
      </c>
      <c r="B2268" s="55" t="s">
        <v>3935</v>
      </c>
      <c r="D2268" s="55" t="s">
        <v>373</v>
      </c>
      <c r="E2268" s="74">
        <v>38037</v>
      </c>
      <c r="F2268" s="55" t="s">
        <v>344</v>
      </c>
      <c r="G2268" s="55" t="s">
        <v>360</v>
      </c>
      <c r="H2268" s="55" t="s">
        <v>360</v>
      </c>
      <c r="I2268" s="55" t="s">
        <v>360</v>
      </c>
      <c r="J2268" s="55" t="s">
        <v>360</v>
      </c>
      <c r="K2268" s="55" t="s">
        <v>360</v>
      </c>
      <c r="L2268" s="55" t="s">
        <v>360</v>
      </c>
      <c r="M2268" s="55" t="s">
        <v>172</v>
      </c>
      <c r="N2268" s="55" t="s">
        <v>172</v>
      </c>
      <c r="O2268" s="55" t="s">
        <v>214</v>
      </c>
      <c r="P2268" s="55" t="s">
        <v>790</v>
      </c>
      <c r="Q2268" s="55" t="s">
        <v>380</v>
      </c>
      <c r="R2268" s="85">
        <v>7</v>
      </c>
      <c r="S2268" s="55">
        <v>0</v>
      </c>
      <c r="T2268" s="74" t="s">
        <v>3933</v>
      </c>
      <c r="U2268" s="74" t="s">
        <v>2053</v>
      </c>
      <c r="V2268" s="74">
        <v>44419</v>
      </c>
      <c r="W2268" s="74">
        <v>44454</v>
      </c>
      <c r="X2268" s="55">
        <v>10197971</v>
      </c>
      <c r="AL2268" s="74"/>
      <c r="AM2268" s="74"/>
    </row>
    <row r="2269" spans="1:50" ht="13" x14ac:dyDescent="0.15">
      <c r="A2269" s="55" t="str">
        <f>HYPERLINK("http://reports.ofsted.gov.uk/inspection-reports/find-inspection-report/provider/CARE/SC042967","Ofsted Social Care Provider Webpage")</f>
        <v>Ofsted Social Care Provider Webpage</v>
      </c>
      <c r="B2269" s="55" t="s">
        <v>3935</v>
      </c>
      <c r="D2269" s="55" t="s">
        <v>373</v>
      </c>
      <c r="E2269" s="74">
        <v>38037</v>
      </c>
      <c r="F2269" s="55" t="s">
        <v>344</v>
      </c>
      <c r="G2269" s="55" t="s">
        <v>360</v>
      </c>
      <c r="H2269" s="55" t="s">
        <v>360</v>
      </c>
      <c r="I2269" s="55" t="s">
        <v>360</v>
      </c>
      <c r="J2269" s="55" t="s">
        <v>360</v>
      </c>
      <c r="K2269" s="55" t="s">
        <v>360</v>
      </c>
      <c r="L2269" s="55" t="s">
        <v>360</v>
      </c>
      <c r="M2269" s="55" t="s">
        <v>172</v>
      </c>
      <c r="N2269" s="55" t="s">
        <v>172</v>
      </c>
      <c r="O2269" s="55" t="s">
        <v>214</v>
      </c>
      <c r="P2269" s="55" t="s">
        <v>790</v>
      </c>
      <c r="Q2269" s="55" t="s">
        <v>380</v>
      </c>
      <c r="R2269" s="85">
        <v>7</v>
      </c>
      <c r="S2269" s="55">
        <v>0</v>
      </c>
      <c r="T2269" s="74" t="s">
        <v>3933</v>
      </c>
      <c r="U2269" s="74" t="s">
        <v>351</v>
      </c>
      <c r="V2269" s="74">
        <v>44307</v>
      </c>
      <c r="W2269" s="74">
        <v>44335</v>
      </c>
      <c r="X2269" s="55">
        <v>10185367</v>
      </c>
      <c r="Y2269" s="55" t="s">
        <v>146</v>
      </c>
      <c r="AB2269" s="74" t="s">
        <v>146</v>
      </c>
      <c r="AC2269" s="55" t="s">
        <v>146</v>
      </c>
      <c r="AL2269" s="74"/>
      <c r="AM2269" s="74"/>
    </row>
    <row r="2270" spans="1:50" ht="13" x14ac:dyDescent="0.15">
      <c r="A2270" s="55" t="str">
        <f>HYPERLINK("http://reports.ofsted.gov.uk/inspection-reports/find-inspection-report/provider/CARE/SC042967","Ofsted Social Care Provider Webpage")</f>
        <v>Ofsted Social Care Provider Webpage</v>
      </c>
      <c r="B2270" s="55" t="s">
        <v>3935</v>
      </c>
      <c r="D2270" s="55" t="s">
        <v>373</v>
      </c>
      <c r="E2270" s="74">
        <v>38037</v>
      </c>
      <c r="F2270" s="55" t="s">
        <v>344</v>
      </c>
      <c r="G2270" s="55" t="s">
        <v>360</v>
      </c>
      <c r="H2270" s="55" t="s">
        <v>360</v>
      </c>
      <c r="I2270" s="55" t="s">
        <v>360</v>
      </c>
      <c r="J2270" s="55" t="s">
        <v>360</v>
      </c>
      <c r="K2270" s="55" t="s">
        <v>360</v>
      </c>
      <c r="L2270" s="55" t="s">
        <v>360</v>
      </c>
      <c r="M2270" s="55" t="s">
        <v>172</v>
      </c>
      <c r="N2270" s="55" t="s">
        <v>172</v>
      </c>
      <c r="O2270" s="55" t="s">
        <v>214</v>
      </c>
      <c r="P2270" s="55" t="s">
        <v>790</v>
      </c>
      <c r="Q2270" s="55" t="s">
        <v>380</v>
      </c>
      <c r="R2270" s="85">
        <v>7</v>
      </c>
      <c r="S2270" s="55">
        <v>0</v>
      </c>
      <c r="T2270" s="74" t="s">
        <v>3933</v>
      </c>
      <c r="U2270" s="74" t="s">
        <v>351</v>
      </c>
      <c r="V2270" s="74">
        <v>44355</v>
      </c>
      <c r="W2270" s="74">
        <v>44392</v>
      </c>
      <c r="X2270" s="55">
        <v>10193520</v>
      </c>
      <c r="Y2270" s="55" t="s">
        <v>130</v>
      </c>
      <c r="AB2270" s="74" t="s">
        <v>130</v>
      </c>
      <c r="AC2270" s="55" t="s">
        <v>130</v>
      </c>
      <c r="AL2270" s="74"/>
      <c r="AM2270" s="74"/>
      <c r="AW2270" s="74"/>
      <c r="AX2270" s="74"/>
    </row>
    <row r="2271" spans="1:50" ht="13" x14ac:dyDescent="0.15">
      <c r="A2271" s="55" t="str">
        <f>HYPERLINK("http://reports.ofsted.gov.uk/inspection-reports/find-inspection-report/provider/CARE/SC042978","Ofsted Social Care Provider Webpage")</f>
        <v>Ofsted Social Care Provider Webpage</v>
      </c>
      <c r="B2271" s="55" t="s">
        <v>3936</v>
      </c>
      <c r="D2271" s="55" t="s">
        <v>373</v>
      </c>
      <c r="E2271" s="74">
        <v>37949</v>
      </c>
      <c r="F2271" s="55" t="s">
        <v>344</v>
      </c>
      <c r="G2271" s="55" t="s">
        <v>360</v>
      </c>
      <c r="H2271" s="55" t="s">
        <v>360</v>
      </c>
      <c r="I2271" s="55" t="s">
        <v>360</v>
      </c>
      <c r="J2271" s="55" t="s">
        <v>360</v>
      </c>
      <c r="K2271" s="55" t="s">
        <v>360</v>
      </c>
      <c r="L2271" s="55" t="s">
        <v>360</v>
      </c>
      <c r="M2271" s="55" t="s">
        <v>172</v>
      </c>
      <c r="N2271" s="55" t="s">
        <v>172</v>
      </c>
      <c r="O2271" s="55" t="s">
        <v>214</v>
      </c>
      <c r="P2271" s="55" t="s">
        <v>3937</v>
      </c>
      <c r="Q2271" s="55" t="s">
        <v>380</v>
      </c>
      <c r="R2271" s="85">
        <v>5</v>
      </c>
      <c r="S2271" s="55" t="s">
        <v>332</v>
      </c>
      <c r="T2271" s="74" t="s">
        <v>3933</v>
      </c>
      <c r="U2271" s="74" t="s">
        <v>351</v>
      </c>
      <c r="V2271" s="74">
        <v>44509</v>
      </c>
      <c r="W2271" s="74">
        <v>44544</v>
      </c>
      <c r="X2271" s="55">
        <v>10187149</v>
      </c>
      <c r="Y2271" s="55" t="s">
        <v>140</v>
      </c>
      <c r="AB2271" s="74" t="s">
        <v>132</v>
      </c>
      <c r="AC2271" s="55" t="s">
        <v>140</v>
      </c>
      <c r="AL2271" s="74"/>
      <c r="AM2271" s="74"/>
      <c r="AW2271" s="74"/>
      <c r="AX2271" s="74"/>
    </row>
    <row r="2272" spans="1:50" ht="13" x14ac:dyDescent="0.15">
      <c r="A2272" s="55" t="str">
        <f>HYPERLINK("http://reports.ofsted.gov.uk/inspection-reports/find-inspection-report/provider/CARE/SC042994","Ofsted Social Care Provider Webpage")</f>
        <v>Ofsted Social Care Provider Webpage</v>
      </c>
      <c r="B2272" s="55" t="s">
        <v>3938</v>
      </c>
      <c r="D2272" s="55" t="s">
        <v>373</v>
      </c>
      <c r="E2272" s="74">
        <v>37903</v>
      </c>
      <c r="F2272" s="55" t="s">
        <v>344</v>
      </c>
      <c r="G2272" s="55" t="s">
        <v>360</v>
      </c>
      <c r="H2272" s="55" t="s">
        <v>360</v>
      </c>
      <c r="I2272" s="55" t="s">
        <v>360</v>
      </c>
      <c r="J2272" s="55" t="s">
        <v>360</v>
      </c>
      <c r="K2272" s="55" t="s">
        <v>360</v>
      </c>
      <c r="L2272" s="55" t="s">
        <v>360</v>
      </c>
      <c r="M2272" s="55" t="s">
        <v>172</v>
      </c>
      <c r="N2272" s="55" t="s">
        <v>172</v>
      </c>
      <c r="O2272" s="55" t="s">
        <v>214</v>
      </c>
      <c r="P2272" s="55" t="s">
        <v>1632</v>
      </c>
      <c r="Q2272" s="55" t="s">
        <v>380</v>
      </c>
      <c r="R2272" s="85">
        <v>6</v>
      </c>
      <c r="S2272" s="55" t="s">
        <v>332</v>
      </c>
      <c r="T2272" s="74" t="s">
        <v>3933</v>
      </c>
      <c r="U2272" s="74" t="s">
        <v>351</v>
      </c>
      <c r="V2272" s="74">
        <v>44537</v>
      </c>
      <c r="W2272" s="74">
        <v>44582</v>
      </c>
      <c r="X2272" s="55">
        <v>10186119</v>
      </c>
      <c r="Y2272" s="55" t="s">
        <v>130</v>
      </c>
      <c r="AB2272" s="74" t="s">
        <v>130</v>
      </c>
      <c r="AC2272" s="55" t="s">
        <v>130</v>
      </c>
      <c r="AL2272" s="74"/>
      <c r="AM2272" s="74"/>
    </row>
    <row r="2273" spans="1:50" ht="13" x14ac:dyDescent="0.15">
      <c r="A2273" s="55" t="str">
        <f>HYPERLINK("http://reports.ofsted.gov.uk/inspection-reports/find-inspection-report/provider/CARE/SC043039","Ofsted Social Care Provider Webpage")</f>
        <v>Ofsted Social Care Provider Webpage</v>
      </c>
      <c r="B2273" s="55" t="s">
        <v>3939</v>
      </c>
      <c r="C2273" s="55">
        <v>117044</v>
      </c>
      <c r="D2273" s="55" t="s">
        <v>398</v>
      </c>
      <c r="E2273" s="74">
        <v>37666</v>
      </c>
      <c r="F2273" s="55" t="s">
        <v>344</v>
      </c>
      <c r="G2273" s="55" t="s">
        <v>3940</v>
      </c>
      <c r="H2273" s="55" t="s">
        <v>3941</v>
      </c>
      <c r="I2273" s="55" t="s">
        <v>3942</v>
      </c>
      <c r="J2273" s="55" t="s">
        <v>3943</v>
      </c>
      <c r="K2273" s="55" t="s">
        <v>293</v>
      </c>
      <c r="L2273" s="55" t="s">
        <v>3944</v>
      </c>
      <c r="M2273" s="55" t="s">
        <v>142</v>
      </c>
      <c r="N2273" s="55" t="s">
        <v>142</v>
      </c>
      <c r="O2273" s="55" t="s">
        <v>293</v>
      </c>
      <c r="P2273" s="55" t="s">
        <v>1422</v>
      </c>
      <c r="Q2273" s="55" t="s">
        <v>362</v>
      </c>
      <c r="R2273" s="85">
        <v>189</v>
      </c>
      <c r="S2273" s="55">
        <v>0</v>
      </c>
      <c r="T2273" s="74" t="s">
        <v>3945</v>
      </c>
      <c r="U2273" s="74" t="s">
        <v>2053</v>
      </c>
      <c r="V2273" s="74">
        <v>44383</v>
      </c>
      <c r="W2273" s="74">
        <v>44458</v>
      </c>
      <c r="X2273" s="55">
        <v>10199101</v>
      </c>
      <c r="AL2273" s="74"/>
      <c r="AM2273" s="74"/>
      <c r="AW2273" s="74"/>
      <c r="AX2273" s="74"/>
    </row>
    <row r="2274" spans="1:50" ht="13" x14ac:dyDescent="0.15">
      <c r="A2274" s="55" t="str">
        <f>HYPERLINK("http://reports.ofsted.gov.uk/inspection-reports/find-inspection-report/provider/CARE/SC043039","Ofsted Social Care Provider Webpage")</f>
        <v>Ofsted Social Care Provider Webpage</v>
      </c>
      <c r="B2274" s="55" t="s">
        <v>3939</v>
      </c>
      <c r="C2274" s="55">
        <v>117044</v>
      </c>
      <c r="D2274" s="55" t="s">
        <v>398</v>
      </c>
      <c r="E2274" s="74">
        <v>37666</v>
      </c>
      <c r="F2274" s="55" t="s">
        <v>344</v>
      </c>
      <c r="G2274" s="55" t="s">
        <v>3940</v>
      </c>
      <c r="H2274" s="55" t="s">
        <v>3941</v>
      </c>
      <c r="I2274" s="55" t="s">
        <v>3942</v>
      </c>
      <c r="J2274" s="55" t="s">
        <v>3943</v>
      </c>
      <c r="K2274" s="55" t="s">
        <v>293</v>
      </c>
      <c r="L2274" s="55" t="s">
        <v>3944</v>
      </c>
      <c r="M2274" s="55" t="s">
        <v>142</v>
      </c>
      <c r="N2274" s="55" t="s">
        <v>142</v>
      </c>
      <c r="O2274" s="55" t="s">
        <v>293</v>
      </c>
      <c r="P2274" s="55" t="s">
        <v>1422</v>
      </c>
      <c r="Q2274" s="55" t="s">
        <v>362</v>
      </c>
      <c r="R2274" s="85">
        <v>189</v>
      </c>
      <c r="S2274" s="55">
        <v>0</v>
      </c>
      <c r="T2274" s="74" t="s">
        <v>3945</v>
      </c>
      <c r="U2274" s="74" t="s">
        <v>351</v>
      </c>
      <c r="V2274" s="74">
        <v>44488</v>
      </c>
      <c r="W2274" s="74">
        <v>44531</v>
      </c>
      <c r="X2274" s="55">
        <v>10183284</v>
      </c>
      <c r="Y2274" s="55" t="s">
        <v>130</v>
      </c>
      <c r="AB2274" s="74" t="s">
        <v>132</v>
      </c>
      <c r="AC2274" s="55" t="s">
        <v>130</v>
      </c>
      <c r="AL2274" s="74"/>
      <c r="AM2274" s="74"/>
      <c r="AW2274" s="74"/>
      <c r="AX2274" s="74"/>
    </row>
    <row r="2275" spans="1:50" ht="13" x14ac:dyDescent="0.15">
      <c r="A2275" s="55" t="str">
        <f>HYPERLINK("http://reports.ofsted.gov.uk/inspection-reports/find-inspection-report/provider/CARE/SC043048","Ofsted Social Care Provider Webpage")</f>
        <v>Ofsted Social Care Provider Webpage</v>
      </c>
      <c r="B2275" s="55" t="s">
        <v>3946</v>
      </c>
      <c r="C2275" s="55">
        <v>117064</v>
      </c>
      <c r="D2275" s="55" t="s">
        <v>413</v>
      </c>
      <c r="E2275" s="74">
        <v>37666</v>
      </c>
      <c r="F2275" s="55" t="s">
        <v>344</v>
      </c>
      <c r="G2275" s="55" t="s">
        <v>3947</v>
      </c>
      <c r="H2275" s="55" t="s">
        <v>3948</v>
      </c>
      <c r="I2275" s="55" t="s">
        <v>3949</v>
      </c>
      <c r="J2275" s="55" t="s">
        <v>2226</v>
      </c>
      <c r="L2275" s="55" t="s">
        <v>3950</v>
      </c>
      <c r="M2275" s="55" t="s">
        <v>142</v>
      </c>
      <c r="N2275" s="55" t="s">
        <v>142</v>
      </c>
      <c r="O2275" s="55" t="s">
        <v>293</v>
      </c>
      <c r="P2275" s="55" t="s">
        <v>1060</v>
      </c>
      <c r="Q2275" s="55" t="s">
        <v>350</v>
      </c>
      <c r="R2275" s="85">
        <v>74</v>
      </c>
      <c r="S2275" s="55">
        <v>0</v>
      </c>
      <c r="T2275" s="74" t="s">
        <v>3947</v>
      </c>
      <c r="U2275" s="74" t="s">
        <v>351</v>
      </c>
      <c r="V2275" s="74">
        <v>44600</v>
      </c>
      <c r="W2275" s="74">
        <v>44651</v>
      </c>
      <c r="X2275" s="55">
        <v>10183476</v>
      </c>
      <c r="Y2275" s="55" t="s">
        <v>146</v>
      </c>
      <c r="AB2275" s="74" t="s">
        <v>146</v>
      </c>
      <c r="AC2275" s="55" t="s">
        <v>146</v>
      </c>
      <c r="AL2275" s="74"/>
      <c r="AM2275" s="74"/>
      <c r="AW2275" s="74"/>
      <c r="AX2275" s="74"/>
    </row>
    <row r="2276" spans="1:50" ht="13" x14ac:dyDescent="0.15">
      <c r="A2276" s="55" t="str">
        <f>HYPERLINK("http://reports.ofsted.gov.uk/inspection-reports/find-inspection-report/provider/CARE/SC043049","Ofsted Social Care Provider Webpage")</f>
        <v>Ofsted Social Care Provider Webpage</v>
      </c>
      <c r="B2276" s="55" t="s">
        <v>3951</v>
      </c>
      <c r="C2276" s="55">
        <v>148347</v>
      </c>
      <c r="D2276" s="55" t="s">
        <v>413</v>
      </c>
      <c r="E2276" s="74">
        <v>37666</v>
      </c>
      <c r="F2276" s="55" t="s">
        <v>344</v>
      </c>
      <c r="G2276" s="55" t="s">
        <v>3952</v>
      </c>
      <c r="H2276" s="55" t="s">
        <v>3952</v>
      </c>
      <c r="I2276" s="55" t="s">
        <v>3953</v>
      </c>
      <c r="J2276" s="55" t="s">
        <v>3954</v>
      </c>
      <c r="K2276" s="55" t="s">
        <v>293</v>
      </c>
      <c r="L2276" s="55" t="s">
        <v>3955</v>
      </c>
      <c r="M2276" s="55" t="s">
        <v>142</v>
      </c>
      <c r="N2276" s="55" t="s">
        <v>142</v>
      </c>
      <c r="O2276" s="55" t="s">
        <v>293</v>
      </c>
      <c r="P2276" s="55" t="s">
        <v>1136</v>
      </c>
      <c r="Q2276" s="55" t="s">
        <v>420</v>
      </c>
      <c r="R2276" s="85">
        <v>15</v>
      </c>
      <c r="S2276" s="55">
        <v>0</v>
      </c>
      <c r="T2276" s="74" t="s">
        <v>3956</v>
      </c>
      <c r="U2276" s="74" t="s">
        <v>351</v>
      </c>
      <c r="V2276" s="74">
        <v>44389</v>
      </c>
      <c r="W2276" s="74">
        <v>44468</v>
      </c>
      <c r="X2276" s="55">
        <v>10183591</v>
      </c>
      <c r="Y2276" s="55" t="s">
        <v>132</v>
      </c>
      <c r="AB2276" s="74" t="s">
        <v>132</v>
      </c>
      <c r="AC2276" s="55" t="s">
        <v>132</v>
      </c>
      <c r="AL2276" s="74"/>
      <c r="AM2276" s="74"/>
    </row>
    <row r="2277" spans="1:50" ht="13" x14ac:dyDescent="0.15">
      <c r="A2277" s="55" t="str">
        <f>HYPERLINK("http://reports.ofsted.gov.uk/inspection-reports/find-inspection-report/provider/CARE/SC043245","Ofsted Social Care Provider Webpage")</f>
        <v>Ofsted Social Care Provider Webpage</v>
      </c>
      <c r="B2277" s="55" t="s">
        <v>3964</v>
      </c>
      <c r="D2277" s="55" t="s">
        <v>373</v>
      </c>
      <c r="E2277" s="74">
        <v>37736</v>
      </c>
      <c r="F2277" s="55" t="s">
        <v>344</v>
      </c>
      <c r="G2277" s="55" t="s">
        <v>360</v>
      </c>
      <c r="H2277" s="55" t="s">
        <v>360</v>
      </c>
      <c r="I2277" s="55" t="s">
        <v>360</v>
      </c>
      <c r="J2277" s="55" t="s">
        <v>360</v>
      </c>
      <c r="K2277" s="55" t="s">
        <v>360</v>
      </c>
      <c r="L2277" s="55" t="s">
        <v>360</v>
      </c>
      <c r="M2277" s="55" t="s">
        <v>136</v>
      </c>
      <c r="N2277" s="55" t="s">
        <v>136</v>
      </c>
      <c r="O2277" s="55" t="s">
        <v>288</v>
      </c>
      <c r="P2277" s="55" t="s">
        <v>1388</v>
      </c>
      <c r="Q2277" s="55" t="s">
        <v>350</v>
      </c>
      <c r="R2277" s="85">
        <v>4</v>
      </c>
      <c r="S2277" s="55">
        <v>0</v>
      </c>
      <c r="T2277" s="74" t="s">
        <v>832</v>
      </c>
      <c r="U2277" s="74" t="s">
        <v>351</v>
      </c>
      <c r="V2277" s="74">
        <v>44335</v>
      </c>
      <c r="W2277" s="74">
        <v>44382</v>
      </c>
      <c r="X2277" s="55">
        <v>10187488</v>
      </c>
      <c r="Y2277" s="55" t="s">
        <v>146</v>
      </c>
      <c r="AB2277" s="74" t="s">
        <v>146</v>
      </c>
      <c r="AC2277" s="55" t="s">
        <v>146</v>
      </c>
      <c r="AL2277" s="74"/>
      <c r="AM2277" s="74"/>
      <c r="AW2277" s="74"/>
      <c r="AX2277" s="74"/>
    </row>
    <row r="2278" spans="1:50" ht="13" x14ac:dyDescent="0.15">
      <c r="A2278" s="55" t="str">
        <f>HYPERLINK("http://reports.ofsted.gov.uk/inspection-reports/find-inspection-report/provider/CARE/SC043245","Ofsted Social Care Provider Webpage")</f>
        <v>Ofsted Social Care Provider Webpage</v>
      </c>
      <c r="B2278" s="55" t="s">
        <v>3964</v>
      </c>
      <c r="D2278" s="55" t="s">
        <v>373</v>
      </c>
      <c r="E2278" s="74">
        <v>37736</v>
      </c>
      <c r="F2278" s="55" t="s">
        <v>344</v>
      </c>
      <c r="G2278" s="55" t="s">
        <v>360</v>
      </c>
      <c r="H2278" s="55" t="s">
        <v>360</v>
      </c>
      <c r="I2278" s="55" t="s">
        <v>360</v>
      </c>
      <c r="J2278" s="55" t="s">
        <v>360</v>
      </c>
      <c r="K2278" s="55" t="s">
        <v>360</v>
      </c>
      <c r="L2278" s="55" t="s">
        <v>360</v>
      </c>
      <c r="M2278" s="55" t="s">
        <v>136</v>
      </c>
      <c r="N2278" s="55" t="s">
        <v>136</v>
      </c>
      <c r="O2278" s="55" t="s">
        <v>288</v>
      </c>
      <c r="P2278" s="55" t="s">
        <v>1388</v>
      </c>
      <c r="Q2278" s="55" t="s">
        <v>350</v>
      </c>
      <c r="R2278" s="85">
        <v>4</v>
      </c>
      <c r="S2278" s="55">
        <v>0</v>
      </c>
      <c r="T2278" s="74" t="s">
        <v>832</v>
      </c>
      <c r="U2278" s="74" t="s">
        <v>351</v>
      </c>
      <c r="V2278" s="74">
        <v>44378</v>
      </c>
      <c r="W2278" s="74">
        <v>44412</v>
      </c>
      <c r="X2278" s="55">
        <v>10198295</v>
      </c>
      <c r="Y2278" s="55" t="s">
        <v>130</v>
      </c>
      <c r="AB2278" s="74" t="s">
        <v>130</v>
      </c>
      <c r="AC2278" s="55" t="s">
        <v>130</v>
      </c>
      <c r="AL2278" s="74"/>
      <c r="AM2278" s="74"/>
    </row>
    <row r="2279" spans="1:50" ht="13" x14ac:dyDescent="0.15">
      <c r="A2279" s="55" t="str">
        <f>HYPERLINK("http://reports.ofsted.gov.uk/inspection-reports/find-inspection-report/provider/CARE/SC043255","Ofsted Social Care Provider Webpage")</f>
        <v>Ofsted Social Care Provider Webpage</v>
      </c>
      <c r="B2279" s="55" t="s">
        <v>3965</v>
      </c>
      <c r="D2279" s="55" t="s">
        <v>373</v>
      </c>
      <c r="E2279" s="74">
        <v>38006</v>
      </c>
      <c r="F2279" s="55" t="s">
        <v>344</v>
      </c>
      <c r="G2279" s="55" t="s">
        <v>360</v>
      </c>
      <c r="H2279" s="55" t="s">
        <v>360</v>
      </c>
      <c r="I2279" s="55" t="s">
        <v>360</v>
      </c>
      <c r="J2279" s="55" t="s">
        <v>360</v>
      </c>
      <c r="K2279" s="55" t="s">
        <v>360</v>
      </c>
      <c r="L2279" s="55" t="s">
        <v>360</v>
      </c>
      <c r="M2279" s="55" t="s">
        <v>172</v>
      </c>
      <c r="N2279" s="55" t="s">
        <v>172</v>
      </c>
      <c r="O2279" s="55" t="s">
        <v>214</v>
      </c>
      <c r="P2279" s="55" t="s">
        <v>1426</v>
      </c>
      <c r="Q2279" s="55" t="s">
        <v>380</v>
      </c>
      <c r="R2279" s="85">
        <v>6</v>
      </c>
      <c r="S2279" s="55">
        <v>0</v>
      </c>
      <c r="T2279" s="74" t="s">
        <v>3933</v>
      </c>
      <c r="U2279" s="74" t="s">
        <v>351</v>
      </c>
      <c r="V2279" s="74">
        <v>44614</v>
      </c>
      <c r="W2279" s="74">
        <v>44648</v>
      </c>
      <c r="X2279" s="55">
        <v>10185995</v>
      </c>
      <c r="Y2279" s="55" t="s">
        <v>140</v>
      </c>
      <c r="AB2279" s="74" t="s">
        <v>140</v>
      </c>
      <c r="AC2279" s="55" t="s">
        <v>140</v>
      </c>
      <c r="AL2279" s="74"/>
      <c r="AM2279" s="74"/>
      <c r="AW2279" s="74"/>
      <c r="AX2279" s="74"/>
    </row>
    <row r="2280" spans="1:50" ht="13" x14ac:dyDescent="0.15">
      <c r="A2280" s="55" t="str">
        <f>HYPERLINK("http://reports.ofsted.gov.uk/inspection-reports/find-inspection-report/provider/CARE/SC043552","Ofsted Social Care Provider Webpage")</f>
        <v>Ofsted Social Care Provider Webpage</v>
      </c>
      <c r="B2280" s="55" t="s">
        <v>3976</v>
      </c>
      <c r="D2280" s="55" t="s">
        <v>389</v>
      </c>
      <c r="E2280" s="74">
        <v>38006</v>
      </c>
      <c r="F2280" s="55" t="s">
        <v>344</v>
      </c>
      <c r="G2280" s="55" t="s">
        <v>3977</v>
      </c>
      <c r="H2280" s="55" t="s">
        <v>3978</v>
      </c>
      <c r="I2280" s="55" t="s">
        <v>3979</v>
      </c>
      <c r="J2280" s="55" t="s">
        <v>1650</v>
      </c>
      <c r="K2280" s="55" t="s">
        <v>183</v>
      </c>
      <c r="L2280" s="55" t="s">
        <v>3980</v>
      </c>
      <c r="M2280" s="55" t="s">
        <v>129</v>
      </c>
      <c r="N2280" s="55" t="s">
        <v>129</v>
      </c>
      <c r="O2280" s="55" t="s">
        <v>242</v>
      </c>
      <c r="P2280" s="55" t="s">
        <v>1192</v>
      </c>
      <c r="Q2280" s="55" t="s">
        <v>362</v>
      </c>
      <c r="S2280" s="55">
        <v>0</v>
      </c>
      <c r="T2280" s="74" t="s">
        <v>1884</v>
      </c>
      <c r="U2280" s="74" t="s">
        <v>351</v>
      </c>
      <c r="V2280" s="74">
        <v>44599</v>
      </c>
      <c r="W2280" s="74">
        <v>44648</v>
      </c>
      <c r="X2280" s="55">
        <v>10183270</v>
      </c>
      <c r="Y2280" s="55" t="s">
        <v>132</v>
      </c>
      <c r="AB2280" s="74" t="s">
        <v>132</v>
      </c>
      <c r="AC2280" s="55" t="s">
        <v>132</v>
      </c>
      <c r="AL2280" s="74"/>
      <c r="AM2280" s="74"/>
      <c r="AW2280" s="74"/>
      <c r="AX2280" s="74"/>
    </row>
    <row r="2281" spans="1:50" ht="13" x14ac:dyDescent="0.15">
      <c r="A2281" s="55" t="str">
        <f>HYPERLINK("http://reports.ofsted.gov.uk/inspection-reports/find-inspection-report/provider/CARE/SC043609","Ofsted Social Care Provider Webpage")</f>
        <v>Ofsted Social Care Provider Webpage</v>
      </c>
      <c r="B2281" s="55" t="s">
        <v>3981</v>
      </c>
      <c r="D2281" s="55" t="s">
        <v>389</v>
      </c>
      <c r="E2281" s="74">
        <v>37700</v>
      </c>
      <c r="F2281" s="55" t="s">
        <v>344</v>
      </c>
      <c r="G2281" s="55" t="s">
        <v>3982</v>
      </c>
      <c r="H2281" s="55" t="s">
        <v>3983</v>
      </c>
      <c r="I2281" s="55" t="s">
        <v>354</v>
      </c>
      <c r="J2281" s="55" t="s">
        <v>3411</v>
      </c>
      <c r="K2281" s="55" t="s">
        <v>203</v>
      </c>
      <c r="L2281" s="55" t="s">
        <v>3984</v>
      </c>
      <c r="M2281" s="55" t="s">
        <v>150</v>
      </c>
      <c r="N2281" s="55" t="s">
        <v>150</v>
      </c>
      <c r="O2281" s="55" t="s">
        <v>203</v>
      </c>
      <c r="P2281" s="55" t="s">
        <v>563</v>
      </c>
      <c r="Q2281" s="55" t="s">
        <v>350</v>
      </c>
      <c r="S2281" s="55">
        <v>0</v>
      </c>
      <c r="T2281" s="74" t="s">
        <v>3985</v>
      </c>
      <c r="U2281" s="74" t="s">
        <v>351</v>
      </c>
      <c r="V2281" s="74">
        <v>44508</v>
      </c>
      <c r="W2281" s="74">
        <v>44571</v>
      </c>
      <c r="X2281" s="55">
        <v>10183402</v>
      </c>
      <c r="Y2281" s="55" t="s">
        <v>132</v>
      </c>
      <c r="AB2281" s="74" t="s">
        <v>132</v>
      </c>
      <c r="AC2281" s="55" t="s">
        <v>132</v>
      </c>
      <c r="AL2281" s="74"/>
      <c r="AM2281" s="74"/>
      <c r="AW2281" s="74"/>
      <c r="AX2281" s="74"/>
    </row>
    <row r="2282" spans="1:50" ht="13" x14ac:dyDescent="0.15">
      <c r="A2282" s="55" t="str">
        <f>HYPERLINK("http://reports.ofsted.gov.uk/inspection-reports/find-inspection-report/provider/CARE/SC043659","Ofsted Social Care Provider Webpage")</f>
        <v>Ofsted Social Care Provider Webpage</v>
      </c>
      <c r="B2282" s="55" t="s">
        <v>3986</v>
      </c>
      <c r="C2282" s="55">
        <v>130748</v>
      </c>
      <c r="D2282" s="55" t="s">
        <v>693</v>
      </c>
      <c r="E2282" s="74">
        <v>37684</v>
      </c>
      <c r="F2282" s="55" t="s">
        <v>344</v>
      </c>
      <c r="G2282" s="55" t="s">
        <v>3987</v>
      </c>
      <c r="H2282" s="55" t="s">
        <v>3988</v>
      </c>
      <c r="I2282" s="55" t="s">
        <v>3989</v>
      </c>
      <c r="J2282" s="55" t="s">
        <v>3990</v>
      </c>
      <c r="K2282" s="55" t="s">
        <v>212</v>
      </c>
      <c r="L2282" s="55" t="s">
        <v>3991</v>
      </c>
      <c r="M2282" s="55" t="s">
        <v>172</v>
      </c>
      <c r="N2282" s="55" t="s">
        <v>172</v>
      </c>
      <c r="O2282" s="55" t="s">
        <v>212</v>
      </c>
      <c r="P2282" s="55" t="s">
        <v>714</v>
      </c>
      <c r="Q2282" s="55" t="s">
        <v>380</v>
      </c>
      <c r="R2282" s="85">
        <v>187</v>
      </c>
      <c r="S2282" s="55">
        <v>0</v>
      </c>
      <c r="T2282" s="74" t="s">
        <v>3992</v>
      </c>
      <c r="U2282" s="74" t="s">
        <v>351</v>
      </c>
      <c r="V2282" s="74">
        <v>44502</v>
      </c>
      <c r="W2282" s="74">
        <v>44538</v>
      </c>
      <c r="X2282" s="55">
        <v>10183321</v>
      </c>
      <c r="Y2282" s="55" t="s">
        <v>140</v>
      </c>
      <c r="AB2282" s="74" t="s">
        <v>140</v>
      </c>
      <c r="AC2282" s="55" t="s">
        <v>140</v>
      </c>
      <c r="AL2282" s="74"/>
      <c r="AM2282" s="74"/>
    </row>
    <row r="2283" spans="1:50" ht="13" x14ac:dyDescent="0.15">
      <c r="A2283" s="55" t="str">
        <f>HYPERLINK("http://reports.ofsted.gov.uk/inspection-reports/find-inspection-report/provider/CARE/SC043697","Ofsted Social Care Provider Webpage")</f>
        <v>Ofsted Social Care Provider Webpage</v>
      </c>
      <c r="B2283" s="55" t="s">
        <v>3993</v>
      </c>
      <c r="D2283" s="55" t="s">
        <v>373</v>
      </c>
      <c r="E2283" s="74">
        <v>37932</v>
      </c>
      <c r="F2283" s="55" t="s">
        <v>344</v>
      </c>
      <c r="G2283" s="55" t="s">
        <v>360</v>
      </c>
      <c r="H2283" s="55" t="s">
        <v>360</v>
      </c>
      <c r="I2283" s="55" t="s">
        <v>360</v>
      </c>
      <c r="J2283" s="55" t="s">
        <v>360</v>
      </c>
      <c r="K2283" s="55" t="s">
        <v>360</v>
      </c>
      <c r="L2283" s="55" t="s">
        <v>360</v>
      </c>
      <c r="M2283" s="55" t="s">
        <v>144</v>
      </c>
      <c r="N2283" s="55" t="s">
        <v>144</v>
      </c>
      <c r="O2283" s="55" t="s">
        <v>271</v>
      </c>
      <c r="P2283" s="55" t="s">
        <v>870</v>
      </c>
      <c r="Q2283" s="55" t="s">
        <v>350</v>
      </c>
      <c r="R2283" s="85">
        <v>7</v>
      </c>
      <c r="S2283" s="55">
        <v>0</v>
      </c>
      <c r="T2283" s="74" t="s">
        <v>630</v>
      </c>
      <c r="U2283" s="74" t="s">
        <v>351</v>
      </c>
      <c r="V2283" s="74">
        <v>44391</v>
      </c>
      <c r="W2283" s="74">
        <v>44424</v>
      </c>
      <c r="X2283" s="55">
        <v>10186033</v>
      </c>
      <c r="Y2283" s="55" t="s">
        <v>132</v>
      </c>
      <c r="AB2283" s="74" t="s">
        <v>132</v>
      </c>
      <c r="AC2283" s="55" t="s">
        <v>130</v>
      </c>
      <c r="AL2283" s="74"/>
      <c r="AM2283" s="74"/>
      <c r="AW2283" s="74"/>
      <c r="AX2283" s="74"/>
    </row>
    <row r="2284" spans="1:50" ht="13" x14ac:dyDescent="0.15">
      <c r="A2284" s="55" t="str">
        <f>HYPERLINK("http://reports.ofsted.gov.uk/inspection-reports/find-inspection-report/provider/CARE/SC043697","Ofsted Social Care Provider Webpage")</f>
        <v>Ofsted Social Care Provider Webpage</v>
      </c>
      <c r="B2284" s="55" t="s">
        <v>3993</v>
      </c>
      <c r="D2284" s="55" t="s">
        <v>373</v>
      </c>
      <c r="E2284" s="74">
        <v>37932</v>
      </c>
      <c r="F2284" s="55" t="s">
        <v>344</v>
      </c>
      <c r="G2284" s="55" t="s">
        <v>360</v>
      </c>
      <c r="H2284" s="55" t="s">
        <v>360</v>
      </c>
      <c r="I2284" s="55" t="s">
        <v>360</v>
      </c>
      <c r="J2284" s="55" t="s">
        <v>360</v>
      </c>
      <c r="K2284" s="55" t="s">
        <v>360</v>
      </c>
      <c r="L2284" s="55" t="s">
        <v>360</v>
      </c>
      <c r="M2284" s="55" t="s">
        <v>144</v>
      </c>
      <c r="N2284" s="55" t="s">
        <v>144</v>
      </c>
      <c r="O2284" s="55" t="s">
        <v>271</v>
      </c>
      <c r="P2284" s="55" t="s">
        <v>870</v>
      </c>
      <c r="Q2284" s="55" t="s">
        <v>350</v>
      </c>
      <c r="R2284" s="85">
        <v>7</v>
      </c>
      <c r="S2284" s="55">
        <v>0</v>
      </c>
      <c r="T2284" s="74" t="s">
        <v>630</v>
      </c>
      <c r="U2284" s="74" t="s">
        <v>2053</v>
      </c>
      <c r="V2284" s="74">
        <v>44515</v>
      </c>
      <c r="W2284" s="74">
        <v>44547</v>
      </c>
      <c r="X2284" s="55">
        <v>10213255</v>
      </c>
      <c r="AL2284" s="74"/>
      <c r="AM2284" s="74"/>
      <c r="AW2284" s="74"/>
      <c r="AX2284" s="74"/>
    </row>
    <row r="2285" spans="1:50" ht="13" x14ac:dyDescent="0.15">
      <c r="A2285" s="55" t="str">
        <f>HYPERLINK("http://reports.ofsted.gov.uk/inspection-reports/find-inspection-report/provider/CARE/SC043697","Ofsted Social Care Provider Webpage")</f>
        <v>Ofsted Social Care Provider Webpage</v>
      </c>
      <c r="B2285" s="55" t="s">
        <v>3993</v>
      </c>
      <c r="D2285" s="55" t="s">
        <v>373</v>
      </c>
      <c r="E2285" s="74">
        <v>37932</v>
      </c>
      <c r="F2285" s="55" t="s">
        <v>344</v>
      </c>
      <c r="G2285" s="55" t="s">
        <v>360</v>
      </c>
      <c r="H2285" s="55" t="s">
        <v>360</v>
      </c>
      <c r="I2285" s="55" t="s">
        <v>360</v>
      </c>
      <c r="J2285" s="55" t="s">
        <v>360</v>
      </c>
      <c r="K2285" s="55" t="s">
        <v>360</v>
      </c>
      <c r="L2285" s="55" t="s">
        <v>360</v>
      </c>
      <c r="M2285" s="55" t="s">
        <v>144</v>
      </c>
      <c r="N2285" s="55" t="s">
        <v>144</v>
      </c>
      <c r="O2285" s="55" t="s">
        <v>271</v>
      </c>
      <c r="P2285" s="55" t="s">
        <v>870</v>
      </c>
      <c r="Q2285" s="55" t="s">
        <v>350</v>
      </c>
      <c r="R2285" s="85">
        <v>7</v>
      </c>
      <c r="S2285" s="55">
        <v>0</v>
      </c>
      <c r="T2285" s="74" t="s">
        <v>630</v>
      </c>
      <c r="U2285" s="74" t="s">
        <v>2053</v>
      </c>
      <c r="V2285" s="74">
        <v>44475</v>
      </c>
      <c r="W2285" s="74">
        <v>44509</v>
      </c>
      <c r="X2285" s="55">
        <v>10209512</v>
      </c>
      <c r="AL2285" s="74"/>
      <c r="AM2285" s="74"/>
      <c r="AW2285" s="74"/>
      <c r="AX2285" s="74"/>
    </row>
    <row r="2286" spans="1:50" ht="13" x14ac:dyDescent="0.15">
      <c r="A2286" s="55" t="str">
        <f>HYPERLINK("http://reports.ofsted.gov.uk/inspection-reports/find-inspection-report/provider/CARE/SC043732","Ofsted Social Care Provider Webpage")</f>
        <v>Ofsted Social Care Provider Webpage</v>
      </c>
      <c r="B2286" s="55" t="s">
        <v>3994</v>
      </c>
      <c r="D2286" s="55" t="s">
        <v>373</v>
      </c>
      <c r="E2286" s="74">
        <v>37903</v>
      </c>
      <c r="F2286" s="55" t="s">
        <v>344</v>
      </c>
      <c r="G2286" s="55" t="s">
        <v>360</v>
      </c>
      <c r="H2286" s="55" t="s">
        <v>360</v>
      </c>
      <c r="I2286" s="55" t="s">
        <v>360</v>
      </c>
      <c r="J2286" s="55" t="s">
        <v>360</v>
      </c>
      <c r="K2286" s="55" t="s">
        <v>360</v>
      </c>
      <c r="L2286" s="55" t="s">
        <v>360</v>
      </c>
      <c r="M2286" s="55" t="s">
        <v>172</v>
      </c>
      <c r="N2286" s="55" t="s">
        <v>172</v>
      </c>
      <c r="O2286" s="55" t="s">
        <v>214</v>
      </c>
      <c r="P2286" s="55" t="s">
        <v>1345</v>
      </c>
      <c r="Q2286" s="55" t="s">
        <v>380</v>
      </c>
      <c r="R2286" s="85">
        <v>11</v>
      </c>
      <c r="S2286" s="55">
        <v>0</v>
      </c>
      <c r="T2286" s="74" t="s">
        <v>3933</v>
      </c>
      <c r="U2286" s="74" t="s">
        <v>351</v>
      </c>
      <c r="V2286" s="74">
        <v>44461</v>
      </c>
      <c r="W2286" s="74">
        <v>44516</v>
      </c>
      <c r="X2286" s="55">
        <v>10187180</v>
      </c>
      <c r="Y2286" s="55" t="s">
        <v>132</v>
      </c>
      <c r="AB2286" s="74" t="s">
        <v>132</v>
      </c>
      <c r="AC2286" s="55" t="s">
        <v>132</v>
      </c>
      <c r="AL2286" s="74"/>
      <c r="AM2286" s="74"/>
      <c r="AW2286" s="74"/>
      <c r="AX2286" s="74"/>
    </row>
    <row r="2287" spans="1:50" ht="13" x14ac:dyDescent="0.15">
      <c r="A2287" s="55" t="str">
        <f>HYPERLINK("http://reports.ofsted.gov.uk/inspection-reports/find-inspection-report/provider/CARE/SC043972","Ofsted Social Care Provider Webpage")</f>
        <v>Ofsted Social Care Provider Webpage</v>
      </c>
      <c r="B2287" s="55" t="s">
        <v>4000</v>
      </c>
      <c r="D2287" s="55" t="s">
        <v>373</v>
      </c>
      <c r="E2287" s="74">
        <v>37802</v>
      </c>
      <c r="F2287" s="55" t="s">
        <v>344</v>
      </c>
      <c r="G2287" s="55" t="s">
        <v>360</v>
      </c>
      <c r="H2287" s="55" t="s">
        <v>360</v>
      </c>
      <c r="I2287" s="55" t="s">
        <v>360</v>
      </c>
      <c r="J2287" s="55" t="s">
        <v>360</v>
      </c>
      <c r="K2287" s="55" t="s">
        <v>360</v>
      </c>
      <c r="L2287" s="55" t="s">
        <v>360</v>
      </c>
      <c r="M2287" s="55" t="s">
        <v>144</v>
      </c>
      <c r="N2287" s="55" t="s">
        <v>144</v>
      </c>
      <c r="O2287" s="55" t="s">
        <v>217</v>
      </c>
      <c r="P2287" s="55" t="s">
        <v>384</v>
      </c>
      <c r="Q2287" s="55" t="s">
        <v>350</v>
      </c>
      <c r="R2287" s="85">
        <v>5</v>
      </c>
      <c r="S2287" s="55">
        <v>0</v>
      </c>
      <c r="T2287" s="74" t="s">
        <v>385</v>
      </c>
      <c r="U2287" s="74" t="s">
        <v>351</v>
      </c>
      <c r="V2287" s="74">
        <v>44614</v>
      </c>
      <c r="W2287" s="74">
        <v>44651</v>
      </c>
      <c r="X2287" s="55">
        <v>10185631</v>
      </c>
      <c r="Y2287" s="55" t="s">
        <v>132</v>
      </c>
      <c r="AB2287" s="74" t="s">
        <v>132</v>
      </c>
      <c r="AC2287" s="55" t="s">
        <v>132</v>
      </c>
      <c r="AL2287" s="74"/>
      <c r="AM2287" s="74"/>
    </row>
    <row r="2288" spans="1:50" ht="13" x14ac:dyDescent="0.15">
      <c r="A2288" s="55" t="str">
        <f>HYPERLINK("http://reports.ofsted.gov.uk/inspection-reports/find-inspection-report/provider/CARE/SC043994","Ofsted Social Care Provider Webpage")</f>
        <v>Ofsted Social Care Provider Webpage</v>
      </c>
      <c r="B2288" s="55" t="s">
        <v>4001</v>
      </c>
      <c r="D2288" s="55" t="s">
        <v>479</v>
      </c>
      <c r="E2288" s="74">
        <v>38481</v>
      </c>
      <c r="F2288" s="55" t="s">
        <v>344</v>
      </c>
      <c r="G2288" s="55" t="s">
        <v>360</v>
      </c>
      <c r="H2288" s="55" t="s">
        <v>360</v>
      </c>
      <c r="I2288" s="55" t="s">
        <v>360</v>
      </c>
      <c r="J2288" s="55" t="s">
        <v>360</v>
      </c>
      <c r="K2288" s="55" t="s">
        <v>360</v>
      </c>
      <c r="L2288" s="55" t="s">
        <v>360</v>
      </c>
      <c r="M2288" s="55" t="s">
        <v>150</v>
      </c>
      <c r="N2288" s="55" t="s">
        <v>150</v>
      </c>
      <c r="O2288" s="55" t="s">
        <v>156</v>
      </c>
      <c r="P2288" s="55" t="s">
        <v>1576</v>
      </c>
      <c r="Q2288" s="55" t="s">
        <v>362</v>
      </c>
      <c r="R2288" s="85">
        <v>20</v>
      </c>
      <c r="S2288" s="55">
        <v>0</v>
      </c>
      <c r="T2288" s="74" t="s">
        <v>1459</v>
      </c>
      <c r="U2288" s="74" t="s">
        <v>2053</v>
      </c>
      <c r="V2288" s="74">
        <v>44448</v>
      </c>
      <c r="W2288" s="74">
        <v>44483</v>
      </c>
      <c r="X2288" s="55">
        <v>10205838</v>
      </c>
      <c r="AL2288" s="74"/>
      <c r="AM2288" s="74"/>
      <c r="AW2288" s="74"/>
      <c r="AX2288" s="74"/>
    </row>
    <row r="2289" spans="1:50" ht="13" x14ac:dyDescent="0.15">
      <c r="A2289" s="55" t="str">
        <f>HYPERLINK("http://reports.ofsted.gov.uk/inspection-reports/find-inspection-report/provider/CARE/SC043994","Ofsted Social Care Provider Webpage")</f>
        <v>Ofsted Social Care Provider Webpage</v>
      </c>
      <c r="B2289" s="55" t="s">
        <v>4001</v>
      </c>
      <c r="D2289" s="55" t="s">
        <v>479</v>
      </c>
      <c r="E2289" s="74">
        <v>38481</v>
      </c>
      <c r="F2289" s="55" t="s">
        <v>344</v>
      </c>
      <c r="G2289" s="55" t="s">
        <v>360</v>
      </c>
      <c r="H2289" s="55" t="s">
        <v>360</v>
      </c>
      <c r="I2289" s="55" t="s">
        <v>360</v>
      </c>
      <c r="J2289" s="55" t="s">
        <v>360</v>
      </c>
      <c r="K2289" s="55" t="s">
        <v>360</v>
      </c>
      <c r="L2289" s="55" t="s">
        <v>360</v>
      </c>
      <c r="M2289" s="55" t="s">
        <v>150</v>
      </c>
      <c r="N2289" s="55" t="s">
        <v>150</v>
      </c>
      <c r="O2289" s="55" t="s">
        <v>156</v>
      </c>
      <c r="P2289" s="55" t="s">
        <v>1576</v>
      </c>
      <c r="Q2289" s="55" t="s">
        <v>362</v>
      </c>
      <c r="R2289" s="85">
        <v>20</v>
      </c>
      <c r="S2289" s="55">
        <v>0</v>
      </c>
      <c r="T2289" s="74" t="s">
        <v>1459</v>
      </c>
      <c r="U2289" s="74" t="s">
        <v>351</v>
      </c>
      <c r="V2289" s="74">
        <v>44356</v>
      </c>
      <c r="W2289" s="74">
        <v>44397</v>
      </c>
      <c r="X2289" s="55">
        <v>10186313</v>
      </c>
      <c r="Y2289" s="55" t="s">
        <v>132</v>
      </c>
      <c r="AB2289" s="74" t="s">
        <v>132</v>
      </c>
      <c r="AC2289" s="55" t="s">
        <v>130</v>
      </c>
      <c r="AL2289" s="74"/>
      <c r="AM2289" s="74"/>
      <c r="AW2289" s="74"/>
      <c r="AX2289" s="74"/>
    </row>
    <row r="2290" spans="1:50" ht="13" x14ac:dyDescent="0.15">
      <c r="A2290" s="55" t="str">
        <f>HYPERLINK("http://reports.ofsted.gov.uk/inspection-reports/find-inspection-report/provider/CARE/SC043994","Ofsted Social Care Provider Webpage")</f>
        <v>Ofsted Social Care Provider Webpage</v>
      </c>
      <c r="B2290" s="55" t="s">
        <v>4001</v>
      </c>
      <c r="D2290" s="55" t="s">
        <v>479</v>
      </c>
      <c r="E2290" s="74">
        <v>38481</v>
      </c>
      <c r="F2290" s="55" t="s">
        <v>344</v>
      </c>
      <c r="G2290" s="55" t="s">
        <v>360</v>
      </c>
      <c r="H2290" s="55" t="s">
        <v>360</v>
      </c>
      <c r="I2290" s="55" t="s">
        <v>360</v>
      </c>
      <c r="J2290" s="55" t="s">
        <v>360</v>
      </c>
      <c r="K2290" s="55" t="s">
        <v>360</v>
      </c>
      <c r="L2290" s="55" t="s">
        <v>360</v>
      </c>
      <c r="M2290" s="55" t="s">
        <v>150</v>
      </c>
      <c r="N2290" s="55" t="s">
        <v>150</v>
      </c>
      <c r="O2290" s="55" t="s">
        <v>156</v>
      </c>
      <c r="P2290" s="55" t="s">
        <v>1576</v>
      </c>
      <c r="Q2290" s="55" t="s">
        <v>362</v>
      </c>
      <c r="R2290" s="85">
        <v>20</v>
      </c>
      <c r="S2290" s="55">
        <v>0</v>
      </c>
      <c r="T2290" s="74" t="s">
        <v>1459</v>
      </c>
      <c r="U2290" s="74" t="s">
        <v>2053</v>
      </c>
      <c r="V2290" s="74">
        <v>44522</v>
      </c>
      <c r="W2290" s="74">
        <v>44565</v>
      </c>
      <c r="X2290" s="55">
        <v>10214565</v>
      </c>
      <c r="AL2290" s="74"/>
      <c r="AM2290" s="74"/>
      <c r="AW2290" s="74"/>
      <c r="AX2290" s="74"/>
    </row>
    <row r="2291" spans="1:50" ht="13" x14ac:dyDescent="0.15">
      <c r="A2291" s="55" t="str">
        <f>HYPERLINK("http://reports.ofsted.gov.uk/inspection-reports/find-inspection-report/provider/CARE/SC043994","Ofsted Social Care Provider Webpage")</f>
        <v>Ofsted Social Care Provider Webpage</v>
      </c>
      <c r="B2291" s="55" t="s">
        <v>4001</v>
      </c>
      <c r="D2291" s="55" t="s">
        <v>479</v>
      </c>
      <c r="E2291" s="74">
        <v>38481</v>
      </c>
      <c r="F2291" s="55" t="s">
        <v>344</v>
      </c>
      <c r="G2291" s="55" t="s">
        <v>360</v>
      </c>
      <c r="H2291" s="55" t="s">
        <v>360</v>
      </c>
      <c r="I2291" s="55" t="s">
        <v>360</v>
      </c>
      <c r="J2291" s="55" t="s">
        <v>360</v>
      </c>
      <c r="K2291" s="55" t="s">
        <v>360</v>
      </c>
      <c r="L2291" s="55" t="s">
        <v>360</v>
      </c>
      <c r="M2291" s="55" t="s">
        <v>150</v>
      </c>
      <c r="N2291" s="55" t="s">
        <v>150</v>
      </c>
      <c r="O2291" s="55" t="s">
        <v>156</v>
      </c>
      <c r="P2291" s="55" t="s">
        <v>1576</v>
      </c>
      <c r="Q2291" s="55" t="s">
        <v>362</v>
      </c>
      <c r="R2291" s="85">
        <v>20</v>
      </c>
      <c r="S2291" s="55">
        <v>0</v>
      </c>
      <c r="T2291" s="74" t="s">
        <v>1459</v>
      </c>
      <c r="U2291" s="74" t="s">
        <v>2053</v>
      </c>
      <c r="V2291" s="74">
        <v>44544</v>
      </c>
      <c r="W2291" s="74">
        <v>44599</v>
      </c>
      <c r="X2291" s="55">
        <v>10216249</v>
      </c>
      <c r="AL2291" s="74"/>
      <c r="AM2291" s="74"/>
    </row>
    <row r="2292" spans="1:50" ht="13" x14ac:dyDescent="0.15">
      <c r="A2292" s="55" t="str">
        <f>HYPERLINK("http://reports.ofsted.gov.uk/inspection-reports/find-inspection-report/provider/CARE/SC044128","Ofsted Social Care Provider Webpage")</f>
        <v>Ofsted Social Care Provider Webpage</v>
      </c>
      <c r="B2292" s="55" t="s">
        <v>4002</v>
      </c>
      <c r="C2292" s="55">
        <v>138547</v>
      </c>
      <c r="D2292" s="55" t="s">
        <v>413</v>
      </c>
      <c r="E2292" s="74">
        <v>37697</v>
      </c>
      <c r="F2292" s="55" t="s">
        <v>344</v>
      </c>
      <c r="G2292" s="55" t="s">
        <v>4003</v>
      </c>
      <c r="H2292" s="55" t="s">
        <v>4004</v>
      </c>
      <c r="I2292" s="55" t="s">
        <v>354</v>
      </c>
      <c r="J2292" s="55" t="s">
        <v>129</v>
      </c>
      <c r="K2292" s="55" t="s">
        <v>2578</v>
      </c>
      <c r="L2292" s="55" t="s">
        <v>4005</v>
      </c>
      <c r="M2292" s="55" t="s">
        <v>129</v>
      </c>
      <c r="N2292" s="55" t="s">
        <v>129</v>
      </c>
      <c r="O2292" s="55" t="s">
        <v>186</v>
      </c>
      <c r="P2292" s="55" t="s">
        <v>2125</v>
      </c>
      <c r="Q2292" s="55" t="s">
        <v>420</v>
      </c>
      <c r="R2292" s="85">
        <v>11</v>
      </c>
      <c r="S2292" s="55">
        <v>0</v>
      </c>
      <c r="T2292" s="74" t="s">
        <v>4003</v>
      </c>
      <c r="U2292" s="74" t="s">
        <v>351</v>
      </c>
      <c r="V2292" s="74">
        <v>44474</v>
      </c>
      <c r="W2292" s="74">
        <v>44518</v>
      </c>
      <c r="X2292" s="55">
        <v>10183507</v>
      </c>
      <c r="Y2292" s="55" t="s">
        <v>132</v>
      </c>
      <c r="AB2292" s="74" t="s">
        <v>132</v>
      </c>
      <c r="AC2292" s="55" t="s">
        <v>132</v>
      </c>
      <c r="AL2292" s="74"/>
      <c r="AM2292" s="74"/>
    </row>
    <row r="2293" spans="1:50" ht="13" x14ac:dyDescent="0.15">
      <c r="A2293" s="55" t="str">
        <f>HYPERLINK("http://reports.ofsted.gov.uk/inspection-reports/find-inspection-report/provider/CARE/SC044231","Ofsted Social Care Provider Webpage")</f>
        <v>Ofsted Social Care Provider Webpage</v>
      </c>
      <c r="B2293" s="55" t="s">
        <v>4008</v>
      </c>
      <c r="D2293" s="55" t="s">
        <v>373</v>
      </c>
      <c r="E2293" s="74">
        <v>37904</v>
      </c>
      <c r="F2293" s="55" t="s">
        <v>344</v>
      </c>
      <c r="G2293" s="55" t="s">
        <v>360</v>
      </c>
      <c r="H2293" s="55" t="s">
        <v>360</v>
      </c>
      <c r="I2293" s="55" t="s">
        <v>360</v>
      </c>
      <c r="J2293" s="55" t="s">
        <v>360</v>
      </c>
      <c r="K2293" s="55" t="s">
        <v>360</v>
      </c>
      <c r="L2293" s="55" t="s">
        <v>360</v>
      </c>
      <c r="M2293" s="55" t="s">
        <v>144</v>
      </c>
      <c r="N2293" s="55" t="s">
        <v>144</v>
      </c>
      <c r="O2293" s="55" t="s">
        <v>209</v>
      </c>
      <c r="P2293" s="55" t="s">
        <v>534</v>
      </c>
      <c r="Q2293" s="55" t="s">
        <v>350</v>
      </c>
      <c r="R2293" s="85">
        <v>4</v>
      </c>
      <c r="S2293" s="55">
        <v>0</v>
      </c>
      <c r="T2293" s="74" t="s">
        <v>4007</v>
      </c>
      <c r="U2293" s="74" t="s">
        <v>351</v>
      </c>
      <c r="V2293" s="74">
        <v>44607</v>
      </c>
      <c r="W2293" s="74">
        <v>44651</v>
      </c>
      <c r="X2293" s="55">
        <v>10187117</v>
      </c>
      <c r="Y2293" s="55" t="s">
        <v>146</v>
      </c>
      <c r="AB2293" s="74" t="s">
        <v>146</v>
      </c>
      <c r="AC2293" s="55" t="s">
        <v>146</v>
      </c>
      <c r="AL2293" s="74"/>
      <c r="AM2293" s="74"/>
      <c r="AW2293" s="74"/>
      <c r="AX2293" s="74"/>
    </row>
    <row r="2294" spans="1:50" ht="13" x14ac:dyDescent="0.15">
      <c r="A2294" s="55" t="str">
        <f>HYPERLINK("http://reports.ofsted.gov.uk/inspection-reports/find-inspection-report/provider/CARE/SC044259","Ofsted Social Care Provider Webpage")</f>
        <v>Ofsted Social Care Provider Webpage</v>
      </c>
      <c r="B2294" s="55" t="s">
        <v>4009</v>
      </c>
      <c r="D2294" s="55" t="s">
        <v>373</v>
      </c>
      <c r="E2294" s="74">
        <v>37804</v>
      </c>
      <c r="F2294" s="55" t="s">
        <v>344</v>
      </c>
      <c r="G2294" s="55" t="s">
        <v>360</v>
      </c>
      <c r="H2294" s="55" t="s">
        <v>360</v>
      </c>
      <c r="I2294" s="55" t="s">
        <v>360</v>
      </c>
      <c r="J2294" s="55" t="s">
        <v>360</v>
      </c>
      <c r="K2294" s="55" t="s">
        <v>360</v>
      </c>
      <c r="L2294" s="55" t="s">
        <v>360</v>
      </c>
      <c r="M2294" s="55" t="s">
        <v>150</v>
      </c>
      <c r="N2294" s="55" t="s">
        <v>150</v>
      </c>
      <c r="O2294" s="55" t="s">
        <v>285</v>
      </c>
      <c r="P2294" s="55" t="s">
        <v>2001</v>
      </c>
      <c r="Q2294" s="55" t="s">
        <v>350</v>
      </c>
      <c r="R2294" s="85">
        <v>5</v>
      </c>
      <c r="S2294" s="55">
        <v>0</v>
      </c>
      <c r="T2294" s="74" t="s">
        <v>1962</v>
      </c>
      <c r="U2294" s="74" t="s">
        <v>351</v>
      </c>
      <c r="V2294" s="74">
        <v>44594</v>
      </c>
      <c r="W2294" s="74">
        <v>44648</v>
      </c>
      <c r="X2294" s="55">
        <v>10186742</v>
      </c>
      <c r="Y2294" s="55" t="s">
        <v>140</v>
      </c>
      <c r="AB2294" s="74" t="s">
        <v>140</v>
      </c>
      <c r="AC2294" s="55" t="s">
        <v>140</v>
      </c>
      <c r="AL2294" s="74"/>
      <c r="AM2294" s="74"/>
      <c r="AW2294" s="74"/>
      <c r="AX2294" s="74"/>
    </row>
    <row r="2295" spans="1:50" ht="13" x14ac:dyDescent="0.15">
      <c r="A2295" s="55" t="str">
        <f>HYPERLINK("http://reports.ofsted.gov.uk/inspection-reports/find-inspection-report/provider/CARE/SC044276","Ofsted Social Care Provider Webpage")</f>
        <v>Ofsted Social Care Provider Webpage</v>
      </c>
      <c r="B2295" s="55" t="s">
        <v>4010</v>
      </c>
      <c r="D2295" s="55" t="s">
        <v>373</v>
      </c>
      <c r="E2295" s="74">
        <v>37789</v>
      </c>
      <c r="F2295" s="55" t="s">
        <v>344</v>
      </c>
      <c r="G2295" s="55" t="s">
        <v>360</v>
      </c>
      <c r="H2295" s="55" t="s">
        <v>360</v>
      </c>
      <c r="I2295" s="55" t="s">
        <v>360</v>
      </c>
      <c r="J2295" s="55" t="s">
        <v>360</v>
      </c>
      <c r="K2295" s="55" t="s">
        <v>360</v>
      </c>
      <c r="L2295" s="55" t="s">
        <v>360</v>
      </c>
      <c r="M2295" s="55" t="s">
        <v>144</v>
      </c>
      <c r="N2295" s="55" t="s">
        <v>144</v>
      </c>
      <c r="O2295" s="55" t="s">
        <v>215</v>
      </c>
      <c r="P2295" s="55" t="s">
        <v>1440</v>
      </c>
      <c r="Q2295" s="55" t="s">
        <v>350</v>
      </c>
      <c r="R2295" s="85">
        <v>6</v>
      </c>
      <c r="S2295" s="55">
        <v>0</v>
      </c>
      <c r="T2295" s="74" t="s">
        <v>4011</v>
      </c>
      <c r="U2295" s="74" t="s">
        <v>351</v>
      </c>
      <c r="V2295" s="74">
        <v>44531</v>
      </c>
      <c r="W2295" s="74">
        <v>44580</v>
      </c>
      <c r="X2295" s="55">
        <v>10187241</v>
      </c>
      <c r="Y2295" s="55" t="s">
        <v>130</v>
      </c>
      <c r="AB2295" s="74" t="s">
        <v>130</v>
      </c>
      <c r="AC2295" s="55" t="s">
        <v>130</v>
      </c>
      <c r="AL2295" s="74"/>
      <c r="AM2295" s="74"/>
      <c r="AW2295" s="74"/>
      <c r="AX2295" s="74"/>
    </row>
    <row r="2296" spans="1:50" ht="13" x14ac:dyDescent="0.15">
      <c r="A2296" s="55" t="str">
        <f>HYPERLINK("http://reports.ofsted.gov.uk/inspection-reports/find-inspection-report/provider/CARE/SC044291","Ofsted Social Care Provider Webpage")</f>
        <v>Ofsted Social Care Provider Webpage</v>
      </c>
      <c r="B2296" s="55" t="s">
        <v>4012</v>
      </c>
      <c r="D2296" s="55" t="s">
        <v>373</v>
      </c>
      <c r="E2296" s="74">
        <v>37960</v>
      </c>
      <c r="F2296" s="55" t="s">
        <v>344</v>
      </c>
      <c r="G2296" s="55" t="s">
        <v>360</v>
      </c>
      <c r="H2296" s="55" t="s">
        <v>360</v>
      </c>
      <c r="I2296" s="55" t="s">
        <v>360</v>
      </c>
      <c r="J2296" s="55" t="s">
        <v>360</v>
      </c>
      <c r="K2296" s="55" t="s">
        <v>360</v>
      </c>
      <c r="L2296" s="55" t="s">
        <v>360</v>
      </c>
      <c r="M2296" s="55" t="s">
        <v>172</v>
      </c>
      <c r="N2296" s="55" t="s">
        <v>172</v>
      </c>
      <c r="O2296" s="55" t="s">
        <v>235</v>
      </c>
      <c r="P2296" s="55" t="s">
        <v>2338</v>
      </c>
      <c r="Q2296" s="55" t="s">
        <v>380</v>
      </c>
      <c r="R2296" s="85">
        <v>3</v>
      </c>
      <c r="S2296" s="55">
        <v>0</v>
      </c>
      <c r="T2296" s="74" t="s">
        <v>3477</v>
      </c>
      <c r="U2296" s="74" t="s">
        <v>351</v>
      </c>
      <c r="V2296" s="74">
        <v>44412</v>
      </c>
      <c r="W2296" s="74">
        <v>44446</v>
      </c>
      <c r="X2296" s="55">
        <v>10186464</v>
      </c>
      <c r="Y2296" s="55" t="s">
        <v>140</v>
      </c>
      <c r="AB2296" s="74" t="s">
        <v>140</v>
      </c>
      <c r="AC2296" s="55" t="s">
        <v>140</v>
      </c>
      <c r="AL2296" s="74"/>
      <c r="AM2296" s="74"/>
      <c r="AW2296" s="74"/>
      <c r="AX2296" s="74"/>
    </row>
    <row r="2297" spans="1:50" ht="13" x14ac:dyDescent="0.15">
      <c r="A2297" s="55" t="str">
        <f>HYPERLINK("http://reports.ofsted.gov.uk/inspection-reports/find-inspection-report/provider/CARE/SC044562","Ofsted Social Care Provider Webpage")</f>
        <v>Ofsted Social Care Provider Webpage</v>
      </c>
      <c r="B2297" s="55" t="s">
        <v>4013</v>
      </c>
      <c r="D2297" s="55" t="s">
        <v>479</v>
      </c>
      <c r="E2297" s="74">
        <v>37827</v>
      </c>
      <c r="F2297" s="55" t="s">
        <v>344</v>
      </c>
      <c r="G2297" s="55" t="s">
        <v>360</v>
      </c>
      <c r="H2297" s="55" t="s">
        <v>360</v>
      </c>
      <c r="I2297" s="55" t="s">
        <v>360</v>
      </c>
      <c r="J2297" s="55" t="s">
        <v>360</v>
      </c>
      <c r="K2297" s="55" t="s">
        <v>360</v>
      </c>
      <c r="L2297" s="55" t="s">
        <v>360</v>
      </c>
      <c r="M2297" s="55" t="s">
        <v>172</v>
      </c>
      <c r="N2297" s="55" t="s">
        <v>172</v>
      </c>
      <c r="O2297" s="55" t="s">
        <v>214</v>
      </c>
      <c r="P2297" s="55" t="s">
        <v>1561</v>
      </c>
      <c r="Q2297" s="55" t="s">
        <v>350</v>
      </c>
      <c r="R2297" s="85">
        <v>39</v>
      </c>
      <c r="S2297" s="55">
        <v>0</v>
      </c>
      <c r="T2297" s="74" t="s">
        <v>1290</v>
      </c>
      <c r="U2297" s="74" t="s">
        <v>351</v>
      </c>
      <c r="V2297" s="74">
        <v>44356</v>
      </c>
      <c r="W2297" s="74">
        <v>44403</v>
      </c>
      <c r="X2297" s="55">
        <v>10185095</v>
      </c>
      <c r="Y2297" s="55" t="s">
        <v>132</v>
      </c>
      <c r="AB2297" s="74" t="s">
        <v>132</v>
      </c>
      <c r="AC2297" s="55" t="s">
        <v>132</v>
      </c>
      <c r="AL2297" s="74"/>
      <c r="AM2297" s="74"/>
      <c r="AW2297" s="74"/>
      <c r="AX2297" s="74"/>
    </row>
    <row r="2298" spans="1:50" ht="13" x14ac:dyDescent="0.15">
      <c r="A2298" s="55" t="str">
        <f>HYPERLINK("http://reports.ofsted.gov.uk/inspection-reports/find-inspection-report/provider/CARE/SC044692","Ofsted Social Care Provider Webpage")</f>
        <v>Ofsted Social Care Provider Webpage</v>
      </c>
      <c r="B2298" s="55" t="s">
        <v>4014</v>
      </c>
      <c r="D2298" s="55" t="s">
        <v>373</v>
      </c>
      <c r="E2298" s="74">
        <v>38476</v>
      </c>
      <c r="F2298" s="55" t="s">
        <v>344</v>
      </c>
      <c r="G2298" s="55" t="s">
        <v>360</v>
      </c>
      <c r="H2298" s="55" t="s">
        <v>360</v>
      </c>
      <c r="I2298" s="55" t="s">
        <v>360</v>
      </c>
      <c r="J2298" s="55" t="s">
        <v>360</v>
      </c>
      <c r="K2298" s="55" t="s">
        <v>360</v>
      </c>
      <c r="L2298" s="55" t="s">
        <v>360</v>
      </c>
      <c r="M2298" s="55" t="s">
        <v>172</v>
      </c>
      <c r="N2298" s="55" t="s">
        <v>172</v>
      </c>
      <c r="O2298" s="55" t="s">
        <v>235</v>
      </c>
      <c r="P2298" s="55" t="s">
        <v>1036</v>
      </c>
      <c r="Q2298" s="55" t="s">
        <v>380</v>
      </c>
      <c r="R2298" s="85">
        <v>4</v>
      </c>
      <c r="S2298" s="55">
        <v>0</v>
      </c>
      <c r="T2298" s="74" t="s">
        <v>3477</v>
      </c>
      <c r="U2298" s="74" t="s">
        <v>351</v>
      </c>
      <c r="V2298" s="74">
        <v>44384</v>
      </c>
      <c r="W2298" s="74">
        <v>44412</v>
      </c>
      <c r="X2298" s="55">
        <v>10187649</v>
      </c>
      <c r="Y2298" s="55" t="s">
        <v>130</v>
      </c>
      <c r="AB2298" s="74" t="s">
        <v>130</v>
      </c>
      <c r="AC2298" s="55" t="s">
        <v>130</v>
      </c>
      <c r="AL2298" s="74"/>
      <c r="AM2298" s="74"/>
      <c r="AW2298" s="74"/>
      <c r="AX2298" s="74"/>
    </row>
    <row r="2299" spans="1:50" ht="13" x14ac:dyDescent="0.15">
      <c r="A2299" s="55" t="str">
        <f>HYPERLINK("http://reports.ofsted.gov.uk/inspection-reports/find-inspection-report/provider/CARE/SC044745","Ofsted Social Care Provider Webpage")</f>
        <v>Ofsted Social Care Provider Webpage</v>
      </c>
      <c r="B2299" s="55" t="s">
        <v>4015</v>
      </c>
      <c r="D2299" s="55" t="s">
        <v>373</v>
      </c>
      <c r="E2299" s="74">
        <v>37893</v>
      </c>
      <c r="F2299" s="55" t="s">
        <v>344</v>
      </c>
      <c r="G2299" s="55" t="s">
        <v>360</v>
      </c>
      <c r="H2299" s="55" t="s">
        <v>360</v>
      </c>
      <c r="I2299" s="55" t="s">
        <v>360</v>
      </c>
      <c r="J2299" s="55" t="s">
        <v>360</v>
      </c>
      <c r="K2299" s="55" t="s">
        <v>360</v>
      </c>
      <c r="L2299" s="55" t="s">
        <v>360</v>
      </c>
      <c r="M2299" s="55" t="s">
        <v>142</v>
      </c>
      <c r="N2299" s="55" t="s">
        <v>142</v>
      </c>
      <c r="O2299" s="55" t="s">
        <v>262</v>
      </c>
      <c r="P2299" s="55" t="s">
        <v>618</v>
      </c>
      <c r="Q2299" s="55" t="s">
        <v>350</v>
      </c>
      <c r="R2299" s="85">
        <v>6</v>
      </c>
      <c r="S2299" s="55">
        <v>0</v>
      </c>
      <c r="T2299" s="74" t="s">
        <v>1505</v>
      </c>
      <c r="U2299" s="74" t="s">
        <v>351</v>
      </c>
      <c r="V2299" s="74">
        <v>44320</v>
      </c>
      <c r="W2299" s="74">
        <v>44361</v>
      </c>
      <c r="X2299" s="55">
        <v>10185305</v>
      </c>
      <c r="Y2299" s="55" t="s">
        <v>132</v>
      </c>
      <c r="AB2299" s="74" t="s">
        <v>132</v>
      </c>
      <c r="AC2299" s="55" t="s">
        <v>132</v>
      </c>
      <c r="AL2299" s="74"/>
      <c r="AM2299" s="74"/>
      <c r="AW2299" s="74"/>
      <c r="AX2299" s="74"/>
    </row>
    <row r="2300" spans="1:50" ht="13" x14ac:dyDescent="0.15">
      <c r="A2300" s="55" t="str">
        <f>HYPERLINK("http://reports.ofsted.gov.uk/inspection-reports/find-inspection-report/provider/CARE/SC044880","Ofsted Social Care Provider Webpage")</f>
        <v>Ofsted Social Care Provider Webpage</v>
      </c>
      <c r="B2300" s="55" t="s">
        <v>4016</v>
      </c>
      <c r="D2300" s="55" t="s">
        <v>373</v>
      </c>
      <c r="E2300" s="74">
        <v>37838</v>
      </c>
      <c r="F2300" s="55" t="s">
        <v>344</v>
      </c>
      <c r="G2300" s="55" t="s">
        <v>360</v>
      </c>
      <c r="H2300" s="55" t="s">
        <v>360</v>
      </c>
      <c r="I2300" s="55" t="s">
        <v>360</v>
      </c>
      <c r="J2300" s="55" t="s">
        <v>360</v>
      </c>
      <c r="K2300" s="55" t="s">
        <v>360</v>
      </c>
      <c r="L2300" s="55" t="s">
        <v>360</v>
      </c>
      <c r="M2300" s="55" t="s">
        <v>150</v>
      </c>
      <c r="N2300" s="55" t="s">
        <v>150</v>
      </c>
      <c r="O2300" s="55" t="s">
        <v>153</v>
      </c>
      <c r="P2300" s="55" t="s">
        <v>1331</v>
      </c>
      <c r="Q2300" s="55" t="s">
        <v>380</v>
      </c>
      <c r="R2300" s="85">
        <v>8</v>
      </c>
      <c r="S2300" s="55">
        <v>0</v>
      </c>
      <c r="T2300" s="74" t="s">
        <v>3047</v>
      </c>
      <c r="U2300" s="74" t="s">
        <v>351</v>
      </c>
      <c r="V2300" s="74">
        <v>44356</v>
      </c>
      <c r="W2300" s="74">
        <v>44418</v>
      </c>
      <c r="X2300" s="55">
        <v>10185040</v>
      </c>
      <c r="Y2300" s="55" t="s">
        <v>132</v>
      </c>
      <c r="AB2300" s="74" t="s">
        <v>132</v>
      </c>
      <c r="AC2300" s="55" t="s">
        <v>130</v>
      </c>
      <c r="AL2300" s="74"/>
      <c r="AM2300" s="74"/>
      <c r="AW2300" s="74"/>
      <c r="AX2300" s="74"/>
    </row>
    <row r="2301" spans="1:50" ht="13" x14ac:dyDescent="0.15">
      <c r="A2301" s="55" t="str">
        <f>HYPERLINK("http://reports.ofsted.gov.uk/inspection-reports/find-inspection-report/provider/CARE/SC044975","Ofsted Social Care Provider Webpage")</f>
        <v>Ofsted Social Care Provider Webpage</v>
      </c>
      <c r="B2301" s="55" t="s">
        <v>4017</v>
      </c>
      <c r="D2301" s="55" t="s">
        <v>373</v>
      </c>
      <c r="E2301" s="74">
        <v>38187</v>
      </c>
      <c r="F2301" s="55" t="s">
        <v>344</v>
      </c>
      <c r="G2301" s="55" t="s">
        <v>360</v>
      </c>
      <c r="H2301" s="55" t="s">
        <v>360</v>
      </c>
      <c r="I2301" s="55" t="s">
        <v>360</v>
      </c>
      <c r="J2301" s="55" t="s">
        <v>360</v>
      </c>
      <c r="K2301" s="55" t="s">
        <v>360</v>
      </c>
      <c r="L2301" s="55" t="s">
        <v>360</v>
      </c>
      <c r="M2301" s="55" t="s">
        <v>138</v>
      </c>
      <c r="N2301" s="55" t="s">
        <v>138</v>
      </c>
      <c r="O2301" s="55" t="s">
        <v>183</v>
      </c>
      <c r="P2301" s="55" t="s">
        <v>616</v>
      </c>
      <c r="Q2301" s="55" t="s">
        <v>380</v>
      </c>
      <c r="R2301" s="85">
        <v>12</v>
      </c>
      <c r="S2301" s="55" t="s">
        <v>332</v>
      </c>
      <c r="T2301" s="74" t="s">
        <v>1795</v>
      </c>
      <c r="U2301" s="74" t="s">
        <v>351</v>
      </c>
      <c r="V2301" s="74">
        <v>44305</v>
      </c>
      <c r="W2301" s="74">
        <v>44328</v>
      </c>
      <c r="X2301" s="55">
        <v>10186204</v>
      </c>
      <c r="Y2301" s="55" t="s">
        <v>132</v>
      </c>
      <c r="AB2301" s="74" t="s">
        <v>132</v>
      </c>
      <c r="AC2301" s="55" t="s">
        <v>132</v>
      </c>
      <c r="AL2301" s="74"/>
      <c r="AM2301" s="74"/>
      <c r="AW2301" s="74"/>
      <c r="AX2301" s="74"/>
    </row>
    <row r="2302" spans="1:50" ht="13" x14ac:dyDescent="0.15">
      <c r="A2302" s="55" t="str">
        <f>HYPERLINK("http://reports.ofsted.gov.uk/inspection-reports/find-inspection-report/provider/CARE/SC045096","Ofsted Social Care Provider Webpage")</f>
        <v>Ofsted Social Care Provider Webpage</v>
      </c>
      <c r="B2302" s="55" t="s">
        <v>4018</v>
      </c>
      <c r="D2302" s="55" t="s">
        <v>373</v>
      </c>
      <c r="E2302" s="74">
        <v>38092</v>
      </c>
      <c r="F2302" s="55" t="s">
        <v>344</v>
      </c>
      <c r="G2302" s="55" t="s">
        <v>360</v>
      </c>
      <c r="H2302" s="55" t="s">
        <v>360</v>
      </c>
      <c r="I2302" s="55" t="s">
        <v>360</v>
      </c>
      <c r="J2302" s="55" t="s">
        <v>360</v>
      </c>
      <c r="K2302" s="55" t="s">
        <v>360</v>
      </c>
      <c r="L2302" s="55" t="s">
        <v>360</v>
      </c>
      <c r="M2302" s="55" t="s">
        <v>136</v>
      </c>
      <c r="N2302" s="55" t="s">
        <v>136</v>
      </c>
      <c r="O2302" s="55" t="s">
        <v>255</v>
      </c>
      <c r="P2302" s="55" t="s">
        <v>757</v>
      </c>
      <c r="Q2302" s="55" t="s">
        <v>350</v>
      </c>
      <c r="R2302" s="85">
        <v>5</v>
      </c>
      <c r="S2302" s="55">
        <v>0</v>
      </c>
      <c r="T2302" s="74" t="s">
        <v>4019</v>
      </c>
      <c r="U2302" s="74" t="s">
        <v>351</v>
      </c>
      <c r="V2302" s="74">
        <v>44502</v>
      </c>
      <c r="W2302" s="74">
        <v>44530</v>
      </c>
      <c r="X2302" s="55">
        <v>10185050</v>
      </c>
      <c r="Y2302" s="55" t="s">
        <v>132</v>
      </c>
      <c r="AB2302" s="74" t="s">
        <v>132</v>
      </c>
      <c r="AC2302" s="55" t="s">
        <v>132</v>
      </c>
      <c r="AL2302" s="74"/>
      <c r="AM2302" s="74"/>
      <c r="AW2302" s="74"/>
      <c r="AX2302" s="74"/>
    </row>
    <row r="2303" spans="1:50" ht="13" x14ac:dyDescent="0.15">
      <c r="A2303" s="55" t="str">
        <f>HYPERLINK("http://reports.ofsted.gov.uk/inspection-reports/find-inspection-report/provider/CARE/SC045408","Ofsted Social Care Provider Webpage")</f>
        <v>Ofsted Social Care Provider Webpage</v>
      </c>
      <c r="B2303" s="55" t="s">
        <v>4032</v>
      </c>
      <c r="D2303" s="55" t="s">
        <v>373</v>
      </c>
      <c r="E2303" s="74">
        <v>37944</v>
      </c>
      <c r="F2303" s="55" t="s">
        <v>344</v>
      </c>
      <c r="G2303" s="55" t="s">
        <v>360</v>
      </c>
      <c r="H2303" s="55" t="s">
        <v>360</v>
      </c>
      <c r="I2303" s="55" t="s">
        <v>360</v>
      </c>
      <c r="J2303" s="55" t="s">
        <v>360</v>
      </c>
      <c r="K2303" s="55" t="s">
        <v>360</v>
      </c>
      <c r="L2303" s="55" t="s">
        <v>360</v>
      </c>
      <c r="M2303" s="55" t="s">
        <v>150</v>
      </c>
      <c r="N2303" s="55" t="s">
        <v>150</v>
      </c>
      <c r="O2303" s="55" t="s">
        <v>268</v>
      </c>
      <c r="P2303" s="55" t="s">
        <v>1771</v>
      </c>
      <c r="Q2303" s="55" t="s">
        <v>380</v>
      </c>
      <c r="R2303" s="85">
        <v>2</v>
      </c>
      <c r="S2303" s="55">
        <v>0</v>
      </c>
      <c r="T2303" s="74" t="s">
        <v>640</v>
      </c>
      <c r="U2303" s="74" t="s">
        <v>351</v>
      </c>
      <c r="V2303" s="74">
        <v>44475</v>
      </c>
      <c r="W2303" s="74">
        <v>44523</v>
      </c>
      <c r="X2303" s="55">
        <v>10187661</v>
      </c>
      <c r="Y2303" s="55" t="s">
        <v>130</v>
      </c>
      <c r="AB2303" s="74" t="s">
        <v>130</v>
      </c>
      <c r="AC2303" s="55" t="s">
        <v>130</v>
      </c>
      <c r="AL2303" s="74"/>
      <c r="AM2303" s="74"/>
      <c r="AW2303" s="74"/>
      <c r="AX2303" s="74"/>
    </row>
    <row r="2304" spans="1:50" ht="13" x14ac:dyDescent="0.15">
      <c r="A2304" s="55" t="str">
        <f>HYPERLINK("http://reports.ofsted.gov.uk/inspection-reports/find-inspection-report/provider/CARE/SC046276","Ofsted Social Care Provider Webpage")</f>
        <v>Ofsted Social Care Provider Webpage</v>
      </c>
      <c r="B2304" s="55" t="s">
        <v>4043</v>
      </c>
      <c r="D2304" s="55" t="s">
        <v>2864</v>
      </c>
      <c r="E2304" s="74">
        <v>38065</v>
      </c>
      <c r="F2304" s="55" t="s">
        <v>344</v>
      </c>
      <c r="G2304" s="55" t="s">
        <v>360</v>
      </c>
      <c r="H2304" s="55" t="s">
        <v>360</v>
      </c>
      <c r="I2304" s="55" t="s">
        <v>360</v>
      </c>
      <c r="J2304" s="55" t="s">
        <v>360</v>
      </c>
      <c r="K2304" s="55" t="s">
        <v>360</v>
      </c>
      <c r="L2304" s="55" t="s">
        <v>360</v>
      </c>
      <c r="M2304" s="55" t="s">
        <v>136</v>
      </c>
      <c r="N2304" s="55" t="s">
        <v>136</v>
      </c>
      <c r="O2304" s="55" t="s">
        <v>174</v>
      </c>
      <c r="P2304" s="55" t="s">
        <v>570</v>
      </c>
      <c r="Q2304" s="55" t="s">
        <v>380</v>
      </c>
      <c r="R2304" s="85">
        <v>12</v>
      </c>
      <c r="S2304" s="55">
        <v>0</v>
      </c>
      <c r="T2304" s="74" t="s">
        <v>1525</v>
      </c>
      <c r="U2304" s="74" t="s">
        <v>2053</v>
      </c>
      <c r="V2304" s="74">
        <v>44342</v>
      </c>
      <c r="W2304" s="74">
        <v>44377</v>
      </c>
      <c r="X2304" s="55">
        <v>10197043</v>
      </c>
      <c r="AL2304" s="74"/>
      <c r="AM2304" s="74"/>
      <c r="AW2304" s="74"/>
      <c r="AX2304" s="74"/>
    </row>
    <row r="2305" spans="1:50" ht="13" x14ac:dyDescent="0.15">
      <c r="A2305" s="55" t="str">
        <f>HYPERLINK("http://reports.ofsted.gov.uk/inspection-reports/find-inspection-report/provider/CARE/SC046276","Ofsted Social Care Provider Webpage")</f>
        <v>Ofsted Social Care Provider Webpage</v>
      </c>
      <c r="B2305" s="55" t="s">
        <v>4043</v>
      </c>
      <c r="D2305" s="55" t="s">
        <v>2864</v>
      </c>
      <c r="E2305" s="74">
        <v>38065</v>
      </c>
      <c r="F2305" s="55" t="s">
        <v>344</v>
      </c>
      <c r="G2305" s="55" t="s">
        <v>360</v>
      </c>
      <c r="H2305" s="55" t="s">
        <v>360</v>
      </c>
      <c r="I2305" s="55" t="s">
        <v>360</v>
      </c>
      <c r="J2305" s="55" t="s">
        <v>360</v>
      </c>
      <c r="K2305" s="55" t="s">
        <v>360</v>
      </c>
      <c r="L2305" s="55" t="s">
        <v>360</v>
      </c>
      <c r="M2305" s="55" t="s">
        <v>136</v>
      </c>
      <c r="N2305" s="55" t="s">
        <v>136</v>
      </c>
      <c r="O2305" s="55" t="s">
        <v>174</v>
      </c>
      <c r="P2305" s="55" t="s">
        <v>570</v>
      </c>
      <c r="Q2305" s="55" t="s">
        <v>380</v>
      </c>
      <c r="R2305" s="85">
        <v>12</v>
      </c>
      <c r="S2305" s="55">
        <v>0</v>
      </c>
      <c r="T2305" s="74" t="s">
        <v>1525</v>
      </c>
      <c r="U2305" s="74" t="s">
        <v>351</v>
      </c>
      <c r="V2305" s="74">
        <v>44601</v>
      </c>
      <c r="W2305" s="74">
        <v>44652</v>
      </c>
      <c r="X2305" s="55">
        <v>10165460</v>
      </c>
      <c r="Y2305" s="55" t="s">
        <v>132</v>
      </c>
      <c r="Z2305" s="55" t="s">
        <v>132</v>
      </c>
      <c r="AA2305" s="55" t="s">
        <v>132</v>
      </c>
      <c r="AB2305" s="74" t="s">
        <v>132</v>
      </c>
      <c r="AC2305" s="55" t="s">
        <v>132</v>
      </c>
      <c r="AL2305" s="74"/>
      <c r="AM2305" s="74"/>
      <c r="AW2305" s="74"/>
      <c r="AX2305" s="74"/>
    </row>
    <row r="2306" spans="1:50" ht="13" x14ac:dyDescent="0.15">
      <c r="A2306" s="55" t="str">
        <f>HYPERLINK("http://reports.ofsted.gov.uk/inspection-reports/find-inspection-report/provider/CARE/SC046276","Ofsted Social Care Provider Webpage")</f>
        <v>Ofsted Social Care Provider Webpage</v>
      </c>
      <c r="B2306" s="55" t="s">
        <v>4043</v>
      </c>
      <c r="D2306" s="55" t="s">
        <v>2864</v>
      </c>
      <c r="E2306" s="74">
        <v>38065</v>
      </c>
      <c r="F2306" s="55" t="s">
        <v>344</v>
      </c>
      <c r="G2306" s="55" t="s">
        <v>360</v>
      </c>
      <c r="H2306" s="55" t="s">
        <v>360</v>
      </c>
      <c r="I2306" s="55" t="s">
        <v>360</v>
      </c>
      <c r="J2306" s="55" t="s">
        <v>360</v>
      </c>
      <c r="K2306" s="55" t="s">
        <v>360</v>
      </c>
      <c r="L2306" s="55" t="s">
        <v>360</v>
      </c>
      <c r="M2306" s="55" t="s">
        <v>136</v>
      </c>
      <c r="N2306" s="55" t="s">
        <v>136</v>
      </c>
      <c r="O2306" s="55" t="s">
        <v>174</v>
      </c>
      <c r="P2306" s="55" t="s">
        <v>570</v>
      </c>
      <c r="Q2306" s="55" t="s">
        <v>380</v>
      </c>
      <c r="R2306" s="85">
        <v>12</v>
      </c>
      <c r="S2306" s="55">
        <v>0</v>
      </c>
      <c r="T2306" s="74" t="s">
        <v>1525</v>
      </c>
      <c r="U2306" s="74" t="s">
        <v>6703</v>
      </c>
      <c r="V2306" s="74">
        <v>44376</v>
      </c>
      <c r="W2306" s="74">
        <v>44407</v>
      </c>
      <c r="X2306" s="55">
        <v>10165461</v>
      </c>
      <c r="Y2306" s="55" t="s">
        <v>6706</v>
      </c>
      <c r="AL2306" s="74"/>
      <c r="AM2306" s="74"/>
      <c r="AW2306" s="74"/>
      <c r="AX2306" s="74"/>
    </row>
    <row r="2307" spans="1:50" ht="13" x14ac:dyDescent="0.15">
      <c r="A2307" s="55" t="str">
        <f>HYPERLINK("http://reports.ofsted.gov.uk/inspection-reports/find-inspection-report/provider/CARE/SC046480","Ofsted Social Care Provider Webpage")</f>
        <v>Ofsted Social Care Provider Webpage</v>
      </c>
      <c r="B2307" s="55" t="s">
        <v>4044</v>
      </c>
      <c r="D2307" s="55" t="s">
        <v>373</v>
      </c>
      <c r="E2307" s="74">
        <v>37806</v>
      </c>
      <c r="F2307" s="55" t="s">
        <v>344</v>
      </c>
      <c r="G2307" s="55" t="s">
        <v>360</v>
      </c>
      <c r="H2307" s="55" t="s">
        <v>360</v>
      </c>
      <c r="I2307" s="55" t="s">
        <v>360</v>
      </c>
      <c r="J2307" s="55" t="s">
        <v>360</v>
      </c>
      <c r="K2307" s="55" t="s">
        <v>360</v>
      </c>
      <c r="L2307" s="55" t="s">
        <v>360</v>
      </c>
      <c r="M2307" s="55" t="s">
        <v>136</v>
      </c>
      <c r="N2307" s="55" t="s">
        <v>136</v>
      </c>
      <c r="O2307" s="55" t="s">
        <v>705</v>
      </c>
      <c r="P2307" s="55" t="s">
        <v>891</v>
      </c>
      <c r="Q2307" s="55" t="s">
        <v>350</v>
      </c>
      <c r="R2307" s="85">
        <v>3</v>
      </c>
      <c r="S2307" s="55">
        <v>0</v>
      </c>
      <c r="T2307" s="74" t="s">
        <v>892</v>
      </c>
      <c r="U2307" s="74" t="s">
        <v>351</v>
      </c>
      <c r="V2307" s="74">
        <v>44398</v>
      </c>
      <c r="W2307" s="74">
        <v>44439</v>
      </c>
      <c r="X2307" s="55">
        <v>10187132</v>
      </c>
      <c r="Y2307" s="55" t="s">
        <v>132</v>
      </c>
      <c r="AB2307" s="74" t="s">
        <v>132</v>
      </c>
      <c r="AC2307" s="55" t="s">
        <v>132</v>
      </c>
      <c r="AL2307" s="74"/>
      <c r="AM2307" s="74"/>
      <c r="AW2307" s="74"/>
      <c r="AX2307" s="74"/>
    </row>
    <row r="2308" spans="1:50" ht="13" x14ac:dyDescent="0.15">
      <c r="A2308" s="55" t="str">
        <f>HYPERLINK("http://reports.ofsted.gov.uk/inspection-reports/find-inspection-report/provider/CARE/SC046524","Ofsted Social Care Provider Webpage")</f>
        <v>Ofsted Social Care Provider Webpage</v>
      </c>
      <c r="B2308" s="55" t="s">
        <v>4045</v>
      </c>
      <c r="D2308" s="55" t="s">
        <v>2864</v>
      </c>
      <c r="E2308" s="74">
        <v>37914</v>
      </c>
      <c r="F2308" s="55" t="s">
        <v>344</v>
      </c>
      <c r="G2308" s="55" t="s">
        <v>360</v>
      </c>
      <c r="H2308" s="55" t="s">
        <v>360</v>
      </c>
      <c r="I2308" s="55" t="s">
        <v>360</v>
      </c>
      <c r="J2308" s="55" t="s">
        <v>360</v>
      </c>
      <c r="K2308" s="55" t="s">
        <v>360</v>
      </c>
      <c r="L2308" s="55" t="s">
        <v>360</v>
      </c>
      <c r="M2308" s="55" t="s">
        <v>378</v>
      </c>
      <c r="N2308" s="55" t="s">
        <v>134</v>
      </c>
      <c r="O2308" s="55" t="s">
        <v>251</v>
      </c>
      <c r="P2308" s="55" t="s">
        <v>4046</v>
      </c>
      <c r="Q2308" s="55" t="s">
        <v>380</v>
      </c>
      <c r="R2308" s="85">
        <v>10</v>
      </c>
      <c r="S2308" s="55">
        <v>0</v>
      </c>
      <c r="T2308" s="74" t="s">
        <v>3358</v>
      </c>
      <c r="U2308" s="74" t="s">
        <v>351</v>
      </c>
      <c r="V2308" s="74">
        <v>44593</v>
      </c>
      <c r="W2308" s="74">
        <v>44642</v>
      </c>
      <c r="X2308" s="55">
        <v>10165462</v>
      </c>
      <c r="Y2308" s="55" t="s">
        <v>140</v>
      </c>
      <c r="Z2308" s="55" t="s">
        <v>140</v>
      </c>
      <c r="AA2308" s="55" t="s">
        <v>140</v>
      </c>
      <c r="AB2308" s="74" t="s">
        <v>132</v>
      </c>
      <c r="AC2308" s="55" t="s">
        <v>140</v>
      </c>
      <c r="AL2308" s="74"/>
      <c r="AM2308" s="74"/>
    </row>
    <row r="2309" spans="1:50" ht="13" x14ac:dyDescent="0.15">
      <c r="A2309" s="55" t="str">
        <f>HYPERLINK("http://reports.ofsted.gov.uk/inspection-reports/find-inspection-report/provider/CARE/SC046524","Ofsted Social Care Provider Webpage")</f>
        <v>Ofsted Social Care Provider Webpage</v>
      </c>
      <c r="B2309" s="55" t="s">
        <v>4045</v>
      </c>
      <c r="D2309" s="55" t="s">
        <v>2864</v>
      </c>
      <c r="E2309" s="74">
        <v>37914</v>
      </c>
      <c r="F2309" s="55" t="s">
        <v>344</v>
      </c>
      <c r="G2309" s="55" t="s">
        <v>360</v>
      </c>
      <c r="H2309" s="55" t="s">
        <v>360</v>
      </c>
      <c r="I2309" s="55" t="s">
        <v>360</v>
      </c>
      <c r="J2309" s="55" t="s">
        <v>360</v>
      </c>
      <c r="K2309" s="55" t="s">
        <v>360</v>
      </c>
      <c r="L2309" s="55" t="s">
        <v>360</v>
      </c>
      <c r="M2309" s="55" t="s">
        <v>378</v>
      </c>
      <c r="N2309" s="55" t="s">
        <v>134</v>
      </c>
      <c r="O2309" s="55" t="s">
        <v>251</v>
      </c>
      <c r="P2309" s="55" t="s">
        <v>4046</v>
      </c>
      <c r="Q2309" s="55" t="s">
        <v>380</v>
      </c>
      <c r="R2309" s="85">
        <v>10</v>
      </c>
      <c r="S2309" s="55">
        <v>0</v>
      </c>
      <c r="T2309" s="74" t="s">
        <v>3358</v>
      </c>
      <c r="U2309" s="74" t="s">
        <v>6703</v>
      </c>
      <c r="V2309" s="74">
        <v>44440</v>
      </c>
      <c r="W2309" s="74">
        <v>44480</v>
      </c>
      <c r="X2309" s="55">
        <v>10165463</v>
      </c>
      <c r="Y2309" s="55" t="s">
        <v>6706</v>
      </c>
      <c r="AL2309" s="74"/>
      <c r="AM2309" s="74"/>
      <c r="AW2309" s="74"/>
      <c r="AX2309" s="74"/>
    </row>
    <row r="2310" spans="1:50" ht="13" x14ac:dyDescent="0.15">
      <c r="A2310" s="55" t="str">
        <f>HYPERLINK("http://reports.ofsted.gov.uk/inspection-reports/find-inspection-report/provider/CARE/SC047194","Ofsted Social Care Provider Webpage")</f>
        <v>Ofsted Social Care Provider Webpage</v>
      </c>
      <c r="B2310" s="55" t="s">
        <v>4059</v>
      </c>
      <c r="D2310" s="55" t="s">
        <v>451</v>
      </c>
      <c r="E2310" s="74">
        <v>38070</v>
      </c>
      <c r="F2310" s="55" t="s">
        <v>344</v>
      </c>
      <c r="G2310" s="55" t="s">
        <v>4060</v>
      </c>
      <c r="H2310" s="55" t="s">
        <v>4061</v>
      </c>
      <c r="I2310" s="55" t="s">
        <v>354</v>
      </c>
      <c r="J2310" s="55" t="s">
        <v>2578</v>
      </c>
      <c r="L2310" s="55" t="s">
        <v>4062</v>
      </c>
      <c r="M2310" s="55" t="s">
        <v>129</v>
      </c>
      <c r="N2310" s="55" t="s">
        <v>129</v>
      </c>
      <c r="O2310" s="55" t="s">
        <v>208</v>
      </c>
      <c r="P2310" s="55" t="s">
        <v>3178</v>
      </c>
      <c r="Q2310" s="55" t="s">
        <v>362</v>
      </c>
      <c r="R2310" s="85">
        <v>4</v>
      </c>
      <c r="S2310" s="55">
        <v>0</v>
      </c>
      <c r="T2310" s="74" t="s">
        <v>4063</v>
      </c>
      <c r="U2310" s="74" t="s">
        <v>351</v>
      </c>
      <c r="V2310" s="74">
        <v>44620</v>
      </c>
      <c r="W2310" s="74">
        <v>44659</v>
      </c>
      <c r="X2310" s="55">
        <v>10183445</v>
      </c>
      <c r="Y2310" s="55" t="s">
        <v>132</v>
      </c>
      <c r="AB2310" s="74" t="s">
        <v>130</v>
      </c>
      <c r="AC2310" s="55" t="s">
        <v>132</v>
      </c>
      <c r="AL2310" s="74"/>
      <c r="AM2310" s="74"/>
      <c r="AW2310" s="74"/>
      <c r="AX2310" s="74"/>
    </row>
    <row r="2311" spans="1:50" ht="13" x14ac:dyDescent="0.15">
      <c r="A2311" s="55" t="str">
        <f>HYPERLINK("http://reports.ofsted.gov.uk/inspection-reports/find-inspection-report/provider/CARE/SC047407","Ofsted Social Care Provider Webpage")</f>
        <v>Ofsted Social Care Provider Webpage</v>
      </c>
      <c r="B2311" s="55" t="s">
        <v>4073</v>
      </c>
      <c r="D2311" s="55" t="s">
        <v>389</v>
      </c>
      <c r="E2311" s="74">
        <v>38016</v>
      </c>
      <c r="F2311" s="55" t="s">
        <v>344</v>
      </c>
      <c r="G2311" s="55" t="s">
        <v>4074</v>
      </c>
      <c r="H2311" s="55" t="s">
        <v>4075</v>
      </c>
      <c r="I2311" s="55" t="s">
        <v>4076</v>
      </c>
      <c r="J2311" s="55" t="s">
        <v>4077</v>
      </c>
      <c r="K2311" s="55" t="s">
        <v>203</v>
      </c>
      <c r="L2311" s="55" t="s">
        <v>4078</v>
      </c>
      <c r="M2311" s="55" t="s">
        <v>150</v>
      </c>
      <c r="N2311" s="55" t="s">
        <v>150</v>
      </c>
      <c r="O2311" s="55" t="s">
        <v>203</v>
      </c>
      <c r="P2311" s="55" t="s">
        <v>563</v>
      </c>
      <c r="Q2311" s="55" t="s">
        <v>350</v>
      </c>
      <c r="S2311" s="55">
        <v>0</v>
      </c>
      <c r="T2311" s="74" t="s">
        <v>4079</v>
      </c>
      <c r="U2311" s="74" t="s">
        <v>2053</v>
      </c>
      <c r="V2311" s="74">
        <v>44329</v>
      </c>
      <c r="W2311" s="74">
        <v>44400</v>
      </c>
      <c r="X2311" s="55">
        <v>10194644</v>
      </c>
      <c r="AL2311" s="74"/>
      <c r="AM2311" s="74"/>
      <c r="AW2311" s="74"/>
      <c r="AX2311" s="74"/>
    </row>
    <row r="2312" spans="1:50" ht="13" x14ac:dyDescent="0.15">
      <c r="A2312" s="55" t="str">
        <f>HYPERLINK("http://reports.ofsted.gov.uk/inspection-reports/find-inspection-report/provider/CARE/SC047407","Ofsted Social Care Provider Webpage")</f>
        <v>Ofsted Social Care Provider Webpage</v>
      </c>
      <c r="B2312" s="55" t="s">
        <v>4073</v>
      </c>
      <c r="D2312" s="55" t="s">
        <v>389</v>
      </c>
      <c r="E2312" s="74">
        <v>38016</v>
      </c>
      <c r="F2312" s="55" t="s">
        <v>344</v>
      </c>
      <c r="G2312" s="55" t="s">
        <v>4074</v>
      </c>
      <c r="H2312" s="55" t="s">
        <v>4075</v>
      </c>
      <c r="I2312" s="55" t="s">
        <v>4076</v>
      </c>
      <c r="J2312" s="55" t="s">
        <v>4077</v>
      </c>
      <c r="K2312" s="55" t="s">
        <v>203</v>
      </c>
      <c r="L2312" s="55" t="s">
        <v>4078</v>
      </c>
      <c r="M2312" s="55" t="s">
        <v>150</v>
      </c>
      <c r="N2312" s="55" t="s">
        <v>150</v>
      </c>
      <c r="O2312" s="55" t="s">
        <v>203</v>
      </c>
      <c r="P2312" s="55" t="s">
        <v>563</v>
      </c>
      <c r="Q2312" s="55" t="s">
        <v>350</v>
      </c>
      <c r="S2312" s="55">
        <v>0</v>
      </c>
      <c r="T2312" s="74" t="s">
        <v>4079</v>
      </c>
      <c r="U2312" s="74" t="s">
        <v>2053</v>
      </c>
      <c r="V2312" s="74">
        <v>44550</v>
      </c>
      <c r="W2312" s="74">
        <v>44606</v>
      </c>
      <c r="X2312" s="55">
        <v>10217284</v>
      </c>
      <c r="AL2312" s="74"/>
      <c r="AM2312" s="74"/>
      <c r="AW2312" s="74"/>
      <c r="AX2312" s="74"/>
    </row>
    <row r="2313" spans="1:50" ht="13" x14ac:dyDescent="0.15">
      <c r="A2313" s="55" t="str">
        <f>HYPERLINK("http://reports.ofsted.gov.uk/inspection-reports/find-inspection-report/provider/CARE/SC047894","Ofsted Social Care Provider Webpage")</f>
        <v>Ofsted Social Care Provider Webpage</v>
      </c>
      <c r="B2313" s="55" t="s">
        <v>4095</v>
      </c>
      <c r="D2313" s="55" t="s">
        <v>373</v>
      </c>
      <c r="E2313" s="74">
        <v>37890</v>
      </c>
      <c r="F2313" s="55" t="s">
        <v>344</v>
      </c>
      <c r="G2313" s="55" t="s">
        <v>360</v>
      </c>
      <c r="H2313" s="55" t="s">
        <v>360</v>
      </c>
      <c r="I2313" s="55" t="s">
        <v>360</v>
      </c>
      <c r="J2313" s="55" t="s">
        <v>360</v>
      </c>
      <c r="K2313" s="55" t="s">
        <v>360</v>
      </c>
      <c r="L2313" s="55" t="s">
        <v>360</v>
      </c>
      <c r="M2313" s="55" t="s">
        <v>138</v>
      </c>
      <c r="N2313" s="55" t="s">
        <v>138</v>
      </c>
      <c r="O2313" s="55" t="s">
        <v>266</v>
      </c>
      <c r="P2313" s="55" t="s">
        <v>1622</v>
      </c>
      <c r="Q2313" s="55" t="s">
        <v>350</v>
      </c>
      <c r="R2313" s="85">
        <v>4</v>
      </c>
      <c r="S2313" s="55">
        <v>0</v>
      </c>
      <c r="T2313" s="74" t="s">
        <v>1623</v>
      </c>
      <c r="U2313" s="74" t="s">
        <v>351</v>
      </c>
      <c r="V2313" s="74">
        <v>44502</v>
      </c>
      <c r="W2313" s="74">
        <v>44530</v>
      </c>
      <c r="X2313" s="55">
        <v>10185062</v>
      </c>
      <c r="Y2313" s="55" t="s">
        <v>132</v>
      </c>
      <c r="AB2313" s="74" t="s">
        <v>132</v>
      </c>
      <c r="AC2313" s="55" t="s">
        <v>132</v>
      </c>
      <c r="AL2313" s="74"/>
      <c r="AM2313" s="74"/>
    </row>
    <row r="2314" spans="1:50" ht="13" x14ac:dyDescent="0.15">
      <c r="A2314" s="55" t="str">
        <f>HYPERLINK("http://reports.ofsted.gov.uk/inspection-reports/find-inspection-report/provider/CARE/SC047978","Ofsted Social Care Provider Webpage")</f>
        <v>Ofsted Social Care Provider Webpage</v>
      </c>
      <c r="B2314" s="55" t="s">
        <v>4096</v>
      </c>
      <c r="D2314" s="55" t="s">
        <v>373</v>
      </c>
      <c r="E2314" s="74">
        <v>37799</v>
      </c>
      <c r="F2314" s="55" t="s">
        <v>344</v>
      </c>
      <c r="G2314" s="55" t="s">
        <v>360</v>
      </c>
      <c r="H2314" s="55" t="s">
        <v>360</v>
      </c>
      <c r="I2314" s="55" t="s">
        <v>360</v>
      </c>
      <c r="J2314" s="55" t="s">
        <v>360</v>
      </c>
      <c r="K2314" s="55" t="s">
        <v>360</v>
      </c>
      <c r="L2314" s="55" t="s">
        <v>360</v>
      </c>
      <c r="M2314" s="55" t="s">
        <v>172</v>
      </c>
      <c r="N2314" s="55" t="s">
        <v>172</v>
      </c>
      <c r="O2314" s="55" t="s">
        <v>235</v>
      </c>
      <c r="P2314" s="55" t="s">
        <v>1355</v>
      </c>
      <c r="Q2314" s="55" t="s">
        <v>350</v>
      </c>
      <c r="R2314" s="85">
        <v>5</v>
      </c>
      <c r="S2314" s="55">
        <v>0</v>
      </c>
      <c r="T2314" s="74" t="s">
        <v>861</v>
      </c>
      <c r="U2314" s="74" t="s">
        <v>351</v>
      </c>
      <c r="V2314" s="74">
        <v>44348</v>
      </c>
      <c r="W2314" s="74">
        <v>44382</v>
      </c>
      <c r="X2314" s="55">
        <v>10187546</v>
      </c>
      <c r="Y2314" s="55" t="s">
        <v>132</v>
      </c>
      <c r="AB2314" s="74" t="s">
        <v>130</v>
      </c>
      <c r="AC2314" s="55" t="s">
        <v>132</v>
      </c>
      <c r="AL2314" s="74"/>
      <c r="AM2314" s="74"/>
      <c r="AW2314" s="74"/>
      <c r="AX2314" s="74"/>
    </row>
    <row r="2315" spans="1:50" ht="13" x14ac:dyDescent="0.15">
      <c r="A2315" s="55" t="str">
        <f>HYPERLINK("http://reports.ofsted.gov.uk/inspection-reports/find-inspection-report/provider/CARE/SC047978","Ofsted Social Care Provider Webpage")</f>
        <v>Ofsted Social Care Provider Webpage</v>
      </c>
      <c r="B2315" s="55" t="s">
        <v>4096</v>
      </c>
      <c r="D2315" s="55" t="s">
        <v>373</v>
      </c>
      <c r="E2315" s="74">
        <v>37799</v>
      </c>
      <c r="F2315" s="55" t="s">
        <v>344</v>
      </c>
      <c r="G2315" s="55" t="s">
        <v>360</v>
      </c>
      <c r="H2315" s="55" t="s">
        <v>360</v>
      </c>
      <c r="I2315" s="55" t="s">
        <v>360</v>
      </c>
      <c r="J2315" s="55" t="s">
        <v>360</v>
      </c>
      <c r="K2315" s="55" t="s">
        <v>360</v>
      </c>
      <c r="L2315" s="55" t="s">
        <v>360</v>
      </c>
      <c r="M2315" s="55" t="s">
        <v>172</v>
      </c>
      <c r="N2315" s="55" t="s">
        <v>172</v>
      </c>
      <c r="O2315" s="55" t="s">
        <v>235</v>
      </c>
      <c r="P2315" s="55" t="s">
        <v>1355</v>
      </c>
      <c r="Q2315" s="55" t="s">
        <v>350</v>
      </c>
      <c r="R2315" s="85">
        <v>5</v>
      </c>
      <c r="S2315" s="55">
        <v>0</v>
      </c>
      <c r="T2315" s="74" t="s">
        <v>861</v>
      </c>
      <c r="U2315" s="74" t="s">
        <v>2053</v>
      </c>
      <c r="V2315" s="74">
        <v>44599</v>
      </c>
      <c r="W2315" s="74">
        <v>44628</v>
      </c>
      <c r="X2315" s="55">
        <v>10221763</v>
      </c>
      <c r="AL2315" s="74"/>
      <c r="AM2315" s="74"/>
      <c r="AW2315" s="74"/>
      <c r="AX2315" s="74"/>
    </row>
    <row r="2316" spans="1:50" ht="13" x14ac:dyDescent="0.15">
      <c r="A2316" s="55" t="str">
        <f>HYPERLINK("http://reports.ofsted.gov.uk/inspection-reports/find-inspection-report/provider/CARE/SC048438","Ofsted Social Care Provider Webpage")</f>
        <v>Ofsted Social Care Provider Webpage</v>
      </c>
      <c r="B2316" s="55" t="s">
        <v>4103</v>
      </c>
      <c r="D2316" s="55" t="s">
        <v>468</v>
      </c>
      <c r="E2316" s="74">
        <v>37790</v>
      </c>
      <c r="F2316" s="55" t="s">
        <v>344</v>
      </c>
      <c r="G2316" s="55" t="s">
        <v>4104</v>
      </c>
      <c r="H2316" s="55" t="s">
        <v>3538</v>
      </c>
      <c r="I2316" s="55" t="s">
        <v>3539</v>
      </c>
      <c r="J2316" s="55" t="s">
        <v>3540</v>
      </c>
      <c r="L2316" s="55" t="s">
        <v>3541</v>
      </c>
      <c r="M2316" s="55" t="s">
        <v>144</v>
      </c>
      <c r="N2316" s="55" t="s">
        <v>144</v>
      </c>
      <c r="O2316" s="55" t="s">
        <v>209</v>
      </c>
      <c r="P2316" s="55" t="s">
        <v>555</v>
      </c>
      <c r="Q2316" s="55" t="s">
        <v>362</v>
      </c>
      <c r="S2316" s="55">
        <v>0</v>
      </c>
      <c r="T2316" s="74" t="s">
        <v>3542</v>
      </c>
      <c r="U2316" s="74" t="s">
        <v>351</v>
      </c>
      <c r="V2316" s="74">
        <v>44529</v>
      </c>
      <c r="W2316" s="74">
        <v>44580</v>
      </c>
      <c r="X2316" s="55">
        <v>10183459</v>
      </c>
      <c r="Y2316" s="55" t="s">
        <v>140</v>
      </c>
      <c r="AB2316" s="74" t="s">
        <v>140</v>
      </c>
      <c r="AC2316" s="55" t="s">
        <v>140</v>
      </c>
      <c r="AL2316" s="74"/>
      <c r="AM2316" s="74"/>
      <c r="AW2316" s="74"/>
      <c r="AX2316" s="74"/>
    </row>
    <row r="2317" spans="1:50" ht="13" x14ac:dyDescent="0.15">
      <c r="A2317" s="55" t="str">
        <f>HYPERLINK("http://reports.ofsted.gov.uk/inspection-reports/find-inspection-report/provider/CARE/SC048496","Ofsted Social Care Provider Webpage")</f>
        <v>Ofsted Social Care Provider Webpage</v>
      </c>
      <c r="B2317" s="55" t="s">
        <v>4110</v>
      </c>
      <c r="D2317" s="55" t="s">
        <v>468</v>
      </c>
      <c r="E2317" s="74">
        <v>37790</v>
      </c>
      <c r="F2317" s="55" t="s">
        <v>344</v>
      </c>
      <c r="G2317" s="55" t="s">
        <v>3205</v>
      </c>
      <c r="H2317" s="55" t="s">
        <v>4111</v>
      </c>
      <c r="I2317" s="55" t="s">
        <v>354</v>
      </c>
      <c r="J2317" s="55" t="s">
        <v>129</v>
      </c>
      <c r="L2317" s="55" t="s">
        <v>3204</v>
      </c>
      <c r="M2317" s="55" t="s">
        <v>129</v>
      </c>
      <c r="N2317" s="55" t="s">
        <v>129</v>
      </c>
      <c r="O2317" s="55" t="s">
        <v>160</v>
      </c>
      <c r="P2317" s="55" t="s">
        <v>447</v>
      </c>
      <c r="Q2317" s="55" t="s">
        <v>362</v>
      </c>
      <c r="S2317" s="55">
        <v>0</v>
      </c>
      <c r="T2317" s="74" t="s">
        <v>3205</v>
      </c>
      <c r="U2317" s="74" t="s">
        <v>351</v>
      </c>
      <c r="V2317" s="74">
        <v>44515</v>
      </c>
      <c r="W2317" s="74">
        <v>44580</v>
      </c>
      <c r="X2317" s="55">
        <v>10183455</v>
      </c>
      <c r="Y2317" s="55" t="s">
        <v>140</v>
      </c>
      <c r="AB2317" s="74" t="s">
        <v>132</v>
      </c>
      <c r="AC2317" s="55" t="s">
        <v>140</v>
      </c>
      <c r="AL2317" s="74"/>
      <c r="AM2317" s="74"/>
      <c r="AW2317" s="74"/>
      <c r="AX2317" s="74"/>
    </row>
    <row r="2318" spans="1:50" ht="13" x14ac:dyDescent="0.15">
      <c r="A2318" s="55" t="str">
        <f>HYPERLINK("http://reports.ofsted.gov.uk/inspection-reports/find-inspection-report/provider/CARE/SC048552","Ofsted Social Care Provider Webpage")</f>
        <v>Ofsted Social Care Provider Webpage</v>
      </c>
      <c r="B2318" s="55" t="s">
        <v>4118</v>
      </c>
      <c r="D2318" s="55" t="s">
        <v>479</v>
      </c>
      <c r="E2318" s="74">
        <v>37862</v>
      </c>
      <c r="F2318" s="55" t="s">
        <v>344</v>
      </c>
      <c r="G2318" s="55" t="s">
        <v>360</v>
      </c>
      <c r="H2318" s="55" t="s">
        <v>360</v>
      </c>
      <c r="I2318" s="55" t="s">
        <v>360</v>
      </c>
      <c r="J2318" s="55" t="s">
        <v>360</v>
      </c>
      <c r="K2318" s="55" t="s">
        <v>360</v>
      </c>
      <c r="L2318" s="55" t="s">
        <v>360</v>
      </c>
      <c r="M2318" s="55" t="s">
        <v>144</v>
      </c>
      <c r="N2318" s="55" t="s">
        <v>144</v>
      </c>
      <c r="O2318" s="55" t="s">
        <v>168</v>
      </c>
      <c r="P2318" s="55" t="s">
        <v>834</v>
      </c>
      <c r="Q2318" s="55" t="s">
        <v>350</v>
      </c>
      <c r="R2318" s="85">
        <v>50</v>
      </c>
      <c r="S2318" s="55">
        <v>0</v>
      </c>
      <c r="T2318" s="74" t="s">
        <v>4119</v>
      </c>
      <c r="U2318" s="74" t="s">
        <v>351</v>
      </c>
      <c r="V2318" s="74">
        <v>44517</v>
      </c>
      <c r="W2318" s="74">
        <v>44559</v>
      </c>
      <c r="X2318" s="55">
        <v>10187572</v>
      </c>
      <c r="Y2318" s="55" t="s">
        <v>132</v>
      </c>
      <c r="AB2318" s="74" t="s">
        <v>132</v>
      </c>
      <c r="AC2318" s="55" t="s">
        <v>132</v>
      </c>
      <c r="AL2318" s="74"/>
      <c r="AM2318" s="74"/>
      <c r="AW2318" s="74"/>
      <c r="AX2318" s="74"/>
    </row>
    <row r="2319" spans="1:50" ht="13" x14ac:dyDescent="0.15">
      <c r="A2319" s="55" t="str">
        <f>HYPERLINK("http://reports.ofsted.gov.uk/inspection-reports/find-inspection-report/provider/CARE/SC048718","Ofsted Social Care Provider Webpage")</f>
        <v>Ofsted Social Care Provider Webpage</v>
      </c>
      <c r="B2319" s="55" t="s">
        <v>4120</v>
      </c>
      <c r="D2319" s="55" t="s">
        <v>451</v>
      </c>
      <c r="E2319" s="74">
        <v>37995</v>
      </c>
      <c r="F2319" s="55" t="s">
        <v>344</v>
      </c>
      <c r="G2319" s="55" t="s">
        <v>4121</v>
      </c>
      <c r="H2319" s="55" t="s">
        <v>4122</v>
      </c>
      <c r="I2319" s="55" t="s">
        <v>4123</v>
      </c>
      <c r="J2319" s="55" t="s">
        <v>203</v>
      </c>
      <c r="L2319" s="55" t="s">
        <v>4124</v>
      </c>
      <c r="M2319" s="55" t="s">
        <v>129</v>
      </c>
      <c r="N2319" s="55" t="s">
        <v>129</v>
      </c>
      <c r="O2319" s="55" t="s">
        <v>155</v>
      </c>
      <c r="P2319" s="55" t="s">
        <v>482</v>
      </c>
      <c r="Q2319" s="55" t="s">
        <v>350</v>
      </c>
      <c r="R2319" s="85">
        <v>9</v>
      </c>
      <c r="S2319" s="55">
        <v>0</v>
      </c>
      <c r="T2319" s="74" t="s">
        <v>4125</v>
      </c>
      <c r="U2319" s="74" t="s">
        <v>2053</v>
      </c>
      <c r="V2319" s="74">
        <v>44321</v>
      </c>
      <c r="W2319" s="74">
        <v>44351</v>
      </c>
      <c r="X2319" s="55">
        <v>10192157</v>
      </c>
      <c r="AL2319" s="74"/>
      <c r="AM2319" s="74"/>
    </row>
    <row r="2320" spans="1:50" ht="13" x14ac:dyDescent="0.15">
      <c r="A2320" s="55" t="str">
        <f>HYPERLINK("http://reports.ofsted.gov.uk/inspection-reports/find-inspection-report/provider/CARE/SC048718","Ofsted Social Care Provider Webpage")</f>
        <v>Ofsted Social Care Provider Webpage</v>
      </c>
      <c r="B2320" s="55" t="s">
        <v>4120</v>
      </c>
      <c r="D2320" s="55" t="s">
        <v>451</v>
      </c>
      <c r="E2320" s="74">
        <v>37995</v>
      </c>
      <c r="F2320" s="55" t="s">
        <v>344</v>
      </c>
      <c r="G2320" s="55" t="s">
        <v>4121</v>
      </c>
      <c r="H2320" s="55" t="s">
        <v>4122</v>
      </c>
      <c r="I2320" s="55" t="s">
        <v>4123</v>
      </c>
      <c r="J2320" s="55" t="s">
        <v>203</v>
      </c>
      <c r="L2320" s="55" t="s">
        <v>4124</v>
      </c>
      <c r="M2320" s="55" t="s">
        <v>129</v>
      </c>
      <c r="N2320" s="55" t="s">
        <v>129</v>
      </c>
      <c r="O2320" s="55" t="s">
        <v>155</v>
      </c>
      <c r="P2320" s="55" t="s">
        <v>482</v>
      </c>
      <c r="Q2320" s="55" t="s">
        <v>350</v>
      </c>
      <c r="R2320" s="85">
        <v>9</v>
      </c>
      <c r="S2320" s="55">
        <v>0</v>
      </c>
      <c r="T2320" s="74" t="s">
        <v>4125</v>
      </c>
      <c r="U2320" s="74" t="s">
        <v>351</v>
      </c>
      <c r="V2320" s="74">
        <v>44475</v>
      </c>
      <c r="W2320" s="74">
        <v>44510</v>
      </c>
      <c r="X2320" s="55">
        <v>10183442</v>
      </c>
      <c r="Y2320" s="55" t="s">
        <v>132</v>
      </c>
      <c r="AB2320" s="74" t="s">
        <v>132</v>
      </c>
      <c r="AC2320" s="55" t="s">
        <v>130</v>
      </c>
      <c r="AL2320" s="74"/>
      <c r="AM2320" s="74"/>
      <c r="AW2320" s="74"/>
      <c r="AX2320" s="74"/>
    </row>
    <row r="2321" spans="1:50" ht="13" x14ac:dyDescent="0.15">
      <c r="A2321" s="55" t="str">
        <f>HYPERLINK("http://reports.ofsted.gov.uk/inspection-reports/find-inspection-report/provider/CARE/SC049026","Ofsted Social Care Provider Webpage")</f>
        <v>Ofsted Social Care Provider Webpage</v>
      </c>
      <c r="B2321" s="55" t="s">
        <v>4132</v>
      </c>
      <c r="D2321" s="55" t="s">
        <v>468</v>
      </c>
      <c r="E2321" s="74">
        <v>37802</v>
      </c>
      <c r="F2321" s="55" t="s">
        <v>344</v>
      </c>
      <c r="G2321" s="55" t="s">
        <v>4133</v>
      </c>
      <c r="H2321" s="55" t="s">
        <v>4134</v>
      </c>
      <c r="I2321" s="55" t="s">
        <v>4135</v>
      </c>
      <c r="J2321" s="55" t="s">
        <v>4136</v>
      </c>
      <c r="K2321" s="55" t="s">
        <v>174</v>
      </c>
      <c r="L2321" s="55" t="s">
        <v>4137</v>
      </c>
      <c r="M2321" s="55" t="s">
        <v>136</v>
      </c>
      <c r="N2321" s="55" t="s">
        <v>136</v>
      </c>
      <c r="O2321" s="55" t="s">
        <v>174</v>
      </c>
      <c r="P2321" s="55" t="s">
        <v>1526</v>
      </c>
      <c r="Q2321" s="55" t="s">
        <v>362</v>
      </c>
      <c r="S2321" s="55">
        <v>0</v>
      </c>
      <c r="T2321" s="74" t="s">
        <v>4138</v>
      </c>
      <c r="U2321" s="74" t="s">
        <v>351</v>
      </c>
      <c r="V2321" s="74">
        <v>44571</v>
      </c>
      <c r="W2321" s="74">
        <v>44606</v>
      </c>
      <c r="X2321" s="55">
        <v>10183454</v>
      </c>
      <c r="Y2321" s="55" t="s">
        <v>132</v>
      </c>
      <c r="AB2321" s="74" t="s">
        <v>132</v>
      </c>
      <c r="AC2321" s="55" t="s">
        <v>132</v>
      </c>
      <c r="AL2321" s="74"/>
      <c r="AM2321" s="74"/>
      <c r="AW2321" s="74"/>
      <c r="AX2321" s="74"/>
    </row>
    <row r="2322" spans="1:50" ht="13" x14ac:dyDescent="0.15">
      <c r="A2322" s="55" t="str">
        <f>HYPERLINK("http://reports.ofsted.gov.uk/inspection-reports/find-inspection-report/provider/CARE/SC049189","Ofsted Social Care Provider Webpage")</f>
        <v>Ofsted Social Care Provider Webpage</v>
      </c>
      <c r="B2322" s="55" t="s">
        <v>4171</v>
      </c>
      <c r="D2322" s="55" t="s">
        <v>373</v>
      </c>
      <c r="E2322" s="74">
        <v>38253</v>
      </c>
      <c r="F2322" s="55" t="s">
        <v>344</v>
      </c>
      <c r="G2322" s="55" t="s">
        <v>360</v>
      </c>
      <c r="H2322" s="55" t="s">
        <v>360</v>
      </c>
      <c r="I2322" s="55" t="s">
        <v>360</v>
      </c>
      <c r="J2322" s="55" t="s">
        <v>360</v>
      </c>
      <c r="K2322" s="55" t="s">
        <v>360</v>
      </c>
      <c r="L2322" s="55" t="s">
        <v>360</v>
      </c>
      <c r="M2322" s="55" t="s">
        <v>144</v>
      </c>
      <c r="N2322" s="55" t="s">
        <v>144</v>
      </c>
      <c r="O2322" s="55" t="s">
        <v>245</v>
      </c>
      <c r="P2322" s="55" t="s">
        <v>1796</v>
      </c>
      <c r="Q2322" s="55" t="s">
        <v>350</v>
      </c>
      <c r="R2322" s="85">
        <v>3</v>
      </c>
      <c r="S2322" s="55">
        <v>0</v>
      </c>
      <c r="T2322" s="74" t="s">
        <v>1505</v>
      </c>
      <c r="U2322" s="74" t="s">
        <v>351</v>
      </c>
      <c r="V2322" s="74">
        <v>44516</v>
      </c>
      <c r="W2322" s="74">
        <v>44565</v>
      </c>
      <c r="X2322" s="55">
        <v>10185410</v>
      </c>
      <c r="Y2322" s="55" t="s">
        <v>130</v>
      </c>
      <c r="AB2322" s="74" t="s">
        <v>130</v>
      </c>
      <c r="AC2322" s="55" t="s">
        <v>130</v>
      </c>
      <c r="AL2322" s="74"/>
      <c r="AM2322" s="74"/>
      <c r="AW2322" s="74"/>
      <c r="AX2322" s="74"/>
    </row>
    <row r="2323" spans="1:50" ht="13" x14ac:dyDescent="0.15">
      <c r="A2323" s="55" t="str">
        <f>HYPERLINK("http://reports.ofsted.gov.uk/inspection-reports/find-inspection-report/provider/CARE/SC049345","Ofsted Social Care Provider Webpage")</f>
        <v>Ofsted Social Care Provider Webpage</v>
      </c>
      <c r="B2323" s="55" t="s">
        <v>4178</v>
      </c>
      <c r="C2323" s="55">
        <v>114635</v>
      </c>
      <c r="D2323" s="55" t="s">
        <v>413</v>
      </c>
      <c r="E2323" s="74">
        <v>37806</v>
      </c>
      <c r="F2323" s="55" t="s">
        <v>344</v>
      </c>
      <c r="G2323" s="55" t="s">
        <v>4179</v>
      </c>
      <c r="H2323" s="55" t="s">
        <v>4180</v>
      </c>
      <c r="I2323" s="55" t="s">
        <v>4181</v>
      </c>
      <c r="J2323" s="55" t="s">
        <v>4182</v>
      </c>
      <c r="K2323" s="55" t="s">
        <v>181</v>
      </c>
      <c r="L2323" s="55" t="s">
        <v>4183</v>
      </c>
      <c r="M2323" s="55" t="s">
        <v>150</v>
      </c>
      <c r="N2323" s="55" t="s">
        <v>150</v>
      </c>
      <c r="O2323" s="55" t="s">
        <v>181</v>
      </c>
      <c r="P2323" s="55" t="s">
        <v>626</v>
      </c>
      <c r="Q2323" s="55" t="s">
        <v>362</v>
      </c>
      <c r="R2323" s="85">
        <v>26</v>
      </c>
      <c r="S2323" s="55">
        <v>0</v>
      </c>
      <c r="T2323" s="74" t="s">
        <v>4184</v>
      </c>
      <c r="U2323" s="74" t="s">
        <v>351</v>
      </c>
      <c r="V2323" s="74">
        <v>44523</v>
      </c>
      <c r="W2323" s="74">
        <v>44581</v>
      </c>
      <c r="X2323" s="55">
        <v>10183478</v>
      </c>
      <c r="Y2323" s="55" t="s">
        <v>132</v>
      </c>
      <c r="AB2323" s="74" t="s">
        <v>132</v>
      </c>
      <c r="AC2323" s="55" t="s">
        <v>132</v>
      </c>
      <c r="AL2323" s="74"/>
      <c r="AM2323" s="74"/>
      <c r="AW2323" s="74"/>
      <c r="AX2323" s="74"/>
    </row>
    <row r="2324" spans="1:50" ht="13" x14ac:dyDescent="0.15">
      <c r="A2324" s="55" t="str">
        <f>HYPERLINK("http://reports.ofsted.gov.uk/inspection-reports/find-inspection-report/provider/CARE/SC050152","Ofsted Social Care Provider Webpage")</f>
        <v>Ofsted Social Care Provider Webpage</v>
      </c>
      <c r="B2324" s="55" t="s">
        <v>4195</v>
      </c>
      <c r="C2324" s="55">
        <v>100986</v>
      </c>
      <c r="D2324" s="55" t="s">
        <v>413</v>
      </c>
      <c r="E2324" s="74">
        <v>37819</v>
      </c>
      <c r="F2324" s="55" t="s">
        <v>344</v>
      </c>
      <c r="G2324" s="55" t="s">
        <v>4196</v>
      </c>
      <c r="H2324" s="55" t="s">
        <v>4196</v>
      </c>
      <c r="I2324" s="55" t="s">
        <v>4197</v>
      </c>
      <c r="J2324" s="55" t="s">
        <v>4198</v>
      </c>
      <c r="K2324" s="55" t="s">
        <v>181</v>
      </c>
      <c r="L2324" s="55" t="s">
        <v>4199</v>
      </c>
      <c r="M2324" s="55" t="s">
        <v>150</v>
      </c>
      <c r="N2324" s="55" t="s">
        <v>150</v>
      </c>
      <c r="O2324" s="55" t="s">
        <v>181</v>
      </c>
      <c r="P2324" s="55" t="s">
        <v>937</v>
      </c>
      <c r="Q2324" s="55" t="s">
        <v>380</v>
      </c>
      <c r="R2324" s="85">
        <v>33</v>
      </c>
      <c r="S2324" s="55">
        <v>0</v>
      </c>
      <c r="T2324" s="74" t="s">
        <v>3026</v>
      </c>
      <c r="U2324" s="74" t="s">
        <v>351</v>
      </c>
      <c r="V2324" s="74">
        <v>44489</v>
      </c>
      <c r="W2324" s="74">
        <v>44550</v>
      </c>
      <c r="X2324" s="55">
        <v>10183539</v>
      </c>
      <c r="Y2324" s="55" t="s">
        <v>140</v>
      </c>
      <c r="AB2324" s="74" t="s">
        <v>140</v>
      </c>
      <c r="AC2324" s="55" t="s">
        <v>140</v>
      </c>
      <c r="AL2324" s="74"/>
      <c r="AM2324" s="74"/>
      <c r="AW2324" s="74"/>
      <c r="AX2324" s="74"/>
    </row>
    <row r="2325" spans="1:50" ht="13" x14ac:dyDescent="0.15">
      <c r="A2325" s="55" t="str">
        <f>HYPERLINK("http://reports.ofsted.gov.uk/inspection-reports/find-inspection-report/provider/CARE/SC050563","Ofsted Social Care Provider Webpage")</f>
        <v>Ofsted Social Care Provider Webpage</v>
      </c>
      <c r="B2325" s="55" t="s">
        <v>4226</v>
      </c>
      <c r="C2325" s="55">
        <v>133108</v>
      </c>
      <c r="D2325" s="55" t="s">
        <v>693</v>
      </c>
      <c r="E2325" s="74">
        <v>37826</v>
      </c>
      <c r="F2325" s="55" t="s">
        <v>344</v>
      </c>
      <c r="G2325" s="55" t="s">
        <v>4227</v>
      </c>
      <c r="H2325" s="55" t="s">
        <v>4227</v>
      </c>
      <c r="I2325" s="55" t="s">
        <v>4228</v>
      </c>
      <c r="J2325" s="55" t="s">
        <v>1457</v>
      </c>
      <c r="L2325" s="55" t="s">
        <v>4229</v>
      </c>
      <c r="M2325" s="55" t="s">
        <v>142</v>
      </c>
      <c r="N2325" s="55" t="s">
        <v>142</v>
      </c>
      <c r="O2325" s="55" t="s">
        <v>195</v>
      </c>
      <c r="P2325" s="55" t="s">
        <v>747</v>
      </c>
      <c r="Q2325" s="55" t="s">
        <v>362</v>
      </c>
      <c r="R2325" s="85">
        <v>77</v>
      </c>
      <c r="S2325" s="55">
        <v>0</v>
      </c>
      <c r="T2325" s="74" t="s">
        <v>4227</v>
      </c>
      <c r="U2325" s="74" t="s">
        <v>351</v>
      </c>
      <c r="V2325" s="74">
        <v>44586</v>
      </c>
      <c r="W2325" s="74">
        <v>44635</v>
      </c>
      <c r="X2325" s="55">
        <v>10183330</v>
      </c>
      <c r="Y2325" s="55" t="s">
        <v>132</v>
      </c>
      <c r="AB2325" s="74" t="s">
        <v>132</v>
      </c>
      <c r="AC2325" s="55" t="s">
        <v>132</v>
      </c>
      <c r="AL2325" s="74"/>
      <c r="AM2325" s="74"/>
      <c r="AW2325" s="74"/>
      <c r="AX2325" s="74"/>
    </row>
    <row r="2326" spans="1:50" ht="13" x14ac:dyDescent="0.15">
      <c r="A2326" s="55" t="str">
        <f>HYPERLINK("http://reports.ofsted.gov.uk/inspection-reports/find-inspection-report/provider/CARE/SC051513","Ofsted Social Care Provider Webpage")</f>
        <v>Ofsted Social Care Provider Webpage</v>
      </c>
      <c r="B2326" s="55" t="s">
        <v>4239</v>
      </c>
      <c r="D2326" s="55" t="s">
        <v>373</v>
      </c>
      <c r="E2326" s="74">
        <v>38019</v>
      </c>
      <c r="F2326" s="55" t="s">
        <v>344</v>
      </c>
      <c r="G2326" s="55" t="s">
        <v>360</v>
      </c>
      <c r="H2326" s="55" t="s">
        <v>360</v>
      </c>
      <c r="I2326" s="55" t="s">
        <v>360</v>
      </c>
      <c r="J2326" s="55" t="s">
        <v>360</v>
      </c>
      <c r="K2326" s="55" t="s">
        <v>360</v>
      </c>
      <c r="L2326" s="55" t="s">
        <v>360</v>
      </c>
      <c r="M2326" s="55" t="s">
        <v>172</v>
      </c>
      <c r="N2326" s="55" t="s">
        <v>172</v>
      </c>
      <c r="O2326" s="55" t="s">
        <v>173</v>
      </c>
      <c r="P2326" s="55" t="s">
        <v>2307</v>
      </c>
      <c r="Q2326" s="55" t="s">
        <v>380</v>
      </c>
      <c r="R2326" s="85">
        <v>4</v>
      </c>
      <c r="S2326" s="55">
        <v>0</v>
      </c>
      <c r="T2326" s="74" t="s">
        <v>3477</v>
      </c>
      <c r="U2326" s="74" t="s">
        <v>351</v>
      </c>
      <c r="V2326" s="74">
        <v>44545</v>
      </c>
      <c r="W2326" s="74">
        <v>44593</v>
      </c>
      <c r="X2326" s="55">
        <v>10187536</v>
      </c>
      <c r="Y2326" s="55" t="s">
        <v>130</v>
      </c>
      <c r="AB2326" s="74" t="s">
        <v>130</v>
      </c>
      <c r="AC2326" s="55" t="s">
        <v>130</v>
      </c>
      <c r="AL2326" s="74"/>
      <c r="AM2326" s="74"/>
      <c r="AW2326" s="74"/>
      <c r="AX2326" s="74"/>
    </row>
    <row r="2327" spans="1:50" ht="13" x14ac:dyDescent="0.15">
      <c r="A2327" s="55" t="str">
        <f>HYPERLINK("http://reports.ofsted.gov.uk/inspection-reports/find-inspection-report/provider/CARE/SC051739","Ofsted Social Care Provider Webpage")</f>
        <v>Ofsted Social Care Provider Webpage</v>
      </c>
      <c r="B2327" s="55" t="s">
        <v>4240</v>
      </c>
      <c r="D2327" s="55" t="s">
        <v>373</v>
      </c>
      <c r="E2327" s="74">
        <v>37949</v>
      </c>
      <c r="F2327" s="55" t="s">
        <v>344</v>
      </c>
      <c r="G2327" s="55" t="s">
        <v>360</v>
      </c>
      <c r="H2327" s="55" t="s">
        <v>360</v>
      </c>
      <c r="I2327" s="55" t="s">
        <v>360</v>
      </c>
      <c r="J2327" s="55" t="s">
        <v>360</v>
      </c>
      <c r="K2327" s="55" t="s">
        <v>360</v>
      </c>
      <c r="L2327" s="55" t="s">
        <v>360</v>
      </c>
      <c r="M2327" s="55" t="s">
        <v>172</v>
      </c>
      <c r="N2327" s="55" t="s">
        <v>172</v>
      </c>
      <c r="O2327" s="55" t="s">
        <v>235</v>
      </c>
      <c r="P2327" s="55" t="s">
        <v>1355</v>
      </c>
      <c r="Q2327" s="55" t="s">
        <v>350</v>
      </c>
      <c r="R2327" s="85">
        <v>3</v>
      </c>
      <c r="S2327" s="55">
        <v>0</v>
      </c>
      <c r="T2327" s="74" t="s">
        <v>1105</v>
      </c>
      <c r="U2327" s="74" t="s">
        <v>351</v>
      </c>
      <c r="V2327" s="74">
        <v>44502</v>
      </c>
      <c r="W2327" s="74">
        <v>44533</v>
      </c>
      <c r="X2327" s="55">
        <v>10187552</v>
      </c>
      <c r="Y2327" s="55" t="s">
        <v>130</v>
      </c>
      <c r="AB2327" s="74" t="s">
        <v>130</v>
      </c>
      <c r="AC2327" s="55" t="s">
        <v>130</v>
      </c>
      <c r="AL2327" s="74"/>
      <c r="AM2327" s="74"/>
      <c r="AW2327" s="74"/>
      <c r="AX2327" s="74"/>
    </row>
    <row r="2328" spans="1:50" ht="13" x14ac:dyDescent="0.15">
      <c r="A2328" s="55" t="str">
        <f>HYPERLINK("http://reports.ofsted.gov.uk/inspection-reports/find-inspection-report/provider/CARE/SC051886","Ofsted Social Care Provider Webpage")</f>
        <v>Ofsted Social Care Provider Webpage</v>
      </c>
      <c r="B2328" s="55" t="s">
        <v>4268</v>
      </c>
      <c r="D2328" s="55" t="s">
        <v>451</v>
      </c>
      <c r="E2328" s="74">
        <v>37970</v>
      </c>
      <c r="F2328" s="55" t="s">
        <v>344</v>
      </c>
      <c r="G2328" s="55" t="s">
        <v>4269</v>
      </c>
      <c r="H2328" s="55" t="s">
        <v>4270</v>
      </c>
      <c r="I2328" s="55" t="s">
        <v>354</v>
      </c>
      <c r="J2328" s="55" t="s">
        <v>3188</v>
      </c>
      <c r="K2328" s="55" t="s">
        <v>293</v>
      </c>
      <c r="L2328" s="55" t="s">
        <v>4271</v>
      </c>
      <c r="M2328" s="55" t="s">
        <v>142</v>
      </c>
      <c r="N2328" s="55" t="s">
        <v>142</v>
      </c>
      <c r="O2328" s="55" t="s">
        <v>293</v>
      </c>
      <c r="P2328" s="55" t="s">
        <v>984</v>
      </c>
      <c r="Q2328" s="55" t="s">
        <v>350</v>
      </c>
      <c r="R2328" s="85">
        <v>8</v>
      </c>
      <c r="S2328" s="55">
        <v>0</v>
      </c>
      <c r="T2328" s="74" t="s">
        <v>1423</v>
      </c>
      <c r="U2328" s="74" t="s">
        <v>351</v>
      </c>
      <c r="V2328" s="74">
        <v>44544</v>
      </c>
      <c r="W2328" s="74">
        <v>44595</v>
      </c>
      <c r="X2328" s="55">
        <v>10183452</v>
      </c>
      <c r="Y2328" s="55" t="s">
        <v>132</v>
      </c>
      <c r="AB2328" s="74" t="s">
        <v>132</v>
      </c>
      <c r="AC2328" s="55" t="s">
        <v>132</v>
      </c>
      <c r="AL2328" s="74"/>
      <c r="AM2328" s="74"/>
      <c r="AW2328" s="74"/>
      <c r="AX2328" s="74"/>
    </row>
    <row r="2329" spans="1:50" ht="13" x14ac:dyDescent="0.15">
      <c r="A2329" s="55" t="str">
        <f>HYPERLINK("http://reports.ofsted.gov.uk/inspection-reports/find-inspection-report/provider/CARE/SC051947","Ofsted Social Care Provider Webpage")</f>
        <v>Ofsted Social Care Provider Webpage</v>
      </c>
      <c r="B2329" s="55" t="s">
        <v>4272</v>
      </c>
      <c r="D2329" s="55" t="s">
        <v>373</v>
      </c>
      <c r="E2329" s="74">
        <v>37881</v>
      </c>
      <c r="F2329" s="55" t="s">
        <v>344</v>
      </c>
      <c r="G2329" s="55" t="s">
        <v>360</v>
      </c>
      <c r="H2329" s="55" t="s">
        <v>360</v>
      </c>
      <c r="I2329" s="55" t="s">
        <v>360</v>
      </c>
      <c r="J2329" s="55" t="s">
        <v>360</v>
      </c>
      <c r="K2329" s="55" t="s">
        <v>360</v>
      </c>
      <c r="L2329" s="55" t="s">
        <v>360</v>
      </c>
      <c r="M2329" s="55" t="s">
        <v>144</v>
      </c>
      <c r="N2329" s="55" t="s">
        <v>144</v>
      </c>
      <c r="O2329" s="55" t="s">
        <v>250</v>
      </c>
      <c r="P2329" s="55" t="s">
        <v>759</v>
      </c>
      <c r="Q2329" s="55" t="s">
        <v>350</v>
      </c>
      <c r="R2329" s="85">
        <v>2</v>
      </c>
      <c r="S2329" s="55">
        <v>0</v>
      </c>
      <c r="T2329" s="74" t="s">
        <v>1600</v>
      </c>
      <c r="U2329" s="74" t="s">
        <v>351</v>
      </c>
      <c r="V2329" s="74">
        <v>44621</v>
      </c>
      <c r="W2329" s="74">
        <v>44659</v>
      </c>
      <c r="X2329" s="55">
        <v>10186221</v>
      </c>
      <c r="Y2329" s="55" t="s">
        <v>130</v>
      </c>
      <c r="AB2329" s="74" t="s">
        <v>130</v>
      </c>
      <c r="AC2329" s="55" t="s">
        <v>130</v>
      </c>
      <c r="AL2329" s="74"/>
      <c r="AM2329" s="74"/>
    </row>
    <row r="2330" spans="1:50" ht="13" x14ac:dyDescent="0.15">
      <c r="A2330" s="55" t="str">
        <f>HYPERLINK("http://reports.ofsted.gov.uk/inspection-reports/find-inspection-report/provider/CARE/SC052398","Ofsted Social Care Provider Webpage")</f>
        <v>Ofsted Social Care Provider Webpage</v>
      </c>
      <c r="B2330" s="55" t="s">
        <v>4273</v>
      </c>
      <c r="D2330" s="55" t="s">
        <v>373</v>
      </c>
      <c r="E2330" s="74">
        <v>38064</v>
      </c>
      <c r="F2330" s="55" t="s">
        <v>344</v>
      </c>
      <c r="G2330" s="55" t="s">
        <v>360</v>
      </c>
      <c r="H2330" s="55" t="s">
        <v>360</v>
      </c>
      <c r="I2330" s="55" t="s">
        <v>360</v>
      </c>
      <c r="J2330" s="55" t="s">
        <v>360</v>
      </c>
      <c r="K2330" s="55" t="s">
        <v>360</v>
      </c>
      <c r="L2330" s="55" t="s">
        <v>360</v>
      </c>
      <c r="M2330" s="55" t="s">
        <v>138</v>
      </c>
      <c r="N2330" s="55" t="s">
        <v>138</v>
      </c>
      <c r="O2330" s="55" t="s">
        <v>259</v>
      </c>
      <c r="P2330" s="55" t="s">
        <v>637</v>
      </c>
      <c r="Q2330" s="55" t="s">
        <v>362</v>
      </c>
      <c r="R2330" s="85">
        <v>6</v>
      </c>
      <c r="S2330" s="55" t="s">
        <v>332</v>
      </c>
      <c r="T2330" s="74" t="s">
        <v>4274</v>
      </c>
      <c r="U2330" s="74" t="s">
        <v>351</v>
      </c>
      <c r="V2330" s="74">
        <v>44586</v>
      </c>
      <c r="W2330" s="74">
        <v>44615</v>
      </c>
      <c r="X2330" s="55">
        <v>10185479</v>
      </c>
      <c r="Y2330" s="55" t="s">
        <v>132</v>
      </c>
      <c r="AB2330" s="74" t="s">
        <v>132</v>
      </c>
      <c r="AC2330" s="55" t="s">
        <v>132</v>
      </c>
      <c r="AL2330" s="74"/>
      <c r="AM2330" s="74"/>
      <c r="AW2330" s="74"/>
      <c r="AX2330" s="74"/>
    </row>
    <row r="2331" spans="1:50" ht="13" x14ac:dyDescent="0.15">
      <c r="A2331" s="55" t="str">
        <f>HYPERLINK("http://reports.ofsted.gov.uk/inspection-reports/find-inspection-report/provider/CARE/SC052588","Ofsted Social Care Provider Webpage")</f>
        <v>Ofsted Social Care Provider Webpage</v>
      </c>
      <c r="B2331" s="55" t="s">
        <v>4275</v>
      </c>
      <c r="D2331" s="55" t="s">
        <v>451</v>
      </c>
      <c r="E2331" s="74">
        <v>38323</v>
      </c>
      <c r="F2331" s="55" t="s">
        <v>344</v>
      </c>
      <c r="G2331" s="55" t="s">
        <v>4121</v>
      </c>
      <c r="H2331" s="55" t="s">
        <v>4276</v>
      </c>
      <c r="I2331" s="55" t="s">
        <v>354</v>
      </c>
      <c r="J2331" s="55" t="s">
        <v>4277</v>
      </c>
      <c r="K2331" s="55" t="s">
        <v>268</v>
      </c>
      <c r="L2331" s="55" t="s">
        <v>4278</v>
      </c>
      <c r="M2331" s="55" t="s">
        <v>129</v>
      </c>
      <c r="N2331" s="55" t="s">
        <v>129</v>
      </c>
      <c r="O2331" s="55" t="s">
        <v>167</v>
      </c>
      <c r="P2331" s="55" t="s">
        <v>2239</v>
      </c>
      <c r="Q2331" s="55" t="s">
        <v>350</v>
      </c>
      <c r="R2331" s="85">
        <v>9</v>
      </c>
      <c r="S2331" s="55">
        <v>0</v>
      </c>
      <c r="T2331" s="74" t="s">
        <v>4125</v>
      </c>
      <c r="U2331" s="74" t="s">
        <v>2053</v>
      </c>
      <c r="V2331" s="74">
        <v>44326</v>
      </c>
      <c r="W2331" s="74">
        <v>44357</v>
      </c>
      <c r="X2331" s="55">
        <v>10192158</v>
      </c>
      <c r="AL2331" s="74"/>
      <c r="AM2331" s="74"/>
      <c r="AW2331" s="74"/>
      <c r="AX2331" s="74"/>
    </row>
    <row r="2332" spans="1:50" ht="13" x14ac:dyDescent="0.15">
      <c r="A2332" s="55" t="str">
        <f>HYPERLINK("http://reports.ofsted.gov.uk/inspection-reports/find-inspection-report/provider/CARE/SC052588","Ofsted Social Care Provider Webpage")</f>
        <v>Ofsted Social Care Provider Webpage</v>
      </c>
      <c r="B2332" s="55" t="s">
        <v>4275</v>
      </c>
      <c r="D2332" s="55" t="s">
        <v>451</v>
      </c>
      <c r="E2332" s="74">
        <v>38323</v>
      </c>
      <c r="F2332" s="55" t="s">
        <v>344</v>
      </c>
      <c r="G2332" s="55" t="s">
        <v>4121</v>
      </c>
      <c r="H2332" s="55" t="s">
        <v>4276</v>
      </c>
      <c r="I2332" s="55" t="s">
        <v>354</v>
      </c>
      <c r="J2332" s="55" t="s">
        <v>4277</v>
      </c>
      <c r="K2332" s="55" t="s">
        <v>268</v>
      </c>
      <c r="L2332" s="55" t="s">
        <v>4278</v>
      </c>
      <c r="M2332" s="55" t="s">
        <v>129</v>
      </c>
      <c r="N2332" s="55" t="s">
        <v>129</v>
      </c>
      <c r="O2332" s="55" t="s">
        <v>167</v>
      </c>
      <c r="P2332" s="55" t="s">
        <v>2239</v>
      </c>
      <c r="Q2332" s="55" t="s">
        <v>350</v>
      </c>
      <c r="R2332" s="85">
        <v>9</v>
      </c>
      <c r="S2332" s="55">
        <v>0</v>
      </c>
      <c r="T2332" s="74" t="s">
        <v>4125</v>
      </c>
      <c r="U2332" s="74" t="s">
        <v>2053</v>
      </c>
      <c r="V2332" s="74">
        <v>44378</v>
      </c>
      <c r="W2332" s="74">
        <v>44435</v>
      </c>
      <c r="X2332" s="55">
        <v>10199154</v>
      </c>
      <c r="AL2332" s="74"/>
      <c r="AM2332" s="74"/>
      <c r="AW2332" s="74"/>
      <c r="AX2332" s="74"/>
    </row>
    <row r="2333" spans="1:50" ht="13" x14ac:dyDescent="0.15">
      <c r="A2333" s="55" t="str">
        <f>HYPERLINK("http://reports.ofsted.gov.uk/inspection-reports/find-inspection-report/provider/CARE/SC052588","Ofsted Social Care Provider Webpage")</f>
        <v>Ofsted Social Care Provider Webpage</v>
      </c>
      <c r="B2333" s="55" t="s">
        <v>4275</v>
      </c>
      <c r="D2333" s="55" t="s">
        <v>451</v>
      </c>
      <c r="E2333" s="74">
        <v>38323</v>
      </c>
      <c r="F2333" s="55" t="s">
        <v>344</v>
      </c>
      <c r="G2333" s="55" t="s">
        <v>4121</v>
      </c>
      <c r="H2333" s="55" t="s">
        <v>4276</v>
      </c>
      <c r="I2333" s="55" t="s">
        <v>354</v>
      </c>
      <c r="J2333" s="55" t="s">
        <v>4277</v>
      </c>
      <c r="K2333" s="55" t="s">
        <v>268</v>
      </c>
      <c r="L2333" s="55" t="s">
        <v>4278</v>
      </c>
      <c r="M2333" s="55" t="s">
        <v>129</v>
      </c>
      <c r="N2333" s="55" t="s">
        <v>129</v>
      </c>
      <c r="O2333" s="55" t="s">
        <v>167</v>
      </c>
      <c r="P2333" s="55" t="s">
        <v>2239</v>
      </c>
      <c r="Q2333" s="55" t="s">
        <v>350</v>
      </c>
      <c r="R2333" s="85">
        <v>9</v>
      </c>
      <c r="S2333" s="55">
        <v>0</v>
      </c>
      <c r="T2333" s="74" t="s">
        <v>4125</v>
      </c>
      <c r="U2333" s="74" t="s">
        <v>351</v>
      </c>
      <c r="V2333" s="74">
        <v>44531</v>
      </c>
      <c r="W2333" s="74">
        <v>44587</v>
      </c>
      <c r="X2333" s="55">
        <v>10183443</v>
      </c>
      <c r="Y2333" s="55" t="s">
        <v>130</v>
      </c>
      <c r="AB2333" s="74" t="s">
        <v>132</v>
      </c>
      <c r="AC2333" s="55" t="s">
        <v>130</v>
      </c>
      <c r="AL2333" s="74"/>
      <c r="AM2333" s="74"/>
    </row>
    <row r="2334" spans="1:50" ht="13" x14ac:dyDescent="0.15">
      <c r="A2334" s="55" t="str">
        <f>HYPERLINK("http://reports.ofsted.gov.uk/inspection-reports/find-inspection-report/provider/CARE/SC052599","Ofsted Social Care Provider Webpage")</f>
        <v>Ofsted Social Care Provider Webpage</v>
      </c>
      <c r="B2334" s="55" t="s">
        <v>4279</v>
      </c>
      <c r="D2334" s="55" t="s">
        <v>373</v>
      </c>
      <c r="E2334" s="74">
        <v>38072</v>
      </c>
      <c r="F2334" s="55" t="s">
        <v>344</v>
      </c>
      <c r="G2334" s="55" t="s">
        <v>360</v>
      </c>
      <c r="H2334" s="55" t="s">
        <v>360</v>
      </c>
      <c r="I2334" s="55" t="s">
        <v>360</v>
      </c>
      <c r="J2334" s="55" t="s">
        <v>360</v>
      </c>
      <c r="K2334" s="55" t="s">
        <v>360</v>
      </c>
      <c r="L2334" s="55" t="s">
        <v>360</v>
      </c>
      <c r="M2334" s="55" t="s">
        <v>150</v>
      </c>
      <c r="N2334" s="55" t="s">
        <v>150</v>
      </c>
      <c r="O2334" s="55" t="s">
        <v>221</v>
      </c>
      <c r="P2334" s="55" t="s">
        <v>349</v>
      </c>
      <c r="Q2334" s="55" t="s">
        <v>380</v>
      </c>
      <c r="R2334" s="85">
        <v>10</v>
      </c>
      <c r="S2334" s="55" t="s">
        <v>332</v>
      </c>
      <c r="T2334" s="74" t="s">
        <v>4280</v>
      </c>
      <c r="U2334" s="74" t="s">
        <v>351</v>
      </c>
      <c r="V2334" s="74">
        <v>44571</v>
      </c>
      <c r="W2334" s="74">
        <v>44623</v>
      </c>
      <c r="X2334" s="55">
        <v>10185815</v>
      </c>
      <c r="Y2334" s="55" t="s">
        <v>132</v>
      </c>
      <c r="AB2334" s="74" t="s">
        <v>132</v>
      </c>
      <c r="AC2334" s="55" t="s">
        <v>132</v>
      </c>
      <c r="AL2334" s="74"/>
      <c r="AM2334" s="74"/>
      <c r="AW2334" s="74"/>
      <c r="AX2334" s="74"/>
    </row>
    <row r="2335" spans="1:50" ht="13" x14ac:dyDescent="0.15">
      <c r="A2335" s="55" t="str">
        <f>HYPERLINK("http://reports.ofsted.gov.uk/inspection-reports/find-inspection-report/provider/CARE/SC052744","Ofsted Social Care Provider Webpage")</f>
        <v>Ofsted Social Care Provider Webpage</v>
      </c>
      <c r="B2335" s="55" t="s">
        <v>4281</v>
      </c>
      <c r="D2335" s="55" t="s">
        <v>373</v>
      </c>
      <c r="E2335" s="74">
        <v>37945</v>
      </c>
      <c r="F2335" s="55" t="s">
        <v>344</v>
      </c>
      <c r="G2335" s="55" t="s">
        <v>360</v>
      </c>
      <c r="H2335" s="55" t="s">
        <v>360</v>
      </c>
      <c r="I2335" s="55" t="s">
        <v>360</v>
      </c>
      <c r="J2335" s="55" t="s">
        <v>360</v>
      </c>
      <c r="K2335" s="55" t="s">
        <v>360</v>
      </c>
      <c r="L2335" s="55" t="s">
        <v>360</v>
      </c>
      <c r="M2335" s="55" t="s">
        <v>144</v>
      </c>
      <c r="N2335" s="55" t="s">
        <v>144</v>
      </c>
      <c r="O2335" s="55" t="s">
        <v>207</v>
      </c>
      <c r="P2335" s="55" t="s">
        <v>207</v>
      </c>
      <c r="Q2335" s="55" t="s">
        <v>350</v>
      </c>
      <c r="R2335" s="85">
        <v>5</v>
      </c>
      <c r="S2335" s="55">
        <v>0</v>
      </c>
      <c r="T2335" s="74" t="s">
        <v>2947</v>
      </c>
      <c r="U2335" s="74" t="s">
        <v>351</v>
      </c>
      <c r="V2335" s="74">
        <v>44312</v>
      </c>
      <c r="W2335" s="74">
        <v>44342</v>
      </c>
      <c r="X2335" s="55">
        <v>10187475</v>
      </c>
      <c r="Y2335" s="55" t="s">
        <v>132</v>
      </c>
      <c r="AB2335" s="74" t="s">
        <v>132</v>
      </c>
      <c r="AC2335" s="55" t="s">
        <v>132</v>
      </c>
      <c r="AL2335" s="74"/>
      <c r="AM2335" s="74"/>
    </row>
    <row r="2336" spans="1:50" ht="13" x14ac:dyDescent="0.15">
      <c r="A2336" s="55" t="str">
        <f>HYPERLINK("http://reports.ofsted.gov.uk/inspection-reports/find-inspection-report/provider/CARE/SC052946","Ofsted Social Care Provider Webpage")</f>
        <v>Ofsted Social Care Provider Webpage</v>
      </c>
      <c r="B2336" s="55" t="s">
        <v>4282</v>
      </c>
      <c r="D2336" s="55" t="s">
        <v>373</v>
      </c>
      <c r="E2336" s="74">
        <v>37963</v>
      </c>
      <c r="F2336" s="55" t="s">
        <v>344</v>
      </c>
      <c r="G2336" s="55" t="s">
        <v>360</v>
      </c>
      <c r="H2336" s="55" t="s">
        <v>360</v>
      </c>
      <c r="I2336" s="55" t="s">
        <v>360</v>
      </c>
      <c r="J2336" s="55" t="s">
        <v>360</v>
      </c>
      <c r="K2336" s="55" t="s">
        <v>360</v>
      </c>
      <c r="L2336" s="55" t="s">
        <v>360</v>
      </c>
      <c r="M2336" s="55" t="s">
        <v>129</v>
      </c>
      <c r="N2336" s="55" t="s">
        <v>129</v>
      </c>
      <c r="O2336" s="55" t="s">
        <v>242</v>
      </c>
      <c r="P2336" s="55" t="s">
        <v>1192</v>
      </c>
      <c r="Q2336" s="55" t="s">
        <v>350</v>
      </c>
      <c r="R2336" s="85">
        <v>5</v>
      </c>
      <c r="S2336" s="55">
        <v>0</v>
      </c>
      <c r="T2336" s="74" t="s">
        <v>4283</v>
      </c>
      <c r="U2336" s="74" t="s">
        <v>351</v>
      </c>
      <c r="V2336" s="74">
        <v>44614</v>
      </c>
      <c r="W2336" s="74">
        <v>44665</v>
      </c>
      <c r="X2336" s="55">
        <v>10185409</v>
      </c>
      <c r="Y2336" s="55" t="s">
        <v>132</v>
      </c>
      <c r="AB2336" s="74" t="s">
        <v>132</v>
      </c>
      <c r="AC2336" s="55" t="s">
        <v>132</v>
      </c>
      <c r="AL2336" s="74"/>
      <c r="AM2336" s="74"/>
      <c r="AW2336" s="74"/>
      <c r="AX2336" s="74"/>
    </row>
    <row r="2337" spans="1:50" ht="13" x14ac:dyDescent="0.15">
      <c r="A2337" s="55" t="str">
        <f>HYPERLINK("http://reports.ofsted.gov.uk/inspection-reports/find-inspection-report/provider/CARE/SC053145","Ofsted Social Care Provider Webpage")</f>
        <v>Ofsted Social Care Provider Webpage</v>
      </c>
      <c r="B2337" s="55" t="s">
        <v>4284</v>
      </c>
      <c r="D2337" s="55" t="s">
        <v>373</v>
      </c>
      <c r="E2337" s="74">
        <v>37896</v>
      </c>
      <c r="F2337" s="55" t="s">
        <v>344</v>
      </c>
      <c r="G2337" s="55" t="s">
        <v>360</v>
      </c>
      <c r="H2337" s="55" t="s">
        <v>360</v>
      </c>
      <c r="I2337" s="55" t="s">
        <v>360</v>
      </c>
      <c r="J2337" s="55" t="s">
        <v>360</v>
      </c>
      <c r="K2337" s="55" t="s">
        <v>360</v>
      </c>
      <c r="L2337" s="55" t="s">
        <v>360</v>
      </c>
      <c r="M2337" s="55" t="s">
        <v>144</v>
      </c>
      <c r="N2337" s="55" t="s">
        <v>144</v>
      </c>
      <c r="O2337" s="55" t="s">
        <v>209</v>
      </c>
      <c r="P2337" s="55" t="s">
        <v>364</v>
      </c>
      <c r="Q2337" s="55" t="s">
        <v>350</v>
      </c>
      <c r="R2337" s="85">
        <v>3</v>
      </c>
      <c r="S2337" s="55">
        <v>0</v>
      </c>
      <c r="T2337" s="74" t="s">
        <v>2574</v>
      </c>
      <c r="U2337" s="74" t="s">
        <v>351</v>
      </c>
      <c r="V2337" s="74">
        <v>44385</v>
      </c>
      <c r="W2337" s="74">
        <v>44428</v>
      </c>
      <c r="X2337" s="55">
        <v>10185290</v>
      </c>
      <c r="Y2337" s="55" t="s">
        <v>132</v>
      </c>
      <c r="AB2337" s="74" t="s">
        <v>132</v>
      </c>
      <c r="AC2337" s="55" t="s">
        <v>132</v>
      </c>
      <c r="AL2337" s="74"/>
      <c r="AM2337" s="74"/>
      <c r="AW2337" s="74"/>
      <c r="AX2337" s="74"/>
    </row>
    <row r="2338" spans="1:50" ht="13" x14ac:dyDescent="0.15">
      <c r="A2338" s="55" t="str">
        <f>HYPERLINK("http://reports.ofsted.gov.uk/inspection-reports/find-inspection-report/provider/CARE/SC053344","Ofsted Social Care Provider Webpage")</f>
        <v>Ofsted Social Care Provider Webpage</v>
      </c>
      <c r="B2338" s="55" t="s">
        <v>4285</v>
      </c>
      <c r="C2338" s="55">
        <v>147132</v>
      </c>
      <c r="D2338" s="55" t="s">
        <v>413</v>
      </c>
      <c r="E2338" s="74">
        <v>37865</v>
      </c>
      <c r="F2338" s="55" t="s">
        <v>344</v>
      </c>
      <c r="G2338" s="55" t="s">
        <v>4286</v>
      </c>
      <c r="H2338" s="55" t="s">
        <v>4287</v>
      </c>
      <c r="I2338" s="55" t="s">
        <v>4288</v>
      </c>
      <c r="J2338" s="55" t="s">
        <v>2397</v>
      </c>
      <c r="L2338" s="55" t="s">
        <v>4289</v>
      </c>
      <c r="M2338" s="55" t="s">
        <v>172</v>
      </c>
      <c r="N2338" s="55" t="s">
        <v>172</v>
      </c>
      <c r="O2338" s="55" t="s">
        <v>171</v>
      </c>
      <c r="P2338" s="55" t="s">
        <v>895</v>
      </c>
      <c r="Q2338" s="55" t="s">
        <v>380</v>
      </c>
      <c r="R2338" s="85">
        <v>12</v>
      </c>
      <c r="S2338" s="55">
        <v>0</v>
      </c>
      <c r="T2338" s="74" t="s">
        <v>3360</v>
      </c>
      <c r="U2338" s="74" t="s">
        <v>351</v>
      </c>
      <c r="V2338" s="74">
        <v>44341</v>
      </c>
      <c r="W2338" s="74">
        <v>44377</v>
      </c>
      <c r="X2338" s="55">
        <v>10183487</v>
      </c>
      <c r="Y2338" s="55" t="s">
        <v>132</v>
      </c>
      <c r="AB2338" s="74" t="s">
        <v>132</v>
      </c>
      <c r="AC2338" s="55" t="s">
        <v>140</v>
      </c>
      <c r="AL2338" s="74"/>
      <c r="AM2338" s="74"/>
      <c r="AW2338" s="74"/>
      <c r="AX2338" s="74"/>
    </row>
    <row r="2339" spans="1:50" ht="13" x14ac:dyDescent="0.15">
      <c r="A2339" s="55" t="str">
        <f>HYPERLINK("http://reports.ofsted.gov.uk/inspection-reports/find-inspection-report/provider/CARE/SC053529","Ofsted Social Care Provider Webpage")</f>
        <v>Ofsted Social Care Provider Webpage</v>
      </c>
      <c r="B2339" s="55" t="s">
        <v>4290</v>
      </c>
      <c r="D2339" s="55" t="s">
        <v>373</v>
      </c>
      <c r="E2339" s="74">
        <v>37973</v>
      </c>
      <c r="F2339" s="55" t="s">
        <v>344</v>
      </c>
      <c r="G2339" s="55" t="s">
        <v>360</v>
      </c>
      <c r="H2339" s="55" t="s">
        <v>360</v>
      </c>
      <c r="I2339" s="55" t="s">
        <v>360</v>
      </c>
      <c r="J2339" s="55" t="s">
        <v>360</v>
      </c>
      <c r="K2339" s="55" t="s">
        <v>360</v>
      </c>
      <c r="L2339" s="55" t="s">
        <v>360</v>
      </c>
      <c r="M2339" s="55" t="s">
        <v>138</v>
      </c>
      <c r="N2339" s="55" t="s">
        <v>138</v>
      </c>
      <c r="O2339" s="55" t="s">
        <v>238</v>
      </c>
      <c r="P2339" s="55" t="s">
        <v>238</v>
      </c>
      <c r="Q2339" s="55" t="s">
        <v>350</v>
      </c>
      <c r="R2339" s="85">
        <v>8</v>
      </c>
      <c r="S2339" s="55">
        <v>0</v>
      </c>
      <c r="T2339" s="74" t="s">
        <v>1899</v>
      </c>
      <c r="U2339" s="74" t="s">
        <v>6703</v>
      </c>
      <c r="V2339" s="74">
        <v>44497</v>
      </c>
      <c r="W2339" s="74">
        <v>44524</v>
      </c>
      <c r="X2339" s="55">
        <v>10205253</v>
      </c>
      <c r="Y2339" s="55" t="s">
        <v>6706</v>
      </c>
      <c r="AL2339" s="74"/>
      <c r="AM2339" s="74"/>
      <c r="AW2339" s="74"/>
      <c r="AX2339" s="74"/>
    </row>
    <row r="2340" spans="1:50" ht="13" x14ac:dyDescent="0.15">
      <c r="A2340" s="55" t="str">
        <f>HYPERLINK("http://reports.ofsted.gov.uk/inspection-reports/find-inspection-report/provider/CARE/SC053529","Ofsted Social Care Provider Webpage")</f>
        <v>Ofsted Social Care Provider Webpage</v>
      </c>
      <c r="B2340" s="55" t="s">
        <v>4290</v>
      </c>
      <c r="D2340" s="55" t="s">
        <v>373</v>
      </c>
      <c r="E2340" s="74">
        <v>37973</v>
      </c>
      <c r="F2340" s="55" t="s">
        <v>344</v>
      </c>
      <c r="G2340" s="55" t="s">
        <v>360</v>
      </c>
      <c r="H2340" s="55" t="s">
        <v>360</v>
      </c>
      <c r="I2340" s="55" t="s">
        <v>360</v>
      </c>
      <c r="J2340" s="55" t="s">
        <v>360</v>
      </c>
      <c r="K2340" s="55" t="s">
        <v>360</v>
      </c>
      <c r="L2340" s="55" t="s">
        <v>360</v>
      </c>
      <c r="M2340" s="55" t="s">
        <v>138</v>
      </c>
      <c r="N2340" s="55" t="s">
        <v>138</v>
      </c>
      <c r="O2340" s="55" t="s">
        <v>238</v>
      </c>
      <c r="P2340" s="55" t="s">
        <v>238</v>
      </c>
      <c r="Q2340" s="55" t="s">
        <v>350</v>
      </c>
      <c r="R2340" s="85">
        <v>8</v>
      </c>
      <c r="S2340" s="55">
        <v>0</v>
      </c>
      <c r="T2340" s="74" t="s">
        <v>1899</v>
      </c>
      <c r="U2340" s="74" t="s">
        <v>351</v>
      </c>
      <c r="V2340" s="74">
        <v>44334</v>
      </c>
      <c r="W2340" s="74">
        <v>44363</v>
      </c>
      <c r="X2340" s="55">
        <v>10187360</v>
      </c>
      <c r="Y2340" s="55" t="s">
        <v>130</v>
      </c>
      <c r="AB2340" s="74" t="s">
        <v>130</v>
      </c>
      <c r="AC2340" s="55" t="s">
        <v>146</v>
      </c>
      <c r="AL2340" s="74"/>
      <c r="AM2340" s="74"/>
      <c r="AW2340" s="74"/>
      <c r="AX2340" s="74"/>
    </row>
    <row r="2341" spans="1:50" ht="13" x14ac:dyDescent="0.15">
      <c r="A2341" s="55" t="str">
        <f>HYPERLINK("http://reports.ofsted.gov.uk/inspection-reports/find-inspection-report/provider/CARE/SC053859","Ofsted Social Care Provider Webpage")</f>
        <v>Ofsted Social Care Provider Webpage</v>
      </c>
      <c r="B2341" s="55" t="s">
        <v>4291</v>
      </c>
      <c r="D2341" s="55" t="s">
        <v>389</v>
      </c>
      <c r="E2341" s="74">
        <v>37957</v>
      </c>
      <c r="F2341" s="55" t="s">
        <v>344</v>
      </c>
      <c r="G2341" s="55" t="s">
        <v>4292</v>
      </c>
      <c r="H2341" s="55" t="s">
        <v>4293</v>
      </c>
      <c r="I2341" s="55" t="s">
        <v>4294</v>
      </c>
      <c r="J2341" s="55" t="s">
        <v>2457</v>
      </c>
      <c r="L2341" s="55" t="s">
        <v>4295</v>
      </c>
      <c r="M2341" s="55" t="s">
        <v>172</v>
      </c>
      <c r="N2341" s="55" t="s">
        <v>172</v>
      </c>
      <c r="O2341" s="55" t="s">
        <v>212</v>
      </c>
      <c r="P2341" s="55" t="s">
        <v>883</v>
      </c>
      <c r="Q2341" s="55" t="s">
        <v>350</v>
      </c>
      <c r="S2341" s="55">
        <v>0</v>
      </c>
      <c r="T2341" s="74" t="s">
        <v>4296</v>
      </c>
      <c r="U2341" s="74" t="s">
        <v>351</v>
      </c>
      <c r="V2341" s="74">
        <v>44501</v>
      </c>
      <c r="W2341" s="74">
        <v>44547</v>
      </c>
      <c r="X2341" s="55">
        <v>10183340</v>
      </c>
      <c r="Y2341" s="55" t="s">
        <v>132</v>
      </c>
      <c r="AB2341" s="74" t="s">
        <v>132</v>
      </c>
      <c r="AC2341" s="55" t="s">
        <v>132</v>
      </c>
      <c r="AL2341" s="74"/>
      <c r="AM2341" s="74"/>
      <c r="AW2341" s="74"/>
      <c r="AX2341" s="74"/>
    </row>
    <row r="2342" spans="1:50" ht="13" x14ac:dyDescent="0.15">
      <c r="A2342" s="55" t="str">
        <f>HYPERLINK("http://reports.ofsted.gov.uk/inspection-reports/find-inspection-report/provider/CARE/SC054468","Ofsted Social Care Provider Webpage")</f>
        <v>Ofsted Social Care Provider Webpage</v>
      </c>
      <c r="B2342" s="55" t="s">
        <v>4302</v>
      </c>
      <c r="D2342" s="55" t="s">
        <v>373</v>
      </c>
      <c r="E2342" s="74">
        <v>37958</v>
      </c>
      <c r="F2342" s="55" t="s">
        <v>344</v>
      </c>
      <c r="G2342" s="55" t="s">
        <v>360</v>
      </c>
      <c r="H2342" s="55" t="s">
        <v>360</v>
      </c>
      <c r="I2342" s="55" t="s">
        <v>360</v>
      </c>
      <c r="J2342" s="55" t="s">
        <v>360</v>
      </c>
      <c r="K2342" s="55" t="s">
        <v>360</v>
      </c>
      <c r="L2342" s="55" t="s">
        <v>360</v>
      </c>
      <c r="M2342" s="55" t="s">
        <v>150</v>
      </c>
      <c r="N2342" s="55" t="s">
        <v>150</v>
      </c>
      <c r="O2342" s="55" t="s">
        <v>291</v>
      </c>
      <c r="P2342" s="55" t="s">
        <v>291</v>
      </c>
      <c r="Q2342" s="55" t="s">
        <v>350</v>
      </c>
      <c r="R2342" s="85">
        <v>4</v>
      </c>
      <c r="S2342" s="55">
        <v>0</v>
      </c>
      <c r="T2342" s="74" t="s">
        <v>755</v>
      </c>
      <c r="U2342" s="74" t="s">
        <v>2053</v>
      </c>
      <c r="V2342" s="74">
        <v>44538</v>
      </c>
      <c r="W2342" s="74">
        <v>44571</v>
      </c>
      <c r="X2342" s="55">
        <v>10216414</v>
      </c>
      <c r="AL2342" s="74"/>
      <c r="AM2342" s="74"/>
    </row>
    <row r="2343" spans="1:50" ht="13" x14ac:dyDescent="0.15">
      <c r="A2343" s="55" t="str">
        <f>HYPERLINK("http://reports.ofsted.gov.uk/inspection-reports/find-inspection-report/provider/CARE/SC054468","Ofsted Social Care Provider Webpage")</f>
        <v>Ofsted Social Care Provider Webpage</v>
      </c>
      <c r="B2343" s="55" t="s">
        <v>4302</v>
      </c>
      <c r="D2343" s="55" t="s">
        <v>373</v>
      </c>
      <c r="E2343" s="74">
        <v>37958</v>
      </c>
      <c r="F2343" s="55" t="s">
        <v>344</v>
      </c>
      <c r="G2343" s="55" t="s">
        <v>360</v>
      </c>
      <c r="H2343" s="55" t="s">
        <v>360</v>
      </c>
      <c r="I2343" s="55" t="s">
        <v>360</v>
      </c>
      <c r="J2343" s="55" t="s">
        <v>360</v>
      </c>
      <c r="K2343" s="55" t="s">
        <v>360</v>
      </c>
      <c r="L2343" s="55" t="s">
        <v>360</v>
      </c>
      <c r="M2343" s="55" t="s">
        <v>150</v>
      </c>
      <c r="N2343" s="55" t="s">
        <v>150</v>
      </c>
      <c r="O2343" s="55" t="s">
        <v>291</v>
      </c>
      <c r="P2343" s="55" t="s">
        <v>291</v>
      </c>
      <c r="Q2343" s="55" t="s">
        <v>350</v>
      </c>
      <c r="R2343" s="85">
        <v>4</v>
      </c>
      <c r="S2343" s="55">
        <v>0</v>
      </c>
      <c r="T2343" s="74" t="s">
        <v>755</v>
      </c>
      <c r="U2343" s="74" t="s">
        <v>351</v>
      </c>
      <c r="V2343" s="74">
        <v>44377</v>
      </c>
      <c r="W2343" s="74">
        <v>44419</v>
      </c>
      <c r="X2343" s="55">
        <v>10187183</v>
      </c>
      <c r="Y2343" s="55" t="s">
        <v>140</v>
      </c>
      <c r="AB2343" s="74" t="s">
        <v>140</v>
      </c>
      <c r="AC2343" s="55" t="s">
        <v>140</v>
      </c>
      <c r="AL2343" s="74"/>
      <c r="AM2343" s="74"/>
      <c r="AW2343" s="74"/>
      <c r="AX2343" s="74"/>
    </row>
    <row r="2344" spans="1:50" ht="13" x14ac:dyDescent="0.15">
      <c r="A2344" s="55" t="str">
        <f>HYPERLINK("http://reports.ofsted.gov.uk/inspection-reports/find-inspection-report/provider/CARE/SC055153","Ofsted Social Care Provider Webpage")</f>
        <v>Ofsted Social Care Provider Webpage</v>
      </c>
      <c r="B2344" s="55" t="s">
        <v>4320</v>
      </c>
      <c r="D2344" s="55" t="s">
        <v>373</v>
      </c>
      <c r="E2344" s="74">
        <v>37978</v>
      </c>
      <c r="F2344" s="55" t="s">
        <v>344</v>
      </c>
      <c r="G2344" s="55" t="s">
        <v>360</v>
      </c>
      <c r="H2344" s="55" t="s">
        <v>360</v>
      </c>
      <c r="I2344" s="55" t="s">
        <v>360</v>
      </c>
      <c r="J2344" s="55" t="s">
        <v>360</v>
      </c>
      <c r="K2344" s="55" t="s">
        <v>360</v>
      </c>
      <c r="L2344" s="55" t="s">
        <v>360</v>
      </c>
      <c r="M2344" s="55" t="s">
        <v>144</v>
      </c>
      <c r="N2344" s="55" t="s">
        <v>144</v>
      </c>
      <c r="O2344" s="55" t="s">
        <v>209</v>
      </c>
      <c r="P2344" s="55" t="s">
        <v>597</v>
      </c>
      <c r="Q2344" s="55" t="s">
        <v>350</v>
      </c>
      <c r="R2344" s="85">
        <v>3</v>
      </c>
      <c r="S2344" s="55">
        <v>0</v>
      </c>
      <c r="T2344" s="74" t="s">
        <v>4321</v>
      </c>
      <c r="U2344" s="74" t="s">
        <v>351</v>
      </c>
      <c r="V2344" s="74">
        <v>44517</v>
      </c>
      <c r="W2344" s="74">
        <v>44550</v>
      </c>
      <c r="X2344" s="55">
        <v>10187390</v>
      </c>
      <c r="Y2344" s="55" t="s">
        <v>132</v>
      </c>
      <c r="AB2344" s="74" t="s">
        <v>132</v>
      </c>
      <c r="AC2344" s="55" t="s">
        <v>132</v>
      </c>
      <c r="AL2344" s="74"/>
      <c r="AM2344" s="74"/>
      <c r="AW2344" s="74"/>
      <c r="AX2344" s="74"/>
    </row>
    <row r="2345" spans="1:50" ht="13" x14ac:dyDescent="0.15">
      <c r="A2345" s="55" t="str">
        <f>HYPERLINK("http://reports.ofsted.gov.uk/inspection-reports/find-inspection-report/provider/CARE/SC055780","Ofsted Social Care Provider Webpage")</f>
        <v>Ofsted Social Care Provider Webpage</v>
      </c>
      <c r="B2345" s="55" t="s">
        <v>6741</v>
      </c>
      <c r="D2345" s="55" t="s">
        <v>479</v>
      </c>
      <c r="E2345" s="74">
        <v>38202</v>
      </c>
      <c r="F2345" s="55" t="s">
        <v>6707</v>
      </c>
      <c r="G2345" s="55" t="s">
        <v>360</v>
      </c>
      <c r="H2345" s="55" t="s">
        <v>360</v>
      </c>
      <c r="I2345" s="55" t="s">
        <v>360</v>
      </c>
      <c r="J2345" s="55" t="s">
        <v>360</v>
      </c>
      <c r="K2345" s="55" t="s">
        <v>360</v>
      </c>
      <c r="L2345" s="55" t="s">
        <v>360</v>
      </c>
      <c r="M2345" s="55" t="s">
        <v>144</v>
      </c>
      <c r="N2345" s="55" t="s">
        <v>144</v>
      </c>
      <c r="O2345" s="55" t="s">
        <v>250</v>
      </c>
      <c r="P2345" s="55" t="s">
        <v>759</v>
      </c>
      <c r="Q2345" s="55" t="s">
        <v>362</v>
      </c>
      <c r="R2345" s="85">
        <v>8</v>
      </c>
      <c r="S2345" s="55">
        <v>0</v>
      </c>
      <c r="T2345" s="74" t="s">
        <v>5599</v>
      </c>
      <c r="U2345" s="74" t="s">
        <v>351</v>
      </c>
      <c r="V2345" s="74">
        <v>44426</v>
      </c>
      <c r="W2345" s="74">
        <v>44481</v>
      </c>
      <c r="X2345" s="55">
        <v>10196667</v>
      </c>
      <c r="Y2345" s="55" t="s">
        <v>130</v>
      </c>
      <c r="AB2345" s="74" t="s">
        <v>130</v>
      </c>
      <c r="AC2345" s="55" t="s">
        <v>130</v>
      </c>
      <c r="AL2345" s="74"/>
      <c r="AM2345" s="74"/>
      <c r="AW2345" s="74"/>
      <c r="AX2345" s="74"/>
    </row>
    <row r="2346" spans="1:50" ht="13" x14ac:dyDescent="0.15">
      <c r="A2346" s="55" t="str">
        <f>HYPERLINK("http://reports.ofsted.gov.uk/inspection-reports/find-inspection-report/provider/CARE/SC055780","Ofsted Social Care Provider Webpage")</f>
        <v>Ofsted Social Care Provider Webpage</v>
      </c>
      <c r="B2346" s="55" t="s">
        <v>6741</v>
      </c>
      <c r="D2346" s="55" t="s">
        <v>479</v>
      </c>
      <c r="E2346" s="74">
        <v>38202</v>
      </c>
      <c r="F2346" s="55" t="s">
        <v>6707</v>
      </c>
      <c r="G2346" s="55" t="s">
        <v>360</v>
      </c>
      <c r="H2346" s="55" t="s">
        <v>360</v>
      </c>
      <c r="I2346" s="55" t="s">
        <v>360</v>
      </c>
      <c r="J2346" s="55" t="s">
        <v>360</v>
      </c>
      <c r="K2346" s="55" t="s">
        <v>360</v>
      </c>
      <c r="L2346" s="55" t="s">
        <v>360</v>
      </c>
      <c r="M2346" s="55" t="s">
        <v>144</v>
      </c>
      <c r="N2346" s="55" t="s">
        <v>144</v>
      </c>
      <c r="O2346" s="55" t="s">
        <v>250</v>
      </c>
      <c r="P2346" s="55" t="s">
        <v>759</v>
      </c>
      <c r="Q2346" s="55" t="s">
        <v>362</v>
      </c>
      <c r="R2346" s="85">
        <v>8</v>
      </c>
      <c r="S2346" s="55">
        <v>0</v>
      </c>
      <c r="T2346" s="74" t="s">
        <v>5599</v>
      </c>
      <c r="U2346" s="74" t="s">
        <v>2053</v>
      </c>
      <c r="V2346" s="74">
        <v>44355</v>
      </c>
      <c r="W2346" s="74">
        <v>44404</v>
      </c>
      <c r="X2346" s="55">
        <v>10195913</v>
      </c>
      <c r="AL2346" s="74"/>
      <c r="AM2346" s="74"/>
      <c r="AW2346" s="74"/>
      <c r="AX2346" s="74"/>
    </row>
    <row r="2347" spans="1:50" ht="13" x14ac:dyDescent="0.15">
      <c r="A2347" s="55" t="str">
        <f>HYPERLINK("http://reports.ofsted.gov.uk/inspection-reports/find-inspection-report/provider/CARE/SC055780","Ofsted Social Care Provider Webpage")</f>
        <v>Ofsted Social Care Provider Webpage</v>
      </c>
      <c r="B2347" s="55" t="s">
        <v>6741</v>
      </c>
      <c r="D2347" s="55" t="s">
        <v>479</v>
      </c>
      <c r="E2347" s="74">
        <v>38202</v>
      </c>
      <c r="F2347" s="55" t="s">
        <v>6707</v>
      </c>
      <c r="G2347" s="55" t="s">
        <v>360</v>
      </c>
      <c r="H2347" s="55" t="s">
        <v>360</v>
      </c>
      <c r="I2347" s="55" t="s">
        <v>360</v>
      </c>
      <c r="J2347" s="55" t="s">
        <v>360</v>
      </c>
      <c r="K2347" s="55" t="s">
        <v>360</v>
      </c>
      <c r="L2347" s="55" t="s">
        <v>360</v>
      </c>
      <c r="M2347" s="55" t="s">
        <v>144</v>
      </c>
      <c r="N2347" s="55" t="s">
        <v>144</v>
      </c>
      <c r="O2347" s="55" t="s">
        <v>250</v>
      </c>
      <c r="P2347" s="55" t="s">
        <v>759</v>
      </c>
      <c r="Q2347" s="55" t="s">
        <v>362</v>
      </c>
      <c r="R2347" s="85">
        <v>8</v>
      </c>
      <c r="S2347" s="55">
        <v>0</v>
      </c>
      <c r="T2347" s="74" t="s">
        <v>5599</v>
      </c>
      <c r="U2347" s="74" t="s">
        <v>351</v>
      </c>
      <c r="V2347" s="74">
        <v>44313</v>
      </c>
      <c r="W2347" s="74">
        <v>44376</v>
      </c>
      <c r="X2347" s="55">
        <v>10186714</v>
      </c>
      <c r="Y2347" s="55" t="s">
        <v>146</v>
      </c>
      <c r="AB2347" s="74" t="s">
        <v>146</v>
      </c>
      <c r="AC2347" s="55" t="s">
        <v>146</v>
      </c>
      <c r="AL2347" s="74"/>
      <c r="AM2347" s="74"/>
      <c r="AW2347" s="74"/>
      <c r="AX2347" s="74"/>
    </row>
    <row r="2348" spans="1:50" ht="13" x14ac:dyDescent="0.15">
      <c r="A2348" s="55" t="str">
        <f>HYPERLINK("http://reports.ofsted.gov.uk/inspection-reports/find-inspection-report/provider/CARE/SC055984","Ofsted Social Care Provider Webpage")</f>
        <v>Ofsted Social Care Provider Webpage</v>
      </c>
      <c r="B2348" s="55" t="s">
        <v>4339</v>
      </c>
      <c r="C2348" s="55">
        <v>118144</v>
      </c>
      <c r="D2348" s="55" t="s">
        <v>413</v>
      </c>
      <c r="E2348" s="74">
        <v>37904</v>
      </c>
      <c r="F2348" s="55" t="s">
        <v>344</v>
      </c>
      <c r="G2348" s="55" t="s">
        <v>4340</v>
      </c>
      <c r="H2348" s="55" t="s">
        <v>4341</v>
      </c>
      <c r="I2348" s="55" t="s">
        <v>354</v>
      </c>
      <c r="J2348" s="55" t="s">
        <v>4342</v>
      </c>
      <c r="L2348" s="55" t="s">
        <v>4343</v>
      </c>
      <c r="M2348" s="55" t="s">
        <v>378</v>
      </c>
      <c r="N2348" s="55" t="s">
        <v>134</v>
      </c>
      <c r="O2348" s="55" t="s">
        <v>180</v>
      </c>
      <c r="P2348" s="55" t="s">
        <v>1483</v>
      </c>
      <c r="Q2348" s="55" t="s">
        <v>380</v>
      </c>
      <c r="R2348" s="85">
        <v>12</v>
      </c>
      <c r="S2348" s="55">
        <v>0</v>
      </c>
      <c r="T2348" s="74" t="s">
        <v>2361</v>
      </c>
      <c r="U2348" s="74" t="s">
        <v>351</v>
      </c>
      <c r="V2348" s="74">
        <v>44475</v>
      </c>
      <c r="W2348" s="74">
        <v>44522</v>
      </c>
      <c r="X2348" s="55">
        <v>10183517</v>
      </c>
      <c r="Y2348" s="55" t="s">
        <v>130</v>
      </c>
      <c r="AB2348" s="74" t="s">
        <v>130</v>
      </c>
      <c r="AC2348" s="55" t="s">
        <v>130</v>
      </c>
      <c r="AL2348" s="74"/>
      <c r="AM2348" s="74"/>
    </row>
    <row r="2349" spans="1:50" ht="13" x14ac:dyDescent="0.15">
      <c r="A2349" s="55" t="str">
        <f>HYPERLINK("http://reports.ofsted.gov.uk/inspection-reports/find-inspection-report/provider/CARE/SC056234","Ofsted Social Care Provider Webpage")</f>
        <v>Ofsted Social Care Provider Webpage</v>
      </c>
      <c r="B2349" s="55" t="s">
        <v>4344</v>
      </c>
      <c r="C2349" s="55">
        <v>131322</v>
      </c>
      <c r="D2349" s="55" t="s">
        <v>413</v>
      </c>
      <c r="E2349" s="74">
        <v>37910</v>
      </c>
      <c r="F2349" s="55" t="s">
        <v>344</v>
      </c>
      <c r="G2349" s="55" t="s">
        <v>4345</v>
      </c>
      <c r="H2349" s="55" t="s">
        <v>4345</v>
      </c>
      <c r="I2349" s="55" t="s">
        <v>4346</v>
      </c>
      <c r="J2349" s="55" t="s">
        <v>4347</v>
      </c>
      <c r="K2349" s="55" t="s">
        <v>173</v>
      </c>
      <c r="L2349" s="55" t="s">
        <v>4348</v>
      </c>
      <c r="M2349" s="55" t="s">
        <v>172</v>
      </c>
      <c r="N2349" s="55" t="s">
        <v>172</v>
      </c>
      <c r="O2349" s="55" t="s">
        <v>173</v>
      </c>
      <c r="P2349" s="55" t="s">
        <v>961</v>
      </c>
      <c r="Q2349" s="55" t="s">
        <v>380</v>
      </c>
      <c r="R2349" s="85">
        <v>8</v>
      </c>
      <c r="S2349" s="55">
        <v>0</v>
      </c>
      <c r="T2349" s="74" t="s">
        <v>1431</v>
      </c>
      <c r="U2349" s="74" t="s">
        <v>351</v>
      </c>
      <c r="V2349" s="74">
        <v>44390</v>
      </c>
      <c r="W2349" s="74">
        <v>44456</v>
      </c>
      <c r="X2349" s="55">
        <v>10183483</v>
      </c>
      <c r="Y2349" s="55" t="s">
        <v>140</v>
      </c>
      <c r="AB2349" s="74" t="s">
        <v>140</v>
      </c>
      <c r="AC2349" s="55" t="s">
        <v>140</v>
      </c>
      <c r="AL2349" s="74"/>
      <c r="AM2349" s="74"/>
      <c r="AW2349" s="74"/>
      <c r="AX2349" s="74"/>
    </row>
    <row r="2350" spans="1:50" ht="13" x14ac:dyDescent="0.15">
      <c r="A2350" s="55" t="str">
        <f>HYPERLINK("http://reports.ofsted.gov.uk/inspection-reports/find-inspection-report/provider/CARE/SC056259","Ofsted Social Care Provider Webpage")</f>
        <v>Ofsted Social Care Provider Webpage</v>
      </c>
      <c r="B2350" s="55" t="s">
        <v>4349</v>
      </c>
      <c r="D2350" s="55" t="s">
        <v>373</v>
      </c>
      <c r="E2350" s="74">
        <v>38163</v>
      </c>
      <c r="F2350" s="55" t="s">
        <v>344</v>
      </c>
      <c r="G2350" s="55" t="s">
        <v>360</v>
      </c>
      <c r="H2350" s="55" t="s">
        <v>360</v>
      </c>
      <c r="I2350" s="55" t="s">
        <v>360</v>
      </c>
      <c r="J2350" s="55" t="s">
        <v>360</v>
      </c>
      <c r="K2350" s="55" t="s">
        <v>360</v>
      </c>
      <c r="L2350" s="55" t="s">
        <v>360</v>
      </c>
      <c r="M2350" s="55" t="s">
        <v>378</v>
      </c>
      <c r="N2350" s="55" t="s">
        <v>134</v>
      </c>
      <c r="O2350" s="55" t="s">
        <v>180</v>
      </c>
      <c r="P2350" s="55" t="s">
        <v>1892</v>
      </c>
      <c r="Q2350" s="55" t="s">
        <v>350</v>
      </c>
      <c r="R2350" s="85">
        <v>6</v>
      </c>
      <c r="S2350" s="55">
        <v>0</v>
      </c>
      <c r="T2350" s="74" t="s">
        <v>1251</v>
      </c>
      <c r="U2350" s="74" t="s">
        <v>351</v>
      </c>
      <c r="V2350" s="74">
        <v>44572</v>
      </c>
      <c r="W2350" s="74">
        <v>44623</v>
      </c>
      <c r="X2350" s="55">
        <v>10186689</v>
      </c>
      <c r="Y2350" s="55" t="s">
        <v>132</v>
      </c>
      <c r="AB2350" s="74" t="s">
        <v>132</v>
      </c>
      <c r="AC2350" s="55" t="s">
        <v>130</v>
      </c>
      <c r="AL2350" s="74"/>
      <c r="AM2350" s="74"/>
      <c r="AW2350" s="74"/>
      <c r="AX2350" s="74"/>
    </row>
    <row r="2351" spans="1:50" ht="13" x14ac:dyDescent="0.15">
      <c r="A2351" s="55" t="str">
        <f>HYPERLINK("http://reports.ofsted.gov.uk/inspection-reports/find-inspection-report/provider/CARE/SC056396","Ofsted Social Care Provider Webpage")</f>
        <v>Ofsted Social Care Provider Webpage</v>
      </c>
      <c r="B2351" s="55" t="s">
        <v>4350</v>
      </c>
      <c r="C2351" s="55">
        <v>117685</v>
      </c>
      <c r="D2351" s="55" t="s">
        <v>413</v>
      </c>
      <c r="E2351" s="74">
        <v>37914</v>
      </c>
      <c r="F2351" s="55" t="s">
        <v>344</v>
      </c>
      <c r="G2351" s="55" t="s">
        <v>4351</v>
      </c>
      <c r="H2351" s="55" t="s">
        <v>4352</v>
      </c>
      <c r="I2351" s="55" t="s">
        <v>4353</v>
      </c>
      <c r="J2351" s="55" t="s">
        <v>4354</v>
      </c>
      <c r="K2351" s="55" t="s">
        <v>196</v>
      </c>
      <c r="L2351" s="55" t="s">
        <v>4355</v>
      </c>
      <c r="M2351" s="55" t="s">
        <v>138</v>
      </c>
      <c r="N2351" s="55" t="s">
        <v>138</v>
      </c>
      <c r="O2351" s="55" t="s">
        <v>196</v>
      </c>
      <c r="P2351" s="55" t="s">
        <v>441</v>
      </c>
      <c r="Q2351" s="55" t="s">
        <v>380</v>
      </c>
      <c r="R2351" s="85">
        <v>15</v>
      </c>
      <c r="S2351" s="55">
        <v>0</v>
      </c>
      <c r="T2351" s="74" t="s">
        <v>2082</v>
      </c>
      <c r="U2351" s="74" t="s">
        <v>351</v>
      </c>
      <c r="V2351" s="74">
        <v>44621</v>
      </c>
      <c r="W2351" s="74">
        <v>44670</v>
      </c>
      <c r="X2351" s="55">
        <v>10183498</v>
      </c>
      <c r="Y2351" s="55" t="s">
        <v>140</v>
      </c>
      <c r="AB2351" s="74" t="s">
        <v>140</v>
      </c>
      <c r="AC2351" s="55" t="s">
        <v>140</v>
      </c>
      <c r="AL2351" s="74"/>
      <c r="AM2351" s="74"/>
      <c r="AW2351" s="74"/>
      <c r="AX2351" s="74"/>
    </row>
    <row r="2352" spans="1:50" ht="13" x14ac:dyDescent="0.15">
      <c r="A2352" s="55" t="str">
        <f>HYPERLINK("http://reports.ofsted.gov.uk/inspection-reports/find-inspection-report/provider/CARE/SC056397","Ofsted Social Care Provider Webpage")</f>
        <v>Ofsted Social Care Provider Webpage</v>
      </c>
      <c r="B2352" s="55" t="s">
        <v>4356</v>
      </c>
      <c r="C2352" s="55">
        <v>142257</v>
      </c>
      <c r="D2352" s="55" t="s">
        <v>413</v>
      </c>
      <c r="E2352" s="74">
        <v>37914</v>
      </c>
      <c r="F2352" s="55" t="s">
        <v>344</v>
      </c>
      <c r="G2352" s="55" t="s">
        <v>4357</v>
      </c>
      <c r="H2352" s="55" t="s">
        <v>4358</v>
      </c>
      <c r="I2352" s="55" t="s">
        <v>4359</v>
      </c>
      <c r="J2352" s="55" t="s">
        <v>4360</v>
      </c>
      <c r="L2352" s="55" t="s">
        <v>4361</v>
      </c>
      <c r="M2352" s="55" t="s">
        <v>138</v>
      </c>
      <c r="N2352" s="55" t="s">
        <v>138</v>
      </c>
      <c r="O2352" s="55" t="s">
        <v>196</v>
      </c>
      <c r="P2352" s="55" t="s">
        <v>1059</v>
      </c>
      <c r="Q2352" s="55" t="s">
        <v>420</v>
      </c>
      <c r="R2352" s="85">
        <v>33</v>
      </c>
      <c r="S2352" s="55">
        <v>0</v>
      </c>
      <c r="T2352" s="74" t="s">
        <v>4362</v>
      </c>
      <c r="U2352" s="74" t="s">
        <v>351</v>
      </c>
      <c r="V2352" s="74">
        <v>44529</v>
      </c>
      <c r="W2352" s="74">
        <v>44581</v>
      </c>
      <c r="X2352" s="55">
        <v>10183497</v>
      </c>
      <c r="Y2352" s="55" t="s">
        <v>132</v>
      </c>
      <c r="AB2352" s="74" t="s">
        <v>132</v>
      </c>
      <c r="AC2352" s="55" t="s">
        <v>132</v>
      </c>
      <c r="AL2352" s="74"/>
      <c r="AM2352" s="74"/>
      <c r="AW2352" s="74"/>
      <c r="AX2352" s="74"/>
    </row>
    <row r="2353" spans="1:50" ht="13" x14ac:dyDescent="0.15">
      <c r="A2353" s="55" t="str">
        <f>HYPERLINK("http://reports.ofsted.gov.uk/inspection-reports/find-inspection-report/provider/CARE/SC056425","Ofsted Social Care Provider Webpage")</f>
        <v>Ofsted Social Care Provider Webpage</v>
      </c>
      <c r="B2353" s="55" t="s">
        <v>4368</v>
      </c>
      <c r="C2353" s="55">
        <v>117679</v>
      </c>
      <c r="D2353" s="55" t="s">
        <v>413</v>
      </c>
      <c r="E2353" s="74">
        <v>37915</v>
      </c>
      <c r="F2353" s="55" t="s">
        <v>344</v>
      </c>
      <c r="G2353" s="55" t="s">
        <v>4369</v>
      </c>
      <c r="H2353" s="55" t="s">
        <v>4370</v>
      </c>
      <c r="I2353" s="55" t="s">
        <v>354</v>
      </c>
      <c r="J2353" s="55" t="s">
        <v>4371</v>
      </c>
      <c r="K2353" s="55" t="s">
        <v>196</v>
      </c>
      <c r="L2353" s="55" t="s">
        <v>4372</v>
      </c>
      <c r="M2353" s="55" t="s">
        <v>138</v>
      </c>
      <c r="N2353" s="55" t="s">
        <v>138</v>
      </c>
      <c r="O2353" s="55" t="s">
        <v>196</v>
      </c>
      <c r="P2353" s="55" t="s">
        <v>4371</v>
      </c>
      <c r="Q2353" s="55" t="s">
        <v>380</v>
      </c>
      <c r="R2353" s="85">
        <v>18</v>
      </c>
      <c r="S2353" s="55">
        <v>0</v>
      </c>
      <c r="T2353" s="74" t="s">
        <v>2082</v>
      </c>
      <c r="U2353" s="74" t="s">
        <v>351</v>
      </c>
      <c r="V2353" s="74">
        <v>44571</v>
      </c>
      <c r="W2353" s="74">
        <v>44600</v>
      </c>
      <c r="X2353" s="55">
        <v>10183500</v>
      </c>
      <c r="Y2353" s="55" t="s">
        <v>140</v>
      </c>
      <c r="AB2353" s="74" t="s">
        <v>140</v>
      </c>
      <c r="AC2353" s="55" t="s">
        <v>140</v>
      </c>
      <c r="AL2353" s="74"/>
      <c r="AM2353" s="74"/>
    </row>
    <row r="2354" spans="1:50" ht="13" x14ac:dyDescent="0.15">
      <c r="A2354" s="55" t="str">
        <f>HYPERLINK("http://reports.ofsted.gov.uk/inspection-reports/find-inspection-report/provider/CARE/SC056736","Ofsted Social Care Provider Webpage")</f>
        <v>Ofsted Social Care Provider Webpage</v>
      </c>
      <c r="B2354" s="55" t="s">
        <v>4375</v>
      </c>
      <c r="C2354" s="55">
        <v>118145</v>
      </c>
      <c r="D2354" s="55" t="s">
        <v>413</v>
      </c>
      <c r="E2354" s="74">
        <v>37921</v>
      </c>
      <c r="F2354" s="55" t="s">
        <v>344</v>
      </c>
      <c r="G2354" s="55" t="s">
        <v>4376</v>
      </c>
      <c r="H2354" s="55" t="s">
        <v>4377</v>
      </c>
      <c r="I2354" s="55" t="s">
        <v>354</v>
      </c>
      <c r="J2354" s="55" t="s">
        <v>4378</v>
      </c>
      <c r="K2354" s="55" t="s">
        <v>4379</v>
      </c>
      <c r="L2354" s="55" t="s">
        <v>4380</v>
      </c>
      <c r="M2354" s="55" t="s">
        <v>378</v>
      </c>
      <c r="N2354" s="55" t="s">
        <v>134</v>
      </c>
      <c r="O2354" s="55" t="s">
        <v>180</v>
      </c>
      <c r="P2354" s="55" t="s">
        <v>1249</v>
      </c>
      <c r="Q2354" s="55" t="s">
        <v>380</v>
      </c>
      <c r="R2354" s="85">
        <v>18</v>
      </c>
      <c r="S2354" s="55">
        <v>0</v>
      </c>
      <c r="T2354" s="74" t="s">
        <v>2361</v>
      </c>
      <c r="U2354" s="74" t="s">
        <v>351</v>
      </c>
      <c r="V2354" s="74">
        <v>44354</v>
      </c>
      <c r="W2354" s="74">
        <v>44392</v>
      </c>
      <c r="X2354" s="55">
        <v>10183519</v>
      </c>
      <c r="Y2354" s="55" t="s">
        <v>140</v>
      </c>
      <c r="AB2354" s="74" t="s">
        <v>140</v>
      </c>
      <c r="AC2354" s="55" t="s">
        <v>140</v>
      </c>
      <c r="AL2354" s="74"/>
      <c r="AM2354" s="74"/>
      <c r="AW2354" s="74"/>
      <c r="AX2354" s="74"/>
    </row>
    <row r="2355" spans="1:50" ht="13" x14ac:dyDescent="0.15">
      <c r="A2355" s="55" t="str">
        <f>HYPERLINK("http://reports.ofsted.gov.uk/inspection-reports/find-inspection-report/provider/CARE/SC057262","Ofsted Social Care Provider Webpage")</f>
        <v>Ofsted Social Care Provider Webpage</v>
      </c>
      <c r="B2355" s="55" t="s">
        <v>4381</v>
      </c>
      <c r="D2355" s="55" t="s">
        <v>389</v>
      </c>
      <c r="E2355" s="74">
        <v>38132</v>
      </c>
      <c r="F2355" s="55" t="s">
        <v>344</v>
      </c>
      <c r="G2355" s="55" t="s">
        <v>4382</v>
      </c>
      <c r="H2355" s="55" t="s">
        <v>4383</v>
      </c>
      <c r="I2355" s="55" t="s">
        <v>354</v>
      </c>
      <c r="J2355" s="55" t="s">
        <v>167</v>
      </c>
      <c r="K2355" s="55" t="s">
        <v>129</v>
      </c>
      <c r="L2355" s="55" t="s">
        <v>4384</v>
      </c>
      <c r="M2355" s="55" t="s">
        <v>129</v>
      </c>
      <c r="N2355" s="55" t="s">
        <v>129</v>
      </c>
      <c r="O2355" s="55" t="s">
        <v>167</v>
      </c>
      <c r="P2355" s="55" t="s">
        <v>866</v>
      </c>
      <c r="Q2355" s="55" t="s">
        <v>350</v>
      </c>
      <c r="S2355" s="55">
        <v>0</v>
      </c>
      <c r="T2355" s="74" t="s">
        <v>4385</v>
      </c>
      <c r="U2355" s="74" t="s">
        <v>351</v>
      </c>
      <c r="V2355" s="74">
        <v>44417</v>
      </c>
      <c r="W2355" s="74">
        <v>44463</v>
      </c>
      <c r="X2355" s="55">
        <v>10201938</v>
      </c>
      <c r="Y2355" s="55" t="s">
        <v>146</v>
      </c>
      <c r="AB2355" s="74" t="s">
        <v>146</v>
      </c>
      <c r="AC2355" s="55" t="s">
        <v>146</v>
      </c>
      <c r="AL2355" s="74"/>
      <c r="AM2355" s="74"/>
      <c r="AW2355" s="74"/>
      <c r="AX2355" s="74"/>
    </row>
    <row r="2356" spans="1:50" ht="13" x14ac:dyDescent="0.15">
      <c r="A2356" s="55" t="str">
        <f>HYPERLINK("http://reports.ofsted.gov.uk/inspection-reports/find-inspection-report/provider/CARE/SC057703","Ofsted Social Care Provider Webpage")</f>
        <v>Ofsted Social Care Provider Webpage</v>
      </c>
      <c r="B2356" s="55" t="s">
        <v>4386</v>
      </c>
      <c r="D2356" s="55" t="s">
        <v>373</v>
      </c>
      <c r="E2356" s="74">
        <v>38063</v>
      </c>
      <c r="F2356" s="55" t="s">
        <v>344</v>
      </c>
      <c r="G2356" s="55" t="s">
        <v>360</v>
      </c>
      <c r="H2356" s="55" t="s">
        <v>360</v>
      </c>
      <c r="I2356" s="55" t="s">
        <v>360</v>
      </c>
      <c r="J2356" s="55" t="s">
        <v>360</v>
      </c>
      <c r="K2356" s="55" t="s">
        <v>360</v>
      </c>
      <c r="L2356" s="55" t="s">
        <v>360</v>
      </c>
      <c r="M2356" s="55" t="s">
        <v>378</v>
      </c>
      <c r="N2356" s="55" t="s">
        <v>134</v>
      </c>
      <c r="O2356" s="55" t="s">
        <v>133</v>
      </c>
      <c r="P2356" s="55" t="s">
        <v>1804</v>
      </c>
      <c r="Q2356" s="55" t="s">
        <v>350</v>
      </c>
      <c r="R2356" s="85">
        <v>2</v>
      </c>
      <c r="S2356" s="55">
        <v>0</v>
      </c>
      <c r="T2356" s="74" t="s">
        <v>2448</v>
      </c>
      <c r="U2356" s="74" t="s">
        <v>351</v>
      </c>
      <c r="V2356" s="74">
        <v>44538</v>
      </c>
      <c r="W2356" s="74">
        <v>44588</v>
      </c>
      <c r="X2356" s="55">
        <v>10186097</v>
      </c>
      <c r="Y2356" s="55" t="s">
        <v>132</v>
      </c>
      <c r="AB2356" s="74" t="s">
        <v>132</v>
      </c>
      <c r="AC2356" s="55" t="s">
        <v>132</v>
      </c>
      <c r="AL2356" s="74"/>
      <c r="AM2356" s="74"/>
      <c r="AW2356" s="74"/>
      <c r="AX2356" s="74"/>
    </row>
    <row r="2357" spans="1:50" ht="13" x14ac:dyDescent="0.15">
      <c r="A2357" s="55" t="str">
        <f>HYPERLINK("http://reports.ofsted.gov.uk/inspection-reports/find-inspection-report/provider/CARE/SC057718","Ofsted Social Care Provider Webpage")</f>
        <v>Ofsted Social Care Provider Webpage</v>
      </c>
      <c r="B2357" s="55" t="s">
        <v>4387</v>
      </c>
      <c r="D2357" s="55" t="s">
        <v>373</v>
      </c>
      <c r="E2357" s="74">
        <v>38152</v>
      </c>
      <c r="F2357" s="55" t="s">
        <v>344</v>
      </c>
      <c r="G2357" s="55" t="s">
        <v>360</v>
      </c>
      <c r="H2357" s="55" t="s">
        <v>360</v>
      </c>
      <c r="I2357" s="55" t="s">
        <v>360</v>
      </c>
      <c r="J2357" s="55" t="s">
        <v>360</v>
      </c>
      <c r="K2357" s="55" t="s">
        <v>360</v>
      </c>
      <c r="L2357" s="55" t="s">
        <v>360</v>
      </c>
      <c r="M2357" s="55" t="s">
        <v>144</v>
      </c>
      <c r="N2357" s="55" t="s">
        <v>144</v>
      </c>
      <c r="O2357" s="55" t="s">
        <v>147</v>
      </c>
      <c r="P2357" s="55" t="s">
        <v>807</v>
      </c>
      <c r="Q2357" s="55" t="s">
        <v>362</v>
      </c>
      <c r="R2357" s="85">
        <v>5</v>
      </c>
      <c r="S2357" s="55">
        <v>0</v>
      </c>
      <c r="T2357" s="74" t="s">
        <v>2551</v>
      </c>
      <c r="U2357" s="74" t="s">
        <v>351</v>
      </c>
      <c r="V2357" s="74">
        <v>44307</v>
      </c>
      <c r="W2357" s="74">
        <v>44337</v>
      </c>
      <c r="X2357" s="55">
        <v>10186741</v>
      </c>
      <c r="Y2357" s="55" t="s">
        <v>130</v>
      </c>
      <c r="AB2357" s="74" t="s">
        <v>130</v>
      </c>
      <c r="AC2357" s="55" t="s">
        <v>130</v>
      </c>
      <c r="AL2357" s="74"/>
      <c r="AM2357" s="74"/>
      <c r="AW2357" s="74"/>
      <c r="AX2357" s="74"/>
    </row>
    <row r="2358" spans="1:50" ht="13" x14ac:dyDescent="0.15">
      <c r="A2358" s="55" t="str">
        <f>HYPERLINK("http://reports.ofsted.gov.uk/inspection-reports/find-inspection-report/provider/CARE/SC057804","Ofsted Social Care Provider Webpage")</f>
        <v>Ofsted Social Care Provider Webpage</v>
      </c>
      <c r="B2358" s="55" t="s">
        <v>4388</v>
      </c>
      <c r="D2358" s="55" t="s">
        <v>373</v>
      </c>
      <c r="E2358" s="74">
        <v>38077</v>
      </c>
      <c r="F2358" s="55" t="s">
        <v>344</v>
      </c>
      <c r="G2358" s="55" t="s">
        <v>360</v>
      </c>
      <c r="H2358" s="55" t="s">
        <v>360</v>
      </c>
      <c r="I2358" s="55" t="s">
        <v>360</v>
      </c>
      <c r="J2358" s="55" t="s">
        <v>360</v>
      </c>
      <c r="K2358" s="55" t="s">
        <v>360</v>
      </c>
      <c r="L2358" s="55" t="s">
        <v>360</v>
      </c>
      <c r="M2358" s="55" t="s">
        <v>142</v>
      </c>
      <c r="N2358" s="55" t="s">
        <v>142</v>
      </c>
      <c r="O2358" s="55" t="s">
        <v>262</v>
      </c>
      <c r="P2358" s="55" t="s">
        <v>850</v>
      </c>
      <c r="Q2358" s="55" t="s">
        <v>362</v>
      </c>
      <c r="R2358" s="85">
        <v>5</v>
      </c>
      <c r="S2358" s="55" t="s">
        <v>332</v>
      </c>
      <c r="T2358" s="74" t="s">
        <v>367</v>
      </c>
      <c r="U2358" s="74" t="s">
        <v>351</v>
      </c>
      <c r="V2358" s="74">
        <v>44581</v>
      </c>
      <c r="W2358" s="74">
        <v>44614</v>
      </c>
      <c r="X2358" s="55">
        <v>10185465</v>
      </c>
      <c r="Y2358" s="55" t="s">
        <v>132</v>
      </c>
      <c r="AB2358" s="74" t="s">
        <v>132</v>
      </c>
      <c r="AC2358" s="55" t="s">
        <v>132</v>
      </c>
      <c r="AL2358" s="74"/>
      <c r="AM2358" s="74"/>
      <c r="AW2358" s="74"/>
      <c r="AX2358" s="74"/>
    </row>
    <row r="2359" spans="1:50" ht="13" x14ac:dyDescent="0.15">
      <c r="A2359" s="55" t="str">
        <f>HYPERLINK("http://reports.ofsted.gov.uk/inspection-reports/find-inspection-report/provider/CARE/SC058603","Ofsted Social Care Provider Webpage")</f>
        <v>Ofsted Social Care Provider Webpage</v>
      </c>
      <c r="B2359" s="55" t="s">
        <v>4400</v>
      </c>
      <c r="D2359" s="55" t="s">
        <v>373</v>
      </c>
      <c r="E2359" s="74">
        <v>38418</v>
      </c>
      <c r="F2359" s="55" t="s">
        <v>344</v>
      </c>
      <c r="G2359" s="55" t="s">
        <v>360</v>
      </c>
      <c r="H2359" s="55" t="s">
        <v>360</v>
      </c>
      <c r="I2359" s="55" t="s">
        <v>360</v>
      </c>
      <c r="J2359" s="55" t="s">
        <v>360</v>
      </c>
      <c r="K2359" s="55" t="s">
        <v>360</v>
      </c>
      <c r="L2359" s="55" t="s">
        <v>360</v>
      </c>
      <c r="M2359" s="55" t="s">
        <v>129</v>
      </c>
      <c r="N2359" s="55" t="s">
        <v>129</v>
      </c>
      <c r="O2359" s="55" t="s">
        <v>194</v>
      </c>
      <c r="P2359" s="55" t="s">
        <v>1833</v>
      </c>
      <c r="Q2359" s="55" t="s">
        <v>350</v>
      </c>
      <c r="R2359" s="85">
        <v>6</v>
      </c>
      <c r="S2359" s="55">
        <v>0</v>
      </c>
      <c r="T2359" s="74" t="s">
        <v>4401</v>
      </c>
      <c r="U2359" s="74" t="s">
        <v>351</v>
      </c>
      <c r="V2359" s="74">
        <v>44537</v>
      </c>
      <c r="W2359" s="74">
        <v>44586</v>
      </c>
      <c r="X2359" s="55">
        <v>10185122</v>
      </c>
      <c r="Y2359" s="55" t="s">
        <v>132</v>
      </c>
      <c r="AB2359" s="74" t="s">
        <v>132</v>
      </c>
      <c r="AC2359" s="55" t="s">
        <v>132</v>
      </c>
      <c r="AL2359" s="74"/>
      <c r="AM2359" s="74"/>
      <c r="AW2359" s="74"/>
      <c r="AX2359" s="74"/>
    </row>
    <row r="2360" spans="1:50" ht="13" x14ac:dyDescent="0.15">
      <c r="A2360" s="55" t="str">
        <f>HYPERLINK("http://reports.ofsted.gov.uk/inspection-reports/find-inspection-report/provider/CARE/SC058778","Ofsted Social Care Provider Webpage")</f>
        <v>Ofsted Social Care Provider Webpage</v>
      </c>
      <c r="B2360" s="55" t="s">
        <v>4402</v>
      </c>
      <c r="D2360" s="55" t="s">
        <v>373</v>
      </c>
      <c r="E2360" s="74">
        <v>38076</v>
      </c>
      <c r="F2360" s="55" t="s">
        <v>344</v>
      </c>
      <c r="G2360" s="55" t="s">
        <v>360</v>
      </c>
      <c r="H2360" s="55" t="s">
        <v>360</v>
      </c>
      <c r="I2360" s="55" t="s">
        <v>360</v>
      </c>
      <c r="J2360" s="55" t="s">
        <v>360</v>
      </c>
      <c r="K2360" s="55" t="s">
        <v>360</v>
      </c>
      <c r="L2360" s="55" t="s">
        <v>360</v>
      </c>
      <c r="M2360" s="55" t="s">
        <v>138</v>
      </c>
      <c r="N2360" s="55" t="s">
        <v>138</v>
      </c>
      <c r="O2360" s="55" t="s">
        <v>238</v>
      </c>
      <c r="P2360" s="55" t="s">
        <v>1080</v>
      </c>
      <c r="Q2360" s="55" t="s">
        <v>380</v>
      </c>
      <c r="R2360" s="85">
        <v>8</v>
      </c>
      <c r="S2360" s="55" t="s">
        <v>332</v>
      </c>
      <c r="T2360" s="74" t="s">
        <v>3115</v>
      </c>
      <c r="U2360" s="74" t="s">
        <v>351</v>
      </c>
      <c r="V2360" s="74">
        <v>44390</v>
      </c>
      <c r="W2360" s="74">
        <v>44413</v>
      </c>
      <c r="X2360" s="55">
        <v>10185455</v>
      </c>
      <c r="Y2360" s="55" t="s">
        <v>132</v>
      </c>
      <c r="AB2360" s="74" t="s">
        <v>132</v>
      </c>
      <c r="AC2360" s="55" t="s">
        <v>132</v>
      </c>
      <c r="AL2360" s="74"/>
      <c r="AM2360" s="74"/>
      <c r="AW2360" s="74"/>
      <c r="AX2360" s="74"/>
    </row>
    <row r="2361" spans="1:50" ht="13" x14ac:dyDescent="0.15">
      <c r="A2361" s="55" t="str">
        <f>HYPERLINK("http://reports.ofsted.gov.uk/inspection-reports/find-inspection-report/provider/CARE/SC058960","Ofsted Social Care Provider Webpage")</f>
        <v>Ofsted Social Care Provider Webpage</v>
      </c>
      <c r="B2361" s="55" t="s">
        <v>4403</v>
      </c>
      <c r="C2361" s="55">
        <v>146058</v>
      </c>
      <c r="D2361" s="55" t="s">
        <v>413</v>
      </c>
      <c r="E2361" s="74">
        <v>37965</v>
      </c>
      <c r="F2361" s="55" t="s">
        <v>344</v>
      </c>
      <c r="G2361" s="55" t="s">
        <v>4404</v>
      </c>
      <c r="H2361" s="55" t="s">
        <v>4404</v>
      </c>
      <c r="I2361" s="55" t="s">
        <v>4405</v>
      </c>
      <c r="J2361" s="55" t="s">
        <v>4406</v>
      </c>
      <c r="K2361" s="55" t="s">
        <v>173</v>
      </c>
      <c r="L2361" s="55" t="s">
        <v>4407</v>
      </c>
      <c r="M2361" s="55" t="s">
        <v>172</v>
      </c>
      <c r="N2361" s="55" t="s">
        <v>172</v>
      </c>
      <c r="O2361" s="55" t="s">
        <v>173</v>
      </c>
      <c r="P2361" s="55" t="s">
        <v>1305</v>
      </c>
      <c r="Q2361" s="55" t="s">
        <v>380</v>
      </c>
      <c r="R2361" s="85">
        <v>28</v>
      </c>
      <c r="S2361" s="55">
        <v>0</v>
      </c>
      <c r="T2361" s="74" t="s">
        <v>4404</v>
      </c>
      <c r="U2361" s="74" t="s">
        <v>351</v>
      </c>
      <c r="V2361" s="74">
        <v>44376</v>
      </c>
      <c r="W2361" s="74">
        <v>44419</v>
      </c>
      <c r="X2361" s="55">
        <v>10183482</v>
      </c>
      <c r="Y2361" s="55" t="s">
        <v>140</v>
      </c>
      <c r="AB2361" s="74" t="s">
        <v>140</v>
      </c>
      <c r="AC2361" s="55" t="s">
        <v>140</v>
      </c>
      <c r="AL2361" s="74"/>
      <c r="AM2361" s="74"/>
      <c r="AW2361" s="74"/>
      <c r="AX2361" s="74"/>
    </row>
    <row r="2362" spans="1:50" ht="13" x14ac:dyDescent="0.15">
      <c r="A2362" s="55" t="str">
        <f>HYPERLINK("http://reports.ofsted.gov.uk/inspection-reports/find-inspection-report/provider/CARE/SC059037","Ofsted Social Care Provider Webpage")</f>
        <v>Ofsted Social Care Provider Webpage</v>
      </c>
      <c r="B2362" s="55" t="s">
        <v>4408</v>
      </c>
      <c r="D2362" s="55" t="s">
        <v>373</v>
      </c>
      <c r="E2362" s="74">
        <v>38054</v>
      </c>
      <c r="F2362" s="55" t="s">
        <v>344</v>
      </c>
      <c r="G2362" s="55" t="s">
        <v>360</v>
      </c>
      <c r="H2362" s="55" t="s">
        <v>360</v>
      </c>
      <c r="I2362" s="55" t="s">
        <v>360</v>
      </c>
      <c r="J2362" s="55" t="s">
        <v>360</v>
      </c>
      <c r="K2362" s="55" t="s">
        <v>360</v>
      </c>
      <c r="L2362" s="55" t="s">
        <v>360</v>
      </c>
      <c r="M2362" s="55" t="s">
        <v>150</v>
      </c>
      <c r="N2362" s="55" t="s">
        <v>150</v>
      </c>
      <c r="O2362" s="55" t="s">
        <v>203</v>
      </c>
      <c r="P2362" s="55" t="s">
        <v>563</v>
      </c>
      <c r="Q2362" s="55" t="s">
        <v>350</v>
      </c>
      <c r="R2362" s="85">
        <v>4</v>
      </c>
      <c r="S2362" s="55">
        <v>0</v>
      </c>
      <c r="T2362" s="74" t="s">
        <v>2906</v>
      </c>
      <c r="U2362" s="74" t="s">
        <v>351</v>
      </c>
      <c r="V2362" s="74">
        <v>44594</v>
      </c>
      <c r="W2362" s="74">
        <v>44637</v>
      </c>
      <c r="X2362" s="55">
        <v>10186663</v>
      </c>
      <c r="Y2362" s="55" t="s">
        <v>132</v>
      </c>
      <c r="AB2362" s="74" t="s">
        <v>132</v>
      </c>
      <c r="AC2362" s="55" t="s">
        <v>132</v>
      </c>
      <c r="AL2362" s="74"/>
      <c r="AM2362" s="74"/>
      <c r="AW2362" s="74"/>
      <c r="AX2362" s="74"/>
    </row>
    <row r="2363" spans="1:50" ht="13" x14ac:dyDescent="0.15">
      <c r="A2363" s="55" t="str">
        <f>HYPERLINK("http://reports.ofsted.gov.uk/inspection-reports/find-inspection-report/provider/CARE/SC059180","Ofsted Social Care Provider Webpage")</f>
        <v>Ofsted Social Care Provider Webpage</v>
      </c>
      <c r="B2363" s="55" t="s">
        <v>4409</v>
      </c>
      <c r="D2363" s="55" t="s">
        <v>373</v>
      </c>
      <c r="E2363" s="74">
        <v>38077</v>
      </c>
      <c r="F2363" s="55" t="s">
        <v>344</v>
      </c>
      <c r="G2363" s="55" t="s">
        <v>360</v>
      </c>
      <c r="H2363" s="55" t="s">
        <v>360</v>
      </c>
      <c r="I2363" s="55" t="s">
        <v>360</v>
      </c>
      <c r="J2363" s="55" t="s">
        <v>360</v>
      </c>
      <c r="K2363" s="55" t="s">
        <v>360</v>
      </c>
      <c r="L2363" s="55" t="s">
        <v>360</v>
      </c>
      <c r="M2363" s="55" t="s">
        <v>378</v>
      </c>
      <c r="N2363" s="55" t="s">
        <v>170</v>
      </c>
      <c r="O2363" s="55" t="s">
        <v>178</v>
      </c>
      <c r="P2363" s="55" t="s">
        <v>1374</v>
      </c>
      <c r="Q2363" s="55" t="s">
        <v>350</v>
      </c>
      <c r="R2363" s="85">
        <v>5</v>
      </c>
      <c r="S2363" s="55">
        <v>0</v>
      </c>
      <c r="T2363" s="74" t="s">
        <v>385</v>
      </c>
      <c r="U2363" s="74" t="s">
        <v>351</v>
      </c>
      <c r="V2363" s="74">
        <v>44593</v>
      </c>
      <c r="W2363" s="74">
        <v>44638</v>
      </c>
      <c r="X2363" s="55">
        <v>10187261</v>
      </c>
      <c r="Y2363" s="55" t="s">
        <v>132</v>
      </c>
      <c r="AB2363" s="74" t="s">
        <v>132</v>
      </c>
      <c r="AC2363" s="55" t="s">
        <v>132</v>
      </c>
      <c r="AL2363" s="74"/>
      <c r="AM2363" s="74"/>
    </row>
    <row r="2364" spans="1:50" ht="13" x14ac:dyDescent="0.15">
      <c r="A2364" s="55" t="str">
        <f>HYPERLINK("http://reports.ofsted.gov.uk/inspection-reports/find-inspection-report/provider/CARE/SC059203","Ofsted Social Care Provider Webpage")</f>
        <v>Ofsted Social Care Provider Webpage</v>
      </c>
      <c r="B2364" s="55" t="s">
        <v>4410</v>
      </c>
      <c r="D2364" s="55" t="s">
        <v>373</v>
      </c>
      <c r="E2364" s="74">
        <v>38153</v>
      </c>
      <c r="F2364" s="55" t="s">
        <v>344</v>
      </c>
      <c r="G2364" s="55" t="s">
        <v>360</v>
      </c>
      <c r="H2364" s="55" t="s">
        <v>360</v>
      </c>
      <c r="I2364" s="55" t="s">
        <v>360</v>
      </c>
      <c r="J2364" s="55" t="s">
        <v>360</v>
      </c>
      <c r="K2364" s="55" t="s">
        <v>360</v>
      </c>
      <c r="L2364" s="55" t="s">
        <v>360</v>
      </c>
      <c r="M2364" s="55" t="s">
        <v>378</v>
      </c>
      <c r="N2364" s="55" t="s">
        <v>170</v>
      </c>
      <c r="O2364" s="55" t="s">
        <v>233</v>
      </c>
      <c r="P2364" s="55" t="s">
        <v>1999</v>
      </c>
      <c r="Q2364" s="55" t="s">
        <v>380</v>
      </c>
      <c r="R2364" s="85">
        <v>6</v>
      </c>
      <c r="S2364" s="55" t="s">
        <v>332</v>
      </c>
      <c r="T2364" s="74" t="s">
        <v>381</v>
      </c>
      <c r="U2364" s="74" t="s">
        <v>351</v>
      </c>
      <c r="V2364" s="74">
        <v>44540</v>
      </c>
      <c r="W2364" s="74">
        <v>44588</v>
      </c>
      <c r="X2364" s="55">
        <v>10185205</v>
      </c>
      <c r="Y2364" s="55" t="s">
        <v>132</v>
      </c>
      <c r="AB2364" s="74" t="s">
        <v>132</v>
      </c>
      <c r="AC2364" s="55" t="s">
        <v>132</v>
      </c>
      <c r="AL2364" s="74"/>
      <c r="AM2364" s="74"/>
      <c r="AW2364" s="74"/>
      <c r="AX2364" s="74"/>
    </row>
    <row r="2365" spans="1:50" ht="13" x14ac:dyDescent="0.15">
      <c r="A2365" s="55" t="str">
        <f>HYPERLINK("http://reports.ofsted.gov.uk/inspection-reports/find-inspection-report/provider/CARE/SC059221","Ofsted Social Care Provider Webpage")</f>
        <v>Ofsted Social Care Provider Webpage</v>
      </c>
      <c r="B2365" s="55" t="s">
        <v>4411</v>
      </c>
      <c r="D2365" s="55" t="s">
        <v>373</v>
      </c>
      <c r="E2365" s="74">
        <v>38068</v>
      </c>
      <c r="F2365" s="55" t="s">
        <v>344</v>
      </c>
      <c r="G2365" s="55" t="s">
        <v>360</v>
      </c>
      <c r="H2365" s="55" t="s">
        <v>360</v>
      </c>
      <c r="I2365" s="55" t="s">
        <v>360</v>
      </c>
      <c r="J2365" s="55" t="s">
        <v>360</v>
      </c>
      <c r="K2365" s="55" t="s">
        <v>360</v>
      </c>
      <c r="L2365" s="55" t="s">
        <v>360</v>
      </c>
      <c r="M2365" s="55" t="s">
        <v>150</v>
      </c>
      <c r="N2365" s="55" t="s">
        <v>150</v>
      </c>
      <c r="O2365" s="55" t="s">
        <v>241</v>
      </c>
      <c r="P2365" s="55" t="s">
        <v>1492</v>
      </c>
      <c r="Q2365" s="55" t="s">
        <v>350</v>
      </c>
      <c r="R2365" s="85">
        <v>3</v>
      </c>
      <c r="S2365" s="55">
        <v>0</v>
      </c>
      <c r="T2365" s="74" t="s">
        <v>4412</v>
      </c>
      <c r="U2365" s="74" t="s">
        <v>351</v>
      </c>
      <c r="V2365" s="74">
        <v>44608</v>
      </c>
      <c r="W2365" s="74">
        <v>44659</v>
      </c>
      <c r="X2365" s="55">
        <v>10185421</v>
      </c>
      <c r="Y2365" s="55" t="s">
        <v>132</v>
      </c>
      <c r="AB2365" s="74" t="s">
        <v>132</v>
      </c>
      <c r="AC2365" s="55" t="s">
        <v>132</v>
      </c>
      <c r="AL2365" s="74"/>
      <c r="AM2365" s="74"/>
    </row>
    <row r="2366" spans="1:50" ht="13" x14ac:dyDescent="0.15">
      <c r="A2366" s="55" t="str">
        <f>HYPERLINK("http://reports.ofsted.gov.uk/inspection-reports/find-inspection-report/provider/CARE/SC059261","Ofsted Social Care Provider Webpage")</f>
        <v>Ofsted Social Care Provider Webpage</v>
      </c>
      <c r="B2366" s="55" t="s">
        <v>4413</v>
      </c>
      <c r="D2366" s="55" t="s">
        <v>373</v>
      </c>
      <c r="E2366" s="74">
        <v>38132</v>
      </c>
      <c r="F2366" s="55" t="s">
        <v>344</v>
      </c>
      <c r="G2366" s="55" t="s">
        <v>360</v>
      </c>
      <c r="H2366" s="55" t="s">
        <v>360</v>
      </c>
      <c r="I2366" s="55" t="s">
        <v>360</v>
      </c>
      <c r="J2366" s="55" t="s">
        <v>360</v>
      </c>
      <c r="K2366" s="55" t="s">
        <v>360</v>
      </c>
      <c r="L2366" s="55" t="s">
        <v>360</v>
      </c>
      <c r="M2366" s="55" t="s">
        <v>144</v>
      </c>
      <c r="N2366" s="55" t="s">
        <v>144</v>
      </c>
      <c r="O2366" s="55" t="s">
        <v>215</v>
      </c>
      <c r="P2366" s="55" t="s">
        <v>1440</v>
      </c>
      <c r="Q2366" s="55" t="s">
        <v>350</v>
      </c>
      <c r="R2366" s="85">
        <v>5</v>
      </c>
      <c r="S2366" s="55">
        <v>0</v>
      </c>
      <c r="T2366" s="74" t="s">
        <v>4414</v>
      </c>
      <c r="U2366" s="74" t="s">
        <v>351</v>
      </c>
      <c r="V2366" s="74">
        <v>44628</v>
      </c>
      <c r="W2366" s="74">
        <v>44672</v>
      </c>
      <c r="X2366" s="55">
        <v>10185593</v>
      </c>
      <c r="Y2366" s="55" t="s">
        <v>132</v>
      </c>
      <c r="AB2366" s="74" t="s">
        <v>132</v>
      </c>
      <c r="AC2366" s="55" t="s">
        <v>132</v>
      </c>
      <c r="AL2366" s="74"/>
      <c r="AM2366" s="74"/>
      <c r="AW2366" s="74"/>
      <c r="AX2366" s="74"/>
    </row>
    <row r="2367" spans="1:50" ht="13" x14ac:dyDescent="0.15">
      <c r="A2367" s="55" t="str">
        <f>HYPERLINK("http://reports.ofsted.gov.uk/inspection-reports/find-inspection-report/provider/CARE/SC059635","Ofsted Social Care Provider Webpage")</f>
        <v>Ofsted Social Care Provider Webpage</v>
      </c>
      <c r="B2367" s="55" t="s">
        <v>4415</v>
      </c>
      <c r="D2367" s="55" t="s">
        <v>373</v>
      </c>
      <c r="E2367" s="74">
        <v>38057</v>
      </c>
      <c r="F2367" s="55" t="s">
        <v>344</v>
      </c>
      <c r="G2367" s="55" t="s">
        <v>360</v>
      </c>
      <c r="H2367" s="55" t="s">
        <v>360</v>
      </c>
      <c r="I2367" s="55" t="s">
        <v>360</v>
      </c>
      <c r="J2367" s="55" t="s">
        <v>360</v>
      </c>
      <c r="K2367" s="55" t="s">
        <v>360</v>
      </c>
      <c r="L2367" s="55" t="s">
        <v>360</v>
      </c>
      <c r="M2367" s="55" t="s">
        <v>378</v>
      </c>
      <c r="N2367" s="55" t="s">
        <v>134</v>
      </c>
      <c r="O2367" s="55" t="s">
        <v>151</v>
      </c>
      <c r="P2367" s="55" t="s">
        <v>884</v>
      </c>
      <c r="Q2367" s="55" t="s">
        <v>380</v>
      </c>
      <c r="R2367" s="85">
        <v>6</v>
      </c>
      <c r="S2367" s="55">
        <v>0</v>
      </c>
      <c r="T2367" s="74" t="s">
        <v>1220</v>
      </c>
      <c r="U2367" s="74" t="s">
        <v>351</v>
      </c>
      <c r="V2367" s="74">
        <v>44454</v>
      </c>
      <c r="W2367" s="74">
        <v>44497</v>
      </c>
      <c r="X2367" s="55">
        <v>10186869</v>
      </c>
      <c r="Y2367" s="55" t="s">
        <v>130</v>
      </c>
      <c r="AB2367" s="74" t="s">
        <v>130</v>
      </c>
      <c r="AC2367" s="55" t="s">
        <v>146</v>
      </c>
      <c r="AL2367" s="74"/>
      <c r="AM2367" s="74"/>
      <c r="AW2367" s="74"/>
      <c r="AX2367" s="74"/>
    </row>
    <row r="2368" spans="1:50" ht="13" x14ac:dyDescent="0.15">
      <c r="A2368" s="55" t="str">
        <f>HYPERLINK("http://reports.ofsted.gov.uk/inspection-reports/find-inspection-report/provider/CARE/SC059717","Ofsted Social Care Provider Webpage")</f>
        <v>Ofsted Social Care Provider Webpage</v>
      </c>
      <c r="B2368" s="55" t="s">
        <v>4420</v>
      </c>
      <c r="D2368" s="55" t="s">
        <v>373</v>
      </c>
      <c r="E2368" s="74">
        <v>39170</v>
      </c>
      <c r="F2368" s="55" t="s">
        <v>344</v>
      </c>
      <c r="G2368" s="55" t="s">
        <v>360</v>
      </c>
      <c r="H2368" s="55" t="s">
        <v>360</v>
      </c>
      <c r="I2368" s="55" t="s">
        <v>360</v>
      </c>
      <c r="J2368" s="55" t="s">
        <v>360</v>
      </c>
      <c r="K2368" s="55" t="s">
        <v>360</v>
      </c>
      <c r="L2368" s="55" t="s">
        <v>360</v>
      </c>
      <c r="M2368" s="55" t="s">
        <v>136</v>
      </c>
      <c r="N2368" s="55" t="s">
        <v>136</v>
      </c>
      <c r="O2368" s="55" t="s">
        <v>288</v>
      </c>
      <c r="P2368" s="55" t="s">
        <v>1037</v>
      </c>
      <c r="Q2368" s="55" t="s">
        <v>350</v>
      </c>
      <c r="R2368" s="85">
        <v>6</v>
      </c>
      <c r="S2368" s="55">
        <v>0</v>
      </c>
      <c r="T2368" s="74" t="s">
        <v>2197</v>
      </c>
      <c r="U2368" s="74" t="s">
        <v>351</v>
      </c>
      <c r="V2368" s="74">
        <v>44539</v>
      </c>
      <c r="W2368" s="74">
        <v>44588</v>
      </c>
      <c r="X2368" s="55">
        <v>10185188</v>
      </c>
      <c r="Y2368" s="55" t="s">
        <v>132</v>
      </c>
      <c r="AB2368" s="74" t="s">
        <v>140</v>
      </c>
      <c r="AC2368" s="55" t="s">
        <v>132</v>
      </c>
      <c r="AL2368" s="74"/>
      <c r="AM2368" s="74"/>
      <c r="AW2368" s="74"/>
      <c r="AX2368" s="74"/>
    </row>
    <row r="2369" spans="1:50" ht="13" x14ac:dyDescent="0.15">
      <c r="A2369" s="55" t="str">
        <f>HYPERLINK("http://reports.ofsted.gov.uk/inspection-reports/find-inspection-report/provider/CARE/SC059753","Ofsted Social Care Provider Webpage")</f>
        <v>Ofsted Social Care Provider Webpage</v>
      </c>
      <c r="B2369" s="55" t="s">
        <v>4427</v>
      </c>
      <c r="D2369" s="55" t="s">
        <v>373</v>
      </c>
      <c r="E2369" s="74">
        <v>38020</v>
      </c>
      <c r="F2369" s="55" t="s">
        <v>344</v>
      </c>
      <c r="G2369" s="55" t="s">
        <v>360</v>
      </c>
      <c r="H2369" s="55" t="s">
        <v>360</v>
      </c>
      <c r="I2369" s="55" t="s">
        <v>360</v>
      </c>
      <c r="J2369" s="55" t="s">
        <v>360</v>
      </c>
      <c r="K2369" s="55" t="s">
        <v>360</v>
      </c>
      <c r="L2369" s="55" t="s">
        <v>360</v>
      </c>
      <c r="M2369" s="55" t="s">
        <v>136</v>
      </c>
      <c r="N2369" s="55" t="s">
        <v>136</v>
      </c>
      <c r="O2369" s="55" t="s">
        <v>288</v>
      </c>
      <c r="P2369" s="55" t="s">
        <v>1487</v>
      </c>
      <c r="Q2369" s="55" t="s">
        <v>350</v>
      </c>
      <c r="R2369" s="85">
        <v>2</v>
      </c>
      <c r="S2369" s="55">
        <v>0</v>
      </c>
      <c r="T2369" s="74" t="s">
        <v>2197</v>
      </c>
      <c r="U2369" s="74" t="s">
        <v>351</v>
      </c>
      <c r="V2369" s="74">
        <v>44509</v>
      </c>
      <c r="W2369" s="74">
        <v>44551</v>
      </c>
      <c r="X2369" s="55">
        <v>10185296</v>
      </c>
      <c r="Y2369" s="55" t="s">
        <v>132</v>
      </c>
      <c r="AB2369" s="74" t="s">
        <v>132</v>
      </c>
      <c r="AC2369" s="55" t="s">
        <v>132</v>
      </c>
      <c r="AL2369" s="74"/>
      <c r="AM2369" s="74"/>
      <c r="AW2369" s="74"/>
      <c r="AX2369" s="74"/>
    </row>
    <row r="2370" spans="1:50" ht="13" x14ac:dyDescent="0.15">
      <c r="A2370" s="55" t="str">
        <f>HYPERLINK("http://reports.ofsted.gov.uk/inspection-reports/find-inspection-report/provider/CARE/SC059755","Ofsted Social Care Provider Webpage")</f>
        <v>Ofsted Social Care Provider Webpage</v>
      </c>
      <c r="B2370" s="55" t="s">
        <v>4428</v>
      </c>
      <c r="D2370" s="55" t="s">
        <v>373</v>
      </c>
      <c r="E2370" s="74">
        <v>38020</v>
      </c>
      <c r="F2370" s="55" t="s">
        <v>344</v>
      </c>
      <c r="G2370" s="55" t="s">
        <v>360</v>
      </c>
      <c r="H2370" s="55" t="s">
        <v>360</v>
      </c>
      <c r="I2370" s="55" t="s">
        <v>360</v>
      </c>
      <c r="J2370" s="55" t="s">
        <v>360</v>
      </c>
      <c r="K2370" s="55" t="s">
        <v>360</v>
      </c>
      <c r="L2370" s="55" t="s">
        <v>360</v>
      </c>
      <c r="M2370" s="55" t="s">
        <v>136</v>
      </c>
      <c r="N2370" s="55" t="s">
        <v>136</v>
      </c>
      <c r="O2370" s="55" t="s">
        <v>288</v>
      </c>
      <c r="P2370" s="55" t="s">
        <v>1037</v>
      </c>
      <c r="Q2370" s="55" t="s">
        <v>350</v>
      </c>
      <c r="R2370" s="85">
        <v>5</v>
      </c>
      <c r="S2370" s="55">
        <v>0</v>
      </c>
      <c r="T2370" s="74" t="s">
        <v>2197</v>
      </c>
      <c r="U2370" s="74" t="s">
        <v>351</v>
      </c>
      <c r="V2370" s="74">
        <v>44322</v>
      </c>
      <c r="W2370" s="74">
        <v>44354</v>
      </c>
      <c r="X2370" s="55">
        <v>10185640</v>
      </c>
      <c r="Y2370" s="55" t="s">
        <v>130</v>
      </c>
      <c r="AB2370" s="74" t="s">
        <v>130</v>
      </c>
      <c r="AC2370" s="55" t="s">
        <v>130</v>
      </c>
      <c r="AL2370" s="74"/>
      <c r="AM2370" s="74"/>
      <c r="AW2370" s="74"/>
      <c r="AX2370" s="74"/>
    </row>
    <row r="2371" spans="1:50" ht="13" x14ac:dyDescent="0.15">
      <c r="A2371" s="55" t="str">
        <f>HYPERLINK("http://reports.ofsted.gov.uk/inspection-reports/find-inspection-report/provider/CARE/SC059818","Ofsted Social Care Provider Webpage")</f>
        <v>Ofsted Social Care Provider Webpage</v>
      </c>
      <c r="B2371" s="55" t="s">
        <v>4429</v>
      </c>
      <c r="C2371" s="55">
        <v>130723</v>
      </c>
      <c r="D2371" s="55" t="s">
        <v>693</v>
      </c>
      <c r="E2371" s="74">
        <v>38016</v>
      </c>
      <c r="F2371" s="55" t="s">
        <v>344</v>
      </c>
      <c r="G2371" s="55" t="s">
        <v>4430</v>
      </c>
      <c r="H2371" s="55" t="s">
        <v>4430</v>
      </c>
      <c r="I2371" s="55" t="s">
        <v>4431</v>
      </c>
      <c r="J2371" s="55" t="s">
        <v>4354</v>
      </c>
      <c r="K2371" s="55" t="s">
        <v>196</v>
      </c>
      <c r="L2371" s="55" t="s">
        <v>4432</v>
      </c>
      <c r="M2371" s="55" t="s">
        <v>138</v>
      </c>
      <c r="N2371" s="55" t="s">
        <v>138</v>
      </c>
      <c r="O2371" s="55" t="s">
        <v>196</v>
      </c>
      <c r="P2371" s="55" t="s">
        <v>441</v>
      </c>
      <c r="Q2371" s="55" t="s">
        <v>362</v>
      </c>
      <c r="R2371" s="85">
        <v>80</v>
      </c>
      <c r="S2371" s="55">
        <v>0</v>
      </c>
      <c r="T2371" s="74" t="s">
        <v>4433</v>
      </c>
      <c r="U2371" s="74" t="s">
        <v>351</v>
      </c>
      <c r="V2371" s="74">
        <v>44578</v>
      </c>
      <c r="W2371" s="74">
        <v>44601</v>
      </c>
      <c r="X2371" s="55">
        <v>10183327</v>
      </c>
      <c r="Y2371" s="55" t="s">
        <v>132</v>
      </c>
      <c r="AB2371" s="74" t="s">
        <v>130</v>
      </c>
      <c r="AC2371" s="55" t="s">
        <v>132</v>
      </c>
      <c r="AL2371" s="74"/>
      <c r="AM2371" s="74"/>
      <c r="AW2371" s="74"/>
      <c r="AX2371" s="74"/>
    </row>
    <row r="2372" spans="1:50" ht="13" x14ac:dyDescent="0.15">
      <c r="A2372" s="55" t="str">
        <f>HYPERLINK("http://reports.ofsted.gov.uk/inspection-reports/find-inspection-report/provider/CARE/SC059853","Ofsted Social Care Provider Webpage")</f>
        <v>Ofsted Social Care Provider Webpage</v>
      </c>
      <c r="B2372" s="55" t="s">
        <v>4435</v>
      </c>
      <c r="D2372" s="55" t="s">
        <v>373</v>
      </c>
      <c r="E2372" s="74">
        <v>38133</v>
      </c>
      <c r="F2372" s="55" t="s">
        <v>344</v>
      </c>
      <c r="G2372" s="55" t="s">
        <v>360</v>
      </c>
      <c r="H2372" s="55" t="s">
        <v>360</v>
      </c>
      <c r="I2372" s="55" t="s">
        <v>360</v>
      </c>
      <c r="J2372" s="55" t="s">
        <v>360</v>
      </c>
      <c r="K2372" s="55" t="s">
        <v>360</v>
      </c>
      <c r="L2372" s="55" t="s">
        <v>360</v>
      </c>
      <c r="M2372" s="55" t="s">
        <v>144</v>
      </c>
      <c r="N2372" s="55" t="s">
        <v>144</v>
      </c>
      <c r="O2372" s="55" t="s">
        <v>147</v>
      </c>
      <c r="P2372" s="55" t="s">
        <v>674</v>
      </c>
      <c r="Q2372" s="55" t="s">
        <v>380</v>
      </c>
      <c r="R2372" s="85">
        <v>6</v>
      </c>
      <c r="S2372" s="55" t="s">
        <v>332</v>
      </c>
      <c r="T2372" s="74" t="s">
        <v>3771</v>
      </c>
      <c r="U2372" s="74" t="s">
        <v>351</v>
      </c>
      <c r="V2372" s="74">
        <v>44614</v>
      </c>
      <c r="W2372" s="74">
        <v>44656</v>
      </c>
      <c r="X2372" s="55">
        <v>10185020</v>
      </c>
      <c r="Y2372" s="55" t="s">
        <v>132</v>
      </c>
      <c r="AB2372" s="74" t="s">
        <v>132</v>
      </c>
      <c r="AC2372" s="55" t="s">
        <v>132</v>
      </c>
      <c r="AL2372" s="74"/>
      <c r="AM2372" s="74"/>
      <c r="AW2372" s="74"/>
      <c r="AX2372" s="74"/>
    </row>
    <row r="2373" spans="1:50" ht="13" x14ac:dyDescent="0.15">
      <c r="A2373" s="55" t="str">
        <f>HYPERLINK("http://reports.ofsted.gov.uk/inspection-reports/find-inspection-report/provider/CARE/SC059998","Ofsted Social Care Provider Webpage")</f>
        <v>Ofsted Social Care Provider Webpage</v>
      </c>
      <c r="B2373" s="55" t="s">
        <v>4436</v>
      </c>
      <c r="D2373" s="55" t="s">
        <v>373</v>
      </c>
      <c r="E2373" s="74">
        <v>38027</v>
      </c>
      <c r="F2373" s="55" t="s">
        <v>344</v>
      </c>
      <c r="G2373" s="55" t="s">
        <v>360</v>
      </c>
      <c r="H2373" s="55" t="s">
        <v>360</v>
      </c>
      <c r="I2373" s="55" t="s">
        <v>360</v>
      </c>
      <c r="J2373" s="55" t="s">
        <v>360</v>
      </c>
      <c r="K2373" s="55" t="s">
        <v>360</v>
      </c>
      <c r="L2373" s="55" t="s">
        <v>360</v>
      </c>
      <c r="M2373" s="55" t="s">
        <v>172</v>
      </c>
      <c r="N2373" s="55" t="s">
        <v>172</v>
      </c>
      <c r="O2373" s="55" t="s">
        <v>171</v>
      </c>
      <c r="P2373" s="55" t="s">
        <v>983</v>
      </c>
      <c r="Q2373" s="55" t="s">
        <v>350</v>
      </c>
      <c r="R2373" s="85">
        <v>4</v>
      </c>
      <c r="S2373" s="55">
        <v>0</v>
      </c>
      <c r="T2373" s="74" t="s">
        <v>861</v>
      </c>
      <c r="U2373" s="74" t="s">
        <v>351</v>
      </c>
      <c r="V2373" s="74">
        <v>44445</v>
      </c>
      <c r="W2373" s="74">
        <v>44476</v>
      </c>
      <c r="X2373" s="55">
        <v>10187245</v>
      </c>
      <c r="Y2373" s="55" t="s">
        <v>130</v>
      </c>
      <c r="AB2373" s="74" t="s">
        <v>130</v>
      </c>
      <c r="AC2373" s="55" t="s">
        <v>130</v>
      </c>
      <c r="AL2373" s="74"/>
      <c r="AM2373" s="74"/>
      <c r="AW2373" s="74"/>
      <c r="AX2373" s="74"/>
    </row>
    <row r="2374" spans="1:50" ht="13" x14ac:dyDescent="0.15">
      <c r="A2374" s="55" t="str">
        <f>HYPERLINK("http://reports.ofsted.gov.uk/inspection-reports/find-inspection-report/provider/CARE/SC060034","Ofsted Social Care Provider Webpage")</f>
        <v>Ofsted Social Care Provider Webpage</v>
      </c>
      <c r="B2374" s="55" t="s">
        <v>4437</v>
      </c>
      <c r="D2374" s="55" t="s">
        <v>373</v>
      </c>
      <c r="E2374" s="74">
        <v>38212</v>
      </c>
      <c r="F2374" s="55" t="s">
        <v>344</v>
      </c>
      <c r="G2374" s="55" t="s">
        <v>360</v>
      </c>
      <c r="H2374" s="55" t="s">
        <v>360</v>
      </c>
      <c r="I2374" s="55" t="s">
        <v>360</v>
      </c>
      <c r="J2374" s="55" t="s">
        <v>360</v>
      </c>
      <c r="K2374" s="55" t="s">
        <v>360</v>
      </c>
      <c r="L2374" s="55" t="s">
        <v>360</v>
      </c>
      <c r="M2374" s="55" t="s">
        <v>138</v>
      </c>
      <c r="N2374" s="55" t="s">
        <v>138</v>
      </c>
      <c r="O2374" s="55" t="s">
        <v>224</v>
      </c>
      <c r="P2374" s="55" t="s">
        <v>1675</v>
      </c>
      <c r="Q2374" s="55" t="s">
        <v>362</v>
      </c>
      <c r="R2374" s="85">
        <v>6</v>
      </c>
      <c r="S2374" s="55" t="s">
        <v>332</v>
      </c>
      <c r="T2374" s="74" t="s">
        <v>557</v>
      </c>
      <c r="U2374" s="74" t="s">
        <v>351</v>
      </c>
      <c r="V2374" s="74">
        <v>44397</v>
      </c>
      <c r="W2374" s="74">
        <v>44425</v>
      </c>
      <c r="X2374" s="55">
        <v>10185316</v>
      </c>
      <c r="Y2374" s="55" t="s">
        <v>132</v>
      </c>
      <c r="AB2374" s="74" t="s">
        <v>132</v>
      </c>
      <c r="AC2374" s="55" t="s">
        <v>132</v>
      </c>
      <c r="AL2374" s="74"/>
      <c r="AM2374" s="74"/>
    </row>
    <row r="2375" spans="1:50" ht="13" x14ac:dyDescent="0.15">
      <c r="A2375" s="55" t="str">
        <f>HYPERLINK("http://reports.ofsted.gov.uk/inspection-reports/find-inspection-report/provider/CARE/SC060131","Ofsted Social Care Provider Webpage")</f>
        <v>Ofsted Social Care Provider Webpage</v>
      </c>
      <c r="B2375" s="55" t="s">
        <v>4438</v>
      </c>
      <c r="D2375" s="55" t="s">
        <v>389</v>
      </c>
      <c r="E2375" s="74">
        <v>38176</v>
      </c>
      <c r="F2375" s="55" t="s">
        <v>344</v>
      </c>
      <c r="G2375" s="55" t="s">
        <v>4439</v>
      </c>
      <c r="H2375" s="55" t="s">
        <v>4440</v>
      </c>
      <c r="I2375" s="55" t="s">
        <v>354</v>
      </c>
      <c r="J2375" s="55" t="s">
        <v>2457</v>
      </c>
      <c r="L2375" s="55" t="s">
        <v>4441</v>
      </c>
      <c r="M2375" s="55" t="s">
        <v>172</v>
      </c>
      <c r="N2375" s="55" t="s">
        <v>172</v>
      </c>
      <c r="O2375" s="55" t="s">
        <v>211</v>
      </c>
      <c r="P2375" s="55" t="s">
        <v>2228</v>
      </c>
      <c r="Q2375" s="55" t="s">
        <v>350</v>
      </c>
      <c r="S2375" s="55">
        <v>0</v>
      </c>
      <c r="T2375" s="74" t="s">
        <v>4439</v>
      </c>
      <c r="U2375" s="74" t="s">
        <v>351</v>
      </c>
      <c r="V2375" s="74">
        <v>44487</v>
      </c>
      <c r="W2375" s="74">
        <v>44537</v>
      </c>
      <c r="X2375" s="55">
        <v>10183342</v>
      </c>
      <c r="Y2375" s="55" t="s">
        <v>130</v>
      </c>
      <c r="AB2375" s="74" t="s">
        <v>130</v>
      </c>
      <c r="AC2375" s="55" t="s">
        <v>130</v>
      </c>
      <c r="AL2375" s="74"/>
      <c r="AM2375" s="74"/>
      <c r="AW2375" s="74"/>
      <c r="AX2375" s="74"/>
    </row>
    <row r="2376" spans="1:50" ht="13" x14ac:dyDescent="0.15">
      <c r="A2376" s="55" t="str">
        <f>HYPERLINK("http://reports.ofsted.gov.uk/inspection-reports/find-inspection-report/provider/CARE/SC060545","Ofsted Social Care Provider Webpage")</f>
        <v>Ofsted Social Care Provider Webpage</v>
      </c>
      <c r="B2376" s="55" t="s">
        <v>4454</v>
      </c>
      <c r="D2376" s="55" t="s">
        <v>373</v>
      </c>
      <c r="E2376" s="74">
        <v>38462</v>
      </c>
      <c r="F2376" s="55" t="s">
        <v>344</v>
      </c>
      <c r="G2376" s="55" t="s">
        <v>360</v>
      </c>
      <c r="H2376" s="55" t="s">
        <v>360</v>
      </c>
      <c r="I2376" s="55" t="s">
        <v>360</v>
      </c>
      <c r="J2376" s="55" t="s">
        <v>360</v>
      </c>
      <c r="K2376" s="55" t="s">
        <v>360</v>
      </c>
      <c r="L2376" s="55" t="s">
        <v>360</v>
      </c>
      <c r="M2376" s="55" t="s">
        <v>129</v>
      </c>
      <c r="N2376" s="55" t="s">
        <v>129</v>
      </c>
      <c r="O2376" s="55" t="s">
        <v>223</v>
      </c>
      <c r="P2376" s="55" t="s">
        <v>1602</v>
      </c>
      <c r="Q2376" s="55" t="s">
        <v>350</v>
      </c>
      <c r="R2376" s="85">
        <v>8</v>
      </c>
      <c r="S2376" s="55">
        <v>0</v>
      </c>
      <c r="T2376" s="74" t="s">
        <v>4455</v>
      </c>
      <c r="U2376" s="74" t="s">
        <v>6703</v>
      </c>
      <c r="V2376" s="74">
        <v>44586</v>
      </c>
      <c r="W2376" s="74">
        <v>44638</v>
      </c>
      <c r="X2376" s="55">
        <v>10213329</v>
      </c>
      <c r="Y2376" s="55" t="s">
        <v>6706</v>
      </c>
      <c r="AL2376" s="74"/>
      <c r="AM2376" s="74"/>
      <c r="AW2376" s="74"/>
      <c r="AX2376" s="74"/>
    </row>
    <row r="2377" spans="1:50" ht="13" x14ac:dyDescent="0.15">
      <c r="A2377" s="55" t="str">
        <f>HYPERLINK("http://reports.ofsted.gov.uk/inspection-reports/find-inspection-report/provider/CARE/SC060545","Ofsted Social Care Provider Webpage")</f>
        <v>Ofsted Social Care Provider Webpage</v>
      </c>
      <c r="B2377" s="55" t="s">
        <v>4454</v>
      </c>
      <c r="D2377" s="55" t="s">
        <v>373</v>
      </c>
      <c r="E2377" s="74">
        <v>38462</v>
      </c>
      <c r="F2377" s="55" t="s">
        <v>344</v>
      </c>
      <c r="G2377" s="55" t="s">
        <v>360</v>
      </c>
      <c r="H2377" s="55" t="s">
        <v>360</v>
      </c>
      <c r="I2377" s="55" t="s">
        <v>360</v>
      </c>
      <c r="J2377" s="55" t="s">
        <v>360</v>
      </c>
      <c r="K2377" s="55" t="s">
        <v>360</v>
      </c>
      <c r="L2377" s="55" t="s">
        <v>360</v>
      </c>
      <c r="M2377" s="55" t="s">
        <v>129</v>
      </c>
      <c r="N2377" s="55" t="s">
        <v>129</v>
      </c>
      <c r="O2377" s="55" t="s">
        <v>223</v>
      </c>
      <c r="P2377" s="55" t="s">
        <v>1602</v>
      </c>
      <c r="Q2377" s="55" t="s">
        <v>350</v>
      </c>
      <c r="R2377" s="85">
        <v>8</v>
      </c>
      <c r="S2377" s="55">
        <v>0</v>
      </c>
      <c r="T2377" s="74" t="s">
        <v>4455</v>
      </c>
      <c r="U2377" s="74" t="s">
        <v>351</v>
      </c>
      <c r="V2377" s="74">
        <v>44489</v>
      </c>
      <c r="W2377" s="74">
        <v>44531</v>
      </c>
      <c r="X2377" s="55">
        <v>10186201</v>
      </c>
      <c r="Y2377" s="55" t="s">
        <v>130</v>
      </c>
      <c r="AB2377" s="74" t="s">
        <v>130</v>
      </c>
      <c r="AC2377" s="55" t="s">
        <v>130</v>
      </c>
      <c r="AL2377" s="74"/>
      <c r="AM2377" s="74"/>
      <c r="AW2377" s="74"/>
      <c r="AX2377" s="74"/>
    </row>
    <row r="2378" spans="1:50" ht="13" x14ac:dyDescent="0.15">
      <c r="A2378" s="55" t="str">
        <f>HYPERLINK("http://reports.ofsted.gov.uk/inspection-reports/find-inspection-report/provider/CARE/SC060554","Ofsted Social Care Provider Webpage")</f>
        <v>Ofsted Social Care Provider Webpage</v>
      </c>
      <c r="B2378" s="55" t="s">
        <v>4456</v>
      </c>
      <c r="D2378" s="55" t="s">
        <v>373</v>
      </c>
      <c r="E2378" s="74">
        <v>38135</v>
      </c>
      <c r="F2378" s="55" t="s">
        <v>344</v>
      </c>
      <c r="G2378" s="55" t="s">
        <v>360</v>
      </c>
      <c r="H2378" s="55" t="s">
        <v>360</v>
      </c>
      <c r="I2378" s="55" t="s">
        <v>360</v>
      </c>
      <c r="J2378" s="55" t="s">
        <v>360</v>
      </c>
      <c r="K2378" s="55" t="s">
        <v>360</v>
      </c>
      <c r="L2378" s="55" t="s">
        <v>360</v>
      </c>
      <c r="M2378" s="55" t="s">
        <v>142</v>
      </c>
      <c r="N2378" s="55" t="s">
        <v>142</v>
      </c>
      <c r="O2378" s="55" t="s">
        <v>262</v>
      </c>
      <c r="P2378" s="55" t="s">
        <v>488</v>
      </c>
      <c r="Q2378" s="55" t="s">
        <v>350</v>
      </c>
      <c r="R2378" s="85">
        <v>3</v>
      </c>
      <c r="S2378" s="55">
        <v>0</v>
      </c>
      <c r="T2378" s="74" t="s">
        <v>4081</v>
      </c>
      <c r="U2378" s="74" t="s">
        <v>351</v>
      </c>
      <c r="V2378" s="74">
        <v>44418</v>
      </c>
      <c r="W2378" s="74">
        <v>44467</v>
      </c>
      <c r="X2378" s="55">
        <v>10195152</v>
      </c>
      <c r="Y2378" s="55" t="s">
        <v>130</v>
      </c>
      <c r="AB2378" s="74" t="s">
        <v>130</v>
      </c>
      <c r="AC2378" s="55" t="s">
        <v>130</v>
      </c>
      <c r="AL2378" s="74"/>
      <c r="AM2378" s="74"/>
      <c r="AW2378" s="74"/>
      <c r="AX2378" s="74"/>
    </row>
    <row r="2379" spans="1:50" ht="13" x14ac:dyDescent="0.15">
      <c r="A2379" s="55" t="str">
        <f>HYPERLINK("http://reports.ofsted.gov.uk/inspection-reports/find-inspection-report/provider/CARE/SC060554","Ofsted Social Care Provider Webpage")</f>
        <v>Ofsted Social Care Provider Webpage</v>
      </c>
      <c r="B2379" s="55" t="s">
        <v>4456</v>
      </c>
      <c r="D2379" s="55" t="s">
        <v>373</v>
      </c>
      <c r="E2379" s="74">
        <v>38135</v>
      </c>
      <c r="F2379" s="55" t="s">
        <v>344</v>
      </c>
      <c r="G2379" s="55" t="s">
        <v>360</v>
      </c>
      <c r="H2379" s="55" t="s">
        <v>360</v>
      </c>
      <c r="I2379" s="55" t="s">
        <v>360</v>
      </c>
      <c r="J2379" s="55" t="s">
        <v>360</v>
      </c>
      <c r="K2379" s="55" t="s">
        <v>360</v>
      </c>
      <c r="L2379" s="55" t="s">
        <v>360</v>
      </c>
      <c r="M2379" s="55" t="s">
        <v>142</v>
      </c>
      <c r="N2379" s="55" t="s">
        <v>142</v>
      </c>
      <c r="O2379" s="55" t="s">
        <v>262</v>
      </c>
      <c r="P2379" s="55" t="s">
        <v>488</v>
      </c>
      <c r="Q2379" s="55" t="s">
        <v>350</v>
      </c>
      <c r="R2379" s="85">
        <v>3</v>
      </c>
      <c r="S2379" s="55">
        <v>0</v>
      </c>
      <c r="T2379" s="74" t="s">
        <v>4081</v>
      </c>
      <c r="U2379" s="74" t="s">
        <v>351</v>
      </c>
      <c r="V2379" s="74">
        <v>44312</v>
      </c>
      <c r="W2379" s="74">
        <v>44375</v>
      </c>
      <c r="X2379" s="55">
        <v>10187174</v>
      </c>
      <c r="Y2379" s="55" t="s">
        <v>146</v>
      </c>
      <c r="AB2379" s="74" t="s">
        <v>146</v>
      </c>
      <c r="AC2379" s="55" t="s">
        <v>146</v>
      </c>
      <c r="AL2379" s="74"/>
      <c r="AM2379" s="74"/>
    </row>
    <row r="2380" spans="1:50" ht="13" x14ac:dyDescent="0.15">
      <c r="A2380" s="55" t="str">
        <f>HYPERLINK("http://reports.ofsted.gov.uk/inspection-reports/find-inspection-report/provider/CARE/SC060590","Ofsted Social Care Provider Webpage")</f>
        <v>Ofsted Social Care Provider Webpage</v>
      </c>
      <c r="B2380" s="55" t="s">
        <v>4457</v>
      </c>
      <c r="D2380" s="55" t="s">
        <v>373</v>
      </c>
      <c r="E2380" s="74">
        <v>38250</v>
      </c>
      <c r="F2380" s="55" t="s">
        <v>344</v>
      </c>
      <c r="G2380" s="55" t="s">
        <v>360</v>
      </c>
      <c r="H2380" s="55" t="s">
        <v>360</v>
      </c>
      <c r="I2380" s="55" t="s">
        <v>360</v>
      </c>
      <c r="J2380" s="55" t="s">
        <v>360</v>
      </c>
      <c r="K2380" s="55" t="s">
        <v>360</v>
      </c>
      <c r="L2380" s="55" t="s">
        <v>360</v>
      </c>
      <c r="M2380" s="55" t="s">
        <v>144</v>
      </c>
      <c r="N2380" s="55" t="s">
        <v>144</v>
      </c>
      <c r="O2380" s="55" t="s">
        <v>162</v>
      </c>
      <c r="P2380" s="55" t="s">
        <v>686</v>
      </c>
      <c r="Q2380" s="55" t="s">
        <v>350</v>
      </c>
      <c r="R2380" s="85">
        <v>3</v>
      </c>
      <c r="S2380" s="55">
        <v>0</v>
      </c>
      <c r="T2380" s="74" t="s">
        <v>2811</v>
      </c>
      <c r="U2380" s="74" t="s">
        <v>351</v>
      </c>
      <c r="V2380" s="74">
        <v>44419</v>
      </c>
      <c r="W2380" s="74">
        <v>44454</v>
      </c>
      <c r="X2380" s="55">
        <v>10185570</v>
      </c>
      <c r="Y2380" s="55" t="s">
        <v>132</v>
      </c>
      <c r="AB2380" s="74" t="s">
        <v>132</v>
      </c>
      <c r="AC2380" s="55" t="s">
        <v>132</v>
      </c>
      <c r="AL2380" s="74"/>
      <c r="AM2380" s="74"/>
      <c r="AW2380" s="74"/>
      <c r="AX2380" s="74"/>
    </row>
    <row r="2381" spans="1:50" ht="13" x14ac:dyDescent="0.15">
      <c r="A2381" s="55" t="str">
        <f>HYPERLINK("http://reports.ofsted.gov.uk/inspection-reports/find-inspection-report/provider/CARE/SC060698","Ofsted Social Care Provider Webpage")</f>
        <v>Ofsted Social Care Provider Webpage</v>
      </c>
      <c r="B2381" s="55" t="s">
        <v>4462</v>
      </c>
      <c r="D2381" s="55" t="s">
        <v>389</v>
      </c>
      <c r="E2381" s="74">
        <v>38061</v>
      </c>
      <c r="F2381" s="55" t="s">
        <v>344</v>
      </c>
      <c r="G2381" s="55" t="s">
        <v>3122</v>
      </c>
      <c r="H2381" s="55" t="s">
        <v>4463</v>
      </c>
      <c r="I2381" s="55" t="s">
        <v>4464</v>
      </c>
      <c r="J2381" s="55" t="s">
        <v>251</v>
      </c>
      <c r="L2381" s="55" t="s">
        <v>4465</v>
      </c>
      <c r="M2381" s="55" t="s">
        <v>378</v>
      </c>
      <c r="N2381" s="55" t="s">
        <v>134</v>
      </c>
      <c r="O2381" s="55" t="s">
        <v>251</v>
      </c>
      <c r="P2381" s="55" t="s">
        <v>3363</v>
      </c>
      <c r="Q2381" s="55" t="s">
        <v>362</v>
      </c>
      <c r="S2381" s="55">
        <v>0</v>
      </c>
      <c r="T2381" s="74" t="s">
        <v>3122</v>
      </c>
      <c r="U2381" s="74" t="s">
        <v>351</v>
      </c>
      <c r="V2381" s="74">
        <v>44627</v>
      </c>
      <c r="W2381" s="74">
        <v>44680</v>
      </c>
      <c r="X2381" s="55">
        <v>10183380</v>
      </c>
      <c r="Y2381" s="55" t="s">
        <v>132</v>
      </c>
      <c r="AB2381" s="74" t="s">
        <v>132</v>
      </c>
      <c r="AC2381" s="55" t="s">
        <v>132</v>
      </c>
      <c r="AL2381" s="74"/>
      <c r="AM2381" s="74"/>
      <c r="AW2381" s="74"/>
      <c r="AX2381" s="74"/>
    </row>
    <row r="2382" spans="1:50" ht="13" x14ac:dyDescent="0.15">
      <c r="A2382" s="55" t="str">
        <f>HYPERLINK("http://reports.ofsted.gov.uk/inspection-reports/find-inspection-report/provider/CARE/SC060743","Ofsted Social Care Provider Webpage")</f>
        <v>Ofsted Social Care Provider Webpage</v>
      </c>
      <c r="B2382" s="55" t="s">
        <v>4466</v>
      </c>
      <c r="D2382" s="55" t="s">
        <v>373</v>
      </c>
      <c r="E2382" s="74">
        <v>38160</v>
      </c>
      <c r="F2382" s="55" t="s">
        <v>344</v>
      </c>
      <c r="G2382" s="55" t="s">
        <v>360</v>
      </c>
      <c r="H2382" s="55" t="s">
        <v>360</v>
      </c>
      <c r="I2382" s="55" t="s">
        <v>360</v>
      </c>
      <c r="J2382" s="55" t="s">
        <v>360</v>
      </c>
      <c r="K2382" s="55" t="s">
        <v>360</v>
      </c>
      <c r="L2382" s="55" t="s">
        <v>360</v>
      </c>
      <c r="M2382" s="55" t="s">
        <v>138</v>
      </c>
      <c r="N2382" s="55" t="s">
        <v>138</v>
      </c>
      <c r="O2382" s="55" t="s">
        <v>224</v>
      </c>
      <c r="P2382" s="55" t="s">
        <v>1552</v>
      </c>
      <c r="Q2382" s="55" t="s">
        <v>362</v>
      </c>
      <c r="R2382" s="85">
        <v>4</v>
      </c>
      <c r="S2382" s="55">
        <v>0</v>
      </c>
      <c r="T2382" s="74" t="s">
        <v>557</v>
      </c>
      <c r="U2382" s="74" t="s">
        <v>351</v>
      </c>
      <c r="V2382" s="74">
        <v>44376</v>
      </c>
      <c r="W2382" s="74">
        <v>44400</v>
      </c>
      <c r="X2382" s="55">
        <v>10185318</v>
      </c>
      <c r="Y2382" s="55" t="s">
        <v>132</v>
      </c>
      <c r="AB2382" s="74" t="s">
        <v>132</v>
      </c>
      <c r="AC2382" s="55" t="s">
        <v>132</v>
      </c>
      <c r="AL2382" s="74"/>
      <c r="AM2382" s="74"/>
    </row>
    <row r="2383" spans="1:50" ht="13" x14ac:dyDescent="0.15">
      <c r="A2383" s="55" t="str">
        <f>HYPERLINK("http://reports.ofsted.gov.uk/inspection-reports/find-inspection-report/provider/CARE/SC060750","Ofsted Social Care Provider Webpage")</f>
        <v>Ofsted Social Care Provider Webpage</v>
      </c>
      <c r="B2383" s="55" t="s">
        <v>4467</v>
      </c>
      <c r="D2383" s="55" t="s">
        <v>373</v>
      </c>
      <c r="E2383" s="74">
        <v>38162</v>
      </c>
      <c r="F2383" s="55" t="s">
        <v>344</v>
      </c>
      <c r="G2383" s="55" t="s">
        <v>360</v>
      </c>
      <c r="H2383" s="55" t="s">
        <v>360</v>
      </c>
      <c r="I2383" s="55" t="s">
        <v>360</v>
      </c>
      <c r="J2383" s="55" t="s">
        <v>360</v>
      </c>
      <c r="K2383" s="55" t="s">
        <v>360</v>
      </c>
      <c r="L2383" s="55" t="s">
        <v>360</v>
      </c>
      <c r="M2383" s="55" t="s">
        <v>144</v>
      </c>
      <c r="N2383" s="55" t="s">
        <v>144</v>
      </c>
      <c r="O2383" s="55" t="s">
        <v>209</v>
      </c>
      <c r="P2383" s="55" t="s">
        <v>650</v>
      </c>
      <c r="Q2383" s="55" t="s">
        <v>350</v>
      </c>
      <c r="R2383" s="85">
        <v>3</v>
      </c>
      <c r="S2383" s="55">
        <v>0</v>
      </c>
      <c r="T2383" s="74" t="s">
        <v>4468</v>
      </c>
      <c r="U2383" s="74" t="s">
        <v>351</v>
      </c>
      <c r="V2383" s="74">
        <v>44363</v>
      </c>
      <c r="W2383" s="74">
        <v>44404</v>
      </c>
      <c r="X2383" s="55">
        <v>10186837</v>
      </c>
      <c r="Y2383" s="55" t="s">
        <v>132</v>
      </c>
      <c r="AB2383" s="74" t="s">
        <v>132</v>
      </c>
      <c r="AC2383" s="55" t="s">
        <v>130</v>
      </c>
      <c r="AL2383" s="74"/>
      <c r="AM2383" s="74"/>
    </row>
    <row r="2384" spans="1:50" ht="13" x14ac:dyDescent="0.15">
      <c r="A2384" s="55" t="str">
        <f>HYPERLINK("http://reports.ofsted.gov.uk/inspection-reports/find-inspection-report/provider/CARE/SC060811","Ofsted Social Care Provider Webpage")</f>
        <v>Ofsted Social Care Provider Webpage</v>
      </c>
      <c r="B2384" s="55" t="s">
        <v>4469</v>
      </c>
      <c r="D2384" s="55" t="s">
        <v>373</v>
      </c>
      <c r="E2384" s="74">
        <v>38244</v>
      </c>
      <c r="F2384" s="55" t="s">
        <v>344</v>
      </c>
      <c r="G2384" s="55" t="s">
        <v>360</v>
      </c>
      <c r="H2384" s="55" t="s">
        <v>360</v>
      </c>
      <c r="I2384" s="55" t="s">
        <v>360</v>
      </c>
      <c r="J2384" s="55" t="s">
        <v>360</v>
      </c>
      <c r="K2384" s="55" t="s">
        <v>360</v>
      </c>
      <c r="L2384" s="55" t="s">
        <v>360</v>
      </c>
      <c r="M2384" s="55" t="s">
        <v>378</v>
      </c>
      <c r="N2384" s="55" t="s">
        <v>134</v>
      </c>
      <c r="O2384" s="55" t="s">
        <v>277</v>
      </c>
      <c r="P2384" s="55" t="s">
        <v>461</v>
      </c>
      <c r="Q2384" s="55" t="s">
        <v>350</v>
      </c>
      <c r="R2384" s="85">
        <v>2</v>
      </c>
      <c r="S2384" s="55">
        <v>0</v>
      </c>
      <c r="T2384" s="74" t="s">
        <v>2448</v>
      </c>
      <c r="U2384" s="74" t="s">
        <v>351</v>
      </c>
      <c r="V2384" s="74">
        <v>44488</v>
      </c>
      <c r="W2384" s="74">
        <v>44531</v>
      </c>
      <c r="X2384" s="55">
        <v>10185493</v>
      </c>
      <c r="Y2384" s="55" t="s">
        <v>132</v>
      </c>
      <c r="AB2384" s="74" t="s">
        <v>132</v>
      </c>
      <c r="AC2384" s="55" t="s">
        <v>132</v>
      </c>
      <c r="AL2384" s="74"/>
      <c r="AM2384" s="74"/>
    </row>
    <row r="2385" spans="1:50" ht="13" x14ac:dyDescent="0.15">
      <c r="A2385" s="55" t="str">
        <f>HYPERLINK("http://reports.ofsted.gov.uk/inspection-reports/find-inspection-report/provider/CARE/SC060839","Ofsted Social Care Provider Webpage")</f>
        <v>Ofsted Social Care Provider Webpage</v>
      </c>
      <c r="B2385" s="55" t="s">
        <v>4470</v>
      </c>
      <c r="D2385" s="55" t="s">
        <v>373</v>
      </c>
      <c r="E2385" s="74">
        <v>38090</v>
      </c>
      <c r="F2385" s="55" t="s">
        <v>344</v>
      </c>
      <c r="G2385" s="55" t="s">
        <v>360</v>
      </c>
      <c r="H2385" s="55" t="s">
        <v>360</v>
      </c>
      <c r="I2385" s="55" t="s">
        <v>360</v>
      </c>
      <c r="J2385" s="55" t="s">
        <v>360</v>
      </c>
      <c r="K2385" s="55" t="s">
        <v>360</v>
      </c>
      <c r="L2385" s="55" t="s">
        <v>360</v>
      </c>
      <c r="M2385" s="55" t="s">
        <v>136</v>
      </c>
      <c r="N2385" s="55" t="s">
        <v>136</v>
      </c>
      <c r="O2385" s="55" t="s">
        <v>255</v>
      </c>
      <c r="P2385" s="55" t="s">
        <v>757</v>
      </c>
      <c r="Q2385" s="55" t="s">
        <v>350</v>
      </c>
      <c r="R2385" s="85">
        <v>3</v>
      </c>
      <c r="S2385" s="55">
        <v>0</v>
      </c>
      <c r="T2385" s="74" t="s">
        <v>4019</v>
      </c>
      <c r="U2385" s="74" t="s">
        <v>351</v>
      </c>
      <c r="V2385" s="74">
        <v>44314</v>
      </c>
      <c r="W2385" s="74">
        <v>44343</v>
      </c>
      <c r="X2385" s="55">
        <v>10185511</v>
      </c>
      <c r="Y2385" s="55" t="s">
        <v>132</v>
      </c>
      <c r="AB2385" s="74" t="s">
        <v>132</v>
      </c>
      <c r="AC2385" s="55" t="s">
        <v>132</v>
      </c>
      <c r="AL2385" s="74"/>
      <c r="AM2385" s="74"/>
      <c r="AW2385" s="74"/>
      <c r="AX2385" s="74"/>
    </row>
    <row r="2386" spans="1:50" ht="13" x14ac:dyDescent="0.15">
      <c r="A2386" s="55" t="str">
        <f>HYPERLINK("http://reports.ofsted.gov.uk/inspection-reports/find-inspection-report/provider/CARE/SC060936","Ofsted Social Care Provider Webpage")</f>
        <v>Ofsted Social Care Provider Webpage</v>
      </c>
      <c r="B2386" s="55" t="s">
        <v>4471</v>
      </c>
      <c r="D2386" s="55" t="s">
        <v>373</v>
      </c>
      <c r="E2386" s="74">
        <v>38252</v>
      </c>
      <c r="F2386" s="55" t="s">
        <v>344</v>
      </c>
      <c r="G2386" s="55" t="s">
        <v>360</v>
      </c>
      <c r="H2386" s="55" t="s">
        <v>360</v>
      </c>
      <c r="I2386" s="55" t="s">
        <v>360</v>
      </c>
      <c r="J2386" s="55" t="s">
        <v>360</v>
      </c>
      <c r="K2386" s="55" t="s">
        <v>360</v>
      </c>
      <c r="L2386" s="55" t="s">
        <v>360</v>
      </c>
      <c r="M2386" s="55" t="s">
        <v>138</v>
      </c>
      <c r="N2386" s="55" t="s">
        <v>138</v>
      </c>
      <c r="O2386" s="55" t="s">
        <v>266</v>
      </c>
      <c r="P2386" s="55" t="s">
        <v>4472</v>
      </c>
      <c r="Q2386" s="55" t="s">
        <v>350</v>
      </c>
      <c r="R2386" s="85">
        <v>8</v>
      </c>
      <c r="S2386" s="55">
        <v>0</v>
      </c>
      <c r="T2386" s="74" t="s">
        <v>4473</v>
      </c>
      <c r="U2386" s="74" t="s">
        <v>351</v>
      </c>
      <c r="V2386" s="74">
        <v>44334</v>
      </c>
      <c r="W2386" s="74">
        <v>44363</v>
      </c>
      <c r="X2386" s="55">
        <v>10185345</v>
      </c>
      <c r="Y2386" s="55" t="s">
        <v>130</v>
      </c>
      <c r="AB2386" s="74" t="s">
        <v>130</v>
      </c>
      <c r="AC2386" s="55" t="s">
        <v>130</v>
      </c>
      <c r="AL2386" s="74"/>
      <c r="AM2386" s="74"/>
    </row>
    <row r="2387" spans="1:50" ht="13" x14ac:dyDescent="0.15">
      <c r="A2387" s="55" t="str">
        <f>HYPERLINK("http://reports.ofsted.gov.uk/inspection-reports/find-inspection-report/provider/CARE/SC060936","Ofsted Social Care Provider Webpage")</f>
        <v>Ofsted Social Care Provider Webpage</v>
      </c>
      <c r="B2387" s="55" t="s">
        <v>4471</v>
      </c>
      <c r="D2387" s="55" t="s">
        <v>373</v>
      </c>
      <c r="E2387" s="74">
        <v>38252</v>
      </c>
      <c r="F2387" s="55" t="s">
        <v>344</v>
      </c>
      <c r="G2387" s="55" t="s">
        <v>360</v>
      </c>
      <c r="H2387" s="55" t="s">
        <v>360</v>
      </c>
      <c r="I2387" s="55" t="s">
        <v>360</v>
      </c>
      <c r="J2387" s="55" t="s">
        <v>360</v>
      </c>
      <c r="K2387" s="55" t="s">
        <v>360</v>
      </c>
      <c r="L2387" s="55" t="s">
        <v>360</v>
      </c>
      <c r="M2387" s="55" t="s">
        <v>138</v>
      </c>
      <c r="N2387" s="55" t="s">
        <v>138</v>
      </c>
      <c r="O2387" s="55" t="s">
        <v>266</v>
      </c>
      <c r="P2387" s="55" t="s">
        <v>4472</v>
      </c>
      <c r="Q2387" s="55" t="s">
        <v>350</v>
      </c>
      <c r="R2387" s="85">
        <v>8</v>
      </c>
      <c r="S2387" s="55">
        <v>0</v>
      </c>
      <c r="T2387" s="74" t="s">
        <v>4473</v>
      </c>
      <c r="U2387" s="74" t="s">
        <v>6703</v>
      </c>
      <c r="V2387" s="74">
        <v>44600</v>
      </c>
      <c r="W2387" s="74">
        <v>44641</v>
      </c>
      <c r="X2387" s="55">
        <v>10205254</v>
      </c>
      <c r="Y2387" s="55" t="s">
        <v>6706</v>
      </c>
      <c r="AL2387" s="74"/>
      <c r="AM2387" s="74"/>
      <c r="AW2387" s="74"/>
      <c r="AX2387" s="74"/>
    </row>
    <row r="2388" spans="1:50" ht="13" x14ac:dyDescent="0.15">
      <c r="A2388" s="55" t="str">
        <f>HYPERLINK("http://reports.ofsted.gov.uk/inspection-reports/find-inspection-report/provider/CARE/SC061005","Ofsted Social Care Provider Webpage")</f>
        <v>Ofsted Social Care Provider Webpage</v>
      </c>
      <c r="B2388" s="55" t="s">
        <v>4479</v>
      </c>
      <c r="D2388" s="55" t="s">
        <v>373</v>
      </c>
      <c r="E2388" s="74">
        <v>38162</v>
      </c>
      <c r="F2388" s="55" t="s">
        <v>344</v>
      </c>
      <c r="G2388" s="55" t="s">
        <v>360</v>
      </c>
      <c r="H2388" s="55" t="s">
        <v>360</v>
      </c>
      <c r="I2388" s="55" t="s">
        <v>360</v>
      </c>
      <c r="J2388" s="55" t="s">
        <v>360</v>
      </c>
      <c r="K2388" s="55" t="s">
        <v>360</v>
      </c>
      <c r="L2388" s="55" t="s">
        <v>360</v>
      </c>
      <c r="M2388" s="55" t="s">
        <v>378</v>
      </c>
      <c r="N2388" s="55" t="s">
        <v>134</v>
      </c>
      <c r="O2388" s="55" t="s">
        <v>151</v>
      </c>
      <c r="P2388" s="55" t="s">
        <v>3141</v>
      </c>
      <c r="Q2388" s="55" t="s">
        <v>380</v>
      </c>
      <c r="R2388" s="85">
        <v>6</v>
      </c>
      <c r="S2388" s="55">
        <v>0</v>
      </c>
      <c r="T2388" s="74" t="s">
        <v>1220</v>
      </c>
      <c r="U2388" s="74" t="s">
        <v>2053</v>
      </c>
      <c r="V2388" s="74">
        <v>44369</v>
      </c>
      <c r="W2388" s="74">
        <v>44407</v>
      </c>
      <c r="X2388" s="55">
        <v>10196679</v>
      </c>
      <c r="AL2388" s="74"/>
      <c r="AM2388" s="74"/>
      <c r="AW2388" s="74"/>
      <c r="AX2388" s="74"/>
    </row>
    <row r="2389" spans="1:50" ht="13" x14ac:dyDescent="0.15">
      <c r="A2389" s="55" t="str">
        <f>HYPERLINK("http://reports.ofsted.gov.uk/inspection-reports/find-inspection-report/provider/CARE/SC061005","Ofsted Social Care Provider Webpage")</f>
        <v>Ofsted Social Care Provider Webpage</v>
      </c>
      <c r="B2389" s="55" t="s">
        <v>4479</v>
      </c>
      <c r="D2389" s="55" t="s">
        <v>373</v>
      </c>
      <c r="E2389" s="74">
        <v>38162</v>
      </c>
      <c r="F2389" s="55" t="s">
        <v>344</v>
      </c>
      <c r="G2389" s="55" t="s">
        <v>360</v>
      </c>
      <c r="H2389" s="55" t="s">
        <v>360</v>
      </c>
      <c r="I2389" s="55" t="s">
        <v>360</v>
      </c>
      <c r="J2389" s="55" t="s">
        <v>360</v>
      </c>
      <c r="K2389" s="55" t="s">
        <v>360</v>
      </c>
      <c r="L2389" s="55" t="s">
        <v>360</v>
      </c>
      <c r="M2389" s="55" t="s">
        <v>378</v>
      </c>
      <c r="N2389" s="55" t="s">
        <v>134</v>
      </c>
      <c r="O2389" s="55" t="s">
        <v>151</v>
      </c>
      <c r="P2389" s="55" t="s">
        <v>3141</v>
      </c>
      <c r="Q2389" s="55" t="s">
        <v>380</v>
      </c>
      <c r="R2389" s="85">
        <v>6</v>
      </c>
      <c r="S2389" s="55">
        <v>0</v>
      </c>
      <c r="T2389" s="74" t="s">
        <v>1220</v>
      </c>
      <c r="U2389" s="74" t="s">
        <v>351</v>
      </c>
      <c r="V2389" s="74">
        <v>44572</v>
      </c>
      <c r="W2389" s="74">
        <v>44616</v>
      </c>
      <c r="X2389" s="55">
        <v>10205477</v>
      </c>
      <c r="Y2389" s="55" t="s">
        <v>132</v>
      </c>
      <c r="AB2389" s="74" t="s">
        <v>132</v>
      </c>
      <c r="AC2389" s="55" t="s">
        <v>130</v>
      </c>
      <c r="AL2389" s="74"/>
      <c r="AM2389" s="74"/>
    </row>
    <row r="2390" spans="1:50" ht="13" x14ac:dyDescent="0.15">
      <c r="A2390" s="55" t="str">
        <f>HYPERLINK("http://reports.ofsted.gov.uk/inspection-reports/find-inspection-report/provider/CARE/SC061005","Ofsted Social Care Provider Webpage")</f>
        <v>Ofsted Social Care Provider Webpage</v>
      </c>
      <c r="B2390" s="55" t="s">
        <v>4479</v>
      </c>
      <c r="D2390" s="55" t="s">
        <v>373</v>
      </c>
      <c r="E2390" s="74">
        <v>38162</v>
      </c>
      <c r="F2390" s="55" t="s">
        <v>344</v>
      </c>
      <c r="G2390" s="55" t="s">
        <v>360</v>
      </c>
      <c r="H2390" s="55" t="s">
        <v>360</v>
      </c>
      <c r="I2390" s="55" t="s">
        <v>360</v>
      </c>
      <c r="J2390" s="55" t="s">
        <v>360</v>
      </c>
      <c r="K2390" s="55" t="s">
        <v>360</v>
      </c>
      <c r="L2390" s="55" t="s">
        <v>360</v>
      </c>
      <c r="M2390" s="55" t="s">
        <v>378</v>
      </c>
      <c r="N2390" s="55" t="s">
        <v>134</v>
      </c>
      <c r="O2390" s="55" t="s">
        <v>151</v>
      </c>
      <c r="P2390" s="55" t="s">
        <v>3141</v>
      </c>
      <c r="Q2390" s="55" t="s">
        <v>380</v>
      </c>
      <c r="R2390" s="85">
        <v>6</v>
      </c>
      <c r="S2390" s="55">
        <v>0</v>
      </c>
      <c r="T2390" s="74" t="s">
        <v>1220</v>
      </c>
      <c r="U2390" s="74" t="s">
        <v>351</v>
      </c>
      <c r="V2390" s="74">
        <v>44334</v>
      </c>
      <c r="W2390" s="74">
        <v>44371</v>
      </c>
      <c r="X2390" s="55">
        <v>10186646</v>
      </c>
      <c r="Y2390" s="55" t="s">
        <v>146</v>
      </c>
      <c r="AB2390" s="74" t="s">
        <v>146</v>
      </c>
      <c r="AC2390" s="55" t="s">
        <v>146</v>
      </c>
      <c r="AL2390" s="74"/>
      <c r="AM2390" s="74"/>
      <c r="AW2390" s="74"/>
      <c r="AX2390" s="74"/>
    </row>
    <row r="2391" spans="1:50" ht="13" x14ac:dyDescent="0.15">
      <c r="A2391" s="55" t="str">
        <f>HYPERLINK("http://reports.ofsted.gov.uk/inspection-reports/find-inspection-report/provider/CARE/SC061005","Ofsted Social Care Provider Webpage")</f>
        <v>Ofsted Social Care Provider Webpage</v>
      </c>
      <c r="B2391" s="55" t="s">
        <v>4479</v>
      </c>
      <c r="D2391" s="55" t="s">
        <v>373</v>
      </c>
      <c r="E2391" s="74">
        <v>38162</v>
      </c>
      <c r="F2391" s="55" t="s">
        <v>344</v>
      </c>
      <c r="G2391" s="55" t="s">
        <v>360</v>
      </c>
      <c r="H2391" s="55" t="s">
        <v>360</v>
      </c>
      <c r="I2391" s="55" t="s">
        <v>360</v>
      </c>
      <c r="J2391" s="55" t="s">
        <v>360</v>
      </c>
      <c r="K2391" s="55" t="s">
        <v>360</v>
      </c>
      <c r="L2391" s="55" t="s">
        <v>360</v>
      </c>
      <c r="M2391" s="55" t="s">
        <v>378</v>
      </c>
      <c r="N2391" s="55" t="s">
        <v>134</v>
      </c>
      <c r="O2391" s="55" t="s">
        <v>151</v>
      </c>
      <c r="P2391" s="55" t="s">
        <v>3141</v>
      </c>
      <c r="Q2391" s="55" t="s">
        <v>380</v>
      </c>
      <c r="R2391" s="85">
        <v>6</v>
      </c>
      <c r="S2391" s="55">
        <v>0</v>
      </c>
      <c r="T2391" s="74" t="s">
        <v>1220</v>
      </c>
      <c r="U2391" s="74" t="s">
        <v>2053</v>
      </c>
      <c r="V2391" s="74">
        <v>44413</v>
      </c>
      <c r="W2391" s="74">
        <v>44455</v>
      </c>
      <c r="X2391" s="55">
        <v>10203109</v>
      </c>
      <c r="AL2391" s="74"/>
      <c r="AM2391" s="74"/>
    </row>
    <row r="2392" spans="1:50" ht="13" x14ac:dyDescent="0.15">
      <c r="A2392" s="55" t="str">
        <f>HYPERLINK("http://reports.ofsted.gov.uk/inspection-reports/find-inspection-report/provider/CARE/SC061158","Ofsted Social Care Provider Webpage")</f>
        <v>Ofsted Social Care Provider Webpage</v>
      </c>
      <c r="B2392" s="55" t="s">
        <v>4480</v>
      </c>
      <c r="D2392" s="55" t="s">
        <v>373</v>
      </c>
      <c r="E2392" s="74">
        <v>38127</v>
      </c>
      <c r="F2392" s="55" t="s">
        <v>344</v>
      </c>
      <c r="G2392" s="55" t="s">
        <v>360</v>
      </c>
      <c r="H2392" s="55" t="s">
        <v>360</v>
      </c>
      <c r="I2392" s="55" t="s">
        <v>360</v>
      </c>
      <c r="J2392" s="55" t="s">
        <v>360</v>
      </c>
      <c r="K2392" s="55" t="s">
        <v>360</v>
      </c>
      <c r="L2392" s="55" t="s">
        <v>360</v>
      </c>
      <c r="M2392" s="55" t="s">
        <v>144</v>
      </c>
      <c r="N2392" s="55" t="s">
        <v>144</v>
      </c>
      <c r="O2392" s="55" t="s">
        <v>168</v>
      </c>
      <c r="P2392" s="55" t="s">
        <v>913</v>
      </c>
      <c r="Q2392" s="55" t="s">
        <v>350</v>
      </c>
      <c r="R2392" s="85">
        <v>1</v>
      </c>
      <c r="S2392" s="55">
        <v>0</v>
      </c>
      <c r="T2392" s="74" t="s">
        <v>915</v>
      </c>
      <c r="U2392" s="74" t="s">
        <v>351</v>
      </c>
      <c r="V2392" s="74">
        <v>44411</v>
      </c>
      <c r="W2392" s="74">
        <v>44454</v>
      </c>
      <c r="X2392" s="55">
        <v>10187436</v>
      </c>
      <c r="Y2392" s="55" t="s">
        <v>146</v>
      </c>
      <c r="AB2392" s="74" t="s">
        <v>146</v>
      </c>
      <c r="AC2392" s="55" t="s">
        <v>146</v>
      </c>
      <c r="AL2392" s="74"/>
      <c r="AM2392" s="74"/>
      <c r="AW2392" s="74"/>
      <c r="AX2392" s="74"/>
    </row>
    <row r="2393" spans="1:50" ht="13" x14ac:dyDescent="0.15">
      <c r="A2393" s="55" t="str">
        <f>HYPERLINK("http://reports.ofsted.gov.uk/inspection-reports/find-inspection-report/provider/CARE/SC061158","Ofsted Social Care Provider Webpage")</f>
        <v>Ofsted Social Care Provider Webpage</v>
      </c>
      <c r="B2393" s="55" t="s">
        <v>4480</v>
      </c>
      <c r="D2393" s="55" t="s">
        <v>373</v>
      </c>
      <c r="E2393" s="74">
        <v>38127</v>
      </c>
      <c r="F2393" s="55" t="s">
        <v>344</v>
      </c>
      <c r="G2393" s="55" t="s">
        <v>360</v>
      </c>
      <c r="H2393" s="55" t="s">
        <v>360</v>
      </c>
      <c r="I2393" s="55" t="s">
        <v>360</v>
      </c>
      <c r="J2393" s="55" t="s">
        <v>360</v>
      </c>
      <c r="K2393" s="55" t="s">
        <v>360</v>
      </c>
      <c r="L2393" s="55" t="s">
        <v>360</v>
      </c>
      <c r="M2393" s="55" t="s">
        <v>144</v>
      </c>
      <c r="N2393" s="55" t="s">
        <v>144</v>
      </c>
      <c r="O2393" s="55" t="s">
        <v>168</v>
      </c>
      <c r="P2393" s="55" t="s">
        <v>913</v>
      </c>
      <c r="Q2393" s="55" t="s">
        <v>350</v>
      </c>
      <c r="R2393" s="85">
        <v>1</v>
      </c>
      <c r="S2393" s="55">
        <v>0</v>
      </c>
      <c r="T2393" s="74" t="s">
        <v>915</v>
      </c>
      <c r="U2393" s="74" t="s">
        <v>2053</v>
      </c>
      <c r="V2393" s="74">
        <v>44461</v>
      </c>
      <c r="W2393" s="74">
        <v>44487</v>
      </c>
      <c r="X2393" s="55">
        <v>10205027</v>
      </c>
      <c r="AL2393" s="74"/>
      <c r="AM2393" s="74"/>
    </row>
    <row r="2394" spans="1:50" ht="13" x14ac:dyDescent="0.15">
      <c r="A2394" s="55" t="str">
        <f>HYPERLINK("http://reports.ofsted.gov.uk/inspection-reports/find-inspection-report/provider/CARE/SC061232","Ofsted Social Care Provider Webpage")</f>
        <v>Ofsted Social Care Provider Webpage</v>
      </c>
      <c r="B2394" s="55" t="s">
        <v>4493</v>
      </c>
      <c r="D2394" s="55" t="s">
        <v>373</v>
      </c>
      <c r="E2394" s="74">
        <v>38145</v>
      </c>
      <c r="F2394" s="55" t="s">
        <v>344</v>
      </c>
      <c r="G2394" s="55" t="s">
        <v>360</v>
      </c>
      <c r="H2394" s="55" t="s">
        <v>360</v>
      </c>
      <c r="I2394" s="55" t="s">
        <v>360</v>
      </c>
      <c r="J2394" s="55" t="s">
        <v>360</v>
      </c>
      <c r="K2394" s="55" t="s">
        <v>360</v>
      </c>
      <c r="L2394" s="55" t="s">
        <v>360</v>
      </c>
      <c r="M2394" s="55" t="s">
        <v>136</v>
      </c>
      <c r="N2394" s="55" t="s">
        <v>136</v>
      </c>
      <c r="O2394" s="55" t="s">
        <v>154</v>
      </c>
      <c r="P2394" s="55" t="s">
        <v>2290</v>
      </c>
      <c r="Q2394" s="55" t="s">
        <v>380</v>
      </c>
      <c r="R2394" s="85">
        <v>5</v>
      </c>
      <c r="S2394" s="55">
        <v>0</v>
      </c>
      <c r="T2394" s="74" t="s">
        <v>1687</v>
      </c>
      <c r="U2394" s="74" t="s">
        <v>351</v>
      </c>
      <c r="V2394" s="74">
        <v>44342</v>
      </c>
      <c r="W2394" s="74">
        <v>44379</v>
      </c>
      <c r="X2394" s="55">
        <v>10186959</v>
      </c>
      <c r="Y2394" s="55" t="s">
        <v>130</v>
      </c>
      <c r="AB2394" s="74" t="s">
        <v>130</v>
      </c>
      <c r="AC2394" s="55" t="s">
        <v>130</v>
      </c>
      <c r="AL2394" s="74"/>
      <c r="AM2394" s="74"/>
    </row>
    <row r="2395" spans="1:50" ht="13" x14ac:dyDescent="0.15">
      <c r="A2395" s="55" t="str">
        <f>HYPERLINK("http://reports.ofsted.gov.uk/inspection-reports/find-inspection-report/provider/CARE/SC061232","Ofsted Social Care Provider Webpage")</f>
        <v>Ofsted Social Care Provider Webpage</v>
      </c>
      <c r="B2395" s="55" t="s">
        <v>4493</v>
      </c>
      <c r="D2395" s="55" t="s">
        <v>373</v>
      </c>
      <c r="E2395" s="74">
        <v>38145</v>
      </c>
      <c r="F2395" s="55" t="s">
        <v>344</v>
      </c>
      <c r="G2395" s="55" t="s">
        <v>360</v>
      </c>
      <c r="H2395" s="55" t="s">
        <v>360</v>
      </c>
      <c r="I2395" s="55" t="s">
        <v>360</v>
      </c>
      <c r="J2395" s="55" t="s">
        <v>360</v>
      </c>
      <c r="K2395" s="55" t="s">
        <v>360</v>
      </c>
      <c r="L2395" s="55" t="s">
        <v>360</v>
      </c>
      <c r="M2395" s="55" t="s">
        <v>136</v>
      </c>
      <c r="N2395" s="55" t="s">
        <v>136</v>
      </c>
      <c r="O2395" s="55" t="s">
        <v>154</v>
      </c>
      <c r="P2395" s="55" t="s">
        <v>2290</v>
      </c>
      <c r="Q2395" s="55" t="s">
        <v>380</v>
      </c>
      <c r="R2395" s="85">
        <v>5</v>
      </c>
      <c r="S2395" s="55">
        <v>0</v>
      </c>
      <c r="T2395" s="74" t="s">
        <v>1687</v>
      </c>
      <c r="U2395" s="74" t="s">
        <v>6703</v>
      </c>
      <c r="V2395" s="74">
        <v>44483</v>
      </c>
      <c r="W2395" s="74">
        <v>44517</v>
      </c>
      <c r="X2395" s="55">
        <v>10208942</v>
      </c>
      <c r="Y2395" s="55" t="s">
        <v>6705</v>
      </c>
      <c r="AL2395" s="74"/>
      <c r="AM2395" s="74"/>
    </row>
    <row r="2396" spans="1:50" ht="13" x14ac:dyDescent="0.15">
      <c r="A2396" s="55" t="str">
        <f>HYPERLINK("http://reports.ofsted.gov.uk/inspection-reports/find-inspection-report/provider/CARE/SC061438","Ofsted Social Care Provider Webpage")</f>
        <v>Ofsted Social Care Provider Webpage</v>
      </c>
      <c r="B2396" s="55" t="s">
        <v>4504</v>
      </c>
      <c r="D2396" s="55" t="s">
        <v>373</v>
      </c>
      <c r="E2396" s="74">
        <v>38232</v>
      </c>
      <c r="F2396" s="55" t="s">
        <v>344</v>
      </c>
      <c r="G2396" s="55" t="s">
        <v>360</v>
      </c>
      <c r="H2396" s="55" t="s">
        <v>360</v>
      </c>
      <c r="I2396" s="55" t="s">
        <v>360</v>
      </c>
      <c r="J2396" s="55" t="s">
        <v>360</v>
      </c>
      <c r="K2396" s="55" t="s">
        <v>360</v>
      </c>
      <c r="L2396" s="55" t="s">
        <v>360</v>
      </c>
      <c r="M2396" s="55" t="s">
        <v>144</v>
      </c>
      <c r="N2396" s="55" t="s">
        <v>144</v>
      </c>
      <c r="O2396" s="55" t="s">
        <v>261</v>
      </c>
      <c r="P2396" s="55" t="s">
        <v>792</v>
      </c>
      <c r="Q2396" s="55" t="s">
        <v>350</v>
      </c>
      <c r="R2396" s="85">
        <v>1</v>
      </c>
      <c r="S2396" s="55">
        <v>0</v>
      </c>
      <c r="T2396" s="74" t="s">
        <v>4505</v>
      </c>
      <c r="U2396" s="74" t="s">
        <v>351</v>
      </c>
      <c r="V2396" s="74">
        <v>44454</v>
      </c>
      <c r="W2396" s="74">
        <v>44482</v>
      </c>
      <c r="X2396" s="55">
        <v>10185399</v>
      </c>
      <c r="Y2396" s="55" t="s">
        <v>132</v>
      </c>
      <c r="AB2396" s="74" t="s">
        <v>132</v>
      </c>
      <c r="AC2396" s="55" t="s">
        <v>130</v>
      </c>
      <c r="AL2396" s="74"/>
      <c r="AM2396" s="74"/>
    </row>
    <row r="2397" spans="1:50" ht="13" x14ac:dyDescent="0.15">
      <c r="A2397" s="55" t="str">
        <f>HYPERLINK("http://reports.ofsted.gov.uk/inspection-reports/find-inspection-report/provider/CARE/SC061439","Ofsted Social Care Provider Webpage")</f>
        <v>Ofsted Social Care Provider Webpage</v>
      </c>
      <c r="B2397" s="55" t="s">
        <v>4506</v>
      </c>
      <c r="D2397" s="55" t="s">
        <v>373</v>
      </c>
      <c r="E2397" s="74">
        <v>38296</v>
      </c>
      <c r="F2397" s="55" t="s">
        <v>344</v>
      </c>
      <c r="G2397" s="55" t="s">
        <v>360</v>
      </c>
      <c r="H2397" s="55" t="s">
        <v>360</v>
      </c>
      <c r="I2397" s="55" t="s">
        <v>360</v>
      </c>
      <c r="J2397" s="55" t="s">
        <v>360</v>
      </c>
      <c r="K2397" s="55" t="s">
        <v>360</v>
      </c>
      <c r="L2397" s="55" t="s">
        <v>360</v>
      </c>
      <c r="M2397" s="55" t="s">
        <v>378</v>
      </c>
      <c r="N2397" s="55" t="s">
        <v>170</v>
      </c>
      <c r="O2397" s="55" t="s">
        <v>169</v>
      </c>
      <c r="P2397" s="55" t="s">
        <v>169</v>
      </c>
      <c r="Q2397" s="55" t="s">
        <v>350</v>
      </c>
      <c r="R2397" s="85">
        <v>5</v>
      </c>
      <c r="S2397" s="55">
        <v>0</v>
      </c>
      <c r="T2397" s="74" t="s">
        <v>481</v>
      </c>
      <c r="U2397" s="74" t="s">
        <v>351</v>
      </c>
      <c r="V2397" s="74">
        <v>44467</v>
      </c>
      <c r="W2397" s="74">
        <v>44509</v>
      </c>
      <c r="X2397" s="55">
        <v>10186376</v>
      </c>
      <c r="Y2397" s="55" t="s">
        <v>132</v>
      </c>
      <c r="AB2397" s="74" t="s">
        <v>132</v>
      </c>
      <c r="AC2397" s="55" t="s">
        <v>132</v>
      </c>
      <c r="AL2397" s="74"/>
      <c r="AM2397" s="74"/>
    </row>
    <row r="2398" spans="1:50" ht="13" x14ac:dyDescent="0.15">
      <c r="A2398" s="55" t="str">
        <f>HYPERLINK("http://reports.ofsted.gov.uk/inspection-reports/find-inspection-report/provider/CARE/SC061678","Ofsted Social Care Provider Webpage")</f>
        <v>Ofsted Social Care Provider Webpage</v>
      </c>
      <c r="B2398" s="55" t="s">
        <v>4507</v>
      </c>
      <c r="D2398" s="55" t="s">
        <v>373</v>
      </c>
      <c r="E2398" s="74">
        <v>38216</v>
      </c>
      <c r="F2398" s="55" t="s">
        <v>344</v>
      </c>
      <c r="G2398" s="55" t="s">
        <v>360</v>
      </c>
      <c r="H2398" s="55" t="s">
        <v>360</v>
      </c>
      <c r="I2398" s="55" t="s">
        <v>360</v>
      </c>
      <c r="J2398" s="55" t="s">
        <v>360</v>
      </c>
      <c r="K2398" s="55" t="s">
        <v>360</v>
      </c>
      <c r="L2398" s="55" t="s">
        <v>360</v>
      </c>
      <c r="M2398" s="55" t="s">
        <v>144</v>
      </c>
      <c r="N2398" s="55" t="s">
        <v>144</v>
      </c>
      <c r="O2398" s="55" t="s">
        <v>215</v>
      </c>
      <c r="P2398" s="55" t="s">
        <v>655</v>
      </c>
      <c r="Q2398" s="55" t="s">
        <v>350</v>
      </c>
      <c r="R2398" s="85">
        <v>4</v>
      </c>
      <c r="S2398" s="55">
        <v>0</v>
      </c>
      <c r="T2398" s="74" t="s">
        <v>4508</v>
      </c>
      <c r="U2398" s="74" t="s">
        <v>351</v>
      </c>
      <c r="V2398" s="74">
        <v>44432</v>
      </c>
      <c r="W2398" s="74">
        <v>44466</v>
      </c>
      <c r="X2398" s="55">
        <v>10186629</v>
      </c>
      <c r="Y2398" s="55" t="s">
        <v>146</v>
      </c>
      <c r="AB2398" s="74" t="s">
        <v>146</v>
      </c>
      <c r="AC2398" s="55" t="s">
        <v>146</v>
      </c>
      <c r="AL2398" s="74"/>
      <c r="AM2398" s="74"/>
    </row>
    <row r="2399" spans="1:50" ht="13" x14ac:dyDescent="0.15">
      <c r="A2399" s="55" t="str">
        <f>HYPERLINK("http://reports.ofsted.gov.uk/inspection-reports/find-inspection-report/provider/CARE/SC061678","Ofsted Social Care Provider Webpage")</f>
        <v>Ofsted Social Care Provider Webpage</v>
      </c>
      <c r="B2399" s="55" t="s">
        <v>4507</v>
      </c>
      <c r="D2399" s="55" t="s">
        <v>373</v>
      </c>
      <c r="E2399" s="74">
        <v>38216</v>
      </c>
      <c r="F2399" s="55" t="s">
        <v>344</v>
      </c>
      <c r="G2399" s="55" t="s">
        <v>360</v>
      </c>
      <c r="H2399" s="55" t="s">
        <v>360</v>
      </c>
      <c r="I2399" s="55" t="s">
        <v>360</v>
      </c>
      <c r="J2399" s="55" t="s">
        <v>360</v>
      </c>
      <c r="K2399" s="55" t="s">
        <v>360</v>
      </c>
      <c r="L2399" s="55" t="s">
        <v>360</v>
      </c>
      <c r="M2399" s="55" t="s">
        <v>144</v>
      </c>
      <c r="N2399" s="55" t="s">
        <v>144</v>
      </c>
      <c r="O2399" s="55" t="s">
        <v>215</v>
      </c>
      <c r="P2399" s="55" t="s">
        <v>655</v>
      </c>
      <c r="Q2399" s="55" t="s">
        <v>350</v>
      </c>
      <c r="R2399" s="85">
        <v>4</v>
      </c>
      <c r="S2399" s="55">
        <v>0</v>
      </c>
      <c r="T2399" s="74" t="s">
        <v>4508</v>
      </c>
      <c r="U2399" s="74" t="s">
        <v>2053</v>
      </c>
      <c r="V2399" s="74">
        <v>44572</v>
      </c>
      <c r="W2399" s="74">
        <v>44616</v>
      </c>
      <c r="X2399" s="55">
        <v>10218025</v>
      </c>
      <c r="AL2399" s="74"/>
      <c r="AM2399" s="74"/>
      <c r="AW2399" s="74"/>
      <c r="AX2399" s="74"/>
    </row>
    <row r="2400" spans="1:50" ht="13" x14ac:dyDescent="0.15">
      <c r="A2400" s="55" t="str">
        <f>HYPERLINK("http://reports.ofsted.gov.uk/inspection-reports/find-inspection-report/provider/CARE/SC061678","Ofsted Social Care Provider Webpage")</f>
        <v>Ofsted Social Care Provider Webpage</v>
      </c>
      <c r="B2400" s="55" t="s">
        <v>4507</v>
      </c>
      <c r="D2400" s="55" t="s">
        <v>373</v>
      </c>
      <c r="E2400" s="74">
        <v>38216</v>
      </c>
      <c r="F2400" s="55" t="s">
        <v>344</v>
      </c>
      <c r="G2400" s="55" t="s">
        <v>360</v>
      </c>
      <c r="H2400" s="55" t="s">
        <v>360</v>
      </c>
      <c r="I2400" s="55" t="s">
        <v>360</v>
      </c>
      <c r="J2400" s="55" t="s">
        <v>360</v>
      </c>
      <c r="K2400" s="55" t="s">
        <v>360</v>
      </c>
      <c r="L2400" s="55" t="s">
        <v>360</v>
      </c>
      <c r="M2400" s="55" t="s">
        <v>144</v>
      </c>
      <c r="N2400" s="55" t="s">
        <v>144</v>
      </c>
      <c r="O2400" s="55" t="s">
        <v>215</v>
      </c>
      <c r="P2400" s="55" t="s">
        <v>655</v>
      </c>
      <c r="Q2400" s="55" t="s">
        <v>350</v>
      </c>
      <c r="R2400" s="85">
        <v>4</v>
      </c>
      <c r="S2400" s="55">
        <v>0</v>
      </c>
      <c r="T2400" s="74" t="s">
        <v>4508</v>
      </c>
      <c r="U2400" s="74" t="s">
        <v>351</v>
      </c>
      <c r="V2400" s="74">
        <v>44537</v>
      </c>
      <c r="W2400" s="74">
        <v>44606</v>
      </c>
      <c r="X2400" s="55">
        <v>10210034</v>
      </c>
      <c r="Y2400" s="55" t="s">
        <v>146</v>
      </c>
      <c r="AB2400" s="74" t="s">
        <v>146</v>
      </c>
      <c r="AC2400" s="55" t="s">
        <v>146</v>
      </c>
      <c r="AL2400" s="74"/>
      <c r="AM2400" s="74"/>
    </row>
    <row r="2401" spans="1:50" ht="13" x14ac:dyDescent="0.15">
      <c r="A2401" s="55" t="str">
        <f>HYPERLINK("http://reports.ofsted.gov.uk/inspection-reports/find-inspection-report/provider/CARE/SC061678","Ofsted Social Care Provider Webpage")</f>
        <v>Ofsted Social Care Provider Webpage</v>
      </c>
      <c r="B2401" s="55" t="s">
        <v>4507</v>
      </c>
      <c r="D2401" s="55" t="s">
        <v>373</v>
      </c>
      <c r="E2401" s="74">
        <v>38216</v>
      </c>
      <c r="F2401" s="55" t="s">
        <v>344</v>
      </c>
      <c r="G2401" s="55" t="s">
        <v>360</v>
      </c>
      <c r="H2401" s="55" t="s">
        <v>360</v>
      </c>
      <c r="I2401" s="55" t="s">
        <v>360</v>
      </c>
      <c r="J2401" s="55" t="s">
        <v>360</v>
      </c>
      <c r="K2401" s="55" t="s">
        <v>360</v>
      </c>
      <c r="L2401" s="55" t="s">
        <v>360</v>
      </c>
      <c r="M2401" s="55" t="s">
        <v>144</v>
      </c>
      <c r="N2401" s="55" t="s">
        <v>144</v>
      </c>
      <c r="O2401" s="55" t="s">
        <v>215</v>
      </c>
      <c r="P2401" s="55" t="s">
        <v>655</v>
      </c>
      <c r="Q2401" s="55" t="s">
        <v>350</v>
      </c>
      <c r="R2401" s="85">
        <v>4</v>
      </c>
      <c r="S2401" s="55">
        <v>0</v>
      </c>
      <c r="T2401" s="74" t="s">
        <v>4508</v>
      </c>
      <c r="U2401" s="74" t="s">
        <v>2053</v>
      </c>
      <c r="V2401" s="74">
        <v>44616</v>
      </c>
      <c r="W2401" s="74">
        <v>44678</v>
      </c>
      <c r="X2401" s="55">
        <v>10220564</v>
      </c>
      <c r="AL2401" s="74"/>
      <c r="AM2401" s="74"/>
      <c r="AW2401" s="74"/>
      <c r="AX2401" s="74"/>
    </row>
    <row r="2402" spans="1:50" ht="13" x14ac:dyDescent="0.15">
      <c r="A2402" s="55" t="str">
        <f>HYPERLINK("http://reports.ofsted.gov.uk/inspection-reports/find-inspection-report/provider/CARE/SC061678","Ofsted Social Care Provider Webpage")</f>
        <v>Ofsted Social Care Provider Webpage</v>
      </c>
      <c r="B2402" s="55" t="s">
        <v>4507</v>
      </c>
      <c r="D2402" s="55" t="s">
        <v>373</v>
      </c>
      <c r="E2402" s="74">
        <v>38216</v>
      </c>
      <c r="F2402" s="55" t="s">
        <v>344</v>
      </c>
      <c r="G2402" s="55" t="s">
        <v>360</v>
      </c>
      <c r="H2402" s="55" t="s">
        <v>360</v>
      </c>
      <c r="I2402" s="55" t="s">
        <v>360</v>
      </c>
      <c r="J2402" s="55" t="s">
        <v>360</v>
      </c>
      <c r="K2402" s="55" t="s">
        <v>360</v>
      </c>
      <c r="L2402" s="55" t="s">
        <v>360</v>
      </c>
      <c r="M2402" s="55" t="s">
        <v>144</v>
      </c>
      <c r="N2402" s="55" t="s">
        <v>144</v>
      </c>
      <c r="O2402" s="55" t="s">
        <v>215</v>
      </c>
      <c r="P2402" s="55" t="s">
        <v>655</v>
      </c>
      <c r="Q2402" s="55" t="s">
        <v>350</v>
      </c>
      <c r="R2402" s="85">
        <v>4</v>
      </c>
      <c r="S2402" s="55">
        <v>0</v>
      </c>
      <c r="T2402" s="74" t="s">
        <v>4508</v>
      </c>
      <c r="U2402" s="74" t="s">
        <v>2053</v>
      </c>
      <c r="V2402" s="74">
        <v>44489</v>
      </c>
      <c r="W2402" s="74">
        <v>44530</v>
      </c>
      <c r="X2402" s="55">
        <v>10210035</v>
      </c>
      <c r="AL2402" s="74"/>
      <c r="AM2402" s="74"/>
    </row>
    <row r="2403" spans="1:50" ht="13" x14ac:dyDescent="0.15">
      <c r="A2403" s="55" t="str">
        <f>HYPERLINK("http://reports.ofsted.gov.uk/inspection-reports/find-inspection-report/provider/CARE/SC061727","Ofsted Social Care Provider Webpage")</f>
        <v>Ofsted Social Care Provider Webpage</v>
      </c>
      <c r="B2403" s="55" t="s">
        <v>4509</v>
      </c>
      <c r="C2403" s="55">
        <v>133540</v>
      </c>
      <c r="D2403" s="55" t="s">
        <v>413</v>
      </c>
      <c r="E2403" s="74">
        <v>38152</v>
      </c>
      <c r="F2403" s="55" t="s">
        <v>344</v>
      </c>
      <c r="G2403" s="55" t="s">
        <v>4510</v>
      </c>
      <c r="H2403" s="55" t="s">
        <v>4511</v>
      </c>
      <c r="I2403" s="55" t="s">
        <v>4512</v>
      </c>
      <c r="J2403" s="55" t="s">
        <v>4513</v>
      </c>
      <c r="K2403" s="55" t="s">
        <v>209</v>
      </c>
      <c r="L2403" s="55" t="s">
        <v>4514</v>
      </c>
      <c r="M2403" s="55" t="s">
        <v>144</v>
      </c>
      <c r="N2403" s="55" t="s">
        <v>144</v>
      </c>
      <c r="O2403" s="55" t="s">
        <v>209</v>
      </c>
      <c r="P2403" s="55" t="s">
        <v>597</v>
      </c>
      <c r="Q2403" s="55" t="s">
        <v>350</v>
      </c>
      <c r="R2403" s="85">
        <v>140</v>
      </c>
      <c r="S2403" s="55">
        <v>0</v>
      </c>
      <c r="T2403" s="74" t="s">
        <v>3717</v>
      </c>
      <c r="U2403" s="74" t="s">
        <v>351</v>
      </c>
      <c r="V2403" s="74">
        <v>44516</v>
      </c>
      <c r="W2403" s="74">
        <v>44575</v>
      </c>
      <c r="X2403" s="55">
        <v>10160278</v>
      </c>
      <c r="Y2403" s="55" t="s">
        <v>140</v>
      </c>
      <c r="AB2403" s="74" t="s">
        <v>140</v>
      </c>
      <c r="AC2403" s="55" t="s">
        <v>140</v>
      </c>
      <c r="AL2403" s="74"/>
      <c r="AM2403" s="74"/>
    </row>
    <row r="2404" spans="1:50" ht="13" x14ac:dyDescent="0.15">
      <c r="A2404" s="55" t="str">
        <f>HYPERLINK("http://reports.ofsted.gov.uk/inspection-reports/find-inspection-report/provider/CARE/SC061740","Ofsted Social Care Provider Webpage")</f>
        <v>Ofsted Social Care Provider Webpage</v>
      </c>
      <c r="B2404" s="55" t="s">
        <v>4521</v>
      </c>
      <c r="D2404" s="55" t="s">
        <v>389</v>
      </c>
      <c r="E2404" s="74">
        <v>38219</v>
      </c>
      <c r="F2404" s="55" t="s">
        <v>344</v>
      </c>
      <c r="G2404" s="55" t="s">
        <v>4522</v>
      </c>
      <c r="H2404" s="55" t="s">
        <v>4523</v>
      </c>
      <c r="I2404" s="55" t="s">
        <v>4524</v>
      </c>
      <c r="J2404" s="55" t="s">
        <v>382</v>
      </c>
      <c r="K2404" s="55" t="s">
        <v>382</v>
      </c>
      <c r="L2404" s="55" t="s">
        <v>4525</v>
      </c>
      <c r="M2404" s="55" t="s">
        <v>136</v>
      </c>
      <c r="N2404" s="55" t="s">
        <v>136</v>
      </c>
      <c r="O2404" s="55" t="s">
        <v>185</v>
      </c>
      <c r="P2404" s="55" t="s">
        <v>382</v>
      </c>
      <c r="Q2404" s="55" t="s">
        <v>350</v>
      </c>
      <c r="S2404" s="55">
        <v>0</v>
      </c>
      <c r="T2404" s="74" t="s">
        <v>4526</v>
      </c>
      <c r="U2404" s="74" t="s">
        <v>2053</v>
      </c>
      <c r="V2404" s="74">
        <v>44307</v>
      </c>
      <c r="W2404" s="74">
        <v>44336</v>
      </c>
      <c r="X2404" s="55">
        <v>10192300</v>
      </c>
      <c r="AL2404" s="74"/>
      <c r="AM2404" s="74"/>
    </row>
    <row r="2405" spans="1:50" ht="13" x14ac:dyDescent="0.15">
      <c r="A2405" s="55" t="str">
        <f>HYPERLINK("http://reports.ofsted.gov.uk/inspection-reports/find-inspection-report/provider/CARE/SC061740","Ofsted Social Care Provider Webpage")</f>
        <v>Ofsted Social Care Provider Webpage</v>
      </c>
      <c r="B2405" s="55" t="s">
        <v>4521</v>
      </c>
      <c r="D2405" s="55" t="s">
        <v>389</v>
      </c>
      <c r="E2405" s="74">
        <v>38219</v>
      </c>
      <c r="F2405" s="55" t="s">
        <v>344</v>
      </c>
      <c r="G2405" s="55" t="s">
        <v>4522</v>
      </c>
      <c r="H2405" s="55" t="s">
        <v>4523</v>
      </c>
      <c r="I2405" s="55" t="s">
        <v>4524</v>
      </c>
      <c r="J2405" s="55" t="s">
        <v>382</v>
      </c>
      <c r="K2405" s="55" t="s">
        <v>382</v>
      </c>
      <c r="L2405" s="55" t="s">
        <v>4525</v>
      </c>
      <c r="M2405" s="55" t="s">
        <v>136</v>
      </c>
      <c r="N2405" s="55" t="s">
        <v>136</v>
      </c>
      <c r="O2405" s="55" t="s">
        <v>185</v>
      </c>
      <c r="P2405" s="55" t="s">
        <v>382</v>
      </c>
      <c r="Q2405" s="55" t="s">
        <v>350</v>
      </c>
      <c r="S2405" s="55">
        <v>0</v>
      </c>
      <c r="T2405" s="74" t="s">
        <v>4526</v>
      </c>
      <c r="U2405" s="74" t="s">
        <v>351</v>
      </c>
      <c r="V2405" s="74">
        <v>44501</v>
      </c>
      <c r="W2405" s="74">
        <v>44560</v>
      </c>
      <c r="X2405" s="55">
        <v>10183600</v>
      </c>
      <c r="Y2405" s="55" t="s">
        <v>132</v>
      </c>
      <c r="AB2405" s="74" t="s">
        <v>130</v>
      </c>
      <c r="AC2405" s="55" t="s">
        <v>130</v>
      </c>
      <c r="AL2405" s="74"/>
      <c r="AM2405" s="74"/>
    </row>
    <row r="2406" spans="1:50" ht="13" x14ac:dyDescent="0.15">
      <c r="A2406" s="55" t="str">
        <f>HYPERLINK("http://reports.ofsted.gov.uk/inspection-reports/find-inspection-report/provider/CARE/SC061795","Ofsted Social Care Provider Webpage")</f>
        <v>Ofsted Social Care Provider Webpage</v>
      </c>
      <c r="B2406" s="55" t="s">
        <v>4527</v>
      </c>
      <c r="D2406" s="55" t="s">
        <v>373</v>
      </c>
      <c r="E2406" s="74">
        <v>38238</v>
      </c>
      <c r="F2406" s="55" t="s">
        <v>344</v>
      </c>
      <c r="G2406" s="55" t="s">
        <v>360</v>
      </c>
      <c r="H2406" s="55" t="s">
        <v>360</v>
      </c>
      <c r="I2406" s="55" t="s">
        <v>360</v>
      </c>
      <c r="J2406" s="55" t="s">
        <v>360</v>
      </c>
      <c r="K2406" s="55" t="s">
        <v>360</v>
      </c>
      <c r="L2406" s="55" t="s">
        <v>360</v>
      </c>
      <c r="M2406" s="55" t="s">
        <v>150</v>
      </c>
      <c r="N2406" s="55" t="s">
        <v>150</v>
      </c>
      <c r="O2406" s="55" t="s">
        <v>285</v>
      </c>
      <c r="P2406" s="55" t="s">
        <v>2738</v>
      </c>
      <c r="Q2406" s="55" t="s">
        <v>350</v>
      </c>
      <c r="R2406" s="85">
        <v>6</v>
      </c>
      <c r="S2406" s="55">
        <v>0</v>
      </c>
      <c r="T2406" s="74" t="s">
        <v>3586</v>
      </c>
      <c r="U2406" s="74" t="s">
        <v>2053</v>
      </c>
      <c r="V2406" s="74">
        <v>44414</v>
      </c>
      <c r="W2406" s="74">
        <v>44453</v>
      </c>
      <c r="X2406" s="55">
        <v>10204255</v>
      </c>
      <c r="AL2406" s="74"/>
      <c r="AM2406" s="74"/>
    </row>
    <row r="2407" spans="1:50" ht="13" x14ac:dyDescent="0.15">
      <c r="A2407" s="55" t="str">
        <f>HYPERLINK("http://reports.ofsted.gov.uk/inspection-reports/find-inspection-report/provider/CARE/SC061795","Ofsted Social Care Provider Webpage")</f>
        <v>Ofsted Social Care Provider Webpage</v>
      </c>
      <c r="B2407" s="55" t="s">
        <v>4527</v>
      </c>
      <c r="D2407" s="55" t="s">
        <v>373</v>
      </c>
      <c r="E2407" s="74">
        <v>38238</v>
      </c>
      <c r="F2407" s="55" t="s">
        <v>344</v>
      </c>
      <c r="G2407" s="55" t="s">
        <v>360</v>
      </c>
      <c r="H2407" s="55" t="s">
        <v>360</v>
      </c>
      <c r="I2407" s="55" t="s">
        <v>360</v>
      </c>
      <c r="J2407" s="55" t="s">
        <v>360</v>
      </c>
      <c r="K2407" s="55" t="s">
        <v>360</v>
      </c>
      <c r="L2407" s="55" t="s">
        <v>360</v>
      </c>
      <c r="M2407" s="55" t="s">
        <v>150</v>
      </c>
      <c r="N2407" s="55" t="s">
        <v>150</v>
      </c>
      <c r="O2407" s="55" t="s">
        <v>285</v>
      </c>
      <c r="P2407" s="55" t="s">
        <v>2738</v>
      </c>
      <c r="Q2407" s="55" t="s">
        <v>350</v>
      </c>
      <c r="R2407" s="85">
        <v>6</v>
      </c>
      <c r="S2407" s="55">
        <v>0</v>
      </c>
      <c r="T2407" s="74" t="s">
        <v>3586</v>
      </c>
      <c r="U2407" s="74" t="s">
        <v>351</v>
      </c>
      <c r="V2407" s="74">
        <v>44334</v>
      </c>
      <c r="W2407" s="74">
        <v>44386</v>
      </c>
      <c r="X2407" s="55">
        <v>10185824</v>
      </c>
      <c r="Y2407" s="55" t="s">
        <v>140</v>
      </c>
      <c r="AB2407" s="74" t="s">
        <v>140</v>
      </c>
      <c r="AC2407" s="55" t="s">
        <v>140</v>
      </c>
      <c r="AL2407" s="74"/>
      <c r="AM2407" s="74"/>
      <c r="AW2407" s="74"/>
      <c r="AX2407" s="74"/>
    </row>
    <row r="2408" spans="1:50" ht="13" x14ac:dyDescent="0.15">
      <c r="A2408" s="55" t="str">
        <f>HYPERLINK("http://reports.ofsted.gov.uk/inspection-reports/find-inspection-report/provider/CARE/SC061795","Ofsted Social Care Provider Webpage")</f>
        <v>Ofsted Social Care Provider Webpage</v>
      </c>
      <c r="B2408" s="55" t="s">
        <v>4527</v>
      </c>
      <c r="D2408" s="55" t="s">
        <v>373</v>
      </c>
      <c r="E2408" s="74">
        <v>38238</v>
      </c>
      <c r="F2408" s="55" t="s">
        <v>344</v>
      </c>
      <c r="G2408" s="55" t="s">
        <v>360</v>
      </c>
      <c r="H2408" s="55" t="s">
        <v>360</v>
      </c>
      <c r="I2408" s="55" t="s">
        <v>360</v>
      </c>
      <c r="J2408" s="55" t="s">
        <v>360</v>
      </c>
      <c r="K2408" s="55" t="s">
        <v>360</v>
      </c>
      <c r="L2408" s="55" t="s">
        <v>360</v>
      </c>
      <c r="M2408" s="55" t="s">
        <v>150</v>
      </c>
      <c r="N2408" s="55" t="s">
        <v>150</v>
      </c>
      <c r="O2408" s="55" t="s">
        <v>285</v>
      </c>
      <c r="P2408" s="55" t="s">
        <v>2738</v>
      </c>
      <c r="Q2408" s="55" t="s">
        <v>350</v>
      </c>
      <c r="R2408" s="85">
        <v>6</v>
      </c>
      <c r="S2408" s="55">
        <v>0</v>
      </c>
      <c r="T2408" s="74" t="s">
        <v>3586</v>
      </c>
      <c r="U2408" s="74" t="s">
        <v>2053</v>
      </c>
      <c r="V2408" s="74">
        <v>44588</v>
      </c>
      <c r="W2408" s="74">
        <v>44652</v>
      </c>
      <c r="X2408" s="55">
        <v>10219936</v>
      </c>
      <c r="AL2408" s="74"/>
      <c r="AM2408" s="74"/>
      <c r="AW2408" s="74"/>
      <c r="AX2408" s="74"/>
    </row>
    <row r="2409" spans="1:50" ht="13" x14ac:dyDescent="0.15">
      <c r="A2409" s="55" t="str">
        <f>HYPERLINK("http://reports.ofsted.gov.uk/inspection-reports/find-inspection-report/provider/CARE/SC061803","Ofsted Social Care Provider Webpage")</f>
        <v>Ofsted Social Care Provider Webpage</v>
      </c>
      <c r="B2409" s="55" t="s">
        <v>4528</v>
      </c>
      <c r="D2409" s="55" t="s">
        <v>373</v>
      </c>
      <c r="E2409" s="74">
        <v>38244</v>
      </c>
      <c r="F2409" s="55" t="s">
        <v>344</v>
      </c>
      <c r="G2409" s="55" t="s">
        <v>360</v>
      </c>
      <c r="H2409" s="55" t="s">
        <v>360</v>
      </c>
      <c r="I2409" s="55" t="s">
        <v>360</v>
      </c>
      <c r="J2409" s="55" t="s">
        <v>360</v>
      </c>
      <c r="K2409" s="55" t="s">
        <v>360</v>
      </c>
      <c r="L2409" s="55" t="s">
        <v>360</v>
      </c>
      <c r="M2409" s="55" t="s">
        <v>144</v>
      </c>
      <c r="N2409" s="55" t="s">
        <v>144</v>
      </c>
      <c r="O2409" s="55" t="s">
        <v>209</v>
      </c>
      <c r="P2409" s="55" t="s">
        <v>484</v>
      </c>
      <c r="Q2409" s="55" t="s">
        <v>350</v>
      </c>
      <c r="R2409" s="85">
        <v>4</v>
      </c>
      <c r="S2409" s="55">
        <v>0</v>
      </c>
      <c r="T2409" s="74" t="s">
        <v>485</v>
      </c>
      <c r="U2409" s="74" t="s">
        <v>351</v>
      </c>
      <c r="V2409" s="74">
        <v>44425</v>
      </c>
      <c r="W2409" s="74">
        <v>44466</v>
      </c>
      <c r="X2409" s="55">
        <v>10187400</v>
      </c>
      <c r="Y2409" s="55" t="s">
        <v>132</v>
      </c>
      <c r="AB2409" s="74" t="s">
        <v>132</v>
      </c>
      <c r="AC2409" s="55" t="s">
        <v>132</v>
      </c>
      <c r="AL2409" s="74"/>
      <c r="AM2409" s="74"/>
      <c r="AW2409" s="74"/>
      <c r="AX2409" s="74"/>
    </row>
    <row r="2410" spans="1:50" ht="13" x14ac:dyDescent="0.15">
      <c r="A2410" s="55" t="str">
        <f>HYPERLINK("http://reports.ofsted.gov.uk/inspection-reports/find-inspection-report/provider/CARE/SC061810","Ofsted Social Care Provider Webpage")</f>
        <v>Ofsted Social Care Provider Webpage</v>
      </c>
      <c r="B2410" s="55" t="s">
        <v>4529</v>
      </c>
      <c r="D2410" s="55" t="s">
        <v>373</v>
      </c>
      <c r="E2410" s="74">
        <v>38337</v>
      </c>
      <c r="F2410" s="55" t="s">
        <v>344</v>
      </c>
      <c r="G2410" s="55" t="s">
        <v>360</v>
      </c>
      <c r="H2410" s="55" t="s">
        <v>360</v>
      </c>
      <c r="I2410" s="55" t="s">
        <v>360</v>
      </c>
      <c r="J2410" s="55" t="s">
        <v>360</v>
      </c>
      <c r="K2410" s="55" t="s">
        <v>360</v>
      </c>
      <c r="L2410" s="55" t="s">
        <v>360</v>
      </c>
      <c r="M2410" s="55" t="s">
        <v>144</v>
      </c>
      <c r="N2410" s="55" t="s">
        <v>144</v>
      </c>
      <c r="O2410" s="55" t="s">
        <v>168</v>
      </c>
      <c r="P2410" s="55" t="s">
        <v>2110</v>
      </c>
      <c r="Q2410" s="55" t="s">
        <v>380</v>
      </c>
      <c r="R2410" s="85">
        <v>6</v>
      </c>
      <c r="S2410" s="55">
        <v>0</v>
      </c>
      <c r="T2410" s="74" t="s">
        <v>1432</v>
      </c>
      <c r="U2410" s="74" t="s">
        <v>2053</v>
      </c>
      <c r="V2410" s="74">
        <v>44545</v>
      </c>
      <c r="W2410" s="74">
        <v>44582</v>
      </c>
      <c r="X2410" s="55">
        <v>10216239</v>
      </c>
      <c r="AL2410" s="74"/>
      <c r="AM2410" s="74"/>
    </row>
    <row r="2411" spans="1:50" ht="13" x14ac:dyDescent="0.15">
      <c r="A2411" s="55" t="str">
        <f>HYPERLINK("http://reports.ofsted.gov.uk/inspection-reports/find-inspection-report/provider/CARE/SC061810","Ofsted Social Care Provider Webpage")</f>
        <v>Ofsted Social Care Provider Webpage</v>
      </c>
      <c r="B2411" s="55" t="s">
        <v>4529</v>
      </c>
      <c r="D2411" s="55" t="s">
        <v>373</v>
      </c>
      <c r="E2411" s="74">
        <v>38337</v>
      </c>
      <c r="F2411" s="55" t="s">
        <v>344</v>
      </c>
      <c r="G2411" s="55" t="s">
        <v>360</v>
      </c>
      <c r="H2411" s="55" t="s">
        <v>360</v>
      </c>
      <c r="I2411" s="55" t="s">
        <v>360</v>
      </c>
      <c r="J2411" s="55" t="s">
        <v>360</v>
      </c>
      <c r="K2411" s="55" t="s">
        <v>360</v>
      </c>
      <c r="L2411" s="55" t="s">
        <v>360</v>
      </c>
      <c r="M2411" s="55" t="s">
        <v>144</v>
      </c>
      <c r="N2411" s="55" t="s">
        <v>144</v>
      </c>
      <c r="O2411" s="55" t="s">
        <v>168</v>
      </c>
      <c r="P2411" s="55" t="s">
        <v>2110</v>
      </c>
      <c r="Q2411" s="55" t="s">
        <v>380</v>
      </c>
      <c r="R2411" s="85">
        <v>6</v>
      </c>
      <c r="S2411" s="55">
        <v>0</v>
      </c>
      <c r="T2411" s="74" t="s">
        <v>1432</v>
      </c>
      <c r="U2411" s="74" t="s">
        <v>2053</v>
      </c>
      <c r="V2411" s="74">
        <v>44593</v>
      </c>
      <c r="W2411" s="74">
        <v>44623</v>
      </c>
      <c r="X2411" s="55">
        <v>10221232</v>
      </c>
      <c r="AL2411" s="74"/>
      <c r="AM2411" s="74"/>
      <c r="AW2411" s="74"/>
      <c r="AX2411" s="74"/>
    </row>
    <row r="2412" spans="1:50" ht="13" x14ac:dyDescent="0.15">
      <c r="A2412" s="55" t="str">
        <f>HYPERLINK("http://reports.ofsted.gov.uk/inspection-reports/find-inspection-report/provider/CARE/SC061810","Ofsted Social Care Provider Webpage")</f>
        <v>Ofsted Social Care Provider Webpage</v>
      </c>
      <c r="B2412" s="55" t="s">
        <v>4529</v>
      </c>
      <c r="D2412" s="55" t="s">
        <v>373</v>
      </c>
      <c r="E2412" s="74">
        <v>38337</v>
      </c>
      <c r="F2412" s="55" t="s">
        <v>344</v>
      </c>
      <c r="G2412" s="55" t="s">
        <v>360</v>
      </c>
      <c r="H2412" s="55" t="s">
        <v>360</v>
      </c>
      <c r="I2412" s="55" t="s">
        <v>360</v>
      </c>
      <c r="J2412" s="55" t="s">
        <v>360</v>
      </c>
      <c r="K2412" s="55" t="s">
        <v>360</v>
      </c>
      <c r="L2412" s="55" t="s">
        <v>360</v>
      </c>
      <c r="M2412" s="55" t="s">
        <v>144</v>
      </c>
      <c r="N2412" s="55" t="s">
        <v>144</v>
      </c>
      <c r="O2412" s="55" t="s">
        <v>168</v>
      </c>
      <c r="P2412" s="55" t="s">
        <v>2110</v>
      </c>
      <c r="Q2412" s="55" t="s">
        <v>380</v>
      </c>
      <c r="R2412" s="85">
        <v>6</v>
      </c>
      <c r="S2412" s="55">
        <v>0</v>
      </c>
      <c r="T2412" s="74" t="s">
        <v>1432</v>
      </c>
      <c r="U2412" s="74" t="s">
        <v>351</v>
      </c>
      <c r="V2412" s="74">
        <v>44509</v>
      </c>
      <c r="W2412" s="74">
        <v>44559</v>
      </c>
      <c r="X2412" s="55">
        <v>10185930</v>
      </c>
      <c r="Y2412" s="55" t="s">
        <v>146</v>
      </c>
      <c r="AB2412" s="74" t="s">
        <v>146</v>
      </c>
      <c r="AC2412" s="55" t="s">
        <v>146</v>
      </c>
      <c r="AL2412" s="74"/>
      <c r="AM2412" s="74"/>
      <c r="AW2412" s="74"/>
      <c r="AX2412" s="74"/>
    </row>
    <row r="2413" spans="1:50" ht="13" x14ac:dyDescent="0.15">
      <c r="A2413" s="55" t="str">
        <f>HYPERLINK("http://reports.ofsted.gov.uk/inspection-reports/find-inspection-report/provider/CARE/SC061837","Ofsted Social Care Provider Webpage")</f>
        <v>Ofsted Social Care Provider Webpage</v>
      </c>
      <c r="B2413" s="55" t="s">
        <v>4530</v>
      </c>
      <c r="D2413" s="55" t="s">
        <v>373</v>
      </c>
      <c r="E2413" s="74">
        <v>38511</v>
      </c>
      <c r="F2413" s="55" t="s">
        <v>344</v>
      </c>
      <c r="G2413" s="55" t="s">
        <v>360</v>
      </c>
      <c r="H2413" s="55" t="s">
        <v>360</v>
      </c>
      <c r="I2413" s="55" t="s">
        <v>360</v>
      </c>
      <c r="J2413" s="55" t="s">
        <v>360</v>
      </c>
      <c r="K2413" s="55" t="s">
        <v>360</v>
      </c>
      <c r="L2413" s="55" t="s">
        <v>360</v>
      </c>
      <c r="M2413" s="55" t="s">
        <v>142</v>
      </c>
      <c r="N2413" s="55" t="s">
        <v>142</v>
      </c>
      <c r="O2413" s="55" t="s">
        <v>282</v>
      </c>
      <c r="P2413" s="55" t="s">
        <v>3266</v>
      </c>
      <c r="Q2413" s="55" t="s">
        <v>350</v>
      </c>
      <c r="R2413" s="85">
        <v>4</v>
      </c>
      <c r="S2413" s="55">
        <v>0</v>
      </c>
      <c r="T2413" s="74" t="s">
        <v>4531</v>
      </c>
      <c r="U2413" s="74" t="s">
        <v>351</v>
      </c>
      <c r="V2413" s="74">
        <v>44446</v>
      </c>
      <c r="W2413" s="74">
        <v>44474</v>
      </c>
      <c r="X2413" s="55">
        <v>10185992</v>
      </c>
      <c r="Y2413" s="55" t="s">
        <v>132</v>
      </c>
      <c r="AB2413" s="74" t="s">
        <v>132</v>
      </c>
      <c r="AC2413" s="55" t="s">
        <v>132</v>
      </c>
      <c r="AL2413" s="74"/>
      <c r="AM2413" s="74"/>
      <c r="AW2413" s="74"/>
      <c r="AX2413" s="74"/>
    </row>
    <row r="2414" spans="1:50" ht="13" x14ac:dyDescent="0.15">
      <c r="A2414" s="55" t="str">
        <f>HYPERLINK("http://reports.ofsted.gov.uk/inspection-reports/find-inspection-report/provider/CARE/SC061878","Ofsted Social Care Provider Webpage")</f>
        <v>Ofsted Social Care Provider Webpage</v>
      </c>
      <c r="B2414" s="55" t="s">
        <v>4532</v>
      </c>
      <c r="D2414" s="55" t="s">
        <v>373</v>
      </c>
      <c r="E2414" s="74">
        <v>38275</v>
      </c>
      <c r="F2414" s="55" t="s">
        <v>344</v>
      </c>
      <c r="G2414" s="55" t="s">
        <v>360</v>
      </c>
      <c r="H2414" s="55" t="s">
        <v>360</v>
      </c>
      <c r="I2414" s="55" t="s">
        <v>360</v>
      </c>
      <c r="J2414" s="55" t="s">
        <v>360</v>
      </c>
      <c r="K2414" s="55" t="s">
        <v>360</v>
      </c>
      <c r="L2414" s="55" t="s">
        <v>360</v>
      </c>
      <c r="M2414" s="55" t="s">
        <v>136</v>
      </c>
      <c r="N2414" s="55" t="s">
        <v>136</v>
      </c>
      <c r="O2414" s="55" t="s">
        <v>185</v>
      </c>
      <c r="P2414" s="55" t="s">
        <v>1292</v>
      </c>
      <c r="Q2414" s="55" t="s">
        <v>350</v>
      </c>
      <c r="R2414" s="85">
        <v>4</v>
      </c>
      <c r="S2414" s="55">
        <v>0</v>
      </c>
      <c r="T2414" s="74" t="s">
        <v>914</v>
      </c>
      <c r="U2414" s="74" t="s">
        <v>351</v>
      </c>
      <c r="V2414" s="74">
        <v>44509</v>
      </c>
      <c r="W2414" s="74">
        <v>44552</v>
      </c>
      <c r="X2414" s="55">
        <v>10185966</v>
      </c>
      <c r="Y2414" s="55" t="s">
        <v>132</v>
      </c>
      <c r="AB2414" s="74" t="s">
        <v>132</v>
      </c>
      <c r="AC2414" s="55" t="s">
        <v>132</v>
      </c>
      <c r="AL2414" s="74"/>
      <c r="AM2414" s="74"/>
      <c r="AW2414" s="74"/>
      <c r="AX2414" s="74"/>
    </row>
    <row r="2415" spans="1:50" ht="13" x14ac:dyDescent="0.15">
      <c r="A2415" s="55" t="str">
        <f>HYPERLINK("http://reports.ofsted.gov.uk/inspection-reports/find-inspection-report/provider/CARE/SC061924","Ofsted Social Care Provider Webpage")</f>
        <v>Ofsted Social Care Provider Webpage</v>
      </c>
      <c r="B2415" s="55" t="s">
        <v>4533</v>
      </c>
      <c r="D2415" s="55" t="s">
        <v>373</v>
      </c>
      <c r="E2415" s="74">
        <v>38265</v>
      </c>
      <c r="F2415" s="55" t="s">
        <v>344</v>
      </c>
      <c r="G2415" s="55" t="s">
        <v>360</v>
      </c>
      <c r="H2415" s="55" t="s">
        <v>360</v>
      </c>
      <c r="I2415" s="55" t="s">
        <v>360</v>
      </c>
      <c r="J2415" s="55" t="s">
        <v>360</v>
      </c>
      <c r="K2415" s="55" t="s">
        <v>360</v>
      </c>
      <c r="L2415" s="55" t="s">
        <v>360</v>
      </c>
      <c r="M2415" s="55" t="s">
        <v>144</v>
      </c>
      <c r="N2415" s="55" t="s">
        <v>144</v>
      </c>
      <c r="O2415" s="55" t="s">
        <v>250</v>
      </c>
      <c r="P2415" s="55" t="s">
        <v>1372</v>
      </c>
      <c r="Q2415" s="55" t="s">
        <v>350</v>
      </c>
      <c r="R2415" s="85">
        <v>3</v>
      </c>
      <c r="S2415" s="55">
        <v>0</v>
      </c>
      <c r="T2415" s="74" t="s">
        <v>4534</v>
      </c>
      <c r="U2415" s="74" t="s">
        <v>351</v>
      </c>
      <c r="V2415" s="74">
        <v>44580</v>
      </c>
      <c r="W2415" s="74">
        <v>44615</v>
      </c>
      <c r="X2415" s="55">
        <v>10186511</v>
      </c>
      <c r="Y2415" s="55" t="s">
        <v>130</v>
      </c>
      <c r="AB2415" s="74" t="s">
        <v>130</v>
      </c>
      <c r="AC2415" s="55" t="s">
        <v>130</v>
      </c>
      <c r="AL2415" s="74"/>
      <c r="AM2415" s="74"/>
      <c r="AW2415" s="74"/>
      <c r="AX2415" s="74"/>
    </row>
    <row r="2416" spans="1:50" ht="13" x14ac:dyDescent="0.15">
      <c r="A2416" s="55" t="str">
        <f>HYPERLINK("http://reports.ofsted.gov.uk/inspection-reports/find-inspection-report/provider/CARE/SC061924","Ofsted Social Care Provider Webpage")</f>
        <v>Ofsted Social Care Provider Webpage</v>
      </c>
      <c r="B2416" s="55" t="s">
        <v>4533</v>
      </c>
      <c r="D2416" s="55" t="s">
        <v>373</v>
      </c>
      <c r="E2416" s="74">
        <v>38265</v>
      </c>
      <c r="F2416" s="55" t="s">
        <v>344</v>
      </c>
      <c r="G2416" s="55" t="s">
        <v>360</v>
      </c>
      <c r="H2416" s="55" t="s">
        <v>360</v>
      </c>
      <c r="I2416" s="55" t="s">
        <v>360</v>
      </c>
      <c r="J2416" s="55" t="s">
        <v>360</v>
      </c>
      <c r="K2416" s="55" t="s">
        <v>360</v>
      </c>
      <c r="L2416" s="55" t="s">
        <v>360</v>
      </c>
      <c r="M2416" s="55" t="s">
        <v>144</v>
      </c>
      <c r="N2416" s="55" t="s">
        <v>144</v>
      </c>
      <c r="O2416" s="55" t="s">
        <v>250</v>
      </c>
      <c r="P2416" s="55" t="s">
        <v>1372</v>
      </c>
      <c r="Q2416" s="55" t="s">
        <v>350</v>
      </c>
      <c r="R2416" s="85">
        <v>3</v>
      </c>
      <c r="S2416" s="55">
        <v>0</v>
      </c>
      <c r="T2416" s="74" t="s">
        <v>4534</v>
      </c>
      <c r="U2416" s="74" t="s">
        <v>2053</v>
      </c>
      <c r="V2416" s="74">
        <v>44313</v>
      </c>
      <c r="W2416" s="74">
        <v>44341</v>
      </c>
      <c r="X2416" s="55">
        <v>10182951</v>
      </c>
      <c r="AL2416" s="74"/>
      <c r="AM2416" s="74"/>
    </row>
    <row r="2417" spans="1:50" ht="13" x14ac:dyDescent="0.15">
      <c r="A2417" s="55" t="str">
        <f>HYPERLINK("http://reports.ofsted.gov.uk/inspection-reports/find-inspection-report/provider/CARE/SC061984","Ofsted Social Care Provider Webpage")</f>
        <v>Ofsted Social Care Provider Webpage</v>
      </c>
      <c r="B2417" s="55" t="s">
        <v>4535</v>
      </c>
      <c r="D2417" s="55" t="s">
        <v>389</v>
      </c>
      <c r="E2417" s="74">
        <v>38273</v>
      </c>
      <c r="F2417" s="55" t="s">
        <v>344</v>
      </c>
      <c r="G2417" s="55" t="s">
        <v>4536</v>
      </c>
      <c r="H2417" s="55" t="s">
        <v>4537</v>
      </c>
      <c r="I2417" s="55" t="s">
        <v>1649</v>
      </c>
      <c r="J2417" s="55" t="s">
        <v>1650</v>
      </c>
      <c r="L2417" s="55" t="s">
        <v>1651</v>
      </c>
      <c r="M2417" s="55" t="s">
        <v>129</v>
      </c>
      <c r="N2417" s="55" t="s">
        <v>129</v>
      </c>
      <c r="O2417" s="55" t="s">
        <v>242</v>
      </c>
      <c r="P2417" s="55" t="s">
        <v>1519</v>
      </c>
      <c r="Q2417" s="55" t="s">
        <v>350</v>
      </c>
      <c r="S2417" s="55">
        <v>0</v>
      </c>
      <c r="T2417" s="74" t="s">
        <v>4538</v>
      </c>
      <c r="U2417" s="74" t="s">
        <v>351</v>
      </c>
      <c r="V2417" s="74">
        <v>44606</v>
      </c>
      <c r="W2417" s="74">
        <v>44652</v>
      </c>
      <c r="X2417" s="55">
        <v>10183355</v>
      </c>
      <c r="Y2417" s="55" t="s">
        <v>132</v>
      </c>
      <c r="AB2417" s="74" t="s">
        <v>132</v>
      </c>
      <c r="AC2417" s="55" t="s">
        <v>130</v>
      </c>
      <c r="AL2417" s="74"/>
      <c r="AM2417" s="74"/>
      <c r="AW2417" s="74"/>
      <c r="AX2417" s="74"/>
    </row>
    <row r="2418" spans="1:50" ht="13" x14ac:dyDescent="0.15">
      <c r="A2418" s="55" t="str">
        <f>HYPERLINK("http://reports.ofsted.gov.uk/inspection-reports/find-inspection-report/provider/CARE/SC062013","Ofsted Social Care Provider Webpage")</f>
        <v>Ofsted Social Care Provider Webpage</v>
      </c>
      <c r="B2418" s="55" t="s">
        <v>4539</v>
      </c>
      <c r="D2418" s="55" t="s">
        <v>373</v>
      </c>
      <c r="E2418" s="74">
        <v>38238</v>
      </c>
      <c r="F2418" s="55" t="s">
        <v>344</v>
      </c>
      <c r="G2418" s="55" t="s">
        <v>360</v>
      </c>
      <c r="H2418" s="55" t="s">
        <v>360</v>
      </c>
      <c r="I2418" s="55" t="s">
        <v>360</v>
      </c>
      <c r="J2418" s="55" t="s">
        <v>360</v>
      </c>
      <c r="K2418" s="55" t="s">
        <v>360</v>
      </c>
      <c r="L2418" s="55" t="s">
        <v>360</v>
      </c>
      <c r="M2418" s="55" t="s">
        <v>144</v>
      </c>
      <c r="N2418" s="55" t="s">
        <v>144</v>
      </c>
      <c r="O2418" s="55" t="s">
        <v>250</v>
      </c>
      <c r="P2418" s="55" t="s">
        <v>759</v>
      </c>
      <c r="Q2418" s="55" t="s">
        <v>350</v>
      </c>
      <c r="R2418" s="85">
        <v>3</v>
      </c>
      <c r="S2418" s="55">
        <v>0</v>
      </c>
      <c r="T2418" s="74" t="s">
        <v>1600</v>
      </c>
      <c r="U2418" s="74" t="s">
        <v>351</v>
      </c>
      <c r="V2418" s="74">
        <v>44419</v>
      </c>
      <c r="W2418" s="74">
        <v>44454</v>
      </c>
      <c r="X2418" s="55">
        <v>10185117</v>
      </c>
      <c r="Y2418" s="55" t="s">
        <v>130</v>
      </c>
      <c r="AB2418" s="74" t="s">
        <v>130</v>
      </c>
      <c r="AC2418" s="55" t="s">
        <v>130</v>
      </c>
      <c r="AL2418" s="74"/>
      <c r="AM2418" s="74"/>
    </row>
    <row r="2419" spans="1:50" ht="13" x14ac:dyDescent="0.15">
      <c r="A2419" s="55" t="str">
        <f>HYPERLINK("http://reports.ofsted.gov.uk/inspection-reports/find-inspection-report/provider/CARE/SC062074","Ofsted Social Care Provider Webpage")</f>
        <v>Ofsted Social Care Provider Webpage</v>
      </c>
      <c r="B2419" s="55" t="s">
        <v>4540</v>
      </c>
      <c r="D2419" s="55" t="s">
        <v>373</v>
      </c>
      <c r="E2419" s="74">
        <v>38344</v>
      </c>
      <c r="F2419" s="55" t="s">
        <v>344</v>
      </c>
      <c r="G2419" s="55" t="s">
        <v>360</v>
      </c>
      <c r="H2419" s="55" t="s">
        <v>360</v>
      </c>
      <c r="I2419" s="55" t="s">
        <v>360</v>
      </c>
      <c r="J2419" s="55" t="s">
        <v>360</v>
      </c>
      <c r="K2419" s="55" t="s">
        <v>360</v>
      </c>
      <c r="L2419" s="55" t="s">
        <v>360</v>
      </c>
      <c r="M2419" s="55" t="s">
        <v>142</v>
      </c>
      <c r="N2419" s="55" t="s">
        <v>142</v>
      </c>
      <c r="O2419" s="55" t="s">
        <v>195</v>
      </c>
      <c r="P2419" s="55" t="s">
        <v>518</v>
      </c>
      <c r="Q2419" s="55" t="s">
        <v>350</v>
      </c>
      <c r="R2419" s="85">
        <v>4</v>
      </c>
      <c r="S2419" s="55">
        <v>0</v>
      </c>
      <c r="T2419" s="74" t="s">
        <v>1365</v>
      </c>
      <c r="U2419" s="74" t="s">
        <v>351</v>
      </c>
      <c r="V2419" s="74">
        <v>44362</v>
      </c>
      <c r="W2419" s="74">
        <v>44391</v>
      </c>
      <c r="X2419" s="55">
        <v>10186423</v>
      </c>
      <c r="Y2419" s="55" t="s">
        <v>132</v>
      </c>
      <c r="AB2419" s="74" t="s">
        <v>132</v>
      </c>
      <c r="AC2419" s="55" t="s">
        <v>132</v>
      </c>
      <c r="AL2419" s="74"/>
      <c r="AM2419" s="74"/>
      <c r="AW2419" s="74"/>
      <c r="AX2419" s="74"/>
    </row>
    <row r="2420" spans="1:50" ht="13" x14ac:dyDescent="0.15">
      <c r="A2420" s="55" t="str">
        <f>HYPERLINK("http://reports.ofsted.gov.uk/inspection-reports/find-inspection-report/provider/CARE/SC062079","Ofsted Social Care Provider Webpage")</f>
        <v>Ofsted Social Care Provider Webpage</v>
      </c>
      <c r="B2420" s="55" t="s">
        <v>4541</v>
      </c>
      <c r="D2420" s="55" t="s">
        <v>479</v>
      </c>
      <c r="E2420" s="74">
        <v>38715</v>
      </c>
      <c r="F2420" s="55" t="s">
        <v>344</v>
      </c>
      <c r="G2420" s="55" t="s">
        <v>360</v>
      </c>
      <c r="H2420" s="55" t="s">
        <v>360</v>
      </c>
      <c r="I2420" s="55" t="s">
        <v>360</v>
      </c>
      <c r="J2420" s="55" t="s">
        <v>360</v>
      </c>
      <c r="K2420" s="55" t="s">
        <v>360</v>
      </c>
      <c r="L2420" s="55" t="s">
        <v>360</v>
      </c>
      <c r="M2420" s="55" t="s">
        <v>150</v>
      </c>
      <c r="N2420" s="55" t="s">
        <v>150</v>
      </c>
      <c r="O2420" s="55" t="s">
        <v>268</v>
      </c>
      <c r="P2420" s="55" t="s">
        <v>1771</v>
      </c>
      <c r="Q2420" s="55" t="s">
        <v>362</v>
      </c>
      <c r="R2420" s="85">
        <v>66</v>
      </c>
      <c r="S2420" s="55">
        <v>0</v>
      </c>
      <c r="T2420" s="74" t="s">
        <v>4542</v>
      </c>
      <c r="U2420" s="74" t="s">
        <v>351</v>
      </c>
      <c r="V2420" s="74">
        <v>44432</v>
      </c>
      <c r="W2420" s="74">
        <v>44483</v>
      </c>
      <c r="X2420" s="55">
        <v>10187162</v>
      </c>
      <c r="Y2420" s="55" t="s">
        <v>132</v>
      </c>
      <c r="AB2420" s="74" t="s">
        <v>132</v>
      </c>
      <c r="AC2420" s="55" t="s">
        <v>132</v>
      </c>
      <c r="AL2420" s="74"/>
      <c r="AM2420" s="74"/>
      <c r="AW2420" s="74"/>
      <c r="AX2420" s="74"/>
    </row>
    <row r="2421" spans="1:50" ht="13" x14ac:dyDescent="0.15">
      <c r="A2421" s="55" t="str">
        <f>HYPERLINK("http://reports.ofsted.gov.uk/inspection-reports/find-inspection-report/provider/CARE/SC062128","Ofsted Social Care Provider Webpage")</f>
        <v>Ofsted Social Care Provider Webpage</v>
      </c>
      <c r="B2421" s="55" t="s">
        <v>4549</v>
      </c>
      <c r="D2421" s="55" t="s">
        <v>373</v>
      </c>
      <c r="E2421" s="74">
        <v>38303</v>
      </c>
      <c r="F2421" s="55" t="s">
        <v>344</v>
      </c>
      <c r="G2421" s="55" t="s">
        <v>360</v>
      </c>
      <c r="H2421" s="55" t="s">
        <v>360</v>
      </c>
      <c r="I2421" s="55" t="s">
        <v>360</v>
      </c>
      <c r="J2421" s="55" t="s">
        <v>360</v>
      </c>
      <c r="K2421" s="55" t="s">
        <v>360</v>
      </c>
      <c r="L2421" s="55" t="s">
        <v>360</v>
      </c>
      <c r="M2421" s="55" t="s">
        <v>129</v>
      </c>
      <c r="N2421" s="55" t="s">
        <v>129</v>
      </c>
      <c r="O2421" s="55" t="s">
        <v>198</v>
      </c>
      <c r="P2421" s="55" t="s">
        <v>4550</v>
      </c>
      <c r="Q2421" s="55" t="s">
        <v>380</v>
      </c>
      <c r="R2421" s="85">
        <v>6</v>
      </c>
      <c r="S2421" s="55">
        <v>0</v>
      </c>
      <c r="T2421" s="74" t="s">
        <v>3060</v>
      </c>
      <c r="U2421" s="74" t="s">
        <v>351</v>
      </c>
      <c r="V2421" s="74">
        <v>44397</v>
      </c>
      <c r="W2421" s="74">
        <v>44439</v>
      </c>
      <c r="X2421" s="55">
        <v>10187328</v>
      </c>
      <c r="Y2421" s="55" t="s">
        <v>146</v>
      </c>
      <c r="AB2421" s="74" t="s">
        <v>146</v>
      </c>
      <c r="AC2421" s="55" t="s">
        <v>146</v>
      </c>
      <c r="AL2421" s="74"/>
      <c r="AM2421" s="74"/>
      <c r="AW2421" s="74"/>
      <c r="AX2421" s="74"/>
    </row>
    <row r="2422" spans="1:50" ht="13" x14ac:dyDescent="0.15">
      <c r="A2422" s="55" t="str">
        <f>HYPERLINK("http://reports.ofsted.gov.uk/inspection-reports/find-inspection-report/provider/CARE/SC062128","Ofsted Social Care Provider Webpage")</f>
        <v>Ofsted Social Care Provider Webpage</v>
      </c>
      <c r="B2422" s="55" t="s">
        <v>4549</v>
      </c>
      <c r="D2422" s="55" t="s">
        <v>373</v>
      </c>
      <c r="E2422" s="74">
        <v>38303</v>
      </c>
      <c r="F2422" s="55" t="s">
        <v>344</v>
      </c>
      <c r="G2422" s="55" t="s">
        <v>360</v>
      </c>
      <c r="H2422" s="55" t="s">
        <v>360</v>
      </c>
      <c r="I2422" s="55" t="s">
        <v>360</v>
      </c>
      <c r="J2422" s="55" t="s">
        <v>360</v>
      </c>
      <c r="K2422" s="55" t="s">
        <v>360</v>
      </c>
      <c r="L2422" s="55" t="s">
        <v>360</v>
      </c>
      <c r="M2422" s="55" t="s">
        <v>129</v>
      </c>
      <c r="N2422" s="55" t="s">
        <v>129</v>
      </c>
      <c r="O2422" s="55" t="s">
        <v>198</v>
      </c>
      <c r="P2422" s="55" t="s">
        <v>4550</v>
      </c>
      <c r="Q2422" s="55" t="s">
        <v>380</v>
      </c>
      <c r="R2422" s="85">
        <v>6</v>
      </c>
      <c r="S2422" s="55">
        <v>0</v>
      </c>
      <c r="T2422" s="74" t="s">
        <v>3060</v>
      </c>
      <c r="U2422" s="74" t="s">
        <v>351</v>
      </c>
      <c r="V2422" s="74">
        <v>44490</v>
      </c>
      <c r="W2422" s="74">
        <v>44524</v>
      </c>
      <c r="X2422" s="55">
        <v>10208691</v>
      </c>
      <c r="Y2422" s="55" t="s">
        <v>130</v>
      </c>
      <c r="AB2422" s="74" t="s">
        <v>130</v>
      </c>
      <c r="AC2422" s="55" t="s">
        <v>132</v>
      </c>
      <c r="AL2422" s="74"/>
      <c r="AM2422" s="74"/>
      <c r="AW2422" s="74"/>
      <c r="AX2422" s="74"/>
    </row>
    <row r="2423" spans="1:50" ht="13" x14ac:dyDescent="0.15">
      <c r="A2423" s="55" t="str">
        <f>HYPERLINK("http://reports.ofsted.gov.uk/inspection-reports/find-inspection-report/provider/CARE/SC062128","Ofsted Social Care Provider Webpage")</f>
        <v>Ofsted Social Care Provider Webpage</v>
      </c>
      <c r="B2423" s="55" t="s">
        <v>4549</v>
      </c>
      <c r="D2423" s="55" t="s">
        <v>373</v>
      </c>
      <c r="E2423" s="74">
        <v>38303</v>
      </c>
      <c r="F2423" s="55" t="s">
        <v>344</v>
      </c>
      <c r="G2423" s="55" t="s">
        <v>360</v>
      </c>
      <c r="H2423" s="55" t="s">
        <v>360</v>
      </c>
      <c r="I2423" s="55" t="s">
        <v>360</v>
      </c>
      <c r="J2423" s="55" t="s">
        <v>360</v>
      </c>
      <c r="K2423" s="55" t="s">
        <v>360</v>
      </c>
      <c r="L2423" s="55" t="s">
        <v>360</v>
      </c>
      <c r="M2423" s="55" t="s">
        <v>129</v>
      </c>
      <c r="N2423" s="55" t="s">
        <v>129</v>
      </c>
      <c r="O2423" s="55" t="s">
        <v>198</v>
      </c>
      <c r="P2423" s="55" t="s">
        <v>4550</v>
      </c>
      <c r="Q2423" s="55" t="s">
        <v>380</v>
      </c>
      <c r="R2423" s="85">
        <v>6</v>
      </c>
      <c r="S2423" s="55">
        <v>0</v>
      </c>
      <c r="T2423" s="74" t="s">
        <v>3060</v>
      </c>
      <c r="U2423" s="74" t="s">
        <v>2053</v>
      </c>
      <c r="V2423" s="74">
        <v>44441</v>
      </c>
      <c r="W2423" s="74">
        <v>44483</v>
      </c>
      <c r="X2423" s="55">
        <v>10204380</v>
      </c>
      <c r="AL2423" s="74"/>
      <c r="AM2423" s="74"/>
      <c r="AW2423" s="74"/>
      <c r="AX2423" s="74"/>
    </row>
    <row r="2424" spans="1:50" ht="13" x14ac:dyDescent="0.15">
      <c r="A2424" s="55" t="str">
        <f>HYPERLINK("http://reports.ofsted.gov.uk/inspection-reports/find-inspection-report/provider/CARE/SC062223","Ofsted Social Care Provider Webpage")</f>
        <v>Ofsted Social Care Provider Webpage</v>
      </c>
      <c r="B2424" s="55" t="s">
        <v>4551</v>
      </c>
      <c r="D2424" s="55" t="s">
        <v>373</v>
      </c>
      <c r="E2424" s="74">
        <v>38205</v>
      </c>
      <c r="F2424" s="55" t="s">
        <v>344</v>
      </c>
      <c r="G2424" s="55" t="s">
        <v>360</v>
      </c>
      <c r="H2424" s="55" t="s">
        <v>360</v>
      </c>
      <c r="I2424" s="55" t="s">
        <v>360</v>
      </c>
      <c r="J2424" s="55" t="s">
        <v>360</v>
      </c>
      <c r="K2424" s="55" t="s">
        <v>360</v>
      </c>
      <c r="L2424" s="55" t="s">
        <v>360</v>
      </c>
      <c r="M2424" s="55" t="s">
        <v>142</v>
      </c>
      <c r="N2424" s="55" t="s">
        <v>142</v>
      </c>
      <c r="O2424" s="55" t="s">
        <v>195</v>
      </c>
      <c r="P2424" s="55" t="s">
        <v>518</v>
      </c>
      <c r="Q2424" s="55" t="s">
        <v>350</v>
      </c>
      <c r="R2424" s="85">
        <v>5</v>
      </c>
      <c r="S2424" s="55">
        <v>0</v>
      </c>
      <c r="T2424" s="74" t="s">
        <v>450</v>
      </c>
      <c r="U2424" s="74" t="s">
        <v>6703</v>
      </c>
      <c r="V2424" s="74">
        <v>44628</v>
      </c>
      <c r="W2424" s="74">
        <v>44680</v>
      </c>
      <c r="X2424" s="55">
        <v>10219374</v>
      </c>
      <c r="Y2424" s="55" t="s">
        <v>6706</v>
      </c>
      <c r="AL2424" s="74"/>
      <c r="AM2424" s="74"/>
      <c r="AW2424" s="74"/>
      <c r="AX2424" s="74"/>
    </row>
    <row r="2425" spans="1:50" ht="13" x14ac:dyDescent="0.15">
      <c r="A2425" s="55" t="str">
        <f>HYPERLINK("http://reports.ofsted.gov.uk/inspection-reports/find-inspection-report/provider/CARE/SC062223","Ofsted Social Care Provider Webpage")</f>
        <v>Ofsted Social Care Provider Webpage</v>
      </c>
      <c r="B2425" s="55" t="s">
        <v>4551</v>
      </c>
      <c r="D2425" s="55" t="s">
        <v>373</v>
      </c>
      <c r="E2425" s="74">
        <v>38205</v>
      </c>
      <c r="F2425" s="55" t="s">
        <v>344</v>
      </c>
      <c r="G2425" s="55" t="s">
        <v>360</v>
      </c>
      <c r="H2425" s="55" t="s">
        <v>360</v>
      </c>
      <c r="I2425" s="55" t="s">
        <v>360</v>
      </c>
      <c r="J2425" s="55" t="s">
        <v>360</v>
      </c>
      <c r="K2425" s="55" t="s">
        <v>360</v>
      </c>
      <c r="L2425" s="55" t="s">
        <v>360</v>
      </c>
      <c r="M2425" s="55" t="s">
        <v>142</v>
      </c>
      <c r="N2425" s="55" t="s">
        <v>142</v>
      </c>
      <c r="O2425" s="55" t="s">
        <v>195</v>
      </c>
      <c r="P2425" s="55" t="s">
        <v>518</v>
      </c>
      <c r="Q2425" s="55" t="s">
        <v>350</v>
      </c>
      <c r="R2425" s="85">
        <v>5</v>
      </c>
      <c r="S2425" s="55">
        <v>0</v>
      </c>
      <c r="T2425" s="74" t="s">
        <v>450</v>
      </c>
      <c r="U2425" s="74" t="s">
        <v>351</v>
      </c>
      <c r="V2425" s="74">
        <v>44516</v>
      </c>
      <c r="W2425" s="74">
        <v>44574</v>
      </c>
      <c r="X2425" s="55">
        <v>10185394</v>
      </c>
      <c r="Y2425" s="55" t="s">
        <v>130</v>
      </c>
      <c r="AB2425" s="74" t="s">
        <v>130</v>
      </c>
      <c r="AC2425" s="55" t="s">
        <v>130</v>
      </c>
      <c r="AL2425" s="74"/>
      <c r="AM2425" s="74"/>
      <c r="AW2425" s="74"/>
      <c r="AX2425" s="74"/>
    </row>
    <row r="2426" spans="1:50" ht="13" x14ac:dyDescent="0.15">
      <c r="A2426" s="55" t="str">
        <f>HYPERLINK("http://reports.ofsted.gov.uk/inspection-reports/find-inspection-report/provider/CARE/SC062248","Ofsted Social Care Provider Webpage")</f>
        <v>Ofsted Social Care Provider Webpage</v>
      </c>
      <c r="B2426" s="55" t="s">
        <v>4552</v>
      </c>
      <c r="D2426" s="55" t="s">
        <v>373</v>
      </c>
      <c r="E2426" s="74">
        <v>38369</v>
      </c>
      <c r="F2426" s="55" t="s">
        <v>344</v>
      </c>
      <c r="G2426" s="55" t="s">
        <v>360</v>
      </c>
      <c r="H2426" s="55" t="s">
        <v>360</v>
      </c>
      <c r="I2426" s="55" t="s">
        <v>360</v>
      </c>
      <c r="J2426" s="55" t="s">
        <v>360</v>
      </c>
      <c r="K2426" s="55" t="s">
        <v>360</v>
      </c>
      <c r="L2426" s="55" t="s">
        <v>360</v>
      </c>
      <c r="M2426" s="55" t="s">
        <v>144</v>
      </c>
      <c r="N2426" s="55" t="s">
        <v>144</v>
      </c>
      <c r="O2426" s="55" t="s">
        <v>207</v>
      </c>
      <c r="P2426" s="55" t="s">
        <v>207</v>
      </c>
      <c r="Q2426" s="55" t="s">
        <v>350</v>
      </c>
      <c r="R2426" s="85">
        <v>4</v>
      </c>
      <c r="S2426" s="55">
        <v>0</v>
      </c>
      <c r="T2426" s="74" t="s">
        <v>2947</v>
      </c>
      <c r="U2426" s="74" t="s">
        <v>351</v>
      </c>
      <c r="V2426" s="74">
        <v>44305</v>
      </c>
      <c r="W2426" s="74">
        <v>44341</v>
      </c>
      <c r="X2426" s="55">
        <v>10185281</v>
      </c>
      <c r="Y2426" s="55" t="s">
        <v>132</v>
      </c>
      <c r="AB2426" s="74" t="s">
        <v>132</v>
      </c>
      <c r="AC2426" s="55" t="s">
        <v>132</v>
      </c>
      <c r="AL2426" s="74"/>
      <c r="AM2426" s="74"/>
      <c r="AW2426" s="74"/>
      <c r="AX2426" s="74"/>
    </row>
    <row r="2427" spans="1:50" ht="13" x14ac:dyDescent="0.15">
      <c r="A2427" s="55" t="str">
        <f>HYPERLINK("http://reports.ofsted.gov.uk/inspection-reports/find-inspection-report/provider/CARE/SC062268","Ofsted Social Care Provider Webpage")</f>
        <v>Ofsted Social Care Provider Webpage</v>
      </c>
      <c r="B2427" s="55" t="s">
        <v>4554</v>
      </c>
      <c r="D2427" s="55" t="s">
        <v>373</v>
      </c>
      <c r="E2427" s="74">
        <v>38793</v>
      </c>
      <c r="F2427" s="55" t="s">
        <v>344</v>
      </c>
      <c r="G2427" s="55" t="s">
        <v>360</v>
      </c>
      <c r="H2427" s="55" t="s">
        <v>360</v>
      </c>
      <c r="I2427" s="55" t="s">
        <v>360</v>
      </c>
      <c r="J2427" s="55" t="s">
        <v>360</v>
      </c>
      <c r="K2427" s="55" t="s">
        <v>360</v>
      </c>
      <c r="L2427" s="55" t="s">
        <v>360</v>
      </c>
      <c r="M2427" s="55" t="s">
        <v>144</v>
      </c>
      <c r="N2427" s="55" t="s">
        <v>144</v>
      </c>
      <c r="O2427" s="55" t="s">
        <v>209</v>
      </c>
      <c r="P2427" s="55" t="s">
        <v>597</v>
      </c>
      <c r="Q2427" s="55" t="s">
        <v>350</v>
      </c>
      <c r="R2427" s="85">
        <v>3</v>
      </c>
      <c r="S2427" s="55">
        <v>0</v>
      </c>
      <c r="T2427" s="74" t="s">
        <v>2435</v>
      </c>
      <c r="U2427" s="74" t="s">
        <v>351</v>
      </c>
      <c r="V2427" s="74">
        <v>44355</v>
      </c>
      <c r="W2427" s="74">
        <v>44391</v>
      </c>
      <c r="X2427" s="55">
        <v>10186184</v>
      </c>
      <c r="Y2427" s="55" t="s">
        <v>132</v>
      </c>
      <c r="AB2427" s="74" t="s">
        <v>132</v>
      </c>
      <c r="AC2427" s="55" t="s">
        <v>140</v>
      </c>
      <c r="AL2427" s="74"/>
      <c r="AM2427" s="74"/>
    </row>
    <row r="2428" spans="1:50" ht="13" x14ac:dyDescent="0.15">
      <c r="A2428" s="55" t="str">
        <f>HYPERLINK("http://reports.ofsted.gov.uk/inspection-reports/find-inspection-report/provider/CARE/SC062309","Ofsted Social Care Provider Webpage")</f>
        <v>Ofsted Social Care Provider Webpage</v>
      </c>
      <c r="B2428" s="55" t="s">
        <v>4555</v>
      </c>
      <c r="D2428" s="55" t="s">
        <v>373</v>
      </c>
      <c r="E2428" s="74">
        <v>38427</v>
      </c>
      <c r="F2428" s="55" t="s">
        <v>344</v>
      </c>
      <c r="G2428" s="55" t="s">
        <v>360</v>
      </c>
      <c r="H2428" s="55" t="s">
        <v>360</v>
      </c>
      <c r="I2428" s="55" t="s">
        <v>360</v>
      </c>
      <c r="J2428" s="55" t="s">
        <v>360</v>
      </c>
      <c r="K2428" s="55" t="s">
        <v>360</v>
      </c>
      <c r="L2428" s="55" t="s">
        <v>360</v>
      </c>
      <c r="M2428" s="55" t="s">
        <v>144</v>
      </c>
      <c r="N2428" s="55" t="s">
        <v>144</v>
      </c>
      <c r="O2428" s="55" t="s">
        <v>271</v>
      </c>
      <c r="P2428" s="55" t="s">
        <v>1122</v>
      </c>
      <c r="Q2428" s="55" t="s">
        <v>350</v>
      </c>
      <c r="R2428" s="85">
        <v>6</v>
      </c>
      <c r="S2428" s="55">
        <v>0</v>
      </c>
      <c r="T2428" s="74" t="s">
        <v>656</v>
      </c>
      <c r="U2428" s="74" t="s">
        <v>351</v>
      </c>
      <c r="V2428" s="74">
        <v>44517</v>
      </c>
      <c r="W2428" s="74">
        <v>44579</v>
      </c>
      <c r="X2428" s="55">
        <v>10187169</v>
      </c>
      <c r="Y2428" s="55" t="s">
        <v>132</v>
      </c>
      <c r="AB2428" s="74" t="s">
        <v>132</v>
      </c>
      <c r="AC2428" s="55" t="s">
        <v>132</v>
      </c>
      <c r="AL2428" s="74"/>
      <c r="AM2428" s="74"/>
      <c r="AW2428" s="74"/>
      <c r="AX2428" s="74"/>
    </row>
    <row r="2429" spans="1:50" ht="13" x14ac:dyDescent="0.15">
      <c r="A2429" s="55" t="str">
        <f>HYPERLINK("http://reports.ofsted.gov.uk/inspection-reports/find-inspection-report/provider/CARE/SC062317","Ofsted Social Care Provider Webpage")</f>
        <v>Ofsted Social Care Provider Webpage</v>
      </c>
      <c r="B2429" s="55" t="s">
        <v>4556</v>
      </c>
      <c r="D2429" s="55" t="s">
        <v>373</v>
      </c>
      <c r="E2429" s="74">
        <v>38467</v>
      </c>
      <c r="F2429" s="55" t="s">
        <v>344</v>
      </c>
      <c r="G2429" s="55" t="s">
        <v>360</v>
      </c>
      <c r="H2429" s="55" t="s">
        <v>360</v>
      </c>
      <c r="I2429" s="55" t="s">
        <v>360</v>
      </c>
      <c r="J2429" s="55" t="s">
        <v>360</v>
      </c>
      <c r="K2429" s="55" t="s">
        <v>360</v>
      </c>
      <c r="L2429" s="55" t="s">
        <v>360</v>
      </c>
      <c r="M2429" s="55" t="s">
        <v>150</v>
      </c>
      <c r="N2429" s="55" t="s">
        <v>150</v>
      </c>
      <c r="O2429" s="55" t="s">
        <v>156</v>
      </c>
      <c r="P2429" s="55" t="s">
        <v>1277</v>
      </c>
      <c r="Q2429" s="55" t="s">
        <v>350</v>
      </c>
      <c r="R2429" s="85">
        <v>4</v>
      </c>
      <c r="S2429" s="55">
        <v>0</v>
      </c>
      <c r="T2429" s="74" t="s">
        <v>762</v>
      </c>
      <c r="U2429" s="74" t="s">
        <v>351</v>
      </c>
      <c r="V2429" s="74">
        <v>44545</v>
      </c>
      <c r="W2429" s="74">
        <v>44596</v>
      </c>
      <c r="X2429" s="55">
        <v>10185154</v>
      </c>
      <c r="Y2429" s="55" t="s">
        <v>132</v>
      </c>
      <c r="AB2429" s="74" t="s">
        <v>132</v>
      </c>
      <c r="AC2429" s="55" t="s">
        <v>132</v>
      </c>
      <c r="AL2429" s="74"/>
      <c r="AM2429" s="74"/>
      <c r="AW2429" s="74"/>
      <c r="AX2429" s="74"/>
    </row>
    <row r="2430" spans="1:50" ht="13" x14ac:dyDescent="0.15">
      <c r="A2430" s="55" t="str">
        <f>HYPERLINK("http://reports.ofsted.gov.uk/inspection-reports/find-inspection-report/provider/CARE/SC062406","Ofsted Social Care Provider Webpage")</f>
        <v>Ofsted Social Care Provider Webpage</v>
      </c>
      <c r="B2430" s="55" t="s">
        <v>6742</v>
      </c>
      <c r="D2430" s="55" t="s">
        <v>373</v>
      </c>
      <c r="E2430" s="74">
        <v>38376</v>
      </c>
      <c r="F2430" s="55" t="s">
        <v>6707</v>
      </c>
      <c r="G2430" s="55" t="s">
        <v>360</v>
      </c>
      <c r="H2430" s="55" t="s">
        <v>360</v>
      </c>
      <c r="I2430" s="55" t="s">
        <v>360</v>
      </c>
      <c r="J2430" s="55" t="s">
        <v>360</v>
      </c>
      <c r="K2430" s="55" t="s">
        <v>360</v>
      </c>
      <c r="L2430" s="55" t="s">
        <v>360</v>
      </c>
      <c r="M2430" s="55" t="s">
        <v>142</v>
      </c>
      <c r="N2430" s="55" t="s">
        <v>142</v>
      </c>
      <c r="O2430" s="55" t="s">
        <v>262</v>
      </c>
      <c r="P2430" s="55" t="s">
        <v>523</v>
      </c>
      <c r="Q2430" s="55" t="s">
        <v>350</v>
      </c>
      <c r="R2430" s="85">
        <v>3</v>
      </c>
      <c r="S2430" s="55">
        <v>0</v>
      </c>
      <c r="T2430" s="74" t="s">
        <v>6743</v>
      </c>
      <c r="U2430" s="74" t="s">
        <v>351</v>
      </c>
      <c r="V2430" s="74">
        <v>44377</v>
      </c>
      <c r="W2430" s="74">
        <v>44420</v>
      </c>
      <c r="X2430" s="55">
        <v>10185773</v>
      </c>
      <c r="Y2430" s="55" t="s">
        <v>146</v>
      </c>
      <c r="AB2430" s="74" t="s">
        <v>146</v>
      </c>
      <c r="AC2430" s="55" t="s">
        <v>146</v>
      </c>
      <c r="AL2430" s="74"/>
      <c r="AM2430" s="74"/>
      <c r="AW2430" s="74"/>
      <c r="AX2430" s="74"/>
    </row>
    <row r="2431" spans="1:50" ht="13" x14ac:dyDescent="0.15">
      <c r="A2431" s="55" t="str">
        <f>HYPERLINK("http://reports.ofsted.gov.uk/inspection-reports/find-inspection-report/provider/CARE/SC062406","Ofsted Social Care Provider Webpage")</f>
        <v>Ofsted Social Care Provider Webpage</v>
      </c>
      <c r="B2431" s="55" t="s">
        <v>6742</v>
      </c>
      <c r="D2431" s="55" t="s">
        <v>373</v>
      </c>
      <c r="E2431" s="74">
        <v>38376</v>
      </c>
      <c r="F2431" s="55" t="s">
        <v>6707</v>
      </c>
      <c r="G2431" s="55" t="s">
        <v>360</v>
      </c>
      <c r="H2431" s="55" t="s">
        <v>360</v>
      </c>
      <c r="I2431" s="55" t="s">
        <v>360</v>
      </c>
      <c r="J2431" s="55" t="s">
        <v>360</v>
      </c>
      <c r="K2431" s="55" t="s">
        <v>360</v>
      </c>
      <c r="L2431" s="55" t="s">
        <v>360</v>
      </c>
      <c r="M2431" s="55" t="s">
        <v>142</v>
      </c>
      <c r="N2431" s="55" t="s">
        <v>142</v>
      </c>
      <c r="O2431" s="55" t="s">
        <v>262</v>
      </c>
      <c r="P2431" s="55" t="s">
        <v>523</v>
      </c>
      <c r="Q2431" s="55" t="s">
        <v>350</v>
      </c>
      <c r="R2431" s="85">
        <v>3</v>
      </c>
      <c r="S2431" s="55">
        <v>0</v>
      </c>
      <c r="T2431" s="74" t="s">
        <v>6743</v>
      </c>
      <c r="U2431" s="74" t="s">
        <v>6703</v>
      </c>
      <c r="V2431" s="74">
        <v>44475</v>
      </c>
      <c r="W2431" s="74">
        <v>44509</v>
      </c>
      <c r="X2431" s="55">
        <v>10207443</v>
      </c>
      <c r="Y2431" s="55" t="s">
        <v>6709</v>
      </c>
      <c r="AL2431" s="74"/>
      <c r="AM2431" s="74"/>
      <c r="AW2431" s="74"/>
      <c r="AX2431" s="74"/>
    </row>
    <row r="2432" spans="1:50" ht="13" x14ac:dyDescent="0.15">
      <c r="A2432" s="55" t="str">
        <f>HYPERLINK("http://reports.ofsted.gov.uk/inspection-reports/find-inspection-report/provider/CARE/SC062406","Ofsted Social Care Provider Webpage")</f>
        <v>Ofsted Social Care Provider Webpage</v>
      </c>
      <c r="B2432" s="55" t="s">
        <v>6742</v>
      </c>
      <c r="D2432" s="55" t="s">
        <v>373</v>
      </c>
      <c r="E2432" s="74">
        <v>38376</v>
      </c>
      <c r="F2432" s="55" t="s">
        <v>6707</v>
      </c>
      <c r="G2432" s="55" t="s">
        <v>360</v>
      </c>
      <c r="H2432" s="55" t="s">
        <v>360</v>
      </c>
      <c r="I2432" s="55" t="s">
        <v>360</v>
      </c>
      <c r="J2432" s="55" t="s">
        <v>360</v>
      </c>
      <c r="K2432" s="55" t="s">
        <v>360</v>
      </c>
      <c r="L2432" s="55" t="s">
        <v>360</v>
      </c>
      <c r="M2432" s="55" t="s">
        <v>142</v>
      </c>
      <c r="N2432" s="55" t="s">
        <v>142</v>
      </c>
      <c r="O2432" s="55" t="s">
        <v>262</v>
      </c>
      <c r="P2432" s="55" t="s">
        <v>523</v>
      </c>
      <c r="Q2432" s="55" t="s">
        <v>350</v>
      </c>
      <c r="R2432" s="85">
        <v>3</v>
      </c>
      <c r="S2432" s="55">
        <v>0</v>
      </c>
      <c r="T2432" s="74" t="s">
        <v>6743</v>
      </c>
      <c r="U2432" s="74" t="s">
        <v>2053</v>
      </c>
      <c r="V2432" s="74">
        <v>44418</v>
      </c>
      <c r="W2432" s="74">
        <v>44448</v>
      </c>
      <c r="X2432" s="55">
        <v>10201889</v>
      </c>
      <c r="AL2432" s="74"/>
      <c r="AM2432" s="74"/>
    </row>
    <row r="2433" spans="1:50" ht="13" x14ac:dyDescent="0.15">
      <c r="A2433" s="55" t="str">
        <f>HYPERLINK("http://reports.ofsted.gov.uk/inspection-reports/find-inspection-report/provider/CARE/SC062487","Ofsted Social Care Provider Webpage")</f>
        <v>Ofsted Social Care Provider Webpage</v>
      </c>
      <c r="B2433" s="55" t="s">
        <v>4561</v>
      </c>
      <c r="D2433" s="55" t="s">
        <v>389</v>
      </c>
      <c r="E2433" s="74">
        <v>38447</v>
      </c>
      <c r="F2433" s="55" t="s">
        <v>344</v>
      </c>
      <c r="G2433" s="55" t="s">
        <v>4562</v>
      </c>
      <c r="H2433" s="55" t="s">
        <v>2150</v>
      </c>
      <c r="I2433" s="55" t="s">
        <v>4563</v>
      </c>
      <c r="J2433" s="55" t="s">
        <v>3798</v>
      </c>
      <c r="K2433" s="55" t="s">
        <v>165</v>
      </c>
      <c r="L2433" s="55" t="s">
        <v>4564</v>
      </c>
      <c r="M2433" s="55" t="s">
        <v>136</v>
      </c>
      <c r="N2433" s="55" t="s">
        <v>136</v>
      </c>
      <c r="O2433" s="55" t="s">
        <v>165</v>
      </c>
      <c r="P2433" s="55" t="s">
        <v>2318</v>
      </c>
      <c r="Q2433" s="55" t="s">
        <v>350</v>
      </c>
      <c r="S2433" s="55">
        <v>0</v>
      </c>
      <c r="T2433" s="74" t="s">
        <v>2197</v>
      </c>
      <c r="U2433" s="74" t="s">
        <v>351</v>
      </c>
      <c r="V2433" s="74">
        <v>44627</v>
      </c>
      <c r="W2433" s="74">
        <v>44679</v>
      </c>
      <c r="X2433" s="55">
        <v>10183422</v>
      </c>
      <c r="Y2433" s="55" t="s">
        <v>132</v>
      </c>
      <c r="AB2433" s="74" t="s">
        <v>132</v>
      </c>
      <c r="AC2433" s="55" t="s">
        <v>132</v>
      </c>
      <c r="AL2433" s="74"/>
      <c r="AM2433" s="74"/>
      <c r="AW2433" s="74"/>
      <c r="AX2433" s="74"/>
    </row>
    <row r="2434" spans="1:50" ht="13" x14ac:dyDescent="0.15">
      <c r="A2434" s="55" t="str">
        <f>HYPERLINK("http://reports.ofsted.gov.uk/inspection-reports/find-inspection-report/provider/CARE/SC062536","Ofsted Social Care Provider Webpage")</f>
        <v>Ofsted Social Care Provider Webpage</v>
      </c>
      <c r="B2434" s="55" t="s">
        <v>4565</v>
      </c>
      <c r="D2434" s="55" t="s">
        <v>373</v>
      </c>
      <c r="E2434" s="74">
        <v>38372</v>
      </c>
      <c r="F2434" s="55" t="s">
        <v>344</v>
      </c>
      <c r="G2434" s="55" t="s">
        <v>360</v>
      </c>
      <c r="H2434" s="55" t="s">
        <v>360</v>
      </c>
      <c r="I2434" s="55" t="s">
        <v>360</v>
      </c>
      <c r="J2434" s="55" t="s">
        <v>360</v>
      </c>
      <c r="K2434" s="55" t="s">
        <v>360</v>
      </c>
      <c r="L2434" s="55" t="s">
        <v>360</v>
      </c>
      <c r="M2434" s="55" t="s">
        <v>172</v>
      </c>
      <c r="N2434" s="55" t="s">
        <v>172</v>
      </c>
      <c r="O2434" s="55" t="s">
        <v>173</v>
      </c>
      <c r="P2434" s="55" t="s">
        <v>1540</v>
      </c>
      <c r="Q2434" s="55" t="s">
        <v>380</v>
      </c>
      <c r="R2434" s="85">
        <v>6</v>
      </c>
      <c r="S2434" s="55">
        <v>0</v>
      </c>
      <c r="T2434" s="74" t="s">
        <v>1431</v>
      </c>
      <c r="U2434" s="74" t="s">
        <v>351</v>
      </c>
      <c r="V2434" s="74">
        <v>44601</v>
      </c>
      <c r="W2434" s="74">
        <v>44644</v>
      </c>
      <c r="X2434" s="55">
        <v>10187063</v>
      </c>
      <c r="Y2434" s="55" t="s">
        <v>132</v>
      </c>
      <c r="AB2434" s="74" t="s">
        <v>132</v>
      </c>
      <c r="AC2434" s="55" t="s">
        <v>132</v>
      </c>
      <c r="AL2434" s="74"/>
      <c r="AM2434" s="74"/>
      <c r="AW2434" s="74"/>
      <c r="AX2434" s="74"/>
    </row>
    <row r="2435" spans="1:50" ht="13" x14ac:dyDescent="0.15">
      <c r="A2435" s="55" t="str">
        <f>HYPERLINK("http://reports.ofsted.gov.uk/inspection-reports/find-inspection-report/provider/CARE/SC062651","Ofsted Social Care Provider Webpage")</f>
        <v>Ofsted Social Care Provider Webpage</v>
      </c>
      <c r="B2435" s="55" t="s">
        <v>4567</v>
      </c>
      <c r="D2435" s="55" t="s">
        <v>373</v>
      </c>
      <c r="E2435" s="74">
        <v>38331</v>
      </c>
      <c r="F2435" s="55" t="s">
        <v>344</v>
      </c>
      <c r="G2435" s="55" t="s">
        <v>360</v>
      </c>
      <c r="H2435" s="55" t="s">
        <v>360</v>
      </c>
      <c r="I2435" s="55" t="s">
        <v>360</v>
      </c>
      <c r="J2435" s="55" t="s">
        <v>360</v>
      </c>
      <c r="K2435" s="55" t="s">
        <v>360</v>
      </c>
      <c r="L2435" s="55" t="s">
        <v>360</v>
      </c>
      <c r="M2435" s="55" t="s">
        <v>138</v>
      </c>
      <c r="N2435" s="55" t="s">
        <v>138</v>
      </c>
      <c r="O2435" s="55" t="s">
        <v>266</v>
      </c>
      <c r="P2435" s="55" t="s">
        <v>1622</v>
      </c>
      <c r="Q2435" s="55" t="s">
        <v>350</v>
      </c>
      <c r="R2435" s="85">
        <v>4</v>
      </c>
      <c r="S2435" s="55">
        <v>0</v>
      </c>
      <c r="T2435" s="74" t="s">
        <v>1623</v>
      </c>
      <c r="U2435" s="74" t="s">
        <v>351</v>
      </c>
      <c r="V2435" s="74">
        <v>44544</v>
      </c>
      <c r="W2435" s="74">
        <v>44588</v>
      </c>
      <c r="X2435" s="55">
        <v>10185820</v>
      </c>
      <c r="Y2435" s="55" t="s">
        <v>132</v>
      </c>
      <c r="AB2435" s="74" t="s">
        <v>132</v>
      </c>
      <c r="AC2435" s="55" t="s">
        <v>132</v>
      </c>
      <c r="AL2435" s="74"/>
      <c r="AM2435" s="74"/>
    </row>
    <row r="2436" spans="1:50" ht="13" x14ac:dyDescent="0.15">
      <c r="A2436" s="55" t="str">
        <f>HYPERLINK("http://reports.ofsted.gov.uk/inspection-reports/find-inspection-report/provider/CARE/SC062674","Ofsted Social Care Provider Webpage")</f>
        <v>Ofsted Social Care Provider Webpage</v>
      </c>
      <c r="B2436" s="55" t="s">
        <v>4568</v>
      </c>
      <c r="D2436" s="55" t="s">
        <v>373</v>
      </c>
      <c r="E2436" s="74">
        <v>38758</v>
      </c>
      <c r="F2436" s="55" t="s">
        <v>344</v>
      </c>
      <c r="G2436" s="55" t="s">
        <v>360</v>
      </c>
      <c r="H2436" s="55" t="s">
        <v>360</v>
      </c>
      <c r="I2436" s="55" t="s">
        <v>360</v>
      </c>
      <c r="J2436" s="55" t="s">
        <v>360</v>
      </c>
      <c r="K2436" s="55" t="s">
        <v>360</v>
      </c>
      <c r="L2436" s="55" t="s">
        <v>360</v>
      </c>
      <c r="M2436" s="55" t="s">
        <v>144</v>
      </c>
      <c r="N2436" s="55" t="s">
        <v>144</v>
      </c>
      <c r="O2436" s="55" t="s">
        <v>215</v>
      </c>
      <c r="P2436" s="55" t="s">
        <v>1008</v>
      </c>
      <c r="Q2436" s="55" t="s">
        <v>350</v>
      </c>
      <c r="R2436" s="85">
        <v>4</v>
      </c>
      <c r="S2436" s="55">
        <v>0</v>
      </c>
      <c r="T2436" s="74" t="s">
        <v>4414</v>
      </c>
      <c r="U2436" s="74" t="s">
        <v>351</v>
      </c>
      <c r="V2436" s="74">
        <v>44544</v>
      </c>
      <c r="W2436" s="74">
        <v>44608</v>
      </c>
      <c r="X2436" s="55">
        <v>10187378</v>
      </c>
      <c r="Y2436" s="55" t="s">
        <v>130</v>
      </c>
      <c r="AB2436" s="74" t="s">
        <v>130</v>
      </c>
      <c r="AC2436" s="55" t="s">
        <v>130</v>
      </c>
      <c r="AL2436" s="74"/>
      <c r="AM2436" s="74"/>
      <c r="AW2436" s="74"/>
      <c r="AX2436" s="74"/>
    </row>
    <row r="2437" spans="1:50" ht="13" x14ac:dyDescent="0.15">
      <c r="A2437" s="55" t="str">
        <f>HYPERLINK("http://reports.ofsted.gov.uk/inspection-reports/find-inspection-report/provider/CARE/SC062785","Ofsted Social Care Provider Webpage")</f>
        <v>Ofsted Social Care Provider Webpage</v>
      </c>
      <c r="B2437" s="55" t="s">
        <v>4575</v>
      </c>
      <c r="D2437" s="55" t="s">
        <v>373</v>
      </c>
      <c r="E2437" s="74">
        <v>38411</v>
      </c>
      <c r="F2437" s="55" t="s">
        <v>344</v>
      </c>
      <c r="G2437" s="55" t="s">
        <v>360</v>
      </c>
      <c r="H2437" s="55" t="s">
        <v>360</v>
      </c>
      <c r="I2437" s="55" t="s">
        <v>360</v>
      </c>
      <c r="J2437" s="55" t="s">
        <v>360</v>
      </c>
      <c r="K2437" s="55" t="s">
        <v>360</v>
      </c>
      <c r="L2437" s="55" t="s">
        <v>360</v>
      </c>
      <c r="M2437" s="55" t="s">
        <v>129</v>
      </c>
      <c r="N2437" s="55" t="s">
        <v>129</v>
      </c>
      <c r="O2437" s="55" t="s">
        <v>279</v>
      </c>
      <c r="P2437" s="55" t="s">
        <v>1078</v>
      </c>
      <c r="Q2437" s="55" t="s">
        <v>350</v>
      </c>
      <c r="R2437" s="85">
        <v>9</v>
      </c>
      <c r="S2437" s="55">
        <v>0</v>
      </c>
      <c r="T2437" s="74" t="s">
        <v>1303</v>
      </c>
      <c r="U2437" s="74" t="s">
        <v>351</v>
      </c>
      <c r="V2437" s="74">
        <v>44550</v>
      </c>
      <c r="W2437" s="74">
        <v>44592</v>
      </c>
      <c r="X2437" s="55">
        <v>10186419</v>
      </c>
      <c r="Y2437" s="55" t="s">
        <v>140</v>
      </c>
      <c r="AB2437" s="74" t="s">
        <v>140</v>
      </c>
      <c r="AC2437" s="55" t="s">
        <v>140</v>
      </c>
      <c r="AL2437" s="74"/>
      <c r="AM2437" s="74"/>
      <c r="AW2437" s="74"/>
      <c r="AX2437" s="74"/>
    </row>
    <row r="2438" spans="1:50" ht="13" x14ac:dyDescent="0.15">
      <c r="A2438" s="55" t="str">
        <f>HYPERLINK("http://reports.ofsted.gov.uk/inspection-reports/find-inspection-report/provider/CARE/SC062999","Ofsted Social Care Provider Webpage")</f>
        <v>Ofsted Social Care Provider Webpage</v>
      </c>
      <c r="B2438" s="55" t="s">
        <v>4587</v>
      </c>
      <c r="D2438" s="55" t="s">
        <v>389</v>
      </c>
      <c r="E2438" s="74">
        <v>38943</v>
      </c>
      <c r="F2438" s="55" t="s">
        <v>344</v>
      </c>
      <c r="G2438" s="55" t="s">
        <v>4588</v>
      </c>
      <c r="H2438" s="55" t="s">
        <v>3135</v>
      </c>
      <c r="I2438" s="55" t="s">
        <v>4589</v>
      </c>
      <c r="J2438" s="55" t="s">
        <v>239</v>
      </c>
      <c r="K2438" s="55" t="s">
        <v>174</v>
      </c>
      <c r="L2438" s="55" t="s">
        <v>4590</v>
      </c>
      <c r="M2438" s="55" t="s">
        <v>136</v>
      </c>
      <c r="N2438" s="55" t="s">
        <v>136</v>
      </c>
      <c r="O2438" s="55" t="s">
        <v>239</v>
      </c>
      <c r="P2438" s="55" t="s">
        <v>964</v>
      </c>
      <c r="Q2438" s="55" t="s">
        <v>350</v>
      </c>
      <c r="S2438" s="55">
        <v>0</v>
      </c>
      <c r="T2438" s="74" t="s">
        <v>4591</v>
      </c>
      <c r="U2438" s="74" t="s">
        <v>351</v>
      </c>
      <c r="V2438" s="74">
        <v>44627</v>
      </c>
      <c r="W2438" s="74">
        <v>44673</v>
      </c>
      <c r="X2438" s="55">
        <v>10183272</v>
      </c>
      <c r="Y2438" s="55" t="s">
        <v>132</v>
      </c>
      <c r="AB2438" s="74" t="s">
        <v>132</v>
      </c>
      <c r="AC2438" s="55" t="s">
        <v>132</v>
      </c>
      <c r="AL2438" s="74"/>
      <c r="AM2438" s="74"/>
      <c r="AW2438" s="74"/>
      <c r="AX2438" s="74"/>
    </row>
    <row r="2439" spans="1:50" ht="13" x14ac:dyDescent="0.15">
      <c r="A2439" s="55" t="str">
        <f>HYPERLINK("http://reports.ofsted.gov.uk/inspection-reports/find-inspection-report/provider/CARE/SC063103","Ofsted Social Care Provider Webpage")</f>
        <v>Ofsted Social Care Provider Webpage</v>
      </c>
      <c r="B2439" s="55" t="s">
        <v>4592</v>
      </c>
      <c r="D2439" s="55" t="s">
        <v>373</v>
      </c>
      <c r="E2439" s="74">
        <v>38432</v>
      </c>
      <c r="F2439" s="55" t="s">
        <v>344</v>
      </c>
      <c r="G2439" s="55" t="s">
        <v>360</v>
      </c>
      <c r="H2439" s="55" t="s">
        <v>360</v>
      </c>
      <c r="I2439" s="55" t="s">
        <v>360</v>
      </c>
      <c r="J2439" s="55" t="s">
        <v>360</v>
      </c>
      <c r="K2439" s="55" t="s">
        <v>360</v>
      </c>
      <c r="L2439" s="55" t="s">
        <v>360</v>
      </c>
      <c r="M2439" s="55" t="s">
        <v>144</v>
      </c>
      <c r="N2439" s="55" t="s">
        <v>144</v>
      </c>
      <c r="O2439" s="55" t="s">
        <v>209</v>
      </c>
      <c r="P2439" s="55" t="s">
        <v>650</v>
      </c>
      <c r="Q2439" s="55" t="s">
        <v>350</v>
      </c>
      <c r="R2439" s="85">
        <v>5</v>
      </c>
      <c r="S2439" s="55">
        <v>0</v>
      </c>
      <c r="T2439" s="74" t="s">
        <v>4468</v>
      </c>
      <c r="U2439" s="74" t="s">
        <v>351</v>
      </c>
      <c r="V2439" s="74">
        <v>44377</v>
      </c>
      <c r="W2439" s="74">
        <v>44413</v>
      </c>
      <c r="X2439" s="55">
        <v>10186928</v>
      </c>
      <c r="Y2439" s="55" t="s">
        <v>130</v>
      </c>
      <c r="AB2439" s="74" t="s">
        <v>130</v>
      </c>
      <c r="AC2439" s="55" t="s">
        <v>130</v>
      </c>
      <c r="AL2439" s="74"/>
      <c r="AM2439" s="74"/>
      <c r="AW2439" s="74"/>
      <c r="AX2439" s="74"/>
    </row>
    <row r="2440" spans="1:50" ht="13" x14ac:dyDescent="0.15">
      <c r="A2440" s="55" t="str">
        <f>HYPERLINK("http://reports.ofsted.gov.uk/inspection-reports/find-inspection-report/provider/CARE/SC063110","Ofsted Social Care Provider Webpage")</f>
        <v>Ofsted Social Care Provider Webpage</v>
      </c>
      <c r="B2440" s="55" t="s">
        <v>4593</v>
      </c>
      <c r="D2440" s="55" t="s">
        <v>373</v>
      </c>
      <c r="E2440" s="74">
        <v>38419</v>
      </c>
      <c r="F2440" s="55" t="s">
        <v>344</v>
      </c>
      <c r="G2440" s="55" t="s">
        <v>360</v>
      </c>
      <c r="H2440" s="55" t="s">
        <v>360</v>
      </c>
      <c r="I2440" s="55" t="s">
        <v>360</v>
      </c>
      <c r="J2440" s="55" t="s">
        <v>360</v>
      </c>
      <c r="K2440" s="55" t="s">
        <v>360</v>
      </c>
      <c r="L2440" s="55" t="s">
        <v>360</v>
      </c>
      <c r="M2440" s="55" t="s">
        <v>138</v>
      </c>
      <c r="N2440" s="55" t="s">
        <v>138</v>
      </c>
      <c r="O2440" s="55" t="s">
        <v>266</v>
      </c>
      <c r="P2440" s="55" t="s">
        <v>1522</v>
      </c>
      <c r="Q2440" s="55" t="s">
        <v>380</v>
      </c>
      <c r="R2440" s="85">
        <v>4</v>
      </c>
      <c r="S2440" s="55">
        <v>0</v>
      </c>
      <c r="T2440" s="74" t="s">
        <v>3510</v>
      </c>
      <c r="U2440" s="74" t="s">
        <v>6703</v>
      </c>
      <c r="V2440" s="74">
        <v>44608</v>
      </c>
      <c r="W2440" s="74">
        <v>44650</v>
      </c>
      <c r="X2440" s="55">
        <v>10210193</v>
      </c>
      <c r="Y2440" s="55" t="s">
        <v>6705</v>
      </c>
      <c r="AL2440" s="74"/>
      <c r="AM2440" s="74"/>
      <c r="AW2440" s="74"/>
      <c r="AX2440" s="74"/>
    </row>
    <row r="2441" spans="1:50" ht="13" x14ac:dyDescent="0.15">
      <c r="A2441" s="55" t="str">
        <f>HYPERLINK("http://reports.ofsted.gov.uk/inspection-reports/find-inspection-report/provider/CARE/SC063110","Ofsted Social Care Provider Webpage")</f>
        <v>Ofsted Social Care Provider Webpage</v>
      </c>
      <c r="B2441" s="55" t="s">
        <v>4593</v>
      </c>
      <c r="D2441" s="55" t="s">
        <v>373</v>
      </c>
      <c r="E2441" s="74">
        <v>38419</v>
      </c>
      <c r="F2441" s="55" t="s">
        <v>344</v>
      </c>
      <c r="G2441" s="55" t="s">
        <v>360</v>
      </c>
      <c r="H2441" s="55" t="s">
        <v>360</v>
      </c>
      <c r="I2441" s="55" t="s">
        <v>360</v>
      </c>
      <c r="J2441" s="55" t="s">
        <v>360</v>
      </c>
      <c r="K2441" s="55" t="s">
        <v>360</v>
      </c>
      <c r="L2441" s="55" t="s">
        <v>360</v>
      </c>
      <c r="M2441" s="55" t="s">
        <v>138</v>
      </c>
      <c r="N2441" s="55" t="s">
        <v>138</v>
      </c>
      <c r="O2441" s="55" t="s">
        <v>266</v>
      </c>
      <c r="P2441" s="55" t="s">
        <v>1522</v>
      </c>
      <c r="Q2441" s="55" t="s">
        <v>380</v>
      </c>
      <c r="R2441" s="85">
        <v>4</v>
      </c>
      <c r="S2441" s="55">
        <v>0</v>
      </c>
      <c r="T2441" s="74" t="s">
        <v>3510</v>
      </c>
      <c r="U2441" s="74" t="s">
        <v>351</v>
      </c>
      <c r="V2441" s="74">
        <v>44460</v>
      </c>
      <c r="W2441" s="74">
        <v>44487</v>
      </c>
      <c r="X2441" s="55">
        <v>10185945</v>
      </c>
      <c r="Y2441" s="55" t="s">
        <v>130</v>
      </c>
      <c r="AB2441" s="74" t="s">
        <v>130</v>
      </c>
      <c r="AC2441" s="55" t="s">
        <v>130</v>
      </c>
      <c r="AL2441" s="74"/>
      <c r="AM2441" s="74"/>
      <c r="AW2441" s="74"/>
      <c r="AX2441" s="74"/>
    </row>
    <row r="2442" spans="1:50" ht="13" x14ac:dyDescent="0.15">
      <c r="A2442" s="55" t="str">
        <f>HYPERLINK("http://reports.ofsted.gov.uk/inspection-reports/find-inspection-report/provider/CARE/SC063116","Ofsted Social Care Provider Webpage")</f>
        <v>Ofsted Social Care Provider Webpage</v>
      </c>
      <c r="B2442" s="55" t="s">
        <v>4594</v>
      </c>
      <c r="D2442" s="55" t="s">
        <v>373</v>
      </c>
      <c r="E2442" s="74">
        <v>38322</v>
      </c>
      <c r="F2442" s="55" t="s">
        <v>344</v>
      </c>
      <c r="G2442" s="55" t="s">
        <v>360</v>
      </c>
      <c r="H2442" s="55" t="s">
        <v>360</v>
      </c>
      <c r="I2442" s="55" t="s">
        <v>360</v>
      </c>
      <c r="J2442" s="55" t="s">
        <v>360</v>
      </c>
      <c r="K2442" s="55" t="s">
        <v>360</v>
      </c>
      <c r="L2442" s="55" t="s">
        <v>360</v>
      </c>
      <c r="M2442" s="55" t="s">
        <v>150</v>
      </c>
      <c r="N2442" s="55" t="s">
        <v>150</v>
      </c>
      <c r="O2442" s="55" t="s">
        <v>203</v>
      </c>
      <c r="P2442" s="55" t="s">
        <v>1263</v>
      </c>
      <c r="Q2442" s="55" t="s">
        <v>350</v>
      </c>
      <c r="R2442" s="85">
        <v>6</v>
      </c>
      <c r="S2442" s="55">
        <v>0</v>
      </c>
      <c r="T2442" s="74" t="s">
        <v>2891</v>
      </c>
      <c r="U2442" s="74" t="s">
        <v>351</v>
      </c>
      <c r="V2442" s="74">
        <v>44622</v>
      </c>
      <c r="W2442" s="74">
        <v>44670</v>
      </c>
      <c r="X2442" s="55">
        <v>10185913</v>
      </c>
      <c r="Y2442" s="55" t="s">
        <v>132</v>
      </c>
      <c r="AB2442" s="74" t="s">
        <v>132</v>
      </c>
      <c r="AC2442" s="55" t="s">
        <v>140</v>
      </c>
      <c r="AL2442" s="74"/>
      <c r="AM2442" s="74"/>
      <c r="AW2442" s="74"/>
      <c r="AX2442" s="74"/>
    </row>
    <row r="2443" spans="1:50" ht="13" x14ac:dyDescent="0.15">
      <c r="A2443" s="55" t="str">
        <f>HYPERLINK("http://reports.ofsted.gov.uk/inspection-reports/find-inspection-report/provider/CARE/SC063219","Ofsted Social Care Provider Webpage")</f>
        <v>Ofsted Social Care Provider Webpage</v>
      </c>
      <c r="B2443" s="55" t="s">
        <v>4595</v>
      </c>
      <c r="D2443" s="55" t="s">
        <v>373</v>
      </c>
      <c r="E2443" s="74">
        <v>38555</v>
      </c>
      <c r="F2443" s="55" t="s">
        <v>344</v>
      </c>
      <c r="G2443" s="55" t="s">
        <v>360</v>
      </c>
      <c r="H2443" s="55" t="s">
        <v>360</v>
      </c>
      <c r="I2443" s="55" t="s">
        <v>360</v>
      </c>
      <c r="J2443" s="55" t="s">
        <v>360</v>
      </c>
      <c r="K2443" s="55" t="s">
        <v>360</v>
      </c>
      <c r="L2443" s="55" t="s">
        <v>360</v>
      </c>
      <c r="M2443" s="55" t="s">
        <v>129</v>
      </c>
      <c r="N2443" s="55" t="s">
        <v>129</v>
      </c>
      <c r="O2443" s="55" t="s">
        <v>223</v>
      </c>
      <c r="P2443" s="55" t="s">
        <v>712</v>
      </c>
      <c r="Q2443" s="55" t="s">
        <v>350</v>
      </c>
      <c r="R2443" s="85">
        <v>5</v>
      </c>
      <c r="S2443" s="55">
        <v>0</v>
      </c>
      <c r="T2443" s="74" t="s">
        <v>1013</v>
      </c>
      <c r="U2443" s="74" t="s">
        <v>351</v>
      </c>
      <c r="V2443" s="74">
        <v>44377</v>
      </c>
      <c r="W2443" s="74">
        <v>44406</v>
      </c>
      <c r="X2443" s="55">
        <v>10186907</v>
      </c>
      <c r="Y2443" s="55" t="s">
        <v>130</v>
      </c>
      <c r="AB2443" s="74" t="s">
        <v>130</v>
      </c>
      <c r="AC2443" s="55" t="s">
        <v>130</v>
      </c>
      <c r="AL2443" s="74"/>
      <c r="AM2443" s="74"/>
      <c r="AW2443" s="74"/>
      <c r="AX2443" s="74"/>
    </row>
    <row r="2444" spans="1:50" ht="13" x14ac:dyDescent="0.15">
      <c r="A2444" s="55" t="str">
        <f>HYPERLINK("http://reports.ofsted.gov.uk/inspection-reports/find-inspection-report/provider/CARE/SC063219","Ofsted Social Care Provider Webpage")</f>
        <v>Ofsted Social Care Provider Webpage</v>
      </c>
      <c r="B2444" s="55" t="s">
        <v>4595</v>
      </c>
      <c r="D2444" s="55" t="s">
        <v>373</v>
      </c>
      <c r="E2444" s="74">
        <v>38555</v>
      </c>
      <c r="F2444" s="55" t="s">
        <v>344</v>
      </c>
      <c r="G2444" s="55" t="s">
        <v>360</v>
      </c>
      <c r="H2444" s="55" t="s">
        <v>360</v>
      </c>
      <c r="I2444" s="55" t="s">
        <v>360</v>
      </c>
      <c r="J2444" s="55" t="s">
        <v>360</v>
      </c>
      <c r="K2444" s="55" t="s">
        <v>360</v>
      </c>
      <c r="L2444" s="55" t="s">
        <v>360</v>
      </c>
      <c r="M2444" s="55" t="s">
        <v>129</v>
      </c>
      <c r="N2444" s="55" t="s">
        <v>129</v>
      </c>
      <c r="O2444" s="55" t="s">
        <v>223</v>
      </c>
      <c r="P2444" s="55" t="s">
        <v>712</v>
      </c>
      <c r="Q2444" s="55" t="s">
        <v>350</v>
      </c>
      <c r="R2444" s="85">
        <v>5</v>
      </c>
      <c r="S2444" s="55">
        <v>0</v>
      </c>
      <c r="T2444" s="74" t="s">
        <v>1013</v>
      </c>
      <c r="U2444" s="74" t="s">
        <v>6703</v>
      </c>
      <c r="V2444" s="74">
        <v>44593</v>
      </c>
      <c r="W2444" s="74">
        <v>44623</v>
      </c>
      <c r="X2444" s="55">
        <v>10209399</v>
      </c>
      <c r="Y2444" s="55" t="s">
        <v>6705</v>
      </c>
      <c r="AL2444" s="74"/>
      <c r="AM2444" s="74"/>
      <c r="AW2444" s="74"/>
      <c r="AX2444" s="74"/>
    </row>
    <row r="2445" spans="1:50" ht="13" x14ac:dyDescent="0.15">
      <c r="A2445" s="55" t="str">
        <f>HYPERLINK("http://reports.ofsted.gov.uk/inspection-reports/find-inspection-report/provider/CARE/SC063259","Ofsted Social Care Provider Webpage")</f>
        <v>Ofsted Social Care Provider Webpage</v>
      </c>
      <c r="B2445" s="55" t="s">
        <v>4596</v>
      </c>
      <c r="D2445" s="55" t="s">
        <v>479</v>
      </c>
      <c r="E2445" s="74">
        <v>38467</v>
      </c>
      <c r="F2445" s="55" t="s">
        <v>344</v>
      </c>
      <c r="G2445" s="55" t="s">
        <v>360</v>
      </c>
      <c r="H2445" s="55" t="s">
        <v>360</v>
      </c>
      <c r="I2445" s="55" t="s">
        <v>360</v>
      </c>
      <c r="J2445" s="55" t="s">
        <v>360</v>
      </c>
      <c r="K2445" s="55" t="s">
        <v>360</v>
      </c>
      <c r="L2445" s="55" t="s">
        <v>360</v>
      </c>
      <c r="M2445" s="55" t="s">
        <v>138</v>
      </c>
      <c r="N2445" s="55" t="s">
        <v>138</v>
      </c>
      <c r="O2445" s="55" t="s">
        <v>224</v>
      </c>
      <c r="P2445" s="55" t="s">
        <v>1675</v>
      </c>
      <c r="Q2445" s="55" t="s">
        <v>350</v>
      </c>
      <c r="R2445" s="85">
        <v>8</v>
      </c>
      <c r="S2445" s="55">
        <v>0</v>
      </c>
      <c r="T2445" s="74" t="s">
        <v>4597</v>
      </c>
      <c r="U2445" s="74" t="s">
        <v>351</v>
      </c>
      <c r="V2445" s="74">
        <v>44440</v>
      </c>
      <c r="W2445" s="74">
        <v>44467</v>
      </c>
      <c r="X2445" s="55">
        <v>10185187</v>
      </c>
      <c r="Y2445" s="55" t="s">
        <v>132</v>
      </c>
      <c r="AB2445" s="74" t="s">
        <v>132</v>
      </c>
      <c r="AC2445" s="55" t="s">
        <v>132</v>
      </c>
      <c r="AL2445" s="74"/>
      <c r="AM2445" s="74"/>
    </row>
    <row r="2446" spans="1:50" ht="13" x14ac:dyDescent="0.15">
      <c r="A2446" s="55" t="str">
        <f>HYPERLINK("http://reports.ofsted.gov.uk/inspection-reports/find-inspection-report/provider/CARE/SC063284","Ofsted Social Care Provider Webpage")</f>
        <v>Ofsted Social Care Provider Webpage</v>
      </c>
      <c r="B2446" s="55" t="s">
        <v>4598</v>
      </c>
      <c r="D2446" s="55" t="s">
        <v>373</v>
      </c>
      <c r="E2446" s="74">
        <v>38511</v>
      </c>
      <c r="F2446" s="55" t="s">
        <v>344</v>
      </c>
      <c r="G2446" s="55" t="s">
        <v>360</v>
      </c>
      <c r="H2446" s="55" t="s">
        <v>360</v>
      </c>
      <c r="I2446" s="55" t="s">
        <v>360</v>
      </c>
      <c r="J2446" s="55" t="s">
        <v>360</v>
      </c>
      <c r="K2446" s="55" t="s">
        <v>360</v>
      </c>
      <c r="L2446" s="55" t="s">
        <v>360</v>
      </c>
      <c r="M2446" s="55" t="s">
        <v>144</v>
      </c>
      <c r="N2446" s="55" t="s">
        <v>144</v>
      </c>
      <c r="O2446" s="55" t="s">
        <v>261</v>
      </c>
      <c r="P2446" s="55" t="s">
        <v>512</v>
      </c>
      <c r="Q2446" s="55" t="s">
        <v>350</v>
      </c>
      <c r="R2446" s="85">
        <v>5</v>
      </c>
      <c r="S2446" s="55">
        <v>0</v>
      </c>
      <c r="T2446" s="74" t="s">
        <v>923</v>
      </c>
      <c r="U2446" s="74" t="s">
        <v>351</v>
      </c>
      <c r="V2446" s="74">
        <v>44530</v>
      </c>
      <c r="W2446" s="74">
        <v>44575</v>
      </c>
      <c r="X2446" s="55">
        <v>10187623</v>
      </c>
      <c r="Y2446" s="55" t="s">
        <v>132</v>
      </c>
      <c r="AB2446" s="74" t="s">
        <v>132</v>
      </c>
      <c r="AC2446" s="55" t="s">
        <v>132</v>
      </c>
      <c r="AL2446" s="74"/>
      <c r="AM2446" s="74"/>
      <c r="AW2446" s="74"/>
      <c r="AX2446" s="74"/>
    </row>
    <row r="2447" spans="1:50" ht="13" x14ac:dyDescent="0.15">
      <c r="A2447" s="55" t="str">
        <f>HYPERLINK("http://reports.ofsted.gov.uk/inspection-reports/find-inspection-report/provider/CARE/SC063316","Ofsted Social Care Provider Webpage")</f>
        <v>Ofsted Social Care Provider Webpage</v>
      </c>
      <c r="B2447" s="55" t="s">
        <v>6744</v>
      </c>
      <c r="D2447" s="55" t="s">
        <v>389</v>
      </c>
      <c r="E2447" s="74">
        <v>38456</v>
      </c>
      <c r="F2447" s="55" t="s">
        <v>6707</v>
      </c>
      <c r="G2447" s="55" t="s">
        <v>6745</v>
      </c>
      <c r="H2447" s="55" t="s">
        <v>6746</v>
      </c>
      <c r="I2447" s="55" t="s">
        <v>354</v>
      </c>
      <c r="J2447" s="55" t="s">
        <v>3108</v>
      </c>
      <c r="L2447" s="55" t="s">
        <v>6747</v>
      </c>
      <c r="M2447" s="55" t="s">
        <v>144</v>
      </c>
      <c r="N2447" s="55" t="s">
        <v>144</v>
      </c>
      <c r="O2447" s="55" t="s">
        <v>147</v>
      </c>
      <c r="P2447" s="55" t="s">
        <v>674</v>
      </c>
      <c r="Q2447" s="55" t="s">
        <v>350</v>
      </c>
      <c r="S2447" s="55">
        <v>0</v>
      </c>
      <c r="T2447" s="74" t="s">
        <v>6748</v>
      </c>
      <c r="U2447" s="74" t="s">
        <v>351</v>
      </c>
      <c r="V2447" s="74">
        <v>44473</v>
      </c>
      <c r="W2447" s="74">
        <v>44510</v>
      </c>
      <c r="X2447" s="55">
        <v>10183398</v>
      </c>
      <c r="Y2447" s="55" t="s">
        <v>132</v>
      </c>
      <c r="AB2447" s="74" t="s">
        <v>132</v>
      </c>
      <c r="AC2447" s="55" t="s">
        <v>132</v>
      </c>
      <c r="AL2447" s="74"/>
      <c r="AM2447" s="74"/>
    </row>
    <row r="2448" spans="1:50" ht="13" x14ac:dyDescent="0.15">
      <c r="A2448" s="55" t="str">
        <f>HYPERLINK("http://reports.ofsted.gov.uk/inspection-reports/find-inspection-report/provider/CARE/SC063318","Ofsted Social Care Provider Webpage")</f>
        <v>Ofsted Social Care Provider Webpage</v>
      </c>
      <c r="B2448" s="55" t="s">
        <v>4599</v>
      </c>
      <c r="D2448" s="55" t="s">
        <v>373</v>
      </c>
      <c r="E2448" s="74">
        <v>38390</v>
      </c>
      <c r="F2448" s="55" t="s">
        <v>344</v>
      </c>
      <c r="G2448" s="55" t="s">
        <v>360</v>
      </c>
      <c r="H2448" s="55" t="s">
        <v>360</v>
      </c>
      <c r="I2448" s="55" t="s">
        <v>360</v>
      </c>
      <c r="J2448" s="55" t="s">
        <v>360</v>
      </c>
      <c r="K2448" s="55" t="s">
        <v>360</v>
      </c>
      <c r="L2448" s="55" t="s">
        <v>360</v>
      </c>
      <c r="M2448" s="55" t="s">
        <v>144</v>
      </c>
      <c r="N2448" s="55" t="s">
        <v>144</v>
      </c>
      <c r="O2448" s="55" t="s">
        <v>290</v>
      </c>
      <c r="P2448" s="55" t="s">
        <v>1512</v>
      </c>
      <c r="Q2448" s="55" t="s">
        <v>350</v>
      </c>
      <c r="R2448" s="85">
        <v>4</v>
      </c>
      <c r="S2448" s="55">
        <v>0</v>
      </c>
      <c r="T2448" s="74" t="s">
        <v>4600</v>
      </c>
      <c r="U2448" s="74" t="s">
        <v>351</v>
      </c>
      <c r="V2448" s="74">
        <v>44503</v>
      </c>
      <c r="W2448" s="74">
        <v>44539</v>
      </c>
      <c r="X2448" s="55">
        <v>10186409</v>
      </c>
      <c r="Y2448" s="55" t="s">
        <v>132</v>
      </c>
      <c r="AB2448" s="74" t="s">
        <v>132</v>
      </c>
      <c r="AC2448" s="55" t="s">
        <v>132</v>
      </c>
      <c r="AL2448" s="74"/>
      <c r="AM2448" s="74"/>
    </row>
    <row r="2449" spans="1:50" ht="13" x14ac:dyDescent="0.15">
      <c r="A2449" s="55" t="str">
        <f>HYPERLINK("http://reports.ofsted.gov.uk/inspection-reports/find-inspection-report/provider/CARE/SC063380","Ofsted Social Care Provider Webpage")</f>
        <v>Ofsted Social Care Provider Webpage</v>
      </c>
      <c r="B2449" s="55" t="s">
        <v>4601</v>
      </c>
      <c r="D2449" s="55" t="s">
        <v>373</v>
      </c>
      <c r="E2449" s="74">
        <v>38427</v>
      </c>
      <c r="F2449" s="55" t="s">
        <v>344</v>
      </c>
      <c r="G2449" s="55" t="s">
        <v>360</v>
      </c>
      <c r="H2449" s="55" t="s">
        <v>360</v>
      </c>
      <c r="I2449" s="55" t="s">
        <v>360</v>
      </c>
      <c r="J2449" s="55" t="s">
        <v>360</v>
      </c>
      <c r="K2449" s="55" t="s">
        <v>360</v>
      </c>
      <c r="L2449" s="55" t="s">
        <v>360</v>
      </c>
      <c r="M2449" s="55" t="s">
        <v>142</v>
      </c>
      <c r="N2449" s="55" t="s">
        <v>142</v>
      </c>
      <c r="O2449" s="55" t="s">
        <v>272</v>
      </c>
      <c r="P2449" s="55" t="s">
        <v>1291</v>
      </c>
      <c r="Q2449" s="55" t="s">
        <v>350</v>
      </c>
      <c r="R2449" s="85">
        <v>4</v>
      </c>
      <c r="S2449" s="55">
        <v>0</v>
      </c>
      <c r="T2449" s="74" t="s">
        <v>1373</v>
      </c>
      <c r="U2449" s="74" t="s">
        <v>351</v>
      </c>
      <c r="V2449" s="74">
        <v>44362</v>
      </c>
      <c r="W2449" s="74">
        <v>44385</v>
      </c>
      <c r="X2449" s="55">
        <v>10187118</v>
      </c>
      <c r="Y2449" s="55" t="s">
        <v>140</v>
      </c>
      <c r="AB2449" s="74" t="s">
        <v>140</v>
      </c>
      <c r="AC2449" s="55" t="s">
        <v>140</v>
      </c>
      <c r="AL2449" s="74"/>
      <c r="AM2449" s="74"/>
      <c r="AW2449" s="74"/>
      <c r="AX2449" s="74"/>
    </row>
    <row r="2450" spans="1:50" ht="13" x14ac:dyDescent="0.15">
      <c r="A2450" s="55" t="str">
        <f>HYPERLINK("http://reports.ofsted.gov.uk/inspection-reports/find-inspection-report/provider/CARE/SC063498","Ofsted Social Care Provider Webpage")</f>
        <v>Ofsted Social Care Provider Webpage</v>
      </c>
      <c r="B2450" s="55" t="s">
        <v>4602</v>
      </c>
      <c r="D2450" s="55" t="s">
        <v>373</v>
      </c>
      <c r="E2450" s="74">
        <v>38369</v>
      </c>
      <c r="F2450" s="55" t="s">
        <v>344</v>
      </c>
      <c r="G2450" s="55" t="s">
        <v>360</v>
      </c>
      <c r="H2450" s="55" t="s">
        <v>360</v>
      </c>
      <c r="I2450" s="55" t="s">
        <v>360</v>
      </c>
      <c r="J2450" s="55" t="s">
        <v>360</v>
      </c>
      <c r="K2450" s="55" t="s">
        <v>360</v>
      </c>
      <c r="L2450" s="55" t="s">
        <v>360</v>
      </c>
      <c r="M2450" s="55" t="s">
        <v>144</v>
      </c>
      <c r="N2450" s="55" t="s">
        <v>144</v>
      </c>
      <c r="O2450" s="55" t="s">
        <v>261</v>
      </c>
      <c r="P2450" s="55" t="s">
        <v>792</v>
      </c>
      <c r="Q2450" s="55" t="s">
        <v>350</v>
      </c>
      <c r="R2450" s="85">
        <v>1</v>
      </c>
      <c r="S2450" s="55">
        <v>0</v>
      </c>
      <c r="T2450" s="74" t="s">
        <v>4505</v>
      </c>
      <c r="U2450" s="74" t="s">
        <v>351</v>
      </c>
      <c r="V2450" s="74">
        <v>44543</v>
      </c>
      <c r="W2450" s="74">
        <v>44593</v>
      </c>
      <c r="X2450" s="55">
        <v>10185829</v>
      </c>
      <c r="Y2450" s="55" t="s">
        <v>132</v>
      </c>
      <c r="AB2450" s="74" t="s">
        <v>132</v>
      </c>
      <c r="AC2450" s="55" t="s">
        <v>130</v>
      </c>
      <c r="AL2450" s="74"/>
      <c r="AM2450" s="74"/>
      <c r="AW2450" s="74"/>
      <c r="AX2450" s="74"/>
    </row>
    <row r="2451" spans="1:50" ht="13" x14ac:dyDescent="0.15">
      <c r="A2451" s="55" t="str">
        <f>HYPERLINK("http://reports.ofsted.gov.uk/inspection-reports/find-inspection-report/provider/CARE/SC063550","Ofsted Social Care Provider Webpage")</f>
        <v>Ofsted Social Care Provider Webpage</v>
      </c>
      <c r="B2451" s="55" t="s">
        <v>4603</v>
      </c>
      <c r="D2451" s="55" t="s">
        <v>373</v>
      </c>
      <c r="E2451" s="74">
        <v>38433</v>
      </c>
      <c r="F2451" s="55" t="s">
        <v>344</v>
      </c>
      <c r="G2451" s="55" t="s">
        <v>360</v>
      </c>
      <c r="H2451" s="55" t="s">
        <v>360</v>
      </c>
      <c r="I2451" s="55" t="s">
        <v>360</v>
      </c>
      <c r="J2451" s="55" t="s">
        <v>360</v>
      </c>
      <c r="K2451" s="55" t="s">
        <v>360</v>
      </c>
      <c r="L2451" s="55" t="s">
        <v>360</v>
      </c>
      <c r="M2451" s="55" t="s">
        <v>144</v>
      </c>
      <c r="N2451" s="55" t="s">
        <v>144</v>
      </c>
      <c r="O2451" s="55" t="s">
        <v>261</v>
      </c>
      <c r="P2451" s="55" t="s">
        <v>512</v>
      </c>
      <c r="Q2451" s="55" t="s">
        <v>380</v>
      </c>
      <c r="R2451" s="85">
        <v>4</v>
      </c>
      <c r="S2451" s="55">
        <v>0</v>
      </c>
      <c r="T2451" s="74" t="s">
        <v>3354</v>
      </c>
      <c r="U2451" s="74" t="s">
        <v>351</v>
      </c>
      <c r="V2451" s="74">
        <v>44452</v>
      </c>
      <c r="W2451" s="74">
        <v>44498</v>
      </c>
      <c r="X2451" s="55">
        <v>10187657</v>
      </c>
      <c r="Y2451" s="55" t="s">
        <v>130</v>
      </c>
      <c r="AB2451" s="74" t="s">
        <v>130</v>
      </c>
      <c r="AC2451" s="55" t="s">
        <v>146</v>
      </c>
      <c r="AL2451" s="74"/>
      <c r="AM2451" s="74"/>
      <c r="AW2451" s="74"/>
      <c r="AX2451" s="74"/>
    </row>
    <row r="2452" spans="1:50" ht="13" x14ac:dyDescent="0.15">
      <c r="A2452" s="55" t="str">
        <f>HYPERLINK("http://reports.ofsted.gov.uk/inspection-reports/find-inspection-report/provider/CARE/SC063550","Ofsted Social Care Provider Webpage")</f>
        <v>Ofsted Social Care Provider Webpage</v>
      </c>
      <c r="B2452" s="55" t="s">
        <v>4603</v>
      </c>
      <c r="D2452" s="55" t="s">
        <v>373</v>
      </c>
      <c r="E2452" s="74">
        <v>38433</v>
      </c>
      <c r="F2452" s="55" t="s">
        <v>344</v>
      </c>
      <c r="G2452" s="55" t="s">
        <v>360</v>
      </c>
      <c r="H2452" s="55" t="s">
        <v>360</v>
      </c>
      <c r="I2452" s="55" t="s">
        <v>360</v>
      </c>
      <c r="J2452" s="55" t="s">
        <v>360</v>
      </c>
      <c r="K2452" s="55" t="s">
        <v>360</v>
      </c>
      <c r="L2452" s="55" t="s">
        <v>360</v>
      </c>
      <c r="M2452" s="55" t="s">
        <v>144</v>
      </c>
      <c r="N2452" s="55" t="s">
        <v>144</v>
      </c>
      <c r="O2452" s="55" t="s">
        <v>261</v>
      </c>
      <c r="P2452" s="55" t="s">
        <v>512</v>
      </c>
      <c r="Q2452" s="55" t="s">
        <v>380</v>
      </c>
      <c r="R2452" s="85">
        <v>4</v>
      </c>
      <c r="S2452" s="55">
        <v>0</v>
      </c>
      <c r="T2452" s="74" t="s">
        <v>3354</v>
      </c>
      <c r="U2452" s="74" t="s">
        <v>2053</v>
      </c>
      <c r="V2452" s="74">
        <v>44321</v>
      </c>
      <c r="W2452" s="74">
        <v>44351</v>
      </c>
      <c r="X2452" s="55">
        <v>10194880</v>
      </c>
      <c r="AL2452" s="74"/>
      <c r="AM2452" s="74"/>
      <c r="AW2452" s="74"/>
      <c r="AX2452" s="74"/>
    </row>
    <row r="2453" spans="1:50" ht="13" x14ac:dyDescent="0.15">
      <c r="A2453" s="55" t="str">
        <f>HYPERLINK("http://reports.ofsted.gov.uk/inspection-reports/find-inspection-report/provider/CARE/SC063653","Ofsted Social Care Provider Webpage")</f>
        <v>Ofsted Social Care Provider Webpage</v>
      </c>
      <c r="B2453" s="55" t="s">
        <v>4610</v>
      </c>
      <c r="D2453" s="55" t="s">
        <v>373</v>
      </c>
      <c r="E2453" s="74">
        <v>38481</v>
      </c>
      <c r="F2453" s="55" t="s">
        <v>344</v>
      </c>
      <c r="G2453" s="55" t="s">
        <v>360</v>
      </c>
      <c r="H2453" s="55" t="s">
        <v>360</v>
      </c>
      <c r="I2453" s="55" t="s">
        <v>360</v>
      </c>
      <c r="J2453" s="55" t="s">
        <v>360</v>
      </c>
      <c r="K2453" s="55" t="s">
        <v>360</v>
      </c>
      <c r="L2453" s="55" t="s">
        <v>360</v>
      </c>
      <c r="M2453" s="55" t="s">
        <v>142</v>
      </c>
      <c r="N2453" s="55" t="s">
        <v>142</v>
      </c>
      <c r="O2453" s="55" t="s">
        <v>262</v>
      </c>
      <c r="P2453" s="55" t="s">
        <v>488</v>
      </c>
      <c r="Q2453" s="55" t="s">
        <v>350</v>
      </c>
      <c r="R2453" s="85">
        <v>2</v>
      </c>
      <c r="S2453" s="55">
        <v>0</v>
      </c>
      <c r="T2453" s="74" t="s">
        <v>1430</v>
      </c>
      <c r="U2453" s="74" t="s">
        <v>351</v>
      </c>
      <c r="V2453" s="74">
        <v>44327</v>
      </c>
      <c r="W2453" s="74">
        <v>44355</v>
      </c>
      <c r="X2453" s="55">
        <v>10185194</v>
      </c>
      <c r="Y2453" s="55" t="s">
        <v>132</v>
      </c>
      <c r="AB2453" s="74" t="s">
        <v>132</v>
      </c>
      <c r="AC2453" s="55" t="s">
        <v>132</v>
      </c>
      <c r="AL2453" s="74"/>
      <c r="AM2453" s="74"/>
      <c r="AW2453" s="74"/>
      <c r="AX2453" s="74"/>
    </row>
    <row r="2454" spans="1:50" ht="13" x14ac:dyDescent="0.15">
      <c r="A2454" s="55" t="str">
        <f>HYPERLINK("http://reports.ofsted.gov.uk/inspection-reports/find-inspection-report/provider/CARE/SC063673","Ofsted Social Care Provider Webpage")</f>
        <v>Ofsted Social Care Provider Webpage</v>
      </c>
      <c r="B2454" s="55" t="s">
        <v>4611</v>
      </c>
      <c r="D2454" s="55" t="s">
        <v>373</v>
      </c>
      <c r="E2454" s="74">
        <v>38404</v>
      </c>
      <c r="F2454" s="55" t="s">
        <v>344</v>
      </c>
      <c r="G2454" s="55" t="s">
        <v>360</v>
      </c>
      <c r="H2454" s="55" t="s">
        <v>360</v>
      </c>
      <c r="I2454" s="55" t="s">
        <v>360</v>
      </c>
      <c r="J2454" s="55" t="s">
        <v>360</v>
      </c>
      <c r="K2454" s="55" t="s">
        <v>360</v>
      </c>
      <c r="L2454" s="55" t="s">
        <v>360</v>
      </c>
      <c r="M2454" s="55" t="s">
        <v>144</v>
      </c>
      <c r="N2454" s="55" t="s">
        <v>144</v>
      </c>
      <c r="O2454" s="55" t="s">
        <v>250</v>
      </c>
      <c r="P2454" s="55" t="s">
        <v>759</v>
      </c>
      <c r="Q2454" s="55" t="s">
        <v>350</v>
      </c>
      <c r="R2454" s="85">
        <v>4</v>
      </c>
      <c r="S2454" s="55">
        <v>0</v>
      </c>
      <c r="T2454" s="74" t="s">
        <v>1600</v>
      </c>
      <c r="U2454" s="74" t="s">
        <v>351</v>
      </c>
      <c r="V2454" s="74">
        <v>44523</v>
      </c>
      <c r="W2454" s="74">
        <v>44566</v>
      </c>
      <c r="X2454" s="55">
        <v>10185516</v>
      </c>
      <c r="Y2454" s="55" t="s">
        <v>130</v>
      </c>
      <c r="AB2454" s="74" t="s">
        <v>130</v>
      </c>
      <c r="AC2454" s="55" t="s">
        <v>130</v>
      </c>
      <c r="AL2454" s="74"/>
      <c r="AM2454" s="74"/>
    </row>
    <row r="2455" spans="1:50" ht="13" x14ac:dyDescent="0.15">
      <c r="A2455" s="55" t="str">
        <f>HYPERLINK("http://reports.ofsted.gov.uk/inspection-reports/find-inspection-report/provider/CARE/SC063683","Ofsted Social Care Provider Webpage")</f>
        <v>Ofsted Social Care Provider Webpage</v>
      </c>
      <c r="B2455" s="55" t="s">
        <v>4612</v>
      </c>
      <c r="D2455" s="55" t="s">
        <v>373</v>
      </c>
      <c r="E2455" s="74">
        <v>38702</v>
      </c>
      <c r="F2455" s="55" t="s">
        <v>344</v>
      </c>
      <c r="G2455" s="55" t="s">
        <v>360</v>
      </c>
      <c r="H2455" s="55" t="s">
        <v>360</v>
      </c>
      <c r="I2455" s="55" t="s">
        <v>360</v>
      </c>
      <c r="J2455" s="55" t="s">
        <v>360</v>
      </c>
      <c r="K2455" s="55" t="s">
        <v>360</v>
      </c>
      <c r="L2455" s="55" t="s">
        <v>360</v>
      </c>
      <c r="M2455" s="55" t="s">
        <v>144</v>
      </c>
      <c r="N2455" s="55" t="s">
        <v>144</v>
      </c>
      <c r="O2455" s="55" t="s">
        <v>217</v>
      </c>
      <c r="P2455" s="55" t="s">
        <v>384</v>
      </c>
      <c r="Q2455" s="55" t="s">
        <v>380</v>
      </c>
      <c r="R2455" s="85">
        <v>6</v>
      </c>
      <c r="S2455" s="55">
        <v>0</v>
      </c>
      <c r="T2455" s="74" t="s">
        <v>938</v>
      </c>
      <c r="U2455" s="74" t="s">
        <v>351</v>
      </c>
      <c r="V2455" s="74">
        <v>44362</v>
      </c>
      <c r="W2455" s="74">
        <v>44390</v>
      </c>
      <c r="X2455" s="55">
        <v>10187561</v>
      </c>
      <c r="Y2455" s="55" t="s">
        <v>132</v>
      </c>
      <c r="AB2455" s="74" t="s">
        <v>132</v>
      </c>
      <c r="AC2455" s="55" t="s">
        <v>140</v>
      </c>
      <c r="AL2455" s="74"/>
      <c r="AM2455" s="74"/>
    </row>
    <row r="2456" spans="1:50" ht="13" x14ac:dyDescent="0.15">
      <c r="A2456" s="55" t="str">
        <f>HYPERLINK("http://reports.ofsted.gov.uk/inspection-reports/find-inspection-report/provider/CARE/SC063689","Ofsted Social Care Provider Webpage")</f>
        <v>Ofsted Social Care Provider Webpage</v>
      </c>
      <c r="B2456" s="55" t="s">
        <v>4617</v>
      </c>
      <c r="D2456" s="55" t="s">
        <v>373</v>
      </c>
      <c r="E2456" s="74">
        <v>38624</v>
      </c>
      <c r="F2456" s="55" t="s">
        <v>344</v>
      </c>
      <c r="G2456" s="55" t="s">
        <v>360</v>
      </c>
      <c r="H2456" s="55" t="s">
        <v>360</v>
      </c>
      <c r="I2456" s="55" t="s">
        <v>360</v>
      </c>
      <c r="J2456" s="55" t="s">
        <v>360</v>
      </c>
      <c r="K2456" s="55" t="s">
        <v>360</v>
      </c>
      <c r="L2456" s="55" t="s">
        <v>360</v>
      </c>
      <c r="M2456" s="55" t="s">
        <v>150</v>
      </c>
      <c r="N2456" s="55" t="s">
        <v>150</v>
      </c>
      <c r="O2456" s="55" t="s">
        <v>203</v>
      </c>
      <c r="P2456" s="55" t="s">
        <v>3559</v>
      </c>
      <c r="Q2456" s="55" t="s">
        <v>350</v>
      </c>
      <c r="R2456" s="85">
        <v>6</v>
      </c>
      <c r="S2456" s="55">
        <v>0</v>
      </c>
      <c r="T2456" s="74" t="s">
        <v>1016</v>
      </c>
      <c r="U2456" s="74" t="s">
        <v>351</v>
      </c>
      <c r="V2456" s="74">
        <v>44370</v>
      </c>
      <c r="W2456" s="74">
        <v>44456</v>
      </c>
      <c r="X2456" s="55">
        <v>10185575</v>
      </c>
      <c r="Y2456" s="55" t="s">
        <v>130</v>
      </c>
      <c r="AB2456" s="74" t="s">
        <v>130</v>
      </c>
      <c r="AC2456" s="55" t="s">
        <v>130</v>
      </c>
      <c r="AL2456" s="74"/>
      <c r="AM2456" s="74"/>
      <c r="AW2456" s="74"/>
      <c r="AX2456" s="74"/>
    </row>
    <row r="2457" spans="1:50" ht="13" x14ac:dyDescent="0.15">
      <c r="A2457" s="55" t="str">
        <f>HYPERLINK("http://reports.ofsted.gov.uk/inspection-reports/find-inspection-report/provider/CARE/SC063767","Ofsted Social Care Provider Webpage")</f>
        <v>Ofsted Social Care Provider Webpage</v>
      </c>
      <c r="B2457" s="55" t="s">
        <v>4618</v>
      </c>
      <c r="D2457" s="55" t="s">
        <v>373</v>
      </c>
      <c r="E2457" s="74">
        <v>38525</v>
      </c>
      <c r="F2457" s="55" t="s">
        <v>344</v>
      </c>
      <c r="G2457" s="55" t="s">
        <v>360</v>
      </c>
      <c r="H2457" s="55" t="s">
        <v>360</v>
      </c>
      <c r="I2457" s="55" t="s">
        <v>360</v>
      </c>
      <c r="J2457" s="55" t="s">
        <v>360</v>
      </c>
      <c r="K2457" s="55" t="s">
        <v>360</v>
      </c>
      <c r="L2457" s="55" t="s">
        <v>360</v>
      </c>
      <c r="M2457" s="55" t="s">
        <v>150</v>
      </c>
      <c r="N2457" s="55" t="s">
        <v>150</v>
      </c>
      <c r="O2457" s="55" t="s">
        <v>190</v>
      </c>
      <c r="P2457" s="55" t="s">
        <v>749</v>
      </c>
      <c r="Q2457" s="55" t="s">
        <v>350</v>
      </c>
      <c r="R2457" s="85">
        <v>4</v>
      </c>
      <c r="S2457" s="55">
        <v>0</v>
      </c>
      <c r="T2457" s="74" t="s">
        <v>888</v>
      </c>
      <c r="U2457" s="74" t="s">
        <v>351</v>
      </c>
      <c r="V2457" s="74">
        <v>44607</v>
      </c>
      <c r="W2457" s="74">
        <v>44659</v>
      </c>
      <c r="X2457" s="55">
        <v>10185916</v>
      </c>
      <c r="Y2457" s="55" t="s">
        <v>140</v>
      </c>
      <c r="AB2457" s="74" t="s">
        <v>132</v>
      </c>
      <c r="AC2457" s="55" t="s">
        <v>140</v>
      </c>
      <c r="AL2457" s="74"/>
      <c r="AM2457" s="74"/>
      <c r="AW2457" s="74"/>
      <c r="AX2457" s="74"/>
    </row>
    <row r="2458" spans="1:50" ht="13" x14ac:dyDescent="0.15">
      <c r="A2458" s="55" t="str">
        <f>HYPERLINK("http://reports.ofsted.gov.uk/inspection-reports/find-inspection-report/provider/CARE/SC063794","Ofsted Social Care Provider Webpage")</f>
        <v>Ofsted Social Care Provider Webpage</v>
      </c>
      <c r="B2458" s="55" t="s">
        <v>4619</v>
      </c>
      <c r="D2458" s="55" t="s">
        <v>373</v>
      </c>
      <c r="E2458" s="74">
        <v>38483</v>
      </c>
      <c r="F2458" s="55" t="s">
        <v>344</v>
      </c>
      <c r="G2458" s="55" t="s">
        <v>360</v>
      </c>
      <c r="H2458" s="55" t="s">
        <v>360</v>
      </c>
      <c r="I2458" s="55" t="s">
        <v>360</v>
      </c>
      <c r="J2458" s="55" t="s">
        <v>360</v>
      </c>
      <c r="K2458" s="55" t="s">
        <v>360</v>
      </c>
      <c r="L2458" s="55" t="s">
        <v>360</v>
      </c>
      <c r="M2458" s="55" t="s">
        <v>142</v>
      </c>
      <c r="N2458" s="55" t="s">
        <v>142</v>
      </c>
      <c r="O2458" s="55" t="s">
        <v>262</v>
      </c>
      <c r="P2458" s="55" t="s">
        <v>618</v>
      </c>
      <c r="Q2458" s="55" t="s">
        <v>350</v>
      </c>
      <c r="R2458" s="85">
        <v>3</v>
      </c>
      <c r="S2458" s="55">
        <v>0</v>
      </c>
      <c r="T2458" s="74" t="s">
        <v>517</v>
      </c>
      <c r="U2458" s="74" t="s">
        <v>6703</v>
      </c>
      <c r="V2458" s="74">
        <v>44628</v>
      </c>
      <c r="W2458" s="74">
        <v>44672</v>
      </c>
      <c r="X2458" s="55">
        <v>10226554</v>
      </c>
      <c r="Y2458" s="55" t="s">
        <v>6706</v>
      </c>
      <c r="AL2458" s="74"/>
      <c r="AM2458" s="74"/>
      <c r="AW2458" s="74"/>
      <c r="AX2458" s="74"/>
    </row>
    <row r="2459" spans="1:50" ht="13" x14ac:dyDescent="0.15">
      <c r="A2459" s="55" t="str">
        <f>HYPERLINK("http://reports.ofsted.gov.uk/inspection-reports/find-inspection-report/provider/CARE/SC063794","Ofsted Social Care Provider Webpage")</f>
        <v>Ofsted Social Care Provider Webpage</v>
      </c>
      <c r="B2459" s="55" t="s">
        <v>4619</v>
      </c>
      <c r="D2459" s="55" t="s">
        <v>373</v>
      </c>
      <c r="E2459" s="74">
        <v>38483</v>
      </c>
      <c r="F2459" s="55" t="s">
        <v>344</v>
      </c>
      <c r="G2459" s="55" t="s">
        <v>360</v>
      </c>
      <c r="H2459" s="55" t="s">
        <v>360</v>
      </c>
      <c r="I2459" s="55" t="s">
        <v>360</v>
      </c>
      <c r="J2459" s="55" t="s">
        <v>360</v>
      </c>
      <c r="K2459" s="55" t="s">
        <v>360</v>
      </c>
      <c r="L2459" s="55" t="s">
        <v>360</v>
      </c>
      <c r="M2459" s="55" t="s">
        <v>142</v>
      </c>
      <c r="N2459" s="55" t="s">
        <v>142</v>
      </c>
      <c r="O2459" s="55" t="s">
        <v>262</v>
      </c>
      <c r="P2459" s="55" t="s">
        <v>618</v>
      </c>
      <c r="Q2459" s="55" t="s">
        <v>350</v>
      </c>
      <c r="R2459" s="85">
        <v>3</v>
      </c>
      <c r="S2459" s="55">
        <v>0</v>
      </c>
      <c r="T2459" s="74" t="s">
        <v>517</v>
      </c>
      <c r="U2459" s="74" t="s">
        <v>351</v>
      </c>
      <c r="V2459" s="74">
        <v>44334</v>
      </c>
      <c r="W2459" s="74">
        <v>44377</v>
      </c>
      <c r="X2459" s="55">
        <v>10187429</v>
      </c>
      <c r="Y2459" s="55" t="s">
        <v>132</v>
      </c>
      <c r="AB2459" s="74" t="s">
        <v>132</v>
      </c>
      <c r="AC2459" s="55" t="s">
        <v>130</v>
      </c>
      <c r="AL2459" s="74"/>
      <c r="AM2459" s="74"/>
    </row>
    <row r="2460" spans="1:50" ht="13" x14ac:dyDescent="0.15">
      <c r="A2460" s="55" t="str">
        <f>HYPERLINK("http://reports.ofsted.gov.uk/inspection-reports/find-inspection-report/provider/CARE/SC063813","Ofsted Social Care Provider Webpage")</f>
        <v>Ofsted Social Care Provider Webpage</v>
      </c>
      <c r="B2460" s="55" t="s">
        <v>4620</v>
      </c>
      <c r="D2460" s="55" t="s">
        <v>373</v>
      </c>
      <c r="E2460" s="74">
        <v>38516</v>
      </c>
      <c r="F2460" s="55" t="s">
        <v>344</v>
      </c>
      <c r="G2460" s="55" t="s">
        <v>360</v>
      </c>
      <c r="H2460" s="55" t="s">
        <v>360</v>
      </c>
      <c r="I2460" s="55" t="s">
        <v>360</v>
      </c>
      <c r="J2460" s="55" t="s">
        <v>360</v>
      </c>
      <c r="K2460" s="55" t="s">
        <v>360</v>
      </c>
      <c r="L2460" s="55" t="s">
        <v>360</v>
      </c>
      <c r="M2460" s="55" t="s">
        <v>142</v>
      </c>
      <c r="N2460" s="55" t="s">
        <v>142</v>
      </c>
      <c r="O2460" s="55" t="s">
        <v>262</v>
      </c>
      <c r="P2460" s="55" t="s">
        <v>1859</v>
      </c>
      <c r="Q2460" s="55" t="s">
        <v>350</v>
      </c>
      <c r="R2460" s="85">
        <v>6</v>
      </c>
      <c r="S2460" s="55">
        <v>0</v>
      </c>
      <c r="T2460" s="74" t="s">
        <v>960</v>
      </c>
      <c r="U2460" s="74" t="s">
        <v>351</v>
      </c>
      <c r="V2460" s="74">
        <v>44327</v>
      </c>
      <c r="W2460" s="74">
        <v>44357</v>
      </c>
      <c r="X2460" s="55">
        <v>10185449</v>
      </c>
      <c r="Y2460" s="55" t="s">
        <v>132</v>
      </c>
      <c r="AB2460" s="74" t="s">
        <v>132</v>
      </c>
      <c r="AC2460" s="55" t="s">
        <v>132</v>
      </c>
      <c r="AL2460" s="74"/>
      <c r="AM2460" s="74"/>
      <c r="AW2460" s="74"/>
      <c r="AX2460" s="74"/>
    </row>
    <row r="2461" spans="1:50" ht="13" x14ac:dyDescent="0.15">
      <c r="A2461" s="55" t="str">
        <f>HYPERLINK("http://reports.ofsted.gov.uk/inspection-reports/find-inspection-report/provider/CARE/SC063814","Ofsted Social Care Provider Webpage")</f>
        <v>Ofsted Social Care Provider Webpage</v>
      </c>
      <c r="B2461" s="55" t="s">
        <v>4621</v>
      </c>
      <c r="D2461" s="55" t="s">
        <v>373</v>
      </c>
      <c r="E2461" s="74">
        <v>38544</v>
      </c>
      <c r="F2461" s="55" t="s">
        <v>344</v>
      </c>
      <c r="G2461" s="55" t="s">
        <v>360</v>
      </c>
      <c r="H2461" s="55" t="s">
        <v>360</v>
      </c>
      <c r="I2461" s="55" t="s">
        <v>360</v>
      </c>
      <c r="J2461" s="55" t="s">
        <v>360</v>
      </c>
      <c r="K2461" s="55" t="s">
        <v>360</v>
      </c>
      <c r="L2461" s="55" t="s">
        <v>360</v>
      </c>
      <c r="M2461" s="55" t="s">
        <v>138</v>
      </c>
      <c r="N2461" s="55" t="s">
        <v>138</v>
      </c>
      <c r="O2461" s="55" t="s">
        <v>224</v>
      </c>
      <c r="P2461" s="55" t="s">
        <v>1872</v>
      </c>
      <c r="Q2461" s="55" t="s">
        <v>362</v>
      </c>
      <c r="R2461" s="85">
        <v>4</v>
      </c>
      <c r="S2461" s="55">
        <v>0</v>
      </c>
      <c r="T2461" s="74" t="s">
        <v>557</v>
      </c>
      <c r="U2461" s="74" t="s">
        <v>351</v>
      </c>
      <c r="V2461" s="74">
        <v>44488</v>
      </c>
      <c r="W2461" s="74">
        <v>44519</v>
      </c>
      <c r="X2461" s="55">
        <v>10186855</v>
      </c>
      <c r="Y2461" s="55" t="s">
        <v>132</v>
      </c>
      <c r="AB2461" s="74" t="s">
        <v>132</v>
      </c>
      <c r="AC2461" s="55" t="s">
        <v>132</v>
      </c>
      <c r="AL2461" s="74"/>
      <c r="AM2461" s="74"/>
      <c r="AW2461" s="74"/>
      <c r="AX2461" s="74"/>
    </row>
    <row r="2462" spans="1:50" ht="13" x14ac:dyDescent="0.15">
      <c r="A2462" s="55" t="str">
        <f>HYPERLINK("http://reports.ofsted.gov.uk/inspection-reports/find-inspection-report/provider/CARE/SC063815","Ofsted Social Care Provider Webpage")</f>
        <v>Ofsted Social Care Provider Webpage</v>
      </c>
      <c r="B2462" s="55" t="s">
        <v>4622</v>
      </c>
      <c r="D2462" s="55" t="s">
        <v>373</v>
      </c>
      <c r="E2462" s="74">
        <v>38588</v>
      </c>
      <c r="F2462" s="55" t="s">
        <v>344</v>
      </c>
      <c r="G2462" s="55" t="s">
        <v>360</v>
      </c>
      <c r="H2462" s="55" t="s">
        <v>360</v>
      </c>
      <c r="I2462" s="55" t="s">
        <v>360</v>
      </c>
      <c r="J2462" s="55" t="s">
        <v>360</v>
      </c>
      <c r="K2462" s="55" t="s">
        <v>360</v>
      </c>
      <c r="L2462" s="55" t="s">
        <v>360</v>
      </c>
      <c r="M2462" s="55" t="s">
        <v>142</v>
      </c>
      <c r="N2462" s="55" t="s">
        <v>142</v>
      </c>
      <c r="O2462" s="55" t="s">
        <v>278</v>
      </c>
      <c r="P2462" s="55" t="s">
        <v>1126</v>
      </c>
      <c r="Q2462" s="55" t="s">
        <v>380</v>
      </c>
      <c r="R2462" s="85">
        <v>4</v>
      </c>
      <c r="S2462" s="55">
        <v>0</v>
      </c>
      <c r="T2462" s="74" t="s">
        <v>3433</v>
      </c>
      <c r="U2462" s="74" t="s">
        <v>351</v>
      </c>
      <c r="V2462" s="74">
        <v>44495</v>
      </c>
      <c r="W2462" s="74">
        <v>44537</v>
      </c>
      <c r="X2462" s="55">
        <v>10186804</v>
      </c>
      <c r="Y2462" s="55" t="s">
        <v>140</v>
      </c>
      <c r="AB2462" s="74" t="s">
        <v>140</v>
      </c>
      <c r="AC2462" s="55" t="s">
        <v>140</v>
      </c>
      <c r="AL2462" s="74"/>
      <c r="AM2462" s="74"/>
      <c r="AW2462" s="74"/>
      <c r="AX2462" s="74"/>
    </row>
    <row r="2463" spans="1:50" ht="13" x14ac:dyDescent="0.15">
      <c r="A2463" s="55" t="str">
        <f>HYPERLINK("http://reports.ofsted.gov.uk/inspection-reports/find-inspection-report/provider/CARE/SC063883","Ofsted Social Care Provider Webpage")</f>
        <v>Ofsted Social Care Provider Webpage</v>
      </c>
      <c r="B2463" s="55" t="s">
        <v>4623</v>
      </c>
      <c r="D2463" s="55" t="s">
        <v>373</v>
      </c>
      <c r="E2463" s="74">
        <v>38443</v>
      </c>
      <c r="F2463" s="55" t="s">
        <v>344</v>
      </c>
      <c r="G2463" s="55" t="s">
        <v>360</v>
      </c>
      <c r="H2463" s="55" t="s">
        <v>360</v>
      </c>
      <c r="I2463" s="55" t="s">
        <v>360</v>
      </c>
      <c r="J2463" s="55" t="s">
        <v>360</v>
      </c>
      <c r="K2463" s="55" t="s">
        <v>360</v>
      </c>
      <c r="L2463" s="55" t="s">
        <v>360</v>
      </c>
      <c r="M2463" s="55" t="s">
        <v>378</v>
      </c>
      <c r="N2463" s="55" t="s">
        <v>134</v>
      </c>
      <c r="O2463" s="55" t="s">
        <v>206</v>
      </c>
      <c r="P2463" s="55" t="s">
        <v>750</v>
      </c>
      <c r="Q2463" s="55" t="s">
        <v>350</v>
      </c>
      <c r="R2463" s="85">
        <v>3</v>
      </c>
      <c r="S2463" s="55">
        <v>0</v>
      </c>
      <c r="T2463" s="74" t="s">
        <v>843</v>
      </c>
      <c r="U2463" s="74" t="s">
        <v>351</v>
      </c>
      <c r="V2463" s="74">
        <v>44586</v>
      </c>
      <c r="W2463" s="74">
        <v>44622</v>
      </c>
      <c r="X2463" s="55">
        <v>10185365</v>
      </c>
      <c r="Y2463" s="55" t="s">
        <v>132</v>
      </c>
      <c r="AB2463" s="74" t="s">
        <v>132</v>
      </c>
      <c r="AC2463" s="55" t="s">
        <v>130</v>
      </c>
      <c r="AL2463" s="74"/>
      <c r="AM2463" s="74"/>
      <c r="AW2463" s="74"/>
      <c r="AX2463" s="74"/>
    </row>
    <row r="2464" spans="1:50" ht="13" x14ac:dyDescent="0.15">
      <c r="A2464" s="55" t="str">
        <f>HYPERLINK("http://reports.ofsted.gov.uk/inspection-reports/find-inspection-report/provider/CARE/SC063895","Ofsted Social Care Provider Webpage")</f>
        <v>Ofsted Social Care Provider Webpage</v>
      </c>
      <c r="B2464" s="55" t="s">
        <v>4624</v>
      </c>
      <c r="D2464" s="55" t="s">
        <v>373</v>
      </c>
      <c r="E2464" s="74">
        <v>38470</v>
      </c>
      <c r="F2464" s="55" t="s">
        <v>344</v>
      </c>
      <c r="G2464" s="55" t="s">
        <v>360</v>
      </c>
      <c r="H2464" s="55" t="s">
        <v>360</v>
      </c>
      <c r="I2464" s="55" t="s">
        <v>360</v>
      </c>
      <c r="J2464" s="55" t="s">
        <v>360</v>
      </c>
      <c r="K2464" s="55" t="s">
        <v>360</v>
      </c>
      <c r="L2464" s="55" t="s">
        <v>360</v>
      </c>
      <c r="M2464" s="55" t="s">
        <v>172</v>
      </c>
      <c r="N2464" s="55" t="s">
        <v>172</v>
      </c>
      <c r="O2464" s="55" t="s">
        <v>235</v>
      </c>
      <c r="P2464" s="55" t="s">
        <v>2338</v>
      </c>
      <c r="Q2464" s="55" t="s">
        <v>350</v>
      </c>
      <c r="R2464" s="85">
        <v>4</v>
      </c>
      <c r="S2464" s="55">
        <v>0</v>
      </c>
      <c r="T2464" s="74" t="s">
        <v>2811</v>
      </c>
      <c r="U2464" s="74" t="s">
        <v>351</v>
      </c>
      <c r="V2464" s="74">
        <v>44572</v>
      </c>
      <c r="W2464" s="74">
        <v>44609</v>
      </c>
      <c r="X2464" s="55">
        <v>10187470</v>
      </c>
      <c r="Y2464" s="55" t="s">
        <v>132</v>
      </c>
      <c r="AB2464" s="74" t="s">
        <v>132</v>
      </c>
      <c r="AC2464" s="55" t="s">
        <v>132</v>
      </c>
      <c r="AL2464" s="74"/>
      <c r="AM2464" s="74"/>
    </row>
    <row r="2465" spans="1:50" ht="13" x14ac:dyDescent="0.15">
      <c r="A2465" s="55" t="str">
        <f>HYPERLINK("http://reports.ofsted.gov.uk/inspection-reports/find-inspection-report/provider/CARE/SC063959","Ofsted Social Care Provider Webpage")</f>
        <v>Ofsted Social Care Provider Webpage</v>
      </c>
      <c r="B2465" s="55" t="s">
        <v>6749</v>
      </c>
      <c r="D2465" s="55" t="s">
        <v>1493</v>
      </c>
      <c r="E2465" s="74">
        <v>38481</v>
      </c>
      <c r="F2465" s="55" t="s">
        <v>6707</v>
      </c>
      <c r="G2465" s="55" t="s">
        <v>360</v>
      </c>
      <c r="H2465" s="55" t="s">
        <v>360</v>
      </c>
      <c r="I2465" s="55" t="s">
        <v>360</v>
      </c>
      <c r="J2465" s="55" t="s">
        <v>360</v>
      </c>
      <c r="K2465" s="55" t="s">
        <v>360</v>
      </c>
      <c r="L2465" s="55" t="s">
        <v>360</v>
      </c>
      <c r="M2465" s="55" t="s">
        <v>144</v>
      </c>
      <c r="N2465" s="55" t="s">
        <v>144</v>
      </c>
      <c r="O2465" s="55" t="s">
        <v>209</v>
      </c>
      <c r="P2465" s="55" t="s">
        <v>629</v>
      </c>
      <c r="Q2465" s="55" t="s">
        <v>350</v>
      </c>
      <c r="R2465" s="85">
        <v>3</v>
      </c>
      <c r="S2465" s="55">
        <v>0</v>
      </c>
      <c r="T2465" s="74" t="s">
        <v>843</v>
      </c>
      <c r="U2465" s="74" t="s">
        <v>351</v>
      </c>
      <c r="V2465" s="74">
        <v>44306</v>
      </c>
      <c r="W2465" s="74">
        <v>44350</v>
      </c>
      <c r="X2465" s="55">
        <v>10187317</v>
      </c>
      <c r="Y2465" s="55" t="s">
        <v>146</v>
      </c>
      <c r="AB2465" s="74" t="s">
        <v>146</v>
      </c>
      <c r="AC2465" s="55" t="s">
        <v>146</v>
      </c>
      <c r="AL2465" s="74"/>
      <c r="AM2465" s="74"/>
    </row>
    <row r="2466" spans="1:50" ht="13" x14ac:dyDescent="0.15">
      <c r="A2466" s="55" t="str">
        <f>HYPERLINK("http://reports.ofsted.gov.uk/inspection-reports/find-inspection-report/provider/CARE/SC063978","Ofsted Social Care Provider Webpage")</f>
        <v>Ofsted Social Care Provider Webpage</v>
      </c>
      <c r="B2466" s="55" t="s">
        <v>4625</v>
      </c>
      <c r="D2466" s="55" t="s">
        <v>373</v>
      </c>
      <c r="E2466" s="74">
        <v>38532</v>
      </c>
      <c r="F2466" s="55" t="s">
        <v>344</v>
      </c>
      <c r="G2466" s="55" t="s">
        <v>360</v>
      </c>
      <c r="H2466" s="55" t="s">
        <v>360</v>
      </c>
      <c r="I2466" s="55" t="s">
        <v>360</v>
      </c>
      <c r="J2466" s="55" t="s">
        <v>360</v>
      </c>
      <c r="K2466" s="55" t="s">
        <v>360</v>
      </c>
      <c r="L2466" s="55" t="s">
        <v>360</v>
      </c>
      <c r="M2466" s="55" t="s">
        <v>378</v>
      </c>
      <c r="N2466" s="55" t="s">
        <v>134</v>
      </c>
      <c r="O2466" s="55" t="s">
        <v>151</v>
      </c>
      <c r="P2466" s="55" t="s">
        <v>1921</v>
      </c>
      <c r="Q2466" s="55" t="s">
        <v>380</v>
      </c>
      <c r="R2466" s="85">
        <v>6</v>
      </c>
      <c r="S2466" s="55">
        <v>0</v>
      </c>
      <c r="T2466" s="74" t="s">
        <v>1220</v>
      </c>
      <c r="U2466" s="74" t="s">
        <v>351</v>
      </c>
      <c r="V2466" s="74">
        <v>44432</v>
      </c>
      <c r="W2466" s="74">
        <v>44468</v>
      </c>
      <c r="X2466" s="55">
        <v>10186972</v>
      </c>
      <c r="Y2466" s="55" t="s">
        <v>130</v>
      </c>
      <c r="AB2466" s="74" t="s">
        <v>130</v>
      </c>
      <c r="AC2466" s="55" t="s">
        <v>130</v>
      </c>
      <c r="AL2466" s="74"/>
      <c r="AM2466" s="74"/>
      <c r="AW2466" s="74"/>
      <c r="AX2466" s="74"/>
    </row>
    <row r="2467" spans="1:50" ht="13" x14ac:dyDescent="0.15">
      <c r="A2467" s="55" t="str">
        <f>HYPERLINK("http://reports.ofsted.gov.uk/inspection-reports/find-inspection-report/provider/CARE/SC063997","Ofsted Social Care Provider Webpage")</f>
        <v>Ofsted Social Care Provider Webpage</v>
      </c>
      <c r="B2467" s="55" t="s">
        <v>4626</v>
      </c>
      <c r="D2467" s="55" t="s">
        <v>373</v>
      </c>
      <c r="E2467" s="74">
        <v>38443</v>
      </c>
      <c r="F2467" s="55" t="s">
        <v>344</v>
      </c>
      <c r="G2467" s="55" t="s">
        <v>360</v>
      </c>
      <c r="H2467" s="55" t="s">
        <v>360</v>
      </c>
      <c r="I2467" s="55" t="s">
        <v>360</v>
      </c>
      <c r="J2467" s="55" t="s">
        <v>360</v>
      </c>
      <c r="K2467" s="55" t="s">
        <v>360</v>
      </c>
      <c r="L2467" s="55" t="s">
        <v>360</v>
      </c>
      <c r="M2467" s="55" t="s">
        <v>172</v>
      </c>
      <c r="N2467" s="55" t="s">
        <v>172</v>
      </c>
      <c r="O2467" s="55" t="s">
        <v>212</v>
      </c>
      <c r="P2467" s="55" t="s">
        <v>592</v>
      </c>
      <c r="Q2467" s="55" t="s">
        <v>350</v>
      </c>
      <c r="R2467" s="85">
        <v>3</v>
      </c>
      <c r="S2467" s="55">
        <v>0</v>
      </c>
      <c r="T2467" s="74" t="s">
        <v>843</v>
      </c>
      <c r="U2467" s="74" t="s">
        <v>351</v>
      </c>
      <c r="V2467" s="74">
        <v>44454</v>
      </c>
      <c r="W2467" s="74">
        <v>44489</v>
      </c>
      <c r="X2467" s="55">
        <v>10186125</v>
      </c>
      <c r="Y2467" s="55" t="s">
        <v>132</v>
      </c>
      <c r="AB2467" s="74" t="s">
        <v>132</v>
      </c>
      <c r="AC2467" s="55" t="s">
        <v>132</v>
      </c>
      <c r="AL2467" s="74"/>
      <c r="AM2467" s="74"/>
    </row>
    <row r="2468" spans="1:50" ht="13" x14ac:dyDescent="0.15">
      <c r="A2468" s="55" t="str">
        <f>HYPERLINK("http://reports.ofsted.gov.uk/inspection-reports/find-inspection-report/provider/CARE/SC064011","Ofsted Social Care Provider Webpage")</f>
        <v>Ofsted Social Care Provider Webpage</v>
      </c>
      <c r="B2468" s="55" t="s">
        <v>4627</v>
      </c>
      <c r="D2468" s="55" t="s">
        <v>373</v>
      </c>
      <c r="E2468" s="74">
        <v>38453</v>
      </c>
      <c r="F2468" s="55" t="s">
        <v>344</v>
      </c>
      <c r="G2468" s="55" t="s">
        <v>360</v>
      </c>
      <c r="H2468" s="55" t="s">
        <v>360</v>
      </c>
      <c r="I2468" s="55" t="s">
        <v>360</v>
      </c>
      <c r="J2468" s="55" t="s">
        <v>360</v>
      </c>
      <c r="K2468" s="55" t="s">
        <v>360</v>
      </c>
      <c r="L2468" s="55" t="s">
        <v>360</v>
      </c>
      <c r="M2468" s="55" t="s">
        <v>150</v>
      </c>
      <c r="N2468" s="55" t="s">
        <v>150</v>
      </c>
      <c r="O2468" s="55" t="s">
        <v>181</v>
      </c>
      <c r="P2468" s="55" t="s">
        <v>429</v>
      </c>
      <c r="Q2468" s="55" t="s">
        <v>350</v>
      </c>
      <c r="R2468" s="85">
        <v>4</v>
      </c>
      <c r="S2468" s="55">
        <v>0</v>
      </c>
      <c r="T2468" s="74" t="s">
        <v>931</v>
      </c>
      <c r="U2468" s="74" t="s">
        <v>351</v>
      </c>
      <c r="V2468" s="74">
        <v>44600</v>
      </c>
      <c r="W2468" s="74">
        <v>44652</v>
      </c>
      <c r="X2468" s="55">
        <v>10186549</v>
      </c>
      <c r="Y2468" s="55" t="s">
        <v>132</v>
      </c>
      <c r="AB2468" s="74" t="s">
        <v>130</v>
      </c>
      <c r="AC2468" s="55" t="s">
        <v>130</v>
      </c>
      <c r="AL2468" s="74"/>
      <c r="AM2468" s="74"/>
    </row>
    <row r="2469" spans="1:50" ht="13" x14ac:dyDescent="0.15">
      <c r="A2469" s="55" t="str">
        <f>HYPERLINK("http://reports.ofsted.gov.uk/inspection-reports/find-inspection-report/provider/CARE/SC064027","Ofsted Social Care Provider Webpage")</f>
        <v>Ofsted Social Care Provider Webpage</v>
      </c>
      <c r="B2469" s="55" t="s">
        <v>4628</v>
      </c>
      <c r="D2469" s="55" t="s">
        <v>373</v>
      </c>
      <c r="E2469" s="74">
        <v>38475</v>
      </c>
      <c r="F2469" s="55" t="s">
        <v>344</v>
      </c>
      <c r="G2469" s="55" t="s">
        <v>360</v>
      </c>
      <c r="H2469" s="55" t="s">
        <v>360</v>
      </c>
      <c r="I2469" s="55" t="s">
        <v>360</v>
      </c>
      <c r="J2469" s="55" t="s">
        <v>360</v>
      </c>
      <c r="K2469" s="55" t="s">
        <v>360</v>
      </c>
      <c r="L2469" s="55" t="s">
        <v>360</v>
      </c>
      <c r="M2469" s="55" t="s">
        <v>142</v>
      </c>
      <c r="N2469" s="55" t="s">
        <v>142</v>
      </c>
      <c r="O2469" s="55" t="s">
        <v>262</v>
      </c>
      <c r="P2469" s="55" t="s">
        <v>618</v>
      </c>
      <c r="Q2469" s="55" t="s">
        <v>350</v>
      </c>
      <c r="R2469" s="85">
        <v>6</v>
      </c>
      <c r="S2469" s="55">
        <v>0</v>
      </c>
      <c r="T2469" s="74" t="s">
        <v>4629</v>
      </c>
      <c r="U2469" s="74" t="s">
        <v>351</v>
      </c>
      <c r="V2469" s="74">
        <v>44441</v>
      </c>
      <c r="W2469" s="74">
        <v>44481</v>
      </c>
      <c r="X2469" s="55">
        <v>10185082</v>
      </c>
      <c r="Y2469" s="55" t="s">
        <v>132</v>
      </c>
      <c r="AB2469" s="74" t="s">
        <v>132</v>
      </c>
      <c r="AC2469" s="55" t="s">
        <v>132</v>
      </c>
      <c r="AL2469" s="74"/>
      <c r="AM2469" s="74"/>
    </row>
    <row r="2470" spans="1:50" ht="13" x14ac:dyDescent="0.15">
      <c r="A2470" s="55" t="str">
        <f>HYPERLINK("http://reports.ofsted.gov.uk/inspection-reports/find-inspection-report/provider/CARE/SC064050","Ofsted Social Care Provider Webpage")</f>
        <v>Ofsted Social Care Provider Webpage</v>
      </c>
      <c r="B2470" s="55" t="s">
        <v>4630</v>
      </c>
      <c r="D2470" s="55" t="s">
        <v>373</v>
      </c>
      <c r="E2470" s="74">
        <v>38517</v>
      </c>
      <c r="F2470" s="55" t="s">
        <v>344</v>
      </c>
      <c r="G2470" s="55" t="s">
        <v>360</v>
      </c>
      <c r="H2470" s="55" t="s">
        <v>360</v>
      </c>
      <c r="I2470" s="55" t="s">
        <v>360</v>
      </c>
      <c r="J2470" s="55" t="s">
        <v>360</v>
      </c>
      <c r="K2470" s="55" t="s">
        <v>360</v>
      </c>
      <c r="L2470" s="55" t="s">
        <v>360</v>
      </c>
      <c r="M2470" s="55" t="s">
        <v>378</v>
      </c>
      <c r="N2470" s="55" t="s">
        <v>134</v>
      </c>
      <c r="O2470" s="55" t="s">
        <v>206</v>
      </c>
      <c r="P2470" s="55" t="s">
        <v>710</v>
      </c>
      <c r="Q2470" s="55" t="s">
        <v>350</v>
      </c>
      <c r="R2470" s="85">
        <v>3</v>
      </c>
      <c r="S2470" s="55">
        <v>0</v>
      </c>
      <c r="T2470" s="74" t="s">
        <v>442</v>
      </c>
      <c r="U2470" s="74" t="s">
        <v>351</v>
      </c>
      <c r="V2470" s="74">
        <v>44489</v>
      </c>
      <c r="W2470" s="74">
        <v>44522</v>
      </c>
      <c r="X2470" s="55">
        <v>10186715</v>
      </c>
      <c r="Y2470" s="55" t="s">
        <v>132</v>
      </c>
      <c r="AB2470" s="74" t="s">
        <v>132</v>
      </c>
      <c r="AC2470" s="55" t="s">
        <v>132</v>
      </c>
      <c r="AL2470" s="74"/>
      <c r="AM2470" s="74"/>
    </row>
    <row r="2471" spans="1:50" ht="13" x14ac:dyDescent="0.15">
      <c r="A2471" s="55" t="str">
        <f>HYPERLINK("http://reports.ofsted.gov.uk/inspection-reports/find-inspection-report/provider/CARE/SC064113","Ofsted Social Care Provider Webpage")</f>
        <v>Ofsted Social Care Provider Webpage</v>
      </c>
      <c r="B2471" s="55" t="s">
        <v>4632</v>
      </c>
      <c r="D2471" s="55" t="s">
        <v>389</v>
      </c>
      <c r="E2471" s="74">
        <v>38509</v>
      </c>
      <c r="F2471" s="55" t="s">
        <v>344</v>
      </c>
      <c r="G2471" s="55" t="s">
        <v>4633</v>
      </c>
      <c r="H2471" s="55" t="s">
        <v>4634</v>
      </c>
      <c r="I2471" s="55" t="s">
        <v>4635</v>
      </c>
      <c r="J2471" s="55" t="s">
        <v>4477</v>
      </c>
      <c r="L2471" s="55" t="s">
        <v>4636</v>
      </c>
      <c r="M2471" s="55" t="s">
        <v>150</v>
      </c>
      <c r="N2471" s="55" t="s">
        <v>150</v>
      </c>
      <c r="O2471" s="55" t="s">
        <v>285</v>
      </c>
      <c r="P2471" s="55" t="s">
        <v>2001</v>
      </c>
      <c r="Q2471" s="55" t="s">
        <v>350</v>
      </c>
      <c r="S2471" s="55">
        <v>0</v>
      </c>
      <c r="T2471" s="74" t="s">
        <v>4637</v>
      </c>
      <c r="U2471" s="74" t="s">
        <v>351</v>
      </c>
      <c r="V2471" s="74">
        <v>44501</v>
      </c>
      <c r="W2471" s="74">
        <v>44559</v>
      </c>
      <c r="X2471" s="55">
        <v>10183414</v>
      </c>
      <c r="Y2471" s="55" t="s">
        <v>140</v>
      </c>
      <c r="AB2471" s="74" t="s">
        <v>140</v>
      </c>
      <c r="AC2471" s="55" t="s">
        <v>140</v>
      </c>
      <c r="AL2471" s="74"/>
      <c r="AM2471" s="74"/>
    </row>
    <row r="2472" spans="1:50" ht="13" x14ac:dyDescent="0.15">
      <c r="A2472" s="55" t="str">
        <f>HYPERLINK("http://reports.ofsted.gov.uk/inspection-reports/find-inspection-report/provider/CARE/SC064117","Ofsted Social Care Provider Webpage")</f>
        <v>Ofsted Social Care Provider Webpage</v>
      </c>
      <c r="B2472" s="55" t="s">
        <v>4638</v>
      </c>
      <c r="D2472" s="55" t="s">
        <v>373</v>
      </c>
      <c r="E2472" s="74">
        <v>38589</v>
      </c>
      <c r="F2472" s="55" t="s">
        <v>344</v>
      </c>
      <c r="G2472" s="55" t="s">
        <v>360</v>
      </c>
      <c r="H2472" s="55" t="s">
        <v>360</v>
      </c>
      <c r="I2472" s="55" t="s">
        <v>360</v>
      </c>
      <c r="J2472" s="55" t="s">
        <v>360</v>
      </c>
      <c r="K2472" s="55" t="s">
        <v>360</v>
      </c>
      <c r="L2472" s="55" t="s">
        <v>360</v>
      </c>
      <c r="M2472" s="55" t="s">
        <v>142</v>
      </c>
      <c r="N2472" s="55" t="s">
        <v>142</v>
      </c>
      <c r="O2472" s="55" t="s">
        <v>166</v>
      </c>
      <c r="P2472" s="55" t="s">
        <v>1476</v>
      </c>
      <c r="Q2472" s="55" t="s">
        <v>350</v>
      </c>
      <c r="R2472" s="85">
        <v>4</v>
      </c>
      <c r="S2472" s="55">
        <v>0</v>
      </c>
      <c r="T2472" s="74" t="s">
        <v>1164</v>
      </c>
      <c r="U2472" s="74" t="s">
        <v>2053</v>
      </c>
      <c r="V2472" s="74">
        <v>44468</v>
      </c>
      <c r="W2472" s="74">
        <v>44501</v>
      </c>
      <c r="X2472" s="55">
        <v>10205013</v>
      </c>
      <c r="AL2472" s="74"/>
      <c r="AM2472" s="74"/>
      <c r="AW2472" s="74"/>
      <c r="AX2472" s="74"/>
    </row>
    <row r="2473" spans="1:50" ht="13" x14ac:dyDescent="0.15">
      <c r="A2473" s="55" t="str">
        <f>HYPERLINK("http://reports.ofsted.gov.uk/inspection-reports/find-inspection-report/provider/CARE/SC064117","Ofsted Social Care Provider Webpage")</f>
        <v>Ofsted Social Care Provider Webpage</v>
      </c>
      <c r="B2473" s="55" t="s">
        <v>4638</v>
      </c>
      <c r="D2473" s="55" t="s">
        <v>373</v>
      </c>
      <c r="E2473" s="74">
        <v>38589</v>
      </c>
      <c r="F2473" s="55" t="s">
        <v>344</v>
      </c>
      <c r="G2473" s="55" t="s">
        <v>360</v>
      </c>
      <c r="H2473" s="55" t="s">
        <v>360</v>
      </c>
      <c r="I2473" s="55" t="s">
        <v>360</v>
      </c>
      <c r="J2473" s="55" t="s">
        <v>360</v>
      </c>
      <c r="K2473" s="55" t="s">
        <v>360</v>
      </c>
      <c r="L2473" s="55" t="s">
        <v>360</v>
      </c>
      <c r="M2473" s="55" t="s">
        <v>142</v>
      </c>
      <c r="N2473" s="55" t="s">
        <v>142</v>
      </c>
      <c r="O2473" s="55" t="s">
        <v>166</v>
      </c>
      <c r="P2473" s="55" t="s">
        <v>1476</v>
      </c>
      <c r="Q2473" s="55" t="s">
        <v>350</v>
      </c>
      <c r="R2473" s="85">
        <v>4</v>
      </c>
      <c r="S2473" s="55">
        <v>0</v>
      </c>
      <c r="T2473" s="74" t="s">
        <v>1164</v>
      </c>
      <c r="U2473" s="74" t="s">
        <v>351</v>
      </c>
      <c r="V2473" s="74">
        <v>44349</v>
      </c>
      <c r="W2473" s="74">
        <v>44378</v>
      </c>
      <c r="X2473" s="55">
        <v>10185960</v>
      </c>
      <c r="Y2473" s="55" t="s">
        <v>130</v>
      </c>
      <c r="AB2473" s="74" t="s">
        <v>130</v>
      </c>
      <c r="AC2473" s="55" t="s">
        <v>146</v>
      </c>
      <c r="AL2473" s="74"/>
      <c r="AM2473" s="74"/>
      <c r="AW2473" s="74"/>
      <c r="AX2473" s="74"/>
    </row>
    <row r="2474" spans="1:50" ht="13" x14ac:dyDescent="0.15">
      <c r="A2474" s="55" t="str">
        <f>HYPERLINK("http://reports.ofsted.gov.uk/inspection-reports/find-inspection-report/provider/CARE/SC064117","Ofsted Social Care Provider Webpage")</f>
        <v>Ofsted Social Care Provider Webpage</v>
      </c>
      <c r="B2474" s="55" t="s">
        <v>4638</v>
      </c>
      <c r="D2474" s="55" t="s">
        <v>373</v>
      </c>
      <c r="E2474" s="74">
        <v>38589</v>
      </c>
      <c r="F2474" s="55" t="s">
        <v>344</v>
      </c>
      <c r="G2474" s="55" t="s">
        <v>360</v>
      </c>
      <c r="H2474" s="55" t="s">
        <v>360</v>
      </c>
      <c r="I2474" s="55" t="s">
        <v>360</v>
      </c>
      <c r="J2474" s="55" t="s">
        <v>360</v>
      </c>
      <c r="K2474" s="55" t="s">
        <v>360</v>
      </c>
      <c r="L2474" s="55" t="s">
        <v>360</v>
      </c>
      <c r="M2474" s="55" t="s">
        <v>142</v>
      </c>
      <c r="N2474" s="55" t="s">
        <v>142</v>
      </c>
      <c r="O2474" s="55" t="s">
        <v>166</v>
      </c>
      <c r="P2474" s="55" t="s">
        <v>1476</v>
      </c>
      <c r="Q2474" s="55" t="s">
        <v>350</v>
      </c>
      <c r="R2474" s="85">
        <v>4</v>
      </c>
      <c r="S2474" s="55">
        <v>0</v>
      </c>
      <c r="T2474" s="74" t="s">
        <v>1164</v>
      </c>
      <c r="U2474" s="74" t="s">
        <v>2053</v>
      </c>
      <c r="V2474" s="74">
        <v>44425</v>
      </c>
      <c r="W2474" s="74">
        <v>44459</v>
      </c>
      <c r="X2474" s="55">
        <v>10204925</v>
      </c>
      <c r="AL2474" s="74"/>
      <c r="AM2474" s="74"/>
      <c r="AW2474" s="74"/>
      <c r="AX2474" s="74"/>
    </row>
    <row r="2475" spans="1:50" ht="13" x14ac:dyDescent="0.15">
      <c r="A2475" s="55" t="str">
        <f>HYPERLINK("http://reports.ofsted.gov.uk/inspection-reports/find-inspection-report/provider/CARE/SC064117","Ofsted Social Care Provider Webpage")</f>
        <v>Ofsted Social Care Provider Webpage</v>
      </c>
      <c r="B2475" s="55" t="s">
        <v>4638</v>
      </c>
      <c r="D2475" s="55" t="s">
        <v>373</v>
      </c>
      <c r="E2475" s="74">
        <v>38589</v>
      </c>
      <c r="F2475" s="55" t="s">
        <v>344</v>
      </c>
      <c r="G2475" s="55" t="s">
        <v>360</v>
      </c>
      <c r="H2475" s="55" t="s">
        <v>360</v>
      </c>
      <c r="I2475" s="55" t="s">
        <v>360</v>
      </c>
      <c r="J2475" s="55" t="s">
        <v>360</v>
      </c>
      <c r="K2475" s="55" t="s">
        <v>360</v>
      </c>
      <c r="L2475" s="55" t="s">
        <v>360</v>
      </c>
      <c r="M2475" s="55" t="s">
        <v>142</v>
      </c>
      <c r="N2475" s="55" t="s">
        <v>142</v>
      </c>
      <c r="O2475" s="55" t="s">
        <v>166</v>
      </c>
      <c r="P2475" s="55" t="s">
        <v>1476</v>
      </c>
      <c r="Q2475" s="55" t="s">
        <v>350</v>
      </c>
      <c r="R2475" s="85">
        <v>4</v>
      </c>
      <c r="S2475" s="55">
        <v>0</v>
      </c>
      <c r="T2475" s="74" t="s">
        <v>1164</v>
      </c>
      <c r="U2475" s="74" t="s">
        <v>2053</v>
      </c>
      <c r="V2475" s="74">
        <v>44312</v>
      </c>
      <c r="W2475" s="74">
        <v>44340</v>
      </c>
      <c r="X2475" s="55">
        <v>10182940</v>
      </c>
      <c r="AL2475" s="74"/>
      <c r="AM2475" s="74"/>
      <c r="AW2475" s="74"/>
      <c r="AX2475" s="74"/>
    </row>
    <row r="2476" spans="1:50" ht="13" x14ac:dyDescent="0.15">
      <c r="A2476" s="55" t="str">
        <f>HYPERLINK("http://reports.ofsted.gov.uk/inspection-reports/find-inspection-report/provider/CARE/SC064117","Ofsted Social Care Provider Webpage")</f>
        <v>Ofsted Social Care Provider Webpage</v>
      </c>
      <c r="B2476" s="55" t="s">
        <v>4638</v>
      </c>
      <c r="D2476" s="55" t="s">
        <v>373</v>
      </c>
      <c r="E2476" s="74">
        <v>38589</v>
      </c>
      <c r="F2476" s="55" t="s">
        <v>344</v>
      </c>
      <c r="G2476" s="55" t="s">
        <v>360</v>
      </c>
      <c r="H2476" s="55" t="s">
        <v>360</v>
      </c>
      <c r="I2476" s="55" t="s">
        <v>360</v>
      </c>
      <c r="J2476" s="55" t="s">
        <v>360</v>
      </c>
      <c r="K2476" s="55" t="s">
        <v>360</v>
      </c>
      <c r="L2476" s="55" t="s">
        <v>360</v>
      </c>
      <c r="M2476" s="55" t="s">
        <v>142</v>
      </c>
      <c r="N2476" s="55" t="s">
        <v>142</v>
      </c>
      <c r="O2476" s="55" t="s">
        <v>166</v>
      </c>
      <c r="P2476" s="55" t="s">
        <v>1476</v>
      </c>
      <c r="Q2476" s="55" t="s">
        <v>350</v>
      </c>
      <c r="R2476" s="85">
        <v>4</v>
      </c>
      <c r="S2476" s="55">
        <v>0</v>
      </c>
      <c r="T2476" s="74" t="s">
        <v>1164</v>
      </c>
      <c r="U2476" s="74" t="s">
        <v>2053</v>
      </c>
      <c r="V2476" s="74">
        <v>44397</v>
      </c>
      <c r="W2476" s="74">
        <v>44424</v>
      </c>
      <c r="X2476" s="55">
        <v>10197513</v>
      </c>
      <c r="AL2476" s="74"/>
      <c r="AM2476" s="74"/>
      <c r="AW2476" s="74"/>
      <c r="AX2476" s="74"/>
    </row>
    <row r="2477" spans="1:50" ht="13" x14ac:dyDescent="0.15">
      <c r="A2477" s="55" t="str">
        <f>HYPERLINK("http://reports.ofsted.gov.uk/inspection-reports/find-inspection-report/provider/CARE/SC064182","Ofsted Social Care Provider Webpage")</f>
        <v>Ofsted Social Care Provider Webpage</v>
      </c>
      <c r="B2477" s="55" t="s">
        <v>4639</v>
      </c>
      <c r="D2477" s="55" t="s">
        <v>373</v>
      </c>
      <c r="E2477" s="74">
        <v>38531</v>
      </c>
      <c r="F2477" s="55" t="s">
        <v>344</v>
      </c>
      <c r="G2477" s="55" t="s">
        <v>360</v>
      </c>
      <c r="H2477" s="55" t="s">
        <v>360</v>
      </c>
      <c r="I2477" s="55" t="s">
        <v>360</v>
      </c>
      <c r="J2477" s="55" t="s">
        <v>360</v>
      </c>
      <c r="K2477" s="55" t="s">
        <v>360</v>
      </c>
      <c r="L2477" s="55" t="s">
        <v>360</v>
      </c>
      <c r="M2477" s="55" t="s">
        <v>129</v>
      </c>
      <c r="N2477" s="55" t="s">
        <v>129</v>
      </c>
      <c r="O2477" s="55" t="s">
        <v>242</v>
      </c>
      <c r="P2477" s="55" t="s">
        <v>1519</v>
      </c>
      <c r="Q2477" s="55" t="s">
        <v>350</v>
      </c>
      <c r="R2477" s="85">
        <v>6</v>
      </c>
      <c r="S2477" s="55">
        <v>0</v>
      </c>
      <c r="T2477" s="74" t="s">
        <v>4640</v>
      </c>
      <c r="U2477" s="74" t="s">
        <v>351</v>
      </c>
      <c r="V2477" s="74">
        <v>44593</v>
      </c>
      <c r="W2477" s="74">
        <v>44628</v>
      </c>
      <c r="X2477" s="55">
        <v>10185400</v>
      </c>
      <c r="Y2477" s="55" t="s">
        <v>132</v>
      </c>
      <c r="AB2477" s="74" t="s">
        <v>132</v>
      </c>
      <c r="AC2477" s="55" t="s">
        <v>132</v>
      </c>
      <c r="AL2477" s="74"/>
      <c r="AM2477" s="74"/>
      <c r="AW2477" s="74"/>
      <c r="AX2477" s="74"/>
    </row>
    <row r="2478" spans="1:50" ht="13" x14ac:dyDescent="0.15">
      <c r="A2478" s="55" t="str">
        <f>HYPERLINK("http://reports.ofsted.gov.uk/inspection-reports/find-inspection-report/provider/CARE/SC064220","Ofsted Social Care Provider Webpage")</f>
        <v>Ofsted Social Care Provider Webpage</v>
      </c>
      <c r="B2478" s="55" t="s">
        <v>4641</v>
      </c>
      <c r="D2478" s="55" t="s">
        <v>389</v>
      </c>
      <c r="E2478" s="74">
        <v>38569</v>
      </c>
      <c r="F2478" s="55" t="s">
        <v>344</v>
      </c>
      <c r="G2478" s="55" t="s">
        <v>4642</v>
      </c>
      <c r="H2478" s="55" t="s">
        <v>4643</v>
      </c>
      <c r="I2478" s="55" t="s">
        <v>4644</v>
      </c>
      <c r="J2478" s="55" t="s">
        <v>2602</v>
      </c>
      <c r="K2478" s="55" t="s">
        <v>190</v>
      </c>
      <c r="L2478" s="55" t="s">
        <v>4645</v>
      </c>
      <c r="M2478" s="55" t="s">
        <v>150</v>
      </c>
      <c r="N2478" s="55" t="s">
        <v>150</v>
      </c>
      <c r="O2478" s="55" t="s">
        <v>190</v>
      </c>
      <c r="P2478" s="55" t="s">
        <v>887</v>
      </c>
      <c r="Q2478" s="55" t="s">
        <v>350</v>
      </c>
      <c r="S2478" s="55">
        <v>0</v>
      </c>
      <c r="T2478" s="74" t="s">
        <v>4646</v>
      </c>
      <c r="U2478" s="74" t="s">
        <v>351</v>
      </c>
      <c r="V2478" s="74">
        <v>44585</v>
      </c>
      <c r="W2478" s="74">
        <v>44623</v>
      </c>
      <c r="X2478" s="55">
        <v>10183409</v>
      </c>
      <c r="Y2478" s="55" t="s">
        <v>140</v>
      </c>
      <c r="AB2478" s="74" t="s">
        <v>140</v>
      </c>
      <c r="AC2478" s="55" t="s">
        <v>140</v>
      </c>
      <c r="AL2478" s="74"/>
      <c r="AM2478" s="74"/>
    </row>
    <row r="2479" spans="1:50" ht="13" x14ac:dyDescent="0.15">
      <c r="A2479" s="55" t="str">
        <f>HYPERLINK("http://reports.ofsted.gov.uk/inspection-reports/find-inspection-report/provider/CARE/SC064428","Ofsted Social Care Provider Webpage")</f>
        <v>Ofsted Social Care Provider Webpage</v>
      </c>
      <c r="B2479" s="55" t="s">
        <v>4652</v>
      </c>
      <c r="D2479" s="55" t="s">
        <v>373</v>
      </c>
      <c r="E2479" s="74">
        <v>38484</v>
      </c>
      <c r="F2479" s="55" t="s">
        <v>344</v>
      </c>
      <c r="G2479" s="55" t="s">
        <v>360</v>
      </c>
      <c r="H2479" s="55" t="s">
        <v>360</v>
      </c>
      <c r="I2479" s="55" t="s">
        <v>360</v>
      </c>
      <c r="J2479" s="55" t="s">
        <v>360</v>
      </c>
      <c r="K2479" s="55" t="s">
        <v>360</v>
      </c>
      <c r="L2479" s="55" t="s">
        <v>360</v>
      </c>
      <c r="M2479" s="55" t="s">
        <v>144</v>
      </c>
      <c r="N2479" s="55" t="s">
        <v>144</v>
      </c>
      <c r="O2479" s="55" t="s">
        <v>287</v>
      </c>
      <c r="P2479" s="55" t="s">
        <v>287</v>
      </c>
      <c r="Q2479" s="55" t="s">
        <v>350</v>
      </c>
      <c r="R2479" s="85">
        <v>4</v>
      </c>
      <c r="S2479" s="55">
        <v>0</v>
      </c>
      <c r="T2479" s="74" t="s">
        <v>4653</v>
      </c>
      <c r="U2479" s="74" t="s">
        <v>351</v>
      </c>
      <c r="V2479" s="74">
        <v>44573</v>
      </c>
      <c r="W2479" s="74">
        <v>44601</v>
      </c>
      <c r="X2479" s="55">
        <v>10186483</v>
      </c>
      <c r="Y2479" s="55" t="s">
        <v>132</v>
      </c>
      <c r="AB2479" s="74" t="s">
        <v>132</v>
      </c>
      <c r="AC2479" s="55" t="s">
        <v>132</v>
      </c>
      <c r="AL2479" s="74"/>
      <c r="AM2479" s="74"/>
      <c r="AW2479" s="74"/>
      <c r="AX2479" s="74"/>
    </row>
    <row r="2480" spans="1:50" ht="13" x14ac:dyDescent="0.15">
      <c r="A2480" s="55" t="str">
        <f>HYPERLINK("http://reports.ofsted.gov.uk/inspection-reports/find-inspection-report/provider/CARE/SC064454","Ofsted Social Care Provider Webpage")</f>
        <v>Ofsted Social Care Provider Webpage</v>
      </c>
      <c r="B2480" s="55" t="s">
        <v>4654</v>
      </c>
      <c r="D2480" s="55" t="s">
        <v>373</v>
      </c>
      <c r="E2480" s="74">
        <v>38714</v>
      </c>
      <c r="F2480" s="55" t="s">
        <v>344</v>
      </c>
      <c r="G2480" s="55" t="s">
        <v>360</v>
      </c>
      <c r="H2480" s="55" t="s">
        <v>360</v>
      </c>
      <c r="I2480" s="55" t="s">
        <v>360</v>
      </c>
      <c r="J2480" s="55" t="s">
        <v>360</v>
      </c>
      <c r="K2480" s="55" t="s">
        <v>360</v>
      </c>
      <c r="L2480" s="55" t="s">
        <v>360</v>
      </c>
      <c r="M2480" s="55" t="s">
        <v>378</v>
      </c>
      <c r="N2480" s="55" t="s">
        <v>134</v>
      </c>
      <c r="O2480" s="55" t="s">
        <v>133</v>
      </c>
      <c r="P2480" s="55" t="s">
        <v>4655</v>
      </c>
      <c r="Q2480" s="55" t="s">
        <v>350</v>
      </c>
      <c r="R2480" s="85">
        <v>2</v>
      </c>
      <c r="S2480" s="55">
        <v>0</v>
      </c>
      <c r="T2480" s="74" t="s">
        <v>2448</v>
      </c>
      <c r="U2480" s="74" t="s">
        <v>351</v>
      </c>
      <c r="V2480" s="74">
        <v>44607</v>
      </c>
      <c r="W2480" s="74">
        <v>44652</v>
      </c>
      <c r="X2480" s="55">
        <v>10185974</v>
      </c>
      <c r="Y2480" s="55" t="s">
        <v>140</v>
      </c>
      <c r="AB2480" s="74" t="s">
        <v>140</v>
      </c>
      <c r="AC2480" s="55" t="s">
        <v>140</v>
      </c>
      <c r="AL2480" s="74"/>
      <c r="AM2480" s="74"/>
      <c r="AW2480" s="74"/>
      <c r="AX2480" s="74"/>
    </row>
    <row r="2481" spans="1:50" ht="13" x14ac:dyDescent="0.15">
      <c r="A2481" s="55" t="str">
        <f>HYPERLINK("http://reports.ofsted.gov.uk/inspection-reports/find-inspection-report/provider/CARE/SC064472","Ofsted Social Care Provider Webpage")</f>
        <v>Ofsted Social Care Provider Webpage</v>
      </c>
      <c r="B2481" s="55" t="s">
        <v>4656</v>
      </c>
      <c r="D2481" s="55" t="s">
        <v>373</v>
      </c>
      <c r="E2481" s="74">
        <v>38623</v>
      </c>
      <c r="F2481" s="55" t="s">
        <v>344</v>
      </c>
      <c r="G2481" s="55" t="s">
        <v>360</v>
      </c>
      <c r="H2481" s="55" t="s">
        <v>360</v>
      </c>
      <c r="I2481" s="55" t="s">
        <v>360</v>
      </c>
      <c r="J2481" s="55" t="s">
        <v>360</v>
      </c>
      <c r="K2481" s="55" t="s">
        <v>360</v>
      </c>
      <c r="L2481" s="55" t="s">
        <v>360</v>
      </c>
      <c r="M2481" s="55" t="s">
        <v>136</v>
      </c>
      <c r="N2481" s="55" t="s">
        <v>136</v>
      </c>
      <c r="O2481" s="55" t="s">
        <v>174</v>
      </c>
      <c r="P2481" s="55" t="s">
        <v>982</v>
      </c>
      <c r="Q2481" s="55" t="s">
        <v>350</v>
      </c>
      <c r="R2481" s="85">
        <v>3</v>
      </c>
      <c r="S2481" s="55">
        <v>0</v>
      </c>
      <c r="T2481" s="74" t="s">
        <v>1917</v>
      </c>
      <c r="U2481" s="74" t="s">
        <v>6703</v>
      </c>
      <c r="V2481" s="74">
        <v>44613</v>
      </c>
      <c r="W2481" s="74">
        <v>44656</v>
      </c>
      <c r="X2481" s="55">
        <v>10212740</v>
      </c>
      <c r="Y2481" s="55" t="s">
        <v>6705</v>
      </c>
      <c r="AL2481" s="74"/>
      <c r="AM2481" s="74"/>
      <c r="AW2481" s="74"/>
      <c r="AX2481" s="74"/>
    </row>
    <row r="2482" spans="1:50" ht="13" x14ac:dyDescent="0.15">
      <c r="A2482" s="55" t="str">
        <f>HYPERLINK("http://reports.ofsted.gov.uk/inspection-reports/find-inspection-report/provider/CARE/SC064472","Ofsted Social Care Provider Webpage")</f>
        <v>Ofsted Social Care Provider Webpage</v>
      </c>
      <c r="B2482" s="55" t="s">
        <v>4656</v>
      </c>
      <c r="D2482" s="55" t="s">
        <v>373</v>
      </c>
      <c r="E2482" s="74">
        <v>38623</v>
      </c>
      <c r="F2482" s="55" t="s">
        <v>344</v>
      </c>
      <c r="G2482" s="55" t="s">
        <v>360</v>
      </c>
      <c r="H2482" s="55" t="s">
        <v>360</v>
      </c>
      <c r="I2482" s="55" t="s">
        <v>360</v>
      </c>
      <c r="J2482" s="55" t="s">
        <v>360</v>
      </c>
      <c r="K2482" s="55" t="s">
        <v>360</v>
      </c>
      <c r="L2482" s="55" t="s">
        <v>360</v>
      </c>
      <c r="M2482" s="55" t="s">
        <v>136</v>
      </c>
      <c r="N2482" s="55" t="s">
        <v>136</v>
      </c>
      <c r="O2482" s="55" t="s">
        <v>174</v>
      </c>
      <c r="P2482" s="55" t="s">
        <v>982</v>
      </c>
      <c r="Q2482" s="55" t="s">
        <v>350</v>
      </c>
      <c r="R2482" s="85">
        <v>3</v>
      </c>
      <c r="S2482" s="55">
        <v>0</v>
      </c>
      <c r="T2482" s="74" t="s">
        <v>1917</v>
      </c>
      <c r="U2482" s="74" t="s">
        <v>351</v>
      </c>
      <c r="V2482" s="74">
        <v>44397</v>
      </c>
      <c r="W2482" s="74">
        <v>44428</v>
      </c>
      <c r="X2482" s="55">
        <v>10195655</v>
      </c>
      <c r="Y2482" s="55" t="s">
        <v>130</v>
      </c>
      <c r="AB2482" s="74" t="s">
        <v>130</v>
      </c>
      <c r="AC2482" s="55" t="s">
        <v>132</v>
      </c>
      <c r="AL2482" s="74"/>
      <c r="AM2482" s="74"/>
      <c r="AW2482" s="74"/>
      <c r="AX2482" s="74"/>
    </row>
    <row r="2483" spans="1:50" ht="13" x14ac:dyDescent="0.15">
      <c r="A2483" s="55" t="str">
        <f>HYPERLINK("http://reports.ofsted.gov.uk/inspection-reports/find-inspection-report/provider/CARE/SC064500","Ofsted Social Care Provider Webpage")</f>
        <v>Ofsted Social Care Provider Webpage</v>
      </c>
      <c r="B2483" s="55" t="s">
        <v>4657</v>
      </c>
      <c r="D2483" s="55" t="s">
        <v>373</v>
      </c>
      <c r="E2483" s="74">
        <v>38728</v>
      </c>
      <c r="F2483" s="55" t="s">
        <v>344</v>
      </c>
      <c r="G2483" s="55" t="s">
        <v>360</v>
      </c>
      <c r="H2483" s="55" t="s">
        <v>360</v>
      </c>
      <c r="I2483" s="55" t="s">
        <v>360</v>
      </c>
      <c r="J2483" s="55" t="s">
        <v>360</v>
      </c>
      <c r="K2483" s="55" t="s">
        <v>360</v>
      </c>
      <c r="L2483" s="55" t="s">
        <v>360</v>
      </c>
      <c r="M2483" s="55" t="s">
        <v>144</v>
      </c>
      <c r="N2483" s="55" t="s">
        <v>144</v>
      </c>
      <c r="O2483" s="55" t="s">
        <v>209</v>
      </c>
      <c r="P2483" s="55" t="s">
        <v>629</v>
      </c>
      <c r="Q2483" s="55" t="s">
        <v>350</v>
      </c>
      <c r="R2483" s="85">
        <v>3</v>
      </c>
      <c r="S2483" s="55">
        <v>0</v>
      </c>
      <c r="T2483" s="74" t="s">
        <v>1363</v>
      </c>
      <c r="U2483" s="74" t="s">
        <v>351</v>
      </c>
      <c r="V2483" s="74">
        <v>44334</v>
      </c>
      <c r="W2483" s="74">
        <v>44372</v>
      </c>
      <c r="X2483" s="55">
        <v>10186010</v>
      </c>
      <c r="Y2483" s="55" t="s">
        <v>132</v>
      </c>
      <c r="AB2483" s="74" t="s">
        <v>132</v>
      </c>
      <c r="AC2483" s="55" t="s">
        <v>132</v>
      </c>
      <c r="AL2483" s="74"/>
      <c r="AM2483" s="74"/>
      <c r="AW2483" s="74"/>
      <c r="AX2483" s="74"/>
    </row>
    <row r="2484" spans="1:50" ht="13" x14ac:dyDescent="0.15">
      <c r="A2484" s="55" t="str">
        <f>HYPERLINK("http://reports.ofsted.gov.uk/inspection-reports/find-inspection-report/provider/CARE/SC064530","Ofsted Social Care Provider Webpage")</f>
        <v>Ofsted Social Care Provider Webpage</v>
      </c>
      <c r="B2484" s="55" t="s">
        <v>4658</v>
      </c>
      <c r="D2484" s="55" t="s">
        <v>373</v>
      </c>
      <c r="E2484" s="74">
        <v>38677</v>
      </c>
      <c r="F2484" s="55" t="s">
        <v>344</v>
      </c>
      <c r="G2484" s="55" t="s">
        <v>360</v>
      </c>
      <c r="H2484" s="55" t="s">
        <v>360</v>
      </c>
      <c r="I2484" s="55" t="s">
        <v>360</v>
      </c>
      <c r="J2484" s="55" t="s">
        <v>360</v>
      </c>
      <c r="K2484" s="55" t="s">
        <v>360</v>
      </c>
      <c r="L2484" s="55" t="s">
        <v>360</v>
      </c>
      <c r="M2484" s="55" t="s">
        <v>144</v>
      </c>
      <c r="N2484" s="55" t="s">
        <v>144</v>
      </c>
      <c r="O2484" s="55" t="s">
        <v>236</v>
      </c>
      <c r="P2484" s="55" t="s">
        <v>996</v>
      </c>
      <c r="Q2484" s="55" t="s">
        <v>350</v>
      </c>
      <c r="R2484" s="85">
        <v>2</v>
      </c>
      <c r="S2484" s="55">
        <v>0</v>
      </c>
      <c r="T2484" s="74" t="s">
        <v>711</v>
      </c>
      <c r="U2484" s="74" t="s">
        <v>351</v>
      </c>
      <c r="V2484" s="74">
        <v>44628</v>
      </c>
      <c r="W2484" s="74">
        <v>44678</v>
      </c>
      <c r="X2484" s="55">
        <v>10186432</v>
      </c>
      <c r="Y2484" s="55" t="s">
        <v>140</v>
      </c>
      <c r="AB2484" s="74" t="s">
        <v>140</v>
      </c>
      <c r="AC2484" s="55" t="s">
        <v>140</v>
      </c>
      <c r="AL2484" s="74"/>
      <c r="AM2484" s="74"/>
      <c r="AW2484" s="74"/>
      <c r="AX2484" s="74"/>
    </row>
    <row r="2485" spans="1:50" ht="13" x14ac:dyDescent="0.15">
      <c r="A2485" s="55" t="str">
        <f>HYPERLINK("http://reports.ofsted.gov.uk/inspection-reports/find-inspection-report/provider/CARE/SC064557","Ofsted Social Care Provider Webpage")</f>
        <v>Ofsted Social Care Provider Webpage</v>
      </c>
      <c r="B2485" s="55" t="s">
        <v>4659</v>
      </c>
      <c r="D2485" s="55" t="s">
        <v>373</v>
      </c>
      <c r="E2485" s="74">
        <v>38629</v>
      </c>
      <c r="F2485" s="55" t="s">
        <v>344</v>
      </c>
      <c r="G2485" s="55" t="s">
        <v>360</v>
      </c>
      <c r="H2485" s="55" t="s">
        <v>360</v>
      </c>
      <c r="I2485" s="55" t="s">
        <v>360</v>
      </c>
      <c r="J2485" s="55" t="s">
        <v>360</v>
      </c>
      <c r="K2485" s="55" t="s">
        <v>360</v>
      </c>
      <c r="L2485" s="55" t="s">
        <v>360</v>
      </c>
      <c r="M2485" s="55" t="s">
        <v>138</v>
      </c>
      <c r="N2485" s="55" t="s">
        <v>138</v>
      </c>
      <c r="O2485" s="55" t="s">
        <v>159</v>
      </c>
      <c r="P2485" s="55" t="s">
        <v>1025</v>
      </c>
      <c r="Q2485" s="55" t="s">
        <v>350</v>
      </c>
      <c r="R2485" s="85">
        <v>6</v>
      </c>
      <c r="S2485" s="55">
        <v>0</v>
      </c>
      <c r="T2485" s="74" t="s">
        <v>1221</v>
      </c>
      <c r="U2485" s="74" t="s">
        <v>351</v>
      </c>
      <c r="V2485" s="74">
        <v>44334</v>
      </c>
      <c r="W2485" s="74">
        <v>44363</v>
      </c>
      <c r="X2485" s="55">
        <v>10186940</v>
      </c>
      <c r="Y2485" s="55" t="s">
        <v>132</v>
      </c>
      <c r="AB2485" s="74" t="s">
        <v>132</v>
      </c>
      <c r="AC2485" s="55" t="s">
        <v>132</v>
      </c>
      <c r="AL2485" s="74"/>
      <c r="AM2485" s="74"/>
      <c r="AW2485" s="74"/>
      <c r="AX2485" s="74"/>
    </row>
    <row r="2486" spans="1:50" ht="13" x14ac:dyDescent="0.15">
      <c r="A2486" s="55" t="str">
        <f>HYPERLINK("http://reports.ofsted.gov.uk/inspection-reports/find-inspection-report/provider/CARE/SC064573","Ofsted Social Care Provider Webpage")</f>
        <v>Ofsted Social Care Provider Webpage</v>
      </c>
      <c r="B2486" s="55" t="s">
        <v>4660</v>
      </c>
      <c r="D2486" s="55" t="s">
        <v>373</v>
      </c>
      <c r="E2486" s="74">
        <v>38523</v>
      </c>
      <c r="F2486" s="55" t="s">
        <v>344</v>
      </c>
      <c r="G2486" s="55" t="s">
        <v>360</v>
      </c>
      <c r="H2486" s="55" t="s">
        <v>360</v>
      </c>
      <c r="I2486" s="55" t="s">
        <v>360</v>
      </c>
      <c r="J2486" s="55" t="s">
        <v>360</v>
      </c>
      <c r="K2486" s="55" t="s">
        <v>360</v>
      </c>
      <c r="L2486" s="55" t="s">
        <v>360</v>
      </c>
      <c r="M2486" s="55" t="s">
        <v>144</v>
      </c>
      <c r="N2486" s="55" t="s">
        <v>144</v>
      </c>
      <c r="O2486" s="55" t="s">
        <v>261</v>
      </c>
      <c r="P2486" s="55" t="s">
        <v>792</v>
      </c>
      <c r="Q2486" s="55" t="s">
        <v>350</v>
      </c>
      <c r="R2486" s="85">
        <v>1</v>
      </c>
      <c r="S2486" s="55">
        <v>0</v>
      </c>
      <c r="T2486" s="74" t="s">
        <v>4505</v>
      </c>
      <c r="U2486" s="74" t="s">
        <v>351</v>
      </c>
      <c r="V2486" s="74">
        <v>44572</v>
      </c>
      <c r="W2486" s="74">
        <v>44610</v>
      </c>
      <c r="X2486" s="55">
        <v>10187025</v>
      </c>
      <c r="Y2486" s="55" t="s">
        <v>130</v>
      </c>
      <c r="AB2486" s="74" t="s">
        <v>130</v>
      </c>
      <c r="AC2486" s="55" t="s">
        <v>130</v>
      </c>
      <c r="AL2486" s="74"/>
      <c r="AM2486" s="74"/>
      <c r="AW2486" s="74"/>
      <c r="AX2486" s="74"/>
    </row>
    <row r="2487" spans="1:50" ht="13" x14ac:dyDescent="0.15">
      <c r="A2487" s="55" t="str">
        <f>HYPERLINK("http://reports.ofsted.gov.uk/inspection-reports/find-inspection-report/provider/CARE/SC064663","Ofsted Social Care Provider Webpage")</f>
        <v>Ofsted Social Care Provider Webpage</v>
      </c>
      <c r="B2487" s="55" t="s">
        <v>4661</v>
      </c>
      <c r="D2487" s="55" t="s">
        <v>373</v>
      </c>
      <c r="E2487" s="74">
        <v>38579</v>
      </c>
      <c r="F2487" s="55" t="s">
        <v>344</v>
      </c>
      <c r="G2487" s="55" t="s">
        <v>360</v>
      </c>
      <c r="H2487" s="55" t="s">
        <v>360</v>
      </c>
      <c r="I2487" s="55" t="s">
        <v>360</v>
      </c>
      <c r="J2487" s="55" t="s">
        <v>360</v>
      </c>
      <c r="K2487" s="55" t="s">
        <v>360</v>
      </c>
      <c r="L2487" s="55" t="s">
        <v>360</v>
      </c>
      <c r="M2487" s="55" t="s">
        <v>144</v>
      </c>
      <c r="N2487" s="55" t="s">
        <v>144</v>
      </c>
      <c r="O2487" s="55" t="s">
        <v>250</v>
      </c>
      <c r="P2487" s="55" t="s">
        <v>1372</v>
      </c>
      <c r="Q2487" s="55" t="s">
        <v>350</v>
      </c>
      <c r="R2487" s="85">
        <v>7</v>
      </c>
      <c r="S2487" s="55">
        <v>0</v>
      </c>
      <c r="T2487" s="74" t="s">
        <v>4662</v>
      </c>
      <c r="U2487" s="74" t="s">
        <v>2053</v>
      </c>
      <c r="V2487" s="74">
        <v>44544</v>
      </c>
      <c r="W2487" s="74">
        <v>44575</v>
      </c>
      <c r="X2487" s="55">
        <v>10214328</v>
      </c>
      <c r="AL2487" s="74"/>
      <c r="AM2487" s="74"/>
      <c r="AW2487" s="74"/>
      <c r="AX2487" s="74"/>
    </row>
    <row r="2488" spans="1:50" ht="13" x14ac:dyDescent="0.15">
      <c r="A2488" s="55" t="str">
        <f>HYPERLINK("http://reports.ofsted.gov.uk/inspection-reports/find-inspection-report/provider/CARE/SC064663","Ofsted Social Care Provider Webpage")</f>
        <v>Ofsted Social Care Provider Webpage</v>
      </c>
      <c r="B2488" s="55" t="s">
        <v>4661</v>
      </c>
      <c r="D2488" s="55" t="s">
        <v>373</v>
      </c>
      <c r="E2488" s="74">
        <v>38579</v>
      </c>
      <c r="F2488" s="55" t="s">
        <v>344</v>
      </c>
      <c r="G2488" s="55" t="s">
        <v>360</v>
      </c>
      <c r="H2488" s="55" t="s">
        <v>360</v>
      </c>
      <c r="I2488" s="55" t="s">
        <v>360</v>
      </c>
      <c r="J2488" s="55" t="s">
        <v>360</v>
      </c>
      <c r="K2488" s="55" t="s">
        <v>360</v>
      </c>
      <c r="L2488" s="55" t="s">
        <v>360</v>
      </c>
      <c r="M2488" s="55" t="s">
        <v>144</v>
      </c>
      <c r="N2488" s="55" t="s">
        <v>144</v>
      </c>
      <c r="O2488" s="55" t="s">
        <v>250</v>
      </c>
      <c r="P2488" s="55" t="s">
        <v>1372</v>
      </c>
      <c r="Q2488" s="55" t="s">
        <v>350</v>
      </c>
      <c r="R2488" s="85">
        <v>7</v>
      </c>
      <c r="S2488" s="55">
        <v>0</v>
      </c>
      <c r="T2488" s="74" t="s">
        <v>4662</v>
      </c>
      <c r="U2488" s="74" t="s">
        <v>351</v>
      </c>
      <c r="V2488" s="74">
        <v>44495</v>
      </c>
      <c r="W2488" s="74">
        <v>44529</v>
      </c>
      <c r="X2488" s="55">
        <v>10187490</v>
      </c>
      <c r="Y2488" s="55" t="s">
        <v>146</v>
      </c>
      <c r="AB2488" s="74" t="s">
        <v>146</v>
      </c>
      <c r="AC2488" s="55" t="s">
        <v>146</v>
      </c>
      <c r="AL2488" s="74"/>
      <c r="AM2488" s="74"/>
      <c r="AW2488" s="74"/>
      <c r="AX2488" s="74"/>
    </row>
    <row r="2489" spans="1:50" ht="13" x14ac:dyDescent="0.15">
      <c r="A2489" s="55" t="str">
        <f>HYPERLINK("http://reports.ofsted.gov.uk/inspection-reports/find-inspection-report/provider/CARE/SC064663","Ofsted Social Care Provider Webpage")</f>
        <v>Ofsted Social Care Provider Webpage</v>
      </c>
      <c r="B2489" s="55" t="s">
        <v>4661</v>
      </c>
      <c r="D2489" s="55" t="s">
        <v>373</v>
      </c>
      <c r="E2489" s="74">
        <v>38579</v>
      </c>
      <c r="F2489" s="55" t="s">
        <v>344</v>
      </c>
      <c r="G2489" s="55" t="s">
        <v>360</v>
      </c>
      <c r="H2489" s="55" t="s">
        <v>360</v>
      </c>
      <c r="I2489" s="55" t="s">
        <v>360</v>
      </c>
      <c r="J2489" s="55" t="s">
        <v>360</v>
      </c>
      <c r="K2489" s="55" t="s">
        <v>360</v>
      </c>
      <c r="L2489" s="55" t="s">
        <v>360</v>
      </c>
      <c r="M2489" s="55" t="s">
        <v>144</v>
      </c>
      <c r="N2489" s="55" t="s">
        <v>144</v>
      </c>
      <c r="O2489" s="55" t="s">
        <v>250</v>
      </c>
      <c r="P2489" s="55" t="s">
        <v>1372</v>
      </c>
      <c r="Q2489" s="55" t="s">
        <v>350</v>
      </c>
      <c r="R2489" s="85">
        <v>7</v>
      </c>
      <c r="S2489" s="55">
        <v>0</v>
      </c>
      <c r="T2489" s="74" t="s">
        <v>4662</v>
      </c>
      <c r="U2489" s="74" t="s">
        <v>351</v>
      </c>
      <c r="V2489" s="74">
        <v>44635</v>
      </c>
      <c r="W2489" s="74">
        <v>44679</v>
      </c>
      <c r="X2489" s="55">
        <v>10218022</v>
      </c>
      <c r="Y2489" s="55" t="s">
        <v>132</v>
      </c>
      <c r="AB2489" s="74" t="s">
        <v>132</v>
      </c>
      <c r="AC2489" s="55" t="s">
        <v>132</v>
      </c>
      <c r="AL2489" s="74"/>
      <c r="AM2489" s="74"/>
      <c r="AW2489" s="74"/>
      <c r="AX2489" s="74"/>
    </row>
    <row r="2490" spans="1:50" ht="13" x14ac:dyDescent="0.15">
      <c r="A2490" s="55" t="str">
        <f>HYPERLINK("http://reports.ofsted.gov.uk/inspection-reports/find-inspection-report/provider/CARE/SC064666","Ofsted Social Care Provider Webpage")</f>
        <v>Ofsted Social Care Provider Webpage</v>
      </c>
      <c r="B2490" s="55" t="s">
        <v>4663</v>
      </c>
      <c r="D2490" s="55" t="s">
        <v>373</v>
      </c>
      <c r="E2490" s="74">
        <v>38797</v>
      </c>
      <c r="F2490" s="55" t="s">
        <v>344</v>
      </c>
      <c r="G2490" s="55" t="s">
        <v>360</v>
      </c>
      <c r="H2490" s="55" t="s">
        <v>360</v>
      </c>
      <c r="I2490" s="55" t="s">
        <v>360</v>
      </c>
      <c r="J2490" s="55" t="s">
        <v>360</v>
      </c>
      <c r="K2490" s="55" t="s">
        <v>360</v>
      </c>
      <c r="L2490" s="55" t="s">
        <v>360</v>
      </c>
      <c r="M2490" s="55" t="s">
        <v>144</v>
      </c>
      <c r="N2490" s="55" t="s">
        <v>144</v>
      </c>
      <c r="O2490" s="55" t="s">
        <v>217</v>
      </c>
      <c r="P2490" s="55" t="s">
        <v>397</v>
      </c>
      <c r="Q2490" s="55" t="s">
        <v>350</v>
      </c>
      <c r="R2490" s="85">
        <v>2</v>
      </c>
      <c r="S2490" s="55">
        <v>0</v>
      </c>
      <c r="T2490" s="74" t="s">
        <v>385</v>
      </c>
      <c r="U2490" s="74" t="s">
        <v>351</v>
      </c>
      <c r="V2490" s="74">
        <v>44342</v>
      </c>
      <c r="W2490" s="74">
        <v>44378</v>
      </c>
      <c r="X2490" s="55">
        <v>10187087</v>
      </c>
      <c r="Y2490" s="55" t="s">
        <v>132</v>
      </c>
      <c r="AB2490" s="74" t="s">
        <v>130</v>
      </c>
      <c r="AC2490" s="55" t="s">
        <v>132</v>
      </c>
      <c r="AL2490" s="74"/>
      <c r="AM2490" s="74"/>
      <c r="AW2490" s="74"/>
      <c r="AX2490" s="74"/>
    </row>
    <row r="2491" spans="1:50" ht="13" x14ac:dyDescent="0.15">
      <c r="A2491" s="55" t="str">
        <f>HYPERLINK("http://reports.ofsted.gov.uk/inspection-reports/find-inspection-report/provider/CARE/SC064735","Ofsted Social Care Provider Webpage")</f>
        <v>Ofsted Social Care Provider Webpage</v>
      </c>
      <c r="B2491" s="55" t="s">
        <v>4664</v>
      </c>
      <c r="D2491" s="55" t="s">
        <v>373</v>
      </c>
      <c r="E2491" s="74">
        <v>38622</v>
      </c>
      <c r="F2491" s="55" t="s">
        <v>344</v>
      </c>
      <c r="G2491" s="55" t="s">
        <v>360</v>
      </c>
      <c r="H2491" s="55" t="s">
        <v>360</v>
      </c>
      <c r="I2491" s="55" t="s">
        <v>360</v>
      </c>
      <c r="J2491" s="55" t="s">
        <v>360</v>
      </c>
      <c r="K2491" s="55" t="s">
        <v>360</v>
      </c>
      <c r="L2491" s="55" t="s">
        <v>360</v>
      </c>
      <c r="M2491" s="55" t="s">
        <v>144</v>
      </c>
      <c r="N2491" s="55" t="s">
        <v>144</v>
      </c>
      <c r="O2491" s="55" t="s">
        <v>209</v>
      </c>
      <c r="P2491" s="55" t="s">
        <v>1858</v>
      </c>
      <c r="Q2491" s="55" t="s">
        <v>380</v>
      </c>
      <c r="R2491" s="85">
        <v>4</v>
      </c>
      <c r="S2491" s="55">
        <v>0</v>
      </c>
      <c r="T2491" s="74" t="s">
        <v>657</v>
      </c>
      <c r="U2491" s="74" t="s">
        <v>351</v>
      </c>
      <c r="V2491" s="74">
        <v>44475</v>
      </c>
      <c r="W2491" s="74">
        <v>44510</v>
      </c>
      <c r="X2491" s="55">
        <v>10186352</v>
      </c>
      <c r="Y2491" s="55" t="s">
        <v>132</v>
      </c>
      <c r="AB2491" s="74" t="s">
        <v>132</v>
      </c>
      <c r="AC2491" s="55" t="s">
        <v>132</v>
      </c>
      <c r="AL2491" s="74"/>
      <c r="AM2491" s="74"/>
      <c r="AW2491" s="74"/>
      <c r="AX2491" s="74"/>
    </row>
    <row r="2492" spans="1:50" ht="13" x14ac:dyDescent="0.15">
      <c r="A2492" s="55" t="str">
        <f>HYPERLINK("http://reports.ofsted.gov.uk/inspection-reports/find-inspection-report/provider/CARE/SC064836","Ofsted Social Care Provider Webpage")</f>
        <v>Ofsted Social Care Provider Webpage</v>
      </c>
      <c r="B2492" s="55" t="s">
        <v>4665</v>
      </c>
      <c r="D2492" s="55" t="s">
        <v>373</v>
      </c>
      <c r="E2492" s="74">
        <v>38540</v>
      </c>
      <c r="F2492" s="55" t="s">
        <v>344</v>
      </c>
      <c r="G2492" s="55" t="s">
        <v>360</v>
      </c>
      <c r="H2492" s="55" t="s">
        <v>360</v>
      </c>
      <c r="I2492" s="55" t="s">
        <v>360</v>
      </c>
      <c r="J2492" s="55" t="s">
        <v>360</v>
      </c>
      <c r="K2492" s="55" t="s">
        <v>360</v>
      </c>
      <c r="L2492" s="55" t="s">
        <v>360</v>
      </c>
      <c r="M2492" s="55" t="s">
        <v>144</v>
      </c>
      <c r="N2492" s="55" t="s">
        <v>144</v>
      </c>
      <c r="O2492" s="55" t="s">
        <v>245</v>
      </c>
      <c r="P2492" s="55" t="s">
        <v>1796</v>
      </c>
      <c r="Q2492" s="55" t="s">
        <v>350</v>
      </c>
      <c r="R2492" s="85">
        <v>3</v>
      </c>
      <c r="S2492" s="55">
        <v>0</v>
      </c>
      <c r="T2492" s="74" t="s">
        <v>613</v>
      </c>
      <c r="U2492" s="74" t="s">
        <v>351</v>
      </c>
      <c r="V2492" s="74">
        <v>44635</v>
      </c>
      <c r="W2492" s="74">
        <v>44680</v>
      </c>
      <c r="X2492" s="55">
        <v>10186393</v>
      </c>
      <c r="Y2492" s="55" t="s">
        <v>132</v>
      </c>
      <c r="AB2492" s="74" t="s">
        <v>132</v>
      </c>
      <c r="AC2492" s="55" t="s">
        <v>132</v>
      </c>
      <c r="AL2492" s="74"/>
      <c r="AM2492" s="74"/>
      <c r="AW2492" s="74"/>
      <c r="AX2492" s="74"/>
    </row>
    <row r="2493" spans="1:50" ht="13" x14ac:dyDescent="0.15">
      <c r="A2493" s="55" t="str">
        <f>HYPERLINK("http://reports.ofsted.gov.uk/inspection-reports/find-inspection-report/provider/CARE/SC064858","Ofsted Social Care Provider Webpage")</f>
        <v>Ofsted Social Care Provider Webpage</v>
      </c>
      <c r="B2493" s="55" t="s">
        <v>4666</v>
      </c>
      <c r="D2493" s="55" t="s">
        <v>373</v>
      </c>
      <c r="E2493" s="74">
        <v>38527</v>
      </c>
      <c r="F2493" s="55" t="s">
        <v>344</v>
      </c>
      <c r="G2493" s="55" t="s">
        <v>360</v>
      </c>
      <c r="H2493" s="55" t="s">
        <v>360</v>
      </c>
      <c r="I2493" s="55" t="s">
        <v>360</v>
      </c>
      <c r="J2493" s="55" t="s">
        <v>360</v>
      </c>
      <c r="K2493" s="55" t="s">
        <v>360</v>
      </c>
      <c r="L2493" s="55" t="s">
        <v>360</v>
      </c>
      <c r="M2493" s="55" t="s">
        <v>144</v>
      </c>
      <c r="N2493" s="55" t="s">
        <v>144</v>
      </c>
      <c r="O2493" s="55" t="s">
        <v>248</v>
      </c>
      <c r="P2493" s="55" t="s">
        <v>439</v>
      </c>
      <c r="Q2493" s="55" t="s">
        <v>380</v>
      </c>
      <c r="R2493" s="85">
        <v>4</v>
      </c>
      <c r="S2493" s="55">
        <v>0</v>
      </c>
      <c r="T2493" s="74" t="s">
        <v>3749</v>
      </c>
      <c r="U2493" s="74" t="s">
        <v>351</v>
      </c>
      <c r="V2493" s="74">
        <v>44404</v>
      </c>
      <c r="W2493" s="74">
        <v>44439</v>
      </c>
      <c r="X2493" s="55">
        <v>10198644</v>
      </c>
      <c r="Y2493" s="55" t="s">
        <v>130</v>
      </c>
      <c r="AB2493" s="74" t="s">
        <v>130</v>
      </c>
      <c r="AC2493" s="55" t="s">
        <v>130</v>
      </c>
      <c r="AL2493" s="74"/>
      <c r="AM2493" s="74"/>
      <c r="AW2493" s="74"/>
      <c r="AX2493" s="74"/>
    </row>
    <row r="2494" spans="1:50" ht="13" x14ac:dyDescent="0.15">
      <c r="A2494" s="55" t="str">
        <f>HYPERLINK("http://reports.ofsted.gov.uk/inspection-reports/find-inspection-report/provider/CARE/SC064858","Ofsted Social Care Provider Webpage")</f>
        <v>Ofsted Social Care Provider Webpage</v>
      </c>
      <c r="B2494" s="55" t="s">
        <v>4666</v>
      </c>
      <c r="D2494" s="55" t="s">
        <v>373</v>
      </c>
      <c r="E2494" s="74">
        <v>38527</v>
      </c>
      <c r="F2494" s="55" t="s">
        <v>344</v>
      </c>
      <c r="G2494" s="55" t="s">
        <v>360</v>
      </c>
      <c r="H2494" s="55" t="s">
        <v>360</v>
      </c>
      <c r="I2494" s="55" t="s">
        <v>360</v>
      </c>
      <c r="J2494" s="55" t="s">
        <v>360</v>
      </c>
      <c r="K2494" s="55" t="s">
        <v>360</v>
      </c>
      <c r="L2494" s="55" t="s">
        <v>360</v>
      </c>
      <c r="M2494" s="55" t="s">
        <v>144</v>
      </c>
      <c r="N2494" s="55" t="s">
        <v>144</v>
      </c>
      <c r="O2494" s="55" t="s">
        <v>248</v>
      </c>
      <c r="P2494" s="55" t="s">
        <v>439</v>
      </c>
      <c r="Q2494" s="55" t="s">
        <v>380</v>
      </c>
      <c r="R2494" s="85">
        <v>4</v>
      </c>
      <c r="S2494" s="55">
        <v>0</v>
      </c>
      <c r="T2494" s="74" t="s">
        <v>3749</v>
      </c>
      <c r="U2494" s="74" t="s">
        <v>2053</v>
      </c>
      <c r="V2494" s="74">
        <v>44349</v>
      </c>
      <c r="W2494" s="74">
        <v>44386</v>
      </c>
      <c r="X2494" s="55">
        <v>10196868</v>
      </c>
      <c r="AL2494" s="74"/>
      <c r="AM2494" s="74"/>
      <c r="AW2494" s="74"/>
      <c r="AX2494" s="74"/>
    </row>
    <row r="2495" spans="1:50" ht="13" x14ac:dyDescent="0.15">
      <c r="A2495" s="55" t="str">
        <f>HYPERLINK("http://reports.ofsted.gov.uk/inspection-reports/find-inspection-report/provider/CARE/SC064858","Ofsted Social Care Provider Webpage")</f>
        <v>Ofsted Social Care Provider Webpage</v>
      </c>
      <c r="B2495" s="55" t="s">
        <v>4666</v>
      </c>
      <c r="D2495" s="55" t="s">
        <v>373</v>
      </c>
      <c r="E2495" s="74">
        <v>38527</v>
      </c>
      <c r="F2495" s="55" t="s">
        <v>344</v>
      </c>
      <c r="G2495" s="55" t="s">
        <v>360</v>
      </c>
      <c r="H2495" s="55" t="s">
        <v>360</v>
      </c>
      <c r="I2495" s="55" t="s">
        <v>360</v>
      </c>
      <c r="J2495" s="55" t="s">
        <v>360</v>
      </c>
      <c r="K2495" s="55" t="s">
        <v>360</v>
      </c>
      <c r="L2495" s="55" t="s">
        <v>360</v>
      </c>
      <c r="M2495" s="55" t="s">
        <v>144</v>
      </c>
      <c r="N2495" s="55" t="s">
        <v>144</v>
      </c>
      <c r="O2495" s="55" t="s">
        <v>248</v>
      </c>
      <c r="P2495" s="55" t="s">
        <v>439</v>
      </c>
      <c r="Q2495" s="55" t="s">
        <v>380</v>
      </c>
      <c r="R2495" s="85">
        <v>4</v>
      </c>
      <c r="S2495" s="55">
        <v>0</v>
      </c>
      <c r="T2495" s="74" t="s">
        <v>3749</v>
      </c>
      <c r="U2495" s="74" t="s">
        <v>351</v>
      </c>
      <c r="V2495" s="74">
        <v>44314</v>
      </c>
      <c r="W2495" s="74">
        <v>44349</v>
      </c>
      <c r="X2495" s="55">
        <v>10187048</v>
      </c>
      <c r="Y2495" s="55" t="s">
        <v>146</v>
      </c>
      <c r="AB2495" s="74" t="s">
        <v>146</v>
      </c>
      <c r="AC2495" s="55" t="s">
        <v>146</v>
      </c>
      <c r="AL2495" s="74"/>
      <c r="AM2495" s="74"/>
    </row>
    <row r="2496" spans="1:50" ht="13" x14ac:dyDescent="0.15">
      <c r="A2496" s="55" t="str">
        <f>HYPERLINK("http://reports.ofsted.gov.uk/inspection-reports/find-inspection-report/provider/CARE/SC064931","Ofsted Social Care Provider Webpage")</f>
        <v>Ofsted Social Care Provider Webpage</v>
      </c>
      <c r="B2496" s="55" t="s">
        <v>4673</v>
      </c>
      <c r="D2496" s="55" t="s">
        <v>373</v>
      </c>
      <c r="E2496" s="74">
        <v>38617</v>
      </c>
      <c r="F2496" s="55" t="s">
        <v>344</v>
      </c>
      <c r="G2496" s="55" t="s">
        <v>360</v>
      </c>
      <c r="H2496" s="55" t="s">
        <v>360</v>
      </c>
      <c r="I2496" s="55" t="s">
        <v>360</v>
      </c>
      <c r="J2496" s="55" t="s">
        <v>360</v>
      </c>
      <c r="K2496" s="55" t="s">
        <v>360</v>
      </c>
      <c r="L2496" s="55" t="s">
        <v>360</v>
      </c>
      <c r="M2496" s="55" t="s">
        <v>378</v>
      </c>
      <c r="N2496" s="55" t="s">
        <v>170</v>
      </c>
      <c r="O2496" s="55" t="s">
        <v>169</v>
      </c>
      <c r="P2496" s="55" t="s">
        <v>169</v>
      </c>
      <c r="Q2496" s="55" t="s">
        <v>350</v>
      </c>
      <c r="R2496" s="85">
        <v>8</v>
      </c>
      <c r="S2496" s="55">
        <v>0</v>
      </c>
      <c r="T2496" s="74" t="s">
        <v>2367</v>
      </c>
      <c r="U2496" s="74" t="s">
        <v>351</v>
      </c>
      <c r="V2496" s="74">
        <v>44621</v>
      </c>
      <c r="W2496" s="74">
        <v>44663</v>
      </c>
      <c r="X2496" s="55">
        <v>10186584</v>
      </c>
      <c r="Y2496" s="55" t="s">
        <v>132</v>
      </c>
      <c r="AB2496" s="74" t="s">
        <v>132</v>
      </c>
      <c r="AC2496" s="55" t="s">
        <v>140</v>
      </c>
      <c r="AL2496" s="74"/>
      <c r="AM2496" s="74"/>
      <c r="AW2496" s="74"/>
      <c r="AX2496" s="74"/>
    </row>
    <row r="2497" spans="1:50" ht="13" x14ac:dyDescent="0.15">
      <c r="A2497" s="55" t="str">
        <f>HYPERLINK("http://reports.ofsted.gov.uk/inspection-reports/find-inspection-report/provider/CARE/SC065046","Ofsted Social Care Provider Webpage")</f>
        <v>Ofsted Social Care Provider Webpage</v>
      </c>
      <c r="B2497" s="55" t="s">
        <v>4675</v>
      </c>
      <c r="D2497" s="55" t="s">
        <v>373</v>
      </c>
      <c r="E2497" s="74">
        <v>38611</v>
      </c>
      <c r="F2497" s="55" t="s">
        <v>344</v>
      </c>
      <c r="G2497" s="55" t="s">
        <v>360</v>
      </c>
      <c r="H2497" s="55" t="s">
        <v>360</v>
      </c>
      <c r="I2497" s="55" t="s">
        <v>360</v>
      </c>
      <c r="J2497" s="55" t="s">
        <v>360</v>
      </c>
      <c r="K2497" s="55" t="s">
        <v>360</v>
      </c>
      <c r="L2497" s="55" t="s">
        <v>360</v>
      </c>
      <c r="M2497" s="55" t="s">
        <v>136</v>
      </c>
      <c r="N2497" s="55" t="s">
        <v>136</v>
      </c>
      <c r="O2497" s="55" t="s">
        <v>705</v>
      </c>
      <c r="P2497" s="55" t="s">
        <v>891</v>
      </c>
      <c r="Q2497" s="55" t="s">
        <v>350</v>
      </c>
      <c r="R2497" s="85">
        <v>3</v>
      </c>
      <c r="S2497" s="55">
        <v>0</v>
      </c>
      <c r="T2497" s="74" t="s">
        <v>892</v>
      </c>
      <c r="U2497" s="74" t="s">
        <v>351</v>
      </c>
      <c r="V2497" s="74">
        <v>44608</v>
      </c>
      <c r="W2497" s="74">
        <v>44652</v>
      </c>
      <c r="X2497" s="55">
        <v>10186499</v>
      </c>
      <c r="Y2497" s="55" t="s">
        <v>132</v>
      </c>
      <c r="AB2497" s="74" t="s">
        <v>132</v>
      </c>
      <c r="AC2497" s="55" t="s">
        <v>132</v>
      </c>
      <c r="AL2497" s="74"/>
      <c r="AM2497" s="74"/>
      <c r="AW2497" s="74"/>
      <c r="AX2497" s="74"/>
    </row>
    <row r="2498" spans="1:50" ht="13" x14ac:dyDescent="0.15">
      <c r="A2498" s="55" t="str">
        <f>HYPERLINK("http://reports.ofsted.gov.uk/inspection-reports/find-inspection-report/provider/CARE/SC065059","Ofsted Social Care Provider Webpage")</f>
        <v>Ofsted Social Care Provider Webpage</v>
      </c>
      <c r="B2498" s="55" t="s">
        <v>4676</v>
      </c>
      <c r="D2498" s="55" t="s">
        <v>373</v>
      </c>
      <c r="E2498" s="74">
        <v>38770</v>
      </c>
      <c r="F2498" s="55" t="s">
        <v>344</v>
      </c>
      <c r="G2498" s="55" t="s">
        <v>360</v>
      </c>
      <c r="H2498" s="55" t="s">
        <v>360</v>
      </c>
      <c r="I2498" s="55" t="s">
        <v>360</v>
      </c>
      <c r="J2498" s="55" t="s">
        <v>360</v>
      </c>
      <c r="K2498" s="55" t="s">
        <v>360</v>
      </c>
      <c r="L2498" s="55" t="s">
        <v>360</v>
      </c>
      <c r="M2498" s="55" t="s">
        <v>142</v>
      </c>
      <c r="N2498" s="55" t="s">
        <v>142</v>
      </c>
      <c r="O2498" s="55" t="s">
        <v>265</v>
      </c>
      <c r="P2498" s="55" t="s">
        <v>540</v>
      </c>
      <c r="Q2498" s="55" t="s">
        <v>380</v>
      </c>
      <c r="R2498" s="85">
        <v>2</v>
      </c>
      <c r="S2498" s="55">
        <v>0</v>
      </c>
      <c r="T2498" s="74" t="s">
        <v>1067</v>
      </c>
      <c r="U2498" s="74" t="s">
        <v>351</v>
      </c>
      <c r="V2498" s="74">
        <v>44411</v>
      </c>
      <c r="W2498" s="74">
        <v>44456</v>
      </c>
      <c r="X2498" s="55">
        <v>10187362</v>
      </c>
      <c r="Y2498" s="55" t="s">
        <v>132</v>
      </c>
      <c r="AB2498" s="74" t="s">
        <v>130</v>
      </c>
      <c r="AC2498" s="55" t="s">
        <v>132</v>
      </c>
      <c r="AL2498" s="74"/>
      <c r="AM2498" s="74"/>
      <c r="AW2498" s="74"/>
      <c r="AX2498" s="74"/>
    </row>
    <row r="2499" spans="1:50" ht="13" x14ac:dyDescent="0.15">
      <c r="A2499" s="55" t="str">
        <f>HYPERLINK("http://reports.ofsted.gov.uk/inspection-reports/find-inspection-report/provider/CARE/SC065067","Ofsted Social Care Provider Webpage")</f>
        <v>Ofsted Social Care Provider Webpage</v>
      </c>
      <c r="B2499" s="55" t="s">
        <v>4677</v>
      </c>
      <c r="D2499" s="55" t="s">
        <v>373</v>
      </c>
      <c r="E2499" s="74">
        <v>38596</v>
      </c>
      <c r="F2499" s="55" t="s">
        <v>344</v>
      </c>
      <c r="G2499" s="55" t="s">
        <v>360</v>
      </c>
      <c r="H2499" s="55" t="s">
        <v>360</v>
      </c>
      <c r="I2499" s="55" t="s">
        <v>360</v>
      </c>
      <c r="J2499" s="55" t="s">
        <v>360</v>
      </c>
      <c r="K2499" s="55" t="s">
        <v>360</v>
      </c>
      <c r="L2499" s="55" t="s">
        <v>360</v>
      </c>
      <c r="M2499" s="55" t="s">
        <v>144</v>
      </c>
      <c r="N2499" s="55" t="s">
        <v>144</v>
      </c>
      <c r="O2499" s="55" t="s">
        <v>248</v>
      </c>
      <c r="P2499" s="55" t="s">
        <v>439</v>
      </c>
      <c r="Q2499" s="55" t="s">
        <v>380</v>
      </c>
      <c r="R2499" s="85">
        <v>5</v>
      </c>
      <c r="S2499" s="55">
        <v>0</v>
      </c>
      <c r="T2499" s="74" t="s">
        <v>3749</v>
      </c>
      <c r="U2499" s="74" t="s">
        <v>351</v>
      </c>
      <c r="V2499" s="74">
        <v>44383</v>
      </c>
      <c r="W2499" s="74">
        <v>44418</v>
      </c>
      <c r="X2499" s="55">
        <v>10185598</v>
      </c>
      <c r="Y2499" s="55" t="s">
        <v>146</v>
      </c>
      <c r="AB2499" s="74" t="s">
        <v>146</v>
      </c>
      <c r="AC2499" s="55" t="s">
        <v>146</v>
      </c>
      <c r="AL2499" s="74"/>
      <c r="AM2499" s="74"/>
      <c r="AW2499" s="74"/>
      <c r="AX2499" s="74"/>
    </row>
    <row r="2500" spans="1:50" ht="13" x14ac:dyDescent="0.15">
      <c r="A2500" s="55" t="str">
        <f>HYPERLINK("http://reports.ofsted.gov.uk/inspection-reports/find-inspection-report/provider/CARE/SC065067","Ofsted Social Care Provider Webpage")</f>
        <v>Ofsted Social Care Provider Webpage</v>
      </c>
      <c r="B2500" s="55" t="s">
        <v>4677</v>
      </c>
      <c r="D2500" s="55" t="s">
        <v>373</v>
      </c>
      <c r="E2500" s="74">
        <v>38596</v>
      </c>
      <c r="F2500" s="55" t="s">
        <v>344</v>
      </c>
      <c r="G2500" s="55" t="s">
        <v>360</v>
      </c>
      <c r="H2500" s="55" t="s">
        <v>360</v>
      </c>
      <c r="I2500" s="55" t="s">
        <v>360</v>
      </c>
      <c r="J2500" s="55" t="s">
        <v>360</v>
      </c>
      <c r="K2500" s="55" t="s">
        <v>360</v>
      </c>
      <c r="L2500" s="55" t="s">
        <v>360</v>
      </c>
      <c r="M2500" s="55" t="s">
        <v>144</v>
      </c>
      <c r="N2500" s="55" t="s">
        <v>144</v>
      </c>
      <c r="O2500" s="55" t="s">
        <v>248</v>
      </c>
      <c r="P2500" s="55" t="s">
        <v>439</v>
      </c>
      <c r="Q2500" s="55" t="s">
        <v>380</v>
      </c>
      <c r="R2500" s="85">
        <v>5</v>
      </c>
      <c r="S2500" s="55">
        <v>0</v>
      </c>
      <c r="T2500" s="74" t="s">
        <v>3749</v>
      </c>
      <c r="U2500" s="74" t="s">
        <v>2053</v>
      </c>
      <c r="V2500" s="74">
        <v>44432</v>
      </c>
      <c r="W2500" s="74">
        <v>44459</v>
      </c>
      <c r="X2500" s="55">
        <v>10201962</v>
      </c>
      <c r="AL2500" s="74"/>
      <c r="AM2500" s="74"/>
      <c r="AW2500" s="74"/>
      <c r="AX2500" s="74"/>
    </row>
    <row r="2501" spans="1:50" ht="13" x14ac:dyDescent="0.15">
      <c r="A2501" s="55" t="str">
        <f>HYPERLINK("http://reports.ofsted.gov.uk/inspection-reports/find-inspection-report/provider/CARE/SC065067","Ofsted Social Care Provider Webpage")</f>
        <v>Ofsted Social Care Provider Webpage</v>
      </c>
      <c r="B2501" s="55" t="s">
        <v>4677</v>
      </c>
      <c r="D2501" s="55" t="s">
        <v>373</v>
      </c>
      <c r="E2501" s="74">
        <v>38596</v>
      </c>
      <c r="F2501" s="55" t="s">
        <v>344</v>
      </c>
      <c r="G2501" s="55" t="s">
        <v>360</v>
      </c>
      <c r="H2501" s="55" t="s">
        <v>360</v>
      </c>
      <c r="I2501" s="55" t="s">
        <v>360</v>
      </c>
      <c r="J2501" s="55" t="s">
        <v>360</v>
      </c>
      <c r="K2501" s="55" t="s">
        <v>360</v>
      </c>
      <c r="L2501" s="55" t="s">
        <v>360</v>
      </c>
      <c r="M2501" s="55" t="s">
        <v>144</v>
      </c>
      <c r="N2501" s="55" t="s">
        <v>144</v>
      </c>
      <c r="O2501" s="55" t="s">
        <v>248</v>
      </c>
      <c r="P2501" s="55" t="s">
        <v>439</v>
      </c>
      <c r="Q2501" s="55" t="s">
        <v>380</v>
      </c>
      <c r="R2501" s="85">
        <v>5</v>
      </c>
      <c r="S2501" s="55">
        <v>0</v>
      </c>
      <c r="T2501" s="74" t="s">
        <v>3749</v>
      </c>
      <c r="U2501" s="74" t="s">
        <v>351</v>
      </c>
      <c r="V2501" s="74">
        <v>44488</v>
      </c>
      <c r="W2501" s="74">
        <v>44522</v>
      </c>
      <c r="X2501" s="55">
        <v>10205288</v>
      </c>
      <c r="Y2501" s="55" t="s">
        <v>130</v>
      </c>
      <c r="AB2501" s="74" t="s">
        <v>130</v>
      </c>
      <c r="AC2501" s="55" t="s">
        <v>130</v>
      </c>
      <c r="AL2501" s="74"/>
      <c r="AM2501" s="74"/>
    </row>
    <row r="2502" spans="1:50" ht="13" x14ac:dyDescent="0.15">
      <c r="A2502" s="55" t="str">
        <f>HYPERLINK("http://reports.ofsted.gov.uk/inspection-reports/find-inspection-report/provider/CARE/SC065071","Ofsted Social Care Provider Webpage")</f>
        <v>Ofsted Social Care Provider Webpage</v>
      </c>
      <c r="B2502" s="55" t="s">
        <v>4678</v>
      </c>
      <c r="D2502" s="55" t="s">
        <v>479</v>
      </c>
      <c r="E2502" s="74">
        <v>38656</v>
      </c>
      <c r="F2502" s="55" t="s">
        <v>344</v>
      </c>
      <c r="G2502" s="55" t="s">
        <v>360</v>
      </c>
      <c r="H2502" s="55" t="s">
        <v>360</v>
      </c>
      <c r="I2502" s="55" t="s">
        <v>360</v>
      </c>
      <c r="J2502" s="55" t="s">
        <v>360</v>
      </c>
      <c r="K2502" s="55" t="s">
        <v>360</v>
      </c>
      <c r="L2502" s="55" t="s">
        <v>360</v>
      </c>
      <c r="M2502" s="55" t="s">
        <v>172</v>
      </c>
      <c r="N2502" s="55" t="s">
        <v>172</v>
      </c>
      <c r="O2502" s="55" t="s">
        <v>247</v>
      </c>
      <c r="P2502" s="55" t="s">
        <v>798</v>
      </c>
      <c r="Q2502" s="55" t="s">
        <v>350</v>
      </c>
      <c r="R2502" s="85">
        <v>12</v>
      </c>
      <c r="S2502" s="55">
        <v>0</v>
      </c>
      <c r="T2502" s="74" t="s">
        <v>4679</v>
      </c>
      <c r="U2502" s="74" t="s">
        <v>351</v>
      </c>
      <c r="V2502" s="74">
        <v>44614</v>
      </c>
      <c r="W2502" s="74">
        <v>44650</v>
      </c>
      <c r="X2502" s="55">
        <v>10185098</v>
      </c>
      <c r="Y2502" s="55" t="s">
        <v>140</v>
      </c>
      <c r="AB2502" s="74" t="s">
        <v>140</v>
      </c>
      <c r="AC2502" s="55" t="s">
        <v>140</v>
      </c>
      <c r="AL2502" s="74"/>
      <c r="AM2502" s="74"/>
      <c r="AW2502" s="74"/>
      <c r="AX2502" s="74"/>
    </row>
    <row r="2503" spans="1:50" ht="13" x14ac:dyDescent="0.15">
      <c r="A2503" s="55" t="str">
        <f>HYPERLINK("http://reports.ofsted.gov.uk/inspection-reports/find-inspection-report/provider/CARE/SC065072","Ofsted Social Care Provider Webpage")</f>
        <v>Ofsted Social Care Provider Webpage</v>
      </c>
      <c r="B2503" s="55" t="s">
        <v>4680</v>
      </c>
      <c r="D2503" s="55" t="s">
        <v>373</v>
      </c>
      <c r="E2503" s="74">
        <v>38588</v>
      </c>
      <c r="F2503" s="55" t="s">
        <v>344</v>
      </c>
      <c r="G2503" s="55" t="s">
        <v>360</v>
      </c>
      <c r="H2503" s="55" t="s">
        <v>360</v>
      </c>
      <c r="I2503" s="55" t="s">
        <v>360</v>
      </c>
      <c r="J2503" s="55" t="s">
        <v>360</v>
      </c>
      <c r="K2503" s="55" t="s">
        <v>360</v>
      </c>
      <c r="L2503" s="55" t="s">
        <v>360</v>
      </c>
      <c r="M2503" s="55" t="s">
        <v>144</v>
      </c>
      <c r="N2503" s="55" t="s">
        <v>144</v>
      </c>
      <c r="O2503" s="55" t="s">
        <v>245</v>
      </c>
      <c r="P2503" s="55" t="s">
        <v>245</v>
      </c>
      <c r="Q2503" s="55" t="s">
        <v>350</v>
      </c>
      <c r="R2503" s="85">
        <v>2</v>
      </c>
      <c r="S2503" s="55">
        <v>0</v>
      </c>
      <c r="T2503" s="74" t="s">
        <v>711</v>
      </c>
      <c r="U2503" s="74" t="s">
        <v>351</v>
      </c>
      <c r="V2503" s="74">
        <v>44488</v>
      </c>
      <c r="W2503" s="74">
        <v>44540</v>
      </c>
      <c r="X2503" s="55">
        <v>10187396</v>
      </c>
      <c r="Y2503" s="55" t="s">
        <v>140</v>
      </c>
      <c r="AB2503" s="74" t="s">
        <v>140</v>
      </c>
      <c r="AC2503" s="55" t="s">
        <v>140</v>
      </c>
      <c r="AL2503" s="74"/>
      <c r="AM2503" s="74"/>
      <c r="AW2503" s="74"/>
      <c r="AX2503" s="74"/>
    </row>
    <row r="2504" spans="1:50" ht="13" x14ac:dyDescent="0.15">
      <c r="A2504" s="55" t="str">
        <f>HYPERLINK("http://reports.ofsted.gov.uk/inspection-reports/find-inspection-report/provider/CARE/SC065118","Ofsted Social Care Provider Webpage")</f>
        <v>Ofsted Social Care Provider Webpage</v>
      </c>
      <c r="B2504" s="55" t="s">
        <v>4681</v>
      </c>
      <c r="C2504" s="55">
        <v>142309</v>
      </c>
      <c r="D2504" s="55" t="s">
        <v>413</v>
      </c>
      <c r="E2504" s="74">
        <v>38530</v>
      </c>
      <c r="F2504" s="55" t="s">
        <v>344</v>
      </c>
      <c r="G2504" s="55" t="s">
        <v>4682</v>
      </c>
      <c r="H2504" s="55" t="s">
        <v>4683</v>
      </c>
      <c r="I2504" s="55" t="s">
        <v>4684</v>
      </c>
      <c r="J2504" s="55" t="s">
        <v>4685</v>
      </c>
      <c r="K2504" s="55" t="s">
        <v>214</v>
      </c>
      <c r="L2504" s="55" t="s">
        <v>4686</v>
      </c>
      <c r="M2504" s="55" t="s">
        <v>172</v>
      </c>
      <c r="N2504" s="55" t="s">
        <v>172</v>
      </c>
      <c r="O2504" s="55" t="s">
        <v>214</v>
      </c>
      <c r="P2504" s="55" t="s">
        <v>4687</v>
      </c>
      <c r="Q2504" s="55" t="s">
        <v>420</v>
      </c>
      <c r="R2504" s="85">
        <v>5</v>
      </c>
      <c r="S2504" s="55">
        <v>0</v>
      </c>
      <c r="T2504" s="74" t="s">
        <v>4688</v>
      </c>
      <c r="U2504" s="74" t="s">
        <v>351</v>
      </c>
      <c r="V2504" s="74">
        <v>44523</v>
      </c>
      <c r="W2504" s="74">
        <v>44580</v>
      </c>
      <c r="X2504" s="55">
        <v>10183485</v>
      </c>
      <c r="Y2504" s="55" t="s">
        <v>140</v>
      </c>
      <c r="AB2504" s="74" t="s">
        <v>140</v>
      </c>
      <c r="AC2504" s="55" t="s">
        <v>140</v>
      </c>
      <c r="AL2504" s="74"/>
      <c r="AM2504" s="74"/>
    </row>
    <row r="2505" spans="1:50" ht="13" x14ac:dyDescent="0.15">
      <c r="A2505" s="55" t="str">
        <f>HYPERLINK("http://reports.ofsted.gov.uk/inspection-reports/find-inspection-report/provider/CARE/SC065119","Ofsted Social Care Provider Webpage")</f>
        <v>Ofsted Social Care Provider Webpage</v>
      </c>
      <c r="B2505" s="55" t="s">
        <v>4689</v>
      </c>
      <c r="D2505" s="55" t="s">
        <v>389</v>
      </c>
      <c r="E2505" s="74">
        <v>38637</v>
      </c>
      <c r="F2505" s="55" t="s">
        <v>344</v>
      </c>
      <c r="G2505" s="55" t="s">
        <v>4690</v>
      </c>
      <c r="H2505" s="55" t="s">
        <v>4691</v>
      </c>
      <c r="I2505" s="55" t="s">
        <v>4692</v>
      </c>
      <c r="J2505" s="55" t="s">
        <v>4693</v>
      </c>
      <c r="L2505" s="55" t="s">
        <v>4694</v>
      </c>
      <c r="M2505" s="55" t="s">
        <v>378</v>
      </c>
      <c r="N2505" s="55" t="s">
        <v>170</v>
      </c>
      <c r="O2505" s="55" t="s">
        <v>178</v>
      </c>
      <c r="P2505" s="55" t="s">
        <v>2014</v>
      </c>
      <c r="Q2505" s="55" t="s">
        <v>350</v>
      </c>
      <c r="S2505" s="55">
        <v>0</v>
      </c>
      <c r="T2505" s="74" t="s">
        <v>4695</v>
      </c>
      <c r="U2505" s="74" t="s">
        <v>351</v>
      </c>
      <c r="V2505" s="74">
        <v>44529</v>
      </c>
      <c r="W2505" s="74">
        <v>44582</v>
      </c>
      <c r="X2505" s="55">
        <v>10183379</v>
      </c>
      <c r="Y2505" s="55" t="s">
        <v>132</v>
      </c>
      <c r="AB2505" s="74" t="s">
        <v>132</v>
      </c>
      <c r="AC2505" s="55" t="s">
        <v>132</v>
      </c>
      <c r="AL2505" s="74"/>
      <c r="AM2505" s="74"/>
      <c r="AW2505" s="74"/>
      <c r="AX2505" s="74"/>
    </row>
    <row r="2506" spans="1:50" ht="13" x14ac:dyDescent="0.15">
      <c r="A2506" s="55" t="str">
        <f>HYPERLINK("http://reports.ofsted.gov.uk/inspection-reports/find-inspection-report/provider/CARE/SC065129","Ofsted Social Care Provider Webpage")</f>
        <v>Ofsted Social Care Provider Webpage</v>
      </c>
      <c r="B2506" s="55" t="s">
        <v>4696</v>
      </c>
      <c r="D2506" s="55" t="s">
        <v>373</v>
      </c>
      <c r="E2506" s="74">
        <v>38551</v>
      </c>
      <c r="F2506" s="55" t="s">
        <v>344</v>
      </c>
      <c r="G2506" s="55" t="s">
        <v>360</v>
      </c>
      <c r="H2506" s="55" t="s">
        <v>360</v>
      </c>
      <c r="I2506" s="55" t="s">
        <v>360</v>
      </c>
      <c r="J2506" s="55" t="s">
        <v>360</v>
      </c>
      <c r="K2506" s="55" t="s">
        <v>360</v>
      </c>
      <c r="L2506" s="55" t="s">
        <v>360</v>
      </c>
      <c r="M2506" s="55" t="s">
        <v>150</v>
      </c>
      <c r="N2506" s="55" t="s">
        <v>150</v>
      </c>
      <c r="O2506" s="55" t="s">
        <v>203</v>
      </c>
      <c r="P2506" s="55" t="s">
        <v>1038</v>
      </c>
      <c r="Q2506" s="55" t="s">
        <v>362</v>
      </c>
      <c r="R2506" s="85">
        <v>4</v>
      </c>
      <c r="S2506" s="55">
        <v>0</v>
      </c>
      <c r="T2506" s="74" t="s">
        <v>824</v>
      </c>
      <c r="U2506" s="74" t="s">
        <v>351</v>
      </c>
      <c r="V2506" s="74">
        <v>44426</v>
      </c>
      <c r="W2506" s="74">
        <v>44462</v>
      </c>
      <c r="X2506" s="55">
        <v>10187559</v>
      </c>
      <c r="Y2506" s="55" t="s">
        <v>140</v>
      </c>
      <c r="AB2506" s="74" t="s">
        <v>140</v>
      </c>
      <c r="AC2506" s="55" t="s">
        <v>140</v>
      </c>
      <c r="AL2506" s="74"/>
      <c r="AM2506" s="74"/>
      <c r="AW2506" s="74"/>
      <c r="AX2506" s="74"/>
    </row>
    <row r="2507" spans="1:50" ht="13" x14ac:dyDescent="0.15">
      <c r="A2507" s="55" t="str">
        <f>HYPERLINK("http://reports.ofsted.gov.uk/inspection-reports/find-inspection-report/provider/CARE/SC065189","Ofsted Social Care Provider Webpage")</f>
        <v>Ofsted Social Care Provider Webpage</v>
      </c>
      <c r="B2507" s="55" t="s">
        <v>4697</v>
      </c>
      <c r="D2507" s="55" t="s">
        <v>373</v>
      </c>
      <c r="E2507" s="74">
        <v>38600</v>
      </c>
      <c r="F2507" s="55" t="s">
        <v>344</v>
      </c>
      <c r="G2507" s="55" t="s">
        <v>360</v>
      </c>
      <c r="H2507" s="55" t="s">
        <v>360</v>
      </c>
      <c r="I2507" s="55" t="s">
        <v>360</v>
      </c>
      <c r="J2507" s="55" t="s">
        <v>360</v>
      </c>
      <c r="K2507" s="55" t="s">
        <v>360</v>
      </c>
      <c r="L2507" s="55" t="s">
        <v>360</v>
      </c>
      <c r="M2507" s="55" t="s">
        <v>144</v>
      </c>
      <c r="N2507" s="55" t="s">
        <v>144</v>
      </c>
      <c r="O2507" s="55" t="s">
        <v>245</v>
      </c>
      <c r="P2507" s="55" t="s">
        <v>1796</v>
      </c>
      <c r="Q2507" s="55" t="s">
        <v>350</v>
      </c>
      <c r="R2507" s="85">
        <v>3</v>
      </c>
      <c r="S2507" s="55">
        <v>0</v>
      </c>
      <c r="T2507" s="74" t="s">
        <v>613</v>
      </c>
      <c r="U2507" s="74" t="s">
        <v>351</v>
      </c>
      <c r="V2507" s="74">
        <v>44361</v>
      </c>
      <c r="W2507" s="74">
        <v>44393</v>
      </c>
      <c r="X2507" s="55">
        <v>10186391</v>
      </c>
      <c r="Y2507" s="55" t="s">
        <v>132</v>
      </c>
      <c r="AB2507" s="74" t="s">
        <v>132</v>
      </c>
      <c r="AC2507" s="55" t="s">
        <v>132</v>
      </c>
      <c r="AL2507" s="74"/>
      <c r="AM2507" s="74"/>
      <c r="AW2507" s="74"/>
      <c r="AX2507" s="74"/>
    </row>
    <row r="2508" spans="1:50" ht="13" x14ac:dyDescent="0.15">
      <c r="A2508" s="55" t="str">
        <f>HYPERLINK("http://reports.ofsted.gov.uk/inspection-reports/find-inspection-report/provider/CARE/SC065261","Ofsted Social Care Provider Webpage")</f>
        <v>Ofsted Social Care Provider Webpage</v>
      </c>
      <c r="B2508" s="55" t="s">
        <v>4698</v>
      </c>
      <c r="D2508" s="55" t="s">
        <v>479</v>
      </c>
      <c r="E2508" s="74">
        <v>38651</v>
      </c>
      <c r="F2508" s="55" t="s">
        <v>344</v>
      </c>
      <c r="G2508" s="55" t="s">
        <v>360</v>
      </c>
      <c r="H2508" s="55" t="s">
        <v>360</v>
      </c>
      <c r="I2508" s="55" t="s">
        <v>360</v>
      </c>
      <c r="J2508" s="55" t="s">
        <v>360</v>
      </c>
      <c r="K2508" s="55" t="s">
        <v>360</v>
      </c>
      <c r="L2508" s="55" t="s">
        <v>360</v>
      </c>
      <c r="M2508" s="55" t="s">
        <v>136</v>
      </c>
      <c r="N2508" s="55" t="s">
        <v>136</v>
      </c>
      <c r="O2508" s="55" t="s">
        <v>176</v>
      </c>
      <c r="P2508" s="55" t="s">
        <v>526</v>
      </c>
      <c r="Q2508" s="55" t="s">
        <v>350</v>
      </c>
      <c r="R2508" s="85">
        <v>60</v>
      </c>
      <c r="S2508" s="55">
        <v>0</v>
      </c>
      <c r="T2508" s="74" t="s">
        <v>596</v>
      </c>
      <c r="U2508" s="74" t="s">
        <v>351</v>
      </c>
      <c r="V2508" s="74">
        <v>44481</v>
      </c>
      <c r="W2508" s="74">
        <v>44531</v>
      </c>
      <c r="X2508" s="55">
        <v>10203864</v>
      </c>
      <c r="Y2508" s="55" t="s">
        <v>146</v>
      </c>
      <c r="AB2508" s="74" t="s">
        <v>146</v>
      </c>
      <c r="AC2508" s="55" t="s">
        <v>146</v>
      </c>
      <c r="AL2508" s="74"/>
      <c r="AM2508" s="74"/>
    </row>
    <row r="2509" spans="1:50" ht="13" x14ac:dyDescent="0.15">
      <c r="A2509" s="55" t="str">
        <f>HYPERLINK("http://reports.ofsted.gov.uk/inspection-reports/find-inspection-report/provider/CARE/SC065261","Ofsted Social Care Provider Webpage")</f>
        <v>Ofsted Social Care Provider Webpage</v>
      </c>
      <c r="B2509" s="55" t="s">
        <v>4698</v>
      </c>
      <c r="D2509" s="55" t="s">
        <v>479</v>
      </c>
      <c r="E2509" s="74">
        <v>38651</v>
      </c>
      <c r="F2509" s="55" t="s">
        <v>344</v>
      </c>
      <c r="G2509" s="55" t="s">
        <v>360</v>
      </c>
      <c r="H2509" s="55" t="s">
        <v>360</v>
      </c>
      <c r="I2509" s="55" t="s">
        <v>360</v>
      </c>
      <c r="J2509" s="55" t="s">
        <v>360</v>
      </c>
      <c r="K2509" s="55" t="s">
        <v>360</v>
      </c>
      <c r="L2509" s="55" t="s">
        <v>360</v>
      </c>
      <c r="M2509" s="55" t="s">
        <v>136</v>
      </c>
      <c r="N2509" s="55" t="s">
        <v>136</v>
      </c>
      <c r="O2509" s="55" t="s">
        <v>176</v>
      </c>
      <c r="P2509" s="55" t="s">
        <v>526</v>
      </c>
      <c r="Q2509" s="55" t="s">
        <v>350</v>
      </c>
      <c r="R2509" s="85">
        <v>60</v>
      </c>
      <c r="S2509" s="55">
        <v>0</v>
      </c>
      <c r="T2509" s="74" t="s">
        <v>596</v>
      </c>
      <c r="U2509" s="74" t="s">
        <v>2053</v>
      </c>
      <c r="V2509" s="74">
        <v>44524</v>
      </c>
      <c r="W2509" s="74">
        <v>44565</v>
      </c>
      <c r="X2509" s="55">
        <v>10213248</v>
      </c>
      <c r="AL2509" s="74"/>
      <c r="AM2509" s="74"/>
      <c r="AW2509" s="74"/>
      <c r="AX2509" s="74"/>
    </row>
    <row r="2510" spans="1:50" ht="13" x14ac:dyDescent="0.15">
      <c r="A2510" s="55" t="str">
        <f>HYPERLINK("http://reports.ofsted.gov.uk/inspection-reports/find-inspection-report/provider/CARE/SC065261","Ofsted Social Care Provider Webpage")</f>
        <v>Ofsted Social Care Provider Webpage</v>
      </c>
      <c r="B2510" s="55" t="s">
        <v>4698</v>
      </c>
      <c r="D2510" s="55" t="s">
        <v>479</v>
      </c>
      <c r="E2510" s="74">
        <v>38651</v>
      </c>
      <c r="F2510" s="55" t="s">
        <v>344</v>
      </c>
      <c r="G2510" s="55" t="s">
        <v>360</v>
      </c>
      <c r="H2510" s="55" t="s">
        <v>360</v>
      </c>
      <c r="I2510" s="55" t="s">
        <v>360</v>
      </c>
      <c r="J2510" s="55" t="s">
        <v>360</v>
      </c>
      <c r="K2510" s="55" t="s">
        <v>360</v>
      </c>
      <c r="L2510" s="55" t="s">
        <v>360</v>
      </c>
      <c r="M2510" s="55" t="s">
        <v>136</v>
      </c>
      <c r="N2510" s="55" t="s">
        <v>136</v>
      </c>
      <c r="O2510" s="55" t="s">
        <v>176</v>
      </c>
      <c r="P2510" s="55" t="s">
        <v>526</v>
      </c>
      <c r="Q2510" s="55" t="s">
        <v>350</v>
      </c>
      <c r="R2510" s="85">
        <v>60</v>
      </c>
      <c r="S2510" s="55">
        <v>0</v>
      </c>
      <c r="T2510" s="74" t="s">
        <v>596</v>
      </c>
      <c r="U2510" s="74" t="s">
        <v>351</v>
      </c>
      <c r="V2510" s="74">
        <v>44397</v>
      </c>
      <c r="W2510" s="74">
        <v>44441</v>
      </c>
      <c r="X2510" s="55">
        <v>10186778</v>
      </c>
      <c r="Y2510" s="55" t="s">
        <v>146</v>
      </c>
      <c r="AB2510" s="74" t="s">
        <v>146</v>
      </c>
      <c r="AC2510" s="55" t="s">
        <v>146</v>
      </c>
      <c r="AL2510" s="74"/>
      <c r="AM2510" s="74"/>
    </row>
    <row r="2511" spans="1:50" ht="13" x14ac:dyDescent="0.15">
      <c r="A2511" s="55" t="str">
        <f>HYPERLINK("http://reports.ofsted.gov.uk/inspection-reports/find-inspection-report/provider/CARE/SC065261","Ofsted Social Care Provider Webpage")</f>
        <v>Ofsted Social Care Provider Webpage</v>
      </c>
      <c r="B2511" s="55" t="s">
        <v>4698</v>
      </c>
      <c r="D2511" s="55" t="s">
        <v>479</v>
      </c>
      <c r="E2511" s="74">
        <v>38651</v>
      </c>
      <c r="F2511" s="55" t="s">
        <v>344</v>
      </c>
      <c r="G2511" s="55" t="s">
        <v>360</v>
      </c>
      <c r="H2511" s="55" t="s">
        <v>360</v>
      </c>
      <c r="I2511" s="55" t="s">
        <v>360</v>
      </c>
      <c r="J2511" s="55" t="s">
        <v>360</v>
      </c>
      <c r="K2511" s="55" t="s">
        <v>360</v>
      </c>
      <c r="L2511" s="55" t="s">
        <v>360</v>
      </c>
      <c r="M2511" s="55" t="s">
        <v>136</v>
      </c>
      <c r="N2511" s="55" t="s">
        <v>136</v>
      </c>
      <c r="O2511" s="55" t="s">
        <v>176</v>
      </c>
      <c r="P2511" s="55" t="s">
        <v>526</v>
      </c>
      <c r="Q2511" s="55" t="s">
        <v>350</v>
      </c>
      <c r="R2511" s="85">
        <v>60</v>
      </c>
      <c r="S2511" s="55">
        <v>0</v>
      </c>
      <c r="T2511" s="74" t="s">
        <v>596</v>
      </c>
      <c r="U2511" s="74" t="s">
        <v>2053</v>
      </c>
      <c r="V2511" s="74">
        <v>44432</v>
      </c>
      <c r="W2511" s="74">
        <v>44466</v>
      </c>
      <c r="X2511" s="55">
        <v>10203865</v>
      </c>
      <c r="AL2511" s="74"/>
      <c r="AM2511" s="74"/>
      <c r="AW2511" s="74"/>
      <c r="AX2511" s="74"/>
    </row>
    <row r="2512" spans="1:50" ht="13" x14ac:dyDescent="0.15">
      <c r="A2512" s="55" t="str">
        <f>HYPERLINK("http://reports.ofsted.gov.uk/inspection-reports/find-inspection-report/provider/CARE/SC065313","Ofsted Social Care Provider Webpage")</f>
        <v>Ofsted Social Care Provider Webpage</v>
      </c>
      <c r="B2512" s="55" t="s">
        <v>4699</v>
      </c>
      <c r="D2512" s="55" t="s">
        <v>373</v>
      </c>
      <c r="E2512" s="74">
        <v>38628</v>
      </c>
      <c r="F2512" s="55" t="s">
        <v>344</v>
      </c>
      <c r="G2512" s="55" t="s">
        <v>360</v>
      </c>
      <c r="H2512" s="55" t="s">
        <v>360</v>
      </c>
      <c r="I2512" s="55" t="s">
        <v>360</v>
      </c>
      <c r="J2512" s="55" t="s">
        <v>360</v>
      </c>
      <c r="K2512" s="55" t="s">
        <v>360</v>
      </c>
      <c r="L2512" s="55" t="s">
        <v>360</v>
      </c>
      <c r="M2512" s="55" t="s">
        <v>144</v>
      </c>
      <c r="N2512" s="55" t="s">
        <v>144</v>
      </c>
      <c r="O2512" s="55" t="s">
        <v>145</v>
      </c>
      <c r="P2512" s="55" t="s">
        <v>484</v>
      </c>
      <c r="Q2512" s="55" t="s">
        <v>350</v>
      </c>
      <c r="R2512" s="85">
        <v>2</v>
      </c>
      <c r="S2512" s="55">
        <v>0</v>
      </c>
      <c r="T2512" s="74" t="s">
        <v>485</v>
      </c>
      <c r="U2512" s="74" t="s">
        <v>351</v>
      </c>
      <c r="V2512" s="74">
        <v>44600</v>
      </c>
      <c r="W2512" s="74">
        <v>44642</v>
      </c>
      <c r="X2512" s="55">
        <v>10185081</v>
      </c>
      <c r="Y2512" s="55" t="s">
        <v>132</v>
      </c>
      <c r="AB2512" s="74" t="s">
        <v>132</v>
      </c>
      <c r="AC2512" s="55" t="s">
        <v>132</v>
      </c>
      <c r="AL2512" s="74"/>
      <c r="AM2512" s="74"/>
    </row>
    <row r="2513" spans="1:50" ht="13" x14ac:dyDescent="0.15">
      <c r="A2513" s="55" t="str">
        <f>HYPERLINK("http://reports.ofsted.gov.uk/inspection-reports/find-inspection-report/provider/CARE/SC065374","Ofsted Social Care Provider Webpage")</f>
        <v>Ofsted Social Care Provider Webpage</v>
      </c>
      <c r="B2513" s="55" t="s">
        <v>4706</v>
      </c>
      <c r="D2513" s="55" t="s">
        <v>373</v>
      </c>
      <c r="E2513" s="74">
        <v>38567</v>
      </c>
      <c r="F2513" s="55" t="s">
        <v>344</v>
      </c>
      <c r="G2513" s="55" t="s">
        <v>360</v>
      </c>
      <c r="H2513" s="55" t="s">
        <v>360</v>
      </c>
      <c r="I2513" s="55" t="s">
        <v>360</v>
      </c>
      <c r="J2513" s="55" t="s">
        <v>360</v>
      </c>
      <c r="K2513" s="55" t="s">
        <v>360</v>
      </c>
      <c r="L2513" s="55" t="s">
        <v>360</v>
      </c>
      <c r="M2513" s="55" t="s">
        <v>144</v>
      </c>
      <c r="N2513" s="55" t="s">
        <v>144</v>
      </c>
      <c r="O2513" s="55" t="s">
        <v>263</v>
      </c>
      <c r="P2513" s="55" t="s">
        <v>263</v>
      </c>
      <c r="Q2513" s="55" t="s">
        <v>350</v>
      </c>
      <c r="R2513" s="85">
        <v>5</v>
      </c>
      <c r="S2513" s="55">
        <v>0</v>
      </c>
      <c r="T2513" s="74" t="s">
        <v>4707</v>
      </c>
      <c r="U2513" s="74" t="s">
        <v>351</v>
      </c>
      <c r="V2513" s="74">
        <v>44502</v>
      </c>
      <c r="W2513" s="74">
        <v>44552</v>
      </c>
      <c r="X2513" s="55">
        <v>10186138</v>
      </c>
      <c r="Y2513" s="55" t="s">
        <v>132</v>
      </c>
      <c r="AB2513" s="74" t="s">
        <v>130</v>
      </c>
      <c r="AC2513" s="55" t="s">
        <v>132</v>
      </c>
      <c r="AL2513" s="74"/>
      <c r="AM2513" s="74"/>
      <c r="AW2513" s="74"/>
      <c r="AX2513" s="74"/>
    </row>
    <row r="2514" spans="1:50" ht="13" x14ac:dyDescent="0.15">
      <c r="A2514" s="55" t="str">
        <f>HYPERLINK("http://reports.ofsted.gov.uk/inspection-reports/find-inspection-report/provider/CARE/SC065378","Ofsted Social Care Provider Webpage")</f>
        <v>Ofsted Social Care Provider Webpage</v>
      </c>
      <c r="B2514" s="55" t="s">
        <v>4708</v>
      </c>
      <c r="D2514" s="55" t="s">
        <v>373</v>
      </c>
      <c r="E2514" s="74">
        <v>38700</v>
      </c>
      <c r="F2514" s="55" t="s">
        <v>344</v>
      </c>
      <c r="G2514" s="55" t="s">
        <v>360</v>
      </c>
      <c r="H2514" s="55" t="s">
        <v>360</v>
      </c>
      <c r="I2514" s="55" t="s">
        <v>360</v>
      </c>
      <c r="J2514" s="55" t="s">
        <v>360</v>
      </c>
      <c r="K2514" s="55" t="s">
        <v>360</v>
      </c>
      <c r="L2514" s="55" t="s">
        <v>360</v>
      </c>
      <c r="M2514" s="55" t="s">
        <v>142</v>
      </c>
      <c r="N2514" s="55" t="s">
        <v>142</v>
      </c>
      <c r="O2514" s="55" t="s">
        <v>141</v>
      </c>
      <c r="P2514" s="55" t="s">
        <v>1226</v>
      </c>
      <c r="Q2514" s="55" t="s">
        <v>350</v>
      </c>
      <c r="R2514" s="85">
        <v>3</v>
      </c>
      <c r="S2514" s="55">
        <v>0</v>
      </c>
      <c r="T2514" s="74" t="s">
        <v>2811</v>
      </c>
      <c r="U2514" s="74" t="s">
        <v>351</v>
      </c>
      <c r="V2514" s="74">
        <v>44405</v>
      </c>
      <c r="W2514" s="74">
        <v>44446</v>
      </c>
      <c r="X2514" s="55">
        <v>10187091</v>
      </c>
      <c r="Y2514" s="55" t="s">
        <v>132</v>
      </c>
      <c r="AB2514" s="74" t="s">
        <v>132</v>
      </c>
      <c r="AC2514" s="55" t="s">
        <v>132</v>
      </c>
      <c r="AL2514" s="74"/>
      <c r="AM2514" s="74"/>
      <c r="AW2514" s="74"/>
      <c r="AX2514" s="74"/>
    </row>
    <row r="2515" spans="1:50" ht="13" x14ac:dyDescent="0.15">
      <c r="A2515" s="55" t="str">
        <f>HYPERLINK("http://reports.ofsted.gov.uk/inspection-reports/find-inspection-report/provider/CARE/SC065478","Ofsted Social Care Provider Webpage")</f>
        <v>Ofsted Social Care Provider Webpage</v>
      </c>
      <c r="B2515" s="55" t="s">
        <v>4709</v>
      </c>
      <c r="D2515" s="55" t="s">
        <v>373</v>
      </c>
      <c r="E2515" s="74">
        <v>38670</v>
      </c>
      <c r="F2515" s="55" t="s">
        <v>344</v>
      </c>
      <c r="G2515" s="55" t="s">
        <v>360</v>
      </c>
      <c r="H2515" s="55" t="s">
        <v>360</v>
      </c>
      <c r="I2515" s="55" t="s">
        <v>360</v>
      </c>
      <c r="J2515" s="55" t="s">
        <v>360</v>
      </c>
      <c r="K2515" s="55" t="s">
        <v>360</v>
      </c>
      <c r="L2515" s="55" t="s">
        <v>360</v>
      </c>
      <c r="M2515" s="55" t="s">
        <v>129</v>
      </c>
      <c r="N2515" s="55" t="s">
        <v>129</v>
      </c>
      <c r="O2515" s="55" t="s">
        <v>280</v>
      </c>
      <c r="P2515" s="55" t="s">
        <v>1367</v>
      </c>
      <c r="Q2515" s="55" t="s">
        <v>380</v>
      </c>
      <c r="R2515" s="85">
        <v>13</v>
      </c>
      <c r="S2515" s="55">
        <v>0</v>
      </c>
      <c r="T2515" s="74" t="s">
        <v>2581</v>
      </c>
      <c r="U2515" s="74" t="s">
        <v>351</v>
      </c>
      <c r="V2515" s="74">
        <v>44572</v>
      </c>
      <c r="W2515" s="74">
        <v>44615</v>
      </c>
      <c r="X2515" s="55">
        <v>10186566</v>
      </c>
      <c r="Y2515" s="55" t="s">
        <v>132</v>
      </c>
      <c r="AB2515" s="74" t="s">
        <v>132</v>
      </c>
      <c r="AC2515" s="55" t="s">
        <v>130</v>
      </c>
      <c r="AL2515" s="74"/>
      <c r="AM2515" s="74"/>
      <c r="AW2515" s="74"/>
      <c r="AX2515" s="74"/>
    </row>
    <row r="2516" spans="1:50" ht="13" x14ac:dyDescent="0.15">
      <c r="A2516" s="55" t="str">
        <f>HYPERLINK("http://reports.ofsted.gov.uk/inspection-reports/find-inspection-report/provider/CARE/SC065535","Ofsted Social Care Provider Webpage")</f>
        <v>Ofsted Social Care Provider Webpage</v>
      </c>
      <c r="B2516" s="55" t="s">
        <v>4711</v>
      </c>
      <c r="D2516" s="55" t="s">
        <v>373</v>
      </c>
      <c r="E2516" s="74">
        <v>38625</v>
      </c>
      <c r="F2516" s="55" t="s">
        <v>344</v>
      </c>
      <c r="G2516" s="55" t="s">
        <v>360</v>
      </c>
      <c r="H2516" s="55" t="s">
        <v>360</v>
      </c>
      <c r="I2516" s="55" t="s">
        <v>360</v>
      </c>
      <c r="J2516" s="55" t="s">
        <v>360</v>
      </c>
      <c r="K2516" s="55" t="s">
        <v>360</v>
      </c>
      <c r="L2516" s="55" t="s">
        <v>360</v>
      </c>
      <c r="M2516" s="55" t="s">
        <v>129</v>
      </c>
      <c r="N2516" s="55" t="s">
        <v>129</v>
      </c>
      <c r="O2516" s="55" t="s">
        <v>208</v>
      </c>
      <c r="P2516" s="55" t="s">
        <v>3178</v>
      </c>
      <c r="Q2516" s="55" t="s">
        <v>350</v>
      </c>
      <c r="R2516" s="85">
        <v>6</v>
      </c>
      <c r="S2516" s="55">
        <v>0</v>
      </c>
      <c r="T2516" s="74" t="s">
        <v>4712</v>
      </c>
      <c r="U2516" s="74" t="s">
        <v>351</v>
      </c>
      <c r="V2516" s="74">
        <v>44361</v>
      </c>
      <c r="W2516" s="74">
        <v>44399</v>
      </c>
      <c r="X2516" s="55">
        <v>10186470</v>
      </c>
      <c r="Y2516" s="55" t="s">
        <v>132</v>
      </c>
      <c r="AB2516" s="74" t="s">
        <v>132</v>
      </c>
      <c r="AC2516" s="55" t="s">
        <v>132</v>
      </c>
      <c r="AL2516" s="74"/>
      <c r="AM2516" s="74"/>
      <c r="AW2516" s="74"/>
      <c r="AX2516" s="74"/>
    </row>
    <row r="2517" spans="1:50" ht="13" x14ac:dyDescent="0.15">
      <c r="A2517" s="55" t="str">
        <f>HYPERLINK("http://reports.ofsted.gov.uk/inspection-reports/find-inspection-report/provider/CARE/SC065552","Ofsted Social Care Provider Webpage")</f>
        <v>Ofsted Social Care Provider Webpage</v>
      </c>
      <c r="B2517" s="55" t="s">
        <v>4713</v>
      </c>
      <c r="D2517" s="55" t="s">
        <v>373</v>
      </c>
      <c r="E2517" s="74">
        <v>38658</v>
      </c>
      <c r="F2517" s="55" t="s">
        <v>344</v>
      </c>
      <c r="G2517" s="55" t="s">
        <v>360</v>
      </c>
      <c r="H2517" s="55" t="s">
        <v>360</v>
      </c>
      <c r="I2517" s="55" t="s">
        <v>360</v>
      </c>
      <c r="J2517" s="55" t="s">
        <v>360</v>
      </c>
      <c r="K2517" s="55" t="s">
        <v>360</v>
      </c>
      <c r="L2517" s="55" t="s">
        <v>360</v>
      </c>
      <c r="M2517" s="55" t="s">
        <v>378</v>
      </c>
      <c r="N2517" s="55" t="s">
        <v>134</v>
      </c>
      <c r="O2517" s="55" t="s">
        <v>151</v>
      </c>
      <c r="P2517" s="55" t="s">
        <v>862</v>
      </c>
      <c r="Q2517" s="55" t="s">
        <v>380</v>
      </c>
      <c r="R2517" s="85">
        <v>6</v>
      </c>
      <c r="S2517" s="55">
        <v>0</v>
      </c>
      <c r="T2517" s="74" t="s">
        <v>1220</v>
      </c>
      <c r="U2517" s="74" t="s">
        <v>351</v>
      </c>
      <c r="V2517" s="74">
        <v>44355</v>
      </c>
      <c r="W2517" s="74">
        <v>44385</v>
      </c>
      <c r="X2517" s="55">
        <v>10187242</v>
      </c>
      <c r="Y2517" s="55" t="s">
        <v>132</v>
      </c>
      <c r="AB2517" s="74" t="s">
        <v>132</v>
      </c>
      <c r="AC2517" s="55" t="s">
        <v>132</v>
      </c>
      <c r="AL2517" s="74"/>
      <c r="AM2517" s="74"/>
    </row>
    <row r="2518" spans="1:50" ht="13" x14ac:dyDescent="0.15">
      <c r="A2518" s="55" t="str">
        <f>HYPERLINK("http://reports.ofsted.gov.uk/inspection-reports/find-inspection-report/provider/CARE/SC065553","Ofsted Social Care Provider Webpage")</f>
        <v>Ofsted Social Care Provider Webpage</v>
      </c>
      <c r="B2518" s="55" t="s">
        <v>4714</v>
      </c>
      <c r="D2518" s="55" t="s">
        <v>373</v>
      </c>
      <c r="E2518" s="74">
        <v>38649</v>
      </c>
      <c r="F2518" s="55" t="s">
        <v>344</v>
      </c>
      <c r="G2518" s="55" t="s">
        <v>360</v>
      </c>
      <c r="H2518" s="55" t="s">
        <v>360</v>
      </c>
      <c r="I2518" s="55" t="s">
        <v>360</v>
      </c>
      <c r="J2518" s="55" t="s">
        <v>360</v>
      </c>
      <c r="K2518" s="55" t="s">
        <v>360</v>
      </c>
      <c r="L2518" s="55" t="s">
        <v>360</v>
      </c>
      <c r="M2518" s="55" t="s">
        <v>172</v>
      </c>
      <c r="N2518" s="55" t="s">
        <v>172</v>
      </c>
      <c r="O2518" s="55" t="s">
        <v>173</v>
      </c>
      <c r="P2518" s="55" t="s">
        <v>1540</v>
      </c>
      <c r="Q2518" s="55" t="s">
        <v>380</v>
      </c>
      <c r="R2518" s="85">
        <v>4</v>
      </c>
      <c r="S2518" s="55">
        <v>0</v>
      </c>
      <c r="T2518" s="74" t="s">
        <v>1431</v>
      </c>
      <c r="U2518" s="74" t="s">
        <v>351</v>
      </c>
      <c r="V2518" s="74">
        <v>44586</v>
      </c>
      <c r="W2518" s="74">
        <v>44616</v>
      </c>
      <c r="X2518" s="55">
        <v>10187403</v>
      </c>
      <c r="Y2518" s="55" t="s">
        <v>132</v>
      </c>
      <c r="AB2518" s="74" t="s">
        <v>132</v>
      </c>
      <c r="AC2518" s="55" t="s">
        <v>132</v>
      </c>
      <c r="AL2518" s="74"/>
      <c r="AM2518" s="74"/>
    </row>
    <row r="2519" spans="1:50" ht="13" x14ac:dyDescent="0.15">
      <c r="A2519" s="55" t="str">
        <f>HYPERLINK("http://reports.ofsted.gov.uk/inspection-reports/find-inspection-report/provider/CARE/SC065679","Ofsted Social Care Provider Webpage")</f>
        <v>Ofsted Social Care Provider Webpage</v>
      </c>
      <c r="B2519" s="55" t="s">
        <v>4719</v>
      </c>
      <c r="D2519" s="55" t="s">
        <v>373</v>
      </c>
      <c r="E2519" s="74">
        <v>39045</v>
      </c>
      <c r="F2519" s="55" t="s">
        <v>344</v>
      </c>
      <c r="G2519" s="55" t="s">
        <v>360</v>
      </c>
      <c r="H2519" s="55" t="s">
        <v>360</v>
      </c>
      <c r="I2519" s="55" t="s">
        <v>360</v>
      </c>
      <c r="J2519" s="55" t="s">
        <v>360</v>
      </c>
      <c r="K2519" s="55" t="s">
        <v>360</v>
      </c>
      <c r="L2519" s="55" t="s">
        <v>360</v>
      </c>
      <c r="M2519" s="55" t="s">
        <v>142</v>
      </c>
      <c r="N2519" s="55" t="s">
        <v>142</v>
      </c>
      <c r="O2519" s="55" t="s">
        <v>262</v>
      </c>
      <c r="P2519" s="55" t="s">
        <v>523</v>
      </c>
      <c r="Q2519" s="55" t="s">
        <v>380</v>
      </c>
      <c r="R2519" s="85">
        <v>5</v>
      </c>
      <c r="S2519" s="55" t="s">
        <v>332</v>
      </c>
      <c r="T2519" s="74" t="s">
        <v>2996</v>
      </c>
      <c r="U2519" s="74" t="s">
        <v>351</v>
      </c>
      <c r="V2519" s="74">
        <v>44432</v>
      </c>
      <c r="W2519" s="74">
        <v>44467</v>
      </c>
      <c r="X2519" s="55">
        <v>10186929</v>
      </c>
      <c r="Y2519" s="55" t="s">
        <v>132</v>
      </c>
      <c r="AB2519" s="74" t="s">
        <v>132</v>
      </c>
      <c r="AC2519" s="55" t="s">
        <v>132</v>
      </c>
      <c r="AL2519" s="74"/>
      <c r="AM2519" s="74"/>
      <c r="AW2519" s="74"/>
      <c r="AX2519" s="74"/>
    </row>
    <row r="2520" spans="1:50" ht="13" x14ac:dyDescent="0.15">
      <c r="A2520" s="55" t="str">
        <f>HYPERLINK("http://reports.ofsted.gov.uk/inspection-reports/find-inspection-report/provider/CARE/SC065684","Ofsted Social Care Provider Webpage")</f>
        <v>Ofsted Social Care Provider Webpage</v>
      </c>
      <c r="B2520" s="55" t="s">
        <v>4720</v>
      </c>
      <c r="D2520" s="55" t="s">
        <v>373</v>
      </c>
      <c r="E2520" s="74">
        <v>38700</v>
      </c>
      <c r="F2520" s="55" t="s">
        <v>344</v>
      </c>
      <c r="G2520" s="55" t="s">
        <v>360</v>
      </c>
      <c r="H2520" s="55" t="s">
        <v>360</v>
      </c>
      <c r="I2520" s="55" t="s">
        <v>360</v>
      </c>
      <c r="J2520" s="55" t="s">
        <v>360</v>
      </c>
      <c r="K2520" s="55" t="s">
        <v>360</v>
      </c>
      <c r="L2520" s="55" t="s">
        <v>360</v>
      </c>
      <c r="M2520" s="55" t="s">
        <v>150</v>
      </c>
      <c r="N2520" s="55" t="s">
        <v>150</v>
      </c>
      <c r="O2520" s="55" t="s">
        <v>203</v>
      </c>
      <c r="P2520" s="55" t="s">
        <v>419</v>
      </c>
      <c r="Q2520" s="55" t="s">
        <v>350</v>
      </c>
      <c r="R2520" s="85">
        <v>6</v>
      </c>
      <c r="S2520" s="55">
        <v>0</v>
      </c>
      <c r="T2520" s="74" t="s">
        <v>1861</v>
      </c>
      <c r="U2520" s="74" t="s">
        <v>351</v>
      </c>
      <c r="V2520" s="74">
        <v>44502</v>
      </c>
      <c r="W2520" s="74">
        <v>44552</v>
      </c>
      <c r="X2520" s="55">
        <v>10186697</v>
      </c>
      <c r="Y2520" s="55" t="s">
        <v>132</v>
      </c>
      <c r="AB2520" s="74" t="s">
        <v>132</v>
      </c>
      <c r="AC2520" s="55" t="s">
        <v>132</v>
      </c>
      <c r="AL2520" s="74"/>
      <c r="AM2520" s="74"/>
    </row>
    <row r="2521" spans="1:50" ht="13" x14ac:dyDescent="0.15">
      <c r="A2521" s="55" t="str">
        <f>HYPERLINK("http://reports.ofsted.gov.uk/inspection-reports/find-inspection-report/provider/CARE/SC065730","Ofsted Social Care Provider Webpage")</f>
        <v>Ofsted Social Care Provider Webpage</v>
      </c>
      <c r="B2521" s="55" t="s">
        <v>4721</v>
      </c>
      <c r="D2521" s="55" t="s">
        <v>373</v>
      </c>
      <c r="E2521" s="74">
        <v>38771</v>
      </c>
      <c r="F2521" s="55" t="s">
        <v>344</v>
      </c>
      <c r="G2521" s="55" t="s">
        <v>360</v>
      </c>
      <c r="H2521" s="55" t="s">
        <v>360</v>
      </c>
      <c r="I2521" s="55" t="s">
        <v>360</v>
      </c>
      <c r="J2521" s="55" t="s">
        <v>360</v>
      </c>
      <c r="K2521" s="55" t="s">
        <v>360</v>
      </c>
      <c r="L2521" s="55" t="s">
        <v>360</v>
      </c>
      <c r="M2521" s="55" t="s">
        <v>172</v>
      </c>
      <c r="N2521" s="55" t="s">
        <v>172</v>
      </c>
      <c r="O2521" s="55" t="s">
        <v>171</v>
      </c>
      <c r="P2521" s="55" t="s">
        <v>895</v>
      </c>
      <c r="Q2521" s="55" t="s">
        <v>380</v>
      </c>
      <c r="R2521" s="85">
        <v>10</v>
      </c>
      <c r="S2521" s="55" t="s">
        <v>332</v>
      </c>
      <c r="T2521" s="74" t="s">
        <v>3360</v>
      </c>
      <c r="U2521" s="74" t="s">
        <v>351</v>
      </c>
      <c r="V2521" s="74">
        <v>44578</v>
      </c>
      <c r="W2521" s="74">
        <v>44613</v>
      </c>
      <c r="X2521" s="55">
        <v>10187313</v>
      </c>
      <c r="Y2521" s="55" t="s">
        <v>132</v>
      </c>
      <c r="AB2521" s="74" t="s">
        <v>132</v>
      </c>
      <c r="AC2521" s="55" t="s">
        <v>132</v>
      </c>
      <c r="AL2521" s="74"/>
      <c r="AM2521" s="74"/>
      <c r="AW2521" s="74"/>
      <c r="AX2521" s="74"/>
    </row>
    <row r="2522" spans="1:50" ht="13" x14ac:dyDescent="0.15">
      <c r="A2522" s="55" t="str">
        <f>HYPERLINK("http://reports.ofsted.gov.uk/inspection-reports/find-inspection-report/provider/CARE/SC065772","Ofsted Social Care Provider Webpage")</f>
        <v>Ofsted Social Care Provider Webpage</v>
      </c>
      <c r="B2522" s="55" t="s">
        <v>4722</v>
      </c>
      <c r="D2522" s="55" t="s">
        <v>389</v>
      </c>
      <c r="E2522" s="74">
        <v>38628</v>
      </c>
      <c r="F2522" s="55" t="s">
        <v>344</v>
      </c>
      <c r="G2522" s="55" t="s">
        <v>4723</v>
      </c>
      <c r="H2522" s="55" t="s">
        <v>4724</v>
      </c>
      <c r="I2522" s="55" t="s">
        <v>4725</v>
      </c>
      <c r="J2522" s="55" t="s">
        <v>211</v>
      </c>
      <c r="K2522" s="55" t="s">
        <v>212</v>
      </c>
      <c r="L2522" s="55" t="s">
        <v>4726</v>
      </c>
      <c r="M2522" s="55" t="s">
        <v>172</v>
      </c>
      <c r="N2522" s="55" t="s">
        <v>172</v>
      </c>
      <c r="O2522" s="55" t="s">
        <v>212</v>
      </c>
      <c r="P2522" s="55" t="s">
        <v>547</v>
      </c>
      <c r="Q2522" s="55" t="s">
        <v>350</v>
      </c>
      <c r="S2522" s="55">
        <v>0</v>
      </c>
      <c r="T2522" s="74" t="s">
        <v>4727</v>
      </c>
      <c r="U2522" s="74" t="s">
        <v>351</v>
      </c>
      <c r="V2522" s="74">
        <v>44326</v>
      </c>
      <c r="W2522" s="74">
        <v>44358</v>
      </c>
      <c r="X2522" s="55">
        <v>10183339</v>
      </c>
      <c r="Y2522" s="55" t="s">
        <v>132</v>
      </c>
      <c r="AB2522" s="74" t="s">
        <v>132</v>
      </c>
      <c r="AC2522" s="55" t="s">
        <v>132</v>
      </c>
      <c r="AL2522" s="74"/>
      <c r="AM2522" s="74"/>
      <c r="AW2522" s="74"/>
      <c r="AX2522" s="74"/>
    </row>
    <row r="2523" spans="1:50" ht="13" x14ac:dyDescent="0.15">
      <c r="A2523" s="55" t="str">
        <f>HYPERLINK("http://reports.ofsted.gov.uk/inspection-reports/find-inspection-report/provider/CARE/SC065780","Ofsted Social Care Provider Webpage")</f>
        <v>Ofsted Social Care Provider Webpage</v>
      </c>
      <c r="B2523" s="55" t="s">
        <v>4728</v>
      </c>
      <c r="D2523" s="55" t="s">
        <v>373</v>
      </c>
      <c r="E2523" s="74">
        <v>39030</v>
      </c>
      <c r="F2523" s="55" t="s">
        <v>344</v>
      </c>
      <c r="G2523" s="55" t="s">
        <v>360</v>
      </c>
      <c r="H2523" s="55" t="s">
        <v>360</v>
      </c>
      <c r="I2523" s="55" t="s">
        <v>360</v>
      </c>
      <c r="J2523" s="55" t="s">
        <v>360</v>
      </c>
      <c r="K2523" s="55" t="s">
        <v>360</v>
      </c>
      <c r="L2523" s="55" t="s">
        <v>360</v>
      </c>
      <c r="M2523" s="55" t="s">
        <v>144</v>
      </c>
      <c r="N2523" s="55" t="s">
        <v>144</v>
      </c>
      <c r="O2523" s="55" t="s">
        <v>290</v>
      </c>
      <c r="P2523" s="55" t="s">
        <v>603</v>
      </c>
      <c r="Q2523" s="55" t="s">
        <v>350</v>
      </c>
      <c r="R2523" s="85">
        <v>3</v>
      </c>
      <c r="S2523" s="55">
        <v>0</v>
      </c>
      <c r="T2523" s="74" t="s">
        <v>1342</v>
      </c>
      <c r="U2523" s="74" t="s">
        <v>351</v>
      </c>
      <c r="V2523" s="74">
        <v>44432</v>
      </c>
      <c r="W2523" s="74">
        <v>44475</v>
      </c>
      <c r="X2523" s="55">
        <v>10186110</v>
      </c>
      <c r="Y2523" s="55" t="s">
        <v>130</v>
      </c>
      <c r="AB2523" s="74" t="s">
        <v>130</v>
      </c>
      <c r="AC2523" s="55" t="s">
        <v>130</v>
      </c>
      <c r="AL2523" s="74"/>
      <c r="AM2523" s="74"/>
      <c r="AW2523" s="74"/>
      <c r="AX2523" s="74"/>
    </row>
    <row r="2524" spans="1:50" ht="13" x14ac:dyDescent="0.15">
      <c r="A2524" s="55" t="str">
        <f>HYPERLINK("http://reports.ofsted.gov.uk/inspection-reports/find-inspection-report/provider/CARE/SC065780","Ofsted Social Care Provider Webpage")</f>
        <v>Ofsted Social Care Provider Webpage</v>
      </c>
      <c r="B2524" s="55" t="s">
        <v>4728</v>
      </c>
      <c r="D2524" s="55" t="s">
        <v>373</v>
      </c>
      <c r="E2524" s="74">
        <v>39030</v>
      </c>
      <c r="F2524" s="55" t="s">
        <v>344</v>
      </c>
      <c r="G2524" s="55" t="s">
        <v>360</v>
      </c>
      <c r="H2524" s="55" t="s">
        <v>360</v>
      </c>
      <c r="I2524" s="55" t="s">
        <v>360</v>
      </c>
      <c r="J2524" s="55" t="s">
        <v>360</v>
      </c>
      <c r="K2524" s="55" t="s">
        <v>360</v>
      </c>
      <c r="L2524" s="55" t="s">
        <v>360</v>
      </c>
      <c r="M2524" s="55" t="s">
        <v>144</v>
      </c>
      <c r="N2524" s="55" t="s">
        <v>144</v>
      </c>
      <c r="O2524" s="55" t="s">
        <v>290</v>
      </c>
      <c r="P2524" s="55" t="s">
        <v>603</v>
      </c>
      <c r="Q2524" s="55" t="s">
        <v>350</v>
      </c>
      <c r="R2524" s="85">
        <v>3</v>
      </c>
      <c r="S2524" s="55">
        <v>0</v>
      </c>
      <c r="T2524" s="74" t="s">
        <v>1342</v>
      </c>
      <c r="U2524" s="74" t="s">
        <v>6703</v>
      </c>
      <c r="V2524" s="74">
        <v>44566</v>
      </c>
      <c r="W2524" s="74">
        <v>44600</v>
      </c>
      <c r="X2524" s="55">
        <v>10209593</v>
      </c>
      <c r="Y2524" s="55" t="s">
        <v>6706</v>
      </c>
      <c r="AL2524" s="74"/>
      <c r="AM2524" s="74"/>
      <c r="AW2524" s="74"/>
      <c r="AX2524" s="74"/>
    </row>
    <row r="2525" spans="1:50" ht="13" x14ac:dyDescent="0.15">
      <c r="A2525" s="55" t="str">
        <f>HYPERLINK("http://reports.ofsted.gov.uk/inspection-reports/find-inspection-report/provider/CARE/SC065789","Ofsted Social Care Provider Webpage")</f>
        <v>Ofsted Social Care Provider Webpage</v>
      </c>
      <c r="B2525" s="55" t="s">
        <v>4729</v>
      </c>
      <c r="D2525" s="55" t="s">
        <v>373</v>
      </c>
      <c r="E2525" s="74">
        <v>38650</v>
      </c>
      <c r="F2525" s="55" t="s">
        <v>344</v>
      </c>
      <c r="G2525" s="55" t="s">
        <v>360</v>
      </c>
      <c r="H2525" s="55" t="s">
        <v>360</v>
      </c>
      <c r="I2525" s="55" t="s">
        <v>360</v>
      </c>
      <c r="J2525" s="55" t="s">
        <v>360</v>
      </c>
      <c r="K2525" s="55" t="s">
        <v>360</v>
      </c>
      <c r="L2525" s="55" t="s">
        <v>360</v>
      </c>
      <c r="M2525" s="55" t="s">
        <v>144</v>
      </c>
      <c r="N2525" s="55" t="s">
        <v>144</v>
      </c>
      <c r="O2525" s="55" t="s">
        <v>290</v>
      </c>
      <c r="P2525" s="55" t="s">
        <v>1512</v>
      </c>
      <c r="Q2525" s="55" t="s">
        <v>350</v>
      </c>
      <c r="R2525" s="85">
        <v>3</v>
      </c>
      <c r="S2525" s="55">
        <v>0</v>
      </c>
      <c r="T2525" s="74" t="s">
        <v>4600</v>
      </c>
      <c r="U2525" s="74" t="s">
        <v>351</v>
      </c>
      <c r="V2525" s="74">
        <v>44601</v>
      </c>
      <c r="W2525" s="74">
        <v>44652</v>
      </c>
      <c r="X2525" s="55">
        <v>10186411</v>
      </c>
      <c r="Y2525" s="55" t="s">
        <v>130</v>
      </c>
      <c r="AB2525" s="74" t="s">
        <v>130</v>
      </c>
      <c r="AC2525" s="55" t="s">
        <v>130</v>
      </c>
      <c r="AL2525" s="74"/>
      <c r="AM2525" s="74"/>
      <c r="AW2525" s="74"/>
      <c r="AX2525" s="74"/>
    </row>
    <row r="2526" spans="1:50" ht="13" x14ac:dyDescent="0.15">
      <c r="A2526" s="55" t="str">
        <f>HYPERLINK("http://reports.ofsted.gov.uk/inspection-reports/find-inspection-report/provider/CARE/SC065792","Ofsted Social Care Provider Webpage")</f>
        <v>Ofsted Social Care Provider Webpage</v>
      </c>
      <c r="B2526" s="55" t="s">
        <v>4730</v>
      </c>
      <c r="D2526" s="55" t="s">
        <v>373</v>
      </c>
      <c r="E2526" s="74">
        <v>38631</v>
      </c>
      <c r="F2526" s="55" t="s">
        <v>344</v>
      </c>
      <c r="G2526" s="55" t="s">
        <v>360</v>
      </c>
      <c r="H2526" s="55" t="s">
        <v>360</v>
      </c>
      <c r="I2526" s="55" t="s">
        <v>360</v>
      </c>
      <c r="J2526" s="55" t="s">
        <v>360</v>
      </c>
      <c r="K2526" s="55" t="s">
        <v>360</v>
      </c>
      <c r="L2526" s="55" t="s">
        <v>360</v>
      </c>
      <c r="M2526" s="55" t="s">
        <v>138</v>
      </c>
      <c r="N2526" s="55" t="s">
        <v>138</v>
      </c>
      <c r="O2526" s="55" t="s">
        <v>224</v>
      </c>
      <c r="P2526" s="55" t="s">
        <v>1294</v>
      </c>
      <c r="Q2526" s="55" t="s">
        <v>362</v>
      </c>
      <c r="R2526" s="85">
        <v>6</v>
      </c>
      <c r="S2526" s="55">
        <v>0</v>
      </c>
      <c r="T2526" s="74" t="s">
        <v>1119</v>
      </c>
      <c r="U2526" s="74" t="s">
        <v>351</v>
      </c>
      <c r="V2526" s="74">
        <v>44550</v>
      </c>
      <c r="W2526" s="74">
        <v>44589</v>
      </c>
      <c r="X2526" s="55">
        <v>10186408</v>
      </c>
      <c r="Y2526" s="55" t="s">
        <v>132</v>
      </c>
      <c r="AB2526" s="74" t="s">
        <v>132</v>
      </c>
      <c r="AC2526" s="55" t="s">
        <v>132</v>
      </c>
      <c r="AL2526" s="74"/>
      <c r="AM2526" s="74"/>
      <c r="AW2526" s="74"/>
      <c r="AX2526" s="74"/>
    </row>
    <row r="2527" spans="1:50" ht="13" x14ac:dyDescent="0.15">
      <c r="A2527" s="55" t="str">
        <f>HYPERLINK("http://reports.ofsted.gov.uk/inspection-reports/find-inspection-report/provider/CARE/SC065855","Ofsted Social Care Provider Webpage")</f>
        <v>Ofsted Social Care Provider Webpage</v>
      </c>
      <c r="B2527" s="55" t="s">
        <v>4731</v>
      </c>
      <c r="D2527" s="55" t="s">
        <v>373</v>
      </c>
      <c r="E2527" s="74">
        <v>38721</v>
      </c>
      <c r="F2527" s="55" t="s">
        <v>344</v>
      </c>
      <c r="G2527" s="55" t="s">
        <v>360</v>
      </c>
      <c r="H2527" s="55" t="s">
        <v>360</v>
      </c>
      <c r="I2527" s="55" t="s">
        <v>360</v>
      </c>
      <c r="J2527" s="55" t="s">
        <v>360</v>
      </c>
      <c r="K2527" s="55" t="s">
        <v>360</v>
      </c>
      <c r="L2527" s="55" t="s">
        <v>360</v>
      </c>
      <c r="M2527" s="55" t="s">
        <v>142</v>
      </c>
      <c r="N2527" s="55" t="s">
        <v>142</v>
      </c>
      <c r="O2527" s="55" t="s">
        <v>141</v>
      </c>
      <c r="P2527" s="55" t="s">
        <v>864</v>
      </c>
      <c r="Q2527" s="55" t="s">
        <v>350</v>
      </c>
      <c r="R2527" s="85">
        <v>3</v>
      </c>
      <c r="S2527" s="55">
        <v>0</v>
      </c>
      <c r="T2527" s="74" t="s">
        <v>385</v>
      </c>
      <c r="U2527" s="74" t="s">
        <v>6703</v>
      </c>
      <c r="V2527" s="74">
        <v>44628</v>
      </c>
      <c r="W2527" s="74">
        <v>44678</v>
      </c>
      <c r="X2527" s="55">
        <v>10217235</v>
      </c>
      <c r="Y2527" s="55" t="s">
        <v>6705</v>
      </c>
      <c r="AL2527" s="74"/>
      <c r="AM2527" s="74"/>
      <c r="AW2527" s="74"/>
      <c r="AX2527" s="74"/>
    </row>
    <row r="2528" spans="1:50" ht="13" x14ac:dyDescent="0.15">
      <c r="A2528" s="55" t="str">
        <f>HYPERLINK("http://reports.ofsted.gov.uk/inspection-reports/find-inspection-report/provider/CARE/SC065855","Ofsted Social Care Provider Webpage")</f>
        <v>Ofsted Social Care Provider Webpage</v>
      </c>
      <c r="B2528" s="55" t="s">
        <v>4731</v>
      </c>
      <c r="D2528" s="55" t="s">
        <v>373</v>
      </c>
      <c r="E2528" s="74">
        <v>38721</v>
      </c>
      <c r="F2528" s="55" t="s">
        <v>344</v>
      </c>
      <c r="G2528" s="55" t="s">
        <v>360</v>
      </c>
      <c r="H2528" s="55" t="s">
        <v>360</v>
      </c>
      <c r="I2528" s="55" t="s">
        <v>360</v>
      </c>
      <c r="J2528" s="55" t="s">
        <v>360</v>
      </c>
      <c r="K2528" s="55" t="s">
        <v>360</v>
      </c>
      <c r="L2528" s="55" t="s">
        <v>360</v>
      </c>
      <c r="M2528" s="55" t="s">
        <v>142</v>
      </c>
      <c r="N2528" s="55" t="s">
        <v>142</v>
      </c>
      <c r="O2528" s="55" t="s">
        <v>141</v>
      </c>
      <c r="P2528" s="55" t="s">
        <v>864</v>
      </c>
      <c r="Q2528" s="55" t="s">
        <v>350</v>
      </c>
      <c r="R2528" s="85">
        <v>3</v>
      </c>
      <c r="S2528" s="55">
        <v>0</v>
      </c>
      <c r="T2528" s="74" t="s">
        <v>385</v>
      </c>
      <c r="U2528" s="74" t="s">
        <v>351</v>
      </c>
      <c r="V2528" s="74">
        <v>44369</v>
      </c>
      <c r="W2528" s="74">
        <v>44412</v>
      </c>
      <c r="X2528" s="55">
        <v>10186989</v>
      </c>
      <c r="Y2528" s="55" t="s">
        <v>130</v>
      </c>
      <c r="AB2528" s="74" t="s">
        <v>130</v>
      </c>
      <c r="AC2528" s="55" t="s">
        <v>146</v>
      </c>
      <c r="AL2528" s="74"/>
      <c r="AM2528" s="74"/>
      <c r="AW2528" s="74"/>
      <c r="AX2528" s="74"/>
    </row>
    <row r="2529" spans="1:50" ht="13" x14ac:dyDescent="0.15">
      <c r="A2529" s="55" t="str">
        <f>HYPERLINK("http://reports.ofsted.gov.uk/inspection-reports/find-inspection-report/provider/CARE/SC065883","Ofsted Social Care Provider Webpage")</f>
        <v>Ofsted Social Care Provider Webpage</v>
      </c>
      <c r="B2529" s="55" t="s">
        <v>4732</v>
      </c>
      <c r="D2529" s="55" t="s">
        <v>373</v>
      </c>
      <c r="E2529" s="74">
        <v>38639</v>
      </c>
      <c r="F2529" s="55" t="s">
        <v>344</v>
      </c>
      <c r="G2529" s="55" t="s">
        <v>360</v>
      </c>
      <c r="H2529" s="55" t="s">
        <v>360</v>
      </c>
      <c r="I2529" s="55" t="s">
        <v>360</v>
      </c>
      <c r="J2529" s="55" t="s">
        <v>360</v>
      </c>
      <c r="K2529" s="55" t="s">
        <v>360</v>
      </c>
      <c r="L2529" s="55" t="s">
        <v>360</v>
      </c>
      <c r="M2529" s="55" t="s">
        <v>138</v>
      </c>
      <c r="N2529" s="55" t="s">
        <v>138</v>
      </c>
      <c r="O2529" s="55" t="s">
        <v>224</v>
      </c>
      <c r="P2529" s="55" t="s">
        <v>2271</v>
      </c>
      <c r="Q2529" s="55" t="s">
        <v>380</v>
      </c>
      <c r="R2529" s="85">
        <v>9</v>
      </c>
      <c r="S2529" s="55" t="s">
        <v>332</v>
      </c>
      <c r="T2529" s="74" t="s">
        <v>2272</v>
      </c>
      <c r="U2529" s="74" t="s">
        <v>351</v>
      </c>
      <c r="V2529" s="74">
        <v>44496</v>
      </c>
      <c r="W2529" s="74">
        <v>44526</v>
      </c>
      <c r="X2529" s="55">
        <v>10185800</v>
      </c>
      <c r="Y2529" s="55" t="s">
        <v>132</v>
      </c>
      <c r="AB2529" s="74" t="s">
        <v>132</v>
      </c>
      <c r="AC2529" s="55" t="s">
        <v>132</v>
      </c>
      <c r="AL2529" s="74"/>
      <c r="AM2529" s="74"/>
      <c r="AW2529" s="74"/>
      <c r="AX2529" s="74"/>
    </row>
    <row r="2530" spans="1:50" ht="13" x14ac:dyDescent="0.15">
      <c r="A2530" s="55" t="str">
        <f>HYPERLINK("http://reports.ofsted.gov.uk/inspection-reports/find-inspection-report/provider/CARE/SC066010","Ofsted Social Care Provider Webpage")</f>
        <v>Ofsted Social Care Provider Webpage</v>
      </c>
      <c r="B2530" s="55" t="s">
        <v>4733</v>
      </c>
      <c r="D2530" s="55" t="s">
        <v>373</v>
      </c>
      <c r="E2530" s="74">
        <v>38769</v>
      </c>
      <c r="F2530" s="55" t="s">
        <v>344</v>
      </c>
      <c r="G2530" s="55" t="s">
        <v>360</v>
      </c>
      <c r="H2530" s="55" t="s">
        <v>360</v>
      </c>
      <c r="I2530" s="55" t="s">
        <v>360</v>
      </c>
      <c r="J2530" s="55" t="s">
        <v>360</v>
      </c>
      <c r="K2530" s="55" t="s">
        <v>360</v>
      </c>
      <c r="L2530" s="55" t="s">
        <v>360</v>
      </c>
      <c r="M2530" s="55" t="s">
        <v>378</v>
      </c>
      <c r="N2530" s="55" t="s">
        <v>134</v>
      </c>
      <c r="O2530" s="55" t="s">
        <v>251</v>
      </c>
      <c r="P2530" s="55" t="s">
        <v>3357</v>
      </c>
      <c r="Q2530" s="55" t="s">
        <v>350</v>
      </c>
      <c r="R2530" s="85">
        <v>4</v>
      </c>
      <c r="S2530" s="55">
        <v>0</v>
      </c>
      <c r="T2530" s="74" t="s">
        <v>2947</v>
      </c>
      <c r="U2530" s="74" t="s">
        <v>351</v>
      </c>
      <c r="V2530" s="74">
        <v>44405</v>
      </c>
      <c r="W2530" s="74">
        <v>44440</v>
      </c>
      <c r="X2530" s="55">
        <v>10186183</v>
      </c>
      <c r="Y2530" s="55" t="s">
        <v>132</v>
      </c>
      <c r="AB2530" s="74" t="s">
        <v>132</v>
      </c>
      <c r="AC2530" s="55" t="s">
        <v>132</v>
      </c>
      <c r="AL2530" s="74"/>
      <c r="AM2530" s="74"/>
    </row>
    <row r="2531" spans="1:50" ht="13" x14ac:dyDescent="0.15">
      <c r="A2531" s="55" t="str">
        <f>HYPERLINK("http://reports.ofsted.gov.uk/inspection-reports/find-inspection-report/provider/CARE/SC066055","Ofsted Social Care Provider Webpage")</f>
        <v>Ofsted Social Care Provider Webpage</v>
      </c>
      <c r="B2531" s="55" t="s">
        <v>4735</v>
      </c>
      <c r="D2531" s="55" t="s">
        <v>373</v>
      </c>
      <c r="E2531" s="74">
        <v>38775</v>
      </c>
      <c r="F2531" s="55" t="s">
        <v>344</v>
      </c>
      <c r="G2531" s="55" t="s">
        <v>360</v>
      </c>
      <c r="H2531" s="55" t="s">
        <v>360</v>
      </c>
      <c r="I2531" s="55" t="s">
        <v>360</v>
      </c>
      <c r="J2531" s="55" t="s">
        <v>360</v>
      </c>
      <c r="K2531" s="55" t="s">
        <v>360</v>
      </c>
      <c r="L2531" s="55" t="s">
        <v>360</v>
      </c>
      <c r="M2531" s="55" t="s">
        <v>136</v>
      </c>
      <c r="N2531" s="55" t="s">
        <v>136</v>
      </c>
      <c r="O2531" s="55" t="s">
        <v>255</v>
      </c>
      <c r="P2531" s="55" t="s">
        <v>583</v>
      </c>
      <c r="Q2531" s="55" t="s">
        <v>380</v>
      </c>
      <c r="R2531" s="85">
        <v>2</v>
      </c>
      <c r="S2531" s="55">
        <v>0</v>
      </c>
      <c r="T2531" s="74" t="s">
        <v>3001</v>
      </c>
      <c r="U2531" s="74" t="s">
        <v>351</v>
      </c>
      <c r="V2531" s="74">
        <v>44538</v>
      </c>
      <c r="W2531" s="74">
        <v>44588</v>
      </c>
      <c r="X2531" s="55">
        <v>10187267</v>
      </c>
      <c r="Y2531" s="55" t="s">
        <v>132</v>
      </c>
      <c r="AB2531" s="74" t="s">
        <v>132</v>
      </c>
      <c r="AC2531" s="55" t="s">
        <v>132</v>
      </c>
      <c r="AL2531" s="74"/>
      <c r="AM2531" s="74"/>
      <c r="AW2531" s="74"/>
      <c r="AX2531" s="74"/>
    </row>
    <row r="2532" spans="1:50" ht="13" x14ac:dyDescent="0.15">
      <c r="A2532" s="55" t="str">
        <f>HYPERLINK("http://reports.ofsted.gov.uk/inspection-reports/find-inspection-report/provider/CARE/SC066072","Ofsted Social Care Provider Webpage")</f>
        <v>Ofsted Social Care Provider Webpage</v>
      </c>
      <c r="B2532" s="55" t="s">
        <v>4736</v>
      </c>
      <c r="D2532" s="55" t="s">
        <v>373</v>
      </c>
      <c r="E2532" s="74">
        <v>38744</v>
      </c>
      <c r="F2532" s="55" t="s">
        <v>344</v>
      </c>
      <c r="G2532" s="55" t="s">
        <v>360</v>
      </c>
      <c r="H2532" s="55" t="s">
        <v>360</v>
      </c>
      <c r="I2532" s="55" t="s">
        <v>360</v>
      </c>
      <c r="J2532" s="55" t="s">
        <v>360</v>
      </c>
      <c r="K2532" s="55" t="s">
        <v>360</v>
      </c>
      <c r="L2532" s="55" t="s">
        <v>360</v>
      </c>
      <c r="M2532" s="55" t="s">
        <v>144</v>
      </c>
      <c r="N2532" s="55" t="s">
        <v>144</v>
      </c>
      <c r="O2532" s="55" t="s">
        <v>236</v>
      </c>
      <c r="P2532" s="55" t="s">
        <v>996</v>
      </c>
      <c r="Q2532" s="55" t="s">
        <v>350</v>
      </c>
      <c r="R2532" s="85">
        <v>3</v>
      </c>
      <c r="S2532" s="55">
        <v>0</v>
      </c>
      <c r="T2532" s="74" t="s">
        <v>613</v>
      </c>
      <c r="U2532" s="74" t="s">
        <v>351</v>
      </c>
      <c r="V2532" s="74">
        <v>44403</v>
      </c>
      <c r="W2532" s="74">
        <v>44432</v>
      </c>
      <c r="X2532" s="55">
        <v>10186392</v>
      </c>
      <c r="Y2532" s="55" t="s">
        <v>132</v>
      </c>
      <c r="AB2532" s="74" t="s">
        <v>132</v>
      </c>
      <c r="AC2532" s="55" t="s">
        <v>130</v>
      </c>
      <c r="AL2532" s="74"/>
      <c r="AM2532" s="74"/>
      <c r="AW2532" s="74"/>
      <c r="AX2532" s="74"/>
    </row>
    <row r="2533" spans="1:50" ht="13" x14ac:dyDescent="0.15">
      <c r="A2533" s="55" t="str">
        <f>HYPERLINK("http://reports.ofsted.gov.uk/inspection-reports/find-inspection-report/provider/CARE/SC066120","Ofsted Social Care Provider Webpage")</f>
        <v>Ofsted Social Care Provider Webpage</v>
      </c>
      <c r="B2533" s="55" t="s">
        <v>4739</v>
      </c>
      <c r="D2533" s="55" t="s">
        <v>373</v>
      </c>
      <c r="E2533" s="74">
        <v>38698</v>
      </c>
      <c r="F2533" s="55" t="s">
        <v>344</v>
      </c>
      <c r="G2533" s="55" t="s">
        <v>360</v>
      </c>
      <c r="H2533" s="55" t="s">
        <v>360</v>
      </c>
      <c r="I2533" s="55" t="s">
        <v>360</v>
      </c>
      <c r="J2533" s="55" t="s">
        <v>360</v>
      </c>
      <c r="K2533" s="55" t="s">
        <v>360</v>
      </c>
      <c r="L2533" s="55" t="s">
        <v>360</v>
      </c>
      <c r="M2533" s="55" t="s">
        <v>378</v>
      </c>
      <c r="N2533" s="55" t="s">
        <v>134</v>
      </c>
      <c r="O2533" s="55" t="s">
        <v>210</v>
      </c>
      <c r="P2533" s="55" t="s">
        <v>1250</v>
      </c>
      <c r="Q2533" s="55" t="s">
        <v>380</v>
      </c>
      <c r="R2533" s="85">
        <v>6</v>
      </c>
      <c r="S2533" s="55">
        <v>0</v>
      </c>
      <c r="T2533" s="74" t="s">
        <v>543</v>
      </c>
      <c r="U2533" s="74" t="s">
        <v>351</v>
      </c>
      <c r="V2533" s="74">
        <v>44375</v>
      </c>
      <c r="W2533" s="74">
        <v>44406</v>
      </c>
      <c r="X2533" s="55">
        <v>10185064</v>
      </c>
      <c r="Y2533" s="55" t="s">
        <v>140</v>
      </c>
      <c r="AB2533" s="74" t="s">
        <v>140</v>
      </c>
      <c r="AC2533" s="55" t="s">
        <v>140</v>
      </c>
      <c r="AL2533" s="74"/>
      <c r="AM2533" s="74"/>
      <c r="AW2533" s="74"/>
      <c r="AX2533" s="74"/>
    </row>
    <row r="2534" spans="1:50" ht="13" x14ac:dyDescent="0.15">
      <c r="A2534" s="55" t="str">
        <f>HYPERLINK("http://reports.ofsted.gov.uk/inspection-reports/find-inspection-report/provider/CARE/SC066127","Ofsted Social Care Provider Webpage")</f>
        <v>Ofsted Social Care Provider Webpage</v>
      </c>
      <c r="B2534" s="55" t="s">
        <v>4740</v>
      </c>
      <c r="D2534" s="55" t="s">
        <v>373</v>
      </c>
      <c r="E2534" s="74">
        <v>39003</v>
      </c>
      <c r="F2534" s="55" t="s">
        <v>344</v>
      </c>
      <c r="G2534" s="55" t="s">
        <v>360</v>
      </c>
      <c r="H2534" s="55" t="s">
        <v>360</v>
      </c>
      <c r="I2534" s="55" t="s">
        <v>360</v>
      </c>
      <c r="J2534" s="55" t="s">
        <v>360</v>
      </c>
      <c r="K2534" s="55" t="s">
        <v>360</v>
      </c>
      <c r="L2534" s="55" t="s">
        <v>360</v>
      </c>
      <c r="M2534" s="55" t="s">
        <v>378</v>
      </c>
      <c r="N2534" s="55" t="s">
        <v>170</v>
      </c>
      <c r="O2534" s="55" t="s">
        <v>233</v>
      </c>
      <c r="P2534" s="55" t="s">
        <v>2363</v>
      </c>
      <c r="Q2534" s="55" t="s">
        <v>350</v>
      </c>
      <c r="R2534" s="85">
        <v>4</v>
      </c>
      <c r="S2534" s="55">
        <v>0</v>
      </c>
      <c r="T2534" s="74" t="s">
        <v>385</v>
      </c>
      <c r="U2534" s="74" t="s">
        <v>351</v>
      </c>
      <c r="V2534" s="74">
        <v>44501</v>
      </c>
      <c r="W2534" s="74">
        <v>44538</v>
      </c>
      <c r="X2534" s="55">
        <v>10185592</v>
      </c>
      <c r="Y2534" s="55" t="s">
        <v>140</v>
      </c>
      <c r="AB2534" s="74" t="s">
        <v>140</v>
      </c>
      <c r="AC2534" s="55" t="s">
        <v>140</v>
      </c>
      <c r="AL2534" s="74"/>
      <c r="AM2534" s="74"/>
      <c r="AW2534" s="74"/>
      <c r="AX2534" s="74"/>
    </row>
    <row r="2535" spans="1:50" ht="13" x14ac:dyDescent="0.15">
      <c r="A2535" s="55" t="str">
        <f>HYPERLINK("http://reports.ofsted.gov.uk/inspection-reports/find-inspection-report/provider/CARE/SC066129","Ofsted Social Care Provider Webpage")</f>
        <v>Ofsted Social Care Provider Webpage</v>
      </c>
      <c r="B2535" s="55" t="s">
        <v>4741</v>
      </c>
      <c r="D2535" s="55" t="s">
        <v>373</v>
      </c>
      <c r="E2535" s="74">
        <v>38856</v>
      </c>
      <c r="F2535" s="55" t="s">
        <v>344</v>
      </c>
      <c r="G2535" s="55" t="s">
        <v>360</v>
      </c>
      <c r="H2535" s="55" t="s">
        <v>360</v>
      </c>
      <c r="I2535" s="55" t="s">
        <v>360</v>
      </c>
      <c r="J2535" s="55" t="s">
        <v>360</v>
      </c>
      <c r="K2535" s="55" t="s">
        <v>360</v>
      </c>
      <c r="L2535" s="55" t="s">
        <v>360</v>
      </c>
      <c r="M2535" s="55" t="s">
        <v>150</v>
      </c>
      <c r="N2535" s="55" t="s">
        <v>150</v>
      </c>
      <c r="O2535" s="55" t="s">
        <v>203</v>
      </c>
      <c r="P2535" s="55" t="s">
        <v>1263</v>
      </c>
      <c r="Q2535" s="55" t="s">
        <v>350</v>
      </c>
      <c r="R2535" s="85">
        <v>5</v>
      </c>
      <c r="S2535" s="55">
        <v>0</v>
      </c>
      <c r="T2535" s="74" t="s">
        <v>4742</v>
      </c>
      <c r="U2535" s="74" t="s">
        <v>351</v>
      </c>
      <c r="V2535" s="74">
        <v>44342</v>
      </c>
      <c r="W2535" s="74">
        <v>44392</v>
      </c>
      <c r="X2535" s="55">
        <v>10185701</v>
      </c>
      <c r="Y2535" s="55" t="s">
        <v>132</v>
      </c>
      <c r="AB2535" s="74" t="s">
        <v>132</v>
      </c>
      <c r="AC2535" s="55" t="s">
        <v>132</v>
      </c>
      <c r="AL2535" s="74"/>
      <c r="AM2535" s="74"/>
    </row>
    <row r="2536" spans="1:50" ht="13" x14ac:dyDescent="0.15">
      <c r="A2536" s="55" t="str">
        <f>HYPERLINK("http://reports.ofsted.gov.uk/inspection-reports/find-inspection-report/provider/CARE/SC066179","Ofsted Social Care Provider Webpage")</f>
        <v>Ofsted Social Care Provider Webpage</v>
      </c>
      <c r="B2536" s="55" t="s">
        <v>4743</v>
      </c>
      <c r="D2536" s="55" t="s">
        <v>373</v>
      </c>
      <c r="E2536" s="74">
        <v>38757</v>
      </c>
      <c r="F2536" s="55" t="s">
        <v>344</v>
      </c>
      <c r="G2536" s="55" t="s">
        <v>360</v>
      </c>
      <c r="H2536" s="55" t="s">
        <v>360</v>
      </c>
      <c r="I2536" s="55" t="s">
        <v>360</v>
      </c>
      <c r="J2536" s="55" t="s">
        <v>360</v>
      </c>
      <c r="K2536" s="55" t="s">
        <v>360</v>
      </c>
      <c r="L2536" s="55" t="s">
        <v>360</v>
      </c>
      <c r="M2536" s="55" t="s">
        <v>136</v>
      </c>
      <c r="N2536" s="55" t="s">
        <v>136</v>
      </c>
      <c r="O2536" s="55" t="s">
        <v>174</v>
      </c>
      <c r="P2536" s="55" t="s">
        <v>1010</v>
      </c>
      <c r="Q2536" s="55" t="s">
        <v>350</v>
      </c>
      <c r="R2536" s="85">
        <v>5</v>
      </c>
      <c r="S2536" s="55">
        <v>0</v>
      </c>
      <c r="T2536" s="74" t="s">
        <v>721</v>
      </c>
      <c r="U2536" s="74" t="s">
        <v>6703</v>
      </c>
      <c r="V2536" s="74">
        <v>44600</v>
      </c>
      <c r="W2536" s="74">
        <v>44638</v>
      </c>
      <c r="X2536" s="55">
        <v>10212743</v>
      </c>
      <c r="Y2536" s="55" t="s">
        <v>6706</v>
      </c>
      <c r="AL2536" s="74"/>
      <c r="AM2536" s="74"/>
      <c r="AW2536" s="74"/>
      <c r="AX2536" s="74"/>
    </row>
    <row r="2537" spans="1:50" ht="13" x14ac:dyDescent="0.15">
      <c r="A2537" s="55" t="str">
        <f>HYPERLINK("http://reports.ofsted.gov.uk/inspection-reports/find-inspection-report/provider/CARE/SC066179","Ofsted Social Care Provider Webpage")</f>
        <v>Ofsted Social Care Provider Webpage</v>
      </c>
      <c r="B2537" s="55" t="s">
        <v>4743</v>
      </c>
      <c r="D2537" s="55" t="s">
        <v>373</v>
      </c>
      <c r="E2537" s="74">
        <v>38757</v>
      </c>
      <c r="F2537" s="55" t="s">
        <v>344</v>
      </c>
      <c r="G2537" s="55" t="s">
        <v>360</v>
      </c>
      <c r="H2537" s="55" t="s">
        <v>360</v>
      </c>
      <c r="I2537" s="55" t="s">
        <v>360</v>
      </c>
      <c r="J2537" s="55" t="s">
        <v>360</v>
      </c>
      <c r="K2537" s="55" t="s">
        <v>360</v>
      </c>
      <c r="L2537" s="55" t="s">
        <v>360</v>
      </c>
      <c r="M2537" s="55" t="s">
        <v>136</v>
      </c>
      <c r="N2537" s="55" t="s">
        <v>136</v>
      </c>
      <c r="O2537" s="55" t="s">
        <v>174</v>
      </c>
      <c r="P2537" s="55" t="s">
        <v>1010</v>
      </c>
      <c r="Q2537" s="55" t="s">
        <v>350</v>
      </c>
      <c r="R2537" s="85">
        <v>5</v>
      </c>
      <c r="S2537" s="55">
        <v>0</v>
      </c>
      <c r="T2537" s="74" t="s">
        <v>721</v>
      </c>
      <c r="U2537" s="74" t="s">
        <v>351</v>
      </c>
      <c r="V2537" s="74">
        <v>44446</v>
      </c>
      <c r="W2537" s="74">
        <v>44470</v>
      </c>
      <c r="X2537" s="55">
        <v>10186261</v>
      </c>
      <c r="Y2537" s="55" t="s">
        <v>130</v>
      </c>
      <c r="AB2537" s="74" t="s">
        <v>130</v>
      </c>
      <c r="AC2537" s="55" t="s">
        <v>130</v>
      </c>
      <c r="AL2537" s="74"/>
      <c r="AM2537" s="74"/>
      <c r="AW2537" s="74"/>
      <c r="AX2537" s="74"/>
    </row>
    <row r="2538" spans="1:50" ht="13" x14ac:dyDescent="0.15">
      <c r="A2538" s="55" t="str">
        <f>HYPERLINK("http://reports.ofsted.gov.uk/inspection-reports/find-inspection-report/provider/CARE/SC066183","Ofsted Social Care Provider Webpage")</f>
        <v>Ofsted Social Care Provider Webpage</v>
      </c>
      <c r="B2538" s="55" t="s">
        <v>4744</v>
      </c>
      <c r="D2538" s="55" t="s">
        <v>373</v>
      </c>
      <c r="E2538" s="74">
        <v>38721</v>
      </c>
      <c r="F2538" s="55" t="s">
        <v>344</v>
      </c>
      <c r="G2538" s="55" t="s">
        <v>360</v>
      </c>
      <c r="H2538" s="55" t="s">
        <v>360</v>
      </c>
      <c r="I2538" s="55" t="s">
        <v>360</v>
      </c>
      <c r="J2538" s="55" t="s">
        <v>360</v>
      </c>
      <c r="K2538" s="55" t="s">
        <v>360</v>
      </c>
      <c r="L2538" s="55" t="s">
        <v>360</v>
      </c>
      <c r="M2538" s="55" t="s">
        <v>142</v>
      </c>
      <c r="N2538" s="55" t="s">
        <v>142</v>
      </c>
      <c r="O2538" s="55" t="s">
        <v>141</v>
      </c>
      <c r="P2538" s="55" t="s">
        <v>774</v>
      </c>
      <c r="Q2538" s="55" t="s">
        <v>350</v>
      </c>
      <c r="R2538" s="85">
        <v>3</v>
      </c>
      <c r="S2538" s="55">
        <v>0</v>
      </c>
      <c r="T2538" s="74" t="s">
        <v>385</v>
      </c>
      <c r="U2538" s="74" t="s">
        <v>351</v>
      </c>
      <c r="V2538" s="74">
        <v>44334</v>
      </c>
      <c r="W2538" s="74">
        <v>44375</v>
      </c>
      <c r="X2538" s="55">
        <v>10185424</v>
      </c>
      <c r="Y2538" s="55" t="s">
        <v>132</v>
      </c>
      <c r="AB2538" s="74" t="s">
        <v>132</v>
      </c>
      <c r="AC2538" s="55" t="s">
        <v>132</v>
      </c>
      <c r="AL2538" s="74"/>
      <c r="AM2538" s="74"/>
      <c r="AW2538" s="74"/>
      <c r="AX2538" s="74"/>
    </row>
    <row r="2539" spans="1:50" ht="13" x14ac:dyDescent="0.15">
      <c r="A2539" s="55" t="str">
        <f>HYPERLINK("http://reports.ofsted.gov.uk/inspection-reports/find-inspection-report/provider/CARE/SC066185","Ofsted Social Care Provider Webpage")</f>
        <v>Ofsted Social Care Provider Webpage</v>
      </c>
      <c r="B2539" s="55" t="s">
        <v>4745</v>
      </c>
      <c r="D2539" s="55" t="s">
        <v>373</v>
      </c>
      <c r="E2539" s="74">
        <v>38889</v>
      </c>
      <c r="F2539" s="55" t="s">
        <v>344</v>
      </c>
      <c r="G2539" s="55" t="s">
        <v>360</v>
      </c>
      <c r="H2539" s="55" t="s">
        <v>360</v>
      </c>
      <c r="I2539" s="55" t="s">
        <v>360</v>
      </c>
      <c r="J2539" s="55" t="s">
        <v>360</v>
      </c>
      <c r="K2539" s="55" t="s">
        <v>360</v>
      </c>
      <c r="L2539" s="55" t="s">
        <v>360</v>
      </c>
      <c r="M2539" s="55" t="s">
        <v>150</v>
      </c>
      <c r="N2539" s="55" t="s">
        <v>150</v>
      </c>
      <c r="O2539" s="55" t="s">
        <v>203</v>
      </c>
      <c r="P2539" s="55" t="s">
        <v>800</v>
      </c>
      <c r="Q2539" s="55" t="s">
        <v>350</v>
      </c>
      <c r="R2539" s="85">
        <v>5</v>
      </c>
      <c r="S2539" s="55">
        <v>0</v>
      </c>
      <c r="T2539" s="74" t="s">
        <v>2891</v>
      </c>
      <c r="U2539" s="74" t="s">
        <v>351</v>
      </c>
      <c r="V2539" s="74">
        <v>44404</v>
      </c>
      <c r="W2539" s="74">
        <v>44449</v>
      </c>
      <c r="X2539" s="55">
        <v>10186270</v>
      </c>
      <c r="Y2539" s="55" t="s">
        <v>132</v>
      </c>
      <c r="AB2539" s="74" t="s">
        <v>132</v>
      </c>
      <c r="AC2539" s="55" t="s">
        <v>132</v>
      </c>
      <c r="AL2539" s="74"/>
      <c r="AM2539" s="74"/>
      <c r="AW2539" s="74"/>
      <c r="AX2539" s="74"/>
    </row>
    <row r="2540" spans="1:50" ht="13" x14ac:dyDescent="0.15">
      <c r="A2540" s="55" t="str">
        <f>HYPERLINK("http://reports.ofsted.gov.uk/inspection-reports/find-inspection-report/provider/CARE/SC066187","Ofsted Social Care Provider Webpage")</f>
        <v>Ofsted Social Care Provider Webpage</v>
      </c>
      <c r="B2540" s="55" t="s">
        <v>4746</v>
      </c>
      <c r="D2540" s="55" t="s">
        <v>373</v>
      </c>
      <c r="E2540" s="74">
        <v>38754</v>
      </c>
      <c r="F2540" s="55" t="s">
        <v>344</v>
      </c>
      <c r="G2540" s="55" t="s">
        <v>360</v>
      </c>
      <c r="H2540" s="55" t="s">
        <v>360</v>
      </c>
      <c r="I2540" s="55" t="s">
        <v>360</v>
      </c>
      <c r="J2540" s="55" t="s">
        <v>360</v>
      </c>
      <c r="K2540" s="55" t="s">
        <v>360</v>
      </c>
      <c r="L2540" s="55" t="s">
        <v>360</v>
      </c>
      <c r="M2540" s="55" t="s">
        <v>142</v>
      </c>
      <c r="N2540" s="55" t="s">
        <v>142</v>
      </c>
      <c r="O2540" s="55" t="s">
        <v>141</v>
      </c>
      <c r="P2540" s="55" t="s">
        <v>641</v>
      </c>
      <c r="Q2540" s="55" t="s">
        <v>350</v>
      </c>
      <c r="R2540" s="85">
        <v>3</v>
      </c>
      <c r="S2540" s="55">
        <v>0</v>
      </c>
      <c r="T2540" s="74" t="s">
        <v>385</v>
      </c>
      <c r="U2540" s="74" t="s">
        <v>351</v>
      </c>
      <c r="V2540" s="74">
        <v>44543</v>
      </c>
      <c r="W2540" s="74">
        <v>44586</v>
      </c>
      <c r="X2540" s="55">
        <v>10185881</v>
      </c>
      <c r="Y2540" s="55" t="s">
        <v>140</v>
      </c>
      <c r="AB2540" s="74" t="s">
        <v>140</v>
      </c>
      <c r="AC2540" s="55" t="s">
        <v>140</v>
      </c>
      <c r="AL2540" s="74"/>
      <c r="AM2540" s="74"/>
      <c r="AW2540" s="74"/>
      <c r="AX2540" s="74"/>
    </row>
    <row r="2541" spans="1:50" ht="13" x14ac:dyDescent="0.15">
      <c r="A2541" s="55" t="str">
        <f>HYPERLINK("http://reports.ofsted.gov.uk/inspection-reports/find-inspection-report/provider/CARE/SC066218","Ofsted Social Care Provider Webpage")</f>
        <v>Ofsted Social Care Provider Webpage</v>
      </c>
      <c r="B2541" s="55" t="s">
        <v>4747</v>
      </c>
      <c r="D2541" s="55" t="s">
        <v>373</v>
      </c>
      <c r="E2541" s="74">
        <v>38791</v>
      </c>
      <c r="F2541" s="55" t="s">
        <v>344</v>
      </c>
      <c r="G2541" s="55" t="s">
        <v>360</v>
      </c>
      <c r="H2541" s="55" t="s">
        <v>360</v>
      </c>
      <c r="I2541" s="55" t="s">
        <v>360</v>
      </c>
      <c r="J2541" s="55" t="s">
        <v>360</v>
      </c>
      <c r="K2541" s="55" t="s">
        <v>360</v>
      </c>
      <c r="L2541" s="55" t="s">
        <v>360</v>
      </c>
      <c r="M2541" s="55" t="s">
        <v>144</v>
      </c>
      <c r="N2541" s="55" t="s">
        <v>144</v>
      </c>
      <c r="O2541" s="55" t="s">
        <v>261</v>
      </c>
      <c r="P2541" s="55" t="s">
        <v>512</v>
      </c>
      <c r="Q2541" s="55" t="s">
        <v>350</v>
      </c>
      <c r="R2541" s="85">
        <v>5</v>
      </c>
      <c r="S2541" s="55">
        <v>0</v>
      </c>
      <c r="T2541" s="74" t="s">
        <v>4748</v>
      </c>
      <c r="U2541" s="74" t="s">
        <v>351</v>
      </c>
      <c r="V2541" s="74">
        <v>44398</v>
      </c>
      <c r="W2541" s="74">
        <v>44432</v>
      </c>
      <c r="X2541" s="55">
        <v>10185672</v>
      </c>
      <c r="Y2541" s="55" t="s">
        <v>132</v>
      </c>
      <c r="AB2541" s="74" t="s">
        <v>132</v>
      </c>
      <c r="AC2541" s="55" t="s">
        <v>132</v>
      </c>
      <c r="AL2541" s="74"/>
      <c r="AM2541" s="74"/>
      <c r="AW2541" s="74"/>
      <c r="AX2541" s="74"/>
    </row>
    <row r="2542" spans="1:50" ht="13" x14ac:dyDescent="0.15">
      <c r="A2542" s="55" t="str">
        <f>HYPERLINK("http://reports.ofsted.gov.uk/inspection-reports/find-inspection-report/provider/CARE/SC066242","Ofsted Social Care Provider Webpage")</f>
        <v>Ofsted Social Care Provider Webpage</v>
      </c>
      <c r="B2542" s="55" t="s">
        <v>4749</v>
      </c>
      <c r="D2542" s="55" t="s">
        <v>373</v>
      </c>
      <c r="E2542" s="74">
        <v>38806</v>
      </c>
      <c r="F2542" s="55" t="s">
        <v>344</v>
      </c>
      <c r="G2542" s="55" t="s">
        <v>360</v>
      </c>
      <c r="H2542" s="55" t="s">
        <v>360</v>
      </c>
      <c r="I2542" s="55" t="s">
        <v>360</v>
      </c>
      <c r="J2542" s="55" t="s">
        <v>360</v>
      </c>
      <c r="K2542" s="55" t="s">
        <v>360</v>
      </c>
      <c r="L2542" s="55" t="s">
        <v>360</v>
      </c>
      <c r="M2542" s="55" t="s">
        <v>144</v>
      </c>
      <c r="N2542" s="55" t="s">
        <v>144</v>
      </c>
      <c r="O2542" s="55" t="s">
        <v>250</v>
      </c>
      <c r="P2542" s="55" t="s">
        <v>1372</v>
      </c>
      <c r="Q2542" s="55" t="s">
        <v>350</v>
      </c>
      <c r="R2542" s="85">
        <v>2</v>
      </c>
      <c r="S2542" s="55">
        <v>0</v>
      </c>
      <c r="T2542" s="74" t="s">
        <v>4534</v>
      </c>
      <c r="U2542" s="74" t="s">
        <v>2053</v>
      </c>
      <c r="V2542" s="74">
        <v>44355</v>
      </c>
      <c r="W2542" s="74">
        <v>44385</v>
      </c>
      <c r="X2542" s="55">
        <v>10194636</v>
      </c>
      <c r="AL2542" s="74"/>
      <c r="AM2542" s="74"/>
    </row>
    <row r="2543" spans="1:50" ht="13" x14ac:dyDescent="0.15">
      <c r="A2543" s="55" t="str">
        <f>HYPERLINK("http://reports.ofsted.gov.uk/inspection-reports/find-inspection-report/provider/CARE/SC066242","Ofsted Social Care Provider Webpage")</f>
        <v>Ofsted Social Care Provider Webpage</v>
      </c>
      <c r="B2543" s="55" t="s">
        <v>4749</v>
      </c>
      <c r="D2543" s="55" t="s">
        <v>373</v>
      </c>
      <c r="E2543" s="74">
        <v>38806</v>
      </c>
      <c r="F2543" s="55" t="s">
        <v>344</v>
      </c>
      <c r="G2543" s="55" t="s">
        <v>360</v>
      </c>
      <c r="H2543" s="55" t="s">
        <v>360</v>
      </c>
      <c r="I2543" s="55" t="s">
        <v>360</v>
      </c>
      <c r="J2543" s="55" t="s">
        <v>360</v>
      </c>
      <c r="K2543" s="55" t="s">
        <v>360</v>
      </c>
      <c r="L2543" s="55" t="s">
        <v>360</v>
      </c>
      <c r="M2543" s="55" t="s">
        <v>144</v>
      </c>
      <c r="N2543" s="55" t="s">
        <v>144</v>
      </c>
      <c r="O2543" s="55" t="s">
        <v>250</v>
      </c>
      <c r="P2543" s="55" t="s">
        <v>1372</v>
      </c>
      <c r="Q2543" s="55" t="s">
        <v>350</v>
      </c>
      <c r="R2543" s="85">
        <v>2</v>
      </c>
      <c r="S2543" s="55">
        <v>0</v>
      </c>
      <c r="T2543" s="74" t="s">
        <v>4534</v>
      </c>
      <c r="U2543" s="74" t="s">
        <v>351</v>
      </c>
      <c r="V2543" s="74">
        <v>44628</v>
      </c>
      <c r="W2543" s="74">
        <v>44677</v>
      </c>
      <c r="X2543" s="55">
        <v>10186512</v>
      </c>
      <c r="Y2543" s="55" t="s">
        <v>130</v>
      </c>
      <c r="AB2543" s="74" t="s">
        <v>130</v>
      </c>
      <c r="AC2543" s="55" t="s">
        <v>130</v>
      </c>
      <c r="AL2543" s="74"/>
      <c r="AM2543" s="74"/>
      <c r="AW2543" s="74"/>
      <c r="AX2543" s="74"/>
    </row>
    <row r="2544" spans="1:50" ht="13" x14ac:dyDescent="0.15">
      <c r="A2544" s="55" t="str">
        <f>HYPERLINK("http://reports.ofsted.gov.uk/inspection-reports/find-inspection-report/provider/CARE/SC066242","Ofsted Social Care Provider Webpage")</f>
        <v>Ofsted Social Care Provider Webpage</v>
      </c>
      <c r="B2544" s="55" t="s">
        <v>4749</v>
      </c>
      <c r="D2544" s="55" t="s">
        <v>373</v>
      </c>
      <c r="E2544" s="74">
        <v>38806</v>
      </c>
      <c r="F2544" s="55" t="s">
        <v>344</v>
      </c>
      <c r="G2544" s="55" t="s">
        <v>360</v>
      </c>
      <c r="H2544" s="55" t="s">
        <v>360</v>
      </c>
      <c r="I2544" s="55" t="s">
        <v>360</v>
      </c>
      <c r="J2544" s="55" t="s">
        <v>360</v>
      </c>
      <c r="K2544" s="55" t="s">
        <v>360</v>
      </c>
      <c r="L2544" s="55" t="s">
        <v>360</v>
      </c>
      <c r="M2544" s="55" t="s">
        <v>144</v>
      </c>
      <c r="N2544" s="55" t="s">
        <v>144</v>
      </c>
      <c r="O2544" s="55" t="s">
        <v>250</v>
      </c>
      <c r="P2544" s="55" t="s">
        <v>1372</v>
      </c>
      <c r="Q2544" s="55" t="s">
        <v>350</v>
      </c>
      <c r="R2544" s="85">
        <v>2</v>
      </c>
      <c r="S2544" s="55">
        <v>0</v>
      </c>
      <c r="T2544" s="74" t="s">
        <v>4534</v>
      </c>
      <c r="U2544" s="74" t="s">
        <v>2053</v>
      </c>
      <c r="V2544" s="74">
        <v>44312</v>
      </c>
      <c r="W2544" s="74">
        <v>44343</v>
      </c>
      <c r="X2544" s="55">
        <v>10182950</v>
      </c>
      <c r="AL2544" s="74"/>
      <c r="AM2544" s="74"/>
      <c r="AW2544" s="74"/>
      <c r="AX2544" s="74"/>
    </row>
    <row r="2545" spans="1:50" ht="13" x14ac:dyDescent="0.15">
      <c r="A2545" s="55" t="str">
        <f>HYPERLINK("http://reports.ofsted.gov.uk/inspection-reports/find-inspection-report/provider/CARE/SC066250","Ofsted Social Care Provider Webpage")</f>
        <v>Ofsted Social Care Provider Webpage</v>
      </c>
      <c r="B2545" s="55" t="s">
        <v>4750</v>
      </c>
      <c r="D2545" s="55" t="s">
        <v>373</v>
      </c>
      <c r="E2545" s="74">
        <v>38687</v>
      </c>
      <c r="F2545" s="55" t="s">
        <v>344</v>
      </c>
      <c r="G2545" s="55" t="s">
        <v>360</v>
      </c>
      <c r="H2545" s="55" t="s">
        <v>360</v>
      </c>
      <c r="I2545" s="55" t="s">
        <v>360</v>
      </c>
      <c r="J2545" s="55" t="s">
        <v>360</v>
      </c>
      <c r="K2545" s="55" t="s">
        <v>360</v>
      </c>
      <c r="L2545" s="55" t="s">
        <v>360</v>
      </c>
      <c r="M2545" s="55" t="s">
        <v>136</v>
      </c>
      <c r="N2545" s="55" t="s">
        <v>136</v>
      </c>
      <c r="O2545" s="55" t="s">
        <v>154</v>
      </c>
      <c r="P2545" s="55" t="s">
        <v>1686</v>
      </c>
      <c r="Q2545" s="55" t="s">
        <v>350</v>
      </c>
      <c r="R2545" s="85">
        <v>3</v>
      </c>
      <c r="S2545" s="55">
        <v>0</v>
      </c>
      <c r="T2545" s="74" t="s">
        <v>914</v>
      </c>
      <c r="U2545" s="74" t="s">
        <v>351</v>
      </c>
      <c r="V2545" s="74">
        <v>44307</v>
      </c>
      <c r="W2545" s="74">
        <v>44336</v>
      </c>
      <c r="X2545" s="55">
        <v>10186072</v>
      </c>
      <c r="Y2545" s="55" t="s">
        <v>132</v>
      </c>
      <c r="AB2545" s="74" t="s">
        <v>132</v>
      </c>
      <c r="AC2545" s="55" t="s">
        <v>132</v>
      </c>
      <c r="AL2545" s="74"/>
      <c r="AM2545" s="74"/>
      <c r="AW2545" s="74"/>
      <c r="AX2545" s="74"/>
    </row>
    <row r="2546" spans="1:50" ht="13" x14ac:dyDescent="0.15">
      <c r="A2546" s="55" t="str">
        <f>HYPERLINK("http://reports.ofsted.gov.uk/inspection-reports/find-inspection-report/provider/CARE/SC066393","Ofsted Social Care Provider Webpage")</f>
        <v>Ofsted Social Care Provider Webpage</v>
      </c>
      <c r="B2546" s="55" t="s">
        <v>4752</v>
      </c>
      <c r="D2546" s="55" t="s">
        <v>373</v>
      </c>
      <c r="E2546" s="74">
        <v>38735</v>
      </c>
      <c r="F2546" s="55" t="s">
        <v>344</v>
      </c>
      <c r="G2546" s="55" t="s">
        <v>360</v>
      </c>
      <c r="H2546" s="55" t="s">
        <v>360</v>
      </c>
      <c r="I2546" s="55" t="s">
        <v>360</v>
      </c>
      <c r="J2546" s="55" t="s">
        <v>360</v>
      </c>
      <c r="K2546" s="55" t="s">
        <v>360</v>
      </c>
      <c r="L2546" s="55" t="s">
        <v>360</v>
      </c>
      <c r="M2546" s="55" t="s">
        <v>142</v>
      </c>
      <c r="N2546" s="55" t="s">
        <v>142</v>
      </c>
      <c r="O2546" s="55" t="s">
        <v>141</v>
      </c>
      <c r="P2546" s="55" t="s">
        <v>864</v>
      </c>
      <c r="Q2546" s="55" t="s">
        <v>350</v>
      </c>
      <c r="R2546" s="85">
        <v>3</v>
      </c>
      <c r="S2546" s="55">
        <v>0</v>
      </c>
      <c r="T2546" s="74" t="s">
        <v>385</v>
      </c>
      <c r="U2546" s="74" t="s">
        <v>351</v>
      </c>
      <c r="V2546" s="74">
        <v>44454</v>
      </c>
      <c r="W2546" s="74">
        <v>44508</v>
      </c>
      <c r="X2546" s="55">
        <v>10186414</v>
      </c>
      <c r="Y2546" s="55" t="s">
        <v>140</v>
      </c>
      <c r="AB2546" s="74" t="s">
        <v>140</v>
      </c>
      <c r="AC2546" s="55" t="s">
        <v>140</v>
      </c>
      <c r="AL2546" s="74"/>
      <c r="AM2546" s="74"/>
      <c r="AW2546" s="74"/>
      <c r="AX2546" s="74"/>
    </row>
    <row r="2547" spans="1:50" ht="13" x14ac:dyDescent="0.15">
      <c r="A2547" s="55" t="str">
        <f>HYPERLINK("http://reports.ofsted.gov.uk/inspection-reports/find-inspection-report/provider/CARE/SC066428","Ofsted Social Care Provider Webpage")</f>
        <v>Ofsted Social Care Provider Webpage</v>
      </c>
      <c r="B2547" s="55" t="s">
        <v>4759</v>
      </c>
      <c r="D2547" s="55" t="s">
        <v>373</v>
      </c>
      <c r="E2547" s="74">
        <v>38777</v>
      </c>
      <c r="F2547" s="55" t="s">
        <v>344</v>
      </c>
      <c r="G2547" s="55" t="s">
        <v>360</v>
      </c>
      <c r="H2547" s="55" t="s">
        <v>360</v>
      </c>
      <c r="I2547" s="55" t="s">
        <v>360</v>
      </c>
      <c r="J2547" s="55" t="s">
        <v>360</v>
      </c>
      <c r="K2547" s="55" t="s">
        <v>360</v>
      </c>
      <c r="L2547" s="55" t="s">
        <v>360</v>
      </c>
      <c r="M2547" s="55" t="s">
        <v>144</v>
      </c>
      <c r="N2547" s="55" t="s">
        <v>144</v>
      </c>
      <c r="O2547" s="55" t="s">
        <v>209</v>
      </c>
      <c r="P2547" s="55" t="s">
        <v>474</v>
      </c>
      <c r="Q2547" s="55" t="s">
        <v>350</v>
      </c>
      <c r="R2547" s="85">
        <v>5</v>
      </c>
      <c r="S2547" s="55">
        <v>0</v>
      </c>
      <c r="T2547" s="74" t="s">
        <v>863</v>
      </c>
      <c r="U2547" s="74" t="s">
        <v>351</v>
      </c>
      <c r="V2547" s="74">
        <v>44593</v>
      </c>
      <c r="W2547" s="74">
        <v>44656</v>
      </c>
      <c r="X2547" s="55">
        <v>10185143</v>
      </c>
      <c r="Y2547" s="55" t="s">
        <v>132</v>
      </c>
      <c r="AB2547" s="74" t="s">
        <v>132</v>
      </c>
      <c r="AC2547" s="55" t="s">
        <v>132</v>
      </c>
      <c r="AL2547" s="74"/>
      <c r="AM2547" s="74"/>
      <c r="AW2547" s="74"/>
      <c r="AX2547" s="74"/>
    </row>
    <row r="2548" spans="1:50" ht="13" x14ac:dyDescent="0.15">
      <c r="A2548" s="55" t="str">
        <f>HYPERLINK("http://reports.ofsted.gov.uk/inspection-reports/find-inspection-report/provider/CARE/SC066458","Ofsted Social Care Provider Webpage")</f>
        <v>Ofsted Social Care Provider Webpage</v>
      </c>
      <c r="B2548" s="55" t="s">
        <v>4760</v>
      </c>
      <c r="D2548" s="55" t="s">
        <v>373</v>
      </c>
      <c r="E2548" s="74">
        <v>38806</v>
      </c>
      <c r="F2548" s="55" t="s">
        <v>344</v>
      </c>
      <c r="G2548" s="55" t="s">
        <v>360</v>
      </c>
      <c r="H2548" s="55" t="s">
        <v>360</v>
      </c>
      <c r="I2548" s="55" t="s">
        <v>360</v>
      </c>
      <c r="J2548" s="55" t="s">
        <v>360</v>
      </c>
      <c r="K2548" s="55" t="s">
        <v>360</v>
      </c>
      <c r="L2548" s="55" t="s">
        <v>360</v>
      </c>
      <c r="M2548" s="55" t="s">
        <v>378</v>
      </c>
      <c r="N2548" s="55" t="s">
        <v>134</v>
      </c>
      <c r="O2548" s="55" t="s">
        <v>210</v>
      </c>
      <c r="P2548" s="55" t="s">
        <v>1989</v>
      </c>
      <c r="Q2548" s="55" t="s">
        <v>350</v>
      </c>
      <c r="R2548" s="85">
        <v>3</v>
      </c>
      <c r="S2548" s="55">
        <v>0</v>
      </c>
      <c r="T2548" s="74" t="s">
        <v>1251</v>
      </c>
      <c r="U2548" s="74" t="s">
        <v>6703</v>
      </c>
      <c r="V2548" s="74">
        <v>44573</v>
      </c>
      <c r="W2548" s="74">
        <v>44620</v>
      </c>
      <c r="X2548" s="55">
        <v>10220230</v>
      </c>
      <c r="Y2548" s="55" t="s">
        <v>6706</v>
      </c>
      <c r="AL2548" s="74"/>
      <c r="AM2548" s="74"/>
      <c r="AW2548" s="74"/>
      <c r="AX2548" s="74"/>
    </row>
    <row r="2549" spans="1:50" ht="13" x14ac:dyDescent="0.15">
      <c r="A2549" s="55" t="str">
        <f>HYPERLINK("http://reports.ofsted.gov.uk/inspection-reports/find-inspection-report/provider/CARE/SC066458","Ofsted Social Care Provider Webpage")</f>
        <v>Ofsted Social Care Provider Webpage</v>
      </c>
      <c r="B2549" s="55" t="s">
        <v>4760</v>
      </c>
      <c r="D2549" s="55" t="s">
        <v>373</v>
      </c>
      <c r="E2549" s="74">
        <v>38806</v>
      </c>
      <c r="F2549" s="55" t="s">
        <v>344</v>
      </c>
      <c r="G2549" s="55" t="s">
        <v>360</v>
      </c>
      <c r="H2549" s="55" t="s">
        <v>360</v>
      </c>
      <c r="I2549" s="55" t="s">
        <v>360</v>
      </c>
      <c r="J2549" s="55" t="s">
        <v>360</v>
      </c>
      <c r="K2549" s="55" t="s">
        <v>360</v>
      </c>
      <c r="L2549" s="55" t="s">
        <v>360</v>
      </c>
      <c r="M2549" s="55" t="s">
        <v>378</v>
      </c>
      <c r="N2549" s="55" t="s">
        <v>134</v>
      </c>
      <c r="O2549" s="55" t="s">
        <v>210</v>
      </c>
      <c r="P2549" s="55" t="s">
        <v>1989</v>
      </c>
      <c r="Q2549" s="55" t="s">
        <v>350</v>
      </c>
      <c r="R2549" s="85">
        <v>3</v>
      </c>
      <c r="S2549" s="55">
        <v>0</v>
      </c>
      <c r="T2549" s="74" t="s">
        <v>1251</v>
      </c>
      <c r="U2549" s="74" t="s">
        <v>351</v>
      </c>
      <c r="V2549" s="74">
        <v>44503</v>
      </c>
      <c r="W2549" s="74">
        <v>44538</v>
      </c>
      <c r="X2549" s="55">
        <v>10185407</v>
      </c>
      <c r="Y2549" s="55" t="s">
        <v>130</v>
      </c>
      <c r="AB2549" s="74" t="s">
        <v>130</v>
      </c>
      <c r="AC2549" s="55" t="s">
        <v>146</v>
      </c>
      <c r="AL2549" s="74"/>
      <c r="AM2549" s="74"/>
      <c r="AW2549" s="74"/>
      <c r="AX2549" s="74"/>
    </row>
    <row r="2550" spans="1:50" ht="13" x14ac:dyDescent="0.15">
      <c r="A2550" s="55" t="str">
        <f>HYPERLINK("http://reports.ofsted.gov.uk/inspection-reports/find-inspection-report/provider/CARE/SC066466","Ofsted Social Care Provider Webpage")</f>
        <v>Ofsted Social Care Provider Webpage</v>
      </c>
      <c r="B2550" s="55" t="s">
        <v>4761</v>
      </c>
      <c r="D2550" s="55" t="s">
        <v>373</v>
      </c>
      <c r="E2550" s="74">
        <v>38769</v>
      </c>
      <c r="F2550" s="55" t="s">
        <v>344</v>
      </c>
      <c r="G2550" s="55" t="s">
        <v>360</v>
      </c>
      <c r="H2550" s="55" t="s">
        <v>360</v>
      </c>
      <c r="I2550" s="55" t="s">
        <v>360</v>
      </c>
      <c r="J2550" s="55" t="s">
        <v>360</v>
      </c>
      <c r="K2550" s="55" t="s">
        <v>360</v>
      </c>
      <c r="L2550" s="55" t="s">
        <v>360</v>
      </c>
      <c r="M2550" s="55" t="s">
        <v>150</v>
      </c>
      <c r="N2550" s="55" t="s">
        <v>150</v>
      </c>
      <c r="O2550" s="55" t="s">
        <v>285</v>
      </c>
      <c r="P2550" s="55" t="s">
        <v>2738</v>
      </c>
      <c r="Q2550" s="55" t="s">
        <v>350</v>
      </c>
      <c r="R2550" s="85">
        <v>6</v>
      </c>
      <c r="S2550" s="55">
        <v>0</v>
      </c>
      <c r="T2550" s="74" t="s">
        <v>4762</v>
      </c>
      <c r="U2550" s="74" t="s">
        <v>351</v>
      </c>
      <c r="V2550" s="74">
        <v>44433</v>
      </c>
      <c r="W2550" s="74">
        <v>44462</v>
      </c>
      <c r="X2550" s="55">
        <v>10187353</v>
      </c>
      <c r="Y2550" s="55" t="s">
        <v>132</v>
      </c>
      <c r="AB2550" s="74" t="s">
        <v>132</v>
      </c>
      <c r="AC2550" s="55" t="s">
        <v>130</v>
      </c>
      <c r="AL2550" s="74"/>
      <c r="AM2550" s="74"/>
    </row>
    <row r="2551" spans="1:50" ht="13" x14ac:dyDescent="0.15">
      <c r="A2551" s="55" t="str">
        <f>HYPERLINK("http://reports.ofsted.gov.uk/inspection-reports/find-inspection-report/provider/CARE/SC066469","Ofsted Social Care Provider Webpage")</f>
        <v>Ofsted Social Care Provider Webpage</v>
      </c>
      <c r="B2551" s="55" t="s">
        <v>4763</v>
      </c>
      <c r="D2551" s="55" t="s">
        <v>373</v>
      </c>
      <c r="E2551" s="74">
        <v>38729</v>
      </c>
      <c r="F2551" s="55" t="s">
        <v>344</v>
      </c>
      <c r="G2551" s="55" t="s">
        <v>360</v>
      </c>
      <c r="H2551" s="55" t="s">
        <v>360</v>
      </c>
      <c r="I2551" s="55" t="s">
        <v>360</v>
      </c>
      <c r="J2551" s="55" t="s">
        <v>360</v>
      </c>
      <c r="K2551" s="55" t="s">
        <v>360</v>
      </c>
      <c r="L2551" s="55" t="s">
        <v>360</v>
      </c>
      <c r="M2551" s="55" t="s">
        <v>378</v>
      </c>
      <c r="N2551" s="55" t="s">
        <v>134</v>
      </c>
      <c r="O2551" s="55" t="s">
        <v>251</v>
      </c>
      <c r="P2551" s="55" t="s">
        <v>4655</v>
      </c>
      <c r="Q2551" s="55" t="s">
        <v>350</v>
      </c>
      <c r="R2551" s="85">
        <v>3</v>
      </c>
      <c r="S2551" s="55">
        <v>0</v>
      </c>
      <c r="T2551" s="74" t="s">
        <v>843</v>
      </c>
      <c r="U2551" s="74" t="s">
        <v>351</v>
      </c>
      <c r="V2551" s="74">
        <v>44419</v>
      </c>
      <c r="W2551" s="74">
        <v>44452</v>
      </c>
      <c r="X2551" s="55">
        <v>10187255</v>
      </c>
      <c r="Y2551" s="55" t="s">
        <v>132</v>
      </c>
      <c r="AB2551" s="74" t="s">
        <v>132</v>
      </c>
      <c r="AC2551" s="55" t="s">
        <v>132</v>
      </c>
      <c r="AL2551" s="74"/>
      <c r="AM2551" s="74"/>
      <c r="AW2551" s="74"/>
      <c r="AX2551" s="74"/>
    </row>
    <row r="2552" spans="1:50" ht="13" x14ac:dyDescent="0.15">
      <c r="A2552" s="55" t="str">
        <f>HYPERLINK("http://reports.ofsted.gov.uk/inspection-reports/find-inspection-report/provider/CARE/SC066481","Ofsted Social Care Provider Webpage")</f>
        <v>Ofsted Social Care Provider Webpage</v>
      </c>
      <c r="B2552" s="55" t="s">
        <v>4764</v>
      </c>
      <c r="D2552" s="55" t="s">
        <v>373</v>
      </c>
      <c r="E2552" s="74">
        <v>38774</v>
      </c>
      <c r="F2552" s="55" t="s">
        <v>344</v>
      </c>
      <c r="G2552" s="55" t="s">
        <v>360</v>
      </c>
      <c r="H2552" s="55" t="s">
        <v>360</v>
      </c>
      <c r="I2552" s="55" t="s">
        <v>360</v>
      </c>
      <c r="J2552" s="55" t="s">
        <v>360</v>
      </c>
      <c r="K2552" s="55" t="s">
        <v>360</v>
      </c>
      <c r="L2552" s="55" t="s">
        <v>360</v>
      </c>
      <c r="M2552" s="55" t="s">
        <v>150</v>
      </c>
      <c r="N2552" s="55" t="s">
        <v>150</v>
      </c>
      <c r="O2552" s="55" t="s">
        <v>190</v>
      </c>
      <c r="P2552" s="55" t="s">
        <v>500</v>
      </c>
      <c r="Q2552" s="55" t="s">
        <v>350</v>
      </c>
      <c r="R2552" s="85">
        <v>5</v>
      </c>
      <c r="S2552" s="55">
        <v>0</v>
      </c>
      <c r="T2552" s="74" t="s">
        <v>456</v>
      </c>
      <c r="U2552" s="74" t="s">
        <v>351</v>
      </c>
      <c r="V2552" s="74">
        <v>44517</v>
      </c>
      <c r="W2552" s="74">
        <v>44609</v>
      </c>
      <c r="X2552" s="55">
        <v>10186330</v>
      </c>
      <c r="Y2552" s="55" t="s">
        <v>132</v>
      </c>
      <c r="AB2552" s="74" t="s">
        <v>132</v>
      </c>
      <c r="AC2552" s="55" t="s">
        <v>132</v>
      </c>
      <c r="AL2552" s="74"/>
      <c r="AM2552" s="74"/>
      <c r="AW2552" s="74"/>
      <c r="AX2552" s="74"/>
    </row>
    <row r="2553" spans="1:50" ht="13" x14ac:dyDescent="0.15">
      <c r="A2553" s="55" t="str">
        <f>HYPERLINK("http://reports.ofsted.gov.uk/inspection-reports/find-inspection-report/provider/CARE/SC066501","Ofsted Social Care Provider Webpage")</f>
        <v>Ofsted Social Care Provider Webpage</v>
      </c>
      <c r="B2553" s="55" t="s">
        <v>4765</v>
      </c>
      <c r="D2553" s="55" t="s">
        <v>389</v>
      </c>
      <c r="E2553" s="74">
        <v>38727</v>
      </c>
      <c r="F2553" s="55" t="s">
        <v>344</v>
      </c>
      <c r="G2553" s="55" t="s">
        <v>4766</v>
      </c>
      <c r="H2553" s="55" t="s">
        <v>4767</v>
      </c>
      <c r="I2553" s="55" t="s">
        <v>4768</v>
      </c>
      <c r="J2553" s="55" t="s">
        <v>4769</v>
      </c>
      <c r="K2553" s="55" t="s">
        <v>2469</v>
      </c>
      <c r="L2553" s="55" t="s">
        <v>4770</v>
      </c>
      <c r="M2553" s="55" t="s">
        <v>144</v>
      </c>
      <c r="N2553" s="55" t="s">
        <v>144</v>
      </c>
      <c r="O2553" s="55" t="s">
        <v>162</v>
      </c>
      <c r="P2553" s="55" t="s">
        <v>1587</v>
      </c>
      <c r="Q2553" s="55" t="s">
        <v>350</v>
      </c>
      <c r="S2553" s="55">
        <v>0</v>
      </c>
      <c r="T2553" s="74" t="s">
        <v>4771</v>
      </c>
      <c r="U2553" s="74" t="s">
        <v>351</v>
      </c>
      <c r="V2553" s="74">
        <v>44368</v>
      </c>
      <c r="W2553" s="74">
        <v>44411</v>
      </c>
      <c r="X2553" s="55">
        <v>10183393</v>
      </c>
      <c r="Y2553" s="55" t="s">
        <v>132</v>
      </c>
      <c r="AB2553" s="74" t="s">
        <v>130</v>
      </c>
      <c r="AC2553" s="55" t="s">
        <v>130</v>
      </c>
      <c r="AL2553" s="74"/>
      <c r="AM2553" s="74"/>
    </row>
    <row r="2554" spans="1:50" ht="13" x14ac:dyDescent="0.15">
      <c r="A2554" s="55" t="str">
        <f>HYPERLINK("http://reports.ofsted.gov.uk/inspection-reports/find-inspection-report/provider/CARE/SC066502","Ofsted Social Care Provider Webpage")</f>
        <v>Ofsted Social Care Provider Webpage</v>
      </c>
      <c r="B2554" s="55" t="s">
        <v>4772</v>
      </c>
      <c r="D2554" s="55" t="s">
        <v>451</v>
      </c>
      <c r="E2554" s="74">
        <v>38771</v>
      </c>
      <c r="F2554" s="55" t="s">
        <v>344</v>
      </c>
      <c r="G2554" s="55" t="s">
        <v>4773</v>
      </c>
      <c r="H2554" s="55" t="s">
        <v>4774</v>
      </c>
      <c r="I2554" s="55" t="s">
        <v>354</v>
      </c>
      <c r="J2554" s="55" t="s">
        <v>4775</v>
      </c>
      <c r="K2554" s="55" t="s">
        <v>683</v>
      </c>
      <c r="L2554" s="55" t="s">
        <v>4776</v>
      </c>
      <c r="M2554" s="55" t="s">
        <v>378</v>
      </c>
      <c r="N2554" s="55" t="s">
        <v>134</v>
      </c>
      <c r="O2554" s="55" t="s">
        <v>133</v>
      </c>
      <c r="P2554" s="55" t="s">
        <v>1804</v>
      </c>
      <c r="Q2554" s="55" t="s">
        <v>350</v>
      </c>
      <c r="R2554" s="85">
        <v>10</v>
      </c>
      <c r="S2554" s="55">
        <v>0</v>
      </c>
      <c r="T2554" s="74" t="s">
        <v>4777</v>
      </c>
      <c r="U2554" s="74" t="s">
        <v>351</v>
      </c>
      <c r="V2554" s="74">
        <v>44586</v>
      </c>
      <c r="W2554" s="74">
        <v>44624</v>
      </c>
      <c r="X2554" s="55">
        <v>10183447</v>
      </c>
      <c r="Y2554" s="55" t="s">
        <v>140</v>
      </c>
      <c r="AB2554" s="74" t="s">
        <v>140</v>
      </c>
      <c r="AC2554" s="55" t="s">
        <v>132</v>
      </c>
      <c r="AL2554" s="74"/>
      <c r="AM2554" s="74"/>
      <c r="AW2554" s="74"/>
      <c r="AX2554" s="74"/>
    </row>
    <row r="2555" spans="1:50" ht="13" x14ac:dyDescent="0.15">
      <c r="A2555" s="55" t="str">
        <f>HYPERLINK("http://reports.ofsted.gov.uk/inspection-reports/find-inspection-report/provider/CARE/SC066560","Ofsted Social Care Provider Webpage")</f>
        <v>Ofsted Social Care Provider Webpage</v>
      </c>
      <c r="B2555" s="55" t="s">
        <v>4785</v>
      </c>
      <c r="D2555" s="55" t="s">
        <v>373</v>
      </c>
      <c r="E2555" s="74">
        <v>38763</v>
      </c>
      <c r="F2555" s="55" t="s">
        <v>344</v>
      </c>
      <c r="G2555" s="55" t="s">
        <v>360</v>
      </c>
      <c r="H2555" s="55" t="s">
        <v>360</v>
      </c>
      <c r="I2555" s="55" t="s">
        <v>360</v>
      </c>
      <c r="J2555" s="55" t="s">
        <v>360</v>
      </c>
      <c r="K2555" s="55" t="s">
        <v>360</v>
      </c>
      <c r="L2555" s="55" t="s">
        <v>360</v>
      </c>
      <c r="M2555" s="55" t="s">
        <v>144</v>
      </c>
      <c r="N2555" s="55" t="s">
        <v>144</v>
      </c>
      <c r="O2555" s="55" t="s">
        <v>245</v>
      </c>
      <c r="P2555" s="55" t="s">
        <v>245</v>
      </c>
      <c r="Q2555" s="55" t="s">
        <v>350</v>
      </c>
      <c r="R2555" s="85">
        <v>3</v>
      </c>
      <c r="S2555" s="55">
        <v>0</v>
      </c>
      <c r="T2555" s="74" t="s">
        <v>613</v>
      </c>
      <c r="U2555" s="74" t="s">
        <v>351</v>
      </c>
      <c r="V2555" s="74">
        <v>44593</v>
      </c>
      <c r="W2555" s="74">
        <v>44623</v>
      </c>
      <c r="X2555" s="55">
        <v>10186394</v>
      </c>
      <c r="Y2555" s="55" t="s">
        <v>130</v>
      </c>
      <c r="AB2555" s="74" t="s">
        <v>130</v>
      </c>
      <c r="AC2555" s="55" t="s">
        <v>130</v>
      </c>
      <c r="AL2555" s="74"/>
      <c r="AM2555" s="74"/>
    </row>
    <row r="2556" spans="1:50" ht="13" x14ac:dyDescent="0.15">
      <c r="A2556" s="55" t="str">
        <f>HYPERLINK("http://reports.ofsted.gov.uk/inspection-reports/find-inspection-report/provider/CARE/SC066565","Ofsted Social Care Provider Webpage")</f>
        <v>Ofsted Social Care Provider Webpage</v>
      </c>
      <c r="B2556" s="55" t="s">
        <v>4786</v>
      </c>
      <c r="D2556" s="55" t="s">
        <v>479</v>
      </c>
      <c r="E2556" s="74">
        <v>38916</v>
      </c>
      <c r="F2556" s="55" t="s">
        <v>344</v>
      </c>
      <c r="G2556" s="55" t="s">
        <v>360</v>
      </c>
      <c r="H2556" s="55" t="s">
        <v>360</v>
      </c>
      <c r="I2556" s="55" t="s">
        <v>360</v>
      </c>
      <c r="J2556" s="55" t="s">
        <v>360</v>
      </c>
      <c r="K2556" s="55" t="s">
        <v>360</v>
      </c>
      <c r="L2556" s="55" t="s">
        <v>360</v>
      </c>
      <c r="M2556" s="55" t="s">
        <v>378</v>
      </c>
      <c r="N2556" s="55" t="s">
        <v>134</v>
      </c>
      <c r="O2556" s="55" t="s">
        <v>226</v>
      </c>
      <c r="P2556" s="55" t="s">
        <v>1889</v>
      </c>
      <c r="Q2556" s="55" t="s">
        <v>350</v>
      </c>
      <c r="R2556" s="85">
        <v>26</v>
      </c>
      <c r="S2556" s="55">
        <v>0</v>
      </c>
      <c r="T2556" s="74" t="s">
        <v>4787</v>
      </c>
      <c r="U2556" s="74" t="s">
        <v>351</v>
      </c>
      <c r="V2556" s="74">
        <v>44601</v>
      </c>
      <c r="W2556" s="74">
        <v>44655</v>
      </c>
      <c r="X2556" s="55">
        <v>10186612</v>
      </c>
      <c r="Y2556" s="55" t="s">
        <v>146</v>
      </c>
      <c r="AB2556" s="74" t="s">
        <v>146</v>
      </c>
      <c r="AC2556" s="55" t="s">
        <v>146</v>
      </c>
      <c r="AL2556" s="74"/>
      <c r="AM2556" s="74"/>
      <c r="AW2556" s="74"/>
      <c r="AX2556" s="74"/>
    </row>
    <row r="2557" spans="1:50" ht="13" x14ac:dyDescent="0.15">
      <c r="A2557" s="55" t="str">
        <f>HYPERLINK("http://reports.ofsted.gov.uk/inspection-reports/find-inspection-report/provider/CARE/SC066651","Ofsted Social Care Provider Webpage")</f>
        <v>Ofsted Social Care Provider Webpage</v>
      </c>
      <c r="B2557" s="55" t="s">
        <v>4788</v>
      </c>
      <c r="D2557" s="55" t="s">
        <v>373</v>
      </c>
      <c r="E2557" s="74">
        <v>38806</v>
      </c>
      <c r="F2557" s="55" t="s">
        <v>344</v>
      </c>
      <c r="G2557" s="55" t="s">
        <v>360</v>
      </c>
      <c r="H2557" s="55" t="s">
        <v>360</v>
      </c>
      <c r="I2557" s="55" t="s">
        <v>360</v>
      </c>
      <c r="J2557" s="55" t="s">
        <v>360</v>
      </c>
      <c r="K2557" s="55" t="s">
        <v>360</v>
      </c>
      <c r="L2557" s="55" t="s">
        <v>360</v>
      </c>
      <c r="M2557" s="55" t="s">
        <v>378</v>
      </c>
      <c r="N2557" s="55" t="s">
        <v>134</v>
      </c>
      <c r="O2557" s="55" t="s">
        <v>251</v>
      </c>
      <c r="P2557" s="55" t="s">
        <v>3363</v>
      </c>
      <c r="Q2557" s="55" t="s">
        <v>380</v>
      </c>
      <c r="R2557" s="85">
        <v>6</v>
      </c>
      <c r="S2557" s="55" t="s">
        <v>332</v>
      </c>
      <c r="T2557" s="74" t="s">
        <v>3358</v>
      </c>
      <c r="U2557" s="74" t="s">
        <v>6703</v>
      </c>
      <c r="V2557" s="74">
        <v>44587</v>
      </c>
      <c r="W2557" s="74">
        <v>44627</v>
      </c>
      <c r="X2557" s="55">
        <v>10213724</v>
      </c>
      <c r="Y2557" s="55" t="s">
        <v>6706</v>
      </c>
      <c r="AL2557" s="74"/>
      <c r="AM2557" s="74"/>
      <c r="AW2557" s="74"/>
      <c r="AX2557" s="74"/>
    </row>
    <row r="2558" spans="1:50" ht="13" x14ac:dyDescent="0.15">
      <c r="A2558" s="55" t="str">
        <f>HYPERLINK("http://reports.ofsted.gov.uk/inspection-reports/find-inspection-report/provider/CARE/SC066651","Ofsted Social Care Provider Webpage")</f>
        <v>Ofsted Social Care Provider Webpage</v>
      </c>
      <c r="B2558" s="55" t="s">
        <v>4788</v>
      </c>
      <c r="D2558" s="55" t="s">
        <v>373</v>
      </c>
      <c r="E2558" s="74">
        <v>38806</v>
      </c>
      <c r="F2558" s="55" t="s">
        <v>344</v>
      </c>
      <c r="G2558" s="55" t="s">
        <v>360</v>
      </c>
      <c r="H2558" s="55" t="s">
        <v>360</v>
      </c>
      <c r="I2558" s="55" t="s">
        <v>360</v>
      </c>
      <c r="J2558" s="55" t="s">
        <v>360</v>
      </c>
      <c r="K2558" s="55" t="s">
        <v>360</v>
      </c>
      <c r="L2558" s="55" t="s">
        <v>360</v>
      </c>
      <c r="M2558" s="55" t="s">
        <v>378</v>
      </c>
      <c r="N2558" s="55" t="s">
        <v>134</v>
      </c>
      <c r="O2558" s="55" t="s">
        <v>251</v>
      </c>
      <c r="P2558" s="55" t="s">
        <v>3363</v>
      </c>
      <c r="Q2558" s="55" t="s">
        <v>380</v>
      </c>
      <c r="R2558" s="85">
        <v>6</v>
      </c>
      <c r="S2558" s="55" t="s">
        <v>332</v>
      </c>
      <c r="T2558" s="74" t="s">
        <v>3358</v>
      </c>
      <c r="U2558" s="74" t="s">
        <v>351</v>
      </c>
      <c r="V2558" s="74">
        <v>44495</v>
      </c>
      <c r="W2558" s="74">
        <v>44540</v>
      </c>
      <c r="X2558" s="55">
        <v>10186472</v>
      </c>
      <c r="Y2558" s="55" t="s">
        <v>130</v>
      </c>
      <c r="AB2558" s="74" t="s">
        <v>130</v>
      </c>
      <c r="AC2558" s="55" t="s">
        <v>146</v>
      </c>
      <c r="AL2558" s="74"/>
      <c r="AM2558" s="74"/>
      <c r="AW2558" s="74"/>
      <c r="AX2558" s="74"/>
    </row>
    <row r="2559" spans="1:50" ht="13" x14ac:dyDescent="0.15">
      <c r="A2559" s="55" t="str">
        <f>HYPERLINK("http://reports.ofsted.gov.uk/inspection-reports/find-inspection-report/provider/CARE/SC066736","Ofsted Social Care Provider Webpage")</f>
        <v>Ofsted Social Care Provider Webpage</v>
      </c>
      <c r="B2559" s="55" t="s">
        <v>4795</v>
      </c>
      <c r="D2559" s="55" t="s">
        <v>693</v>
      </c>
      <c r="E2559" s="74">
        <v>38721</v>
      </c>
      <c r="F2559" s="55" t="s">
        <v>344</v>
      </c>
      <c r="G2559" s="55" t="s">
        <v>4796</v>
      </c>
      <c r="H2559" s="55" t="s">
        <v>4797</v>
      </c>
      <c r="I2559" s="55" t="s">
        <v>4798</v>
      </c>
      <c r="J2559" s="55" t="s">
        <v>639</v>
      </c>
      <c r="K2559" s="55" t="s">
        <v>268</v>
      </c>
      <c r="L2559" s="55" t="s">
        <v>4799</v>
      </c>
      <c r="M2559" s="55" t="s">
        <v>150</v>
      </c>
      <c r="N2559" s="55" t="s">
        <v>150</v>
      </c>
      <c r="O2559" s="55" t="s">
        <v>268</v>
      </c>
      <c r="P2559" s="55" t="s">
        <v>639</v>
      </c>
      <c r="Q2559" s="55" t="s">
        <v>362</v>
      </c>
      <c r="R2559" s="85">
        <v>93</v>
      </c>
      <c r="S2559" s="55">
        <v>0</v>
      </c>
      <c r="T2559" s="74" t="s">
        <v>4800</v>
      </c>
      <c r="U2559" s="74" t="s">
        <v>351</v>
      </c>
      <c r="V2559" s="74">
        <v>44467</v>
      </c>
      <c r="W2559" s="74">
        <v>44511</v>
      </c>
      <c r="X2559" s="55">
        <v>10183328</v>
      </c>
      <c r="Y2559" s="55" t="s">
        <v>140</v>
      </c>
      <c r="AB2559" s="74" t="s">
        <v>132</v>
      </c>
      <c r="AC2559" s="55" t="s">
        <v>140</v>
      </c>
      <c r="AL2559" s="74"/>
      <c r="AM2559" s="74"/>
      <c r="AW2559" s="74"/>
      <c r="AX2559" s="74"/>
    </row>
    <row r="2560" spans="1:50" ht="13" x14ac:dyDescent="0.15">
      <c r="A2560" s="55" t="str">
        <f>HYPERLINK("http://reports.ofsted.gov.uk/inspection-reports/find-inspection-report/provider/CARE/SC066747","Ofsted Social Care Provider Webpage")</f>
        <v>Ofsted Social Care Provider Webpage</v>
      </c>
      <c r="B2560" s="55" t="s">
        <v>4801</v>
      </c>
      <c r="D2560" s="55" t="s">
        <v>373</v>
      </c>
      <c r="E2560" s="74">
        <v>38806</v>
      </c>
      <c r="F2560" s="55" t="s">
        <v>344</v>
      </c>
      <c r="G2560" s="55" t="s">
        <v>360</v>
      </c>
      <c r="H2560" s="55" t="s">
        <v>360</v>
      </c>
      <c r="I2560" s="55" t="s">
        <v>360</v>
      </c>
      <c r="J2560" s="55" t="s">
        <v>360</v>
      </c>
      <c r="K2560" s="55" t="s">
        <v>360</v>
      </c>
      <c r="L2560" s="55" t="s">
        <v>360</v>
      </c>
      <c r="M2560" s="55" t="s">
        <v>378</v>
      </c>
      <c r="N2560" s="55" t="s">
        <v>134</v>
      </c>
      <c r="O2560" s="55" t="s">
        <v>251</v>
      </c>
      <c r="P2560" s="55" t="s">
        <v>3363</v>
      </c>
      <c r="Q2560" s="55" t="s">
        <v>380</v>
      </c>
      <c r="R2560" s="85">
        <v>5</v>
      </c>
      <c r="S2560" s="55">
        <v>0</v>
      </c>
      <c r="T2560" s="74" t="s">
        <v>3358</v>
      </c>
      <c r="U2560" s="74" t="s">
        <v>6703</v>
      </c>
      <c r="V2560" s="74">
        <v>44602</v>
      </c>
      <c r="W2560" s="74">
        <v>44648</v>
      </c>
      <c r="X2560" s="55">
        <v>10221406</v>
      </c>
      <c r="Y2560" s="55" t="s">
        <v>6706</v>
      </c>
      <c r="AL2560" s="74"/>
      <c r="AM2560" s="74"/>
      <c r="AW2560" s="74"/>
      <c r="AX2560" s="74"/>
    </row>
    <row r="2561" spans="1:50" ht="13" x14ac:dyDescent="0.15">
      <c r="A2561" s="55" t="str">
        <f>HYPERLINK("http://reports.ofsted.gov.uk/inspection-reports/find-inspection-report/provider/CARE/SC066747","Ofsted Social Care Provider Webpage")</f>
        <v>Ofsted Social Care Provider Webpage</v>
      </c>
      <c r="B2561" s="55" t="s">
        <v>4801</v>
      </c>
      <c r="D2561" s="55" t="s">
        <v>373</v>
      </c>
      <c r="E2561" s="74">
        <v>38806</v>
      </c>
      <c r="F2561" s="55" t="s">
        <v>344</v>
      </c>
      <c r="G2561" s="55" t="s">
        <v>360</v>
      </c>
      <c r="H2561" s="55" t="s">
        <v>360</v>
      </c>
      <c r="I2561" s="55" t="s">
        <v>360</v>
      </c>
      <c r="J2561" s="55" t="s">
        <v>360</v>
      </c>
      <c r="K2561" s="55" t="s">
        <v>360</v>
      </c>
      <c r="L2561" s="55" t="s">
        <v>360</v>
      </c>
      <c r="M2561" s="55" t="s">
        <v>378</v>
      </c>
      <c r="N2561" s="55" t="s">
        <v>134</v>
      </c>
      <c r="O2561" s="55" t="s">
        <v>251</v>
      </c>
      <c r="P2561" s="55" t="s">
        <v>3363</v>
      </c>
      <c r="Q2561" s="55" t="s">
        <v>380</v>
      </c>
      <c r="R2561" s="85">
        <v>5</v>
      </c>
      <c r="S2561" s="55">
        <v>0</v>
      </c>
      <c r="T2561" s="74" t="s">
        <v>3358</v>
      </c>
      <c r="U2561" s="74" t="s">
        <v>2053</v>
      </c>
      <c r="V2561" s="74">
        <v>44320</v>
      </c>
      <c r="W2561" s="74">
        <v>44362</v>
      </c>
      <c r="X2561" s="55">
        <v>10193094</v>
      </c>
      <c r="AL2561" s="74"/>
      <c r="AM2561" s="74"/>
    </row>
    <row r="2562" spans="1:50" ht="13" x14ac:dyDescent="0.15">
      <c r="A2562" s="55" t="str">
        <f>HYPERLINK("http://reports.ofsted.gov.uk/inspection-reports/find-inspection-report/provider/CARE/SC066747","Ofsted Social Care Provider Webpage")</f>
        <v>Ofsted Social Care Provider Webpage</v>
      </c>
      <c r="B2562" s="55" t="s">
        <v>4801</v>
      </c>
      <c r="D2562" s="55" t="s">
        <v>373</v>
      </c>
      <c r="E2562" s="74">
        <v>38806</v>
      </c>
      <c r="F2562" s="55" t="s">
        <v>344</v>
      </c>
      <c r="G2562" s="55" t="s">
        <v>360</v>
      </c>
      <c r="H2562" s="55" t="s">
        <v>360</v>
      </c>
      <c r="I2562" s="55" t="s">
        <v>360</v>
      </c>
      <c r="J2562" s="55" t="s">
        <v>360</v>
      </c>
      <c r="K2562" s="55" t="s">
        <v>360</v>
      </c>
      <c r="L2562" s="55" t="s">
        <v>360</v>
      </c>
      <c r="M2562" s="55" t="s">
        <v>378</v>
      </c>
      <c r="N2562" s="55" t="s">
        <v>134</v>
      </c>
      <c r="O2562" s="55" t="s">
        <v>251</v>
      </c>
      <c r="P2562" s="55" t="s">
        <v>3363</v>
      </c>
      <c r="Q2562" s="55" t="s">
        <v>380</v>
      </c>
      <c r="R2562" s="85">
        <v>5</v>
      </c>
      <c r="S2562" s="55">
        <v>0</v>
      </c>
      <c r="T2562" s="74" t="s">
        <v>3358</v>
      </c>
      <c r="U2562" s="74" t="s">
        <v>2053</v>
      </c>
      <c r="V2562" s="74">
        <v>44405</v>
      </c>
      <c r="W2562" s="74">
        <v>44439</v>
      </c>
      <c r="X2562" s="55">
        <v>10203197</v>
      </c>
      <c r="AL2562" s="74"/>
      <c r="AM2562" s="74"/>
      <c r="AW2562" s="74"/>
      <c r="AX2562" s="74"/>
    </row>
    <row r="2563" spans="1:50" ht="13" x14ac:dyDescent="0.15">
      <c r="A2563" s="55" t="str">
        <f>HYPERLINK("http://reports.ofsted.gov.uk/inspection-reports/find-inspection-report/provider/CARE/SC066747","Ofsted Social Care Provider Webpage")</f>
        <v>Ofsted Social Care Provider Webpage</v>
      </c>
      <c r="B2563" s="55" t="s">
        <v>4801</v>
      </c>
      <c r="D2563" s="55" t="s">
        <v>373</v>
      </c>
      <c r="E2563" s="74">
        <v>38806</v>
      </c>
      <c r="F2563" s="55" t="s">
        <v>344</v>
      </c>
      <c r="G2563" s="55" t="s">
        <v>360</v>
      </c>
      <c r="H2563" s="55" t="s">
        <v>360</v>
      </c>
      <c r="I2563" s="55" t="s">
        <v>360</v>
      </c>
      <c r="J2563" s="55" t="s">
        <v>360</v>
      </c>
      <c r="K2563" s="55" t="s">
        <v>360</v>
      </c>
      <c r="L2563" s="55" t="s">
        <v>360</v>
      </c>
      <c r="M2563" s="55" t="s">
        <v>378</v>
      </c>
      <c r="N2563" s="55" t="s">
        <v>134</v>
      </c>
      <c r="O2563" s="55" t="s">
        <v>251</v>
      </c>
      <c r="P2563" s="55" t="s">
        <v>3363</v>
      </c>
      <c r="Q2563" s="55" t="s">
        <v>380</v>
      </c>
      <c r="R2563" s="85">
        <v>5</v>
      </c>
      <c r="S2563" s="55">
        <v>0</v>
      </c>
      <c r="T2563" s="74" t="s">
        <v>3358</v>
      </c>
      <c r="U2563" s="74" t="s">
        <v>2053</v>
      </c>
      <c r="V2563" s="74">
        <v>44370</v>
      </c>
      <c r="W2563" s="74">
        <v>44406</v>
      </c>
      <c r="X2563" s="55">
        <v>10198617</v>
      </c>
      <c r="AL2563" s="74"/>
      <c r="AM2563" s="74"/>
      <c r="AW2563" s="74"/>
      <c r="AX2563" s="74"/>
    </row>
    <row r="2564" spans="1:50" ht="13" x14ac:dyDescent="0.15">
      <c r="A2564" s="55" t="str">
        <f>HYPERLINK("http://reports.ofsted.gov.uk/inspection-reports/find-inspection-report/provider/CARE/SC066747","Ofsted Social Care Provider Webpage")</f>
        <v>Ofsted Social Care Provider Webpage</v>
      </c>
      <c r="B2564" s="55" t="s">
        <v>4801</v>
      </c>
      <c r="D2564" s="55" t="s">
        <v>373</v>
      </c>
      <c r="E2564" s="74">
        <v>38806</v>
      </c>
      <c r="F2564" s="55" t="s">
        <v>344</v>
      </c>
      <c r="G2564" s="55" t="s">
        <v>360</v>
      </c>
      <c r="H2564" s="55" t="s">
        <v>360</v>
      </c>
      <c r="I2564" s="55" t="s">
        <v>360</v>
      </c>
      <c r="J2564" s="55" t="s">
        <v>360</v>
      </c>
      <c r="K2564" s="55" t="s">
        <v>360</v>
      </c>
      <c r="L2564" s="55" t="s">
        <v>360</v>
      </c>
      <c r="M2564" s="55" t="s">
        <v>378</v>
      </c>
      <c r="N2564" s="55" t="s">
        <v>134</v>
      </c>
      <c r="O2564" s="55" t="s">
        <v>251</v>
      </c>
      <c r="P2564" s="55" t="s">
        <v>3363</v>
      </c>
      <c r="Q2564" s="55" t="s">
        <v>380</v>
      </c>
      <c r="R2564" s="85">
        <v>5</v>
      </c>
      <c r="S2564" s="55">
        <v>0</v>
      </c>
      <c r="T2564" s="74" t="s">
        <v>3358</v>
      </c>
      <c r="U2564" s="74" t="s">
        <v>351</v>
      </c>
      <c r="V2564" s="74">
        <v>44551</v>
      </c>
      <c r="W2564" s="74">
        <v>44600</v>
      </c>
      <c r="X2564" s="55">
        <v>10186323</v>
      </c>
      <c r="Y2564" s="55" t="s">
        <v>130</v>
      </c>
      <c r="AB2564" s="74" t="s">
        <v>130</v>
      </c>
      <c r="AC2564" s="55" t="s">
        <v>130</v>
      </c>
      <c r="AL2564" s="74"/>
      <c r="AM2564" s="74"/>
      <c r="AW2564" s="74"/>
      <c r="AX2564" s="74"/>
    </row>
    <row r="2565" spans="1:50" ht="13" x14ac:dyDescent="0.15">
      <c r="A2565" s="55" t="str">
        <f>HYPERLINK("http://reports.ofsted.gov.uk/inspection-reports/find-inspection-report/provider/CARE/SC066796","Ofsted Social Care Provider Webpage")</f>
        <v>Ofsted Social Care Provider Webpage</v>
      </c>
      <c r="B2565" s="55" t="s">
        <v>4802</v>
      </c>
      <c r="D2565" s="55" t="s">
        <v>373</v>
      </c>
      <c r="E2565" s="74">
        <v>38754</v>
      </c>
      <c r="F2565" s="55" t="s">
        <v>344</v>
      </c>
      <c r="G2565" s="55" t="s">
        <v>360</v>
      </c>
      <c r="H2565" s="55" t="s">
        <v>360</v>
      </c>
      <c r="I2565" s="55" t="s">
        <v>360</v>
      </c>
      <c r="J2565" s="55" t="s">
        <v>360</v>
      </c>
      <c r="K2565" s="55" t="s">
        <v>360</v>
      </c>
      <c r="L2565" s="55" t="s">
        <v>360</v>
      </c>
      <c r="M2565" s="55" t="s">
        <v>378</v>
      </c>
      <c r="N2565" s="55" t="s">
        <v>134</v>
      </c>
      <c r="O2565" s="55" t="s">
        <v>277</v>
      </c>
      <c r="P2565" s="55" t="s">
        <v>277</v>
      </c>
      <c r="Q2565" s="55" t="s">
        <v>380</v>
      </c>
      <c r="R2565" s="85">
        <v>4</v>
      </c>
      <c r="S2565" s="55">
        <v>0</v>
      </c>
      <c r="T2565" s="74" t="s">
        <v>1575</v>
      </c>
      <c r="U2565" s="74" t="s">
        <v>351</v>
      </c>
      <c r="V2565" s="74">
        <v>44314</v>
      </c>
      <c r="W2565" s="74">
        <v>44354</v>
      </c>
      <c r="X2565" s="55">
        <v>10185557</v>
      </c>
      <c r="Y2565" s="55" t="s">
        <v>132</v>
      </c>
      <c r="AB2565" s="74" t="s">
        <v>132</v>
      </c>
      <c r="AC2565" s="55" t="s">
        <v>132</v>
      </c>
      <c r="AL2565" s="74"/>
      <c r="AM2565" s="74"/>
      <c r="AW2565" s="74"/>
      <c r="AX2565" s="74"/>
    </row>
    <row r="2566" spans="1:50" ht="13" x14ac:dyDescent="0.15">
      <c r="A2566" s="55" t="str">
        <f>HYPERLINK("http://reports.ofsted.gov.uk/inspection-reports/find-inspection-report/provider/CARE/SC066821","Ofsted Social Care Provider Webpage")</f>
        <v>Ofsted Social Care Provider Webpage</v>
      </c>
      <c r="B2566" s="55" t="s">
        <v>4809</v>
      </c>
      <c r="D2566" s="55" t="s">
        <v>479</v>
      </c>
      <c r="E2566" s="74">
        <v>38825</v>
      </c>
      <c r="F2566" s="55" t="s">
        <v>344</v>
      </c>
      <c r="G2566" s="55" t="s">
        <v>360</v>
      </c>
      <c r="H2566" s="55" t="s">
        <v>360</v>
      </c>
      <c r="I2566" s="55" t="s">
        <v>360</v>
      </c>
      <c r="J2566" s="55" t="s">
        <v>360</v>
      </c>
      <c r="K2566" s="55" t="s">
        <v>360</v>
      </c>
      <c r="L2566" s="55" t="s">
        <v>360</v>
      </c>
      <c r="M2566" s="55" t="s">
        <v>144</v>
      </c>
      <c r="N2566" s="55" t="s">
        <v>144</v>
      </c>
      <c r="O2566" s="55" t="s">
        <v>168</v>
      </c>
      <c r="P2566" s="55" t="s">
        <v>834</v>
      </c>
      <c r="Q2566" s="55" t="s">
        <v>350</v>
      </c>
      <c r="R2566" s="85">
        <v>14</v>
      </c>
      <c r="S2566" s="55">
        <v>0</v>
      </c>
      <c r="T2566" s="74" t="s">
        <v>4810</v>
      </c>
      <c r="U2566" s="74" t="s">
        <v>351</v>
      </c>
      <c r="V2566" s="74">
        <v>44503</v>
      </c>
      <c r="W2566" s="74">
        <v>44547</v>
      </c>
      <c r="X2566" s="55">
        <v>10185397</v>
      </c>
      <c r="Y2566" s="55" t="s">
        <v>132</v>
      </c>
      <c r="AB2566" s="74" t="s">
        <v>132</v>
      </c>
      <c r="AC2566" s="55" t="s">
        <v>132</v>
      </c>
      <c r="AL2566" s="74"/>
      <c r="AM2566" s="74"/>
      <c r="AW2566" s="74"/>
      <c r="AX2566" s="74"/>
    </row>
    <row r="2567" spans="1:50" ht="13" x14ac:dyDescent="0.15">
      <c r="A2567" s="55" t="str">
        <f>HYPERLINK("http://reports.ofsted.gov.uk/inspection-reports/find-inspection-report/provider/CARE/SC066897","Ofsted Social Care Provider Webpage")</f>
        <v>Ofsted Social Care Provider Webpage</v>
      </c>
      <c r="B2567" s="55" t="s">
        <v>4817</v>
      </c>
      <c r="D2567" s="55" t="s">
        <v>479</v>
      </c>
      <c r="E2567" s="74">
        <v>38820</v>
      </c>
      <c r="F2567" s="55" t="s">
        <v>344</v>
      </c>
      <c r="G2567" s="55" t="s">
        <v>360</v>
      </c>
      <c r="H2567" s="55" t="s">
        <v>360</v>
      </c>
      <c r="I2567" s="55" t="s">
        <v>360</v>
      </c>
      <c r="J2567" s="55" t="s">
        <v>360</v>
      </c>
      <c r="K2567" s="55" t="s">
        <v>360</v>
      </c>
      <c r="L2567" s="55" t="s">
        <v>360</v>
      </c>
      <c r="M2567" s="55" t="s">
        <v>150</v>
      </c>
      <c r="N2567" s="55" t="s">
        <v>150</v>
      </c>
      <c r="O2567" s="55" t="s">
        <v>190</v>
      </c>
      <c r="P2567" s="55" t="s">
        <v>749</v>
      </c>
      <c r="Q2567" s="55" t="s">
        <v>350</v>
      </c>
      <c r="R2567" s="85">
        <v>31</v>
      </c>
      <c r="S2567" s="55">
        <v>0</v>
      </c>
      <c r="T2567" s="74" t="s">
        <v>596</v>
      </c>
      <c r="U2567" s="74" t="s">
        <v>351</v>
      </c>
      <c r="V2567" s="74">
        <v>44368</v>
      </c>
      <c r="W2567" s="74">
        <v>44400</v>
      </c>
      <c r="X2567" s="55">
        <v>10185993</v>
      </c>
      <c r="Y2567" s="55" t="s">
        <v>140</v>
      </c>
      <c r="AB2567" s="74" t="s">
        <v>140</v>
      </c>
      <c r="AC2567" s="55" t="s">
        <v>132</v>
      </c>
      <c r="AL2567" s="74"/>
      <c r="AM2567" s="74"/>
    </row>
    <row r="2568" spans="1:50" ht="13" x14ac:dyDescent="0.15">
      <c r="A2568" s="55" t="str">
        <f>HYPERLINK("http://reports.ofsted.gov.uk/inspection-reports/find-inspection-report/provider/CARE/SC066912","Ofsted Social Care Provider Webpage")</f>
        <v>Ofsted Social Care Provider Webpage</v>
      </c>
      <c r="B2568" s="55" t="s">
        <v>4818</v>
      </c>
      <c r="D2568" s="55" t="s">
        <v>373</v>
      </c>
      <c r="E2568" s="74">
        <v>38862</v>
      </c>
      <c r="F2568" s="55" t="s">
        <v>344</v>
      </c>
      <c r="G2568" s="55" t="s">
        <v>360</v>
      </c>
      <c r="H2568" s="55" t="s">
        <v>360</v>
      </c>
      <c r="I2568" s="55" t="s">
        <v>360</v>
      </c>
      <c r="J2568" s="55" t="s">
        <v>360</v>
      </c>
      <c r="K2568" s="55" t="s">
        <v>360</v>
      </c>
      <c r="L2568" s="55" t="s">
        <v>360</v>
      </c>
      <c r="M2568" s="55" t="s">
        <v>142</v>
      </c>
      <c r="N2568" s="55" t="s">
        <v>142</v>
      </c>
      <c r="O2568" s="55" t="s">
        <v>262</v>
      </c>
      <c r="P2568" s="55" t="s">
        <v>1215</v>
      </c>
      <c r="Q2568" s="55" t="s">
        <v>350</v>
      </c>
      <c r="R2568" s="85">
        <v>2</v>
      </c>
      <c r="S2568" s="55">
        <v>0</v>
      </c>
      <c r="T2568" s="74" t="s">
        <v>4819</v>
      </c>
      <c r="U2568" s="74" t="s">
        <v>351</v>
      </c>
      <c r="V2568" s="74">
        <v>44495</v>
      </c>
      <c r="W2568" s="74">
        <v>44532</v>
      </c>
      <c r="X2568" s="55">
        <v>10185175</v>
      </c>
      <c r="Y2568" s="55" t="s">
        <v>130</v>
      </c>
      <c r="AB2568" s="74" t="s">
        <v>130</v>
      </c>
      <c r="AC2568" s="55" t="s">
        <v>130</v>
      </c>
      <c r="AL2568" s="74"/>
      <c r="AM2568" s="74"/>
    </row>
    <row r="2569" spans="1:50" ht="13" x14ac:dyDescent="0.15">
      <c r="A2569" s="55" t="str">
        <f>HYPERLINK("http://reports.ofsted.gov.uk/inspection-reports/find-inspection-report/provider/CARE/SC066912","Ofsted Social Care Provider Webpage")</f>
        <v>Ofsted Social Care Provider Webpage</v>
      </c>
      <c r="B2569" s="55" t="s">
        <v>4818</v>
      </c>
      <c r="D2569" s="55" t="s">
        <v>373</v>
      </c>
      <c r="E2569" s="74">
        <v>38862</v>
      </c>
      <c r="F2569" s="55" t="s">
        <v>344</v>
      </c>
      <c r="G2569" s="55" t="s">
        <v>360</v>
      </c>
      <c r="H2569" s="55" t="s">
        <v>360</v>
      </c>
      <c r="I2569" s="55" t="s">
        <v>360</v>
      </c>
      <c r="J2569" s="55" t="s">
        <v>360</v>
      </c>
      <c r="K2569" s="55" t="s">
        <v>360</v>
      </c>
      <c r="L2569" s="55" t="s">
        <v>360</v>
      </c>
      <c r="M2569" s="55" t="s">
        <v>142</v>
      </c>
      <c r="N2569" s="55" t="s">
        <v>142</v>
      </c>
      <c r="O2569" s="55" t="s">
        <v>262</v>
      </c>
      <c r="P2569" s="55" t="s">
        <v>1215</v>
      </c>
      <c r="Q2569" s="55" t="s">
        <v>350</v>
      </c>
      <c r="R2569" s="85">
        <v>2</v>
      </c>
      <c r="S2569" s="55">
        <v>0</v>
      </c>
      <c r="T2569" s="74" t="s">
        <v>4819</v>
      </c>
      <c r="U2569" s="74" t="s">
        <v>6703</v>
      </c>
      <c r="V2569" s="74">
        <v>44616</v>
      </c>
      <c r="W2569" s="74">
        <v>44657</v>
      </c>
      <c r="X2569" s="55">
        <v>10217224</v>
      </c>
      <c r="Y2569" s="55" t="s">
        <v>6704</v>
      </c>
      <c r="AL2569" s="74"/>
      <c r="AM2569" s="74"/>
      <c r="AW2569" s="74"/>
      <c r="AX2569" s="74"/>
    </row>
    <row r="2570" spans="1:50" ht="13" x14ac:dyDescent="0.15">
      <c r="A2570" s="55" t="str">
        <f>HYPERLINK("http://reports.ofsted.gov.uk/inspection-reports/find-inspection-report/provider/CARE/SC066917","Ofsted Social Care Provider Webpage")</f>
        <v>Ofsted Social Care Provider Webpage</v>
      </c>
      <c r="B2570" s="55" t="s">
        <v>4821</v>
      </c>
      <c r="D2570" s="55" t="s">
        <v>373</v>
      </c>
      <c r="E2570" s="74">
        <v>38867</v>
      </c>
      <c r="F2570" s="55" t="s">
        <v>344</v>
      </c>
      <c r="G2570" s="55" t="s">
        <v>360</v>
      </c>
      <c r="H2570" s="55" t="s">
        <v>360</v>
      </c>
      <c r="I2570" s="55" t="s">
        <v>360</v>
      </c>
      <c r="J2570" s="55" t="s">
        <v>360</v>
      </c>
      <c r="K2570" s="55" t="s">
        <v>360</v>
      </c>
      <c r="L2570" s="55" t="s">
        <v>360</v>
      </c>
      <c r="M2570" s="55" t="s">
        <v>142</v>
      </c>
      <c r="N2570" s="55" t="s">
        <v>142</v>
      </c>
      <c r="O2570" s="55" t="s">
        <v>262</v>
      </c>
      <c r="P2570" s="55" t="s">
        <v>618</v>
      </c>
      <c r="Q2570" s="55" t="s">
        <v>350</v>
      </c>
      <c r="R2570" s="85">
        <v>2</v>
      </c>
      <c r="S2570" s="55">
        <v>0</v>
      </c>
      <c r="T2570" s="74" t="s">
        <v>4819</v>
      </c>
      <c r="U2570" s="74" t="s">
        <v>351</v>
      </c>
      <c r="V2570" s="74">
        <v>44313</v>
      </c>
      <c r="W2570" s="74">
        <v>44335</v>
      </c>
      <c r="X2570" s="55">
        <v>10186395</v>
      </c>
      <c r="Y2570" s="55" t="s">
        <v>132</v>
      </c>
      <c r="AB2570" s="74" t="s">
        <v>132</v>
      </c>
      <c r="AC2570" s="55" t="s">
        <v>132</v>
      </c>
      <c r="AL2570" s="74"/>
      <c r="AM2570" s="74"/>
      <c r="AW2570" s="74"/>
      <c r="AX2570" s="74"/>
    </row>
    <row r="2571" spans="1:50" ht="13" x14ac:dyDescent="0.15">
      <c r="A2571" s="55" t="str">
        <f>HYPERLINK("http://reports.ofsted.gov.uk/inspection-reports/find-inspection-report/provider/CARE/SC067151","Ofsted Social Care Provider Webpage")</f>
        <v>Ofsted Social Care Provider Webpage</v>
      </c>
      <c r="B2571" s="55" t="s">
        <v>4831</v>
      </c>
      <c r="D2571" s="55" t="s">
        <v>373</v>
      </c>
      <c r="E2571" s="74">
        <v>38845</v>
      </c>
      <c r="F2571" s="55" t="s">
        <v>344</v>
      </c>
      <c r="G2571" s="55" t="s">
        <v>360</v>
      </c>
      <c r="H2571" s="55" t="s">
        <v>360</v>
      </c>
      <c r="I2571" s="55" t="s">
        <v>360</v>
      </c>
      <c r="J2571" s="55" t="s">
        <v>360</v>
      </c>
      <c r="K2571" s="55" t="s">
        <v>360</v>
      </c>
      <c r="L2571" s="55" t="s">
        <v>360</v>
      </c>
      <c r="M2571" s="55" t="s">
        <v>136</v>
      </c>
      <c r="N2571" s="55" t="s">
        <v>136</v>
      </c>
      <c r="O2571" s="55" t="s">
        <v>154</v>
      </c>
      <c r="P2571" s="55" t="s">
        <v>1818</v>
      </c>
      <c r="Q2571" s="55" t="s">
        <v>380</v>
      </c>
      <c r="R2571" s="85">
        <v>5</v>
      </c>
      <c r="S2571" s="55" t="s">
        <v>332</v>
      </c>
      <c r="T2571" s="74" t="s">
        <v>1687</v>
      </c>
      <c r="U2571" s="74" t="s">
        <v>351</v>
      </c>
      <c r="V2571" s="74">
        <v>44419</v>
      </c>
      <c r="W2571" s="74">
        <v>44461</v>
      </c>
      <c r="X2571" s="55">
        <v>10186490</v>
      </c>
      <c r="Y2571" s="55" t="s">
        <v>130</v>
      </c>
      <c r="AB2571" s="74" t="s">
        <v>130</v>
      </c>
      <c r="AC2571" s="55" t="s">
        <v>130</v>
      </c>
      <c r="AL2571" s="74"/>
      <c r="AM2571" s="74"/>
      <c r="AW2571" s="74"/>
      <c r="AX2571" s="74"/>
    </row>
    <row r="2572" spans="1:50" ht="13" x14ac:dyDescent="0.15">
      <c r="A2572" s="55" t="str">
        <f>HYPERLINK("http://reports.ofsted.gov.uk/inspection-reports/find-inspection-report/provider/CARE/SC067151","Ofsted Social Care Provider Webpage")</f>
        <v>Ofsted Social Care Provider Webpage</v>
      </c>
      <c r="B2572" s="55" t="s">
        <v>4831</v>
      </c>
      <c r="D2572" s="55" t="s">
        <v>373</v>
      </c>
      <c r="E2572" s="74">
        <v>38845</v>
      </c>
      <c r="F2572" s="55" t="s">
        <v>344</v>
      </c>
      <c r="G2572" s="55" t="s">
        <v>360</v>
      </c>
      <c r="H2572" s="55" t="s">
        <v>360</v>
      </c>
      <c r="I2572" s="55" t="s">
        <v>360</v>
      </c>
      <c r="J2572" s="55" t="s">
        <v>360</v>
      </c>
      <c r="K2572" s="55" t="s">
        <v>360</v>
      </c>
      <c r="L2572" s="55" t="s">
        <v>360</v>
      </c>
      <c r="M2572" s="55" t="s">
        <v>136</v>
      </c>
      <c r="N2572" s="55" t="s">
        <v>136</v>
      </c>
      <c r="O2572" s="55" t="s">
        <v>154</v>
      </c>
      <c r="P2572" s="55" t="s">
        <v>1818</v>
      </c>
      <c r="Q2572" s="55" t="s">
        <v>380</v>
      </c>
      <c r="R2572" s="85">
        <v>5</v>
      </c>
      <c r="S2572" s="55" t="s">
        <v>332</v>
      </c>
      <c r="T2572" s="74" t="s">
        <v>1687</v>
      </c>
      <c r="U2572" s="74" t="s">
        <v>6703</v>
      </c>
      <c r="V2572" s="74">
        <v>44573</v>
      </c>
      <c r="W2572" s="74">
        <v>44607</v>
      </c>
      <c r="X2572" s="55">
        <v>10213262</v>
      </c>
      <c r="Y2572" s="55" t="s">
        <v>6705</v>
      </c>
      <c r="AL2572" s="74"/>
      <c r="AM2572" s="74"/>
      <c r="AW2572" s="74"/>
      <c r="AX2572" s="74"/>
    </row>
    <row r="2573" spans="1:50" ht="13" x14ac:dyDescent="0.15">
      <c r="A2573" s="55" t="str">
        <f>HYPERLINK("http://reports.ofsted.gov.uk/inspection-reports/find-inspection-report/provider/CARE/SC067561","Ofsted Social Care Provider Webpage")</f>
        <v>Ofsted Social Care Provider Webpage</v>
      </c>
      <c r="B2573" s="55" t="s">
        <v>4858</v>
      </c>
      <c r="D2573" s="55" t="s">
        <v>373</v>
      </c>
      <c r="E2573" s="74">
        <v>38890</v>
      </c>
      <c r="F2573" s="55" t="s">
        <v>344</v>
      </c>
      <c r="G2573" s="55" t="s">
        <v>360</v>
      </c>
      <c r="H2573" s="55" t="s">
        <v>360</v>
      </c>
      <c r="I2573" s="55" t="s">
        <v>360</v>
      </c>
      <c r="J2573" s="55" t="s">
        <v>360</v>
      </c>
      <c r="K2573" s="55" t="s">
        <v>360</v>
      </c>
      <c r="L2573" s="55" t="s">
        <v>360</v>
      </c>
      <c r="M2573" s="55" t="s">
        <v>136</v>
      </c>
      <c r="N2573" s="55" t="s">
        <v>136</v>
      </c>
      <c r="O2573" s="55" t="s">
        <v>256</v>
      </c>
      <c r="P2573" s="55" t="s">
        <v>590</v>
      </c>
      <c r="Q2573" s="55" t="s">
        <v>350</v>
      </c>
      <c r="R2573" s="85">
        <v>3</v>
      </c>
      <c r="S2573" s="55">
        <v>0</v>
      </c>
      <c r="T2573" s="74" t="s">
        <v>1365</v>
      </c>
      <c r="U2573" s="74" t="s">
        <v>351</v>
      </c>
      <c r="V2573" s="74">
        <v>44600</v>
      </c>
      <c r="W2573" s="74">
        <v>44652</v>
      </c>
      <c r="X2573" s="55">
        <v>10185802</v>
      </c>
      <c r="Y2573" s="55" t="s">
        <v>132</v>
      </c>
      <c r="AB2573" s="74" t="s">
        <v>132</v>
      </c>
      <c r="AC2573" s="55" t="s">
        <v>132</v>
      </c>
      <c r="AL2573" s="74"/>
      <c r="AM2573" s="74"/>
    </row>
    <row r="2574" spans="1:50" ht="13" x14ac:dyDescent="0.15">
      <c r="A2574" s="55" t="str">
        <f>HYPERLINK("http://reports.ofsted.gov.uk/inspection-reports/find-inspection-report/provider/CARE/SC067757","Ofsted Social Care Provider Webpage")</f>
        <v>Ofsted Social Care Provider Webpage</v>
      </c>
      <c r="B2574" s="55" t="s">
        <v>4863</v>
      </c>
      <c r="D2574" s="55" t="s">
        <v>373</v>
      </c>
      <c r="E2574" s="74">
        <v>38981</v>
      </c>
      <c r="F2574" s="55" t="s">
        <v>344</v>
      </c>
      <c r="G2574" s="55" t="s">
        <v>360</v>
      </c>
      <c r="H2574" s="55" t="s">
        <v>360</v>
      </c>
      <c r="I2574" s="55" t="s">
        <v>360</v>
      </c>
      <c r="J2574" s="55" t="s">
        <v>360</v>
      </c>
      <c r="K2574" s="55" t="s">
        <v>360</v>
      </c>
      <c r="L2574" s="55" t="s">
        <v>360</v>
      </c>
      <c r="M2574" s="55" t="s">
        <v>150</v>
      </c>
      <c r="N2574" s="55" t="s">
        <v>150</v>
      </c>
      <c r="O2574" s="55" t="s">
        <v>156</v>
      </c>
      <c r="P2574" s="55" t="s">
        <v>1277</v>
      </c>
      <c r="Q2574" s="55" t="s">
        <v>350</v>
      </c>
      <c r="R2574" s="85">
        <v>4</v>
      </c>
      <c r="S2574" s="55">
        <v>0</v>
      </c>
      <c r="T2574" s="74" t="s">
        <v>762</v>
      </c>
      <c r="U2574" s="74" t="s">
        <v>351</v>
      </c>
      <c r="V2574" s="74">
        <v>44417</v>
      </c>
      <c r="W2574" s="74">
        <v>44505</v>
      </c>
      <c r="X2574" s="55">
        <v>10186127</v>
      </c>
      <c r="Y2574" s="55" t="s">
        <v>146</v>
      </c>
      <c r="AB2574" s="74" t="s">
        <v>146</v>
      </c>
      <c r="AC2574" s="55" t="s">
        <v>146</v>
      </c>
      <c r="AL2574" s="74"/>
      <c r="AM2574" s="74"/>
      <c r="AW2574" s="74"/>
      <c r="AX2574" s="74"/>
    </row>
    <row r="2575" spans="1:50" ht="13" x14ac:dyDescent="0.15">
      <c r="A2575" s="55" t="str">
        <f>HYPERLINK("http://reports.ofsted.gov.uk/inspection-reports/find-inspection-report/provider/CARE/SC067757","Ofsted Social Care Provider Webpage")</f>
        <v>Ofsted Social Care Provider Webpage</v>
      </c>
      <c r="B2575" s="55" t="s">
        <v>4863</v>
      </c>
      <c r="D2575" s="55" t="s">
        <v>373</v>
      </c>
      <c r="E2575" s="74">
        <v>38981</v>
      </c>
      <c r="F2575" s="55" t="s">
        <v>344</v>
      </c>
      <c r="G2575" s="55" t="s">
        <v>360</v>
      </c>
      <c r="H2575" s="55" t="s">
        <v>360</v>
      </c>
      <c r="I2575" s="55" t="s">
        <v>360</v>
      </c>
      <c r="J2575" s="55" t="s">
        <v>360</v>
      </c>
      <c r="K2575" s="55" t="s">
        <v>360</v>
      </c>
      <c r="L2575" s="55" t="s">
        <v>360</v>
      </c>
      <c r="M2575" s="55" t="s">
        <v>150</v>
      </c>
      <c r="N2575" s="55" t="s">
        <v>150</v>
      </c>
      <c r="O2575" s="55" t="s">
        <v>156</v>
      </c>
      <c r="P2575" s="55" t="s">
        <v>1277</v>
      </c>
      <c r="Q2575" s="55" t="s">
        <v>350</v>
      </c>
      <c r="R2575" s="85">
        <v>4</v>
      </c>
      <c r="S2575" s="55">
        <v>0</v>
      </c>
      <c r="T2575" s="74" t="s">
        <v>762</v>
      </c>
      <c r="U2575" s="74" t="s">
        <v>2053</v>
      </c>
      <c r="V2575" s="74">
        <v>44523</v>
      </c>
      <c r="W2575" s="74">
        <v>44565</v>
      </c>
      <c r="X2575" s="55">
        <v>10215904</v>
      </c>
      <c r="AL2575" s="74"/>
      <c r="AM2575" s="74"/>
      <c r="AW2575" s="74"/>
      <c r="AX2575" s="74"/>
    </row>
    <row r="2576" spans="1:50" ht="13" x14ac:dyDescent="0.15">
      <c r="A2576" s="55" t="str">
        <f>HYPERLINK("http://reports.ofsted.gov.uk/inspection-reports/find-inspection-report/provider/CARE/SC067757","Ofsted Social Care Provider Webpage")</f>
        <v>Ofsted Social Care Provider Webpage</v>
      </c>
      <c r="B2576" s="55" t="s">
        <v>4863</v>
      </c>
      <c r="D2576" s="55" t="s">
        <v>373</v>
      </c>
      <c r="E2576" s="74">
        <v>38981</v>
      </c>
      <c r="F2576" s="55" t="s">
        <v>344</v>
      </c>
      <c r="G2576" s="55" t="s">
        <v>360</v>
      </c>
      <c r="H2576" s="55" t="s">
        <v>360</v>
      </c>
      <c r="I2576" s="55" t="s">
        <v>360</v>
      </c>
      <c r="J2576" s="55" t="s">
        <v>360</v>
      </c>
      <c r="K2576" s="55" t="s">
        <v>360</v>
      </c>
      <c r="L2576" s="55" t="s">
        <v>360</v>
      </c>
      <c r="M2576" s="55" t="s">
        <v>150</v>
      </c>
      <c r="N2576" s="55" t="s">
        <v>150</v>
      </c>
      <c r="O2576" s="55" t="s">
        <v>156</v>
      </c>
      <c r="P2576" s="55" t="s">
        <v>1277</v>
      </c>
      <c r="Q2576" s="55" t="s">
        <v>350</v>
      </c>
      <c r="R2576" s="85">
        <v>4</v>
      </c>
      <c r="S2576" s="55">
        <v>0</v>
      </c>
      <c r="T2576" s="74" t="s">
        <v>762</v>
      </c>
      <c r="U2576" s="74" t="s">
        <v>2053</v>
      </c>
      <c r="V2576" s="74">
        <v>44469</v>
      </c>
      <c r="W2576" s="74">
        <v>44512</v>
      </c>
      <c r="X2576" s="55">
        <v>10209369</v>
      </c>
      <c r="AL2576" s="74"/>
      <c r="AM2576" s="74"/>
    </row>
    <row r="2577" spans="1:50" ht="13" x14ac:dyDescent="0.15">
      <c r="A2577" s="55" t="str">
        <f>HYPERLINK("http://reports.ofsted.gov.uk/inspection-reports/find-inspection-report/provider/CARE/SC067757","Ofsted Social Care Provider Webpage")</f>
        <v>Ofsted Social Care Provider Webpage</v>
      </c>
      <c r="B2577" s="55" t="s">
        <v>4863</v>
      </c>
      <c r="D2577" s="55" t="s">
        <v>373</v>
      </c>
      <c r="E2577" s="74">
        <v>38981</v>
      </c>
      <c r="F2577" s="55" t="s">
        <v>344</v>
      </c>
      <c r="G2577" s="55" t="s">
        <v>360</v>
      </c>
      <c r="H2577" s="55" t="s">
        <v>360</v>
      </c>
      <c r="I2577" s="55" t="s">
        <v>360</v>
      </c>
      <c r="J2577" s="55" t="s">
        <v>360</v>
      </c>
      <c r="K2577" s="55" t="s">
        <v>360</v>
      </c>
      <c r="L2577" s="55" t="s">
        <v>360</v>
      </c>
      <c r="M2577" s="55" t="s">
        <v>150</v>
      </c>
      <c r="N2577" s="55" t="s">
        <v>150</v>
      </c>
      <c r="O2577" s="55" t="s">
        <v>156</v>
      </c>
      <c r="P2577" s="55" t="s">
        <v>1277</v>
      </c>
      <c r="Q2577" s="55" t="s">
        <v>350</v>
      </c>
      <c r="R2577" s="85">
        <v>4</v>
      </c>
      <c r="S2577" s="55">
        <v>0</v>
      </c>
      <c r="T2577" s="74" t="s">
        <v>762</v>
      </c>
      <c r="U2577" s="74" t="s">
        <v>2053</v>
      </c>
      <c r="V2577" s="74">
        <v>44459</v>
      </c>
      <c r="W2577" s="74">
        <v>44508</v>
      </c>
      <c r="X2577" s="55">
        <v>10207533</v>
      </c>
      <c r="AL2577" s="74"/>
      <c r="AM2577" s="74"/>
    </row>
    <row r="2578" spans="1:50" ht="13" x14ac:dyDescent="0.15">
      <c r="A2578" s="55" t="str">
        <f>HYPERLINK("http://reports.ofsted.gov.uk/inspection-reports/find-inspection-report/provider/CARE/SC067757","Ofsted Social Care Provider Webpage")</f>
        <v>Ofsted Social Care Provider Webpage</v>
      </c>
      <c r="B2578" s="55" t="s">
        <v>4863</v>
      </c>
      <c r="D2578" s="55" t="s">
        <v>373</v>
      </c>
      <c r="E2578" s="74">
        <v>38981</v>
      </c>
      <c r="F2578" s="55" t="s">
        <v>344</v>
      </c>
      <c r="G2578" s="55" t="s">
        <v>360</v>
      </c>
      <c r="H2578" s="55" t="s">
        <v>360</v>
      </c>
      <c r="I2578" s="55" t="s">
        <v>360</v>
      </c>
      <c r="J2578" s="55" t="s">
        <v>360</v>
      </c>
      <c r="K2578" s="55" t="s">
        <v>360</v>
      </c>
      <c r="L2578" s="55" t="s">
        <v>360</v>
      </c>
      <c r="M2578" s="55" t="s">
        <v>150</v>
      </c>
      <c r="N2578" s="55" t="s">
        <v>150</v>
      </c>
      <c r="O2578" s="55" t="s">
        <v>156</v>
      </c>
      <c r="P2578" s="55" t="s">
        <v>1277</v>
      </c>
      <c r="Q2578" s="55" t="s">
        <v>350</v>
      </c>
      <c r="R2578" s="85">
        <v>4</v>
      </c>
      <c r="S2578" s="55">
        <v>0</v>
      </c>
      <c r="T2578" s="74" t="s">
        <v>762</v>
      </c>
      <c r="U2578" s="74" t="s">
        <v>2053</v>
      </c>
      <c r="V2578" s="74">
        <v>44452</v>
      </c>
      <c r="W2578" s="74">
        <v>44505</v>
      </c>
      <c r="X2578" s="55">
        <v>10206924</v>
      </c>
      <c r="AL2578" s="74"/>
      <c r="AM2578" s="74"/>
    </row>
    <row r="2579" spans="1:50" ht="13" x14ac:dyDescent="0.15">
      <c r="A2579" s="55" t="str">
        <f>HYPERLINK("http://reports.ofsted.gov.uk/inspection-reports/find-inspection-report/provider/CARE/SC067771","Ofsted Social Care Provider Webpage")</f>
        <v>Ofsted Social Care Provider Webpage</v>
      </c>
      <c r="B2579" s="55" t="s">
        <v>4864</v>
      </c>
      <c r="D2579" s="55" t="s">
        <v>373</v>
      </c>
      <c r="E2579" s="74">
        <v>38926</v>
      </c>
      <c r="F2579" s="55" t="s">
        <v>344</v>
      </c>
      <c r="G2579" s="55" t="s">
        <v>360</v>
      </c>
      <c r="H2579" s="55" t="s">
        <v>360</v>
      </c>
      <c r="I2579" s="55" t="s">
        <v>360</v>
      </c>
      <c r="J2579" s="55" t="s">
        <v>360</v>
      </c>
      <c r="K2579" s="55" t="s">
        <v>360</v>
      </c>
      <c r="L2579" s="55" t="s">
        <v>360</v>
      </c>
      <c r="M2579" s="55" t="s">
        <v>144</v>
      </c>
      <c r="N2579" s="55" t="s">
        <v>144</v>
      </c>
      <c r="O2579" s="55" t="s">
        <v>290</v>
      </c>
      <c r="P2579" s="55" t="s">
        <v>1099</v>
      </c>
      <c r="Q2579" s="55" t="s">
        <v>350</v>
      </c>
      <c r="R2579" s="85">
        <v>4</v>
      </c>
      <c r="S2579" s="55">
        <v>0</v>
      </c>
      <c r="T2579" s="74" t="s">
        <v>4600</v>
      </c>
      <c r="U2579" s="74" t="s">
        <v>351</v>
      </c>
      <c r="V2579" s="74">
        <v>44369</v>
      </c>
      <c r="W2579" s="74">
        <v>44403</v>
      </c>
      <c r="X2579" s="55">
        <v>10186410</v>
      </c>
      <c r="Y2579" s="55" t="s">
        <v>132</v>
      </c>
      <c r="AB2579" s="74" t="s">
        <v>132</v>
      </c>
      <c r="AC2579" s="55" t="s">
        <v>132</v>
      </c>
      <c r="AL2579" s="74"/>
      <c r="AM2579" s="74"/>
    </row>
    <row r="2580" spans="1:50" ht="13" x14ac:dyDescent="0.15">
      <c r="A2580" s="55" t="str">
        <f>HYPERLINK("http://reports.ofsted.gov.uk/inspection-reports/find-inspection-report/provider/CARE/SC067795","Ofsted Social Care Provider Webpage")</f>
        <v>Ofsted Social Care Provider Webpage</v>
      </c>
      <c r="B2580" s="55" t="s">
        <v>4865</v>
      </c>
      <c r="D2580" s="55" t="s">
        <v>389</v>
      </c>
      <c r="E2580" s="74">
        <v>38867</v>
      </c>
      <c r="F2580" s="55" t="s">
        <v>344</v>
      </c>
      <c r="G2580" s="55" t="s">
        <v>4866</v>
      </c>
      <c r="H2580" s="55" t="s">
        <v>4867</v>
      </c>
      <c r="I2580" s="55" t="s">
        <v>4868</v>
      </c>
      <c r="J2580" s="55" t="s">
        <v>263</v>
      </c>
      <c r="K2580" s="55" t="s">
        <v>2469</v>
      </c>
      <c r="L2580" s="55" t="s">
        <v>4869</v>
      </c>
      <c r="M2580" s="55" t="s">
        <v>144</v>
      </c>
      <c r="N2580" s="55" t="s">
        <v>144</v>
      </c>
      <c r="O2580" s="55" t="s">
        <v>263</v>
      </c>
      <c r="P2580" s="55" t="s">
        <v>263</v>
      </c>
      <c r="Q2580" s="55" t="s">
        <v>350</v>
      </c>
      <c r="S2580" s="55">
        <v>0</v>
      </c>
      <c r="T2580" s="74" t="s">
        <v>2077</v>
      </c>
      <c r="U2580" s="74" t="s">
        <v>351</v>
      </c>
      <c r="V2580" s="74">
        <v>44501</v>
      </c>
      <c r="W2580" s="74">
        <v>44547</v>
      </c>
      <c r="X2580" s="55">
        <v>10183397</v>
      </c>
      <c r="Y2580" s="55" t="s">
        <v>140</v>
      </c>
      <c r="AB2580" s="74" t="s">
        <v>140</v>
      </c>
      <c r="AC2580" s="55" t="s">
        <v>140</v>
      </c>
      <c r="AL2580" s="74"/>
      <c r="AM2580" s="74"/>
    </row>
    <row r="2581" spans="1:50" ht="13" x14ac:dyDescent="0.15">
      <c r="A2581" s="55" t="str">
        <f>HYPERLINK("http://reports.ofsted.gov.uk/inspection-reports/find-inspection-report/provider/CARE/SC067810","Ofsted Social Care Provider Webpage")</f>
        <v>Ofsted Social Care Provider Webpage</v>
      </c>
      <c r="B2581" s="55" t="s">
        <v>4872</v>
      </c>
      <c r="D2581" s="55" t="s">
        <v>373</v>
      </c>
      <c r="E2581" s="74">
        <v>38946</v>
      </c>
      <c r="F2581" s="55" t="s">
        <v>344</v>
      </c>
      <c r="G2581" s="55" t="s">
        <v>360</v>
      </c>
      <c r="H2581" s="55" t="s">
        <v>360</v>
      </c>
      <c r="I2581" s="55" t="s">
        <v>360</v>
      </c>
      <c r="J2581" s="55" t="s">
        <v>360</v>
      </c>
      <c r="K2581" s="55" t="s">
        <v>360</v>
      </c>
      <c r="L2581" s="55" t="s">
        <v>360</v>
      </c>
      <c r="M2581" s="55" t="s">
        <v>129</v>
      </c>
      <c r="N2581" s="55" t="s">
        <v>129</v>
      </c>
      <c r="O2581" s="55" t="s">
        <v>128</v>
      </c>
      <c r="P2581" s="55" t="s">
        <v>1467</v>
      </c>
      <c r="Q2581" s="55" t="s">
        <v>350</v>
      </c>
      <c r="R2581" s="85">
        <v>7</v>
      </c>
      <c r="S2581" s="55">
        <v>0</v>
      </c>
      <c r="U2581" s="74" t="s">
        <v>351</v>
      </c>
      <c r="V2581" s="74">
        <v>44412</v>
      </c>
      <c r="W2581" s="74">
        <v>44448</v>
      </c>
      <c r="X2581" s="55">
        <v>10186236</v>
      </c>
      <c r="Y2581" s="55" t="s">
        <v>132</v>
      </c>
      <c r="AB2581" s="74" t="s">
        <v>132</v>
      </c>
      <c r="AC2581" s="55" t="s">
        <v>132</v>
      </c>
      <c r="AL2581" s="74"/>
      <c r="AM2581" s="74"/>
    </row>
    <row r="2582" spans="1:50" ht="13" x14ac:dyDescent="0.15">
      <c r="A2582" s="55" t="str">
        <f>HYPERLINK("http://reports.ofsted.gov.uk/inspection-reports/find-inspection-report/provider/CARE/SC067839","Ofsted Social Care Provider Webpage")</f>
        <v>Ofsted Social Care Provider Webpage</v>
      </c>
      <c r="B2582" s="55" t="s">
        <v>4873</v>
      </c>
      <c r="D2582" s="55" t="s">
        <v>373</v>
      </c>
      <c r="E2582" s="74">
        <v>38896</v>
      </c>
      <c r="F2582" s="55" t="s">
        <v>344</v>
      </c>
      <c r="G2582" s="55" t="s">
        <v>360</v>
      </c>
      <c r="H2582" s="55" t="s">
        <v>360</v>
      </c>
      <c r="I2582" s="55" t="s">
        <v>360</v>
      </c>
      <c r="J2582" s="55" t="s">
        <v>360</v>
      </c>
      <c r="K2582" s="55" t="s">
        <v>360</v>
      </c>
      <c r="L2582" s="55" t="s">
        <v>360</v>
      </c>
      <c r="M2582" s="55" t="s">
        <v>142</v>
      </c>
      <c r="N2582" s="55" t="s">
        <v>142</v>
      </c>
      <c r="O2582" s="55" t="s">
        <v>262</v>
      </c>
      <c r="P2582" s="55" t="s">
        <v>488</v>
      </c>
      <c r="Q2582" s="55" t="s">
        <v>350</v>
      </c>
      <c r="R2582" s="85">
        <v>2</v>
      </c>
      <c r="S2582" s="55">
        <v>0</v>
      </c>
      <c r="T2582" s="74" t="s">
        <v>1430</v>
      </c>
      <c r="U2582" s="74" t="s">
        <v>351</v>
      </c>
      <c r="V2582" s="74">
        <v>44390</v>
      </c>
      <c r="W2582" s="74">
        <v>44420</v>
      </c>
      <c r="X2582" s="55">
        <v>10185908</v>
      </c>
      <c r="Y2582" s="55" t="s">
        <v>132</v>
      </c>
      <c r="AB2582" s="74" t="s">
        <v>132</v>
      </c>
      <c r="AC2582" s="55" t="s">
        <v>132</v>
      </c>
      <c r="AL2582" s="74"/>
      <c r="AM2582" s="74"/>
    </row>
    <row r="2583" spans="1:50" ht="13" x14ac:dyDescent="0.15">
      <c r="A2583" s="55" t="str">
        <f>HYPERLINK("http://reports.ofsted.gov.uk/inspection-reports/find-inspection-report/provider/CARE/SC067865","Ofsted Social Care Provider Webpage")</f>
        <v>Ofsted Social Care Provider Webpage</v>
      </c>
      <c r="B2583" s="55" t="s">
        <v>4874</v>
      </c>
      <c r="D2583" s="55" t="s">
        <v>373</v>
      </c>
      <c r="E2583" s="74">
        <v>39015</v>
      </c>
      <c r="F2583" s="55" t="s">
        <v>344</v>
      </c>
      <c r="G2583" s="55" t="s">
        <v>360</v>
      </c>
      <c r="H2583" s="55" t="s">
        <v>360</v>
      </c>
      <c r="I2583" s="55" t="s">
        <v>360</v>
      </c>
      <c r="J2583" s="55" t="s">
        <v>360</v>
      </c>
      <c r="K2583" s="55" t="s">
        <v>360</v>
      </c>
      <c r="L2583" s="55" t="s">
        <v>360</v>
      </c>
      <c r="M2583" s="55" t="s">
        <v>378</v>
      </c>
      <c r="N2583" s="55" t="s">
        <v>134</v>
      </c>
      <c r="O2583" s="55" t="s">
        <v>133</v>
      </c>
      <c r="P2583" s="55" t="s">
        <v>1804</v>
      </c>
      <c r="Q2583" s="55" t="s">
        <v>350</v>
      </c>
      <c r="R2583" s="85">
        <v>3</v>
      </c>
      <c r="S2583" s="55">
        <v>0</v>
      </c>
      <c r="T2583" s="74" t="s">
        <v>462</v>
      </c>
      <c r="U2583" s="74" t="s">
        <v>351</v>
      </c>
      <c r="V2583" s="74">
        <v>44459</v>
      </c>
      <c r="W2583" s="74">
        <v>44491</v>
      </c>
      <c r="X2583" s="55">
        <v>10186147</v>
      </c>
      <c r="Y2583" s="55" t="s">
        <v>132</v>
      </c>
      <c r="AB2583" s="74" t="s">
        <v>132</v>
      </c>
      <c r="AC2583" s="55" t="s">
        <v>132</v>
      </c>
      <c r="AL2583" s="74"/>
      <c r="AM2583" s="74"/>
    </row>
    <row r="2584" spans="1:50" ht="13" x14ac:dyDescent="0.15">
      <c r="A2584" s="55" t="str">
        <f>HYPERLINK("http://reports.ofsted.gov.uk/inspection-reports/find-inspection-report/provider/CARE/SC067895","Ofsted Social Care Provider Webpage")</f>
        <v>Ofsted Social Care Provider Webpage</v>
      </c>
      <c r="B2584" s="55" t="s">
        <v>4875</v>
      </c>
      <c r="D2584" s="55" t="s">
        <v>373</v>
      </c>
      <c r="E2584" s="74">
        <v>38950</v>
      </c>
      <c r="F2584" s="55" t="s">
        <v>344</v>
      </c>
      <c r="G2584" s="55" t="s">
        <v>360</v>
      </c>
      <c r="H2584" s="55" t="s">
        <v>360</v>
      </c>
      <c r="I2584" s="55" t="s">
        <v>360</v>
      </c>
      <c r="J2584" s="55" t="s">
        <v>360</v>
      </c>
      <c r="K2584" s="55" t="s">
        <v>360</v>
      </c>
      <c r="L2584" s="55" t="s">
        <v>360</v>
      </c>
      <c r="M2584" s="55" t="s">
        <v>150</v>
      </c>
      <c r="N2584" s="55" t="s">
        <v>150</v>
      </c>
      <c r="O2584" s="55" t="s">
        <v>203</v>
      </c>
      <c r="P2584" s="55" t="s">
        <v>593</v>
      </c>
      <c r="Q2584" s="55" t="s">
        <v>350</v>
      </c>
      <c r="R2584" s="85">
        <v>4</v>
      </c>
      <c r="S2584" s="55">
        <v>0</v>
      </c>
      <c r="T2584" s="74" t="s">
        <v>2070</v>
      </c>
      <c r="U2584" s="74" t="s">
        <v>351</v>
      </c>
      <c r="V2584" s="74">
        <v>44341</v>
      </c>
      <c r="W2584" s="74">
        <v>44397</v>
      </c>
      <c r="X2584" s="55">
        <v>10186595</v>
      </c>
      <c r="Y2584" s="55" t="s">
        <v>140</v>
      </c>
      <c r="AB2584" s="74" t="s">
        <v>132</v>
      </c>
      <c r="AC2584" s="55" t="s">
        <v>140</v>
      </c>
      <c r="AL2584" s="74"/>
      <c r="AM2584" s="74"/>
    </row>
    <row r="2585" spans="1:50" ht="13" x14ac:dyDescent="0.15">
      <c r="A2585" s="55" t="str">
        <f>HYPERLINK("http://reports.ofsted.gov.uk/inspection-reports/find-inspection-report/provider/CARE/SC067899","Ofsted Social Care Provider Webpage")</f>
        <v>Ofsted Social Care Provider Webpage</v>
      </c>
      <c r="B2585" s="55" t="s">
        <v>4876</v>
      </c>
      <c r="D2585" s="55" t="s">
        <v>373</v>
      </c>
      <c r="E2585" s="74">
        <v>38926</v>
      </c>
      <c r="F2585" s="55" t="s">
        <v>344</v>
      </c>
      <c r="G2585" s="55" t="s">
        <v>360</v>
      </c>
      <c r="H2585" s="55" t="s">
        <v>360</v>
      </c>
      <c r="I2585" s="55" t="s">
        <v>360</v>
      </c>
      <c r="J2585" s="55" t="s">
        <v>360</v>
      </c>
      <c r="K2585" s="55" t="s">
        <v>360</v>
      </c>
      <c r="L2585" s="55" t="s">
        <v>360</v>
      </c>
      <c r="M2585" s="55" t="s">
        <v>144</v>
      </c>
      <c r="N2585" s="55" t="s">
        <v>144</v>
      </c>
      <c r="O2585" s="55" t="s">
        <v>236</v>
      </c>
      <c r="P2585" s="55" t="s">
        <v>2088</v>
      </c>
      <c r="Q2585" s="55" t="s">
        <v>350</v>
      </c>
      <c r="R2585" s="85">
        <v>7</v>
      </c>
      <c r="S2585" s="55">
        <v>0</v>
      </c>
      <c r="T2585" s="74" t="s">
        <v>385</v>
      </c>
      <c r="U2585" s="74" t="s">
        <v>351</v>
      </c>
      <c r="V2585" s="74">
        <v>44313</v>
      </c>
      <c r="W2585" s="74">
        <v>44358</v>
      </c>
      <c r="X2585" s="55">
        <v>10187571</v>
      </c>
      <c r="Y2585" s="55" t="s">
        <v>146</v>
      </c>
      <c r="AB2585" s="74" t="s">
        <v>146</v>
      </c>
      <c r="AC2585" s="55" t="s">
        <v>146</v>
      </c>
      <c r="AL2585" s="74"/>
      <c r="AM2585" s="74"/>
    </row>
    <row r="2586" spans="1:50" ht="13" x14ac:dyDescent="0.15">
      <c r="A2586" s="55" t="str">
        <f>HYPERLINK("http://reports.ofsted.gov.uk/inspection-reports/find-inspection-report/provider/CARE/SC067899","Ofsted Social Care Provider Webpage")</f>
        <v>Ofsted Social Care Provider Webpage</v>
      </c>
      <c r="B2586" s="55" t="s">
        <v>4876</v>
      </c>
      <c r="D2586" s="55" t="s">
        <v>373</v>
      </c>
      <c r="E2586" s="74">
        <v>38926</v>
      </c>
      <c r="F2586" s="55" t="s">
        <v>344</v>
      </c>
      <c r="G2586" s="55" t="s">
        <v>360</v>
      </c>
      <c r="H2586" s="55" t="s">
        <v>360</v>
      </c>
      <c r="I2586" s="55" t="s">
        <v>360</v>
      </c>
      <c r="J2586" s="55" t="s">
        <v>360</v>
      </c>
      <c r="K2586" s="55" t="s">
        <v>360</v>
      </c>
      <c r="L2586" s="55" t="s">
        <v>360</v>
      </c>
      <c r="M2586" s="55" t="s">
        <v>144</v>
      </c>
      <c r="N2586" s="55" t="s">
        <v>144</v>
      </c>
      <c r="O2586" s="55" t="s">
        <v>236</v>
      </c>
      <c r="P2586" s="55" t="s">
        <v>2088</v>
      </c>
      <c r="Q2586" s="55" t="s">
        <v>350</v>
      </c>
      <c r="R2586" s="85">
        <v>7</v>
      </c>
      <c r="S2586" s="55">
        <v>0</v>
      </c>
      <c r="T2586" s="74" t="s">
        <v>385</v>
      </c>
      <c r="U2586" s="74" t="s">
        <v>351</v>
      </c>
      <c r="V2586" s="74">
        <v>44418</v>
      </c>
      <c r="W2586" s="74">
        <v>44453</v>
      </c>
      <c r="X2586" s="55">
        <v>10194816</v>
      </c>
      <c r="Y2586" s="55" t="s">
        <v>132</v>
      </c>
      <c r="AB2586" s="74" t="s">
        <v>132</v>
      </c>
      <c r="AC2586" s="55" t="s">
        <v>132</v>
      </c>
      <c r="AL2586" s="74"/>
      <c r="AM2586" s="74"/>
    </row>
    <row r="2587" spans="1:50" ht="13" x14ac:dyDescent="0.15">
      <c r="A2587" s="55" t="str">
        <f>HYPERLINK("http://reports.ofsted.gov.uk/inspection-reports/find-inspection-report/provider/CARE/SC067899","Ofsted Social Care Provider Webpage")</f>
        <v>Ofsted Social Care Provider Webpage</v>
      </c>
      <c r="B2587" s="55" t="s">
        <v>4876</v>
      </c>
      <c r="D2587" s="55" t="s">
        <v>373</v>
      </c>
      <c r="E2587" s="74">
        <v>38926</v>
      </c>
      <c r="F2587" s="55" t="s">
        <v>344</v>
      </c>
      <c r="G2587" s="55" t="s">
        <v>360</v>
      </c>
      <c r="H2587" s="55" t="s">
        <v>360</v>
      </c>
      <c r="I2587" s="55" t="s">
        <v>360</v>
      </c>
      <c r="J2587" s="55" t="s">
        <v>360</v>
      </c>
      <c r="K2587" s="55" t="s">
        <v>360</v>
      </c>
      <c r="L2587" s="55" t="s">
        <v>360</v>
      </c>
      <c r="M2587" s="55" t="s">
        <v>144</v>
      </c>
      <c r="N2587" s="55" t="s">
        <v>144</v>
      </c>
      <c r="O2587" s="55" t="s">
        <v>236</v>
      </c>
      <c r="P2587" s="55" t="s">
        <v>2088</v>
      </c>
      <c r="Q2587" s="55" t="s">
        <v>350</v>
      </c>
      <c r="R2587" s="85">
        <v>7</v>
      </c>
      <c r="S2587" s="55">
        <v>0</v>
      </c>
      <c r="T2587" s="74" t="s">
        <v>385</v>
      </c>
      <c r="U2587" s="74" t="s">
        <v>2053</v>
      </c>
      <c r="V2587" s="74">
        <v>44356</v>
      </c>
      <c r="W2587" s="74">
        <v>44390</v>
      </c>
      <c r="X2587" s="55">
        <v>10194919</v>
      </c>
      <c r="AL2587" s="74"/>
      <c r="AM2587" s="74"/>
      <c r="AW2587" s="74"/>
      <c r="AX2587" s="74"/>
    </row>
    <row r="2588" spans="1:50" ht="13" x14ac:dyDescent="0.15">
      <c r="A2588" s="55" t="str">
        <f>HYPERLINK("http://reports.ofsted.gov.uk/inspection-reports/find-inspection-report/provider/CARE/SC068000","Ofsted Social Care Provider Webpage")</f>
        <v>Ofsted Social Care Provider Webpage</v>
      </c>
      <c r="B2588" s="55" t="s">
        <v>4877</v>
      </c>
      <c r="D2588" s="55" t="s">
        <v>373</v>
      </c>
      <c r="E2588" s="74">
        <v>38910</v>
      </c>
      <c r="F2588" s="55" t="s">
        <v>344</v>
      </c>
      <c r="G2588" s="55" t="s">
        <v>360</v>
      </c>
      <c r="H2588" s="55" t="s">
        <v>360</v>
      </c>
      <c r="I2588" s="55" t="s">
        <v>360</v>
      </c>
      <c r="J2588" s="55" t="s">
        <v>360</v>
      </c>
      <c r="K2588" s="55" t="s">
        <v>360</v>
      </c>
      <c r="L2588" s="55" t="s">
        <v>360</v>
      </c>
      <c r="M2588" s="55" t="s">
        <v>378</v>
      </c>
      <c r="N2588" s="55" t="s">
        <v>170</v>
      </c>
      <c r="O2588" s="55" t="s">
        <v>169</v>
      </c>
      <c r="P2588" s="55" t="s">
        <v>169</v>
      </c>
      <c r="Q2588" s="55" t="s">
        <v>380</v>
      </c>
      <c r="R2588" s="85">
        <v>3</v>
      </c>
      <c r="S2588" s="55">
        <v>0</v>
      </c>
      <c r="T2588" s="74" t="s">
        <v>3544</v>
      </c>
      <c r="U2588" s="74" t="s">
        <v>351</v>
      </c>
      <c r="V2588" s="74">
        <v>44370</v>
      </c>
      <c r="W2588" s="74">
        <v>44407</v>
      </c>
      <c r="X2588" s="55">
        <v>10185835</v>
      </c>
      <c r="Y2588" s="55" t="s">
        <v>130</v>
      </c>
      <c r="AB2588" s="74" t="s">
        <v>130</v>
      </c>
      <c r="AC2588" s="55" t="s">
        <v>130</v>
      </c>
      <c r="AL2588" s="74"/>
      <c r="AM2588" s="74"/>
      <c r="AW2588" s="74"/>
      <c r="AX2588" s="74"/>
    </row>
    <row r="2589" spans="1:50" ht="13" x14ac:dyDescent="0.15">
      <c r="A2589" s="55" t="str">
        <f>HYPERLINK("http://reports.ofsted.gov.uk/inspection-reports/find-inspection-report/provider/CARE/SC068000","Ofsted Social Care Provider Webpage")</f>
        <v>Ofsted Social Care Provider Webpage</v>
      </c>
      <c r="B2589" s="55" t="s">
        <v>4877</v>
      </c>
      <c r="D2589" s="55" t="s">
        <v>373</v>
      </c>
      <c r="E2589" s="74">
        <v>38910</v>
      </c>
      <c r="F2589" s="55" t="s">
        <v>344</v>
      </c>
      <c r="G2589" s="55" t="s">
        <v>360</v>
      </c>
      <c r="H2589" s="55" t="s">
        <v>360</v>
      </c>
      <c r="I2589" s="55" t="s">
        <v>360</v>
      </c>
      <c r="J2589" s="55" t="s">
        <v>360</v>
      </c>
      <c r="K2589" s="55" t="s">
        <v>360</v>
      </c>
      <c r="L2589" s="55" t="s">
        <v>360</v>
      </c>
      <c r="M2589" s="55" t="s">
        <v>378</v>
      </c>
      <c r="N2589" s="55" t="s">
        <v>170</v>
      </c>
      <c r="O2589" s="55" t="s">
        <v>169</v>
      </c>
      <c r="P2589" s="55" t="s">
        <v>169</v>
      </c>
      <c r="Q2589" s="55" t="s">
        <v>380</v>
      </c>
      <c r="R2589" s="85">
        <v>3</v>
      </c>
      <c r="S2589" s="55">
        <v>0</v>
      </c>
      <c r="T2589" s="74" t="s">
        <v>3544</v>
      </c>
      <c r="U2589" s="74" t="s">
        <v>6703</v>
      </c>
      <c r="V2589" s="74">
        <v>44524</v>
      </c>
      <c r="W2589" s="74">
        <v>44566</v>
      </c>
      <c r="X2589" s="55">
        <v>10214853</v>
      </c>
      <c r="Y2589" s="55" t="s">
        <v>6704</v>
      </c>
      <c r="AL2589" s="74"/>
      <c r="AM2589" s="74"/>
      <c r="AW2589" s="74"/>
      <c r="AX2589" s="74"/>
    </row>
    <row r="2590" spans="1:50" ht="13" x14ac:dyDescent="0.15">
      <c r="A2590" s="55" t="str">
        <f>HYPERLINK("http://reports.ofsted.gov.uk/inspection-reports/find-inspection-report/provider/CARE/SC068032","Ofsted Social Care Provider Webpage")</f>
        <v>Ofsted Social Care Provider Webpage</v>
      </c>
      <c r="B2590" s="55" t="s">
        <v>4878</v>
      </c>
      <c r="D2590" s="55" t="s">
        <v>373</v>
      </c>
      <c r="E2590" s="74">
        <v>38929</v>
      </c>
      <c r="F2590" s="55" t="s">
        <v>344</v>
      </c>
      <c r="G2590" s="55" t="s">
        <v>360</v>
      </c>
      <c r="H2590" s="55" t="s">
        <v>360</v>
      </c>
      <c r="I2590" s="55" t="s">
        <v>360</v>
      </c>
      <c r="J2590" s="55" t="s">
        <v>360</v>
      </c>
      <c r="K2590" s="55" t="s">
        <v>360</v>
      </c>
      <c r="L2590" s="55" t="s">
        <v>360</v>
      </c>
      <c r="M2590" s="55" t="s">
        <v>142</v>
      </c>
      <c r="N2590" s="55" t="s">
        <v>142</v>
      </c>
      <c r="O2590" s="55" t="s">
        <v>252</v>
      </c>
      <c r="P2590" s="55" t="s">
        <v>386</v>
      </c>
      <c r="Q2590" s="55" t="s">
        <v>350</v>
      </c>
      <c r="R2590" s="85">
        <v>7</v>
      </c>
      <c r="S2590" s="55">
        <v>0</v>
      </c>
      <c r="T2590" s="74" t="s">
        <v>1014</v>
      </c>
      <c r="U2590" s="74" t="s">
        <v>351</v>
      </c>
      <c r="V2590" s="74">
        <v>44418</v>
      </c>
      <c r="W2590" s="74">
        <v>44448</v>
      </c>
      <c r="X2590" s="55">
        <v>10185313</v>
      </c>
      <c r="Y2590" s="55" t="s">
        <v>132</v>
      </c>
      <c r="AB2590" s="74" t="s">
        <v>132</v>
      </c>
      <c r="AC2590" s="55" t="s">
        <v>132</v>
      </c>
      <c r="AL2590" s="74"/>
      <c r="AM2590" s="74"/>
    </row>
    <row r="2591" spans="1:50" ht="13" x14ac:dyDescent="0.15">
      <c r="A2591" s="55" t="str">
        <f>HYPERLINK("http://reports.ofsted.gov.uk/inspection-reports/find-inspection-report/provider/CARE/SC068046","Ofsted Social Care Provider Webpage")</f>
        <v>Ofsted Social Care Provider Webpage</v>
      </c>
      <c r="B2591" s="55" t="s">
        <v>4879</v>
      </c>
      <c r="D2591" s="55" t="s">
        <v>373</v>
      </c>
      <c r="E2591" s="74">
        <v>38952</v>
      </c>
      <c r="F2591" s="55" t="s">
        <v>344</v>
      </c>
      <c r="G2591" s="55" t="s">
        <v>360</v>
      </c>
      <c r="H2591" s="55" t="s">
        <v>360</v>
      </c>
      <c r="I2591" s="55" t="s">
        <v>360</v>
      </c>
      <c r="J2591" s="55" t="s">
        <v>360</v>
      </c>
      <c r="K2591" s="55" t="s">
        <v>360</v>
      </c>
      <c r="L2591" s="55" t="s">
        <v>360</v>
      </c>
      <c r="M2591" s="55" t="s">
        <v>150</v>
      </c>
      <c r="N2591" s="55" t="s">
        <v>150</v>
      </c>
      <c r="O2591" s="55" t="s">
        <v>190</v>
      </c>
      <c r="P2591" s="55" t="s">
        <v>749</v>
      </c>
      <c r="Q2591" s="55" t="s">
        <v>350</v>
      </c>
      <c r="R2591" s="85">
        <v>1</v>
      </c>
      <c r="S2591" s="55">
        <v>0</v>
      </c>
      <c r="T2591" s="74" t="s">
        <v>888</v>
      </c>
      <c r="U2591" s="74" t="s">
        <v>351</v>
      </c>
      <c r="V2591" s="74">
        <v>44481</v>
      </c>
      <c r="W2591" s="74">
        <v>44524</v>
      </c>
      <c r="X2591" s="55">
        <v>10186273</v>
      </c>
      <c r="Y2591" s="55" t="s">
        <v>140</v>
      </c>
      <c r="AB2591" s="74" t="s">
        <v>132</v>
      </c>
      <c r="AC2591" s="55" t="s">
        <v>140</v>
      </c>
      <c r="AL2591" s="74"/>
      <c r="AM2591" s="74"/>
      <c r="AW2591" s="74"/>
      <c r="AX2591" s="74"/>
    </row>
    <row r="2592" spans="1:50" ht="13" x14ac:dyDescent="0.15">
      <c r="A2592" s="55" t="str">
        <f>HYPERLINK("http://reports.ofsted.gov.uk/inspection-reports/find-inspection-report/provider/CARE/SC068076","Ofsted Social Care Provider Webpage")</f>
        <v>Ofsted Social Care Provider Webpage</v>
      </c>
      <c r="B2592" s="55" t="s">
        <v>4880</v>
      </c>
      <c r="D2592" s="55" t="s">
        <v>373</v>
      </c>
      <c r="E2592" s="74">
        <v>38975</v>
      </c>
      <c r="F2592" s="55" t="s">
        <v>344</v>
      </c>
      <c r="G2592" s="55" t="s">
        <v>360</v>
      </c>
      <c r="H2592" s="55" t="s">
        <v>360</v>
      </c>
      <c r="I2592" s="55" t="s">
        <v>360</v>
      </c>
      <c r="J2592" s="55" t="s">
        <v>360</v>
      </c>
      <c r="K2592" s="55" t="s">
        <v>360</v>
      </c>
      <c r="L2592" s="55" t="s">
        <v>360</v>
      </c>
      <c r="M2592" s="55" t="s">
        <v>138</v>
      </c>
      <c r="N2592" s="55" t="s">
        <v>138</v>
      </c>
      <c r="O2592" s="55" t="s">
        <v>224</v>
      </c>
      <c r="P2592" s="55" t="s">
        <v>1123</v>
      </c>
      <c r="Q2592" s="55" t="s">
        <v>380</v>
      </c>
      <c r="R2592" s="85">
        <v>2</v>
      </c>
      <c r="S2592" s="55">
        <v>0</v>
      </c>
      <c r="T2592" s="74" t="s">
        <v>2272</v>
      </c>
      <c r="U2592" s="74" t="s">
        <v>351</v>
      </c>
      <c r="V2592" s="74">
        <v>44439</v>
      </c>
      <c r="W2592" s="74">
        <v>44463</v>
      </c>
      <c r="X2592" s="55">
        <v>10187479</v>
      </c>
      <c r="Y2592" s="55" t="s">
        <v>132</v>
      </c>
      <c r="AB2592" s="74" t="s">
        <v>132</v>
      </c>
      <c r="AC2592" s="55" t="s">
        <v>132</v>
      </c>
      <c r="AL2592" s="74"/>
      <c r="AM2592" s="74"/>
    </row>
    <row r="2593" spans="1:50" ht="13" x14ac:dyDescent="0.15">
      <c r="A2593" s="55" t="str">
        <f>HYPERLINK("http://reports.ofsted.gov.uk/inspection-reports/find-inspection-report/provider/CARE/SC068179","Ofsted Social Care Provider Webpage")</f>
        <v>Ofsted Social Care Provider Webpage</v>
      </c>
      <c r="B2593" s="55" t="s">
        <v>4881</v>
      </c>
      <c r="D2593" s="55" t="s">
        <v>373</v>
      </c>
      <c r="E2593" s="74">
        <v>38954</v>
      </c>
      <c r="F2593" s="55" t="s">
        <v>344</v>
      </c>
      <c r="G2593" s="55" t="s">
        <v>360</v>
      </c>
      <c r="H2593" s="55" t="s">
        <v>360</v>
      </c>
      <c r="I2593" s="55" t="s">
        <v>360</v>
      </c>
      <c r="J2593" s="55" t="s">
        <v>360</v>
      </c>
      <c r="K2593" s="55" t="s">
        <v>360</v>
      </c>
      <c r="L2593" s="55" t="s">
        <v>360</v>
      </c>
      <c r="M2593" s="55" t="s">
        <v>150</v>
      </c>
      <c r="N2593" s="55" t="s">
        <v>150</v>
      </c>
      <c r="O2593" s="55" t="s">
        <v>181</v>
      </c>
      <c r="P2593" s="55" t="s">
        <v>937</v>
      </c>
      <c r="Q2593" s="55" t="s">
        <v>380</v>
      </c>
      <c r="R2593" s="85">
        <v>4</v>
      </c>
      <c r="S2593" s="55">
        <v>0</v>
      </c>
      <c r="T2593" s="74" t="s">
        <v>3026</v>
      </c>
      <c r="U2593" s="74" t="s">
        <v>351</v>
      </c>
      <c r="V2593" s="74">
        <v>44370</v>
      </c>
      <c r="W2593" s="74">
        <v>44431</v>
      </c>
      <c r="X2593" s="55">
        <v>10186053</v>
      </c>
      <c r="Y2593" s="55" t="s">
        <v>140</v>
      </c>
      <c r="AB2593" s="74" t="s">
        <v>140</v>
      </c>
      <c r="AC2593" s="55" t="s">
        <v>132</v>
      </c>
      <c r="AL2593" s="74"/>
      <c r="AM2593" s="74"/>
    </row>
    <row r="2594" spans="1:50" ht="13" x14ac:dyDescent="0.15">
      <c r="A2594" s="55" t="str">
        <f>HYPERLINK("http://reports.ofsted.gov.uk/inspection-reports/find-inspection-report/provider/CARE/SC068205","Ofsted Social Care Provider Webpage")</f>
        <v>Ofsted Social Care Provider Webpage</v>
      </c>
      <c r="B2594" s="55" t="s">
        <v>6750</v>
      </c>
      <c r="D2594" s="55" t="s">
        <v>373</v>
      </c>
      <c r="E2594" s="74">
        <v>38950</v>
      </c>
      <c r="F2594" s="55" t="s">
        <v>6707</v>
      </c>
      <c r="G2594" s="55" t="s">
        <v>360</v>
      </c>
      <c r="H2594" s="55" t="s">
        <v>360</v>
      </c>
      <c r="I2594" s="55" t="s">
        <v>360</v>
      </c>
      <c r="J2594" s="55" t="s">
        <v>360</v>
      </c>
      <c r="K2594" s="55" t="s">
        <v>360</v>
      </c>
      <c r="L2594" s="55" t="s">
        <v>360</v>
      </c>
      <c r="M2594" s="55" t="s">
        <v>136</v>
      </c>
      <c r="N2594" s="55" t="s">
        <v>136</v>
      </c>
      <c r="O2594" s="55" t="s">
        <v>174</v>
      </c>
      <c r="P2594" s="55" t="s">
        <v>651</v>
      </c>
      <c r="Q2594" s="55" t="s">
        <v>350</v>
      </c>
      <c r="R2594" s="85">
        <v>1</v>
      </c>
      <c r="S2594" s="55">
        <v>0</v>
      </c>
      <c r="T2594" s="74" t="s">
        <v>652</v>
      </c>
      <c r="U2594" s="74" t="s">
        <v>351</v>
      </c>
      <c r="V2594" s="74">
        <v>44368</v>
      </c>
      <c r="W2594" s="74">
        <v>44396</v>
      </c>
      <c r="X2594" s="55">
        <v>10186609</v>
      </c>
      <c r="Y2594" s="55" t="s">
        <v>132</v>
      </c>
      <c r="AB2594" s="74" t="s">
        <v>130</v>
      </c>
      <c r="AC2594" s="55" t="s">
        <v>130</v>
      </c>
      <c r="AL2594" s="74"/>
      <c r="AM2594" s="74"/>
      <c r="AW2594" s="74"/>
      <c r="AX2594" s="74"/>
    </row>
    <row r="2595" spans="1:50" ht="13" x14ac:dyDescent="0.15">
      <c r="A2595" s="55" t="str">
        <f>HYPERLINK("http://reports.ofsted.gov.uk/inspection-reports/find-inspection-report/provider/CARE/SC068206","Ofsted Social Care Provider Webpage")</f>
        <v>Ofsted Social Care Provider Webpage</v>
      </c>
      <c r="B2595" s="55" t="s">
        <v>4882</v>
      </c>
      <c r="D2595" s="55" t="s">
        <v>373</v>
      </c>
      <c r="E2595" s="74">
        <v>39001</v>
      </c>
      <c r="F2595" s="55" t="s">
        <v>344</v>
      </c>
      <c r="G2595" s="55" t="s">
        <v>360</v>
      </c>
      <c r="H2595" s="55" t="s">
        <v>360</v>
      </c>
      <c r="I2595" s="55" t="s">
        <v>360</v>
      </c>
      <c r="J2595" s="55" t="s">
        <v>360</v>
      </c>
      <c r="K2595" s="55" t="s">
        <v>360</v>
      </c>
      <c r="L2595" s="55" t="s">
        <v>360</v>
      </c>
      <c r="M2595" s="55" t="s">
        <v>144</v>
      </c>
      <c r="N2595" s="55" t="s">
        <v>144</v>
      </c>
      <c r="O2595" s="55" t="s">
        <v>261</v>
      </c>
      <c r="P2595" s="55" t="s">
        <v>512</v>
      </c>
      <c r="Q2595" s="55" t="s">
        <v>350</v>
      </c>
      <c r="R2595" s="85">
        <v>1</v>
      </c>
      <c r="S2595" s="55">
        <v>0</v>
      </c>
      <c r="T2595" s="74" t="s">
        <v>4505</v>
      </c>
      <c r="U2595" s="74" t="s">
        <v>351</v>
      </c>
      <c r="V2595" s="74">
        <v>44593</v>
      </c>
      <c r="W2595" s="74">
        <v>44648</v>
      </c>
      <c r="X2595" s="55">
        <v>10185339</v>
      </c>
      <c r="Y2595" s="55" t="s">
        <v>130</v>
      </c>
      <c r="AB2595" s="74" t="s">
        <v>130</v>
      </c>
      <c r="AC2595" s="55" t="s">
        <v>130</v>
      </c>
      <c r="AL2595" s="74"/>
      <c r="AM2595" s="74"/>
      <c r="AW2595" s="74"/>
      <c r="AX2595" s="74"/>
    </row>
    <row r="2596" spans="1:50" ht="13" x14ac:dyDescent="0.15">
      <c r="A2596" s="55" t="str">
        <f>HYPERLINK("http://reports.ofsted.gov.uk/inspection-reports/find-inspection-report/provider/CARE/SC068243","Ofsted Social Care Provider Webpage")</f>
        <v>Ofsted Social Care Provider Webpage</v>
      </c>
      <c r="B2596" s="55" t="s">
        <v>4883</v>
      </c>
      <c r="D2596" s="55" t="s">
        <v>373</v>
      </c>
      <c r="E2596" s="74">
        <v>38953</v>
      </c>
      <c r="F2596" s="55" t="s">
        <v>344</v>
      </c>
      <c r="G2596" s="55" t="s">
        <v>360</v>
      </c>
      <c r="H2596" s="55" t="s">
        <v>360</v>
      </c>
      <c r="I2596" s="55" t="s">
        <v>360</v>
      </c>
      <c r="J2596" s="55" t="s">
        <v>360</v>
      </c>
      <c r="K2596" s="55" t="s">
        <v>360</v>
      </c>
      <c r="L2596" s="55" t="s">
        <v>360</v>
      </c>
      <c r="M2596" s="55" t="s">
        <v>378</v>
      </c>
      <c r="N2596" s="55" t="s">
        <v>170</v>
      </c>
      <c r="O2596" s="55" t="s">
        <v>231</v>
      </c>
      <c r="P2596" s="55" t="s">
        <v>231</v>
      </c>
      <c r="Q2596" s="55" t="s">
        <v>380</v>
      </c>
      <c r="R2596" s="85">
        <v>6</v>
      </c>
      <c r="S2596" s="55">
        <v>0</v>
      </c>
      <c r="T2596" s="74" t="s">
        <v>1945</v>
      </c>
      <c r="U2596" s="74" t="s">
        <v>351</v>
      </c>
      <c r="V2596" s="74">
        <v>44579</v>
      </c>
      <c r="W2596" s="74">
        <v>44610</v>
      </c>
      <c r="X2596" s="55">
        <v>10187100</v>
      </c>
      <c r="Y2596" s="55" t="s">
        <v>132</v>
      </c>
      <c r="AB2596" s="74" t="s">
        <v>132</v>
      </c>
      <c r="AC2596" s="55" t="s">
        <v>132</v>
      </c>
      <c r="AL2596" s="74"/>
      <c r="AM2596" s="74"/>
    </row>
    <row r="2597" spans="1:50" ht="13" x14ac:dyDescent="0.15">
      <c r="A2597" s="55" t="str">
        <f>HYPERLINK("http://reports.ofsted.gov.uk/inspection-reports/find-inspection-report/provider/CARE/SC068261","Ofsted Social Care Provider Webpage")</f>
        <v>Ofsted Social Care Provider Webpage</v>
      </c>
      <c r="B2597" s="55" t="s">
        <v>4884</v>
      </c>
      <c r="D2597" s="55" t="s">
        <v>373</v>
      </c>
      <c r="E2597" s="74">
        <v>39015</v>
      </c>
      <c r="F2597" s="55" t="s">
        <v>344</v>
      </c>
      <c r="G2597" s="55" t="s">
        <v>360</v>
      </c>
      <c r="H2597" s="55" t="s">
        <v>360</v>
      </c>
      <c r="I2597" s="55" t="s">
        <v>360</v>
      </c>
      <c r="J2597" s="55" t="s">
        <v>360</v>
      </c>
      <c r="K2597" s="55" t="s">
        <v>360</v>
      </c>
      <c r="L2597" s="55" t="s">
        <v>360</v>
      </c>
      <c r="M2597" s="55" t="s">
        <v>142</v>
      </c>
      <c r="N2597" s="55" t="s">
        <v>142</v>
      </c>
      <c r="O2597" s="55" t="s">
        <v>262</v>
      </c>
      <c r="P2597" s="55" t="s">
        <v>916</v>
      </c>
      <c r="Q2597" s="55" t="s">
        <v>350</v>
      </c>
      <c r="R2597" s="85">
        <v>4</v>
      </c>
      <c r="S2597" s="55">
        <v>0</v>
      </c>
      <c r="T2597" s="74" t="s">
        <v>4885</v>
      </c>
      <c r="U2597" s="74" t="s">
        <v>6703</v>
      </c>
      <c r="V2597" s="74">
        <v>44602</v>
      </c>
      <c r="W2597" s="74">
        <v>44643</v>
      </c>
      <c r="X2597" s="55">
        <v>10214343</v>
      </c>
      <c r="Y2597" s="55" t="s">
        <v>6706</v>
      </c>
      <c r="AL2597" s="74"/>
      <c r="AM2597" s="74"/>
    </row>
    <row r="2598" spans="1:50" ht="13" x14ac:dyDescent="0.15">
      <c r="A2598" s="55" t="str">
        <f>HYPERLINK("http://reports.ofsted.gov.uk/inspection-reports/find-inspection-report/provider/CARE/SC068261","Ofsted Social Care Provider Webpage")</f>
        <v>Ofsted Social Care Provider Webpage</v>
      </c>
      <c r="B2598" s="55" t="s">
        <v>4884</v>
      </c>
      <c r="D2598" s="55" t="s">
        <v>373</v>
      </c>
      <c r="E2598" s="74">
        <v>39015</v>
      </c>
      <c r="F2598" s="55" t="s">
        <v>344</v>
      </c>
      <c r="G2598" s="55" t="s">
        <v>360</v>
      </c>
      <c r="H2598" s="55" t="s">
        <v>360</v>
      </c>
      <c r="I2598" s="55" t="s">
        <v>360</v>
      </c>
      <c r="J2598" s="55" t="s">
        <v>360</v>
      </c>
      <c r="K2598" s="55" t="s">
        <v>360</v>
      </c>
      <c r="L2598" s="55" t="s">
        <v>360</v>
      </c>
      <c r="M2598" s="55" t="s">
        <v>142</v>
      </c>
      <c r="N2598" s="55" t="s">
        <v>142</v>
      </c>
      <c r="O2598" s="55" t="s">
        <v>262</v>
      </c>
      <c r="P2598" s="55" t="s">
        <v>916</v>
      </c>
      <c r="Q2598" s="55" t="s">
        <v>350</v>
      </c>
      <c r="R2598" s="85">
        <v>4</v>
      </c>
      <c r="S2598" s="55">
        <v>0</v>
      </c>
      <c r="T2598" s="74" t="s">
        <v>4885</v>
      </c>
      <c r="U2598" s="74" t="s">
        <v>351</v>
      </c>
      <c r="V2598" s="74">
        <v>44404</v>
      </c>
      <c r="W2598" s="74">
        <v>44459</v>
      </c>
      <c r="X2598" s="55">
        <v>10186305</v>
      </c>
      <c r="Y2598" s="55" t="s">
        <v>130</v>
      </c>
      <c r="AB2598" s="74" t="s">
        <v>130</v>
      </c>
      <c r="AC2598" s="55" t="s">
        <v>130</v>
      </c>
      <c r="AL2598" s="74"/>
      <c r="AM2598" s="74"/>
      <c r="AW2598" s="74"/>
      <c r="AX2598" s="74"/>
    </row>
    <row r="2599" spans="1:50" ht="13" x14ac:dyDescent="0.15">
      <c r="A2599" s="55" t="str">
        <f>HYPERLINK("http://reports.ofsted.gov.uk/inspection-reports/find-inspection-report/provider/CARE/SC068272","Ofsted Social Care Provider Webpage")</f>
        <v>Ofsted Social Care Provider Webpage</v>
      </c>
      <c r="B2599" s="55" t="s">
        <v>4886</v>
      </c>
      <c r="D2599" s="55" t="s">
        <v>373</v>
      </c>
      <c r="E2599" s="74">
        <v>39021</v>
      </c>
      <c r="F2599" s="55" t="s">
        <v>344</v>
      </c>
      <c r="G2599" s="55" t="s">
        <v>360</v>
      </c>
      <c r="H2599" s="55" t="s">
        <v>360</v>
      </c>
      <c r="I2599" s="55" t="s">
        <v>360</v>
      </c>
      <c r="J2599" s="55" t="s">
        <v>360</v>
      </c>
      <c r="K2599" s="55" t="s">
        <v>360</v>
      </c>
      <c r="L2599" s="55" t="s">
        <v>360</v>
      </c>
      <c r="M2599" s="55" t="s">
        <v>150</v>
      </c>
      <c r="N2599" s="55" t="s">
        <v>150</v>
      </c>
      <c r="O2599" s="55" t="s">
        <v>285</v>
      </c>
      <c r="P2599" s="55" t="s">
        <v>796</v>
      </c>
      <c r="Q2599" s="55" t="s">
        <v>350</v>
      </c>
      <c r="R2599" s="85">
        <v>10</v>
      </c>
      <c r="S2599" s="55">
        <v>0</v>
      </c>
      <c r="T2599" s="74" t="s">
        <v>2654</v>
      </c>
      <c r="U2599" s="74" t="s">
        <v>351</v>
      </c>
      <c r="V2599" s="74">
        <v>44321</v>
      </c>
      <c r="W2599" s="74">
        <v>44377</v>
      </c>
      <c r="X2599" s="55">
        <v>10186619</v>
      </c>
      <c r="Y2599" s="55" t="s">
        <v>132</v>
      </c>
      <c r="AB2599" s="74" t="s">
        <v>132</v>
      </c>
      <c r="AC2599" s="55" t="s">
        <v>132</v>
      </c>
      <c r="AL2599" s="74"/>
      <c r="AM2599" s="74"/>
      <c r="AW2599" s="74"/>
      <c r="AX2599" s="74"/>
    </row>
    <row r="2600" spans="1:50" ht="13" x14ac:dyDescent="0.15">
      <c r="A2600" s="55" t="str">
        <f>HYPERLINK("http://reports.ofsted.gov.uk/inspection-reports/find-inspection-report/provider/CARE/SC068410","Ofsted Social Care Provider Webpage")</f>
        <v>Ofsted Social Care Provider Webpage</v>
      </c>
      <c r="B2600" s="55" t="s">
        <v>4887</v>
      </c>
      <c r="D2600" s="55" t="s">
        <v>479</v>
      </c>
      <c r="E2600" s="74">
        <v>39038</v>
      </c>
      <c r="F2600" s="55" t="s">
        <v>344</v>
      </c>
      <c r="G2600" s="55" t="s">
        <v>360</v>
      </c>
      <c r="H2600" s="55" t="s">
        <v>360</v>
      </c>
      <c r="I2600" s="55" t="s">
        <v>360</v>
      </c>
      <c r="J2600" s="55" t="s">
        <v>360</v>
      </c>
      <c r="K2600" s="55" t="s">
        <v>360</v>
      </c>
      <c r="L2600" s="55" t="s">
        <v>360</v>
      </c>
      <c r="M2600" s="55" t="s">
        <v>142</v>
      </c>
      <c r="N2600" s="55" t="s">
        <v>142</v>
      </c>
      <c r="O2600" s="55" t="s">
        <v>282</v>
      </c>
      <c r="P2600" s="55" t="s">
        <v>3266</v>
      </c>
      <c r="Q2600" s="55" t="s">
        <v>350</v>
      </c>
      <c r="R2600" s="85">
        <v>6</v>
      </c>
      <c r="S2600" s="55">
        <v>0</v>
      </c>
      <c r="T2600" s="74" t="s">
        <v>481</v>
      </c>
      <c r="U2600" s="74" t="s">
        <v>351</v>
      </c>
      <c r="V2600" s="74">
        <v>44510</v>
      </c>
      <c r="W2600" s="74">
        <v>44574</v>
      </c>
      <c r="X2600" s="55">
        <v>10187443</v>
      </c>
      <c r="Y2600" s="55" t="s">
        <v>130</v>
      </c>
      <c r="AB2600" s="74" t="s">
        <v>130</v>
      </c>
      <c r="AC2600" s="55" t="s">
        <v>146</v>
      </c>
      <c r="AL2600" s="74"/>
      <c r="AM2600" s="74"/>
    </row>
    <row r="2601" spans="1:50" ht="13" x14ac:dyDescent="0.15">
      <c r="A2601" s="55" t="str">
        <f>HYPERLINK("http://reports.ofsted.gov.uk/inspection-reports/find-inspection-report/provider/CARE/SC068494","Ofsted Social Care Provider Webpage")</f>
        <v>Ofsted Social Care Provider Webpage</v>
      </c>
      <c r="B2601" s="55" t="s">
        <v>4891</v>
      </c>
      <c r="D2601" s="55" t="s">
        <v>389</v>
      </c>
      <c r="E2601" s="74">
        <v>39087</v>
      </c>
      <c r="F2601" s="55" t="s">
        <v>344</v>
      </c>
      <c r="G2601" s="55" t="s">
        <v>4892</v>
      </c>
      <c r="H2601" s="55" t="s">
        <v>4893</v>
      </c>
      <c r="I2601" s="55" t="s">
        <v>4894</v>
      </c>
      <c r="J2601" s="55" t="s">
        <v>4895</v>
      </c>
      <c r="L2601" s="55" t="s">
        <v>4896</v>
      </c>
      <c r="M2601" s="55" t="s">
        <v>142</v>
      </c>
      <c r="N2601" s="55" t="s">
        <v>142</v>
      </c>
      <c r="O2601" s="55" t="s">
        <v>282</v>
      </c>
      <c r="P2601" s="55" t="s">
        <v>3219</v>
      </c>
      <c r="Q2601" s="55" t="s">
        <v>350</v>
      </c>
      <c r="S2601" s="55">
        <v>0</v>
      </c>
      <c r="T2601" s="74" t="s">
        <v>4897</v>
      </c>
      <c r="U2601" s="74" t="s">
        <v>351</v>
      </c>
      <c r="V2601" s="74">
        <v>44599</v>
      </c>
      <c r="W2601" s="74">
        <v>44651</v>
      </c>
      <c r="X2601" s="55">
        <v>10183424</v>
      </c>
      <c r="Y2601" s="55" t="s">
        <v>132</v>
      </c>
      <c r="AB2601" s="74" t="s">
        <v>132</v>
      </c>
      <c r="AC2601" s="55" t="s">
        <v>130</v>
      </c>
      <c r="AL2601" s="74"/>
      <c r="AM2601" s="74"/>
      <c r="AW2601" s="74"/>
      <c r="AX2601" s="74"/>
    </row>
    <row r="2602" spans="1:50" ht="13" x14ac:dyDescent="0.15">
      <c r="A2602" s="55" t="str">
        <f>HYPERLINK("http://reports.ofsted.gov.uk/inspection-reports/find-inspection-report/provider/CARE/SC068559","Ofsted Social Care Provider Webpage")</f>
        <v>Ofsted Social Care Provider Webpage</v>
      </c>
      <c r="B2602" s="55" t="s">
        <v>4899</v>
      </c>
      <c r="D2602" s="55" t="s">
        <v>373</v>
      </c>
      <c r="E2602" s="74">
        <v>39071</v>
      </c>
      <c r="F2602" s="55" t="s">
        <v>344</v>
      </c>
      <c r="G2602" s="55" t="s">
        <v>360</v>
      </c>
      <c r="H2602" s="55" t="s">
        <v>360</v>
      </c>
      <c r="I2602" s="55" t="s">
        <v>360</v>
      </c>
      <c r="J2602" s="55" t="s">
        <v>360</v>
      </c>
      <c r="K2602" s="55" t="s">
        <v>360</v>
      </c>
      <c r="L2602" s="55" t="s">
        <v>360</v>
      </c>
      <c r="M2602" s="55" t="s">
        <v>150</v>
      </c>
      <c r="N2602" s="55" t="s">
        <v>150</v>
      </c>
      <c r="O2602" s="55" t="s">
        <v>181</v>
      </c>
      <c r="P2602" s="55" t="s">
        <v>1142</v>
      </c>
      <c r="Q2602" s="55" t="s">
        <v>350</v>
      </c>
      <c r="R2602" s="85">
        <v>16</v>
      </c>
      <c r="S2602" s="55">
        <v>0</v>
      </c>
      <c r="T2602" s="74" t="s">
        <v>4900</v>
      </c>
      <c r="U2602" s="74" t="s">
        <v>351</v>
      </c>
      <c r="V2602" s="74">
        <v>44453</v>
      </c>
      <c r="W2602" s="74">
        <v>44498</v>
      </c>
      <c r="X2602" s="55">
        <v>10186365</v>
      </c>
      <c r="Y2602" s="55" t="s">
        <v>132</v>
      </c>
      <c r="AB2602" s="74" t="s">
        <v>132</v>
      </c>
      <c r="AC2602" s="55" t="s">
        <v>130</v>
      </c>
      <c r="AL2602" s="74"/>
      <c r="AM2602" s="74"/>
      <c r="AW2602" s="74"/>
      <c r="AX2602" s="74"/>
    </row>
    <row r="2603" spans="1:50" ht="13" x14ac:dyDescent="0.15">
      <c r="A2603" s="55" t="str">
        <f>HYPERLINK("http://reports.ofsted.gov.uk/inspection-reports/find-inspection-report/provider/CARE/SC068789","Ofsted Social Care Provider Webpage")</f>
        <v>Ofsted Social Care Provider Webpage</v>
      </c>
      <c r="B2603" s="55" t="s">
        <v>4902</v>
      </c>
      <c r="D2603" s="55" t="s">
        <v>373</v>
      </c>
      <c r="E2603" s="74">
        <v>39080</v>
      </c>
      <c r="F2603" s="55" t="s">
        <v>344</v>
      </c>
      <c r="G2603" s="55" t="s">
        <v>360</v>
      </c>
      <c r="H2603" s="55" t="s">
        <v>360</v>
      </c>
      <c r="I2603" s="55" t="s">
        <v>360</v>
      </c>
      <c r="J2603" s="55" t="s">
        <v>360</v>
      </c>
      <c r="K2603" s="55" t="s">
        <v>360</v>
      </c>
      <c r="L2603" s="55" t="s">
        <v>360</v>
      </c>
      <c r="M2603" s="55" t="s">
        <v>129</v>
      </c>
      <c r="N2603" s="55" t="s">
        <v>129</v>
      </c>
      <c r="O2603" s="55" t="s">
        <v>197</v>
      </c>
      <c r="P2603" s="55" t="s">
        <v>3056</v>
      </c>
      <c r="Q2603" s="55" t="s">
        <v>380</v>
      </c>
      <c r="R2603" s="85">
        <v>9</v>
      </c>
      <c r="S2603" s="55">
        <v>0</v>
      </c>
      <c r="T2603" s="74" t="s">
        <v>1354</v>
      </c>
      <c r="U2603" s="74" t="s">
        <v>351</v>
      </c>
      <c r="V2603" s="74">
        <v>44538</v>
      </c>
      <c r="W2603" s="74">
        <v>44587</v>
      </c>
      <c r="X2603" s="55">
        <v>10186406</v>
      </c>
      <c r="Y2603" s="55" t="s">
        <v>130</v>
      </c>
      <c r="AB2603" s="74" t="s">
        <v>130</v>
      </c>
      <c r="AC2603" s="55" t="s">
        <v>146</v>
      </c>
      <c r="AL2603" s="74"/>
      <c r="AM2603" s="74"/>
    </row>
    <row r="2604" spans="1:50" ht="13" x14ac:dyDescent="0.15">
      <c r="A2604" s="55" t="str">
        <f>HYPERLINK("http://reports.ofsted.gov.uk/inspection-reports/find-inspection-report/provider/CARE/SC068803","Ofsted Social Care Provider Webpage")</f>
        <v>Ofsted Social Care Provider Webpage</v>
      </c>
      <c r="B2604" s="55" t="s">
        <v>4903</v>
      </c>
      <c r="D2604" s="55" t="s">
        <v>373</v>
      </c>
      <c r="E2604" s="74">
        <v>39042</v>
      </c>
      <c r="F2604" s="55" t="s">
        <v>344</v>
      </c>
      <c r="G2604" s="55" t="s">
        <v>360</v>
      </c>
      <c r="H2604" s="55" t="s">
        <v>360</v>
      </c>
      <c r="I2604" s="55" t="s">
        <v>360</v>
      </c>
      <c r="J2604" s="55" t="s">
        <v>360</v>
      </c>
      <c r="K2604" s="55" t="s">
        <v>360</v>
      </c>
      <c r="L2604" s="55" t="s">
        <v>360</v>
      </c>
      <c r="M2604" s="55" t="s">
        <v>150</v>
      </c>
      <c r="N2604" s="55" t="s">
        <v>150</v>
      </c>
      <c r="O2604" s="55" t="s">
        <v>203</v>
      </c>
      <c r="P2604" s="55" t="s">
        <v>2078</v>
      </c>
      <c r="Q2604" s="55" t="s">
        <v>350</v>
      </c>
      <c r="R2604" s="85">
        <v>4</v>
      </c>
      <c r="S2604" s="55">
        <v>0</v>
      </c>
      <c r="T2604" s="74" t="s">
        <v>2891</v>
      </c>
      <c r="U2604" s="74" t="s">
        <v>351</v>
      </c>
      <c r="V2604" s="74">
        <v>44327</v>
      </c>
      <c r="W2604" s="74">
        <v>44384</v>
      </c>
      <c r="X2604" s="55">
        <v>10186011</v>
      </c>
      <c r="Y2604" s="55" t="s">
        <v>132</v>
      </c>
      <c r="AB2604" s="74" t="s">
        <v>132</v>
      </c>
      <c r="AC2604" s="55" t="s">
        <v>132</v>
      </c>
      <c r="AL2604" s="74"/>
      <c r="AM2604" s="74"/>
      <c r="AW2604" s="74"/>
      <c r="AX2604" s="74"/>
    </row>
    <row r="2605" spans="1:50" ht="13" x14ac:dyDescent="0.15">
      <c r="A2605" s="55" t="str">
        <f>HYPERLINK("http://reports.ofsted.gov.uk/inspection-reports/find-inspection-report/provider/CARE/SC068827","Ofsted Social Care Provider Webpage")</f>
        <v>Ofsted Social Care Provider Webpage</v>
      </c>
      <c r="B2605" s="55" t="s">
        <v>4904</v>
      </c>
      <c r="D2605" s="55" t="s">
        <v>373</v>
      </c>
      <c r="E2605" s="74">
        <v>39030</v>
      </c>
      <c r="F2605" s="55" t="s">
        <v>344</v>
      </c>
      <c r="G2605" s="55" t="s">
        <v>360</v>
      </c>
      <c r="H2605" s="55" t="s">
        <v>360</v>
      </c>
      <c r="I2605" s="55" t="s">
        <v>360</v>
      </c>
      <c r="J2605" s="55" t="s">
        <v>360</v>
      </c>
      <c r="K2605" s="55" t="s">
        <v>360</v>
      </c>
      <c r="L2605" s="55" t="s">
        <v>360</v>
      </c>
      <c r="M2605" s="55" t="s">
        <v>150</v>
      </c>
      <c r="N2605" s="55" t="s">
        <v>150</v>
      </c>
      <c r="O2605" s="55" t="s">
        <v>268</v>
      </c>
      <c r="P2605" s="55" t="s">
        <v>2682</v>
      </c>
      <c r="Q2605" s="55" t="s">
        <v>380</v>
      </c>
      <c r="R2605" s="85">
        <v>4</v>
      </c>
      <c r="S2605" s="55">
        <v>0</v>
      </c>
      <c r="T2605" s="74" t="s">
        <v>640</v>
      </c>
      <c r="U2605" s="74" t="s">
        <v>351</v>
      </c>
      <c r="V2605" s="74">
        <v>44433</v>
      </c>
      <c r="W2605" s="74">
        <v>44473</v>
      </c>
      <c r="X2605" s="55">
        <v>10187610</v>
      </c>
      <c r="Y2605" s="55" t="s">
        <v>132</v>
      </c>
      <c r="AB2605" s="74" t="s">
        <v>132</v>
      </c>
      <c r="AC2605" s="55" t="s">
        <v>130</v>
      </c>
      <c r="AL2605" s="74"/>
      <c r="AM2605" s="74"/>
      <c r="AW2605" s="74"/>
      <c r="AX2605" s="74"/>
    </row>
    <row r="2606" spans="1:50" ht="13" x14ac:dyDescent="0.15">
      <c r="A2606" s="55" t="str">
        <f>HYPERLINK("http://reports.ofsted.gov.uk/inspection-reports/find-inspection-report/provider/CARE/SC068929","Ofsted Social Care Provider Webpage")</f>
        <v>Ofsted Social Care Provider Webpage</v>
      </c>
      <c r="B2606" s="55" t="s">
        <v>4911</v>
      </c>
      <c r="D2606" s="55" t="s">
        <v>373</v>
      </c>
      <c r="E2606" s="74">
        <v>39114</v>
      </c>
      <c r="F2606" s="55" t="s">
        <v>344</v>
      </c>
      <c r="G2606" s="55" t="s">
        <v>360</v>
      </c>
      <c r="H2606" s="55" t="s">
        <v>360</v>
      </c>
      <c r="I2606" s="55" t="s">
        <v>360</v>
      </c>
      <c r="J2606" s="55" t="s">
        <v>360</v>
      </c>
      <c r="K2606" s="55" t="s">
        <v>360</v>
      </c>
      <c r="L2606" s="55" t="s">
        <v>360</v>
      </c>
      <c r="M2606" s="55" t="s">
        <v>138</v>
      </c>
      <c r="N2606" s="55" t="s">
        <v>138</v>
      </c>
      <c r="O2606" s="55" t="s">
        <v>183</v>
      </c>
      <c r="P2606" s="55" t="s">
        <v>576</v>
      </c>
      <c r="Q2606" s="55" t="s">
        <v>380</v>
      </c>
      <c r="R2606" s="85">
        <v>8</v>
      </c>
      <c r="S2606" s="55" t="s">
        <v>332</v>
      </c>
      <c r="T2606" s="74" t="s">
        <v>1795</v>
      </c>
      <c r="U2606" s="74" t="s">
        <v>351</v>
      </c>
      <c r="V2606" s="74">
        <v>44305</v>
      </c>
      <c r="W2606" s="74">
        <v>44327</v>
      </c>
      <c r="X2606" s="55">
        <v>10187277</v>
      </c>
      <c r="Y2606" s="55" t="s">
        <v>132</v>
      </c>
      <c r="AB2606" s="74" t="s">
        <v>132</v>
      </c>
      <c r="AC2606" s="55" t="s">
        <v>132</v>
      </c>
      <c r="AL2606" s="74"/>
      <c r="AM2606" s="74"/>
      <c r="AW2606" s="74"/>
      <c r="AX2606" s="74"/>
    </row>
    <row r="2607" spans="1:50" ht="13" x14ac:dyDescent="0.15">
      <c r="A2607" s="55" t="str">
        <f>HYPERLINK("http://reports.ofsted.gov.uk/inspection-reports/find-inspection-report/provider/CARE/SC068955","Ofsted Social Care Provider Webpage")</f>
        <v>Ofsted Social Care Provider Webpage</v>
      </c>
      <c r="B2607" s="55" t="s">
        <v>4912</v>
      </c>
      <c r="D2607" s="55" t="s">
        <v>373</v>
      </c>
      <c r="E2607" s="74">
        <v>39042</v>
      </c>
      <c r="F2607" s="55" t="s">
        <v>344</v>
      </c>
      <c r="G2607" s="55" t="s">
        <v>360</v>
      </c>
      <c r="H2607" s="55" t="s">
        <v>360</v>
      </c>
      <c r="I2607" s="55" t="s">
        <v>360</v>
      </c>
      <c r="J2607" s="55" t="s">
        <v>360</v>
      </c>
      <c r="K2607" s="55" t="s">
        <v>360</v>
      </c>
      <c r="L2607" s="55" t="s">
        <v>360</v>
      </c>
      <c r="M2607" s="55" t="s">
        <v>138</v>
      </c>
      <c r="N2607" s="55" t="s">
        <v>138</v>
      </c>
      <c r="O2607" s="55" t="s">
        <v>224</v>
      </c>
      <c r="P2607" s="55" t="s">
        <v>1530</v>
      </c>
      <c r="Q2607" s="55" t="s">
        <v>380</v>
      </c>
      <c r="R2607" s="85">
        <v>2</v>
      </c>
      <c r="S2607" s="55">
        <v>0</v>
      </c>
      <c r="T2607" s="74" t="s">
        <v>2272</v>
      </c>
      <c r="U2607" s="74" t="s">
        <v>351</v>
      </c>
      <c r="V2607" s="74">
        <v>44475</v>
      </c>
      <c r="W2607" s="74">
        <v>44496</v>
      </c>
      <c r="X2607" s="55">
        <v>10187473</v>
      </c>
      <c r="Y2607" s="55" t="s">
        <v>132</v>
      </c>
      <c r="AB2607" s="74" t="s">
        <v>132</v>
      </c>
      <c r="AC2607" s="55" t="s">
        <v>132</v>
      </c>
      <c r="AL2607" s="74"/>
      <c r="AM2607" s="74"/>
    </row>
    <row r="2608" spans="1:50" ht="13" x14ac:dyDescent="0.15">
      <c r="A2608" s="55" t="str">
        <f>HYPERLINK("http://reports.ofsted.gov.uk/inspection-reports/find-inspection-report/provider/CARE/SC068991","Ofsted Social Care Provider Webpage")</f>
        <v>Ofsted Social Care Provider Webpage</v>
      </c>
      <c r="B2608" s="55" t="s">
        <v>4913</v>
      </c>
      <c r="D2608" s="55" t="s">
        <v>373</v>
      </c>
      <c r="E2608" s="74">
        <v>39097</v>
      </c>
      <c r="F2608" s="55" t="s">
        <v>344</v>
      </c>
      <c r="G2608" s="55" t="s">
        <v>360</v>
      </c>
      <c r="H2608" s="55" t="s">
        <v>360</v>
      </c>
      <c r="I2608" s="55" t="s">
        <v>360</v>
      </c>
      <c r="J2608" s="55" t="s">
        <v>360</v>
      </c>
      <c r="K2608" s="55" t="s">
        <v>360</v>
      </c>
      <c r="L2608" s="55" t="s">
        <v>360</v>
      </c>
      <c r="M2608" s="55" t="s">
        <v>138</v>
      </c>
      <c r="N2608" s="55" t="s">
        <v>138</v>
      </c>
      <c r="O2608" s="55" t="s">
        <v>159</v>
      </c>
      <c r="P2608" s="55" t="s">
        <v>1025</v>
      </c>
      <c r="Q2608" s="55" t="s">
        <v>350</v>
      </c>
      <c r="R2608" s="85">
        <v>4</v>
      </c>
      <c r="S2608" s="55">
        <v>0</v>
      </c>
      <c r="T2608" s="74" t="s">
        <v>4914</v>
      </c>
      <c r="U2608" s="74" t="s">
        <v>351</v>
      </c>
      <c r="V2608" s="74">
        <v>44326</v>
      </c>
      <c r="W2608" s="74">
        <v>44344</v>
      </c>
      <c r="X2608" s="55">
        <v>10187144</v>
      </c>
      <c r="Y2608" s="55" t="s">
        <v>132</v>
      </c>
      <c r="AB2608" s="74" t="s">
        <v>132</v>
      </c>
      <c r="AC2608" s="55" t="s">
        <v>132</v>
      </c>
      <c r="AL2608" s="74"/>
      <c r="AM2608" s="74"/>
      <c r="AW2608" s="74"/>
      <c r="AX2608" s="74"/>
    </row>
    <row r="2609" spans="1:50" ht="13" x14ac:dyDescent="0.15">
      <c r="A2609" s="55" t="str">
        <f>HYPERLINK("http://reports.ofsted.gov.uk/inspection-reports/find-inspection-report/provider/CARE/SC069128","Ofsted Social Care Provider Webpage")</f>
        <v>Ofsted Social Care Provider Webpage</v>
      </c>
      <c r="B2609" s="55" t="s">
        <v>4915</v>
      </c>
      <c r="D2609" s="55" t="s">
        <v>373</v>
      </c>
      <c r="E2609" s="74">
        <v>39132</v>
      </c>
      <c r="F2609" s="55" t="s">
        <v>344</v>
      </c>
      <c r="G2609" s="55" t="s">
        <v>360</v>
      </c>
      <c r="H2609" s="55" t="s">
        <v>360</v>
      </c>
      <c r="I2609" s="55" t="s">
        <v>360</v>
      </c>
      <c r="J2609" s="55" t="s">
        <v>360</v>
      </c>
      <c r="K2609" s="55" t="s">
        <v>360</v>
      </c>
      <c r="L2609" s="55" t="s">
        <v>360</v>
      </c>
      <c r="M2609" s="55" t="s">
        <v>150</v>
      </c>
      <c r="N2609" s="55" t="s">
        <v>150</v>
      </c>
      <c r="O2609" s="55" t="s">
        <v>237</v>
      </c>
      <c r="P2609" s="55" t="s">
        <v>404</v>
      </c>
      <c r="Q2609" s="55" t="s">
        <v>362</v>
      </c>
      <c r="R2609" s="85">
        <v>7</v>
      </c>
      <c r="S2609" s="55" t="s">
        <v>332</v>
      </c>
      <c r="T2609" s="74" t="s">
        <v>1884</v>
      </c>
      <c r="U2609" s="74" t="s">
        <v>351</v>
      </c>
      <c r="V2609" s="74">
        <v>44508</v>
      </c>
      <c r="W2609" s="74">
        <v>44610</v>
      </c>
      <c r="X2609" s="55">
        <v>10187452</v>
      </c>
      <c r="Y2609" s="55" t="s">
        <v>132</v>
      </c>
      <c r="AB2609" s="74" t="s">
        <v>132</v>
      </c>
      <c r="AC2609" s="55" t="s">
        <v>132</v>
      </c>
      <c r="AL2609" s="74"/>
      <c r="AM2609" s="74"/>
      <c r="AW2609" s="74"/>
      <c r="AX2609" s="74"/>
    </row>
    <row r="2610" spans="1:50" ht="13" x14ac:dyDescent="0.15">
      <c r="A2610" s="55" t="str">
        <f>HYPERLINK("http://reports.ofsted.gov.uk/inspection-reports/find-inspection-report/provider/CARE/SC069178","Ofsted Social Care Provider Webpage")</f>
        <v>Ofsted Social Care Provider Webpage</v>
      </c>
      <c r="B2610" s="55" t="s">
        <v>4918</v>
      </c>
      <c r="D2610" s="55" t="s">
        <v>373</v>
      </c>
      <c r="E2610" s="74">
        <v>39125</v>
      </c>
      <c r="F2610" s="55" t="s">
        <v>344</v>
      </c>
      <c r="G2610" s="55" t="s">
        <v>360</v>
      </c>
      <c r="H2610" s="55" t="s">
        <v>360</v>
      </c>
      <c r="I2610" s="55" t="s">
        <v>360</v>
      </c>
      <c r="J2610" s="55" t="s">
        <v>360</v>
      </c>
      <c r="K2610" s="55" t="s">
        <v>360</v>
      </c>
      <c r="L2610" s="55" t="s">
        <v>360</v>
      </c>
      <c r="M2610" s="55" t="s">
        <v>138</v>
      </c>
      <c r="N2610" s="55" t="s">
        <v>138</v>
      </c>
      <c r="O2610" s="55" t="s">
        <v>266</v>
      </c>
      <c r="P2610" s="55" t="s">
        <v>1622</v>
      </c>
      <c r="Q2610" s="55" t="s">
        <v>350</v>
      </c>
      <c r="R2610" s="85">
        <v>6</v>
      </c>
      <c r="S2610" s="55">
        <v>0</v>
      </c>
      <c r="T2610" s="74" t="s">
        <v>1225</v>
      </c>
      <c r="U2610" s="74" t="s">
        <v>351</v>
      </c>
      <c r="V2610" s="74">
        <v>44573</v>
      </c>
      <c r="W2610" s="74">
        <v>44603</v>
      </c>
      <c r="X2610" s="55">
        <v>10186088</v>
      </c>
      <c r="Y2610" s="55" t="s">
        <v>132</v>
      </c>
      <c r="AB2610" s="74" t="s">
        <v>132</v>
      </c>
      <c r="AC2610" s="55" t="s">
        <v>132</v>
      </c>
      <c r="AL2610" s="74"/>
      <c r="AM2610" s="74"/>
    </row>
    <row r="2611" spans="1:50" ht="13" x14ac:dyDescent="0.15">
      <c r="A2611" s="55" t="str">
        <f>HYPERLINK("http://reports.ofsted.gov.uk/inspection-reports/find-inspection-report/provider/CARE/SC069231","Ofsted Social Care Provider Webpage")</f>
        <v>Ofsted Social Care Provider Webpage</v>
      </c>
      <c r="B2611" s="55" t="s">
        <v>4920</v>
      </c>
      <c r="C2611" s="55">
        <v>134938</v>
      </c>
      <c r="D2611" s="55" t="s">
        <v>413</v>
      </c>
      <c r="E2611" s="74">
        <v>39086</v>
      </c>
      <c r="F2611" s="55" t="s">
        <v>344</v>
      </c>
      <c r="G2611" s="55" t="s">
        <v>4921</v>
      </c>
      <c r="H2611" s="55" t="s">
        <v>4922</v>
      </c>
      <c r="I2611" s="55" t="s">
        <v>4923</v>
      </c>
      <c r="J2611" s="55" t="s">
        <v>4924</v>
      </c>
      <c r="K2611" s="55" t="s">
        <v>247</v>
      </c>
      <c r="L2611" s="55" t="s">
        <v>4925</v>
      </c>
      <c r="M2611" s="55" t="s">
        <v>172</v>
      </c>
      <c r="N2611" s="55" t="s">
        <v>172</v>
      </c>
      <c r="O2611" s="55" t="s">
        <v>247</v>
      </c>
      <c r="P2611" s="55" t="s">
        <v>798</v>
      </c>
      <c r="Q2611" s="55" t="s">
        <v>350</v>
      </c>
      <c r="R2611" s="85">
        <v>70</v>
      </c>
      <c r="S2611" s="55">
        <v>0</v>
      </c>
      <c r="T2611" s="74" t="s">
        <v>4926</v>
      </c>
      <c r="U2611" s="74" t="s">
        <v>351</v>
      </c>
      <c r="V2611" s="74">
        <v>44523</v>
      </c>
      <c r="W2611" s="74">
        <v>44588</v>
      </c>
      <c r="X2611" s="55">
        <v>10183466</v>
      </c>
      <c r="Y2611" s="55" t="s">
        <v>140</v>
      </c>
      <c r="AB2611" s="74" t="s">
        <v>140</v>
      </c>
      <c r="AC2611" s="55" t="s">
        <v>140</v>
      </c>
      <c r="AL2611" s="74"/>
      <c r="AM2611" s="74"/>
      <c r="AW2611" s="74"/>
      <c r="AX2611" s="74"/>
    </row>
    <row r="2612" spans="1:50" ht="13" x14ac:dyDescent="0.15">
      <c r="A2612" s="55" t="str">
        <f>HYPERLINK("http://reports.ofsted.gov.uk/inspection-reports/find-inspection-report/provider/CARE/SC069293","Ofsted Social Care Provider Webpage")</f>
        <v>Ofsted Social Care Provider Webpage</v>
      </c>
      <c r="B2612" s="55" t="s">
        <v>4927</v>
      </c>
      <c r="D2612" s="55" t="s">
        <v>373</v>
      </c>
      <c r="E2612" s="74">
        <v>39122</v>
      </c>
      <c r="F2612" s="55" t="s">
        <v>344</v>
      </c>
      <c r="G2612" s="55" t="s">
        <v>360</v>
      </c>
      <c r="H2612" s="55" t="s">
        <v>360</v>
      </c>
      <c r="I2612" s="55" t="s">
        <v>360</v>
      </c>
      <c r="J2612" s="55" t="s">
        <v>360</v>
      </c>
      <c r="K2612" s="55" t="s">
        <v>360</v>
      </c>
      <c r="L2612" s="55" t="s">
        <v>360</v>
      </c>
      <c r="M2612" s="55" t="s">
        <v>378</v>
      </c>
      <c r="N2612" s="55" t="s">
        <v>134</v>
      </c>
      <c r="O2612" s="55" t="s">
        <v>158</v>
      </c>
      <c r="P2612" s="55" t="s">
        <v>912</v>
      </c>
      <c r="Q2612" s="55" t="s">
        <v>350</v>
      </c>
      <c r="R2612" s="85">
        <v>2</v>
      </c>
      <c r="S2612" s="55">
        <v>0</v>
      </c>
      <c r="T2612" s="74" t="s">
        <v>711</v>
      </c>
      <c r="U2612" s="74" t="s">
        <v>351</v>
      </c>
      <c r="V2612" s="74">
        <v>44628</v>
      </c>
      <c r="W2612" s="74">
        <v>44677</v>
      </c>
      <c r="X2612" s="55">
        <v>10185669</v>
      </c>
      <c r="Y2612" s="55" t="s">
        <v>132</v>
      </c>
      <c r="AB2612" s="74" t="s">
        <v>132</v>
      </c>
      <c r="AC2612" s="55" t="s">
        <v>132</v>
      </c>
      <c r="AL2612" s="74"/>
      <c r="AM2612" s="74"/>
    </row>
    <row r="2613" spans="1:50" ht="13" x14ac:dyDescent="0.15">
      <c r="A2613" s="55" t="str">
        <f>HYPERLINK("http://reports.ofsted.gov.uk/inspection-reports/find-inspection-report/provider/CARE/SC069335","Ofsted Social Care Provider Webpage")</f>
        <v>Ofsted Social Care Provider Webpage</v>
      </c>
      <c r="B2613" s="55" t="s">
        <v>4928</v>
      </c>
      <c r="D2613" s="55" t="s">
        <v>389</v>
      </c>
      <c r="E2613" s="74">
        <v>39112</v>
      </c>
      <c r="F2613" s="55" t="s">
        <v>344</v>
      </c>
      <c r="G2613" s="55" t="s">
        <v>4929</v>
      </c>
      <c r="H2613" s="55" t="s">
        <v>4930</v>
      </c>
      <c r="I2613" s="55" t="s">
        <v>4931</v>
      </c>
      <c r="J2613" s="55" t="s">
        <v>236</v>
      </c>
      <c r="L2613" s="55" t="s">
        <v>4932</v>
      </c>
      <c r="M2613" s="55" t="s">
        <v>144</v>
      </c>
      <c r="N2613" s="55" t="s">
        <v>144</v>
      </c>
      <c r="O2613" s="55" t="s">
        <v>236</v>
      </c>
      <c r="P2613" s="55" t="s">
        <v>2088</v>
      </c>
      <c r="Q2613" s="55" t="s">
        <v>350</v>
      </c>
      <c r="S2613" s="55">
        <v>0</v>
      </c>
      <c r="T2613" s="74" t="s">
        <v>4929</v>
      </c>
      <c r="U2613" s="74" t="s">
        <v>351</v>
      </c>
      <c r="V2613" s="74">
        <v>44571</v>
      </c>
      <c r="W2613" s="74">
        <v>44614</v>
      </c>
      <c r="X2613" s="55">
        <v>10183400</v>
      </c>
      <c r="Y2613" s="55" t="s">
        <v>132</v>
      </c>
      <c r="AB2613" s="74" t="s">
        <v>132</v>
      </c>
      <c r="AC2613" s="55" t="s">
        <v>132</v>
      </c>
      <c r="AL2613" s="74"/>
      <c r="AM2613" s="74"/>
      <c r="AW2613" s="74"/>
      <c r="AX2613" s="74"/>
    </row>
    <row r="2614" spans="1:50" ht="13" x14ac:dyDescent="0.15">
      <c r="A2614" s="55" t="str">
        <f>HYPERLINK("http://reports.ofsted.gov.uk/inspection-reports/find-inspection-report/provider/CARE/SC069336","Ofsted Social Care Provider Webpage")</f>
        <v>Ofsted Social Care Provider Webpage</v>
      </c>
      <c r="B2614" s="55" t="s">
        <v>4933</v>
      </c>
      <c r="D2614" s="55" t="s">
        <v>479</v>
      </c>
      <c r="E2614" s="74">
        <v>39157</v>
      </c>
      <c r="F2614" s="55" t="s">
        <v>344</v>
      </c>
      <c r="G2614" s="55" t="s">
        <v>360</v>
      </c>
      <c r="H2614" s="55" t="s">
        <v>360</v>
      </c>
      <c r="I2614" s="55" t="s">
        <v>360</v>
      </c>
      <c r="J2614" s="55" t="s">
        <v>360</v>
      </c>
      <c r="K2614" s="55" t="s">
        <v>360</v>
      </c>
      <c r="L2614" s="55" t="s">
        <v>360</v>
      </c>
      <c r="M2614" s="55" t="s">
        <v>150</v>
      </c>
      <c r="N2614" s="55" t="s">
        <v>150</v>
      </c>
      <c r="O2614" s="55" t="s">
        <v>283</v>
      </c>
      <c r="P2614" s="55" t="s">
        <v>1333</v>
      </c>
      <c r="Q2614" s="55" t="s">
        <v>362</v>
      </c>
      <c r="R2614" s="85">
        <v>67</v>
      </c>
      <c r="S2614" s="55">
        <v>0</v>
      </c>
      <c r="T2614" s="74" t="s">
        <v>4934</v>
      </c>
      <c r="U2614" s="74" t="s">
        <v>351</v>
      </c>
      <c r="V2614" s="74">
        <v>44390</v>
      </c>
      <c r="W2614" s="74">
        <v>44441</v>
      </c>
      <c r="X2614" s="55">
        <v>10186772</v>
      </c>
      <c r="Y2614" s="55" t="s">
        <v>132</v>
      </c>
      <c r="AB2614" s="74" t="s">
        <v>132</v>
      </c>
      <c r="AC2614" s="55" t="s">
        <v>132</v>
      </c>
      <c r="AL2614" s="74"/>
      <c r="AM2614" s="74"/>
    </row>
    <row r="2615" spans="1:50" ht="13" x14ac:dyDescent="0.15">
      <c r="A2615" s="55" t="str">
        <f>HYPERLINK("http://reports.ofsted.gov.uk/inspection-reports/find-inspection-report/provider/CARE/SC069455","Ofsted Social Care Provider Webpage")</f>
        <v>Ofsted Social Care Provider Webpage</v>
      </c>
      <c r="B2615" s="55" t="s">
        <v>4935</v>
      </c>
      <c r="D2615" s="55" t="s">
        <v>389</v>
      </c>
      <c r="E2615" s="74">
        <v>39128</v>
      </c>
      <c r="F2615" s="55" t="s">
        <v>344</v>
      </c>
      <c r="G2615" s="55" t="s">
        <v>4936</v>
      </c>
      <c r="H2615" s="55" t="s">
        <v>4937</v>
      </c>
      <c r="I2615" s="55" t="s">
        <v>4938</v>
      </c>
      <c r="J2615" s="55" t="s">
        <v>4371</v>
      </c>
      <c r="K2615" s="55" t="s">
        <v>196</v>
      </c>
      <c r="L2615" s="55" t="s">
        <v>4939</v>
      </c>
      <c r="M2615" s="55" t="s">
        <v>138</v>
      </c>
      <c r="N2615" s="55" t="s">
        <v>138</v>
      </c>
      <c r="O2615" s="55" t="s">
        <v>196</v>
      </c>
      <c r="P2615" s="55" t="s">
        <v>4371</v>
      </c>
      <c r="Q2615" s="55" t="s">
        <v>362</v>
      </c>
      <c r="S2615" s="55">
        <v>0</v>
      </c>
      <c r="T2615" s="74" t="s">
        <v>432</v>
      </c>
      <c r="U2615" s="74" t="s">
        <v>351</v>
      </c>
      <c r="V2615" s="74">
        <v>44389</v>
      </c>
      <c r="W2615" s="74">
        <v>44420</v>
      </c>
      <c r="X2615" s="55">
        <v>10183348</v>
      </c>
      <c r="Y2615" s="55" t="s">
        <v>132</v>
      </c>
      <c r="AB2615" s="74" t="s">
        <v>132</v>
      </c>
      <c r="AC2615" s="55" t="s">
        <v>130</v>
      </c>
      <c r="AL2615" s="74"/>
      <c r="AM2615" s="74"/>
      <c r="AW2615" s="74"/>
      <c r="AX2615" s="74"/>
    </row>
    <row r="2616" spans="1:50" ht="13" x14ac:dyDescent="0.15">
      <c r="A2616" s="55" t="str">
        <f>HYPERLINK("http://reports.ofsted.gov.uk/inspection-reports/find-inspection-report/provider/CARE/SC069474","Ofsted Social Care Provider Webpage")</f>
        <v>Ofsted Social Care Provider Webpage</v>
      </c>
      <c r="B2616" s="55" t="s">
        <v>4940</v>
      </c>
      <c r="D2616" s="55" t="s">
        <v>373</v>
      </c>
      <c r="E2616" s="74">
        <v>39153</v>
      </c>
      <c r="F2616" s="55" t="s">
        <v>344</v>
      </c>
      <c r="G2616" s="55" t="s">
        <v>360</v>
      </c>
      <c r="H2616" s="55" t="s">
        <v>360</v>
      </c>
      <c r="I2616" s="55" t="s">
        <v>360</v>
      </c>
      <c r="J2616" s="55" t="s">
        <v>360</v>
      </c>
      <c r="K2616" s="55" t="s">
        <v>360</v>
      </c>
      <c r="L2616" s="55" t="s">
        <v>360</v>
      </c>
      <c r="M2616" s="55" t="s">
        <v>150</v>
      </c>
      <c r="N2616" s="55" t="s">
        <v>150</v>
      </c>
      <c r="O2616" s="55" t="s">
        <v>181</v>
      </c>
      <c r="P2616" s="55" t="s">
        <v>1142</v>
      </c>
      <c r="Q2616" s="55" t="s">
        <v>350</v>
      </c>
      <c r="R2616" s="85">
        <v>3</v>
      </c>
      <c r="S2616" s="55">
        <v>0</v>
      </c>
      <c r="T2616" s="74" t="s">
        <v>627</v>
      </c>
      <c r="U2616" s="74" t="s">
        <v>351</v>
      </c>
      <c r="V2616" s="74">
        <v>44594</v>
      </c>
      <c r="W2616" s="74">
        <v>44644</v>
      </c>
      <c r="X2616" s="55">
        <v>10185882</v>
      </c>
      <c r="Y2616" s="55" t="s">
        <v>140</v>
      </c>
      <c r="AB2616" s="74" t="s">
        <v>140</v>
      </c>
      <c r="AC2616" s="55" t="s">
        <v>140</v>
      </c>
      <c r="AL2616" s="74"/>
      <c r="AM2616" s="74"/>
      <c r="AW2616" s="74"/>
      <c r="AX2616" s="74"/>
    </row>
    <row r="2617" spans="1:50" ht="13" x14ac:dyDescent="0.15">
      <c r="A2617" s="55" t="str">
        <f>HYPERLINK("http://reports.ofsted.gov.uk/inspection-reports/find-inspection-report/provider/CARE/SC069618","Ofsted Social Care Provider Webpage")</f>
        <v>Ofsted Social Care Provider Webpage</v>
      </c>
      <c r="B2617" s="55" t="s">
        <v>4941</v>
      </c>
      <c r="D2617" s="55" t="s">
        <v>373</v>
      </c>
      <c r="E2617" s="74">
        <v>39153</v>
      </c>
      <c r="F2617" s="55" t="s">
        <v>344</v>
      </c>
      <c r="G2617" s="55" t="s">
        <v>360</v>
      </c>
      <c r="H2617" s="55" t="s">
        <v>360</v>
      </c>
      <c r="I2617" s="55" t="s">
        <v>360</v>
      </c>
      <c r="J2617" s="55" t="s">
        <v>360</v>
      </c>
      <c r="K2617" s="55" t="s">
        <v>360</v>
      </c>
      <c r="L2617" s="55" t="s">
        <v>360</v>
      </c>
      <c r="M2617" s="55" t="s">
        <v>378</v>
      </c>
      <c r="N2617" s="55" t="s">
        <v>134</v>
      </c>
      <c r="O2617" s="55" t="s">
        <v>225</v>
      </c>
      <c r="P2617" s="55" t="s">
        <v>1667</v>
      </c>
      <c r="Q2617" s="55" t="s">
        <v>380</v>
      </c>
      <c r="R2617" s="85">
        <v>1</v>
      </c>
      <c r="S2617" s="55">
        <v>0</v>
      </c>
      <c r="T2617" s="74" t="s">
        <v>1668</v>
      </c>
      <c r="U2617" s="74" t="s">
        <v>351</v>
      </c>
      <c r="V2617" s="74">
        <v>44378</v>
      </c>
      <c r="W2617" s="74">
        <v>44427</v>
      </c>
      <c r="X2617" s="55">
        <v>10185006</v>
      </c>
      <c r="Y2617" s="55" t="s">
        <v>146</v>
      </c>
      <c r="AB2617" s="74" t="s">
        <v>146</v>
      </c>
      <c r="AC2617" s="55" t="s">
        <v>146</v>
      </c>
      <c r="AL2617" s="74"/>
      <c r="AM2617" s="74"/>
      <c r="AW2617" s="74"/>
      <c r="AX2617" s="74"/>
    </row>
    <row r="2618" spans="1:50" ht="13" x14ac:dyDescent="0.15">
      <c r="A2618" s="55" t="str">
        <f>HYPERLINK("http://reports.ofsted.gov.uk/inspection-reports/find-inspection-report/provider/CARE/SC069618","Ofsted Social Care Provider Webpage")</f>
        <v>Ofsted Social Care Provider Webpage</v>
      </c>
      <c r="B2618" s="55" t="s">
        <v>4941</v>
      </c>
      <c r="D2618" s="55" t="s">
        <v>373</v>
      </c>
      <c r="E2618" s="74">
        <v>39153</v>
      </c>
      <c r="F2618" s="55" t="s">
        <v>344</v>
      </c>
      <c r="G2618" s="55" t="s">
        <v>360</v>
      </c>
      <c r="H2618" s="55" t="s">
        <v>360</v>
      </c>
      <c r="I2618" s="55" t="s">
        <v>360</v>
      </c>
      <c r="J2618" s="55" t="s">
        <v>360</v>
      </c>
      <c r="K2618" s="55" t="s">
        <v>360</v>
      </c>
      <c r="L2618" s="55" t="s">
        <v>360</v>
      </c>
      <c r="M2618" s="55" t="s">
        <v>378</v>
      </c>
      <c r="N2618" s="55" t="s">
        <v>134</v>
      </c>
      <c r="O2618" s="55" t="s">
        <v>225</v>
      </c>
      <c r="P2618" s="55" t="s">
        <v>1667</v>
      </c>
      <c r="Q2618" s="55" t="s">
        <v>380</v>
      </c>
      <c r="R2618" s="85">
        <v>1</v>
      </c>
      <c r="S2618" s="55">
        <v>0</v>
      </c>
      <c r="T2618" s="74" t="s">
        <v>1668</v>
      </c>
      <c r="U2618" s="74" t="s">
        <v>2053</v>
      </c>
      <c r="V2618" s="74">
        <v>44419</v>
      </c>
      <c r="W2618" s="74">
        <v>44461</v>
      </c>
      <c r="X2618" s="55">
        <v>10201568</v>
      </c>
      <c r="AL2618" s="74"/>
      <c r="AM2618" s="74"/>
      <c r="AW2618" s="74"/>
      <c r="AX2618" s="74"/>
    </row>
    <row r="2619" spans="1:50" ht="13" x14ac:dyDescent="0.15">
      <c r="A2619" s="55" t="str">
        <f>HYPERLINK("http://reports.ofsted.gov.uk/inspection-reports/find-inspection-report/provider/CARE/SC069618","Ofsted Social Care Provider Webpage")</f>
        <v>Ofsted Social Care Provider Webpage</v>
      </c>
      <c r="B2619" s="55" t="s">
        <v>4941</v>
      </c>
      <c r="D2619" s="55" t="s">
        <v>373</v>
      </c>
      <c r="E2619" s="74">
        <v>39153</v>
      </c>
      <c r="F2619" s="55" t="s">
        <v>344</v>
      </c>
      <c r="G2619" s="55" t="s">
        <v>360</v>
      </c>
      <c r="H2619" s="55" t="s">
        <v>360</v>
      </c>
      <c r="I2619" s="55" t="s">
        <v>360</v>
      </c>
      <c r="J2619" s="55" t="s">
        <v>360</v>
      </c>
      <c r="K2619" s="55" t="s">
        <v>360</v>
      </c>
      <c r="L2619" s="55" t="s">
        <v>360</v>
      </c>
      <c r="M2619" s="55" t="s">
        <v>378</v>
      </c>
      <c r="N2619" s="55" t="s">
        <v>134</v>
      </c>
      <c r="O2619" s="55" t="s">
        <v>225</v>
      </c>
      <c r="P2619" s="55" t="s">
        <v>1667</v>
      </c>
      <c r="Q2619" s="55" t="s">
        <v>380</v>
      </c>
      <c r="R2619" s="85">
        <v>1</v>
      </c>
      <c r="S2619" s="55">
        <v>0</v>
      </c>
      <c r="T2619" s="74" t="s">
        <v>1668</v>
      </c>
      <c r="U2619" s="74" t="s">
        <v>351</v>
      </c>
      <c r="V2619" s="74">
        <v>44489</v>
      </c>
      <c r="W2619" s="74">
        <v>44537</v>
      </c>
      <c r="X2619" s="55">
        <v>10204755</v>
      </c>
      <c r="Y2619" s="55" t="s">
        <v>130</v>
      </c>
      <c r="AB2619" s="74" t="s">
        <v>130</v>
      </c>
      <c r="AC2619" s="55" t="s">
        <v>130</v>
      </c>
      <c r="AL2619" s="74"/>
      <c r="AM2619" s="74"/>
      <c r="AW2619" s="74"/>
      <c r="AX2619" s="74"/>
    </row>
    <row r="2620" spans="1:50" ht="13" x14ac:dyDescent="0.15">
      <c r="A2620" s="55" t="str">
        <f>HYPERLINK("http://reports.ofsted.gov.uk/inspection-reports/find-inspection-report/provider/CARE/SC355755","Ofsted Social Care Provider Webpage")</f>
        <v>Ofsted Social Care Provider Webpage</v>
      </c>
      <c r="B2620" s="55" t="s">
        <v>4942</v>
      </c>
      <c r="D2620" s="55" t="s">
        <v>373</v>
      </c>
      <c r="E2620" s="74">
        <v>39247</v>
      </c>
      <c r="F2620" s="55" t="s">
        <v>344</v>
      </c>
      <c r="G2620" s="55" t="s">
        <v>360</v>
      </c>
      <c r="H2620" s="55" t="s">
        <v>360</v>
      </c>
      <c r="I2620" s="55" t="s">
        <v>360</v>
      </c>
      <c r="J2620" s="55" t="s">
        <v>360</v>
      </c>
      <c r="K2620" s="55" t="s">
        <v>360</v>
      </c>
      <c r="L2620" s="55" t="s">
        <v>360</v>
      </c>
      <c r="M2620" s="55" t="s">
        <v>378</v>
      </c>
      <c r="N2620" s="55" t="s">
        <v>134</v>
      </c>
      <c r="O2620" s="55" t="s">
        <v>277</v>
      </c>
      <c r="P2620" s="55" t="s">
        <v>277</v>
      </c>
      <c r="Q2620" s="55" t="s">
        <v>350</v>
      </c>
      <c r="R2620" s="85">
        <v>2</v>
      </c>
      <c r="S2620" s="55">
        <v>0</v>
      </c>
      <c r="T2620" s="74" t="s">
        <v>2448</v>
      </c>
      <c r="U2620" s="74" t="s">
        <v>351</v>
      </c>
      <c r="V2620" s="74">
        <v>44335</v>
      </c>
      <c r="W2620" s="74">
        <v>44368</v>
      </c>
      <c r="X2620" s="55">
        <v>10185585</v>
      </c>
      <c r="Y2620" s="55" t="s">
        <v>132</v>
      </c>
      <c r="AB2620" s="74" t="s">
        <v>132</v>
      </c>
      <c r="AC2620" s="55" t="s">
        <v>132</v>
      </c>
      <c r="AL2620" s="74"/>
      <c r="AM2620" s="74"/>
    </row>
    <row r="2621" spans="1:50" ht="13" x14ac:dyDescent="0.15">
      <c r="A2621" s="55" t="str">
        <f>HYPERLINK("http://reports.ofsted.gov.uk/inspection-reports/find-inspection-report/provider/CARE/SC355839","Ofsted Social Care Provider Webpage")</f>
        <v>Ofsted Social Care Provider Webpage</v>
      </c>
      <c r="B2621" s="55" t="s">
        <v>4943</v>
      </c>
      <c r="D2621" s="55" t="s">
        <v>373</v>
      </c>
      <c r="E2621" s="74">
        <v>39265</v>
      </c>
      <c r="F2621" s="55" t="s">
        <v>344</v>
      </c>
      <c r="G2621" s="55" t="s">
        <v>360</v>
      </c>
      <c r="H2621" s="55" t="s">
        <v>360</v>
      </c>
      <c r="I2621" s="55" t="s">
        <v>360</v>
      </c>
      <c r="J2621" s="55" t="s">
        <v>360</v>
      </c>
      <c r="K2621" s="55" t="s">
        <v>360</v>
      </c>
      <c r="L2621" s="55" t="s">
        <v>360</v>
      </c>
      <c r="M2621" s="55" t="s">
        <v>378</v>
      </c>
      <c r="N2621" s="55" t="s">
        <v>134</v>
      </c>
      <c r="O2621" s="55" t="s">
        <v>133</v>
      </c>
      <c r="P2621" s="55" t="s">
        <v>1804</v>
      </c>
      <c r="Q2621" s="55" t="s">
        <v>350</v>
      </c>
      <c r="R2621" s="85">
        <v>2</v>
      </c>
      <c r="S2621" s="55">
        <v>0</v>
      </c>
      <c r="T2621" s="74" t="s">
        <v>2448</v>
      </c>
      <c r="U2621" s="74" t="s">
        <v>351</v>
      </c>
      <c r="V2621" s="74">
        <v>44544</v>
      </c>
      <c r="W2621" s="74">
        <v>44589</v>
      </c>
      <c r="X2621" s="55">
        <v>10186116</v>
      </c>
      <c r="Y2621" s="55" t="s">
        <v>132</v>
      </c>
      <c r="AB2621" s="74" t="s">
        <v>132</v>
      </c>
      <c r="AC2621" s="55" t="s">
        <v>132</v>
      </c>
      <c r="AL2621" s="74"/>
      <c r="AM2621" s="74"/>
      <c r="AW2621" s="74"/>
      <c r="AX2621" s="74"/>
    </row>
    <row r="2622" spans="1:50" ht="13" x14ac:dyDescent="0.15">
      <c r="A2622" s="55" t="str">
        <f>HYPERLINK("http://reports.ofsted.gov.uk/inspection-reports/find-inspection-report/provider/CARE/SC356318","Ofsted Social Care Provider Webpage")</f>
        <v>Ofsted Social Care Provider Webpage</v>
      </c>
      <c r="B2622" s="55" t="s">
        <v>4944</v>
      </c>
      <c r="D2622" s="55" t="s">
        <v>373</v>
      </c>
      <c r="E2622" s="74">
        <v>39374</v>
      </c>
      <c r="F2622" s="55" t="s">
        <v>344</v>
      </c>
      <c r="G2622" s="55" t="s">
        <v>360</v>
      </c>
      <c r="H2622" s="55" t="s">
        <v>360</v>
      </c>
      <c r="I2622" s="55" t="s">
        <v>360</v>
      </c>
      <c r="J2622" s="55" t="s">
        <v>360</v>
      </c>
      <c r="K2622" s="55" t="s">
        <v>360</v>
      </c>
      <c r="L2622" s="55" t="s">
        <v>360</v>
      </c>
      <c r="M2622" s="55" t="s">
        <v>142</v>
      </c>
      <c r="N2622" s="55" t="s">
        <v>142</v>
      </c>
      <c r="O2622" s="55" t="s">
        <v>265</v>
      </c>
      <c r="P2622" s="55" t="s">
        <v>540</v>
      </c>
      <c r="Q2622" s="55" t="s">
        <v>350</v>
      </c>
      <c r="R2622" s="85">
        <v>2</v>
      </c>
      <c r="S2622" s="55">
        <v>0</v>
      </c>
      <c r="T2622" s="74" t="s">
        <v>1505</v>
      </c>
      <c r="U2622" s="74" t="s">
        <v>351</v>
      </c>
      <c r="V2622" s="74">
        <v>44586</v>
      </c>
      <c r="W2622" s="74">
        <v>44673</v>
      </c>
      <c r="X2622" s="55">
        <v>10186585</v>
      </c>
      <c r="Y2622" s="55" t="s">
        <v>132</v>
      </c>
      <c r="AB2622" s="74" t="s">
        <v>132</v>
      </c>
      <c r="AC2622" s="55" t="s">
        <v>130</v>
      </c>
      <c r="AL2622" s="74"/>
      <c r="AM2622" s="74"/>
      <c r="AW2622" s="74"/>
      <c r="AX2622" s="74"/>
    </row>
    <row r="2623" spans="1:50" ht="13" x14ac:dyDescent="0.15">
      <c r="A2623" s="55" t="str">
        <f>HYPERLINK("http://reports.ofsted.gov.uk/inspection-reports/find-inspection-report/provider/CARE/SC356327","Ofsted Social Care Provider Webpage")</f>
        <v>Ofsted Social Care Provider Webpage</v>
      </c>
      <c r="B2623" s="55" t="s">
        <v>4945</v>
      </c>
      <c r="D2623" s="55" t="s">
        <v>373</v>
      </c>
      <c r="E2623" s="74">
        <v>39266</v>
      </c>
      <c r="F2623" s="55" t="s">
        <v>344</v>
      </c>
      <c r="G2623" s="55" t="s">
        <v>360</v>
      </c>
      <c r="H2623" s="55" t="s">
        <v>360</v>
      </c>
      <c r="I2623" s="55" t="s">
        <v>360</v>
      </c>
      <c r="J2623" s="55" t="s">
        <v>360</v>
      </c>
      <c r="K2623" s="55" t="s">
        <v>360</v>
      </c>
      <c r="L2623" s="55" t="s">
        <v>360</v>
      </c>
      <c r="M2623" s="55" t="s">
        <v>142</v>
      </c>
      <c r="N2623" s="55" t="s">
        <v>142</v>
      </c>
      <c r="O2623" s="55" t="s">
        <v>262</v>
      </c>
      <c r="P2623" s="55" t="s">
        <v>618</v>
      </c>
      <c r="Q2623" s="55" t="s">
        <v>350</v>
      </c>
      <c r="R2623" s="85">
        <v>3</v>
      </c>
      <c r="S2623" s="55">
        <v>0</v>
      </c>
      <c r="T2623" s="74" t="s">
        <v>4819</v>
      </c>
      <c r="U2623" s="74" t="s">
        <v>351</v>
      </c>
      <c r="V2623" s="74">
        <v>44299</v>
      </c>
      <c r="W2623" s="74">
        <v>44336</v>
      </c>
      <c r="X2623" s="55">
        <v>10187672</v>
      </c>
      <c r="Y2623" s="55" t="s">
        <v>132</v>
      </c>
      <c r="AB2623" s="74" t="s">
        <v>132</v>
      </c>
      <c r="AC2623" s="55" t="s">
        <v>130</v>
      </c>
      <c r="AL2623" s="74"/>
      <c r="AM2623" s="74"/>
      <c r="AW2623" s="74"/>
      <c r="AX2623" s="74"/>
    </row>
    <row r="2624" spans="1:50" ht="13" x14ac:dyDescent="0.15">
      <c r="A2624" s="55" t="str">
        <f>HYPERLINK("http://reports.ofsted.gov.uk/inspection-reports/find-inspection-report/provider/CARE/SC356565","Ofsted Social Care Provider Webpage")</f>
        <v>Ofsted Social Care Provider Webpage</v>
      </c>
      <c r="B2624" s="55" t="s">
        <v>4946</v>
      </c>
      <c r="D2624" s="55" t="s">
        <v>373</v>
      </c>
      <c r="E2624" s="74">
        <v>39519</v>
      </c>
      <c r="F2624" s="55" t="s">
        <v>344</v>
      </c>
      <c r="G2624" s="55" t="s">
        <v>360</v>
      </c>
      <c r="H2624" s="55" t="s">
        <v>360</v>
      </c>
      <c r="I2624" s="55" t="s">
        <v>360</v>
      </c>
      <c r="J2624" s="55" t="s">
        <v>360</v>
      </c>
      <c r="K2624" s="55" t="s">
        <v>360</v>
      </c>
      <c r="L2624" s="55" t="s">
        <v>360</v>
      </c>
      <c r="M2624" s="55" t="s">
        <v>142</v>
      </c>
      <c r="N2624" s="55" t="s">
        <v>142</v>
      </c>
      <c r="O2624" s="55" t="s">
        <v>292</v>
      </c>
      <c r="P2624" s="55" t="s">
        <v>1052</v>
      </c>
      <c r="Q2624" s="55" t="s">
        <v>350</v>
      </c>
      <c r="R2624" s="85">
        <v>2</v>
      </c>
      <c r="S2624" s="55">
        <v>0</v>
      </c>
      <c r="T2624" s="74" t="s">
        <v>4947</v>
      </c>
      <c r="U2624" s="74" t="s">
        <v>351</v>
      </c>
      <c r="V2624" s="74">
        <v>44629</v>
      </c>
      <c r="W2624" s="74">
        <v>44670</v>
      </c>
      <c r="X2624" s="55">
        <v>10185625</v>
      </c>
      <c r="Y2624" s="55" t="s">
        <v>132</v>
      </c>
      <c r="AB2624" s="74" t="s">
        <v>132</v>
      </c>
      <c r="AC2624" s="55" t="s">
        <v>132</v>
      </c>
      <c r="AL2624" s="74"/>
      <c r="AM2624" s="74"/>
    </row>
    <row r="2625" spans="1:50" ht="13" x14ac:dyDescent="0.15">
      <c r="A2625" s="55" t="str">
        <f>HYPERLINK("http://reports.ofsted.gov.uk/inspection-reports/find-inspection-report/provider/CARE/SC356565","Ofsted Social Care Provider Webpage")</f>
        <v>Ofsted Social Care Provider Webpage</v>
      </c>
      <c r="B2625" s="55" t="s">
        <v>4946</v>
      </c>
      <c r="D2625" s="55" t="s">
        <v>373</v>
      </c>
      <c r="E2625" s="74">
        <v>39519</v>
      </c>
      <c r="F2625" s="55" t="s">
        <v>344</v>
      </c>
      <c r="G2625" s="55" t="s">
        <v>360</v>
      </c>
      <c r="H2625" s="55" t="s">
        <v>360</v>
      </c>
      <c r="I2625" s="55" t="s">
        <v>360</v>
      </c>
      <c r="J2625" s="55" t="s">
        <v>360</v>
      </c>
      <c r="K2625" s="55" t="s">
        <v>360</v>
      </c>
      <c r="L2625" s="55" t="s">
        <v>360</v>
      </c>
      <c r="M2625" s="55" t="s">
        <v>142</v>
      </c>
      <c r="N2625" s="55" t="s">
        <v>142</v>
      </c>
      <c r="O2625" s="55" t="s">
        <v>292</v>
      </c>
      <c r="P2625" s="55" t="s">
        <v>1052</v>
      </c>
      <c r="Q2625" s="55" t="s">
        <v>350</v>
      </c>
      <c r="R2625" s="85">
        <v>2</v>
      </c>
      <c r="S2625" s="55">
        <v>0</v>
      </c>
      <c r="T2625" s="74" t="s">
        <v>4947</v>
      </c>
      <c r="U2625" s="74" t="s">
        <v>2053</v>
      </c>
      <c r="V2625" s="74">
        <v>44294</v>
      </c>
      <c r="W2625" s="74">
        <v>44334</v>
      </c>
      <c r="X2625" s="55">
        <v>10188802</v>
      </c>
      <c r="AL2625" s="74"/>
      <c r="AM2625" s="74"/>
      <c r="AW2625" s="74"/>
      <c r="AX2625" s="74"/>
    </row>
    <row r="2626" spans="1:50" ht="13" x14ac:dyDescent="0.15">
      <c r="A2626" s="55" t="str">
        <f>HYPERLINK("http://reports.ofsted.gov.uk/inspection-reports/find-inspection-report/provider/CARE/SC356604","Ofsted Social Care Provider Webpage")</f>
        <v>Ofsted Social Care Provider Webpage</v>
      </c>
      <c r="B2626" s="55" t="s">
        <v>4948</v>
      </c>
      <c r="D2626" s="55" t="s">
        <v>373</v>
      </c>
      <c r="E2626" s="74">
        <v>39329</v>
      </c>
      <c r="F2626" s="55" t="s">
        <v>344</v>
      </c>
      <c r="G2626" s="55" t="s">
        <v>360</v>
      </c>
      <c r="H2626" s="55" t="s">
        <v>360</v>
      </c>
      <c r="I2626" s="55" t="s">
        <v>360</v>
      </c>
      <c r="J2626" s="55" t="s">
        <v>360</v>
      </c>
      <c r="K2626" s="55" t="s">
        <v>360</v>
      </c>
      <c r="L2626" s="55" t="s">
        <v>360</v>
      </c>
      <c r="M2626" s="55" t="s">
        <v>378</v>
      </c>
      <c r="N2626" s="55" t="s">
        <v>134</v>
      </c>
      <c r="O2626" s="55" t="s">
        <v>133</v>
      </c>
      <c r="P2626" s="55" t="s">
        <v>2789</v>
      </c>
      <c r="Q2626" s="55" t="s">
        <v>350</v>
      </c>
      <c r="R2626" s="85">
        <v>4</v>
      </c>
      <c r="S2626" s="55">
        <v>0</v>
      </c>
      <c r="T2626" s="74" t="s">
        <v>1251</v>
      </c>
      <c r="U2626" s="74" t="s">
        <v>351</v>
      </c>
      <c r="V2626" s="74">
        <v>44594</v>
      </c>
      <c r="W2626" s="74">
        <v>44636</v>
      </c>
      <c r="X2626" s="55">
        <v>10185113</v>
      </c>
      <c r="Y2626" s="55" t="s">
        <v>140</v>
      </c>
      <c r="AB2626" s="74" t="s">
        <v>140</v>
      </c>
      <c r="AC2626" s="55" t="s">
        <v>140</v>
      </c>
      <c r="AL2626" s="74"/>
      <c r="AM2626" s="74"/>
      <c r="AW2626" s="74"/>
      <c r="AX2626" s="74"/>
    </row>
    <row r="2627" spans="1:50" ht="13" x14ac:dyDescent="0.15">
      <c r="A2627" s="55" t="str">
        <f>HYPERLINK("http://reports.ofsted.gov.uk/inspection-reports/find-inspection-report/provider/CARE/SC356817","Ofsted Social Care Provider Webpage")</f>
        <v>Ofsted Social Care Provider Webpage</v>
      </c>
      <c r="B2627" s="55" t="s">
        <v>4949</v>
      </c>
      <c r="D2627" s="55" t="s">
        <v>373</v>
      </c>
      <c r="E2627" s="74">
        <v>39272</v>
      </c>
      <c r="F2627" s="55" t="s">
        <v>344</v>
      </c>
      <c r="G2627" s="55" t="s">
        <v>360</v>
      </c>
      <c r="H2627" s="55" t="s">
        <v>360</v>
      </c>
      <c r="I2627" s="55" t="s">
        <v>360</v>
      </c>
      <c r="J2627" s="55" t="s">
        <v>360</v>
      </c>
      <c r="K2627" s="55" t="s">
        <v>360</v>
      </c>
      <c r="L2627" s="55" t="s">
        <v>360</v>
      </c>
      <c r="M2627" s="55" t="s">
        <v>144</v>
      </c>
      <c r="N2627" s="55" t="s">
        <v>144</v>
      </c>
      <c r="O2627" s="55" t="s">
        <v>236</v>
      </c>
      <c r="P2627" s="55" t="s">
        <v>996</v>
      </c>
      <c r="Q2627" s="55" t="s">
        <v>350</v>
      </c>
      <c r="R2627" s="85">
        <v>4</v>
      </c>
      <c r="S2627" s="55">
        <v>0</v>
      </c>
      <c r="T2627" s="74" t="s">
        <v>4468</v>
      </c>
      <c r="U2627" s="74" t="s">
        <v>351</v>
      </c>
      <c r="V2627" s="74">
        <v>44594</v>
      </c>
      <c r="W2627" s="74">
        <v>44637</v>
      </c>
      <c r="X2627" s="55">
        <v>10185531</v>
      </c>
      <c r="Y2627" s="55" t="s">
        <v>132</v>
      </c>
      <c r="AB2627" s="74" t="s">
        <v>130</v>
      </c>
      <c r="AC2627" s="55" t="s">
        <v>130</v>
      </c>
      <c r="AL2627" s="74"/>
      <c r="AM2627" s="74"/>
    </row>
    <row r="2628" spans="1:50" ht="13" x14ac:dyDescent="0.15">
      <c r="A2628" s="55" t="str">
        <f>HYPERLINK("http://reports.ofsted.gov.uk/inspection-reports/find-inspection-report/provider/CARE/SC356864","Ofsted Social Care Provider Webpage")</f>
        <v>Ofsted Social Care Provider Webpage</v>
      </c>
      <c r="B2628" s="55" t="s">
        <v>4950</v>
      </c>
      <c r="D2628" s="55" t="s">
        <v>373</v>
      </c>
      <c r="E2628" s="74">
        <v>39168</v>
      </c>
      <c r="F2628" s="55" t="s">
        <v>344</v>
      </c>
      <c r="G2628" s="55" t="s">
        <v>360</v>
      </c>
      <c r="H2628" s="55" t="s">
        <v>360</v>
      </c>
      <c r="I2628" s="55" t="s">
        <v>360</v>
      </c>
      <c r="J2628" s="55" t="s">
        <v>360</v>
      </c>
      <c r="K2628" s="55" t="s">
        <v>360</v>
      </c>
      <c r="L2628" s="55" t="s">
        <v>360</v>
      </c>
      <c r="M2628" s="55" t="s">
        <v>144</v>
      </c>
      <c r="N2628" s="55" t="s">
        <v>144</v>
      </c>
      <c r="O2628" s="55" t="s">
        <v>157</v>
      </c>
      <c r="P2628" s="55" t="s">
        <v>1092</v>
      </c>
      <c r="Q2628" s="55" t="s">
        <v>350</v>
      </c>
      <c r="R2628" s="85">
        <v>2</v>
      </c>
      <c r="S2628" s="55">
        <v>0</v>
      </c>
      <c r="T2628" s="74" t="s">
        <v>711</v>
      </c>
      <c r="U2628" s="74" t="s">
        <v>351</v>
      </c>
      <c r="V2628" s="74">
        <v>44586</v>
      </c>
      <c r="W2628" s="74">
        <v>44620</v>
      </c>
      <c r="X2628" s="55">
        <v>10187533</v>
      </c>
      <c r="Y2628" s="55" t="s">
        <v>132</v>
      </c>
      <c r="AB2628" s="74" t="s">
        <v>132</v>
      </c>
      <c r="AC2628" s="55" t="s">
        <v>140</v>
      </c>
      <c r="AL2628" s="74"/>
      <c r="AM2628" s="74"/>
    </row>
    <row r="2629" spans="1:50" ht="13" x14ac:dyDescent="0.15">
      <c r="A2629" s="55" t="str">
        <f>HYPERLINK("http://reports.ofsted.gov.uk/inspection-reports/find-inspection-report/provider/CARE/SC356868","Ofsted Social Care Provider Webpage")</f>
        <v>Ofsted Social Care Provider Webpage</v>
      </c>
      <c r="B2629" s="55" t="s">
        <v>4951</v>
      </c>
      <c r="D2629" s="55" t="s">
        <v>373</v>
      </c>
      <c r="E2629" s="74">
        <v>39309</v>
      </c>
      <c r="F2629" s="55" t="s">
        <v>344</v>
      </c>
      <c r="G2629" s="55" t="s">
        <v>360</v>
      </c>
      <c r="H2629" s="55" t="s">
        <v>360</v>
      </c>
      <c r="I2629" s="55" t="s">
        <v>360</v>
      </c>
      <c r="J2629" s="55" t="s">
        <v>360</v>
      </c>
      <c r="K2629" s="55" t="s">
        <v>360</v>
      </c>
      <c r="L2629" s="55" t="s">
        <v>360</v>
      </c>
      <c r="M2629" s="55" t="s">
        <v>378</v>
      </c>
      <c r="N2629" s="55" t="s">
        <v>134</v>
      </c>
      <c r="O2629" s="55" t="s">
        <v>251</v>
      </c>
      <c r="P2629" s="55" t="s">
        <v>3357</v>
      </c>
      <c r="Q2629" s="55" t="s">
        <v>380</v>
      </c>
      <c r="R2629" s="85">
        <v>5</v>
      </c>
      <c r="S2629" s="55">
        <v>0</v>
      </c>
      <c r="T2629" s="74" t="s">
        <v>3358</v>
      </c>
      <c r="U2629" s="74" t="s">
        <v>6703</v>
      </c>
      <c r="V2629" s="74">
        <v>44608</v>
      </c>
      <c r="W2629" s="74">
        <v>44655</v>
      </c>
      <c r="X2629" s="55">
        <v>10221407</v>
      </c>
      <c r="Y2629" s="55" t="s">
        <v>6706</v>
      </c>
      <c r="AL2629" s="74"/>
      <c r="AM2629" s="74"/>
      <c r="AW2629" s="74"/>
      <c r="AX2629" s="74"/>
    </row>
    <row r="2630" spans="1:50" ht="13" x14ac:dyDescent="0.15">
      <c r="A2630" s="55" t="str">
        <f>HYPERLINK("http://reports.ofsted.gov.uk/inspection-reports/find-inspection-report/provider/CARE/SC356868","Ofsted Social Care Provider Webpage")</f>
        <v>Ofsted Social Care Provider Webpage</v>
      </c>
      <c r="B2630" s="55" t="s">
        <v>4951</v>
      </c>
      <c r="D2630" s="55" t="s">
        <v>373</v>
      </c>
      <c r="E2630" s="74">
        <v>39309</v>
      </c>
      <c r="F2630" s="55" t="s">
        <v>344</v>
      </c>
      <c r="G2630" s="55" t="s">
        <v>360</v>
      </c>
      <c r="H2630" s="55" t="s">
        <v>360</v>
      </c>
      <c r="I2630" s="55" t="s">
        <v>360</v>
      </c>
      <c r="J2630" s="55" t="s">
        <v>360</v>
      </c>
      <c r="K2630" s="55" t="s">
        <v>360</v>
      </c>
      <c r="L2630" s="55" t="s">
        <v>360</v>
      </c>
      <c r="M2630" s="55" t="s">
        <v>378</v>
      </c>
      <c r="N2630" s="55" t="s">
        <v>134</v>
      </c>
      <c r="O2630" s="55" t="s">
        <v>251</v>
      </c>
      <c r="P2630" s="55" t="s">
        <v>3357</v>
      </c>
      <c r="Q2630" s="55" t="s">
        <v>380</v>
      </c>
      <c r="R2630" s="85">
        <v>5</v>
      </c>
      <c r="S2630" s="55">
        <v>0</v>
      </c>
      <c r="T2630" s="74" t="s">
        <v>3358</v>
      </c>
      <c r="U2630" s="74" t="s">
        <v>351</v>
      </c>
      <c r="V2630" s="74">
        <v>44524</v>
      </c>
      <c r="W2630" s="74">
        <v>44575</v>
      </c>
      <c r="X2630" s="55">
        <v>10187068</v>
      </c>
      <c r="Y2630" s="55" t="s">
        <v>130</v>
      </c>
      <c r="AB2630" s="74" t="s">
        <v>130</v>
      </c>
      <c r="AC2630" s="55" t="s">
        <v>130</v>
      </c>
      <c r="AL2630" s="74"/>
      <c r="AM2630" s="74"/>
      <c r="AW2630" s="74"/>
      <c r="AX2630" s="74"/>
    </row>
    <row r="2631" spans="1:50" ht="13" x14ac:dyDescent="0.15">
      <c r="A2631" s="55" t="str">
        <f>HYPERLINK("http://reports.ofsted.gov.uk/inspection-reports/find-inspection-report/provider/CARE/SC356907","Ofsted Social Care Provider Webpage")</f>
        <v>Ofsted Social Care Provider Webpage</v>
      </c>
      <c r="B2631" s="55" t="s">
        <v>4952</v>
      </c>
      <c r="D2631" s="55" t="s">
        <v>373</v>
      </c>
      <c r="E2631" s="74">
        <v>39265</v>
      </c>
      <c r="F2631" s="55" t="s">
        <v>344</v>
      </c>
      <c r="G2631" s="55" t="s">
        <v>360</v>
      </c>
      <c r="H2631" s="55" t="s">
        <v>360</v>
      </c>
      <c r="I2631" s="55" t="s">
        <v>360</v>
      </c>
      <c r="J2631" s="55" t="s">
        <v>360</v>
      </c>
      <c r="K2631" s="55" t="s">
        <v>360</v>
      </c>
      <c r="L2631" s="55" t="s">
        <v>360</v>
      </c>
      <c r="M2631" s="55" t="s">
        <v>144</v>
      </c>
      <c r="N2631" s="55" t="s">
        <v>144</v>
      </c>
      <c r="O2631" s="55" t="s">
        <v>168</v>
      </c>
      <c r="P2631" s="55" t="s">
        <v>913</v>
      </c>
      <c r="Q2631" s="55" t="s">
        <v>350</v>
      </c>
      <c r="R2631" s="85">
        <v>9</v>
      </c>
      <c r="S2631" s="55">
        <v>0</v>
      </c>
      <c r="T2631" s="74" t="s">
        <v>2358</v>
      </c>
      <c r="U2631" s="74" t="s">
        <v>351</v>
      </c>
      <c r="V2631" s="74">
        <v>44566</v>
      </c>
      <c r="W2631" s="74">
        <v>44613</v>
      </c>
      <c r="X2631" s="55">
        <v>10186173</v>
      </c>
      <c r="Y2631" s="55" t="s">
        <v>140</v>
      </c>
      <c r="AB2631" s="74" t="s">
        <v>140</v>
      </c>
      <c r="AC2631" s="55" t="s">
        <v>132</v>
      </c>
      <c r="AL2631" s="74"/>
      <c r="AM2631" s="74"/>
      <c r="AW2631" s="74"/>
      <c r="AX2631" s="74"/>
    </row>
    <row r="2632" spans="1:50" ht="13" x14ac:dyDescent="0.15">
      <c r="A2632" s="55" t="str">
        <f>HYPERLINK("http://reports.ofsted.gov.uk/inspection-reports/find-inspection-report/provider/CARE/SC356929","Ofsted Social Care Provider Webpage")</f>
        <v>Ofsted Social Care Provider Webpage</v>
      </c>
      <c r="B2632" s="55" t="s">
        <v>4953</v>
      </c>
      <c r="D2632" s="55" t="s">
        <v>373</v>
      </c>
      <c r="E2632" s="74">
        <v>39169</v>
      </c>
      <c r="F2632" s="55" t="s">
        <v>344</v>
      </c>
      <c r="G2632" s="55" t="s">
        <v>360</v>
      </c>
      <c r="H2632" s="55" t="s">
        <v>360</v>
      </c>
      <c r="I2632" s="55" t="s">
        <v>360</v>
      </c>
      <c r="J2632" s="55" t="s">
        <v>360</v>
      </c>
      <c r="K2632" s="55" t="s">
        <v>360</v>
      </c>
      <c r="L2632" s="55" t="s">
        <v>360</v>
      </c>
      <c r="M2632" s="55" t="s">
        <v>144</v>
      </c>
      <c r="N2632" s="55" t="s">
        <v>144</v>
      </c>
      <c r="O2632" s="55" t="s">
        <v>207</v>
      </c>
      <c r="P2632" s="55" t="s">
        <v>207</v>
      </c>
      <c r="Q2632" s="55" t="s">
        <v>350</v>
      </c>
      <c r="R2632" s="85">
        <v>3</v>
      </c>
      <c r="S2632" s="55">
        <v>0</v>
      </c>
      <c r="T2632" s="74" t="s">
        <v>2947</v>
      </c>
      <c r="U2632" s="74" t="s">
        <v>2053</v>
      </c>
      <c r="V2632" s="74">
        <v>44413</v>
      </c>
      <c r="W2632" s="74">
        <v>44440</v>
      </c>
      <c r="X2632" s="55">
        <v>10204072</v>
      </c>
      <c r="AL2632" s="74"/>
      <c r="AM2632" s="74"/>
    </row>
    <row r="2633" spans="1:50" ht="13" x14ac:dyDescent="0.15">
      <c r="A2633" s="55" t="str">
        <f>HYPERLINK("http://reports.ofsted.gov.uk/inspection-reports/find-inspection-report/provider/CARE/SC356929","Ofsted Social Care Provider Webpage")</f>
        <v>Ofsted Social Care Provider Webpage</v>
      </c>
      <c r="B2633" s="55" t="s">
        <v>4953</v>
      </c>
      <c r="D2633" s="55" t="s">
        <v>373</v>
      </c>
      <c r="E2633" s="74">
        <v>39169</v>
      </c>
      <c r="F2633" s="55" t="s">
        <v>344</v>
      </c>
      <c r="G2633" s="55" t="s">
        <v>360</v>
      </c>
      <c r="H2633" s="55" t="s">
        <v>360</v>
      </c>
      <c r="I2633" s="55" t="s">
        <v>360</v>
      </c>
      <c r="J2633" s="55" t="s">
        <v>360</v>
      </c>
      <c r="K2633" s="55" t="s">
        <v>360</v>
      </c>
      <c r="L2633" s="55" t="s">
        <v>360</v>
      </c>
      <c r="M2633" s="55" t="s">
        <v>144</v>
      </c>
      <c r="N2633" s="55" t="s">
        <v>144</v>
      </c>
      <c r="O2633" s="55" t="s">
        <v>207</v>
      </c>
      <c r="P2633" s="55" t="s">
        <v>207</v>
      </c>
      <c r="Q2633" s="55" t="s">
        <v>350</v>
      </c>
      <c r="R2633" s="85">
        <v>3</v>
      </c>
      <c r="S2633" s="55">
        <v>0</v>
      </c>
      <c r="T2633" s="74" t="s">
        <v>2947</v>
      </c>
      <c r="U2633" s="74" t="s">
        <v>351</v>
      </c>
      <c r="V2633" s="74">
        <v>44355</v>
      </c>
      <c r="W2633" s="74">
        <v>44392</v>
      </c>
      <c r="X2633" s="55">
        <v>10185591</v>
      </c>
      <c r="Y2633" s="55" t="s">
        <v>146</v>
      </c>
      <c r="AB2633" s="74" t="s">
        <v>146</v>
      </c>
      <c r="AC2633" s="55" t="s">
        <v>146</v>
      </c>
      <c r="AL2633" s="74"/>
      <c r="AM2633" s="74"/>
    </row>
    <row r="2634" spans="1:50" ht="13" x14ac:dyDescent="0.15">
      <c r="A2634" s="55" t="str">
        <f>HYPERLINK("http://reports.ofsted.gov.uk/inspection-reports/find-inspection-report/provider/CARE/SC356929","Ofsted Social Care Provider Webpage")</f>
        <v>Ofsted Social Care Provider Webpage</v>
      </c>
      <c r="B2634" s="55" t="s">
        <v>4953</v>
      </c>
      <c r="D2634" s="55" t="s">
        <v>373</v>
      </c>
      <c r="E2634" s="74">
        <v>39169</v>
      </c>
      <c r="F2634" s="55" t="s">
        <v>344</v>
      </c>
      <c r="G2634" s="55" t="s">
        <v>360</v>
      </c>
      <c r="H2634" s="55" t="s">
        <v>360</v>
      </c>
      <c r="I2634" s="55" t="s">
        <v>360</v>
      </c>
      <c r="J2634" s="55" t="s">
        <v>360</v>
      </c>
      <c r="K2634" s="55" t="s">
        <v>360</v>
      </c>
      <c r="L2634" s="55" t="s">
        <v>360</v>
      </c>
      <c r="M2634" s="55" t="s">
        <v>144</v>
      </c>
      <c r="N2634" s="55" t="s">
        <v>144</v>
      </c>
      <c r="O2634" s="55" t="s">
        <v>207</v>
      </c>
      <c r="P2634" s="55" t="s">
        <v>207</v>
      </c>
      <c r="Q2634" s="55" t="s">
        <v>350</v>
      </c>
      <c r="R2634" s="85">
        <v>3</v>
      </c>
      <c r="S2634" s="55">
        <v>0</v>
      </c>
      <c r="T2634" s="74" t="s">
        <v>2947</v>
      </c>
      <c r="U2634" s="74" t="s">
        <v>351</v>
      </c>
      <c r="V2634" s="74">
        <v>44468</v>
      </c>
      <c r="W2634" s="74">
        <v>44547</v>
      </c>
      <c r="X2634" s="55">
        <v>10199100</v>
      </c>
      <c r="Y2634" s="55" t="s">
        <v>130</v>
      </c>
      <c r="AB2634" s="74" t="s">
        <v>130</v>
      </c>
      <c r="AC2634" s="55" t="s">
        <v>130</v>
      </c>
      <c r="AL2634" s="74"/>
      <c r="AM2634" s="74"/>
      <c r="AW2634" s="74"/>
      <c r="AX2634" s="74"/>
    </row>
    <row r="2635" spans="1:50" ht="13" x14ac:dyDescent="0.15">
      <c r="A2635" s="55" t="str">
        <f>HYPERLINK("http://reports.ofsted.gov.uk/inspection-reports/find-inspection-report/provider/CARE/SC356963","Ofsted Social Care Provider Webpage")</f>
        <v>Ofsted Social Care Provider Webpage</v>
      </c>
      <c r="B2635" s="55" t="s">
        <v>4954</v>
      </c>
      <c r="D2635" s="55" t="s">
        <v>373</v>
      </c>
      <c r="E2635" s="74">
        <v>39169</v>
      </c>
      <c r="F2635" s="55" t="s">
        <v>344</v>
      </c>
      <c r="G2635" s="55" t="s">
        <v>360</v>
      </c>
      <c r="H2635" s="55" t="s">
        <v>360</v>
      </c>
      <c r="I2635" s="55" t="s">
        <v>360</v>
      </c>
      <c r="J2635" s="55" t="s">
        <v>360</v>
      </c>
      <c r="K2635" s="55" t="s">
        <v>360</v>
      </c>
      <c r="L2635" s="55" t="s">
        <v>360</v>
      </c>
      <c r="M2635" s="55" t="s">
        <v>378</v>
      </c>
      <c r="N2635" s="55" t="s">
        <v>134</v>
      </c>
      <c r="O2635" s="55" t="s">
        <v>206</v>
      </c>
      <c r="P2635" s="55" t="s">
        <v>710</v>
      </c>
      <c r="Q2635" s="55" t="s">
        <v>380</v>
      </c>
      <c r="R2635" s="85">
        <v>6</v>
      </c>
      <c r="S2635" s="55">
        <v>0</v>
      </c>
      <c r="T2635" s="74" t="s">
        <v>3113</v>
      </c>
      <c r="U2635" s="74" t="s">
        <v>6703</v>
      </c>
      <c r="V2635" s="74">
        <v>44504</v>
      </c>
      <c r="W2635" s="74">
        <v>44537</v>
      </c>
      <c r="X2635" s="55">
        <v>10210780</v>
      </c>
      <c r="Y2635" s="55" t="s">
        <v>6705</v>
      </c>
      <c r="AL2635" s="74"/>
      <c r="AM2635" s="74"/>
      <c r="AW2635" s="74"/>
      <c r="AX2635" s="74"/>
    </row>
    <row r="2636" spans="1:50" ht="13" x14ac:dyDescent="0.15">
      <c r="A2636" s="55" t="str">
        <f>HYPERLINK("http://reports.ofsted.gov.uk/inspection-reports/find-inspection-report/provider/CARE/SC356963","Ofsted Social Care Provider Webpage")</f>
        <v>Ofsted Social Care Provider Webpage</v>
      </c>
      <c r="B2636" s="55" t="s">
        <v>4954</v>
      </c>
      <c r="D2636" s="55" t="s">
        <v>373</v>
      </c>
      <c r="E2636" s="74">
        <v>39169</v>
      </c>
      <c r="F2636" s="55" t="s">
        <v>344</v>
      </c>
      <c r="G2636" s="55" t="s">
        <v>360</v>
      </c>
      <c r="H2636" s="55" t="s">
        <v>360</v>
      </c>
      <c r="I2636" s="55" t="s">
        <v>360</v>
      </c>
      <c r="J2636" s="55" t="s">
        <v>360</v>
      </c>
      <c r="K2636" s="55" t="s">
        <v>360</v>
      </c>
      <c r="L2636" s="55" t="s">
        <v>360</v>
      </c>
      <c r="M2636" s="55" t="s">
        <v>378</v>
      </c>
      <c r="N2636" s="55" t="s">
        <v>134</v>
      </c>
      <c r="O2636" s="55" t="s">
        <v>206</v>
      </c>
      <c r="P2636" s="55" t="s">
        <v>710</v>
      </c>
      <c r="Q2636" s="55" t="s">
        <v>380</v>
      </c>
      <c r="R2636" s="85">
        <v>6</v>
      </c>
      <c r="S2636" s="55">
        <v>0</v>
      </c>
      <c r="T2636" s="74" t="s">
        <v>3113</v>
      </c>
      <c r="U2636" s="74" t="s">
        <v>351</v>
      </c>
      <c r="V2636" s="74">
        <v>44417</v>
      </c>
      <c r="W2636" s="74">
        <v>44473</v>
      </c>
      <c r="X2636" s="55">
        <v>10185520</v>
      </c>
      <c r="Y2636" s="55" t="s">
        <v>130</v>
      </c>
      <c r="AB2636" s="74" t="s">
        <v>130</v>
      </c>
      <c r="AC2636" s="55" t="s">
        <v>130</v>
      </c>
      <c r="AL2636" s="74"/>
      <c r="AM2636" s="74"/>
      <c r="AW2636" s="74"/>
      <c r="AX2636" s="74"/>
    </row>
    <row r="2637" spans="1:50" ht="13" x14ac:dyDescent="0.15">
      <c r="A2637" s="55" t="str">
        <f>HYPERLINK("http://reports.ofsted.gov.uk/inspection-reports/find-inspection-report/provider/CARE/SC357077","Ofsted Social Care Provider Webpage")</f>
        <v>Ofsted Social Care Provider Webpage</v>
      </c>
      <c r="B2637" s="55" t="s">
        <v>4955</v>
      </c>
      <c r="D2637" s="55" t="s">
        <v>373</v>
      </c>
      <c r="E2637" s="74">
        <v>39246</v>
      </c>
      <c r="F2637" s="55" t="s">
        <v>344</v>
      </c>
      <c r="G2637" s="55" t="s">
        <v>360</v>
      </c>
      <c r="H2637" s="55" t="s">
        <v>360</v>
      </c>
      <c r="I2637" s="55" t="s">
        <v>360</v>
      </c>
      <c r="J2637" s="55" t="s">
        <v>360</v>
      </c>
      <c r="K2637" s="55" t="s">
        <v>360</v>
      </c>
      <c r="L2637" s="55" t="s">
        <v>360</v>
      </c>
      <c r="M2637" s="55" t="s">
        <v>172</v>
      </c>
      <c r="N2637" s="55" t="s">
        <v>172</v>
      </c>
      <c r="O2637" s="55" t="s">
        <v>234</v>
      </c>
      <c r="P2637" s="55" t="s">
        <v>965</v>
      </c>
      <c r="Q2637" s="55" t="s">
        <v>350</v>
      </c>
      <c r="R2637" s="85">
        <v>4</v>
      </c>
      <c r="S2637" s="55">
        <v>0</v>
      </c>
      <c r="T2637" s="74" t="s">
        <v>1105</v>
      </c>
      <c r="U2637" s="74" t="s">
        <v>351</v>
      </c>
      <c r="V2637" s="74">
        <v>44627</v>
      </c>
      <c r="W2637" s="74">
        <v>44665</v>
      </c>
      <c r="X2637" s="55">
        <v>10185576</v>
      </c>
      <c r="Y2637" s="55" t="s">
        <v>140</v>
      </c>
      <c r="AB2637" s="74" t="s">
        <v>140</v>
      </c>
      <c r="AC2637" s="55" t="s">
        <v>132</v>
      </c>
      <c r="AL2637" s="74"/>
      <c r="AM2637" s="74"/>
    </row>
    <row r="2638" spans="1:50" ht="13" x14ac:dyDescent="0.15">
      <c r="A2638" s="55" t="str">
        <f>HYPERLINK("http://reports.ofsted.gov.uk/inspection-reports/find-inspection-report/provider/CARE/SC357133","Ofsted Social Care Provider Webpage")</f>
        <v>Ofsted Social Care Provider Webpage</v>
      </c>
      <c r="B2638" s="55" t="s">
        <v>4956</v>
      </c>
      <c r="D2638" s="55" t="s">
        <v>373</v>
      </c>
      <c r="E2638" s="74">
        <v>39168</v>
      </c>
      <c r="F2638" s="55" t="s">
        <v>344</v>
      </c>
      <c r="G2638" s="55" t="s">
        <v>360</v>
      </c>
      <c r="H2638" s="55" t="s">
        <v>360</v>
      </c>
      <c r="I2638" s="55" t="s">
        <v>360</v>
      </c>
      <c r="J2638" s="55" t="s">
        <v>360</v>
      </c>
      <c r="K2638" s="55" t="s">
        <v>360</v>
      </c>
      <c r="L2638" s="55" t="s">
        <v>360</v>
      </c>
      <c r="M2638" s="55" t="s">
        <v>144</v>
      </c>
      <c r="N2638" s="55" t="s">
        <v>144</v>
      </c>
      <c r="O2638" s="55" t="s">
        <v>263</v>
      </c>
      <c r="P2638" s="55" t="s">
        <v>1120</v>
      </c>
      <c r="Q2638" s="55" t="s">
        <v>350</v>
      </c>
      <c r="R2638" s="85">
        <v>3</v>
      </c>
      <c r="S2638" s="55">
        <v>0</v>
      </c>
      <c r="T2638" s="74" t="s">
        <v>1107</v>
      </c>
      <c r="U2638" s="74" t="s">
        <v>351</v>
      </c>
      <c r="V2638" s="74">
        <v>44411</v>
      </c>
      <c r="W2638" s="74">
        <v>44446</v>
      </c>
      <c r="X2638" s="55">
        <v>10187181</v>
      </c>
      <c r="Y2638" s="55" t="s">
        <v>132</v>
      </c>
      <c r="AB2638" s="74" t="s">
        <v>132</v>
      </c>
      <c r="AC2638" s="55" t="s">
        <v>132</v>
      </c>
      <c r="AL2638" s="74"/>
      <c r="AM2638" s="74"/>
      <c r="AW2638" s="74"/>
      <c r="AX2638" s="74"/>
    </row>
    <row r="2639" spans="1:50" ht="13" x14ac:dyDescent="0.15">
      <c r="A2639" s="55" t="str">
        <f>HYPERLINK("http://reports.ofsted.gov.uk/inspection-reports/find-inspection-report/provider/CARE/SC357455","Ofsted Social Care Provider Webpage")</f>
        <v>Ofsted Social Care Provider Webpage</v>
      </c>
      <c r="B2639" s="55" t="s">
        <v>4957</v>
      </c>
      <c r="D2639" s="55" t="s">
        <v>373</v>
      </c>
      <c r="E2639" s="74">
        <v>39503</v>
      </c>
      <c r="F2639" s="55" t="s">
        <v>344</v>
      </c>
      <c r="G2639" s="55" t="s">
        <v>360</v>
      </c>
      <c r="H2639" s="55" t="s">
        <v>360</v>
      </c>
      <c r="I2639" s="55" t="s">
        <v>360</v>
      </c>
      <c r="J2639" s="55" t="s">
        <v>360</v>
      </c>
      <c r="K2639" s="55" t="s">
        <v>360</v>
      </c>
      <c r="L2639" s="55" t="s">
        <v>360</v>
      </c>
      <c r="M2639" s="55" t="s">
        <v>144</v>
      </c>
      <c r="N2639" s="55" t="s">
        <v>144</v>
      </c>
      <c r="O2639" s="55" t="s">
        <v>143</v>
      </c>
      <c r="P2639" s="55" t="s">
        <v>650</v>
      </c>
      <c r="Q2639" s="55" t="s">
        <v>350</v>
      </c>
      <c r="R2639" s="85">
        <v>4</v>
      </c>
      <c r="S2639" s="55">
        <v>0</v>
      </c>
      <c r="T2639" s="74" t="s">
        <v>4958</v>
      </c>
      <c r="U2639" s="74" t="s">
        <v>351</v>
      </c>
      <c r="V2639" s="74">
        <v>44460</v>
      </c>
      <c r="W2639" s="74">
        <v>44503</v>
      </c>
      <c r="X2639" s="55">
        <v>10187616</v>
      </c>
      <c r="Y2639" s="55" t="s">
        <v>140</v>
      </c>
      <c r="AB2639" s="74" t="s">
        <v>140</v>
      </c>
      <c r="AC2639" s="55" t="s">
        <v>140</v>
      </c>
      <c r="AL2639" s="74"/>
      <c r="AM2639" s="74"/>
    </row>
    <row r="2640" spans="1:50" ht="13" x14ac:dyDescent="0.15">
      <c r="A2640" s="55" t="str">
        <f>HYPERLINK("http://reports.ofsted.gov.uk/inspection-reports/find-inspection-report/provider/CARE/SC357468","Ofsted Social Care Provider Webpage")</f>
        <v>Ofsted Social Care Provider Webpage</v>
      </c>
      <c r="B2640" s="55" t="s">
        <v>4959</v>
      </c>
      <c r="D2640" s="55" t="s">
        <v>373</v>
      </c>
      <c r="E2640" s="74">
        <v>39314</v>
      </c>
      <c r="F2640" s="55" t="s">
        <v>344</v>
      </c>
      <c r="G2640" s="55" t="s">
        <v>360</v>
      </c>
      <c r="H2640" s="55" t="s">
        <v>360</v>
      </c>
      <c r="I2640" s="55" t="s">
        <v>360</v>
      </c>
      <c r="J2640" s="55" t="s">
        <v>360</v>
      </c>
      <c r="K2640" s="55" t="s">
        <v>360</v>
      </c>
      <c r="L2640" s="55" t="s">
        <v>360</v>
      </c>
      <c r="M2640" s="55" t="s">
        <v>144</v>
      </c>
      <c r="N2640" s="55" t="s">
        <v>144</v>
      </c>
      <c r="O2640" s="55" t="s">
        <v>245</v>
      </c>
      <c r="P2640" s="55" t="s">
        <v>245</v>
      </c>
      <c r="Q2640" s="55" t="s">
        <v>350</v>
      </c>
      <c r="R2640" s="85">
        <v>1</v>
      </c>
      <c r="S2640" s="55">
        <v>0</v>
      </c>
      <c r="T2640" s="74" t="s">
        <v>711</v>
      </c>
      <c r="U2640" s="74" t="s">
        <v>351</v>
      </c>
      <c r="V2640" s="74">
        <v>44340</v>
      </c>
      <c r="W2640" s="74">
        <v>44379</v>
      </c>
      <c r="X2640" s="55">
        <v>10186132</v>
      </c>
      <c r="Y2640" s="55" t="s">
        <v>140</v>
      </c>
      <c r="AB2640" s="74" t="s">
        <v>140</v>
      </c>
      <c r="AC2640" s="55" t="s">
        <v>140</v>
      </c>
      <c r="AL2640" s="74"/>
      <c r="AM2640" s="74"/>
      <c r="AW2640" s="74"/>
      <c r="AX2640" s="74"/>
    </row>
    <row r="2641" spans="1:50" ht="13" x14ac:dyDescent="0.15">
      <c r="A2641" s="55" t="str">
        <f>HYPERLINK("http://reports.ofsted.gov.uk/inspection-reports/find-inspection-report/provider/CARE/SC357652","Ofsted Social Care Provider Webpage")</f>
        <v>Ofsted Social Care Provider Webpage</v>
      </c>
      <c r="B2641" s="55" t="s">
        <v>4960</v>
      </c>
      <c r="D2641" s="55" t="s">
        <v>389</v>
      </c>
      <c r="E2641" s="74">
        <v>39314</v>
      </c>
      <c r="F2641" s="55" t="s">
        <v>344</v>
      </c>
      <c r="G2641" s="55" t="s">
        <v>4961</v>
      </c>
      <c r="H2641" s="55" t="s">
        <v>4961</v>
      </c>
      <c r="I2641" s="55" t="s">
        <v>4962</v>
      </c>
      <c r="J2641" s="55" t="s">
        <v>4963</v>
      </c>
      <c r="K2641" s="55" t="s">
        <v>195</v>
      </c>
      <c r="L2641" s="55" t="s">
        <v>4964</v>
      </c>
      <c r="M2641" s="55" t="s">
        <v>142</v>
      </c>
      <c r="N2641" s="55" t="s">
        <v>142</v>
      </c>
      <c r="O2641" s="55" t="s">
        <v>195</v>
      </c>
      <c r="P2641" s="55" t="s">
        <v>518</v>
      </c>
      <c r="Q2641" s="55" t="s">
        <v>350</v>
      </c>
      <c r="S2641" s="55">
        <v>0</v>
      </c>
      <c r="T2641" s="74" t="s">
        <v>4961</v>
      </c>
      <c r="U2641" s="74" t="s">
        <v>351</v>
      </c>
      <c r="V2641" s="74">
        <v>44592</v>
      </c>
      <c r="W2641" s="74">
        <v>44641</v>
      </c>
      <c r="X2641" s="55">
        <v>10183435</v>
      </c>
      <c r="Y2641" s="55" t="s">
        <v>132</v>
      </c>
      <c r="AB2641" s="74" t="s">
        <v>132</v>
      </c>
      <c r="AC2641" s="55" t="s">
        <v>132</v>
      </c>
      <c r="AL2641" s="74"/>
      <c r="AM2641" s="74"/>
      <c r="AW2641" s="74"/>
      <c r="AX2641" s="74"/>
    </row>
    <row r="2642" spans="1:50" ht="13" x14ac:dyDescent="0.15">
      <c r="A2642" s="55" t="str">
        <f>HYPERLINK("http://reports.ofsted.gov.uk/inspection-reports/find-inspection-report/provider/CARE/SC357979","Ofsted Social Care Provider Webpage")</f>
        <v>Ofsted Social Care Provider Webpage</v>
      </c>
      <c r="B2642" s="55" t="s">
        <v>4965</v>
      </c>
      <c r="D2642" s="55" t="s">
        <v>373</v>
      </c>
      <c r="E2642" s="74">
        <v>39283</v>
      </c>
      <c r="F2642" s="55" t="s">
        <v>344</v>
      </c>
      <c r="G2642" s="55" t="s">
        <v>360</v>
      </c>
      <c r="H2642" s="55" t="s">
        <v>360</v>
      </c>
      <c r="I2642" s="55" t="s">
        <v>360</v>
      </c>
      <c r="J2642" s="55" t="s">
        <v>360</v>
      </c>
      <c r="K2642" s="55" t="s">
        <v>360</v>
      </c>
      <c r="L2642" s="55" t="s">
        <v>360</v>
      </c>
      <c r="M2642" s="55" t="s">
        <v>144</v>
      </c>
      <c r="N2642" s="55" t="s">
        <v>144</v>
      </c>
      <c r="O2642" s="55" t="s">
        <v>271</v>
      </c>
      <c r="P2642" s="55" t="s">
        <v>870</v>
      </c>
      <c r="Q2642" s="55" t="s">
        <v>380</v>
      </c>
      <c r="R2642" s="85">
        <v>3</v>
      </c>
      <c r="S2642" s="55">
        <v>0</v>
      </c>
      <c r="T2642" s="74" t="s">
        <v>1121</v>
      </c>
      <c r="U2642" s="74" t="s">
        <v>351</v>
      </c>
      <c r="V2642" s="74">
        <v>44600</v>
      </c>
      <c r="W2642" s="74">
        <v>44643</v>
      </c>
      <c r="X2642" s="55">
        <v>10185499</v>
      </c>
      <c r="Y2642" s="55" t="s">
        <v>130</v>
      </c>
      <c r="AB2642" s="74" t="s">
        <v>130</v>
      </c>
      <c r="AC2642" s="55" t="s">
        <v>146</v>
      </c>
      <c r="AL2642" s="74"/>
      <c r="AM2642" s="74"/>
      <c r="AW2642" s="74"/>
      <c r="AX2642" s="74"/>
    </row>
    <row r="2643" spans="1:50" ht="13" x14ac:dyDescent="0.15">
      <c r="A2643" s="55" t="str">
        <f>HYPERLINK("http://reports.ofsted.gov.uk/inspection-reports/find-inspection-report/provider/CARE/SC357981","Ofsted Social Care Provider Webpage")</f>
        <v>Ofsted Social Care Provider Webpage</v>
      </c>
      <c r="B2643" s="55" t="s">
        <v>4966</v>
      </c>
      <c r="D2643" s="55" t="s">
        <v>373</v>
      </c>
      <c r="E2643" s="74">
        <v>39328</v>
      </c>
      <c r="F2643" s="55" t="s">
        <v>344</v>
      </c>
      <c r="G2643" s="55" t="s">
        <v>360</v>
      </c>
      <c r="H2643" s="55" t="s">
        <v>360</v>
      </c>
      <c r="I2643" s="55" t="s">
        <v>360</v>
      </c>
      <c r="J2643" s="55" t="s">
        <v>360</v>
      </c>
      <c r="K2643" s="55" t="s">
        <v>360</v>
      </c>
      <c r="L2643" s="55" t="s">
        <v>360</v>
      </c>
      <c r="M2643" s="55" t="s">
        <v>150</v>
      </c>
      <c r="N2643" s="55" t="s">
        <v>150</v>
      </c>
      <c r="O2643" s="55" t="s">
        <v>203</v>
      </c>
      <c r="P2643" s="55" t="s">
        <v>800</v>
      </c>
      <c r="Q2643" s="55" t="s">
        <v>350</v>
      </c>
      <c r="R2643" s="85">
        <v>4</v>
      </c>
      <c r="S2643" s="55">
        <v>0</v>
      </c>
      <c r="T2643" s="74" t="s">
        <v>564</v>
      </c>
      <c r="U2643" s="74" t="s">
        <v>351</v>
      </c>
      <c r="V2643" s="74">
        <v>44571</v>
      </c>
      <c r="W2643" s="74">
        <v>44616</v>
      </c>
      <c r="X2643" s="55">
        <v>10186596</v>
      </c>
      <c r="Y2643" s="55" t="s">
        <v>132</v>
      </c>
      <c r="AB2643" s="74" t="s">
        <v>130</v>
      </c>
      <c r="AC2643" s="55" t="s">
        <v>130</v>
      </c>
      <c r="AL2643" s="74"/>
      <c r="AM2643" s="74"/>
      <c r="AW2643" s="74"/>
      <c r="AX2643" s="74"/>
    </row>
    <row r="2644" spans="1:50" ht="13" x14ac:dyDescent="0.15">
      <c r="A2644" s="55" t="str">
        <f>HYPERLINK("http://reports.ofsted.gov.uk/inspection-reports/find-inspection-report/provider/CARE/SC358046","Ofsted Social Care Provider Webpage")</f>
        <v>Ofsted Social Care Provider Webpage</v>
      </c>
      <c r="B2644" s="55" t="s">
        <v>4967</v>
      </c>
      <c r="D2644" s="55" t="s">
        <v>479</v>
      </c>
      <c r="E2644" s="74">
        <v>39955</v>
      </c>
      <c r="F2644" s="55" t="s">
        <v>344</v>
      </c>
      <c r="G2644" s="55" t="s">
        <v>360</v>
      </c>
      <c r="H2644" s="55" t="s">
        <v>360</v>
      </c>
      <c r="I2644" s="55" t="s">
        <v>360</v>
      </c>
      <c r="J2644" s="55" t="s">
        <v>360</v>
      </c>
      <c r="K2644" s="55" t="s">
        <v>360</v>
      </c>
      <c r="L2644" s="55" t="s">
        <v>360</v>
      </c>
      <c r="M2644" s="55" t="s">
        <v>172</v>
      </c>
      <c r="N2644" s="55" t="s">
        <v>172</v>
      </c>
      <c r="O2644" s="55" t="s">
        <v>173</v>
      </c>
      <c r="P2644" s="55" t="s">
        <v>1258</v>
      </c>
      <c r="Q2644" s="55" t="s">
        <v>350</v>
      </c>
      <c r="R2644" s="85">
        <v>32</v>
      </c>
      <c r="S2644" s="55">
        <v>0</v>
      </c>
      <c r="T2644" s="74" t="s">
        <v>4968</v>
      </c>
      <c r="U2644" s="74" t="s">
        <v>351</v>
      </c>
      <c r="V2644" s="74">
        <v>44383</v>
      </c>
      <c r="W2644" s="74">
        <v>44406</v>
      </c>
      <c r="X2644" s="55">
        <v>10185054</v>
      </c>
      <c r="Y2644" s="55" t="s">
        <v>132</v>
      </c>
      <c r="AB2644" s="74" t="s">
        <v>132</v>
      </c>
      <c r="AC2644" s="55" t="s">
        <v>132</v>
      </c>
      <c r="AL2644" s="74"/>
      <c r="AM2644" s="74"/>
    </row>
    <row r="2645" spans="1:50" ht="13" x14ac:dyDescent="0.15">
      <c r="A2645" s="55" t="str">
        <f>HYPERLINK("http://reports.ofsted.gov.uk/inspection-reports/find-inspection-report/provider/CARE/SC358349","Ofsted Social Care Provider Webpage")</f>
        <v>Ofsted Social Care Provider Webpage</v>
      </c>
      <c r="B2645" s="55" t="s">
        <v>4969</v>
      </c>
      <c r="D2645" s="55" t="s">
        <v>373</v>
      </c>
      <c r="E2645" s="74">
        <v>39167</v>
      </c>
      <c r="F2645" s="55" t="s">
        <v>344</v>
      </c>
      <c r="G2645" s="55" t="s">
        <v>360</v>
      </c>
      <c r="H2645" s="55" t="s">
        <v>360</v>
      </c>
      <c r="I2645" s="55" t="s">
        <v>360</v>
      </c>
      <c r="J2645" s="55" t="s">
        <v>360</v>
      </c>
      <c r="K2645" s="55" t="s">
        <v>360</v>
      </c>
      <c r="L2645" s="55" t="s">
        <v>360</v>
      </c>
      <c r="M2645" s="55" t="s">
        <v>378</v>
      </c>
      <c r="N2645" s="55" t="s">
        <v>134</v>
      </c>
      <c r="O2645" s="55" t="s">
        <v>158</v>
      </c>
      <c r="P2645" s="55" t="s">
        <v>912</v>
      </c>
      <c r="Q2645" s="55" t="s">
        <v>350</v>
      </c>
      <c r="R2645" s="85">
        <v>1</v>
      </c>
      <c r="S2645" s="55">
        <v>0</v>
      </c>
      <c r="T2645" s="74" t="s">
        <v>711</v>
      </c>
      <c r="U2645" s="74" t="s">
        <v>351</v>
      </c>
      <c r="V2645" s="74">
        <v>44440</v>
      </c>
      <c r="W2645" s="74">
        <v>44469</v>
      </c>
      <c r="X2645" s="55">
        <v>10186933</v>
      </c>
      <c r="Y2645" s="55" t="s">
        <v>132</v>
      </c>
      <c r="AB2645" s="74" t="s">
        <v>132</v>
      </c>
      <c r="AC2645" s="55" t="s">
        <v>130</v>
      </c>
      <c r="AL2645" s="74"/>
      <c r="AM2645" s="74"/>
      <c r="AW2645" s="74"/>
      <c r="AX2645" s="74"/>
    </row>
    <row r="2646" spans="1:50" ht="13" x14ac:dyDescent="0.15">
      <c r="A2646" s="55" t="str">
        <f>HYPERLINK("http://reports.ofsted.gov.uk/inspection-reports/find-inspection-report/provider/CARE/SC358638","Ofsted Social Care Provider Webpage")</f>
        <v>Ofsted Social Care Provider Webpage</v>
      </c>
      <c r="B2646" s="55" t="s">
        <v>4970</v>
      </c>
      <c r="D2646" s="55" t="s">
        <v>373</v>
      </c>
      <c r="E2646" s="74">
        <v>39267</v>
      </c>
      <c r="F2646" s="55" t="s">
        <v>344</v>
      </c>
      <c r="G2646" s="55" t="s">
        <v>360</v>
      </c>
      <c r="H2646" s="55" t="s">
        <v>360</v>
      </c>
      <c r="I2646" s="55" t="s">
        <v>360</v>
      </c>
      <c r="J2646" s="55" t="s">
        <v>360</v>
      </c>
      <c r="K2646" s="55" t="s">
        <v>360</v>
      </c>
      <c r="L2646" s="55" t="s">
        <v>360</v>
      </c>
      <c r="M2646" s="55" t="s">
        <v>142</v>
      </c>
      <c r="N2646" s="55" t="s">
        <v>142</v>
      </c>
      <c r="O2646" s="55" t="s">
        <v>265</v>
      </c>
      <c r="P2646" s="55" t="s">
        <v>1066</v>
      </c>
      <c r="Q2646" s="55" t="s">
        <v>350</v>
      </c>
      <c r="R2646" s="85">
        <v>1</v>
      </c>
      <c r="S2646" s="55">
        <v>0</v>
      </c>
      <c r="T2646" s="74" t="s">
        <v>1446</v>
      </c>
      <c r="U2646" s="74" t="s">
        <v>351</v>
      </c>
      <c r="V2646" s="74">
        <v>44369</v>
      </c>
      <c r="W2646" s="74">
        <v>44406</v>
      </c>
      <c r="X2646" s="55">
        <v>10187000</v>
      </c>
      <c r="Y2646" s="55" t="s">
        <v>132</v>
      </c>
      <c r="AB2646" s="74" t="s">
        <v>132</v>
      </c>
      <c r="AC2646" s="55" t="s">
        <v>132</v>
      </c>
      <c r="AL2646" s="74"/>
      <c r="AM2646" s="74"/>
      <c r="AW2646" s="74"/>
      <c r="AX2646" s="74"/>
    </row>
    <row r="2647" spans="1:50" ht="13" x14ac:dyDescent="0.15">
      <c r="A2647" s="55" t="str">
        <f>HYPERLINK("http://reports.ofsted.gov.uk/inspection-reports/find-inspection-report/provider/CARE/SC359818","Ofsted Social Care Provider Webpage")</f>
        <v>Ofsted Social Care Provider Webpage</v>
      </c>
      <c r="B2647" s="55" t="s">
        <v>4977</v>
      </c>
      <c r="D2647" s="55" t="s">
        <v>373</v>
      </c>
      <c r="E2647" s="74">
        <v>39171</v>
      </c>
      <c r="F2647" s="55" t="s">
        <v>344</v>
      </c>
      <c r="G2647" s="55" t="s">
        <v>360</v>
      </c>
      <c r="H2647" s="55" t="s">
        <v>360</v>
      </c>
      <c r="I2647" s="55" t="s">
        <v>360</v>
      </c>
      <c r="J2647" s="55" t="s">
        <v>360</v>
      </c>
      <c r="K2647" s="55" t="s">
        <v>360</v>
      </c>
      <c r="L2647" s="55" t="s">
        <v>360</v>
      </c>
      <c r="M2647" s="55" t="s">
        <v>142</v>
      </c>
      <c r="N2647" s="55" t="s">
        <v>142</v>
      </c>
      <c r="O2647" s="55" t="s">
        <v>292</v>
      </c>
      <c r="P2647" s="55" t="s">
        <v>1162</v>
      </c>
      <c r="Q2647" s="55" t="s">
        <v>350</v>
      </c>
      <c r="R2647" s="85">
        <v>4</v>
      </c>
      <c r="S2647" s="55">
        <v>0</v>
      </c>
      <c r="T2647" s="74" t="s">
        <v>385</v>
      </c>
      <c r="U2647" s="74" t="s">
        <v>351</v>
      </c>
      <c r="V2647" s="74">
        <v>44342</v>
      </c>
      <c r="W2647" s="74">
        <v>44378</v>
      </c>
      <c r="X2647" s="55">
        <v>10187034</v>
      </c>
      <c r="Y2647" s="55" t="s">
        <v>132</v>
      </c>
      <c r="AB2647" s="74" t="s">
        <v>132</v>
      </c>
      <c r="AC2647" s="55" t="s">
        <v>132</v>
      </c>
      <c r="AL2647" s="74"/>
      <c r="AM2647" s="74"/>
      <c r="AW2647" s="74"/>
      <c r="AX2647" s="74"/>
    </row>
    <row r="2648" spans="1:50" ht="13" x14ac:dyDescent="0.15">
      <c r="A2648" s="55" t="str">
        <f>HYPERLINK("http://reports.ofsted.gov.uk/inspection-reports/find-inspection-report/provider/CARE/SC359832","Ofsted Social Care Provider Webpage")</f>
        <v>Ofsted Social Care Provider Webpage</v>
      </c>
      <c r="B2648" s="55" t="s">
        <v>4978</v>
      </c>
      <c r="D2648" s="55" t="s">
        <v>373</v>
      </c>
      <c r="E2648" s="74">
        <v>39311</v>
      </c>
      <c r="F2648" s="55" t="s">
        <v>344</v>
      </c>
      <c r="G2648" s="55" t="s">
        <v>360</v>
      </c>
      <c r="H2648" s="55" t="s">
        <v>360</v>
      </c>
      <c r="I2648" s="55" t="s">
        <v>360</v>
      </c>
      <c r="J2648" s="55" t="s">
        <v>360</v>
      </c>
      <c r="K2648" s="55" t="s">
        <v>360</v>
      </c>
      <c r="L2648" s="55" t="s">
        <v>360</v>
      </c>
      <c r="M2648" s="55" t="s">
        <v>150</v>
      </c>
      <c r="N2648" s="55" t="s">
        <v>150</v>
      </c>
      <c r="O2648" s="55" t="s">
        <v>285</v>
      </c>
      <c r="P2648" s="55" t="s">
        <v>565</v>
      </c>
      <c r="Q2648" s="55" t="s">
        <v>350</v>
      </c>
      <c r="R2648" s="85">
        <v>3</v>
      </c>
      <c r="S2648" s="55">
        <v>0</v>
      </c>
      <c r="T2648" s="74" t="s">
        <v>931</v>
      </c>
      <c r="U2648" s="74" t="s">
        <v>351</v>
      </c>
      <c r="V2648" s="74">
        <v>44614</v>
      </c>
      <c r="W2648" s="74">
        <v>44662</v>
      </c>
      <c r="X2648" s="55">
        <v>10186161</v>
      </c>
      <c r="Y2648" s="55" t="s">
        <v>132</v>
      </c>
      <c r="AB2648" s="74" t="s">
        <v>132</v>
      </c>
      <c r="AC2648" s="55" t="s">
        <v>132</v>
      </c>
      <c r="AL2648" s="74"/>
      <c r="AM2648" s="74"/>
      <c r="AW2648" s="74"/>
      <c r="AX2648" s="74"/>
    </row>
    <row r="2649" spans="1:50" ht="13" x14ac:dyDescent="0.15">
      <c r="A2649" s="55" t="str">
        <f>HYPERLINK("http://reports.ofsted.gov.uk/inspection-reports/find-inspection-report/provider/CARE/SC359836","Ofsted Social Care Provider Webpage")</f>
        <v>Ofsted Social Care Provider Webpage</v>
      </c>
      <c r="B2649" s="55" t="s">
        <v>4979</v>
      </c>
      <c r="D2649" s="55" t="s">
        <v>373</v>
      </c>
      <c r="E2649" s="74">
        <v>39330</v>
      </c>
      <c r="F2649" s="55" t="s">
        <v>344</v>
      </c>
      <c r="G2649" s="55" t="s">
        <v>360</v>
      </c>
      <c r="H2649" s="55" t="s">
        <v>360</v>
      </c>
      <c r="I2649" s="55" t="s">
        <v>360</v>
      </c>
      <c r="J2649" s="55" t="s">
        <v>360</v>
      </c>
      <c r="K2649" s="55" t="s">
        <v>360</v>
      </c>
      <c r="L2649" s="55" t="s">
        <v>360</v>
      </c>
      <c r="M2649" s="55" t="s">
        <v>144</v>
      </c>
      <c r="N2649" s="55" t="s">
        <v>144</v>
      </c>
      <c r="O2649" s="55" t="s">
        <v>209</v>
      </c>
      <c r="P2649" s="55" t="s">
        <v>561</v>
      </c>
      <c r="Q2649" s="55" t="s">
        <v>380</v>
      </c>
      <c r="R2649" s="85">
        <v>6</v>
      </c>
      <c r="S2649" s="55">
        <v>0</v>
      </c>
      <c r="T2649" s="74" t="s">
        <v>657</v>
      </c>
      <c r="U2649" s="74" t="s">
        <v>351</v>
      </c>
      <c r="V2649" s="74">
        <v>44509</v>
      </c>
      <c r="W2649" s="74">
        <v>44547</v>
      </c>
      <c r="X2649" s="55">
        <v>10185478</v>
      </c>
      <c r="Y2649" s="55" t="s">
        <v>132</v>
      </c>
      <c r="AB2649" s="74" t="s">
        <v>132</v>
      </c>
      <c r="AC2649" s="55" t="s">
        <v>132</v>
      </c>
      <c r="AL2649" s="74"/>
      <c r="AM2649" s="74"/>
    </row>
    <row r="2650" spans="1:50" ht="13" x14ac:dyDescent="0.15">
      <c r="A2650" s="55" t="str">
        <f>HYPERLINK("http://reports.ofsted.gov.uk/inspection-reports/find-inspection-report/provider/CARE/SC359846","Ofsted Social Care Provider Webpage")</f>
        <v>Ofsted Social Care Provider Webpage</v>
      </c>
      <c r="B2650" s="55" t="s">
        <v>4980</v>
      </c>
      <c r="D2650" s="55" t="s">
        <v>373</v>
      </c>
      <c r="E2650" s="74">
        <v>39318</v>
      </c>
      <c r="F2650" s="55" t="s">
        <v>344</v>
      </c>
      <c r="G2650" s="55" t="s">
        <v>360</v>
      </c>
      <c r="H2650" s="55" t="s">
        <v>360</v>
      </c>
      <c r="I2650" s="55" t="s">
        <v>360</v>
      </c>
      <c r="J2650" s="55" t="s">
        <v>360</v>
      </c>
      <c r="K2650" s="55" t="s">
        <v>360</v>
      </c>
      <c r="L2650" s="55" t="s">
        <v>360</v>
      </c>
      <c r="M2650" s="55" t="s">
        <v>142</v>
      </c>
      <c r="N2650" s="55" t="s">
        <v>142</v>
      </c>
      <c r="O2650" s="55" t="s">
        <v>292</v>
      </c>
      <c r="P2650" s="55" t="s">
        <v>1052</v>
      </c>
      <c r="Q2650" s="55" t="s">
        <v>350</v>
      </c>
      <c r="R2650" s="85">
        <v>5</v>
      </c>
      <c r="S2650" s="55">
        <v>0</v>
      </c>
      <c r="T2650" s="74" t="s">
        <v>385</v>
      </c>
      <c r="U2650" s="74" t="s">
        <v>351</v>
      </c>
      <c r="V2650" s="74">
        <v>44369</v>
      </c>
      <c r="W2650" s="74">
        <v>44392</v>
      </c>
      <c r="X2650" s="55">
        <v>10185366</v>
      </c>
      <c r="Y2650" s="55" t="s">
        <v>132</v>
      </c>
      <c r="AB2650" s="74" t="s">
        <v>132</v>
      </c>
      <c r="AC2650" s="55" t="s">
        <v>132</v>
      </c>
      <c r="AL2650" s="74"/>
      <c r="AM2650" s="74"/>
      <c r="AW2650" s="74"/>
      <c r="AX2650" s="74"/>
    </row>
    <row r="2651" spans="1:50" ht="13" x14ac:dyDescent="0.15">
      <c r="A2651" s="55" t="str">
        <f>HYPERLINK("http://reports.ofsted.gov.uk/inspection-reports/find-inspection-report/provider/CARE/SC360525","Ofsted Social Care Provider Webpage")</f>
        <v>Ofsted Social Care Provider Webpage</v>
      </c>
      <c r="B2651" s="55" t="s">
        <v>4988</v>
      </c>
      <c r="D2651" s="55" t="s">
        <v>389</v>
      </c>
      <c r="E2651" s="74">
        <v>39164</v>
      </c>
      <c r="F2651" s="55" t="s">
        <v>344</v>
      </c>
      <c r="G2651" s="55" t="s">
        <v>4989</v>
      </c>
      <c r="H2651" s="55" t="s">
        <v>4990</v>
      </c>
      <c r="I2651" s="55" t="s">
        <v>4991</v>
      </c>
      <c r="J2651" s="55" t="s">
        <v>1060</v>
      </c>
      <c r="L2651" s="55" t="s">
        <v>4992</v>
      </c>
      <c r="M2651" s="55" t="s">
        <v>142</v>
      </c>
      <c r="N2651" s="55" t="s">
        <v>142</v>
      </c>
      <c r="O2651" s="55" t="s">
        <v>293</v>
      </c>
      <c r="P2651" s="55" t="s">
        <v>1060</v>
      </c>
      <c r="Q2651" s="55" t="s">
        <v>350</v>
      </c>
      <c r="S2651" s="55">
        <v>0</v>
      </c>
      <c r="T2651" s="74" t="s">
        <v>4993</v>
      </c>
      <c r="U2651" s="74" t="s">
        <v>2053</v>
      </c>
      <c r="V2651" s="74">
        <v>44440</v>
      </c>
      <c r="W2651" s="74">
        <v>44481</v>
      </c>
      <c r="X2651" s="55">
        <v>10205930</v>
      </c>
      <c r="AL2651" s="74"/>
      <c r="AM2651" s="74"/>
      <c r="AW2651" s="74"/>
      <c r="AX2651" s="74"/>
    </row>
    <row r="2652" spans="1:50" ht="13" x14ac:dyDescent="0.15">
      <c r="A2652" s="55" t="str">
        <f>HYPERLINK("http://reports.ofsted.gov.uk/inspection-reports/find-inspection-report/provider/CARE/SC360599","Ofsted Social Care Provider Webpage")</f>
        <v>Ofsted Social Care Provider Webpage</v>
      </c>
      <c r="B2652" s="55" t="s">
        <v>4994</v>
      </c>
      <c r="D2652" s="55" t="s">
        <v>373</v>
      </c>
      <c r="E2652" s="74">
        <v>39352</v>
      </c>
      <c r="F2652" s="55" t="s">
        <v>344</v>
      </c>
      <c r="G2652" s="55" t="s">
        <v>360</v>
      </c>
      <c r="H2652" s="55" t="s">
        <v>360</v>
      </c>
      <c r="I2652" s="55" t="s">
        <v>360</v>
      </c>
      <c r="J2652" s="55" t="s">
        <v>360</v>
      </c>
      <c r="K2652" s="55" t="s">
        <v>360</v>
      </c>
      <c r="L2652" s="55" t="s">
        <v>360</v>
      </c>
      <c r="M2652" s="55" t="s">
        <v>144</v>
      </c>
      <c r="N2652" s="55" t="s">
        <v>144</v>
      </c>
      <c r="O2652" s="55" t="s">
        <v>143</v>
      </c>
      <c r="P2652" s="55" t="s">
        <v>2439</v>
      </c>
      <c r="Q2652" s="55" t="s">
        <v>380</v>
      </c>
      <c r="R2652" s="85">
        <v>5</v>
      </c>
      <c r="S2652" s="55">
        <v>0</v>
      </c>
      <c r="T2652" s="74" t="s">
        <v>3746</v>
      </c>
      <c r="U2652" s="74" t="s">
        <v>351</v>
      </c>
      <c r="V2652" s="74">
        <v>44543</v>
      </c>
      <c r="W2652" s="74">
        <v>44593</v>
      </c>
      <c r="X2652" s="55">
        <v>10186311</v>
      </c>
      <c r="Y2652" s="55" t="s">
        <v>130</v>
      </c>
      <c r="AB2652" s="74" t="s">
        <v>130</v>
      </c>
      <c r="AC2652" s="55" t="s">
        <v>130</v>
      </c>
      <c r="AL2652" s="74"/>
      <c r="AM2652" s="74"/>
      <c r="AW2652" s="74"/>
      <c r="AX2652" s="74"/>
    </row>
    <row r="2653" spans="1:50" ht="13" x14ac:dyDescent="0.15">
      <c r="A2653" s="55" t="str">
        <f>HYPERLINK("http://reports.ofsted.gov.uk/inspection-reports/find-inspection-report/provider/CARE/SC361090","Ofsted Social Care Provider Webpage")</f>
        <v>Ofsted Social Care Provider Webpage</v>
      </c>
      <c r="B2653" s="55" t="s">
        <v>4995</v>
      </c>
      <c r="D2653" s="55" t="s">
        <v>373</v>
      </c>
      <c r="E2653" s="74">
        <v>39388</v>
      </c>
      <c r="F2653" s="55" t="s">
        <v>344</v>
      </c>
      <c r="G2653" s="55" t="s">
        <v>360</v>
      </c>
      <c r="H2653" s="55" t="s">
        <v>360</v>
      </c>
      <c r="I2653" s="55" t="s">
        <v>360</v>
      </c>
      <c r="J2653" s="55" t="s">
        <v>360</v>
      </c>
      <c r="K2653" s="55" t="s">
        <v>360</v>
      </c>
      <c r="L2653" s="55" t="s">
        <v>360</v>
      </c>
      <c r="M2653" s="55" t="s">
        <v>150</v>
      </c>
      <c r="N2653" s="55" t="s">
        <v>150</v>
      </c>
      <c r="O2653" s="55" t="s">
        <v>203</v>
      </c>
      <c r="P2653" s="55" t="s">
        <v>3559</v>
      </c>
      <c r="Q2653" s="55" t="s">
        <v>350</v>
      </c>
      <c r="R2653" s="85">
        <v>5</v>
      </c>
      <c r="S2653" s="55">
        <v>0</v>
      </c>
      <c r="T2653" s="74" t="s">
        <v>4996</v>
      </c>
      <c r="U2653" s="74" t="s">
        <v>351</v>
      </c>
      <c r="V2653" s="74">
        <v>44517</v>
      </c>
      <c r="W2653" s="74">
        <v>44580</v>
      </c>
      <c r="X2653" s="55">
        <v>10186239</v>
      </c>
      <c r="Y2653" s="55" t="s">
        <v>132</v>
      </c>
      <c r="AB2653" s="74" t="s">
        <v>132</v>
      </c>
      <c r="AC2653" s="55" t="s">
        <v>130</v>
      </c>
      <c r="AL2653" s="74"/>
      <c r="AM2653" s="74"/>
      <c r="AW2653" s="74"/>
      <c r="AX2653" s="74"/>
    </row>
    <row r="2654" spans="1:50" ht="13" x14ac:dyDescent="0.15">
      <c r="A2654" s="55" t="str">
        <f t="shared" ref="A2654:A2661" si="5">HYPERLINK("http://reports.ofsted.gov.uk/inspection-reports/find-inspection-report/provider/CARE/SC361167","Ofsted Social Care Provider Webpage")</f>
        <v>Ofsted Social Care Provider Webpage</v>
      </c>
      <c r="B2654" s="55" t="s">
        <v>4997</v>
      </c>
      <c r="D2654" s="55" t="s">
        <v>373</v>
      </c>
      <c r="E2654" s="74">
        <v>39316</v>
      </c>
      <c r="F2654" s="55" t="s">
        <v>344</v>
      </c>
      <c r="G2654" s="55" t="s">
        <v>360</v>
      </c>
      <c r="H2654" s="55" t="s">
        <v>360</v>
      </c>
      <c r="I2654" s="55" t="s">
        <v>360</v>
      </c>
      <c r="J2654" s="55" t="s">
        <v>360</v>
      </c>
      <c r="K2654" s="55" t="s">
        <v>360</v>
      </c>
      <c r="L2654" s="55" t="s">
        <v>360</v>
      </c>
      <c r="M2654" s="55" t="s">
        <v>142</v>
      </c>
      <c r="N2654" s="55" t="s">
        <v>142</v>
      </c>
      <c r="O2654" s="55" t="s">
        <v>252</v>
      </c>
      <c r="P2654" s="55" t="s">
        <v>503</v>
      </c>
      <c r="Q2654" s="55" t="s">
        <v>350</v>
      </c>
      <c r="R2654" s="85">
        <v>8</v>
      </c>
      <c r="S2654" s="55">
        <v>0</v>
      </c>
      <c r="T2654" s="74" t="s">
        <v>4998</v>
      </c>
      <c r="U2654" s="74" t="s">
        <v>2053</v>
      </c>
      <c r="V2654" s="74">
        <v>44417</v>
      </c>
      <c r="W2654" s="74">
        <v>44461</v>
      </c>
      <c r="X2654" s="55">
        <v>10204803</v>
      </c>
      <c r="AL2654" s="74"/>
      <c r="AM2654" s="74"/>
      <c r="AW2654" s="74"/>
      <c r="AX2654" s="74"/>
    </row>
    <row r="2655" spans="1:50" ht="13" x14ac:dyDescent="0.15">
      <c r="A2655" s="55" t="str">
        <f t="shared" si="5"/>
        <v>Ofsted Social Care Provider Webpage</v>
      </c>
      <c r="B2655" s="55" t="s">
        <v>4997</v>
      </c>
      <c r="D2655" s="55" t="s">
        <v>373</v>
      </c>
      <c r="E2655" s="74">
        <v>39316</v>
      </c>
      <c r="F2655" s="55" t="s">
        <v>344</v>
      </c>
      <c r="G2655" s="55" t="s">
        <v>360</v>
      </c>
      <c r="H2655" s="55" t="s">
        <v>360</v>
      </c>
      <c r="I2655" s="55" t="s">
        <v>360</v>
      </c>
      <c r="J2655" s="55" t="s">
        <v>360</v>
      </c>
      <c r="K2655" s="55" t="s">
        <v>360</v>
      </c>
      <c r="L2655" s="55" t="s">
        <v>360</v>
      </c>
      <c r="M2655" s="55" t="s">
        <v>142</v>
      </c>
      <c r="N2655" s="55" t="s">
        <v>142</v>
      </c>
      <c r="O2655" s="55" t="s">
        <v>252</v>
      </c>
      <c r="P2655" s="55" t="s">
        <v>503</v>
      </c>
      <c r="Q2655" s="55" t="s">
        <v>350</v>
      </c>
      <c r="R2655" s="85">
        <v>8</v>
      </c>
      <c r="S2655" s="55">
        <v>0</v>
      </c>
      <c r="T2655" s="74" t="s">
        <v>4998</v>
      </c>
      <c r="U2655" s="74" t="s">
        <v>2053</v>
      </c>
      <c r="V2655" s="74">
        <v>44426</v>
      </c>
      <c r="W2655" s="74">
        <v>44463</v>
      </c>
      <c r="X2655" s="55">
        <v>10204753</v>
      </c>
      <c r="AL2655" s="74"/>
      <c r="AM2655" s="74"/>
      <c r="AW2655" s="74"/>
      <c r="AX2655" s="74"/>
    </row>
    <row r="2656" spans="1:50" ht="13" x14ac:dyDescent="0.15">
      <c r="A2656" s="55" t="str">
        <f t="shared" si="5"/>
        <v>Ofsted Social Care Provider Webpage</v>
      </c>
      <c r="B2656" s="55" t="s">
        <v>4997</v>
      </c>
      <c r="D2656" s="55" t="s">
        <v>373</v>
      </c>
      <c r="E2656" s="74">
        <v>39316</v>
      </c>
      <c r="F2656" s="55" t="s">
        <v>344</v>
      </c>
      <c r="G2656" s="55" t="s">
        <v>360</v>
      </c>
      <c r="H2656" s="55" t="s">
        <v>360</v>
      </c>
      <c r="I2656" s="55" t="s">
        <v>360</v>
      </c>
      <c r="J2656" s="55" t="s">
        <v>360</v>
      </c>
      <c r="K2656" s="55" t="s">
        <v>360</v>
      </c>
      <c r="L2656" s="55" t="s">
        <v>360</v>
      </c>
      <c r="M2656" s="55" t="s">
        <v>142</v>
      </c>
      <c r="N2656" s="55" t="s">
        <v>142</v>
      </c>
      <c r="O2656" s="55" t="s">
        <v>252</v>
      </c>
      <c r="P2656" s="55" t="s">
        <v>503</v>
      </c>
      <c r="Q2656" s="55" t="s">
        <v>350</v>
      </c>
      <c r="R2656" s="85">
        <v>8</v>
      </c>
      <c r="S2656" s="55">
        <v>0</v>
      </c>
      <c r="T2656" s="74" t="s">
        <v>4998</v>
      </c>
      <c r="U2656" s="74" t="s">
        <v>2053</v>
      </c>
      <c r="V2656" s="74">
        <v>44593</v>
      </c>
      <c r="W2656" s="74">
        <v>44621</v>
      </c>
      <c r="X2656" s="55">
        <v>10219520</v>
      </c>
      <c r="AL2656" s="74"/>
      <c r="AM2656" s="74"/>
      <c r="AW2656" s="74"/>
      <c r="AX2656" s="74"/>
    </row>
    <row r="2657" spans="1:50" ht="13" x14ac:dyDescent="0.15">
      <c r="A2657" s="55" t="str">
        <f t="shared" si="5"/>
        <v>Ofsted Social Care Provider Webpage</v>
      </c>
      <c r="B2657" s="55" t="s">
        <v>4997</v>
      </c>
      <c r="D2657" s="55" t="s">
        <v>373</v>
      </c>
      <c r="E2657" s="74">
        <v>39316</v>
      </c>
      <c r="F2657" s="55" t="s">
        <v>344</v>
      </c>
      <c r="G2657" s="55" t="s">
        <v>360</v>
      </c>
      <c r="H2657" s="55" t="s">
        <v>360</v>
      </c>
      <c r="I2657" s="55" t="s">
        <v>360</v>
      </c>
      <c r="J2657" s="55" t="s">
        <v>360</v>
      </c>
      <c r="K2657" s="55" t="s">
        <v>360</v>
      </c>
      <c r="L2657" s="55" t="s">
        <v>360</v>
      </c>
      <c r="M2657" s="55" t="s">
        <v>142</v>
      </c>
      <c r="N2657" s="55" t="s">
        <v>142</v>
      </c>
      <c r="O2657" s="55" t="s">
        <v>252</v>
      </c>
      <c r="P2657" s="55" t="s">
        <v>503</v>
      </c>
      <c r="Q2657" s="55" t="s">
        <v>350</v>
      </c>
      <c r="R2657" s="85">
        <v>8</v>
      </c>
      <c r="S2657" s="55">
        <v>0</v>
      </c>
      <c r="T2657" s="74" t="s">
        <v>4998</v>
      </c>
      <c r="U2657" s="74" t="s">
        <v>2053</v>
      </c>
      <c r="V2657" s="74">
        <v>44440</v>
      </c>
      <c r="W2657" s="74">
        <v>44483</v>
      </c>
      <c r="X2657" s="55">
        <v>10205857</v>
      </c>
      <c r="AL2657" s="74"/>
      <c r="AM2657" s="74"/>
      <c r="AW2657" s="74"/>
      <c r="AX2657" s="74"/>
    </row>
    <row r="2658" spans="1:50" ht="13" x14ac:dyDescent="0.15">
      <c r="A2658" s="55" t="str">
        <f t="shared" si="5"/>
        <v>Ofsted Social Care Provider Webpage</v>
      </c>
      <c r="B2658" s="55" t="s">
        <v>4997</v>
      </c>
      <c r="D2658" s="55" t="s">
        <v>373</v>
      </c>
      <c r="E2658" s="74">
        <v>39316</v>
      </c>
      <c r="F2658" s="55" t="s">
        <v>344</v>
      </c>
      <c r="G2658" s="55" t="s">
        <v>360</v>
      </c>
      <c r="H2658" s="55" t="s">
        <v>360</v>
      </c>
      <c r="I2658" s="55" t="s">
        <v>360</v>
      </c>
      <c r="J2658" s="55" t="s">
        <v>360</v>
      </c>
      <c r="K2658" s="55" t="s">
        <v>360</v>
      </c>
      <c r="L2658" s="55" t="s">
        <v>360</v>
      </c>
      <c r="M2658" s="55" t="s">
        <v>142</v>
      </c>
      <c r="N2658" s="55" t="s">
        <v>142</v>
      </c>
      <c r="O2658" s="55" t="s">
        <v>252</v>
      </c>
      <c r="P2658" s="55" t="s">
        <v>503</v>
      </c>
      <c r="Q2658" s="55" t="s">
        <v>350</v>
      </c>
      <c r="R2658" s="85">
        <v>8</v>
      </c>
      <c r="S2658" s="55">
        <v>0</v>
      </c>
      <c r="T2658" s="74" t="s">
        <v>4998</v>
      </c>
      <c r="U2658" s="74" t="s">
        <v>2053</v>
      </c>
      <c r="V2658" s="74">
        <v>44607</v>
      </c>
      <c r="W2658" s="74">
        <v>44650</v>
      </c>
      <c r="X2658" s="55">
        <v>10225556</v>
      </c>
      <c r="AL2658" s="74"/>
      <c r="AM2658" s="74"/>
    </row>
    <row r="2659" spans="1:50" ht="13" x14ac:dyDescent="0.15">
      <c r="A2659" s="55" t="str">
        <f t="shared" si="5"/>
        <v>Ofsted Social Care Provider Webpage</v>
      </c>
      <c r="B2659" s="55" t="s">
        <v>4997</v>
      </c>
      <c r="D2659" s="55" t="s">
        <v>373</v>
      </c>
      <c r="E2659" s="74">
        <v>39316</v>
      </c>
      <c r="F2659" s="55" t="s">
        <v>344</v>
      </c>
      <c r="G2659" s="55" t="s">
        <v>360</v>
      </c>
      <c r="H2659" s="55" t="s">
        <v>360</v>
      </c>
      <c r="I2659" s="55" t="s">
        <v>360</v>
      </c>
      <c r="J2659" s="55" t="s">
        <v>360</v>
      </c>
      <c r="K2659" s="55" t="s">
        <v>360</v>
      </c>
      <c r="L2659" s="55" t="s">
        <v>360</v>
      </c>
      <c r="M2659" s="55" t="s">
        <v>142</v>
      </c>
      <c r="N2659" s="55" t="s">
        <v>142</v>
      </c>
      <c r="O2659" s="55" t="s">
        <v>252</v>
      </c>
      <c r="P2659" s="55" t="s">
        <v>503</v>
      </c>
      <c r="Q2659" s="55" t="s">
        <v>350</v>
      </c>
      <c r="R2659" s="85">
        <v>8</v>
      </c>
      <c r="S2659" s="55">
        <v>0</v>
      </c>
      <c r="T2659" s="74" t="s">
        <v>4998</v>
      </c>
      <c r="U2659" s="74" t="s">
        <v>351</v>
      </c>
      <c r="V2659" s="74">
        <v>44495</v>
      </c>
      <c r="W2659" s="74">
        <v>44538</v>
      </c>
      <c r="X2659" s="55">
        <v>10206352</v>
      </c>
      <c r="Y2659" s="55" t="s">
        <v>130</v>
      </c>
      <c r="AB2659" s="74" t="s">
        <v>130</v>
      </c>
      <c r="AC2659" s="55" t="s">
        <v>130</v>
      </c>
      <c r="AL2659" s="74"/>
      <c r="AM2659" s="74"/>
    </row>
    <row r="2660" spans="1:50" ht="13" x14ac:dyDescent="0.15">
      <c r="A2660" s="55" t="str">
        <f t="shared" si="5"/>
        <v>Ofsted Social Care Provider Webpage</v>
      </c>
      <c r="B2660" s="55" t="s">
        <v>4997</v>
      </c>
      <c r="D2660" s="55" t="s">
        <v>373</v>
      </c>
      <c r="E2660" s="74">
        <v>39316</v>
      </c>
      <c r="F2660" s="55" t="s">
        <v>344</v>
      </c>
      <c r="G2660" s="55" t="s">
        <v>360</v>
      </c>
      <c r="H2660" s="55" t="s">
        <v>360</v>
      </c>
      <c r="I2660" s="55" t="s">
        <v>360</v>
      </c>
      <c r="J2660" s="55" t="s">
        <v>360</v>
      </c>
      <c r="K2660" s="55" t="s">
        <v>360</v>
      </c>
      <c r="L2660" s="55" t="s">
        <v>360</v>
      </c>
      <c r="M2660" s="55" t="s">
        <v>142</v>
      </c>
      <c r="N2660" s="55" t="s">
        <v>142</v>
      </c>
      <c r="O2660" s="55" t="s">
        <v>252</v>
      </c>
      <c r="P2660" s="55" t="s">
        <v>503</v>
      </c>
      <c r="Q2660" s="55" t="s">
        <v>350</v>
      </c>
      <c r="R2660" s="85">
        <v>8</v>
      </c>
      <c r="S2660" s="55">
        <v>0</v>
      </c>
      <c r="T2660" s="74" t="s">
        <v>4998</v>
      </c>
      <c r="U2660" s="74" t="s">
        <v>351</v>
      </c>
      <c r="V2660" s="74">
        <v>44412</v>
      </c>
      <c r="W2660" s="74">
        <v>44463</v>
      </c>
      <c r="X2660" s="55">
        <v>10186613</v>
      </c>
      <c r="Y2660" s="55" t="s">
        <v>146</v>
      </c>
      <c r="AB2660" s="74" t="s">
        <v>146</v>
      </c>
      <c r="AC2660" s="55" t="s">
        <v>146</v>
      </c>
      <c r="AL2660" s="74"/>
      <c r="AM2660" s="74"/>
    </row>
    <row r="2661" spans="1:50" ht="13" x14ac:dyDescent="0.15">
      <c r="A2661" s="55" t="str">
        <f t="shared" si="5"/>
        <v>Ofsted Social Care Provider Webpage</v>
      </c>
      <c r="B2661" s="55" t="s">
        <v>4997</v>
      </c>
      <c r="D2661" s="55" t="s">
        <v>373</v>
      </c>
      <c r="E2661" s="74">
        <v>39316</v>
      </c>
      <c r="F2661" s="55" t="s">
        <v>344</v>
      </c>
      <c r="G2661" s="55" t="s">
        <v>360</v>
      </c>
      <c r="H2661" s="55" t="s">
        <v>360</v>
      </c>
      <c r="I2661" s="55" t="s">
        <v>360</v>
      </c>
      <c r="J2661" s="55" t="s">
        <v>360</v>
      </c>
      <c r="K2661" s="55" t="s">
        <v>360</v>
      </c>
      <c r="L2661" s="55" t="s">
        <v>360</v>
      </c>
      <c r="M2661" s="55" t="s">
        <v>142</v>
      </c>
      <c r="N2661" s="55" t="s">
        <v>142</v>
      </c>
      <c r="O2661" s="55" t="s">
        <v>252</v>
      </c>
      <c r="P2661" s="55" t="s">
        <v>503</v>
      </c>
      <c r="Q2661" s="55" t="s">
        <v>350</v>
      </c>
      <c r="R2661" s="85">
        <v>8</v>
      </c>
      <c r="S2661" s="55">
        <v>0</v>
      </c>
      <c r="T2661" s="74" t="s">
        <v>4998</v>
      </c>
      <c r="U2661" s="74" t="s">
        <v>2053</v>
      </c>
      <c r="V2661" s="74">
        <v>44543</v>
      </c>
      <c r="W2661" s="74">
        <v>44589</v>
      </c>
      <c r="X2661" s="55">
        <v>10213470</v>
      </c>
      <c r="AL2661" s="74"/>
      <c r="AM2661" s="74"/>
      <c r="AW2661" s="74"/>
      <c r="AX2661" s="74"/>
    </row>
    <row r="2662" spans="1:50" ht="13" x14ac:dyDescent="0.15">
      <c r="A2662" s="55" t="str">
        <f>HYPERLINK("http://reports.ofsted.gov.uk/inspection-reports/find-inspection-report/provider/CARE/SC361385","Ofsted Social Care Provider Webpage")</f>
        <v>Ofsted Social Care Provider Webpage</v>
      </c>
      <c r="B2662" s="55" t="s">
        <v>4999</v>
      </c>
      <c r="D2662" s="55" t="s">
        <v>373</v>
      </c>
      <c r="E2662" s="74">
        <v>39360</v>
      </c>
      <c r="F2662" s="55" t="s">
        <v>344</v>
      </c>
      <c r="G2662" s="55" t="s">
        <v>360</v>
      </c>
      <c r="H2662" s="55" t="s">
        <v>360</v>
      </c>
      <c r="I2662" s="55" t="s">
        <v>360</v>
      </c>
      <c r="J2662" s="55" t="s">
        <v>360</v>
      </c>
      <c r="K2662" s="55" t="s">
        <v>360</v>
      </c>
      <c r="L2662" s="55" t="s">
        <v>360</v>
      </c>
      <c r="M2662" s="55" t="s">
        <v>138</v>
      </c>
      <c r="N2662" s="55" t="s">
        <v>138</v>
      </c>
      <c r="O2662" s="55" t="s">
        <v>224</v>
      </c>
      <c r="P2662" s="55" t="s">
        <v>1552</v>
      </c>
      <c r="Q2662" s="55" t="s">
        <v>350</v>
      </c>
      <c r="R2662" s="85">
        <v>5</v>
      </c>
      <c r="S2662" s="55">
        <v>0</v>
      </c>
      <c r="T2662" s="74" t="s">
        <v>1124</v>
      </c>
      <c r="U2662" s="74" t="s">
        <v>351</v>
      </c>
      <c r="V2662" s="74">
        <v>44425</v>
      </c>
      <c r="W2662" s="74">
        <v>44455</v>
      </c>
      <c r="X2662" s="55">
        <v>10185501</v>
      </c>
      <c r="Y2662" s="55" t="s">
        <v>140</v>
      </c>
      <c r="AB2662" s="74" t="s">
        <v>140</v>
      </c>
      <c r="AC2662" s="55" t="s">
        <v>140</v>
      </c>
      <c r="AL2662" s="74"/>
      <c r="AM2662" s="74"/>
    </row>
    <row r="2663" spans="1:50" ht="13" x14ac:dyDescent="0.15">
      <c r="A2663" s="55" t="str">
        <f>HYPERLINK("http://reports.ofsted.gov.uk/inspection-reports/find-inspection-report/provider/CARE/SC361789","Ofsted Social Care Provider Webpage")</f>
        <v>Ofsted Social Care Provider Webpage</v>
      </c>
      <c r="B2663" s="55" t="s">
        <v>5000</v>
      </c>
      <c r="D2663" s="55" t="s">
        <v>373</v>
      </c>
      <c r="E2663" s="74">
        <v>39360</v>
      </c>
      <c r="F2663" s="55" t="s">
        <v>344</v>
      </c>
      <c r="G2663" s="55" t="s">
        <v>360</v>
      </c>
      <c r="H2663" s="55" t="s">
        <v>360</v>
      </c>
      <c r="I2663" s="55" t="s">
        <v>360</v>
      </c>
      <c r="J2663" s="55" t="s">
        <v>360</v>
      </c>
      <c r="K2663" s="55" t="s">
        <v>360</v>
      </c>
      <c r="L2663" s="55" t="s">
        <v>360</v>
      </c>
      <c r="M2663" s="55" t="s">
        <v>136</v>
      </c>
      <c r="N2663" s="55" t="s">
        <v>136</v>
      </c>
      <c r="O2663" s="55" t="s">
        <v>165</v>
      </c>
      <c r="P2663" s="55" t="s">
        <v>699</v>
      </c>
      <c r="Q2663" s="55" t="s">
        <v>380</v>
      </c>
      <c r="R2663" s="85">
        <v>6</v>
      </c>
      <c r="S2663" s="55">
        <v>0</v>
      </c>
      <c r="T2663" s="74" t="s">
        <v>2120</v>
      </c>
      <c r="U2663" s="74" t="s">
        <v>351</v>
      </c>
      <c r="V2663" s="74">
        <v>44607</v>
      </c>
      <c r="W2663" s="74">
        <v>44656</v>
      </c>
      <c r="X2663" s="55">
        <v>10186681</v>
      </c>
      <c r="Y2663" s="55" t="s">
        <v>132</v>
      </c>
      <c r="AB2663" s="74" t="s">
        <v>132</v>
      </c>
      <c r="AC2663" s="55" t="s">
        <v>132</v>
      </c>
      <c r="AL2663" s="74"/>
      <c r="AM2663" s="74"/>
      <c r="AW2663" s="74"/>
      <c r="AX2663" s="74"/>
    </row>
    <row r="2664" spans="1:50" ht="13" x14ac:dyDescent="0.15">
      <c r="A2664" s="55" t="str">
        <f>HYPERLINK("http://reports.ofsted.gov.uk/inspection-reports/find-inspection-report/provider/CARE/SC361811","Ofsted Social Care Provider Webpage")</f>
        <v>Ofsted Social Care Provider Webpage</v>
      </c>
      <c r="B2664" s="55" t="s">
        <v>5001</v>
      </c>
      <c r="D2664" s="55" t="s">
        <v>373</v>
      </c>
      <c r="E2664" s="74">
        <v>39344</v>
      </c>
      <c r="F2664" s="55" t="s">
        <v>344</v>
      </c>
      <c r="G2664" s="55" t="s">
        <v>360</v>
      </c>
      <c r="H2664" s="55" t="s">
        <v>360</v>
      </c>
      <c r="I2664" s="55" t="s">
        <v>360</v>
      </c>
      <c r="J2664" s="55" t="s">
        <v>360</v>
      </c>
      <c r="K2664" s="55" t="s">
        <v>360</v>
      </c>
      <c r="L2664" s="55" t="s">
        <v>360</v>
      </c>
      <c r="M2664" s="55" t="s">
        <v>144</v>
      </c>
      <c r="N2664" s="55" t="s">
        <v>144</v>
      </c>
      <c r="O2664" s="55" t="s">
        <v>245</v>
      </c>
      <c r="P2664" s="55" t="s">
        <v>1796</v>
      </c>
      <c r="Q2664" s="55" t="s">
        <v>350</v>
      </c>
      <c r="R2664" s="85">
        <v>3</v>
      </c>
      <c r="S2664" s="55">
        <v>0</v>
      </c>
      <c r="T2664" s="74" t="s">
        <v>613</v>
      </c>
      <c r="U2664" s="74" t="s">
        <v>351</v>
      </c>
      <c r="V2664" s="74">
        <v>44600</v>
      </c>
      <c r="W2664" s="74">
        <v>44638</v>
      </c>
      <c r="X2664" s="55">
        <v>10185200</v>
      </c>
      <c r="Y2664" s="55" t="s">
        <v>132</v>
      </c>
      <c r="AB2664" s="74" t="s">
        <v>130</v>
      </c>
      <c r="AC2664" s="55" t="s">
        <v>132</v>
      </c>
      <c r="AL2664" s="74"/>
      <c r="AM2664" s="74"/>
      <c r="AW2664" s="74"/>
      <c r="AX2664" s="74"/>
    </row>
    <row r="2665" spans="1:50" ht="13" x14ac:dyDescent="0.15">
      <c r="A2665" s="55" t="str">
        <f>HYPERLINK("http://reports.ofsted.gov.uk/inspection-reports/find-inspection-report/provider/CARE/SC362094","Ofsted Social Care Provider Webpage")</f>
        <v>Ofsted Social Care Provider Webpage</v>
      </c>
      <c r="B2665" s="55" t="s">
        <v>5002</v>
      </c>
      <c r="D2665" s="55" t="s">
        <v>373</v>
      </c>
      <c r="E2665" s="74">
        <v>39405</v>
      </c>
      <c r="F2665" s="55" t="s">
        <v>344</v>
      </c>
      <c r="G2665" s="55" t="s">
        <v>360</v>
      </c>
      <c r="H2665" s="55" t="s">
        <v>360</v>
      </c>
      <c r="I2665" s="55" t="s">
        <v>360</v>
      </c>
      <c r="J2665" s="55" t="s">
        <v>360</v>
      </c>
      <c r="K2665" s="55" t="s">
        <v>360</v>
      </c>
      <c r="L2665" s="55" t="s">
        <v>360</v>
      </c>
      <c r="M2665" s="55" t="s">
        <v>142</v>
      </c>
      <c r="N2665" s="55" t="s">
        <v>142</v>
      </c>
      <c r="O2665" s="55" t="s">
        <v>252</v>
      </c>
      <c r="P2665" s="55" t="s">
        <v>388</v>
      </c>
      <c r="Q2665" s="55" t="s">
        <v>350</v>
      </c>
      <c r="R2665" s="85">
        <v>2</v>
      </c>
      <c r="S2665" s="55">
        <v>0</v>
      </c>
      <c r="T2665" s="74" t="s">
        <v>1182</v>
      </c>
      <c r="U2665" s="74" t="s">
        <v>351</v>
      </c>
      <c r="V2665" s="74">
        <v>44509</v>
      </c>
      <c r="W2665" s="74">
        <v>44588</v>
      </c>
      <c r="X2665" s="55">
        <v>10185583</v>
      </c>
      <c r="Y2665" s="55" t="s">
        <v>140</v>
      </c>
      <c r="AB2665" s="74" t="s">
        <v>140</v>
      </c>
      <c r="AC2665" s="55" t="s">
        <v>140</v>
      </c>
      <c r="AL2665" s="74"/>
      <c r="AM2665" s="74"/>
      <c r="AW2665" s="74"/>
      <c r="AX2665" s="74"/>
    </row>
    <row r="2666" spans="1:50" ht="13" x14ac:dyDescent="0.15">
      <c r="A2666" s="55" t="str">
        <f>HYPERLINK("http://reports.ofsted.gov.uk/inspection-reports/find-inspection-report/provider/CARE/SC362170","Ofsted Social Care Provider Webpage")</f>
        <v>Ofsted Social Care Provider Webpage</v>
      </c>
      <c r="B2666" s="55" t="s">
        <v>5003</v>
      </c>
      <c r="D2666" s="55" t="s">
        <v>373</v>
      </c>
      <c r="E2666" s="74">
        <v>39464</v>
      </c>
      <c r="F2666" s="55" t="s">
        <v>344</v>
      </c>
      <c r="G2666" s="55" t="s">
        <v>360</v>
      </c>
      <c r="H2666" s="55" t="s">
        <v>360</v>
      </c>
      <c r="I2666" s="55" t="s">
        <v>360</v>
      </c>
      <c r="J2666" s="55" t="s">
        <v>360</v>
      </c>
      <c r="K2666" s="55" t="s">
        <v>360</v>
      </c>
      <c r="L2666" s="55" t="s">
        <v>360</v>
      </c>
      <c r="M2666" s="55" t="s">
        <v>142</v>
      </c>
      <c r="N2666" s="55" t="s">
        <v>142</v>
      </c>
      <c r="O2666" s="55" t="s">
        <v>265</v>
      </c>
      <c r="P2666" s="55" t="s">
        <v>540</v>
      </c>
      <c r="Q2666" s="55" t="s">
        <v>350</v>
      </c>
      <c r="R2666" s="85">
        <v>3</v>
      </c>
      <c r="S2666" s="55">
        <v>0</v>
      </c>
      <c r="T2666" s="74" t="s">
        <v>910</v>
      </c>
      <c r="U2666" s="74" t="s">
        <v>351</v>
      </c>
      <c r="V2666" s="74">
        <v>44327</v>
      </c>
      <c r="W2666" s="74">
        <v>44355</v>
      </c>
      <c r="X2666" s="55">
        <v>10186899</v>
      </c>
      <c r="Y2666" s="55" t="s">
        <v>132</v>
      </c>
      <c r="AB2666" s="74" t="s">
        <v>132</v>
      </c>
      <c r="AC2666" s="55" t="s">
        <v>132</v>
      </c>
      <c r="AL2666" s="74"/>
      <c r="AM2666" s="74"/>
      <c r="AW2666" s="74"/>
      <c r="AX2666" s="74"/>
    </row>
    <row r="2667" spans="1:50" ht="13" x14ac:dyDescent="0.15">
      <c r="A2667" s="55" t="str">
        <f>HYPERLINK("http://reports.ofsted.gov.uk/inspection-reports/find-inspection-report/provider/CARE/SC363144","Ofsted Social Care Provider Webpage")</f>
        <v>Ofsted Social Care Provider Webpage</v>
      </c>
      <c r="B2667" s="55" t="s">
        <v>5005</v>
      </c>
      <c r="C2667" s="55">
        <v>135419</v>
      </c>
      <c r="D2667" s="55" t="s">
        <v>413</v>
      </c>
      <c r="E2667" s="74">
        <v>39324</v>
      </c>
      <c r="F2667" s="55" t="s">
        <v>344</v>
      </c>
      <c r="G2667" s="55" t="s">
        <v>5006</v>
      </c>
      <c r="H2667" s="55" t="s">
        <v>5007</v>
      </c>
      <c r="I2667" s="55" t="s">
        <v>5008</v>
      </c>
      <c r="J2667" s="55" t="s">
        <v>5009</v>
      </c>
      <c r="K2667" s="55" t="s">
        <v>268</v>
      </c>
      <c r="L2667" s="55" t="s">
        <v>5010</v>
      </c>
      <c r="M2667" s="55" t="s">
        <v>150</v>
      </c>
      <c r="N2667" s="55" t="s">
        <v>150</v>
      </c>
      <c r="O2667" s="55" t="s">
        <v>268</v>
      </c>
      <c r="P2667" s="55" t="s">
        <v>2653</v>
      </c>
      <c r="Q2667" s="55" t="s">
        <v>350</v>
      </c>
      <c r="R2667" s="85">
        <v>15</v>
      </c>
      <c r="S2667" s="55">
        <v>0</v>
      </c>
      <c r="T2667" s="74" t="s">
        <v>450</v>
      </c>
      <c r="U2667" s="74" t="s">
        <v>351</v>
      </c>
      <c r="V2667" s="74">
        <v>44530</v>
      </c>
      <c r="W2667" s="74">
        <v>44581</v>
      </c>
      <c r="X2667" s="55">
        <v>10183474</v>
      </c>
      <c r="Y2667" s="55" t="s">
        <v>132</v>
      </c>
      <c r="AB2667" s="74" t="s">
        <v>132</v>
      </c>
      <c r="AC2667" s="55" t="s">
        <v>132</v>
      </c>
      <c r="AL2667" s="74"/>
      <c r="AM2667" s="74"/>
      <c r="AW2667" s="74"/>
      <c r="AX2667" s="74"/>
    </row>
    <row r="2668" spans="1:50" ht="13" x14ac:dyDescent="0.15">
      <c r="A2668" s="55" t="str">
        <f>HYPERLINK("http://reports.ofsted.gov.uk/inspection-reports/find-inspection-report/provider/CARE/SC363268","Ofsted Social Care Provider Webpage")</f>
        <v>Ofsted Social Care Provider Webpage</v>
      </c>
      <c r="B2668" s="55" t="s">
        <v>5011</v>
      </c>
      <c r="D2668" s="55" t="s">
        <v>373</v>
      </c>
      <c r="E2668" s="74">
        <v>39456</v>
      </c>
      <c r="F2668" s="55" t="s">
        <v>344</v>
      </c>
      <c r="G2668" s="55" t="s">
        <v>360</v>
      </c>
      <c r="H2668" s="55" t="s">
        <v>360</v>
      </c>
      <c r="I2668" s="55" t="s">
        <v>360</v>
      </c>
      <c r="J2668" s="55" t="s">
        <v>360</v>
      </c>
      <c r="K2668" s="55" t="s">
        <v>360</v>
      </c>
      <c r="L2668" s="55" t="s">
        <v>360</v>
      </c>
      <c r="M2668" s="55" t="s">
        <v>150</v>
      </c>
      <c r="N2668" s="55" t="s">
        <v>150</v>
      </c>
      <c r="O2668" s="55" t="s">
        <v>190</v>
      </c>
      <c r="P2668" s="55" t="s">
        <v>749</v>
      </c>
      <c r="Q2668" s="55" t="s">
        <v>350</v>
      </c>
      <c r="R2668" s="85">
        <v>3</v>
      </c>
      <c r="S2668" s="55">
        <v>0</v>
      </c>
      <c r="T2668" s="74" t="s">
        <v>888</v>
      </c>
      <c r="U2668" s="74" t="s">
        <v>351</v>
      </c>
      <c r="V2668" s="74">
        <v>44600</v>
      </c>
      <c r="W2668" s="74">
        <v>44659</v>
      </c>
      <c r="X2668" s="55">
        <v>10185209</v>
      </c>
      <c r="Y2668" s="55" t="s">
        <v>132</v>
      </c>
      <c r="AB2668" s="74" t="s">
        <v>132</v>
      </c>
      <c r="AC2668" s="55" t="s">
        <v>132</v>
      </c>
      <c r="AL2668" s="74"/>
      <c r="AM2668" s="74"/>
      <c r="AW2668" s="74"/>
      <c r="AX2668" s="74"/>
    </row>
    <row r="2669" spans="1:50" ht="13" x14ac:dyDescent="0.15">
      <c r="A2669" s="55" t="str">
        <f>HYPERLINK("http://reports.ofsted.gov.uk/inspection-reports/find-inspection-report/provider/CARE/SC363384","Ofsted Social Care Provider Webpage")</f>
        <v>Ofsted Social Care Provider Webpage</v>
      </c>
      <c r="B2669" s="55" t="s">
        <v>5012</v>
      </c>
      <c r="D2669" s="55" t="s">
        <v>373</v>
      </c>
      <c r="E2669" s="74">
        <v>39332</v>
      </c>
      <c r="F2669" s="55" t="s">
        <v>344</v>
      </c>
      <c r="G2669" s="55" t="s">
        <v>360</v>
      </c>
      <c r="H2669" s="55" t="s">
        <v>360</v>
      </c>
      <c r="I2669" s="55" t="s">
        <v>360</v>
      </c>
      <c r="J2669" s="55" t="s">
        <v>360</v>
      </c>
      <c r="K2669" s="55" t="s">
        <v>360</v>
      </c>
      <c r="L2669" s="55" t="s">
        <v>360</v>
      </c>
      <c r="M2669" s="55" t="s">
        <v>172</v>
      </c>
      <c r="N2669" s="55" t="s">
        <v>172</v>
      </c>
      <c r="O2669" s="55" t="s">
        <v>235</v>
      </c>
      <c r="P2669" s="55" t="s">
        <v>855</v>
      </c>
      <c r="Q2669" s="55" t="s">
        <v>350</v>
      </c>
      <c r="R2669" s="85">
        <v>4</v>
      </c>
      <c r="S2669" s="55">
        <v>0</v>
      </c>
      <c r="T2669" s="74" t="s">
        <v>789</v>
      </c>
      <c r="U2669" s="74" t="s">
        <v>351</v>
      </c>
      <c r="V2669" s="74">
        <v>44433</v>
      </c>
      <c r="W2669" s="74">
        <v>44466</v>
      </c>
      <c r="X2669" s="55">
        <v>10187340</v>
      </c>
      <c r="Y2669" s="55" t="s">
        <v>132</v>
      </c>
      <c r="AB2669" s="74" t="s">
        <v>132</v>
      </c>
      <c r="AC2669" s="55" t="s">
        <v>132</v>
      </c>
      <c r="AL2669" s="74"/>
      <c r="AM2669" s="74"/>
    </row>
    <row r="2670" spans="1:50" ht="13" x14ac:dyDescent="0.15">
      <c r="A2670" s="55" t="str">
        <f>HYPERLINK("http://reports.ofsted.gov.uk/inspection-reports/find-inspection-report/provider/CARE/SC363393","Ofsted Social Care Provider Webpage")</f>
        <v>Ofsted Social Care Provider Webpage</v>
      </c>
      <c r="B2670" s="55" t="s">
        <v>5013</v>
      </c>
      <c r="D2670" s="55" t="s">
        <v>373</v>
      </c>
      <c r="E2670" s="74">
        <v>39335</v>
      </c>
      <c r="F2670" s="55" t="s">
        <v>344</v>
      </c>
      <c r="G2670" s="55" t="s">
        <v>360</v>
      </c>
      <c r="H2670" s="55" t="s">
        <v>360</v>
      </c>
      <c r="I2670" s="55" t="s">
        <v>360</v>
      </c>
      <c r="J2670" s="55" t="s">
        <v>360</v>
      </c>
      <c r="K2670" s="55" t="s">
        <v>360</v>
      </c>
      <c r="L2670" s="55" t="s">
        <v>360</v>
      </c>
      <c r="M2670" s="55" t="s">
        <v>136</v>
      </c>
      <c r="N2670" s="55" t="s">
        <v>136</v>
      </c>
      <c r="O2670" s="55" t="s">
        <v>255</v>
      </c>
      <c r="P2670" s="55" t="s">
        <v>583</v>
      </c>
      <c r="Q2670" s="55" t="s">
        <v>350</v>
      </c>
      <c r="R2670" s="85">
        <v>3</v>
      </c>
      <c r="S2670" s="55">
        <v>0</v>
      </c>
      <c r="T2670" s="74" t="s">
        <v>789</v>
      </c>
      <c r="U2670" s="74" t="s">
        <v>351</v>
      </c>
      <c r="V2670" s="74">
        <v>44307</v>
      </c>
      <c r="W2670" s="74">
        <v>44333</v>
      </c>
      <c r="X2670" s="55">
        <v>10187042</v>
      </c>
      <c r="Y2670" s="55" t="s">
        <v>132</v>
      </c>
      <c r="AB2670" s="74" t="s">
        <v>132</v>
      </c>
      <c r="AC2670" s="55" t="s">
        <v>132</v>
      </c>
      <c r="AL2670" s="74"/>
      <c r="AM2670" s="74"/>
      <c r="AW2670" s="74"/>
      <c r="AX2670" s="74"/>
    </row>
    <row r="2671" spans="1:50" ht="13" x14ac:dyDescent="0.15">
      <c r="A2671" s="55" t="str">
        <f>HYPERLINK("http://reports.ofsted.gov.uk/inspection-reports/find-inspection-report/provider/CARE/SC363398","Ofsted Social Care Provider Webpage")</f>
        <v>Ofsted Social Care Provider Webpage</v>
      </c>
      <c r="B2671" s="55" t="s">
        <v>5014</v>
      </c>
      <c r="D2671" s="55" t="s">
        <v>373</v>
      </c>
      <c r="E2671" s="74">
        <v>39476</v>
      </c>
      <c r="F2671" s="55" t="s">
        <v>344</v>
      </c>
      <c r="G2671" s="55" t="s">
        <v>360</v>
      </c>
      <c r="H2671" s="55" t="s">
        <v>360</v>
      </c>
      <c r="I2671" s="55" t="s">
        <v>360</v>
      </c>
      <c r="J2671" s="55" t="s">
        <v>360</v>
      </c>
      <c r="K2671" s="55" t="s">
        <v>360</v>
      </c>
      <c r="L2671" s="55" t="s">
        <v>360</v>
      </c>
      <c r="M2671" s="55" t="s">
        <v>144</v>
      </c>
      <c r="N2671" s="55" t="s">
        <v>144</v>
      </c>
      <c r="O2671" s="55" t="s">
        <v>145</v>
      </c>
      <c r="P2671" s="55" t="s">
        <v>484</v>
      </c>
      <c r="Q2671" s="55" t="s">
        <v>350</v>
      </c>
      <c r="R2671" s="85">
        <v>4</v>
      </c>
      <c r="S2671" s="55">
        <v>0</v>
      </c>
      <c r="T2671" s="74" t="s">
        <v>485</v>
      </c>
      <c r="U2671" s="74" t="s">
        <v>351</v>
      </c>
      <c r="V2671" s="74">
        <v>44572</v>
      </c>
      <c r="W2671" s="74">
        <v>44599</v>
      </c>
      <c r="X2671" s="55">
        <v>10185559</v>
      </c>
      <c r="Y2671" s="55" t="s">
        <v>140</v>
      </c>
      <c r="AB2671" s="74" t="s">
        <v>140</v>
      </c>
      <c r="AC2671" s="55" t="s">
        <v>140</v>
      </c>
      <c r="AL2671" s="74"/>
      <c r="AM2671" s="74"/>
      <c r="AW2671" s="74"/>
      <c r="AX2671" s="74"/>
    </row>
    <row r="2672" spans="1:50" ht="13" x14ac:dyDescent="0.15">
      <c r="A2672" s="55" t="str">
        <f>HYPERLINK("http://reports.ofsted.gov.uk/inspection-reports/find-inspection-report/provider/CARE/SC363403","Ofsted Social Care Provider Webpage")</f>
        <v>Ofsted Social Care Provider Webpage</v>
      </c>
      <c r="B2672" s="55" t="s">
        <v>5015</v>
      </c>
      <c r="D2672" s="55" t="s">
        <v>373</v>
      </c>
      <c r="E2672" s="74">
        <v>39365</v>
      </c>
      <c r="F2672" s="55" t="s">
        <v>344</v>
      </c>
      <c r="G2672" s="55" t="s">
        <v>360</v>
      </c>
      <c r="H2672" s="55" t="s">
        <v>360</v>
      </c>
      <c r="I2672" s="55" t="s">
        <v>360</v>
      </c>
      <c r="J2672" s="55" t="s">
        <v>360</v>
      </c>
      <c r="K2672" s="55" t="s">
        <v>360</v>
      </c>
      <c r="L2672" s="55" t="s">
        <v>360</v>
      </c>
      <c r="M2672" s="55" t="s">
        <v>172</v>
      </c>
      <c r="N2672" s="55" t="s">
        <v>172</v>
      </c>
      <c r="O2672" s="55" t="s">
        <v>214</v>
      </c>
      <c r="P2672" s="55" t="s">
        <v>790</v>
      </c>
      <c r="Q2672" s="55" t="s">
        <v>350</v>
      </c>
      <c r="R2672" s="85">
        <v>4</v>
      </c>
      <c r="S2672" s="55">
        <v>0</v>
      </c>
      <c r="T2672" s="74" t="s">
        <v>789</v>
      </c>
      <c r="U2672" s="74" t="s">
        <v>351</v>
      </c>
      <c r="V2672" s="74">
        <v>44503</v>
      </c>
      <c r="W2672" s="74">
        <v>44533</v>
      </c>
      <c r="X2672" s="55">
        <v>10186852</v>
      </c>
      <c r="Y2672" s="55" t="s">
        <v>132</v>
      </c>
      <c r="AB2672" s="74" t="s">
        <v>130</v>
      </c>
      <c r="AC2672" s="55" t="s">
        <v>132</v>
      </c>
      <c r="AL2672" s="74"/>
      <c r="AM2672" s="74"/>
      <c r="AW2672" s="74"/>
      <c r="AX2672" s="74"/>
    </row>
    <row r="2673" spans="1:50" ht="13" x14ac:dyDescent="0.15">
      <c r="A2673" s="55" t="str">
        <f>HYPERLINK("http://reports.ofsted.gov.uk/inspection-reports/find-inspection-report/provider/CARE/SC363422","Ofsted Social Care Provider Webpage")</f>
        <v>Ofsted Social Care Provider Webpage</v>
      </c>
      <c r="B2673" s="55" t="s">
        <v>5016</v>
      </c>
      <c r="D2673" s="55" t="s">
        <v>373</v>
      </c>
      <c r="E2673" s="74">
        <v>39335</v>
      </c>
      <c r="F2673" s="55" t="s">
        <v>344</v>
      </c>
      <c r="G2673" s="55" t="s">
        <v>360</v>
      </c>
      <c r="H2673" s="55" t="s">
        <v>360</v>
      </c>
      <c r="I2673" s="55" t="s">
        <v>360</v>
      </c>
      <c r="J2673" s="55" t="s">
        <v>360</v>
      </c>
      <c r="K2673" s="55" t="s">
        <v>360</v>
      </c>
      <c r="L2673" s="55" t="s">
        <v>360</v>
      </c>
      <c r="M2673" s="55" t="s">
        <v>172</v>
      </c>
      <c r="N2673" s="55" t="s">
        <v>172</v>
      </c>
      <c r="O2673" s="55" t="s">
        <v>214</v>
      </c>
      <c r="P2673" s="55" t="s">
        <v>790</v>
      </c>
      <c r="Q2673" s="55" t="s">
        <v>350</v>
      </c>
      <c r="R2673" s="85">
        <v>3</v>
      </c>
      <c r="S2673" s="55">
        <v>0</v>
      </c>
      <c r="T2673" s="74" t="s">
        <v>789</v>
      </c>
      <c r="U2673" s="74" t="s">
        <v>351</v>
      </c>
      <c r="V2673" s="74">
        <v>44517</v>
      </c>
      <c r="W2673" s="74">
        <v>44560</v>
      </c>
      <c r="X2673" s="55">
        <v>10186341</v>
      </c>
      <c r="Y2673" s="55" t="s">
        <v>132</v>
      </c>
      <c r="AB2673" s="74" t="s">
        <v>132</v>
      </c>
      <c r="AC2673" s="55" t="s">
        <v>140</v>
      </c>
      <c r="AL2673" s="74"/>
      <c r="AM2673" s="74"/>
      <c r="AW2673" s="74"/>
      <c r="AX2673" s="74"/>
    </row>
    <row r="2674" spans="1:50" ht="13" x14ac:dyDescent="0.15">
      <c r="A2674" s="55" t="str">
        <f>HYPERLINK("http://reports.ofsted.gov.uk/inspection-reports/find-inspection-report/provider/CARE/SC363630","Ofsted Social Care Provider Webpage")</f>
        <v>Ofsted Social Care Provider Webpage</v>
      </c>
      <c r="B2674" s="55" t="s">
        <v>5023</v>
      </c>
      <c r="D2674" s="55" t="s">
        <v>373</v>
      </c>
      <c r="E2674" s="74">
        <v>39472</v>
      </c>
      <c r="F2674" s="55" t="s">
        <v>344</v>
      </c>
      <c r="G2674" s="55" t="s">
        <v>360</v>
      </c>
      <c r="H2674" s="55" t="s">
        <v>360</v>
      </c>
      <c r="I2674" s="55" t="s">
        <v>360</v>
      </c>
      <c r="J2674" s="55" t="s">
        <v>360</v>
      </c>
      <c r="K2674" s="55" t="s">
        <v>360</v>
      </c>
      <c r="L2674" s="55" t="s">
        <v>360</v>
      </c>
      <c r="M2674" s="55" t="s">
        <v>378</v>
      </c>
      <c r="N2674" s="55" t="s">
        <v>134</v>
      </c>
      <c r="O2674" s="55" t="s">
        <v>133</v>
      </c>
      <c r="P2674" s="55" t="s">
        <v>2789</v>
      </c>
      <c r="Q2674" s="55" t="s">
        <v>350</v>
      </c>
      <c r="R2674" s="85">
        <v>3</v>
      </c>
      <c r="S2674" s="55">
        <v>0</v>
      </c>
      <c r="T2674" s="74" t="s">
        <v>2811</v>
      </c>
      <c r="U2674" s="74" t="s">
        <v>351</v>
      </c>
      <c r="V2674" s="74">
        <v>44370</v>
      </c>
      <c r="W2674" s="74">
        <v>44405</v>
      </c>
      <c r="X2674" s="55">
        <v>10185573</v>
      </c>
      <c r="Y2674" s="55" t="s">
        <v>132</v>
      </c>
      <c r="AB2674" s="74" t="s">
        <v>132</v>
      </c>
      <c r="AC2674" s="55" t="s">
        <v>130</v>
      </c>
      <c r="AL2674" s="74"/>
      <c r="AM2674" s="74"/>
      <c r="AW2674" s="74"/>
      <c r="AX2674" s="74"/>
    </row>
    <row r="2675" spans="1:50" ht="13" x14ac:dyDescent="0.15">
      <c r="A2675" s="55" t="str">
        <f>HYPERLINK("http://reports.ofsted.gov.uk/inspection-reports/find-inspection-report/provider/CARE/SC364812","Ofsted Social Care Provider Webpage")</f>
        <v>Ofsted Social Care Provider Webpage</v>
      </c>
      <c r="B2675" s="55" t="s">
        <v>5024</v>
      </c>
      <c r="D2675" s="55" t="s">
        <v>373</v>
      </c>
      <c r="E2675" s="74">
        <v>39423</v>
      </c>
      <c r="F2675" s="55" t="s">
        <v>344</v>
      </c>
      <c r="G2675" s="55" t="s">
        <v>360</v>
      </c>
      <c r="H2675" s="55" t="s">
        <v>360</v>
      </c>
      <c r="I2675" s="55" t="s">
        <v>360</v>
      </c>
      <c r="J2675" s="55" t="s">
        <v>360</v>
      </c>
      <c r="K2675" s="55" t="s">
        <v>360</v>
      </c>
      <c r="L2675" s="55" t="s">
        <v>360</v>
      </c>
      <c r="M2675" s="55" t="s">
        <v>150</v>
      </c>
      <c r="N2675" s="55" t="s">
        <v>150</v>
      </c>
      <c r="O2675" s="55" t="s">
        <v>285</v>
      </c>
      <c r="P2675" s="55" t="s">
        <v>1810</v>
      </c>
      <c r="Q2675" s="55" t="s">
        <v>350</v>
      </c>
      <c r="R2675" s="85">
        <v>2</v>
      </c>
      <c r="S2675" s="55">
        <v>0</v>
      </c>
      <c r="T2675" s="74" t="s">
        <v>931</v>
      </c>
      <c r="U2675" s="74" t="s">
        <v>351</v>
      </c>
      <c r="V2675" s="74">
        <v>44594</v>
      </c>
      <c r="W2675" s="74">
        <v>44637</v>
      </c>
      <c r="X2675" s="55">
        <v>10186333</v>
      </c>
      <c r="Y2675" s="55" t="s">
        <v>132</v>
      </c>
      <c r="AB2675" s="74" t="s">
        <v>132</v>
      </c>
      <c r="AC2675" s="55" t="s">
        <v>132</v>
      </c>
      <c r="AL2675" s="74"/>
      <c r="AM2675" s="74"/>
      <c r="AW2675" s="74"/>
      <c r="AX2675" s="74"/>
    </row>
    <row r="2676" spans="1:50" ht="13" x14ac:dyDescent="0.15">
      <c r="A2676" s="55" t="str">
        <f>HYPERLINK("http://reports.ofsted.gov.uk/inspection-reports/find-inspection-report/provider/CARE/SC365366","Ofsted Social Care Provider Webpage")</f>
        <v>Ofsted Social Care Provider Webpage</v>
      </c>
      <c r="B2676" s="55" t="s">
        <v>5025</v>
      </c>
      <c r="D2676" s="55" t="s">
        <v>373</v>
      </c>
      <c r="E2676" s="74">
        <v>39524</v>
      </c>
      <c r="F2676" s="55" t="s">
        <v>344</v>
      </c>
      <c r="G2676" s="55" t="s">
        <v>360</v>
      </c>
      <c r="H2676" s="55" t="s">
        <v>360</v>
      </c>
      <c r="I2676" s="55" t="s">
        <v>360</v>
      </c>
      <c r="J2676" s="55" t="s">
        <v>360</v>
      </c>
      <c r="K2676" s="55" t="s">
        <v>360</v>
      </c>
      <c r="L2676" s="55" t="s">
        <v>360</v>
      </c>
      <c r="M2676" s="55" t="s">
        <v>142</v>
      </c>
      <c r="N2676" s="55" t="s">
        <v>142</v>
      </c>
      <c r="O2676" s="55" t="s">
        <v>141</v>
      </c>
      <c r="P2676" s="55" t="s">
        <v>641</v>
      </c>
      <c r="Q2676" s="55" t="s">
        <v>350</v>
      </c>
      <c r="R2676" s="85">
        <v>3</v>
      </c>
      <c r="S2676" s="55">
        <v>0</v>
      </c>
      <c r="T2676" s="74" t="s">
        <v>1261</v>
      </c>
      <c r="U2676" s="74" t="s">
        <v>6703</v>
      </c>
      <c r="V2676" s="74">
        <v>44567</v>
      </c>
      <c r="W2676" s="74">
        <v>44595</v>
      </c>
      <c r="X2676" s="55">
        <v>10217233</v>
      </c>
      <c r="Y2676" s="55" t="s">
        <v>6705</v>
      </c>
      <c r="AL2676" s="74"/>
      <c r="AM2676" s="74"/>
      <c r="AW2676" s="74"/>
      <c r="AX2676" s="74"/>
    </row>
    <row r="2677" spans="1:50" ht="13" x14ac:dyDescent="0.15">
      <c r="A2677" s="55" t="str">
        <f>HYPERLINK("http://reports.ofsted.gov.uk/inspection-reports/find-inspection-report/provider/CARE/SC365366","Ofsted Social Care Provider Webpage")</f>
        <v>Ofsted Social Care Provider Webpage</v>
      </c>
      <c r="B2677" s="55" t="s">
        <v>5025</v>
      </c>
      <c r="D2677" s="55" t="s">
        <v>373</v>
      </c>
      <c r="E2677" s="74">
        <v>39524</v>
      </c>
      <c r="F2677" s="55" t="s">
        <v>344</v>
      </c>
      <c r="G2677" s="55" t="s">
        <v>360</v>
      </c>
      <c r="H2677" s="55" t="s">
        <v>360</v>
      </c>
      <c r="I2677" s="55" t="s">
        <v>360</v>
      </c>
      <c r="J2677" s="55" t="s">
        <v>360</v>
      </c>
      <c r="K2677" s="55" t="s">
        <v>360</v>
      </c>
      <c r="L2677" s="55" t="s">
        <v>360</v>
      </c>
      <c r="M2677" s="55" t="s">
        <v>142</v>
      </c>
      <c r="N2677" s="55" t="s">
        <v>142</v>
      </c>
      <c r="O2677" s="55" t="s">
        <v>141</v>
      </c>
      <c r="P2677" s="55" t="s">
        <v>641</v>
      </c>
      <c r="Q2677" s="55" t="s">
        <v>350</v>
      </c>
      <c r="R2677" s="85">
        <v>3</v>
      </c>
      <c r="S2677" s="55">
        <v>0</v>
      </c>
      <c r="T2677" s="74" t="s">
        <v>1261</v>
      </c>
      <c r="U2677" s="74" t="s">
        <v>351</v>
      </c>
      <c r="V2677" s="74">
        <v>44334</v>
      </c>
      <c r="W2677" s="74">
        <v>44368</v>
      </c>
      <c r="X2677" s="55">
        <v>10185657</v>
      </c>
      <c r="Y2677" s="55" t="s">
        <v>130</v>
      </c>
      <c r="AB2677" s="74" t="s">
        <v>130</v>
      </c>
      <c r="AC2677" s="55" t="s">
        <v>130</v>
      </c>
      <c r="AL2677" s="74"/>
      <c r="AM2677" s="74"/>
      <c r="AW2677" s="74"/>
      <c r="AX2677" s="74"/>
    </row>
    <row r="2678" spans="1:50" ht="13" x14ac:dyDescent="0.15">
      <c r="A2678" s="55" t="str">
        <f>HYPERLINK("http://reports.ofsted.gov.uk/inspection-reports/find-inspection-report/provider/CARE/SC366002","Ofsted Social Care Provider Webpage")</f>
        <v>Ofsted Social Care Provider Webpage</v>
      </c>
      <c r="B2678" s="55" t="s">
        <v>5026</v>
      </c>
      <c r="D2678" s="55" t="s">
        <v>373</v>
      </c>
      <c r="E2678" s="74">
        <v>39470</v>
      </c>
      <c r="F2678" s="55" t="s">
        <v>344</v>
      </c>
      <c r="G2678" s="55" t="s">
        <v>360</v>
      </c>
      <c r="H2678" s="55" t="s">
        <v>360</v>
      </c>
      <c r="I2678" s="55" t="s">
        <v>360</v>
      </c>
      <c r="J2678" s="55" t="s">
        <v>360</v>
      </c>
      <c r="K2678" s="55" t="s">
        <v>360</v>
      </c>
      <c r="L2678" s="55" t="s">
        <v>360</v>
      </c>
      <c r="M2678" s="55" t="s">
        <v>144</v>
      </c>
      <c r="N2678" s="55" t="s">
        <v>144</v>
      </c>
      <c r="O2678" s="55" t="s">
        <v>163</v>
      </c>
      <c r="P2678" s="55" t="s">
        <v>1997</v>
      </c>
      <c r="Q2678" s="55" t="s">
        <v>350</v>
      </c>
      <c r="R2678" s="85">
        <v>4</v>
      </c>
      <c r="S2678" s="55">
        <v>0</v>
      </c>
      <c r="T2678" s="74" t="s">
        <v>4738</v>
      </c>
      <c r="U2678" s="74" t="s">
        <v>351</v>
      </c>
      <c r="V2678" s="74">
        <v>44622</v>
      </c>
      <c r="W2678" s="74">
        <v>44673</v>
      </c>
      <c r="X2678" s="55">
        <v>10185898</v>
      </c>
      <c r="Y2678" s="55" t="s">
        <v>132</v>
      </c>
      <c r="AB2678" s="74" t="s">
        <v>132</v>
      </c>
      <c r="AC2678" s="55" t="s">
        <v>132</v>
      </c>
      <c r="AL2678" s="74"/>
      <c r="AM2678" s="74"/>
      <c r="AW2678" s="74"/>
      <c r="AX2678" s="74"/>
    </row>
    <row r="2679" spans="1:50" ht="13" x14ac:dyDescent="0.15">
      <c r="A2679" s="55" t="str">
        <f>HYPERLINK("http://reports.ofsted.gov.uk/inspection-reports/find-inspection-report/provider/CARE/SC366080","Ofsted Social Care Provider Webpage")</f>
        <v>Ofsted Social Care Provider Webpage</v>
      </c>
      <c r="B2679" s="55" t="s">
        <v>5027</v>
      </c>
      <c r="D2679" s="55" t="s">
        <v>373</v>
      </c>
      <c r="E2679" s="74">
        <v>39454</v>
      </c>
      <c r="F2679" s="55" t="s">
        <v>344</v>
      </c>
      <c r="G2679" s="55" t="s">
        <v>360</v>
      </c>
      <c r="H2679" s="55" t="s">
        <v>360</v>
      </c>
      <c r="I2679" s="55" t="s">
        <v>360</v>
      </c>
      <c r="J2679" s="55" t="s">
        <v>360</v>
      </c>
      <c r="K2679" s="55" t="s">
        <v>360</v>
      </c>
      <c r="L2679" s="55" t="s">
        <v>360</v>
      </c>
      <c r="M2679" s="55" t="s">
        <v>142</v>
      </c>
      <c r="N2679" s="55" t="s">
        <v>142</v>
      </c>
      <c r="O2679" s="55" t="s">
        <v>252</v>
      </c>
      <c r="P2679" s="55" t="s">
        <v>386</v>
      </c>
      <c r="Q2679" s="55" t="s">
        <v>350</v>
      </c>
      <c r="R2679" s="85">
        <v>3</v>
      </c>
      <c r="S2679" s="55">
        <v>0</v>
      </c>
      <c r="T2679" s="74" t="s">
        <v>504</v>
      </c>
      <c r="U2679" s="74" t="s">
        <v>351</v>
      </c>
      <c r="V2679" s="74">
        <v>44453</v>
      </c>
      <c r="W2679" s="74">
        <v>44494</v>
      </c>
      <c r="X2679" s="55">
        <v>10185646</v>
      </c>
      <c r="Y2679" s="55" t="s">
        <v>132</v>
      </c>
      <c r="AB2679" s="74" t="s">
        <v>132</v>
      </c>
      <c r="AC2679" s="55" t="s">
        <v>130</v>
      </c>
      <c r="AL2679" s="74"/>
      <c r="AM2679" s="74"/>
      <c r="AW2679" s="74"/>
      <c r="AX2679" s="74"/>
    </row>
    <row r="2680" spans="1:50" ht="13" x14ac:dyDescent="0.15">
      <c r="A2680" s="55" t="str">
        <f>HYPERLINK("http://reports.ofsted.gov.uk/inspection-reports/find-inspection-report/provider/CARE/SC366090","Ofsted Social Care Provider Webpage")</f>
        <v>Ofsted Social Care Provider Webpage</v>
      </c>
      <c r="B2680" s="55" t="s">
        <v>5028</v>
      </c>
      <c r="D2680" s="55" t="s">
        <v>373</v>
      </c>
      <c r="E2680" s="74">
        <v>39454</v>
      </c>
      <c r="F2680" s="55" t="s">
        <v>344</v>
      </c>
      <c r="G2680" s="55" t="s">
        <v>360</v>
      </c>
      <c r="H2680" s="55" t="s">
        <v>360</v>
      </c>
      <c r="I2680" s="55" t="s">
        <v>360</v>
      </c>
      <c r="J2680" s="55" t="s">
        <v>360</v>
      </c>
      <c r="K2680" s="55" t="s">
        <v>360</v>
      </c>
      <c r="L2680" s="55" t="s">
        <v>360</v>
      </c>
      <c r="M2680" s="55" t="s">
        <v>142</v>
      </c>
      <c r="N2680" s="55" t="s">
        <v>142</v>
      </c>
      <c r="O2680" s="55" t="s">
        <v>252</v>
      </c>
      <c r="P2680" s="55" t="s">
        <v>388</v>
      </c>
      <c r="Q2680" s="55" t="s">
        <v>350</v>
      </c>
      <c r="R2680" s="85">
        <v>2</v>
      </c>
      <c r="S2680" s="55">
        <v>0</v>
      </c>
      <c r="T2680" s="74" t="s">
        <v>504</v>
      </c>
      <c r="U2680" s="74" t="s">
        <v>351</v>
      </c>
      <c r="V2680" s="74">
        <v>44509</v>
      </c>
      <c r="W2680" s="74">
        <v>44560</v>
      </c>
      <c r="X2680" s="55">
        <v>10187211</v>
      </c>
      <c r="Y2680" s="55" t="s">
        <v>140</v>
      </c>
      <c r="AB2680" s="74" t="s">
        <v>140</v>
      </c>
      <c r="AC2680" s="55" t="s">
        <v>140</v>
      </c>
      <c r="AL2680" s="74"/>
      <c r="AM2680" s="74"/>
      <c r="AW2680" s="74"/>
      <c r="AX2680" s="74"/>
    </row>
    <row r="2681" spans="1:50" ht="13" x14ac:dyDescent="0.15">
      <c r="A2681" s="55" t="str">
        <f>HYPERLINK("http://reports.ofsted.gov.uk/inspection-reports/find-inspection-report/provider/CARE/SC366093","Ofsted Social Care Provider Webpage")</f>
        <v>Ofsted Social Care Provider Webpage</v>
      </c>
      <c r="B2681" s="55" t="s">
        <v>5029</v>
      </c>
      <c r="D2681" s="55" t="s">
        <v>373</v>
      </c>
      <c r="E2681" s="74">
        <v>39454</v>
      </c>
      <c r="F2681" s="55" t="s">
        <v>344</v>
      </c>
      <c r="G2681" s="55" t="s">
        <v>360</v>
      </c>
      <c r="H2681" s="55" t="s">
        <v>360</v>
      </c>
      <c r="I2681" s="55" t="s">
        <v>360</v>
      </c>
      <c r="J2681" s="55" t="s">
        <v>360</v>
      </c>
      <c r="K2681" s="55" t="s">
        <v>360</v>
      </c>
      <c r="L2681" s="55" t="s">
        <v>360</v>
      </c>
      <c r="M2681" s="55" t="s">
        <v>142</v>
      </c>
      <c r="N2681" s="55" t="s">
        <v>142</v>
      </c>
      <c r="O2681" s="55" t="s">
        <v>252</v>
      </c>
      <c r="P2681" s="55" t="s">
        <v>503</v>
      </c>
      <c r="Q2681" s="55" t="s">
        <v>350</v>
      </c>
      <c r="R2681" s="85">
        <v>3</v>
      </c>
      <c r="S2681" s="55">
        <v>0</v>
      </c>
      <c r="T2681" s="74" t="s">
        <v>504</v>
      </c>
      <c r="U2681" s="74" t="s">
        <v>351</v>
      </c>
      <c r="V2681" s="74">
        <v>44356</v>
      </c>
      <c r="W2681" s="74">
        <v>44386</v>
      </c>
      <c r="X2681" s="55">
        <v>10186265</v>
      </c>
      <c r="Y2681" s="55" t="s">
        <v>132</v>
      </c>
      <c r="AB2681" s="74" t="s">
        <v>132</v>
      </c>
      <c r="AC2681" s="55" t="s">
        <v>132</v>
      </c>
      <c r="AL2681" s="74"/>
      <c r="AM2681" s="74"/>
    </row>
    <row r="2682" spans="1:50" ht="13" x14ac:dyDescent="0.15">
      <c r="A2682" s="55" t="str">
        <f>HYPERLINK("http://reports.ofsted.gov.uk/inspection-reports/find-inspection-report/provider/CARE/SC366104","Ofsted Social Care Provider Webpage")</f>
        <v>Ofsted Social Care Provider Webpage</v>
      </c>
      <c r="B2682" s="55" t="s">
        <v>5030</v>
      </c>
      <c r="D2682" s="55" t="s">
        <v>373</v>
      </c>
      <c r="E2682" s="74">
        <v>39436</v>
      </c>
      <c r="F2682" s="55" t="s">
        <v>344</v>
      </c>
      <c r="G2682" s="55" t="s">
        <v>360</v>
      </c>
      <c r="H2682" s="55" t="s">
        <v>360</v>
      </c>
      <c r="I2682" s="55" t="s">
        <v>360</v>
      </c>
      <c r="J2682" s="55" t="s">
        <v>360</v>
      </c>
      <c r="K2682" s="55" t="s">
        <v>360</v>
      </c>
      <c r="L2682" s="55" t="s">
        <v>360</v>
      </c>
      <c r="M2682" s="55" t="s">
        <v>142</v>
      </c>
      <c r="N2682" s="55" t="s">
        <v>142</v>
      </c>
      <c r="O2682" s="55" t="s">
        <v>262</v>
      </c>
      <c r="P2682" s="55" t="s">
        <v>523</v>
      </c>
      <c r="Q2682" s="55" t="s">
        <v>350</v>
      </c>
      <c r="R2682" s="85">
        <v>3</v>
      </c>
      <c r="S2682" s="55">
        <v>0</v>
      </c>
      <c r="T2682" s="74" t="s">
        <v>504</v>
      </c>
      <c r="U2682" s="74" t="s">
        <v>351</v>
      </c>
      <c r="V2682" s="74">
        <v>44397</v>
      </c>
      <c r="W2682" s="74">
        <v>44445</v>
      </c>
      <c r="X2682" s="55">
        <v>10185224</v>
      </c>
      <c r="Y2682" s="55" t="s">
        <v>140</v>
      </c>
      <c r="AB2682" s="74" t="s">
        <v>140</v>
      </c>
      <c r="AC2682" s="55" t="s">
        <v>140</v>
      </c>
      <c r="AL2682" s="74"/>
      <c r="AM2682" s="74"/>
      <c r="AW2682" s="74"/>
      <c r="AX2682" s="74"/>
    </row>
    <row r="2683" spans="1:50" ht="13" x14ac:dyDescent="0.15">
      <c r="A2683" s="55" t="str">
        <f>HYPERLINK("http://reports.ofsted.gov.uk/inspection-reports/find-inspection-report/provider/CARE/SC366107","Ofsted Social Care Provider Webpage")</f>
        <v>Ofsted Social Care Provider Webpage</v>
      </c>
      <c r="B2683" s="55" t="s">
        <v>5031</v>
      </c>
      <c r="D2683" s="55" t="s">
        <v>373</v>
      </c>
      <c r="E2683" s="74">
        <v>39454</v>
      </c>
      <c r="F2683" s="55" t="s">
        <v>344</v>
      </c>
      <c r="G2683" s="55" t="s">
        <v>360</v>
      </c>
      <c r="H2683" s="55" t="s">
        <v>360</v>
      </c>
      <c r="I2683" s="55" t="s">
        <v>360</v>
      </c>
      <c r="J2683" s="55" t="s">
        <v>360</v>
      </c>
      <c r="K2683" s="55" t="s">
        <v>360</v>
      </c>
      <c r="L2683" s="55" t="s">
        <v>360</v>
      </c>
      <c r="M2683" s="55" t="s">
        <v>142</v>
      </c>
      <c r="N2683" s="55" t="s">
        <v>142</v>
      </c>
      <c r="O2683" s="55" t="s">
        <v>252</v>
      </c>
      <c r="P2683" s="55" t="s">
        <v>388</v>
      </c>
      <c r="Q2683" s="55" t="s">
        <v>350</v>
      </c>
      <c r="R2683" s="85">
        <v>3</v>
      </c>
      <c r="S2683" s="55">
        <v>0</v>
      </c>
      <c r="T2683" s="74" t="s">
        <v>504</v>
      </c>
      <c r="U2683" s="74" t="s">
        <v>351</v>
      </c>
      <c r="V2683" s="74">
        <v>44489</v>
      </c>
      <c r="W2683" s="74">
        <v>44543</v>
      </c>
      <c r="X2683" s="55">
        <v>10185213</v>
      </c>
      <c r="Y2683" s="55" t="s">
        <v>130</v>
      </c>
      <c r="AB2683" s="74" t="s">
        <v>130</v>
      </c>
      <c r="AC2683" s="55" t="s">
        <v>130</v>
      </c>
      <c r="AL2683" s="74"/>
      <c r="AM2683" s="74"/>
      <c r="AW2683" s="74"/>
      <c r="AX2683" s="74"/>
    </row>
    <row r="2684" spans="1:50" ht="13" x14ac:dyDescent="0.15">
      <c r="A2684" s="55" t="str">
        <f>HYPERLINK("http://reports.ofsted.gov.uk/inspection-reports/find-inspection-report/provider/CARE/SC366107","Ofsted Social Care Provider Webpage")</f>
        <v>Ofsted Social Care Provider Webpage</v>
      </c>
      <c r="B2684" s="55" t="s">
        <v>5031</v>
      </c>
      <c r="D2684" s="55" t="s">
        <v>373</v>
      </c>
      <c r="E2684" s="74">
        <v>39454</v>
      </c>
      <c r="F2684" s="55" t="s">
        <v>344</v>
      </c>
      <c r="G2684" s="55" t="s">
        <v>360</v>
      </c>
      <c r="H2684" s="55" t="s">
        <v>360</v>
      </c>
      <c r="I2684" s="55" t="s">
        <v>360</v>
      </c>
      <c r="J2684" s="55" t="s">
        <v>360</v>
      </c>
      <c r="K2684" s="55" t="s">
        <v>360</v>
      </c>
      <c r="L2684" s="55" t="s">
        <v>360</v>
      </c>
      <c r="M2684" s="55" t="s">
        <v>142</v>
      </c>
      <c r="N2684" s="55" t="s">
        <v>142</v>
      </c>
      <c r="O2684" s="55" t="s">
        <v>252</v>
      </c>
      <c r="P2684" s="55" t="s">
        <v>388</v>
      </c>
      <c r="Q2684" s="55" t="s">
        <v>350</v>
      </c>
      <c r="R2684" s="85">
        <v>3</v>
      </c>
      <c r="S2684" s="55">
        <v>0</v>
      </c>
      <c r="T2684" s="74" t="s">
        <v>504</v>
      </c>
      <c r="U2684" s="74" t="s">
        <v>6703</v>
      </c>
      <c r="V2684" s="74">
        <v>44595</v>
      </c>
      <c r="W2684" s="74">
        <v>44641</v>
      </c>
      <c r="X2684" s="55">
        <v>10217221</v>
      </c>
      <c r="Y2684" s="55" t="s">
        <v>6705</v>
      </c>
      <c r="AL2684" s="74"/>
      <c r="AM2684" s="74"/>
      <c r="AW2684" s="74"/>
      <c r="AX2684" s="74"/>
    </row>
    <row r="2685" spans="1:50" ht="13" x14ac:dyDescent="0.15">
      <c r="A2685" s="55" t="str">
        <f>HYPERLINK("http://reports.ofsted.gov.uk/inspection-reports/find-inspection-report/provider/CARE/SC366112","Ofsted Social Care Provider Webpage")</f>
        <v>Ofsted Social Care Provider Webpage</v>
      </c>
      <c r="B2685" s="55" t="s">
        <v>5032</v>
      </c>
      <c r="D2685" s="55" t="s">
        <v>373</v>
      </c>
      <c r="E2685" s="74">
        <v>39454</v>
      </c>
      <c r="F2685" s="55" t="s">
        <v>344</v>
      </c>
      <c r="G2685" s="55" t="s">
        <v>360</v>
      </c>
      <c r="H2685" s="55" t="s">
        <v>360</v>
      </c>
      <c r="I2685" s="55" t="s">
        <v>360</v>
      </c>
      <c r="J2685" s="55" t="s">
        <v>360</v>
      </c>
      <c r="K2685" s="55" t="s">
        <v>360</v>
      </c>
      <c r="L2685" s="55" t="s">
        <v>360</v>
      </c>
      <c r="M2685" s="55" t="s">
        <v>142</v>
      </c>
      <c r="N2685" s="55" t="s">
        <v>142</v>
      </c>
      <c r="O2685" s="55" t="s">
        <v>252</v>
      </c>
      <c r="P2685" s="55" t="s">
        <v>388</v>
      </c>
      <c r="Q2685" s="55" t="s">
        <v>350</v>
      </c>
      <c r="R2685" s="85">
        <v>1</v>
      </c>
      <c r="S2685" s="55">
        <v>0</v>
      </c>
      <c r="T2685" s="74" t="s">
        <v>504</v>
      </c>
      <c r="U2685" s="74" t="s">
        <v>351</v>
      </c>
      <c r="V2685" s="74">
        <v>44544</v>
      </c>
      <c r="W2685" s="74">
        <v>44593</v>
      </c>
      <c r="X2685" s="55">
        <v>10186922</v>
      </c>
      <c r="Y2685" s="55" t="s">
        <v>130</v>
      </c>
      <c r="AB2685" s="74" t="s">
        <v>130</v>
      </c>
      <c r="AC2685" s="55" t="s">
        <v>130</v>
      </c>
      <c r="AL2685" s="74"/>
      <c r="AM2685" s="74"/>
    </row>
    <row r="2686" spans="1:50" ht="13" x14ac:dyDescent="0.15">
      <c r="A2686" s="55" t="str">
        <f>HYPERLINK("http://reports.ofsted.gov.uk/inspection-reports/find-inspection-report/provider/CARE/SC366343","Ofsted Social Care Provider Webpage")</f>
        <v>Ofsted Social Care Provider Webpage</v>
      </c>
      <c r="B2686" s="55" t="s">
        <v>5033</v>
      </c>
      <c r="D2686" s="55" t="s">
        <v>373</v>
      </c>
      <c r="E2686" s="74">
        <v>39484</v>
      </c>
      <c r="F2686" s="55" t="s">
        <v>344</v>
      </c>
      <c r="G2686" s="55" t="s">
        <v>360</v>
      </c>
      <c r="H2686" s="55" t="s">
        <v>360</v>
      </c>
      <c r="I2686" s="55" t="s">
        <v>360</v>
      </c>
      <c r="J2686" s="55" t="s">
        <v>360</v>
      </c>
      <c r="K2686" s="55" t="s">
        <v>360</v>
      </c>
      <c r="L2686" s="55" t="s">
        <v>360</v>
      </c>
      <c r="M2686" s="55" t="s">
        <v>144</v>
      </c>
      <c r="N2686" s="55" t="s">
        <v>144</v>
      </c>
      <c r="O2686" s="55" t="s">
        <v>271</v>
      </c>
      <c r="P2686" s="55" t="s">
        <v>870</v>
      </c>
      <c r="Q2686" s="55" t="s">
        <v>350</v>
      </c>
      <c r="R2686" s="85">
        <v>4</v>
      </c>
      <c r="S2686" s="55">
        <v>0</v>
      </c>
      <c r="T2686" s="74" t="s">
        <v>5034</v>
      </c>
      <c r="U2686" s="74" t="s">
        <v>351</v>
      </c>
      <c r="V2686" s="74">
        <v>44601</v>
      </c>
      <c r="W2686" s="74">
        <v>44651</v>
      </c>
      <c r="X2686" s="55">
        <v>10186931</v>
      </c>
      <c r="Y2686" s="55" t="s">
        <v>140</v>
      </c>
      <c r="AB2686" s="74" t="s">
        <v>132</v>
      </c>
      <c r="AC2686" s="55" t="s">
        <v>140</v>
      </c>
      <c r="AL2686" s="74"/>
      <c r="AM2686" s="74"/>
    </row>
    <row r="2687" spans="1:50" ht="13" x14ac:dyDescent="0.15">
      <c r="A2687" s="55" t="str">
        <f>HYPERLINK("http://reports.ofsted.gov.uk/inspection-reports/find-inspection-report/provider/CARE/SC367551","Ofsted Social Care Provider Webpage")</f>
        <v>Ofsted Social Care Provider Webpage</v>
      </c>
      <c r="B2687" s="55" t="s">
        <v>5041</v>
      </c>
      <c r="D2687" s="55" t="s">
        <v>373</v>
      </c>
      <c r="E2687" s="74">
        <v>39472</v>
      </c>
      <c r="F2687" s="55" t="s">
        <v>344</v>
      </c>
      <c r="G2687" s="55" t="s">
        <v>360</v>
      </c>
      <c r="H2687" s="55" t="s">
        <v>360</v>
      </c>
      <c r="I2687" s="55" t="s">
        <v>360</v>
      </c>
      <c r="J2687" s="55" t="s">
        <v>360</v>
      </c>
      <c r="K2687" s="55" t="s">
        <v>360</v>
      </c>
      <c r="L2687" s="55" t="s">
        <v>360</v>
      </c>
      <c r="M2687" s="55" t="s">
        <v>142</v>
      </c>
      <c r="N2687" s="55" t="s">
        <v>142</v>
      </c>
      <c r="O2687" s="55" t="s">
        <v>265</v>
      </c>
      <c r="P2687" s="55" t="s">
        <v>1215</v>
      </c>
      <c r="Q2687" s="55" t="s">
        <v>350</v>
      </c>
      <c r="R2687" s="85">
        <v>3</v>
      </c>
      <c r="S2687" s="55">
        <v>0</v>
      </c>
      <c r="T2687" s="74" t="s">
        <v>1446</v>
      </c>
      <c r="U2687" s="74" t="s">
        <v>351</v>
      </c>
      <c r="V2687" s="74">
        <v>44447</v>
      </c>
      <c r="W2687" s="74">
        <v>44477</v>
      </c>
      <c r="X2687" s="55">
        <v>10185486</v>
      </c>
      <c r="Y2687" s="55" t="s">
        <v>132</v>
      </c>
      <c r="AB2687" s="74" t="s">
        <v>132</v>
      </c>
      <c r="AC2687" s="55" t="s">
        <v>132</v>
      </c>
      <c r="AL2687" s="74"/>
      <c r="AM2687" s="74"/>
    </row>
    <row r="2688" spans="1:50" ht="13" x14ac:dyDescent="0.15">
      <c r="A2688" s="55" t="str">
        <f>HYPERLINK("http://reports.ofsted.gov.uk/inspection-reports/find-inspection-report/provider/CARE/SC367715","Ofsted Social Care Provider Webpage")</f>
        <v>Ofsted Social Care Provider Webpage</v>
      </c>
      <c r="B2688" s="55" t="s">
        <v>5042</v>
      </c>
      <c r="D2688" s="55" t="s">
        <v>451</v>
      </c>
      <c r="E2688" s="74">
        <v>39617</v>
      </c>
      <c r="F2688" s="55" t="s">
        <v>344</v>
      </c>
      <c r="G2688" s="55" t="s">
        <v>5043</v>
      </c>
      <c r="H2688" s="55" t="s">
        <v>5044</v>
      </c>
      <c r="I2688" s="55" t="s">
        <v>5045</v>
      </c>
      <c r="J2688" s="55" t="s">
        <v>3411</v>
      </c>
      <c r="K2688" s="55" t="s">
        <v>203</v>
      </c>
      <c r="L2688" s="55" t="s">
        <v>5046</v>
      </c>
      <c r="M2688" s="55" t="s">
        <v>150</v>
      </c>
      <c r="N2688" s="55" t="s">
        <v>150</v>
      </c>
      <c r="O2688" s="55" t="s">
        <v>203</v>
      </c>
      <c r="P2688" s="55" t="s">
        <v>563</v>
      </c>
      <c r="Q2688" s="55" t="s">
        <v>350</v>
      </c>
      <c r="R2688" s="85">
        <v>13</v>
      </c>
      <c r="S2688" s="55">
        <v>0</v>
      </c>
      <c r="T2688" s="74" t="s">
        <v>5047</v>
      </c>
      <c r="U2688" s="74" t="s">
        <v>351</v>
      </c>
      <c r="V2688" s="74">
        <v>44502</v>
      </c>
      <c r="W2688" s="74">
        <v>44593</v>
      </c>
      <c r="X2688" s="55">
        <v>10183450</v>
      </c>
      <c r="Y2688" s="55" t="s">
        <v>132</v>
      </c>
      <c r="AB2688" s="74" t="s">
        <v>132</v>
      </c>
      <c r="AC2688" s="55" t="s">
        <v>132</v>
      </c>
      <c r="AL2688" s="74"/>
      <c r="AM2688" s="74"/>
    </row>
    <row r="2689" spans="1:50" ht="13" x14ac:dyDescent="0.15">
      <c r="A2689" s="55" t="str">
        <f>HYPERLINK("http://reports.ofsted.gov.uk/inspection-reports/find-inspection-report/provider/CARE/SC367715","Ofsted Social Care Provider Webpage")</f>
        <v>Ofsted Social Care Provider Webpage</v>
      </c>
      <c r="B2689" s="55" t="s">
        <v>5042</v>
      </c>
      <c r="D2689" s="55" t="s">
        <v>451</v>
      </c>
      <c r="E2689" s="74">
        <v>39617</v>
      </c>
      <c r="F2689" s="55" t="s">
        <v>344</v>
      </c>
      <c r="G2689" s="55" t="s">
        <v>5043</v>
      </c>
      <c r="H2689" s="55" t="s">
        <v>5044</v>
      </c>
      <c r="I2689" s="55" t="s">
        <v>5045</v>
      </c>
      <c r="J2689" s="55" t="s">
        <v>3411</v>
      </c>
      <c r="K2689" s="55" t="s">
        <v>203</v>
      </c>
      <c r="L2689" s="55" t="s">
        <v>5046</v>
      </c>
      <c r="M2689" s="55" t="s">
        <v>150</v>
      </c>
      <c r="N2689" s="55" t="s">
        <v>150</v>
      </c>
      <c r="O2689" s="55" t="s">
        <v>203</v>
      </c>
      <c r="P2689" s="55" t="s">
        <v>563</v>
      </c>
      <c r="Q2689" s="55" t="s">
        <v>350</v>
      </c>
      <c r="R2689" s="85">
        <v>13</v>
      </c>
      <c r="S2689" s="55">
        <v>0</v>
      </c>
      <c r="T2689" s="74" t="s">
        <v>5047</v>
      </c>
      <c r="U2689" s="74" t="s">
        <v>2053</v>
      </c>
      <c r="V2689" s="74">
        <v>44355</v>
      </c>
      <c r="W2689" s="74">
        <v>44410</v>
      </c>
      <c r="X2689" s="55">
        <v>10195663</v>
      </c>
      <c r="AL2689" s="74"/>
      <c r="AM2689" s="74"/>
    </row>
    <row r="2690" spans="1:50" ht="13" x14ac:dyDescent="0.15">
      <c r="A2690" s="55" t="str">
        <f>HYPERLINK("http://reports.ofsted.gov.uk/inspection-reports/find-inspection-report/provider/CARE/SC367802","Ofsted Social Care Provider Webpage")</f>
        <v>Ofsted Social Care Provider Webpage</v>
      </c>
      <c r="B2690" s="55" t="s">
        <v>5048</v>
      </c>
      <c r="D2690" s="55" t="s">
        <v>373</v>
      </c>
      <c r="E2690" s="74">
        <v>39469</v>
      </c>
      <c r="F2690" s="55" t="s">
        <v>344</v>
      </c>
      <c r="G2690" s="55" t="s">
        <v>360</v>
      </c>
      <c r="H2690" s="55" t="s">
        <v>360</v>
      </c>
      <c r="I2690" s="55" t="s">
        <v>360</v>
      </c>
      <c r="J2690" s="55" t="s">
        <v>360</v>
      </c>
      <c r="K2690" s="55" t="s">
        <v>360</v>
      </c>
      <c r="L2690" s="55" t="s">
        <v>360</v>
      </c>
      <c r="M2690" s="55" t="s">
        <v>378</v>
      </c>
      <c r="N2690" s="55" t="s">
        <v>134</v>
      </c>
      <c r="O2690" s="55" t="s">
        <v>225</v>
      </c>
      <c r="P2690" s="55" t="s">
        <v>1667</v>
      </c>
      <c r="Q2690" s="55" t="s">
        <v>380</v>
      </c>
      <c r="R2690" s="85">
        <v>2</v>
      </c>
      <c r="S2690" s="55">
        <v>0</v>
      </c>
      <c r="T2690" s="74" t="s">
        <v>1668</v>
      </c>
      <c r="U2690" s="74" t="s">
        <v>351</v>
      </c>
      <c r="V2690" s="74">
        <v>44538</v>
      </c>
      <c r="W2690" s="74">
        <v>44587</v>
      </c>
      <c r="X2690" s="55">
        <v>10187531</v>
      </c>
      <c r="Y2690" s="55" t="s">
        <v>132</v>
      </c>
      <c r="AB2690" s="74" t="s">
        <v>132</v>
      </c>
      <c r="AC2690" s="55" t="s">
        <v>132</v>
      </c>
      <c r="AL2690" s="74"/>
      <c r="AM2690" s="74"/>
      <c r="AW2690" s="74"/>
      <c r="AX2690" s="74"/>
    </row>
    <row r="2691" spans="1:50" ht="13" x14ac:dyDescent="0.15">
      <c r="A2691" s="55" t="str">
        <f>HYPERLINK("http://reports.ofsted.gov.uk/inspection-reports/find-inspection-report/provider/CARE/SC368137","Ofsted Social Care Provider Webpage")</f>
        <v>Ofsted Social Care Provider Webpage</v>
      </c>
      <c r="B2691" s="55" t="s">
        <v>5056</v>
      </c>
      <c r="D2691" s="55" t="s">
        <v>373</v>
      </c>
      <c r="E2691" s="74">
        <v>39426</v>
      </c>
      <c r="F2691" s="55" t="s">
        <v>344</v>
      </c>
      <c r="G2691" s="55" t="s">
        <v>360</v>
      </c>
      <c r="H2691" s="55" t="s">
        <v>360</v>
      </c>
      <c r="I2691" s="55" t="s">
        <v>360</v>
      </c>
      <c r="J2691" s="55" t="s">
        <v>360</v>
      </c>
      <c r="K2691" s="55" t="s">
        <v>360</v>
      </c>
      <c r="L2691" s="55" t="s">
        <v>360</v>
      </c>
      <c r="M2691" s="55" t="s">
        <v>136</v>
      </c>
      <c r="N2691" s="55" t="s">
        <v>136</v>
      </c>
      <c r="O2691" s="55" t="s">
        <v>174</v>
      </c>
      <c r="P2691" s="55" t="s">
        <v>857</v>
      </c>
      <c r="Q2691" s="55" t="s">
        <v>350</v>
      </c>
      <c r="R2691" s="85">
        <v>2</v>
      </c>
      <c r="S2691" s="55">
        <v>0</v>
      </c>
      <c r="T2691" s="74" t="s">
        <v>721</v>
      </c>
      <c r="U2691" s="74" t="s">
        <v>351</v>
      </c>
      <c r="V2691" s="74">
        <v>44453</v>
      </c>
      <c r="W2691" s="74">
        <v>44481</v>
      </c>
      <c r="X2691" s="55">
        <v>10198860</v>
      </c>
      <c r="Y2691" s="55" t="s">
        <v>130</v>
      </c>
      <c r="AB2691" s="74" t="s">
        <v>130</v>
      </c>
      <c r="AC2691" s="55" t="s">
        <v>130</v>
      </c>
      <c r="AL2691" s="74"/>
      <c r="AM2691" s="74"/>
      <c r="AW2691" s="74"/>
      <c r="AX2691" s="74"/>
    </row>
    <row r="2692" spans="1:50" ht="13" x14ac:dyDescent="0.15">
      <c r="A2692" s="55" t="str">
        <f>HYPERLINK("http://reports.ofsted.gov.uk/inspection-reports/find-inspection-report/provider/CARE/SC368137","Ofsted Social Care Provider Webpage")</f>
        <v>Ofsted Social Care Provider Webpage</v>
      </c>
      <c r="B2692" s="55" t="s">
        <v>5056</v>
      </c>
      <c r="D2692" s="55" t="s">
        <v>373</v>
      </c>
      <c r="E2692" s="74">
        <v>39426</v>
      </c>
      <c r="F2692" s="55" t="s">
        <v>344</v>
      </c>
      <c r="G2692" s="55" t="s">
        <v>360</v>
      </c>
      <c r="H2692" s="55" t="s">
        <v>360</v>
      </c>
      <c r="I2692" s="55" t="s">
        <v>360</v>
      </c>
      <c r="J2692" s="55" t="s">
        <v>360</v>
      </c>
      <c r="K2692" s="55" t="s">
        <v>360</v>
      </c>
      <c r="L2692" s="55" t="s">
        <v>360</v>
      </c>
      <c r="M2692" s="55" t="s">
        <v>136</v>
      </c>
      <c r="N2692" s="55" t="s">
        <v>136</v>
      </c>
      <c r="O2692" s="55" t="s">
        <v>174</v>
      </c>
      <c r="P2692" s="55" t="s">
        <v>857</v>
      </c>
      <c r="Q2692" s="55" t="s">
        <v>350</v>
      </c>
      <c r="R2692" s="85">
        <v>2</v>
      </c>
      <c r="S2692" s="55">
        <v>0</v>
      </c>
      <c r="T2692" s="74" t="s">
        <v>721</v>
      </c>
      <c r="U2692" s="74" t="s">
        <v>351</v>
      </c>
      <c r="V2692" s="74">
        <v>44369</v>
      </c>
      <c r="W2692" s="74">
        <v>44404</v>
      </c>
      <c r="X2692" s="55">
        <v>10186396</v>
      </c>
      <c r="Y2692" s="55" t="s">
        <v>146</v>
      </c>
      <c r="AB2692" s="74" t="s">
        <v>146</v>
      </c>
      <c r="AC2692" s="55" t="s">
        <v>146</v>
      </c>
      <c r="AL2692" s="74"/>
      <c r="AM2692" s="74"/>
      <c r="AW2692" s="74"/>
      <c r="AX2692" s="74"/>
    </row>
    <row r="2693" spans="1:50" ht="13" x14ac:dyDescent="0.15">
      <c r="A2693" s="55" t="str">
        <f>HYPERLINK("http://reports.ofsted.gov.uk/inspection-reports/find-inspection-report/provider/CARE/SC368137","Ofsted Social Care Provider Webpage")</f>
        <v>Ofsted Social Care Provider Webpage</v>
      </c>
      <c r="B2693" s="55" t="s">
        <v>5056</v>
      </c>
      <c r="D2693" s="55" t="s">
        <v>373</v>
      </c>
      <c r="E2693" s="74">
        <v>39426</v>
      </c>
      <c r="F2693" s="55" t="s">
        <v>344</v>
      </c>
      <c r="G2693" s="55" t="s">
        <v>360</v>
      </c>
      <c r="H2693" s="55" t="s">
        <v>360</v>
      </c>
      <c r="I2693" s="55" t="s">
        <v>360</v>
      </c>
      <c r="J2693" s="55" t="s">
        <v>360</v>
      </c>
      <c r="K2693" s="55" t="s">
        <v>360</v>
      </c>
      <c r="L2693" s="55" t="s">
        <v>360</v>
      </c>
      <c r="M2693" s="55" t="s">
        <v>136</v>
      </c>
      <c r="N2693" s="55" t="s">
        <v>136</v>
      </c>
      <c r="O2693" s="55" t="s">
        <v>174</v>
      </c>
      <c r="P2693" s="55" t="s">
        <v>857</v>
      </c>
      <c r="Q2693" s="55" t="s">
        <v>350</v>
      </c>
      <c r="R2693" s="85">
        <v>2</v>
      </c>
      <c r="S2693" s="55">
        <v>0</v>
      </c>
      <c r="T2693" s="74" t="s">
        <v>721</v>
      </c>
      <c r="U2693" s="74" t="s">
        <v>2053</v>
      </c>
      <c r="V2693" s="74">
        <v>44396</v>
      </c>
      <c r="W2693" s="74">
        <v>44426</v>
      </c>
      <c r="X2693" s="55">
        <v>10198859</v>
      </c>
      <c r="AL2693" s="74"/>
      <c r="AM2693" s="74"/>
      <c r="AW2693" s="74"/>
      <c r="AX2693" s="74"/>
    </row>
    <row r="2694" spans="1:50" ht="13" x14ac:dyDescent="0.15">
      <c r="A2694" s="55" t="str">
        <f>HYPERLINK("http://reports.ofsted.gov.uk/inspection-reports/find-inspection-report/provider/CARE/SC368637","Ofsted Social Care Provider Webpage")</f>
        <v>Ofsted Social Care Provider Webpage</v>
      </c>
      <c r="B2694" s="55" t="s">
        <v>5057</v>
      </c>
      <c r="D2694" s="55" t="s">
        <v>373</v>
      </c>
      <c r="E2694" s="74">
        <v>39472</v>
      </c>
      <c r="F2694" s="55" t="s">
        <v>344</v>
      </c>
      <c r="G2694" s="55" t="s">
        <v>360</v>
      </c>
      <c r="H2694" s="55" t="s">
        <v>360</v>
      </c>
      <c r="I2694" s="55" t="s">
        <v>360</v>
      </c>
      <c r="J2694" s="55" t="s">
        <v>360</v>
      </c>
      <c r="K2694" s="55" t="s">
        <v>360</v>
      </c>
      <c r="L2694" s="55" t="s">
        <v>360</v>
      </c>
      <c r="M2694" s="55" t="s">
        <v>150</v>
      </c>
      <c r="N2694" s="55" t="s">
        <v>150</v>
      </c>
      <c r="O2694" s="55" t="s">
        <v>203</v>
      </c>
      <c r="P2694" s="55" t="s">
        <v>1263</v>
      </c>
      <c r="Q2694" s="55" t="s">
        <v>350</v>
      </c>
      <c r="R2694" s="85">
        <v>3</v>
      </c>
      <c r="S2694" s="55">
        <v>0</v>
      </c>
      <c r="T2694" s="74" t="s">
        <v>2070</v>
      </c>
      <c r="U2694" s="74" t="s">
        <v>351</v>
      </c>
      <c r="V2694" s="74">
        <v>44481</v>
      </c>
      <c r="W2694" s="74">
        <v>44526</v>
      </c>
      <c r="X2694" s="55">
        <v>10185325</v>
      </c>
      <c r="Y2694" s="55" t="s">
        <v>140</v>
      </c>
      <c r="AB2694" s="74" t="s">
        <v>140</v>
      </c>
      <c r="AC2694" s="55" t="s">
        <v>140</v>
      </c>
      <c r="AL2694" s="74"/>
      <c r="AM2694" s="74"/>
      <c r="AW2694" s="74"/>
      <c r="AX2694" s="74"/>
    </row>
    <row r="2695" spans="1:50" ht="13" x14ac:dyDescent="0.15">
      <c r="A2695" s="55" t="str">
        <f>HYPERLINK("http://reports.ofsted.gov.uk/inspection-reports/find-inspection-report/provider/CARE/SC368763","Ofsted Social Care Provider Webpage")</f>
        <v>Ofsted Social Care Provider Webpage</v>
      </c>
      <c r="B2695" s="55" t="s">
        <v>5058</v>
      </c>
      <c r="D2695" s="55" t="s">
        <v>373</v>
      </c>
      <c r="E2695" s="74">
        <v>39479</v>
      </c>
      <c r="F2695" s="55" t="s">
        <v>344</v>
      </c>
      <c r="G2695" s="55" t="s">
        <v>360</v>
      </c>
      <c r="H2695" s="55" t="s">
        <v>360</v>
      </c>
      <c r="I2695" s="55" t="s">
        <v>360</v>
      </c>
      <c r="J2695" s="55" t="s">
        <v>360</v>
      </c>
      <c r="K2695" s="55" t="s">
        <v>360</v>
      </c>
      <c r="L2695" s="55" t="s">
        <v>360</v>
      </c>
      <c r="M2695" s="55" t="s">
        <v>150</v>
      </c>
      <c r="N2695" s="55" t="s">
        <v>150</v>
      </c>
      <c r="O2695" s="55" t="s">
        <v>203</v>
      </c>
      <c r="P2695" s="55" t="s">
        <v>800</v>
      </c>
      <c r="Q2695" s="55" t="s">
        <v>380</v>
      </c>
      <c r="R2695" s="85">
        <v>6</v>
      </c>
      <c r="S2695" s="55" t="s">
        <v>332</v>
      </c>
      <c r="T2695" s="74" t="s">
        <v>1547</v>
      </c>
      <c r="U2695" s="74" t="s">
        <v>6703</v>
      </c>
      <c r="V2695" s="74">
        <v>44628</v>
      </c>
      <c r="W2695" s="74">
        <v>44679</v>
      </c>
      <c r="X2695" s="55">
        <v>10218361</v>
      </c>
      <c r="Y2695" s="55" t="s">
        <v>6704</v>
      </c>
      <c r="AL2695" s="74"/>
      <c r="AM2695" s="74"/>
      <c r="AW2695" s="74"/>
      <c r="AX2695" s="74"/>
    </row>
    <row r="2696" spans="1:50" ht="13" x14ac:dyDescent="0.15">
      <c r="A2696" s="55" t="str">
        <f>HYPERLINK("http://reports.ofsted.gov.uk/inspection-reports/find-inspection-report/provider/CARE/SC368763","Ofsted Social Care Provider Webpage")</f>
        <v>Ofsted Social Care Provider Webpage</v>
      </c>
      <c r="B2696" s="55" t="s">
        <v>5058</v>
      </c>
      <c r="D2696" s="55" t="s">
        <v>373</v>
      </c>
      <c r="E2696" s="74">
        <v>39479</v>
      </c>
      <c r="F2696" s="55" t="s">
        <v>344</v>
      </c>
      <c r="G2696" s="55" t="s">
        <v>360</v>
      </c>
      <c r="H2696" s="55" t="s">
        <v>360</v>
      </c>
      <c r="I2696" s="55" t="s">
        <v>360</v>
      </c>
      <c r="J2696" s="55" t="s">
        <v>360</v>
      </c>
      <c r="K2696" s="55" t="s">
        <v>360</v>
      </c>
      <c r="L2696" s="55" t="s">
        <v>360</v>
      </c>
      <c r="M2696" s="55" t="s">
        <v>150</v>
      </c>
      <c r="N2696" s="55" t="s">
        <v>150</v>
      </c>
      <c r="O2696" s="55" t="s">
        <v>203</v>
      </c>
      <c r="P2696" s="55" t="s">
        <v>800</v>
      </c>
      <c r="Q2696" s="55" t="s">
        <v>380</v>
      </c>
      <c r="R2696" s="85">
        <v>6</v>
      </c>
      <c r="S2696" s="55" t="s">
        <v>332</v>
      </c>
      <c r="T2696" s="74" t="s">
        <v>1547</v>
      </c>
      <c r="U2696" s="74" t="s">
        <v>351</v>
      </c>
      <c r="V2696" s="74">
        <v>44532</v>
      </c>
      <c r="W2696" s="74">
        <v>44607</v>
      </c>
      <c r="X2696" s="55">
        <v>10187568</v>
      </c>
      <c r="Y2696" s="55" t="s">
        <v>130</v>
      </c>
      <c r="AB2696" s="74" t="s">
        <v>130</v>
      </c>
      <c r="AC2696" s="55" t="s">
        <v>130</v>
      </c>
      <c r="AL2696" s="74"/>
      <c r="AM2696" s="74"/>
      <c r="AW2696" s="74"/>
      <c r="AX2696" s="74"/>
    </row>
    <row r="2697" spans="1:50" ht="13" x14ac:dyDescent="0.15">
      <c r="A2697" s="55" t="str">
        <f>HYPERLINK("http://reports.ofsted.gov.uk/inspection-reports/find-inspection-report/provider/CARE/SC368982","Ofsted Social Care Provider Webpage")</f>
        <v>Ofsted Social Care Provider Webpage</v>
      </c>
      <c r="B2697" s="55" t="s">
        <v>6751</v>
      </c>
      <c r="D2697" s="55" t="s">
        <v>373</v>
      </c>
      <c r="E2697" s="74">
        <v>39547</v>
      </c>
      <c r="F2697" s="55" t="s">
        <v>6707</v>
      </c>
      <c r="G2697" s="55" t="s">
        <v>360</v>
      </c>
      <c r="H2697" s="55" t="s">
        <v>360</v>
      </c>
      <c r="I2697" s="55" t="s">
        <v>360</v>
      </c>
      <c r="J2697" s="55" t="s">
        <v>360</v>
      </c>
      <c r="K2697" s="55" t="s">
        <v>360</v>
      </c>
      <c r="L2697" s="55" t="s">
        <v>360</v>
      </c>
      <c r="M2697" s="55" t="s">
        <v>142</v>
      </c>
      <c r="N2697" s="55" t="s">
        <v>142</v>
      </c>
      <c r="O2697" s="55" t="s">
        <v>262</v>
      </c>
      <c r="P2697" s="55" t="s">
        <v>1215</v>
      </c>
      <c r="Q2697" s="55" t="s">
        <v>350</v>
      </c>
      <c r="R2697" s="85">
        <v>3</v>
      </c>
      <c r="S2697" s="55">
        <v>0</v>
      </c>
      <c r="T2697" s="74" t="s">
        <v>4819</v>
      </c>
      <c r="U2697" s="74" t="s">
        <v>351</v>
      </c>
      <c r="V2697" s="74">
        <v>44453</v>
      </c>
      <c r="W2697" s="74">
        <v>44488</v>
      </c>
      <c r="X2697" s="55">
        <v>10187134</v>
      </c>
      <c r="Y2697" s="55" t="s">
        <v>146</v>
      </c>
      <c r="AB2697" s="74" t="s">
        <v>146</v>
      </c>
      <c r="AC2697" s="55" t="s">
        <v>146</v>
      </c>
      <c r="AL2697" s="74"/>
      <c r="AM2697" s="74"/>
      <c r="AW2697" s="74"/>
      <c r="AX2697" s="74"/>
    </row>
    <row r="2698" spans="1:50" ht="13" x14ac:dyDescent="0.15">
      <c r="A2698" s="55" t="str">
        <f>HYPERLINK("http://reports.ofsted.gov.uk/inspection-reports/find-inspection-report/provider/CARE/SC368982","Ofsted Social Care Provider Webpage")</f>
        <v>Ofsted Social Care Provider Webpage</v>
      </c>
      <c r="B2698" s="55" t="s">
        <v>6751</v>
      </c>
      <c r="D2698" s="55" t="s">
        <v>373</v>
      </c>
      <c r="E2698" s="74">
        <v>39547</v>
      </c>
      <c r="F2698" s="55" t="s">
        <v>6707</v>
      </c>
      <c r="G2698" s="55" t="s">
        <v>360</v>
      </c>
      <c r="H2698" s="55" t="s">
        <v>360</v>
      </c>
      <c r="I2698" s="55" t="s">
        <v>360</v>
      </c>
      <c r="J2698" s="55" t="s">
        <v>360</v>
      </c>
      <c r="K2698" s="55" t="s">
        <v>360</v>
      </c>
      <c r="L2698" s="55" t="s">
        <v>360</v>
      </c>
      <c r="M2698" s="55" t="s">
        <v>142</v>
      </c>
      <c r="N2698" s="55" t="s">
        <v>142</v>
      </c>
      <c r="O2698" s="55" t="s">
        <v>262</v>
      </c>
      <c r="P2698" s="55" t="s">
        <v>1215</v>
      </c>
      <c r="Q2698" s="55" t="s">
        <v>350</v>
      </c>
      <c r="R2698" s="85">
        <v>3</v>
      </c>
      <c r="S2698" s="55">
        <v>0</v>
      </c>
      <c r="T2698" s="74" t="s">
        <v>4819</v>
      </c>
      <c r="U2698" s="74" t="s">
        <v>2053</v>
      </c>
      <c r="V2698" s="74">
        <v>44475</v>
      </c>
      <c r="W2698" s="74">
        <v>44502</v>
      </c>
      <c r="X2698" s="55">
        <v>10207476</v>
      </c>
      <c r="AL2698" s="74"/>
      <c r="AM2698" s="74"/>
      <c r="AW2698" s="74"/>
      <c r="AX2698" s="74"/>
    </row>
    <row r="2699" spans="1:50" ht="13" x14ac:dyDescent="0.15">
      <c r="A2699" s="55" t="str">
        <f>HYPERLINK("http://reports.ofsted.gov.uk/inspection-reports/find-inspection-report/provider/CARE/SC369825","Ofsted Social Care Provider Webpage")</f>
        <v>Ofsted Social Care Provider Webpage</v>
      </c>
      <c r="B2699" s="55" t="s">
        <v>5064</v>
      </c>
      <c r="D2699" s="55" t="s">
        <v>373</v>
      </c>
      <c r="E2699" s="74">
        <v>39539</v>
      </c>
      <c r="F2699" s="55" t="s">
        <v>344</v>
      </c>
      <c r="G2699" s="55" t="s">
        <v>360</v>
      </c>
      <c r="H2699" s="55" t="s">
        <v>360</v>
      </c>
      <c r="I2699" s="55" t="s">
        <v>360</v>
      </c>
      <c r="J2699" s="55" t="s">
        <v>360</v>
      </c>
      <c r="K2699" s="55" t="s">
        <v>360</v>
      </c>
      <c r="L2699" s="55" t="s">
        <v>360</v>
      </c>
      <c r="M2699" s="55" t="s">
        <v>142</v>
      </c>
      <c r="N2699" s="55" t="s">
        <v>142</v>
      </c>
      <c r="O2699" s="55" t="s">
        <v>265</v>
      </c>
      <c r="P2699" s="55" t="s">
        <v>540</v>
      </c>
      <c r="Q2699" s="55" t="s">
        <v>380</v>
      </c>
      <c r="R2699" s="85">
        <v>2</v>
      </c>
      <c r="S2699" s="55">
        <v>0</v>
      </c>
      <c r="T2699" s="74" t="s">
        <v>1067</v>
      </c>
      <c r="U2699" s="74" t="s">
        <v>351</v>
      </c>
      <c r="V2699" s="74">
        <v>44474</v>
      </c>
      <c r="W2699" s="74">
        <v>44502</v>
      </c>
      <c r="X2699" s="55">
        <v>10185558</v>
      </c>
      <c r="Y2699" s="55" t="s">
        <v>132</v>
      </c>
      <c r="AB2699" s="74" t="s">
        <v>130</v>
      </c>
      <c r="AC2699" s="55" t="s">
        <v>132</v>
      </c>
      <c r="AL2699" s="74"/>
      <c r="AM2699" s="74"/>
    </row>
    <row r="2700" spans="1:50" ht="13" x14ac:dyDescent="0.15">
      <c r="A2700" s="55" t="str">
        <f>HYPERLINK("http://reports.ofsted.gov.uk/inspection-reports/find-inspection-report/provider/CARE/SC369840","Ofsted Social Care Provider Webpage")</f>
        <v>Ofsted Social Care Provider Webpage</v>
      </c>
      <c r="B2700" s="55" t="s">
        <v>5065</v>
      </c>
      <c r="D2700" s="55" t="s">
        <v>373</v>
      </c>
      <c r="E2700" s="74">
        <v>39539</v>
      </c>
      <c r="F2700" s="55" t="s">
        <v>344</v>
      </c>
      <c r="G2700" s="55" t="s">
        <v>360</v>
      </c>
      <c r="H2700" s="55" t="s">
        <v>360</v>
      </c>
      <c r="I2700" s="55" t="s">
        <v>360</v>
      </c>
      <c r="J2700" s="55" t="s">
        <v>360</v>
      </c>
      <c r="K2700" s="55" t="s">
        <v>360</v>
      </c>
      <c r="L2700" s="55" t="s">
        <v>360</v>
      </c>
      <c r="M2700" s="55" t="s">
        <v>142</v>
      </c>
      <c r="N2700" s="55" t="s">
        <v>142</v>
      </c>
      <c r="O2700" s="55" t="s">
        <v>265</v>
      </c>
      <c r="P2700" s="55" t="s">
        <v>540</v>
      </c>
      <c r="Q2700" s="55" t="s">
        <v>380</v>
      </c>
      <c r="R2700" s="85">
        <v>2</v>
      </c>
      <c r="S2700" s="55">
        <v>0</v>
      </c>
      <c r="T2700" s="74" t="s">
        <v>1067</v>
      </c>
      <c r="U2700" s="74" t="s">
        <v>351</v>
      </c>
      <c r="V2700" s="74">
        <v>44460</v>
      </c>
      <c r="W2700" s="74">
        <v>44498</v>
      </c>
      <c r="X2700" s="55">
        <v>10185286</v>
      </c>
      <c r="Y2700" s="55" t="s">
        <v>132</v>
      </c>
      <c r="AB2700" s="74" t="s">
        <v>132</v>
      </c>
      <c r="AC2700" s="55" t="s">
        <v>132</v>
      </c>
      <c r="AL2700" s="74"/>
      <c r="AM2700" s="74"/>
      <c r="AW2700" s="74"/>
      <c r="AX2700" s="74"/>
    </row>
    <row r="2701" spans="1:50" ht="13" x14ac:dyDescent="0.15">
      <c r="A2701" s="55" t="str">
        <f>HYPERLINK("http://reports.ofsted.gov.uk/inspection-reports/find-inspection-report/provider/CARE/SC369857","Ofsted Social Care Provider Webpage")</f>
        <v>Ofsted Social Care Provider Webpage</v>
      </c>
      <c r="B2701" s="55" t="s">
        <v>5066</v>
      </c>
      <c r="D2701" s="55" t="s">
        <v>373</v>
      </c>
      <c r="E2701" s="74">
        <v>39617</v>
      </c>
      <c r="F2701" s="55" t="s">
        <v>344</v>
      </c>
      <c r="G2701" s="55" t="s">
        <v>360</v>
      </c>
      <c r="H2701" s="55" t="s">
        <v>360</v>
      </c>
      <c r="I2701" s="55" t="s">
        <v>360</v>
      </c>
      <c r="J2701" s="55" t="s">
        <v>360</v>
      </c>
      <c r="K2701" s="55" t="s">
        <v>360</v>
      </c>
      <c r="L2701" s="55" t="s">
        <v>360</v>
      </c>
      <c r="M2701" s="55" t="s">
        <v>144</v>
      </c>
      <c r="N2701" s="55" t="s">
        <v>144</v>
      </c>
      <c r="O2701" s="55" t="s">
        <v>147</v>
      </c>
      <c r="P2701" s="55" t="s">
        <v>387</v>
      </c>
      <c r="Q2701" s="55" t="s">
        <v>380</v>
      </c>
      <c r="R2701" s="85">
        <v>5</v>
      </c>
      <c r="S2701" s="55">
        <v>0</v>
      </c>
      <c r="T2701" s="74" t="s">
        <v>3771</v>
      </c>
      <c r="U2701" s="74" t="s">
        <v>351</v>
      </c>
      <c r="V2701" s="74">
        <v>44531</v>
      </c>
      <c r="W2701" s="74">
        <v>44579</v>
      </c>
      <c r="X2701" s="55">
        <v>10185471</v>
      </c>
      <c r="Y2701" s="55" t="s">
        <v>132</v>
      </c>
      <c r="AB2701" s="74" t="s">
        <v>132</v>
      </c>
      <c r="AC2701" s="55" t="s">
        <v>132</v>
      </c>
      <c r="AL2701" s="74"/>
      <c r="AM2701" s="74"/>
      <c r="AW2701" s="74"/>
      <c r="AX2701" s="74"/>
    </row>
    <row r="2702" spans="1:50" ht="13" x14ac:dyDescent="0.15">
      <c r="A2702" s="55" t="str">
        <f>HYPERLINK("http://reports.ofsted.gov.uk/inspection-reports/find-inspection-report/provider/CARE/SC370703","Ofsted Social Care Provider Webpage")</f>
        <v>Ofsted Social Care Provider Webpage</v>
      </c>
      <c r="B2702" s="55" t="s">
        <v>5067</v>
      </c>
      <c r="D2702" s="55" t="s">
        <v>373</v>
      </c>
      <c r="E2702" s="74">
        <v>39570</v>
      </c>
      <c r="F2702" s="55" t="s">
        <v>344</v>
      </c>
      <c r="G2702" s="55" t="s">
        <v>360</v>
      </c>
      <c r="H2702" s="55" t="s">
        <v>360</v>
      </c>
      <c r="I2702" s="55" t="s">
        <v>360</v>
      </c>
      <c r="J2702" s="55" t="s">
        <v>360</v>
      </c>
      <c r="K2702" s="55" t="s">
        <v>360</v>
      </c>
      <c r="L2702" s="55" t="s">
        <v>360</v>
      </c>
      <c r="M2702" s="55" t="s">
        <v>150</v>
      </c>
      <c r="N2702" s="55" t="s">
        <v>150</v>
      </c>
      <c r="O2702" s="55" t="s">
        <v>268</v>
      </c>
      <c r="P2702" s="55" t="s">
        <v>2682</v>
      </c>
      <c r="Q2702" s="55" t="s">
        <v>380</v>
      </c>
      <c r="R2702" s="85">
        <v>20</v>
      </c>
      <c r="S2702" s="55">
        <v>0</v>
      </c>
      <c r="T2702" s="74" t="s">
        <v>640</v>
      </c>
      <c r="U2702" s="74" t="s">
        <v>351</v>
      </c>
      <c r="V2702" s="74">
        <v>44299</v>
      </c>
      <c r="W2702" s="74">
        <v>44344</v>
      </c>
      <c r="X2702" s="55">
        <v>10186887</v>
      </c>
      <c r="Y2702" s="55" t="s">
        <v>130</v>
      </c>
      <c r="AB2702" s="74" t="s">
        <v>130</v>
      </c>
      <c r="AC2702" s="55" t="s">
        <v>130</v>
      </c>
      <c r="AL2702" s="74"/>
      <c r="AM2702" s="74"/>
      <c r="AW2702" s="74"/>
      <c r="AX2702" s="74"/>
    </row>
    <row r="2703" spans="1:50" ht="13" x14ac:dyDescent="0.15">
      <c r="A2703" s="55" t="str">
        <f>HYPERLINK("http://reports.ofsted.gov.uk/inspection-reports/find-inspection-report/provider/CARE/SC370899","Ofsted Social Care Provider Webpage")</f>
        <v>Ofsted Social Care Provider Webpage</v>
      </c>
      <c r="B2703" s="55" t="s">
        <v>5068</v>
      </c>
      <c r="D2703" s="55" t="s">
        <v>373</v>
      </c>
      <c r="E2703" s="74">
        <v>39493</v>
      </c>
      <c r="F2703" s="55" t="s">
        <v>344</v>
      </c>
      <c r="G2703" s="55" t="s">
        <v>360</v>
      </c>
      <c r="H2703" s="55" t="s">
        <v>360</v>
      </c>
      <c r="I2703" s="55" t="s">
        <v>360</v>
      </c>
      <c r="J2703" s="55" t="s">
        <v>360</v>
      </c>
      <c r="K2703" s="55" t="s">
        <v>360</v>
      </c>
      <c r="L2703" s="55" t="s">
        <v>360</v>
      </c>
      <c r="M2703" s="55" t="s">
        <v>172</v>
      </c>
      <c r="N2703" s="55" t="s">
        <v>172</v>
      </c>
      <c r="O2703" s="55" t="s">
        <v>214</v>
      </c>
      <c r="P2703" s="55" t="s">
        <v>790</v>
      </c>
      <c r="Q2703" s="55" t="s">
        <v>350</v>
      </c>
      <c r="R2703" s="85">
        <v>3</v>
      </c>
      <c r="S2703" s="55">
        <v>0</v>
      </c>
      <c r="T2703" s="74" t="s">
        <v>843</v>
      </c>
      <c r="U2703" s="74" t="s">
        <v>351</v>
      </c>
      <c r="V2703" s="74">
        <v>44341</v>
      </c>
      <c r="W2703" s="74">
        <v>44376</v>
      </c>
      <c r="X2703" s="55">
        <v>10187459</v>
      </c>
      <c r="Y2703" s="55" t="s">
        <v>130</v>
      </c>
      <c r="AB2703" s="74" t="s">
        <v>130</v>
      </c>
      <c r="AC2703" s="55" t="s">
        <v>130</v>
      </c>
      <c r="AL2703" s="74"/>
      <c r="AM2703" s="74"/>
    </row>
    <row r="2704" spans="1:50" ht="13" x14ac:dyDescent="0.15">
      <c r="A2704" s="55" t="str">
        <f>HYPERLINK("http://reports.ofsted.gov.uk/inspection-reports/find-inspection-report/provider/CARE/SC370910","Ofsted Social Care Provider Webpage")</f>
        <v>Ofsted Social Care Provider Webpage</v>
      </c>
      <c r="B2704" s="55" t="s">
        <v>5069</v>
      </c>
      <c r="D2704" s="55" t="s">
        <v>373</v>
      </c>
      <c r="E2704" s="74">
        <v>39493</v>
      </c>
      <c r="F2704" s="55" t="s">
        <v>344</v>
      </c>
      <c r="G2704" s="55" t="s">
        <v>360</v>
      </c>
      <c r="H2704" s="55" t="s">
        <v>360</v>
      </c>
      <c r="I2704" s="55" t="s">
        <v>360</v>
      </c>
      <c r="J2704" s="55" t="s">
        <v>360</v>
      </c>
      <c r="K2704" s="55" t="s">
        <v>360</v>
      </c>
      <c r="L2704" s="55" t="s">
        <v>360</v>
      </c>
      <c r="M2704" s="55" t="s">
        <v>138</v>
      </c>
      <c r="N2704" s="55" t="s">
        <v>138</v>
      </c>
      <c r="O2704" s="55" t="s">
        <v>159</v>
      </c>
      <c r="P2704" s="55" t="s">
        <v>1025</v>
      </c>
      <c r="Q2704" s="55" t="s">
        <v>350</v>
      </c>
      <c r="R2704" s="85">
        <v>3</v>
      </c>
      <c r="S2704" s="55">
        <v>0</v>
      </c>
      <c r="T2704" s="74" t="s">
        <v>843</v>
      </c>
      <c r="U2704" s="74" t="s">
        <v>351</v>
      </c>
      <c r="V2704" s="74">
        <v>44530</v>
      </c>
      <c r="W2704" s="74">
        <v>44572</v>
      </c>
      <c r="X2704" s="55">
        <v>10186426</v>
      </c>
      <c r="Y2704" s="55" t="s">
        <v>132</v>
      </c>
      <c r="AB2704" s="74" t="s">
        <v>132</v>
      </c>
      <c r="AC2704" s="55" t="s">
        <v>132</v>
      </c>
      <c r="AL2704" s="74"/>
      <c r="AM2704" s="74"/>
      <c r="AW2704" s="74"/>
      <c r="AX2704" s="74"/>
    </row>
    <row r="2705" spans="1:50" ht="13" x14ac:dyDescent="0.15">
      <c r="A2705" s="55" t="str">
        <f>HYPERLINK("http://reports.ofsted.gov.uk/inspection-reports/find-inspection-report/provider/CARE/SC370949","Ofsted Social Care Provider Webpage")</f>
        <v>Ofsted Social Care Provider Webpage</v>
      </c>
      <c r="B2705" s="55" t="s">
        <v>5070</v>
      </c>
      <c r="D2705" s="55" t="s">
        <v>373</v>
      </c>
      <c r="E2705" s="74">
        <v>39493</v>
      </c>
      <c r="F2705" s="55" t="s">
        <v>344</v>
      </c>
      <c r="G2705" s="55" t="s">
        <v>360</v>
      </c>
      <c r="H2705" s="55" t="s">
        <v>360</v>
      </c>
      <c r="I2705" s="55" t="s">
        <v>360</v>
      </c>
      <c r="J2705" s="55" t="s">
        <v>360</v>
      </c>
      <c r="K2705" s="55" t="s">
        <v>360</v>
      </c>
      <c r="L2705" s="55" t="s">
        <v>360</v>
      </c>
      <c r="M2705" s="55" t="s">
        <v>138</v>
      </c>
      <c r="N2705" s="55" t="s">
        <v>138</v>
      </c>
      <c r="O2705" s="55" t="s">
        <v>224</v>
      </c>
      <c r="P2705" s="55" t="s">
        <v>1872</v>
      </c>
      <c r="Q2705" s="55" t="s">
        <v>350</v>
      </c>
      <c r="R2705" s="85">
        <v>3</v>
      </c>
      <c r="S2705" s="55">
        <v>0</v>
      </c>
      <c r="T2705" s="74" t="s">
        <v>843</v>
      </c>
      <c r="U2705" s="74" t="s">
        <v>351</v>
      </c>
      <c r="V2705" s="74">
        <v>44368</v>
      </c>
      <c r="W2705" s="74">
        <v>44397</v>
      </c>
      <c r="X2705" s="55">
        <v>10185697</v>
      </c>
      <c r="Y2705" s="55" t="s">
        <v>132</v>
      </c>
      <c r="AB2705" s="74" t="s">
        <v>132</v>
      </c>
      <c r="AC2705" s="55" t="s">
        <v>132</v>
      </c>
      <c r="AL2705" s="74"/>
      <c r="AM2705" s="74"/>
      <c r="AW2705" s="74"/>
      <c r="AX2705" s="74"/>
    </row>
    <row r="2706" spans="1:50" ht="13" x14ac:dyDescent="0.15">
      <c r="A2706" s="55" t="str">
        <f>HYPERLINK("http://reports.ofsted.gov.uk/inspection-reports/find-inspection-report/provider/CARE/SC370956","Ofsted Social Care Provider Webpage")</f>
        <v>Ofsted Social Care Provider Webpage</v>
      </c>
      <c r="B2706" s="55" t="s">
        <v>5071</v>
      </c>
      <c r="D2706" s="55" t="s">
        <v>373</v>
      </c>
      <c r="E2706" s="74">
        <v>39493</v>
      </c>
      <c r="F2706" s="55" t="s">
        <v>344</v>
      </c>
      <c r="G2706" s="55" t="s">
        <v>360</v>
      </c>
      <c r="H2706" s="55" t="s">
        <v>360</v>
      </c>
      <c r="I2706" s="55" t="s">
        <v>360</v>
      </c>
      <c r="J2706" s="55" t="s">
        <v>360</v>
      </c>
      <c r="K2706" s="55" t="s">
        <v>360</v>
      </c>
      <c r="L2706" s="55" t="s">
        <v>360</v>
      </c>
      <c r="M2706" s="55" t="s">
        <v>172</v>
      </c>
      <c r="N2706" s="55" t="s">
        <v>172</v>
      </c>
      <c r="O2706" s="55" t="s">
        <v>214</v>
      </c>
      <c r="P2706" s="55" t="s">
        <v>790</v>
      </c>
      <c r="Q2706" s="55" t="s">
        <v>350</v>
      </c>
      <c r="R2706" s="85">
        <v>4</v>
      </c>
      <c r="S2706" s="55">
        <v>0</v>
      </c>
      <c r="T2706" s="74" t="s">
        <v>843</v>
      </c>
      <c r="U2706" s="74" t="s">
        <v>351</v>
      </c>
      <c r="V2706" s="74">
        <v>44405</v>
      </c>
      <c r="W2706" s="74">
        <v>44449</v>
      </c>
      <c r="X2706" s="55">
        <v>10186895</v>
      </c>
      <c r="Y2706" s="55" t="s">
        <v>132</v>
      </c>
      <c r="AB2706" s="74" t="s">
        <v>132</v>
      </c>
      <c r="AC2706" s="55" t="s">
        <v>132</v>
      </c>
      <c r="AL2706" s="74"/>
      <c r="AM2706" s="74"/>
      <c r="AW2706" s="74"/>
      <c r="AX2706" s="74"/>
    </row>
    <row r="2707" spans="1:50" ht="13" x14ac:dyDescent="0.15">
      <c r="A2707" s="55" t="str">
        <f>HYPERLINK("http://reports.ofsted.gov.uk/inspection-reports/find-inspection-report/provider/CARE/SC370982","Ofsted Social Care Provider Webpage")</f>
        <v>Ofsted Social Care Provider Webpage</v>
      </c>
      <c r="B2707" s="55" t="s">
        <v>5072</v>
      </c>
      <c r="D2707" s="55" t="s">
        <v>373</v>
      </c>
      <c r="E2707" s="74">
        <v>39615</v>
      </c>
      <c r="F2707" s="55" t="s">
        <v>344</v>
      </c>
      <c r="G2707" s="55" t="s">
        <v>360</v>
      </c>
      <c r="H2707" s="55" t="s">
        <v>360</v>
      </c>
      <c r="I2707" s="55" t="s">
        <v>360</v>
      </c>
      <c r="J2707" s="55" t="s">
        <v>360</v>
      </c>
      <c r="K2707" s="55" t="s">
        <v>360</v>
      </c>
      <c r="L2707" s="55" t="s">
        <v>360</v>
      </c>
      <c r="M2707" s="55" t="s">
        <v>142</v>
      </c>
      <c r="N2707" s="55" t="s">
        <v>142</v>
      </c>
      <c r="O2707" s="55" t="s">
        <v>252</v>
      </c>
      <c r="P2707" s="55" t="s">
        <v>388</v>
      </c>
      <c r="Q2707" s="55" t="s">
        <v>380</v>
      </c>
      <c r="R2707" s="85">
        <v>5</v>
      </c>
      <c r="S2707" s="55">
        <v>0</v>
      </c>
      <c r="T2707" s="74" t="s">
        <v>1542</v>
      </c>
      <c r="U2707" s="74" t="s">
        <v>351</v>
      </c>
      <c r="V2707" s="74">
        <v>44614</v>
      </c>
      <c r="W2707" s="74">
        <v>44652</v>
      </c>
      <c r="X2707" s="55">
        <v>10185451</v>
      </c>
      <c r="Y2707" s="55" t="s">
        <v>132</v>
      </c>
      <c r="AB2707" s="74" t="s">
        <v>132</v>
      </c>
      <c r="AC2707" s="55" t="s">
        <v>132</v>
      </c>
      <c r="AL2707" s="74"/>
      <c r="AM2707" s="74"/>
      <c r="AW2707" s="74"/>
      <c r="AX2707" s="74"/>
    </row>
    <row r="2708" spans="1:50" ht="13" x14ac:dyDescent="0.15">
      <c r="A2708" s="55" t="str">
        <f>HYPERLINK("http://reports.ofsted.gov.uk/inspection-reports/find-inspection-report/provider/CARE/SC372117","Ofsted Social Care Provider Webpage")</f>
        <v>Ofsted Social Care Provider Webpage</v>
      </c>
      <c r="B2708" s="55" t="s">
        <v>5073</v>
      </c>
      <c r="D2708" s="55" t="s">
        <v>373</v>
      </c>
      <c r="E2708" s="74">
        <v>39612</v>
      </c>
      <c r="F2708" s="55" t="s">
        <v>344</v>
      </c>
      <c r="G2708" s="55" t="s">
        <v>360</v>
      </c>
      <c r="H2708" s="55" t="s">
        <v>360</v>
      </c>
      <c r="I2708" s="55" t="s">
        <v>360</v>
      </c>
      <c r="J2708" s="55" t="s">
        <v>360</v>
      </c>
      <c r="K2708" s="55" t="s">
        <v>360</v>
      </c>
      <c r="L2708" s="55" t="s">
        <v>360</v>
      </c>
      <c r="M2708" s="55" t="s">
        <v>144</v>
      </c>
      <c r="N2708" s="55" t="s">
        <v>144</v>
      </c>
      <c r="O2708" s="55" t="s">
        <v>245</v>
      </c>
      <c r="P2708" s="55" t="s">
        <v>1796</v>
      </c>
      <c r="Q2708" s="55" t="s">
        <v>350</v>
      </c>
      <c r="R2708" s="85">
        <v>3</v>
      </c>
      <c r="S2708" s="55">
        <v>0</v>
      </c>
      <c r="T2708" s="74" t="s">
        <v>613</v>
      </c>
      <c r="U2708" s="74" t="s">
        <v>351</v>
      </c>
      <c r="V2708" s="74">
        <v>44501</v>
      </c>
      <c r="W2708" s="74">
        <v>44538</v>
      </c>
      <c r="X2708" s="55">
        <v>10185047</v>
      </c>
      <c r="Y2708" s="55" t="s">
        <v>132</v>
      </c>
      <c r="AB2708" s="74" t="s">
        <v>132</v>
      </c>
      <c r="AC2708" s="55" t="s">
        <v>132</v>
      </c>
      <c r="AL2708" s="74"/>
      <c r="AM2708" s="74"/>
      <c r="AW2708" s="74"/>
      <c r="AX2708" s="74"/>
    </row>
    <row r="2709" spans="1:50" ht="13" x14ac:dyDescent="0.15">
      <c r="A2709" s="55" t="str">
        <f>HYPERLINK("http://reports.ofsted.gov.uk/inspection-reports/find-inspection-report/provider/CARE/SC372504","Ofsted Social Care Provider Webpage")</f>
        <v>Ofsted Social Care Provider Webpage</v>
      </c>
      <c r="B2709" s="55" t="s">
        <v>5074</v>
      </c>
      <c r="D2709" s="55" t="s">
        <v>479</v>
      </c>
      <c r="E2709" s="74">
        <v>40039</v>
      </c>
      <c r="F2709" s="55" t="s">
        <v>344</v>
      </c>
      <c r="G2709" s="55" t="s">
        <v>360</v>
      </c>
      <c r="H2709" s="55" t="s">
        <v>360</v>
      </c>
      <c r="I2709" s="55" t="s">
        <v>360</v>
      </c>
      <c r="J2709" s="55" t="s">
        <v>360</v>
      </c>
      <c r="K2709" s="55" t="s">
        <v>360</v>
      </c>
      <c r="L2709" s="55" t="s">
        <v>360</v>
      </c>
      <c r="M2709" s="55" t="s">
        <v>172</v>
      </c>
      <c r="N2709" s="55" t="s">
        <v>172</v>
      </c>
      <c r="O2709" s="55" t="s">
        <v>173</v>
      </c>
      <c r="P2709" s="55" t="s">
        <v>1069</v>
      </c>
      <c r="Q2709" s="55" t="s">
        <v>350</v>
      </c>
      <c r="R2709" s="85">
        <v>55</v>
      </c>
      <c r="S2709" s="55">
        <v>0</v>
      </c>
      <c r="T2709" s="74" t="s">
        <v>4968</v>
      </c>
      <c r="U2709" s="74" t="s">
        <v>351</v>
      </c>
      <c r="V2709" s="74">
        <v>44425</v>
      </c>
      <c r="W2709" s="74">
        <v>44461</v>
      </c>
      <c r="X2709" s="55">
        <v>10185071</v>
      </c>
      <c r="Y2709" s="55" t="s">
        <v>140</v>
      </c>
      <c r="AB2709" s="74" t="s">
        <v>140</v>
      </c>
      <c r="AC2709" s="55" t="s">
        <v>140</v>
      </c>
      <c r="AL2709" s="74"/>
      <c r="AM2709" s="74"/>
      <c r="AW2709" s="74"/>
      <c r="AX2709" s="74"/>
    </row>
    <row r="2710" spans="1:50" ht="13" x14ac:dyDescent="0.15">
      <c r="A2710" s="55" t="str">
        <f>HYPERLINK("http://reports.ofsted.gov.uk/inspection-reports/find-inspection-report/provider/CARE/SC372511","Ofsted Social Care Provider Webpage")</f>
        <v>Ofsted Social Care Provider Webpage</v>
      </c>
      <c r="B2710" s="55" t="s">
        <v>5075</v>
      </c>
      <c r="D2710" s="55" t="s">
        <v>373</v>
      </c>
      <c r="E2710" s="74">
        <v>39618</v>
      </c>
      <c r="F2710" s="55" t="s">
        <v>344</v>
      </c>
      <c r="G2710" s="55" t="s">
        <v>360</v>
      </c>
      <c r="H2710" s="55" t="s">
        <v>360</v>
      </c>
      <c r="I2710" s="55" t="s">
        <v>360</v>
      </c>
      <c r="J2710" s="55" t="s">
        <v>360</v>
      </c>
      <c r="K2710" s="55" t="s">
        <v>360</v>
      </c>
      <c r="L2710" s="55" t="s">
        <v>360</v>
      </c>
      <c r="M2710" s="55" t="s">
        <v>144</v>
      </c>
      <c r="N2710" s="55" t="s">
        <v>144</v>
      </c>
      <c r="O2710" s="55" t="s">
        <v>143</v>
      </c>
      <c r="P2710" s="55" t="s">
        <v>2439</v>
      </c>
      <c r="Q2710" s="55" t="s">
        <v>380</v>
      </c>
      <c r="R2710" s="85">
        <v>5</v>
      </c>
      <c r="S2710" s="55" t="s">
        <v>332</v>
      </c>
      <c r="T2710" s="74" t="s">
        <v>3746</v>
      </c>
      <c r="U2710" s="74" t="s">
        <v>351</v>
      </c>
      <c r="V2710" s="74">
        <v>44530</v>
      </c>
      <c r="W2710" s="74">
        <v>44575</v>
      </c>
      <c r="X2710" s="55">
        <v>10185130</v>
      </c>
      <c r="Y2710" s="55" t="s">
        <v>140</v>
      </c>
      <c r="AB2710" s="74" t="s">
        <v>140</v>
      </c>
      <c r="AC2710" s="55" t="s">
        <v>140</v>
      </c>
      <c r="AL2710" s="74"/>
      <c r="AM2710" s="74"/>
      <c r="AW2710" s="74"/>
      <c r="AX2710" s="74"/>
    </row>
    <row r="2711" spans="1:50" ht="13" x14ac:dyDescent="0.15">
      <c r="A2711" s="55" t="str">
        <f>HYPERLINK("http://reports.ofsted.gov.uk/inspection-reports/find-inspection-report/provider/CARE/SC372602","Ofsted Social Care Provider Webpage")</f>
        <v>Ofsted Social Care Provider Webpage</v>
      </c>
      <c r="B2711" s="55" t="s">
        <v>5076</v>
      </c>
      <c r="D2711" s="55" t="s">
        <v>373</v>
      </c>
      <c r="E2711" s="74">
        <v>39643</v>
      </c>
      <c r="F2711" s="55" t="s">
        <v>344</v>
      </c>
      <c r="G2711" s="55" t="s">
        <v>360</v>
      </c>
      <c r="H2711" s="55" t="s">
        <v>360</v>
      </c>
      <c r="I2711" s="55" t="s">
        <v>360</v>
      </c>
      <c r="J2711" s="55" t="s">
        <v>360</v>
      </c>
      <c r="K2711" s="55" t="s">
        <v>360</v>
      </c>
      <c r="L2711" s="55" t="s">
        <v>360</v>
      </c>
      <c r="M2711" s="55" t="s">
        <v>142</v>
      </c>
      <c r="N2711" s="55" t="s">
        <v>142</v>
      </c>
      <c r="O2711" s="55" t="s">
        <v>252</v>
      </c>
      <c r="P2711" s="55" t="s">
        <v>388</v>
      </c>
      <c r="Q2711" s="55" t="s">
        <v>350</v>
      </c>
      <c r="R2711" s="85">
        <v>3</v>
      </c>
      <c r="S2711" s="55">
        <v>0</v>
      </c>
      <c r="T2711" s="74" t="s">
        <v>1260</v>
      </c>
      <c r="U2711" s="74" t="s">
        <v>351</v>
      </c>
      <c r="V2711" s="74">
        <v>44496</v>
      </c>
      <c r="W2711" s="74">
        <v>44539</v>
      </c>
      <c r="X2711" s="55">
        <v>10186259</v>
      </c>
      <c r="Y2711" s="55" t="s">
        <v>132</v>
      </c>
      <c r="AB2711" s="74" t="s">
        <v>132</v>
      </c>
      <c r="AC2711" s="55" t="s">
        <v>132</v>
      </c>
      <c r="AL2711" s="74"/>
      <c r="AM2711" s="74"/>
      <c r="AW2711" s="74"/>
      <c r="AX2711" s="74"/>
    </row>
    <row r="2712" spans="1:50" ht="13" x14ac:dyDescent="0.15">
      <c r="A2712" s="55" t="str">
        <f>HYPERLINK("http://reports.ofsted.gov.uk/inspection-reports/find-inspection-report/provider/CARE/SC372611","Ofsted Social Care Provider Webpage")</f>
        <v>Ofsted Social Care Provider Webpage</v>
      </c>
      <c r="B2712" s="55" t="s">
        <v>5077</v>
      </c>
      <c r="D2712" s="55" t="s">
        <v>373</v>
      </c>
      <c r="E2712" s="74">
        <v>39631</v>
      </c>
      <c r="F2712" s="55" t="s">
        <v>344</v>
      </c>
      <c r="G2712" s="55" t="s">
        <v>360</v>
      </c>
      <c r="H2712" s="55" t="s">
        <v>360</v>
      </c>
      <c r="I2712" s="55" t="s">
        <v>360</v>
      </c>
      <c r="J2712" s="55" t="s">
        <v>360</v>
      </c>
      <c r="K2712" s="55" t="s">
        <v>360</v>
      </c>
      <c r="L2712" s="55" t="s">
        <v>360</v>
      </c>
      <c r="M2712" s="55" t="s">
        <v>142</v>
      </c>
      <c r="N2712" s="55" t="s">
        <v>142</v>
      </c>
      <c r="O2712" s="55" t="s">
        <v>252</v>
      </c>
      <c r="P2712" s="55" t="s">
        <v>388</v>
      </c>
      <c r="Q2712" s="55" t="s">
        <v>350</v>
      </c>
      <c r="R2712" s="85">
        <v>2</v>
      </c>
      <c r="S2712" s="55">
        <v>0</v>
      </c>
      <c r="T2712" s="74" t="s">
        <v>1260</v>
      </c>
      <c r="U2712" s="74" t="s">
        <v>2053</v>
      </c>
      <c r="V2712" s="74">
        <v>44628</v>
      </c>
      <c r="W2712" s="74">
        <v>44671</v>
      </c>
      <c r="X2712" s="55">
        <v>10221911</v>
      </c>
      <c r="AL2712" s="74"/>
      <c r="AM2712" s="74"/>
      <c r="AW2712" s="74"/>
      <c r="AX2712" s="74"/>
    </row>
    <row r="2713" spans="1:50" ht="13" x14ac:dyDescent="0.15">
      <c r="A2713" s="55" t="str">
        <f>HYPERLINK("http://reports.ofsted.gov.uk/inspection-reports/find-inspection-report/provider/CARE/SC372611","Ofsted Social Care Provider Webpage")</f>
        <v>Ofsted Social Care Provider Webpage</v>
      </c>
      <c r="B2713" s="55" t="s">
        <v>5077</v>
      </c>
      <c r="D2713" s="55" t="s">
        <v>373</v>
      </c>
      <c r="E2713" s="74">
        <v>39631</v>
      </c>
      <c r="F2713" s="55" t="s">
        <v>344</v>
      </c>
      <c r="G2713" s="55" t="s">
        <v>360</v>
      </c>
      <c r="H2713" s="55" t="s">
        <v>360</v>
      </c>
      <c r="I2713" s="55" t="s">
        <v>360</v>
      </c>
      <c r="J2713" s="55" t="s">
        <v>360</v>
      </c>
      <c r="K2713" s="55" t="s">
        <v>360</v>
      </c>
      <c r="L2713" s="55" t="s">
        <v>360</v>
      </c>
      <c r="M2713" s="55" t="s">
        <v>142</v>
      </c>
      <c r="N2713" s="55" t="s">
        <v>142</v>
      </c>
      <c r="O2713" s="55" t="s">
        <v>252</v>
      </c>
      <c r="P2713" s="55" t="s">
        <v>388</v>
      </c>
      <c r="Q2713" s="55" t="s">
        <v>350</v>
      </c>
      <c r="R2713" s="85">
        <v>2</v>
      </c>
      <c r="S2713" s="55">
        <v>0</v>
      </c>
      <c r="T2713" s="74" t="s">
        <v>1260</v>
      </c>
      <c r="U2713" s="74" t="s">
        <v>6703</v>
      </c>
      <c r="V2713" s="74">
        <v>44579</v>
      </c>
      <c r="W2713" s="74">
        <v>44614</v>
      </c>
      <c r="X2713" s="55">
        <v>10217685</v>
      </c>
      <c r="Y2713" s="55" t="s">
        <v>6704</v>
      </c>
      <c r="AL2713" s="74"/>
      <c r="AM2713" s="74"/>
      <c r="AW2713" s="74"/>
      <c r="AX2713" s="74"/>
    </row>
    <row r="2714" spans="1:50" ht="13" x14ac:dyDescent="0.15">
      <c r="A2714" s="55" t="str">
        <f>HYPERLINK("http://reports.ofsted.gov.uk/inspection-reports/find-inspection-report/provider/CARE/SC372611","Ofsted Social Care Provider Webpage")</f>
        <v>Ofsted Social Care Provider Webpage</v>
      </c>
      <c r="B2714" s="55" t="s">
        <v>5077</v>
      </c>
      <c r="D2714" s="55" t="s">
        <v>373</v>
      </c>
      <c r="E2714" s="74">
        <v>39631</v>
      </c>
      <c r="F2714" s="55" t="s">
        <v>344</v>
      </c>
      <c r="G2714" s="55" t="s">
        <v>360</v>
      </c>
      <c r="H2714" s="55" t="s">
        <v>360</v>
      </c>
      <c r="I2714" s="55" t="s">
        <v>360</v>
      </c>
      <c r="J2714" s="55" t="s">
        <v>360</v>
      </c>
      <c r="K2714" s="55" t="s">
        <v>360</v>
      </c>
      <c r="L2714" s="55" t="s">
        <v>360</v>
      </c>
      <c r="M2714" s="55" t="s">
        <v>142</v>
      </c>
      <c r="N2714" s="55" t="s">
        <v>142</v>
      </c>
      <c r="O2714" s="55" t="s">
        <v>252</v>
      </c>
      <c r="P2714" s="55" t="s">
        <v>388</v>
      </c>
      <c r="Q2714" s="55" t="s">
        <v>350</v>
      </c>
      <c r="R2714" s="85">
        <v>2</v>
      </c>
      <c r="S2714" s="55">
        <v>0</v>
      </c>
      <c r="T2714" s="74" t="s">
        <v>1260</v>
      </c>
      <c r="U2714" s="74" t="s">
        <v>351</v>
      </c>
      <c r="V2714" s="74">
        <v>44516</v>
      </c>
      <c r="W2714" s="74">
        <v>44565</v>
      </c>
      <c r="X2714" s="55">
        <v>10187441</v>
      </c>
      <c r="Y2714" s="55" t="s">
        <v>130</v>
      </c>
      <c r="AB2714" s="74" t="s">
        <v>130</v>
      </c>
      <c r="AC2714" s="55" t="s">
        <v>130</v>
      </c>
      <c r="AL2714" s="74"/>
      <c r="AM2714" s="74"/>
      <c r="AW2714" s="74"/>
      <c r="AX2714" s="74"/>
    </row>
    <row r="2715" spans="1:50" ht="13" x14ac:dyDescent="0.15">
      <c r="A2715" s="55" t="str">
        <f>HYPERLINK("http://reports.ofsted.gov.uk/inspection-reports/find-inspection-report/provider/CARE/SC372613","Ofsted Social Care Provider Webpage")</f>
        <v>Ofsted Social Care Provider Webpage</v>
      </c>
      <c r="B2715" s="55" t="s">
        <v>5078</v>
      </c>
      <c r="D2715" s="55" t="s">
        <v>373</v>
      </c>
      <c r="E2715" s="74">
        <v>39631</v>
      </c>
      <c r="F2715" s="55" t="s">
        <v>344</v>
      </c>
      <c r="G2715" s="55" t="s">
        <v>360</v>
      </c>
      <c r="H2715" s="55" t="s">
        <v>360</v>
      </c>
      <c r="I2715" s="55" t="s">
        <v>360</v>
      </c>
      <c r="J2715" s="55" t="s">
        <v>360</v>
      </c>
      <c r="K2715" s="55" t="s">
        <v>360</v>
      </c>
      <c r="L2715" s="55" t="s">
        <v>360</v>
      </c>
      <c r="M2715" s="55" t="s">
        <v>142</v>
      </c>
      <c r="N2715" s="55" t="s">
        <v>142</v>
      </c>
      <c r="O2715" s="55" t="s">
        <v>252</v>
      </c>
      <c r="P2715" s="55" t="s">
        <v>388</v>
      </c>
      <c r="Q2715" s="55" t="s">
        <v>350</v>
      </c>
      <c r="R2715" s="85">
        <v>3</v>
      </c>
      <c r="S2715" s="55">
        <v>0</v>
      </c>
      <c r="T2715" s="74" t="s">
        <v>1260</v>
      </c>
      <c r="U2715" s="74" t="s">
        <v>351</v>
      </c>
      <c r="V2715" s="74">
        <v>44502</v>
      </c>
      <c r="W2715" s="74">
        <v>44539</v>
      </c>
      <c r="X2715" s="55">
        <v>10186547</v>
      </c>
      <c r="Y2715" s="55" t="s">
        <v>132</v>
      </c>
      <c r="AB2715" s="74" t="s">
        <v>132</v>
      </c>
      <c r="AC2715" s="55" t="s">
        <v>132</v>
      </c>
      <c r="AL2715" s="74"/>
      <c r="AM2715" s="74"/>
      <c r="AW2715" s="74"/>
      <c r="AX2715" s="74"/>
    </row>
    <row r="2716" spans="1:50" ht="13" x14ac:dyDescent="0.15">
      <c r="A2716" s="55" t="str">
        <f>HYPERLINK("http://reports.ofsted.gov.uk/inspection-reports/find-inspection-report/provider/CARE/SC372621","Ofsted Social Care Provider Webpage")</f>
        <v>Ofsted Social Care Provider Webpage</v>
      </c>
      <c r="B2716" s="55" t="s">
        <v>5079</v>
      </c>
      <c r="D2716" s="55" t="s">
        <v>373</v>
      </c>
      <c r="E2716" s="74">
        <v>39643</v>
      </c>
      <c r="F2716" s="55" t="s">
        <v>344</v>
      </c>
      <c r="G2716" s="55" t="s">
        <v>360</v>
      </c>
      <c r="H2716" s="55" t="s">
        <v>360</v>
      </c>
      <c r="I2716" s="55" t="s">
        <v>360</v>
      </c>
      <c r="J2716" s="55" t="s">
        <v>360</v>
      </c>
      <c r="K2716" s="55" t="s">
        <v>360</v>
      </c>
      <c r="L2716" s="55" t="s">
        <v>360</v>
      </c>
      <c r="M2716" s="55" t="s">
        <v>142</v>
      </c>
      <c r="N2716" s="55" t="s">
        <v>142</v>
      </c>
      <c r="O2716" s="55" t="s">
        <v>272</v>
      </c>
      <c r="P2716" s="55" t="s">
        <v>653</v>
      </c>
      <c r="Q2716" s="55" t="s">
        <v>350</v>
      </c>
      <c r="R2716" s="85">
        <v>3</v>
      </c>
      <c r="S2716" s="55">
        <v>0</v>
      </c>
      <c r="T2716" s="74" t="s">
        <v>1260</v>
      </c>
      <c r="U2716" s="74" t="s">
        <v>351</v>
      </c>
      <c r="V2716" s="74">
        <v>44474</v>
      </c>
      <c r="W2716" s="74">
        <v>44519</v>
      </c>
      <c r="X2716" s="55">
        <v>10185155</v>
      </c>
      <c r="Y2716" s="55" t="s">
        <v>132</v>
      </c>
      <c r="AB2716" s="74" t="s">
        <v>130</v>
      </c>
      <c r="AC2716" s="55" t="s">
        <v>132</v>
      </c>
      <c r="AL2716" s="74"/>
      <c r="AM2716" s="74"/>
      <c r="AW2716" s="74"/>
      <c r="AX2716" s="74"/>
    </row>
    <row r="2717" spans="1:50" ht="13" x14ac:dyDescent="0.15">
      <c r="A2717" s="55" t="str">
        <f>HYPERLINK("http://reports.ofsted.gov.uk/inspection-reports/find-inspection-report/provider/CARE/SC372630","Ofsted Social Care Provider Webpage")</f>
        <v>Ofsted Social Care Provider Webpage</v>
      </c>
      <c r="B2717" s="55" t="s">
        <v>5080</v>
      </c>
      <c r="D2717" s="55" t="s">
        <v>373</v>
      </c>
      <c r="E2717" s="74">
        <v>39631</v>
      </c>
      <c r="F2717" s="55" t="s">
        <v>344</v>
      </c>
      <c r="G2717" s="55" t="s">
        <v>360</v>
      </c>
      <c r="H2717" s="55" t="s">
        <v>360</v>
      </c>
      <c r="I2717" s="55" t="s">
        <v>360</v>
      </c>
      <c r="J2717" s="55" t="s">
        <v>360</v>
      </c>
      <c r="K2717" s="55" t="s">
        <v>360</v>
      </c>
      <c r="L2717" s="55" t="s">
        <v>360</v>
      </c>
      <c r="M2717" s="55" t="s">
        <v>142</v>
      </c>
      <c r="N2717" s="55" t="s">
        <v>142</v>
      </c>
      <c r="O2717" s="55" t="s">
        <v>272</v>
      </c>
      <c r="P2717" s="55" t="s">
        <v>1291</v>
      </c>
      <c r="Q2717" s="55" t="s">
        <v>350</v>
      </c>
      <c r="R2717" s="85">
        <v>4</v>
      </c>
      <c r="S2717" s="55">
        <v>0</v>
      </c>
      <c r="T2717" s="74" t="s">
        <v>1260</v>
      </c>
      <c r="U2717" s="74" t="s">
        <v>351</v>
      </c>
      <c r="V2717" s="74">
        <v>44431</v>
      </c>
      <c r="W2717" s="74">
        <v>44468</v>
      </c>
      <c r="X2717" s="55">
        <v>10186797</v>
      </c>
      <c r="Y2717" s="55" t="s">
        <v>132</v>
      </c>
      <c r="AB2717" s="74" t="s">
        <v>132</v>
      </c>
      <c r="AC2717" s="55" t="s">
        <v>130</v>
      </c>
      <c r="AL2717" s="74"/>
      <c r="AM2717" s="74"/>
      <c r="AW2717" s="74"/>
      <c r="AX2717" s="74"/>
    </row>
    <row r="2718" spans="1:50" ht="13" x14ac:dyDescent="0.15">
      <c r="A2718" s="55" t="str">
        <f>HYPERLINK("http://reports.ofsted.gov.uk/inspection-reports/find-inspection-report/provider/CARE/SC372652","Ofsted Social Care Provider Webpage")</f>
        <v>Ofsted Social Care Provider Webpage</v>
      </c>
      <c r="B2718" s="55" t="s">
        <v>6752</v>
      </c>
      <c r="D2718" s="55" t="s">
        <v>373</v>
      </c>
      <c r="E2718" s="74">
        <v>39794</v>
      </c>
      <c r="F2718" s="55" t="s">
        <v>6707</v>
      </c>
      <c r="G2718" s="55" t="s">
        <v>360</v>
      </c>
      <c r="H2718" s="55" t="s">
        <v>360</v>
      </c>
      <c r="I2718" s="55" t="s">
        <v>360</v>
      </c>
      <c r="J2718" s="55" t="s">
        <v>360</v>
      </c>
      <c r="K2718" s="55" t="s">
        <v>360</v>
      </c>
      <c r="L2718" s="55" t="s">
        <v>360</v>
      </c>
      <c r="M2718" s="55" t="s">
        <v>142</v>
      </c>
      <c r="N2718" s="55" t="s">
        <v>142</v>
      </c>
      <c r="O2718" s="55" t="s">
        <v>252</v>
      </c>
      <c r="P2718" s="55" t="s">
        <v>386</v>
      </c>
      <c r="Q2718" s="55" t="s">
        <v>350</v>
      </c>
      <c r="R2718" s="85">
        <v>1</v>
      </c>
      <c r="S2718" s="55">
        <v>0</v>
      </c>
      <c r="T2718" s="74" t="s">
        <v>1260</v>
      </c>
      <c r="U2718" s="74" t="s">
        <v>351</v>
      </c>
      <c r="V2718" s="74">
        <v>44341</v>
      </c>
      <c r="W2718" s="74">
        <v>44379</v>
      </c>
      <c r="X2718" s="55">
        <v>10186737</v>
      </c>
      <c r="Y2718" s="55" t="s">
        <v>132</v>
      </c>
      <c r="AB2718" s="74" t="s">
        <v>132</v>
      </c>
      <c r="AC2718" s="55" t="s">
        <v>132</v>
      </c>
      <c r="AL2718" s="74"/>
      <c r="AM2718" s="74"/>
    </row>
    <row r="2719" spans="1:50" ht="13" x14ac:dyDescent="0.15">
      <c r="A2719" s="55" t="str">
        <f>HYPERLINK("http://reports.ofsted.gov.uk/inspection-reports/find-inspection-report/provider/CARE/SC372661","Ofsted Social Care Provider Webpage")</f>
        <v>Ofsted Social Care Provider Webpage</v>
      </c>
      <c r="B2719" s="55" t="s">
        <v>5081</v>
      </c>
      <c r="D2719" s="55" t="s">
        <v>373</v>
      </c>
      <c r="E2719" s="74">
        <v>39658</v>
      </c>
      <c r="F2719" s="55" t="s">
        <v>344</v>
      </c>
      <c r="G2719" s="55" t="s">
        <v>360</v>
      </c>
      <c r="H2719" s="55" t="s">
        <v>360</v>
      </c>
      <c r="I2719" s="55" t="s">
        <v>360</v>
      </c>
      <c r="J2719" s="55" t="s">
        <v>360</v>
      </c>
      <c r="K2719" s="55" t="s">
        <v>360</v>
      </c>
      <c r="L2719" s="55" t="s">
        <v>360</v>
      </c>
      <c r="M2719" s="55" t="s">
        <v>142</v>
      </c>
      <c r="N2719" s="55" t="s">
        <v>142</v>
      </c>
      <c r="O2719" s="55" t="s">
        <v>252</v>
      </c>
      <c r="P2719" s="55" t="s">
        <v>386</v>
      </c>
      <c r="Q2719" s="55" t="s">
        <v>350</v>
      </c>
      <c r="R2719" s="85">
        <v>1</v>
      </c>
      <c r="S2719" s="55">
        <v>0</v>
      </c>
      <c r="T2719" s="74" t="s">
        <v>1260</v>
      </c>
      <c r="U2719" s="74" t="s">
        <v>351</v>
      </c>
      <c r="V2719" s="74">
        <v>44621</v>
      </c>
      <c r="W2719" s="74">
        <v>44665</v>
      </c>
      <c r="X2719" s="55">
        <v>10187527</v>
      </c>
      <c r="Y2719" s="55" t="s">
        <v>132</v>
      </c>
      <c r="AB2719" s="74" t="s">
        <v>132</v>
      </c>
      <c r="AC2719" s="55" t="s">
        <v>132</v>
      </c>
      <c r="AL2719" s="74"/>
      <c r="AM2719" s="74"/>
      <c r="AW2719" s="74"/>
      <c r="AX2719" s="74"/>
    </row>
    <row r="2720" spans="1:50" ht="13" x14ac:dyDescent="0.15">
      <c r="A2720" s="55" t="str">
        <f>HYPERLINK("http://reports.ofsted.gov.uk/inspection-reports/find-inspection-report/provider/CARE/SC373044","Ofsted Social Care Provider Webpage")</f>
        <v>Ofsted Social Care Provider Webpage</v>
      </c>
      <c r="B2720" s="55" t="s">
        <v>5082</v>
      </c>
      <c r="D2720" s="55" t="s">
        <v>373</v>
      </c>
      <c r="E2720" s="74">
        <v>39525</v>
      </c>
      <c r="F2720" s="55" t="s">
        <v>344</v>
      </c>
      <c r="G2720" s="55" t="s">
        <v>360</v>
      </c>
      <c r="H2720" s="55" t="s">
        <v>360</v>
      </c>
      <c r="I2720" s="55" t="s">
        <v>360</v>
      </c>
      <c r="J2720" s="55" t="s">
        <v>360</v>
      </c>
      <c r="K2720" s="55" t="s">
        <v>360</v>
      </c>
      <c r="L2720" s="55" t="s">
        <v>360</v>
      </c>
      <c r="M2720" s="55" t="s">
        <v>144</v>
      </c>
      <c r="N2720" s="55" t="s">
        <v>144</v>
      </c>
      <c r="O2720" s="55" t="s">
        <v>147</v>
      </c>
      <c r="P2720" s="55" t="s">
        <v>674</v>
      </c>
      <c r="Q2720" s="55" t="s">
        <v>362</v>
      </c>
      <c r="R2720" s="85">
        <v>4</v>
      </c>
      <c r="S2720" s="55">
        <v>0</v>
      </c>
      <c r="T2720" s="74" t="s">
        <v>675</v>
      </c>
      <c r="U2720" s="74" t="s">
        <v>351</v>
      </c>
      <c r="V2720" s="74">
        <v>44342</v>
      </c>
      <c r="W2720" s="74">
        <v>44382</v>
      </c>
      <c r="X2720" s="55">
        <v>10185909</v>
      </c>
      <c r="Y2720" s="55" t="s">
        <v>130</v>
      </c>
      <c r="AB2720" s="74" t="s">
        <v>130</v>
      </c>
      <c r="AC2720" s="55" t="s">
        <v>130</v>
      </c>
      <c r="AL2720" s="74"/>
      <c r="AM2720" s="74"/>
    </row>
    <row r="2721" spans="1:50" ht="13" x14ac:dyDescent="0.15">
      <c r="A2721" s="55" t="str">
        <f>HYPERLINK("http://reports.ofsted.gov.uk/inspection-reports/find-inspection-report/provider/CARE/SC373044","Ofsted Social Care Provider Webpage")</f>
        <v>Ofsted Social Care Provider Webpage</v>
      </c>
      <c r="B2721" s="55" t="s">
        <v>5082</v>
      </c>
      <c r="D2721" s="55" t="s">
        <v>373</v>
      </c>
      <c r="E2721" s="74">
        <v>39525</v>
      </c>
      <c r="F2721" s="55" t="s">
        <v>344</v>
      </c>
      <c r="G2721" s="55" t="s">
        <v>360</v>
      </c>
      <c r="H2721" s="55" t="s">
        <v>360</v>
      </c>
      <c r="I2721" s="55" t="s">
        <v>360</v>
      </c>
      <c r="J2721" s="55" t="s">
        <v>360</v>
      </c>
      <c r="K2721" s="55" t="s">
        <v>360</v>
      </c>
      <c r="L2721" s="55" t="s">
        <v>360</v>
      </c>
      <c r="M2721" s="55" t="s">
        <v>144</v>
      </c>
      <c r="N2721" s="55" t="s">
        <v>144</v>
      </c>
      <c r="O2721" s="55" t="s">
        <v>147</v>
      </c>
      <c r="P2721" s="55" t="s">
        <v>674</v>
      </c>
      <c r="Q2721" s="55" t="s">
        <v>362</v>
      </c>
      <c r="R2721" s="85">
        <v>4</v>
      </c>
      <c r="S2721" s="55">
        <v>0</v>
      </c>
      <c r="T2721" s="74" t="s">
        <v>675</v>
      </c>
      <c r="U2721" s="74" t="s">
        <v>2053</v>
      </c>
      <c r="V2721" s="74">
        <v>44398</v>
      </c>
      <c r="W2721" s="74">
        <v>44418</v>
      </c>
      <c r="X2721" s="55">
        <v>10202615</v>
      </c>
      <c r="AL2721" s="74"/>
      <c r="AM2721" s="74"/>
    </row>
    <row r="2722" spans="1:50" ht="13" x14ac:dyDescent="0.15">
      <c r="A2722" s="55" t="str">
        <f>HYPERLINK("http://reports.ofsted.gov.uk/inspection-reports/find-inspection-report/provider/CARE/SC373941","Ofsted Social Care Provider Webpage")</f>
        <v>Ofsted Social Care Provider Webpage</v>
      </c>
      <c r="B2722" s="55" t="s">
        <v>5083</v>
      </c>
      <c r="D2722" s="55" t="s">
        <v>373</v>
      </c>
      <c r="E2722" s="74">
        <v>39527</v>
      </c>
      <c r="F2722" s="55" t="s">
        <v>344</v>
      </c>
      <c r="G2722" s="55" t="s">
        <v>360</v>
      </c>
      <c r="H2722" s="55" t="s">
        <v>360</v>
      </c>
      <c r="I2722" s="55" t="s">
        <v>360</v>
      </c>
      <c r="J2722" s="55" t="s">
        <v>360</v>
      </c>
      <c r="K2722" s="55" t="s">
        <v>360</v>
      </c>
      <c r="L2722" s="55" t="s">
        <v>360</v>
      </c>
      <c r="M2722" s="55" t="s">
        <v>150</v>
      </c>
      <c r="N2722" s="55" t="s">
        <v>150</v>
      </c>
      <c r="O2722" s="55" t="s">
        <v>181</v>
      </c>
      <c r="P2722" s="55" t="s">
        <v>429</v>
      </c>
      <c r="Q2722" s="55" t="s">
        <v>380</v>
      </c>
      <c r="R2722" s="85">
        <v>4</v>
      </c>
      <c r="S2722" s="55">
        <v>0</v>
      </c>
      <c r="T2722" s="74" t="s">
        <v>3026</v>
      </c>
      <c r="U2722" s="74" t="s">
        <v>351</v>
      </c>
      <c r="V2722" s="74">
        <v>44341</v>
      </c>
      <c r="W2722" s="74">
        <v>44392</v>
      </c>
      <c r="X2722" s="55">
        <v>10185937</v>
      </c>
      <c r="Y2722" s="55" t="s">
        <v>132</v>
      </c>
      <c r="AB2722" s="74" t="s">
        <v>132</v>
      </c>
      <c r="AC2722" s="55" t="s">
        <v>130</v>
      </c>
      <c r="AL2722" s="74"/>
      <c r="AM2722" s="74"/>
      <c r="AW2722" s="74"/>
      <c r="AX2722" s="74"/>
    </row>
    <row r="2723" spans="1:50" ht="13" x14ac:dyDescent="0.15">
      <c r="A2723" s="55" t="str">
        <f>HYPERLINK("http://reports.ofsted.gov.uk/inspection-reports/find-inspection-report/provider/CARE/SC373958","Ofsted Social Care Provider Webpage")</f>
        <v>Ofsted Social Care Provider Webpage</v>
      </c>
      <c r="B2723" s="55" t="s">
        <v>5084</v>
      </c>
      <c r="D2723" s="55" t="s">
        <v>373</v>
      </c>
      <c r="E2723" s="74">
        <v>39527</v>
      </c>
      <c r="F2723" s="55" t="s">
        <v>344</v>
      </c>
      <c r="G2723" s="55" t="s">
        <v>360</v>
      </c>
      <c r="H2723" s="55" t="s">
        <v>360</v>
      </c>
      <c r="I2723" s="55" t="s">
        <v>360</v>
      </c>
      <c r="J2723" s="55" t="s">
        <v>360</v>
      </c>
      <c r="K2723" s="55" t="s">
        <v>360</v>
      </c>
      <c r="L2723" s="55" t="s">
        <v>360</v>
      </c>
      <c r="M2723" s="55" t="s">
        <v>150</v>
      </c>
      <c r="N2723" s="55" t="s">
        <v>150</v>
      </c>
      <c r="O2723" s="55" t="s">
        <v>181</v>
      </c>
      <c r="P2723" s="55" t="s">
        <v>2066</v>
      </c>
      <c r="Q2723" s="55" t="s">
        <v>380</v>
      </c>
      <c r="R2723" s="85">
        <v>4</v>
      </c>
      <c r="S2723" s="55">
        <v>0</v>
      </c>
      <c r="T2723" s="74" t="s">
        <v>3026</v>
      </c>
      <c r="U2723" s="74" t="s">
        <v>351</v>
      </c>
      <c r="V2723" s="74">
        <v>44342</v>
      </c>
      <c r="W2723" s="74">
        <v>44397</v>
      </c>
      <c r="X2723" s="55">
        <v>10185348</v>
      </c>
      <c r="Y2723" s="55" t="s">
        <v>140</v>
      </c>
      <c r="AB2723" s="74" t="s">
        <v>132</v>
      </c>
      <c r="AC2723" s="55" t="s">
        <v>140</v>
      </c>
      <c r="AL2723" s="74"/>
      <c r="AM2723" s="74"/>
    </row>
    <row r="2724" spans="1:50" ht="13" x14ac:dyDescent="0.15">
      <c r="A2724" s="55" t="str">
        <f>HYPERLINK("http://reports.ofsted.gov.uk/inspection-reports/find-inspection-report/provider/CARE/SC373958","Ofsted Social Care Provider Webpage")</f>
        <v>Ofsted Social Care Provider Webpage</v>
      </c>
      <c r="B2724" s="55" t="s">
        <v>5084</v>
      </c>
      <c r="D2724" s="55" t="s">
        <v>373</v>
      </c>
      <c r="E2724" s="74">
        <v>39527</v>
      </c>
      <c r="F2724" s="55" t="s">
        <v>344</v>
      </c>
      <c r="G2724" s="55" t="s">
        <v>360</v>
      </c>
      <c r="H2724" s="55" t="s">
        <v>360</v>
      </c>
      <c r="I2724" s="55" t="s">
        <v>360</v>
      </c>
      <c r="J2724" s="55" t="s">
        <v>360</v>
      </c>
      <c r="K2724" s="55" t="s">
        <v>360</v>
      </c>
      <c r="L2724" s="55" t="s">
        <v>360</v>
      </c>
      <c r="M2724" s="55" t="s">
        <v>150</v>
      </c>
      <c r="N2724" s="55" t="s">
        <v>150</v>
      </c>
      <c r="O2724" s="55" t="s">
        <v>181</v>
      </c>
      <c r="P2724" s="55" t="s">
        <v>2066</v>
      </c>
      <c r="Q2724" s="55" t="s">
        <v>380</v>
      </c>
      <c r="R2724" s="85">
        <v>4</v>
      </c>
      <c r="S2724" s="55">
        <v>0</v>
      </c>
      <c r="T2724" s="74" t="s">
        <v>3026</v>
      </c>
      <c r="U2724" s="74" t="s">
        <v>2053</v>
      </c>
      <c r="V2724" s="74">
        <v>44588</v>
      </c>
      <c r="W2724" s="74">
        <v>44644</v>
      </c>
      <c r="X2724" s="55">
        <v>10219935</v>
      </c>
      <c r="AL2724" s="74"/>
      <c r="AM2724" s="74"/>
    </row>
    <row r="2725" spans="1:50" ht="13" x14ac:dyDescent="0.15">
      <c r="A2725" s="55" t="str">
        <f>HYPERLINK("http://reports.ofsted.gov.uk/inspection-reports/find-inspection-report/provider/CARE/SC373958","Ofsted Social Care Provider Webpage")</f>
        <v>Ofsted Social Care Provider Webpage</v>
      </c>
      <c r="B2725" s="55" t="s">
        <v>5084</v>
      </c>
      <c r="D2725" s="55" t="s">
        <v>373</v>
      </c>
      <c r="E2725" s="74">
        <v>39527</v>
      </c>
      <c r="F2725" s="55" t="s">
        <v>344</v>
      </c>
      <c r="G2725" s="55" t="s">
        <v>360</v>
      </c>
      <c r="H2725" s="55" t="s">
        <v>360</v>
      </c>
      <c r="I2725" s="55" t="s">
        <v>360</v>
      </c>
      <c r="J2725" s="55" t="s">
        <v>360</v>
      </c>
      <c r="K2725" s="55" t="s">
        <v>360</v>
      </c>
      <c r="L2725" s="55" t="s">
        <v>360</v>
      </c>
      <c r="M2725" s="55" t="s">
        <v>150</v>
      </c>
      <c r="N2725" s="55" t="s">
        <v>150</v>
      </c>
      <c r="O2725" s="55" t="s">
        <v>181</v>
      </c>
      <c r="P2725" s="55" t="s">
        <v>2066</v>
      </c>
      <c r="Q2725" s="55" t="s">
        <v>380</v>
      </c>
      <c r="R2725" s="85">
        <v>4</v>
      </c>
      <c r="S2725" s="55">
        <v>0</v>
      </c>
      <c r="T2725" s="74" t="s">
        <v>3026</v>
      </c>
      <c r="U2725" s="74" t="s">
        <v>2053</v>
      </c>
      <c r="V2725" s="74">
        <v>44629</v>
      </c>
      <c r="W2725" s="74">
        <v>44678</v>
      </c>
      <c r="X2725" s="55">
        <v>10221301</v>
      </c>
      <c r="AL2725" s="74"/>
      <c r="AM2725" s="74"/>
      <c r="AW2725" s="74"/>
      <c r="AX2725" s="74"/>
    </row>
    <row r="2726" spans="1:50" ht="13" x14ac:dyDescent="0.15">
      <c r="A2726" s="55" t="str">
        <f>HYPERLINK("http://reports.ofsted.gov.uk/inspection-reports/find-inspection-report/provider/CARE/SC374268","Ofsted Social Care Provider Webpage")</f>
        <v>Ofsted Social Care Provider Webpage</v>
      </c>
      <c r="B2726" s="55" t="s">
        <v>5085</v>
      </c>
      <c r="D2726" s="55" t="s">
        <v>373</v>
      </c>
      <c r="E2726" s="74">
        <v>39646</v>
      </c>
      <c r="F2726" s="55" t="s">
        <v>344</v>
      </c>
      <c r="G2726" s="55" t="s">
        <v>360</v>
      </c>
      <c r="H2726" s="55" t="s">
        <v>360</v>
      </c>
      <c r="I2726" s="55" t="s">
        <v>360</v>
      </c>
      <c r="J2726" s="55" t="s">
        <v>360</v>
      </c>
      <c r="K2726" s="55" t="s">
        <v>360</v>
      </c>
      <c r="L2726" s="55" t="s">
        <v>360</v>
      </c>
      <c r="M2726" s="55" t="s">
        <v>142</v>
      </c>
      <c r="N2726" s="55" t="s">
        <v>142</v>
      </c>
      <c r="O2726" s="55" t="s">
        <v>249</v>
      </c>
      <c r="P2726" s="55" t="s">
        <v>1318</v>
      </c>
      <c r="Q2726" s="55" t="s">
        <v>350</v>
      </c>
      <c r="R2726" s="85">
        <v>3</v>
      </c>
      <c r="S2726" s="55">
        <v>0</v>
      </c>
      <c r="T2726" s="74" t="s">
        <v>843</v>
      </c>
      <c r="U2726" s="74" t="s">
        <v>351</v>
      </c>
      <c r="V2726" s="74">
        <v>44391</v>
      </c>
      <c r="W2726" s="74">
        <v>44432</v>
      </c>
      <c r="X2726" s="55">
        <v>10186157</v>
      </c>
      <c r="Y2726" s="55" t="s">
        <v>132</v>
      </c>
      <c r="AB2726" s="74" t="s">
        <v>132</v>
      </c>
      <c r="AC2726" s="55" t="s">
        <v>130</v>
      </c>
      <c r="AL2726" s="74"/>
      <c r="AM2726" s="74"/>
    </row>
    <row r="2727" spans="1:50" ht="13" x14ac:dyDescent="0.15">
      <c r="A2727" s="55" t="str">
        <f>HYPERLINK("http://reports.ofsted.gov.uk/inspection-reports/find-inspection-report/provider/CARE/SC374405","Ofsted Social Care Provider Webpage")</f>
        <v>Ofsted Social Care Provider Webpage</v>
      </c>
      <c r="B2727" s="55" t="s">
        <v>5086</v>
      </c>
      <c r="D2727" s="55" t="s">
        <v>373</v>
      </c>
      <c r="E2727" s="74">
        <v>39602</v>
      </c>
      <c r="F2727" s="55" t="s">
        <v>344</v>
      </c>
      <c r="G2727" s="55" t="s">
        <v>360</v>
      </c>
      <c r="H2727" s="55" t="s">
        <v>360</v>
      </c>
      <c r="I2727" s="55" t="s">
        <v>360</v>
      </c>
      <c r="J2727" s="55" t="s">
        <v>360</v>
      </c>
      <c r="K2727" s="55" t="s">
        <v>360</v>
      </c>
      <c r="L2727" s="55" t="s">
        <v>360</v>
      </c>
      <c r="M2727" s="55" t="s">
        <v>172</v>
      </c>
      <c r="N2727" s="55" t="s">
        <v>172</v>
      </c>
      <c r="O2727" s="55" t="s">
        <v>234</v>
      </c>
      <c r="P2727" s="55" t="s">
        <v>965</v>
      </c>
      <c r="Q2727" s="55" t="s">
        <v>350</v>
      </c>
      <c r="R2727" s="85">
        <v>4</v>
      </c>
      <c r="S2727" s="55">
        <v>0</v>
      </c>
      <c r="T2727" s="74" t="s">
        <v>1105</v>
      </c>
      <c r="U2727" s="74" t="s">
        <v>351</v>
      </c>
      <c r="V2727" s="74">
        <v>44390</v>
      </c>
      <c r="W2727" s="74">
        <v>44421</v>
      </c>
      <c r="X2727" s="55">
        <v>10186758</v>
      </c>
      <c r="Y2727" s="55" t="s">
        <v>140</v>
      </c>
      <c r="AB2727" s="74" t="s">
        <v>132</v>
      </c>
      <c r="AC2727" s="55" t="s">
        <v>140</v>
      </c>
      <c r="AL2727" s="74"/>
      <c r="AM2727" s="74"/>
      <c r="AW2727" s="74"/>
      <c r="AX2727" s="74"/>
    </row>
    <row r="2728" spans="1:50" ht="13" x14ac:dyDescent="0.15">
      <c r="A2728" s="55" t="str">
        <f>HYPERLINK("http://reports.ofsted.gov.uk/inspection-reports/find-inspection-report/provider/CARE/SC376060","Ofsted Social Care Provider Webpage")</f>
        <v>Ofsted Social Care Provider Webpage</v>
      </c>
      <c r="B2728" s="55" t="s">
        <v>5088</v>
      </c>
      <c r="D2728" s="55" t="s">
        <v>389</v>
      </c>
      <c r="E2728" s="74">
        <v>40015</v>
      </c>
      <c r="F2728" s="55" t="s">
        <v>344</v>
      </c>
      <c r="G2728" s="55" t="s">
        <v>5089</v>
      </c>
      <c r="H2728" s="55" t="s">
        <v>5090</v>
      </c>
      <c r="I2728" s="55" t="s">
        <v>354</v>
      </c>
      <c r="J2728" s="55" t="s">
        <v>5091</v>
      </c>
      <c r="K2728" s="55" t="s">
        <v>203</v>
      </c>
      <c r="L2728" s="55" t="s">
        <v>5092</v>
      </c>
      <c r="M2728" s="55" t="s">
        <v>150</v>
      </c>
      <c r="N2728" s="55" t="s">
        <v>150</v>
      </c>
      <c r="O2728" s="55" t="s">
        <v>203</v>
      </c>
      <c r="P2728" s="55" t="s">
        <v>800</v>
      </c>
      <c r="Q2728" s="55" t="s">
        <v>350</v>
      </c>
      <c r="S2728" s="55">
        <v>0</v>
      </c>
      <c r="T2728" s="74" t="s">
        <v>5093</v>
      </c>
      <c r="U2728" s="74" t="s">
        <v>351</v>
      </c>
      <c r="V2728" s="74">
        <v>44354</v>
      </c>
      <c r="W2728" s="74">
        <v>44446</v>
      </c>
      <c r="X2728" s="55">
        <v>10189192</v>
      </c>
      <c r="Y2728" s="55" t="s">
        <v>146</v>
      </c>
      <c r="AB2728" s="74" t="s">
        <v>146</v>
      </c>
      <c r="AC2728" s="55" t="s">
        <v>146</v>
      </c>
      <c r="AL2728" s="74"/>
      <c r="AM2728" s="74"/>
    </row>
    <row r="2729" spans="1:50" ht="13" x14ac:dyDescent="0.15">
      <c r="A2729" s="55" t="str">
        <f>HYPERLINK("http://reports.ofsted.gov.uk/inspection-reports/find-inspection-report/provider/CARE/SC376060","Ofsted Social Care Provider Webpage")</f>
        <v>Ofsted Social Care Provider Webpage</v>
      </c>
      <c r="B2729" s="55" t="s">
        <v>5088</v>
      </c>
      <c r="D2729" s="55" t="s">
        <v>389</v>
      </c>
      <c r="E2729" s="74">
        <v>40015</v>
      </c>
      <c r="F2729" s="55" t="s">
        <v>344</v>
      </c>
      <c r="G2729" s="55" t="s">
        <v>5089</v>
      </c>
      <c r="H2729" s="55" t="s">
        <v>5090</v>
      </c>
      <c r="I2729" s="55" t="s">
        <v>354</v>
      </c>
      <c r="J2729" s="55" t="s">
        <v>5091</v>
      </c>
      <c r="K2729" s="55" t="s">
        <v>203</v>
      </c>
      <c r="L2729" s="55" t="s">
        <v>5092</v>
      </c>
      <c r="M2729" s="55" t="s">
        <v>150</v>
      </c>
      <c r="N2729" s="55" t="s">
        <v>150</v>
      </c>
      <c r="O2729" s="55" t="s">
        <v>203</v>
      </c>
      <c r="P2729" s="55" t="s">
        <v>800</v>
      </c>
      <c r="Q2729" s="55" t="s">
        <v>350</v>
      </c>
      <c r="S2729" s="55">
        <v>0</v>
      </c>
      <c r="T2729" s="74" t="s">
        <v>5093</v>
      </c>
      <c r="U2729" s="74" t="s">
        <v>2053</v>
      </c>
      <c r="V2729" s="74">
        <v>44447</v>
      </c>
      <c r="W2729" s="74">
        <v>44489</v>
      </c>
      <c r="X2729" s="55">
        <v>10205687</v>
      </c>
      <c r="AL2729" s="74"/>
      <c r="AM2729" s="74"/>
      <c r="AW2729" s="74"/>
      <c r="AX2729" s="74"/>
    </row>
    <row r="2730" spans="1:50" ht="13" x14ac:dyDescent="0.15">
      <c r="A2730" s="55" t="str">
        <f>HYPERLINK("http://reports.ofsted.gov.uk/inspection-reports/find-inspection-report/provider/CARE/SC376211","Ofsted Social Care Provider Webpage")</f>
        <v>Ofsted Social Care Provider Webpage</v>
      </c>
      <c r="B2730" s="55" t="s">
        <v>5094</v>
      </c>
      <c r="D2730" s="55" t="s">
        <v>373</v>
      </c>
      <c r="E2730" s="74">
        <v>39580</v>
      </c>
      <c r="F2730" s="55" t="s">
        <v>344</v>
      </c>
      <c r="G2730" s="55" t="s">
        <v>360</v>
      </c>
      <c r="H2730" s="55" t="s">
        <v>360</v>
      </c>
      <c r="I2730" s="55" t="s">
        <v>360</v>
      </c>
      <c r="J2730" s="55" t="s">
        <v>360</v>
      </c>
      <c r="K2730" s="55" t="s">
        <v>360</v>
      </c>
      <c r="L2730" s="55" t="s">
        <v>360</v>
      </c>
      <c r="M2730" s="55" t="s">
        <v>142</v>
      </c>
      <c r="N2730" s="55" t="s">
        <v>142</v>
      </c>
      <c r="O2730" s="55" t="s">
        <v>262</v>
      </c>
      <c r="P2730" s="55" t="s">
        <v>850</v>
      </c>
      <c r="Q2730" s="55" t="s">
        <v>350</v>
      </c>
      <c r="R2730" s="85">
        <v>6</v>
      </c>
      <c r="S2730" s="55">
        <v>0</v>
      </c>
      <c r="T2730" s="74" t="s">
        <v>751</v>
      </c>
      <c r="U2730" s="74" t="s">
        <v>351</v>
      </c>
      <c r="V2730" s="74">
        <v>44489</v>
      </c>
      <c r="W2730" s="74">
        <v>44543</v>
      </c>
      <c r="X2730" s="55">
        <v>10187315</v>
      </c>
      <c r="Y2730" s="55" t="s">
        <v>132</v>
      </c>
      <c r="AB2730" s="74" t="s">
        <v>130</v>
      </c>
      <c r="AC2730" s="55" t="s">
        <v>132</v>
      </c>
      <c r="AL2730" s="74"/>
      <c r="AM2730" s="74"/>
      <c r="AW2730" s="74"/>
      <c r="AX2730" s="74"/>
    </row>
    <row r="2731" spans="1:50" ht="13" x14ac:dyDescent="0.15">
      <c r="A2731" s="55" t="str">
        <f>HYPERLINK("http://reports.ofsted.gov.uk/inspection-reports/find-inspection-report/provider/CARE/SC376719","Ofsted Social Care Provider Webpage")</f>
        <v>Ofsted Social Care Provider Webpage</v>
      </c>
      <c r="B2731" s="55" t="s">
        <v>5095</v>
      </c>
      <c r="D2731" s="55" t="s">
        <v>373</v>
      </c>
      <c r="E2731" s="74">
        <v>39625</v>
      </c>
      <c r="F2731" s="55" t="s">
        <v>344</v>
      </c>
      <c r="G2731" s="55" t="s">
        <v>360</v>
      </c>
      <c r="H2731" s="55" t="s">
        <v>360</v>
      </c>
      <c r="I2731" s="55" t="s">
        <v>360</v>
      </c>
      <c r="J2731" s="55" t="s">
        <v>360</v>
      </c>
      <c r="K2731" s="55" t="s">
        <v>360</v>
      </c>
      <c r="L2731" s="55" t="s">
        <v>360</v>
      </c>
      <c r="M2731" s="55" t="s">
        <v>142</v>
      </c>
      <c r="N2731" s="55" t="s">
        <v>142</v>
      </c>
      <c r="O2731" s="55" t="s">
        <v>252</v>
      </c>
      <c r="P2731" s="55" t="s">
        <v>503</v>
      </c>
      <c r="Q2731" s="55" t="s">
        <v>350</v>
      </c>
      <c r="R2731" s="85">
        <v>2</v>
      </c>
      <c r="S2731" s="55">
        <v>0</v>
      </c>
      <c r="T2731" s="74" t="s">
        <v>504</v>
      </c>
      <c r="U2731" s="74" t="s">
        <v>351</v>
      </c>
      <c r="V2731" s="74">
        <v>44566</v>
      </c>
      <c r="W2731" s="74">
        <v>44606</v>
      </c>
      <c r="X2731" s="55">
        <v>10185324</v>
      </c>
      <c r="Y2731" s="55" t="s">
        <v>140</v>
      </c>
      <c r="AB2731" s="74" t="s">
        <v>140</v>
      </c>
      <c r="AC2731" s="55" t="s">
        <v>132</v>
      </c>
      <c r="AL2731" s="74"/>
      <c r="AM2731" s="74"/>
      <c r="AW2731" s="74"/>
      <c r="AX2731" s="74"/>
    </row>
    <row r="2732" spans="1:50" ht="13" x14ac:dyDescent="0.15">
      <c r="A2732" s="55" t="str">
        <f>HYPERLINK("http://reports.ofsted.gov.uk/inspection-reports/find-inspection-report/provider/CARE/SC377311","Ofsted Social Care Provider Webpage")</f>
        <v>Ofsted Social Care Provider Webpage</v>
      </c>
      <c r="B2732" s="55" t="s">
        <v>5096</v>
      </c>
      <c r="D2732" s="55" t="s">
        <v>389</v>
      </c>
      <c r="E2732" s="74">
        <v>39659</v>
      </c>
      <c r="F2732" s="55" t="s">
        <v>344</v>
      </c>
      <c r="G2732" s="55" t="s">
        <v>5097</v>
      </c>
      <c r="H2732" s="55" t="s">
        <v>5098</v>
      </c>
      <c r="I2732" s="55" t="s">
        <v>5099</v>
      </c>
      <c r="J2732" s="55" t="s">
        <v>236</v>
      </c>
      <c r="L2732" s="55" t="s">
        <v>4932</v>
      </c>
      <c r="M2732" s="55" t="s">
        <v>144</v>
      </c>
      <c r="N2732" s="55" t="s">
        <v>144</v>
      </c>
      <c r="O2732" s="55" t="s">
        <v>236</v>
      </c>
      <c r="P2732" s="55" t="s">
        <v>2088</v>
      </c>
      <c r="Q2732" s="55" t="s">
        <v>350</v>
      </c>
      <c r="S2732" s="55">
        <v>0</v>
      </c>
      <c r="T2732" s="74" t="s">
        <v>5100</v>
      </c>
      <c r="U2732" s="74" t="s">
        <v>351</v>
      </c>
      <c r="V2732" s="74">
        <v>44452</v>
      </c>
      <c r="W2732" s="74">
        <v>44487</v>
      </c>
      <c r="X2732" s="55">
        <v>10183395</v>
      </c>
      <c r="Y2732" s="55" t="s">
        <v>132</v>
      </c>
      <c r="AB2732" s="74" t="s">
        <v>132</v>
      </c>
      <c r="AC2732" s="55" t="s">
        <v>130</v>
      </c>
      <c r="AL2732" s="74"/>
      <c r="AM2732" s="74"/>
    </row>
    <row r="2733" spans="1:50" ht="13" x14ac:dyDescent="0.15">
      <c r="A2733" s="55" t="str">
        <f>HYPERLINK("http://reports.ofsted.gov.uk/inspection-reports/find-inspection-report/provider/CARE/SC377702","Ofsted Social Care Provider Webpage")</f>
        <v>Ofsted Social Care Provider Webpage</v>
      </c>
      <c r="B2733" s="55" t="s">
        <v>5101</v>
      </c>
      <c r="D2733" s="55" t="s">
        <v>373</v>
      </c>
      <c r="E2733" s="74">
        <v>39639</v>
      </c>
      <c r="F2733" s="55" t="s">
        <v>344</v>
      </c>
      <c r="G2733" s="55" t="s">
        <v>360</v>
      </c>
      <c r="H2733" s="55" t="s">
        <v>360</v>
      </c>
      <c r="I2733" s="55" t="s">
        <v>360</v>
      </c>
      <c r="J2733" s="55" t="s">
        <v>360</v>
      </c>
      <c r="K2733" s="55" t="s">
        <v>360</v>
      </c>
      <c r="L2733" s="55" t="s">
        <v>360</v>
      </c>
      <c r="M2733" s="55" t="s">
        <v>129</v>
      </c>
      <c r="N2733" s="55" t="s">
        <v>129</v>
      </c>
      <c r="O2733" s="55" t="s">
        <v>213</v>
      </c>
      <c r="P2733" s="55" t="s">
        <v>1160</v>
      </c>
      <c r="Q2733" s="55" t="s">
        <v>350</v>
      </c>
      <c r="R2733" s="85">
        <v>6</v>
      </c>
      <c r="S2733" s="55">
        <v>0</v>
      </c>
      <c r="T2733" s="74" t="s">
        <v>3508</v>
      </c>
      <c r="U2733" s="74" t="s">
        <v>351</v>
      </c>
      <c r="V2733" s="74">
        <v>44306</v>
      </c>
      <c r="W2733" s="74">
        <v>44343</v>
      </c>
      <c r="X2733" s="55">
        <v>10186021</v>
      </c>
      <c r="Y2733" s="55" t="s">
        <v>132</v>
      </c>
      <c r="AB2733" s="74" t="s">
        <v>132</v>
      </c>
      <c r="AC2733" s="55" t="s">
        <v>132</v>
      </c>
      <c r="AL2733" s="74"/>
      <c r="AM2733" s="74"/>
      <c r="AW2733" s="74"/>
      <c r="AX2733" s="74"/>
    </row>
    <row r="2734" spans="1:50" ht="13" x14ac:dyDescent="0.15">
      <c r="A2734" s="55" t="str">
        <f>HYPERLINK("http://reports.ofsted.gov.uk/inspection-reports/find-inspection-report/provider/CARE/SC377825","Ofsted Social Care Provider Webpage")</f>
        <v>Ofsted Social Care Provider Webpage</v>
      </c>
      <c r="B2734" s="55" t="s">
        <v>5102</v>
      </c>
      <c r="D2734" s="55" t="s">
        <v>373</v>
      </c>
      <c r="E2734" s="74">
        <v>39637</v>
      </c>
      <c r="F2734" s="55" t="s">
        <v>344</v>
      </c>
      <c r="G2734" s="55" t="s">
        <v>360</v>
      </c>
      <c r="H2734" s="55" t="s">
        <v>360</v>
      </c>
      <c r="I2734" s="55" t="s">
        <v>360</v>
      </c>
      <c r="J2734" s="55" t="s">
        <v>360</v>
      </c>
      <c r="K2734" s="55" t="s">
        <v>360</v>
      </c>
      <c r="L2734" s="55" t="s">
        <v>360</v>
      </c>
      <c r="M2734" s="55" t="s">
        <v>142</v>
      </c>
      <c r="N2734" s="55" t="s">
        <v>142</v>
      </c>
      <c r="O2734" s="55" t="s">
        <v>141</v>
      </c>
      <c r="P2734" s="55" t="s">
        <v>641</v>
      </c>
      <c r="Q2734" s="55" t="s">
        <v>350</v>
      </c>
      <c r="R2734" s="85">
        <v>3</v>
      </c>
      <c r="S2734" s="55">
        <v>0</v>
      </c>
      <c r="T2734" s="74" t="s">
        <v>2811</v>
      </c>
      <c r="U2734" s="74" t="s">
        <v>351</v>
      </c>
      <c r="V2734" s="74">
        <v>44621</v>
      </c>
      <c r="W2734" s="74">
        <v>44659</v>
      </c>
      <c r="X2734" s="55">
        <v>10185920</v>
      </c>
      <c r="Y2734" s="55" t="s">
        <v>132</v>
      </c>
      <c r="AB2734" s="74" t="s">
        <v>132</v>
      </c>
      <c r="AC2734" s="55" t="s">
        <v>132</v>
      </c>
      <c r="AL2734" s="74"/>
      <c r="AM2734" s="74"/>
      <c r="AW2734" s="74"/>
      <c r="AX2734" s="74"/>
    </row>
    <row r="2735" spans="1:50" ht="13" x14ac:dyDescent="0.15">
      <c r="A2735" s="55" t="str">
        <f>HYPERLINK("http://reports.ofsted.gov.uk/inspection-reports/find-inspection-report/provider/CARE/SC378153","Ofsted Social Care Provider Webpage")</f>
        <v>Ofsted Social Care Provider Webpage</v>
      </c>
      <c r="B2735" s="55" t="s">
        <v>5111</v>
      </c>
      <c r="D2735" s="55" t="s">
        <v>373</v>
      </c>
      <c r="E2735" s="74">
        <v>39736</v>
      </c>
      <c r="F2735" s="55" t="s">
        <v>344</v>
      </c>
      <c r="G2735" s="55" t="s">
        <v>360</v>
      </c>
      <c r="H2735" s="55" t="s">
        <v>360</v>
      </c>
      <c r="I2735" s="55" t="s">
        <v>360</v>
      </c>
      <c r="J2735" s="55" t="s">
        <v>360</v>
      </c>
      <c r="K2735" s="55" t="s">
        <v>360</v>
      </c>
      <c r="L2735" s="55" t="s">
        <v>360</v>
      </c>
      <c r="M2735" s="55" t="s">
        <v>142</v>
      </c>
      <c r="N2735" s="55" t="s">
        <v>142</v>
      </c>
      <c r="O2735" s="55" t="s">
        <v>262</v>
      </c>
      <c r="P2735" s="55" t="s">
        <v>692</v>
      </c>
      <c r="Q2735" s="55" t="s">
        <v>380</v>
      </c>
      <c r="R2735" s="85">
        <v>6</v>
      </c>
      <c r="S2735" s="55">
        <v>0</v>
      </c>
      <c r="T2735" s="74" t="s">
        <v>3963</v>
      </c>
      <c r="U2735" s="74" t="s">
        <v>351</v>
      </c>
      <c r="V2735" s="74">
        <v>44335</v>
      </c>
      <c r="W2735" s="74">
        <v>44382</v>
      </c>
      <c r="X2735" s="55">
        <v>10187440</v>
      </c>
      <c r="Y2735" s="55" t="s">
        <v>130</v>
      </c>
      <c r="AB2735" s="74" t="s">
        <v>130</v>
      </c>
      <c r="AC2735" s="55" t="s">
        <v>130</v>
      </c>
      <c r="AL2735" s="74"/>
      <c r="AM2735" s="74"/>
      <c r="AW2735" s="74"/>
      <c r="AX2735" s="74"/>
    </row>
    <row r="2736" spans="1:50" ht="13" x14ac:dyDescent="0.15">
      <c r="A2736" s="55" t="str">
        <f>HYPERLINK("http://reports.ofsted.gov.uk/inspection-reports/find-inspection-report/provider/CARE/SC378181","Ofsted Social Care Provider Webpage")</f>
        <v>Ofsted Social Care Provider Webpage</v>
      </c>
      <c r="B2736" s="55" t="s">
        <v>5112</v>
      </c>
      <c r="D2736" s="55" t="s">
        <v>373</v>
      </c>
      <c r="E2736" s="74">
        <v>39700</v>
      </c>
      <c r="F2736" s="55" t="s">
        <v>344</v>
      </c>
      <c r="G2736" s="55" t="s">
        <v>360</v>
      </c>
      <c r="H2736" s="55" t="s">
        <v>360</v>
      </c>
      <c r="I2736" s="55" t="s">
        <v>360</v>
      </c>
      <c r="J2736" s="55" t="s">
        <v>360</v>
      </c>
      <c r="K2736" s="55" t="s">
        <v>360</v>
      </c>
      <c r="L2736" s="55" t="s">
        <v>360</v>
      </c>
      <c r="M2736" s="55" t="s">
        <v>142</v>
      </c>
      <c r="N2736" s="55" t="s">
        <v>142</v>
      </c>
      <c r="O2736" s="55" t="s">
        <v>262</v>
      </c>
      <c r="P2736" s="55" t="s">
        <v>618</v>
      </c>
      <c r="Q2736" s="55" t="s">
        <v>350</v>
      </c>
      <c r="R2736" s="85">
        <v>2</v>
      </c>
      <c r="S2736" s="55">
        <v>0</v>
      </c>
      <c r="T2736" s="74" t="s">
        <v>541</v>
      </c>
      <c r="U2736" s="74" t="s">
        <v>2053</v>
      </c>
      <c r="V2736" s="74">
        <v>44579</v>
      </c>
      <c r="W2736" s="74">
        <v>44615</v>
      </c>
      <c r="X2736" s="55">
        <v>10217788</v>
      </c>
      <c r="AL2736" s="74"/>
      <c r="AM2736" s="74"/>
      <c r="AW2736" s="74"/>
      <c r="AX2736" s="74"/>
    </row>
    <row r="2737" spans="1:50" ht="13" x14ac:dyDescent="0.15">
      <c r="A2737" s="55" t="str">
        <f>HYPERLINK("http://reports.ofsted.gov.uk/inspection-reports/find-inspection-report/provider/CARE/SC378181","Ofsted Social Care Provider Webpage")</f>
        <v>Ofsted Social Care Provider Webpage</v>
      </c>
      <c r="B2737" s="55" t="s">
        <v>5112</v>
      </c>
      <c r="D2737" s="55" t="s">
        <v>373</v>
      </c>
      <c r="E2737" s="74">
        <v>39700</v>
      </c>
      <c r="F2737" s="55" t="s">
        <v>344</v>
      </c>
      <c r="G2737" s="55" t="s">
        <v>360</v>
      </c>
      <c r="H2737" s="55" t="s">
        <v>360</v>
      </c>
      <c r="I2737" s="55" t="s">
        <v>360</v>
      </c>
      <c r="J2737" s="55" t="s">
        <v>360</v>
      </c>
      <c r="K2737" s="55" t="s">
        <v>360</v>
      </c>
      <c r="L2737" s="55" t="s">
        <v>360</v>
      </c>
      <c r="M2737" s="55" t="s">
        <v>142</v>
      </c>
      <c r="N2737" s="55" t="s">
        <v>142</v>
      </c>
      <c r="O2737" s="55" t="s">
        <v>262</v>
      </c>
      <c r="P2737" s="55" t="s">
        <v>618</v>
      </c>
      <c r="Q2737" s="55" t="s">
        <v>350</v>
      </c>
      <c r="R2737" s="85">
        <v>2</v>
      </c>
      <c r="S2737" s="55">
        <v>0</v>
      </c>
      <c r="T2737" s="74" t="s">
        <v>541</v>
      </c>
      <c r="U2737" s="74" t="s">
        <v>351</v>
      </c>
      <c r="V2737" s="74">
        <v>44538</v>
      </c>
      <c r="W2737" s="74">
        <v>44586</v>
      </c>
      <c r="X2737" s="55">
        <v>10185114</v>
      </c>
      <c r="Y2737" s="55" t="s">
        <v>146</v>
      </c>
      <c r="AB2737" s="74" t="s">
        <v>146</v>
      </c>
      <c r="AC2737" s="55" t="s">
        <v>146</v>
      </c>
      <c r="AL2737" s="74"/>
      <c r="AM2737" s="74"/>
      <c r="AW2737" s="74"/>
      <c r="AX2737" s="74"/>
    </row>
    <row r="2738" spans="1:50" ht="13" x14ac:dyDescent="0.15">
      <c r="A2738" s="55" t="str">
        <f>HYPERLINK("http://reports.ofsted.gov.uk/inspection-reports/find-inspection-report/provider/CARE/SC378187","Ofsted Social Care Provider Webpage")</f>
        <v>Ofsted Social Care Provider Webpage</v>
      </c>
      <c r="B2738" s="55" t="s">
        <v>5113</v>
      </c>
      <c r="D2738" s="55" t="s">
        <v>373</v>
      </c>
      <c r="E2738" s="74">
        <v>39675</v>
      </c>
      <c r="F2738" s="55" t="s">
        <v>344</v>
      </c>
      <c r="G2738" s="55" t="s">
        <v>360</v>
      </c>
      <c r="H2738" s="55" t="s">
        <v>360</v>
      </c>
      <c r="I2738" s="55" t="s">
        <v>360</v>
      </c>
      <c r="J2738" s="55" t="s">
        <v>360</v>
      </c>
      <c r="K2738" s="55" t="s">
        <v>360</v>
      </c>
      <c r="L2738" s="55" t="s">
        <v>360</v>
      </c>
      <c r="M2738" s="55" t="s">
        <v>142</v>
      </c>
      <c r="N2738" s="55" t="s">
        <v>142</v>
      </c>
      <c r="O2738" s="55" t="s">
        <v>262</v>
      </c>
      <c r="P2738" s="55" t="s">
        <v>618</v>
      </c>
      <c r="Q2738" s="55" t="s">
        <v>350</v>
      </c>
      <c r="R2738" s="85">
        <v>2</v>
      </c>
      <c r="S2738" s="55">
        <v>0</v>
      </c>
      <c r="T2738" s="74" t="s">
        <v>541</v>
      </c>
      <c r="U2738" s="74" t="s">
        <v>2053</v>
      </c>
      <c r="V2738" s="74">
        <v>44578</v>
      </c>
      <c r="W2738" s="74">
        <v>44615</v>
      </c>
      <c r="X2738" s="55">
        <v>10216585</v>
      </c>
      <c r="AL2738" s="74"/>
      <c r="AM2738" s="74"/>
      <c r="AW2738" s="74"/>
      <c r="AX2738" s="74"/>
    </row>
    <row r="2739" spans="1:50" ht="13" x14ac:dyDescent="0.15">
      <c r="A2739" s="55" t="str">
        <f>HYPERLINK("http://reports.ofsted.gov.uk/inspection-reports/find-inspection-report/provider/CARE/SC378187","Ofsted Social Care Provider Webpage")</f>
        <v>Ofsted Social Care Provider Webpage</v>
      </c>
      <c r="B2739" s="55" t="s">
        <v>5113</v>
      </c>
      <c r="D2739" s="55" t="s">
        <v>373</v>
      </c>
      <c r="E2739" s="74">
        <v>39675</v>
      </c>
      <c r="F2739" s="55" t="s">
        <v>344</v>
      </c>
      <c r="G2739" s="55" t="s">
        <v>360</v>
      </c>
      <c r="H2739" s="55" t="s">
        <v>360</v>
      </c>
      <c r="I2739" s="55" t="s">
        <v>360</v>
      </c>
      <c r="J2739" s="55" t="s">
        <v>360</v>
      </c>
      <c r="K2739" s="55" t="s">
        <v>360</v>
      </c>
      <c r="L2739" s="55" t="s">
        <v>360</v>
      </c>
      <c r="M2739" s="55" t="s">
        <v>142</v>
      </c>
      <c r="N2739" s="55" t="s">
        <v>142</v>
      </c>
      <c r="O2739" s="55" t="s">
        <v>262</v>
      </c>
      <c r="P2739" s="55" t="s">
        <v>618</v>
      </c>
      <c r="Q2739" s="55" t="s">
        <v>350</v>
      </c>
      <c r="R2739" s="85">
        <v>2</v>
      </c>
      <c r="S2739" s="55">
        <v>0</v>
      </c>
      <c r="T2739" s="74" t="s">
        <v>541</v>
      </c>
      <c r="U2739" s="74" t="s">
        <v>351</v>
      </c>
      <c r="V2739" s="74">
        <v>44530</v>
      </c>
      <c r="W2739" s="74">
        <v>44586</v>
      </c>
      <c r="X2739" s="55">
        <v>10186710</v>
      </c>
      <c r="Y2739" s="55" t="s">
        <v>146</v>
      </c>
      <c r="AB2739" s="74" t="s">
        <v>146</v>
      </c>
      <c r="AC2739" s="55" t="s">
        <v>146</v>
      </c>
      <c r="AL2739" s="74"/>
      <c r="AM2739" s="74"/>
      <c r="AW2739" s="74"/>
      <c r="AX2739" s="74"/>
    </row>
    <row r="2740" spans="1:50" ht="13" x14ac:dyDescent="0.15">
      <c r="A2740" s="55" t="str">
        <f>HYPERLINK("http://reports.ofsted.gov.uk/inspection-reports/find-inspection-report/provider/CARE/SC378407","Ofsted Social Care Provider Webpage")</f>
        <v>Ofsted Social Care Provider Webpage</v>
      </c>
      <c r="B2740" s="55" t="s">
        <v>5114</v>
      </c>
      <c r="D2740" s="55" t="s">
        <v>373</v>
      </c>
      <c r="E2740" s="74">
        <v>39647</v>
      </c>
      <c r="F2740" s="55" t="s">
        <v>344</v>
      </c>
      <c r="G2740" s="55" t="s">
        <v>360</v>
      </c>
      <c r="H2740" s="55" t="s">
        <v>360</v>
      </c>
      <c r="I2740" s="55" t="s">
        <v>360</v>
      </c>
      <c r="J2740" s="55" t="s">
        <v>360</v>
      </c>
      <c r="K2740" s="55" t="s">
        <v>360</v>
      </c>
      <c r="L2740" s="55" t="s">
        <v>360</v>
      </c>
      <c r="M2740" s="55" t="s">
        <v>144</v>
      </c>
      <c r="N2740" s="55" t="s">
        <v>144</v>
      </c>
      <c r="O2740" s="55" t="s">
        <v>245</v>
      </c>
      <c r="P2740" s="55" t="s">
        <v>245</v>
      </c>
      <c r="Q2740" s="55" t="s">
        <v>350</v>
      </c>
      <c r="R2740" s="85">
        <v>2</v>
      </c>
      <c r="S2740" s="55">
        <v>0</v>
      </c>
      <c r="T2740" s="74" t="s">
        <v>711</v>
      </c>
      <c r="U2740" s="74" t="s">
        <v>351</v>
      </c>
      <c r="V2740" s="74">
        <v>44566</v>
      </c>
      <c r="W2740" s="74">
        <v>44606</v>
      </c>
      <c r="X2740" s="55">
        <v>10186079</v>
      </c>
      <c r="Y2740" s="55" t="s">
        <v>140</v>
      </c>
      <c r="AB2740" s="74" t="s">
        <v>140</v>
      </c>
      <c r="AC2740" s="55" t="s">
        <v>140</v>
      </c>
      <c r="AL2740" s="74"/>
      <c r="AM2740" s="74"/>
      <c r="AW2740" s="74"/>
      <c r="AX2740" s="74"/>
    </row>
    <row r="2741" spans="1:50" ht="13" x14ac:dyDescent="0.15">
      <c r="A2741" s="55" t="str">
        <f>HYPERLINK("http://reports.ofsted.gov.uk/inspection-reports/find-inspection-report/provider/CARE/SC378464","Ofsted Social Care Provider Webpage")</f>
        <v>Ofsted Social Care Provider Webpage</v>
      </c>
      <c r="B2741" s="55" t="s">
        <v>5115</v>
      </c>
      <c r="D2741" s="55" t="s">
        <v>373</v>
      </c>
      <c r="E2741" s="74">
        <v>39671</v>
      </c>
      <c r="F2741" s="55" t="s">
        <v>344</v>
      </c>
      <c r="G2741" s="55" t="s">
        <v>360</v>
      </c>
      <c r="H2741" s="55" t="s">
        <v>360</v>
      </c>
      <c r="I2741" s="55" t="s">
        <v>360</v>
      </c>
      <c r="J2741" s="55" t="s">
        <v>360</v>
      </c>
      <c r="K2741" s="55" t="s">
        <v>360</v>
      </c>
      <c r="L2741" s="55" t="s">
        <v>360</v>
      </c>
      <c r="M2741" s="55" t="s">
        <v>138</v>
      </c>
      <c r="N2741" s="55" t="s">
        <v>138</v>
      </c>
      <c r="O2741" s="55" t="s">
        <v>161</v>
      </c>
      <c r="P2741" s="55" t="s">
        <v>822</v>
      </c>
      <c r="Q2741" s="55" t="s">
        <v>350</v>
      </c>
      <c r="R2741" s="85">
        <v>3</v>
      </c>
      <c r="S2741" s="55">
        <v>0</v>
      </c>
      <c r="T2741" s="74" t="s">
        <v>4819</v>
      </c>
      <c r="U2741" s="74" t="s">
        <v>351</v>
      </c>
      <c r="V2741" s="74">
        <v>44510</v>
      </c>
      <c r="W2741" s="74">
        <v>44544</v>
      </c>
      <c r="X2741" s="55">
        <v>10186826</v>
      </c>
      <c r="Y2741" s="55" t="s">
        <v>132</v>
      </c>
      <c r="AB2741" s="74" t="s">
        <v>132</v>
      </c>
      <c r="AC2741" s="55" t="s">
        <v>130</v>
      </c>
      <c r="AL2741" s="74"/>
      <c r="AM2741" s="74"/>
      <c r="AW2741" s="74"/>
      <c r="AX2741" s="74"/>
    </row>
    <row r="2742" spans="1:50" ht="13" x14ac:dyDescent="0.15">
      <c r="A2742" s="55" t="str">
        <f>HYPERLINK("http://reports.ofsted.gov.uk/inspection-reports/find-inspection-report/provider/CARE/SC379123","Ofsted Social Care Provider Webpage")</f>
        <v>Ofsted Social Care Provider Webpage</v>
      </c>
      <c r="B2742" s="55" t="s">
        <v>5116</v>
      </c>
      <c r="D2742" s="55" t="s">
        <v>373</v>
      </c>
      <c r="E2742" s="74">
        <v>39659</v>
      </c>
      <c r="F2742" s="55" t="s">
        <v>344</v>
      </c>
      <c r="G2742" s="55" t="s">
        <v>360</v>
      </c>
      <c r="H2742" s="55" t="s">
        <v>360</v>
      </c>
      <c r="I2742" s="55" t="s">
        <v>360</v>
      </c>
      <c r="J2742" s="55" t="s">
        <v>360</v>
      </c>
      <c r="K2742" s="55" t="s">
        <v>360</v>
      </c>
      <c r="L2742" s="55" t="s">
        <v>360</v>
      </c>
      <c r="M2742" s="55" t="s">
        <v>142</v>
      </c>
      <c r="N2742" s="55" t="s">
        <v>142</v>
      </c>
      <c r="O2742" s="55" t="s">
        <v>272</v>
      </c>
      <c r="P2742" s="55" t="s">
        <v>653</v>
      </c>
      <c r="Q2742" s="55" t="s">
        <v>350</v>
      </c>
      <c r="R2742" s="85">
        <v>5</v>
      </c>
      <c r="S2742" s="55">
        <v>0</v>
      </c>
      <c r="T2742" s="74" t="s">
        <v>654</v>
      </c>
      <c r="U2742" s="74" t="s">
        <v>351</v>
      </c>
      <c r="V2742" s="74">
        <v>44398</v>
      </c>
      <c r="W2742" s="74">
        <v>44455</v>
      </c>
      <c r="X2742" s="55">
        <v>10185517</v>
      </c>
      <c r="Y2742" s="55" t="s">
        <v>130</v>
      </c>
      <c r="AB2742" s="74" t="s">
        <v>132</v>
      </c>
      <c r="AC2742" s="55" t="s">
        <v>130</v>
      </c>
      <c r="AL2742" s="74"/>
      <c r="AM2742" s="74"/>
      <c r="AW2742" s="74"/>
      <c r="AX2742" s="74"/>
    </row>
    <row r="2743" spans="1:50" ht="13" x14ac:dyDescent="0.15">
      <c r="A2743" s="55" t="str">
        <f>HYPERLINK("http://reports.ofsted.gov.uk/inspection-reports/find-inspection-report/provider/CARE/SC379199","Ofsted Social Care Provider Webpage")</f>
        <v>Ofsted Social Care Provider Webpage</v>
      </c>
      <c r="B2743" s="55" t="s">
        <v>5117</v>
      </c>
      <c r="D2743" s="55" t="s">
        <v>373</v>
      </c>
      <c r="E2743" s="74">
        <v>39673</v>
      </c>
      <c r="F2743" s="55" t="s">
        <v>344</v>
      </c>
      <c r="G2743" s="55" t="s">
        <v>360</v>
      </c>
      <c r="H2743" s="55" t="s">
        <v>360</v>
      </c>
      <c r="I2743" s="55" t="s">
        <v>360</v>
      </c>
      <c r="J2743" s="55" t="s">
        <v>360</v>
      </c>
      <c r="K2743" s="55" t="s">
        <v>360</v>
      </c>
      <c r="L2743" s="55" t="s">
        <v>360</v>
      </c>
      <c r="M2743" s="55" t="s">
        <v>138</v>
      </c>
      <c r="N2743" s="55" t="s">
        <v>138</v>
      </c>
      <c r="O2743" s="55" t="s">
        <v>196</v>
      </c>
      <c r="P2743" s="55" t="s">
        <v>4371</v>
      </c>
      <c r="Q2743" s="55" t="s">
        <v>380</v>
      </c>
      <c r="R2743" s="85">
        <v>7</v>
      </c>
      <c r="S2743" s="55">
        <v>0</v>
      </c>
      <c r="T2743" s="74" t="s">
        <v>2082</v>
      </c>
      <c r="U2743" s="74" t="s">
        <v>351</v>
      </c>
      <c r="V2743" s="74">
        <v>44405</v>
      </c>
      <c r="W2743" s="74">
        <v>44428</v>
      </c>
      <c r="X2743" s="55">
        <v>10186970</v>
      </c>
      <c r="Y2743" s="55" t="s">
        <v>132</v>
      </c>
      <c r="AB2743" s="74" t="s">
        <v>132</v>
      </c>
      <c r="AC2743" s="55" t="s">
        <v>132</v>
      </c>
      <c r="AL2743" s="74"/>
      <c r="AM2743" s="74"/>
      <c r="AW2743" s="74"/>
      <c r="AX2743" s="74"/>
    </row>
    <row r="2744" spans="1:50" ht="13" x14ac:dyDescent="0.15">
      <c r="A2744" s="55" t="str">
        <f>HYPERLINK("http://reports.ofsted.gov.uk/inspection-reports/find-inspection-report/provider/CARE/SC379274","Ofsted Social Care Provider Webpage")</f>
        <v>Ofsted Social Care Provider Webpage</v>
      </c>
      <c r="B2744" s="55" t="s">
        <v>5118</v>
      </c>
      <c r="D2744" s="55" t="s">
        <v>373</v>
      </c>
      <c r="E2744" s="74">
        <v>39647</v>
      </c>
      <c r="F2744" s="55" t="s">
        <v>344</v>
      </c>
      <c r="G2744" s="55" t="s">
        <v>360</v>
      </c>
      <c r="H2744" s="55" t="s">
        <v>360</v>
      </c>
      <c r="I2744" s="55" t="s">
        <v>360</v>
      </c>
      <c r="J2744" s="55" t="s">
        <v>360</v>
      </c>
      <c r="K2744" s="55" t="s">
        <v>360</v>
      </c>
      <c r="L2744" s="55" t="s">
        <v>360</v>
      </c>
      <c r="M2744" s="55" t="s">
        <v>378</v>
      </c>
      <c r="N2744" s="55" t="s">
        <v>134</v>
      </c>
      <c r="O2744" s="55" t="s">
        <v>277</v>
      </c>
      <c r="P2744" s="55" t="s">
        <v>1362</v>
      </c>
      <c r="Q2744" s="55" t="s">
        <v>350</v>
      </c>
      <c r="R2744" s="85">
        <v>4</v>
      </c>
      <c r="S2744" s="55">
        <v>0</v>
      </c>
      <c r="T2744" s="74" t="s">
        <v>1251</v>
      </c>
      <c r="U2744" s="74" t="s">
        <v>351</v>
      </c>
      <c r="V2744" s="74">
        <v>44571</v>
      </c>
      <c r="W2744" s="74">
        <v>44615</v>
      </c>
      <c r="X2744" s="55">
        <v>10186120</v>
      </c>
      <c r="Y2744" s="55" t="s">
        <v>132</v>
      </c>
      <c r="AB2744" s="74" t="s">
        <v>132</v>
      </c>
      <c r="AC2744" s="55" t="s">
        <v>132</v>
      </c>
      <c r="AL2744" s="74"/>
      <c r="AM2744" s="74"/>
    </row>
    <row r="2745" spans="1:50" ht="13" x14ac:dyDescent="0.15">
      <c r="A2745" s="55" t="str">
        <f>HYPERLINK("http://reports.ofsted.gov.uk/inspection-reports/find-inspection-report/provider/CARE/SC379357","Ofsted Social Care Provider Webpage")</f>
        <v>Ofsted Social Care Provider Webpage</v>
      </c>
      <c r="B2745" s="55" t="s">
        <v>5119</v>
      </c>
      <c r="D2745" s="55" t="s">
        <v>373</v>
      </c>
      <c r="E2745" s="74">
        <v>39702</v>
      </c>
      <c r="F2745" s="55" t="s">
        <v>344</v>
      </c>
      <c r="G2745" s="55" t="s">
        <v>360</v>
      </c>
      <c r="H2745" s="55" t="s">
        <v>360</v>
      </c>
      <c r="I2745" s="55" t="s">
        <v>360</v>
      </c>
      <c r="J2745" s="55" t="s">
        <v>360</v>
      </c>
      <c r="K2745" s="55" t="s">
        <v>360</v>
      </c>
      <c r="L2745" s="55" t="s">
        <v>360</v>
      </c>
      <c r="M2745" s="55" t="s">
        <v>138</v>
      </c>
      <c r="N2745" s="55" t="s">
        <v>138</v>
      </c>
      <c r="O2745" s="55" t="s">
        <v>224</v>
      </c>
      <c r="P2745" s="55" t="s">
        <v>374</v>
      </c>
      <c r="Q2745" s="55" t="s">
        <v>350</v>
      </c>
      <c r="R2745" s="85">
        <v>4</v>
      </c>
      <c r="S2745" s="55">
        <v>0</v>
      </c>
      <c r="T2745" s="74" t="s">
        <v>2811</v>
      </c>
      <c r="U2745" s="74" t="s">
        <v>351</v>
      </c>
      <c r="V2745" s="74">
        <v>44515</v>
      </c>
      <c r="W2745" s="74">
        <v>44546</v>
      </c>
      <c r="X2745" s="55">
        <v>10187101</v>
      </c>
      <c r="Y2745" s="55" t="s">
        <v>132</v>
      </c>
      <c r="AB2745" s="74" t="s">
        <v>132</v>
      </c>
      <c r="AC2745" s="55" t="s">
        <v>132</v>
      </c>
      <c r="AL2745" s="74"/>
      <c r="AM2745" s="74"/>
      <c r="AW2745" s="74"/>
      <c r="AX2745" s="74"/>
    </row>
    <row r="2746" spans="1:50" ht="13" x14ac:dyDescent="0.15">
      <c r="A2746" s="55" t="str">
        <f>HYPERLINK("http://reports.ofsted.gov.uk/inspection-reports/find-inspection-report/provider/CARE/SC380956","Ofsted Social Care Provider Webpage")</f>
        <v>Ofsted Social Care Provider Webpage</v>
      </c>
      <c r="B2746" s="55" t="s">
        <v>5120</v>
      </c>
      <c r="D2746" s="55" t="s">
        <v>373</v>
      </c>
      <c r="E2746" s="74">
        <v>39962</v>
      </c>
      <c r="F2746" s="55" t="s">
        <v>344</v>
      </c>
      <c r="G2746" s="55" t="s">
        <v>360</v>
      </c>
      <c r="H2746" s="55" t="s">
        <v>360</v>
      </c>
      <c r="I2746" s="55" t="s">
        <v>360</v>
      </c>
      <c r="J2746" s="55" t="s">
        <v>360</v>
      </c>
      <c r="K2746" s="55" t="s">
        <v>360</v>
      </c>
      <c r="L2746" s="55" t="s">
        <v>360</v>
      </c>
      <c r="M2746" s="55" t="s">
        <v>378</v>
      </c>
      <c r="N2746" s="55" t="s">
        <v>134</v>
      </c>
      <c r="O2746" s="55" t="s">
        <v>225</v>
      </c>
      <c r="P2746" s="55" t="s">
        <v>1667</v>
      </c>
      <c r="Q2746" s="55" t="s">
        <v>380</v>
      </c>
      <c r="R2746" s="85">
        <v>3</v>
      </c>
      <c r="S2746" s="55">
        <v>0</v>
      </c>
      <c r="T2746" s="74" t="s">
        <v>1668</v>
      </c>
      <c r="U2746" s="74" t="s">
        <v>351</v>
      </c>
      <c r="V2746" s="74">
        <v>44503</v>
      </c>
      <c r="W2746" s="74">
        <v>44551</v>
      </c>
      <c r="X2746" s="55">
        <v>10185959</v>
      </c>
      <c r="Y2746" s="55" t="s">
        <v>146</v>
      </c>
      <c r="AB2746" s="74" t="s">
        <v>146</v>
      </c>
      <c r="AC2746" s="55" t="s">
        <v>146</v>
      </c>
      <c r="AL2746" s="74"/>
      <c r="AM2746" s="74"/>
      <c r="AW2746" s="74"/>
      <c r="AX2746" s="74"/>
    </row>
    <row r="2747" spans="1:50" ht="13" x14ac:dyDescent="0.15">
      <c r="A2747" s="55" t="str">
        <f>HYPERLINK("http://reports.ofsted.gov.uk/inspection-reports/find-inspection-report/provider/CARE/SC380956","Ofsted Social Care Provider Webpage")</f>
        <v>Ofsted Social Care Provider Webpage</v>
      </c>
      <c r="B2747" s="55" t="s">
        <v>5120</v>
      </c>
      <c r="D2747" s="55" t="s">
        <v>373</v>
      </c>
      <c r="E2747" s="74">
        <v>39962</v>
      </c>
      <c r="F2747" s="55" t="s">
        <v>344</v>
      </c>
      <c r="G2747" s="55" t="s">
        <v>360</v>
      </c>
      <c r="H2747" s="55" t="s">
        <v>360</v>
      </c>
      <c r="I2747" s="55" t="s">
        <v>360</v>
      </c>
      <c r="J2747" s="55" t="s">
        <v>360</v>
      </c>
      <c r="K2747" s="55" t="s">
        <v>360</v>
      </c>
      <c r="L2747" s="55" t="s">
        <v>360</v>
      </c>
      <c r="M2747" s="55" t="s">
        <v>378</v>
      </c>
      <c r="N2747" s="55" t="s">
        <v>134</v>
      </c>
      <c r="O2747" s="55" t="s">
        <v>225</v>
      </c>
      <c r="P2747" s="55" t="s">
        <v>1667</v>
      </c>
      <c r="Q2747" s="55" t="s">
        <v>380</v>
      </c>
      <c r="R2747" s="85">
        <v>3</v>
      </c>
      <c r="S2747" s="55">
        <v>0</v>
      </c>
      <c r="T2747" s="74" t="s">
        <v>1668</v>
      </c>
      <c r="U2747" s="74" t="s">
        <v>2053</v>
      </c>
      <c r="V2747" s="74">
        <v>44622</v>
      </c>
      <c r="W2747" s="74">
        <v>44679</v>
      </c>
      <c r="X2747" s="55">
        <v>10220287</v>
      </c>
      <c r="AL2747" s="74"/>
      <c r="AM2747" s="74"/>
      <c r="AW2747" s="74"/>
      <c r="AX2747" s="74"/>
    </row>
    <row r="2748" spans="1:50" ht="13" x14ac:dyDescent="0.15">
      <c r="A2748" s="55" t="str">
        <f>HYPERLINK("http://reports.ofsted.gov.uk/inspection-reports/find-inspection-report/provider/CARE/SC380956","Ofsted Social Care Provider Webpage")</f>
        <v>Ofsted Social Care Provider Webpage</v>
      </c>
      <c r="B2748" s="55" t="s">
        <v>5120</v>
      </c>
      <c r="D2748" s="55" t="s">
        <v>373</v>
      </c>
      <c r="E2748" s="74">
        <v>39962</v>
      </c>
      <c r="F2748" s="55" t="s">
        <v>344</v>
      </c>
      <c r="G2748" s="55" t="s">
        <v>360</v>
      </c>
      <c r="H2748" s="55" t="s">
        <v>360</v>
      </c>
      <c r="I2748" s="55" t="s">
        <v>360</v>
      </c>
      <c r="J2748" s="55" t="s">
        <v>360</v>
      </c>
      <c r="K2748" s="55" t="s">
        <v>360</v>
      </c>
      <c r="L2748" s="55" t="s">
        <v>360</v>
      </c>
      <c r="M2748" s="55" t="s">
        <v>378</v>
      </c>
      <c r="N2748" s="55" t="s">
        <v>134</v>
      </c>
      <c r="O2748" s="55" t="s">
        <v>225</v>
      </c>
      <c r="P2748" s="55" t="s">
        <v>1667</v>
      </c>
      <c r="Q2748" s="55" t="s">
        <v>380</v>
      </c>
      <c r="R2748" s="85">
        <v>3</v>
      </c>
      <c r="S2748" s="55">
        <v>0</v>
      </c>
      <c r="T2748" s="74" t="s">
        <v>1668</v>
      </c>
      <c r="U2748" s="74" t="s">
        <v>2053</v>
      </c>
      <c r="V2748" s="74">
        <v>44572</v>
      </c>
      <c r="W2748" s="74">
        <v>44607</v>
      </c>
      <c r="X2748" s="55">
        <v>10218127</v>
      </c>
      <c r="AL2748" s="74"/>
      <c r="AM2748" s="74"/>
    </row>
    <row r="2749" spans="1:50" ht="13" x14ac:dyDescent="0.15">
      <c r="A2749" s="55" t="str">
        <f>HYPERLINK("http://reports.ofsted.gov.uk/inspection-reports/find-inspection-report/provider/CARE/SC380956","Ofsted Social Care Provider Webpage")</f>
        <v>Ofsted Social Care Provider Webpage</v>
      </c>
      <c r="B2749" s="55" t="s">
        <v>5120</v>
      </c>
      <c r="D2749" s="55" t="s">
        <v>373</v>
      </c>
      <c r="E2749" s="74">
        <v>39962</v>
      </c>
      <c r="F2749" s="55" t="s">
        <v>344</v>
      </c>
      <c r="G2749" s="55" t="s">
        <v>360</v>
      </c>
      <c r="H2749" s="55" t="s">
        <v>360</v>
      </c>
      <c r="I2749" s="55" t="s">
        <v>360</v>
      </c>
      <c r="J2749" s="55" t="s">
        <v>360</v>
      </c>
      <c r="K2749" s="55" t="s">
        <v>360</v>
      </c>
      <c r="L2749" s="55" t="s">
        <v>360</v>
      </c>
      <c r="M2749" s="55" t="s">
        <v>378</v>
      </c>
      <c r="N2749" s="55" t="s">
        <v>134</v>
      </c>
      <c r="O2749" s="55" t="s">
        <v>225</v>
      </c>
      <c r="P2749" s="55" t="s">
        <v>1667</v>
      </c>
      <c r="Q2749" s="55" t="s">
        <v>380</v>
      </c>
      <c r="R2749" s="85">
        <v>3</v>
      </c>
      <c r="S2749" s="55">
        <v>0</v>
      </c>
      <c r="T2749" s="74" t="s">
        <v>1668</v>
      </c>
      <c r="U2749" s="74" t="s">
        <v>2053</v>
      </c>
      <c r="V2749" s="74">
        <v>44307</v>
      </c>
      <c r="W2749" s="74">
        <v>44344</v>
      </c>
      <c r="X2749" s="55">
        <v>10183845</v>
      </c>
      <c r="AL2749" s="74"/>
      <c r="AM2749" s="74"/>
      <c r="AW2749" s="74"/>
      <c r="AX2749" s="74"/>
    </row>
    <row r="2750" spans="1:50" ht="13" x14ac:dyDescent="0.15">
      <c r="A2750" s="55" t="str">
        <f>HYPERLINK("http://reports.ofsted.gov.uk/inspection-reports/find-inspection-report/provider/CARE/SC380956","Ofsted Social Care Provider Webpage")</f>
        <v>Ofsted Social Care Provider Webpage</v>
      </c>
      <c r="B2750" s="55" t="s">
        <v>5120</v>
      </c>
      <c r="D2750" s="55" t="s">
        <v>373</v>
      </c>
      <c r="E2750" s="74">
        <v>39962</v>
      </c>
      <c r="F2750" s="55" t="s">
        <v>344</v>
      </c>
      <c r="G2750" s="55" t="s">
        <v>360</v>
      </c>
      <c r="H2750" s="55" t="s">
        <v>360</v>
      </c>
      <c r="I2750" s="55" t="s">
        <v>360</v>
      </c>
      <c r="J2750" s="55" t="s">
        <v>360</v>
      </c>
      <c r="K2750" s="55" t="s">
        <v>360</v>
      </c>
      <c r="L2750" s="55" t="s">
        <v>360</v>
      </c>
      <c r="M2750" s="55" t="s">
        <v>378</v>
      </c>
      <c r="N2750" s="55" t="s">
        <v>134</v>
      </c>
      <c r="O2750" s="55" t="s">
        <v>225</v>
      </c>
      <c r="P2750" s="55" t="s">
        <v>1667</v>
      </c>
      <c r="Q2750" s="55" t="s">
        <v>380</v>
      </c>
      <c r="R2750" s="85">
        <v>3</v>
      </c>
      <c r="S2750" s="55">
        <v>0</v>
      </c>
      <c r="T2750" s="74" t="s">
        <v>1668</v>
      </c>
      <c r="U2750" s="74" t="s">
        <v>2053</v>
      </c>
      <c r="V2750" s="74">
        <v>44544</v>
      </c>
      <c r="W2750" s="74">
        <v>44593</v>
      </c>
      <c r="X2750" s="55">
        <v>10213931</v>
      </c>
      <c r="AL2750" s="74"/>
      <c r="AM2750" s="74"/>
      <c r="AW2750" s="74"/>
      <c r="AX2750" s="74"/>
    </row>
    <row r="2751" spans="1:50" ht="13" x14ac:dyDescent="0.15">
      <c r="A2751" s="55" t="str">
        <f>HYPERLINK("http://reports.ofsted.gov.uk/inspection-reports/find-inspection-report/provider/CARE/SC381085","Ofsted Social Care Provider Webpage")</f>
        <v>Ofsted Social Care Provider Webpage</v>
      </c>
      <c r="B2751" s="55" t="s">
        <v>5121</v>
      </c>
      <c r="D2751" s="55" t="s">
        <v>373</v>
      </c>
      <c r="E2751" s="74">
        <v>39695</v>
      </c>
      <c r="F2751" s="55" t="s">
        <v>344</v>
      </c>
      <c r="G2751" s="55" t="s">
        <v>360</v>
      </c>
      <c r="H2751" s="55" t="s">
        <v>360</v>
      </c>
      <c r="I2751" s="55" t="s">
        <v>360</v>
      </c>
      <c r="J2751" s="55" t="s">
        <v>360</v>
      </c>
      <c r="K2751" s="55" t="s">
        <v>360</v>
      </c>
      <c r="L2751" s="55" t="s">
        <v>360</v>
      </c>
      <c r="M2751" s="55" t="s">
        <v>142</v>
      </c>
      <c r="N2751" s="55" t="s">
        <v>142</v>
      </c>
      <c r="O2751" s="55" t="s">
        <v>265</v>
      </c>
      <c r="P2751" s="55" t="s">
        <v>1066</v>
      </c>
      <c r="Q2751" s="55" t="s">
        <v>380</v>
      </c>
      <c r="R2751" s="85">
        <v>2</v>
      </c>
      <c r="S2751" s="55">
        <v>0</v>
      </c>
      <c r="T2751" s="74" t="s">
        <v>1067</v>
      </c>
      <c r="U2751" s="74" t="s">
        <v>351</v>
      </c>
      <c r="V2751" s="74">
        <v>44348</v>
      </c>
      <c r="W2751" s="74">
        <v>44378</v>
      </c>
      <c r="X2751" s="55">
        <v>10185361</v>
      </c>
      <c r="Y2751" s="55" t="s">
        <v>132</v>
      </c>
      <c r="AB2751" s="74" t="s">
        <v>130</v>
      </c>
      <c r="AC2751" s="55" t="s">
        <v>132</v>
      </c>
      <c r="AL2751" s="74"/>
      <c r="AM2751" s="74"/>
      <c r="AW2751" s="74"/>
      <c r="AX2751" s="74"/>
    </row>
    <row r="2752" spans="1:50" ht="13" x14ac:dyDescent="0.15">
      <c r="A2752" s="55" t="str">
        <f>HYPERLINK("http://reports.ofsted.gov.uk/inspection-reports/find-inspection-report/provider/CARE/SC381089","Ofsted Social Care Provider Webpage")</f>
        <v>Ofsted Social Care Provider Webpage</v>
      </c>
      <c r="B2752" s="55" t="s">
        <v>5122</v>
      </c>
      <c r="D2752" s="55" t="s">
        <v>373</v>
      </c>
      <c r="E2752" s="74">
        <v>39695</v>
      </c>
      <c r="F2752" s="55" t="s">
        <v>344</v>
      </c>
      <c r="G2752" s="55" t="s">
        <v>360</v>
      </c>
      <c r="H2752" s="55" t="s">
        <v>360</v>
      </c>
      <c r="I2752" s="55" t="s">
        <v>360</v>
      </c>
      <c r="J2752" s="55" t="s">
        <v>360</v>
      </c>
      <c r="K2752" s="55" t="s">
        <v>360</v>
      </c>
      <c r="L2752" s="55" t="s">
        <v>360</v>
      </c>
      <c r="M2752" s="55" t="s">
        <v>142</v>
      </c>
      <c r="N2752" s="55" t="s">
        <v>142</v>
      </c>
      <c r="O2752" s="55" t="s">
        <v>265</v>
      </c>
      <c r="P2752" s="55" t="s">
        <v>540</v>
      </c>
      <c r="Q2752" s="55" t="s">
        <v>380</v>
      </c>
      <c r="R2752" s="85">
        <v>2</v>
      </c>
      <c r="S2752" s="55">
        <v>0</v>
      </c>
      <c r="T2752" s="74" t="s">
        <v>1067</v>
      </c>
      <c r="U2752" s="74" t="s">
        <v>351</v>
      </c>
      <c r="V2752" s="74">
        <v>44439</v>
      </c>
      <c r="W2752" s="74">
        <v>44469</v>
      </c>
      <c r="X2752" s="55">
        <v>10187186</v>
      </c>
      <c r="Y2752" s="55" t="s">
        <v>132</v>
      </c>
      <c r="AB2752" s="74" t="s">
        <v>132</v>
      </c>
      <c r="AC2752" s="55" t="s">
        <v>132</v>
      </c>
      <c r="AL2752" s="74"/>
      <c r="AM2752" s="74"/>
      <c r="AW2752" s="74"/>
      <c r="AX2752" s="74"/>
    </row>
    <row r="2753" spans="1:50" ht="13" x14ac:dyDescent="0.15">
      <c r="A2753" s="55" t="str">
        <f>HYPERLINK("http://reports.ofsted.gov.uk/inspection-reports/find-inspection-report/provider/CARE/SC381339","Ofsted Social Care Provider Webpage")</f>
        <v>Ofsted Social Care Provider Webpage</v>
      </c>
      <c r="B2753" s="55" t="s">
        <v>5123</v>
      </c>
      <c r="D2753" s="55" t="s">
        <v>373</v>
      </c>
      <c r="E2753" s="74">
        <v>39710</v>
      </c>
      <c r="F2753" s="55" t="s">
        <v>344</v>
      </c>
      <c r="G2753" s="55" t="s">
        <v>360</v>
      </c>
      <c r="H2753" s="55" t="s">
        <v>360</v>
      </c>
      <c r="I2753" s="55" t="s">
        <v>360</v>
      </c>
      <c r="J2753" s="55" t="s">
        <v>360</v>
      </c>
      <c r="K2753" s="55" t="s">
        <v>360</v>
      </c>
      <c r="L2753" s="55" t="s">
        <v>360</v>
      </c>
      <c r="M2753" s="55" t="s">
        <v>144</v>
      </c>
      <c r="N2753" s="55" t="s">
        <v>144</v>
      </c>
      <c r="O2753" s="55" t="s">
        <v>217</v>
      </c>
      <c r="P2753" s="55" t="s">
        <v>397</v>
      </c>
      <c r="Q2753" s="55" t="s">
        <v>350</v>
      </c>
      <c r="R2753" s="85">
        <v>4</v>
      </c>
      <c r="S2753" s="55">
        <v>0</v>
      </c>
      <c r="T2753" s="74" t="s">
        <v>1107</v>
      </c>
      <c r="U2753" s="74" t="s">
        <v>351</v>
      </c>
      <c r="V2753" s="74">
        <v>44446</v>
      </c>
      <c r="W2753" s="74">
        <v>44476</v>
      </c>
      <c r="X2753" s="55">
        <v>10186601</v>
      </c>
      <c r="Y2753" s="55" t="s">
        <v>132</v>
      </c>
      <c r="AB2753" s="74" t="s">
        <v>132</v>
      </c>
      <c r="AC2753" s="55" t="s">
        <v>132</v>
      </c>
      <c r="AL2753" s="74"/>
      <c r="AM2753" s="74"/>
    </row>
    <row r="2754" spans="1:50" ht="13" x14ac:dyDescent="0.15">
      <c r="A2754" s="55" t="str">
        <f>HYPERLINK("http://reports.ofsted.gov.uk/inspection-reports/find-inspection-report/provider/CARE/SC381522","Ofsted Social Care Provider Webpage")</f>
        <v>Ofsted Social Care Provider Webpage</v>
      </c>
      <c r="B2754" s="55" t="s">
        <v>5124</v>
      </c>
      <c r="D2754" s="55" t="s">
        <v>373</v>
      </c>
      <c r="E2754" s="74">
        <v>39727</v>
      </c>
      <c r="F2754" s="55" t="s">
        <v>344</v>
      </c>
      <c r="G2754" s="55" t="s">
        <v>360</v>
      </c>
      <c r="H2754" s="55" t="s">
        <v>360</v>
      </c>
      <c r="I2754" s="55" t="s">
        <v>360</v>
      </c>
      <c r="J2754" s="55" t="s">
        <v>360</v>
      </c>
      <c r="K2754" s="55" t="s">
        <v>360</v>
      </c>
      <c r="L2754" s="55" t="s">
        <v>360</v>
      </c>
      <c r="M2754" s="55" t="s">
        <v>172</v>
      </c>
      <c r="N2754" s="55" t="s">
        <v>172</v>
      </c>
      <c r="O2754" s="55" t="s">
        <v>235</v>
      </c>
      <c r="P2754" s="55" t="s">
        <v>1396</v>
      </c>
      <c r="Q2754" s="55" t="s">
        <v>350</v>
      </c>
      <c r="R2754" s="85">
        <v>3</v>
      </c>
      <c r="S2754" s="55">
        <v>0</v>
      </c>
      <c r="T2754" s="74" t="s">
        <v>5125</v>
      </c>
      <c r="U2754" s="74" t="s">
        <v>351</v>
      </c>
      <c r="V2754" s="74">
        <v>44566</v>
      </c>
      <c r="W2754" s="74">
        <v>44634</v>
      </c>
      <c r="X2754" s="55">
        <v>10186177</v>
      </c>
      <c r="Y2754" s="55" t="s">
        <v>132</v>
      </c>
      <c r="AB2754" s="74" t="s">
        <v>132</v>
      </c>
      <c r="AC2754" s="55" t="s">
        <v>132</v>
      </c>
      <c r="AL2754" s="74"/>
      <c r="AM2754" s="74"/>
    </row>
    <row r="2755" spans="1:50" ht="13" x14ac:dyDescent="0.15">
      <c r="A2755" s="55" t="str">
        <f>HYPERLINK("http://reports.ofsted.gov.uk/inspection-reports/find-inspection-report/provider/CARE/SC382138","Ofsted Social Care Provider Webpage")</f>
        <v>Ofsted Social Care Provider Webpage</v>
      </c>
      <c r="B2755" s="55" t="s">
        <v>5127</v>
      </c>
      <c r="D2755" s="55" t="s">
        <v>373</v>
      </c>
      <c r="E2755" s="74">
        <v>39694</v>
      </c>
      <c r="F2755" s="55" t="s">
        <v>344</v>
      </c>
      <c r="G2755" s="55" t="s">
        <v>360</v>
      </c>
      <c r="H2755" s="55" t="s">
        <v>360</v>
      </c>
      <c r="I2755" s="55" t="s">
        <v>360</v>
      </c>
      <c r="J2755" s="55" t="s">
        <v>360</v>
      </c>
      <c r="K2755" s="55" t="s">
        <v>360</v>
      </c>
      <c r="L2755" s="55" t="s">
        <v>360</v>
      </c>
      <c r="M2755" s="55" t="s">
        <v>138</v>
      </c>
      <c r="N2755" s="55" t="s">
        <v>138</v>
      </c>
      <c r="O2755" s="55" t="s">
        <v>196</v>
      </c>
      <c r="P2755" s="55" t="s">
        <v>2347</v>
      </c>
      <c r="Q2755" s="55" t="s">
        <v>380</v>
      </c>
      <c r="R2755" s="85">
        <v>5</v>
      </c>
      <c r="S2755" s="55">
        <v>0</v>
      </c>
      <c r="T2755" s="74" t="s">
        <v>2082</v>
      </c>
      <c r="U2755" s="74" t="s">
        <v>351</v>
      </c>
      <c r="V2755" s="74">
        <v>44545</v>
      </c>
      <c r="W2755" s="74">
        <v>44588</v>
      </c>
      <c r="X2755" s="55">
        <v>10187129</v>
      </c>
      <c r="Y2755" s="55" t="s">
        <v>132</v>
      </c>
      <c r="AB2755" s="74" t="s">
        <v>140</v>
      </c>
      <c r="AC2755" s="55" t="s">
        <v>132</v>
      </c>
      <c r="AL2755" s="74"/>
      <c r="AM2755" s="74"/>
    </row>
    <row r="2756" spans="1:50" ht="13" x14ac:dyDescent="0.15">
      <c r="A2756" s="55" t="str">
        <f>HYPERLINK("http://reports.ofsted.gov.uk/inspection-reports/find-inspection-report/provider/CARE/SC382595","Ofsted Social Care Provider Webpage")</f>
        <v>Ofsted Social Care Provider Webpage</v>
      </c>
      <c r="B2756" s="55" t="s">
        <v>5128</v>
      </c>
      <c r="D2756" s="55" t="s">
        <v>373</v>
      </c>
      <c r="E2756" s="74">
        <v>39744</v>
      </c>
      <c r="F2756" s="55" t="s">
        <v>344</v>
      </c>
      <c r="G2756" s="55" t="s">
        <v>360</v>
      </c>
      <c r="H2756" s="55" t="s">
        <v>360</v>
      </c>
      <c r="I2756" s="55" t="s">
        <v>360</v>
      </c>
      <c r="J2756" s="55" t="s">
        <v>360</v>
      </c>
      <c r="K2756" s="55" t="s">
        <v>360</v>
      </c>
      <c r="L2756" s="55" t="s">
        <v>360</v>
      </c>
      <c r="M2756" s="55" t="s">
        <v>378</v>
      </c>
      <c r="N2756" s="55" t="s">
        <v>170</v>
      </c>
      <c r="O2756" s="55" t="s">
        <v>222</v>
      </c>
      <c r="P2756" s="55" t="s">
        <v>2188</v>
      </c>
      <c r="Q2756" s="55" t="s">
        <v>350</v>
      </c>
      <c r="R2756" s="85">
        <v>5</v>
      </c>
      <c r="S2756" s="55">
        <v>0</v>
      </c>
      <c r="T2756" s="74" t="s">
        <v>5129</v>
      </c>
      <c r="U2756" s="74" t="s">
        <v>351</v>
      </c>
      <c r="V2756" s="74">
        <v>44369</v>
      </c>
      <c r="W2756" s="74">
        <v>44397</v>
      </c>
      <c r="X2756" s="55">
        <v>10186539</v>
      </c>
      <c r="Y2756" s="55" t="s">
        <v>132</v>
      </c>
      <c r="AB2756" s="74" t="s">
        <v>132</v>
      </c>
      <c r="AC2756" s="55" t="s">
        <v>132</v>
      </c>
      <c r="AL2756" s="74"/>
      <c r="AM2756" s="74"/>
      <c r="AW2756" s="74"/>
      <c r="AX2756" s="74"/>
    </row>
    <row r="2757" spans="1:50" ht="13" x14ac:dyDescent="0.15">
      <c r="A2757" s="55" t="str">
        <f>HYPERLINK("http://reports.ofsted.gov.uk/inspection-reports/find-inspection-report/provider/CARE/SC382730","Ofsted Social Care Provider Webpage")</f>
        <v>Ofsted Social Care Provider Webpage</v>
      </c>
      <c r="B2757" s="55" t="s">
        <v>5130</v>
      </c>
      <c r="D2757" s="55" t="s">
        <v>373</v>
      </c>
      <c r="E2757" s="74">
        <v>39769</v>
      </c>
      <c r="F2757" s="55" t="s">
        <v>344</v>
      </c>
      <c r="G2757" s="55" t="s">
        <v>360</v>
      </c>
      <c r="H2757" s="55" t="s">
        <v>360</v>
      </c>
      <c r="I2757" s="55" t="s">
        <v>360</v>
      </c>
      <c r="J2757" s="55" t="s">
        <v>360</v>
      </c>
      <c r="K2757" s="55" t="s">
        <v>360</v>
      </c>
      <c r="L2757" s="55" t="s">
        <v>360</v>
      </c>
      <c r="M2757" s="55" t="s">
        <v>142</v>
      </c>
      <c r="N2757" s="55" t="s">
        <v>142</v>
      </c>
      <c r="O2757" s="55" t="s">
        <v>252</v>
      </c>
      <c r="P2757" s="55" t="s">
        <v>388</v>
      </c>
      <c r="Q2757" s="55" t="s">
        <v>380</v>
      </c>
      <c r="R2757" s="85">
        <v>5</v>
      </c>
      <c r="S2757" s="55">
        <v>0</v>
      </c>
      <c r="T2757" s="74" t="s">
        <v>1542</v>
      </c>
      <c r="U2757" s="74" t="s">
        <v>351</v>
      </c>
      <c r="V2757" s="74">
        <v>44314</v>
      </c>
      <c r="W2757" s="74">
        <v>44355</v>
      </c>
      <c r="X2757" s="55">
        <v>10185926</v>
      </c>
      <c r="Y2757" s="55" t="s">
        <v>130</v>
      </c>
      <c r="AB2757" s="74" t="s">
        <v>130</v>
      </c>
      <c r="AC2757" s="55" t="s">
        <v>146</v>
      </c>
      <c r="AL2757" s="74"/>
      <c r="AM2757" s="74"/>
      <c r="AW2757" s="74"/>
      <c r="AX2757" s="74"/>
    </row>
    <row r="2758" spans="1:50" ht="13" x14ac:dyDescent="0.15">
      <c r="A2758" s="55" t="str">
        <f>HYPERLINK("http://reports.ofsted.gov.uk/inspection-reports/find-inspection-report/provider/CARE/SC382730","Ofsted Social Care Provider Webpage")</f>
        <v>Ofsted Social Care Provider Webpage</v>
      </c>
      <c r="B2758" s="55" t="s">
        <v>5130</v>
      </c>
      <c r="D2758" s="55" t="s">
        <v>373</v>
      </c>
      <c r="E2758" s="74">
        <v>39769</v>
      </c>
      <c r="F2758" s="55" t="s">
        <v>344</v>
      </c>
      <c r="G2758" s="55" t="s">
        <v>360</v>
      </c>
      <c r="H2758" s="55" t="s">
        <v>360</v>
      </c>
      <c r="I2758" s="55" t="s">
        <v>360</v>
      </c>
      <c r="J2758" s="55" t="s">
        <v>360</v>
      </c>
      <c r="K2758" s="55" t="s">
        <v>360</v>
      </c>
      <c r="L2758" s="55" t="s">
        <v>360</v>
      </c>
      <c r="M2758" s="55" t="s">
        <v>142</v>
      </c>
      <c r="N2758" s="55" t="s">
        <v>142</v>
      </c>
      <c r="O2758" s="55" t="s">
        <v>252</v>
      </c>
      <c r="P2758" s="55" t="s">
        <v>388</v>
      </c>
      <c r="Q2758" s="55" t="s">
        <v>380</v>
      </c>
      <c r="R2758" s="85">
        <v>5</v>
      </c>
      <c r="S2758" s="55">
        <v>0</v>
      </c>
      <c r="T2758" s="74" t="s">
        <v>1542</v>
      </c>
      <c r="U2758" s="74" t="s">
        <v>6703</v>
      </c>
      <c r="V2758" s="74">
        <v>44622</v>
      </c>
      <c r="W2758" s="74">
        <v>44664</v>
      </c>
      <c r="X2758" s="55">
        <v>10217218</v>
      </c>
      <c r="Y2758" s="55" t="s">
        <v>6705</v>
      </c>
      <c r="AL2758" s="74"/>
      <c r="AM2758" s="74"/>
    </row>
    <row r="2759" spans="1:50" ht="13" x14ac:dyDescent="0.15">
      <c r="A2759" s="55" t="str">
        <f>HYPERLINK("http://reports.ofsted.gov.uk/inspection-reports/find-inspection-report/provider/CARE/SC382994","Ofsted Social Care Provider Webpage")</f>
        <v>Ofsted Social Care Provider Webpage</v>
      </c>
      <c r="B2759" s="55" t="s">
        <v>5131</v>
      </c>
      <c r="D2759" s="55" t="s">
        <v>373</v>
      </c>
      <c r="E2759" s="74">
        <v>39674</v>
      </c>
      <c r="F2759" s="55" t="s">
        <v>344</v>
      </c>
      <c r="G2759" s="55" t="s">
        <v>360</v>
      </c>
      <c r="H2759" s="55" t="s">
        <v>360</v>
      </c>
      <c r="I2759" s="55" t="s">
        <v>360</v>
      </c>
      <c r="J2759" s="55" t="s">
        <v>360</v>
      </c>
      <c r="K2759" s="55" t="s">
        <v>360</v>
      </c>
      <c r="L2759" s="55" t="s">
        <v>360</v>
      </c>
      <c r="M2759" s="55" t="s">
        <v>172</v>
      </c>
      <c r="N2759" s="55" t="s">
        <v>172</v>
      </c>
      <c r="O2759" s="55" t="s">
        <v>235</v>
      </c>
      <c r="P2759" s="55" t="s">
        <v>494</v>
      </c>
      <c r="Q2759" s="55" t="s">
        <v>350</v>
      </c>
      <c r="R2759" s="85">
        <v>5</v>
      </c>
      <c r="S2759" s="55">
        <v>0</v>
      </c>
      <c r="T2759" s="74" t="s">
        <v>1105</v>
      </c>
      <c r="U2759" s="74" t="s">
        <v>351</v>
      </c>
      <c r="V2759" s="74">
        <v>44334</v>
      </c>
      <c r="W2759" s="74">
        <v>44384</v>
      </c>
      <c r="X2759" s="55">
        <v>10187334</v>
      </c>
      <c r="Y2759" s="55" t="s">
        <v>140</v>
      </c>
      <c r="AB2759" s="74" t="s">
        <v>140</v>
      </c>
      <c r="AC2759" s="55" t="s">
        <v>140</v>
      </c>
      <c r="AL2759" s="74"/>
      <c r="AM2759" s="74"/>
      <c r="AW2759" s="74"/>
      <c r="AX2759" s="74"/>
    </row>
    <row r="2760" spans="1:50" ht="13" x14ac:dyDescent="0.15">
      <c r="A2760" s="55" t="str">
        <f>HYPERLINK("http://reports.ofsted.gov.uk/inspection-reports/find-inspection-report/provider/CARE/SC383749","Ofsted Social Care Provider Webpage")</f>
        <v>Ofsted Social Care Provider Webpage</v>
      </c>
      <c r="B2760" s="55" t="s">
        <v>5137</v>
      </c>
      <c r="D2760" s="55" t="s">
        <v>389</v>
      </c>
      <c r="E2760" s="74">
        <v>39787</v>
      </c>
      <c r="F2760" s="55" t="s">
        <v>344</v>
      </c>
      <c r="G2760" s="55" t="s">
        <v>5138</v>
      </c>
      <c r="H2760" s="55" t="s">
        <v>5139</v>
      </c>
      <c r="I2760" s="55" t="s">
        <v>5140</v>
      </c>
      <c r="J2760" s="55" t="s">
        <v>3548</v>
      </c>
      <c r="K2760" s="55" t="s">
        <v>1402</v>
      </c>
      <c r="L2760" s="55" t="s">
        <v>5141</v>
      </c>
      <c r="M2760" s="55" t="s">
        <v>150</v>
      </c>
      <c r="N2760" s="55" t="s">
        <v>150</v>
      </c>
      <c r="O2760" s="55" t="s">
        <v>149</v>
      </c>
      <c r="P2760" s="55" t="s">
        <v>3548</v>
      </c>
      <c r="Q2760" s="55" t="s">
        <v>350</v>
      </c>
      <c r="S2760" s="55">
        <v>0</v>
      </c>
      <c r="T2760" s="74" t="s">
        <v>5142</v>
      </c>
      <c r="U2760" s="74" t="s">
        <v>351</v>
      </c>
      <c r="V2760" s="74">
        <v>44494</v>
      </c>
      <c r="W2760" s="74">
        <v>44547</v>
      </c>
      <c r="X2760" s="55">
        <v>10183412</v>
      </c>
      <c r="Y2760" s="55" t="s">
        <v>140</v>
      </c>
      <c r="AB2760" s="74" t="s">
        <v>132</v>
      </c>
      <c r="AC2760" s="55" t="s">
        <v>140</v>
      </c>
      <c r="AL2760" s="74"/>
      <c r="AM2760" s="74"/>
    </row>
    <row r="2761" spans="1:50" ht="13" x14ac:dyDescent="0.15">
      <c r="A2761" s="55" t="str">
        <f>HYPERLINK("http://reports.ofsted.gov.uk/inspection-reports/find-inspection-report/provider/CARE/SC383941","Ofsted Social Care Provider Webpage")</f>
        <v>Ofsted Social Care Provider Webpage</v>
      </c>
      <c r="B2761" s="55" t="s">
        <v>5143</v>
      </c>
      <c r="D2761" s="55" t="s">
        <v>373</v>
      </c>
      <c r="E2761" s="74">
        <v>39805</v>
      </c>
      <c r="F2761" s="55" t="s">
        <v>344</v>
      </c>
      <c r="G2761" s="55" t="s">
        <v>360</v>
      </c>
      <c r="H2761" s="55" t="s">
        <v>360</v>
      </c>
      <c r="I2761" s="55" t="s">
        <v>360</v>
      </c>
      <c r="J2761" s="55" t="s">
        <v>360</v>
      </c>
      <c r="K2761" s="55" t="s">
        <v>360</v>
      </c>
      <c r="L2761" s="55" t="s">
        <v>360</v>
      </c>
      <c r="M2761" s="55" t="s">
        <v>142</v>
      </c>
      <c r="N2761" s="55" t="s">
        <v>142</v>
      </c>
      <c r="O2761" s="55" t="s">
        <v>293</v>
      </c>
      <c r="P2761" s="55" t="s">
        <v>1422</v>
      </c>
      <c r="Q2761" s="55" t="s">
        <v>350</v>
      </c>
      <c r="R2761" s="85">
        <v>4</v>
      </c>
      <c r="S2761" s="55">
        <v>0</v>
      </c>
      <c r="T2761" s="74" t="s">
        <v>4531</v>
      </c>
      <c r="U2761" s="74" t="s">
        <v>2053</v>
      </c>
      <c r="V2761" s="74">
        <v>44537</v>
      </c>
      <c r="W2761" s="74">
        <v>44579</v>
      </c>
      <c r="X2761" s="55">
        <v>10210095</v>
      </c>
      <c r="AL2761" s="74"/>
      <c r="AM2761" s="74"/>
      <c r="AW2761" s="74"/>
      <c r="AX2761" s="74"/>
    </row>
    <row r="2762" spans="1:50" ht="13" x14ac:dyDescent="0.15">
      <c r="A2762" s="55" t="str">
        <f>HYPERLINK("http://reports.ofsted.gov.uk/inspection-reports/find-inspection-report/provider/CARE/SC383941","Ofsted Social Care Provider Webpage")</f>
        <v>Ofsted Social Care Provider Webpage</v>
      </c>
      <c r="B2762" s="55" t="s">
        <v>5143</v>
      </c>
      <c r="D2762" s="55" t="s">
        <v>373</v>
      </c>
      <c r="E2762" s="74">
        <v>39805</v>
      </c>
      <c r="F2762" s="55" t="s">
        <v>344</v>
      </c>
      <c r="G2762" s="55" t="s">
        <v>360</v>
      </c>
      <c r="H2762" s="55" t="s">
        <v>360</v>
      </c>
      <c r="I2762" s="55" t="s">
        <v>360</v>
      </c>
      <c r="J2762" s="55" t="s">
        <v>360</v>
      </c>
      <c r="K2762" s="55" t="s">
        <v>360</v>
      </c>
      <c r="L2762" s="55" t="s">
        <v>360</v>
      </c>
      <c r="M2762" s="55" t="s">
        <v>142</v>
      </c>
      <c r="N2762" s="55" t="s">
        <v>142</v>
      </c>
      <c r="O2762" s="55" t="s">
        <v>293</v>
      </c>
      <c r="P2762" s="55" t="s">
        <v>1422</v>
      </c>
      <c r="Q2762" s="55" t="s">
        <v>350</v>
      </c>
      <c r="R2762" s="85">
        <v>4</v>
      </c>
      <c r="S2762" s="55">
        <v>0</v>
      </c>
      <c r="T2762" s="74" t="s">
        <v>4531</v>
      </c>
      <c r="U2762" s="74" t="s">
        <v>351</v>
      </c>
      <c r="V2762" s="74">
        <v>44475</v>
      </c>
      <c r="W2762" s="74">
        <v>44526</v>
      </c>
      <c r="X2762" s="55">
        <v>10185192</v>
      </c>
      <c r="Y2762" s="55" t="s">
        <v>146</v>
      </c>
      <c r="AB2762" s="74" t="s">
        <v>146</v>
      </c>
      <c r="AC2762" s="55" t="s">
        <v>146</v>
      </c>
      <c r="AL2762" s="74"/>
      <c r="AM2762" s="74"/>
      <c r="AW2762" s="74"/>
      <c r="AX2762" s="74"/>
    </row>
    <row r="2763" spans="1:50" ht="13" x14ac:dyDescent="0.15">
      <c r="A2763" s="55" t="str">
        <f>HYPERLINK("http://reports.ofsted.gov.uk/inspection-reports/find-inspection-report/provider/CARE/SC383941","Ofsted Social Care Provider Webpage")</f>
        <v>Ofsted Social Care Provider Webpage</v>
      </c>
      <c r="B2763" s="55" t="s">
        <v>5143</v>
      </c>
      <c r="D2763" s="55" t="s">
        <v>373</v>
      </c>
      <c r="E2763" s="74">
        <v>39805</v>
      </c>
      <c r="F2763" s="55" t="s">
        <v>344</v>
      </c>
      <c r="G2763" s="55" t="s">
        <v>360</v>
      </c>
      <c r="H2763" s="55" t="s">
        <v>360</v>
      </c>
      <c r="I2763" s="55" t="s">
        <v>360</v>
      </c>
      <c r="J2763" s="55" t="s">
        <v>360</v>
      </c>
      <c r="K2763" s="55" t="s">
        <v>360</v>
      </c>
      <c r="L2763" s="55" t="s">
        <v>360</v>
      </c>
      <c r="M2763" s="55" t="s">
        <v>142</v>
      </c>
      <c r="N2763" s="55" t="s">
        <v>142</v>
      </c>
      <c r="O2763" s="55" t="s">
        <v>293</v>
      </c>
      <c r="P2763" s="55" t="s">
        <v>1422</v>
      </c>
      <c r="Q2763" s="55" t="s">
        <v>350</v>
      </c>
      <c r="R2763" s="85">
        <v>4</v>
      </c>
      <c r="S2763" s="55">
        <v>0</v>
      </c>
      <c r="T2763" s="74" t="s">
        <v>4531</v>
      </c>
      <c r="U2763" s="74" t="s">
        <v>351</v>
      </c>
      <c r="V2763" s="74">
        <v>44566</v>
      </c>
      <c r="W2763" s="74">
        <v>44608</v>
      </c>
      <c r="X2763" s="55">
        <v>10210096</v>
      </c>
      <c r="Y2763" s="55" t="s">
        <v>130</v>
      </c>
      <c r="AB2763" s="74" t="s">
        <v>130</v>
      </c>
      <c r="AC2763" s="55" t="s">
        <v>146</v>
      </c>
      <c r="AL2763" s="74"/>
      <c r="AM2763" s="74"/>
      <c r="AW2763" s="74"/>
      <c r="AX2763" s="74"/>
    </row>
    <row r="2764" spans="1:50" ht="13" x14ac:dyDescent="0.15">
      <c r="A2764" s="55" t="str">
        <f>HYPERLINK("http://reports.ofsted.gov.uk/inspection-reports/find-inspection-report/provider/CARE/SC384018","Ofsted Social Care Provider Webpage")</f>
        <v>Ofsted Social Care Provider Webpage</v>
      </c>
      <c r="B2764" s="55" t="s">
        <v>5144</v>
      </c>
      <c r="D2764" s="55" t="s">
        <v>373</v>
      </c>
      <c r="E2764" s="74">
        <v>39757</v>
      </c>
      <c r="F2764" s="55" t="s">
        <v>344</v>
      </c>
      <c r="G2764" s="55" t="s">
        <v>360</v>
      </c>
      <c r="H2764" s="55" t="s">
        <v>360</v>
      </c>
      <c r="I2764" s="55" t="s">
        <v>360</v>
      </c>
      <c r="J2764" s="55" t="s">
        <v>360</v>
      </c>
      <c r="K2764" s="55" t="s">
        <v>360</v>
      </c>
      <c r="L2764" s="55" t="s">
        <v>360</v>
      </c>
      <c r="M2764" s="55" t="s">
        <v>138</v>
      </c>
      <c r="N2764" s="55" t="s">
        <v>138</v>
      </c>
      <c r="O2764" s="55" t="s">
        <v>183</v>
      </c>
      <c r="P2764" s="55" t="s">
        <v>1500</v>
      </c>
      <c r="Q2764" s="55" t="s">
        <v>350</v>
      </c>
      <c r="R2764" s="85">
        <v>4</v>
      </c>
      <c r="S2764" s="55">
        <v>0</v>
      </c>
      <c r="T2764" s="74" t="s">
        <v>997</v>
      </c>
      <c r="U2764" s="74" t="s">
        <v>351</v>
      </c>
      <c r="V2764" s="74">
        <v>44580</v>
      </c>
      <c r="W2764" s="74">
        <v>44607</v>
      </c>
      <c r="X2764" s="55">
        <v>10187379</v>
      </c>
      <c r="Y2764" s="55" t="s">
        <v>132</v>
      </c>
      <c r="AB2764" s="74" t="s">
        <v>132</v>
      </c>
      <c r="AC2764" s="55" t="s">
        <v>132</v>
      </c>
      <c r="AL2764" s="74"/>
      <c r="AM2764" s="74"/>
    </row>
    <row r="2765" spans="1:50" ht="13" x14ac:dyDescent="0.15">
      <c r="A2765" s="55" t="str">
        <f>HYPERLINK("http://reports.ofsted.gov.uk/inspection-reports/find-inspection-report/provider/CARE/SC385633","Ofsted Social Care Provider Webpage")</f>
        <v>Ofsted Social Care Provider Webpage</v>
      </c>
      <c r="B2765" s="55" t="s">
        <v>5155</v>
      </c>
      <c r="D2765" s="55" t="s">
        <v>373</v>
      </c>
      <c r="E2765" s="74">
        <v>39772</v>
      </c>
      <c r="F2765" s="55" t="s">
        <v>344</v>
      </c>
      <c r="G2765" s="55" t="s">
        <v>360</v>
      </c>
      <c r="H2765" s="55" t="s">
        <v>360</v>
      </c>
      <c r="I2765" s="55" t="s">
        <v>360</v>
      </c>
      <c r="J2765" s="55" t="s">
        <v>360</v>
      </c>
      <c r="K2765" s="55" t="s">
        <v>360</v>
      </c>
      <c r="L2765" s="55" t="s">
        <v>360</v>
      </c>
      <c r="M2765" s="55" t="s">
        <v>378</v>
      </c>
      <c r="N2765" s="55" t="s">
        <v>134</v>
      </c>
      <c r="O2765" s="55" t="s">
        <v>204</v>
      </c>
      <c r="P2765" s="55" t="s">
        <v>929</v>
      </c>
      <c r="Q2765" s="55" t="s">
        <v>350</v>
      </c>
      <c r="R2765" s="85">
        <v>5</v>
      </c>
      <c r="S2765" s="55">
        <v>0</v>
      </c>
      <c r="T2765" s="74" t="s">
        <v>5156</v>
      </c>
      <c r="U2765" s="74" t="s">
        <v>351</v>
      </c>
      <c r="V2765" s="74">
        <v>44392</v>
      </c>
      <c r="W2765" s="74">
        <v>44426</v>
      </c>
      <c r="X2765" s="55">
        <v>10187019</v>
      </c>
      <c r="Y2765" s="55" t="s">
        <v>132</v>
      </c>
      <c r="AB2765" s="74" t="s">
        <v>132</v>
      </c>
      <c r="AC2765" s="55" t="s">
        <v>130</v>
      </c>
      <c r="AL2765" s="74"/>
      <c r="AM2765" s="74"/>
      <c r="AW2765" s="74"/>
      <c r="AX2765" s="74"/>
    </row>
    <row r="2766" spans="1:50" ht="13" x14ac:dyDescent="0.15">
      <c r="A2766" s="55" t="str">
        <f>HYPERLINK("http://reports.ofsted.gov.uk/inspection-reports/find-inspection-report/provider/CARE/SC385809","Ofsted Social Care Provider Webpage")</f>
        <v>Ofsted Social Care Provider Webpage</v>
      </c>
      <c r="B2766" s="55" t="s">
        <v>5157</v>
      </c>
      <c r="D2766" s="55" t="s">
        <v>373</v>
      </c>
      <c r="E2766" s="74">
        <v>39786</v>
      </c>
      <c r="F2766" s="55" t="s">
        <v>344</v>
      </c>
      <c r="G2766" s="55" t="s">
        <v>360</v>
      </c>
      <c r="H2766" s="55" t="s">
        <v>360</v>
      </c>
      <c r="I2766" s="55" t="s">
        <v>360</v>
      </c>
      <c r="J2766" s="55" t="s">
        <v>360</v>
      </c>
      <c r="K2766" s="55" t="s">
        <v>360</v>
      </c>
      <c r="L2766" s="55" t="s">
        <v>360</v>
      </c>
      <c r="M2766" s="55" t="s">
        <v>150</v>
      </c>
      <c r="N2766" s="55" t="s">
        <v>150</v>
      </c>
      <c r="O2766" s="55" t="s">
        <v>190</v>
      </c>
      <c r="P2766" s="55" t="s">
        <v>500</v>
      </c>
      <c r="Q2766" s="55" t="s">
        <v>350</v>
      </c>
      <c r="R2766" s="85">
        <v>3</v>
      </c>
      <c r="S2766" s="55">
        <v>0</v>
      </c>
      <c r="T2766" s="74" t="s">
        <v>456</v>
      </c>
      <c r="U2766" s="74" t="s">
        <v>351</v>
      </c>
      <c r="V2766" s="74">
        <v>44454</v>
      </c>
      <c r="W2766" s="74">
        <v>44495</v>
      </c>
      <c r="X2766" s="55">
        <v>10186753</v>
      </c>
      <c r="Y2766" s="55" t="s">
        <v>132</v>
      </c>
      <c r="AB2766" s="74" t="s">
        <v>132</v>
      </c>
      <c r="AC2766" s="55" t="s">
        <v>132</v>
      </c>
      <c r="AL2766" s="74"/>
      <c r="AM2766" s="74"/>
      <c r="AW2766" s="74"/>
      <c r="AX2766" s="74"/>
    </row>
    <row r="2767" spans="1:50" ht="13" x14ac:dyDescent="0.15">
      <c r="A2767" s="55" t="str">
        <f>HYPERLINK("http://reports.ofsted.gov.uk/inspection-reports/find-inspection-report/provider/CARE/SC386003","Ofsted Social Care Provider Webpage")</f>
        <v>Ofsted Social Care Provider Webpage</v>
      </c>
      <c r="B2767" s="55" t="s">
        <v>5158</v>
      </c>
      <c r="D2767" s="55" t="s">
        <v>373</v>
      </c>
      <c r="E2767" s="74">
        <v>39787</v>
      </c>
      <c r="F2767" s="55" t="s">
        <v>344</v>
      </c>
      <c r="G2767" s="55" t="s">
        <v>360</v>
      </c>
      <c r="H2767" s="55" t="s">
        <v>360</v>
      </c>
      <c r="I2767" s="55" t="s">
        <v>360</v>
      </c>
      <c r="J2767" s="55" t="s">
        <v>360</v>
      </c>
      <c r="K2767" s="55" t="s">
        <v>360</v>
      </c>
      <c r="L2767" s="55" t="s">
        <v>360</v>
      </c>
      <c r="M2767" s="55" t="s">
        <v>144</v>
      </c>
      <c r="N2767" s="55" t="s">
        <v>144</v>
      </c>
      <c r="O2767" s="55" t="s">
        <v>168</v>
      </c>
      <c r="P2767" s="55" t="s">
        <v>834</v>
      </c>
      <c r="Q2767" s="55" t="s">
        <v>350</v>
      </c>
      <c r="R2767" s="85">
        <v>5</v>
      </c>
      <c r="S2767" s="55">
        <v>0</v>
      </c>
      <c r="T2767" s="74" t="s">
        <v>3072</v>
      </c>
      <c r="U2767" s="74" t="s">
        <v>351</v>
      </c>
      <c r="V2767" s="74">
        <v>44336</v>
      </c>
      <c r="W2767" s="74">
        <v>44369</v>
      </c>
      <c r="X2767" s="55">
        <v>10187541</v>
      </c>
      <c r="Y2767" s="55" t="s">
        <v>132</v>
      </c>
      <c r="AB2767" s="74" t="s">
        <v>140</v>
      </c>
      <c r="AC2767" s="55" t="s">
        <v>132</v>
      </c>
      <c r="AL2767" s="74"/>
      <c r="AM2767" s="74"/>
    </row>
    <row r="2768" spans="1:50" ht="13" x14ac:dyDescent="0.15">
      <c r="A2768" s="55" t="str">
        <f>HYPERLINK("http://reports.ofsted.gov.uk/inspection-reports/find-inspection-report/provider/CARE/SC386057","Ofsted Social Care Provider Webpage")</f>
        <v>Ofsted Social Care Provider Webpage</v>
      </c>
      <c r="B2768" s="55" t="s">
        <v>5163</v>
      </c>
      <c r="D2768" s="55" t="s">
        <v>373</v>
      </c>
      <c r="E2768" s="74">
        <v>39812</v>
      </c>
      <c r="F2768" s="55" t="s">
        <v>344</v>
      </c>
      <c r="G2768" s="55" t="s">
        <v>360</v>
      </c>
      <c r="H2768" s="55" t="s">
        <v>360</v>
      </c>
      <c r="I2768" s="55" t="s">
        <v>360</v>
      </c>
      <c r="J2768" s="55" t="s">
        <v>360</v>
      </c>
      <c r="K2768" s="55" t="s">
        <v>360</v>
      </c>
      <c r="L2768" s="55" t="s">
        <v>360</v>
      </c>
      <c r="M2768" s="55" t="s">
        <v>378</v>
      </c>
      <c r="N2768" s="55" t="s">
        <v>134</v>
      </c>
      <c r="O2768" s="55" t="s">
        <v>133</v>
      </c>
      <c r="P2768" s="55" t="s">
        <v>1804</v>
      </c>
      <c r="Q2768" s="55" t="s">
        <v>350</v>
      </c>
      <c r="R2768" s="85">
        <v>2</v>
      </c>
      <c r="S2768" s="55">
        <v>0</v>
      </c>
      <c r="T2768" s="74" t="s">
        <v>5164</v>
      </c>
      <c r="U2768" s="74" t="s">
        <v>351</v>
      </c>
      <c r="V2768" s="74">
        <v>44614</v>
      </c>
      <c r="W2768" s="74">
        <v>44655</v>
      </c>
      <c r="X2768" s="55">
        <v>10185872</v>
      </c>
      <c r="Y2768" s="55" t="s">
        <v>132</v>
      </c>
      <c r="AB2768" s="74" t="s">
        <v>132</v>
      </c>
      <c r="AC2768" s="55" t="s">
        <v>132</v>
      </c>
      <c r="AL2768" s="74"/>
      <c r="AM2768" s="74"/>
    </row>
    <row r="2769" spans="1:50" ht="13" x14ac:dyDescent="0.15">
      <c r="A2769" s="55" t="str">
        <f>HYPERLINK("http://reports.ofsted.gov.uk/inspection-reports/find-inspection-report/provider/CARE/SC386134","Ofsted Social Care Provider Webpage")</f>
        <v>Ofsted Social Care Provider Webpage</v>
      </c>
      <c r="B2769" s="55" t="s">
        <v>5165</v>
      </c>
      <c r="D2769" s="55" t="s">
        <v>373</v>
      </c>
      <c r="E2769" s="74">
        <v>39799</v>
      </c>
      <c r="F2769" s="55" t="s">
        <v>344</v>
      </c>
      <c r="G2769" s="55" t="s">
        <v>360</v>
      </c>
      <c r="H2769" s="55" t="s">
        <v>360</v>
      </c>
      <c r="I2769" s="55" t="s">
        <v>360</v>
      </c>
      <c r="J2769" s="55" t="s">
        <v>360</v>
      </c>
      <c r="K2769" s="55" t="s">
        <v>360</v>
      </c>
      <c r="L2769" s="55" t="s">
        <v>360</v>
      </c>
      <c r="M2769" s="55" t="s">
        <v>129</v>
      </c>
      <c r="N2769" s="55" t="s">
        <v>129</v>
      </c>
      <c r="O2769" s="55" t="s">
        <v>186</v>
      </c>
      <c r="P2769" s="55" t="s">
        <v>2125</v>
      </c>
      <c r="Q2769" s="55" t="s">
        <v>350</v>
      </c>
      <c r="R2769" s="85">
        <v>4</v>
      </c>
      <c r="S2769" s="55">
        <v>0</v>
      </c>
      <c r="T2769" s="74" t="s">
        <v>2906</v>
      </c>
      <c r="U2769" s="74" t="s">
        <v>351</v>
      </c>
      <c r="V2769" s="74">
        <v>44405</v>
      </c>
      <c r="W2769" s="74">
        <v>44447</v>
      </c>
      <c r="X2769" s="55">
        <v>10185467</v>
      </c>
      <c r="Y2769" s="55" t="s">
        <v>132</v>
      </c>
      <c r="AB2769" s="74" t="s">
        <v>132</v>
      </c>
      <c r="AC2769" s="55" t="s">
        <v>132</v>
      </c>
      <c r="AL2769" s="74"/>
      <c r="AM2769" s="74"/>
      <c r="AW2769" s="74"/>
      <c r="AX2769" s="74"/>
    </row>
    <row r="2770" spans="1:50" ht="13" x14ac:dyDescent="0.15">
      <c r="A2770" s="55" t="str">
        <f>HYPERLINK("http://reports.ofsted.gov.uk/inspection-reports/find-inspection-report/provider/CARE/SC386258","Ofsted Social Care Provider Webpage")</f>
        <v>Ofsted Social Care Provider Webpage</v>
      </c>
      <c r="B2770" s="55" t="s">
        <v>5166</v>
      </c>
      <c r="D2770" s="55" t="s">
        <v>373</v>
      </c>
      <c r="E2770" s="74">
        <v>39797</v>
      </c>
      <c r="F2770" s="55" t="s">
        <v>344</v>
      </c>
      <c r="G2770" s="55" t="s">
        <v>360</v>
      </c>
      <c r="H2770" s="55" t="s">
        <v>360</v>
      </c>
      <c r="I2770" s="55" t="s">
        <v>360</v>
      </c>
      <c r="J2770" s="55" t="s">
        <v>360</v>
      </c>
      <c r="K2770" s="55" t="s">
        <v>360</v>
      </c>
      <c r="L2770" s="55" t="s">
        <v>360</v>
      </c>
      <c r="M2770" s="55" t="s">
        <v>138</v>
      </c>
      <c r="N2770" s="55" t="s">
        <v>138</v>
      </c>
      <c r="O2770" s="55" t="s">
        <v>266</v>
      </c>
      <c r="P2770" s="55" t="s">
        <v>449</v>
      </c>
      <c r="Q2770" s="55" t="s">
        <v>350</v>
      </c>
      <c r="R2770" s="85">
        <v>6</v>
      </c>
      <c r="S2770" s="55">
        <v>0</v>
      </c>
      <c r="T2770" s="74" t="s">
        <v>5167</v>
      </c>
      <c r="U2770" s="74" t="s">
        <v>351</v>
      </c>
      <c r="V2770" s="74">
        <v>44594</v>
      </c>
      <c r="W2770" s="74">
        <v>44630</v>
      </c>
      <c r="X2770" s="55">
        <v>10185252</v>
      </c>
      <c r="Y2770" s="55" t="s">
        <v>132</v>
      </c>
      <c r="AB2770" s="74" t="s">
        <v>132</v>
      </c>
      <c r="AC2770" s="55" t="s">
        <v>132</v>
      </c>
      <c r="AL2770" s="74"/>
      <c r="AM2770" s="74"/>
      <c r="AW2770" s="74"/>
      <c r="AX2770" s="74"/>
    </row>
    <row r="2771" spans="1:50" ht="13" x14ac:dyDescent="0.15">
      <c r="A2771" s="55" t="str">
        <f>HYPERLINK("http://reports.ofsted.gov.uk/inspection-reports/find-inspection-report/provider/CARE/SC386428","Ofsted Social Care Provider Webpage")</f>
        <v>Ofsted Social Care Provider Webpage</v>
      </c>
      <c r="B2771" s="55" t="s">
        <v>5168</v>
      </c>
      <c r="D2771" s="55" t="s">
        <v>373</v>
      </c>
      <c r="E2771" s="74">
        <v>39738</v>
      </c>
      <c r="F2771" s="55" t="s">
        <v>344</v>
      </c>
      <c r="G2771" s="55" t="s">
        <v>360</v>
      </c>
      <c r="H2771" s="55" t="s">
        <v>360</v>
      </c>
      <c r="I2771" s="55" t="s">
        <v>360</v>
      </c>
      <c r="J2771" s="55" t="s">
        <v>360</v>
      </c>
      <c r="K2771" s="55" t="s">
        <v>360</v>
      </c>
      <c r="L2771" s="55" t="s">
        <v>360</v>
      </c>
      <c r="M2771" s="55" t="s">
        <v>136</v>
      </c>
      <c r="N2771" s="55" t="s">
        <v>136</v>
      </c>
      <c r="O2771" s="55" t="s">
        <v>255</v>
      </c>
      <c r="P2771" s="55" t="s">
        <v>583</v>
      </c>
      <c r="Q2771" s="55" t="s">
        <v>350</v>
      </c>
      <c r="R2771" s="85">
        <v>3</v>
      </c>
      <c r="S2771" s="55">
        <v>0</v>
      </c>
      <c r="T2771" s="74" t="s">
        <v>5169</v>
      </c>
      <c r="U2771" s="74" t="s">
        <v>351</v>
      </c>
      <c r="V2771" s="74">
        <v>44586</v>
      </c>
      <c r="W2771" s="74">
        <v>44638</v>
      </c>
      <c r="X2771" s="55">
        <v>10185507</v>
      </c>
      <c r="Y2771" s="55" t="s">
        <v>132</v>
      </c>
      <c r="AB2771" s="74" t="s">
        <v>132</v>
      </c>
      <c r="AC2771" s="55" t="s">
        <v>132</v>
      </c>
      <c r="AL2771" s="74"/>
      <c r="AM2771" s="74"/>
      <c r="AW2771" s="74"/>
      <c r="AX2771" s="74"/>
    </row>
    <row r="2772" spans="1:50" ht="13" x14ac:dyDescent="0.15">
      <c r="A2772" s="55" t="str">
        <f>HYPERLINK("http://reports.ofsted.gov.uk/inspection-reports/find-inspection-report/provider/CARE/SC386430","Ofsted Social Care Provider Webpage")</f>
        <v>Ofsted Social Care Provider Webpage</v>
      </c>
      <c r="B2772" s="55" t="s">
        <v>5170</v>
      </c>
      <c r="D2772" s="55" t="s">
        <v>373</v>
      </c>
      <c r="E2772" s="74">
        <v>39738</v>
      </c>
      <c r="F2772" s="55" t="s">
        <v>344</v>
      </c>
      <c r="G2772" s="55" t="s">
        <v>360</v>
      </c>
      <c r="H2772" s="55" t="s">
        <v>360</v>
      </c>
      <c r="I2772" s="55" t="s">
        <v>360</v>
      </c>
      <c r="J2772" s="55" t="s">
        <v>360</v>
      </c>
      <c r="K2772" s="55" t="s">
        <v>360</v>
      </c>
      <c r="L2772" s="55" t="s">
        <v>360</v>
      </c>
      <c r="M2772" s="55" t="s">
        <v>136</v>
      </c>
      <c r="N2772" s="55" t="s">
        <v>136</v>
      </c>
      <c r="O2772" s="55" t="s">
        <v>255</v>
      </c>
      <c r="P2772" s="55" t="s">
        <v>757</v>
      </c>
      <c r="Q2772" s="55" t="s">
        <v>350</v>
      </c>
      <c r="R2772" s="85">
        <v>2</v>
      </c>
      <c r="S2772" s="55">
        <v>0</v>
      </c>
      <c r="T2772" s="74" t="s">
        <v>5169</v>
      </c>
      <c r="U2772" s="74" t="s">
        <v>2053</v>
      </c>
      <c r="V2772" s="74">
        <v>44440</v>
      </c>
      <c r="W2772" s="74">
        <v>44469</v>
      </c>
      <c r="X2772" s="55">
        <v>10203863</v>
      </c>
      <c r="AL2772" s="74"/>
      <c r="AM2772" s="74"/>
      <c r="AW2772" s="74"/>
      <c r="AX2772" s="74"/>
    </row>
    <row r="2773" spans="1:50" ht="13" x14ac:dyDescent="0.15">
      <c r="A2773" s="55" t="str">
        <f>HYPERLINK("http://reports.ofsted.gov.uk/inspection-reports/find-inspection-report/provider/CARE/SC386430","Ofsted Social Care Provider Webpage")</f>
        <v>Ofsted Social Care Provider Webpage</v>
      </c>
      <c r="B2773" s="55" t="s">
        <v>5170</v>
      </c>
      <c r="D2773" s="55" t="s">
        <v>373</v>
      </c>
      <c r="E2773" s="74">
        <v>39738</v>
      </c>
      <c r="F2773" s="55" t="s">
        <v>344</v>
      </c>
      <c r="G2773" s="55" t="s">
        <v>360</v>
      </c>
      <c r="H2773" s="55" t="s">
        <v>360</v>
      </c>
      <c r="I2773" s="55" t="s">
        <v>360</v>
      </c>
      <c r="J2773" s="55" t="s">
        <v>360</v>
      </c>
      <c r="K2773" s="55" t="s">
        <v>360</v>
      </c>
      <c r="L2773" s="55" t="s">
        <v>360</v>
      </c>
      <c r="M2773" s="55" t="s">
        <v>136</v>
      </c>
      <c r="N2773" s="55" t="s">
        <v>136</v>
      </c>
      <c r="O2773" s="55" t="s">
        <v>255</v>
      </c>
      <c r="P2773" s="55" t="s">
        <v>757</v>
      </c>
      <c r="Q2773" s="55" t="s">
        <v>350</v>
      </c>
      <c r="R2773" s="85">
        <v>2</v>
      </c>
      <c r="S2773" s="55">
        <v>0</v>
      </c>
      <c r="T2773" s="74" t="s">
        <v>5169</v>
      </c>
      <c r="U2773" s="74" t="s">
        <v>351</v>
      </c>
      <c r="V2773" s="74">
        <v>44404</v>
      </c>
      <c r="W2773" s="74">
        <v>44435</v>
      </c>
      <c r="X2773" s="55">
        <v>10186881</v>
      </c>
      <c r="Y2773" s="55" t="s">
        <v>146</v>
      </c>
      <c r="AB2773" s="74" t="s">
        <v>146</v>
      </c>
      <c r="AC2773" s="55" t="s">
        <v>146</v>
      </c>
      <c r="AL2773" s="74"/>
      <c r="AM2773" s="74"/>
      <c r="AW2773" s="74"/>
      <c r="AX2773" s="74"/>
    </row>
    <row r="2774" spans="1:50" ht="13" x14ac:dyDescent="0.15">
      <c r="A2774" s="55" t="str">
        <f>HYPERLINK("http://reports.ofsted.gov.uk/inspection-reports/find-inspection-report/provider/CARE/SC386430","Ofsted Social Care Provider Webpage")</f>
        <v>Ofsted Social Care Provider Webpage</v>
      </c>
      <c r="B2774" s="55" t="s">
        <v>5170</v>
      </c>
      <c r="D2774" s="55" t="s">
        <v>373</v>
      </c>
      <c r="E2774" s="74">
        <v>39738</v>
      </c>
      <c r="F2774" s="55" t="s">
        <v>344</v>
      </c>
      <c r="G2774" s="55" t="s">
        <v>360</v>
      </c>
      <c r="H2774" s="55" t="s">
        <v>360</v>
      </c>
      <c r="I2774" s="55" t="s">
        <v>360</v>
      </c>
      <c r="J2774" s="55" t="s">
        <v>360</v>
      </c>
      <c r="K2774" s="55" t="s">
        <v>360</v>
      </c>
      <c r="L2774" s="55" t="s">
        <v>360</v>
      </c>
      <c r="M2774" s="55" t="s">
        <v>136</v>
      </c>
      <c r="N2774" s="55" t="s">
        <v>136</v>
      </c>
      <c r="O2774" s="55" t="s">
        <v>255</v>
      </c>
      <c r="P2774" s="55" t="s">
        <v>757</v>
      </c>
      <c r="Q2774" s="55" t="s">
        <v>350</v>
      </c>
      <c r="R2774" s="85">
        <v>2</v>
      </c>
      <c r="S2774" s="55">
        <v>0</v>
      </c>
      <c r="T2774" s="74" t="s">
        <v>5169</v>
      </c>
      <c r="U2774" s="74" t="s">
        <v>351</v>
      </c>
      <c r="V2774" s="74">
        <v>44523</v>
      </c>
      <c r="W2774" s="74">
        <v>44575</v>
      </c>
      <c r="X2774" s="55">
        <v>10203862</v>
      </c>
      <c r="Y2774" s="55" t="s">
        <v>130</v>
      </c>
      <c r="AB2774" s="74" t="s">
        <v>130</v>
      </c>
      <c r="AC2774" s="55" t="s">
        <v>130</v>
      </c>
      <c r="AL2774" s="74"/>
      <c r="AM2774" s="74"/>
      <c r="AW2774" s="74"/>
      <c r="AX2774" s="74"/>
    </row>
    <row r="2775" spans="1:50" ht="13" x14ac:dyDescent="0.15">
      <c r="A2775" s="55" t="str">
        <f>HYPERLINK("http://reports.ofsted.gov.uk/inspection-reports/find-inspection-report/provider/CARE/SC386505","Ofsted Social Care Provider Webpage")</f>
        <v>Ofsted Social Care Provider Webpage</v>
      </c>
      <c r="B2775" s="55" t="s">
        <v>5172</v>
      </c>
      <c r="D2775" s="55" t="s">
        <v>373</v>
      </c>
      <c r="E2775" s="74">
        <v>39975</v>
      </c>
      <c r="F2775" s="55" t="s">
        <v>344</v>
      </c>
      <c r="G2775" s="55" t="s">
        <v>360</v>
      </c>
      <c r="H2775" s="55" t="s">
        <v>360</v>
      </c>
      <c r="I2775" s="55" t="s">
        <v>360</v>
      </c>
      <c r="J2775" s="55" t="s">
        <v>360</v>
      </c>
      <c r="K2775" s="55" t="s">
        <v>360</v>
      </c>
      <c r="L2775" s="55" t="s">
        <v>360</v>
      </c>
      <c r="M2775" s="55" t="s">
        <v>144</v>
      </c>
      <c r="N2775" s="55" t="s">
        <v>144</v>
      </c>
      <c r="O2775" s="55" t="s">
        <v>188</v>
      </c>
      <c r="P2775" s="55" t="s">
        <v>188</v>
      </c>
      <c r="Q2775" s="55" t="s">
        <v>350</v>
      </c>
      <c r="R2775" s="85">
        <v>3</v>
      </c>
      <c r="S2775" s="55">
        <v>0</v>
      </c>
      <c r="T2775" s="74" t="s">
        <v>1365</v>
      </c>
      <c r="U2775" s="74" t="s">
        <v>351</v>
      </c>
      <c r="V2775" s="74">
        <v>44468</v>
      </c>
      <c r="W2775" s="74">
        <v>44503</v>
      </c>
      <c r="X2775" s="55">
        <v>10185698</v>
      </c>
      <c r="Y2775" s="55" t="s">
        <v>132</v>
      </c>
      <c r="AB2775" s="74" t="s">
        <v>132</v>
      </c>
      <c r="AC2775" s="55" t="s">
        <v>132</v>
      </c>
      <c r="AL2775" s="74"/>
      <c r="AM2775" s="74"/>
      <c r="AW2775" s="74"/>
      <c r="AX2775" s="74"/>
    </row>
    <row r="2776" spans="1:50" ht="13" x14ac:dyDescent="0.15">
      <c r="A2776" s="55" t="str">
        <f>HYPERLINK("http://reports.ofsted.gov.uk/inspection-reports/find-inspection-report/provider/CARE/SC386522","Ofsted Social Care Provider Webpage")</f>
        <v>Ofsted Social Care Provider Webpage</v>
      </c>
      <c r="B2776" s="55" t="s">
        <v>5173</v>
      </c>
      <c r="D2776" s="55" t="s">
        <v>373</v>
      </c>
      <c r="E2776" s="74">
        <v>39828</v>
      </c>
      <c r="F2776" s="55" t="s">
        <v>344</v>
      </c>
      <c r="G2776" s="55" t="s">
        <v>360</v>
      </c>
      <c r="H2776" s="55" t="s">
        <v>360</v>
      </c>
      <c r="I2776" s="55" t="s">
        <v>360</v>
      </c>
      <c r="J2776" s="55" t="s">
        <v>360</v>
      </c>
      <c r="K2776" s="55" t="s">
        <v>360</v>
      </c>
      <c r="L2776" s="55" t="s">
        <v>360</v>
      </c>
      <c r="M2776" s="55" t="s">
        <v>144</v>
      </c>
      <c r="N2776" s="55" t="s">
        <v>144</v>
      </c>
      <c r="O2776" s="55" t="s">
        <v>281</v>
      </c>
      <c r="P2776" s="55" t="s">
        <v>725</v>
      </c>
      <c r="Q2776" s="55" t="s">
        <v>350</v>
      </c>
      <c r="R2776" s="85">
        <v>3</v>
      </c>
      <c r="S2776" s="55">
        <v>0</v>
      </c>
      <c r="T2776" s="74" t="s">
        <v>1365</v>
      </c>
      <c r="U2776" s="74" t="s">
        <v>351</v>
      </c>
      <c r="V2776" s="74">
        <v>44306</v>
      </c>
      <c r="W2776" s="74">
        <v>44349</v>
      </c>
      <c r="X2776" s="55">
        <v>10185972</v>
      </c>
      <c r="Y2776" s="55" t="s">
        <v>132</v>
      </c>
      <c r="AB2776" s="74" t="s">
        <v>132</v>
      </c>
      <c r="AC2776" s="55" t="s">
        <v>132</v>
      </c>
      <c r="AL2776" s="74"/>
      <c r="AM2776" s="74"/>
      <c r="AW2776" s="74"/>
      <c r="AX2776" s="74"/>
    </row>
    <row r="2777" spans="1:50" ht="13" x14ac:dyDescent="0.15">
      <c r="A2777" s="55" t="str">
        <f>HYPERLINK("http://reports.ofsted.gov.uk/inspection-reports/find-inspection-report/provider/CARE/SC386810","Ofsted Social Care Provider Webpage")</f>
        <v>Ofsted Social Care Provider Webpage</v>
      </c>
      <c r="B2777" s="55" t="s">
        <v>5178</v>
      </c>
      <c r="D2777" s="55" t="s">
        <v>373</v>
      </c>
      <c r="E2777" s="74">
        <v>39826</v>
      </c>
      <c r="F2777" s="55" t="s">
        <v>344</v>
      </c>
      <c r="G2777" s="55" t="s">
        <v>360</v>
      </c>
      <c r="H2777" s="55" t="s">
        <v>360</v>
      </c>
      <c r="I2777" s="55" t="s">
        <v>360</v>
      </c>
      <c r="J2777" s="55" t="s">
        <v>360</v>
      </c>
      <c r="K2777" s="55" t="s">
        <v>360</v>
      </c>
      <c r="L2777" s="55" t="s">
        <v>360</v>
      </c>
      <c r="M2777" s="55" t="s">
        <v>144</v>
      </c>
      <c r="N2777" s="55" t="s">
        <v>144</v>
      </c>
      <c r="O2777" s="55" t="s">
        <v>261</v>
      </c>
      <c r="P2777" s="55" t="s">
        <v>792</v>
      </c>
      <c r="Q2777" s="55" t="s">
        <v>350</v>
      </c>
      <c r="R2777" s="85">
        <v>1</v>
      </c>
      <c r="S2777" s="55">
        <v>0</v>
      </c>
      <c r="T2777" s="74" t="s">
        <v>4505</v>
      </c>
      <c r="U2777" s="74" t="s">
        <v>351</v>
      </c>
      <c r="V2777" s="74">
        <v>44447</v>
      </c>
      <c r="W2777" s="74">
        <v>44495</v>
      </c>
      <c r="X2777" s="55">
        <v>10187024</v>
      </c>
      <c r="Y2777" s="55" t="s">
        <v>130</v>
      </c>
      <c r="AB2777" s="74" t="s">
        <v>130</v>
      </c>
      <c r="AC2777" s="55" t="s">
        <v>130</v>
      </c>
      <c r="AL2777" s="74"/>
      <c r="AM2777" s="74"/>
    </row>
    <row r="2778" spans="1:50" ht="13" x14ac:dyDescent="0.15">
      <c r="A2778" s="55" t="str">
        <f>HYPERLINK("http://reports.ofsted.gov.uk/inspection-reports/find-inspection-report/provider/CARE/SC386837","Ofsted Social Care Provider Webpage")</f>
        <v>Ofsted Social Care Provider Webpage</v>
      </c>
      <c r="B2778" s="55" t="s">
        <v>5179</v>
      </c>
      <c r="D2778" s="55" t="s">
        <v>373</v>
      </c>
      <c r="E2778" s="74">
        <v>39890</v>
      </c>
      <c r="F2778" s="55" t="s">
        <v>344</v>
      </c>
      <c r="G2778" s="55" t="s">
        <v>360</v>
      </c>
      <c r="H2778" s="55" t="s">
        <v>360</v>
      </c>
      <c r="I2778" s="55" t="s">
        <v>360</v>
      </c>
      <c r="J2778" s="55" t="s">
        <v>360</v>
      </c>
      <c r="K2778" s="55" t="s">
        <v>360</v>
      </c>
      <c r="L2778" s="55" t="s">
        <v>360</v>
      </c>
      <c r="M2778" s="55" t="s">
        <v>144</v>
      </c>
      <c r="N2778" s="55" t="s">
        <v>144</v>
      </c>
      <c r="O2778" s="55" t="s">
        <v>263</v>
      </c>
      <c r="P2778" s="55" t="s">
        <v>263</v>
      </c>
      <c r="Q2778" s="55" t="s">
        <v>350</v>
      </c>
      <c r="R2778" s="85">
        <v>2</v>
      </c>
      <c r="S2778" s="55">
        <v>0</v>
      </c>
      <c r="T2778" s="74" t="s">
        <v>1093</v>
      </c>
      <c r="U2778" s="74" t="s">
        <v>351</v>
      </c>
      <c r="V2778" s="74">
        <v>44574</v>
      </c>
      <c r="W2778" s="74">
        <v>44602</v>
      </c>
      <c r="X2778" s="55">
        <v>10185739</v>
      </c>
      <c r="Y2778" s="55" t="s">
        <v>132</v>
      </c>
      <c r="AB2778" s="74" t="s">
        <v>132</v>
      </c>
      <c r="AC2778" s="55" t="s">
        <v>130</v>
      </c>
      <c r="AL2778" s="74"/>
      <c r="AM2778" s="74"/>
    </row>
    <row r="2779" spans="1:50" ht="13" x14ac:dyDescent="0.15">
      <c r="A2779" s="55" t="str">
        <f>HYPERLINK("http://reports.ofsted.gov.uk/inspection-reports/find-inspection-report/provider/CARE/SC387148","Ofsted Social Care Provider Webpage")</f>
        <v>Ofsted Social Care Provider Webpage</v>
      </c>
      <c r="B2779" s="55" t="s">
        <v>5180</v>
      </c>
      <c r="D2779" s="55" t="s">
        <v>373</v>
      </c>
      <c r="E2779" s="74">
        <v>39783</v>
      </c>
      <c r="F2779" s="55" t="s">
        <v>344</v>
      </c>
      <c r="G2779" s="55" t="s">
        <v>360</v>
      </c>
      <c r="H2779" s="55" t="s">
        <v>360</v>
      </c>
      <c r="I2779" s="55" t="s">
        <v>360</v>
      </c>
      <c r="J2779" s="55" t="s">
        <v>360</v>
      </c>
      <c r="K2779" s="55" t="s">
        <v>360</v>
      </c>
      <c r="L2779" s="55" t="s">
        <v>360</v>
      </c>
      <c r="M2779" s="55" t="s">
        <v>144</v>
      </c>
      <c r="N2779" s="55" t="s">
        <v>144</v>
      </c>
      <c r="O2779" s="55" t="s">
        <v>276</v>
      </c>
      <c r="P2779" s="55" t="s">
        <v>3052</v>
      </c>
      <c r="Q2779" s="55" t="s">
        <v>350</v>
      </c>
      <c r="R2779" s="85">
        <v>5</v>
      </c>
      <c r="S2779" s="55">
        <v>0</v>
      </c>
      <c r="T2779" s="74" t="s">
        <v>5181</v>
      </c>
      <c r="U2779" s="74" t="s">
        <v>351</v>
      </c>
      <c r="V2779" s="74">
        <v>44537</v>
      </c>
      <c r="W2779" s="74">
        <v>44582</v>
      </c>
      <c r="X2779" s="55">
        <v>10185694</v>
      </c>
      <c r="Y2779" s="55" t="s">
        <v>130</v>
      </c>
      <c r="AB2779" s="74" t="s">
        <v>130</v>
      </c>
      <c r="AC2779" s="55" t="s">
        <v>130</v>
      </c>
      <c r="AL2779" s="74"/>
      <c r="AM2779" s="74"/>
    </row>
    <row r="2780" spans="1:50" ht="13" x14ac:dyDescent="0.15">
      <c r="A2780" s="55" t="str">
        <f>HYPERLINK("http://reports.ofsted.gov.uk/inspection-reports/find-inspection-report/provider/CARE/SC387671","Ofsted Social Care Provider Webpage")</f>
        <v>Ofsted Social Care Provider Webpage</v>
      </c>
      <c r="B2780" s="55" t="s">
        <v>5182</v>
      </c>
      <c r="D2780" s="55" t="s">
        <v>373</v>
      </c>
      <c r="E2780" s="74">
        <v>39871</v>
      </c>
      <c r="F2780" s="55" t="s">
        <v>344</v>
      </c>
      <c r="G2780" s="55" t="s">
        <v>360</v>
      </c>
      <c r="H2780" s="55" t="s">
        <v>360</v>
      </c>
      <c r="I2780" s="55" t="s">
        <v>360</v>
      </c>
      <c r="J2780" s="55" t="s">
        <v>360</v>
      </c>
      <c r="K2780" s="55" t="s">
        <v>360</v>
      </c>
      <c r="L2780" s="55" t="s">
        <v>360</v>
      </c>
      <c r="M2780" s="55" t="s">
        <v>144</v>
      </c>
      <c r="N2780" s="55" t="s">
        <v>144</v>
      </c>
      <c r="O2780" s="55" t="s">
        <v>236</v>
      </c>
      <c r="P2780" s="55" t="s">
        <v>996</v>
      </c>
      <c r="Q2780" s="55" t="s">
        <v>380</v>
      </c>
      <c r="R2780" s="85">
        <v>7</v>
      </c>
      <c r="S2780" s="55" t="s">
        <v>332</v>
      </c>
      <c r="T2780" s="74" t="s">
        <v>3314</v>
      </c>
      <c r="U2780" s="74" t="s">
        <v>351</v>
      </c>
      <c r="V2780" s="74">
        <v>44538</v>
      </c>
      <c r="W2780" s="74">
        <v>44587</v>
      </c>
      <c r="X2780" s="55">
        <v>10185470</v>
      </c>
      <c r="Y2780" s="55" t="s">
        <v>132</v>
      </c>
      <c r="AB2780" s="74" t="s">
        <v>132</v>
      </c>
      <c r="AC2780" s="55" t="s">
        <v>132</v>
      </c>
      <c r="AL2780" s="74"/>
      <c r="AM2780" s="74"/>
    </row>
    <row r="2781" spans="1:50" ht="13" x14ac:dyDescent="0.15">
      <c r="A2781" s="55" t="str">
        <f>HYPERLINK("http://reports.ofsted.gov.uk/inspection-reports/find-inspection-report/provider/CARE/SC387684","Ofsted Social Care Provider Webpage")</f>
        <v>Ofsted Social Care Provider Webpage</v>
      </c>
      <c r="B2781" s="55" t="s">
        <v>5183</v>
      </c>
      <c r="D2781" s="55" t="s">
        <v>373</v>
      </c>
      <c r="E2781" s="74">
        <v>39891</v>
      </c>
      <c r="F2781" s="55" t="s">
        <v>344</v>
      </c>
      <c r="G2781" s="55" t="s">
        <v>360</v>
      </c>
      <c r="H2781" s="55" t="s">
        <v>360</v>
      </c>
      <c r="I2781" s="55" t="s">
        <v>360</v>
      </c>
      <c r="J2781" s="55" t="s">
        <v>360</v>
      </c>
      <c r="K2781" s="55" t="s">
        <v>360</v>
      </c>
      <c r="L2781" s="55" t="s">
        <v>360</v>
      </c>
      <c r="M2781" s="55" t="s">
        <v>129</v>
      </c>
      <c r="N2781" s="55" t="s">
        <v>129</v>
      </c>
      <c r="O2781" s="55" t="s">
        <v>139</v>
      </c>
      <c r="P2781" s="55" t="s">
        <v>1153</v>
      </c>
      <c r="Q2781" s="55" t="s">
        <v>350</v>
      </c>
      <c r="R2781" s="85">
        <v>6</v>
      </c>
      <c r="S2781" s="55">
        <v>0</v>
      </c>
      <c r="T2781" s="74" t="s">
        <v>2906</v>
      </c>
      <c r="U2781" s="74" t="s">
        <v>6703</v>
      </c>
      <c r="V2781" s="74">
        <v>44600</v>
      </c>
      <c r="W2781" s="74">
        <v>44645</v>
      </c>
      <c r="X2781" s="55">
        <v>10209392</v>
      </c>
      <c r="Y2781" s="55" t="s">
        <v>6705</v>
      </c>
      <c r="AL2781" s="74"/>
      <c r="AM2781" s="74"/>
      <c r="AW2781" s="74"/>
      <c r="AX2781" s="74"/>
    </row>
    <row r="2782" spans="1:50" ht="13" x14ac:dyDescent="0.15">
      <c r="A2782" s="55" t="str">
        <f>HYPERLINK("http://reports.ofsted.gov.uk/inspection-reports/find-inspection-report/provider/CARE/SC387684","Ofsted Social Care Provider Webpage")</f>
        <v>Ofsted Social Care Provider Webpage</v>
      </c>
      <c r="B2782" s="55" t="s">
        <v>5183</v>
      </c>
      <c r="D2782" s="55" t="s">
        <v>373</v>
      </c>
      <c r="E2782" s="74">
        <v>39891</v>
      </c>
      <c r="F2782" s="55" t="s">
        <v>344</v>
      </c>
      <c r="G2782" s="55" t="s">
        <v>360</v>
      </c>
      <c r="H2782" s="55" t="s">
        <v>360</v>
      </c>
      <c r="I2782" s="55" t="s">
        <v>360</v>
      </c>
      <c r="J2782" s="55" t="s">
        <v>360</v>
      </c>
      <c r="K2782" s="55" t="s">
        <v>360</v>
      </c>
      <c r="L2782" s="55" t="s">
        <v>360</v>
      </c>
      <c r="M2782" s="55" t="s">
        <v>129</v>
      </c>
      <c r="N2782" s="55" t="s">
        <v>129</v>
      </c>
      <c r="O2782" s="55" t="s">
        <v>139</v>
      </c>
      <c r="P2782" s="55" t="s">
        <v>1153</v>
      </c>
      <c r="Q2782" s="55" t="s">
        <v>350</v>
      </c>
      <c r="R2782" s="85">
        <v>6</v>
      </c>
      <c r="S2782" s="55">
        <v>0</v>
      </c>
      <c r="T2782" s="74" t="s">
        <v>2906</v>
      </c>
      <c r="U2782" s="74" t="s">
        <v>351</v>
      </c>
      <c r="V2782" s="74">
        <v>44384</v>
      </c>
      <c r="W2782" s="74">
        <v>44433</v>
      </c>
      <c r="X2782" s="55">
        <v>10185894</v>
      </c>
      <c r="Y2782" s="55" t="s">
        <v>130</v>
      </c>
      <c r="AB2782" s="74" t="s">
        <v>130</v>
      </c>
      <c r="AC2782" s="55" t="s">
        <v>130</v>
      </c>
      <c r="AL2782" s="74"/>
      <c r="AM2782" s="74"/>
      <c r="AW2782" s="74"/>
      <c r="AX2782" s="74"/>
    </row>
    <row r="2783" spans="1:50" ht="13" x14ac:dyDescent="0.15">
      <c r="A2783" s="55" t="str">
        <f>HYPERLINK("http://reports.ofsted.gov.uk/inspection-reports/find-inspection-report/provider/CARE/SC387784","Ofsted Social Care Provider Webpage")</f>
        <v>Ofsted Social Care Provider Webpage</v>
      </c>
      <c r="B2783" s="55" t="s">
        <v>5190</v>
      </c>
      <c r="D2783" s="55" t="s">
        <v>373</v>
      </c>
      <c r="E2783" s="74">
        <v>39780</v>
      </c>
      <c r="F2783" s="55" t="s">
        <v>344</v>
      </c>
      <c r="G2783" s="55" t="s">
        <v>360</v>
      </c>
      <c r="H2783" s="55" t="s">
        <v>360</v>
      </c>
      <c r="I2783" s="55" t="s">
        <v>360</v>
      </c>
      <c r="J2783" s="55" t="s">
        <v>360</v>
      </c>
      <c r="K2783" s="55" t="s">
        <v>360</v>
      </c>
      <c r="L2783" s="55" t="s">
        <v>360</v>
      </c>
      <c r="M2783" s="55" t="s">
        <v>142</v>
      </c>
      <c r="N2783" s="55" t="s">
        <v>142</v>
      </c>
      <c r="O2783" s="55" t="s">
        <v>265</v>
      </c>
      <c r="P2783" s="55" t="s">
        <v>1066</v>
      </c>
      <c r="Q2783" s="55" t="s">
        <v>380</v>
      </c>
      <c r="R2783" s="85">
        <v>2</v>
      </c>
      <c r="S2783" s="55">
        <v>0</v>
      </c>
      <c r="T2783" s="74" t="s">
        <v>1067</v>
      </c>
      <c r="U2783" s="74" t="s">
        <v>351</v>
      </c>
      <c r="V2783" s="74">
        <v>44446</v>
      </c>
      <c r="W2783" s="74">
        <v>44494</v>
      </c>
      <c r="X2783" s="55">
        <v>10187141</v>
      </c>
      <c r="Y2783" s="55" t="s">
        <v>132</v>
      </c>
      <c r="AB2783" s="74" t="s">
        <v>132</v>
      </c>
      <c r="AC2783" s="55" t="s">
        <v>132</v>
      </c>
      <c r="AL2783" s="74"/>
      <c r="AM2783" s="74"/>
      <c r="AW2783" s="74"/>
      <c r="AX2783" s="74"/>
    </row>
    <row r="2784" spans="1:50" ht="13" x14ac:dyDescent="0.15">
      <c r="A2784" s="55" t="str">
        <f>HYPERLINK("http://reports.ofsted.gov.uk/inspection-reports/find-inspection-report/provider/CARE/SC388991","Ofsted Social Care Provider Webpage")</f>
        <v>Ofsted Social Care Provider Webpage</v>
      </c>
      <c r="B2784" s="55" t="s">
        <v>5197</v>
      </c>
      <c r="D2784" s="55" t="s">
        <v>373</v>
      </c>
      <c r="E2784" s="74">
        <v>39843</v>
      </c>
      <c r="F2784" s="55" t="s">
        <v>344</v>
      </c>
      <c r="G2784" s="55" t="s">
        <v>360</v>
      </c>
      <c r="H2784" s="55" t="s">
        <v>360</v>
      </c>
      <c r="I2784" s="55" t="s">
        <v>360</v>
      </c>
      <c r="J2784" s="55" t="s">
        <v>360</v>
      </c>
      <c r="K2784" s="55" t="s">
        <v>360</v>
      </c>
      <c r="L2784" s="55" t="s">
        <v>360</v>
      </c>
      <c r="M2784" s="55" t="s">
        <v>142</v>
      </c>
      <c r="N2784" s="55" t="s">
        <v>142</v>
      </c>
      <c r="O2784" s="55" t="s">
        <v>249</v>
      </c>
      <c r="P2784" s="55" t="s">
        <v>1318</v>
      </c>
      <c r="Q2784" s="55" t="s">
        <v>350</v>
      </c>
      <c r="R2784" s="85">
        <v>2</v>
      </c>
      <c r="S2784" s="55">
        <v>0</v>
      </c>
      <c r="T2784" s="74" t="s">
        <v>385</v>
      </c>
      <c r="U2784" s="74" t="s">
        <v>351</v>
      </c>
      <c r="V2784" s="74">
        <v>44453</v>
      </c>
      <c r="W2784" s="74">
        <v>44494</v>
      </c>
      <c r="X2784" s="55">
        <v>10185962</v>
      </c>
      <c r="Y2784" s="55" t="s">
        <v>132</v>
      </c>
      <c r="AB2784" s="74" t="s">
        <v>132</v>
      </c>
      <c r="AC2784" s="55" t="s">
        <v>132</v>
      </c>
      <c r="AL2784" s="74"/>
      <c r="AM2784" s="74"/>
      <c r="AW2784" s="74"/>
      <c r="AX2784" s="74"/>
    </row>
    <row r="2785" spans="1:50" ht="13" x14ac:dyDescent="0.15">
      <c r="A2785" s="55" t="str">
        <f>HYPERLINK("http://reports.ofsted.gov.uk/inspection-reports/find-inspection-report/provider/CARE/SC389174","Ofsted Social Care Provider Webpage")</f>
        <v>Ofsted Social Care Provider Webpage</v>
      </c>
      <c r="B2785" s="55" t="s">
        <v>5198</v>
      </c>
      <c r="D2785" s="55" t="s">
        <v>373</v>
      </c>
      <c r="E2785" s="74">
        <v>39861</v>
      </c>
      <c r="F2785" s="55" t="s">
        <v>344</v>
      </c>
      <c r="G2785" s="55" t="s">
        <v>360</v>
      </c>
      <c r="H2785" s="55" t="s">
        <v>360</v>
      </c>
      <c r="I2785" s="55" t="s">
        <v>360</v>
      </c>
      <c r="J2785" s="55" t="s">
        <v>360</v>
      </c>
      <c r="K2785" s="55" t="s">
        <v>360</v>
      </c>
      <c r="L2785" s="55" t="s">
        <v>360</v>
      </c>
      <c r="M2785" s="55" t="s">
        <v>150</v>
      </c>
      <c r="N2785" s="55" t="s">
        <v>150</v>
      </c>
      <c r="O2785" s="55" t="s">
        <v>258</v>
      </c>
      <c r="P2785" s="55" t="s">
        <v>2220</v>
      </c>
      <c r="Q2785" s="55" t="s">
        <v>350</v>
      </c>
      <c r="R2785" s="85">
        <v>7</v>
      </c>
      <c r="S2785" s="55">
        <v>0</v>
      </c>
      <c r="T2785" s="74" t="s">
        <v>900</v>
      </c>
      <c r="U2785" s="74" t="s">
        <v>351</v>
      </c>
      <c r="V2785" s="74">
        <v>44581</v>
      </c>
      <c r="W2785" s="74">
        <v>44620</v>
      </c>
      <c r="X2785" s="55">
        <v>10185823</v>
      </c>
      <c r="Y2785" s="55" t="s">
        <v>132</v>
      </c>
      <c r="AB2785" s="74" t="s">
        <v>132</v>
      </c>
      <c r="AC2785" s="55" t="s">
        <v>132</v>
      </c>
      <c r="AL2785" s="74"/>
      <c r="AM2785" s="74"/>
    </row>
    <row r="2786" spans="1:50" ht="13" x14ac:dyDescent="0.15">
      <c r="A2786" s="55" t="str">
        <f>HYPERLINK("http://reports.ofsted.gov.uk/inspection-reports/find-inspection-report/provider/CARE/SC389178","Ofsted Social Care Provider Webpage")</f>
        <v>Ofsted Social Care Provider Webpage</v>
      </c>
      <c r="B2786" s="55" t="s">
        <v>5199</v>
      </c>
      <c r="D2786" s="55" t="s">
        <v>373</v>
      </c>
      <c r="E2786" s="74">
        <v>39847</v>
      </c>
      <c r="F2786" s="55" t="s">
        <v>344</v>
      </c>
      <c r="G2786" s="55" t="s">
        <v>360</v>
      </c>
      <c r="H2786" s="55" t="s">
        <v>360</v>
      </c>
      <c r="I2786" s="55" t="s">
        <v>360</v>
      </c>
      <c r="J2786" s="55" t="s">
        <v>360</v>
      </c>
      <c r="K2786" s="55" t="s">
        <v>360</v>
      </c>
      <c r="L2786" s="55" t="s">
        <v>360</v>
      </c>
      <c r="M2786" s="55" t="s">
        <v>150</v>
      </c>
      <c r="N2786" s="55" t="s">
        <v>150</v>
      </c>
      <c r="O2786" s="55" t="s">
        <v>258</v>
      </c>
      <c r="P2786" s="55" t="s">
        <v>2220</v>
      </c>
      <c r="Q2786" s="55" t="s">
        <v>350</v>
      </c>
      <c r="R2786" s="85">
        <v>5</v>
      </c>
      <c r="S2786" s="55">
        <v>0</v>
      </c>
      <c r="T2786" s="74" t="s">
        <v>900</v>
      </c>
      <c r="U2786" s="74" t="s">
        <v>351</v>
      </c>
      <c r="V2786" s="74">
        <v>44474</v>
      </c>
      <c r="W2786" s="74">
        <v>44511</v>
      </c>
      <c r="X2786" s="55">
        <v>10185080</v>
      </c>
      <c r="Y2786" s="55" t="s">
        <v>132</v>
      </c>
      <c r="AB2786" s="74" t="s">
        <v>132</v>
      </c>
      <c r="AC2786" s="55" t="s">
        <v>132</v>
      </c>
      <c r="AL2786" s="74"/>
      <c r="AM2786" s="74"/>
    </row>
    <row r="2787" spans="1:50" ht="13" x14ac:dyDescent="0.15">
      <c r="A2787" s="55" t="str">
        <f>HYPERLINK("http://reports.ofsted.gov.uk/inspection-reports/find-inspection-report/provider/CARE/SC389180","Ofsted Social Care Provider Webpage")</f>
        <v>Ofsted Social Care Provider Webpage</v>
      </c>
      <c r="B2787" s="55" t="s">
        <v>5200</v>
      </c>
      <c r="D2787" s="55" t="s">
        <v>373</v>
      </c>
      <c r="E2787" s="74">
        <v>39861</v>
      </c>
      <c r="F2787" s="55" t="s">
        <v>344</v>
      </c>
      <c r="G2787" s="55" t="s">
        <v>360</v>
      </c>
      <c r="H2787" s="55" t="s">
        <v>360</v>
      </c>
      <c r="I2787" s="55" t="s">
        <v>360</v>
      </c>
      <c r="J2787" s="55" t="s">
        <v>360</v>
      </c>
      <c r="K2787" s="55" t="s">
        <v>360</v>
      </c>
      <c r="L2787" s="55" t="s">
        <v>360</v>
      </c>
      <c r="M2787" s="55" t="s">
        <v>150</v>
      </c>
      <c r="N2787" s="55" t="s">
        <v>150</v>
      </c>
      <c r="O2787" s="55" t="s">
        <v>258</v>
      </c>
      <c r="P2787" s="55" t="s">
        <v>2220</v>
      </c>
      <c r="Q2787" s="55" t="s">
        <v>350</v>
      </c>
      <c r="R2787" s="85">
        <v>6</v>
      </c>
      <c r="S2787" s="55">
        <v>0</v>
      </c>
      <c r="T2787" s="74" t="s">
        <v>900</v>
      </c>
      <c r="U2787" s="74" t="s">
        <v>351</v>
      </c>
      <c r="V2787" s="74">
        <v>44587</v>
      </c>
      <c r="W2787" s="74">
        <v>44631</v>
      </c>
      <c r="X2787" s="55">
        <v>10187406</v>
      </c>
      <c r="Y2787" s="55" t="s">
        <v>140</v>
      </c>
      <c r="AB2787" s="74" t="s">
        <v>140</v>
      </c>
      <c r="AC2787" s="55" t="s">
        <v>140</v>
      </c>
      <c r="AL2787" s="74"/>
      <c r="AM2787" s="74"/>
      <c r="AW2787" s="74"/>
      <c r="AX2787" s="74"/>
    </row>
    <row r="2788" spans="1:50" ht="13" x14ac:dyDescent="0.15">
      <c r="A2788" s="55" t="str">
        <f>HYPERLINK("http://reports.ofsted.gov.uk/inspection-reports/find-inspection-report/provider/CARE/SC389183","Ofsted Social Care Provider Webpage")</f>
        <v>Ofsted Social Care Provider Webpage</v>
      </c>
      <c r="B2788" s="55" t="s">
        <v>5201</v>
      </c>
      <c r="D2788" s="55" t="s">
        <v>373</v>
      </c>
      <c r="E2788" s="74">
        <v>39849</v>
      </c>
      <c r="F2788" s="55" t="s">
        <v>344</v>
      </c>
      <c r="G2788" s="55" t="s">
        <v>360</v>
      </c>
      <c r="H2788" s="55" t="s">
        <v>360</v>
      </c>
      <c r="I2788" s="55" t="s">
        <v>360</v>
      </c>
      <c r="J2788" s="55" t="s">
        <v>360</v>
      </c>
      <c r="K2788" s="55" t="s">
        <v>360</v>
      </c>
      <c r="L2788" s="55" t="s">
        <v>360</v>
      </c>
      <c r="M2788" s="55" t="s">
        <v>150</v>
      </c>
      <c r="N2788" s="55" t="s">
        <v>150</v>
      </c>
      <c r="O2788" s="55" t="s">
        <v>258</v>
      </c>
      <c r="P2788" s="55" t="s">
        <v>455</v>
      </c>
      <c r="Q2788" s="55" t="s">
        <v>350</v>
      </c>
      <c r="R2788" s="85">
        <v>3</v>
      </c>
      <c r="S2788" s="55">
        <v>0</v>
      </c>
      <c r="T2788" s="74" t="s">
        <v>900</v>
      </c>
      <c r="U2788" s="74" t="s">
        <v>351</v>
      </c>
      <c r="V2788" s="74">
        <v>44377</v>
      </c>
      <c r="W2788" s="74">
        <v>44439</v>
      </c>
      <c r="X2788" s="55">
        <v>10185404</v>
      </c>
      <c r="Y2788" s="55" t="s">
        <v>140</v>
      </c>
      <c r="AB2788" s="74" t="s">
        <v>140</v>
      </c>
      <c r="AC2788" s="55" t="s">
        <v>132</v>
      </c>
      <c r="AL2788" s="74"/>
      <c r="AM2788" s="74"/>
      <c r="AW2788" s="74"/>
      <c r="AX2788" s="74"/>
    </row>
    <row r="2789" spans="1:50" ht="13" x14ac:dyDescent="0.15">
      <c r="A2789" s="55" t="str">
        <f>HYPERLINK("http://reports.ofsted.gov.uk/inspection-reports/find-inspection-report/provider/CARE/SC389698","Ofsted Social Care Provider Webpage")</f>
        <v>Ofsted Social Care Provider Webpage</v>
      </c>
      <c r="B2789" s="55" t="s">
        <v>5202</v>
      </c>
      <c r="D2789" s="55" t="s">
        <v>373</v>
      </c>
      <c r="E2789" s="74">
        <v>39840</v>
      </c>
      <c r="F2789" s="55" t="s">
        <v>344</v>
      </c>
      <c r="G2789" s="55" t="s">
        <v>360</v>
      </c>
      <c r="H2789" s="55" t="s">
        <v>360</v>
      </c>
      <c r="I2789" s="55" t="s">
        <v>360</v>
      </c>
      <c r="J2789" s="55" t="s">
        <v>360</v>
      </c>
      <c r="K2789" s="55" t="s">
        <v>360</v>
      </c>
      <c r="L2789" s="55" t="s">
        <v>360</v>
      </c>
      <c r="M2789" s="55" t="s">
        <v>138</v>
      </c>
      <c r="N2789" s="55" t="s">
        <v>138</v>
      </c>
      <c r="O2789" s="55" t="s">
        <v>137</v>
      </c>
      <c r="P2789" s="55" t="s">
        <v>137</v>
      </c>
      <c r="Q2789" s="55" t="s">
        <v>350</v>
      </c>
      <c r="R2789" s="85">
        <v>3</v>
      </c>
      <c r="S2789" s="55">
        <v>0</v>
      </c>
      <c r="T2789" s="74" t="s">
        <v>4819</v>
      </c>
      <c r="U2789" s="74" t="s">
        <v>351</v>
      </c>
      <c r="V2789" s="74">
        <v>44398</v>
      </c>
      <c r="W2789" s="74">
        <v>44431</v>
      </c>
      <c r="X2789" s="55">
        <v>10187543</v>
      </c>
      <c r="Y2789" s="55" t="s">
        <v>132</v>
      </c>
      <c r="AB2789" s="74" t="s">
        <v>132</v>
      </c>
      <c r="AC2789" s="55" t="s">
        <v>132</v>
      </c>
      <c r="AL2789" s="74"/>
      <c r="AM2789" s="74"/>
      <c r="AW2789" s="74"/>
      <c r="AX2789" s="74"/>
    </row>
    <row r="2790" spans="1:50" ht="13" x14ac:dyDescent="0.15">
      <c r="A2790" s="55" t="str">
        <f>HYPERLINK("http://reports.ofsted.gov.uk/inspection-reports/find-inspection-report/provider/CARE/SC389781","Ofsted Social Care Provider Webpage")</f>
        <v>Ofsted Social Care Provider Webpage</v>
      </c>
      <c r="B2790" s="55" t="s">
        <v>5209</v>
      </c>
      <c r="D2790" s="55" t="s">
        <v>373</v>
      </c>
      <c r="E2790" s="74">
        <v>39855</v>
      </c>
      <c r="F2790" s="55" t="s">
        <v>344</v>
      </c>
      <c r="G2790" s="55" t="s">
        <v>360</v>
      </c>
      <c r="H2790" s="55" t="s">
        <v>360</v>
      </c>
      <c r="I2790" s="55" t="s">
        <v>360</v>
      </c>
      <c r="J2790" s="55" t="s">
        <v>360</v>
      </c>
      <c r="K2790" s="55" t="s">
        <v>360</v>
      </c>
      <c r="L2790" s="55" t="s">
        <v>360</v>
      </c>
      <c r="M2790" s="55" t="s">
        <v>129</v>
      </c>
      <c r="N2790" s="55" t="s">
        <v>129</v>
      </c>
      <c r="O2790" s="55" t="s">
        <v>275</v>
      </c>
      <c r="P2790" s="55" t="s">
        <v>2310</v>
      </c>
      <c r="Q2790" s="55" t="s">
        <v>350</v>
      </c>
      <c r="R2790" s="85">
        <v>8</v>
      </c>
      <c r="S2790" s="55" t="s">
        <v>332</v>
      </c>
      <c r="T2790" s="74" t="s">
        <v>5210</v>
      </c>
      <c r="U2790" s="74" t="s">
        <v>351</v>
      </c>
      <c r="V2790" s="74">
        <v>44532</v>
      </c>
      <c r="W2790" s="74">
        <v>44585</v>
      </c>
      <c r="X2790" s="55">
        <v>10185602</v>
      </c>
      <c r="Y2790" s="55" t="s">
        <v>140</v>
      </c>
      <c r="AB2790" s="74" t="s">
        <v>132</v>
      </c>
      <c r="AC2790" s="55" t="s">
        <v>140</v>
      </c>
      <c r="AL2790" s="74"/>
      <c r="AM2790" s="74"/>
      <c r="AW2790" s="74"/>
      <c r="AX2790" s="74"/>
    </row>
    <row r="2791" spans="1:50" ht="13" x14ac:dyDescent="0.15">
      <c r="A2791" s="55" t="str">
        <f>HYPERLINK("http://reports.ofsted.gov.uk/inspection-reports/find-inspection-report/provider/CARE/SC389823","Ofsted Social Care Provider Webpage")</f>
        <v>Ofsted Social Care Provider Webpage</v>
      </c>
      <c r="B2791" s="55" t="s">
        <v>5211</v>
      </c>
      <c r="D2791" s="55" t="s">
        <v>373</v>
      </c>
      <c r="E2791" s="74">
        <v>39944</v>
      </c>
      <c r="F2791" s="55" t="s">
        <v>344</v>
      </c>
      <c r="G2791" s="55" t="s">
        <v>360</v>
      </c>
      <c r="H2791" s="55" t="s">
        <v>360</v>
      </c>
      <c r="I2791" s="55" t="s">
        <v>360</v>
      </c>
      <c r="J2791" s="55" t="s">
        <v>360</v>
      </c>
      <c r="K2791" s="55" t="s">
        <v>360</v>
      </c>
      <c r="L2791" s="55" t="s">
        <v>360</v>
      </c>
      <c r="M2791" s="55" t="s">
        <v>144</v>
      </c>
      <c r="N2791" s="55" t="s">
        <v>144</v>
      </c>
      <c r="O2791" s="55" t="s">
        <v>147</v>
      </c>
      <c r="P2791" s="55" t="s">
        <v>387</v>
      </c>
      <c r="Q2791" s="55" t="s">
        <v>350</v>
      </c>
      <c r="R2791" s="85">
        <v>5</v>
      </c>
      <c r="S2791" s="55">
        <v>0</v>
      </c>
      <c r="T2791" s="74" t="s">
        <v>656</v>
      </c>
      <c r="U2791" s="74" t="s">
        <v>6703</v>
      </c>
      <c r="V2791" s="74">
        <v>44609</v>
      </c>
      <c r="W2791" s="74">
        <v>44650</v>
      </c>
      <c r="X2791" s="55">
        <v>10212750</v>
      </c>
      <c r="Y2791" s="55" t="s">
        <v>6706</v>
      </c>
      <c r="AL2791" s="74"/>
      <c r="AM2791" s="74"/>
      <c r="AW2791" s="74"/>
      <c r="AX2791" s="74"/>
    </row>
    <row r="2792" spans="1:50" ht="13" x14ac:dyDescent="0.15">
      <c r="A2792" s="55" t="str">
        <f>HYPERLINK("http://reports.ofsted.gov.uk/inspection-reports/find-inspection-report/provider/CARE/SC389823","Ofsted Social Care Provider Webpage")</f>
        <v>Ofsted Social Care Provider Webpage</v>
      </c>
      <c r="B2792" s="55" t="s">
        <v>5211</v>
      </c>
      <c r="D2792" s="55" t="s">
        <v>373</v>
      </c>
      <c r="E2792" s="74">
        <v>39944</v>
      </c>
      <c r="F2792" s="55" t="s">
        <v>344</v>
      </c>
      <c r="G2792" s="55" t="s">
        <v>360</v>
      </c>
      <c r="H2792" s="55" t="s">
        <v>360</v>
      </c>
      <c r="I2792" s="55" t="s">
        <v>360</v>
      </c>
      <c r="J2792" s="55" t="s">
        <v>360</v>
      </c>
      <c r="K2792" s="55" t="s">
        <v>360</v>
      </c>
      <c r="L2792" s="55" t="s">
        <v>360</v>
      </c>
      <c r="M2792" s="55" t="s">
        <v>144</v>
      </c>
      <c r="N2792" s="55" t="s">
        <v>144</v>
      </c>
      <c r="O2792" s="55" t="s">
        <v>147</v>
      </c>
      <c r="P2792" s="55" t="s">
        <v>387</v>
      </c>
      <c r="Q2792" s="55" t="s">
        <v>350</v>
      </c>
      <c r="R2792" s="85">
        <v>5</v>
      </c>
      <c r="S2792" s="55">
        <v>0</v>
      </c>
      <c r="T2792" s="74" t="s">
        <v>656</v>
      </c>
      <c r="U2792" s="74" t="s">
        <v>351</v>
      </c>
      <c r="V2792" s="74">
        <v>44488</v>
      </c>
      <c r="W2792" s="74">
        <v>44559</v>
      </c>
      <c r="X2792" s="55">
        <v>10186028</v>
      </c>
      <c r="Y2792" s="55" t="s">
        <v>130</v>
      </c>
      <c r="AB2792" s="74" t="s">
        <v>130</v>
      </c>
      <c r="AC2792" s="55" t="s">
        <v>130</v>
      </c>
      <c r="AL2792" s="74"/>
      <c r="AM2792" s="74"/>
      <c r="AW2792" s="74"/>
      <c r="AX2792" s="74"/>
    </row>
    <row r="2793" spans="1:50" ht="13" x14ac:dyDescent="0.15">
      <c r="A2793" s="55" t="str">
        <f>HYPERLINK("http://reports.ofsted.gov.uk/inspection-reports/find-inspection-report/provider/CARE/SC389830","Ofsted Social Care Provider Webpage")</f>
        <v>Ofsted Social Care Provider Webpage</v>
      </c>
      <c r="B2793" s="55" t="s">
        <v>5212</v>
      </c>
      <c r="D2793" s="55" t="s">
        <v>373</v>
      </c>
      <c r="E2793" s="74">
        <v>39847</v>
      </c>
      <c r="F2793" s="55" t="s">
        <v>344</v>
      </c>
      <c r="G2793" s="55" t="s">
        <v>360</v>
      </c>
      <c r="H2793" s="55" t="s">
        <v>360</v>
      </c>
      <c r="I2793" s="55" t="s">
        <v>360</v>
      </c>
      <c r="J2793" s="55" t="s">
        <v>360</v>
      </c>
      <c r="K2793" s="55" t="s">
        <v>360</v>
      </c>
      <c r="L2793" s="55" t="s">
        <v>360</v>
      </c>
      <c r="M2793" s="55" t="s">
        <v>142</v>
      </c>
      <c r="N2793" s="55" t="s">
        <v>142</v>
      </c>
      <c r="O2793" s="55" t="s">
        <v>252</v>
      </c>
      <c r="P2793" s="55" t="s">
        <v>503</v>
      </c>
      <c r="Q2793" s="55" t="s">
        <v>350</v>
      </c>
      <c r="R2793" s="85">
        <v>1</v>
      </c>
      <c r="S2793" s="55">
        <v>0</v>
      </c>
      <c r="T2793" s="74" t="s">
        <v>504</v>
      </c>
      <c r="U2793" s="74" t="s">
        <v>351</v>
      </c>
      <c r="V2793" s="74">
        <v>44516</v>
      </c>
      <c r="W2793" s="74">
        <v>44565</v>
      </c>
      <c r="X2793" s="55">
        <v>10186287</v>
      </c>
      <c r="Y2793" s="55" t="s">
        <v>140</v>
      </c>
      <c r="AB2793" s="74" t="s">
        <v>140</v>
      </c>
      <c r="AC2793" s="55" t="s">
        <v>140</v>
      </c>
      <c r="AL2793" s="74"/>
      <c r="AM2793" s="74"/>
      <c r="AW2793" s="74"/>
      <c r="AX2793" s="74"/>
    </row>
    <row r="2794" spans="1:50" ht="13" x14ac:dyDescent="0.15">
      <c r="A2794" s="55" t="str">
        <f>HYPERLINK("http://reports.ofsted.gov.uk/inspection-reports/find-inspection-report/provider/CARE/SC390156","Ofsted Social Care Provider Webpage")</f>
        <v>Ofsted Social Care Provider Webpage</v>
      </c>
      <c r="B2794" s="55" t="s">
        <v>5213</v>
      </c>
      <c r="D2794" s="55" t="s">
        <v>373</v>
      </c>
      <c r="E2794" s="74">
        <v>39994</v>
      </c>
      <c r="F2794" s="55" t="s">
        <v>344</v>
      </c>
      <c r="G2794" s="55" t="s">
        <v>360</v>
      </c>
      <c r="H2794" s="55" t="s">
        <v>360</v>
      </c>
      <c r="I2794" s="55" t="s">
        <v>360</v>
      </c>
      <c r="J2794" s="55" t="s">
        <v>360</v>
      </c>
      <c r="K2794" s="55" t="s">
        <v>360</v>
      </c>
      <c r="L2794" s="55" t="s">
        <v>360</v>
      </c>
      <c r="M2794" s="55" t="s">
        <v>150</v>
      </c>
      <c r="N2794" s="55" t="s">
        <v>150</v>
      </c>
      <c r="O2794" s="55" t="s">
        <v>203</v>
      </c>
      <c r="P2794" s="55" t="s">
        <v>800</v>
      </c>
      <c r="Q2794" s="55" t="s">
        <v>350</v>
      </c>
      <c r="R2794" s="85">
        <v>3</v>
      </c>
      <c r="S2794" s="55">
        <v>0</v>
      </c>
      <c r="T2794" s="74" t="s">
        <v>5214</v>
      </c>
      <c r="U2794" s="74" t="s">
        <v>351</v>
      </c>
      <c r="V2794" s="74">
        <v>44405</v>
      </c>
      <c r="W2794" s="74">
        <v>44452</v>
      </c>
      <c r="X2794" s="55">
        <v>10186250</v>
      </c>
      <c r="Y2794" s="55" t="s">
        <v>132</v>
      </c>
      <c r="AB2794" s="74" t="s">
        <v>132</v>
      </c>
      <c r="AC2794" s="55" t="s">
        <v>132</v>
      </c>
      <c r="AL2794" s="74"/>
      <c r="AM2794" s="74"/>
    </row>
    <row r="2795" spans="1:50" ht="13" x14ac:dyDescent="0.15">
      <c r="A2795" s="55" t="str">
        <f>HYPERLINK("http://reports.ofsted.gov.uk/inspection-reports/find-inspection-report/provider/CARE/SC390167","Ofsted Social Care Provider Webpage")</f>
        <v>Ofsted Social Care Provider Webpage</v>
      </c>
      <c r="B2795" s="55" t="s">
        <v>5215</v>
      </c>
      <c r="D2795" s="55" t="s">
        <v>373</v>
      </c>
      <c r="E2795" s="74">
        <v>40309</v>
      </c>
      <c r="F2795" s="55" t="s">
        <v>344</v>
      </c>
      <c r="G2795" s="55" t="s">
        <v>360</v>
      </c>
      <c r="H2795" s="55" t="s">
        <v>360</v>
      </c>
      <c r="I2795" s="55" t="s">
        <v>360</v>
      </c>
      <c r="J2795" s="55" t="s">
        <v>360</v>
      </c>
      <c r="K2795" s="55" t="s">
        <v>360</v>
      </c>
      <c r="L2795" s="55" t="s">
        <v>360</v>
      </c>
      <c r="M2795" s="55" t="s">
        <v>150</v>
      </c>
      <c r="N2795" s="55" t="s">
        <v>150</v>
      </c>
      <c r="O2795" s="55" t="s">
        <v>203</v>
      </c>
      <c r="P2795" s="55" t="s">
        <v>800</v>
      </c>
      <c r="Q2795" s="55" t="s">
        <v>350</v>
      </c>
      <c r="R2795" s="85">
        <v>2</v>
      </c>
      <c r="S2795" s="55">
        <v>0</v>
      </c>
      <c r="T2795" s="74" t="s">
        <v>5214</v>
      </c>
      <c r="U2795" s="74" t="s">
        <v>351</v>
      </c>
      <c r="V2795" s="74">
        <v>44580</v>
      </c>
      <c r="W2795" s="74">
        <v>44634</v>
      </c>
      <c r="X2795" s="55">
        <v>10187637</v>
      </c>
      <c r="Y2795" s="55" t="s">
        <v>132</v>
      </c>
      <c r="AB2795" s="74" t="s">
        <v>132</v>
      </c>
      <c r="AC2795" s="55" t="s">
        <v>130</v>
      </c>
      <c r="AL2795" s="74"/>
      <c r="AM2795" s="74"/>
      <c r="AW2795" s="74"/>
      <c r="AX2795" s="74"/>
    </row>
    <row r="2796" spans="1:50" ht="13" x14ac:dyDescent="0.15">
      <c r="A2796" s="55" t="str">
        <f>HYPERLINK("http://reports.ofsted.gov.uk/inspection-reports/find-inspection-report/provider/CARE/SC390190","Ofsted Social Care Provider Webpage")</f>
        <v>Ofsted Social Care Provider Webpage</v>
      </c>
      <c r="B2796" s="55" t="s">
        <v>5216</v>
      </c>
      <c r="D2796" s="55" t="s">
        <v>373</v>
      </c>
      <c r="E2796" s="74">
        <v>39843</v>
      </c>
      <c r="F2796" s="55" t="s">
        <v>344</v>
      </c>
      <c r="G2796" s="55" t="s">
        <v>360</v>
      </c>
      <c r="H2796" s="55" t="s">
        <v>360</v>
      </c>
      <c r="I2796" s="55" t="s">
        <v>360</v>
      </c>
      <c r="J2796" s="55" t="s">
        <v>360</v>
      </c>
      <c r="K2796" s="55" t="s">
        <v>360</v>
      </c>
      <c r="L2796" s="55" t="s">
        <v>360</v>
      </c>
      <c r="M2796" s="55" t="s">
        <v>172</v>
      </c>
      <c r="N2796" s="55" t="s">
        <v>172</v>
      </c>
      <c r="O2796" s="55" t="s">
        <v>235</v>
      </c>
      <c r="P2796" s="55" t="s">
        <v>494</v>
      </c>
      <c r="Q2796" s="55" t="s">
        <v>350</v>
      </c>
      <c r="R2796" s="85">
        <v>3</v>
      </c>
      <c r="S2796" s="55">
        <v>0</v>
      </c>
      <c r="T2796" s="74" t="s">
        <v>1105</v>
      </c>
      <c r="U2796" s="74" t="s">
        <v>351</v>
      </c>
      <c r="V2796" s="74">
        <v>44362</v>
      </c>
      <c r="W2796" s="74">
        <v>44396</v>
      </c>
      <c r="X2796" s="55">
        <v>10187611</v>
      </c>
      <c r="Y2796" s="55" t="s">
        <v>132</v>
      </c>
      <c r="AB2796" s="74" t="s">
        <v>132</v>
      </c>
      <c r="AC2796" s="55" t="s">
        <v>132</v>
      </c>
      <c r="AL2796" s="74"/>
      <c r="AM2796" s="74"/>
      <c r="AW2796" s="74"/>
      <c r="AX2796" s="74"/>
    </row>
    <row r="2797" spans="1:50" ht="13" x14ac:dyDescent="0.15">
      <c r="A2797" s="55" t="str">
        <f>HYPERLINK("http://reports.ofsted.gov.uk/inspection-reports/find-inspection-report/provider/CARE/SC390293","Ofsted Social Care Provider Webpage")</f>
        <v>Ofsted Social Care Provider Webpage</v>
      </c>
      <c r="B2797" s="55" t="s">
        <v>5217</v>
      </c>
      <c r="D2797" s="55" t="s">
        <v>373</v>
      </c>
      <c r="E2797" s="74">
        <v>39899</v>
      </c>
      <c r="F2797" s="55" t="s">
        <v>344</v>
      </c>
      <c r="G2797" s="55" t="s">
        <v>360</v>
      </c>
      <c r="H2797" s="55" t="s">
        <v>360</v>
      </c>
      <c r="I2797" s="55" t="s">
        <v>360</v>
      </c>
      <c r="J2797" s="55" t="s">
        <v>360</v>
      </c>
      <c r="K2797" s="55" t="s">
        <v>360</v>
      </c>
      <c r="L2797" s="55" t="s">
        <v>360</v>
      </c>
      <c r="M2797" s="55" t="s">
        <v>378</v>
      </c>
      <c r="N2797" s="55" t="s">
        <v>134</v>
      </c>
      <c r="O2797" s="55" t="s">
        <v>175</v>
      </c>
      <c r="P2797" s="55" t="s">
        <v>932</v>
      </c>
      <c r="Q2797" s="55" t="s">
        <v>350</v>
      </c>
      <c r="R2797" s="85">
        <v>3</v>
      </c>
      <c r="S2797" s="55">
        <v>0</v>
      </c>
      <c r="T2797" s="74" t="s">
        <v>933</v>
      </c>
      <c r="U2797" s="74" t="s">
        <v>351</v>
      </c>
      <c r="V2797" s="74">
        <v>44440</v>
      </c>
      <c r="W2797" s="74">
        <v>44475</v>
      </c>
      <c r="X2797" s="55">
        <v>10187135</v>
      </c>
      <c r="Y2797" s="55" t="s">
        <v>140</v>
      </c>
      <c r="AB2797" s="74" t="s">
        <v>140</v>
      </c>
      <c r="AC2797" s="55" t="s">
        <v>140</v>
      </c>
      <c r="AL2797" s="74"/>
      <c r="AM2797" s="74"/>
      <c r="AW2797" s="74"/>
      <c r="AX2797" s="74"/>
    </row>
    <row r="2798" spans="1:50" ht="13" x14ac:dyDescent="0.15">
      <c r="A2798" s="55" t="str">
        <f>HYPERLINK("http://reports.ofsted.gov.uk/inspection-reports/find-inspection-report/provider/CARE/SC390293","Ofsted Social Care Provider Webpage")</f>
        <v>Ofsted Social Care Provider Webpage</v>
      </c>
      <c r="B2798" s="55" t="s">
        <v>5217</v>
      </c>
      <c r="D2798" s="55" t="s">
        <v>373</v>
      </c>
      <c r="E2798" s="74">
        <v>39899</v>
      </c>
      <c r="F2798" s="55" t="s">
        <v>344</v>
      </c>
      <c r="G2798" s="55" t="s">
        <v>360</v>
      </c>
      <c r="H2798" s="55" t="s">
        <v>360</v>
      </c>
      <c r="I2798" s="55" t="s">
        <v>360</v>
      </c>
      <c r="J2798" s="55" t="s">
        <v>360</v>
      </c>
      <c r="K2798" s="55" t="s">
        <v>360</v>
      </c>
      <c r="L2798" s="55" t="s">
        <v>360</v>
      </c>
      <c r="M2798" s="55" t="s">
        <v>378</v>
      </c>
      <c r="N2798" s="55" t="s">
        <v>134</v>
      </c>
      <c r="O2798" s="55" t="s">
        <v>175</v>
      </c>
      <c r="P2798" s="55" t="s">
        <v>932</v>
      </c>
      <c r="Q2798" s="55" t="s">
        <v>350</v>
      </c>
      <c r="R2798" s="85">
        <v>3</v>
      </c>
      <c r="S2798" s="55">
        <v>0</v>
      </c>
      <c r="T2798" s="74" t="s">
        <v>933</v>
      </c>
      <c r="U2798" s="74" t="s">
        <v>2053</v>
      </c>
      <c r="V2798" s="74">
        <v>44301</v>
      </c>
      <c r="W2798" s="74">
        <v>44341</v>
      </c>
      <c r="X2798" s="55">
        <v>10191919</v>
      </c>
      <c r="AL2798" s="74"/>
      <c r="AM2798" s="74"/>
      <c r="AW2798" s="74"/>
      <c r="AX2798" s="74"/>
    </row>
    <row r="2799" spans="1:50" ht="13" x14ac:dyDescent="0.15">
      <c r="A2799" s="55" t="str">
        <f>HYPERLINK("http://reports.ofsted.gov.uk/inspection-reports/find-inspection-report/provider/CARE/SC390576","Ofsted Social Care Provider Webpage")</f>
        <v>Ofsted Social Care Provider Webpage</v>
      </c>
      <c r="B2799" s="55" t="s">
        <v>5218</v>
      </c>
      <c r="D2799" s="55" t="s">
        <v>373</v>
      </c>
      <c r="E2799" s="74">
        <v>39932</v>
      </c>
      <c r="F2799" s="55" t="s">
        <v>344</v>
      </c>
      <c r="G2799" s="55" t="s">
        <v>360</v>
      </c>
      <c r="H2799" s="55" t="s">
        <v>360</v>
      </c>
      <c r="I2799" s="55" t="s">
        <v>360</v>
      </c>
      <c r="J2799" s="55" t="s">
        <v>360</v>
      </c>
      <c r="K2799" s="55" t="s">
        <v>360</v>
      </c>
      <c r="L2799" s="55" t="s">
        <v>360</v>
      </c>
      <c r="M2799" s="55" t="s">
        <v>142</v>
      </c>
      <c r="N2799" s="55" t="s">
        <v>142</v>
      </c>
      <c r="O2799" s="55" t="s">
        <v>292</v>
      </c>
      <c r="P2799" s="55" t="s">
        <v>1052</v>
      </c>
      <c r="Q2799" s="55" t="s">
        <v>350</v>
      </c>
      <c r="R2799" s="85">
        <v>4</v>
      </c>
      <c r="S2799" s="55">
        <v>0</v>
      </c>
      <c r="T2799" s="74" t="s">
        <v>1505</v>
      </c>
      <c r="U2799" s="74" t="s">
        <v>351</v>
      </c>
      <c r="V2799" s="74">
        <v>44377</v>
      </c>
      <c r="W2799" s="74">
        <v>44412</v>
      </c>
      <c r="X2799" s="55">
        <v>10186101</v>
      </c>
      <c r="Y2799" s="55" t="s">
        <v>132</v>
      </c>
      <c r="AB2799" s="74" t="s">
        <v>132</v>
      </c>
      <c r="AC2799" s="55" t="s">
        <v>132</v>
      </c>
      <c r="AL2799" s="74"/>
      <c r="AM2799" s="74"/>
      <c r="AW2799" s="74"/>
      <c r="AX2799" s="74"/>
    </row>
    <row r="2800" spans="1:50" ht="13" x14ac:dyDescent="0.15">
      <c r="A2800" s="55" t="str">
        <f>HYPERLINK("http://reports.ofsted.gov.uk/inspection-reports/find-inspection-report/provider/CARE/SC390577","Ofsted Social Care Provider Webpage")</f>
        <v>Ofsted Social Care Provider Webpage</v>
      </c>
      <c r="B2800" s="55" t="s">
        <v>5219</v>
      </c>
      <c r="D2800" s="55" t="s">
        <v>373</v>
      </c>
      <c r="E2800" s="74">
        <v>39903</v>
      </c>
      <c r="F2800" s="55" t="s">
        <v>344</v>
      </c>
      <c r="G2800" s="55" t="s">
        <v>360</v>
      </c>
      <c r="H2800" s="55" t="s">
        <v>360</v>
      </c>
      <c r="I2800" s="55" t="s">
        <v>360</v>
      </c>
      <c r="J2800" s="55" t="s">
        <v>360</v>
      </c>
      <c r="K2800" s="55" t="s">
        <v>360</v>
      </c>
      <c r="L2800" s="55" t="s">
        <v>360</v>
      </c>
      <c r="M2800" s="55" t="s">
        <v>144</v>
      </c>
      <c r="N2800" s="55" t="s">
        <v>144</v>
      </c>
      <c r="O2800" s="55" t="s">
        <v>245</v>
      </c>
      <c r="P2800" s="55" t="s">
        <v>245</v>
      </c>
      <c r="Q2800" s="55" t="s">
        <v>350</v>
      </c>
      <c r="R2800" s="85">
        <v>3</v>
      </c>
      <c r="S2800" s="55">
        <v>0</v>
      </c>
      <c r="T2800" s="74" t="s">
        <v>613</v>
      </c>
      <c r="U2800" s="74" t="s">
        <v>2053</v>
      </c>
      <c r="V2800" s="74">
        <v>44312</v>
      </c>
      <c r="W2800" s="74">
        <v>44341</v>
      </c>
      <c r="X2800" s="55">
        <v>10184777</v>
      </c>
      <c r="AL2800" s="74"/>
      <c r="AM2800" s="74"/>
      <c r="AW2800" s="74"/>
      <c r="AX2800" s="74"/>
    </row>
    <row r="2801" spans="1:50" ht="13" x14ac:dyDescent="0.15">
      <c r="A2801" s="55" t="str">
        <f>HYPERLINK("http://reports.ofsted.gov.uk/inspection-reports/find-inspection-report/provider/CARE/SC390751","Ofsted Social Care Provider Webpage")</f>
        <v>Ofsted Social Care Provider Webpage</v>
      </c>
      <c r="B2801" s="55" t="s">
        <v>5220</v>
      </c>
      <c r="D2801" s="55" t="s">
        <v>373</v>
      </c>
      <c r="E2801" s="74">
        <v>39925</v>
      </c>
      <c r="F2801" s="55" t="s">
        <v>344</v>
      </c>
      <c r="G2801" s="55" t="s">
        <v>360</v>
      </c>
      <c r="H2801" s="55" t="s">
        <v>360</v>
      </c>
      <c r="I2801" s="55" t="s">
        <v>360</v>
      </c>
      <c r="J2801" s="55" t="s">
        <v>360</v>
      </c>
      <c r="K2801" s="55" t="s">
        <v>360</v>
      </c>
      <c r="L2801" s="55" t="s">
        <v>360</v>
      </c>
      <c r="M2801" s="55" t="s">
        <v>378</v>
      </c>
      <c r="N2801" s="55" t="s">
        <v>170</v>
      </c>
      <c r="O2801" s="55" t="s">
        <v>169</v>
      </c>
      <c r="P2801" s="55" t="s">
        <v>169</v>
      </c>
      <c r="Q2801" s="55" t="s">
        <v>350</v>
      </c>
      <c r="R2801" s="85">
        <v>5</v>
      </c>
      <c r="S2801" s="55">
        <v>0</v>
      </c>
      <c r="T2801" s="74" t="s">
        <v>5221</v>
      </c>
      <c r="U2801" s="74" t="s">
        <v>351</v>
      </c>
      <c r="V2801" s="74">
        <v>44515</v>
      </c>
      <c r="W2801" s="74">
        <v>44544</v>
      </c>
      <c r="X2801" s="55">
        <v>10185217</v>
      </c>
      <c r="Y2801" s="55" t="s">
        <v>132</v>
      </c>
      <c r="AB2801" s="74" t="s">
        <v>132</v>
      </c>
      <c r="AC2801" s="55" t="s">
        <v>132</v>
      </c>
      <c r="AL2801" s="74"/>
      <c r="AM2801" s="74"/>
      <c r="AW2801" s="74"/>
      <c r="AX2801" s="74"/>
    </row>
    <row r="2802" spans="1:50" ht="13" x14ac:dyDescent="0.15">
      <c r="A2802" s="55" t="str">
        <f>HYPERLINK("http://reports.ofsted.gov.uk/inspection-reports/find-inspection-report/provider/CARE/SC391379","Ofsted Social Care Provider Webpage")</f>
        <v>Ofsted Social Care Provider Webpage</v>
      </c>
      <c r="B2802" s="55" t="s">
        <v>5230</v>
      </c>
      <c r="D2802" s="55" t="s">
        <v>373</v>
      </c>
      <c r="E2802" s="74">
        <v>39960</v>
      </c>
      <c r="F2802" s="55" t="s">
        <v>344</v>
      </c>
      <c r="G2802" s="55" t="s">
        <v>360</v>
      </c>
      <c r="H2802" s="55" t="s">
        <v>360</v>
      </c>
      <c r="I2802" s="55" t="s">
        <v>360</v>
      </c>
      <c r="J2802" s="55" t="s">
        <v>360</v>
      </c>
      <c r="K2802" s="55" t="s">
        <v>360</v>
      </c>
      <c r="L2802" s="55" t="s">
        <v>360</v>
      </c>
      <c r="M2802" s="55" t="s">
        <v>150</v>
      </c>
      <c r="N2802" s="55" t="s">
        <v>150</v>
      </c>
      <c r="O2802" s="55" t="s">
        <v>221</v>
      </c>
      <c r="P2802" s="55" t="s">
        <v>349</v>
      </c>
      <c r="Q2802" s="55" t="s">
        <v>350</v>
      </c>
      <c r="R2802" s="85">
        <v>4</v>
      </c>
      <c r="S2802" s="55">
        <v>0</v>
      </c>
      <c r="T2802" s="74" t="s">
        <v>762</v>
      </c>
      <c r="U2802" s="74" t="s">
        <v>2053</v>
      </c>
      <c r="V2802" s="74">
        <v>44434</v>
      </c>
      <c r="W2802" s="74">
        <v>44477</v>
      </c>
      <c r="X2802" s="55">
        <v>10205122</v>
      </c>
      <c r="AL2802" s="74"/>
      <c r="AM2802" s="74"/>
      <c r="AW2802" s="74"/>
      <c r="AX2802" s="74"/>
    </row>
    <row r="2803" spans="1:50" ht="13" x14ac:dyDescent="0.15">
      <c r="A2803" s="55" t="str">
        <f>HYPERLINK("http://reports.ofsted.gov.uk/inspection-reports/find-inspection-report/provider/CARE/SC391379","Ofsted Social Care Provider Webpage")</f>
        <v>Ofsted Social Care Provider Webpage</v>
      </c>
      <c r="B2803" s="55" t="s">
        <v>5230</v>
      </c>
      <c r="D2803" s="55" t="s">
        <v>373</v>
      </c>
      <c r="E2803" s="74">
        <v>39960</v>
      </c>
      <c r="F2803" s="55" t="s">
        <v>344</v>
      </c>
      <c r="G2803" s="55" t="s">
        <v>360</v>
      </c>
      <c r="H2803" s="55" t="s">
        <v>360</v>
      </c>
      <c r="I2803" s="55" t="s">
        <v>360</v>
      </c>
      <c r="J2803" s="55" t="s">
        <v>360</v>
      </c>
      <c r="K2803" s="55" t="s">
        <v>360</v>
      </c>
      <c r="L2803" s="55" t="s">
        <v>360</v>
      </c>
      <c r="M2803" s="55" t="s">
        <v>150</v>
      </c>
      <c r="N2803" s="55" t="s">
        <v>150</v>
      </c>
      <c r="O2803" s="55" t="s">
        <v>221</v>
      </c>
      <c r="P2803" s="55" t="s">
        <v>349</v>
      </c>
      <c r="Q2803" s="55" t="s">
        <v>350</v>
      </c>
      <c r="R2803" s="85">
        <v>4</v>
      </c>
      <c r="S2803" s="55">
        <v>0</v>
      </c>
      <c r="T2803" s="74" t="s">
        <v>762</v>
      </c>
      <c r="U2803" s="74" t="s">
        <v>351</v>
      </c>
      <c r="V2803" s="74">
        <v>44321</v>
      </c>
      <c r="W2803" s="74">
        <v>44363</v>
      </c>
      <c r="X2803" s="55">
        <v>10185568</v>
      </c>
      <c r="Y2803" s="55" t="s">
        <v>132</v>
      </c>
      <c r="AB2803" s="74" t="s">
        <v>132</v>
      </c>
      <c r="AC2803" s="55" t="s">
        <v>130</v>
      </c>
      <c r="AL2803" s="74"/>
      <c r="AM2803" s="74"/>
    </row>
    <row r="2804" spans="1:50" ht="13" x14ac:dyDescent="0.15">
      <c r="A2804" s="55" t="str">
        <f>HYPERLINK("http://reports.ofsted.gov.uk/inspection-reports/find-inspection-report/provider/CARE/SC391464","Ofsted Social Care Provider Webpage")</f>
        <v>Ofsted Social Care Provider Webpage</v>
      </c>
      <c r="B2804" s="55" t="s">
        <v>5231</v>
      </c>
      <c r="D2804" s="55" t="s">
        <v>373</v>
      </c>
      <c r="E2804" s="74">
        <v>39902</v>
      </c>
      <c r="F2804" s="55" t="s">
        <v>344</v>
      </c>
      <c r="G2804" s="55" t="s">
        <v>360</v>
      </c>
      <c r="H2804" s="55" t="s">
        <v>360</v>
      </c>
      <c r="I2804" s="55" t="s">
        <v>360</v>
      </c>
      <c r="J2804" s="55" t="s">
        <v>360</v>
      </c>
      <c r="K2804" s="55" t="s">
        <v>360</v>
      </c>
      <c r="L2804" s="55" t="s">
        <v>360</v>
      </c>
      <c r="M2804" s="55" t="s">
        <v>138</v>
      </c>
      <c r="N2804" s="55" t="s">
        <v>138</v>
      </c>
      <c r="O2804" s="55" t="s">
        <v>161</v>
      </c>
      <c r="P2804" s="55" t="s">
        <v>643</v>
      </c>
      <c r="Q2804" s="55" t="s">
        <v>380</v>
      </c>
      <c r="R2804" s="85">
        <v>8</v>
      </c>
      <c r="S2804" s="55">
        <v>0</v>
      </c>
      <c r="T2804" s="74" t="s">
        <v>1474</v>
      </c>
      <c r="U2804" s="74" t="s">
        <v>351</v>
      </c>
      <c r="V2804" s="74">
        <v>44343</v>
      </c>
      <c r="W2804" s="74">
        <v>44370</v>
      </c>
      <c r="X2804" s="55">
        <v>10186372</v>
      </c>
      <c r="Y2804" s="55" t="s">
        <v>132</v>
      </c>
      <c r="AB2804" s="74" t="s">
        <v>132</v>
      </c>
      <c r="AC2804" s="55" t="s">
        <v>132</v>
      </c>
      <c r="AL2804" s="74"/>
      <c r="AM2804" s="74"/>
      <c r="AW2804" s="74"/>
      <c r="AX2804" s="74"/>
    </row>
    <row r="2805" spans="1:50" ht="13" x14ac:dyDescent="0.15">
      <c r="A2805" s="55" t="str">
        <f>HYPERLINK("http://reports.ofsted.gov.uk/inspection-reports/find-inspection-report/provider/CARE/SC391503","Ofsted Social Care Provider Webpage")</f>
        <v>Ofsted Social Care Provider Webpage</v>
      </c>
      <c r="B2805" s="55" t="s">
        <v>5232</v>
      </c>
      <c r="D2805" s="55" t="s">
        <v>373</v>
      </c>
      <c r="E2805" s="74">
        <v>39902</v>
      </c>
      <c r="F2805" s="55" t="s">
        <v>344</v>
      </c>
      <c r="G2805" s="55" t="s">
        <v>360</v>
      </c>
      <c r="H2805" s="55" t="s">
        <v>360</v>
      </c>
      <c r="I2805" s="55" t="s">
        <v>360</v>
      </c>
      <c r="J2805" s="55" t="s">
        <v>360</v>
      </c>
      <c r="K2805" s="55" t="s">
        <v>360</v>
      </c>
      <c r="L2805" s="55" t="s">
        <v>360</v>
      </c>
      <c r="M2805" s="55" t="s">
        <v>138</v>
      </c>
      <c r="N2805" s="55" t="s">
        <v>138</v>
      </c>
      <c r="O2805" s="55" t="s">
        <v>161</v>
      </c>
      <c r="P2805" s="55" t="s">
        <v>761</v>
      </c>
      <c r="Q2805" s="55" t="s">
        <v>380</v>
      </c>
      <c r="R2805" s="85">
        <v>4</v>
      </c>
      <c r="S2805" s="55" t="s">
        <v>332</v>
      </c>
      <c r="T2805" s="74" t="s">
        <v>1474</v>
      </c>
      <c r="U2805" s="74" t="s">
        <v>351</v>
      </c>
      <c r="V2805" s="74">
        <v>44383</v>
      </c>
      <c r="W2805" s="74">
        <v>44411</v>
      </c>
      <c r="X2805" s="55">
        <v>10186162</v>
      </c>
      <c r="Y2805" s="55" t="s">
        <v>132</v>
      </c>
      <c r="AB2805" s="74" t="s">
        <v>132</v>
      </c>
      <c r="AC2805" s="55" t="s">
        <v>140</v>
      </c>
      <c r="AL2805" s="74"/>
      <c r="AM2805" s="74"/>
      <c r="AW2805" s="74"/>
      <c r="AX2805" s="74"/>
    </row>
    <row r="2806" spans="1:50" ht="13" x14ac:dyDescent="0.15">
      <c r="A2806" s="55" t="str">
        <f>HYPERLINK("http://reports.ofsted.gov.uk/inspection-reports/find-inspection-report/provider/CARE/SC391594","Ofsted Social Care Provider Webpage")</f>
        <v>Ofsted Social Care Provider Webpage</v>
      </c>
      <c r="B2806" s="55" t="s">
        <v>5233</v>
      </c>
      <c r="D2806" s="55" t="s">
        <v>373</v>
      </c>
      <c r="E2806" s="74">
        <v>39969</v>
      </c>
      <c r="F2806" s="55" t="s">
        <v>344</v>
      </c>
      <c r="G2806" s="55" t="s">
        <v>360</v>
      </c>
      <c r="H2806" s="55" t="s">
        <v>360</v>
      </c>
      <c r="I2806" s="55" t="s">
        <v>360</v>
      </c>
      <c r="J2806" s="55" t="s">
        <v>360</v>
      </c>
      <c r="K2806" s="55" t="s">
        <v>360</v>
      </c>
      <c r="L2806" s="55" t="s">
        <v>360</v>
      </c>
      <c r="M2806" s="55" t="s">
        <v>378</v>
      </c>
      <c r="N2806" s="55" t="s">
        <v>134</v>
      </c>
      <c r="O2806" s="55" t="s">
        <v>251</v>
      </c>
      <c r="P2806" s="55" t="s">
        <v>1709</v>
      </c>
      <c r="Q2806" s="55" t="s">
        <v>350</v>
      </c>
      <c r="R2806" s="85">
        <v>3</v>
      </c>
      <c r="S2806" s="55">
        <v>0</v>
      </c>
      <c r="T2806" s="74" t="s">
        <v>1105</v>
      </c>
      <c r="U2806" s="74" t="s">
        <v>351</v>
      </c>
      <c r="V2806" s="74">
        <v>44530</v>
      </c>
      <c r="W2806" s="74">
        <v>44575</v>
      </c>
      <c r="X2806" s="55">
        <v>10185326</v>
      </c>
      <c r="Y2806" s="55" t="s">
        <v>132</v>
      </c>
      <c r="AB2806" s="74" t="s">
        <v>132</v>
      </c>
      <c r="AC2806" s="55" t="s">
        <v>132</v>
      </c>
      <c r="AL2806" s="74"/>
      <c r="AM2806" s="74"/>
      <c r="AW2806" s="74"/>
      <c r="AX2806" s="74"/>
    </row>
    <row r="2807" spans="1:50" ht="13" x14ac:dyDescent="0.15">
      <c r="A2807" s="55" t="str">
        <f>HYPERLINK("http://reports.ofsted.gov.uk/inspection-reports/find-inspection-report/provider/CARE/SC391708","Ofsted Social Care Provider Webpage")</f>
        <v>Ofsted Social Care Provider Webpage</v>
      </c>
      <c r="B2807" s="55" t="s">
        <v>5234</v>
      </c>
      <c r="D2807" s="55" t="s">
        <v>373</v>
      </c>
      <c r="E2807" s="74">
        <v>39932</v>
      </c>
      <c r="F2807" s="55" t="s">
        <v>344</v>
      </c>
      <c r="G2807" s="55" t="s">
        <v>360</v>
      </c>
      <c r="H2807" s="55" t="s">
        <v>360</v>
      </c>
      <c r="I2807" s="55" t="s">
        <v>360</v>
      </c>
      <c r="J2807" s="55" t="s">
        <v>360</v>
      </c>
      <c r="K2807" s="55" t="s">
        <v>360</v>
      </c>
      <c r="L2807" s="55" t="s">
        <v>360</v>
      </c>
      <c r="M2807" s="55" t="s">
        <v>136</v>
      </c>
      <c r="N2807" s="55" t="s">
        <v>136</v>
      </c>
      <c r="O2807" s="55" t="s">
        <v>705</v>
      </c>
      <c r="P2807" s="55" t="s">
        <v>706</v>
      </c>
      <c r="Q2807" s="55" t="s">
        <v>350</v>
      </c>
      <c r="R2807" s="85">
        <v>2</v>
      </c>
      <c r="S2807" s="55">
        <v>0</v>
      </c>
      <c r="T2807" s="74" t="s">
        <v>456</v>
      </c>
      <c r="U2807" s="74" t="s">
        <v>351</v>
      </c>
      <c r="V2807" s="74">
        <v>44419</v>
      </c>
      <c r="W2807" s="74">
        <v>44460</v>
      </c>
      <c r="X2807" s="55">
        <v>10186649</v>
      </c>
      <c r="Y2807" s="55" t="s">
        <v>130</v>
      </c>
      <c r="AB2807" s="74" t="s">
        <v>130</v>
      </c>
      <c r="AC2807" s="55" t="s">
        <v>130</v>
      </c>
      <c r="AL2807" s="74"/>
      <c r="AM2807" s="74"/>
      <c r="AW2807" s="74"/>
      <c r="AX2807" s="74"/>
    </row>
    <row r="2808" spans="1:50" ht="13" x14ac:dyDescent="0.15">
      <c r="A2808" s="55" t="str">
        <f>HYPERLINK("http://reports.ofsted.gov.uk/inspection-reports/find-inspection-report/provider/CARE/SC391860","Ofsted Social Care Provider Webpage")</f>
        <v>Ofsted Social Care Provider Webpage</v>
      </c>
      <c r="B2808" s="55" t="s">
        <v>5240</v>
      </c>
      <c r="D2808" s="55" t="s">
        <v>479</v>
      </c>
      <c r="E2808" s="74">
        <v>40001</v>
      </c>
      <c r="F2808" s="55" t="s">
        <v>344</v>
      </c>
      <c r="G2808" s="55" t="s">
        <v>360</v>
      </c>
      <c r="H2808" s="55" t="s">
        <v>360</v>
      </c>
      <c r="I2808" s="55" t="s">
        <v>360</v>
      </c>
      <c r="J2808" s="55" t="s">
        <v>360</v>
      </c>
      <c r="K2808" s="55" t="s">
        <v>360</v>
      </c>
      <c r="L2808" s="55" t="s">
        <v>360</v>
      </c>
      <c r="M2808" s="55" t="s">
        <v>142</v>
      </c>
      <c r="N2808" s="55" t="s">
        <v>142</v>
      </c>
      <c r="O2808" s="55" t="s">
        <v>262</v>
      </c>
      <c r="P2808" s="55" t="s">
        <v>1859</v>
      </c>
      <c r="Q2808" s="55" t="s">
        <v>350</v>
      </c>
      <c r="R2808" s="85">
        <v>12</v>
      </c>
      <c r="S2808" s="55">
        <v>0</v>
      </c>
      <c r="T2808" s="74" t="s">
        <v>450</v>
      </c>
      <c r="U2808" s="74" t="s">
        <v>351</v>
      </c>
      <c r="V2808" s="74">
        <v>44509</v>
      </c>
      <c r="W2808" s="74">
        <v>44559</v>
      </c>
      <c r="X2808" s="55">
        <v>10187170</v>
      </c>
      <c r="Y2808" s="55" t="s">
        <v>140</v>
      </c>
      <c r="AB2808" s="74" t="s">
        <v>140</v>
      </c>
      <c r="AC2808" s="55" t="s">
        <v>140</v>
      </c>
      <c r="AL2808" s="74"/>
      <c r="AM2808" s="74"/>
      <c r="AW2808" s="74"/>
      <c r="AX2808" s="74"/>
    </row>
    <row r="2809" spans="1:50" ht="13" x14ac:dyDescent="0.15">
      <c r="A2809" s="55" t="str">
        <f>HYPERLINK("http://reports.ofsted.gov.uk/inspection-reports/find-inspection-report/provider/CARE/SC391993","Ofsted Social Care Provider Webpage")</f>
        <v>Ofsted Social Care Provider Webpage</v>
      </c>
      <c r="B2809" s="55" t="s">
        <v>5241</v>
      </c>
      <c r="D2809" s="55" t="s">
        <v>373</v>
      </c>
      <c r="E2809" s="74">
        <v>39995</v>
      </c>
      <c r="F2809" s="55" t="s">
        <v>344</v>
      </c>
      <c r="G2809" s="55" t="s">
        <v>360</v>
      </c>
      <c r="H2809" s="55" t="s">
        <v>360</v>
      </c>
      <c r="I2809" s="55" t="s">
        <v>360</v>
      </c>
      <c r="J2809" s="55" t="s">
        <v>360</v>
      </c>
      <c r="K2809" s="55" t="s">
        <v>360</v>
      </c>
      <c r="L2809" s="55" t="s">
        <v>360</v>
      </c>
      <c r="M2809" s="55" t="s">
        <v>378</v>
      </c>
      <c r="N2809" s="55" t="s">
        <v>170</v>
      </c>
      <c r="O2809" s="55" t="s">
        <v>169</v>
      </c>
      <c r="P2809" s="55" t="s">
        <v>169</v>
      </c>
      <c r="Q2809" s="55" t="s">
        <v>362</v>
      </c>
      <c r="R2809" s="85">
        <v>6</v>
      </c>
      <c r="S2809" s="55">
        <v>0</v>
      </c>
      <c r="T2809" s="74" t="s">
        <v>3132</v>
      </c>
      <c r="U2809" s="74" t="s">
        <v>351</v>
      </c>
      <c r="V2809" s="74">
        <v>44399</v>
      </c>
      <c r="W2809" s="74">
        <v>44434</v>
      </c>
      <c r="X2809" s="55">
        <v>10185181</v>
      </c>
      <c r="Y2809" s="55" t="s">
        <v>132</v>
      </c>
      <c r="AB2809" s="74" t="s">
        <v>132</v>
      </c>
      <c r="AC2809" s="55" t="s">
        <v>132</v>
      </c>
      <c r="AL2809" s="74"/>
      <c r="AM2809" s="74"/>
      <c r="AW2809" s="74"/>
      <c r="AX2809" s="74"/>
    </row>
    <row r="2810" spans="1:50" ht="13" x14ac:dyDescent="0.15">
      <c r="A2810" s="55" t="str">
        <f>HYPERLINK("http://reports.ofsted.gov.uk/inspection-reports/find-inspection-report/provider/CARE/SC392492","Ofsted Social Care Provider Webpage")</f>
        <v>Ofsted Social Care Provider Webpage</v>
      </c>
      <c r="B2810" s="55" t="s">
        <v>5242</v>
      </c>
      <c r="D2810" s="55" t="s">
        <v>373</v>
      </c>
      <c r="E2810" s="74">
        <v>39927</v>
      </c>
      <c r="F2810" s="55" t="s">
        <v>344</v>
      </c>
      <c r="G2810" s="55" t="s">
        <v>360</v>
      </c>
      <c r="H2810" s="55" t="s">
        <v>360</v>
      </c>
      <c r="I2810" s="55" t="s">
        <v>360</v>
      </c>
      <c r="J2810" s="55" t="s">
        <v>360</v>
      </c>
      <c r="K2810" s="55" t="s">
        <v>360</v>
      </c>
      <c r="L2810" s="55" t="s">
        <v>360</v>
      </c>
      <c r="M2810" s="55" t="s">
        <v>142</v>
      </c>
      <c r="N2810" s="55" t="s">
        <v>142</v>
      </c>
      <c r="O2810" s="55" t="s">
        <v>141</v>
      </c>
      <c r="P2810" s="55" t="s">
        <v>795</v>
      </c>
      <c r="Q2810" s="55" t="s">
        <v>350</v>
      </c>
      <c r="R2810" s="85">
        <v>4</v>
      </c>
      <c r="S2810" s="55">
        <v>0</v>
      </c>
      <c r="T2810" s="74" t="s">
        <v>960</v>
      </c>
      <c r="U2810" s="74" t="s">
        <v>351</v>
      </c>
      <c r="V2810" s="74">
        <v>44385</v>
      </c>
      <c r="W2810" s="74">
        <v>44424</v>
      </c>
      <c r="X2810" s="55">
        <v>10186982</v>
      </c>
      <c r="Y2810" s="55" t="s">
        <v>132</v>
      </c>
      <c r="AB2810" s="74" t="s">
        <v>132</v>
      </c>
      <c r="AC2810" s="55" t="s">
        <v>132</v>
      </c>
      <c r="AL2810" s="74"/>
      <c r="AM2810" s="74"/>
      <c r="AW2810" s="74"/>
      <c r="AX2810" s="74"/>
    </row>
    <row r="2811" spans="1:50" ht="13" x14ac:dyDescent="0.15">
      <c r="A2811" s="55" t="str">
        <f>HYPERLINK("http://reports.ofsted.gov.uk/inspection-reports/find-inspection-report/provider/CARE/SC392549","Ofsted Social Care Provider Webpage")</f>
        <v>Ofsted Social Care Provider Webpage</v>
      </c>
      <c r="B2811" s="55" t="s">
        <v>5243</v>
      </c>
      <c r="D2811" s="55" t="s">
        <v>373</v>
      </c>
      <c r="E2811" s="74">
        <v>39990</v>
      </c>
      <c r="F2811" s="55" t="s">
        <v>344</v>
      </c>
      <c r="G2811" s="55" t="s">
        <v>360</v>
      </c>
      <c r="H2811" s="55" t="s">
        <v>360</v>
      </c>
      <c r="I2811" s="55" t="s">
        <v>360</v>
      </c>
      <c r="J2811" s="55" t="s">
        <v>360</v>
      </c>
      <c r="K2811" s="55" t="s">
        <v>360</v>
      </c>
      <c r="L2811" s="55" t="s">
        <v>360</v>
      </c>
      <c r="M2811" s="55" t="s">
        <v>378</v>
      </c>
      <c r="N2811" s="55" t="s">
        <v>170</v>
      </c>
      <c r="O2811" s="55" t="s">
        <v>178</v>
      </c>
      <c r="P2811" s="55" t="s">
        <v>1450</v>
      </c>
      <c r="Q2811" s="55" t="s">
        <v>350</v>
      </c>
      <c r="R2811" s="85">
        <v>3</v>
      </c>
      <c r="S2811" s="55">
        <v>0</v>
      </c>
      <c r="T2811" s="74" t="s">
        <v>5244</v>
      </c>
      <c r="U2811" s="74" t="s">
        <v>351</v>
      </c>
      <c r="V2811" s="74">
        <v>44369</v>
      </c>
      <c r="W2811" s="74">
        <v>44398</v>
      </c>
      <c r="X2811" s="55">
        <v>10185624</v>
      </c>
      <c r="Y2811" s="55" t="s">
        <v>132</v>
      </c>
      <c r="AB2811" s="74" t="s">
        <v>132</v>
      </c>
      <c r="AC2811" s="55" t="s">
        <v>132</v>
      </c>
      <c r="AL2811" s="74"/>
      <c r="AM2811" s="74"/>
      <c r="AW2811" s="74"/>
      <c r="AX2811" s="74"/>
    </row>
    <row r="2812" spans="1:50" ht="13" x14ac:dyDescent="0.15">
      <c r="A2812" s="55" t="str">
        <f>HYPERLINK("http://reports.ofsted.gov.uk/inspection-reports/find-inspection-report/provider/CARE/SC392712","Ofsted Social Care Provider Webpage")</f>
        <v>Ofsted Social Care Provider Webpage</v>
      </c>
      <c r="B2812" s="55" t="s">
        <v>5245</v>
      </c>
      <c r="D2812" s="55" t="s">
        <v>373</v>
      </c>
      <c r="E2812" s="74">
        <v>39946</v>
      </c>
      <c r="F2812" s="55" t="s">
        <v>344</v>
      </c>
      <c r="G2812" s="55" t="s">
        <v>360</v>
      </c>
      <c r="H2812" s="55" t="s">
        <v>360</v>
      </c>
      <c r="I2812" s="55" t="s">
        <v>360</v>
      </c>
      <c r="J2812" s="55" t="s">
        <v>360</v>
      </c>
      <c r="K2812" s="55" t="s">
        <v>360</v>
      </c>
      <c r="L2812" s="55" t="s">
        <v>360</v>
      </c>
      <c r="M2812" s="55" t="s">
        <v>172</v>
      </c>
      <c r="N2812" s="55" t="s">
        <v>172</v>
      </c>
      <c r="O2812" s="55" t="s">
        <v>235</v>
      </c>
      <c r="P2812" s="55" t="s">
        <v>494</v>
      </c>
      <c r="Q2812" s="55" t="s">
        <v>350</v>
      </c>
      <c r="R2812" s="85">
        <v>3</v>
      </c>
      <c r="S2812" s="55">
        <v>0</v>
      </c>
      <c r="T2812" s="74" t="s">
        <v>5246</v>
      </c>
      <c r="U2812" s="74" t="s">
        <v>2053</v>
      </c>
      <c r="V2812" s="74">
        <v>44307</v>
      </c>
      <c r="W2812" s="74">
        <v>44336</v>
      </c>
      <c r="X2812" s="55">
        <v>10192105</v>
      </c>
      <c r="AL2812" s="74"/>
      <c r="AM2812" s="74"/>
      <c r="AW2812" s="74"/>
      <c r="AX2812" s="74"/>
    </row>
    <row r="2813" spans="1:50" ht="13" x14ac:dyDescent="0.15">
      <c r="A2813" s="55" t="str">
        <f>HYPERLINK("http://reports.ofsted.gov.uk/inspection-reports/find-inspection-report/provider/CARE/SC392712","Ofsted Social Care Provider Webpage")</f>
        <v>Ofsted Social Care Provider Webpage</v>
      </c>
      <c r="B2813" s="55" t="s">
        <v>5245</v>
      </c>
      <c r="D2813" s="55" t="s">
        <v>373</v>
      </c>
      <c r="E2813" s="74">
        <v>39946</v>
      </c>
      <c r="F2813" s="55" t="s">
        <v>344</v>
      </c>
      <c r="G2813" s="55" t="s">
        <v>360</v>
      </c>
      <c r="H2813" s="55" t="s">
        <v>360</v>
      </c>
      <c r="I2813" s="55" t="s">
        <v>360</v>
      </c>
      <c r="J2813" s="55" t="s">
        <v>360</v>
      </c>
      <c r="K2813" s="55" t="s">
        <v>360</v>
      </c>
      <c r="L2813" s="55" t="s">
        <v>360</v>
      </c>
      <c r="M2813" s="55" t="s">
        <v>172</v>
      </c>
      <c r="N2813" s="55" t="s">
        <v>172</v>
      </c>
      <c r="O2813" s="55" t="s">
        <v>235</v>
      </c>
      <c r="P2813" s="55" t="s">
        <v>494</v>
      </c>
      <c r="Q2813" s="55" t="s">
        <v>350</v>
      </c>
      <c r="R2813" s="85">
        <v>3</v>
      </c>
      <c r="S2813" s="55">
        <v>0</v>
      </c>
      <c r="T2813" s="74" t="s">
        <v>5246</v>
      </c>
      <c r="U2813" s="74" t="s">
        <v>351</v>
      </c>
      <c r="V2813" s="74">
        <v>44530</v>
      </c>
      <c r="W2813" s="74">
        <v>44565</v>
      </c>
      <c r="X2813" s="55">
        <v>10185285</v>
      </c>
      <c r="Y2813" s="55" t="s">
        <v>132</v>
      </c>
      <c r="AB2813" s="74" t="s">
        <v>132</v>
      </c>
      <c r="AC2813" s="55" t="s">
        <v>132</v>
      </c>
      <c r="AL2813" s="74"/>
      <c r="AM2813" s="74"/>
      <c r="AW2813" s="74"/>
      <c r="AX2813" s="74"/>
    </row>
    <row r="2814" spans="1:50" ht="13" x14ac:dyDescent="0.15">
      <c r="A2814" s="55" t="str">
        <f>HYPERLINK("http://reports.ofsted.gov.uk/inspection-reports/find-inspection-report/provider/CARE/SC393940","Ofsted Social Care Provider Webpage")</f>
        <v>Ofsted Social Care Provider Webpage</v>
      </c>
      <c r="B2814" s="55" t="s">
        <v>5248</v>
      </c>
      <c r="D2814" s="55" t="s">
        <v>373</v>
      </c>
      <c r="E2814" s="74">
        <v>39962</v>
      </c>
      <c r="F2814" s="55" t="s">
        <v>344</v>
      </c>
      <c r="G2814" s="55" t="s">
        <v>360</v>
      </c>
      <c r="H2814" s="55" t="s">
        <v>360</v>
      </c>
      <c r="I2814" s="55" t="s">
        <v>360</v>
      </c>
      <c r="J2814" s="55" t="s">
        <v>360</v>
      </c>
      <c r="K2814" s="55" t="s">
        <v>360</v>
      </c>
      <c r="L2814" s="55" t="s">
        <v>360</v>
      </c>
      <c r="M2814" s="55" t="s">
        <v>138</v>
      </c>
      <c r="N2814" s="55" t="s">
        <v>138</v>
      </c>
      <c r="O2814" s="55" t="s">
        <v>183</v>
      </c>
      <c r="P2814" s="55" t="s">
        <v>2051</v>
      </c>
      <c r="Q2814" s="55" t="s">
        <v>350</v>
      </c>
      <c r="R2814" s="85">
        <v>4</v>
      </c>
      <c r="S2814" s="55">
        <v>0</v>
      </c>
      <c r="T2814" s="74" t="s">
        <v>585</v>
      </c>
      <c r="U2814" s="74" t="s">
        <v>351</v>
      </c>
      <c r="V2814" s="74">
        <v>44544</v>
      </c>
      <c r="W2814" s="74">
        <v>44588</v>
      </c>
      <c r="X2814" s="55">
        <v>10186095</v>
      </c>
      <c r="Y2814" s="55" t="s">
        <v>132</v>
      </c>
      <c r="AB2814" s="74" t="s">
        <v>132</v>
      </c>
      <c r="AC2814" s="55" t="s">
        <v>130</v>
      </c>
      <c r="AL2814" s="74"/>
      <c r="AM2814" s="74"/>
      <c r="AW2814" s="74"/>
      <c r="AX2814" s="74"/>
    </row>
    <row r="2815" spans="1:50" ht="13" x14ac:dyDescent="0.15">
      <c r="A2815" s="55" t="str">
        <f>HYPERLINK("http://reports.ofsted.gov.uk/inspection-reports/find-inspection-report/provider/CARE/SC394101","Ofsted Social Care Provider Webpage")</f>
        <v>Ofsted Social Care Provider Webpage</v>
      </c>
      <c r="B2815" s="55" t="s">
        <v>5249</v>
      </c>
      <c r="D2815" s="55" t="s">
        <v>373</v>
      </c>
      <c r="E2815" s="74">
        <v>39987</v>
      </c>
      <c r="F2815" s="55" t="s">
        <v>344</v>
      </c>
      <c r="G2815" s="55" t="s">
        <v>360</v>
      </c>
      <c r="H2815" s="55" t="s">
        <v>360</v>
      </c>
      <c r="I2815" s="55" t="s">
        <v>360</v>
      </c>
      <c r="J2815" s="55" t="s">
        <v>360</v>
      </c>
      <c r="K2815" s="55" t="s">
        <v>360</v>
      </c>
      <c r="L2815" s="55" t="s">
        <v>360</v>
      </c>
      <c r="M2815" s="55" t="s">
        <v>378</v>
      </c>
      <c r="N2815" s="55" t="s">
        <v>134</v>
      </c>
      <c r="O2815" s="55" t="s">
        <v>225</v>
      </c>
      <c r="P2815" s="55" t="s">
        <v>1667</v>
      </c>
      <c r="Q2815" s="55" t="s">
        <v>380</v>
      </c>
      <c r="R2815" s="85">
        <v>4</v>
      </c>
      <c r="S2815" s="55">
        <v>0</v>
      </c>
      <c r="T2815" s="74" t="s">
        <v>1668</v>
      </c>
      <c r="U2815" s="74" t="s">
        <v>351</v>
      </c>
      <c r="V2815" s="74">
        <v>44468</v>
      </c>
      <c r="W2815" s="74">
        <v>44510</v>
      </c>
      <c r="X2815" s="55">
        <v>10186909</v>
      </c>
      <c r="Y2815" s="55" t="s">
        <v>130</v>
      </c>
      <c r="AB2815" s="74" t="s">
        <v>130</v>
      </c>
      <c r="AC2815" s="55" t="s">
        <v>130</v>
      </c>
      <c r="AL2815" s="74"/>
      <c r="AM2815" s="74"/>
      <c r="AW2815" s="74"/>
      <c r="AX2815" s="74"/>
    </row>
    <row r="2816" spans="1:50" ht="13" x14ac:dyDescent="0.15">
      <c r="A2816" s="55" t="str">
        <f>HYPERLINK("http://reports.ofsted.gov.uk/inspection-reports/find-inspection-report/provider/CARE/SC394101","Ofsted Social Care Provider Webpage")</f>
        <v>Ofsted Social Care Provider Webpage</v>
      </c>
      <c r="B2816" s="55" t="s">
        <v>5249</v>
      </c>
      <c r="D2816" s="55" t="s">
        <v>373</v>
      </c>
      <c r="E2816" s="74">
        <v>39987</v>
      </c>
      <c r="F2816" s="55" t="s">
        <v>344</v>
      </c>
      <c r="G2816" s="55" t="s">
        <v>360</v>
      </c>
      <c r="H2816" s="55" t="s">
        <v>360</v>
      </c>
      <c r="I2816" s="55" t="s">
        <v>360</v>
      </c>
      <c r="J2816" s="55" t="s">
        <v>360</v>
      </c>
      <c r="K2816" s="55" t="s">
        <v>360</v>
      </c>
      <c r="L2816" s="55" t="s">
        <v>360</v>
      </c>
      <c r="M2816" s="55" t="s">
        <v>378</v>
      </c>
      <c r="N2816" s="55" t="s">
        <v>134</v>
      </c>
      <c r="O2816" s="55" t="s">
        <v>225</v>
      </c>
      <c r="P2816" s="55" t="s">
        <v>1667</v>
      </c>
      <c r="Q2816" s="55" t="s">
        <v>380</v>
      </c>
      <c r="R2816" s="85">
        <v>4</v>
      </c>
      <c r="S2816" s="55">
        <v>0</v>
      </c>
      <c r="T2816" s="74" t="s">
        <v>1668</v>
      </c>
      <c r="U2816" s="74" t="s">
        <v>6703</v>
      </c>
      <c r="V2816" s="74">
        <v>44623</v>
      </c>
      <c r="W2816" s="74">
        <v>44670</v>
      </c>
      <c r="X2816" s="55">
        <v>10213244</v>
      </c>
      <c r="Y2816" s="55" t="s">
        <v>6705</v>
      </c>
      <c r="AL2816" s="74"/>
      <c r="AM2816" s="74"/>
      <c r="AW2816" s="74"/>
      <c r="AX2816" s="74"/>
    </row>
    <row r="2817" spans="1:50" ht="13" x14ac:dyDescent="0.15">
      <c r="A2817" s="55" t="str">
        <f>HYPERLINK("http://reports.ofsted.gov.uk/inspection-reports/find-inspection-report/provider/CARE/SC394283","Ofsted Social Care Provider Webpage")</f>
        <v>Ofsted Social Care Provider Webpage</v>
      </c>
      <c r="B2817" s="55" t="s">
        <v>5250</v>
      </c>
      <c r="D2817" s="55" t="s">
        <v>373</v>
      </c>
      <c r="E2817" s="74">
        <v>39946</v>
      </c>
      <c r="F2817" s="55" t="s">
        <v>344</v>
      </c>
      <c r="G2817" s="55" t="s">
        <v>360</v>
      </c>
      <c r="H2817" s="55" t="s">
        <v>360</v>
      </c>
      <c r="I2817" s="55" t="s">
        <v>360</v>
      </c>
      <c r="J2817" s="55" t="s">
        <v>360</v>
      </c>
      <c r="K2817" s="55" t="s">
        <v>360</v>
      </c>
      <c r="L2817" s="55" t="s">
        <v>360</v>
      </c>
      <c r="M2817" s="55" t="s">
        <v>144</v>
      </c>
      <c r="N2817" s="55" t="s">
        <v>144</v>
      </c>
      <c r="O2817" s="55" t="s">
        <v>248</v>
      </c>
      <c r="P2817" s="55" t="s">
        <v>492</v>
      </c>
      <c r="Q2817" s="55" t="s">
        <v>380</v>
      </c>
      <c r="R2817" s="85">
        <v>5</v>
      </c>
      <c r="S2817" s="55">
        <v>0</v>
      </c>
      <c r="T2817" s="74" t="s">
        <v>3749</v>
      </c>
      <c r="U2817" s="74" t="s">
        <v>6703</v>
      </c>
      <c r="V2817" s="74">
        <v>44599</v>
      </c>
      <c r="W2817" s="74">
        <v>44641</v>
      </c>
      <c r="X2817" s="55">
        <v>10209620</v>
      </c>
      <c r="Y2817" s="55" t="s">
        <v>6706</v>
      </c>
      <c r="AL2817" s="74"/>
      <c r="AM2817" s="74"/>
      <c r="AW2817" s="74"/>
      <c r="AX2817" s="74"/>
    </row>
    <row r="2818" spans="1:50" ht="13" x14ac:dyDescent="0.15">
      <c r="A2818" s="55" t="str">
        <f>HYPERLINK("http://reports.ofsted.gov.uk/inspection-reports/find-inspection-report/provider/CARE/SC394283","Ofsted Social Care Provider Webpage")</f>
        <v>Ofsted Social Care Provider Webpage</v>
      </c>
      <c r="B2818" s="55" t="s">
        <v>5250</v>
      </c>
      <c r="D2818" s="55" t="s">
        <v>373</v>
      </c>
      <c r="E2818" s="74">
        <v>39946</v>
      </c>
      <c r="F2818" s="55" t="s">
        <v>344</v>
      </c>
      <c r="G2818" s="55" t="s">
        <v>360</v>
      </c>
      <c r="H2818" s="55" t="s">
        <v>360</v>
      </c>
      <c r="I2818" s="55" t="s">
        <v>360</v>
      </c>
      <c r="J2818" s="55" t="s">
        <v>360</v>
      </c>
      <c r="K2818" s="55" t="s">
        <v>360</v>
      </c>
      <c r="L2818" s="55" t="s">
        <v>360</v>
      </c>
      <c r="M2818" s="55" t="s">
        <v>144</v>
      </c>
      <c r="N2818" s="55" t="s">
        <v>144</v>
      </c>
      <c r="O2818" s="55" t="s">
        <v>248</v>
      </c>
      <c r="P2818" s="55" t="s">
        <v>492</v>
      </c>
      <c r="Q2818" s="55" t="s">
        <v>380</v>
      </c>
      <c r="R2818" s="85">
        <v>5</v>
      </c>
      <c r="S2818" s="55">
        <v>0</v>
      </c>
      <c r="T2818" s="74" t="s">
        <v>3749</v>
      </c>
      <c r="U2818" s="74" t="s">
        <v>351</v>
      </c>
      <c r="V2818" s="74">
        <v>44362</v>
      </c>
      <c r="W2818" s="74">
        <v>44392</v>
      </c>
      <c r="X2818" s="55">
        <v>10186491</v>
      </c>
      <c r="Y2818" s="55" t="s">
        <v>130</v>
      </c>
      <c r="AB2818" s="74" t="s">
        <v>130</v>
      </c>
      <c r="AC2818" s="55" t="s">
        <v>130</v>
      </c>
      <c r="AL2818" s="74"/>
      <c r="AM2818" s="74"/>
      <c r="AW2818" s="74"/>
      <c r="AX2818" s="74"/>
    </row>
    <row r="2819" spans="1:50" ht="13" x14ac:dyDescent="0.15">
      <c r="A2819" s="55" t="str">
        <f>HYPERLINK("http://reports.ofsted.gov.uk/inspection-reports/find-inspection-report/provider/CARE/SC394463","Ofsted Social Care Provider Webpage")</f>
        <v>Ofsted Social Care Provider Webpage</v>
      </c>
      <c r="B2819" s="55" t="s">
        <v>5251</v>
      </c>
      <c r="D2819" s="55" t="s">
        <v>373</v>
      </c>
      <c r="E2819" s="74">
        <v>39972</v>
      </c>
      <c r="F2819" s="55" t="s">
        <v>344</v>
      </c>
      <c r="G2819" s="55" t="s">
        <v>360</v>
      </c>
      <c r="H2819" s="55" t="s">
        <v>360</v>
      </c>
      <c r="I2819" s="55" t="s">
        <v>360</v>
      </c>
      <c r="J2819" s="55" t="s">
        <v>360</v>
      </c>
      <c r="K2819" s="55" t="s">
        <v>360</v>
      </c>
      <c r="L2819" s="55" t="s">
        <v>360</v>
      </c>
      <c r="M2819" s="55" t="s">
        <v>144</v>
      </c>
      <c r="N2819" s="55" t="s">
        <v>144</v>
      </c>
      <c r="O2819" s="55" t="s">
        <v>263</v>
      </c>
      <c r="P2819" s="55" t="s">
        <v>263</v>
      </c>
      <c r="Q2819" s="55" t="s">
        <v>350</v>
      </c>
      <c r="R2819" s="85">
        <v>3</v>
      </c>
      <c r="S2819" s="55">
        <v>0</v>
      </c>
      <c r="T2819" s="74" t="s">
        <v>5252</v>
      </c>
      <c r="U2819" s="74" t="s">
        <v>351</v>
      </c>
      <c r="V2819" s="74">
        <v>44628</v>
      </c>
      <c r="W2819" s="74">
        <v>44671</v>
      </c>
      <c r="X2819" s="55">
        <v>10185291</v>
      </c>
      <c r="Y2819" s="55" t="s">
        <v>132</v>
      </c>
      <c r="AB2819" s="74" t="s">
        <v>132</v>
      </c>
      <c r="AC2819" s="55" t="s">
        <v>132</v>
      </c>
      <c r="AL2819" s="74"/>
      <c r="AM2819" s="74"/>
    </row>
    <row r="2820" spans="1:50" ht="13" x14ac:dyDescent="0.15">
      <c r="A2820" s="55" t="str">
        <f>HYPERLINK("http://reports.ofsted.gov.uk/inspection-reports/find-inspection-report/provider/CARE/SC394569","Ofsted Social Care Provider Webpage")</f>
        <v>Ofsted Social Care Provider Webpage</v>
      </c>
      <c r="B2820" s="55" t="s">
        <v>5254</v>
      </c>
      <c r="D2820" s="55" t="s">
        <v>468</v>
      </c>
      <c r="E2820" s="74">
        <v>39945</v>
      </c>
      <c r="F2820" s="55" t="s">
        <v>344</v>
      </c>
      <c r="G2820" s="55" t="s">
        <v>5255</v>
      </c>
      <c r="H2820" s="55" t="s">
        <v>5256</v>
      </c>
      <c r="I2820" s="55" t="s">
        <v>5257</v>
      </c>
      <c r="J2820" s="55" t="s">
        <v>5258</v>
      </c>
      <c r="K2820" s="55" t="s">
        <v>2753</v>
      </c>
      <c r="L2820" s="55" t="s">
        <v>1047</v>
      </c>
      <c r="M2820" s="55" t="s">
        <v>142</v>
      </c>
      <c r="N2820" s="55" t="s">
        <v>142</v>
      </c>
      <c r="O2820" s="55" t="s">
        <v>254</v>
      </c>
      <c r="P2820" s="55" t="s">
        <v>1048</v>
      </c>
      <c r="Q2820" s="55" t="s">
        <v>362</v>
      </c>
      <c r="S2820" s="55">
        <v>0</v>
      </c>
      <c r="T2820" s="74" t="s">
        <v>5259</v>
      </c>
      <c r="U2820" s="74" t="s">
        <v>351</v>
      </c>
      <c r="V2820" s="74">
        <v>44494</v>
      </c>
      <c r="W2820" s="74">
        <v>44543</v>
      </c>
      <c r="X2820" s="55">
        <v>10183462</v>
      </c>
      <c r="Y2820" s="55" t="s">
        <v>140</v>
      </c>
      <c r="AB2820" s="74" t="s">
        <v>132</v>
      </c>
      <c r="AC2820" s="55" t="s">
        <v>140</v>
      </c>
      <c r="AL2820" s="74"/>
      <c r="AM2820" s="74"/>
      <c r="AW2820" s="74"/>
      <c r="AX2820" s="74"/>
    </row>
    <row r="2821" spans="1:50" ht="13" x14ac:dyDescent="0.15">
      <c r="A2821" s="55" t="str">
        <f>HYPERLINK("http://reports.ofsted.gov.uk/inspection-reports/find-inspection-report/provider/CARE/SC394909","Ofsted Social Care Provider Webpage")</f>
        <v>Ofsted Social Care Provider Webpage</v>
      </c>
      <c r="B2821" s="55" t="s">
        <v>5261</v>
      </c>
      <c r="D2821" s="55" t="s">
        <v>373</v>
      </c>
      <c r="E2821" s="74">
        <v>39988</v>
      </c>
      <c r="F2821" s="55" t="s">
        <v>344</v>
      </c>
      <c r="G2821" s="55" t="s">
        <v>360</v>
      </c>
      <c r="H2821" s="55" t="s">
        <v>360</v>
      </c>
      <c r="I2821" s="55" t="s">
        <v>360</v>
      </c>
      <c r="J2821" s="55" t="s">
        <v>360</v>
      </c>
      <c r="K2821" s="55" t="s">
        <v>360</v>
      </c>
      <c r="L2821" s="55" t="s">
        <v>360</v>
      </c>
      <c r="M2821" s="55" t="s">
        <v>378</v>
      </c>
      <c r="N2821" s="55" t="s">
        <v>170</v>
      </c>
      <c r="O2821" s="55" t="s">
        <v>222</v>
      </c>
      <c r="P2821" s="55" t="s">
        <v>2188</v>
      </c>
      <c r="Q2821" s="55" t="s">
        <v>350</v>
      </c>
      <c r="R2821" s="85">
        <v>6</v>
      </c>
      <c r="S2821" s="55">
        <v>0</v>
      </c>
      <c r="T2821" s="74" t="s">
        <v>1528</v>
      </c>
      <c r="U2821" s="74" t="s">
        <v>351</v>
      </c>
      <c r="V2821" s="74">
        <v>44466</v>
      </c>
      <c r="W2821" s="74">
        <v>44501</v>
      </c>
      <c r="X2821" s="55">
        <v>10185480</v>
      </c>
      <c r="Y2821" s="55" t="s">
        <v>132</v>
      </c>
      <c r="AB2821" s="74" t="s">
        <v>132</v>
      </c>
      <c r="AC2821" s="55" t="s">
        <v>132</v>
      </c>
      <c r="AL2821" s="74"/>
      <c r="AM2821" s="74"/>
      <c r="AW2821" s="74"/>
      <c r="AX2821" s="74"/>
    </row>
    <row r="2822" spans="1:50" ht="13" x14ac:dyDescent="0.15">
      <c r="A2822" s="55" t="str">
        <f>HYPERLINK("http://reports.ofsted.gov.uk/inspection-reports/find-inspection-report/provider/CARE/SC396104","Ofsted Social Care Provider Webpage")</f>
        <v>Ofsted Social Care Provider Webpage</v>
      </c>
      <c r="B2822" s="55" t="s">
        <v>5264</v>
      </c>
      <c r="D2822" s="55" t="s">
        <v>373</v>
      </c>
      <c r="E2822" s="74">
        <v>40015</v>
      </c>
      <c r="F2822" s="55" t="s">
        <v>344</v>
      </c>
      <c r="G2822" s="55" t="s">
        <v>360</v>
      </c>
      <c r="H2822" s="55" t="s">
        <v>360</v>
      </c>
      <c r="I2822" s="55" t="s">
        <v>360</v>
      </c>
      <c r="J2822" s="55" t="s">
        <v>360</v>
      </c>
      <c r="K2822" s="55" t="s">
        <v>360</v>
      </c>
      <c r="L2822" s="55" t="s">
        <v>360</v>
      </c>
      <c r="M2822" s="55" t="s">
        <v>144</v>
      </c>
      <c r="N2822" s="55" t="s">
        <v>144</v>
      </c>
      <c r="O2822" s="55" t="s">
        <v>271</v>
      </c>
      <c r="P2822" s="55" t="s">
        <v>1120</v>
      </c>
      <c r="Q2822" s="55" t="s">
        <v>350</v>
      </c>
      <c r="R2822" s="85">
        <v>6</v>
      </c>
      <c r="S2822" s="55">
        <v>0</v>
      </c>
      <c r="T2822" s="74" t="s">
        <v>5265</v>
      </c>
      <c r="U2822" s="74" t="s">
        <v>351</v>
      </c>
      <c r="V2822" s="74">
        <v>44418</v>
      </c>
      <c r="W2822" s="74">
        <v>44446</v>
      </c>
      <c r="X2822" s="55">
        <v>10185156</v>
      </c>
      <c r="Y2822" s="55" t="s">
        <v>132</v>
      </c>
      <c r="AB2822" s="74" t="s">
        <v>132</v>
      </c>
      <c r="AC2822" s="55" t="s">
        <v>132</v>
      </c>
      <c r="AL2822" s="74"/>
      <c r="AM2822" s="74"/>
    </row>
    <row r="2823" spans="1:50" ht="13" x14ac:dyDescent="0.15">
      <c r="A2823" s="55" t="str">
        <f>HYPERLINK("http://reports.ofsted.gov.uk/inspection-reports/find-inspection-report/provider/CARE/SC396186","Ofsted Social Care Provider Webpage")</f>
        <v>Ofsted Social Care Provider Webpage</v>
      </c>
      <c r="B2823" s="55" t="s">
        <v>5266</v>
      </c>
      <c r="D2823" s="55" t="s">
        <v>373</v>
      </c>
      <c r="E2823" s="74">
        <v>39997</v>
      </c>
      <c r="F2823" s="55" t="s">
        <v>344</v>
      </c>
      <c r="G2823" s="55" t="s">
        <v>360</v>
      </c>
      <c r="H2823" s="55" t="s">
        <v>360</v>
      </c>
      <c r="I2823" s="55" t="s">
        <v>360</v>
      </c>
      <c r="J2823" s="55" t="s">
        <v>360</v>
      </c>
      <c r="K2823" s="55" t="s">
        <v>360</v>
      </c>
      <c r="L2823" s="55" t="s">
        <v>360</v>
      </c>
      <c r="M2823" s="55" t="s">
        <v>172</v>
      </c>
      <c r="N2823" s="55" t="s">
        <v>172</v>
      </c>
      <c r="O2823" s="55" t="s">
        <v>284</v>
      </c>
      <c r="P2823" s="55" t="s">
        <v>985</v>
      </c>
      <c r="Q2823" s="55" t="s">
        <v>350</v>
      </c>
      <c r="R2823" s="85">
        <v>5</v>
      </c>
      <c r="S2823" s="55">
        <v>0</v>
      </c>
      <c r="T2823" s="74" t="s">
        <v>5267</v>
      </c>
      <c r="U2823" s="74" t="s">
        <v>351</v>
      </c>
      <c r="V2823" s="74">
        <v>44622</v>
      </c>
      <c r="W2823" s="74">
        <v>44663</v>
      </c>
      <c r="X2823" s="55">
        <v>10187168</v>
      </c>
      <c r="Y2823" s="55" t="s">
        <v>132</v>
      </c>
      <c r="AB2823" s="74" t="s">
        <v>132</v>
      </c>
      <c r="AC2823" s="55" t="s">
        <v>132</v>
      </c>
      <c r="AL2823" s="74"/>
      <c r="AM2823" s="74"/>
    </row>
    <row r="2824" spans="1:50" ht="13" x14ac:dyDescent="0.15">
      <c r="A2824" s="55" t="str">
        <f>HYPERLINK("http://reports.ofsted.gov.uk/inspection-reports/find-inspection-report/provider/CARE/SC396463","Ofsted Social Care Provider Webpage")</f>
        <v>Ofsted Social Care Provider Webpage</v>
      </c>
      <c r="B2824" s="55" t="s">
        <v>5268</v>
      </c>
      <c r="D2824" s="55" t="s">
        <v>373</v>
      </c>
      <c r="E2824" s="74">
        <v>39994</v>
      </c>
      <c r="F2824" s="55" t="s">
        <v>344</v>
      </c>
      <c r="G2824" s="55" t="s">
        <v>360</v>
      </c>
      <c r="H2824" s="55" t="s">
        <v>360</v>
      </c>
      <c r="I2824" s="55" t="s">
        <v>360</v>
      </c>
      <c r="J2824" s="55" t="s">
        <v>360</v>
      </c>
      <c r="K2824" s="55" t="s">
        <v>360</v>
      </c>
      <c r="L2824" s="55" t="s">
        <v>360</v>
      </c>
      <c r="M2824" s="55" t="s">
        <v>142</v>
      </c>
      <c r="N2824" s="55" t="s">
        <v>142</v>
      </c>
      <c r="O2824" s="55" t="s">
        <v>141</v>
      </c>
      <c r="P2824" s="55" t="s">
        <v>795</v>
      </c>
      <c r="Q2824" s="55" t="s">
        <v>350</v>
      </c>
      <c r="R2824" s="85">
        <v>2</v>
      </c>
      <c r="S2824" s="55">
        <v>0</v>
      </c>
      <c r="T2824" s="74" t="s">
        <v>385</v>
      </c>
      <c r="U2824" s="74" t="s">
        <v>351</v>
      </c>
      <c r="V2824" s="74">
        <v>44355</v>
      </c>
      <c r="W2824" s="74">
        <v>44379</v>
      </c>
      <c r="X2824" s="55">
        <v>10185931</v>
      </c>
      <c r="Y2824" s="55" t="s">
        <v>132</v>
      </c>
      <c r="AB2824" s="74" t="s">
        <v>132</v>
      </c>
      <c r="AC2824" s="55" t="s">
        <v>132</v>
      </c>
      <c r="AL2824" s="74"/>
      <c r="AM2824" s="74"/>
      <c r="AW2824" s="74"/>
      <c r="AX2824" s="74"/>
    </row>
    <row r="2825" spans="1:50" ht="13" x14ac:dyDescent="0.15">
      <c r="A2825" s="55" t="str">
        <f>HYPERLINK("http://reports.ofsted.gov.uk/inspection-reports/find-inspection-report/provider/CARE/SC396721","Ofsted Social Care Provider Webpage")</f>
        <v>Ofsted Social Care Provider Webpage</v>
      </c>
      <c r="B2825" s="55" t="s">
        <v>5275</v>
      </c>
      <c r="D2825" s="55" t="s">
        <v>373</v>
      </c>
      <c r="E2825" s="74">
        <v>39989</v>
      </c>
      <c r="F2825" s="55" t="s">
        <v>344</v>
      </c>
      <c r="G2825" s="55" t="s">
        <v>360</v>
      </c>
      <c r="H2825" s="55" t="s">
        <v>360</v>
      </c>
      <c r="I2825" s="55" t="s">
        <v>360</v>
      </c>
      <c r="J2825" s="55" t="s">
        <v>360</v>
      </c>
      <c r="K2825" s="55" t="s">
        <v>360</v>
      </c>
      <c r="L2825" s="55" t="s">
        <v>360</v>
      </c>
      <c r="M2825" s="55" t="s">
        <v>142</v>
      </c>
      <c r="N2825" s="55" t="s">
        <v>142</v>
      </c>
      <c r="O2825" s="55" t="s">
        <v>252</v>
      </c>
      <c r="P2825" s="55" t="s">
        <v>388</v>
      </c>
      <c r="Q2825" s="55" t="s">
        <v>350</v>
      </c>
      <c r="R2825" s="85">
        <v>1</v>
      </c>
      <c r="S2825" s="55">
        <v>0</v>
      </c>
      <c r="T2825" s="74" t="s">
        <v>504</v>
      </c>
      <c r="U2825" s="74" t="s">
        <v>351</v>
      </c>
      <c r="V2825" s="74">
        <v>44607</v>
      </c>
      <c r="W2825" s="74">
        <v>44650</v>
      </c>
      <c r="X2825" s="55">
        <v>10187433</v>
      </c>
      <c r="Y2825" s="55" t="s">
        <v>132</v>
      </c>
      <c r="AB2825" s="74" t="s">
        <v>132</v>
      </c>
      <c r="AC2825" s="55" t="s">
        <v>140</v>
      </c>
      <c r="AL2825" s="74"/>
      <c r="AM2825" s="74"/>
      <c r="AW2825" s="74"/>
      <c r="AX2825" s="74"/>
    </row>
    <row r="2826" spans="1:50" ht="13" x14ac:dyDescent="0.15">
      <c r="A2826" s="55" t="str">
        <f>HYPERLINK("http://reports.ofsted.gov.uk/inspection-reports/find-inspection-report/provider/CARE/SC396813","Ofsted Social Care Provider Webpage")</f>
        <v>Ofsted Social Care Provider Webpage</v>
      </c>
      <c r="B2826" s="55" t="s">
        <v>5276</v>
      </c>
      <c r="D2826" s="55" t="s">
        <v>479</v>
      </c>
      <c r="E2826" s="74">
        <v>40009</v>
      </c>
      <c r="F2826" s="55" t="s">
        <v>344</v>
      </c>
      <c r="G2826" s="55" t="s">
        <v>360</v>
      </c>
      <c r="H2826" s="55" t="s">
        <v>360</v>
      </c>
      <c r="I2826" s="55" t="s">
        <v>360</v>
      </c>
      <c r="J2826" s="55" t="s">
        <v>360</v>
      </c>
      <c r="K2826" s="55" t="s">
        <v>360</v>
      </c>
      <c r="L2826" s="55" t="s">
        <v>360</v>
      </c>
      <c r="M2826" s="55" t="s">
        <v>150</v>
      </c>
      <c r="N2826" s="55" t="s">
        <v>150</v>
      </c>
      <c r="O2826" s="55" t="s">
        <v>181</v>
      </c>
      <c r="P2826" s="55" t="s">
        <v>937</v>
      </c>
      <c r="Q2826" s="55" t="s">
        <v>362</v>
      </c>
      <c r="R2826" s="85">
        <v>27</v>
      </c>
      <c r="S2826" s="55">
        <v>0</v>
      </c>
      <c r="T2826" s="74" t="s">
        <v>5277</v>
      </c>
      <c r="U2826" s="74" t="s">
        <v>2053</v>
      </c>
      <c r="V2826" s="74">
        <v>44519</v>
      </c>
      <c r="W2826" s="74">
        <v>44579</v>
      </c>
      <c r="X2826" s="55">
        <v>10214563</v>
      </c>
      <c r="AL2826" s="74"/>
      <c r="AM2826" s="74"/>
    </row>
    <row r="2827" spans="1:50" ht="13" x14ac:dyDescent="0.15">
      <c r="A2827" s="55" t="str">
        <f>HYPERLINK("http://reports.ofsted.gov.uk/inspection-reports/find-inspection-report/provider/CARE/SC396813","Ofsted Social Care Provider Webpage")</f>
        <v>Ofsted Social Care Provider Webpage</v>
      </c>
      <c r="B2827" s="55" t="s">
        <v>5276</v>
      </c>
      <c r="D2827" s="55" t="s">
        <v>479</v>
      </c>
      <c r="E2827" s="74">
        <v>40009</v>
      </c>
      <c r="F2827" s="55" t="s">
        <v>344</v>
      </c>
      <c r="G2827" s="55" t="s">
        <v>360</v>
      </c>
      <c r="H2827" s="55" t="s">
        <v>360</v>
      </c>
      <c r="I2827" s="55" t="s">
        <v>360</v>
      </c>
      <c r="J2827" s="55" t="s">
        <v>360</v>
      </c>
      <c r="K2827" s="55" t="s">
        <v>360</v>
      </c>
      <c r="L2827" s="55" t="s">
        <v>360</v>
      </c>
      <c r="M2827" s="55" t="s">
        <v>150</v>
      </c>
      <c r="N2827" s="55" t="s">
        <v>150</v>
      </c>
      <c r="O2827" s="55" t="s">
        <v>181</v>
      </c>
      <c r="P2827" s="55" t="s">
        <v>937</v>
      </c>
      <c r="Q2827" s="55" t="s">
        <v>362</v>
      </c>
      <c r="R2827" s="85">
        <v>27</v>
      </c>
      <c r="S2827" s="55">
        <v>0</v>
      </c>
      <c r="T2827" s="74" t="s">
        <v>5277</v>
      </c>
      <c r="U2827" s="74" t="s">
        <v>2053</v>
      </c>
      <c r="V2827" s="74">
        <v>44545</v>
      </c>
      <c r="W2827" s="74">
        <v>44596</v>
      </c>
      <c r="X2827" s="55">
        <v>10216247</v>
      </c>
      <c r="AL2827" s="74"/>
      <c r="AM2827" s="74"/>
    </row>
    <row r="2828" spans="1:50" ht="13" x14ac:dyDescent="0.15">
      <c r="A2828" s="55" t="str">
        <f>HYPERLINK("http://reports.ofsted.gov.uk/inspection-reports/find-inspection-report/provider/CARE/SC396813","Ofsted Social Care Provider Webpage")</f>
        <v>Ofsted Social Care Provider Webpage</v>
      </c>
      <c r="B2828" s="55" t="s">
        <v>5276</v>
      </c>
      <c r="D2828" s="55" t="s">
        <v>479</v>
      </c>
      <c r="E2828" s="74">
        <v>40009</v>
      </c>
      <c r="F2828" s="55" t="s">
        <v>344</v>
      </c>
      <c r="G2828" s="55" t="s">
        <v>360</v>
      </c>
      <c r="H2828" s="55" t="s">
        <v>360</v>
      </c>
      <c r="I2828" s="55" t="s">
        <v>360</v>
      </c>
      <c r="J2828" s="55" t="s">
        <v>360</v>
      </c>
      <c r="K2828" s="55" t="s">
        <v>360</v>
      </c>
      <c r="L2828" s="55" t="s">
        <v>360</v>
      </c>
      <c r="M2828" s="55" t="s">
        <v>150</v>
      </c>
      <c r="N2828" s="55" t="s">
        <v>150</v>
      </c>
      <c r="O2828" s="55" t="s">
        <v>181</v>
      </c>
      <c r="P2828" s="55" t="s">
        <v>937</v>
      </c>
      <c r="Q2828" s="55" t="s">
        <v>362</v>
      </c>
      <c r="R2828" s="85">
        <v>27</v>
      </c>
      <c r="S2828" s="55">
        <v>0</v>
      </c>
      <c r="T2828" s="74" t="s">
        <v>5277</v>
      </c>
      <c r="U2828" s="74" t="s">
        <v>351</v>
      </c>
      <c r="V2828" s="74">
        <v>44460</v>
      </c>
      <c r="W2828" s="74">
        <v>44497</v>
      </c>
      <c r="X2828" s="55">
        <v>10185435</v>
      </c>
      <c r="Y2828" s="55" t="s">
        <v>132</v>
      </c>
      <c r="AB2828" s="74" t="s">
        <v>130</v>
      </c>
      <c r="AC2828" s="55" t="s">
        <v>132</v>
      </c>
      <c r="AL2828" s="74"/>
      <c r="AM2828" s="74"/>
    </row>
    <row r="2829" spans="1:50" ht="13" x14ac:dyDescent="0.15">
      <c r="A2829" s="55" t="str">
        <f>HYPERLINK("http://reports.ofsted.gov.uk/inspection-reports/find-inspection-report/provider/CARE/SC397092","Ofsted Social Care Provider Webpage")</f>
        <v>Ofsted Social Care Provider Webpage</v>
      </c>
      <c r="B2829" s="55" t="s">
        <v>5278</v>
      </c>
      <c r="D2829" s="55" t="s">
        <v>373</v>
      </c>
      <c r="E2829" s="74">
        <v>39995</v>
      </c>
      <c r="F2829" s="55" t="s">
        <v>344</v>
      </c>
      <c r="G2829" s="55" t="s">
        <v>360</v>
      </c>
      <c r="H2829" s="55" t="s">
        <v>360</v>
      </c>
      <c r="I2829" s="55" t="s">
        <v>360</v>
      </c>
      <c r="J2829" s="55" t="s">
        <v>360</v>
      </c>
      <c r="K2829" s="55" t="s">
        <v>360</v>
      </c>
      <c r="L2829" s="55" t="s">
        <v>360</v>
      </c>
      <c r="M2829" s="55" t="s">
        <v>142</v>
      </c>
      <c r="N2829" s="55" t="s">
        <v>142</v>
      </c>
      <c r="O2829" s="55" t="s">
        <v>272</v>
      </c>
      <c r="P2829" s="55" t="s">
        <v>653</v>
      </c>
      <c r="Q2829" s="55" t="s">
        <v>350</v>
      </c>
      <c r="R2829" s="85">
        <v>3</v>
      </c>
      <c r="S2829" s="55">
        <v>0</v>
      </c>
      <c r="T2829" s="74" t="s">
        <v>1260</v>
      </c>
      <c r="U2829" s="74" t="s">
        <v>351</v>
      </c>
      <c r="V2829" s="74">
        <v>44544</v>
      </c>
      <c r="W2829" s="74">
        <v>44589</v>
      </c>
      <c r="X2829" s="55">
        <v>10185395</v>
      </c>
      <c r="Y2829" s="55" t="s">
        <v>130</v>
      </c>
      <c r="AB2829" s="74" t="s">
        <v>130</v>
      </c>
      <c r="AC2829" s="55" t="s">
        <v>130</v>
      </c>
      <c r="AL2829" s="74"/>
      <c r="AM2829" s="74"/>
    </row>
    <row r="2830" spans="1:50" ht="13" x14ac:dyDescent="0.15">
      <c r="A2830" s="55" t="str">
        <f>HYPERLINK("http://reports.ofsted.gov.uk/inspection-reports/find-inspection-report/provider/CARE/SC397224","Ofsted Social Care Provider Webpage")</f>
        <v>Ofsted Social Care Provider Webpage</v>
      </c>
      <c r="B2830" s="55" t="s">
        <v>5280</v>
      </c>
      <c r="D2830" s="55" t="s">
        <v>443</v>
      </c>
      <c r="E2830" s="74">
        <v>40000</v>
      </c>
      <c r="F2830" s="55" t="s">
        <v>344</v>
      </c>
      <c r="G2830" s="55" t="s">
        <v>5281</v>
      </c>
      <c r="H2830" s="55" t="s">
        <v>5282</v>
      </c>
      <c r="I2830" s="55" t="s">
        <v>5283</v>
      </c>
      <c r="J2830" s="55" t="s">
        <v>5284</v>
      </c>
      <c r="K2830" s="55" t="s">
        <v>141</v>
      </c>
      <c r="L2830" s="55" t="s">
        <v>3265</v>
      </c>
      <c r="M2830" s="55" t="s">
        <v>142</v>
      </c>
      <c r="N2830" s="55" t="s">
        <v>142</v>
      </c>
      <c r="O2830" s="55" t="s">
        <v>282</v>
      </c>
      <c r="P2830" s="55" t="s">
        <v>3266</v>
      </c>
      <c r="Q2830" s="55" t="s">
        <v>362</v>
      </c>
      <c r="S2830" s="55">
        <v>0</v>
      </c>
      <c r="T2830" s="74" t="s">
        <v>3263</v>
      </c>
      <c r="U2830" s="74" t="s">
        <v>351</v>
      </c>
      <c r="V2830" s="74">
        <v>44601</v>
      </c>
      <c r="W2830" s="74">
        <v>44641</v>
      </c>
      <c r="X2830" s="55">
        <v>10183304</v>
      </c>
      <c r="Y2830" s="55" t="s">
        <v>140</v>
      </c>
      <c r="AB2830" s="74" t="s">
        <v>140</v>
      </c>
      <c r="AC2830" s="55" t="s">
        <v>140</v>
      </c>
      <c r="AL2830" s="74"/>
      <c r="AM2830" s="74"/>
      <c r="AW2830" s="74"/>
      <c r="AX2830" s="74"/>
    </row>
    <row r="2831" spans="1:50" ht="13" x14ac:dyDescent="0.15">
      <c r="A2831" s="55" t="str">
        <f>HYPERLINK("http://reports.ofsted.gov.uk/inspection-reports/find-inspection-report/provider/CARE/SC397293","Ofsted Social Care Provider Webpage")</f>
        <v>Ofsted Social Care Provider Webpage</v>
      </c>
      <c r="B2831" s="55" t="s">
        <v>5285</v>
      </c>
      <c r="D2831" s="55" t="s">
        <v>373</v>
      </c>
      <c r="E2831" s="74">
        <v>40058</v>
      </c>
      <c r="F2831" s="55" t="s">
        <v>344</v>
      </c>
      <c r="G2831" s="55" t="s">
        <v>360</v>
      </c>
      <c r="H2831" s="55" t="s">
        <v>360</v>
      </c>
      <c r="I2831" s="55" t="s">
        <v>360</v>
      </c>
      <c r="J2831" s="55" t="s">
        <v>360</v>
      </c>
      <c r="K2831" s="55" t="s">
        <v>360</v>
      </c>
      <c r="L2831" s="55" t="s">
        <v>360</v>
      </c>
      <c r="M2831" s="55" t="s">
        <v>172</v>
      </c>
      <c r="N2831" s="55" t="s">
        <v>172</v>
      </c>
      <c r="O2831" s="55" t="s">
        <v>171</v>
      </c>
      <c r="P2831" s="55" t="s">
        <v>895</v>
      </c>
      <c r="Q2831" s="55" t="s">
        <v>380</v>
      </c>
      <c r="R2831" s="85">
        <v>5</v>
      </c>
      <c r="S2831" s="55">
        <v>0</v>
      </c>
      <c r="T2831" s="74" t="s">
        <v>3360</v>
      </c>
      <c r="U2831" s="74" t="s">
        <v>351</v>
      </c>
      <c r="V2831" s="74">
        <v>44335</v>
      </c>
      <c r="W2831" s="74">
        <v>44371</v>
      </c>
      <c r="X2831" s="55">
        <v>10186995</v>
      </c>
      <c r="Y2831" s="55" t="s">
        <v>132</v>
      </c>
      <c r="AB2831" s="74" t="s">
        <v>132</v>
      </c>
      <c r="AC2831" s="55" t="s">
        <v>132</v>
      </c>
      <c r="AL2831" s="74"/>
      <c r="AM2831" s="74"/>
    </row>
    <row r="2832" spans="1:50" ht="13" x14ac:dyDescent="0.15">
      <c r="A2832" s="55" t="str">
        <f>HYPERLINK("http://reports.ofsted.gov.uk/inspection-reports/find-inspection-report/provider/CARE/SC397344","Ofsted Social Care Provider Webpage")</f>
        <v>Ofsted Social Care Provider Webpage</v>
      </c>
      <c r="B2832" s="55" t="s">
        <v>5286</v>
      </c>
      <c r="D2832" s="55" t="s">
        <v>373</v>
      </c>
      <c r="E2832" s="74">
        <v>40053</v>
      </c>
      <c r="F2832" s="55" t="s">
        <v>344</v>
      </c>
      <c r="G2832" s="55" t="s">
        <v>360</v>
      </c>
      <c r="H2832" s="55" t="s">
        <v>360</v>
      </c>
      <c r="I2832" s="55" t="s">
        <v>360</v>
      </c>
      <c r="J2832" s="55" t="s">
        <v>360</v>
      </c>
      <c r="K2832" s="55" t="s">
        <v>360</v>
      </c>
      <c r="L2832" s="55" t="s">
        <v>360</v>
      </c>
      <c r="M2832" s="55" t="s">
        <v>144</v>
      </c>
      <c r="N2832" s="55" t="s">
        <v>144</v>
      </c>
      <c r="O2832" s="55" t="s">
        <v>147</v>
      </c>
      <c r="P2832" s="55" t="s">
        <v>674</v>
      </c>
      <c r="Q2832" s="55" t="s">
        <v>362</v>
      </c>
      <c r="R2832" s="85">
        <v>4</v>
      </c>
      <c r="S2832" s="55">
        <v>0</v>
      </c>
      <c r="T2832" s="74" t="s">
        <v>675</v>
      </c>
      <c r="U2832" s="74" t="s">
        <v>6703</v>
      </c>
      <c r="V2832" s="74">
        <v>44587</v>
      </c>
      <c r="W2832" s="74">
        <v>44624</v>
      </c>
      <c r="X2832" s="55">
        <v>10209637</v>
      </c>
      <c r="Y2832" s="55" t="s">
        <v>6704</v>
      </c>
      <c r="AL2832" s="74"/>
      <c r="AM2832" s="74"/>
    </row>
    <row r="2833" spans="1:50" ht="13" x14ac:dyDescent="0.15">
      <c r="A2833" s="55" t="str">
        <f>HYPERLINK("http://reports.ofsted.gov.uk/inspection-reports/find-inspection-report/provider/CARE/SC397344","Ofsted Social Care Provider Webpage")</f>
        <v>Ofsted Social Care Provider Webpage</v>
      </c>
      <c r="B2833" s="55" t="s">
        <v>5286</v>
      </c>
      <c r="D2833" s="55" t="s">
        <v>373</v>
      </c>
      <c r="E2833" s="74">
        <v>40053</v>
      </c>
      <c r="F2833" s="55" t="s">
        <v>344</v>
      </c>
      <c r="G2833" s="55" t="s">
        <v>360</v>
      </c>
      <c r="H2833" s="55" t="s">
        <v>360</v>
      </c>
      <c r="I2833" s="55" t="s">
        <v>360</v>
      </c>
      <c r="J2833" s="55" t="s">
        <v>360</v>
      </c>
      <c r="K2833" s="55" t="s">
        <v>360</v>
      </c>
      <c r="L2833" s="55" t="s">
        <v>360</v>
      </c>
      <c r="M2833" s="55" t="s">
        <v>144</v>
      </c>
      <c r="N2833" s="55" t="s">
        <v>144</v>
      </c>
      <c r="O2833" s="55" t="s">
        <v>147</v>
      </c>
      <c r="P2833" s="55" t="s">
        <v>674</v>
      </c>
      <c r="Q2833" s="55" t="s">
        <v>362</v>
      </c>
      <c r="R2833" s="85">
        <v>4</v>
      </c>
      <c r="S2833" s="55">
        <v>0</v>
      </c>
      <c r="T2833" s="74" t="s">
        <v>675</v>
      </c>
      <c r="U2833" s="74" t="s">
        <v>351</v>
      </c>
      <c r="V2833" s="74">
        <v>44452</v>
      </c>
      <c r="W2833" s="74">
        <v>44491</v>
      </c>
      <c r="X2833" s="55">
        <v>10185589</v>
      </c>
      <c r="Y2833" s="55" t="s">
        <v>130</v>
      </c>
      <c r="AB2833" s="74" t="s">
        <v>130</v>
      </c>
      <c r="AC2833" s="55" t="s">
        <v>130</v>
      </c>
      <c r="AL2833" s="74"/>
      <c r="AM2833" s="74"/>
    </row>
    <row r="2834" spans="1:50" ht="13" x14ac:dyDescent="0.15">
      <c r="A2834" s="55" t="str">
        <f>HYPERLINK("http://reports.ofsted.gov.uk/inspection-reports/find-inspection-report/provider/CARE/SC397846","Ofsted Social Care Provider Webpage")</f>
        <v>Ofsted Social Care Provider Webpage</v>
      </c>
      <c r="B2834" s="55" t="s">
        <v>5287</v>
      </c>
      <c r="D2834" s="55" t="s">
        <v>389</v>
      </c>
      <c r="E2834" s="74">
        <v>40087</v>
      </c>
      <c r="F2834" s="55" t="s">
        <v>344</v>
      </c>
      <c r="G2834" s="55" t="s">
        <v>5288</v>
      </c>
      <c r="H2834" s="55" t="s">
        <v>5289</v>
      </c>
      <c r="I2834" s="55" t="s">
        <v>5290</v>
      </c>
      <c r="J2834" s="55" t="s">
        <v>5291</v>
      </c>
      <c r="K2834" s="55" t="s">
        <v>190</v>
      </c>
      <c r="L2834" s="55" t="s">
        <v>5292</v>
      </c>
      <c r="M2834" s="55" t="s">
        <v>150</v>
      </c>
      <c r="N2834" s="55" t="s">
        <v>150</v>
      </c>
      <c r="O2834" s="55" t="s">
        <v>190</v>
      </c>
      <c r="P2834" s="55" t="s">
        <v>1703</v>
      </c>
      <c r="Q2834" s="55" t="s">
        <v>350</v>
      </c>
      <c r="S2834" s="55">
        <v>0</v>
      </c>
      <c r="T2834" s="74" t="s">
        <v>5293</v>
      </c>
      <c r="U2834" s="74" t="s">
        <v>351</v>
      </c>
      <c r="V2834" s="74">
        <v>44480</v>
      </c>
      <c r="W2834" s="74">
        <v>44537</v>
      </c>
      <c r="X2834" s="55">
        <v>10183413</v>
      </c>
      <c r="Y2834" s="55" t="s">
        <v>130</v>
      </c>
      <c r="AB2834" s="74" t="s">
        <v>130</v>
      </c>
      <c r="AC2834" s="55" t="s">
        <v>130</v>
      </c>
      <c r="AL2834" s="74"/>
      <c r="AM2834" s="74"/>
    </row>
    <row r="2835" spans="1:50" ht="13" x14ac:dyDescent="0.15">
      <c r="A2835" s="55" t="str">
        <f>HYPERLINK("http://reports.ofsted.gov.uk/inspection-reports/find-inspection-report/provider/CARE/SC397933","Ofsted Social Care Provider Webpage")</f>
        <v>Ofsted Social Care Provider Webpage</v>
      </c>
      <c r="B2835" s="55" t="s">
        <v>5294</v>
      </c>
      <c r="D2835" s="55" t="s">
        <v>373</v>
      </c>
      <c r="E2835" s="74">
        <v>40024</v>
      </c>
      <c r="F2835" s="55" t="s">
        <v>344</v>
      </c>
      <c r="G2835" s="55" t="s">
        <v>360</v>
      </c>
      <c r="H2835" s="55" t="s">
        <v>360</v>
      </c>
      <c r="I2835" s="55" t="s">
        <v>360</v>
      </c>
      <c r="J2835" s="55" t="s">
        <v>360</v>
      </c>
      <c r="K2835" s="55" t="s">
        <v>360</v>
      </c>
      <c r="L2835" s="55" t="s">
        <v>360</v>
      </c>
      <c r="M2835" s="55" t="s">
        <v>142</v>
      </c>
      <c r="N2835" s="55" t="s">
        <v>142</v>
      </c>
      <c r="O2835" s="55" t="s">
        <v>272</v>
      </c>
      <c r="P2835" s="55" t="s">
        <v>1291</v>
      </c>
      <c r="Q2835" s="55" t="s">
        <v>350</v>
      </c>
      <c r="R2835" s="85">
        <v>2</v>
      </c>
      <c r="S2835" s="55">
        <v>0</v>
      </c>
      <c r="T2835" s="74" t="s">
        <v>654</v>
      </c>
      <c r="U2835" s="74" t="s">
        <v>351</v>
      </c>
      <c r="V2835" s="74">
        <v>44384</v>
      </c>
      <c r="W2835" s="74">
        <v>44439</v>
      </c>
      <c r="X2835" s="55">
        <v>10187290</v>
      </c>
      <c r="Y2835" s="55" t="s">
        <v>130</v>
      </c>
      <c r="AB2835" s="74" t="s">
        <v>130</v>
      </c>
      <c r="AC2835" s="55" t="s">
        <v>146</v>
      </c>
      <c r="AL2835" s="74"/>
      <c r="AM2835" s="74"/>
    </row>
    <row r="2836" spans="1:50" ht="13" x14ac:dyDescent="0.15">
      <c r="A2836" s="55" t="str">
        <f>HYPERLINK("http://reports.ofsted.gov.uk/inspection-reports/find-inspection-report/provider/CARE/SC397933","Ofsted Social Care Provider Webpage")</f>
        <v>Ofsted Social Care Provider Webpage</v>
      </c>
      <c r="B2836" s="55" t="s">
        <v>5294</v>
      </c>
      <c r="D2836" s="55" t="s">
        <v>373</v>
      </c>
      <c r="E2836" s="74">
        <v>40024</v>
      </c>
      <c r="F2836" s="55" t="s">
        <v>344</v>
      </c>
      <c r="G2836" s="55" t="s">
        <v>360</v>
      </c>
      <c r="H2836" s="55" t="s">
        <v>360</v>
      </c>
      <c r="I2836" s="55" t="s">
        <v>360</v>
      </c>
      <c r="J2836" s="55" t="s">
        <v>360</v>
      </c>
      <c r="K2836" s="55" t="s">
        <v>360</v>
      </c>
      <c r="L2836" s="55" t="s">
        <v>360</v>
      </c>
      <c r="M2836" s="55" t="s">
        <v>142</v>
      </c>
      <c r="N2836" s="55" t="s">
        <v>142</v>
      </c>
      <c r="O2836" s="55" t="s">
        <v>272</v>
      </c>
      <c r="P2836" s="55" t="s">
        <v>1291</v>
      </c>
      <c r="Q2836" s="55" t="s">
        <v>350</v>
      </c>
      <c r="R2836" s="85">
        <v>2</v>
      </c>
      <c r="S2836" s="55">
        <v>0</v>
      </c>
      <c r="T2836" s="74" t="s">
        <v>654</v>
      </c>
      <c r="U2836" s="74" t="s">
        <v>6703</v>
      </c>
      <c r="V2836" s="74">
        <v>44607</v>
      </c>
      <c r="W2836" s="74">
        <v>44649</v>
      </c>
      <c r="X2836" s="55">
        <v>10217215</v>
      </c>
      <c r="Y2836" s="55" t="s">
        <v>6705</v>
      </c>
      <c r="AL2836" s="74"/>
      <c r="AM2836" s="74"/>
    </row>
    <row r="2837" spans="1:50" ht="13" x14ac:dyDescent="0.15">
      <c r="A2837" s="55" t="str">
        <f>HYPERLINK("http://reports.ofsted.gov.uk/inspection-reports/find-inspection-report/provider/CARE/SC397987","Ofsted Social Care Provider Webpage")</f>
        <v>Ofsted Social Care Provider Webpage</v>
      </c>
      <c r="B2837" s="55" t="s">
        <v>5295</v>
      </c>
      <c r="D2837" s="55" t="s">
        <v>373</v>
      </c>
      <c r="E2837" s="74">
        <v>40106</v>
      </c>
      <c r="F2837" s="55" t="s">
        <v>344</v>
      </c>
      <c r="G2837" s="55" t="s">
        <v>360</v>
      </c>
      <c r="H2837" s="55" t="s">
        <v>360</v>
      </c>
      <c r="I2837" s="55" t="s">
        <v>360</v>
      </c>
      <c r="J2837" s="55" t="s">
        <v>360</v>
      </c>
      <c r="K2837" s="55" t="s">
        <v>360</v>
      </c>
      <c r="L2837" s="55" t="s">
        <v>360</v>
      </c>
      <c r="M2837" s="55" t="s">
        <v>144</v>
      </c>
      <c r="N2837" s="55" t="s">
        <v>144</v>
      </c>
      <c r="O2837" s="55" t="s">
        <v>163</v>
      </c>
      <c r="P2837" s="55" t="s">
        <v>1587</v>
      </c>
      <c r="Q2837" s="55" t="s">
        <v>350</v>
      </c>
      <c r="R2837" s="85">
        <v>2</v>
      </c>
      <c r="S2837" s="55">
        <v>0</v>
      </c>
      <c r="T2837" s="74" t="s">
        <v>5181</v>
      </c>
      <c r="U2837" s="74" t="s">
        <v>351</v>
      </c>
      <c r="V2837" s="74">
        <v>44614</v>
      </c>
      <c r="W2837" s="74">
        <v>44658</v>
      </c>
      <c r="X2837" s="55">
        <v>10186569</v>
      </c>
      <c r="Y2837" s="55" t="s">
        <v>130</v>
      </c>
      <c r="AB2837" s="74" t="s">
        <v>130</v>
      </c>
      <c r="AC2837" s="55" t="s">
        <v>146</v>
      </c>
      <c r="AL2837" s="74"/>
      <c r="AM2837" s="74"/>
    </row>
    <row r="2838" spans="1:50" ht="13" x14ac:dyDescent="0.15">
      <c r="A2838" s="55" t="str">
        <f>HYPERLINK("http://reports.ofsted.gov.uk/inspection-reports/find-inspection-report/provider/CARE/SC398253","Ofsted Social Care Provider Webpage")</f>
        <v>Ofsted Social Care Provider Webpage</v>
      </c>
      <c r="B2838" s="55" t="s">
        <v>5296</v>
      </c>
      <c r="D2838" s="55" t="s">
        <v>373</v>
      </c>
      <c r="E2838" s="74">
        <v>40050</v>
      </c>
      <c r="F2838" s="55" t="s">
        <v>344</v>
      </c>
      <c r="G2838" s="55" t="s">
        <v>360</v>
      </c>
      <c r="H2838" s="55" t="s">
        <v>360</v>
      </c>
      <c r="I2838" s="55" t="s">
        <v>360</v>
      </c>
      <c r="J2838" s="55" t="s">
        <v>360</v>
      </c>
      <c r="K2838" s="55" t="s">
        <v>360</v>
      </c>
      <c r="L2838" s="55" t="s">
        <v>360</v>
      </c>
      <c r="M2838" s="55" t="s">
        <v>144</v>
      </c>
      <c r="N2838" s="55" t="s">
        <v>144</v>
      </c>
      <c r="O2838" s="55" t="s">
        <v>168</v>
      </c>
      <c r="P2838" s="55" t="s">
        <v>913</v>
      </c>
      <c r="Q2838" s="55" t="s">
        <v>350</v>
      </c>
      <c r="R2838" s="85">
        <v>5</v>
      </c>
      <c r="S2838" s="55">
        <v>0</v>
      </c>
      <c r="T2838" s="74" t="s">
        <v>2358</v>
      </c>
      <c r="U2838" s="74" t="s">
        <v>351</v>
      </c>
      <c r="V2838" s="74">
        <v>44328</v>
      </c>
      <c r="W2838" s="74">
        <v>44368</v>
      </c>
      <c r="X2838" s="55">
        <v>10187594</v>
      </c>
      <c r="Y2838" s="55" t="s">
        <v>132</v>
      </c>
      <c r="AB2838" s="74" t="s">
        <v>132</v>
      </c>
      <c r="AC2838" s="55" t="s">
        <v>132</v>
      </c>
      <c r="AL2838" s="74"/>
      <c r="AM2838" s="74"/>
      <c r="AW2838" s="74"/>
      <c r="AX2838" s="74"/>
    </row>
    <row r="2839" spans="1:50" ht="13" x14ac:dyDescent="0.15">
      <c r="A2839" s="55" t="str">
        <f>HYPERLINK("http://reports.ofsted.gov.uk/inspection-reports/find-inspection-report/provider/CARE/SC398377","Ofsted Social Care Provider Webpage")</f>
        <v>Ofsted Social Care Provider Webpage</v>
      </c>
      <c r="B2839" s="55" t="s">
        <v>5297</v>
      </c>
      <c r="D2839" s="55" t="s">
        <v>373</v>
      </c>
      <c r="E2839" s="74">
        <v>40015</v>
      </c>
      <c r="F2839" s="55" t="s">
        <v>344</v>
      </c>
      <c r="G2839" s="55" t="s">
        <v>360</v>
      </c>
      <c r="H2839" s="55" t="s">
        <v>360</v>
      </c>
      <c r="I2839" s="55" t="s">
        <v>360</v>
      </c>
      <c r="J2839" s="55" t="s">
        <v>360</v>
      </c>
      <c r="K2839" s="55" t="s">
        <v>360</v>
      </c>
      <c r="L2839" s="55" t="s">
        <v>360</v>
      </c>
      <c r="M2839" s="55" t="s">
        <v>142</v>
      </c>
      <c r="N2839" s="55" t="s">
        <v>142</v>
      </c>
      <c r="O2839" s="55" t="s">
        <v>272</v>
      </c>
      <c r="P2839" s="55" t="s">
        <v>1291</v>
      </c>
      <c r="Q2839" s="55" t="s">
        <v>350</v>
      </c>
      <c r="R2839" s="85">
        <v>4</v>
      </c>
      <c r="S2839" s="55">
        <v>0</v>
      </c>
      <c r="T2839" s="74" t="s">
        <v>1253</v>
      </c>
      <c r="U2839" s="74" t="s">
        <v>351</v>
      </c>
      <c r="V2839" s="74">
        <v>44412</v>
      </c>
      <c r="W2839" s="74">
        <v>44459</v>
      </c>
      <c r="X2839" s="55">
        <v>10187082</v>
      </c>
      <c r="Y2839" s="55" t="s">
        <v>132</v>
      </c>
      <c r="AB2839" s="74" t="s">
        <v>130</v>
      </c>
      <c r="AC2839" s="55" t="s">
        <v>132</v>
      </c>
      <c r="AL2839" s="74"/>
      <c r="AM2839" s="74"/>
    </row>
    <row r="2840" spans="1:50" ht="13" x14ac:dyDescent="0.15">
      <c r="A2840" s="55" t="str">
        <f>HYPERLINK("http://reports.ofsted.gov.uk/inspection-reports/find-inspection-report/provider/CARE/SC398385","Ofsted Social Care Provider Webpage")</f>
        <v>Ofsted Social Care Provider Webpage</v>
      </c>
      <c r="B2840" s="55" t="s">
        <v>6753</v>
      </c>
      <c r="D2840" s="55" t="s">
        <v>373</v>
      </c>
      <c r="E2840" s="74">
        <v>40014</v>
      </c>
      <c r="F2840" s="55" t="s">
        <v>6707</v>
      </c>
      <c r="G2840" s="55" t="s">
        <v>360</v>
      </c>
      <c r="H2840" s="55" t="s">
        <v>360</v>
      </c>
      <c r="I2840" s="55" t="s">
        <v>360</v>
      </c>
      <c r="J2840" s="55" t="s">
        <v>360</v>
      </c>
      <c r="K2840" s="55" t="s">
        <v>360</v>
      </c>
      <c r="L2840" s="55" t="s">
        <v>360</v>
      </c>
      <c r="M2840" s="55" t="s">
        <v>142</v>
      </c>
      <c r="N2840" s="55" t="s">
        <v>142</v>
      </c>
      <c r="O2840" s="55" t="s">
        <v>262</v>
      </c>
      <c r="P2840" s="55" t="s">
        <v>692</v>
      </c>
      <c r="Q2840" s="55" t="s">
        <v>350</v>
      </c>
      <c r="R2840" s="85">
        <v>3</v>
      </c>
      <c r="S2840" s="55">
        <v>0</v>
      </c>
      <c r="T2840" s="74" t="s">
        <v>1253</v>
      </c>
      <c r="U2840" s="74" t="s">
        <v>351</v>
      </c>
      <c r="V2840" s="74">
        <v>44321</v>
      </c>
      <c r="W2840" s="74">
        <v>44358</v>
      </c>
      <c r="X2840" s="55">
        <v>10185148</v>
      </c>
      <c r="Y2840" s="55" t="s">
        <v>130</v>
      </c>
      <c r="AB2840" s="74" t="s">
        <v>130</v>
      </c>
      <c r="AC2840" s="55" t="s">
        <v>130</v>
      </c>
      <c r="AL2840" s="74"/>
      <c r="AM2840" s="74"/>
    </row>
    <row r="2841" spans="1:50" ht="13" x14ac:dyDescent="0.15">
      <c r="A2841" s="55" t="str">
        <f>HYPERLINK("http://reports.ofsted.gov.uk/inspection-reports/find-inspection-report/provider/CARE/SC398386","Ofsted Social Care Provider Webpage")</f>
        <v>Ofsted Social Care Provider Webpage</v>
      </c>
      <c r="B2841" s="55" t="s">
        <v>5298</v>
      </c>
      <c r="D2841" s="55" t="s">
        <v>373</v>
      </c>
      <c r="E2841" s="74">
        <v>40015</v>
      </c>
      <c r="F2841" s="55" t="s">
        <v>344</v>
      </c>
      <c r="G2841" s="55" t="s">
        <v>360</v>
      </c>
      <c r="H2841" s="55" t="s">
        <v>360</v>
      </c>
      <c r="I2841" s="55" t="s">
        <v>360</v>
      </c>
      <c r="J2841" s="55" t="s">
        <v>360</v>
      </c>
      <c r="K2841" s="55" t="s">
        <v>360</v>
      </c>
      <c r="L2841" s="55" t="s">
        <v>360</v>
      </c>
      <c r="M2841" s="55" t="s">
        <v>142</v>
      </c>
      <c r="N2841" s="55" t="s">
        <v>142</v>
      </c>
      <c r="O2841" s="55" t="s">
        <v>272</v>
      </c>
      <c r="P2841" s="55" t="s">
        <v>653</v>
      </c>
      <c r="Q2841" s="55" t="s">
        <v>350</v>
      </c>
      <c r="R2841" s="85">
        <v>4</v>
      </c>
      <c r="S2841" s="55">
        <v>0</v>
      </c>
      <c r="T2841" s="74" t="s">
        <v>1253</v>
      </c>
      <c r="U2841" s="74" t="s">
        <v>351</v>
      </c>
      <c r="V2841" s="74">
        <v>44461</v>
      </c>
      <c r="W2841" s="74">
        <v>44518</v>
      </c>
      <c r="X2841" s="55">
        <v>10187145</v>
      </c>
      <c r="Y2841" s="55" t="s">
        <v>132</v>
      </c>
      <c r="AB2841" s="74" t="s">
        <v>132</v>
      </c>
      <c r="AC2841" s="55" t="s">
        <v>132</v>
      </c>
      <c r="AL2841" s="74"/>
      <c r="AM2841" s="74"/>
    </row>
    <row r="2842" spans="1:50" ht="13" x14ac:dyDescent="0.15">
      <c r="A2842" s="55" t="str">
        <f>HYPERLINK("http://reports.ofsted.gov.uk/inspection-reports/find-inspection-report/provider/CARE/SC398387","Ofsted Social Care Provider Webpage")</f>
        <v>Ofsted Social Care Provider Webpage</v>
      </c>
      <c r="B2842" s="55" t="s">
        <v>5299</v>
      </c>
      <c r="D2842" s="55" t="s">
        <v>389</v>
      </c>
      <c r="E2842" s="74">
        <v>40007</v>
      </c>
      <c r="F2842" s="55" t="s">
        <v>344</v>
      </c>
      <c r="G2842" s="55" t="s">
        <v>5300</v>
      </c>
      <c r="H2842" s="55" t="s">
        <v>5301</v>
      </c>
      <c r="I2842" s="55" t="s">
        <v>354</v>
      </c>
      <c r="J2842" s="55" t="s">
        <v>5302</v>
      </c>
      <c r="K2842" s="55" t="s">
        <v>252</v>
      </c>
      <c r="L2842" s="55" t="s">
        <v>5303</v>
      </c>
      <c r="M2842" s="55" t="s">
        <v>142</v>
      </c>
      <c r="N2842" s="55" t="s">
        <v>142</v>
      </c>
      <c r="O2842" s="55" t="s">
        <v>262</v>
      </c>
      <c r="P2842" s="55" t="s">
        <v>523</v>
      </c>
      <c r="Q2842" s="55" t="s">
        <v>350</v>
      </c>
      <c r="S2842" s="55">
        <v>0</v>
      </c>
      <c r="T2842" s="74" t="s">
        <v>1253</v>
      </c>
      <c r="U2842" s="74" t="s">
        <v>351</v>
      </c>
      <c r="V2842" s="74">
        <v>44487</v>
      </c>
      <c r="W2842" s="74">
        <v>44538</v>
      </c>
      <c r="X2842" s="55">
        <v>10183432</v>
      </c>
      <c r="Y2842" s="55" t="s">
        <v>132</v>
      </c>
      <c r="AB2842" s="74" t="s">
        <v>132</v>
      </c>
      <c r="AC2842" s="55" t="s">
        <v>130</v>
      </c>
      <c r="AL2842" s="74"/>
      <c r="AM2842" s="74"/>
    </row>
    <row r="2843" spans="1:50" ht="13" x14ac:dyDescent="0.15">
      <c r="A2843" s="55" t="str">
        <f>HYPERLINK("http://reports.ofsted.gov.uk/inspection-reports/find-inspection-report/provider/CARE/SC398391","Ofsted Social Care Provider Webpage")</f>
        <v>Ofsted Social Care Provider Webpage</v>
      </c>
      <c r="B2843" s="55" t="s">
        <v>5304</v>
      </c>
      <c r="D2843" s="55" t="s">
        <v>373</v>
      </c>
      <c r="E2843" s="74">
        <v>40015</v>
      </c>
      <c r="F2843" s="55" t="s">
        <v>344</v>
      </c>
      <c r="G2843" s="55" t="s">
        <v>360</v>
      </c>
      <c r="H2843" s="55" t="s">
        <v>360</v>
      </c>
      <c r="I2843" s="55" t="s">
        <v>360</v>
      </c>
      <c r="J2843" s="55" t="s">
        <v>360</v>
      </c>
      <c r="K2843" s="55" t="s">
        <v>360</v>
      </c>
      <c r="L2843" s="55" t="s">
        <v>360</v>
      </c>
      <c r="M2843" s="55" t="s">
        <v>142</v>
      </c>
      <c r="N2843" s="55" t="s">
        <v>142</v>
      </c>
      <c r="O2843" s="55" t="s">
        <v>252</v>
      </c>
      <c r="P2843" s="55" t="s">
        <v>653</v>
      </c>
      <c r="Q2843" s="55" t="s">
        <v>350</v>
      </c>
      <c r="R2843" s="85">
        <v>3</v>
      </c>
      <c r="S2843" s="55">
        <v>0</v>
      </c>
      <c r="T2843" s="74" t="s">
        <v>1253</v>
      </c>
      <c r="U2843" s="74" t="s">
        <v>351</v>
      </c>
      <c r="V2843" s="74">
        <v>44425</v>
      </c>
      <c r="W2843" s="74">
        <v>44463</v>
      </c>
      <c r="X2843" s="55">
        <v>10187312</v>
      </c>
      <c r="Y2843" s="55" t="s">
        <v>132</v>
      </c>
      <c r="AB2843" s="74" t="s">
        <v>130</v>
      </c>
      <c r="AC2843" s="55" t="s">
        <v>132</v>
      </c>
      <c r="AL2843" s="74"/>
      <c r="AM2843" s="74"/>
    </row>
    <row r="2844" spans="1:50" ht="13" x14ac:dyDescent="0.15">
      <c r="A2844" s="55" t="str">
        <f>HYPERLINK("http://reports.ofsted.gov.uk/inspection-reports/find-inspection-report/provider/CARE/SC398393","Ofsted Social Care Provider Webpage")</f>
        <v>Ofsted Social Care Provider Webpage</v>
      </c>
      <c r="B2844" s="55" t="s">
        <v>5305</v>
      </c>
      <c r="D2844" s="55" t="s">
        <v>373</v>
      </c>
      <c r="E2844" s="74">
        <v>40015</v>
      </c>
      <c r="F2844" s="55" t="s">
        <v>344</v>
      </c>
      <c r="G2844" s="55" t="s">
        <v>360</v>
      </c>
      <c r="H2844" s="55" t="s">
        <v>360</v>
      </c>
      <c r="I2844" s="55" t="s">
        <v>360</v>
      </c>
      <c r="J2844" s="55" t="s">
        <v>360</v>
      </c>
      <c r="K2844" s="55" t="s">
        <v>360</v>
      </c>
      <c r="L2844" s="55" t="s">
        <v>360</v>
      </c>
      <c r="M2844" s="55" t="s">
        <v>142</v>
      </c>
      <c r="N2844" s="55" t="s">
        <v>142</v>
      </c>
      <c r="O2844" s="55" t="s">
        <v>252</v>
      </c>
      <c r="P2844" s="55" t="s">
        <v>503</v>
      </c>
      <c r="Q2844" s="55" t="s">
        <v>350</v>
      </c>
      <c r="R2844" s="85">
        <v>3</v>
      </c>
      <c r="S2844" s="55">
        <v>0</v>
      </c>
      <c r="T2844" s="74" t="s">
        <v>1253</v>
      </c>
      <c r="U2844" s="74" t="s">
        <v>351</v>
      </c>
      <c r="V2844" s="74">
        <v>44397</v>
      </c>
      <c r="W2844" s="74">
        <v>44454</v>
      </c>
      <c r="X2844" s="55">
        <v>10185925</v>
      </c>
      <c r="Y2844" s="55" t="s">
        <v>132</v>
      </c>
      <c r="AB2844" s="74" t="s">
        <v>132</v>
      </c>
      <c r="AC2844" s="55" t="s">
        <v>132</v>
      </c>
      <c r="AL2844" s="74"/>
      <c r="AM2844" s="74"/>
    </row>
    <row r="2845" spans="1:50" ht="13" x14ac:dyDescent="0.15">
      <c r="A2845" s="55" t="str">
        <f>HYPERLINK("http://reports.ofsted.gov.uk/inspection-reports/find-inspection-report/provider/CARE/SC398480","Ofsted Social Care Provider Webpage")</f>
        <v>Ofsted Social Care Provider Webpage</v>
      </c>
      <c r="B2845" s="55" t="s">
        <v>5306</v>
      </c>
      <c r="D2845" s="55" t="s">
        <v>373</v>
      </c>
      <c r="E2845" s="74">
        <v>40015</v>
      </c>
      <c r="F2845" s="55" t="s">
        <v>344</v>
      </c>
      <c r="G2845" s="55" t="s">
        <v>360</v>
      </c>
      <c r="H2845" s="55" t="s">
        <v>360</v>
      </c>
      <c r="I2845" s="55" t="s">
        <v>360</v>
      </c>
      <c r="J2845" s="55" t="s">
        <v>360</v>
      </c>
      <c r="K2845" s="55" t="s">
        <v>360</v>
      </c>
      <c r="L2845" s="55" t="s">
        <v>360</v>
      </c>
      <c r="M2845" s="55" t="s">
        <v>142</v>
      </c>
      <c r="N2845" s="55" t="s">
        <v>142</v>
      </c>
      <c r="O2845" s="55" t="s">
        <v>272</v>
      </c>
      <c r="P2845" s="55" t="s">
        <v>653</v>
      </c>
      <c r="Q2845" s="55" t="s">
        <v>350</v>
      </c>
      <c r="R2845" s="85">
        <v>5</v>
      </c>
      <c r="S2845" s="55">
        <v>0</v>
      </c>
      <c r="T2845" s="74" t="s">
        <v>1253</v>
      </c>
      <c r="U2845" s="74" t="s">
        <v>351</v>
      </c>
      <c r="V2845" s="74">
        <v>44376</v>
      </c>
      <c r="W2845" s="74">
        <v>44435</v>
      </c>
      <c r="X2845" s="55">
        <v>10185208</v>
      </c>
      <c r="Y2845" s="55" t="s">
        <v>132</v>
      </c>
      <c r="AB2845" s="74" t="s">
        <v>132</v>
      </c>
      <c r="AC2845" s="55" t="s">
        <v>132</v>
      </c>
      <c r="AL2845" s="74"/>
      <c r="AM2845" s="74"/>
    </row>
    <row r="2846" spans="1:50" ht="13" x14ac:dyDescent="0.15">
      <c r="A2846" s="55" t="str">
        <f>HYPERLINK("http://reports.ofsted.gov.uk/inspection-reports/find-inspection-report/provider/CARE/SC398481","Ofsted Social Care Provider Webpage")</f>
        <v>Ofsted Social Care Provider Webpage</v>
      </c>
      <c r="B2846" s="55" t="s">
        <v>5307</v>
      </c>
      <c r="D2846" s="55" t="s">
        <v>373</v>
      </c>
      <c r="E2846" s="74">
        <v>40015</v>
      </c>
      <c r="F2846" s="55" t="s">
        <v>344</v>
      </c>
      <c r="G2846" s="55" t="s">
        <v>360</v>
      </c>
      <c r="H2846" s="55" t="s">
        <v>360</v>
      </c>
      <c r="I2846" s="55" t="s">
        <v>360</v>
      </c>
      <c r="J2846" s="55" t="s">
        <v>360</v>
      </c>
      <c r="K2846" s="55" t="s">
        <v>360</v>
      </c>
      <c r="L2846" s="55" t="s">
        <v>360</v>
      </c>
      <c r="M2846" s="55" t="s">
        <v>142</v>
      </c>
      <c r="N2846" s="55" t="s">
        <v>142</v>
      </c>
      <c r="O2846" s="55" t="s">
        <v>262</v>
      </c>
      <c r="P2846" s="55" t="s">
        <v>523</v>
      </c>
      <c r="Q2846" s="55" t="s">
        <v>350</v>
      </c>
      <c r="R2846" s="85">
        <v>5</v>
      </c>
      <c r="S2846" s="55">
        <v>0</v>
      </c>
      <c r="T2846" s="74" t="s">
        <v>1253</v>
      </c>
      <c r="U2846" s="74" t="s">
        <v>6703</v>
      </c>
      <c r="V2846" s="74">
        <v>44517</v>
      </c>
      <c r="W2846" s="74">
        <v>44572</v>
      </c>
      <c r="X2846" s="55">
        <v>10214334</v>
      </c>
      <c r="Y2846" s="55" t="s">
        <v>6704</v>
      </c>
      <c r="AL2846" s="74"/>
      <c r="AM2846" s="74"/>
    </row>
    <row r="2847" spans="1:50" ht="13" x14ac:dyDescent="0.15">
      <c r="A2847" s="55" t="str">
        <f>HYPERLINK("http://reports.ofsted.gov.uk/inspection-reports/find-inspection-report/provider/CARE/SC398481","Ofsted Social Care Provider Webpage")</f>
        <v>Ofsted Social Care Provider Webpage</v>
      </c>
      <c r="B2847" s="55" t="s">
        <v>5307</v>
      </c>
      <c r="D2847" s="55" t="s">
        <v>373</v>
      </c>
      <c r="E2847" s="74">
        <v>40015</v>
      </c>
      <c r="F2847" s="55" t="s">
        <v>344</v>
      </c>
      <c r="G2847" s="55" t="s">
        <v>360</v>
      </c>
      <c r="H2847" s="55" t="s">
        <v>360</v>
      </c>
      <c r="I2847" s="55" t="s">
        <v>360</v>
      </c>
      <c r="J2847" s="55" t="s">
        <v>360</v>
      </c>
      <c r="K2847" s="55" t="s">
        <v>360</v>
      </c>
      <c r="L2847" s="55" t="s">
        <v>360</v>
      </c>
      <c r="M2847" s="55" t="s">
        <v>142</v>
      </c>
      <c r="N2847" s="55" t="s">
        <v>142</v>
      </c>
      <c r="O2847" s="55" t="s">
        <v>262</v>
      </c>
      <c r="P2847" s="55" t="s">
        <v>523</v>
      </c>
      <c r="Q2847" s="55" t="s">
        <v>350</v>
      </c>
      <c r="R2847" s="85">
        <v>5</v>
      </c>
      <c r="S2847" s="55">
        <v>0</v>
      </c>
      <c r="T2847" s="74" t="s">
        <v>1253</v>
      </c>
      <c r="U2847" s="74" t="s">
        <v>351</v>
      </c>
      <c r="V2847" s="74">
        <v>44361</v>
      </c>
      <c r="W2847" s="74">
        <v>44405</v>
      </c>
      <c r="X2847" s="55">
        <v>10187453</v>
      </c>
      <c r="Y2847" s="55" t="s">
        <v>132</v>
      </c>
      <c r="AB2847" s="74" t="s">
        <v>132</v>
      </c>
      <c r="AC2847" s="55" t="s">
        <v>130</v>
      </c>
      <c r="AL2847" s="74"/>
      <c r="AM2847" s="74"/>
      <c r="AW2847" s="74"/>
      <c r="AX2847" s="74"/>
    </row>
    <row r="2848" spans="1:50" ht="13" x14ac:dyDescent="0.15">
      <c r="A2848" s="55" t="str">
        <f>HYPERLINK("http://reports.ofsted.gov.uk/inspection-reports/find-inspection-report/provider/CARE/SC398481","Ofsted Social Care Provider Webpage")</f>
        <v>Ofsted Social Care Provider Webpage</v>
      </c>
      <c r="B2848" s="55" t="s">
        <v>5307</v>
      </c>
      <c r="D2848" s="55" t="s">
        <v>373</v>
      </c>
      <c r="E2848" s="74">
        <v>40015</v>
      </c>
      <c r="F2848" s="55" t="s">
        <v>344</v>
      </c>
      <c r="G2848" s="55" t="s">
        <v>360</v>
      </c>
      <c r="H2848" s="55" t="s">
        <v>360</v>
      </c>
      <c r="I2848" s="55" t="s">
        <v>360</v>
      </c>
      <c r="J2848" s="55" t="s">
        <v>360</v>
      </c>
      <c r="K2848" s="55" t="s">
        <v>360</v>
      </c>
      <c r="L2848" s="55" t="s">
        <v>360</v>
      </c>
      <c r="M2848" s="55" t="s">
        <v>142</v>
      </c>
      <c r="N2848" s="55" t="s">
        <v>142</v>
      </c>
      <c r="O2848" s="55" t="s">
        <v>262</v>
      </c>
      <c r="P2848" s="55" t="s">
        <v>523</v>
      </c>
      <c r="Q2848" s="55" t="s">
        <v>350</v>
      </c>
      <c r="R2848" s="85">
        <v>5</v>
      </c>
      <c r="S2848" s="55">
        <v>0</v>
      </c>
      <c r="T2848" s="74" t="s">
        <v>1253</v>
      </c>
      <c r="U2848" s="74" t="s">
        <v>2053</v>
      </c>
      <c r="V2848" s="74">
        <v>44566</v>
      </c>
      <c r="W2848" s="74">
        <v>44601</v>
      </c>
      <c r="X2848" s="55">
        <v>10216421</v>
      </c>
      <c r="AL2848" s="74"/>
      <c r="AM2848" s="74"/>
      <c r="AW2848" s="74"/>
      <c r="AX2848" s="74"/>
    </row>
    <row r="2849" spans="1:50" ht="13" x14ac:dyDescent="0.15">
      <c r="A2849" s="55" t="str">
        <f>HYPERLINK("http://reports.ofsted.gov.uk/inspection-reports/find-inspection-report/provider/CARE/SC398482","Ofsted Social Care Provider Webpage")</f>
        <v>Ofsted Social Care Provider Webpage</v>
      </c>
      <c r="B2849" s="55" t="s">
        <v>5308</v>
      </c>
      <c r="D2849" s="55" t="s">
        <v>373</v>
      </c>
      <c r="E2849" s="74">
        <v>40014</v>
      </c>
      <c r="F2849" s="55" t="s">
        <v>344</v>
      </c>
      <c r="G2849" s="55" t="s">
        <v>360</v>
      </c>
      <c r="H2849" s="55" t="s">
        <v>360</v>
      </c>
      <c r="I2849" s="55" t="s">
        <v>360</v>
      </c>
      <c r="J2849" s="55" t="s">
        <v>360</v>
      </c>
      <c r="K2849" s="55" t="s">
        <v>360</v>
      </c>
      <c r="L2849" s="55" t="s">
        <v>360</v>
      </c>
      <c r="M2849" s="55" t="s">
        <v>142</v>
      </c>
      <c r="N2849" s="55" t="s">
        <v>142</v>
      </c>
      <c r="O2849" s="55" t="s">
        <v>262</v>
      </c>
      <c r="P2849" s="55" t="s">
        <v>692</v>
      </c>
      <c r="Q2849" s="55" t="s">
        <v>350</v>
      </c>
      <c r="R2849" s="85">
        <v>4</v>
      </c>
      <c r="S2849" s="55">
        <v>0</v>
      </c>
      <c r="T2849" s="74" t="s">
        <v>1253</v>
      </c>
      <c r="U2849" s="74" t="s">
        <v>351</v>
      </c>
      <c r="V2849" s="74">
        <v>44426</v>
      </c>
      <c r="W2849" s="74">
        <v>44463</v>
      </c>
      <c r="X2849" s="55">
        <v>10185132</v>
      </c>
      <c r="Y2849" s="55" t="s">
        <v>140</v>
      </c>
      <c r="AB2849" s="74" t="s">
        <v>140</v>
      </c>
      <c r="AC2849" s="55" t="s">
        <v>140</v>
      </c>
      <c r="AL2849" s="74"/>
      <c r="AM2849" s="74"/>
      <c r="AW2849" s="74"/>
      <c r="AX2849" s="74"/>
    </row>
    <row r="2850" spans="1:50" ht="13" x14ac:dyDescent="0.15">
      <c r="A2850" s="55" t="str">
        <f>HYPERLINK("http://reports.ofsted.gov.uk/inspection-reports/find-inspection-report/provider/CARE/SC399219","Ofsted Social Care Provider Webpage")</f>
        <v>Ofsted Social Care Provider Webpage</v>
      </c>
      <c r="B2850" s="55" t="s">
        <v>5314</v>
      </c>
      <c r="D2850" s="55" t="s">
        <v>451</v>
      </c>
      <c r="E2850" s="74">
        <v>40095</v>
      </c>
      <c r="F2850" s="55" t="s">
        <v>344</v>
      </c>
      <c r="G2850" s="55" t="s">
        <v>5315</v>
      </c>
      <c r="H2850" s="55" t="s">
        <v>5316</v>
      </c>
      <c r="I2850" s="55" t="s">
        <v>354</v>
      </c>
      <c r="J2850" s="55" t="s">
        <v>2910</v>
      </c>
      <c r="K2850" s="55" t="s">
        <v>266</v>
      </c>
      <c r="L2850" s="55" t="s">
        <v>5317</v>
      </c>
      <c r="M2850" s="55" t="s">
        <v>138</v>
      </c>
      <c r="N2850" s="55" t="s">
        <v>138</v>
      </c>
      <c r="O2850" s="55" t="s">
        <v>266</v>
      </c>
      <c r="P2850" s="55" t="s">
        <v>2912</v>
      </c>
      <c r="Q2850" s="55" t="s">
        <v>362</v>
      </c>
      <c r="R2850" s="85">
        <v>4</v>
      </c>
      <c r="S2850" s="55">
        <v>0</v>
      </c>
      <c r="T2850" s="74" t="s">
        <v>557</v>
      </c>
      <c r="U2850" s="74" t="s">
        <v>351</v>
      </c>
      <c r="V2850" s="74">
        <v>44594</v>
      </c>
      <c r="W2850" s="74">
        <v>44630</v>
      </c>
      <c r="X2850" s="55">
        <v>10183441</v>
      </c>
      <c r="Y2850" s="55" t="s">
        <v>132</v>
      </c>
      <c r="AB2850" s="74" t="s">
        <v>132</v>
      </c>
      <c r="AC2850" s="55" t="s">
        <v>132</v>
      </c>
      <c r="AL2850" s="74"/>
      <c r="AM2850" s="74"/>
      <c r="AW2850" s="74"/>
      <c r="AX2850" s="74"/>
    </row>
    <row r="2851" spans="1:50" ht="13" x14ac:dyDescent="0.15">
      <c r="A2851" s="55" t="str">
        <f>HYPERLINK("http://reports.ofsted.gov.uk/inspection-reports/find-inspection-report/provider/CARE/SC399586","Ofsted Social Care Provider Webpage")</f>
        <v>Ofsted Social Care Provider Webpage</v>
      </c>
      <c r="B2851" s="55" t="s">
        <v>5319</v>
      </c>
      <c r="D2851" s="55" t="s">
        <v>373</v>
      </c>
      <c r="E2851" s="74">
        <v>40416</v>
      </c>
      <c r="F2851" s="55" t="s">
        <v>344</v>
      </c>
      <c r="G2851" s="55" t="s">
        <v>360</v>
      </c>
      <c r="H2851" s="55" t="s">
        <v>360</v>
      </c>
      <c r="I2851" s="55" t="s">
        <v>360</v>
      </c>
      <c r="J2851" s="55" t="s">
        <v>360</v>
      </c>
      <c r="K2851" s="55" t="s">
        <v>360</v>
      </c>
      <c r="L2851" s="55" t="s">
        <v>360</v>
      </c>
      <c r="M2851" s="55" t="s">
        <v>378</v>
      </c>
      <c r="N2851" s="55" t="s">
        <v>134</v>
      </c>
      <c r="O2851" s="55" t="s">
        <v>175</v>
      </c>
      <c r="P2851" s="55" t="s">
        <v>932</v>
      </c>
      <c r="Q2851" s="55" t="s">
        <v>350</v>
      </c>
      <c r="R2851" s="85">
        <v>2</v>
      </c>
      <c r="S2851" s="55">
        <v>0</v>
      </c>
      <c r="T2851" s="74" t="s">
        <v>933</v>
      </c>
      <c r="U2851" s="74" t="s">
        <v>351</v>
      </c>
      <c r="V2851" s="74">
        <v>44418</v>
      </c>
      <c r="W2851" s="74">
        <v>44449</v>
      </c>
      <c r="X2851" s="55">
        <v>10185055</v>
      </c>
      <c r="Y2851" s="55" t="s">
        <v>132</v>
      </c>
      <c r="AB2851" s="74" t="s">
        <v>132</v>
      </c>
      <c r="AC2851" s="55" t="s">
        <v>130</v>
      </c>
      <c r="AL2851" s="74"/>
      <c r="AM2851" s="74"/>
    </row>
    <row r="2852" spans="1:50" ht="13" x14ac:dyDescent="0.15">
      <c r="A2852" s="55" t="str">
        <f>HYPERLINK("http://reports.ofsted.gov.uk/inspection-reports/find-inspection-report/provider/CARE/SC399586","Ofsted Social Care Provider Webpage")</f>
        <v>Ofsted Social Care Provider Webpage</v>
      </c>
      <c r="B2852" s="55" t="s">
        <v>5319</v>
      </c>
      <c r="D2852" s="55" t="s">
        <v>373</v>
      </c>
      <c r="E2852" s="74">
        <v>40416</v>
      </c>
      <c r="F2852" s="55" t="s">
        <v>344</v>
      </c>
      <c r="G2852" s="55" t="s">
        <v>360</v>
      </c>
      <c r="H2852" s="55" t="s">
        <v>360</v>
      </c>
      <c r="I2852" s="55" t="s">
        <v>360</v>
      </c>
      <c r="J2852" s="55" t="s">
        <v>360</v>
      </c>
      <c r="K2852" s="55" t="s">
        <v>360</v>
      </c>
      <c r="L2852" s="55" t="s">
        <v>360</v>
      </c>
      <c r="M2852" s="55" t="s">
        <v>378</v>
      </c>
      <c r="N2852" s="55" t="s">
        <v>134</v>
      </c>
      <c r="O2852" s="55" t="s">
        <v>175</v>
      </c>
      <c r="P2852" s="55" t="s">
        <v>932</v>
      </c>
      <c r="Q2852" s="55" t="s">
        <v>350</v>
      </c>
      <c r="R2852" s="85">
        <v>2</v>
      </c>
      <c r="S2852" s="55">
        <v>0</v>
      </c>
      <c r="T2852" s="74" t="s">
        <v>933</v>
      </c>
      <c r="U2852" s="74" t="s">
        <v>2053</v>
      </c>
      <c r="V2852" s="74">
        <v>44602</v>
      </c>
      <c r="W2852" s="74">
        <v>44652</v>
      </c>
      <c r="X2852" s="55">
        <v>10220982</v>
      </c>
      <c r="AL2852" s="74"/>
      <c r="AM2852" s="74"/>
      <c r="AW2852" s="74"/>
      <c r="AX2852" s="74"/>
    </row>
    <row r="2853" spans="1:50" ht="13" x14ac:dyDescent="0.15">
      <c r="A2853" s="55" t="str">
        <f>HYPERLINK("http://reports.ofsted.gov.uk/inspection-reports/find-inspection-report/provider/CARE/SC399866","Ofsted Social Care Provider Webpage")</f>
        <v>Ofsted Social Care Provider Webpage</v>
      </c>
      <c r="B2853" s="55" t="s">
        <v>5320</v>
      </c>
      <c r="D2853" s="55" t="s">
        <v>373</v>
      </c>
      <c r="E2853" s="74">
        <v>40066</v>
      </c>
      <c r="F2853" s="55" t="s">
        <v>344</v>
      </c>
      <c r="G2853" s="55" t="s">
        <v>360</v>
      </c>
      <c r="H2853" s="55" t="s">
        <v>360</v>
      </c>
      <c r="I2853" s="55" t="s">
        <v>360</v>
      </c>
      <c r="J2853" s="55" t="s">
        <v>360</v>
      </c>
      <c r="K2853" s="55" t="s">
        <v>360</v>
      </c>
      <c r="L2853" s="55" t="s">
        <v>360</v>
      </c>
      <c r="M2853" s="55" t="s">
        <v>150</v>
      </c>
      <c r="N2853" s="55" t="s">
        <v>150</v>
      </c>
      <c r="O2853" s="55" t="s">
        <v>199</v>
      </c>
      <c r="P2853" s="55" t="s">
        <v>199</v>
      </c>
      <c r="Q2853" s="55" t="s">
        <v>350</v>
      </c>
      <c r="R2853" s="85">
        <v>4</v>
      </c>
      <c r="S2853" s="55">
        <v>0</v>
      </c>
      <c r="T2853" s="74" t="s">
        <v>833</v>
      </c>
      <c r="U2853" s="74" t="s">
        <v>351</v>
      </c>
      <c r="V2853" s="74">
        <v>44504</v>
      </c>
      <c r="W2853" s="74">
        <v>44559</v>
      </c>
      <c r="X2853" s="55">
        <v>10186093</v>
      </c>
      <c r="Y2853" s="55" t="s">
        <v>132</v>
      </c>
      <c r="AB2853" s="74" t="s">
        <v>132</v>
      </c>
      <c r="AC2853" s="55" t="s">
        <v>132</v>
      </c>
      <c r="AL2853" s="74"/>
      <c r="AM2853" s="74"/>
    </row>
    <row r="2854" spans="1:50" ht="13" x14ac:dyDescent="0.15">
      <c r="A2854" s="55" t="str">
        <f>HYPERLINK("http://reports.ofsted.gov.uk/inspection-reports/find-inspection-report/provider/CARE/SC400301","Ofsted Social Care Provider Webpage")</f>
        <v>Ofsted Social Care Provider Webpage</v>
      </c>
      <c r="B2854" s="55" t="s">
        <v>5321</v>
      </c>
      <c r="D2854" s="55" t="s">
        <v>373</v>
      </c>
      <c r="E2854" s="74">
        <v>40077</v>
      </c>
      <c r="F2854" s="55" t="s">
        <v>344</v>
      </c>
      <c r="G2854" s="55" t="s">
        <v>360</v>
      </c>
      <c r="H2854" s="55" t="s">
        <v>360</v>
      </c>
      <c r="I2854" s="55" t="s">
        <v>360</v>
      </c>
      <c r="J2854" s="55" t="s">
        <v>360</v>
      </c>
      <c r="K2854" s="55" t="s">
        <v>360</v>
      </c>
      <c r="L2854" s="55" t="s">
        <v>360</v>
      </c>
      <c r="M2854" s="55" t="s">
        <v>138</v>
      </c>
      <c r="N2854" s="55" t="s">
        <v>138</v>
      </c>
      <c r="O2854" s="55" t="s">
        <v>196</v>
      </c>
      <c r="P2854" s="55" t="s">
        <v>4371</v>
      </c>
      <c r="Q2854" s="55" t="s">
        <v>380</v>
      </c>
      <c r="R2854" s="85">
        <v>5</v>
      </c>
      <c r="S2854" s="55">
        <v>0</v>
      </c>
      <c r="T2854" s="74" t="s">
        <v>2082</v>
      </c>
      <c r="U2854" s="74" t="s">
        <v>351</v>
      </c>
      <c r="V2854" s="74">
        <v>44600</v>
      </c>
      <c r="W2854" s="74">
        <v>44641</v>
      </c>
      <c r="X2854" s="55">
        <v>10187295</v>
      </c>
      <c r="Y2854" s="55" t="s">
        <v>132</v>
      </c>
      <c r="AB2854" s="74" t="s">
        <v>132</v>
      </c>
      <c r="AC2854" s="55" t="s">
        <v>130</v>
      </c>
      <c r="AL2854" s="74"/>
      <c r="AM2854" s="74"/>
      <c r="AW2854" s="74"/>
      <c r="AX2854" s="74"/>
    </row>
    <row r="2855" spans="1:50" ht="13" x14ac:dyDescent="0.15">
      <c r="A2855" s="55" t="str">
        <f>HYPERLINK("http://reports.ofsted.gov.uk/inspection-reports/find-inspection-report/provider/CARE/SC400880","Ofsted Social Care Provider Webpage")</f>
        <v>Ofsted Social Care Provider Webpage</v>
      </c>
      <c r="B2855" s="55" t="s">
        <v>5329</v>
      </c>
      <c r="D2855" s="55" t="s">
        <v>373</v>
      </c>
      <c r="E2855" s="74">
        <v>40081</v>
      </c>
      <c r="F2855" s="55" t="s">
        <v>344</v>
      </c>
      <c r="G2855" s="55" t="s">
        <v>360</v>
      </c>
      <c r="H2855" s="55" t="s">
        <v>360</v>
      </c>
      <c r="I2855" s="55" t="s">
        <v>360</v>
      </c>
      <c r="J2855" s="55" t="s">
        <v>360</v>
      </c>
      <c r="K2855" s="55" t="s">
        <v>360</v>
      </c>
      <c r="L2855" s="55" t="s">
        <v>360</v>
      </c>
      <c r="M2855" s="55" t="s">
        <v>144</v>
      </c>
      <c r="N2855" s="55" t="s">
        <v>144</v>
      </c>
      <c r="O2855" s="55" t="s">
        <v>209</v>
      </c>
      <c r="P2855" s="55" t="s">
        <v>650</v>
      </c>
      <c r="Q2855" s="55" t="s">
        <v>350</v>
      </c>
      <c r="R2855" s="85">
        <v>4</v>
      </c>
      <c r="S2855" s="55">
        <v>0</v>
      </c>
      <c r="T2855" s="74" t="s">
        <v>5330</v>
      </c>
      <c r="U2855" s="74" t="s">
        <v>351</v>
      </c>
      <c r="V2855" s="74">
        <v>44572</v>
      </c>
      <c r="W2855" s="74">
        <v>44614</v>
      </c>
      <c r="X2855" s="55">
        <v>10185474</v>
      </c>
      <c r="Y2855" s="55" t="s">
        <v>132</v>
      </c>
      <c r="AB2855" s="74" t="s">
        <v>132</v>
      </c>
      <c r="AC2855" s="55" t="s">
        <v>130</v>
      </c>
      <c r="AL2855" s="74"/>
      <c r="AM2855" s="74"/>
      <c r="AW2855" s="74"/>
      <c r="AX2855" s="74"/>
    </row>
    <row r="2856" spans="1:50" ht="13" x14ac:dyDescent="0.15">
      <c r="A2856" s="55" t="str">
        <f>HYPERLINK("http://reports.ofsted.gov.uk/inspection-reports/find-inspection-report/provider/CARE/SC400901","Ofsted Social Care Provider Webpage")</f>
        <v>Ofsted Social Care Provider Webpage</v>
      </c>
      <c r="B2856" s="55" t="s">
        <v>5331</v>
      </c>
      <c r="D2856" s="55" t="s">
        <v>373</v>
      </c>
      <c r="E2856" s="74">
        <v>40199</v>
      </c>
      <c r="F2856" s="55" t="s">
        <v>344</v>
      </c>
      <c r="G2856" s="55" t="s">
        <v>360</v>
      </c>
      <c r="H2856" s="55" t="s">
        <v>360</v>
      </c>
      <c r="I2856" s="55" t="s">
        <v>360</v>
      </c>
      <c r="J2856" s="55" t="s">
        <v>360</v>
      </c>
      <c r="K2856" s="55" t="s">
        <v>360</v>
      </c>
      <c r="L2856" s="55" t="s">
        <v>360</v>
      </c>
      <c r="M2856" s="55" t="s">
        <v>138</v>
      </c>
      <c r="N2856" s="55" t="s">
        <v>138</v>
      </c>
      <c r="O2856" s="55" t="s">
        <v>224</v>
      </c>
      <c r="P2856" s="55" t="s">
        <v>1872</v>
      </c>
      <c r="Q2856" s="55" t="s">
        <v>362</v>
      </c>
      <c r="R2856" s="85">
        <v>6</v>
      </c>
      <c r="S2856" s="55">
        <v>0</v>
      </c>
      <c r="T2856" s="74" t="s">
        <v>557</v>
      </c>
      <c r="U2856" s="74" t="s">
        <v>351</v>
      </c>
      <c r="V2856" s="74">
        <v>44572</v>
      </c>
      <c r="W2856" s="74">
        <v>44594</v>
      </c>
      <c r="X2856" s="55">
        <v>10186457</v>
      </c>
      <c r="Y2856" s="55" t="s">
        <v>132</v>
      </c>
      <c r="AB2856" s="74" t="s">
        <v>132</v>
      </c>
      <c r="AC2856" s="55" t="s">
        <v>132</v>
      </c>
      <c r="AL2856" s="74"/>
      <c r="AM2856" s="74"/>
      <c r="AW2856" s="74"/>
      <c r="AX2856" s="74"/>
    </row>
    <row r="2857" spans="1:50" ht="13" x14ac:dyDescent="0.15">
      <c r="A2857" s="55" t="str">
        <f>HYPERLINK("http://reports.ofsted.gov.uk/inspection-reports/find-inspection-report/provider/CARE/SC400955","Ofsted Social Care Provider Webpage")</f>
        <v>Ofsted Social Care Provider Webpage</v>
      </c>
      <c r="B2857" s="55" t="s">
        <v>5332</v>
      </c>
      <c r="D2857" s="55" t="s">
        <v>389</v>
      </c>
      <c r="E2857" s="74">
        <v>40098</v>
      </c>
      <c r="F2857" s="55" t="s">
        <v>344</v>
      </c>
      <c r="G2857" s="55" t="s">
        <v>5333</v>
      </c>
      <c r="H2857" s="55" t="s">
        <v>3396</v>
      </c>
      <c r="I2857" s="55" t="s">
        <v>5334</v>
      </c>
      <c r="J2857" s="55" t="s">
        <v>4670</v>
      </c>
      <c r="K2857" s="55" t="s">
        <v>1746</v>
      </c>
      <c r="L2857" s="55" t="s">
        <v>5335</v>
      </c>
      <c r="M2857" s="55" t="s">
        <v>129</v>
      </c>
      <c r="N2857" s="55" t="s">
        <v>129</v>
      </c>
      <c r="O2857" s="55" t="s">
        <v>182</v>
      </c>
      <c r="P2857" s="55" t="s">
        <v>1660</v>
      </c>
      <c r="Q2857" s="55" t="s">
        <v>350</v>
      </c>
      <c r="S2857" s="55">
        <v>0</v>
      </c>
      <c r="T2857" s="74" t="s">
        <v>5333</v>
      </c>
      <c r="U2857" s="74" t="s">
        <v>2053</v>
      </c>
      <c r="V2857" s="74">
        <v>44448</v>
      </c>
      <c r="W2857" s="74">
        <v>44495</v>
      </c>
      <c r="X2857" s="55">
        <v>10205465</v>
      </c>
      <c r="AL2857" s="74"/>
      <c r="AM2857" s="74"/>
    </row>
    <row r="2858" spans="1:50" ht="13" x14ac:dyDescent="0.15">
      <c r="A2858" s="55" t="str">
        <f>HYPERLINK("http://reports.ofsted.gov.uk/inspection-reports/find-inspection-report/provider/CARE/SC401927","Ofsted Social Care Provider Webpage")</f>
        <v>Ofsted Social Care Provider Webpage</v>
      </c>
      <c r="B2858" s="55" t="s">
        <v>5337</v>
      </c>
      <c r="D2858" s="55" t="s">
        <v>373</v>
      </c>
      <c r="E2858" s="74">
        <v>40225</v>
      </c>
      <c r="F2858" s="55" t="s">
        <v>728</v>
      </c>
      <c r="G2858" s="55" t="s">
        <v>360</v>
      </c>
      <c r="H2858" s="55" t="s">
        <v>360</v>
      </c>
      <c r="I2858" s="55" t="s">
        <v>360</v>
      </c>
      <c r="J2858" s="55" t="s">
        <v>360</v>
      </c>
      <c r="K2858" s="55" t="s">
        <v>360</v>
      </c>
      <c r="L2858" s="55" t="s">
        <v>360</v>
      </c>
      <c r="M2858" s="55" t="s">
        <v>150</v>
      </c>
      <c r="N2858" s="55" t="s">
        <v>150</v>
      </c>
      <c r="O2858" s="55" t="s">
        <v>203</v>
      </c>
      <c r="P2858" s="55" t="s">
        <v>1835</v>
      </c>
      <c r="Q2858" s="55" t="s">
        <v>350</v>
      </c>
      <c r="R2858" s="85">
        <v>4</v>
      </c>
      <c r="S2858" s="55">
        <v>0</v>
      </c>
      <c r="T2858" s="74" t="s">
        <v>564</v>
      </c>
      <c r="U2858" s="74" t="s">
        <v>2053</v>
      </c>
      <c r="V2858" s="74">
        <v>44333</v>
      </c>
      <c r="W2858" s="74">
        <v>44371</v>
      </c>
      <c r="X2858" s="55">
        <v>10192913</v>
      </c>
      <c r="AL2858" s="74"/>
      <c r="AM2858" s="74"/>
      <c r="AW2858" s="74"/>
      <c r="AX2858" s="74"/>
    </row>
    <row r="2859" spans="1:50" ht="13" x14ac:dyDescent="0.15">
      <c r="A2859" s="55" t="str">
        <f>HYPERLINK("http://reports.ofsted.gov.uk/inspection-reports/find-inspection-report/provider/CARE/SC401927","Ofsted Social Care Provider Webpage")</f>
        <v>Ofsted Social Care Provider Webpage</v>
      </c>
      <c r="B2859" s="55" t="s">
        <v>5337</v>
      </c>
      <c r="D2859" s="55" t="s">
        <v>373</v>
      </c>
      <c r="E2859" s="74">
        <v>40225</v>
      </c>
      <c r="F2859" s="55" t="s">
        <v>728</v>
      </c>
      <c r="G2859" s="55" t="s">
        <v>360</v>
      </c>
      <c r="H2859" s="55" t="s">
        <v>360</v>
      </c>
      <c r="I2859" s="55" t="s">
        <v>360</v>
      </c>
      <c r="J2859" s="55" t="s">
        <v>360</v>
      </c>
      <c r="K2859" s="55" t="s">
        <v>360</v>
      </c>
      <c r="L2859" s="55" t="s">
        <v>360</v>
      </c>
      <c r="M2859" s="55" t="s">
        <v>150</v>
      </c>
      <c r="N2859" s="55" t="s">
        <v>150</v>
      </c>
      <c r="O2859" s="55" t="s">
        <v>203</v>
      </c>
      <c r="P2859" s="55" t="s">
        <v>1835</v>
      </c>
      <c r="Q2859" s="55" t="s">
        <v>350</v>
      </c>
      <c r="R2859" s="85">
        <v>4</v>
      </c>
      <c r="S2859" s="55">
        <v>0</v>
      </c>
      <c r="T2859" s="74" t="s">
        <v>564</v>
      </c>
      <c r="U2859" s="74" t="s">
        <v>2053</v>
      </c>
      <c r="V2859" s="74">
        <v>44368</v>
      </c>
      <c r="W2859" s="74">
        <v>44419</v>
      </c>
      <c r="X2859" s="55">
        <v>10197044</v>
      </c>
      <c r="AL2859" s="74"/>
      <c r="AM2859" s="74"/>
      <c r="AW2859" s="74"/>
      <c r="AX2859" s="74"/>
    </row>
    <row r="2860" spans="1:50" ht="13" x14ac:dyDescent="0.15">
      <c r="A2860" s="55" t="str">
        <f>HYPERLINK("http://reports.ofsted.gov.uk/inspection-reports/find-inspection-report/provider/CARE/SC402365","Ofsted Social Care Provider Webpage")</f>
        <v>Ofsted Social Care Provider Webpage</v>
      </c>
      <c r="B2860" s="55" t="s">
        <v>5339</v>
      </c>
      <c r="D2860" s="55" t="s">
        <v>389</v>
      </c>
      <c r="E2860" s="74">
        <v>40150</v>
      </c>
      <c r="F2860" s="55" t="s">
        <v>344</v>
      </c>
      <c r="G2860" s="55" t="s">
        <v>3255</v>
      </c>
      <c r="H2860" s="55" t="s">
        <v>621</v>
      </c>
      <c r="I2860" s="55" t="s">
        <v>5340</v>
      </c>
      <c r="J2860" s="55" t="s">
        <v>5341</v>
      </c>
      <c r="K2860" s="55" t="s">
        <v>3368</v>
      </c>
      <c r="L2860" s="55" t="s">
        <v>5342</v>
      </c>
      <c r="M2860" s="55" t="s">
        <v>378</v>
      </c>
      <c r="N2860" s="55" t="s">
        <v>170</v>
      </c>
      <c r="O2860" s="55" t="s">
        <v>178</v>
      </c>
      <c r="P2860" s="55" t="s">
        <v>1450</v>
      </c>
      <c r="Q2860" s="55" t="s">
        <v>362</v>
      </c>
      <c r="S2860" s="55">
        <v>0</v>
      </c>
      <c r="T2860" s="74" t="s">
        <v>3255</v>
      </c>
      <c r="U2860" s="74" t="s">
        <v>351</v>
      </c>
      <c r="V2860" s="74">
        <v>44494</v>
      </c>
      <c r="W2860" s="74">
        <v>44533</v>
      </c>
      <c r="X2860" s="55">
        <v>10183376</v>
      </c>
      <c r="Y2860" s="55" t="s">
        <v>140</v>
      </c>
      <c r="AB2860" s="74" t="s">
        <v>140</v>
      </c>
      <c r="AC2860" s="55" t="s">
        <v>132</v>
      </c>
      <c r="AL2860" s="74"/>
      <c r="AM2860" s="74"/>
      <c r="AW2860" s="74"/>
      <c r="AX2860" s="74"/>
    </row>
    <row r="2861" spans="1:50" ht="13" x14ac:dyDescent="0.15">
      <c r="A2861" s="55" t="str">
        <f>HYPERLINK("http://reports.ofsted.gov.uk/inspection-reports/find-inspection-report/provider/CARE/SC402370","Ofsted Social Care Provider Webpage")</f>
        <v>Ofsted Social Care Provider Webpage</v>
      </c>
      <c r="B2861" s="55" t="s">
        <v>5343</v>
      </c>
      <c r="D2861" s="55" t="s">
        <v>479</v>
      </c>
      <c r="E2861" s="74">
        <v>40165</v>
      </c>
      <c r="F2861" s="55" t="s">
        <v>344</v>
      </c>
      <c r="G2861" s="55" t="s">
        <v>360</v>
      </c>
      <c r="H2861" s="55" t="s">
        <v>360</v>
      </c>
      <c r="I2861" s="55" t="s">
        <v>360</v>
      </c>
      <c r="J2861" s="55" t="s">
        <v>360</v>
      </c>
      <c r="K2861" s="55" t="s">
        <v>360</v>
      </c>
      <c r="L2861" s="55" t="s">
        <v>360</v>
      </c>
      <c r="M2861" s="55" t="s">
        <v>172</v>
      </c>
      <c r="N2861" s="55" t="s">
        <v>172</v>
      </c>
      <c r="O2861" s="55" t="s">
        <v>235</v>
      </c>
      <c r="P2861" s="55" t="s">
        <v>2338</v>
      </c>
      <c r="Q2861" s="55" t="s">
        <v>350</v>
      </c>
      <c r="R2861" s="85">
        <v>54</v>
      </c>
      <c r="S2861" s="55">
        <v>0</v>
      </c>
      <c r="T2861" s="74" t="s">
        <v>4119</v>
      </c>
      <c r="U2861" s="74" t="s">
        <v>351</v>
      </c>
      <c r="V2861" s="74">
        <v>44537</v>
      </c>
      <c r="W2861" s="74">
        <v>44580</v>
      </c>
      <c r="X2861" s="55">
        <v>10209958</v>
      </c>
      <c r="Y2861" s="55" t="s">
        <v>130</v>
      </c>
      <c r="AB2861" s="74" t="s">
        <v>130</v>
      </c>
      <c r="AC2861" s="55" t="s">
        <v>130</v>
      </c>
      <c r="AL2861" s="74"/>
      <c r="AM2861" s="74"/>
      <c r="AW2861" s="74"/>
      <c r="AX2861" s="74"/>
    </row>
    <row r="2862" spans="1:50" ht="13" x14ac:dyDescent="0.15">
      <c r="A2862" s="55" t="str">
        <f>HYPERLINK("http://reports.ofsted.gov.uk/inspection-reports/find-inspection-report/provider/CARE/SC402370","Ofsted Social Care Provider Webpage")</f>
        <v>Ofsted Social Care Provider Webpage</v>
      </c>
      <c r="B2862" s="55" t="s">
        <v>5343</v>
      </c>
      <c r="D2862" s="55" t="s">
        <v>479</v>
      </c>
      <c r="E2862" s="74">
        <v>40165</v>
      </c>
      <c r="F2862" s="55" t="s">
        <v>344</v>
      </c>
      <c r="G2862" s="55" t="s">
        <v>360</v>
      </c>
      <c r="H2862" s="55" t="s">
        <v>360</v>
      </c>
      <c r="I2862" s="55" t="s">
        <v>360</v>
      </c>
      <c r="J2862" s="55" t="s">
        <v>360</v>
      </c>
      <c r="K2862" s="55" t="s">
        <v>360</v>
      </c>
      <c r="L2862" s="55" t="s">
        <v>360</v>
      </c>
      <c r="M2862" s="55" t="s">
        <v>172</v>
      </c>
      <c r="N2862" s="55" t="s">
        <v>172</v>
      </c>
      <c r="O2862" s="55" t="s">
        <v>235</v>
      </c>
      <c r="P2862" s="55" t="s">
        <v>2338</v>
      </c>
      <c r="Q2862" s="55" t="s">
        <v>350</v>
      </c>
      <c r="R2862" s="85">
        <v>54</v>
      </c>
      <c r="S2862" s="55">
        <v>0</v>
      </c>
      <c r="T2862" s="74" t="s">
        <v>4119</v>
      </c>
      <c r="U2862" s="74" t="s">
        <v>2053</v>
      </c>
      <c r="V2862" s="74">
        <v>44614</v>
      </c>
      <c r="W2862" s="74">
        <v>44652</v>
      </c>
      <c r="X2862" s="55">
        <v>10218383</v>
      </c>
      <c r="AL2862" s="74"/>
      <c r="AM2862" s="74"/>
      <c r="AW2862" s="74"/>
      <c r="AX2862" s="74"/>
    </row>
    <row r="2863" spans="1:50" ht="13" x14ac:dyDescent="0.15">
      <c r="A2863" s="55" t="str">
        <f>HYPERLINK("http://reports.ofsted.gov.uk/inspection-reports/find-inspection-report/provider/CARE/SC402370","Ofsted Social Care Provider Webpage")</f>
        <v>Ofsted Social Care Provider Webpage</v>
      </c>
      <c r="B2863" s="55" t="s">
        <v>5343</v>
      </c>
      <c r="D2863" s="55" t="s">
        <v>479</v>
      </c>
      <c r="E2863" s="74">
        <v>40165</v>
      </c>
      <c r="F2863" s="55" t="s">
        <v>344</v>
      </c>
      <c r="G2863" s="55" t="s">
        <v>360</v>
      </c>
      <c r="H2863" s="55" t="s">
        <v>360</v>
      </c>
      <c r="I2863" s="55" t="s">
        <v>360</v>
      </c>
      <c r="J2863" s="55" t="s">
        <v>360</v>
      </c>
      <c r="K2863" s="55" t="s">
        <v>360</v>
      </c>
      <c r="L2863" s="55" t="s">
        <v>360</v>
      </c>
      <c r="M2863" s="55" t="s">
        <v>172</v>
      </c>
      <c r="N2863" s="55" t="s">
        <v>172</v>
      </c>
      <c r="O2863" s="55" t="s">
        <v>235</v>
      </c>
      <c r="P2863" s="55" t="s">
        <v>2338</v>
      </c>
      <c r="Q2863" s="55" t="s">
        <v>350</v>
      </c>
      <c r="R2863" s="85">
        <v>54</v>
      </c>
      <c r="S2863" s="55">
        <v>0</v>
      </c>
      <c r="T2863" s="74" t="s">
        <v>4119</v>
      </c>
      <c r="U2863" s="74" t="s">
        <v>2053</v>
      </c>
      <c r="V2863" s="74">
        <v>44566</v>
      </c>
      <c r="W2863" s="74">
        <v>44593</v>
      </c>
      <c r="X2863" s="55">
        <v>10217168</v>
      </c>
      <c r="AL2863" s="74"/>
      <c r="AM2863" s="74"/>
      <c r="AW2863" s="74"/>
      <c r="AX2863" s="74"/>
    </row>
    <row r="2864" spans="1:50" ht="13" x14ac:dyDescent="0.15">
      <c r="A2864" s="55" t="str">
        <f>HYPERLINK("http://reports.ofsted.gov.uk/inspection-reports/find-inspection-report/provider/CARE/SC402370","Ofsted Social Care Provider Webpage")</f>
        <v>Ofsted Social Care Provider Webpage</v>
      </c>
      <c r="B2864" s="55" t="s">
        <v>5343</v>
      </c>
      <c r="D2864" s="55" t="s">
        <v>479</v>
      </c>
      <c r="E2864" s="74">
        <v>40165</v>
      </c>
      <c r="F2864" s="55" t="s">
        <v>344</v>
      </c>
      <c r="G2864" s="55" t="s">
        <v>360</v>
      </c>
      <c r="H2864" s="55" t="s">
        <v>360</v>
      </c>
      <c r="I2864" s="55" t="s">
        <v>360</v>
      </c>
      <c r="J2864" s="55" t="s">
        <v>360</v>
      </c>
      <c r="K2864" s="55" t="s">
        <v>360</v>
      </c>
      <c r="L2864" s="55" t="s">
        <v>360</v>
      </c>
      <c r="M2864" s="55" t="s">
        <v>172</v>
      </c>
      <c r="N2864" s="55" t="s">
        <v>172</v>
      </c>
      <c r="O2864" s="55" t="s">
        <v>235</v>
      </c>
      <c r="P2864" s="55" t="s">
        <v>2338</v>
      </c>
      <c r="Q2864" s="55" t="s">
        <v>350</v>
      </c>
      <c r="R2864" s="85">
        <v>54</v>
      </c>
      <c r="S2864" s="55">
        <v>0</v>
      </c>
      <c r="T2864" s="74" t="s">
        <v>4119</v>
      </c>
      <c r="U2864" s="74" t="s">
        <v>351</v>
      </c>
      <c r="V2864" s="74">
        <v>44474</v>
      </c>
      <c r="W2864" s="74">
        <v>44510</v>
      </c>
      <c r="X2864" s="55">
        <v>10185102</v>
      </c>
      <c r="Y2864" s="55" t="s">
        <v>146</v>
      </c>
      <c r="AB2864" s="74" t="s">
        <v>146</v>
      </c>
      <c r="AC2864" s="55" t="s">
        <v>146</v>
      </c>
      <c r="AL2864" s="74"/>
      <c r="AM2864" s="74"/>
    </row>
    <row r="2865" spans="1:50" ht="13" x14ac:dyDescent="0.15">
      <c r="A2865" s="55" t="str">
        <f>HYPERLINK("http://reports.ofsted.gov.uk/inspection-reports/find-inspection-report/provider/CARE/SC402385","Ofsted Social Care Provider Webpage")</f>
        <v>Ofsted Social Care Provider Webpage</v>
      </c>
      <c r="B2865" s="55" t="s">
        <v>5344</v>
      </c>
      <c r="D2865" s="55" t="s">
        <v>373</v>
      </c>
      <c r="E2865" s="74">
        <v>40148</v>
      </c>
      <c r="F2865" s="55" t="s">
        <v>344</v>
      </c>
      <c r="G2865" s="55" t="s">
        <v>360</v>
      </c>
      <c r="H2865" s="55" t="s">
        <v>360</v>
      </c>
      <c r="I2865" s="55" t="s">
        <v>360</v>
      </c>
      <c r="J2865" s="55" t="s">
        <v>360</v>
      </c>
      <c r="K2865" s="55" t="s">
        <v>360</v>
      </c>
      <c r="L2865" s="55" t="s">
        <v>360</v>
      </c>
      <c r="M2865" s="55" t="s">
        <v>142</v>
      </c>
      <c r="N2865" s="55" t="s">
        <v>142</v>
      </c>
      <c r="O2865" s="55" t="s">
        <v>195</v>
      </c>
      <c r="P2865" s="55" t="s">
        <v>747</v>
      </c>
      <c r="Q2865" s="55" t="s">
        <v>350</v>
      </c>
      <c r="R2865" s="85">
        <v>5</v>
      </c>
      <c r="S2865" s="55">
        <v>0</v>
      </c>
      <c r="T2865" s="74" t="s">
        <v>450</v>
      </c>
      <c r="U2865" s="74" t="s">
        <v>6703</v>
      </c>
      <c r="V2865" s="74">
        <v>44593</v>
      </c>
      <c r="W2865" s="74">
        <v>44629</v>
      </c>
      <c r="X2865" s="55">
        <v>10217198</v>
      </c>
      <c r="Y2865" s="55" t="s">
        <v>6709</v>
      </c>
      <c r="AL2865" s="74"/>
      <c r="AM2865" s="74"/>
    </row>
    <row r="2866" spans="1:50" ht="13" x14ac:dyDescent="0.15">
      <c r="A2866" s="55" t="str">
        <f>HYPERLINK("http://reports.ofsted.gov.uk/inspection-reports/find-inspection-report/provider/CARE/SC402385","Ofsted Social Care Provider Webpage")</f>
        <v>Ofsted Social Care Provider Webpage</v>
      </c>
      <c r="B2866" s="55" t="s">
        <v>5344</v>
      </c>
      <c r="D2866" s="55" t="s">
        <v>373</v>
      </c>
      <c r="E2866" s="74">
        <v>40148</v>
      </c>
      <c r="F2866" s="55" t="s">
        <v>344</v>
      </c>
      <c r="G2866" s="55" t="s">
        <v>360</v>
      </c>
      <c r="H2866" s="55" t="s">
        <v>360</v>
      </c>
      <c r="I2866" s="55" t="s">
        <v>360</v>
      </c>
      <c r="J2866" s="55" t="s">
        <v>360</v>
      </c>
      <c r="K2866" s="55" t="s">
        <v>360</v>
      </c>
      <c r="L2866" s="55" t="s">
        <v>360</v>
      </c>
      <c r="M2866" s="55" t="s">
        <v>142</v>
      </c>
      <c r="N2866" s="55" t="s">
        <v>142</v>
      </c>
      <c r="O2866" s="55" t="s">
        <v>195</v>
      </c>
      <c r="P2866" s="55" t="s">
        <v>747</v>
      </c>
      <c r="Q2866" s="55" t="s">
        <v>350</v>
      </c>
      <c r="R2866" s="85">
        <v>5</v>
      </c>
      <c r="S2866" s="55">
        <v>0</v>
      </c>
      <c r="T2866" s="74" t="s">
        <v>450</v>
      </c>
      <c r="U2866" s="74" t="s">
        <v>351</v>
      </c>
      <c r="V2866" s="74">
        <v>44363</v>
      </c>
      <c r="W2866" s="74">
        <v>44404</v>
      </c>
      <c r="X2866" s="55">
        <v>10185887</v>
      </c>
      <c r="Y2866" s="55" t="s">
        <v>130</v>
      </c>
      <c r="AB2866" s="74" t="s">
        <v>130</v>
      </c>
      <c r="AC2866" s="55" t="s">
        <v>130</v>
      </c>
      <c r="AL2866" s="74"/>
      <c r="AM2866" s="74"/>
    </row>
    <row r="2867" spans="1:50" ht="13" x14ac:dyDescent="0.15">
      <c r="A2867" s="55" t="str">
        <f>HYPERLINK("http://reports.ofsted.gov.uk/inspection-reports/find-inspection-report/provider/CARE/SC402406","Ofsted Social Care Provider Webpage")</f>
        <v>Ofsted Social Care Provider Webpage</v>
      </c>
      <c r="B2867" s="55" t="s">
        <v>5345</v>
      </c>
      <c r="D2867" s="55" t="s">
        <v>373</v>
      </c>
      <c r="E2867" s="74">
        <v>40148</v>
      </c>
      <c r="F2867" s="55" t="s">
        <v>344</v>
      </c>
      <c r="G2867" s="55" t="s">
        <v>360</v>
      </c>
      <c r="H2867" s="55" t="s">
        <v>360</v>
      </c>
      <c r="I2867" s="55" t="s">
        <v>360</v>
      </c>
      <c r="J2867" s="55" t="s">
        <v>360</v>
      </c>
      <c r="K2867" s="55" t="s">
        <v>360</v>
      </c>
      <c r="L2867" s="55" t="s">
        <v>360</v>
      </c>
      <c r="M2867" s="55" t="s">
        <v>142</v>
      </c>
      <c r="N2867" s="55" t="s">
        <v>142</v>
      </c>
      <c r="O2867" s="55" t="s">
        <v>195</v>
      </c>
      <c r="P2867" s="55" t="s">
        <v>518</v>
      </c>
      <c r="Q2867" s="55" t="s">
        <v>350</v>
      </c>
      <c r="R2867" s="85">
        <v>3</v>
      </c>
      <c r="S2867" s="55">
        <v>0</v>
      </c>
      <c r="T2867" s="74" t="s">
        <v>450</v>
      </c>
      <c r="U2867" s="74" t="s">
        <v>351</v>
      </c>
      <c r="V2867" s="74">
        <v>44488</v>
      </c>
      <c r="W2867" s="74">
        <v>44537</v>
      </c>
      <c r="X2867" s="55">
        <v>10185688</v>
      </c>
      <c r="Y2867" s="55" t="s">
        <v>132</v>
      </c>
      <c r="AB2867" s="74" t="s">
        <v>132</v>
      </c>
      <c r="AC2867" s="55" t="s">
        <v>132</v>
      </c>
      <c r="AL2867" s="74"/>
      <c r="AM2867" s="74"/>
    </row>
    <row r="2868" spans="1:50" ht="13" x14ac:dyDescent="0.15">
      <c r="A2868" s="55" t="str">
        <f>HYPERLINK("http://reports.ofsted.gov.uk/inspection-reports/find-inspection-report/provider/CARE/SC402426","Ofsted Social Care Provider Webpage")</f>
        <v>Ofsted Social Care Provider Webpage</v>
      </c>
      <c r="B2868" s="55" t="s">
        <v>5346</v>
      </c>
      <c r="D2868" s="55" t="s">
        <v>373</v>
      </c>
      <c r="E2868" s="74">
        <v>40148</v>
      </c>
      <c r="F2868" s="55" t="s">
        <v>344</v>
      </c>
      <c r="G2868" s="55" t="s">
        <v>360</v>
      </c>
      <c r="H2868" s="55" t="s">
        <v>360</v>
      </c>
      <c r="I2868" s="55" t="s">
        <v>360</v>
      </c>
      <c r="J2868" s="55" t="s">
        <v>360</v>
      </c>
      <c r="K2868" s="55" t="s">
        <v>360</v>
      </c>
      <c r="L2868" s="55" t="s">
        <v>360</v>
      </c>
      <c r="M2868" s="55" t="s">
        <v>142</v>
      </c>
      <c r="N2868" s="55" t="s">
        <v>142</v>
      </c>
      <c r="O2868" s="55" t="s">
        <v>195</v>
      </c>
      <c r="P2868" s="55" t="s">
        <v>747</v>
      </c>
      <c r="Q2868" s="55" t="s">
        <v>350</v>
      </c>
      <c r="R2868" s="85">
        <v>5</v>
      </c>
      <c r="S2868" s="55">
        <v>0</v>
      </c>
      <c r="T2868" s="74" t="s">
        <v>450</v>
      </c>
      <c r="U2868" s="74" t="s">
        <v>351</v>
      </c>
      <c r="V2868" s="74">
        <v>44403</v>
      </c>
      <c r="W2868" s="74">
        <v>44446</v>
      </c>
      <c r="X2868" s="55">
        <v>10185850</v>
      </c>
      <c r="Y2868" s="55" t="s">
        <v>132</v>
      </c>
      <c r="AB2868" s="74" t="s">
        <v>132</v>
      </c>
      <c r="AC2868" s="55" t="s">
        <v>132</v>
      </c>
      <c r="AL2868" s="74"/>
      <c r="AM2868" s="74"/>
    </row>
    <row r="2869" spans="1:50" ht="13" x14ac:dyDescent="0.15">
      <c r="A2869" s="55" t="str">
        <f>HYPERLINK("http://reports.ofsted.gov.uk/inspection-reports/find-inspection-report/provider/CARE/SC403234","Ofsted Social Care Provider Webpage")</f>
        <v>Ofsted Social Care Provider Webpage</v>
      </c>
      <c r="B2869" s="55" t="s">
        <v>5353</v>
      </c>
      <c r="D2869" s="55" t="s">
        <v>373</v>
      </c>
      <c r="E2869" s="74">
        <v>40169</v>
      </c>
      <c r="F2869" s="55" t="s">
        <v>344</v>
      </c>
      <c r="G2869" s="55" t="s">
        <v>360</v>
      </c>
      <c r="H2869" s="55" t="s">
        <v>360</v>
      </c>
      <c r="I2869" s="55" t="s">
        <v>360</v>
      </c>
      <c r="J2869" s="55" t="s">
        <v>360</v>
      </c>
      <c r="K2869" s="55" t="s">
        <v>360</v>
      </c>
      <c r="L2869" s="55" t="s">
        <v>360</v>
      </c>
      <c r="M2869" s="55" t="s">
        <v>136</v>
      </c>
      <c r="N2869" s="55" t="s">
        <v>136</v>
      </c>
      <c r="O2869" s="55" t="s">
        <v>174</v>
      </c>
      <c r="P2869" s="55" t="s">
        <v>1010</v>
      </c>
      <c r="Q2869" s="55" t="s">
        <v>350</v>
      </c>
      <c r="R2869" s="85">
        <v>3</v>
      </c>
      <c r="S2869" s="55">
        <v>0</v>
      </c>
      <c r="T2869" s="74" t="s">
        <v>721</v>
      </c>
      <c r="U2869" s="74" t="s">
        <v>351</v>
      </c>
      <c r="V2869" s="74">
        <v>44418</v>
      </c>
      <c r="W2869" s="74">
        <v>44453</v>
      </c>
      <c r="X2869" s="55">
        <v>10186631</v>
      </c>
      <c r="Y2869" s="55" t="s">
        <v>132</v>
      </c>
      <c r="AB2869" s="74" t="s">
        <v>132</v>
      </c>
      <c r="AC2869" s="55" t="s">
        <v>132</v>
      </c>
      <c r="AL2869" s="74"/>
      <c r="AM2869" s="74"/>
    </row>
    <row r="2870" spans="1:50" ht="13" x14ac:dyDescent="0.15">
      <c r="A2870" s="55" t="str">
        <f>HYPERLINK("http://reports.ofsted.gov.uk/inspection-reports/find-inspection-report/provider/CARE/SC403462","Ofsted Social Care Provider Webpage")</f>
        <v>Ofsted Social Care Provider Webpage</v>
      </c>
      <c r="B2870" s="55" t="s">
        <v>5354</v>
      </c>
      <c r="D2870" s="55" t="s">
        <v>373</v>
      </c>
      <c r="E2870" s="74">
        <v>40155</v>
      </c>
      <c r="F2870" s="55" t="s">
        <v>344</v>
      </c>
      <c r="G2870" s="55" t="s">
        <v>360</v>
      </c>
      <c r="H2870" s="55" t="s">
        <v>360</v>
      </c>
      <c r="I2870" s="55" t="s">
        <v>360</v>
      </c>
      <c r="J2870" s="55" t="s">
        <v>360</v>
      </c>
      <c r="K2870" s="55" t="s">
        <v>360</v>
      </c>
      <c r="L2870" s="55" t="s">
        <v>360</v>
      </c>
      <c r="M2870" s="55" t="s">
        <v>144</v>
      </c>
      <c r="N2870" s="55" t="s">
        <v>144</v>
      </c>
      <c r="O2870" s="55" t="s">
        <v>209</v>
      </c>
      <c r="P2870" s="55" t="s">
        <v>1858</v>
      </c>
      <c r="Q2870" s="55" t="s">
        <v>350</v>
      </c>
      <c r="R2870" s="85">
        <v>5</v>
      </c>
      <c r="S2870" s="55">
        <v>0</v>
      </c>
      <c r="T2870" s="74" t="s">
        <v>5355</v>
      </c>
      <c r="U2870" s="74" t="s">
        <v>351</v>
      </c>
      <c r="V2870" s="74">
        <v>44307</v>
      </c>
      <c r="W2870" s="74">
        <v>44355</v>
      </c>
      <c r="X2870" s="55">
        <v>10187654</v>
      </c>
      <c r="Y2870" s="55" t="s">
        <v>132</v>
      </c>
      <c r="AB2870" s="74" t="s">
        <v>132</v>
      </c>
      <c r="AC2870" s="55" t="s">
        <v>132</v>
      </c>
      <c r="AL2870" s="74"/>
      <c r="AM2870" s="74"/>
    </row>
    <row r="2871" spans="1:50" ht="13" x14ac:dyDescent="0.15">
      <c r="A2871" s="55" t="str">
        <f>HYPERLINK("http://reports.ofsted.gov.uk/inspection-reports/find-inspection-report/provider/CARE/SC403464","Ofsted Social Care Provider Webpage")</f>
        <v>Ofsted Social Care Provider Webpage</v>
      </c>
      <c r="B2871" s="55" t="s">
        <v>5356</v>
      </c>
      <c r="D2871" s="55" t="s">
        <v>373</v>
      </c>
      <c r="E2871" s="74">
        <v>40192</v>
      </c>
      <c r="F2871" s="55" t="s">
        <v>344</v>
      </c>
      <c r="G2871" s="55" t="s">
        <v>360</v>
      </c>
      <c r="H2871" s="55" t="s">
        <v>360</v>
      </c>
      <c r="I2871" s="55" t="s">
        <v>360</v>
      </c>
      <c r="J2871" s="55" t="s">
        <v>360</v>
      </c>
      <c r="K2871" s="55" t="s">
        <v>360</v>
      </c>
      <c r="L2871" s="55" t="s">
        <v>360</v>
      </c>
      <c r="M2871" s="55" t="s">
        <v>144</v>
      </c>
      <c r="N2871" s="55" t="s">
        <v>144</v>
      </c>
      <c r="O2871" s="55" t="s">
        <v>245</v>
      </c>
      <c r="P2871" s="55" t="s">
        <v>245</v>
      </c>
      <c r="Q2871" s="55" t="s">
        <v>350</v>
      </c>
      <c r="R2871" s="85">
        <v>2</v>
      </c>
      <c r="S2871" s="55">
        <v>0</v>
      </c>
      <c r="T2871" s="74" t="s">
        <v>5357</v>
      </c>
      <c r="U2871" s="74" t="s">
        <v>351</v>
      </c>
      <c r="V2871" s="74">
        <v>44440</v>
      </c>
      <c r="W2871" s="74">
        <v>44463</v>
      </c>
      <c r="X2871" s="55">
        <v>10186135</v>
      </c>
      <c r="Y2871" s="55" t="s">
        <v>132</v>
      </c>
      <c r="AB2871" s="74" t="s">
        <v>132</v>
      </c>
      <c r="AC2871" s="55" t="s">
        <v>132</v>
      </c>
      <c r="AL2871" s="74"/>
      <c r="AM2871" s="74"/>
    </row>
    <row r="2872" spans="1:50" ht="13" x14ac:dyDescent="0.15">
      <c r="A2872" s="55" t="str">
        <f>HYPERLINK("http://reports.ofsted.gov.uk/inspection-reports/find-inspection-report/provider/CARE/SC403472","Ofsted Social Care Provider Webpage")</f>
        <v>Ofsted Social Care Provider Webpage</v>
      </c>
      <c r="B2872" s="55" t="s">
        <v>5358</v>
      </c>
      <c r="D2872" s="55" t="s">
        <v>373</v>
      </c>
      <c r="E2872" s="74">
        <v>40309</v>
      </c>
      <c r="F2872" s="55" t="s">
        <v>344</v>
      </c>
      <c r="G2872" s="55" t="s">
        <v>360</v>
      </c>
      <c r="H2872" s="55" t="s">
        <v>360</v>
      </c>
      <c r="I2872" s="55" t="s">
        <v>360</v>
      </c>
      <c r="J2872" s="55" t="s">
        <v>360</v>
      </c>
      <c r="K2872" s="55" t="s">
        <v>360</v>
      </c>
      <c r="L2872" s="55" t="s">
        <v>360</v>
      </c>
      <c r="M2872" s="55" t="s">
        <v>378</v>
      </c>
      <c r="N2872" s="55" t="s">
        <v>170</v>
      </c>
      <c r="O2872" s="55" t="s">
        <v>222</v>
      </c>
      <c r="P2872" s="55" t="s">
        <v>3131</v>
      </c>
      <c r="Q2872" s="55" t="s">
        <v>350</v>
      </c>
      <c r="R2872" s="85">
        <v>3</v>
      </c>
      <c r="S2872" s="55">
        <v>0</v>
      </c>
      <c r="T2872" s="74" t="s">
        <v>677</v>
      </c>
      <c r="U2872" s="74" t="s">
        <v>351</v>
      </c>
      <c r="V2872" s="74">
        <v>44531</v>
      </c>
      <c r="W2872" s="74">
        <v>44578</v>
      </c>
      <c r="X2872" s="55">
        <v>10187194</v>
      </c>
      <c r="Y2872" s="55" t="s">
        <v>132</v>
      </c>
      <c r="AB2872" s="74" t="s">
        <v>132</v>
      </c>
      <c r="AC2872" s="55" t="s">
        <v>132</v>
      </c>
      <c r="AL2872" s="74"/>
      <c r="AM2872" s="74"/>
    </row>
    <row r="2873" spans="1:50" ht="13" x14ac:dyDescent="0.15">
      <c r="A2873" s="55" t="str">
        <f>HYPERLINK("http://reports.ofsted.gov.uk/inspection-reports/find-inspection-report/provider/CARE/SC403789","Ofsted Social Care Provider Webpage")</f>
        <v>Ofsted Social Care Provider Webpage</v>
      </c>
      <c r="B2873" s="55" t="s">
        <v>5359</v>
      </c>
      <c r="D2873" s="55" t="s">
        <v>373</v>
      </c>
      <c r="E2873" s="74">
        <v>40421</v>
      </c>
      <c r="F2873" s="55" t="s">
        <v>344</v>
      </c>
      <c r="G2873" s="55" t="s">
        <v>360</v>
      </c>
      <c r="H2873" s="55" t="s">
        <v>360</v>
      </c>
      <c r="I2873" s="55" t="s">
        <v>360</v>
      </c>
      <c r="J2873" s="55" t="s">
        <v>360</v>
      </c>
      <c r="K2873" s="55" t="s">
        <v>360</v>
      </c>
      <c r="L2873" s="55" t="s">
        <v>360</v>
      </c>
      <c r="M2873" s="55" t="s">
        <v>142</v>
      </c>
      <c r="N2873" s="55" t="s">
        <v>142</v>
      </c>
      <c r="O2873" s="55" t="s">
        <v>293</v>
      </c>
      <c r="P2873" s="55" t="s">
        <v>1422</v>
      </c>
      <c r="Q2873" s="55" t="s">
        <v>350</v>
      </c>
      <c r="R2873" s="85">
        <v>4</v>
      </c>
      <c r="S2873" s="55">
        <v>0</v>
      </c>
      <c r="T2873" s="74" t="s">
        <v>654</v>
      </c>
      <c r="U2873" s="74" t="s">
        <v>351</v>
      </c>
      <c r="V2873" s="74">
        <v>44447</v>
      </c>
      <c r="W2873" s="74">
        <v>44501</v>
      </c>
      <c r="X2873" s="55">
        <v>10185185</v>
      </c>
      <c r="Y2873" s="55" t="s">
        <v>132</v>
      </c>
      <c r="AB2873" s="74" t="s">
        <v>132</v>
      </c>
      <c r="AC2873" s="55" t="s">
        <v>132</v>
      </c>
      <c r="AL2873" s="74"/>
      <c r="AM2873" s="74"/>
    </row>
    <row r="2874" spans="1:50" ht="13" x14ac:dyDescent="0.15">
      <c r="A2874" s="55" t="str">
        <f>HYPERLINK("http://reports.ofsted.gov.uk/inspection-reports/find-inspection-report/provider/CARE/SC403850","Ofsted Social Care Provider Webpage")</f>
        <v>Ofsted Social Care Provider Webpage</v>
      </c>
      <c r="B2874" s="55" t="s">
        <v>5360</v>
      </c>
      <c r="D2874" s="55" t="s">
        <v>373</v>
      </c>
      <c r="E2874" s="74">
        <v>40211</v>
      </c>
      <c r="F2874" s="55" t="s">
        <v>344</v>
      </c>
      <c r="G2874" s="55" t="s">
        <v>360</v>
      </c>
      <c r="H2874" s="55" t="s">
        <v>360</v>
      </c>
      <c r="I2874" s="55" t="s">
        <v>360</v>
      </c>
      <c r="J2874" s="55" t="s">
        <v>360</v>
      </c>
      <c r="K2874" s="55" t="s">
        <v>360</v>
      </c>
      <c r="L2874" s="55" t="s">
        <v>360</v>
      </c>
      <c r="M2874" s="55" t="s">
        <v>150</v>
      </c>
      <c r="N2874" s="55" t="s">
        <v>150</v>
      </c>
      <c r="O2874" s="55" t="s">
        <v>203</v>
      </c>
      <c r="P2874" s="55" t="s">
        <v>3559</v>
      </c>
      <c r="Q2874" s="55" t="s">
        <v>380</v>
      </c>
      <c r="R2874" s="85">
        <v>6</v>
      </c>
      <c r="S2874" s="55" t="s">
        <v>332</v>
      </c>
      <c r="T2874" s="74" t="s">
        <v>1547</v>
      </c>
      <c r="U2874" s="74" t="s">
        <v>351</v>
      </c>
      <c r="V2874" s="74">
        <v>44538</v>
      </c>
      <c r="W2874" s="74">
        <v>44592</v>
      </c>
      <c r="X2874" s="55">
        <v>10187415</v>
      </c>
      <c r="Y2874" s="55" t="s">
        <v>132</v>
      </c>
      <c r="AB2874" s="74" t="s">
        <v>132</v>
      </c>
      <c r="AC2874" s="55" t="s">
        <v>130</v>
      </c>
      <c r="AL2874" s="74"/>
      <c r="AM2874" s="74"/>
    </row>
    <row r="2875" spans="1:50" ht="13" x14ac:dyDescent="0.15">
      <c r="A2875" s="55" t="str">
        <f>HYPERLINK("http://reports.ofsted.gov.uk/inspection-reports/find-inspection-report/provider/CARE/SC403890","Ofsted Social Care Provider Webpage")</f>
        <v>Ofsted Social Care Provider Webpage</v>
      </c>
      <c r="B2875" s="55" t="s">
        <v>5361</v>
      </c>
      <c r="D2875" s="55" t="s">
        <v>373</v>
      </c>
      <c r="E2875" s="74">
        <v>40318</v>
      </c>
      <c r="F2875" s="55" t="s">
        <v>344</v>
      </c>
      <c r="G2875" s="55" t="s">
        <v>360</v>
      </c>
      <c r="H2875" s="55" t="s">
        <v>360</v>
      </c>
      <c r="I2875" s="55" t="s">
        <v>360</v>
      </c>
      <c r="J2875" s="55" t="s">
        <v>360</v>
      </c>
      <c r="K2875" s="55" t="s">
        <v>360</v>
      </c>
      <c r="L2875" s="55" t="s">
        <v>360</v>
      </c>
      <c r="M2875" s="55" t="s">
        <v>378</v>
      </c>
      <c r="N2875" s="55" t="s">
        <v>134</v>
      </c>
      <c r="O2875" s="55" t="s">
        <v>210</v>
      </c>
      <c r="P2875" s="55" t="s">
        <v>1250</v>
      </c>
      <c r="Q2875" s="55" t="s">
        <v>350</v>
      </c>
      <c r="R2875" s="85">
        <v>4</v>
      </c>
      <c r="S2875" s="55">
        <v>0</v>
      </c>
      <c r="T2875" s="74" t="s">
        <v>1505</v>
      </c>
      <c r="U2875" s="74" t="s">
        <v>351</v>
      </c>
      <c r="V2875" s="74">
        <v>44389</v>
      </c>
      <c r="W2875" s="74">
        <v>44426</v>
      </c>
      <c r="X2875" s="55">
        <v>10187354</v>
      </c>
      <c r="Y2875" s="55" t="s">
        <v>132</v>
      </c>
      <c r="AB2875" s="74" t="s">
        <v>132</v>
      </c>
      <c r="AC2875" s="55" t="s">
        <v>132</v>
      </c>
      <c r="AL2875" s="74"/>
      <c r="AM2875" s="74"/>
    </row>
    <row r="2876" spans="1:50" ht="13" x14ac:dyDescent="0.15">
      <c r="A2876" s="55" t="str">
        <f>HYPERLINK("http://reports.ofsted.gov.uk/inspection-reports/find-inspection-report/provider/CARE/SC403895","Ofsted Social Care Provider Webpage")</f>
        <v>Ofsted Social Care Provider Webpage</v>
      </c>
      <c r="B2876" s="55" t="s">
        <v>5362</v>
      </c>
      <c r="D2876" s="55" t="s">
        <v>373</v>
      </c>
      <c r="E2876" s="74">
        <v>40162</v>
      </c>
      <c r="F2876" s="55" t="s">
        <v>344</v>
      </c>
      <c r="G2876" s="55" t="s">
        <v>360</v>
      </c>
      <c r="H2876" s="55" t="s">
        <v>360</v>
      </c>
      <c r="I2876" s="55" t="s">
        <v>360</v>
      </c>
      <c r="J2876" s="55" t="s">
        <v>360</v>
      </c>
      <c r="K2876" s="55" t="s">
        <v>360</v>
      </c>
      <c r="L2876" s="55" t="s">
        <v>360</v>
      </c>
      <c r="M2876" s="55" t="s">
        <v>142</v>
      </c>
      <c r="N2876" s="55" t="s">
        <v>142</v>
      </c>
      <c r="O2876" s="55" t="s">
        <v>265</v>
      </c>
      <c r="P2876" s="55" t="s">
        <v>1066</v>
      </c>
      <c r="Q2876" s="55" t="s">
        <v>380</v>
      </c>
      <c r="R2876" s="85">
        <v>2</v>
      </c>
      <c r="S2876" s="55">
        <v>0</v>
      </c>
      <c r="T2876" s="74" t="s">
        <v>1067</v>
      </c>
      <c r="U2876" s="74" t="s">
        <v>351</v>
      </c>
      <c r="V2876" s="74">
        <v>44334</v>
      </c>
      <c r="W2876" s="74">
        <v>44361</v>
      </c>
      <c r="X2876" s="55">
        <v>10185563</v>
      </c>
      <c r="Y2876" s="55" t="s">
        <v>132</v>
      </c>
      <c r="AB2876" s="74" t="s">
        <v>132</v>
      </c>
      <c r="AC2876" s="55" t="s">
        <v>132</v>
      </c>
      <c r="AL2876" s="74"/>
      <c r="AM2876" s="74"/>
    </row>
    <row r="2877" spans="1:50" ht="13" x14ac:dyDescent="0.15">
      <c r="A2877" s="55" t="str">
        <f>HYPERLINK("http://reports.ofsted.gov.uk/inspection-reports/find-inspection-report/provider/CARE/SC403905","Ofsted Social Care Provider Webpage")</f>
        <v>Ofsted Social Care Provider Webpage</v>
      </c>
      <c r="B2877" s="55" t="s">
        <v>5363</v>
      </c>
      <c r="D2877" s="55" t="s">
        <v>373</v>
      </c>
      <c r="E2877" s="74">
        <v>40289</v>
      </c>
      <c r="F2877" s="55" t="s">
        <v>344</v>
      </c>
      <c r="G2877" s="55" t="s">
        <v>360</v>
      </c>
      <c r="H2877" s="55" t="s">
        <v>360</v>
      </c>
      <c r="I2877" s="55" t="s">
        <v>360</v>
      </c>
      <c r="J2877" s="55" t="s">
        <v>360</v>
      </c>
      <c r="K2877" s="55" t="s">
        <v>360</v>
      </c>
      <c r="L2877" s="55" t="s">
        <v>360</v>
      </c>
      <c r="M2877" s="55" t="s">
        <v>150</v>
      </c>
      <c r="N2877" s="55" t="s">
        <v>150</v>
      </c>
      <c r="O2877" s="55" t="s">
        <v>203</v>
      </c>
      <c r="P2877" s="55" t="s">
        <v>800</v>
      </c>
      <c r="Q2877" s="55" t="s">
        <v>350</v>
      </c>
      <c r="R2877" s="85">
        <v>5</v>
      </c>
      <c r="S2877" s="55">
        <v>0</v>
      </c>
      <c r="T2877" s="74" t="s">
        <v>2341</v>
      </c>
      <c r="U2877" s="74" t="s">
        <v>351</v>
      </c>
      <c r="V2877" s="74">
        <v>44382</v>
      </c>
      <c r="W2877" s="74">
        <v>44439</v>
      </c>
      <c r="X2877" s="55">
        <v>10186878</v>
      </c>
      <c r="Y2877" s="55" t="s">
        <v>132</v>
      </c>
      <c r="AB2877" s="74" t="s">
        <v>132</v>
      </c>
      <c r="AC2877" s="55" t="s">
        <v>132</v>
      </c>
      <c r="AL2877" s="74"/>
      <c r="AM2877" s="74"/>
    </row>
    <row r="2878" spans="1:50" ht="13" x14ac:dyDescent="0.15">
      <c r="A2878" s="55" t="str">
        <f>HYPERLINK("http://reports.ofsted.gov.uk/inspection-reports/find-inspection-report/provider/CARE/SC404596","Ofsted Social Care Provider Webpage")</f>
        <v>Ofsted Social Care Provider Webpage</v>
      </c>
      <c r="B2878" s="55" t="s">
        <v>5364</v>
      </c>
      <c r="D2878" s="55" t="s">
        <v>479</v>
      </c>
      <c r="E2878" s="74">
        <v>40150</v>
      </c>
      <c r="F2878" s="55" t="s">
        <v>344</v>
      </c>
      <c r="G2878" s="55" t="s">
        <v>360</v>
      </c>
      <c r="H2878" s="55" t="s">
        <v>360</v>
      </c>
      <c r="I2878" s="55" t="s">
        <v>360</v>
      </c>
      <c r="J2878" s="55" t="s">
        <v>360</v>
      </c>
      <c r="K2878" s="55" t="s">
        <v>360</v>
      </c>
      <c r="L2878" s="55" t="s">
        <v>360</v>
      </c>
      <c r="M2878" s="55" t="s">
        <v>172</v>
      </c>
      <c r="N2878" s="55" t="s">
        <v>172</v>
      </c>
      <c r="O2878" s="55" t="s">
        <v>173</v>
      </c>
      <c r="P2878" s="55" t="s">
        <v>1258</v>
      </c>
      <c r="Q2878" s="55" t="s">
        <v>350</v>
      </c>
      <c r="R2878" s="85">
        <v>24</v>
      </c>
      <c r="S2878" s="55">
        <v>0</v>
      </c>
      <c r="T2878" s="74" t="s">
        <v>4968</v>
      </c>
      <c r="U2878" s="74" t="s">
        <v>351</v>
      </c>
      <c r="V2878" s="74">
        <v>44537</v>
      </c>
      <c r="W2878" s="74">
        <v>44580</v>
      </c>
      <c r="X2878" s="55">
        <v>10185058</v>
      </c>
      <c r="Y2878" s="55" t="s">
        <v>132</v>
      </c>
      <c r="AB2878" s="74" t="s">
        <v>132</v>
      </c>
      <c r="AC2878" s="55" t="s">
        <v>132</v>
      </c>
      <c r="AL2878" s="74"/>
      <c r="AM2878" s="74"/>
      <c r="AW2878" s="74"/>
      <c r="AX2878" s="74"/>
    </row>
    <row r="2879" spans="1:50" ht="13" x14ac:dyDescent="0.15">
      <c r="A2879" s="55" t="str">
        <f>HYPERLINK("http://reports.ofsted.gov.uk/inspection-reports/find-inspection-report/provider/CARE/SC404983","Ofsted Social Care Provider Webpage")</f>
        <v>Ofsted Social Care Provider Webpage</v>
      </c>
      <c r="B2879" s="55" t="s">
        <v>5365</v>
      </c>
      <c r="D2879" s="55" t="s">
        <v>373</v>
      </c>
      <c r="E2879" s="74">
        <v>40200</v>
      </c>
      <c r="F2879" s="55" t="s">
        <v>344</v>
      </c>
      <c r="G2879" s="55" t="s">
        <v>360</v>
      </c>
      <c r="H2879" s="55" t="s">
        <v>360</v>
      </c>
      <c r="I2879" s="55" t="s">
        <v>360</v>
      </c>
      <c r="J2879" s="55" t="s">
        <v>360</v>
      </c>
      <c r="K2879" s="55" t="s">
        <v>360</v>
      </c>
      <c r="L2879" s="55" t="s">
        <v>360</v>
      </c>
      <c r="M2879" s="55" t="s">
        <v>142</v>
      </c>
      <c r="N2879" s="55" t="s">
        <v>142</v>
      </c>
      <c r="O2879" s="55" t="s">
        <v>262</v>
      </c>
      <c r="P2879" s="55" t="s">
        <v>488</v>
      </c>
      <c r="Q2879" s="55" t="s">
        <v>350</v>
      </c>
      <c r="R2879" s="85">
        <v>2</v>
      </c>
      <c r="S2879" s="55">
        <v>0</v>
      </c>
      <c r="T2879" s="74" t="s">
        <v>5366</v>
      </c>
      <c r="U2879" s="74" t="s">
        <v>351</v>
      </c>
      <c r="V2879" s="74">
        <v>44335</v>
      </c>
      <c r="W2879" s="74">
        <v>44396</v>
      </c>
      <c r="X2879" s="55">
        <v>10187238</v>
      </c>
      <c r="Y2879" s="55" t="s">
        <v>130</v>
      </c>
      <c r="AB2879" s="74" t="s">
        <v>130</v>
      </c>
      <c r="AC2879" s="55" t="s">
        <v>130</v>
      </c>
      <c r="AL2879" s="74"/>
      <c r="AM2879" s="74"/>
      <c r="AW2879" s="74"/>
      <c r="AX2879" s="74"/>
    </row>
    <row r="2880" spans="1:50" ht="13" x14ac:dyDescent="0.15">
      <c r="A2880" s="55" t="str">
        <f>HYPERLINK("http://reports.ofsted.gov.uk/inspection-reports/find-inspection-report/provider/CARE/SC405285","Ofsted Social Care Provider Webpage")</f>
        <v>Ofsted Social Care Provider Webpage</v>
      </c>
      <c r="B2880" s="55" t="s">
        <v>5368</v>
      </c>
      <c r="D2880" s="55" t="s">
        <v>373</v>
      </c>
      <c r="E2880" s="74">
        <v>40189</v>
      </c>
      <c r="F2880" s="55" t="s">
        <v>344</v>
      </c>
      <c r="G2880" s="55" t="s">
        <v>360</v>
      </c>
      <c r="H2880" s="55" t="s">
        <v>360</v>
      </c>
      <c r="I2880" s="55" t="s">
        <v>360</v>
      </c>
      <c r="J2880" s="55" t="s">
        <v>360</v>
      </c>
      <c r="K2880" s="55" t="s">
        <v>360</v>
      </c>
      <c r="L2880" s="55" t="s">
        <v>360</v>
      </c>
      <c r="M2880" s="55" t="s">
        <v>378</v>
      </c>
      <c r="N2880" s="55" t="s">
        <v>170</v>
      </c>
      <c r="O2880" s="55" t="s">
        <v>267</v>
      </c>
      <c r="P2880" s="55" t="s">
        <v>477</v>
      </c>
      <c r="Q2880" s="55" t="s">
        <v>362</v>
      </c>
      <c r="R2880" s="85">
        <v>4</v>
      </c>
      <c r="S2880" s="55">
        <v>0</v>
      </c>
      <c r="T2880" s="74" t="s">
        <v>5369</v>
      </c>
      <c r="U2880" s="74" t="s">
        <v>6703</v>
      </c>
      <c r="V2880" s="74">
        <v>44571</v>
      </c>
      <c r="W2880" s="74">
        <v>44603</v>
      </c>
      <c r="X2880" s="55">
        <v>10213333</v>
      </c>
      <c r="Y2880" s="55" t="s">
        <v>6705</v>
      </c>
      <c r="AL2880" s="74"/>
      <c r="AM2880" s="74"/>
      <c r="AW2880" s="74"/>
      <c r="AX2880" s="74"/>
    </row>
    <row r="2881" spans="1:50" ht="13" x14ac:dyDescent="0.15">
      <c r="A2881" s="55" t="str">
        <f>HYPERLINK("http://reports.ofsted.gov.uk/inspection-reports/find-inspection-report/provider/CARE/SC405285","Ofsted Social Care Provider Webpage")</f>
        <v>Ofsted Social Care Provider Webpage</v>
      </c>
      <c r="B2881" s="55" t="s">
        <v>5368</v>
      </c>
      <c r="D2881" s="55" t="s">
        <v>373</v>
      </c>
      <c r="E2881" s="74">
        <v>40189</v>
      </c>
      <c r="F2881" s="55" t="s">
        <v>344</v>
      </c>
      <c r="G2881" s="55" t="s">
        <v>360</v>
      </c>
      <c r="H2881" s="55" t="s">
        <v>360</v>
      </c>
      <c r="I2881" s="55" t="s">
        <v>360</v>
      </c>
      <c r="J2881" s="55" t="s">
        <v>360</v>
      </c>
      <c r="K2881" s="55" t="s">
        <v>360</v>
      </c>
      <c r="L2881" s="55" t="s">
        <v>360</v>
      </c>
      <c r="M2881" s="55" t="s">
        <v>378</v>
      </c>
      <c r="N2881" s="55" t="s">
        <v>170</v>
      </c>
      <c r="O2881" s="55" t="s">
        <v>267</v>
      </c>
      <c r="P2881" s="55" t="s">
        <v>477</v>
      </c>
      <c r="Q2881" s="55" t="s">
        <v>362</v>
      </c>
      <c r="R2881" s="85">
        <v>4</v>
      </c>
      <c r="S2881" s="55">
        <v>0</v>
      </c>
      <c r="T2881" s="74" t="s">
        <v>5369</v>
      </c>
      <c r="U2881" s="74" t="s">
        <v>351</v>
      </c>
      <c r="V2881" s="74">
        <v>44340</v>
      </c>
      <c r="W2881" s="74">
        <v>44372</v>
      </c>
      <c r="X2881" s="55">
        <v>10185308</v>
      </c>
      <c r="Y2881" s="55" t="s">
        <v>130</v>
      </c>
      <c r="AB2881" s="74" t="s">
        <v>130</v>
      </c>
      <c r="AC2881" s="55" t="s">
        <v>130</v>
      </c>
      <c r="AL2881" s="74"/>
      <c r="AM2881" s="74"/>
    </row>
    <row r="2882" spans="1:50" ht="13" x14ac:dyDescent="0.15">
      <c r="A2882" s="55" t="str">
        <f>HYPERLINK("http://reports.ofsted.gov.uk/inspection-reports/find-inspection-report/provider/CARE/SC405448","Ofsted Social Care Provider Webpage")</f>
        <v>Ofsted Social Care Provider Webpage</v>
      </c>
      <c r="B2882" s="55" t="s">
        <v>5370</v>
      </c>
      <c r="D2882" s="55" t="s">
        <v>373</v>
      </c>
      <c r="E2882" s="74">
        <v>40288</v>
      </c>
      <c r="F2882" s="55" t="s">
        <v>344</v>
      </c>
      <c r="G2882" s="55" t="s">
        <v>360</v>
      </c>
      <c r="H2882" s="55" t="s">
        <v>360</v>
      </c>
      <c r="I2882" s="55" t="s">
        <v>360</v>
      </c>
      <c r="J2882" s="55" t="s">
        <v>360</v>
      </c>
      <c r="K2882" s="55" t="s">
        <v>360</v>
      </c>
      <c r="L2882" s="55" t="s">
        <v>360</v>
      </c>
      <c r="M2882" s="55" t="s">
        <v>144</v>
      </c>
      <c r="N2882" s="55" t="s">
        <v>144</v>
      </c>
      <c r="O2882" s="55" t="s">
        <v>207</v>
      </c>
      <c r="P2882" s="55" t="s">
        <v>207</v>
      </c>
      <c r="Q2882" s="55" t="s">
        <v>350</v>
      </c>
      <c r="R2882" s="85">
        <v>1</v>
      </c>
      <c r="S2882" s="55">
        <v>0</v>
      </c>
      <c r="T2882" s="74" t="s">
        <v>2947</v>
      </c>
      <c r="U2882" s="74" t="s">
        <v>351</v>
      </c>
      <c r="V2882" s="74">
        <v>44607</v>
      </c>
      <c r="W2882" s="74">
        <v>44648</v>
      </c>
      <c r="X2882" s="55">
        <v>10186208</v>
      </c>
      <c r="Y2882" s="55" t="s">
        <v>146</v>
      </c>
      <c r="AB2882" s="74" t="s">
        <v>146</v>
      </c>
      <c r="AC2882" s="55" t="s">
        <v>146</v>
      </c>
      <c r="AL2882" s="74"/>
      <c r="AM2882" s="74"/>
    </row>
    <row r="2883" spans="1:50" ht="13" x14ac:dyDescent="0.15">
      <c r="A2883" s="55" t="str">
        <f>HYPERLINK("http://reports.ofsted.gov.uk/inspection-reports/find-inspection-report/provider/CARE/SC405567","Ofsted Social Care Provider Webpage")</f>
        <v>Ofsted Social Care Provider Webpage</v>
      </c>
      <c r="B2883" s="55" t="s">
        <v>5371</v>
      </c>
      <c r="D2883" s="55" t="s">
        <v>389</v>
      </c>
      <c r="E2883" s="74">
        <v>40275</v>
      </c>
      <c r="F2883" s="55" t="s">
        <v>344</v>
      </c>
      <c r="G2883" s="55" t="s">
        <v>5372</v>
      </c>
      <c r="H2883" s="55" t="s">
        <v>5373</v>
      </c>
      <c r="I2883" s="55" t="s">
        <v>5374</v>
      </c>
      <c r="J2883" s="55" t="s">
        <v>5375</v>
      </c>
      <c r="K2883" s="55" t="s">
        <v>2374</v>
      </c>
      <c r="L2883" s="55" t="s">
        <v>5376</v>
      </c>
      <c r="M2883" s="55" t="s">
        <v>378</v>
      </c>
      <c r="N2883" s="55" t="s">
        <v>134</v>
      </c>
      <c r="O2883" s="55" t="s">
        <v>151</v>
      </c>
      <c r="P2883" s="55" t="s">
        <v>1778</v>
      </c>
      <c r="Q2883" s="55" t="s">
        <v>350</v>
      </c>
      <c r="S2883" s="55">
        <v>0</v>
      </c>
      <c r="T2883" s="74" t="s">
        <v>5372</v>
      </c>
      <c r="U2883" s="74" t="s">
        <v>351</v>
      </c>
      <c r="V2883" s="74">
        <v>44592</v>
      </c>
      <c r="W2883" s="74">
        <v>44637</v>
      </c>
      <c r="X2883" s="55">
        <v>10183384</v>
      </c>
      <c r="Y2883" s="55" t="s">
        <v>132</v>
      </c>
      <c r="AB2883" s="74" t="s">
        <v>132</v>
      </c>
      <c r="AC2883" s="55" t="s">
        <v>132</v>
      </c>
      <c r="AL2883" s="74"/>
      <c r="AM2883" s="74"/>
    </row>
    <row r="2884" spans="1:50" ht="13" x14ac:dyDescent="0.15">
      <c r="A2884" s="55" t="str">
        <f>HYPERLINK("http://reports.ofsted.gov.uk/inspection-reports/find-inspection-report/provider/CARE/SC405713","Ofsted Social Care Provider Webpage")</f>
        <v>Ofsted Social Care Provider Webpage</v>
      </c>
      <c r="B2884" s="55" t="s">
        <v>5377</v>
      </c>
      <c r="D2884" s="55" t="s">
        <v>373</v>
      </c>
      <c r="E2884" s="74">
        <v>40189</v>
      </c>
      <c r="F2884" s="55" t="s">
        <v>344</v>
      </c>
      <c r="G2884" s="55" t="s">
        <v>360</v>
      </c>
      <c r="H2884" s="55" t="s">
        <v>360</v>
      </c>
      <c r="I2884" s="55" t="s">
        <v>360</v>
      </c>
      <c r="J2884" s="55" t="s">
        <v>360</v>
      </c>
      <c r="K2884" s="55" t="s">
        <v>360</v>
      </c>
      <c r="L2884" s="55" t="s">
        <v>360</v>
      </c>
      <c r="M2884" s="55" t="s">
        <v>142</v>
      </c>
      <c r="N2884" s="55" t="s">
        <v>142</v>
      </c>
      <c r="O2884" s="55" t="s">
        <v>249</v>
      </c>
      <c r="P2884" s="55" t="s">
        <v>1318</v>
      </c>
      <c r="Q2884" s="55" t="s">
        <v>350</v>
      </c>
      <c r="R2884" s="85">
        <v>3</v>
      </c>
      <c r="S2884" s="55">
        <v>0</v>
      </c>
      <c r="T2884" s="74" t="s">
        <v>385</v>
      </c>
      <c r="U2884" s="74" t="s">
        <v>351</v>
      </c>
      <c r="V2884" s="74">
        <v>44334</v>
      </c>
      <c r="W2884" s="74">
        <v>44363</v>
      </c>
      <c r="X2884" s="55">
        <v>10185242</v>
      </c>
      <c r="Y2884" s="55" t="s">
        <v>132</v>
      </c>
      <c r="AB2884" s="74" t="s">
        <v>132</v>
      </c>
      <c r="AC2884" s="55" t="s">
        <v>130</v>
      </c>
      <c r="AL2884" s="74"/>
      <c r="AM2884" s="74"/>
      <c r="AW2884" s="74"/>
      <c r="AX2884" s="74"/>
    </row>
    <row r="2885" spans="1:50" ht="13" x14ac:dyDescent="0.15">
      <c r="A2885" s="55" t="str">
        <f>HYPERLINK("http://reports.ofsted.gov.uk/inspection-reports/find-inspection-report/provider/CARE/SC405933","Ofsted Social Care Provider Webpage")</f>
        <v>Ofsted Social Care Provider Webpage</v>
      </c>
      <c r="B2885" s="55" t="s">
        <v>5378</v>
      </c>
      <c r="D2885" s="55" t="s">
        <v>373</v>
      </c>
      <c r="E2885" s="74">
        <v>40238</v>
      </c>
      <c r="F2885" s="55" t="s">
        <v>344</v>
      </c>
      <c r="G2885" s="55" t="s">
        <v>360</v>
      </c>
      <c r="H2885" s="55" t="s">
        <v>360</v>
      </c>
      <c r="I2885" s="55" t="s">
        <v>360</v>
      </c>
      <c r="J2885" s="55" t="s">
        <v>360</v>
      </c>
      <c r="K2885" s="55" t="s">
        <v>360</v>
      </c>
      <c r="L2885" s="55" t="s">
        <v>360</v>
      </c>
      <c r="M2885" s="55" t="s">
        <v>150</v>
      </c>
      <c r="N2885" s="55" t="s">
        <v>150</v>
      </c>
      <c r="O2885" s="55" t="s">
        <v>268</v>
      </c>
      <c r="P2885" s="55" t="s">
        <v>2666</v>
      </c>
      <c r="Q2885" s="55" t="s">
        <v>380</v>
      </c>
      <c r="R2885" s="85">
        <v>6</v>
      </c>
      <c r="S2885" s="55" t="s">
        <v>332</v>
      </c>
      <c r="T2885" s="74" t="s">
        <v>640</v>
      </c>
      <c r="U2885" s="74" t="s">
        <v>351</v>
      </c>
      <c r="V2885" s="74">
        <v>44390</v>
      </c>
      <c r="W2885" s="74">
        <v>44460</v>
      </c>
      <c r="X2885" s="55">
        <v>10185131</v>
      </c>
      <c r="Y2885" s="55" t="s">
        <v>140</v>
      </c>
      <c r="AB2885" s="74" t="s">
        <v>140</v>
      </c>
      <c r="AC2885" s="55" t="s">
        <v>140</v>
      </c>
      <c r="AL2885" s="74"/>
      <c r="AM2885" s="74"/>
      <c r="AW2885" s="74"/>
      <c r="AX2885" s="74"/>
    </row>
    <row r="2886" spans="1:50" ht="13" x14ac:dyDescent="0.15">
      <c r="A2886" s="55" t="str">
        <f>HYPERLINK("http://reports.ofsted.gov.uk/inspection-reports/find-inspection-report/provider/CARE/SC405977","Ofsted Social Care Provider Webpage")</f>
        <v>Ofsted Social Care Provider Webpage</v>
      </c>
      <c r="B2886" s="55" t="s">
        <v>5379</v>
      </c>
      <c r="D2886" s="55" t="s">
        <v>373</v>
      </c>
      <c r="E2886" s="74">
        <v>40193</v>
      </c>
      <c r="F2886" s="55" t="s">
        <v>344</v>
      </c>
      <c r="G2886" s="55" t="s">
        <v>360</v>
      </c>
      <c r="H2886" s="55" t="s">
        <v>360</v>
      </c>
      <c r="I2886" s="55" t="s">
        <v>360</v>
      </c>
      <c r="J2886" s="55" t="s">
        <v>360</v>
      </c>
      <c r="K2886" s="55" t="s">
        <v>360</v>
      </c>
      <c r="L2886" s="55" t="s">
        <v>360</v>
      </c>
      <c r="M2886" s="55" t="s">
        <v>142</v>
      </c>
      <c r="N2886" s="55" t="s">
        <v>142</v>
      </c>
      <c r="O2886" s="55" t="s">
        <v>272</v>
      </c>
      <c r="P2886" s="55" t="s">
        <v>1291</v>
      </c>
      <c r="Q2886" s="55" t="s">
        <v>350</v>
      </c>
      <c r="R2886" s="85">
        <v>2</v>
      </c>
      <c r="S2886" s="55">
        <v>0</v>
      </c>
      <c r="T2886" s="74" t="s">
        <v>504</v>
      </c>
      <c r="U2886" s="74" t="s">
        <v>351</v>
      </c>
      <c r="V2886" s="74">
        <v>44390</v>
      </c>
      <c r="W2886" s="74">
        <v>44435</v>
      </c>
      <c r="X2886" s="55">
        <v>10187166</v>
      </c>
      <c r="Y2886" s="55" t="s">
        <v>140</v>
      </c>
      <c r="AB2886" s="74" t="s">
        <v>140</v>
      </c>
      <c r="AC2886" s="55" t="s">
        <v>140</v>
      </c>
      <c r="AL2886" s="74"/>
      <c r="AM2886" s="74"/>
    </row>
    <row r="2887" spans="1:50" ht="13" x14ac:dyDescent="0.15">
      <c r="A2887" s="55" t="str">
        <f>HYPERLINK("http://reports.ofsted.gov.uk/inspection-reports/find-inspection-report/provider/CARE/SC405985","Ofsted Social Care Provider Webpage")</f>
        <v>Ofsted Social Care Provider Webpage</v>
      </c>
      <c r="B2887" s="55" t="s">
        <v>6754</v>
      </c>
      <c r="D2887" s="55" t="s">
        <v>373</v>
      </c>
      <c r="E2887" s="74">
        <v>40239</v>
      </c>
      <c r="F2887" s="55" t="s">
        <v>6707</v>
      </c>
      <c r="G2887" s="55" t="s">
        <v>360</v>
      </c>
      <c r="H2887" s="55" t="s">
        <v>360</v>
      </c>
      <c r="I2887" s="55" t="s">
        <v>360</v>
      </c>
      <c r="J2887" s="55" t="s">
        <v>360</v>
      </c>
      <c r="K2887" s="55" t="s">
        <v>360</v>
      </c>
      <c r="L2887" s="55" t="s">
        <v>360</v>
      </c>
      <c r="M2887" s="55" t="s">
        <v>138</v>
      </c>
      <c r="N2887" s="55" t="s">
        <v>138</v>
      </c>
      <c r="O2887" s="55" t="s">
        <v>183</v>
      </c>
      <c r="P2887" s="55" t="s">
        <v>616</v>
      </c>
      <c r="Q2887" s="55" t="s">
        <v>350</v>
      </c>
      <c r="R2887" s="85">
        <v>3</v>
      </c>
      <c r="S2887" s="55">
        <v>0</v>
      </c>
      <c r="T2887" s="74" t="s">
        <v>6107</v>
      </c>
      <c r="U2887" s="74" t="s">
        <v>2053</v>
      </c>
      <c r="V2887" s="74">
        <v>44390</v>
      </c>
      <c r="W2887" s="74">
        <v>44412</v>
      </c>
      <c r="X2887" s="55">
        <v>10196716</v>
      </c>
      <c r="AL2887" s="74"/>
      <c r="AM2887" s="74"/>
      <c r="AW2887" s="74"/>
      <c r="AX2887" s="74"/>
    </row>
    <row r="2888" spans="1:50" ht="13" x14ac:dyDescent="0.15">
      <c r="A2888" s="55" t="str">
        <f>HYPERLINK("http://reports.ofsted.gov.uk/inspection-reports/find-inspection-report/provider/CARE/SC405985","Ofsted Social Care Provider Webpage")</f>
        <v>Ofsted Social Care Provider Webpage</v>
      </c>
      <c r="B2888" s="55" t="s">
        <v>6754</v>
      </c>
      <c r="D2888" s="55" t="s">
        <v>373</v>
      </c>
      <c r="E2888" s="74">
        <v>40239</v>
      </c>
      <c r="F2888" s="55" t="s">
        <v>6707</v>
      </c>
      <c r="G2888" s="55" t="s">
        <v>360</v>
      </c>
      <c r="H2888" s="55" t="s">
        <v>360</v>
      </c>
      <c r="I2888" s="55" t="s">
        <v>360</v>
      </c>
      <c r="J2888" s="55" t="s">
        <v>360</v>
      </c>
      <c r="K2888" s="55" t="s">
        <v>360</v>
      </c>
      <c r="L2888" s="55" t="s">
        <v>360</v>
      </c>
      <c r="M2888" s="55" t="s">
        <v>138</v>
      </c>
      <c r="N2888" s="55" t="s">
        <v>138</v>
      </c>
      <c r="O2888" s="55" t="s">
        <v>183</v>
      </c>
      <c r="P2888" s="55" t="s">
        <v>616</v>
      </c>
      <c r="Q2888" s="55" t="s">
        <v>350</v>
      </c>
      <c r="R2888" s="85">
        <v>3</v>
      </c>
      <c r="S2888" s="55">
        <v>0</v>
      </c>
      <c r="T2888" s="74" t="s">
        <v>6107</v>
      </c>
      <c r="U2888" s="74" t="s">
        <v>351</v>
      </c>
      <c r="V2888" s="74">
        <v>44336</v>
      </c>
      <c r="W2888" s="74">
        <v>44376</v>
      </c>
      <c r="X2888" s="55">
        <v>10187278</v>
      </c>
      <c r="Y2888" s="55" t="s">
        <v>146</v>
      </c>
      <c r="AB2888" s="74" t="s">
        <v>146</v>
      </c>
      <c r="AC2888" s="55" t="s">
        <v>146</v>
      </c>
      <c r="AL2888" s="74"/>
      <c r="AM2888" s="74"/>
      <c r="AW2888" s="74"/>
      <c r="AX2888" s="74"/>
    </row>
    <row r="2889" spans="1:50" ht="13" x14ac:dyDescent="0.15">
      <c r="A2889" s="55" t="str">
        <f>HYPERLINK("http://reports.ofsted.gov.uk/inspection-reports/find-inspection-report/provider/CARE/SC406063","Ofsted Social Care Provider Webpage")</f>
        <v>Ofsted Social Care Provider Webpage</v>
      </c>
      <c r="B2889" s="55" t="s">
        <v>5380</v>
      </c>
      <c r="D2889" s="55" t="s">
        <v>373</v>
      </c>
      <c r="E2889" s="74">
        <v>40275</v>
      </c>
      <c r="F2889" s="55" t="s">
        <v>344</v>
      </c>
      <c r="G2889" s="55" t="s">
        <v>360</v>
      </c>
      <c r="H2889" s="55" t="s">
        <v>360</v>
      </c>
      <c r="I2889" s="55" t="s">
        <v>360</v>
      </c>
      <c r="J2889" s="55" t="s">
        <v>360</v>
      </c>
      <c r="K2889" s="55" t="s">
        <v>360</v>
      </c>
      <c r="L2889" s="55" t="s">
        <v>360</v>
      </c>
      <c r="M2889" s="55" t="s">
        <v>172</v>
      </c>
      <c r="N2889" s="55" t="s">
        <v>172</v>
      </c>
      <c r="O2889" s="55" t="s">
        <v>235</v>
      </c>
      <c r="P2889" s="55" t="s">
        <v>948</v>
      </c>
      <c r="Q2889" s="55" t="s">
        <v>350</v>
      </c>
      <c r="R2889" s="85">
        <v>5</v>
      </c>
      <c r="S2889" s="55">
        <v>0</v>
      </c>
      <c r="T2889" s="74" t="s">
        <v>1105</v>
      </c>
      <c r="U2889" s="74" t="s">
        <v>351</v>
      </c>
      <c r="V2889" s="74">
        <v>44480</v>
      </c>
      <c r="W2889" s="74">
        <v>44519</v>
      </c>
      <c r="X2889" s="55">
        <v>10186433</v>
      </c>
      <c r="Y2889" s="55" t="s">
        <v>140</v>
      </c>
      <c r="AB2889" s="74" t="s">
        <v>132</v>
      </c>
      <c r="AC2889" s="55" t="s">
        <v>140</v>
      </c>
      <c r="AL2889" s="74"/>
      <c r="AM2889" s="74"/>
    </row>
    <row r="2890" spans="1:50" ht="13" x14ac:dyDescent="0.15">
      <c r="A2890" s="55" t="str">
        <f>HYPERLINK("http://reports.ofsted.gov.uk/inspection-reports/find-inspection-report/provider/CARE/SC406505","Ofsted Social Care Provider Webpage")</f>
        <v>Ofsted Social Care Provider Webpage</v>
      </c>
      <c r="B2890" s="55" t="s">
        <v>5387</v>
      </c>
      <c r="D2890" s="55" t="s">
        <v>373</v>
      </c>
      <c r="E2890" s="74">
        <v>40211</v>
      </c>
      <c r="F2890" s="55" t="s">
        <v>344</v>
      </c>
      <c r="G2890" s="55" t="s">
        <v>360</v>
      </c>
      <c r="H2890" s="55" t="s">
        <v>360</v>
      </c>
      <c r="I2890" s="55" t="s">
        <v>360</v>
      </c>
      <c r="J2890" s="55" t="s">
        <v>360</v>
      </c>
      <c r="K2890" s="55" t="s">
        <v>360</v>
      </c>
      <c r="L2890" s="55" t="s">
        <v>360</v>
      </c>
      <c r="M2890" s="55" t="s">
        <v>378</v>
      </c>
      <c r="N2890" s="55" t="s">
        <v>134</v>
      </c>
      <c r="O2890" s="55" t="s">
        <v>210</v>
      </c>
      <c r="P2890" s="55" t="s">
        <v>1250</v>
      </c>
      <c r="Q2890" s="55" t="s">
        <v>380</v>
      </c>
      <c r="R2890" s="85">
        <v>12</v>
      </c>
      <c r="S2890" s="55" t="s">
        <v>332</v>
      </c>
      <c r="T2890" s="74" t="s">
        <v>543</v>
      </c>
      <c r="U2890" s="74" t="s">
        <v>351</v>
      </c>
      <c r="V2890" s="74">
        <v>44368</v>
      </c>
      <c r="W2890" s="74">
        <v>44405</v>
      </c>
      <c r="X2890" s="55">
        <v>10186787</v>
      </c>
      <c r="Y2890" s="55" t="s">
        <v>140</v>
      </c>
      <c r="AB2890" s="74" t="s">
        <v>140</v>
      </c>
      <c r="AC2890" s="55" t="s">
        <v>140</v>
      </c>
      <c r="AL2890" s="74"/>
      <c r="AM2890" s="74"/>
      <c r="AW2890" s="74"/>
      <c r="AX2890" s="74"/>
    </row>
    <row r="2891" spans="1:50" ht="13" x14ac:dyDescent="0.15">
      <c r="A2891" s="55" t="str">
        <f>HYPERLINK("http://reports.ofsted.gov.uk/inspection-reports/find-inspection-report/provider/CARE/SC406636","Ofsted Social Care Provider Webpage")</f>
        <v>Ofsted Social Care Provider Webpage</v>
      </c>
      <c r="B2891" s="55" t="s">
        <v>5388</v>
      </c>
      <c r="D2891" s="55" t="s">
        <v>373</v>
      </c>
      <c r="E2891" s="74">
        <v>40261</v>
      </c>
      <c r="F2891" s="55" t="s">
        <v>344</v>
      </c>
      <c r="G2891" s="55" t="s">
        <v>360</v>
      </c>
      <c r="H2891" s="55" t="s">
        <v>360</v>
      </c>
      <c r="I2891" s="55" t="s">
        <v>360</v>
      </c>
      <c r="J2891" s="55" t="s">
        <v>360</v>
      </c>
      <c r="K2891" s="55" t="s">
        <v>360</v>
      </c>
      <c r="L2891" s="55" t="s">
        <v>360</v>
      </c>
      <c r="M2891" s="55" t="s">
        <v>144</v>
      </c>
      <c r="N2891" s="55" t="s">
        <v>144</v>
      </c>
      <c r="O2891" s="55" t="s">
        <v>261</v>
      </c>
      <c r="P2891" s="55" t="s">
        <v>512</v>
      </c>
      <c r="Q2891" s="55" t="s">
        <v>350</v>
      </c>
      <c r="R2891" s="85">
        <v>5</v>
      </c>
      <c r="S2891" s="55">
        <v>0</v>
      </c>
      <c r="T2891" s="74" t="s">
        <v>923</v>
      </c>
      <c r="U2891" s="74" t="s">
        <v>351</v>
      </c>
      <c r="V2891" s="74">
        <v>44419</v>
      </c>
      <c r="W2891" s="74">
        <v>44456</v>
      </c>
      <c r="X2891" s="55">
        <v>10185178</v>
      </c>
      <c r="Y2891" s="55" t="s">
        <v>146</v>
      </c>
      <c r="AB2891" s="74" t="s">
        <v>146</v>
      </c>
      <c r="AC2891" s="55" t="s">
        <v>146</v>
      </c>
      <c r="AL2891" s="74"/>
      <c r="AM2891" s="74"/>
      <c r="AW2891" s="74"/>
      <c r="AX2891" s="74"/>
    </row>
    <row r="2892" spans="1:50" ht="13" x14ac:dyDescent="0.15">
      <c r="A2892" s="55" t="str">
        <f>HYPERLINK("http://reports.ofsted.gov.uk/inspection-reports/find-inspection-report/provider/CARE/SC406636","Ofsted Social Care Provider Webpage")</f>
        <v>Ofsted Social Care Provider Webpage</v>
      </c>
      <c r="B2892" s="55" t="s">
        <v>5388</v>
      </c>
      <c r="D2892" s="55" t="s">
        <v>373</v>
      </c>
      <c r="E2892" s="74">
        <v>40261</v>
      </c>
      <c r="F2892" s="55" t="s">
        <v>344</v>
      </c>
      <c r="G2892" s="55" t="s">
        <v>360</v>
      </c>
      <c r="H2892" s="55" t="s">
        <v>360</v>
      </c>
      <c r="I2892" s="55" t="s">
        <v>360</v>
      </c>
      <c r="J2892" s="55" t="s">
        <v>360</v>
      </c>
      <c r="K2892" s="55" t="s">
        <v>360</v>
      </c>
      <c r="L2892" s="55" t="s">
        <v>360</v>
      </c>
      <c r="M2892" s="55" t="s">
        <v>144</v>
      </c>
      <c r="N2892" s="55" t="s">
        <v>144</v>
      </c>
      <c r="O2892" s="55" t="s">
        <v>261</v>
      </c>
      <c r="P2892" s="55" t="s">
        <v>512</v>
      </c>
      <c r="Q2892" s="55" t="s">
        <v>350</v>
      </c>
      <c r="R2892" s="85">
        <v>5</v>
      </c>
      <c r="S2892" s="55">
        <v>0</v>
      </c>
      <c r="T2892" s="74" t="s">
        <v>923</v>
      </c>
      <c r="U2892" s="74" t="s">
        <v>2053</v>
      </c>
      <c r="V2892" s="74">
        <v>44474</v>
      </c>
      <c r="W2892" s="74">
        <v>44502</v>
      </c>
      <c r="X2892" s="55">
        <v>10207652</v>
      </c>
      <c r="AL2892" s="74"/>
      <c r="AM2892" s="74"/>
      <c r="AW2892" s="74"/>
      <c r="AX2892" s="74"/>
    </row>
    <row r="2893" spans="1:50" ht="13" x14ac:dyDescent="0.15">
      <c r="A2893" s="55" t="str">
        <f>HYPERLINK("http://reports.ofsted.gov.uk/inspection-reports/find-inspection-report/provider/CARE/SC406636","Ofsted Social Care Provider Webpage")</f>
        <v>Ofsted Social Care Provider Webpage</v>
      </c>
      <c r="B2893" s="55" t="s">
        <v>5388</v>
      </c>
      <c r="D2893" s="55" t="s">
        <v>373</v>
      </c>
      <c r="E2893" s="74">
        <v>40261</v>
      </c>
      <c r="F2893" s="55" t="s">
        <v>344</v>
      </c>
      <c r="G2893" s="55" t="s">
        <v>360</v>
      </c>
      <c r="H2893" s="55" t="s">
        <v>360</v>
      </c>
      <c r="I2893" s="55" t="s">
        <v>360</v>
      </c>
      <c r="J2893" s="55" t="s">
        <v>360</v>
      </c>
      <c r="K2893" s="55" t="s">
        <v>360</v>
      </c>
      <c r="L2893" s="55" t="s">
        <v>360</v>
      </c>
      <c r="M2893" s="55" t="s">
        <v>144</v>
      </c>
      <c r="N2893" s="55" t="s">
        <v>144</v>
      </c>
      <c r="O2893" s="55" t="s">
        <v>261</v>
      </c>
      <c r="P2893" s="55" t="s">
        <v>512</v>
      </c>
      <c r="Q2893" s="55" t="s">
        <v>350</v>
      </c>
      <c r="R2893" s="85">
        <v>5</v>
      </c>
      <c r="S2893" s="55">
        <v>0</v>
      </c>
      <c r="T2893" s="74" t="s">
        <v>923</v>
      </c>
      <c r="U2893" s="74" t="s">
        <v>351</v>
      </c>
      <c r="V2893" s="74">
        <v>44530</v>
      </c>
      <c r="W2893" s="74">
        <v>44566</v>
      </c>
      <c r="X2893" s="55">
        <v>10206358</v>
      </c>
      <c r="Y2893" s="55" t="s">
        <v>130</v>
      </c>
      <c r="AB2893" s="74" t="s">
        <v>130</v>
      </c>
      <c r="AC2893" s="55" t="s">
        <v>130</v>
      </c>
      <c r="AL2893" s="74"/>
      <c r="AM2893" s="74"/>
      <c r="AW2893" s="74"/>
      <c r="AX2893" s="74"/>
    </row>
    <row r="2894" spans="1:50" ht="13" x14ac:dyDescent="0.15">
      <c r="A2894" s="55" t="str">
        <f>HYPERLINK("http://reports.ofsted.gov.uk/inspection-reports/find-inspection-report/provider/CARE/SC406638","Ofsted Social Care Provider Webpage")</f>
        <v>Ofsted Social Care Provider Webpage</v>
      </c>
      <c r="B2894" s="55" t="s">
        <v>5389</v>
      </c>
      <c r="D2894" s="55" t="s">
        <v>373</v>
      </c>
      <c r="E2894" s="74">
        <v>40227</v>
      </c>
      <c r="F2894" s="55" t="s">
        <v>344</v>
      </c>
      <c r="G2894" s="55" t="s">
        <v>360</v>
      </c>
      <c r="H2894" s="55" t="s">
        <v>360</v>
      </c>
      <c r="I2894" s="55" t="s">
        <v>360</v>
      </c>
      <c r="J2894" s="55" t="s">
        <v>360</v>
      </c>
      <c r="K2894" s="55" t="s">
        <v>360</v>
      </c>
      <c r="L2894" s="55" t="s">
        <v>360</v>
      </c>
      <c r="M2894" s="55" t="s">
        <v>129</v>
      </c>
      <c r="N2894" s="55" t="s">
        <v>129</v>
      </c>
      <c r="O2894" s="55" t="s">
        <v>279</v>
      </c>
      <c r="P2894" s="55" t="s">
        <v>2499</v>
      </c>
      <c r="Q2894" s="55" t="s">
        <v>350</v>
      </c>
      <c r="R2894" s="85">
        <v>3</v>
      </c>
      <c r="S2894" s="55">
        <v>0</v>
      </c>
      <c r="T2894" s="74" t="s">
        <v>5390</v>
      </c>
      <c r="U2894" s="74" t="s">
        <v>351</v>
      </c>
      <c r="V2894" s="74">
        <v>44502</v>
      </c>
      <c r="W2894" s="74">
        <v>44538</v>
      </c>
      <c r="X2894" s="55">
        <v>10187575</v>
      </c>
      <c r="Y2894" s="55" t="s">
        <v>132</v>
      </c>
      <c r="AB2894" s="74" t="s">
        <v>132</v>
      </c>
      <c r="AC2894" s="55" t="s">
        <v>132</v>
      </c>
      <c r="AL2894" s="74"/>
      <c r="AM2894" s="74"/>
      <c r="AW2894" s="74"/>
      <c r="AX2894" s="74"/>
    </row>
    <row r="2895" spans="1:50" ht="13" x14ac:dyDescent="0.15">
      <c r="A2895" s="55" t="str">
        <f>HYPERLINK("http://reports.ofsted.gov.uk/inspection-reports/find-inspection-report/provider/CARE/SC406969","Ofsted Social Care Provider Webpage")</f>
        <v>Ofsted Social Care Provider Webpage</v>
      </c>
      <c r="B2895" s="55" t="s">
        <v>5391</v>
      </c>
      <c r="D2895" s="55" t="s">
        <v>389</v>
      </c>
      <c r="E2895" s="74">
        <v>40254</v>
      </c>
      <c r="F2895" s="55" t="s">
        <v>344</v>
      </c>
      <c r="G2895" s="55" t="s">
        <v>5392</v>
      </c>
      <c r="H2895" s="55" t="s">
        <v>4114</v>
      </c>
      <c r="I2895" s="55" t="s">
        <v>5393</v>
      </c>
      <c r="J2895" s="55" t="s">
        <v>1768</v>
      </c>
      <c r="L2895" s="55" t="s">
        <v>5394</v>
      </c>
      <c r="M2895" s="55" t="s">
        <v>138</v>
      </c>
      <c r="N2895" s="55" t="s">
        <v>138</v>
      </c>
      <c r="O2895" s="55" t="s">
        <v>224</v>
      </c>
      <c r="P2895" s="55" t="s">
        <v>1123</v>
      </c>
      <c r="Q2895" s="55" t="s">
        <v>350</v>
      </c>
      <c r="S2895" s="55">
        <v>0</v>
      </c>
      <c r="T2895" s="74" t="s">
        <v>5395</v>
      </c>
      <c r="U2895" s="74" t="s">
        <v>351</v>
      </c>
      <c r="V2895" s="74">
        <v>44312</v>
      </c>
      <c r="W2895" s="74">
        <v>44349</v>
      </c>
      <c r="X2895" s="55">
        <v>10183349</v>
      </c>
      <c r="Y2895" s="55" t="s">
        <v>132</v>
      </c>
      <c r="AB2895" s="74" t="s">
        <v>132</v>
      </c>
      <c r="AC2895" s="55" t="s">
        <v>132</v>
      </c>
      <c r="AL2895" s="74"/>
      <c r="AM2895" s="74"/>
    </row>
    <row r="2896" spans="1:50" ht="13" x14ac:dyDescent="0.15">
      <c r="A2896" s="55" t="str">
        <f>HYPERLINK("http://reports.ofsted.gov.uk/inspection-reports/find-inspection-report/provider/CARE/SC407169","Ofsted Social Care Provider Webpage")</f>
        <v>Ofsted Social Care Provider Webpage</v>
      </c>
      <c r="B2896" s="55" t="s">
        <v>5396</v>
      </c>
      <c r="D2896" s="55" t="s">
        <v>373</v>
      </c>
      <c r="E2896" s="74">
        <v>40268</v>
      </c>
      <c r="F2896" s="55" t="s">
        <v>344</v>
      </c>
      <c r="G2896" s="55" t="s">
        <v>360</v>
      </c>
      <c r="H2896" s="55" t="s">
        <v>360</v>
      </c>
      <c r="I2896" s="55" t="s">
        <v>360</v>
      </c>
      <c r="J2896" s="55" t="s">
        <v>360</v>
      </c>
      <c r="K2896" s="55" t="s">
        <v>360</v>
      </c>
      <c r="L2896" s="55" t="s">
        <v>360</v>
      </c>
      <c r="M2896" s="55" t="s">
        <v>144</v>
      </c>
      <c r="N2896" s="55" t="s">
        <v>144</v>
      </c>
      <c r="O2896" s="55" t="s">
        <v>263</v>
      </c>
      <c r="P2896" s="55" t="s">
        <v>1211</v>
      </c>
      <c r="Q2896" s="55" t="s">
        <v>350</v>
      </c>
      <c r="R2896" s="85">
        <v>4</v>
      </c>
      <c r="S2896" s="55">
        <v>0</v>
      </c>
      <c r="T2896" s="74" t="s">
        <v>2359</v>
      </c>
      <c r="U2896" s="74" t="s">
        <v>351</v>
      </c>
      <c r="V2896" s="74">
        <v>44545</v>
      </c>
      <c r="W2896" s="74">
        <v>44593</v>
      </c>
      <c r="X2896" s="55">
        <v>10185477</v>
      </c>
      <c r="Y2896" s="55" t="s">
        <v>132</v>
      </c>
      <c r="AB2896" s="74" t="s">
        <v>132</v>
      </c>
      <c r="AC2896" s="55" t="s">
        <v>132</v>
      </c>
      <c r="AL2896" s="74"/>
      <c r="AM2896" s="74"/>
    </row>
    <row r="2897" spans="1:50" ht="13" x14ac:dyDescent="0.15">
      <c r="A2897" s="55" t="str">
        <f>HYPERLINK("http://reports.ofsted.gov.uk/inspection-reports/find-inspection-report/provider/CARE/SC407430","Ofsted Social Care Provider Webpage")</f>
        <v>Ofsted Social Care Provider Webpage</v>
      </c>
      <c r="B2897" s="55" t="s">
        <v>5397</v>
      </c>
      <c r="D2897" s="55" t="s">
        <v>373</v>
      </c>
      <c r="E2897" s="74">
        <v>40290</v>
      </c>
      <c r="F2897" s="55" t="s">
        <v>344</v>
      </c>
      <c r="G2897" s="55" t="s">
        <v>360</v>
      </c>
      <c r="H2897" s="55" t="s">
        <v>360</v>
      </c>
      <c r="I2897" s="55" t="s">
        <v>360</v>
      </c>
      <c r="J2897" s="55" t="s">
        <v>360</v>
      </c>
      <c r="K2897" s="55" t="s">
        <v>360</v>
      </c>
      <c r="L2897" s="55" t="s">
        <v>360</v>
      </c>
      <c r="M2897" s="55" t="s">
        <v>136</v>
      </c>
      <c r="N2897" s="55" t="s">
        <v>136</v>
      </c>
      <c r="O2897" s="55" t="s">
        <v>288</v>
      </c>
      <c r="P2897" s="55" t="s">
        <v>1388</v>
      </c>
      <c r="Q2897" s="55" t="s">
        <v>350</v>
      </c>
      <c r="R2897" s="85">
        <v>4</v>
      </c>
      <c r="S2897" s="55">
        <v>0</v>
      </c>
      <c r="T2897" s="74" t="s">
        <v>832</v>
      </c>
      <c r="U2897" s="74" t="s">
        <v>351</v>
      </c>
      <c r="V2897" s="74">
        <v>44313</v>
      </c>
      <c r="W2897" s="74">
        <v>44341</v>
      </c>
      <c r="X2897" s="55">
        <v>10186140</v>
      </c>
      <c r="Y2897" s="55" t="s">
        <v>130</v>
      </c>
      <c r="AB2897" s="74" t="s">
        <v>132</v>
      </c>
      <c r="AC2897" s="55" t="s">
        <v>130</v>
      </c>
      <c r="AL2897" s="74"/>
      <c r="AM2897" s="74"/>
      <c r="AW2897" s="74"/>
      <c r="AX2897" s="74"/>
    </row>
    <row r="2898" spans="1:50" ht="13" x14ac:dyDescent="0.15">
      <c r="A2898" s="55" t="str">
        <f>HYPERLINK("http://reports.ofsted.gov.uk/inspection-reports/find-inspection-report/provider/CARE/SC407430","Ofsted Social Care Provider Webpage")</f>
        <v>Ofsted Social Care Provider Webpage</v>
      </c>
      <c r="B2898" s="55" t="s">
        <v>5397</v>
      </c>
      <c r="D2898" s="55" t="s">
        <v>373</v>
      </c>
      <c r="E2898" s="74">
        <v>40290</v>
      </c>
      <c r="F2898" s="55" t="s">
        <v>344</v>
      </c>
      <c r="G2898" s="55" t="s">
        <v>360</v>
      </c>
      <c r="H2898" s="55" t="s">
        <v>360</v>
      </c>
      <c r="I2898" s="55" t="s">
        <v>360</v>
      </c>
      <c r="J2898" s="55" t="s">
        <v>360</v>
      </c>
      <c r="K2898" s="55" t="s">
        <v>360</v>
      </c>
      <c r="L2898" s="55" t="s">
        <v>360</v>
      </c>
      <c r="M2898" s="55" t="s">
        <v>136</v>
      </c>
      <c r="N2898" s="55" t="s">
        <v>136</v>
      </c>
      <c r="O2898" s="55" t="s">
        <v>288</v>
      </c>
      <c r="P2898" s="55" t="s">
        <v>1388</v>
      </c>
      <c r="Q2898" s="55" t="s">
        <v>350</v>
      </c>
      <c r="R2898" s="85">
        <v>4</v>
      </c>
      <c r="S2898" s="55">
        <v>0</v>
      </c>
      <c r="T2898" s="74" t="s">
        <v>832</v>
      </c>
      <c r="U2898" s="74" t="s">
        <v>6703</v>
      </c>
      <c r="V2898" s="74">
        <v>44573</v>
      </c>
      <c r="W2898" s="74">
        <v>44600</v>
      </c>
      <c r="X2898" s="55">
        <v>10214435</v>
      </c>
      <c r="Y2898" s="55" t="s">
        <v>6705</v>
      </c>
      <c r="AL2898" s="74"/>
      <c r="AM2898" s="74"/>
    </row>
    <row r="2899" spans="1:50" ht="13" x14ac:dyDescent="0.15">
      <c r="A2899" s="55" t="str">
        <f>HYPERLINK("http://reports.ofsted.gov.uk/inspection-reports/find-inspection-report/provider/CARE/SC407753","Ofsted Social Care Provider Webpage")</f>
        <v>Ofsted Social Care Provider Webpage</v>
      </c>
      <c r="B2899" s="55" t="s">
        <v>5398</v>
      </c>
      <c r="D2899" s="55" t="s">
        <v>373</v>
      </c>
      <c r="E2899" s="74">
        <v>40241</v>
      </c>
      <c r="F2899" s="55" t="s">
        <v>344</v>
      </c>
      <c r="G2899" s="55" t="s">
        <v>360</v>
      </c>
      <c r="H2899" s="55" t="s">
        <v>360</v>
      </c>
      <c r="I2899" s="55" t="s">
        <v>360</v>
      </c>
      <c r="J2899" s="55" t="s">
        <v>360</v>
      </c>
      <c r="K2899" s="55" t="s">
        <v>360</v>
      </c>
      <c r="L2899" s="55" t="s">
        <v>360</v>
      </c>
      <c r="M2899" s="55" t="s">
        <v>136</v>
      </c>
      <c r="N2899" s="55" t="s">
        <v>136</v>
      </c>
      <c r="O2899" s="55" t="s">
        <v>174</v>
      </c>
      <c r="P2899" s="55" t="s">
        <v>982</v>
      </c>
      <c r="Q2899" s="55" t="s">
        <v>350</v>
      </c>
      <c r="R2899" s="85">
        <v>4</v>
      </c>
      <c r="S2899" s="55">
        <v>0</v>
      </c>
      <c r="T2899" s="74" t="s">
        <v>5399</v>
      </c>
      <c r="U2899" s="74" t="s">
        <v>351</v>
      </c>
      <c r="V2899" s="74">
        <v>44342</v>
      </c>
      <c r="W2899" s="74">
        <v>44372</v>
      </c>
      <c r="X2899" s="55">
        <v>10187621</v>
      </c>
      <c r="Y2899" s="55" t="s">
        <v>132</v>
      </c>
      <c r="AB2899" s="74" t="s">
        <v>132</v>
      </c>
      <c r="AC2899" s="55" t="s">
        <v>132</v>
      </c>
      <c r="AL2899" s="74"/>
      <c r="AM2899" s="74"/>
      <c r="AW2899" s="74"/>
      <c r="AX2899" s="74"/>
    </row>
    <row r="2900" spans="1:50" ht="13" x14ac:dyDescent="0.15">
      <c r="A2900" s="55" t="str">
        <f>HYPERLINK("http://reports.ofsted.gov.uk/inspection-reports/find-inspection-report/provider/CARE/SC407783","Ofsted Social Care Provider Webpage")</f>
        <v>Ofsted Social Care Provider Webpage</v>
      </c>
      <c r="B2900" s="55" t="s">
        <v>5400</v>
      </c>
      <c r="D2900" s="55" t="s">
        <v>373</v>
      </c>
      <c r="E2900" s="74">
        <v>40261</v>
      </c>
      <c r="F2900" s="55" t="s">
        <v>344</v>
      </c>
      <c r="G2900" s="55" t="s">
        <v>360</v>
      </c>
      <c r="H2900" s="55" t="s">
        <v>360</v>
      </c>
      <c r="I2900" s="55" t="s">
        <v>360</v>
      </c>
      <c r="J2900" s="55" t="s">
        <v>360</v>
      </c>
      <c r="K2900" s="55" t="s">
        <v>360</v>
      </c>
      <c r="L2900" s="55" t="s">
        <v>360</v>
      </c>
      <c r="M2900" s="55" t="s">
        <v>150</v>
      </c>
      <c r="N2900" s="55" t="s">
        <v>150</v>
      </c>
      <c r="O2900" s="55" t="s">
        <v>258</v>
      </c>
      <c r="P2900" s="55" t="s">
        <v>455</v>
      </c>
      <c r="Q2900" s="55" t="s">
        <v>350</v>
      </c>
      <c r="R2900" s="85">
        <v>5</v>
      </c>
      <c r="S2900" s="55">
        <v>0</v>
      </c>
      <c r="T2900" s="74" t="s">
        <v>450</v>
      </c>
      <c r="U2900" s="74" t="s">
        <v>351</v>
      </c>
      <c r="V2900" s="74">
        <v>44321</v>
      </c>
      <c r="W2900" s="74">
        <v>44363</v>
      </c>
      <c r="X2900" s="55">
        <v>10185683</v>
      </c>
      <c r="Y2900" s="55" t="s">
        <v>132</v>
      </c>
      <c r="AB2900" s="74" t="s">
        <v>132</v>
      </c>
      <c r="AC2900" s="55" t="s">
        <v>130</v>
      </c>
      <c r="AL2900" s="74"/>
      <c r="AM2900" s="74"/>
      <c r="AW2900" s="74"/>
      <c r="AX2900" s="74"/>
    </row>
    <row r="2901" spans="1:50" ht="13" x14ac:dyDescent="0.15">
      <c r="A2901" s="55" t="str">
        <f>HYPERLINK("http://reports.ofsted.gov.uk/inspection-reports/find-inspection-report/provider/CARE/SC407787","Ofsted Social Care Provider Webpage")</f>
        <v>Ofsted Social Care Provider Webpage</v>
      </c>
      <c r="B2901" s="55" t="s">
        <v>5401</v>
      </c>
      <c r="D2901" s="55" t="s">
        <v>373</v>
      </c>
      <c r="E2901" s="74">
        <v>40261</v>
      </c>
      <c r="F2901" s="55" t="s">
        <v>344</v>
      </c>
      <c r="G2901" s="55" t="s">
        <v>360</v>
      </c>
      <c r="H2901" s="55" t="s">
        <v>360</v>
      </c>
      <c r="I2901" s="55" t="s">
        <v>360</v>
      </c>
      <c r="J2901" s="55" t="s">
        <v>360</v>
      </c>
      <c r="K2901" s="55" t="s">
        <v>360</v>
      </c>
      <c r="L2901" s="55" t="s">
        <v>360</v>
      </c>
      <c r="M2901" s="55" t="s">
        <v>150</v>
      </c>
      <c r="N2901" s="55" t="s">
        <v>150</v>
      </c>
      <c r="O2901" s="55" t="s">
        <v>258</v>
      </c>
      <c r="P2901" s="55" t="s">
        <v>455</v>
      </c>
      <c r="Q2901" s="55" t="s">
        <v>350</v>
      </c>
      <c r="R2901" s="85">
        <v>6</v>
      </c>
      <c r="S2901" s="55">
        <v>0</v>
      </c>
      <c r="T2901" s="74" t="s">
        <v>450</v>
      </c>
      <c r="U2901" s="74" t="s">
        <v>351</v>
      </c>
      <c r="V2901" s="74">
        <v>44411</v>
      </c>
      <c r="W2901" s="74">
        <v>44479</v>
      </c>
      <c r="X2901" s="55">
        <v>10185994</v>
      </c>
      <c r="Y2901" s="55" t="s">
        <v>132</v>
      </c>
      <c r="AB2901" s="74" t="s">
        <v>132</v>
      </c>
      <c r="AC2901" s="55" t="s">
        <v>132</v>
      </c>
      <c r="AL2901" s="74"/>
      <c r="AM2901" s="74"/>
      <c r="AW2901" s="74"/>
      <c r="AX2901" s="74"/>
    </row>
    <row r="2902" spans="1:50" ht="13" x14ac:dyDescent="0.15">
      <c r="A2902" s="55" t="str">
        <f>HYPERLINK("http://reports.ofsted.gov.uk/inspection-reports/find-inspection-report/provider/CARE/SC407790","Ofsted Social Care Provider Webpage")</f>
        <v>Ofsted Social Care Provider Webpage</v>
      </c>
      <c r="B2902" s="55" t="s">
        <v>5402</v>
      </c>
      <c r="D2902" s="55" t="s">
        <v>373</v>
      </c>
      <c r="E2902" s="74">
        <v>40261</v>
      </c>
      <c r="F2902" s="55" t="s">
        <v>344</v>
      </c>
      <c r="G2902" s="55" t="s">
        <v>360</v>
      </c>
      <c r="H2902" s="55" t="s">
        <v>360</v>
      </c>
      <c r="I2902" s="55" t="s">
        <v>360</v>
      </c>
      <c r="J2902" s="55" t="s">
        <v>360</v>
      </c>
      <c r="K2902" s="55" t="s">
        <v>360</v>
      </c>
      <c r="L2902" s="55" t="s">
        <v>360</v>
      </c>
      <c r="M2902" s="55" t="s">
        <v>150</v>
      </c>
      <c r="N2902" s="55" t="s">
        <v>150</v>
      </c>
      <c r="O2902" s="55" t="s">
        <v>258</v>
      </c>
      <c r="P2902" s="55" t="s">
        <v>455</v>
      </c>
      <c r="Q2902" s="55" t="s">
        <v>350</v>
      </c>
      <c r="R2902" s="85">
        <v>5</v>
      </c>
      <c r="S2902" s="55">
        <v>0</v>
      </c>
      <c r="T2902" s="74" t="s">
        <v>450</v>
      </c>
      <c r="U2902" s="74" t="s">
        <v>351</v>
      </c>
      <c r="V2902" s="74">
        <v>44517</v>
      </c>
      <c r="W2902" s="74">
        <v>44588</v>
      </c>
      <c r="X2902" s="55">
        <v>10187513</v>
      </c>
      <c r="Y2902" s="55" t="s">
        <v>132</v>
      </c>
      <c r="AB2902" s="74" t="s">
        <v>132</v>
      </c>
      <c r="AC2902" s="55" t="s">
        <v>132</v>
      </c>
      <c r="AL2902" s="74"/>
      <c r="AM2902" s="74"/>
      <c r="AW2902" s="74"/>
      <c r="AX2902" s="74"/>
    </row>
    <row r="2903" spans="1:50" ht="13" x14ac:dyDescent="0.15">
      <c r="A2903" s="55" t="str">
        <f>HYPERLINK("http://reports.ofsted.gov.uk/inspection-reports/find-inspection-report/provider/CARE/SC407929","Ofsted Social Care Provider Webpage")</f>
        <v>Ofsted Social Care Provider Webpage</v>
      </c>
      <c r="B2903" s="55" t="s">
        <v>5403</v>
      </c>
      <c r="D2903" s="55" t="s">
        <v>373</v>
      </c>
      <c r="E2903" s="74">
        <v>40416</v>
      </c>
      <c r="F2903" s="55" t="s">
        <v>344</v>
      </c>
      <c r="G2903" s="55" t="s">
        <v>360</v>
      </c>
      <c r="H2903" s="55" t="s">
        <v>360</v>
      </c>
      <c r="I2903" s="55" t="s">
        <v>360</v>
      </c>
      <c r="J2903" s="55" t="s">
        <v>360</v>
      </c>
      <c r="K2903" s="55" t="s">
        <v>360</v>
      </c>
      <c r="L2903" s="55" t="s">
        <v>360</v>
      </c>
      <c r="M2903" s="55" t="s">
        <v>142</v>
      </c>
      <c r="N2903" s="55" t="s">
        <v>142</v>
      </c>
      <c r="O2903" s="55" t="s">
        <v>293</v>
      </c>
      <c r="P2903" s="55" t="s">
        <v>984</v>
      </c>
      <c r="Q2903" s="55" t="s">
        <v>350</v>
      </c>
      <c r="R2903" s="85">
        <v>10</v>
      </c>
      <c r="S2903" s="55">
        <v>0</v>
      </c>
      <c r="T2903" s="74" t="s">
        <v>5404</v>
      </c>
      <c r="U2903" s="74" t="s">
        <v>6703</v>
      </c>
      <c r="V2903" s="74">
        <v>44581</v>
      </c>
      <c r="W2903" s="74">
        <v>44635</v>
      </c>
      <c r="X2903" s="55">
        <v>10217199</v>
      </c>
      <c r="Y2903" s="55" t="s">
        <v>6706</v>
      </c>
      <c r="AL2903" s="74"/>
      <c r="AM2903" s="74"/>
      <c r="AW2903" s="74"/>
      <c r="AX2903" s="74"/>
    </row>
    <row r="2904" spans="1:50" ht="13" x14ac:dyDescent="0.15">
      <c r="A2904" s="55" t="str">
        <f>HYPERLINK("http://reports.ofsted.gov.uk/inspection-reports/find-inspection-report/provider/CARE/SC407929","Ofsted Social Care Provider Webpage")</f>
        <v>Ofsted Social Care Provider Webpage</v>
      </c>
      <c r="B2904" s="55" t="s">
        <v>5403</v>
      </c>
      <c r="D2904" s="55" t="s">
        <v>373</v>
      </c>
      <c r="E2904" s="74">
        <v>40416</v>
      </c>
      <c r="F2904" s="55" t="s">
        <v>344</v>
      </c>
      <c r="G2904" s="55" t="s">
        <v>360</v>
      </c>
      <c r="H2904" s="55" t="s">
        <v>360</v>
      </c>
      <c r="I2904" s="55" t="s">
        <v>360</v>
      </c>
      <c r="J2904" s="55" t="s">
        <v>360</v>
      </c>
      <c r="K2904" s="55" t="s">
        <v>360</v>
      </c>
      <c r="L2904" s="55" t="s">
        <v>360</v>
      </c>
      <c r="M2904" s="55" t="s">
        <v>142</v>
      </c>
      <c r="N2904" s="55" t="s">
        <v>142</v>
      </c>
      <c r="O2904" s="55" t="s">
        <v>293</v>
      </c>
      <c r="P2904" s="55" t="s">
        <v>984</v>
      </c>
      <c r="Q2904" s="55" t="s">
        <v>350</v>
      </c>
      <c r="R2904" s="85">
        <v>10</v>
      </c>
      <c r="S2904" s="55">
        <v>0</v>
      </c>
      <c r="T2904" s="74" t="s">
        <v>5404</v>
      </c>
      <c r="U2904" s="74" t="s">
        <v>351</v>
      </c>
      <c r="V2904" s="74">
        <v>44411</v>
      </c>
      <c r="W2904" s="74">
        <v>44459</v>
      </c>
      <c r="X2904" s="55">
        <v>10186636</v>
      </c>
      <c r="Y2904" s="55" t="s">
        <v>130</v>
      </c>
      <c r="AB2904" s="74" t="s">
        <v>130</v>
      </c>
      <c r="AC2904" s="55" t="s">
        <v>146</v>
      </c>
      <c r="AL2904" s="74"/>
      <c r="AM2904" s="74"/>
      <c r="AW2904" s="74"/>
      <c r="AX2904" s="74"/>
    </row>
    <row r="2905" spans="1:50" ht="13" x14ac:dyDescent="0.15">
      <c r="A2905" s="55" t="str">
        <f>HYPERLINK("http://reports.ofsted.gov.uk/inspection-reports/find-inspection-report/provider/CARE/SC407933","Ofsted Social Care Provider Webpage")</f>
        <v>Ofsted Social Care Provider Webpage</v>
      </c>
      <c r="B2905" s="55" t="s">
        <v>5405</v>
      </c>
      <c r="D2905" s="55" t="s">
        <v>373</v>
      </c>
      <c r="E2905" s="74">
        <v>40287</v>
      </c>
      <c r="F2905" s="55" t="s">
        <v>344</v>
      </c>
      <c r="G2905" s="55" t="s">
        <v>360</v>
      </c>
      <c r="H2905" s="55" t="s">
        <v>360</v>
      </c>
      <c r="I2905" s="55" t="s">
        <v>360</v>
      </c>
      <c r="J2905" s="55" t="s">
        <v>360</v>
      </c>
      <c r="K2905" s="55" t="s">
        <v>360</v>
      </c>
      <c r="L2905" s="55" t="s">
        <v>360</v>
      </c>
      <c r="M2905" s="55" t="s">
        <v>142</v>
      </c>
      <c r="N2905" s="55" t="s">
        <v>142</v>
      </c>
      <c r="O2905" s="55" t="s">
        <v>252</v>
      </c>
      <c r="P2905" s="55" t="s">
        <v>386</v>
      </c>
      <c r="Q2905" s="55" t="s">
        <v>350</v>
      </c>
      <c r="R2905" s="85">
        <v>4</v>
      </c>
      <c r="S2905" s="55">
        <v>0</v>
      </c>
      <c r="T2905" s="74" t="s">
        <v>5406</v>
      </c>
      <c r="U2905" s="74" t="s">
        <v>351</v>
      </c>
      <c r="V2905" s="74">
        <v>44613</v>
      </c>
      <c r="W2905" s="74">
        <v>44655</v>
      </c>
      <c r="X2905" s="55">
        <v>10187217</v>
      </c>
      <c r="Y2905" s="55" t="s">
        <v>132</v>
      </c>
      <c r="AB2905" s="74" t="s">
        <v>132</v>
      </c>
      <c r="AC2905" s="55" t="s">
        <v>132</v>
      </c>
      <c r="AL2905" s="74"/>
      <c r="AM2905" s="74"/>
      <c r="AW2905" s="74"/>
      <c r="AX2905" s="74"/>
    </row>
    <row r="2906" spans="1:50" ht="13" x14ac:dyDescent="0.15">
      <c r="A2906" s="55" t="str">
        <f>HYPERLINK("http://reports.ofsted.gov.uk/inspection-reports/find-inspection-report/provider/CARE/SC408149","Ofsted Social Care Provider Webpage")</f>
        <v>Ofsted Social Care Provider Webpage</v>
      </c>
      <c r="B2906" s="55" t="s">
        <v>5411</v>
      </c>
      <c r="D2906" s="55" t="s">
        <v>373</v>
      </c>
      <c r="E2906" s="74">
        <v>40234</v>
      </c>
      <c r="F2906" s="55" t="s">
        <v>344</v>
      </c>
      <c r="G2906" s="55" t="s">
        <v>360</v>
      </c>
      <c r="H2906" s="55" t="s">
        <v>360</v>
      </c>
      <c r="I2906" s="55" t="s">
        <v>360</v>
      </c>
      <c r="J2906" s="55" t="s">
        <v>360</v>
      </c>
      <c r="K2906" s="55" t="s">
        <v>360</v>
      </c>
      <c r="L2906" s="55" t="s">
        <v>360</v>
      </c>
      <c r="M2906" s="55" t="s">
        <v>136</v>
      </c>
      <c r="N2906" s="55" t="s">
        <v>136</v>
      </c>
      <c r="O2906" s="55" t="s">
        <v>174</v>
      </c>
      <c r="P2906" s="55" t="s">
        <v>982</v>
      </c>
      <c r="Q2906" s="55" t="s">
        <v>350</v>
      </c>
      <c r="R2906" s="85">
        <v>2</v>
      </c>
      <c r="S2906" s="55">
        <v>0</v>
      </c>
      <c r="T2906" s="74" t="s">
        <v>721</v>
      </c>
      <c r="U2906" s="74" t="s">
        <v>351</v>
      </c>
      <c r="V2906" s="74">
        <v>44370</v>
      </c>
      <c r="W2906" s="74">
        <v>44404</v>
      </c>
      <c r="X2906" s="55">
        <v>10185297</v>
      </c>
      <c r="Y2906" s="55" t="s">
        <v>140</v>
      </c>
      <c r="AB2906" s="74" t="s">
        <v>140</v>
      </c>
      <c r="AC2906" s="55" t="s">
        <v>140</v>
      </c>
      <c r="AL2906" s="74"/>
      <c r="AM2906" s="74"/>
      <c r="AW2906" s="74"/>
      <c r="AX2906" s="74"/>
    </row>
    <row r="2907" spans="1:50" ht="13" x14ac:dyDescent="0.15">
      <c r="A2907" s="55" t="str">
        <f>HYPERLINK("http://reports.ofsted.gov.uk/inspection-reports/find-inspection-report/provider/CARE/SC408369","Ofsted Social Care Provider Webpage")</f>
        <v>Ofsted Social Care Provider Webpage</v>
      </c>
      <c r="B2907" s="55" t="s">
        <v>5412</v>
      </c>
      <c r="D2907" s="55" t="s">
        <v>373</v>
      </c>
      <c r="E2907" s="74">
        <v>40248</v>
      </c>
      <c r="F2907" s="55" t="s">
        <v>344</v>
      </c>
      <c r="G2907" s="55" t="s">
        <v>360</v>
      </c>
      <c r="H2907" s="55" t="s">
        <v>360</v>
      </c>
      <c r="I2907" s="55" t="s">
        <v>360</v>
      </c>
      <c r="J2907" s="55" t="s">
        <v>360</v>
      </c>
      <c r="K2907" s="55" t="s">
        <v>360</v>
      </c>
      <c r="L2907" s="55" t="s">
        <v>360</v>
      </c>
      <c r="M2907" s="55" t="s">
        <v>142</v>
      </c>
      <c r="N2907" s="55" t="s">
        <v>142</v>
      </c>
      <c r="O2907" s="55" t="s">
        <v>265</v>
      </c>
      <c r="P2907" s="55" t="s">
        <v>540</v>
      </c>
      <c r="Q2907" s="55" t="s">
        <v>380</v>
      </c>
      <c r="R2907" s="85">
        <v>2</v>
      </c>
      <c r="S2907" s="55">
        <v>0</v>
      </c>
      <c r="T2907" s="74" t="s">
        <v>1067</v>
      </c>
      <c r="U2907" s="74" t="s">
        <v>351</v>
      </c>
      <c r="V2907" s="74">
        <v>44369</v>
      </c>
      <c r="W2907" s="74">
        <v>44392</v>
      </c>
      <c r="X2907" s="55">
        <v>10186851</v>
      </c>
      <c r="Y2907" s="55" t="s">
        <v>132</v>
      </c>
      <c r="AB2907" s="74" t="s">
        <v>132</v>
      </c>
      <c r="AC2907" s="55" t="s">
        <v>132</v>
      </c>
      <c r="AL2907" s="74"/>
      <c r="AM2907" s="74"/>
    </row>
    <row r="2908" spans="1:50" ht="13" x14ac:dyDescent="0.15">
      <c r="A2908" s="55" t="str">
        <f>HYPERLINK("http://reports.ofsted.gov.uk/inspection-reports/find-inspection-report/provider/CARE/SC408513","Ofsted Social Care Provider Webpage")</f>
        <v>Ofsted Social Care Provider Webpage</v>
      </c>
      <c r="B2908" s="55" t="s">
        <v>5413</v>
      </c>
      <c r="D2908" s="55" t="s">
        <v>373</v>
      </c>
      <c r="E2908" s="74">
        <v>40280</v>
      </c>
      <c r="F2908" s="55" t="s">
        <v>344</v>
      </c>
      <c r="G2908" s="55" t="s">
        <v>360</v>
      </c>
      <c r="H2908" s="55" t="s">
        <v>360</v>
      </c>
      <c r="I2908" s="55" t="s">
        <v>360</v>
      </c>
      <c r="J2908" s="55" t="s">
        <v>360</v>
      </c>
      <c r="K2908" s="55" t="s">
        <v>360</v>
      </c>
      <c r="L2908" s="55" t="s">
        <v>360</v>
      </c>
      <c r="M2908" s="55" t="s">
        <v>144</v>
      </c>
      <c r="N2908" s="55" t="s">
        <v>144</v>
      </c>
      <c r="O2908" s="55" t="s">
        <v>162</v>
      </c>
      <c r="P2908" s="55" t="s">
        <v>686</v>
      </c>
      <c r="Q2908" s="55" t="s">
        <v>350</v>
      </c>
      <c r="R2908" s="85">
        <v>3</v>
      </c>
      <c r="S2908" s="55">
        <v>0</v>
      </c>
      <c r="T2908" s="74" t="s">
        <v>4819</v>
      </c>
      <c r="U2908" s="74" t="s">
        <v>351</v>
      </c>
      <c r="V2908" s="74">
        <v>44440</v>
      </c>
      <c r="W2908" s="74">
        <v>44475</v>
      </c>
      <c r="X2908" s="55">
        <v>10185377</v>
      </c>
      <c r="Y2908" s="55" t="s">
        <v>132</v>
      </c>
      <c r="AB2908" s="74" t="s">
        <v>132</v>
      </c>
      <c r="AC2908" s="55" t="s">
        <v>132</v>
      </c>
      <c r="AL2908" s="74"/>
      <c r="AM2908" s="74"/>
      <c r="AW2908" s="74"/>
      <c r="AX2908" s="74"/>
    </row>
    <row r="2909" spans="1:50" ht="13" x14ac:dyDescent="0.15">
      <c r="A2909" s="55" t="str">
        <f>HYPERLINK("http://reports.ofsted.gov.uk/inspection-reports/find-inspection-report/provider/CARE/SC408585","Ofsted Social Care Provider Webpage")</f>
        <v>Ofsted Social Care Provider Webpage</v>
      </c>
      <c r="B2909" s="55" t="s">
        <v>5416</v>
      </c>
      <c r="D2909" s="55" t="s">
        <v>389</v>
      </c>
      <c r="E2909" s="74">
        <v>40352</v>
      </c>
      <c r="F2909" s="55" t="s">
        <v>344</v>
      </c>
      <c r="G2909" s="55" t="s">
        <v>5417</v>
      </c>
      <c r="H2909" s="55" t="s">
        <v>5418</v>
      </c>
      <c r="I2909" s="55" t="s">
        <v>5419</v>
      </c>
      <c r="J2909" s="55" t="s">
        <v>5420</v>
      </c>
      <c r="K2909" s="55" t="s">
        <v>5421</v>
      </c>
      <c r="L2909" s="55" t="s">
        <v>5422</v>
      </c>
      <c r="M2909" s="55" t="s">
        <v>144</v>
      </c>
      <c r="N2909" s="55" t="s">
        <v>144</v>
      </c>
      <c r="O2909" s="55" t="s">
        <v>163</v>
      </c>
      <c r="P2909" s="55" t="s">
        <v>614</v>
      </c>
      <c r="Q2909" s="55" t="s">
        <v>350</v>
      </c>
      <c r="S2909" s="55">
        <v>0</v>
      </c>
      <c r="T2909" s="74" t="s">
        <v>5423</v>
      </c>
      <c r="U2909" s="74" t="s">
        <v>351</v>
      </c>
      <c r="V2909" s="74">
        <v>44529</v>
      </c>
      <c r="W2909" s="74">
        <v>44580</v>
      </c>
      <c r="X2909" s="55">
        <v>10183396</v>
      </c>
      <c r="Y2909" s="55" t="s">
        <v>132</v>
      </c>
      <c r="AB2909" s="74" t="s">
        <v>132</v>
      </c>
      <c r="AC2909" s="55" t="s">
        <v>130</v>
      </c>
      <c r="AL2909" s="74"/>
      <c r="AM2909" s="74"/>
      <c r="AW2909" s="74"/>
      <c r="AX2909" s="74"/>
    </row>
    <row r="2910" spans="1:50" ht="13" x14ac:dyDescent="0.15">
      <c r="A2910" s="55" t="str">
        <f>HYPERLINK("http://reports.ofsted.gov.uk/inspection-reports/find-inspection-report/provider/CARE/SC408655","Ofsted Social Care Provider Webpage")</f>
        <v>Ofsted Social Care Provider Webpage</v>
      </c>
      <c r="B2910" s="55" t="s">
        <v>5424</v>
      </c>
      <c r="D2910" s="55" t="s">
        <v>373</v>
      </c>
      <c r="E2910" s="74">
        <v>40318</v>
      </c>
      <c r="F2910" s="55" t="s">
        <v>344</v>
      </c>
      <c r="G2910" s="55" t="s">
        <v>360</v>
      </c>
      <c r="H2910" s="55" t="s">
        <v>360</v>
      </c>
      <c r="I2910" s="55" t="s">
        <v>360</v>
      </c>
      <c r="J2910" s="55" t="s">
        <v>360</v>
      </c>
      <c r="K2910" s="55" t="s">
        <v>360</v>
      </c>
      <c r="L2910" s="55" t="s">
        <v>360</v>
      </c>
      <c r="M2910" s="55" t="s">
        <v>150</v>
      </c>
      <c r="N2910" s="55" t="s">
        <v>150</v>
      </c>
      <c r="O2910" s="55" t="s">
        <v>190</v>
      </c>
      <c r="P2910" s="55" t="s">
        <v>936</v>
      </c>
      <c r="Q2910" s="55" t="s">
        <v>350</v>
      </c>
      <c r="R2910" s="85">
        <v>7</v>
      </c>
      <c r="S2910" s="55">
        <v>0</v>
      </c>
      <c r="T2910" s="74" t="s">
        <v>450</v>
      </c>
      <c r="U2910" s="74" t="s">
        <v>351</v>
      </c>
      <c r="V2910" s="74">
        <v>44446</v>
      </c>
      <c r="W2910" s="74">
        <v>44475</v>
      </c>
      <c r="X2910" s="55">
        <v>10186246</v>
      </c>
      <c r="Y2910" s="55" t="s">
        <v>132</v>
      </c>
      <c r="AB2910" s="74" t="s">
        <v>132</v>
      </c>
      <c r="AC2910" s="55" t="s">
        <v>132</v>
      </c>
      <c r="AL2910" s="74"/>
      <c r="AM2910" s="74"/>
    </row>
    <row r="2911" spans="1:50" ht="13" x14ac:dyDescent="0.15">
      <c r="A2911" s="55" t="str">
        <f>HYPERLINK("http://reports.ofsted.gov.uk/inspection-reports/find-inspection-report/provider/CARE/SC408656","Ofsted Social Care Provider Webpage")</f>
        <v>Ofsted Social Care Provider Webpage</v>
      </c>
      <c r="B2911" s="55" t="s">
        <v>5425</v>
      </c>
      <c r="D2911" s="55" t="s">
        <v>373</v>
      </c>
      <c r="E2911" s="74">
        <v>40330</v>
      </c>
      <c r="F2911" s="55" t="s">
        <v>344</v>
      </c>
      <c r="G2911" s="55" t="s">
        <v>360</v>
      </c>
      <c r="H2911" s="55" t="s">
        <v>360</v>
      </c>
      <c r="I2911" s="55" t="s">
        <v>360</v>
      </c>
      <c r="J2911" s="55" t="s">
        <v>360</v>
      </c>
      <c r="K2911" s="55" t="s">
        <v>360</v>
      </c>
      <c r="L2911" s="55" t="s">
        <v>360</v>
      </c>
      <c r="M2911" s="55" t="s">
        <v>378</v>
      </c>
      <c r="N2911" s="55" t="s">
        <v>170</v>
      </c>
      <c r="O2911" s="55" t="s">
        <v>243</v>
      </c>
      <c r="P2911" s="55" t="s">
        <v>1222</v>
      </c>
      <c r="Q2911" s="55" t="s">
        <v>350</v>
      </c>
      <c r="R2911" s="85">
        <v>4</v>
      </c>
      <c r="S2911" s="55">
        <v>0</v>
      </c>
      <c r="T2911" s="74" t="s">
        <v>5426</v>
      </c>
      <c r="U2911" s="74" t="s">
        <v>351</v>
      </c>
      <c r="V2911" s="74">
        <v>44609</v>
      </c>
      <c r="W2911" s="74">
        <v>44652</v>
      </c>
      <c r="X2911" s="55">
        <v>10185982</v>
      </c>
      <c r="Y2911" s="55" t="s">
        <v>132</v>
      </c>
      <c r="AB2911" s="74" t="s">
        <v>132</v>
      </c>
      <c r="AC2911" s="55" t="s">
        <v>132</v>
      </c>
      <c r="AL2911" s="74"/>
      <c r="AM2911" s="74"/>
      <c r="AW2911" s="74"/>
      <c r="AX2911" s="74"/>
    </row>
    <row r="2912" spans="1:50" ht="13" x14ac:dyDescent="0.15">
      <c r="A2912" s="55" t="str">
        <f>HYPERLINK("http://reports.ofsted.gov.uk/inspection-reports/find-inspection-report/provider/CARE/SC408714","Ofsted Social Care Provider Webpage")</f>
        <v>Ofsted Social Care Provider Webpage</v>
      </c>
      <c r="B2912" s="55" t="s">
        <v>5427</v>
      </c>
      <c r="D2912" s="55" t="s">
        <v>373</v>
      </c>
      <c r="E2912" s="74">
        <v>40298</v>
      </c>
      <c r="F2912" s="55" t="s">
        <v>344</v>
      </c>
      <c r="G2912" s="55" t="s">
        <v>360</v>
      </c>
      <c r="H2912" s="55" t="s">
        <v>360</v>
      </c>
      <c r="I2912" s="55" t="s">
        <v>360</v>
      </c>
      <c r="J2912" s="55" t="s">
        <v>360</v>
      </c>
      <c r="K2912" s="55" t="s">
        <v>360</v>
      </c>
      <c r="L2912" s="55" t="s">
        <v>360</v>
      </c>
      <c r="M2912" s="55" t="s">
        <v>138</v>
      </c>
      <c r="N2912" s="55" t="s">
        <v>138</v>
      </c>
      <c r="O2912" s="55" t="s">
        <v>266</v>
      </c>
      <c r="P2912" s="55" t="s">
        <v>449</v>
      </c>
      <c r="Q2912" s="55" t="s">
        <v>350</v>
      </c>
      <c r="R2912" s="85">
        <v>6</v>
      </c>
      <c r="S2912" s="55">
        <v>0</v>
      </c>
      <c r="T2912" s="74" t="s">
        <v>1527</v>
      </c>
      <c r="U2912" s="74" t="s">
        <v>351</v>
      </c>
      <c r="V2912" s="74">
        <v>44593</v>
      </c>
      <c r="W2912" s="74">
        <v>44621</v>
      </c>
      <c r="X2912" s="55">
        <v>10186227</v>
      </c>
      <c r="Y2912" s="55" t="s">
        <v>140</v>
      </c>
      <c r="AB2912" s="74" t="s">
        <v>140</v>
      </c>
      <c r="AC2912" s="55" t="s">
        <v>140</v>
      </c>
      <c r="AL2912" s="74"/>
      <c r="AM2912" s="74"/>
      <c r="AW2912" s="74"/>
      <c r="AX2912" s="74"/>
    </row>
    <row r="2913" spans="1:50" ht="13" x14ac:dyDescent="0.15">
      <c r="A2913" s="55" t="str">
        <f>HYPERLINK("http://reports.ofsted.gov.uk/inspection-reports/find-inspection-report/provider/CARE/SC409413","Ofsted Social Care Provider Webpage")</f>
        <v>Ofsted Social Care Provider Webpage</v>
      </c>
      <c r="B2913" s="55" t="s">
        <v>5428</v>
      </c>
      <c r="D2913" s="55" t="s">
        <v>389</v>
      </c>
      <c r="E2913" s="74">
        <v>40359</v>
      </c>
      <c r="F2913" s="55" t="s">
        <v>344</v>
      </c>
      <c r="G2913" s="55" t="s">
        <v>5429</v>
      </c>
      <c r="H2913" s="55" t="s">
        <v>5430</v>
      </c>
      <c r="I2913" s="55" t="s">
        <v>354</v>
      </c>
      <c r="J2913" s="55" t="s">
        <v>5431</v>
      </c>
      <c r="K2913" s="55" t="s">
        <v>282</v>
      </c>
      <c r="L2913" s="55" t="s">
        <v>5432</v>
      </c>
      <c r="M2913" s="55" t="s">
        <v>142</v>
      </c>
      <c r="N2913" s="55" t="s">
        <v>142</v>
      </c>
      <c r="O2913" s="55" t="s">
        <v>282</v>
      </c>
      <c r="P2913" s="55" t="s">
        <v>3266</v>
      </c>
      <c r="Q2913" s="55" t="s">
        <v>350</v>
      </c>
      <c r="S2913" s="55">
        <v>0</v>
      </c>
      <c r="T2913" s="74" t="s">
        <v>5433</v>
      </c>
      <c r="U2913" s="74" t="s">
        <v>2053</v>
      </c>
      <c r="V2913" s="74">
        <v>44448</v>
      </c>
      <c r="W2913" s="74">
        <v>44481</v>
      </c>
      <c r="X2913" s="55">
        <v>10203194</v>
      </c>
      <c r="AL2913" s="74"/>
      <c r="AM2913" s="74"/>
      <c r="AW2913" s="74"/>
      <c r="AX2913" s="74"/>
    </row>
    <row r="2914" spans="1:50" ht="13" x14ac:dyDescent="0.15">
      <c r="A2914" s="55" t="str">
        <f>HYPERLINK("http://reports.ofsted.gov.uk/inspection-reports/find-inspection-report/provider/CARE/SC409413","Ofsted Social Care Provider Webpage")</f>
        <v>Ofsted Social Care Provider Webpage</v>
      </c>
      <c r="B2914" s="55" t="s">
        <v>5428</v>
      </c>
      <c r="D2914" s="55" t="s">
        <v>389</v>
      </c>
      <c r="E2914" s="74">
        <v>40359</v>
      </c>
      <c r="F2914" s="55" t="s">
        <v>344</v>
      </c>
      <c r="G2914" s="55" t="s">
        <v>5429</v>
      </c>
      <c r="H2914" s="55" t="s">
        <v>5430</v>
      </c>
      <c r="I2914" s="55" t="s">
        <v>354</v>
      </c>
      <c r="J2914" s="55" t="s">
        <v>5431</v>
      </c>
      <c r="K2914" s="55" t="s">
        <v>282</v>
      </c>
      <c r="L2914" s="55" t="s">
        <v>5432</v>
      </c>
      <c r="M2914" s="55" t="s">
        <v>142</v>
      </c>
      <c r="N2914" s="55" t="s">
        <v>142</v>
      </c>
      <c r="O2914" s="55" t="s">
        <v>282</v>
      </c>
      <c r="P2914" s="55" t="s">
        <v>3266</v>
      </c>
      <c r="Q2914" s="55" t="s">
        <v>350</v>
      </c>
      <c r="S2914" s="55">
        <v>0</v>
      </c>
      <c r="T2914" s="74" t="s">
        <v>5433</v>
      </c>
      <c r="U2914" s="74" t="s">
        <v>351</v>
      </c>
      <c r="V2914" s="74">
        <v>44305</v>
      </c>
      <c r="W2914" s="74">
        <v>44343</v>
      </c>
      <c r="X2914" s="55">
        <v>10183425</v>
      </c>
      <c r="Y2914" s="55" t="s">
        <v>130</v>
      </c>
      <c r="AB2914" s="74" t="s">
        <v>130</v>
      </c>
      <c r="AC2914" s="55" t="s">
        <v>146</v>
      </c>
      <c r="AL2914" s="74"/>
      <c r="AM2914" s="74"/>
    </row>
    <row r="2915" spans="1:50" ht="13" x14ac:dyDescent="0.15">
      <c r="A2915" s="55" t="str">
        <f>HYPERLINK("http://reports.ofsted.gov.uk/inspection-reports/find-inspection-report/provider/CARE/SC409413","Ofsted Social Care Provider Webpage")</f>
        <v>Ofsted Social Care Provider Webpage</v>
      </c>
      <c r="B2915" s="55" t="s">
        <v>5428</v>
      </c>
      <c r="D2915" s="55" t="s">
        <v>389</v>
      </c>
      <c r="E2915" s="74">
        <v>40359</v>
      </c>
      <c r="F2915" s="55" t="s">
        <v>344</v>
      </c>
      <c r="G2915" s="55" t="s">
        <v>5429</v>
      </c>
      <c r="H2915" s="55" t="s">
        <v>5430</v>
      </c>
      <c r="I2915" s="55" t="s">
        <v>354</v>
      </c>
      <c r="J2915" s="55" t="s">
        <v>5431</v>
      </c>
      <c r="K2915" s="55" t="s">
        <v>282</v>
      </c>
      <c r="L2915" s="55" t="s">
        <v>5432</v>
      </c>
      <c r="M2915" s="55" t="s">
        <v>142</v>
      </c>
      <c r="N2915" s="55" t="s">
        <v>142</v>
      </c>
      <c r="O2915" s="55" t="s">
        <v>282</v>
      </c>
      <c r="P2915" s="55" t="s">
        <v>3266</v>
      </c>
      <c r="Q2915" s="55" t="s">
        <v>350</v>
      </c>
      <c r="S2915" s="55">
        <v>0</v>
      </c>
      <c r="T2915" s="74" t="s">
        <v>5433</v>
      </c>
      <c r="U2915" s="74" t="s">
        <v>2053</v>
      </c>
      <c r="V2915" s="74">
        <v>44398</v>
      </c>
      <c r="W2915" s="74">
        <v>44452</v>
      </c>
      <c r="X2915" s="55">
        <v>10193522</v>
      </c>
      <c r="AL2915" s="74"/>
      <c r="AM2915" s="74"/>
      <c r="AW2915" s="74"/>
      <c r="AX2915" s="74"/>
    </row>
    <row r="2916" spans="1:50" ht="13" x14ac:dyDescent="0.15">
      <c r="A2916" s="55" t="str">
        <f>HYPERLINK("http://reports.ofsted.gov.uk/inspection-reports/find-inspection-report/provider/CARE/SC409502","Ofsted Social Care Provider Webpage")</f>
        <v>Ofsted Social Care Provider Webpage</v>
      </c>
      <c r="B2916" s="55" t="s">
        <v>5434</v>
      </c>
      <c r="D2916" s="55" t="s">
        <v>373</v>
      </c>
      <c r="E2916" s="74">
        <v>40268</v>
      </c>
      <c r="F2916" s="55" t="s">
        <v>344</v>
      </c>
      <c r="G2916" s="55" t="s">
        <v>360</v>
      </c>
      <c r="H2916" s="55" t="s">
        <v>360</v>
      </c>
      <c r="I2916" s="55" t="s">
        <v>360</v>
      </c>
      <c r="J2916" s="55" t="s">
        <v>360</v>
      </c>
      <c r="K2916" s="55" t="s">
        <v>360</v>
      </c>
      <c r="L2916" s="55" t="s">
        <v>360</v>
      </c>
      <c r="M2916" s="55" t="s">
        <v>138</v>
      </c>
      <c r="N2916" s="55" t="s">
        <v>138</v>
      </c>
      <c r="O2916" s="55" t="s">
        <v>137</v>
      </c>
      <c r="P2916" s="55" t="s">
        <v>137</v>
      </c>
      <c r="Q2916" s="55" t="s">
        <v>380</v>
      </c>
      <c r="R2916" s="85">
        <v>5</v>
      </c>
      <c r="S2916" s="55">
        <v>0</v>
      </c>
      <c r="T2916" s="74" t="s">
        <v>5435</v>
      </c>
      <c r="U2916" s="74" t="s">
        <v>351</v>
      </c>
      <c r="V2916" s="74">
        <v>44397</v>
      </c>
      <c r="W2916" s="74">
        <v>44426</v>
      </c>
      <c r="X2916" s="55">
        <v>10187080</v>
      </c>
      <c r="Y2916" s="55" t="s">
        <v>132</v>
      </c>
      <c r="AB2916" s="74" t="s">
        <v>132</v>
      </c>
      <c r="AC2916" s="55" t="s">
        <v>132</v>
      </c>
      <c r="AL2916" s="74"/>
      <c r="AM2916" s="74"/>
      <c r="AW2916" s="74"/>
      <c r="AX2916" s="74"/>
    </row>
    <row r="2917" spans="1:50" ht="13" x14ac:dyDescent="0.15">
      <c r="A2917" s="55" t="str">
        <f>HYPERLINK("http://reports.ofsted.gov.uk/inspection-reports/find-inspection-report/provider/CARE/SC409506","Ofsted Social Care Provider Webpage")</f>
        <v>Ofsted Social Care Provider Webpage</v>
      </c>
      <c r="B2917" s="55" t="s">
        <v>5436</v>
      </c>
      <c r="D2917" s="55" t="s">
        <v>373</v>
      </c>
      <c r="E2917" s="74">
        <v>40268</v>
      </c>
      <c r="F2917" s="55" t="s">
        <v>344</v>
      </c>
      <c r="G2917" s="55" t="s">
        <v>360</v>
      </c>
      <c r="H2917" s="55" t="s">
        <v>360</v>
      </c>
      <c r="I2917" s="55" t="s">
        <v>360</v>
      </c>
      <c r="J2917" s="55" t="s">
        <v>360</v>
      </c>
      <c r="K2917" s="55" t="s">
        <v>360</v>
      </c>
      <c r="L2917" s="55" t="s">
        <v>360</v>
      </c>
      <c r="M2917" s="55" t="s">
        <v>138</v>
      </c>
      <c r="N2917" s="55" t="s">
        <v>138</v>
      </c>
      <c r="O2917" s="55" t="s">
        <v>137</v>
      </c>
      <c r="P2917" s="55" t="s">
        <v>137</v>
      </c>
      <c r="Q2917" s="55" t="s">
        <v>380</v>
      </c>
      <c r="R2917" s="85">
        <v>7</v>
      </c>
      <c r="S2917" s="55" t="s">
        <v>332</v>
      </c>
      <c r="T2917" s="74" t="s">
        <v>5435</v>
      </c>
      <c r="U2917" s="74" t="s">
        <v>351</v>
      </c>
      <c r="V2917" s="74">
        <v>44370</v>
      </c>
      <c r="W2917" s="74">
        <v>44399</v>
      </c>
      <c r="X2917" s="55">
        <v>10185798</v>
      </c>
      <c r="Y2917" s="55" t="s">
        <v>132</v>
      </c>
      <c r="AB2917" s="74" t="s">
        <v>132</v>
      </c>
      <c r="AC2917" s="55" t="s">
        <v>132</v>
      </c>
      <c r="AL2917" s="74"/>
      <c r="AM2917" s="74"/>
      <c r="AW2917" s="74"/>
      <c r="AX2917" s="74"/>
    </row>
    <row r="2918" spans="1:50" ht="13" x14ac:dyDescent="0.15">
      <c r="A2918" s="55" t="str">
        <f>HYPERLINK("http://reports.ofsted.gov.uk/inspection-reports/find-inspection-report/provider/CARE/SC409738","Ofsted Social Care Provider Webpage")</f>
        <v>Ofsted Social Care Provider Webpage</v>
      </c>
      <c r="B2918" s="55" t="s">
        <v>5437</v>
      </c>
      <c r="D2918" s="55" t="s">
        <v>373</v>
      </c>
      <c r="E2918" s="74">
        <v>40350</v>
      </c>
      <c r="F2918" s="55" t="s">
        <v>344</v>
      </c>
      <c r="G2918" s="55" t="s">
        <v>360</v>
      </c>
      <c r="H2918" s="55" t="s">
        <v>360</v>
      </c>
      <c r="I2918" s="55" t="s">
        <v>360</v>
      </c>
      <c r="J2918" s="55" t="s">
        <v>360</v>
      </c>
      <c r="K2918" s="55" t="s">
        <v>360</v>
      </c>
      <c r="L2918" s="55" t="s">
        <v>360</v>
      </c>
      <c r="M2918" s="55" t="s">
        <v>144</v>
      </c>
      <c r="N2918" s="55" t="s">
        <v>144</v>
      </c>
      <c r="O2918" s="55" t="s">
        <v>207</v>
      </c>
      <c r="P2918" s="55" t="s">
        <v>207</v>
      </c>
      <c r="Q2918" s="55" t="s">
        <v>362</v>
      </c>
      <c r="R2918" s="85">
        <v>4</v>
      </c>
      <c r="S2918" s="55">
        <v>0</v>
      </c>
      <c r="T2918" s="74" t="s">
        <v>5438</v>
      </c>
      <c r="U2918" s="74" t="s">
        <v>2053</v>
      </c>
      <c r="V2918" s="74">
        <v>44442</v>
      </c>
      <c r="W2918" s="74">
        <v>44483</v>
      </c>
      <c r="X2918" s="55">
        <v>10203869</v>
      </c>
      <c r="AL2918" s="74"/>
      <c r="AM2918" s="74"/>
      <c r="AW2918" s="74"/>
      <c r="AX2918" s="74"/>
    </row>
    <row r="2919" spans="1:50" ht="13" x14ac:dyDescent="0.15">
      <c r="A2919" s="55" t="str">
        <f>HYPERLINK("http://reports.ofsted.gov.uk/inspection-reports/find-inspection-report/provider/CARE/SC409738","Ofsted Social Care Provider Webpage")</f>
        <v>Ofsted Social Care Provider Webpage</v>
      </c>
      <c r="B2919" s="55" t="s">
        <v>5437</v>
      </c>
      <c r="D2919" s="55" t="s">
        <v>373</v>
      </c>
      <c r="E2919" s="74">
        <v>40350</v>
      </c>
      <c r="F2919" s="55" t="s">
        <v>344</v>
      </c>
      <c r="G2919" s="55" t="s">
        <v>360</v>
      </c>
      <c r="H2919" s="55" t="s">
        <v>360</v>
      </c>
      <c r="I2919" s="55" t="s">
        <v>360</v>
      </c>
      <c r="J2919" s="55" t="s">
        <v>360</v>
      </c>
      <c r="K2919" s="55" t="s">
        <v>360</v>
      </c>
      <c r="L2919" s="55" t="s">
        <v>360</v>
      </c>
      <c r="M2919" s="55" t="s">
        <v>144</v>
      </c>
      <c r="N2919" s="55" t="s">
        <v>144</v>
      </c>
      <c r="O2919" s="55" t="s">
        <v>207</v>
      </c>
      <c r="P2919" s="55" t="s">
        <v>207</v>
      </c>
      <c r="Q2919" s="55" t="s">
        <v>362</v>
      </c>
      <c r="R2919" s="85">
        <v>4</v>
      </c>
      <c r="S2919" s="55">
        <v>0</v>
      </c>
      <c r="T2919" s="74" t="s">
        <v>5438</v>
      </c>
      <c r="U2919" s="74" t="s">
        <v>351</v>
      </c>
      <c r="V2919" s="74">
        <v>44391</v>
      </c>
      <c r="W2919" s="74">
        <v>44440</v>
      </c>
      <c r="X2919" s="55">
        <v>10185352</v>
      </c>
      <c r="Y2919" s="55" t="s">
        <v>146</v>
      </c>
      <c r="AB2919" s="74" t="s">
        <v>146</v>
      </c>
      <c r="AC2919" s="55" t="s">
        <v>146</v>
      </c>
      <c r="AL2919" s="74"/>
      <c r="AM2919" s="74"/>
      <c r="AW2919" s="74"/>
      <c r="AX2919" s="74"/>
    </row>
    <row r="2920" spans="1:50" ht="13" x14ac:dyDescent="0.15">
      <c r="A2920" s="55" t="str">
        <f>HYPERLINK("http://reports.ofsted.gov.uk/inspection-reports/find-inspection-report/provider/CARE/SC409738","Ofsted Social Care Provider Webpage")</f>
        <v>Ofsted Social Care Provider Webpage</v>
      </c>
      <c r="B2920" s="55" t="s">
        <v>5437</v>
      </c>
      <c r="D2920" s="55" t="s">
        <v>373</v>
      </c>
      <c r="E2920" s="74">
        <v>40350</v>
      </c>
      <c r="F2920" s="55" t="s">
        <v>344</v>
      </c>
      <c r="G2920" s="55" t="s">
        <v>360</v>
      </c>
      <c r="H2920" s="55" t="s">
        <v>360</v>
      </c>
      <c r="I2920" s="55" t="s">
        <v>360</v>
      </c>
      <c r="J2920" s="55" t="s">
        <v>360</v>
      </c>
      <c r="K2920" s="55" t="s">
        <v>360</v>
      </c>
      <c r="L2920" s="55" t="s">
        <v>360</v>
      </c>
      <c r="M2920" s="55" t="s">
        <v>144</v>
      </c>
      <c r="N2920" s="55" t="s">
        <v>144</v>
      </c>
      <c r="O2920" s="55" t="s">
        <v>207</v>
      </c>
      <c r="P2920" s="55" t="s">
        <v>207</v>
      </c>
      <c r="Q2920" s="55" t="s">
        <v>362</v>
      </c>
      <c r="R2920" s="85">
        <v>4</v>
      </c>
      <c r="S2920" s="55">
        <v>0</v>
      </c>
      <c r="T2920" s="74" t="s">
        <v>5438</v>
      </c>
      <c r="U2920" s="74" t="s">
        <v>351</v>
      </c>
      <c r="V2920" s="74">
        <v>44489</v>
      </c>
      <c r="W2920" s="74">
        <v>44559</v>
      </c>
      <c r="X2920" s="55">
        <v>10209370</v>
      </c>
      <c r="Y2920" s="55" t="s">
        <v>146</v>
      </c>
      <c r="AB2920" s="74" t="s">
        <v>146</v>
      </c>
      <c r="AC2920" s="55" t="s">
        <v>146</v>
      </c>
      <c r="AL2920" s="74"/>
      <c r="AM2920" s="74"/>
    </row>
    <row r="2921" spans="1:50" ht="13" x14ac:dyDescent="0.15">
      <c r="A2921" s="55" t="str">
        <f>HYPERLINK("http://reports.ofsted.gov.uk/inspection-reports/find-inspection-report/provider/CARE/SC409851","Ofsted Social Care Provider Webpage")</f>
        <v>Ofsted Social Care Provider Webpage</v>
      </c>
      <c r="B2921" s="55" t="s">
        <v>5439</v>
      </c>
      <c r="D2921" s="55" t="s">
        <v>373</v>
      </c>
      <c r="E2921" s="74">
        <v>40336</v>
      </c>
      <c r="F2921" s="55" t="s">
        <v>344</v>
      </c>
      <c r="G2921" s="55" t="s">
        <v>360</v>
      </c>
      <c r="H2921" s="55" t="s">
        <v>360</v>
      </c>
      <c r="I2921" s="55" t="s">
        <v>360</v>
      </c>
      <c r="J2921" s="55" t="s">
        <v>360</v>
      </c>
      <c r="K2921" s="55" t="s">
        <v>360</v>
      </c>
      <c r="L2921" s="55" t="s">
        <v>360</v>
      </c>
      <c r="M2921" s="55" t="s">
        <v>129</v>
      </c>
      <c r="N2921" s="55" t="s">
        <v>129</v>
      </c>
      <c r="O2921" s="55" t="s">
        <v>198</v>
      </c>
      <c r="P2921" s="55" t="s">
        <v>4550</v>
      </c>
      <c r="Q2921" s="55" t="s">
        <v>350</v>
      </c>
      <c r="R2921" s="85">
        <v>4</v>
      </c>
      <c r="S2921" s="55">
        <v>0</v>
      </c>
      <c r="T2921" s="74" t="s">
        <v>5440</v>
      </c>
      <c r="U2921" s="74" t="s">
        <v>351</v>
      </c>
      <c r="V2921" s="74">
        <v>44489</v>
      </c>
      <c r="W2921" s="74">
        <v>44524</v>
      </c>
      <c r="X2921" s="55">
        <v>10187505</v>
      </c>
      <c r="Y2921" s="55" t="s">
        <v>132</v>
      </c>
      <c r="AB2921" s="74" t="s">
        <v>132</v>
      </c>
      <c r="AC2921" s="55" t="s">
        <v>132</v>
      </c>
      <c r="AL2921" s="74"/>
      <c r="AM2921" s="74"/>
    </row>
    <row r="2922" spans="1:50" ht="13" x14ac:dyDescent="0.15">
      <c r="A2922" s="55" t="str">
        <f>HYPERLINK("http://reports.ofsted.gov.uk/inspection-reports/find-inspection-report/provider/CARE/SC410535","Ofsted Social Care Provider Webpage")</f>
        <v>Ofsted Social Care Provider Webpage</v>
      </c>
      <c r="B2922" s="55" t="s">
        <v>5441</v>
      </c>
      <c r="D2922" s="55" t="s">
        <v>373</v>
      </c>
      <c r="E2922" s="74">
        <v>40378</v>
      </c>
      <c r="F2922" s="55" t="s">
        <v>344</v>
      </c>
      <c r="G2922" s="55" t="s">
        <v>360</v>
      </c>
      <c r="H2922" s="55" t="s">
        <v>360</v>
      </c>
      <c r="I2922" s="55" t="s">
        <v>360</v>
      </c>
      <c r="J2922" s="55" t="s">
        <v>360</v>
      </c>
      <c r="K2922" s="55" t="s">
        <v>360</v>
      </c>
      <c r="L2922" s="55" t="s">
        <v>360</v>
      </c>
      <c r="M2922" s="55" t="s">
        <v>142</v>
      </c>
      <c r="N2922" s="55" t="s">
        <v>142</v>
      </c>
      <c r="O2922" s="55" t="s">
        <v>141</v>
      </c>
      <c r="P2922" s="55" t="s">
        <v>573</v>
      </c>
      <c r="Q2922" s="55" t="s">
        <v>350</v>
      </c>
      <c r="R2922" s="85">
        <v>3</v>
      </c>
      <c r="S2922" s="55">
        <v>0</v>
      </c>
      <c r="T2922" s="74" t="s">
        <v>727</v>
      </c>
      <c r="U2922" s="74" t="s">
        <v>351</v>
      </c>
      <c r="V2922" s="74">
        <v>44536</v>
      </c>
      <c r="W2922" s="74">
        <v>44595</v>
      </c>
      <c r="X2922" s="55">
        <v>10185423</v>
      </c>
      <c r="Y2922" s="55" t="s">
        <v>130</v>
      </c>
      <c r="AB2922" s="74" t="s">
        <v>130</v>
      </c>
      <c r="AC2922" s="55" t="s">
        <v>130</v>
      </c>
      <c r="AL2922" s="74"/>
      <c r="AM2922" s="74"/>
    </row>
    <row r="2923" spans="1:50" ht="13" x14ac:dyDescent="0.15">
      <c r="A2923" s="55" t="str">
        <f>HYPERLINK("http://reports.ofsted.gov.uk/inspection-reports/find-inspection-report/provider/CARE/SC410535","Ofsted Social Care Provider Webpage")</f>
        <v>Ofsted Social Care Provider Webpage</v>
      </c>
      <c r="B2923" s="55" t="s">
        <v>5441</v>
      </c>
      <c r="D2923" s="55" t="s">
        <v>373</v>
      </c>
      <c r="E2923" s="74">
        <v>40378</v>
      </c>
      <c r="F2923" s="55" t="s">
        <v>344</v>
      </c>
      <c r="G2923" s="55" t="s">
        <v>360</v>
      </c>
      <c r="H2923" s="55" t="s">
        <v>360</v>
      </c>
      <c r="I2923" s="55" t="s">
        <v>360</v>
      </c>
      <c r="J2923" s="55" t="s">
        <v>360</v>
      </c>
      <c r="K2923" s="55" t="s">
        <v>360</v>
      </c>
      <c r="L2923" s="55" t="s">
        <v>360</v>
      </c>
      <c r="M2923" s="55" t="s">
        <v>142</v>
      </c>
      <c r="N2923" s="55" t="s">
        <v>142</v>
      </c>
      <c r="O2923" s="55" t="s">
        <v>141</v>
      </c>
      <c r="P2923" s="55" t="s">
        <v>573</v>
      </c>
      <c r="Q2923" s="55" t="s">
        <v>350</v>
      </c>
      <c r="R2923" s="85">
        <v>3</v>
      </c>
      <c r="S2923" s="55">
        <v>0</v>
      </c>
      <c r="T2923" s="74" t="s">
        <v>727</v>
      </c>
      <c r="U2923" s="74" t="s">
        <v>6703</v>
      </c>
      <c r="V2923" s="74">
        <v>44622</v>
      </c>
      <c r="W2923" s="74">
        <v>44665</v>
      </c>
      <c r="X2923" s="55">
        <v>10219373</v>
      </c>
      <c r="Y2923" s="55" t="s">
        <v>6704</v>
      </c>
      <c r="AL2923" s="74"/>
      <c r="AM2923" s="74"/>
    </row>
    <row r="2924" spans="1:50" ht="13" x14ac:dyDescent="0.15">
      <c r="A2924" s="55" t="str">
        <f>HYPERLINK("http://reports.ofsted.gov.uk/inspection-reports/find-inspection-report/provider/CARE/SC410537","Ofsted Social Care Provider Webpage")</f>
        <v>Ofsted Social Care Provider Webpage</v>
      </c>
      <c r="B2924" s="55" t="s">
        <v>5442</v>
      </c>
      <c r="D2924" s="55" t="s">
        <v>373</v>
      </c>
      <c r="E2924" s="74">
        <v>40358</v>
      </c>
      <c r="F2924" s="55" t="s">
        <v>344</v>
      </c>
      <c r="G2924" s="55" t="s">
        <v>360</v>
      </c>
      <c r="H2924" s="55" t="s">
        <v>360</v>
      </c>
      <c r="I2924" s="55" t="s">
        <v>360</v>
      </c>
      <c r="J2924" s="55" t="s">
        <v>360</v>
      </c>
      <c r="K2924" s="55" t="s">
        <v>360</v>
      </c>
      <c r="L2924" s="55" t="s">
        <v>360</v>
      </c>
      <c r="M2924" s="55" t="s">
        <v>142</v>
      </c>
      <c r="N2924" s="55" t="s">
        <v>142</v>
      </c>
      <c r="O2924" s="55" t="s">
        <v>141</v>
      </c>
      <c r="P2924" s="55" t="s">
        <v>1226</v>
      </c>
      <c r="Q2924" s="55" t="s">
        <v>350</v>
      </c>
      <c r="R2924" s="85">
        <v>3</v>
      </c>
      <c r="S2924" s="55">
        <v>0</v>
      </c>
      <c r="T2924" s="74" t="s">
        <v>727</v>
      </c>
      <c r="U2924" s="74" t="s">
        <v>351</v>
      </c>
      <c r="V2924" s="74">
        <v>44607</v>
      </c>
      <c r="W2924" s="74">
        <v>44651</v>
      </c>
      <c r="X2924" s="55">
        <v>10187064</v>
      </c>
      <c r="Y2924" s="55" t="s">
        <v>132</v>
      </c>
      <c r="AB2924" s="74" t="s">
        <v>132</v>
      </c>
      <c r="AC2924" s="55" t="s">
        <v>132</v>
      </c>
      <c r="AL2924" s="74"/>
      <c r="AM2924" s="74"/>
      <c r="AW2924" s="74"/>
      <c r="AX2924" s="74"/>
    </row>
    <row r="2925" spans="1:50" ht="13" x14ac:dyDescent="0.15">
      <c r="A2925" s="55" t="str">
        <f>HYPERLINK("http://reports.ofsted.gov.uk/inspection-reports/find-inspection-report/provider/CARE/SC410539","Ofsted Social Care Provider Webpage")</f>
        <v>Ofsted Social Care Provider Webpage</v>
      </c>
      <c r="B2925" s="55" t="s">
        <v>5443</v>
      </c>
      <c r="D2925" s="55" t="s">
        <v>373</v>
      </c>
      <c r="E2925" s="74">
        <v>40358</v>
      </c>
      <c r="F2925" s="55" t="s">
        <v>344</v>
      </c>
      <c r="G2925" s="55" t="s">
        <v>360</v>
      </c>
      <c r="H2925" s="55" t="s">
        <v>360</v>
      </c>
      <c r="I2925" s="55" t="s">
        <v>360</v>
      </c>
      <c r="J2925" s="55" t="s">
        <v>360</v>
      </c>
      <c r="K2925" s="55" t="s">
        <v>360</v>
      </c>
      <c r="L2925" s="55" t="s">
        <v>360</v>
      </c>
      <c r="M2925" s="55" t="s">
        <v>142</v>
      </c>
      <c r="N2925" s="55" t="s">
        <v>142</v>
      </c>
      <c r="O2925" s="55" t="s">
        <v>141</v>
      </c>
      <c r="P2925" s="55" t="s">
        <v>573</v>
      </c>
      <c r="Q2925" s="55" t="s">
        <v>350</v>
      </c>
      <c r="R2925" s="85">
        <v>3</v>
      </c>
      <c r="S2925" s="55">
        <v>0</v>
      </c>
      <c r="T2925" s="74" t="s">
        <v>727</v>
      </c>
      <c r="U2925" s="74" t="s">
        <v>351</v>
      </c>
      <c r="V2925" s="74">
        <v>44614</v>
      </c>
      <c r="W2925" s="74">
        <v>44651</v>
      </c>
      <c r="X2925" s="55">
        <v>10186165</v>
      </c>
      <c r="Y2925" s="55" t="s">
        <v>132</v>
      </c>
      <c r="AB2925" s="74" t="s">
        <v>130</v>
      </c>
      <c r="AC2925" s="55" t="s">
        <v>132</v>
      </c>
      <c r="AL2925" s="74"/>
      <c r="AM2925" s="74"/>
      <c r="AW2925" s="74"/>
      <c r="AX2925" s="74"/>
    </row>
    <row r="2926" spans="1:50" ht="13" x14ac:dyDescent="0.15">
      <c r="A2926" s="55" t="str">
        <f>HYPERLINK("http://reports.ofsted.gov.uk/inspection-reports/find-inspection-report/provider/CARE/SC410545","Ofsted Social Care Provider Webpage")</f>
        <v>Ofsted Social Care Provider Webpage</v>
      </c>
      <c r="B2926" s="55" t="s">
        <v>5444</v>
      </c>
      <c r="D2926" s="55" t="s">
        <v>373</v>
      </c>
      <c r="E2926" s="74">
        <v>40387</v>
      </c>
      <c r="F2926" s="55" t="s">
        <v>344</v>
      </c>
      <c r="G2926" s="55" t="s">
        <v>360</v>
      </c>
      <c r="H2926" s="55" t="s">
        <v>360</v>
      </c>
      <c r="I2926" s="55" t="s">
        <v>360</v>
      </c>
      <c r="J2926" s="55" t="s">
        <v>360</v>
      </c>
      <c r="K2926" s="55" t="s">
        <v>360</v>
      </c>
      <c r="L2926" s="55" t="s">
        <v>360</v>
      </c>
      <c r="M2926" s="55" t="s">
        <v>142</v>
      </c>
      <c r="N2926" s="55" t="s">
        <v>142</v>
      </c>
      <c r="O2926" s="55" t="s">
        <v>141</v>
      </c>
      <c r="P2926" s="55" t="s">
        <v>573</v>
      </c>
      <c r="Q2926" s="55" t="s">
        <v>350</v>
      </c>
      <c r="R2926" s="85">
        <v>2</v>
      </c>
      <c r="S2926" s="55">
        <v>0</v>
      </c>
      <c r="T2926" s="74" t="s">
        <v>727</v>
      </c>
      <c r="U2926" s="74" t="s">
        <v>351</v>
      </c>
      <c r="V2926" s="74">
        <v>44391</v>
      </c>
      <c r="W2926" s="74">
        <v>44418</v>
      </c>
      <c r="X2926" s="55">
        <v>10185998</v>
      </c>
      <c r="Y2926" s="55" t="s">
        <v>132</v>
      </c>
      <c r="AB2926" s="74" t="s">
        <v>132</v>
      </c>
      <c r="AC2926" s="55" t="s">
        <v>132</v>
      </c>
      <c r="AL2926" s="74"/>
      <c r="AM2926" s="74"/>
    </row>
    <row r="2927" spans="1:50" ht="13" x14ac:dyDescent="0.15">
      <c r="A2927" s="55" t="str">
        <f>HYPERLINK("http://reports.ofsted.gov.uk/inspection-reports/find-inspection-report/provider/CARE/SC411030","Ofsted Social Care Provider Webpage")</f>
        <v>Ofsted Social Care Provider Webpage</v>
      </c>
      <c r="B2927" s="55" t="s">
        <v>5445</v>
      </c>
      <c r="D2927" s="55" t="s">
        <v>373</v>
      </c>
      <c r="E2927" s="74">
        <v>40336</v>
      </c>
      <c r="F2927" s="55" t="s">
        <v>344</v>
      </c>
      <c r="G2927" s="55" t="s">
        <v>360</v>
      </c>
      <c r="H2927" s="55" t="s">
        <v>360</v>
      </c>
      <c r="I2927" s="55" t="s">
        <v>360</v>
      </c>
      <c r="J2927" s="55" t="s">
        <v>360</v>
      </c>
      <c r="K2927" s="55" t="s">
        <v>360</v>
      </c>
      <c r="L2927" s="55" t="s">
        <v>360</v>
      </c>
      <c r="M2927" s="55" t="s">
        <v>144</v>
      </c>
      <c r="N2927" s="55" t="s">
        <v>144</v>
      </c>
      <c r="O2927" s="55" t="s">
        <v>245</v>
      </c>
      <c r="P2927" s="55" t="s">
        <v>1796</v>
      </c>
      <c r="Q2927" s="55" t="s">
        <v>350</v>
      </c>
      <c r="R2927" s="85">
        <v>3</v>
      </c>
      <c r="S2927" s="55">
        <v>0</v>
      </c>
      <c r="T2927" s="74" t="s">
        <v>613</v>
      </c>
      <c r="U2927" s="74" t="s">
        <v>351</v>
      </c>
      <c r="V2927" s="74">
        <v>44593</v>
      </c>
      <c r="W2927" s="74">
        <v>44622</v>
      </c>
      <c r="X2927" s="55">
        <v>10185044</v>
      </c>
      <c r="Y2927" s="55" t="s">
        <v>130</v>
      </c>
      <c r="AB2927" s="74" t="s">
        <v>130</v>
      </c>
      <c r="AC2927" s="55" t="s">
        <v>132</v>
      </c>
      <c r="AL2927" s="74"/>
      <c r="AM2927" s="74"/>
      <c r="AW2927" s="74"/>
      <c r="AX2927" s="74"/>
    </row>
    <row r="2928" spans="1:50" ht="13" x14ac:dyDescent="0.15">
      <c r="A2928" s="55" t="str">
        <f>HYPERLINK("http://reports.ofsted.gov.uk/inspection-reports/find-inspection-report/provider/CARE/SC411046","Ofsted Social Care Provider Webpage")</f>
        <v>Ofsted Social Care Provider Webpage</v>
      </c>
      <c r="B2928" s="55" t="s">
        <v>5446</v>
      </c>
      <c r="D2928" s="55" t="s">
        <v>373</v>
      </c>
      <c r="E2928" s="74">
        <v>40385</v>
      </c>
      <c r="F2928" s="55" t="s">
        <v>344</v>
      </c>
      <c r="G2928" s="55" t="s">
        <v>360</v>
      </c>
      <c r="H2928" s="55" t="s">
        <v>360</v>
      </c>
      <c r="I2928" s="55" t="s">
        <v>360</v>
      </c>
      <c r="J2928" s="55" t="s">
        <v>360</v>
      </c>
      <c r="K2928" s="55" t="s">
        <v>360</v>
      </c>
      <c r="L2928" s="55" t="s">
        <v>360</v>
      </c>
      <c r="M2928" s="55" t="s">
        <v>144</v>
      </c>
      <c r="N2928" s="55" t="s">
        <v>144</v>
      </c>
      <c r="O2928" s="55" t="s">
        <v>209</v>
      </c>
      <c r="P2928" s="55" t="s">
        <v>650</v>
      </c>
      <c r="Q2928" s="55" t="s">
        <v>350</v>
      </c>
      <c r="R2928" s="85">
        <v>3</v>
      </c>
      <c r="S2928" s="55">
        <v>0</v>
      </c>
      <c r="T2928" s="74" t="s">
        <v>4468</v>
      </c>
      <c r="U2928" s="74" t="s">
        <v>351</v>
      </c>
      <c r="V2928" s="74">
        <v>44369</v>
      </c>
      <c r="W2928" s="74">
        <v>44407</v>
      </c>
      <c r="X2928" s="55">
        <v>10186497</v>
      </c>
      <c r="Y2928" s="55" t="s">
        <v>130</v>
      </c>
      <c r="AB2928" s="74" t="s">
        <v>130</v>
      </c>
      <c r="AC2928" s="55" t="s">
        <v>130</v>
      </c>
      <c r="AL2928" s="74"/>
      <c r="AM2928" s="74"/>
      <c r="AW2928" s="74"/>
      <c r="AX2928" s="74"/>
    </row>
    <row r="2929" spans="1:50" ht="13" x14ac:dyDescent="0.15">
      <c r="A2929" s="55" t="str">
        <f>HYPERLINK("http://reports.ofsted.gov.uk/inspection-reports/find-inspection-report/provider/CARE/SC411046","Ofsted Social Care Provider Webpage")</f>
        <v>Ofsted Social Care Provider Webpage</v>
      </c>
      <c r="B2929" s="55" t="s">
        <v>5446</v>
      </c>
      <c r="D2929" s="55" t="s">
        <v>373</v>
      </c>
      <c r="E2929" s="74">
        <v>40385</v>
      </c>
      <c r="F2929" s="55" t="s">
        <v>344</v>
      </c>
      <c r="G2929" s="55" t="s">
        <v>360</v>
      </c>
      <c r="H2929" s="55" t="s">
        <v>360</v>
      </c>
      <c r="I2929" s="55" t="s">
        <v>360</v>
      </c>
      <c r="J2929" s="55" t="s">
        <v>360</v>
      </c>
      <c r="K2929" s="55" t="s">
        <v>360</v>
      </c>
      <c r="L2929" s="55" t="s">
        <v>360</v>
      </c>
      <c r="M2929" s="55" t="s">
        <v>144</v>
      </c>
      <c r="N2929" s="55" t="s">
        <v>144</v>
      </c>
      <c r="O2929" s="55" t="s">
        <v>209</v>
      </c>
      <c r="P2929" s="55" t="s">
        <v>650</v>
      </c>
      <c r="Q2929" s="55" t="s">
        <v>350</v>
      </c>
      <c r="R2929" s="85">
        <v>3</v>
      </c>
      <c r="S2929" s="55">
        <v>0</v>
      </c>
      <c r="T2929" s="74" t="s">
        <v>4468</v>
      </c>
      <c r="U2929" s="74" t="s">
        <v>2053</v>
      </c>
      <c r="V2929" s="74">
        <v>44601</v>
      </c>
      <c r="W2929" s="74">
        <v>44635</v>
      </c>
      <c r="X2929" s="55">
        <v>10219519</v>
      </c>
      <c r="AL2929" s="74"/>
      <c r="AM2929" s="74"/>
      <c r="AW2929" s="74"/>
      <c r="AX2929" s="74"/>
    </row>
    <row r="2930" spans="1:50" ht="13" x14ac:dyDescent="0.15">
      <c r="A2930" s="55" t="str">
        <f>HYPERLINK("http://reports.ofsted.gov.uk/inspection-reports/find-inspection-report/provider/CARE/SC411046","Ofsted Social Care Provider Webpage")</f>
        <v>Ofsted Social Care Provider Webpage</v>
      </c>
      <c r="B2930" s="55" t="s">
        <v>5446</v>
      </c>
      <c r="D2930" s="55" t="s">
        <v>373</v>
      </c>
      <c r="E2930" s="74">
        <v>40385</v>
      </c>
      <c r="F2930" s="55" t="s">
        <v>344</v>
      </c>
      <c r="G2930" s="55" t="s">
        <v>360</v>
      </c>
      <c r="H2930" s="55" t="s">
        <v>360</v>
      </c>
      <c r="I2930" s="55" t="s">
        <v>360</v>
      </c>
      <c r="J2930" s="55" t="s">
        <v>360</v>
      </c>
      <c r="K2930" s="55" t="s">
        <v>360</v>
      </c>
      <c r="L2930" s="55" t="s">
        <v>360</v>
      </c>
      <c r="M2930" s="55" t="s">
        <v>144</v>
      </c>
      <c r="N2930" s="55" t="s">
        <v>144</v>
      </c>
      <c r="O2930" s="55" t="s">
        <v>209</v>
      </c>
      <c r="P2930" s="55" t="s">
        <v>650</v>
      </c>
      <c r="Q2930" s="55" t="s">
        <v>350</v>
      </c>
      <c r="R2930" s="85">
        <v>3</v>
      </c>
      <c r="S2930" s="55">
        <v>0</v>
      </c>
      <c r="T2930" s="74" t="s">
        <v>4468</v>
      </c>
      <c r="U2930" s="74" t="s">
        <v>6703</v>
      </c>
      <c r="V2930" s="74">
        <v>44565</v>
      </c>
      <c r="W2930" s="74">
        <v>44599</v>
      </c>
      <c r="X2930" s="55">
        <v>10209619</v>
      </c>
      <c r="Y2930" s="55" t="s">
        <v>6704</v>
      </c>
      <c r="AL2930" s="74"/>
      <c r="AM2930" s="74"/>
      <c r="AW2930" s="74"/>
      <c r="AX2930" s="74"/>
    </row>
    <row r="2931" spans="1:50" ht="13" x14ac:dyDescent="0.15">
      <c r="A2931" s="55" t="str">
        <f>HYPERLINK("http://reports.ofsted.gov.uk/inspection-reports/find-inspection-report/provider/CARE/SC411074","Ofsted Social Care Provider Webpage")</f>
        <v>Ofsted Social Care Provider Webpage</v>
      </c>
      <c r="B2931" s="55" t="s">
        <v>5447</v>
      </c>
      <c r="D2931" s="55" t="s">
        <v>373</v>
      </c>
      <c r="E2931" s="74">
        <v>40336</v>
      </c>
      <c r="F2931" s="55" t="s">
        <v>344</v>
      </c>
      <c r="G2931" s="55" t="s">
        <v>360</v>
      </c>
      <c r="H2931" s="55" t="s">
        <v>360</v>
      </c>
      <c r="I2931" s="55" t="s">
        <v>360</v>
      </c>
      <c r="J2931" s="55" t="s">
        <v>360</v>
      </c>
      <c r="K2931" s="55" t="s">
        <v>360</v>
      </c>
      <c r="L2931" s="55" t="s">
        <v>360</v>
      </c>
      <c r="M2931" s="55" t="s">
        <v>142</v>
      </c>
      <c r="N2931" s="55" t="s">
        <v>142</v>
      </c>
      <c r="O2931" s="55" t="s">
        <v>265</v>
      </c>
      <c r="P2931" s="55" t="s">
        <v>1066</v>
      </c>
      <c r="Q2931" s="55" t="s">
        <v>350</v>
      </c>
      <c r="R2931" s="85">
        <v>1</v>
      </c>
      <c r="S2931" s="55">
        <v>0</v>
      </c>
      <c r="T2931" s="74" t="s">
        <v>910</v>
      </c>
      <c r="U2931" s="74" t="s">
        <v>351</v>
      </c>
      <c r="V2931" s="74">
        <v>44481</v>
      </c>
      <c r="W2931" s="74">
        <v>44509</v>
      </c>
      <c r="X2931" s="55">
        <v>10185775</v>
      </c>
      <c r="Y2931" s="55" t="s">
        <v>132</v>
      </c>
      <c r="AB2931" s="74" t="s">
        <v>132</v>
      </c>
      <c r="AC2931" s="55" t="s">
        <v>132</v>
      </c>
      <c r="AL2931" s="74"/>
      <c r="AM2931" s="74"/>
      <c r="AW2931" s="74"/>
      <c r="AX2931" s="74"/>
    </row>
    <row r="2932" spans="1:50" ht="13" x14ac:dyDescent="0.15">
      <c r="A2932" s="55" t="str">
        <f>HYPERLINK("http://reports.ofsted.gov.uk/inspection-reports/find-inspection-report/provider/CARE/SC411142","Ofsted Social Care Provider Webpage")</f>
        <v>Ofsted Social Care Provider Webpage</v>
      </c>
      <c r="B2932" s="55" t="s">
        <v>5448</v>
      </c>
      <c r="D2932" s="55" t="s">
        <v>373</v>
      </c>
      <c r="E2932" s="74">
        <v>40332</v>
      </c>
      <c r="F2932" s="55" t="s">
        <v>344</v>
      </c>
      <c r="G2932" s="55" t="s">
        <v>360</v>
      </c>
      <c r="H2932" s="55" t="s">
        <v>360</v>
      </c>
      <c r="I2932" s="55" t="s">
        <v>360</v>
      </c>
      <c r="J2932" s="55" t="s">
        <v>360</v>
      </c>
      <c r="K2932" s="55" t="s">
        <v>360</v>
      </c>
      <c r="L2932" s="55" t="s">
        <v>360</v>
      </c>
      <c r="M2932" s="55" t="s">
        <v>142</v>
      </c>
      <c r="N2932" s="55" t="s">
        <v>142</v>
      </c>
      <c r="O2932" s="55" t="s">
        <v>252</v>
      </c>
      <c r="P2932" s="55" t="s">
        <v>386</v>
      </c>
      <c r="Q2932" s="55" t="s">
        <v>350</v>
      </c>
      <c r="R2932" s="85">
        <v>1</v>
      </c>
      <c r="S2932" s="55">
        <v>0</v>
      </c>
      <c r="T2932" s="74" t="s">
        <v>1260</v>
      </c>
      <c r="U2932" s="74" t="s">
        <v>6703</v>
      </c>
      <c r="V2932" s="74">
        <v>44636</v>
      </c>
      <c r="W2932" s="74">
        <v>44680</v>
      </c>
      <c r="X2932" s="55">
        <v>10217203</v>
      </c>
      <c r="Y2932" s="55" t="s">
        <v>6705</v>
      </c>
      <c r="AL2932" s="74"/>
      <c r="AM2932" s="74"/>
      <c r="AW2932" s="74"/>
      <c r="AX2932" s="74"/>
    </row>
    <row r="2933" spans="1:50" ht="13" x14ac:dyDescent="0.15">
      <c r="A2933" s="55" t="str">
        <f>HYPERLINK("http://reports.ofsted.gov.uk/inspection-reports/find-inspection-report/provider/CARE/SC411142","Ofsted Social Care Provider Webpage")</f>
        <v>Ofsted Social Care Provider Webpage</v>
      </c>
      <c r="B2933" s="55" t="s">
        <v>5448</v>
      </c>
      <c r="D2933" s="55" t="s">
        <v>373</v>
      </c>
      <c r="E2933" s="74">
        <v>40332</v>
      </c>
      <c r="F2933" s="55" t="s">
        <v>344</v>
      </c>
      <c r="G2933" s="55" t="s">
        <v>360</v>
      </c>
      <c r="H2933" s="55" t="s">
        <v>360</v>
      </c>
      <c r="I2933" s="55" t="s">
        <v>360</v>
      </c>
      <c r="J2933" s="55" t="s">
        <v>360</v>
      </c>
      <c r="K2933" s="55" t="s">
        <v>360</v>
      </c>
      <c r="L2933" s="55" t="s">
        <v>360</v>
      </c>
      <c r="M2933" s="55" t="s">
        <v>142</v>
      </c>
      <c r="N2933" s="55" t="s">
        <v>142</v>
      </c>
      <c r="O2933" s="55" t="s">
        <v>252</v>
      </c>
      <c r="P2933" s="55" t="s">
        <v>386</v>
      </c>
      <c r="Q2933" s="55" t="s">
        <v>350</v>
      </c>
      <c r="R2933" s="85">
        <v>1</v>
      </c>
      <c r="S2933" s="55">
        <v>0</v>
      </c>
      <c r="T2933" s="74" t="s">
        <v>1260</v>
      </c>
      <c r="U2933" s="74" t="s">
        <v>351</v>
      </c>
      <c r="V2933" s="74">
        <v>44487</v>
      </c>
      <c r="W2933" s="74">
        <v>44519</v>
      </c>
      <c r="X2933" s="55">
        <v>10187224</v>
      </c>
      <c r="Y2933" s="55" t="s">
        <v>130</v>
      </c>
      <c r="AB2933" s="74" t="s">
        <v>130</v>
      </c>
      <c r="AC2933" s="55" t="s">
        <v>130</v>
      </c>
      <c r="AL2933" s="74"/>
      <c r="AM2933" s="74"/>
    </row>
    <row r="2934" spans="1:50" ht="13" x14ac:dyDescent="0.15">
      <c r="A2934" s="55" t="str">
        <f>HYPERLINK("http://reports.ofsted.gov.uk/inspection-reports/find-inspection-report/provider/CARE/SC411616","Ofsted Social Care Provider Webpage")</f>
        <v>Ofsted Social Care Provider Webpage</v>
      </c>
      <c r="B2934" s="55" t="s">
        <v>5454</v>
      </c>
      <c r="D2934" s="55" t="s">
        <v>373</v>
      </c>
      <c r="E2934" s="74">
        <v>40346</v>
      </c>
      <c r="F2934" s="55" t="s">
        <v>344</v>
      </c>
      <c r="G2934" s="55" t="s">
        <v>360</v>
      </c>
      <c r="H2934" s="55" t="s">
        <v>360</v>
      </c>
      <c r="I2934" s="55" t="s">
        <v>360</v>
      </c>
      <c r="J2934" s="55" t="s">
        <v>360</v>
      </c>
      <c r="K2934" s="55" t="s">
        <v>360</v>
      </c>
      <c r="L2934" s="55" t="s">
        <v>360</v>
      </c>
      <c r="M2934" s="55" t="s">
        <v>150</v>
      </c>
      <c r="N2934" s="55" t="s">
        <v>150</v>
      </c>
      <c r="O2934" s="55" t="s">
        <v>291</v>
      </c>
      <c r="P2934" s="55" t="s">
        <v>1756</v>
      </c>
      <c r="Q2934" s="55" t="s">
        <v>350</v>
      </c>
      <c r="R2934" s="85">
        <v>3</v>
      </c>
      <c r="S2934" s="55">
        <v>0</v>
      </c>
      <c r="T2934" s="74" t="s">
        <v>755</v>
      </c>
      <c r="U2934" s="74" t="s">
        <v>351</v>
      </c>
      <c r="V2934" s="74">
        <v>44538</v>
      </c>
      <c r="W2934" s="74">
        <v>44601</v>
      </c>
      <c r="X2934" s="55">
        <v>10186743</v>
      </c>
      <c r="Y2934" s="55" t="s">
        <v>132</v>
      </c>
      <c r="AB2934" s="74" t="s">
        <v>132</v>
      </c>
      <c r="AC2934" s="55" t="s">
        <v>132</v>
      </c>
      <c r="AL2934" s="74"/>
      <c r="AM2934" s="74"/>
    </row>
    <row r="2935" spans="1:50" ht="13" x14ac:dyDescent="0.15">
      <c r="A2935" s="55" t="str">
        <f>HYPERLINK("http://reports.ofsted.gov.uk/inspection-reports/find-inspection-report/provider/CARE/SC411743","Ofsted Social Care Provider Webpage")</f>
        <v>Ofsted Social Care Provider Webpage</v>
      </c>
      <c r="B2935" s="55" t="s">
        <v>5455</v>
      </c>
      <c r="D2935" s="55" t="s">
        <v>443</v>
      </c>
      <c r="E2935" s="74">
        <v>40387</v>
      </c>
      <c r="F2935" s="55" t="s">
        <v>344</v>
      </c>
      <c r="G2935" s="55" t="s">
        <v>5456</v>
      </c>
      <c r="H2935" s="55" t="s">
        <v>5457</v>
      </c>
      <c r="I2935" s="55" t="s">
        <v>5458</v>
      </c>
      <c r="J2935" s="55" t="s">
        <v>5459</v>
      </c>
      <c r="L2935" s="55" t="s">
        <v>5460</v>
      </c>
      <c r="M2935" s="55" t="s">
        <v>144</v>
      </c>
      <c r="N2935" s="55" t="s">
        <v>144</v>
      </c>
      <c r="O2935" s="55" t="s">
        <v>248</v>
      </c>
      <c r="P2935" s="55" t="s">
        <v>439</v>
      </c>
      <c r="Q2935" s="55" t="s">
        <v>362</v>
      </c>
      <c r="S2935" s="55">
        <v>0</v>
      </c>
      <c r="T2935" s="74" t="s">
        <v>5457</v>
      </c>
      <c r="U2935" s="74" t="s">
        <v>351</v>
      </c>
      <c r="V2935" s="74">
        <v>44389</v>
      </c>
      <c r="W2935" s="74">
        <v>44428</v>
      </c>
      <c r="X2935" s="55">
        <v>10183297</v>
      </c>
      <c r="Y2935" s="55" t="s">
        <v>130</v>
      </c>
      <c r="AB2935" s="74" t="s">
        <v>130</v>
      </c>
      <c r="AC2935" s="55" t="s">
        <v>146</v>
      </c>
      <c r="AL2935" s="74"/>
      <c r="AM2935" s="74"/>
    </row>
    <row r="2936" spans="1:50" ht="13" x14ac:dyDescent="0.15">
      <c r="A2936" s="55" t="str">
        <f>HYPERLINK("http://reports.ofsted.gov.uk/inspection-reports/find-inspection-report/provider/CARE/SC411825","Ofsted Social Care Provider Webpage")</f>
        <v>Ofsted Social Care Provider Webpage</v>
      </c>
      <c r="B2936" s="55" t="s">
        <v>5461</v>
      </c>
      <c r="D2936" s="55" t="s">
        <v>373</v>
      </c>
      <c r="E2936" s="74">
        <v>40346</v>
      </c>
      <c r="F2936" s="55" t="s">
        <v>344</v>
      </c>
      <c r="G2936" s="55" t="s">
        <v>360</v>
      </c>
      <c r="H2936" s="55" t="s">
        <v>360</v>
      </c>
      <c r="I2936" s="55" t="s">
        <v>360</v>
      </c>
      <c r="J2936" s="55" t="s">
        <v>360</v>
      </c>
      <c r="K2936" s="55" t="s">
        <v>360</v>
      </c>
      <c r="L2936" s="55" t="s">
        <v>360</v>
      </c>
      <c r="M2936" s="55" t="s">
        <v>144</v>
      </c>
      <c r="N2936" s="55" t="s">
        <v>144</v>
      </c>
      <c r="O2936" s="55" t="s">
        <v>287</v>
      </c>
      <c r="P2936" s="55" t="s">
        <v>1103</v>
      </c>
      <c r="Q2936" s="55" t="s">
        <v>350</v>
      </c>
      <c r="R2936" s="85">
        <v>2</v>
      </c>
      <c r="S2936" s="55">
        <v>0</v>
      </c>
      <c r="T2936" s="74" t="s">
        <v>513</v>
      </c>
      <c r="U2936" s="74" t="s">
        <v>351</v>
      </c>
      <c r="V2936" s="74">
        <v>44539</v>
      </c>
      <c r="W2936" s="74">
        <v>44603</v>
      </c>
      <c r="X2936" s="55">
        <v>10187316</v>
      </c>
      <c r="Y2936" s="55" t="s">
        <v>132</v>
      </c>
      <c r="AB2936" s="74" t="s">
        <v>132</v>
      </c>
      <c r="AC2936" s="55" t="s">
        <v>132</v>
      </c>
      <c r="AL2936" s="74"/>
      <c r="AM2936" s="74"/>
      <c r="AW2936" s="74"/>
      <c r="AX2936" s="74"/>
    </row>
    <row r="2937" spans="1:50" ht="13" x14ac:dyDescent="0.15">
      <c r="A2937" s="55" t="str">
        <f>HYPERLINK("http://reports.ofsted.gov.uk/inspection-reports/find-inspection-report/provider/CARE/SC412175","Ofsted Social Care Provider Webpage")</f>
        <v>Ofsted Social Care Provider Webpage</v>
      </c>
      <c r="B2937" s="55" t="s">
        <v>5464</v>
      </c>
      <c r="D2937" s="55" t="s">
        <v>373</v>
      </c>
      <c r="E2937" s="74">
        <v>40377</v>
      </c>
      <c r="F2937" s="55" t="s">
        <v>344</v>
      </c>
      <c r="G2937" s="55" t="s">
        <v>360</v>
      </c>
      <c r="H2937" s="55" t="s">
        <v>360</v>
      </c>
      <c r="I2937" s="55" t="s">
        <v>360</v>
      </c>
      <c r="J2937" s="55" t="s">
        <v>360</v>
      </c>
      <c r="K2937" s="55" t="s">
        <v>360</v>
      </c>
      <c r="L2937" s="55" t="s">
        <v>360</v>
      </c>
      <c r="M2937" s="55" t="s">
        <v>142</v>
      </c>
      <c r="N2937" s="55" t="s">
        <v>142</v>
      </c>
      <c r="O2937" s="55" t="s">
        <v>141</v>
      </c>
      <c r="P2937" s="55" t="s">
        <v>1226</v>
      </c>
      <c r="Q2937" s="55" t="s">
        <v>350</v>
      </c>
      <c r="R2937" s="85">
        <v>4</v>
      </c>
      <c r="S2937" s="55">
        <v>0</v>
      </c>
      <c r="T2937" s="74" t="s">
        <v>385</v>
      </c>
      <c r="U2937" s="74" t="s">
        <v>351</v>
      </c>
      <c r="V2937" s="74">
        <v>44432</v>
      </c>
      <c r="W2937" s="74">
        <v>44477</v>
      </c>
      <c r="X2937" s="55">
        <v>10185856</v>
      </c>
      <c r="Y2937" s="55" t="s">
        <v>132</v>
      </c>
      <c r="AB2937" s="74" t="s">
        <v>132</v>
      </c>
      <c r="AC2937" s="55" t="s">
        <v>132</v>
      </c>
      <c r="AL2937" s="74"/>
      <c r="AM2937" s="74"/>
      <c r="AW2937" s="74"/>
      <c r="AX2937" s="74"/>
    </row>
    <row r="2938" spans="1:50" ht="13" x14ac:dyDescent="0.15">
      <c r="A2938" s="55" t="str">
        <f>HYPERLINK("http://reports.ofsted.gov.uk/inspection-reports/find-inspection-report/provider/CARE/SC412296","Ofsted Social Care Provider Webpage")</f>
        <v>Ofsted Social Care Provider Webpage</v>
      </c>
      <c r="B2938" s="55" t="s">
        <v>5465</v>
      </c>
      <c r="D2938" s="55" t="s">
        <v>373</v>
      </c>
      <c r="E2938" s="74">
        <v>40497</v>
      </c>
      <c r="F2938" s="55" t="s">
        <v>344</v>
      </c>
      <c r="G2938" s="55" t="s">
        <v>360</v>
      </c>
      <c r="H2938" s="55" t="s">
        <v>360</v>
      </c>
      <c r="I2938" s="55" t="s">
        <v>360</v>
      </c>
      <c r="J2938" s="55" t="s">
        <v>360</v>
      </c>
      <c r="K2938" s="55" t="s">
        <v>360</v>
      </c>
      <c r="L2938" s="55" t="s">
        <v>360</v>
      </c>
      <c r="M2938" s="55" t="s">
        <v>150</v>
      </c>
      <c r="N2938" s="55" t="s">
        <v>150</v>
      </c>
      <c r="O2938" s="55" t="s">
        <v>181</v>
      </c>
      <c r="P2938" s="55" t="s">
        <v>626</v>
      </c>
      <c r="Q2938" s="55" t="s">
        <v>350</v>
      </c>
      <c r="R2938" s="85">
        <v>4</v>
      </c>
      <c r="S2938" s="55">
        <v>0</v>
      </c>
      <c r="T2938" s="74" t="s">
        <v>5466</v>
      </c>
      <c r="U2938" s="74" t="s">
        <v>351</v>
      </c>
      <c r="V2938" s="74">
        <v>44307</v>
      </c>
      <c r="W2938" s="74">
        <v>44355</v>
      </c>
      <c r="X2938" s="55">
        <v>10187008</v>
      </c>
      <c r="Y2938" s="55" t="s">
        <v>140</v>
      </c>
      <c r="AB2938" s="74" t="s">
        <v>132</v>
      </c>
      <c r="AC2938" s="55" t="s">
        <v>140</v>
      </c>
      <c r="AL2938" s="74"/>
      <c r="AM2938" s="74"/>
      <c r="AW2938" s="74"/>
      <c r="AX2938" s="74"/>
    </row>
    <row r="2939" spans="1:50" ht="13" x14ac:dyDescent="0.15">
      <c r="A2939" s="55" t="str">
        <f>HYPERLINK("http://reports.ofsted.gov.uk/inspection-reports/find-inspection-report/provider/CARE/SC412385","Ofsted Social Care Provider Webpage")</f>
        <v>Ofsted Social Care Provider Webpage</v>
      </c>
      <c r="B2939" s="55" t="s">
        <v>5467</v>
      </c>
      <c r="D2939" s="55" t="s">
        <v>373</v>
      </c>
      <c r="E2939" s="74">
        <v>40354</v>
      </c>
      <c r="F2939" s="55" t="s">
        <v>344</v>
      </c>
      <c r="G2939" s="55" t="s">
        <v>360</v>
      </c>
      <c r="H2939" s="55" t="s">
        <v>360</v>
      </c>
      <c r="I2939" s="55" t="s">
        <v>360</v>
      </c>
      <c r="J2939" s="55" t="s">
        <v>360</v>
      </c>
      <c r="K2939" s="55" t="s">
        <v>360</v>
      </c>
      <c r="L2939" s="55" t="s">
        <v>360</v>
      </c>
      <c r="M2939" s="55" t="s">
        <v>142</v>
      </c>
      <c r="N2939" s="55" t="s">
        <v>142</v>
      </c>
      <c r="O2939" s="55" t="s">
        <v>262</v>
      </c>
      <c r="P2939" s="55" t="s">
        <v>618</v>
      </c>
      <c r="Q2939" s="55" t="s">
        <v>350</v>
      </c>
      <c r="R2939" s="85">
        <v>3</v>
      </c>
      <c r="S2939" s="55">
        <v>0</v>
      </c>
      <c r="T2939" s="74" t="s">
        <v>917</v>
      </c>
      <c r="U2939" s="74" t="s">
        <v>351</v>
      </c>
      <c r="V2939" s="74">
        <v>44460</v>
      </c>
      <c r="W2939" s="74">
        <v>44509</v>
      </c>
      <c r="X2939" s="55">
        <v>10186006</v>
      </c>
      <c r="Y2939" s="55" t="s">
        <v>140</v>
      </c>
      <c r="AB2939" s="74" t="s">
        <v>140</v>
      </c>
      <c r="AC2939" s="55" t="s">
        <v>140</v>
      </c>
      <c r="AL2939" s="74"/>
      <c r="AM2939" s="74"/>
      <c r="AW2939" s="74"/>
      <c r="AX2939" s="74"/>
    </row>
    <row r="2940" spans="1:50" ht="13" x14ac:dyDescent="0.15">
      <c r="A2940" s="55" t="str">
        <f>HYPERLINK("http://reports.ofsted.gov.uk/inspection-reports/find-inspection-report/provider/CARE/SC412476","Ofsted Social Care Provider Webpage")</f>
        <v>Ofsted Social Care Provider Webpage</v>
      </c>
      <c r="B2940" s="55" t="s">
        <v>5468</v>
      </c>
      <c r="D2940" s="55" t="s">
        <v>373</v>
      </c>
      <c r="E2940" s="74">
        <v>40424</v>
      </c>
      <c r="F2940" s="55" t="s">
        <v>344</v>
      </c>
      <c r="G2940" s="55" t="s">
        <v>360</v>
      </c>
      <c r="H2940" s="55" t="s">
        <v>360</v>
      </c>
      <c r="I2940" s="55" t="s">
        <v>360</v>
      </c>
      <c r="J2940" s="55" t="s">
        <v>360</v>
      </c>
      <c r="K2940" s="55" t="s">
        <v>360</v>
      </c>
      <c r="L2940" s="55" t="s">
        <v>360</v>
      </c>
      <c r="M2940" s="55" t="s">
        <v>150</v>
      </c>
      <c r="N2940" s="55" t="s">
        <v>150</v>
      </c>
      <c r="O2940" s="55" t="s">
        <v>190</v>
      </c>
      <c r="P2940" s="55" t="s">
        <v>889</v>
      </c>
      <c r="Q2940" s="55" t="s">
        <v>350</v>
      </c>
      <c r="R2940" s="85">
        <v>4</v>
      </c>
      <c r="S2940" s="55">
        <v>0</v>
      </c>
      <c r="T2940" s="74" t="s">
        <v>900</v>
      </c>
      <c r="U2940" s="74" t="s">
        <v>351</v>
      </c>
      <c r="V2940" s="74">
        <v>44327</v>
      </c>
      <c r="W2940" s="74">
        <v>44372</v>
      </c>
      <c r="X2940" s="55">
        <v>10186711</v>
      </c>
      <c r="Y2940" s="55" t="s">
        <v>132</v>
      </c>
      <c r="AB2940" s="74" t="s">
        <v>132</v>
      </c>
      <c r="AC2940" s="55" t="s">
        <v>130</v>
      </c>
      <c r="AL2940" s="74"/>
      <c r="AM2940" s="74"/>
      <c r="AW2940" s="74"/>
      <c r="AX2940" s="74"/>
    </row>
    <row r="2941" spans="1:50" ht="13" x14ac:dyDescent="0.15">
      <c r="A2941" s="55" t="str">
        <f>HYPERLINK("http://reports.ofsted.gov.uk/inspection-reports/find-inspection-report/provider/CARE/SC412598","Ofsted Social Care Provider Webpage")</f>
        <v>Ofsted Social Care Provider Webpage</v>
      </c>
      <c r="B2941" s="55" t="s">
        <v>5469</v>
      </c>
      <c r="D2941" s="55" t="s">
        <v>451</v>
      </c>
      <c r="E2941" s="74">
        <v>40373</v>
      </c>
      <c r="F2941" s="55" t="s">
        <v>344</v>
      </c>
      <c r="G2941" s="55" t="s">
        <v>5470</v>
      </c>
      <c r="H2941" s="55" t="s">
        <v>5470</v>
      </c>
      <c r="I2941" s="55" t="s">
        <v>5471</v>
      </c>
      <c r="J2941" s="55" t="s">
        <v>2753</v>
      </c>
      <c r="L2941" s="55" t="s">
        <v>5472</v>
      </c>
      <c r="M2941" s="55" t="s">
        <v>142</v>
      </c>
      <c r="N2941" s="55" t="s">
        <v>142</v>
      </c>
      <c r="O2941" s="55" t="s">
        <v>141</v>
      </c>
      <c r="P2941" s="55" t="s">
        <v>660</v>
      </c>
      <c r="Q2941" s="55" t="s">
        <v>362</v>
      </c>
      <c r="R2941" s="85">
        <v>10</v>
      </c>
      <c r="S2941" s="55">
        <v>0</v>
      </c>
      <c r="T2941" s="74" t="s">
        <v>4083</v>
      </c>
      <c r="U2941" s="74" t="s">
        <v>351</v>
      </c>
      <c r="V2941" s="74">
        <v>44467</v>
      </c>
      <c r="W2941" s="74">
        <v>44512</v>
      </c>
      <c r="X2941" s="55">
        <v>10183451</v>
      </c>
      <c r="Y2941" s="55" t="s">
        <v>130</v>
      </c>
      <c r="AB2941" s="74" t="s">
        <v>130</v>
      </c>
      <c r="AC2941" s="55" t="s">
        <v>130</v>
      </c>
      <c r="AL2941" s="74"/>
      <c r="AM2941" s="74"/>
      <c r="AW2941" s="74"/>
      <c r="AX2941" s="74"/>
    </row>
    <row r="2942" spans="1:50" ht="13" x14ac:dyDescent="0.15">
      <c r="A2942" s="55" t="str">
        <f>HYPERLINK("http://reports.ofsted.gov.uk/inspection-reports/find-inspection-report/provider/CARE/SC412687","Ofsted Social Care Provider Webpage")</f>
        <v>Ofsted Social Care Provider Webpage</v>
      </c>
      <c r="B2942" s="55" t="s">
        <v>5473</v>
      </c>
      <c r="D2942" s="55" t="s">
        <v>373</v>
      </c>
      <c r="E2942" s="74">
        <v>40365</v>
      </c>
      <c r="F2942" s="55" t="s">
        <v>344</v>
      </c>
      <c r="G2942" s="55" t="s">
        <v>360</v>
      </c>
      <c r="H2942" s="55" t="s">
        <v>360</v>
      </c>
      <c r="I2942" s="55" t="s">
        <v>360</v>
      </c>
      <c r="J2942" s="55" t="s">
        <v>360</v>
      </c>
      <c r="K2942" s="55" t="s">
        <v>360</v>
      </c>
      <c r="L2942" s="55" t="s">
        <v>360</v>
      </c>
      <c r="M2942" s="55" t="s">
        <v>144</v>
      </c>
      <c r="N2942" s="55" t="s">
        <v>144</v>
      </c>
      <c r="O2942" s="55" t="s">
        <v>248</v>
      </c>
      <c r="P2942" s="55" t="s">
        <v>439</v>
      </c>
      <c r="Q2942" s="55" t="s">
        <v>350</v>
      </c>
      <c r="R2942" s="85">
        <v>3</v>
      </c>
      <c r="S2942" s="55">
        <v>0</v>
      </c>
      <c r="T2942" s="74" t="s">
        <v>1107</v>
      </c>
      <c r="U2942" s="74" t="s">
        <v>351</v>
      </c>
      <c r="V2942" s="74">
        <v>44425</v>
      </c>
      <c r="W2942" s="74">
        <v>44448</v>
      </c>
      <c r="X2942" s="55">
        <v>10186306</v>
      </c>
      <c r="Y2942" s="55" t="s">
        <v>132</v>
      </c>
      <c r="AB2942" s="74" t="s">
        <v>132</v>
      </c>
      <c r="AC2942" s="55" t="s">
        <v>132</v>
      </c>
      <c r="AL2942" s="74"/>
      <c r="AM2942" s="74"/>
      <c r="AW2942" s="74"/>
      <c r="AX2942" s="74"/>
    </row>
    <row r="2943" spans="1:50" ht="13" x14ac:dyDescent="0.15">
      <c r="A2943" s="55" t="str">
        <f>HYPERLINK("http://reports.ofsted.gov.uk/inspection-reports/find-inspection-report/provider/CARE/SC412953","Ofsted Social Care Provider Webpage")</f>
        <v>Ofsted Social Care Provider Webpage</v>
      </c>
      <c r="B2943" s="55" t="s">
        <v>5474</v>
      </c>
      <c r="D2943" s="55" t="s">
        <v>373</v>
      </c>
      <c r="E2943" s="74">
        <v>40393</v>
      </c>
      <c r="F2943" s="55" t="s">
        <v>344</v>
      </c>
      <c r="G2943" s="55" t="s">
        <v>360</v>
      </c>
      <c r="H2943" s="55" t="s">
        <v>360</v>
      </c>
      <c r="I2943" s="55" t="s">
        <v>360</v>
      </c>
      <c r="J2943" s="55" t="s">
        <v>360</v>
      </c>
      <c r="K2943" s="55" t="s">
        <v>360</v>
      </c>
      <c r="L2943" s="55" t="s">
        <v>360</v>
      </c>
      <c r="M2943" s="55" t="s">
        <v>138</v>
      </c>
      <c r="N2943" s="55" t="s">
        <v>138</v>
      </c>
      <c r="O2943" s="55" t="s">
        <v>137</v>
      </c>
      <c r="P2943" s="55" t="s">
        <v>643</v>
      </c>
      <c r="Q2943" s="55" t="s">
        <v>350</v>
      </c>
      <c r="R2943" s="85">
        <v>4</v>
      </c>
      <c r="S2943" s="55">
        <v>0</v>
      </c>
      <c r="T2943" s="74" t="s">
        <v>762</v>
      </c>
      <c r="U2943" s="74" t="s">
        <v>351</v>
      </c>
      <c r="V2943" s="74">
        <v>44587</v>
      </c>
      <c r="W2943" s="74">
        <v>44617</v>
      </c>
      <c r="X2943" s="55">
        <v>10187027</v>
      </c>
      <c r="Y2943" s="55" t="s">
        <v>132</v>
      </c>
      <c r="AB2943" s="74" t="s">
        <v>132</v>
      </c>
      <c r="AC2943" s="55" t="s">
        <v>130</v>
      </c>
      <c r="AL2943" s="74"/>
      <c r="AM2943" s="74"/>
    </row>
    <row r="2944" spans="1:50" ht="13" x14ac:dyDescent="0.15">
      <c r="A2944" s="55" t="str">
        <f>HYPERLINK("http://reports.ofsted.gov.uk/inspection-reports/find-inspection-report/provider/CARE/SC412971","Ofsted Social Care Provider Webpage")</f>
        <v>Ofsted Social Care Provider Webpage</v>
      </c>
      <c r="B2944" s="55" t="s">
        <v>5475</v>
      </c>
      <c r="D2944" s="55" t="s">
        <v>373</v>
      </c>
      <c r="E2944" s="74">
        <v>40367</v>
      </c>
      <c r="F2944" s="55" t="s">
        <v>344</v>
      </c>
      <c r="G2944" s="55" t="s">
        <v>360</v>
      </c>
      <c r="H2944" s="55" t="s">
        <v>360</v>
      </c>
      <c r="I2944" s="55" t="s">
        <v>360</v>
      </c>
      <c r="J2944" s="55" t="s">
        <v>360</v>
      </c>
      <c r="K2944" s="55" t="s">
        <v>360</v>
      </c>
      <c r="L2944" s="55" t="s">
        <v>360</v>
      </c>
      <c r="M2944" s="55" t="s">
        <v>144</v>
      </c>
      <c r="N2944" s="55" t="s">
        <v>144</v>
      </c>
      <c r="O2944" s="55" t="s">
        <v>209</v>
      </c>
      <c r="P2944" s="55" t="s">
        <v>534</v>
      </c>
      <c r="Q2944" s="55" t="s">
        <v>350</v>
      </c>
      <c r="R2944" s="85">
        <v>4</v>
      </c>
      <c r="S2944" s="55">
        <v>0</v>
      </c>
      <c r="T2944" s="74" t="s">
        <v>5476</v>
      </c>
      <c r="U2944" s="74" t="s">
        <v>351</v>
      </c>
      <c r="V2944" s="74">
        <v>44614</v>
      </c>
      <c r="W2944" s="74">
        <v>44658</v>
      </c>
      <c r="X2944" s="55">
        <v>10185550</v>
      </c>
      <c r="Y2944" s="55" t="s">
        <v>130</v>
      </c>
      <c r="AB2944" s="74" t="s">
        <v>130</v>
      </c>
      <c r="AC2944" s="55" t="s">
        <v>130</v>
      </c>
      <c r="AL2944" s="74"/>
      <c r="AM2944" s="74"/>
      <c r="AW2944" s="74"/>
      <c r="AX2944" s="74"/>
    </row>
    <row r="2945" spans="1:50" ht="13" x14ac:dyDescent="0.15">
      <c r="A2945" s="55" t="str">
        <f>HYPERLINK("http://reports.ofsted.gov.uk/inspection-reports/find-inspection-report/provider/CARE/SC412979","Ofsted Social Care Provider Webpage")</f>
        <v>Ofsted Social Care Provider Webpage</v>
      </c>
      <c r="B2945" s="55" t="s">
        <v>5477</v>
      </c>
      <c r="D2945" s="55" t="s">
        <v>373</v>
      </c>
      <c r="E2945" s="74">
        <v>40367</v>
      </c>
      <c r="F2945" s="55" t="s">
        <v>344</v>
      </c>
      <c r="G2945" s="55" t="s">
        <v>360</v>
      </c>
      <c r="H2945" s="55" t="s">
        <v>360</v>
      </c>
      <c r="I2945" s="55" t="s">
        <v>360</v>
      </c>
      <c r="J2945" s="55" t="s">
        <v>360</v>
      </c>
      <c r="K2945" s="55" t="s">
        <v>360</v>
      </c>
      <c r="L2945" s="55" t="s">
        <v>360</v>
      </c>
      <c r="M2945" s="55" t="s">
        <v>144</v>
      </c>
      <c r="N2945" s="55" t="s">
        <v>144</v>
      </c>
      <c r="O2945" s="55" t="s">
        <v>209</v>
      </c>
      <c r="P2945" s="55" t="s">
        <v>736</v>
      </c>
      <c r="Q2945" s="55" t="s">
        <v>350</v>
      </c>
      <c r="R2945" s="85">
        <v>4</v>
      </c>
      <c r="S2945" s="55">
        <v>0</v>
      </c>
      <c r="T2945" s="74" t="s">
        <v>5476</v>
      </c>
      <c r="U2945" s="74" t="s">
        <v>351</v>
      </c>
      <c r="V2945" s="74">
        <v>44586</v>
      </c>
      <c r="W2945" s="74">
        <v>44637</v>
      </c>
      <c r="X2945" s="55">
        <v>10185792</v>
      </c>
      <c r="Y2945" s="55" t="s">
        <v>132</v>
      </c>
      <c r="AB2945" s="74" t="s">
        <v>132</v>
      </c>
      <c r="AC2945" s="55" t="s">
        <v>132</v>
      </c>
      <c r="AL2945" s="74"/>
      <c r="AM2945" s="74"/>
      <c r="AW2945" s="74"/>
      <c r="AX2945" s="74"/>
    </row>
    <row r="2946" spans="1:50" ht="13" x14ac:dyDescent="0.15">
      <c r="A2946" s="55" t="str">
        <f>HYPERLINK("http://reports.ofsted.gov.uk/inspection-reports/find-inspection-report/provider/CARE/SC413078","Ofsted Social Care Provider Webpage")</f>
        <v>Ofsted Social Care Provider Webpage</v>
      </c>
      <c r="B2946" s="55" t="s">
        <v>6755</v>
      </c>
      <c r="D2946" s="55" t="s">
        <v>373</v>
      </c>
      <c r="E2946" s="74">
        <v>40387</v>
      </c>
      <c r="F2946" s="55" t="s">
        <v>6707</v>
      </c>
      <c r="G2946" s="55" t="s">
        <v>360</v>
      </c>
      <c r="H2946" s="55" t="s">
        <v>360</v>
      </c>
      <c r="I2946" s="55" t="s">
        <v>360</v>
      </c>
      <c r="J2946" s="55" t="s">
        <v>360</v>
      </c>
      <c r="K2946" s="55" t="s">
        <v>360</v>
      </c>
      <c r="L2946" s="55" t="s">
        <v>360</v>
      </c>
      <c r="M2946" s="55" t="s">
        <v>172</v>
      </c>
      <c r="N2946" s="55" t="s">
        <v>172</v>
      </c>
      <c r="O2946" s="55" t="s">
        <v>235</v>
      </c>
      <c r="P2946" s="55" t="s">
        <v>2338</v>
      </c>
      <c r="Q2946" s="55" t="s">
        <v>350</v>
      </c>
      <c r="R2946" s="85">
        <v>2</v>
      </c>
      <c r="S2946" s="55">
        <v>0</v>
      </c>
      <c r="T2946" s="74" t="s">
        <v>2811</v>
      </c>
      <c r="U2946" s="74" t="s">
        <v>351</v>
      </c>
      <c r="V2946" s="74">
        <v>44404</v>
      </c>
      <c r="W2946" s="74">
        <v>44442</v>
      </c>
      <c r="X2946" s="55">
        <v>10186555</v>
      </c>
      <c r="Y2946" s="55" t="s">
        <v>146</v>
      </c>
      <c r="AB2946" s="74" t="s">
        <v>146</v>
      </c>
      <c r="AC2946" s="55" t="s">
        <v>146</v>
      </c>
      <c r="AL2946" s="74"/>
      <c r="AM2946" s="74"/>
      <c r="AW2946" s="74"/>
      <c r="AX2946" s="74"/>
    </row>
    <row r="2947" spans="1:50" ht="13" x14ac:dyDescent="0.15">
      <c r="A2947" s="55" t="str">
        <f>HYPERLINK("http://reports.ofsted.gov.uk/inspection-reports/find-inspection-report/provider/CARE/SC413085","Ofsted Social Care Provider Webpage")</f>
        <v>Ofsted Social Care Provider Webpage</v>
      </c>
      <c r="B2947" s="55" t="s">
        <v>5478</v>
      </c>
      <c r="D2947" s="55" t="s">
        <v>373</v>
      </c>
      <c r="E2947" s="74">
        <v>40352</v>
      </c>
      <c r="F2947" s="55" t="s">
        <v>344</v>
      </c>
      <c r="G2947" s="55" t="s">
        <v>360</v>
      </c>
      <c r="H2947" s="55" t="s">
        <v>360</v>
      </c>
      <c r="I2947" s="55" t="s">
        <v>360</v>
      </c>
      <c r="J2947" s="55" t="s">
        <v>360</v>
      </c>
      <c r="K2947" s="55" t="s">
        <v>360</v>
      </c>
      <c r="L2947" s="55" t="s">
        <v>360</v>
      </c>
      <c r="M2947" s="55" t="s">
        <v>150</v>
      </c>
      <c r="N2947" s="55" t="s">
        <v>150</v>
      </c>
      <c r="O2947" s="55" t="s">
        <v>203</v>
      </c>
      <c r="P2947" s="55" t="s">
        <v>853</v>
      </c>
      <c r="Q2947" s="55" t="s">
        <v>350</v>
      </c>
      <c r="R2947" s="85">
        <v>3</v>
      </c>
      <c r="S2947" s="55">
        <v>0</v>
      </c>
      <c r="T2947" s="74" t="s">
        <v>2741</v>
      </c>
      <c r="U2947" s="74" t="s">
        <v>351</v>
      </c>
      <c r="V2947" s="74">
        <v>44545</v>
      </c>
      <c r="W2947" s="74">
        <v>44608</v>
      </c>
      <c r="X2947" s="55">
        <v>10186018</v>
      </c>
      <c r="Y2947" s="55" t="s">
        <v>140</v>
      </c>
      <c r="AB2947" s="74" t="s">
        <v>140</v>
      </c>
      <c r="AC2947" s="55" t="s">
        <v>140</v>
      </c>
      <c r="AL2947" s="74"/>
      <c r="AM2947" s="74"/>
      <c r="AW2947" s="74"/>
      <c r="AX2947" s="74"/>
    </row>
    <row r="2948" spans="1:50" ht="13" x14ac:dyDescent="0.15">
      <c r="A2948" s="55" t="str">
        <f>HYPERLINK("http://reports.ofsted.gov.uk/inspection-reports/find-inspection-report/provider/CARE/SC413223","Ofsted Social Care Provider Webpage")</f>
        <v>Ofsted Social Care Provider Webpage</v>
      </c>
      <c r="B2948" s="55" t="s">
        <v>5479</v>
      </c>
      <c r="D2948" s="55" t="s">
        <v>373</v>
      </c>
      <c r="E2948" s="74">
        <v>40463</v>
      </c>
      <c r="F2948" s="55" t="s">
        <v>344</v>
      </c>
      <c r="G2948" s="55" t="s">
        <v>360</v>
      </c>
      <c r="H2948" s="55" t="s">
        <v>360</v>
      </c>
      <c r="I2948" s="55" t="s">
        <v>360</v>
      </c>
      <c r="J2948" s="55" t="s">
        <v>360</v>
      </c>
      <c r="K2948" s="55" t="s">
        <v>360</v>
      </c>
      <c r="L2948" s="55" t="s">
        <v>360</v>
      </c>
      <c r="M2948" s="55" t="s">
        <v>144</v>
      </c>
      <c r="N2948" s="55" t="s">
        <v>144</v>
      </c>
      <c r="O2948" s="55" t="s">
        <v>261</v>
      </c>
      <c r="P2948" s="55" t="s">
        <v>512</v>
      </c>
      <c r="Q2948" s="55" t="s">
        <v>350</v>
      </c>
      <c r="R2948" s="85">
        <v>1</v>
      </c>
      <c r="S2948" s="55">
        <v>0</v>
      </c>
      <c r="T2948" s="74" t="s">
        <v>5480</v>
      </c>
      <c r="U2948" s="74" t="s">
        <v>351</v>
      </c>
      <c r="V2948" s="74">
        <v>44517</v>
      </c>
      <c r="W2948" s="74">
        <v>44567</v>
      </c>
      <c r="X2948" s="55">
        <v>10186482</v>
      </c>
      <c r="Y2948" s="55" t="s">
        <v>130</v>
      </c>
      <c r="AB2948" s="74" t="s">
        <v>130</v>
      </c>
      <c r="AC2948" s="55" t="s">
        <v>130</v>
      </c>
      <c r="AL2948" s="74"/>
      <c r="AM2948" s="74"/>
      <c r="AW2948" s="74"/>
      <c r="AX2948" s="74"/>
    </row>
    <row r="2949" spans="1:50" ht="13" x14ac:dyDescent="0.15">
      <c r="A2949" s="55" t="str">
        <f>HYPERLINK("http://reports.ofsted.gov.uk/inspection-reports/find-inspection-report/provider/CARE/SC413428","Ofsted Social Care Provider Webpage")</f>
        <v>Ofsted Social Care Provider Webpage</v>
      </c>
      <c r="B2949" s="55" t="s">
        <v>5481</v>
      </c>
      <c r="D2949" s="55" t="s">
        <v>389</v>
      </c>
      <c r="E2949" s="74">
        <v>40360</v>
      </c>
      <c r="F2949" s="55" t="s">
        <v>344</v>
      </c>
      <c r="G2949" s="55" t="s">
        <v>5482</v>
      </c>
      <c r="H2949" s="55" t="s">
        <v>5483</v>
      </c>
      <c r="I2949" s="55" t="s">
        <v>3921</v>
      </c>
      <c r="J2949" s="55" t="s">
        <v>4252</v>
      </c>
      <c r="K2949" s="55" t="s">
        <v>3368</v>
      </c>
      <c r="L2949" s="55" t="s">
        <v>3923</v>
      </c>
      <c r="M2949" s="55" t="s">
        <v>378</v>
      </c>
      <c r="N2949" s="55" t="s">
        <v>170</v>
      </c>
      <c r="O2949" s="55" t="s">
        <v>178</v>
      </c>
      <c r="P2949" s="55" t="s">
        <v>905</v>
      </c>
      <c r="Q2949" s="55" t="s">
        <v>350</v>
      </c>
      <c r="S2949" s="55">
        <v>0</v>
      </c>
      <c r="T2949" s="74" t="s">
        <v>5484</v>
      </c>
      <c r="U2949" s="74" t="s">
        <v>351</v>
      </c>
      <c r="V2949" s="74">
        <v>44599</v>
      </c>
      <c r="W2949" s="74">
        <v>44643</v>
      </c>
      <c r="X2949" s="55">
        <v>10183378</v>
      </c>
      <c r="Y2949" s="55" t="s">
        <v>140</v>
      </c>
      <c r="AB2949" s="74" t="s">
        <v>132</v>
      </c>
      <c r="AC2949" s="55" t="s">
        <v>140</v>
      </c>
      <c r="AL2949" s="74"/>
      <c r="AM2949" s="74"/>
      <c r="AW2949" s="74"/>
      <c r="AX2949" s="74"/>
    </row>
    <row r="2950" spans="1:50" ht="13" x14ac:dyDescent="0.15">
      <c r="A2950" s="55" t="str">
        <f>HYPERLINK("http://reports.ofsted.gov.uk/inspection-reports/find-inspection-report/provider/CARE/SC413779","Ofsted Social Care Provider Webpage")</f>
        <v>Ofsted Social Care Provider Webpage</v>
      </c>
      <c r="B2950" s="55" t="s">
        <v>5485</v>
      </c>
      <c r="D2950" s="55" t="s">
        <v>373</v>
      </c>
      <c r="E2950" s="74">
        <v>40423</v>
      </c>
      <c r="F2950" s="55" t="s">
        <v>344</v>
      </c>
      <c r="G2950" s="55" t="s">
        <v>360</v>
      </c>
      <c r="H2950" s="55" t="s">
        <v>360</v>
      </c>
      <c r="I2950" s="55" t="s">
        <v>360</v>
      </c>
      <c r="J2950" s="55" t="s">
        <v>360</v>
      </c>
      <c r="K2950" s="55" t="s">
        <v>360</v>
      </c>
      <c r="L2950" s="55" t="s">
        <v>360</v>
      </c>
      <c r="M2950" s="55" t="s">
        <v>144</v>
      </c>
      <c r="N2950" s="55" t="s">
        <v>144</v>
      </c>
      <c r="O2950" s="55" t="s">
        <v>245</v>
      </c>
      <c r="P2950" s="55" t="s">
        <v>1796</v>
      </c>
      <c r="Q2950" s="55" t="s">
        <v>350</v>
      </c>
      <c r="R2950" s="85">
        <v>2</v>
      </c>
      <c r="S2950" s="55">
        <v>0</v>
      </c>
      <c r="T2950" s="74" t="s">
        <v>5357</v>
      </c>
      <c r="U2950" s="74" t="s">
        <v>351</v>
      </c>
      <c r="V2950" s="74">
        <v>44425</v>
      </c>
      <c r="W2950" s="74">
        <v>44453</v>
      </c>
      <c r="X2950" s="55">
        <v>10186149</v>
      </c>
      <c r="Y2950" s="55" t="s">
        <v>132</v>
      </c>
      <c r="AB2950" s="74" t="s">
        <v>132</v>
      </c>
      <c r="AC2950" s="55" t="s">
        <v>132</v>
      </c>
      <c r="AL2950" s="74"/>
      <c r="AM2950" s="74"/>
      <c r="AW2950" s="74"/>
      <c r="AX2950" s="74"/>
    </row>
    <row r="2951" spans="1:50" ht="13" x14ac:dyDescent="0.15">
      <c r="A2951" s="55" t="str">
        <f>HYPERLINK("http://reports.ofsted.gov.uk/inspection-reports/find-inspection-report/provider/CARE/SC413985","Ofsted Social Care Provider Webpage")</f>
        <v>Ofsted Social Care Provider Webpage</v>
      </c>
      <c r="B2951" s="55" t="s">
        <v>5486</v>
      </c>
      <c r="D2951" s="55" t="s">
        <v>373</v>
      </c>
      <c r="E2951" s="74">
        <v>40451</v>
      </c>
      <c r="F2951" s="55" t="s">
        <v>344</v>
      </c>
      <c r="G2951" s="55" t="s">
        <v>360</v>
      </c>
      <c r="H2951" s="55" t="s">
        <v>360</v>
      </c>
      <c r="I2951" s="55" t="s">
        <v>360</v>
      </c>
      <c r="J2951" s="55" t="s">
        <v>360</v>
      </c>
      <c r="K2951" s="55" t="s">
        <v>360</v>
      </c>
      <c r="L2951" s="55" t="s">
        <v>360</v>
      </c>
      <c r="M2951" s="55" t="s">
        <v>144</v>
      </c>
      <c r="N2951" s="55" t="s">
        <v>144</v>
      </c>
      <c r="O2951" s="55" t="s">
        <v>248</v>
      </c>
      <c r="P2951" s="55" t="s">
        <v>492</v>
      </c>
      <c r="Q2951" s="55" t="s">
        <v>362</v>
      </c>
      <c r="R2951" s="85">
        <v>5</v>
      </c>
      <c r="S2951" s="55">
        <v>0</v>
      </c>
      <c r="T2951" s="74" t="s">
        <v>2551</v>
      </c>
      <c r="U2951" s="74" t="s">
        <v>351</v>
      </c>
      <c r="V2951" s="74">
        <v>44628</v>
      </c>
      <c r="W2951" s="74">
        <v>44670</v>
      </c>
      <c r="X2951" s="55">
        <v>10185895</v>
      </c>
      <c r="Y2951" s="55" t="s">
        <v>132</v>
      </c>
      <c r="AB2951" s="74" t="s">
        <v>132</v>
      </c>
      <c r="AC2951" s="55" t="s">
        <v>132</v>
      </c>
      <c r="AL2951" s="74"/>
      <c r="AM2951" s="74"/>
      <c r="AW2951" s="74"/>
      <c r="AX2951" s="74"/>
    </row>
    <row r="2952" spans="1:50" ht="13" x14ac:dyDescent="0.15">
      <c r="A2952" s="55" t="str">
        <f>HYPERLINK("http://reports.ofsted.gov.uk/inspection-reports/find-inspection-report/provider/CARE/SC413992","Ofsted Social Care Provider Webpage")</f>
        <v>Ofsted Social Care Provider Webpage</v>
      </c>
      <c r="B2952" s="55" t="s">
        <v>5487</v>
      </c>
      <c r="D2952" s="55" t="s">
        <v>479</v>
      </c>
      <c r="E2952" s="74">
        <v>40575</v>
      </c>
      <c r="F2952" s="55" t="s">
        <v>344</v>
      </c>
      <c r="G2952" s="55" t="s">
        <v>360</v>
      </c>
      <c r="H2952" s="55" t="s">
        <v>360</v>
      </c>
      <c r="I2952" s="55" t="s">
        <v>360</v>
      </c>
      <c r="J2952" s="55" t="s">
        <v>360</v>
      </c>
      <c r="K2952" s="55" t="s">
        <v>360</v>
      </c>
      <c r="L2952" s="55" t="s">
        <v>360</v>
      </c>
      <c r="M2952" s="55" t="s">
        <v>150</v>
      </c>
      <c r="N2952" s="55" t="s">
        <v>150</v>
      </c>
      <c r="O2952" s="55" t="s">
        <v>181</v>
      </c>
      <c r="P2952" s="55" t="s">
        <v>937</v>
      </c>
      <c r="Q2952" s="55" t="s">
        <v>350</v>
      </c>
      <c r="R2952" s="85">
        <v>11</v>
      </c>
      <c r="S2952" s="55">
        <v>0</v>
      </c>
      <c r="T2952" s="74" t="s">
        <v>5488</v>
      </c>
      <c r="U2952" s="74" t="s">
        <v>351</v>
      </c>
      <c r="V2952" s="74">
        <v>44573</v>
      </c>
      <c r="W2952" s="74">
        <v>44610</v>
      </c>
      <c r="X2952" s="55">
        <v>10186645</v>
      </c>
      <c r="Y2952" s="55" t="s">
        <v>132</v>
      </c>
      <c r="AB2952" s="74" t="s">
        <v>132</v>
      </c>
      <c r="AC2952" s="55" t="s">
        <v>132</v>
      </c>
      <c r="AL2952" s="74"/>
      <c r="AM2952" s="74"/>
      <c r="AW2952" s="74"/>
      <c r="AX2952" s="74"/>
    </row>
    <row r="2953" spans="1:50" ht="13" x14ac:dyDescent="0.15">
      <c r="A2953" s="55" t="str">
        <f>HYPERLINK("http://reports.ofsted.gov.uk/inspection-reports/find-inspection-report/provider/CARE/SC414296","Ofsted Social Care Provider Webpage")</f>
        <v>Ofsted Social Care Provider Webpage</v>
      </c>
      <c r="B2953" s="55" t="s">
        <v>5489</v>
      </c>
      <c r="D2953" s="55" t="s">
        <v>373</v>
      </c>
      <c r="E2953" s="74">
        <v>40413</v>
      </c>
      <c r="F2953" s="55" t="s">
        <v>344</v>
      </c>
      <c r="G2953" s="55" t="s">
        <v>360</v>
      </c>
      <c r="H2953" s="55" t="s">
        <v>360</v>
      </c>
      <c r="I2953" s="55" t="s">
        <v>360</v>
      </c>
      <c r="J2953" s="55" t="s">
        <v>360</v>
      </c>
      <c r="K2953" s="55" t="s">
        <v>360</v>
      </c>
      <c r="L2953" s="55" t="s">
        <v>360</v>
      </c>
      <c r="M2953" s="55" t="s">
        <v>172</v>
      </c>
      <c r="N2953" s="55" t="s">
        <v>172</v>
      </c>
      <c r="O2953" s="55" t="s">
        <v>234</v>
      </c>
      <c r="P2953" s="55" t="s">
        <v>369</v>
      </c>
      <c r="Q2953" s="55" t="s">
        <v>350</v>
      </c>
      <c r="R2953" s="85">
        <v>4</v>
      </c>
      <c r="S2953" s="55">
        <v>0</v>
      </c>
      <c r="T2953" s="74" t="s">
        <v>668</v>
      </c>
      <c r="U2953" s="74" t="s">
        <v>351</v>
      </c>
      <c r="V2953" s="74">
        <v>44488</v>
      </c>
      <c r="W2953" s="74">
        <v>44525</v>
      </c>
      <c r="X2953" s="55">
        <v>10186035</v>
      </c>
      <c r="Y2953" s="55" t="s">
        <v>132</v>
      </c>
      <c r="AB2953" s="74" t="s">
        <v>132</v>
      </c>
      <c r="AC2953" s="55" t="s">
        <v>132</v>
      </c>
      <c r="AL2953" s="74"/>
      <c r="AM2953" s="74"/>
      <c r="AW2953" s="74"/>
      <c r="AX2953" s="74"/>
    </row>
    <row r="2954" spans="1:50" ht="13" x14ac:dyDescent="0.15">
      <c r="A2954" s="55" t="str">
        <f>HYPERLINK("http://reports.ofsted.gov.uk/inspection-reports/find-inspection-report/provider/CARE/SC414516","Ofsted Social Care Provider Webpage")</f>
        <v>Ofsted Social Care Provider Webpage</v>
      </c>
      <c r="B2954" s="55" t="s">
        <v>5491</v>
      </c>
      <c r="D2954" s="55" t="s">
        <v>373</v>
      </c>
      <c r="E2954" s="74">
        <v>40387</v>
      </c>
      <c r="F2954" s="55" t="s">
        <v>344</v>
      </c>
      <c r="G2954" s="55" t="s">
        <v>360</v>
      </c>
      <c r="H2954" s="55" t="s">
        <v>360</v>
      </c>
      <c r="I2954" s="55" t="s">
        <v>360</v>
      </c>
      <c r="J2954" s="55" t="s">
        <v>360</v>
      </c>
      <c r="K2954" s="55" t="s">
        <v>360</v>
      </c>
      <c r="L2954" s="55" t="s">
        <v>360</v>
      </c>
      <c r="M2954" s="55" t="s">
        <v>172</v>
      </c>
      <c r="N2954" s="55" t="s">
        <v>172</v>
      </c>
      <c r="O2954" s="55" t="s">
        <v>173</v>
      </c>
      <c r="P2954" s="55" t="s">
        <v>1258</v>
      </c>
      <c r="Q2954" s="55" t="s">
        <v>350</v>
      </c>
      <c r="R2954" s="85">
        <v>3</v>
      </c>
      <c r="S2954" s="55">
        <v>0</v>
      </c>
      <c r="T2954" s="74" t="s">
        <v>861</v>
      </c>
      <c r="U2954" s="74" t="s">
        <v>351</v>
      </c>
      <c r="V2954" s="74">
        <v>44628</v>
      </c>
      <c r="W2954" s="74">
        <v>44663</v>
      </c>
      <c r="X2954" s="55">
        <v>10187454</v>
      </c>
      <c r="Y2954" s="55" t="s">
        <v>140</v>
      </c>
      <c r="AB2954" s="74" t="s">
        <v>140</v>
      </c>
      <c r="AC2954" s="55" t="s">
        <v>140</v>
      </c>
      <c r="AL2954" s="74"/>
      <c r="AM2954" s="74"/>
    </row>
    <row r="2955" spans="1:50" ht="13" x14ac:dyDescent="0.15">
      <c r="A2955" s="55" t="str">
        <f>HYPERLINK("http://reports.ofsted.gov.uk/inspection-reports/find-inspection-report/provider/CARE/SC414738","Ofsted Social Care Provider Webpage")</f>
        <v>Ofsted Social Care Provider Webpage</v>
      </c>
      <c r="B2955" s="55" t="s">
        <v>5492</v>
      </c>
      <c r="D2955" s="55" t="s">
        <v>373</v>
      </c>
      <c r="E2955" s="74">
        <v>40497</v>
      </c>
      <c r="F2955" s="55" t="s">
        <v>344</v>
      </c>
      <c r="G2955" s="55" t="s">
        <v>360</v>
      </c>
      <c r="H2955" s="55" t="s">
        <v>360</v>
      </c>
      <c r="I2955" s="55" t="s">
        <v>360</v>
      </c>
      <c r="J2955" s="55" t="s">
        <v>360</v>
      </c>
      <c r="K2955" s="55" t="s">
        <v>360</v>
      </c>
      <c r="L2955" s="55" t="s">
        <v>360</v>
      </c>
      <c r="M2955" s="55" t="s">
        <v>150</v>
      </c>
      <c r="N2955" s="55" t="s">
        <v>150</v>
      </c>
      <c r="O2955" s="55" t="s">
        <v>221</v>
      </c>
      <c r="P2955" s="55" t="s">
        <v>4169</v>
      </c>
      <c r="Q2955" s="55" t="s">
        <v>350</v>
      </c>
      <c r="R2955" s="85">
        <v>4</v>
      </c>
      <c r="S2955" s="55">
        <v>0</v>
      </c>
      <c r="T2955" s="74" t="s">
        <v>762</v>
      </c>
      <c r="U2955" s="74" t="s">
        <v>351</v>
      </c>
      <c r="V2955" s="74">
        <v>44440</v>
      </c>
      <c r="W2955" s="74">
        <v>44502</v>
      </c>
      <c r="X2955" s="55">
        <v>10187332</v>
      </c>
      <c r="Y2955" s="55" t="s">
        <v>132</v>
      </c>
      <c r="AB2955" s="74" t="s">
        <v>132</v>
      </c>
      <c r="AC2955" s="55" t="s">
        <v>130</v>
      </c>
      <c r="AL2955" s="74"/>
      <c r="AM2955" s="74"/>
    </row>
    <row r="2956" spans="1:50" ht="13" x14ac:dyDescent="0.15">
      <c r="A2956" s="55" t="str">
        <f>HYPERLINK("http://reports.ofsted.gov.uk/inspection-reports/find-inspection-report/provider/CARE/SC415138","Ofsted Social Care Provider Webpage")</f>
        <v>Ofsted Social Care Provider Webpage</v>
      </c>
      <c r="B2956" s="55" t="s">
        <v>5493</v>
      </c>
      <c r="D2956" s="55" t="s">
        <v>373</v>
      </c>
      <c r="E2956" s="74">
        <v>40371</v>
      </c>
      <c r="F2956" s="55" t="s">
        <v>344</v>
      </c>
      <c r="G2956" s="55" t="s">
        <v>360</v>
      </c>
      <c r="H2956" s="55" t="s">
        <v>360</v>
      </c>
      <c r="I2956" s="55" t="s">
        <v>360</v>
      </c>
      <c r="J2956" s="55" t="s">
        <v>360</v>
      </c>
      <c r="K2956" s="55" t="s">
        <v>360</v>
      </c>
      <c r="L2956" s="55" t="s">
        <v>360</v>
      </c>
      <c r="M2956" s="55" t="s">
        <v>142</v>
      </c>
      <c r="N2956" s="55" t="s">
        <v>142</v>
      </c>
      <c r="O2956" s="55" t="s">
        <v>262</v>
      </c>
      <c r="P2956" s="55" t="s">
        <v>949</v>
      </c>
      <c r="Q2956" s="55" t="s">
        <v>380</v>
      </c>
      <c r="R2956" s="85">
        <v>6</v>
      </c>
      <c r="S2956" s="55" t="s">
        <v>332</v>
      </c>
      <c r="T2956" s="74" t="s">
        <v>2996</v>
      </c>
      <c r="U2956" s="74" t="s">
        <v>351</v>
      </c>
      <c r="V2956" s="74">
        <v>44531</v>
      </c>
      <c r="W2956" s="74">
        <v>44586</v>
      </c>
      <c r="X2956" s="55">
        <v>10185929</v>
      </c>
      <c r="Y2956" s="55" t="s">
        <v>132</v>
      </c>
      <c r="AB2956" s="74" t="s">
        <v>132</v>
      </c>
      <c r="AC2956" s="55" t="s">
        <v>132</v>
      </c>
      <c r="AL2956" s="74"/>
      <c r="AM2956" s="74"/>
    </row>
    <row r="2957" spans="1:50" ht="13" x14ac:dyDescent="0.15">
      <c r="A2957" s="55" t="str">
        <f>HYPERLINK("http://reports.ofsted.gov.uk/inspection-reports/find-inspection-report/provider/CARE/SC415347","Ofsted Social Care Provider Webpage")</f>
        <v>Ofsted Social Care Provider Webpage</v>
      </c>
      <c r="B2957" s="55" t="s">
        <v>5494</v>
      </c>
      <c r="D2957" s="55" t="s">
        <v>373</v>
      </c>
      <c r="E2957" s="74">
        <v>40433</v>
      </c>
      <c r="F2957" s="55" t="s">
        <v>344</v>
      </c>
      <c r="G2957" s="55" t="s">
        <v>360</v>
      </c>
      <c r="H2957" s="55" t="s">
        <v>360</v>
      </c>
      <c r="I2957" s="55" t="s">
        <v>360</v>
      </c>
      <c r="J2957" s="55" t="s">
        <v>360</v>
      </c>
      <c r="K2957" s="55" t="s">
        <v>360</v>
      </c>
      <c r="L2957" s="55" t="s">
        <v>360</v>
      </c>
      <c r="M2957" s="55" t="s">
        <v>142</v>
      </c>
      <c r="N2957" s="55" t="s">
        <v>142</v>
      </c>
      <c r="O2957" s="55" t="s">
        <v>262</v>
      </c>
      <c r="P2957" s="55" t="s">
        <v>916</v>
      </c>
      <c r="Q2957" s="55" t="s">
        <v>350</v>
      </c>
      <c r="R2957" s="85">
        <v>4</v>
      </c>
      <c r="S2957" s="55">
        <v>0</v>
      </c>
      <c r="T2957" s="74" t="s">
        <v>1253</v>
      </c>
      <c r="U2957" s="74" t="s">
        <v>351</v>
      </c>
      <c r="V2957" s="74">
        <v>44391</v>
      </c>
      <c r="W2957" s="74">
        <v>44421</v>
      </c>
      <c r="X2957" s="55">
        <v>10186507</v>
      </c>
      <c r="Y2957" s="55" t="s">
        <v>132</v>
      </c>
      <c r="AB2957" s="74" t="s">
        <v>132</v>
      </c>
      <c r="AC2957" s="55" t="s">
        <v>132</v>
      </c>
      <c r="AL2957" s="74"/>
      <c r="AM2957" s="74"/>
      <c r="AW2957" s="74"/>
      <c r="AX2957" s="74"/>
    </row>
    <row r="2958" spans="1:50" ht="13" x14ac:dyDescent="0.15">
      <c r="A2958" s="55" t="str">
        <f>HYPERLINK("http://reports.ofsted.gov.uk/inspection-reports/find-inspection-report/provider/CARE/SC415400","Ofsted Social Care Provider Webpage")</f>
        <v>Ofsted Social Care Provider Webpage</v>
      </c>
      <c r="B2958" s="55" t="s">
        <v>5495</v>
      </c>
      <c r="D2958" s="55" t="s">
        <v>373</v>
      </c>
      <c r="E2958" s="74">
        <v>40464</v>
      </c>
      <c r="F2958" s="55" t="s">
        <v>344</v>
      </c>
      <c r="G2958" s="55" t="s">
        <v>360</v>
      </c>
      <c r="H2958" s="55" t="s">
        <v>360</v>
      </c>
      <c r="I2958" s="55" t="s">
        <v>360</v>
      </c>
      <c r="J2958" s="55" t="s">
        <v>360</v>
      </c>
      <c r="K2958" s="55" t="s">
        <v>360</v>
      </c>
      <c r="L2958" s="55" t="s">
        <v>360</v>
      </c>
      <c r="M2958" s="55" t="s">
        <v>136</v>
      </c>
      <c r="N2958" s="55" t="s">
        <v>136</v>
      </c>
      <c r="O2958" s="55" t="s">
        <v>185</v>
      </c>
      <c r="P2958" s="55" t="s">
        <v>898</v>
      </c>
      <c r="Q2958" s="55" t="s">
        <v>380</v>
      </c>
      <c r="R2958" s="85">
        <v>6</v>
      </c>
      <c r="S2958" s="55" t="s">
        <v>332</v>
      </c>
      <c r="T2958" s="74" t="s">
        <v>5496</v>
      </c>
      <c r="U2958" s="74" t="s">
        <v>351</v>
      </c>
      <c r="V2958" s="74">
        <v>44517</v>
      </c>
      <c r="W2958" s="74">
        <v>44559</v>
      </c>
      <c r="X2958" s="55">
        <v>10185917</v>
      </c>
      <c r="Y2958" s="55" t="s">
        <v>132</v>
      </c>
      <c r="AB2958" s="74" t="s">
        <v>132</v>
      </c>
      <c r="AC2958" s="55" t="s">
        <v>132</v>
      </c>
      <c r="AL2958" s="74"/>
      <c r="AM2958" s="74"/>
      <c r="AW2958" s="74"/>
      <c r="AX2958" s="74"/>
    </row>
    <row r="2959" spans="1:50" ht="13" x14ac:dyDescent="0.15">
      <c r="A2959" s="55" t="str">
        <f>HYPERLINK("http://reports.ofsted.gov.uk/inspection-reports/find-inspection-report/provider/CARE/SC415710","Ofsted Social Care Provider Webpage")</f>
        <v>Ofsted Social Care Provider Webpage</v>
      </c>
      <c r="B2959" s="55" t="s">
        <v>5497</v>
      </c>
      <c r="D2959" s="55" t="s">
        <v>373</v>
      </c>
      <c r="E2959" s="74">
        <v>40449</v>
      </c>
      <c r="F2959" s="55" t="s">
        <v>344</v>
      </c>
      <c r="G2959" s="55" t="s">
        <v>360</v>
      </c>
      <c r="H2959" s="55" t="s">
        <v>360</v>
      </c>
      <c r="I2959" s="55" t="s">
        <v>360</v>
      </c>
      <c r="J2959" s="55" t="s">
        <v>360</v>
      </c>
      <c r="K2959" s="55" t="s">
        <v>360</v>
      </c>
      <c r="L2959" s="55" t="s">
        <v>360</v>
      </c>
      <c r="M2959" s="55" t="s">
        <v>144</v>
      </c>
      <c r="N2959" s="55" t="s">
        <v>144</v>
      </c>
      <c r="O2959" s="55" t="s">
        <v>145</v>
      </c>
      <c r="P2959" s="55" t="s">
        <v>525</v>
      </c>
      <c r="Q2959" s="55" t="s">
        <v>350</v>
      </c>
      <c r="R2959" s="85">
        <v>3</v>
      </c>
      <c r="S2959" s="55">
        <v>0</v>
      </c>
      <c r="T2959" s="74" t="s">
        <v>385</v>
      </c>
      <c r="U2959" s="74" t="s">
        <v>351</v>
      </c>
      <c r="V2959" s="74">
        <v>44580</v>
      </c>
      <c r="W2959" s="74">
        <v>44610</v>
      </c>
      <c r="X2959" s="55">
        <v>10185648</v>
      </c>
      <c r="Y2959" s="55" t="s">
        <v>132</v>
      </c>
      <c r="AB2959" s="74" t="s">
        <v>132</v>
      </c>
      <c r="AC2959" s="55" t="s">
        <v>132</v>
      </c>
      <c r="AL2959" s="74"/>
      <c r="AM2959" s="74"/>
      <c r="AW2959" s="74"/>
      <c r="AX2959" s="74"/>
    </row>
    <row r="2960" spans="1:50" ht="13" x14ac:dyDescent="0.15">
      <c r="A2960" s="55" t="str">
        <f>HYPERLINK("http://reports.ofsted.gov.uk/inspection-reports/find-inspection-report/provider/CARE/SC416136","Ofsted Social Care Provider Webpage")</f>
        <v>Ofsted Social Care Provider Webpage</v>
      </c>
      <c r="B2960" s="55" t="s">
        <v>5498</v>
      </c>
      <c r="D2960" s="55" t="s">
        <v>373</v>
      </c>
      <c r="E2960" s="74">
        <v>40485</v>
      </c>
      <c r="F2960" s="55" t="s">
        <v>344</v>
      </c>
      <c r="G2960" s="55" t="s">
        <v>360</v>
      </c>
      <c r="H2960" s="55" t="s">
        <v>360</v>
      </c>
      <c r="I2960" s="55" t="s">
        <v>360</v>
      </c>
      <c r="J2960" s="55" t="s">
        <v>360</v>
      </c>
      <c r="K2960" s="55" t="s">
        <v>360</v>
      </c>
      <c r="L2960" s="55" t="s">
        <v>360</v>
      </c>
      <c r="M2960" s="55" t="s">
        <v>378</v>
      </c>
      <c r="N2960" s="55" t="s">
        <v>170</v>
      </c>
      <c r="O2960" s="55" t="s">
        <v>267</v>
      </c>
      <c r="P2960" s="55" t="s">
        <v>477</v>
      </c>
      <c r="Q2960" s="55" t="s">
        <v>362</v>
      </c>
      <c r="R2960" s="85">
        <v>5</v>
      </c>
      <c r="S2960" s="55">
        <v>0</v>
      </c>
      <c r="T2960" s="74" t="s">
        <v>5369</v>
      </c>
      <c r="U2960" s="74" t="s">
        <v>351</v>
      </c>
      <c r="V2960" s="74">
        <v>44565</v>
      </c>
      <c r="W2960" s="74">
        <v>44596</v>
      </c>
      <c r="X2960" s="55">
        <v>10185246</v>
      </c>
      <c r="Y2960" s="55" t="s">
        <v>132</v>
      </c>
      <c r="AB2960" s="74" t="s">
        <v>132</v>
      </c>
      <c r="AC2960" s="55" t="s">
        <v>132</v>
      </c>
      <c r="AL2960" s="74"/>
      <c r="AM2960" s="74"/>
    </row>
    <row r="2961" spans="1:50" ht="13" x14ac:dyDescent="0.15">
      <c r="A2961" s="55" t="str">
        <f>HYPERLINK("http://reports.ofsted.gov.uk/inspection-reports/find-inspection-report/provider/CARE/SC416267","Ofsted Social Care Provider Webpage")</f>
        <v>Ofsted Social Care Provider Webpage</v>
      </c>
      <c r="B2961" s="55" t="s">
        <v>5499</v>
      </c>
      <c r="D2961" s="55" t="s">
        <v>373</v>
      </c>
      <c r="E2961" s="74">
        <v>40448</v>
      </c>
      <c r="F2961" s="55" t="s">
        <v>344</v>
      </c>
      <c r="G2961" s="55" t="s">
        <v>360</v>
      </c>
      <c r="H2961" s="55" t="s">
        <v>360</v>
      </c>
      <c r="I2961" s="55" t="s">
        <v>360</v>
      </c>
      <c r="J2961" s="55" t="s">
        <v>360</v>
      </c>
      <c r="K2961" s="55" t="s">
        <v>360</v>
      </c>
      <c r="L2961" s="55" t="s">
        <v>360</v>
      </c>
      <c r="M2961" s="55" t="s">
        <v>144</v>
      </c>
      <c r="N2961" s="55" t="s">
        <v>144</v>
      </c>
      <c r="O2961" s="55" t="s">
        <v>245</v>
      </c>
      <c r="P2961" s="55" t="s">
        <v>1796</v>
      </c>
      <c r="Q2961" s="55" t="s">
        <v>350</v>
      </c>
      <c r="R2961" s="85">
        <v>2</v>
      </c>
      <c r="S2961" s="55">
        <v>0</v>
      </c>
      <c r="T2961" s="74" t="s">
        <v>711</v>
      </c>
      <c r="U2961" s="74" t="s">
        <v>351</v>
      </c>
      <c r="V2961" s="74">
        <v>44545</v>
      </c>
      <c r="W2961" s="74">
        <v>44592</v>
      </c>
      <c r="X2961" s="55">
        <v>10186461</v>
      </c>
      <c r="Y2961" s="55" t="s">
        <v>132</v>
      </c>
      <c r="AB2961" s="74" t="s">
        <v>132</v>
      </c>
      <c r="AC2961" s="55" t="s">
        <v>132</v>
      </c>
      <c r="AL2961" s="74"/>
      <c r="AM2961" s="74"/>
    </row>
    <row r="2962" spans="1:50" ht="13" x14ac:dyDescent="0.15">
      <c r="A2962" s="55" t="str">
        <f>HYPERLINK("http://reports.ofsted.gov.uk/inspection-reports/find-inspection-report/provider/CARE/SC416290","Ofsted Social Care Provider Webpage")</f>
        <v>Ofsted Social Care Provider Webpage</v>
      </c>
      <c r="B2962" s="55" t="s">
        <v>5500</v>
      </c>
      <c r="D2962" s="55" t="s">
        <v>389</v>
      </c>
      <c r="E2962" s="74">
        <v>40497</v>
      </c>
      <c r="F2962" s="55" t="s">
        <v>344</v>
      </c>
      <c r="G2962" s="55" t="s">
        <v>5501</v>
      </c>
      <c r="H2962" s="55" t="s">
        <v>5502</v>
      </c>
      <c r="I2962" s="55" t="s">
        <v>5503</v>
      </c>
      <c r="J2962" s="55" t="s">
        <v>4030</v>
      </c>
      <c r="K2962" s="55" t="s">
        <v>293</v>
      </c>
      <c r="L2962" s="55" t="s">
        <v>4031</v>
      </c>
      <c r="M2962" s="55" t="s">
        <v>142</v>
      </c>
      <c r="N2962" s="55" t="s">
        <v>142</v>
      </c>
      <c r="O2962" s="55" t="s">
        <v>293</v>
      </c>
      <c r="P2962" s="55" t="s">
        <v>1641</v>
      </c>
      <c r="Q2962" s="55" t="s">
        <v>350</v>
      </c>
      <c r="S2962" s="55">
        <v>0</v>
      </c>
      <c r="T2962" s="74" t="s">
        <v>5504</v>
      </c>
      <c r="U2962" s="74" t="s">
        <v>351</v>
      </c>
      <c r="V2962" s="74">
        <v>44592</v>
      </c>
      <c r="W2962" s="74">
        <v>44641</v>
      </c>
      <c r="X2962" s="55">
        <v>10183434</v>
      </c>
      <c r="Y2962" s="55" t="s">
        <v>132</v>
      </c>
      <c r="AB2962" s="74" t="s">
        <v>132</v>
      </c>
      <c r="AC2962" s="55" t="s">
        <v>132</v>
      </c>
      <c r="AL2962" s="74"/>
      <c r="AM2962" s="74"/>
    </row>
    <row r="2963" spans="1:50" ht="13" x14ac:dyDescent="0.15">
      <c r="A2963" s="55" t="str">
        <f>HYPERLINK("http://reports.ofsted.gov.uk/inspection-reports/find-inspection-report/provider/CARE/SC416464","Ofsted Social Care Provider Webpage")</f>
        <v>Ofsted Social Care Provider Webpage</v>
      </c>
      <c r="B2963" s="55" t="s">
        <v>5510</v>
      </c>
      <c r="D2963" s="55" t="s">
        <v>373</v>
      </c>
      <c r="E2963" s="74">
        <v>40554</v>
      </c>
      <c r="F2963" s="55" t="s">
        <v>344</v>
      </c>
      <c r="G2963" s="55" t="s">
        <v>360</v>
      </c>
      <c r="H2963" s="55" t="s">
        <v>360</v>
      </c>
      <c r="I2963" s="55" t="s">
        <v>360</v>
      </c>
      <c r="J2963" s="55" t="s">
        <v>360</v>
      </c>
      <c r="K2963" s="55" t="s">
        <v>360</v>
      </c>
      <c r="L2963" s="55" t="s">
        <v>360</v>
      </c>
      <c r="M2963" s="55" t="s">
        <v>144</v>
      </c>
      <c r="N2963" s="55" t="s">
        <v>144</v>
      </c>
      <c r="O2963" s="55" t="s">
        <v>245</v>
      </c>
      <c r="P2963" s="55" t="s">
        <v>245</v>
      </c>
      <c r="Q2963" s="55" t="s">
        <v>350</v>
      </c>
      <c r="R2963" s="85">
        <v>3</v>
      </c>
      <c r="S2963" s="55">
        <v>0</v>
      </c>
      <c r="T2963" s="74" t="s">
        <v>613</v>
      </c>
      <c r="U2963" s="74" t="s">
        <v>351</v>
      </c>
      <c r="V2963" s="74">
        <v>44586</v>
      </c>
      <c r="W2963" s="74">
        <v>44622</v>
      </c>
      <c r="X2963" s="55">
        <v>10186452</v>
      </c>
      <c r="Y2963" s="55" t="s">
        <v>132</v>
      </c>
      <c r="AB2963" s="74" t="s">
        <v>132</v>
      </c>
      <c r="AC2963" s="55" t="s">
        <v>132</v>
      </c>
      <c r="AL2963" s="74"/>
      <c r="AM2963" s="74"/>
      <c r="AW2963" s="74"/>
      <c r="AX2963" s="74"/>
    </row>
    <row r="2964" spans="1:50" ht="13" x14ac:dyDescent="0.15">
      <c r="A2964" s="55" t="str">
        <f>HYPERLINK("http://reports.ofsted.gov.uk/inspection-reports/find-inspection-report/provider/CARE/SC416599","Ofsted Social Care Provider Webpage")</f>
        <v>Ofsted Social Care Provider Webpage</v>
      </c>
      <c r="B2964" s="55" t="s">
        <v>5511</v>
      </c>
      <c r="D2964" s="55" t="s">
        <v>373</v>
      </c>
      <c r="E2964" s="74">
        <v>40396</v>
      </c>
      <c r="F2964" s="55" t="s">
        <v>344</v>
      </c>
      <c r="G2964" s="55" t="s">
        <v>360</v>
      </c>
      <c r="H2964" s="55" t="s">
        <v>360</v>
      </c>
      <c r="I2964" s="55" t="s">
        <v>360</v>
      </c>
      <c r="J2964" s="55" t="s">
        <v>360</v>
      </c>
      <c r="K2964" s="55" t="s">
        <v>360</v>
      </c>
      <c r="L2964" s="55" t="s">
        <v>360</v>
      </c>
      <c r="M2964" s="55" t="s">
        <v>144</v>
      </c>
      <c r="N2964" s="55" t="s">
        <v>144</v>
      </c>
      <c r="O2964" s="55" t="s">
        <v>168</v>
      </c>
      <c r="P2964" s="55" t="s">
        <v>708</v>
      </c>
      <c r="Q2964" s="55" t="s">
        <v>350</v>
      </c>
      <c r="R2964" s="85">
        <v>5</v>
      </c>
      <c r="S2964" s="55">
        <v>0</v>
      </c>
      <c r="T2964" s="74" t="s">
        <v>2358</v>
      </c>
      <c r="U2964" s="74" t="s">
        <v>351</v>
      </c>
      <c r="V2964" s="74">
        <v>44354</v>
      </c>
      <c r="W2964" s="74">
        <v>44393</v>
      </c>
      <c r="X2964" s="55">
        <v>10187467</v>
      </c>
      <c r="Y2964" s="55" t="s">
        <v>132</v>
      </c>
      <c r="AB2964" s="74" t="s">
        <v>132</v>
      </c>
      <c r="AC2964" s="55" t="s">
        <v>132</v>
      </c>
      <c r="AL2964" s="74"/>
      <c r="AM2964" s="74"/>
      <c r="AW2964" s="74"/>
      <c r="AX2964" s="74"/>
    </row>
    <row r="2965" spans="1:50" ht="13" x14ac:dyDescent="0.15">
      <c r="A2965" s="55" t="str">
        <f>HYPERLINK("http://reports.ofsted.gov.uk/inspection-reports/find-inspection-report/provider/CARE/SC416915","Ofsted Social Care Provider Webpage")</f>
        <v>Ofsted Social Care Provider Webpage</v>
      </c>
      <c r="B2965" s="55" t="s">
        <v>5512</v>
      </c>
      <c r="D2965" s="55" t="s">
        <v>373</v>
      </c>
      <c r="E2965" s="74">
        <v>40532</v>
      </c>
      <c r="F2965" s="55" t="s">
        <v>344</v>
      </c>
      <c r="G2965" s="55" t="s">
        <v>360</v>
      </c>
      <c r="H2965" s="55" t="s">
        <v>360</v>
      </c>
      <c r="I2965" s="55" t="s">
        <v>360</v>
      </c>
      <c r="J2965" s="55" t="s">
        <v>360</v>
      </c>
      <c r="K2965" s="55" t="s">
        <v>360</v>
      </c>
      <c r="L2965" s="55" t="s">
        <v>360</v>
      </c>
      <c r="M2965" s="55" t="s">
        <v>150</v>
      </c>
      <c r="N2965" s="55" t="s">
        <v>150</v>
      </c>
      <c r="O2965" s="55" t="s">
        <v>203</v>
      </c>
      <c r="P2965" s="55" t="s">
        <v>1263</v>
      </c>
      <c r="Q2965" s="55" t="s">
        <v>350</v>
      </c>
      <c r="R2965" s="85">
        <v>7</v>
      </c>
      <c r="S2965" s="55">
        <v>0</v>
      </c>
      <c r="T2965" s="74" t="s">
        <v>483</v>
      </c>
      <c r="U2965" s="74" t="s">
        <v>351</v>
      </c>
      <c r="V2965" s="74">
        <v>44593</v>
      </c>
      <c r="W2965" s="74">
        <v>44645</v>
      </c>
      <c r="X2965" s="55">
        <v>10186550</v>
      </c>
      <c r="Y2965" s="55" t="s">
        <v>140</v>
      </c>
      <c r="AB2965" s="74" t="s">
        <v>140</v>
      </c>
      <c r="AC2965" s="55" t="s">
        <v>140</v>
      </c>
      <c r="AL2965" s="74"/>
      <c r="AM2965" s="74"/>
      <c r="AW2965" s="74"/>
      <c r="AX2965" s="74"/>
    </row>
    <row r="2966" spans="1:50" ht="13" x14ac:dyDescent="0.15">
      <c r="A2966" s="55" t="str">
        <f>HYPERLINK("http://reports.ofsted.gov.uk/inspection-reports/find-inspection-report/provider/CARE/SC417031","Ofsted Social Care Provider Webpage")</f>
        <v>Ofsted Social Care Provider Webpage</v>
      </c>
      <c r="B2966" s="55" t="s">
        <v>5513</v>
      </c>
      <c r="D2966" s="55" t="s">
        <v>373</v>
      </c>
      <c r="E2966" s="74">
        <v>40515</v>
      </c>
      <c r="F2966" s="55" t="s">
        <v>344</v>
      </c>
      <c r="G2966" s="55" t="s">
        <v>360</v>
      </c>
      <c r="H2966" s="55" t="s">
        <v>360</v>
      </c>
      <c r="I2966" s="55" t="s">
        <v>360</v>
      </c>
      <c r="J2966" s="55" t="s">
        <v>360</v>
      </c>
      <c r="K2966" s="55" t="s">
        <v>360</v>
      </c>
      <c r="L2966" s="55" t="s">
        <v>360</v>
      </c>
      <c r="M2966" s="55" t="s">
        <v>378</v>
      </c>
      <c r="N2966" s="55" t="s">
        <v>170</v>
      </c>
      <c r="O2966" s="55" t="s">
        <v>178</v>
      </c>
      <c r="P2966" s="55" t="s">
        <v>1374</v>
      </c>
      <c r="Q2966" s="55" t="s">
        <v>350</v>
      </c>
      <c r="R2966" s="85">
        <v>4</v>
      </c>
      <c r="S2966" s="55">
        <v>0</v>
      </c>
      <c r="T2966" s="74" t="s">
        <v>644</v>
      </c>
      <c r="U2966" s="74" t="s">
        <v>6703</v>
      </c>
      <c r="V2966" s="74">
        <v>44571</v>
      </c>
      <c r="W2966" s="74">
        <v>44596</v>
      </c>
      <c r="X2966" s="55">
        <v>10209356</v>
      </c>
      <c r="Y2966" s="55" t="s">
        <v>6705</v>
      </c>
      <c r="AL2966" s="74"/>
      <c r="AM2966" s="74"/>
    </row>
    <row r="2967" spans="1:50" ht="13" x14ac:dyDescent="0.15">
      <c r="A2967" s="55" t="str">
        <f>HYPERLINK("http://reports.ofsted.gov.uk/inspection-reports/find-inspection-report/provider/CARE/SC417031","Ofsted Social Care Provider Webpage")</f>
        <v>Ofsted Social Care Provider Webpage</v>
      </c>
      <c r="B2967" s="55" t="s">
        <v>5513</v>
      </c>
      <c r="D2967" s="55" t="s">
        <v>373</v>
      </c>
      <c r="E2967" s="74">
        <v>40515</v>
      </c>
      <c r="F2967" s="55" t="s">
        <v>344</v>
      </c>
      <c r="G2967" s="55" t="s">
        <v>360</v>
      </c>
      <c r="H2967" s="55" t="s">
        <v>360</v>
      </c>
      <c r="I2967" s="55" t="s">
        <v>360</v>
      </c>
      <c r="J2967" s="55" t="s">
        <v>360</v>
      </c>
      <c r="K2967" s="55" t="s">
        <v>360</v>
      </c>
      <c r="L2967" s="55" t="s">
        <v>360</v>
      </c>
      <c r="M2967" s="55" t="s">
        <v>378</v>
      </c>
      <c r="N2967" s="55" t="s">
        <v>170</v>
      </c>
      <c r="O2967" s="55" t="s">
        <v>178</v>
      </c>
      <c r="P2967" s="55" t="s">
        <v>1374</v>
      </c>
      <c r="Q2967" s="55" t="s">
        <v>350</v>
      </c>
      <c r="R2967" s="85">
        <v>4</v>
      </c>
      <c r="S2967" s="55">
        <v>0</v>
      </c>
      <c r="T2967" s="74" t="s">
        <v>644</v>
      </c>
      <c r="U2967" s="74" t="s">
        <v>351</v>
      </c>
      <c r="V2967" s="74">
        <v>44453</v>
      </c>
      <c r="W2967" s="74">
        <v>44491</v>
      </c>
      <c r="X2967" s="55">
        <v>10185629</v>
      </c>
      <c r="Y2967" s="55" t="s">
        <v>130</v>
      </c>
      <c r="AB2967" s="74" t="s">
        <v>132</v>
      </c>
      <c r="AC2967" s="55" t="s">
        <v>130</v>
      </c>
      <c r="AL2967" s="74"/>
      <c r="AM2967" s="74"/>
    </row>
    <row r="2968" spans="1:50" ht="13" x14ac:dyDescent="0.15">
      <c r="A2968" s="55" t="str">
        <f>HYPERLINK("http://reports.ofsted.gov.uk/inspection-reports/find-inspection-report/provider/CARE/SC417250","Ofsted Social Care Provider Webpage")</f>
        <v>Ofsted Social Care Provider Webpage</v>
      </c>
      <c r="B2968" s="55" t="s">
        <v>5514</v>
      </c>
      <c r="D2968" s="55" t="s">
        <v>373</v>
      </c>
      <c r="E2968" s="74">
        <v>40473</v>
      </c>
      <c r="F2968" s="55" t="s">
        <v>344</v>
      </c>
      <c r="G2968" s="55" t="s">
        <v>360</v>
      </c>
      <c r="H2968" s="55" t="s">
        <v>360</v>
      </c>
      <c r="I2968" s="55" t="s">
        <v>360</v>
      </c>
      <c r="J2968" s="55" t="s">
        <v>360</v>
      </c>
      <c r="K2968" s="55" t="s">
        <v>360</v>
      </c>
      <c r="L2968" s="55" t="s">
        <v>360</v>
      </c>
      <c r="M2968" s="55" t="s">
        <v>150</v>
      </c>
      <c r="N2968" s="55" t="s">
        <v>150</v>
      </c>
      <c r="O2968" s="55" t="s">
        <v>283</v>
      </c>
      <c r="P2968" s="55" t="s">
        <v>291</v>
      </c>
      <c r="Q2968" s="55" t="s">
        <v>350</v>
      </c>
      <c r="R2968" s="85">
        <v>5</v>
      </c>
      <c r="S2968" s="55">
        <v>0</v>
      </c>
      <c r="T2968" s="74" t="s">
        <v>755</v>
      </c>
      <c r="U2968" s="74" t="s">
        <v>351</v>
      </c>
      <c r="V2968" s="74">
        <v>44566</v>
      </c>
      <c r="W2968" s="74">
        <v>44600</v>
      </c>
      <c r="X2968" s="55">
        <v>10186126</v>
      </c>
      <c r="Y2968" s="55" t="s">
        <v>132</v>
      </c>
      <c r="AB2968" s="74" t="s">
        <v>132</v>
      </c>
      <c r="AC2968" s="55" t="s">
        <v>140</v>
      </c>
      <c r="AL2968" s="74"/>
      <c r="AM2968" s="74"/>
      <c r="AW2968" s="74"/>
      <c r="AX2968" s="74"/>
    </row>
    <row r="2969" spans="1:50" ht="13" x14ac:dyDescent="0.15">
      <c r="A2969" s="55" t="str">
        <f>HYPERLINK("http://reports.ofsted.gov.uk/inspection-reports/find-inspection-report/provider/CARE/SC417504","Ofsted Social Care Provider Webpage")</f>
        <v>Ofsted Social Care Provider Webpage</v>
      </c>
      <c r="B2969" s="55" t="s">
        <v>5515</v>
      </c>
      <c r="D2969" s="55" t="s">
        <v>389</v>
      </c>
      <c r="E2969" s="74">
        <v>40560</v>
      </c>
      <c r="F2969" s="55" t="s">
        <v>344</v>
      </c>
      <c r="G2969" s="55" t="s">
        <v>5516</v>
      </c>
      <c r="H2969" s="55" t="s">
        <v>5517</v>
      </c>
      <c r="I2969" s="55" t="s">
        <v>5518</v>
      </c>
      <c r="J2969" s="55" t="s">
        <v>5519</v>
      </c>
      <c r="K2969" s="55" t="s">
        <v>195</v>
      </c>
      <c r="L2969" s="55" t="s">
        <v>5520</v>
      </c>
      <c r="M2969" s="55" t="s">
        <v>142</v>
      </c>
      <c r="N2969" s="55" t="s">
        <v>142</v>
      </c>
      <c r="O2969" s="55" t="s">
        <v>195</v>
      </c>
      <c r="P2969" s="55" t="s">
        <v>518</v>
      </c>
      <c r="Q2969" s="55" t="s">
        <v>350</v>
      </c>
      <c r="S2969" s="55">
        <v>0</v>
      </c>
      <c r="T2969" s="74" t="s">
        <v>5521</v>
      </c>
      <c r="U2969" s="74" t="s">
        <v>351</v>
      </c>
      <c r="V2969" s="74">
        <v>44417</v>
      </c>
      <c r="W2969" s="74">
        <v>44463</v>
      </c>
      <c r="X2969" s="55">
        <v>10183276</v>
      </c>
      <c r="Y2969" s="55" t="s">
        <v>146</v>
      </c>
      <c r="AB2969" s="74" t="s">
        <v>146</v>
      </c>
      <c r="AC2969" s="55" t="s">
        <v>146</v>
      </c>
      <c r="AL2969" s="74"/>
      <c r="AM2969" s="74"/>
      <c r="AW2969" s="74"/>
      <c r="AX2969" s="74"/>
    </row>
    <row r="2970" spans="1:50" ht="13" x14ac:dyDescent="0.15">
      <c r="A2970" s="55" t="str">
        <f>HYPERLINK("http://reports.ofsted.gov.uk/inspection-reports/find-inspection-report/provider/CARE/SC417504","Ofsted Social Care Provider Webpage")</f>
        <v>Ofsted Social Care Provider Webpage</v>
      </c>
      <c r="B2970" s="55" t="s">
        <v>5515</v>
      </c>
      <c r="D2970" s="55" t="s">
        <v>389</v>
      </c>
      <c r="E2970" s="74">
        <v>40560</v>
      </c>
      <c r="F2970" s="55" t="s">
        <v>344</v>
      </c>
      <c r="G2970" s="55" t="s">
        <v>5516</v>
      </c>
      <c r="H2970" s="55" t="s">
        <v>5517</v>
      </c>
      <c r="I2970" s="55" t="s">
        <v>5518</v>
      </c>
      <c r="J2970" s="55" t="s">
        <v>5519</v>
      </c>
      <c r="K2970" s="55" t="s">
        <v>195</v>
      </c>
      <c r="L2970" s="55" t="s">
        <v>5520</v>
      </c>
      <c r="M2970" s="55" t="s">
        <v>142</v>
      </c>
      <c r="N2970" s="55" t="s">
        <v>142</v>
      </c>
      <c r="O2970" s="55" t="s">
        <v>195</v>
      </c>
      <c r="P2970" s="55" t="s">
        <v>518</v>
      </c>
      <c r="Q2970" s="55" t="s">
        <v>350</v>
      </c>
      <c r="S2970" s="55">
        <v>0</v>
      </c>
      <c r="T2970" s="74" t="s">
        <v>5521</v>
      </c>
      <c r="U2970" s="74" t="s">
        <v>2053</v>
      </c>
      <c r="V2970" s="74">
        <v>44523</v>
      </c>
      <c r="W2970" s="74">
        <v>44574</v>
      </c>
      <c r="X2970" s="55">
        <v>10209965</v>
      </c>
      <c r="AL2970" s="74"/>
      <c r="AM2970" s="74"/>
      <c r="AW2970" s="74"/>
      <c r="AX2970" s="74"/>
    </row>
    <row r="2971" spans="1:50" ht="13" x14ac:dyDescent="0.15">
      <c r="A2971" s="55" t="str">
        <f>HYPERLINK("http://reports.ofsted.gov.uk/inspection-reports/find-inspection-report/provider/CARE/SC417504","Ofsted Social Care Provider Webpage")</f>
        <v>Ofsted Social Care Provider Webpage</v>
      </c>
      <c r="B2971" s="55" t="s">
        <v>5515</v>
      </c>
      <c r="D2971" s="55" t="s">
        <v>389</v>
      </c>
      <c r="E2971" s="74">
        <v>40560</v>
      </c>
      <c r="F2971" s="55" t="s">
        <v>344</v>
      </c>
      <c r="G2971" s="55" t="s">
        <v>5516</v>
      </c>
      <c r="H2971" s="55" t="s">
        <v>5517</v>
      </c>
      <c r="I2971" s="55" t="s">
        <v>5518</v>
      </c>
      <c r="J2971" s="55" t="s">
        <v>5519</v>
      </c>
      <c r="K2971" s="55" t="s">
        <v>195</v>
      </c>
      <c r="L2971" s="55" t="s">
        <v>5520</v>
      </c>
      <c r="M2971" s="55" t="s">
        <v>142</v>
      </c>
      <c r="N2971" s="55" t="s">
        <v>142</v>
      </c>
      <c r="O2971" s="55" t="s">
        <v>195</v>
      </c>
      <c r="P2971" s="55" t="s">
        <v>518</v>
      </c>
      <c r="Q2971" s="55" t="s">
        <v>350</v>
      </c>
      <c r="S2971" s="55">
        <v>0</v>
      </c>
      <c r="T2971" s="74" t="s">
        <v>5521</v>
      </c>
      <c r="U2971" s="74" t="s">
        <v>2053</v>
      </c>
      <c r="V2971" s="74">
        <v>44467</v>
      </c>
      <c r="W2971" s="74">
        <v>44509</v>
      </c>
      <c r="X2971" s="55">
        <v>10205864</v>
      </c>
      <c r="AL2971" s="74"/>
      <c r="AM2971" s="74"/>
      <c r="AW2971" s="74"/>
      <c r="AX2971" s="74"/>
    </row>
    <row r="2972" spans="1:50" ht="13" x14ac:dyDescent="0.15">
      <c r="A2972" s="55" t="str">
        <f>HYPERLINK("http://reports.ofsted.gov.uk/inspection-reports/find-inspection-report/provider/CARE/SC417795","Ofsted Social Care Provider Webpage")</f>
        <v>Ofsted Social Care Provider Webpage</v>
      </c>
      <c r="B2972" s="55" t="s">
        <v>5529</v>
      </c>
      <c r="D2972" s="55" t="s">
        <v>373</v>
      </c>
      <c r="E2972" s="74">
        <v>40484</v>
      </c>
      <c r="F2972" s="55" t="s">
        <v>344</v>
      </c>
      <c r="G2972" s="55" t="s">
        <v>360</v>
      </c>
      <c r="H2972" s="55" t="s">
        <v>360</v>
      </c>
      <c r="I2972" s="55" t="s">
        <v>360</v>
      </c>
      <c r="J2972" s="55" t="s">
        <v>360</v>
      </c>
      <c r="K2972" s="55" t="s">
        <v>360</v>
      </c>
      <c r="L2972" s="55" t="s">
        <v>360</v>
      </c>
      <c r="M2972" s="55" t="s">
        <v>378</v>
      </c>
      <c r="N2972" s="55" t="s">
        <v>134</v>
      </c>
      <c r="O2972" s="55" t="s">
        <v>210</v>
      </c>
      <c r="P2972" s="55" t="s">
        <v>1989</v>
      </c>
      <c r="Q2972" s="55" t="s">
        <v>350</v>
      </c>
      <c r="R2972" s="85">
        <v>4</v>
      </c>
      <c r="S2972" s="55">
        <v>0</v>
      </c>
      <c r="T2972" s="74" t="s">
        <v>1251</v>
      </c>
      <c r="U2972" s="74" t="s">
        <v>351</v>
      </c>
      <c r="V2972" s="74">
        <v>44306</v>
      </c>
      <c r="W2972" s="74">
        <v>44336</v>
      </c>
      <c r="X2972" s="55">
        <v>10186117</v>
      </c>
      <c r="Y2972" s="55" t="s">
        <v>132</v>
      </c>
      <c r="AB2972" s="74" t="s">
        <v>132</v>
      </c>
      <c r="AC2972" s="55" t="s">
        <v>132</v>
      </c>
      <c r="AL2972" s="74"/>
      <c r="AM2972" s="74"/>
      <c r="AW2972" s="74"/>
      <c r="AX2972" s="74"/>
    </row>
    <row r="2973" spans="1:50" ht="13" x14ac:dyDescent="0.15">
      <c r="A2973" s="55" t="str">
        <f>HYPERLINK("http://reports.ofsted.gov.uk/inspection-reports/find-inspection-report/provider/CARE/SC418605","Ofsted Social Care Provider Webpage")</f>
        <v>Ofsted Social Care Provider Webpage</v>
      </c>
      <c r="B2973" s="55" t="s">
        <v>5535</v>
      </c>
      <c r="D2973" s="55" t="s">
        <v>373</v>
      </c>
      <c r="E2973" s="74">
        <v>40595</v>
      </c>
      <c r="F2973" s="55" t="s">
        <v>344</v>
      </c>
      <c r="G2973" s="55" t="s">
        <v>360</v>
      </c>
      <c r="H2973" s="55" t="s">
        <v>360</v>
      </c>
      <c r="I2973" s="55" t="s">
        <v>360</v>
      </c>
      <c r="J2973" s="55" t="s">
        <v>360</v>
      </c>
      <c r="K2973" s="55" t="s">
        <v>360</v>
      </c>
      <c r="L2973" s="55" t="s">
        <v>360</v>
      </c>
      <c r="M2973" s="55" t="s">
        <v>378</v>
      </c>
      <c r="N2973" s="55" t="s">
        <v>170</v>
      </c>
      <c r="O2973" s="55" t="s">
        <v>178</v>
      </c>
      <c r="P2973" s="55" t="s">
        <v>1450</v>
      </c>
      <c r="Q2973" s="55" t="s">
        <v>350</v>
      </c>
      <c r="R2973" s="85">
        <v>3</v>
      </c>
      <c r="S2973" s="55">
        <v>0</v>
      </c>
      <c r="T2973" s="74" t="s">
        <v>2367</v>
      </c>
      <c r="U2973" s="74" t="s">
        <v>351</v>
      </c>
      <c r="V2973" s="74">
        <v>44608</v>
      </c>
      <c r="W2973" s="74">
        <v>44655</v>
      </c>
      <c r="X2973" s="55">
        <v>10186040</v>
      </c>
      <c r="Y2973" s="55" t="s">
        <v>132</v>
      </c>
      <c r="AB2973" s="74" t="s">
        <v>132</v>
      </c>
      <c r="AC2973" s="55" t="s">
        <v>130</v>
      </c>
      <c r="AL2973" s="74"/>
      <c r="AM2973" s="74"/>
    </row>
    <row r="2974" spans="1:50" ht="13" x14ac:dyDescent="0.15">
      <c r="A2974" s="55" t="str">
        <f>HYPERLINK("http://reports.ofsted.gov.uk/inspection-reports/find-inspection-report/provider/CARE/SC419217","Ofsted Social Care Provider Webpage")</f>
        <v>Ofsted Social Care Provider Webpage</v>
      </c>
      <c r="B2974" s="55" t="s">
        <v>5536</v>
      </c>
      <c r="D2974" s="55" t="s">
        <v>373</v>
      </c>
      <c r="E2974" s="74">
        <v>40500</v>
      </c>
      <c r="F2974" s="55" t="s">
        <v>344</v>
      </c>
      <c r="G2974" s="55" t="s">
        <v>360</v>
      </c>
      <c r="H2974" s="55" t="s">
        <v>360</v>
      </c>
      <c r="I2974" s="55" t="s">
        <v>360</v>
      </c>
      <c r="J2974" s="55" t="s">
        <v>360</v>
      </c>
      <c r="K2974" s="55" t="s">
        <v>360</v>
      </c>
      <c r="L2974" s="55" t="s">
        <v>360</v>
      </c>
      <c r="M2974" s="55" t="s">
        <v>142</v>
      </c>
      <c r="N2974" s="55" t="s">
        <v>142</v>
      </c>
      <c r="O2974" s="55" t="s">
        <v>141</v>
      </c>
      <c r="P2974" s="55" t="s">
        <v>795</v>
      </c>
      <c r="Q2974" s="55" t="s">
        <v>350</v>
      </c>
      <c r="R2974" s="85">
        <v>2</v>
      </c>
      <c r="S2974" s="55">
        <v>0</v>
      </c>
      <c r="T2974" s="74" t="s">
        <v>1913</v>
      </c>
      <c r="U2974" s="74" t="s">
        <v>351</v>
      </c>
      <c r="V2974" s="74">
        <v>44488</v>
      </c>
      <c r="W2974" s="74">
        <v>44529</v>
      </c>
      <c r="X2974" s="55">
        <v>10186900</v>
      </c>
      <c r="Y2974" s="55" t="s">
        <v>132</v>
      </c>
      <c r="AB2974" s="74" t="s">
        <v>132</v>
      </c>
      <c r="AC2974" s="55" t="s">
        <v>132</v>
      </c>
      <c r="AL2974" s="74"/>
      <c r="AM2974" s="74"/>
      <c r="AW2974" s="74"/>
      <c r="AX2974" s="74"/>
    </row>
    <row r="2975" spans="1:50" ht="13" x14ac:dyDescent="0.15">
      <c r="A2975" s="55" t="str">
        <f>HYPERLINK("http://reports.ofsted.gov.uk/inspection-reports/find-inspection-report/provider/CARE/SC419229","Ofsted Social Care Provider Webpage")</f>
        <v>Ofsted Social Care Provider Webpage</v>
      </c>
      <c r="B2975" s="55" t="s">
        <v>5537</v>
      </c>
      <c r="D2975" s="55" t="s">
        <v>373</v>
      </c>
      <c r="E2975" s="74">
        <v>40484</v>
      </c>
      <c r="F2975" s="55" t="s">
        <v>344</v>
      </c>
      <c r="G2975" s="55" t="s">
        <v>360</v>
      </c>
      <c r="H2975" s="55" t="s">
        <v>360</v>
      </c>
      <c r="I2975" s="55" t="s">
        <v>360</v>
      </c>
      <c r="J2975" s="55" t="s">
        <v>360</v>
      </c>
      <c r="K2975" s="55" t="s">
        <v>360</v>
      </c>
      <c r="L2975" s="55" t="s">
        <v>360</v>
      </c>
      <c r="M2975" s="55" t="s">
        <v>142</v>
      </c>
      <c r="N2975" s="55" t="s">
        <v>142</v>
      </c>
      <c r="O2975" s="55" t="s">
        <v>141</v>
      </c>
      <c r="P2975" s="55" t="s">
        <v>573</v>
      </c>
      <c r="Q2975" s="55" t="s">
        <v>350</v>
      </c>
      <c r="R2975" s="85">
        <v>4</v>
      </c>
      <c r="S2975" s="55">
        <v>0</v>
      </c>
      <c r="T2975" s="74" t="s">
        <v>1913</v>
      </c>
      <c r="U2975" s="74" t="s">
        <v>351</v>
      </c>
      <c r="V2975" s="74">
        <v>44383</v>
      </c>
      <c r="W2975" s="74">
        <v>44419</v>
      </c>
      <c r="X2975" s="55">
        <v>10186640</v>
      </c>
      <c r="Y2975" s="55" t="s">
        <v>130</v>
      </c>
      <c r="AB2975" s="74" t="s">
        <v>130</v>
      </c>
      <c r="AC2975" s="55" t="s">
        <v>130</v>
      </c>
      <c r="AL2975" s="74"/>
      <c r="AM2975" s="74"/>
      <c r="AW2975" s="74"/>
      <c r="AX2975" s="74"/>
    </row>
    <row r="2976" spans="1:50" ht="13" x14ac:dyDescent="0.15">
      <c r="A2976" s="55" t="str">
        <f>HYPERLINK("http://reports.ofsted.gov.uk/inspection-reports/find-inspection-report/provider/CARE/SC419229","Ofsted Social Care Provider Webpage")</f>
        <v>Ofsted Social Care Provider Webpage</v>
      </c>
      <c r="B2976" s="55" t="s">
        <v>5537</v>
      </c>
      <c r="D2976" s="55" t="s">
        <v>373</v>
      </c>
      <c r="E2976" s="74">
        <v>40484</v>
      </c>
      <c r="F2976" s="55" t="s">
        <v>344</v>
      </c>
      <c r="G2976" s="55" t="s">
        <v>360</v>
      </c>
      <c r="H2976" s="55" t="s">
        <v>360</v>
      </c>
      <c r="I2976" s="55" t="s">
        <v>360</v>
      </c>
      <c r="J2976" s="55" t="s">
        <v>360</v>
      </c>
      <c r="K2976" s="55" t="s">
        <v>360</v>
      </c>
      <c r="L2976" s="55" t="s">
        <v>360</v>
      </c>
      <c r="M2976" s="55" t="s">
        <v>142</v>
      </c>
      <c r="N2976" s="55" t="s">
        <v>142</v>
      </c>
      <c r="O2976" s="55" t="s">
        <v>141</v>
      </c>
      <c r="P2976" s="55" t="s">
        <v>573</v>
      </c>
      <c r="Q2976" s="55" t="s">
        <v>350</v>
      </c>
      <c r="R2976" s="85">
        <v>4</v>
      </c>
      <c r="S2976" s="55">
        <v>0</v>
      </c>
      <c r="T2976" s="74" t="s">
        <v>1913</v>
      </c>
      <c r="U2976" s="74" t="s">
        <v>6703</v>
      </c>
      <c r="V2976" s="74">
        <v>44588</v>
      </c>
      <c r="W2976" s="74">
        <v>44649</v>
      </c>
      <c r="X2976" s="55">
        <v>10202799</v>
      </c>
      <c r="Y2976" s="55" t="s">
        <v>6704</v>
      </c>
      <c r="AL2976" s="74"/>
      <c r="AM2976" s="74"/>
      <c r="AW2976" s="74"/>
      <c r="AX2976" s="74"/>
    </row>
    <row r="2977" spans="1:50" ht="13" x14ac:dyDescent="0.15">
      <c r="A2977" s="55" t="str">
        <f>HYPERLINK("http://reports.ofsted.gov.uk/inspection-reports/find-inspection-report/provider/CARE/SC419334","Ofsted Social Care Provider Webpage")</f>
        <v>Ofsted Social Care Provider Webpage</v>
      </c>
      <c r="B2977" s="55" t="s">
        <v>5538</v>
      </c>
      <c r="D2977" s="55" t="s">
        <v>373</v>
      </c>
      <c r="E2977" s="74">
        <v>40500</v>
      </c>
      <c r="F2977" s="55" t="s">
        <v>344</v>
      </c>
      <c r="G2977" s="55" t="s">
        <v>360</v>
      </c>
      <c r="H2977" s="55" t="s">
        <v>360</v>
      </c>
      <c r="I2977" s="55" t="s">
        <v>360</v>
      </c>
      <c r="J2977" s="55" t="s">
        <v>360</v>
      </c>
      <c r="K2977" s="55" t="s">
        <v>360</v>
      </c>
      <c r="L2977" s="55" t="s">
        <v>360</v>
      </c>
      <c r="M2977" s="55" t="s">
        <v>129</v>
      </c>
      <c r="N2977" s="55" t="s">
        <v>129</v>
      </c>
      <c r="O2977" s="55" t="s">
        <v>155</v>
      </c>
      <c r="P2977" s="55" t="s">
        <v>482</v>
      </c>
      <c r="Q2977" s="55" t="s">
        <v>350</v>
      </c>
      <c r="R2977" s="85">
        <v>4</v>
      </c>
      <c r="S2977" s="55">
        <v>0</v>
      </c>
      <c r="T2977" s="74" t="s">
        <v>2741</v>
      </c>
      <c r="U2977" s="74" t="s">
        <v>351</v>
      </c>
      <c r="V2977" s="74">
        <v>44546</v>
      </c>
      <c r="W2977" s="74">
        <v>44595</v>
      </c>
      <c r="X2977" s="55">
        <v>10186387</v>
      </c>
      <c r="Y2977" s="55" t="s">
        <v>132</v>
      </c>
      <c r="AB2977" s="74" t="s">
        <v>132</v>
      </c>
      <c r="AC2977" s="55" t="s">
        <v>132</v>
      </c>
      <c r="AL2977" s="74"/>
      <c r="AM2977" s="74"/>
    </row>
    <row r="2978" spans="1:50" ht="13" x14ac:dyDescent="0.15">
      <c r="A2978" s="55" t="str">
        <f>HYPERLINK("http://reports.ofsted.gov.uk/inspection-reports/find-inspection-report/provider/CARE/SC419429","Ofsted Social Care Provider Webpage")</f>
        <v>Ofsted Social Care Provider Webpage</v>
      </c>
      <c r="B2978" s="55" t="s">
        <v>5539</v>
      </c>
      <c r="D2978" s="55" t="s">
        <v>373</v>
      </c>
      <c r="E2978" s="74">
        <v>40469</v>
      </c>
      <c r="F2978" s="55" t="s">
        <v>344</v>
      </c>
      <c r="G2978" s="55" t="s">
        <v>360</v>
      </c>
      <c r="H2978" s="55" t="s">
        <v>360</v>
      </c>
      <c r="I2978" s="55" t="s">
        <v>360</v>
      </c>
      <c r="J2978" s="55" t="s">
        <v>360</v>
      </c>
      <c r="K2978" s="55" t="s">
        <v>360</v>
      </c>
      <c r="L2978" s="55" t="s">
        <v>360</v>
      </c>
      <c r="M2978" s="55" t="s">
        <v>172</v>
      </c>
      <c r="N2978" s="55" t="s">
        <v>172</v>
      </c>
      <c r="O2978" s="55" t="s">
        <v>214</v>
      </c>
      <c r="P2978" s="55" t="s">
        <v>790</v>
      </c>
      <c r="Q2978" s="55" t="s">
        <v>350</v>
      </c>
      <c r="R2978" s="85">
        <v>4</v>
      </c>
      <c r="S2978" s="55">
        <v>0</v>
      </c>
      <c r="T2978" s="74" t="s">
        <v>791</v>
      </c>
      <c r="U2978" s="74" t="s">
        <v>351</v>
      </c>
      <c r="V2978" s="74">
        <v>44578</v>
      </c>
      <c r="W2978" s="74">
        <v>44615</v>
      </c>
      <c r="X2978" s="55">
        <v>10185440</v>
      </c>
      <c r="Y2978" s="55" t="s">
        <v>132</v>
      </c>
      <c r="AB2978" s="74" t="s">
        <v>130</v>
      </c>
      <c r="AC2978" s="55" t="s">
        <v>130</v>
      </c>
      <c r="AL2978" s="74"/>
      <c r="AM2978" s="74"/>
      <c r="AW2978" s="74"/>
      <c r="AX2978" s="74"/>
    </row>
    <row r="2979" spans="1:50" ht="13" x14ac:dyDescent="0.15">
      <c r="A2979" s="55" t="str">
        <f>HYPERLINK("http://reports.ofsted.gov.uk/inspection-reports/find-inspection-report/provider/CARE/SC419808","Ofsted Social Care Provider Webpage")</f>
        <v>Ofsted Social Care Provider Webpage</v>
      </c>
      <c r="B2979" s="55" t="s">
        <v>5540</v>
      </c>
      <c r="D2979" s="55" t="s">
        <v>373</v>
      </c>
      <c r="E2979" s="74">
        <v>40494</v>
      </c>
      <c r="F2979" s="55" t="s">
        <v>344</v>
      </c>
      <c r="G2979" s="55" t="s">
        <v>360</v>
      </c>
      <c r="H2979" s="55" t="s">
        <v>360</v>
      </c>
      <c r="I2979" s="55" t="s">
        <v>360</v>
      </c>
      <c r="J2979" s="55" t="s">
        <v>360</v>
      </c>
      <c r="K2979" s="55" t="s">
        <v>360</v>
      </c>
      <c r="L2979" s="55" t="s">
        <v>360</v>
      </c>
      <c r="M2979" s="55" t="s">
        <v>144</v>
      </c>
      <c r="N2979" s="55" t="s">
        <v>144</v>
      </c>
      <c r="O2979" s="55" t="s">
        <v>163</v>
      </c>
      <c r="P2979" s="55" t="s">
        <v>472</v>
      </c>
      <c r="Q2979" s="55" t="s">
        <v>350</v>
      </c>
      <c r="R2979" s="85">
        <v>4</v>
      </c>
      <c r="S2979" s="55">
        <v>0</v>
      </c>
      <c r="T2979" s="74" t="s">
        <v>4600</v>
      </c>
      <c r="U2979" s="74" t="s">
        <v>351</v>
      </c>
      <c r="V2979" s="74">
        <v>44497</v>
      </c>
      <c r="W2979" s="74">
        <v>44531</v>
      </c>
      <c r="X2979" s="55">
        <v>10187521</v>
      </c>
      <c r="Y2979" s="55" t="s">
        <v>146</v>
      </c>
      <c r="AB2979" s="74" t="s">
        <v>146</v>
      </c>
      <c r="AC2979" s="55" t="s">
        <v>146</v>
      </c>
      <c r="AL2979" s="74"/>
      <c r="AM2979" s="74"/>
    </row>
    <row r="2980" spans="1:50" ht="13" x14ac:dyDescent="0.15">
      <c r="A2980" s="55" t="str">
        <f>HYPERLINK("http://reports.ofsted.gov.uk/inspection-reports/find-inspection-report/provider/CARE/SC419808","Ofsted Social Care Provider Webpage")</f>
        <v>Ofsted Social Care Provider Webpage</v>
      </c>
      <c r="B2980" s="55" t="s">
        <v>5540</v>
      </c>
      <c r="D2980" s="55" t="s">
        <v>373</v>
      </c>
      <c r="E2980" s="74">
        <v>40494</v>
      </c>
      <c r="F2980" s="55" t="s">
        <v>344</v>
      </c>
      <c r="G2980" s="55" t="s">
        <v>360</v>
      </c>
      <c r="H2980" s="55" t="s">
        <v>360</v>
      </c>
      <c r="I2980" s="55" t="s">
        <v>360</v>
      </c>
      <c r="J2980" s="55" t="s">
        <v>360</v>
      </c>
      <c r="K2980" s="55" t="s">
        <v>360</v>
      </c>
      <c r="L2980" s="55" t="s">
        <v>360</v>
      </c>
      <c r="M2980" s="55" t="s">
        <v>144</v>
      </c>
      <c r="N2980" s="55" t="s">
        <v>144</v>
      </c>
      <c r="O2980" s="55" t="s">
        <v>163</v>
      </c>
      <c r="P2980" s="55" t="s">
        <v>472</v>
      </c>
      <c r="Q2980" s="55" t="s">
        <v>350</v>
      </c>
      <c r="R2980" s="85">
        <v>4</v>
      </c>
      <c r="S2980" s="55">
        <v>0</v>
      </c>
      <c r="T2980" s="74" t="s">
        <v>4600</v>
      </c>
      <c r="U2980" s="74" t="s">
        <v>2053</v>
      </c>
      <c r="V2980" s="74">
        <v>44544</v>
      </c>
      <c r="W2980" s="74">
        <v>44585</v>
      </c>
      <c r="X2980" s="55">
        <v>10213277</v>
      </c>
      <c r="AL2980" s="74"/>
      <c r="AM2980" s="74"/>
    </row>
    <row r="2981" spans="1:50" ht="13" x14ac:dyDescent="0.15">
      <c r="A2981" s="55" t="str">
        <f>HYPERLINK("http://reports.ofsted.gov.uk/inspection-reports/find-inspection-report/provider/CARE/SC420388","Ofsted Social Care Provider Webpage")</f>
        <v>Ofsted Social Care Provider Webpage</v>
      </c>
      <c r="B2981" s="55" t="s">
        <v>5541</v>
      </c>
      <c r="D2981" s="55" t="s">
        <v>373</v>
      </c>
      <c r="E2981" s="74">
        <v>40534</v>
      </c>
      <c r="F2981" s="55" t="s">
        <v>344</v>
      </c>
      <c r="G2981" s="55" t="s">
        <v>360</v>
      </c>
      <c r="H2981" s="55" t="s">
        <v>360</v>
      </c>
      <c r="I2981" s="55" t="s">
        <v>360</v>
      </c>
      <c r="J2981" s="55" t="s">
        <v>360</v>
      </c>
      <c r="K2981" s="55" t="s">
        <v>360</v>
      </c>
      <c r="L2981" s="55" t="s">
        <v>360</v>
      </c>
      <c r="M2981" s="55" t="s">
        <v>144</v>
      </c>
      <c r="N2981" s="55" t="s">
        <v>144</v>
      </c>
      <c r="O2981" s="55" t="s">
        <v>157</v>
      </c>
      <c r="P2981" s="55" t="s">
        <v>1092</v>
      </c>
      <c r="Q2981" s="55" t="s">
        <v>350</v>
      </c>
      <c r="R2981" s="85">
        <v>4</v>
      </c>
      <c r="S2981" s="55">
        <v>0</v>
      </c>
      <c r="T2981" s="74" t="s">
        <v>4738</v>
      </c>
      <c r="U2981" s="74" t="s">
        <v>351</v>
      </c>
      <c r="V2981" s="74">
        <v>44543</v>
      </c>
      <c r="W2981" s="74">
        <v>44588</v>
      </c>
      <c r="X2981" s="55">
        <v>10185851</v>
      </c>
      <c r="Y2981" s="55" t="s">
        <v>132</v>
      </c>
      <c r="AB2981" s="74" t="s">
        <v>132</v>
      </c>
      <c r="AC2981" s="55" t="s">
        <v>132</v>
      </c>
      <c r="AL2981" s="74"/>
      <c r="AM2981" s="74"/>
    </row>
    <row r="2982" spans="1:50" ht="13" x14ac:dyDescent="0.15">
      <c r="A2982" s="55" t="str">
        <f>HYPERLINK("http://reports.ofsted.gov.uk/inspection-reports/find-inspection-report/provider/CARE/SC420410","Ofsted Social Care Provider Webpage")</f>
        <v>Ofsted Social Care Provider Webpage</v>
      </c>
      <c r="B2982" s="55" t="s">
        <v>5542</v>
      </c>
      <c r="D2982" s="55" t="s">
        <v>373</v>
      </c>
      <c r="E2982" s="74">
        <v>40716</v>
      </c>
      <c r="F2982" s="55" t="s">
        <v>344</v>
      </c>
      <c r="G2982" s="55" t="s">
        <v>360</v>
      </c>
      <c r="H2982" s="55" t="s">
        <v>360</v>
      </c>
      <c r="I2982" s="55" t="s">
        <v>360</v>
      </c>
      <c r="J2982" s="55" t="s">
        <v>360</v>
      </c>
      <c r="K2982" s="55" t="s">
        <v>360</v>
      </c>
      <c r="L2982" s="55" t="s">
        <v>360</v>
      </c>
      <c r="M2982" s="55" t="s">
        <v>136</v>
      </c>
      <c r="N2982" s="55" t="s">
        <v>136</v>
      </c>
      <c r="O2982" s="55" t="s">
        <v>288</v>
      </c>
      <c r="P2982" s="55" t="s">
        <v>1037</v>
      </c>
      <c r="Q2982" s="55" t="s">
        <v>350</v>
      </c>
      <c r="R2982" s="85">
        <v>3</v>
      </c>
      <c r="S2982" s="55">
        <v>0</v>
      </c>
      <c r="T2982" s="74" t="s">
        <v>1051</v>
      </c>
      <c r="U2982" s="74" t="s">
        <v>351</v>
      </c>
      <c r="V2982" s="74">
        <v>44530</v>
      </c>
      <c r="W2982" s="74">
        <v>44586</v>
      </c>
      <c r="X2982" s="55">
        <v>10185347</v>
      </c>
      <c r="Y2982" s="55" t="s">
        <v>130</v>
      </c>
      <c r="AB2982" s="74" t="s">
        <v>132</v>
      </c>
      <c r="AC2982" s="55" t="s">
        <v>132</v>
      </c>
      <c r="AL2982" s="74"/>
      <c r="AM2982" s="74"/>
    </row>
    <row r="2983" spans="1:50" ht="13" x14ac:dyDescent="0.15">
      <c r="A2983" s="55" t="str">
        <f>HYPERLINK("http://reports.ofsted.gov.uk/inspection-reports/find-inspection-report/provider/CARE/SC420876","Ofsted Social Care Provider Webpage")</f>
        <v>Ofsted Social Care Provider Webpage</v>
      </c>
      <c r="B2983" s="55" t="s">
        <v>5548</v>
      </c>
      <c r="D2983" s="55" t="s">
        <v>373</v>
      </c>
      <c r="E2983" s="74">
        <v>40532</v>
      </c>
      <c r="F2983" s="55" t="s">
        <v>344</v>
      </c>
      <c r="G2983" s="55" t="s">
        <v>360</v>
      </c>
      <c r="H2983" s="55" t="s">
        <v>360</v>
      </c>
      <c r="I2983" s="55" t="s">
        <v>360</v>
      </c>
      <c r="J2983" s="55" t="s">
        <v>360</v>
      </c>
      <c r="K2983" s="55" t="s">
        <v>360</v>
      </c>
      <c r="L2983" s="55" t="s">
        <v>360</v>
      </c>
      <c r="M2983" s="55" t="s">
        <v>142</v>
      </c>
      <c r="N2983" s="55" t="s">
        <v>142</v>
      </c>
      <c r="O2983" s="55" t="s">
        <v>262</v>
      </c>
      <c r="P2983" s="55" t="s">
        <v>618</v>
      </c>
      <c r="Q2983" s="55" t="s">
        <v>350</v>
      </c>
      <c r="R2983" s="85">
        <v>4</v>
      </c>
      <c r="S2983" s="55">
        <v>0</v>
      </c>
      <c r="T2983" s="74" t="s">
        <v>5406</v>
      </c>
      <c r="U2983" s="74" t="s">
        <v>351</v>
      </c>
      <c r="V2983" s="74">
        <v>44622</v>
      </c>
      <c r="W2983" s="74">
        <v>44672</v>
      </c>
      <c r="X2983" s="55">
        <v>10187600</v>
      </c>
      <c r="Y2983" s="55" t="s">
        <v>132</v>
      </c>
      <c r="AB2983" s="74" t="s">
        <v>132</v>
      </c>
      <c r="AC2983" s="55" t="s">
        <v>132</v>
      </c>
      <c r="AL2983" s="74"/>
      <c r="AM2983" s="74"/>
    </row>
    <row r="2984" spans="1:50" ht="13" x14ac:dyDescent="0.15">
      <c r="A2984" s="55" t="str">
        <f>HYPERLINK("http://reports.ofsted.gov.uk/inspection-reports/find-inspection-report/provider/CARE/SC421063","Ofsted Social Care Provider Webpage")</f>
        <v>Ofsted Social Care Provider Webpage</v>
      </c>
      <c r="B2984" s="55" t="s">
        <v>5549</v>
      </c>
      <c r="D2984" s="55" t="s">
        <v>373</v>
      </c>
      <c r="E2984" s="74">
        <v>40577</v>
      </c>
      <c r="F2984" s="55" t="s">
        <v>344</v>
      </c>
      <c r="G2984" s="55" t="s">
        <v>360</v>
      </c>
      <c r="H2984" s="55" t="s">
        <v>360</v>
      </c>
      <c r="I2984" s="55" t="s">
        <v>360</v>
      </c>
      <c r="J2984" s="55" t="s">
        <v>360</v>
      </c>
      <c r="K2984" s="55" t="s">
        <v>360</v>
      </c>
      <c r="L2984" s="55" t="s">
        <v>360</v>
      </c>
      <c r="M2984" s="55" t="s">
        <v>150</v>
      </c>
      <c r="N2984" s="55" t="s">
        <v>150</v>
      </c>
      <c r="O2984" s="55" t="s">
        <v>156</v>
      </c>
      <c r="P2984" s="55" t="s">
        <v>1576</v>
      </c>
      <c r="Q2984" s="55" t="s">
        <v>350</v>
      </c>
      <c r="R2984" s="85">
        <v>4</v>
      </c>
      <c r="S2984" s="55">
        <v>0</v>
      </c>
      <c r="T2984" s="74" t="s">
        <v>843</v>
      </c>
      <c r="U2984" s="74" t="s">
        <v>351</v>
      </c>
      <c r="V2984" s="74">
        <v>44467</v>
      </c>
      <c r="W2984" s="74">
        <v>44503</v>
      </c>
      <c r="X2984" s="55">
        <v>10185699</v>
      </c>
      <c r="Y2984" s="55" t="s">
        <v>132</v>
      </c>
      <c r="AB2984" s="74" t="s">
        <v>132</v>
      </c>
      <c r="AC2984" s="55" t="s">
        <v>140</v>
      </c>
      <c r="AL2984" s="74"/>
      <c r="AM2984" s="74"/>
    </row>
    <row r="2985" spans="1:50" ht="13" x14ac:dyDescent="0.15">
      <c r="A2985" s="55" t="str">
        <f>HYPERLINK("http://reports.ofsted.gov.uk/inspection-reports/find-inspection-report/provider/CARE/SC421197","Ofsted Social Care Provider Webpage")</f>
        <v>Ofsted Social Care Provider Webpage</v>
      </c>
      <c r="B2985" s="55" t="s">
        <v>5550</v>
      </c>
      <c r="D2985" s="55" t="s">
        <v>373</v>
      </c>
      <c r="E2985" s="74">
        <v>40549</v>
      </c>
      <c r="F2985" s="55" t="s">
        <v>344</v>
      </c>
      <c r="G2985" s="55" t="s">
        <v>360</v>
      </c>
      <c r="H2985" s="55" t="s">
        <v>360</v>
      </c>
      <c r="I2985" s="55" t="s">
        <v>360</v>
      </c>
      <c r="J2985" s="55" t="s">
        <v>360</v>
      </c>
      <c r="K2985" s="55" t="s">
        <v>360</v>
      </c>
      <c r="L2985" s="55" t="s">
        <v>360</v>
      </c>
      <c r="M2985" s="55" t="s">
        <v>144</v>
      </c>
      <c r="N2985" s="55" t="s">
        <v>144</v>
      </c>
      <c r="O2985" s="55" t="s">
        <v>209</v>
      </c>
      <c r="P2985" s="55" t="s">
        <v>364</v>
      </c>
      <c r="Q2985" s="55" t="s">
        <v>350</v>
      </c>
      <c r="R2985" s="85">
        <v>4</v>
      </c>
      <c r="S2985" s="55">
        <v>0</v>
      </c>
      <c r="T2985" s="74" t="s">
        <v>5551</v>
      </c>
      <c r="U2985" s="74" t="s">
        <v>351</v>
      </c>
      <c r="V2985" s="74">
        <v>44356</v>
      </c>
      <c r="W2985" s="74">
        <v>44398</v>
      </c>
      <c r="X2985" s="55">
        <v>10185265</v>
      </c>
      <c r="Y2985" s="55" t="s">
        <v>130</v>
      </c>
      <c r="AB2985" s="74" t="s">
        <v>130</v>
      </c>
      <c r="AC2985" s="55" t="s">
        <v>130</v>
      </c>
      <c r="AL2985" s="74"/>
      <c r="AM2985" s="74"/>
    </row>
    <row r="2986" spans="1:50" ht="13" x14ac:dyDescent="0.15">
      <c r="A2986" s="55" t="str">
        <f>HYPERLINK("http://reports.ofsted.gov.uk/inspection-reports/find-inspection-report/provider/CARE/SC421531","Ofsted Social Care Provider Webpage")</f>
        <v>Ofsted Social Care Provider Webpage</v>
      </c>
      <c r="B2986" s="55" t="s">
        <v>5552</v>
      </c>
      <c r="D2986" s="55" t="s">
        <v>373</v>
      </c>
      <c r="E2986" s="74">
        <v>40497</v>
      </c>
      <c r="F2986" s="55" t="s">
        <v>344</v>
      </c>
      <c r="G2986" s="55" t="s">
        <v>360</v>
      </c>
      <c r="H2986" s="55" t="s">
        <v>360</v>
      </c>
      <c r="I2986" s="55" t="s">
        <v>360</v>
      </c>
      <c r="J2986" s="55" t="s">
        <v>360</v>
      </c>
      <c r="K2986" s="55" t="s">
        <v>360</v>
      </c>
      <c r="L2986" s="55" t="s">
        <v>360</v>
      </c>
      <c r="M2986" s="55" t="s">
        <v>138</v>
      </c>
      <c r="N2986" s="55" t="s">
        <v>138</v>
      </c>
      <c r="O2986" s="55" t="s">
        <v>161</v>
      </c>
      <c r="P2986" s="55" t="s">
        <v>643</v>
      </c>
      <c r="Q2986" s="55" t="s">
        <v>350</v>
      </c>
      <c r="R2986" s="85">
        <v>3</v>
      </c>
      <c r="S2986" s="55">
        <v>0</v>
      </c>
      <c r="T2986" s="74" t="s">
        <v>4819</v>
      </c>
      <c r="U2986" s="74" t="s">
        <v>351</v>
      </c>
      <c r="V2986" s="74">
        <v>44341</v>
      </c>
      <c r="W2986" s="74">
        <v>44372</v>
      </c>
      <c r="X2986" s="55">
        <v>10185610</v>
      </c>
      <c r="Y2986" s="55" t="s">
        <v>132</v>
      </c>
      <c r="AB2986" s="74" t="s">
        <v>132</v>
      </c>
      <c r="AC2986" s="55" t="s">
        <v>132</v>
      </c>
      <c r="AL2986" s="74"/>
      <c r="AM2986" s="74"/>
    </row>
    <row r="2987" spans="1:50" ht="13" x14ac:dyDescent="0.15">
      <c r="A2987" s="55" t="str">
        <f>HYPERLINK("http://reports.ofsted.gov.uk/inspection-reports/find-inspection-report/provider/CARE/SC422231","Ofsted Social Care Provider Webpage")</f>
        <v>Ofsted Social Care Provider Webpage</v>
      </c>
      <c r="B2987" s="55" t="s">
        <v>5553</v>
      </c>
      <c r="D2987" s="55" t="s">
        <v>373</v>
      </c>
      <c r="E2987" s="74">
        <v>40567</v>
      </c>
      <c r="F2987" s="55" t="s">
        <v>344</v>
      </c>
      <c r="G2987" s="55" t="s">
        <v>360</v>
      </c>
      <c r="H2987" s="55" t="s">
        <v>360</v>
      </c>
      <c r="I2987" s="55" t="s">
        <v>360</v>
      </c>
      <c r="J2987" s="55" t="s">
        <v>360</v>
      </c>
      <c r="K2987" s="55" t="s">
        <v>360</v>
      </c>
      <c r="L2987" s="55" t="s">
        <v>360</v>
      </c>
      <c r="M2987" s="55" t="s">
        <v>138</v>
      </c>
      <c r="N2987" s="55" t="s">
        <v>138</v>
      </c>
      <c r="O2987" s="55" t="s">
        <v>196</v>
      </c>
      <c r="P2987" s="55" t="s">
        <v>1506</v>
      </c>
      <c r="Q2987" s="55" t="s">
        <v>380</v>
      </c>
      <c r="R2987" s="85">
        <v>4</v>
      </c>
      <c r="S2987" s="55">
        <v>0</v>
      </c>
      <c r="T2987" s="74" t="s">
        <v>2082</v>
      </c>
      <c r="U2987" s="74" t="s">
        <v>351</v>
      </c>
      <c r="V2987" s="74">
        <v>44445</v>
      </c>
      <c r="W2987" s="74">
        <v>44469</v>
      </c>
      <c r="X2987" s="55">
        <v>10187253</v>
      </c>
      <c r="Y2987" s="55" t="s">
        <v>132</v>
      </c>
      <c r="AB2987" s="74" t="s">
        <v>132</v>
      </c>
      <c r="AC2987" s="55" t="s">
        <v>140</v>
      </c>
      <c r="AL2987" s="74"/>
      <c r="AM2987" s="74"/>
    </row>
    <row r="2988" spans="1:50" ht="13" x14ac:dyDescent="0.15">
      <c r="A2988" s="55" t="str">
        <f>HYPERLINK("http://reports.ofsted.gov.uk/inspection-reports/find-inspection-report/provider/CARE/SC422464","Ofsted Social Care Provider Webpage")</f>
        <v>Ofsted Social Care Provider Webpage</v>
      </c>
      <c r="B2988" s="55" t="s">
        <v>5554</v>
      </c>
      <c r="D2988" s="55" t="s">
        <v>373</v>
      </c>
      <c r="E2988" s="74">
        <v>40603</v>
      </c>
      <c r="F2988" s="55" t="s">
        <v>344</v>
      </c>
      <c r="G2988" s="55" t="s">
        <v>360</v>
      </c>
      <c r="H2988" s="55" t="s">
        <v>360</v>
      </c>
      <c r="I2988" s="55" t="s">
        <v>360</v>
      </c>
      <c r="J2988" s="55" t="s">
        <v>360</v>
      </c>
      <c r="K2988" s="55" t="s">
        <v>360</v>
      </c>
      <c r="L2988" s="55" t="s">
        <v>360</v>
      </c>
      <c r="M2988" s="55" t="s">
        <v>378</v>
      </c>
      <c r="N2988" s="55" t="s">
        <v>134</v>
      </c>
      <c r="O2988" s="55" t="s">
        <v>133</v>
      </c>
      <c r="P2988" s="55" t="s">
        <v>2789</v>
      </c>
      <c r="Q2988" s="55" t="s">
        <v>380</v>
      </c>
      <c r="R2988" s="85">
        <v>10</v>
      </c>
      <c r="S2988" s="55" t="s">
        <v>332</v>
      </c>
      <c r="T2988" s="74" t="s">
        <v>5555</v>
      </c>
      <c r="U2988" s="74" t="s">
        <v>351</v>
      </c>
      <c r="V2988" s="74">
        <v>44467</v>
      </c>
      <c r="W2988" s="74">
        <v>44508</v>
      </c>
      <c r="X2988" s="55">
        <v>10186510</v>
      </c>
      <c r="Y2988" s="55" t="s">
        <v>132</v>
      </c>
      <c r="AB2988" s="74" t="s">
        <v>132</v>
      </c>
      <c r="AC2988" s="55" t="s">
        <v>132</v>
      </c>
      <c r="AL2988" s="74"/>
      <c r="AM2988" s="74"/>
    </row>
    <row r="2989" spans="1:50" ht="13" x14ac:dyDescent="0.15">
      <c r="A2989" s="55" t="str">
        <f>HYPERLINK("http://reports.ofsted.gov.uk/inspection-reports/find-inspection-report/provider/CARE/SC422481","Ofsted Social Care Provider Webpage")</f>
        <v>Ofsted Social Care Provider Webpage</v>
      </c>
      <c r="B2989" s="55" t="s">
        <v>5556</v>
      </c>
      <c r="D2989" s="55" t="s">
        <v>373</v>
      </c>
      <c r="E2989" s="74">
        <v>40533</v>
      </c>
      <c r="F2989" s="55" t="s">
        <v>344</v>
      </c>
      <c r="G2989" s="55" t="s">
        <v>360</v>
      </c>
      <c r="H2989" s="55" t="s">
        <v>360</v>
      </c>
      <c r="I2989" s="55" t="s">
        <v>360</v>
      </c>
      <c r="J2989" s="55" t="s">
        <v>360</v>
      </c>
      <c r="K2989" s="55" t="s">
        <v>360</v>
      </c>
      <c r="L2989" s="55" t="s">
        <v>360</v>
      </c>
      <c r="M2989" s="55" t="s">
        <v>144</v>
      </c>
      <c r="N2989" s="55" t="s">
        <v>144</v>
      </c>
      <c r="O2989" s="55" t="s">
        <v>261</v>
      </c>
      <c r="P2989" s="55" t="s">
        <v>512</v>
      </c>
      <c r="Q2989" s="55" t="s">
        <v>350</v>
      </c>
      <c r="R2989" s="85">
        <v>2</v>
      </c>
      <c r="S2989" s="55">
        <v>0</v>
      </c>
      <c r="T2989" s="74" t="s">
        <v>513</v>
      </c>
      <c r="U2989" s="74" t="s">
        <v>351</v>
      </c>
      <c r="V2989" s="74">
        <v>44600</v>
      </c>
      <c r="W2989" s="74">
        <v>44644</v>
      </c>
      <c r="X2989" s="55">
        <v>10185711</v>
      </c>
      <c r="Y2989" s="55" t="s">
        <v>132</v>
      </c>
      <c r="AB2989" s="74" t="s">
        <v>132</v>
      </c>
      <c r="AC2989" s="55" t="s">
        <v>132</v>
      </c>
      <c r="AL2989" s="74"/>
      <c r="AM2989" s="74"/>
      <c r="AW2989" s="74"/>
      <c r="AX2989" s="74"/>
    </row>
    <row r="2990" spans="1:50" ht="13" x14ac:dyDescent="0.15">
      <c r="A2990" s="55" t="str">
        <f>HYPERLINK("http://reports.ofsted.gov.uk/inspection-reports/find-inspection-report/provider/CARE/SC423407","Ofsted Social Care Provider Webpage")</f>
        <v>Ofsted Social Care Provider Webpage</v>
      </c>
      <c r="B2990" s="55" t="s">
        <v>5562</v>
      </c>
      <c r="D2990" s="55" t="s">
        <v>373</v>
      </c>
      <c r="E2990" s="74">
        <v>40571</v>
      </c>
      <c r="F2990" s="55" t="s">
        <v>344</v>
      </c>
      <c r="G2990" s="55" t="s">
        <v>360</v>
      </c>
      <c r="H2990" s="55" t="s">
        <v>360</v>
      </c>
      <c r="I2990" s="55" t="s">
        <v>360</v>
      </c>
      <c r="J2990" s="55" t="s">
        <v>360</v>
      </c>
      <c r="K2990" s="55" t="s">
        <v>360</v>
      </c>
      <c r="L2990" s="55" t="s">
        <v>360</v>
      </c>
      <c r="M2990" s="55" t="s">
        <v>378</v>
      </c>
      <c r="N2990" s="55" t="s">
        <v>170</v>
      </c>
      <c r="O2990" s="55" t="s">
        <v>178</v>
      </c>
      <c r="P2990" s="55" t="s">
        <v>1450</v>
      </c>
      <c r="Q2990" s="55" t="s">
        <v>350</v>
      </c>
      <c r="R2990" s="85">
        <v>8</v>
      </c>
      <c r="S2990" s="55">
        <v>0</v>
      </c>
      <c r="T2990" s="74" t="s">
        <v>843</v>
      </c>
      <c r="U2990" s="74" t="s">
        <v>351</v>
      </c>
      <c r="V2990" s="74">
        <v>44354</v>
      </c>
      <c r="W2990" s="74">
        <v>44397</v>
      </c>
      <c r="X2990" s="55">
        <v>10185976</v>
      </c>
      <c r="Y2990" s="55" t="s">
        <v>132</v>
      </c>
      <c r="AB2990" s="74" t="s">
        <v>132</v>
      </c>
      <c r="AC2990" s="55" t="s">
        <v>132</v>
      </c>
      <c r="AL2990" s="74"/>
      <c r="AM2990" s="74"/>
    </row>
    <row r="2991" spans="1:50" ht="13" x14ac:dyDescent="0.15">
      <c r="A2991" s="55" t="str">
        <f>HYPERLINK("http://reports.ofsted.gov.uk/inspection-reports/find-inspection-report/provider/CARE/SC423453","Ofsted Social Care Provider Webpage")</f>
        <v>Ofsted Social Care Provider Webpage</v>
      </c>
      <c r="B2991" s="55" t="s">
        <v>5565</v>
      </c>
      <c r="D2991" s="55" t="s">
        <v>373</v>
      </c>
      <c r="E2991" s="74">
        <v>40627</v>
      </c>
      <c r="F2991" s="55" t="s">
        <v>344</v>
      </c>
      <c r="G2991" s="55" t="s">
        <v>360</v>
      </c>
      <c r="H2991" s="55" t="s">
        <v>360</v>
      </c>
      <c r="I2991" s="55" t="s">
        <v>360</v>
      </c>
      <c r="J2991" s="55" t="s">
        <v>360</v>
      </c>
      <c r="K2991" s="55" t="s">
        <v>360</v>
      </c>
      <c r="L2991" s="55" t="s">
        <v>360</v>
      </c>
      <c r="M2991" s="55" t="s">
        <v>138</v>
      </c>
      <c r="N2991" s="55" t="s">
        <v>138</v>
      </c>
      <c r="O2991" s="55" t="s">
        <v>183</v>
      </c>
      <c r="P2991" s="55" t="s">
        <v>508</v>
      </c>
      <c r="Q2991" s="55" t="s">
        <v>350</v>
      </c>
      <c r="R2991" s="85">
        <v>4</v>
      </c>
      <c r="S2991" s="55">
        <v>0</v>
      </c>
      <c r="T2991" s="74" t="s">
        <v>2222</v>
      </c>
      <c r="U2991" s="74" t="s">
        <v>351</v>
      </c>
      <c r="V2991" s="74">
        <v>44516</v>
      </c>
      <c r="W2991" s="74">
        <v>44546</v>
      </c>
      <c r="X2991" s="55">
        <v>10187582</v>
      </c>
      <c r="Y2991" s="55" t="s">
        <v>132</v>
      </c>
      <c r="AB2991" s="74" t="s">
        <v>132</v>
      </c>
      <c r="AC2991" s="55" t="s">
        <v>132</v>
      </c>
      <c r="AL2991" s="74"/>
      <c r="AM2991" s="74"/>
    </row>
    <row r="2992" spans="1:50" ht="13" x14ac:dyDescent="0.15">
      <c r="A2992" s="55" t="str">
        <f>HYPERLINK("http://reports.ofsted.gov.uk/inspection-reports/find-inspection-report/provider/CARE/SC423460","Ofsted Social Care Provider Webpage")</f>
        <v>Ofsted Social Care Provider Webpage</v>
      </c>
      <c r="B2992" s="55" t="s">
        <v>5566</v>
      </c>
      <c r="D2992" s="55" t="s">
        <v>373</v>
      </c>
      <c r="E2992" s="74">
        <v>40592</v>
      </c>
      <c r="F2992" s="55" t="s">
        <v>344</v>
      </c>
      <c r="G2992" s="55" t="s">
        <v>360</v>
      </c>
      <c r="H2992" s="55" t="s">
        <v>360</v>
      </c>
      <c r="I2992" s="55" t="s">
        <v>360</v>
      </c>
      <c r="J2992" s="55" t="s">
        <v>360</v>
      </c>
      <c r="K2992" s="55" t="s">
        <v>360</v>
      </c>
      <c r="L2992" s="55" t="s">
        <v>360</v>
      </c>
      <c r="M2992" s="55" t="s">
        <v>144</v>
      </c>
      <c r="N2992" s="55" t="s">
        <v>144</v>
      </c>
      <c r="O2992" s="55" t="s">
        <v>250</v>
      </c>
      <c r="P2992" s="55" t="s">
        <v>1372</v>
      </c>
      <c r="Q2992" s="55" t="s">
        <v>350</v>
      </c>
      <c r="R2992" s="85">
        <v>3</v>
      </c>
      <c r="S2992" s="55">
        <v>0</v>
      </c>
      <c r="T2992" s="74" t="s">
        <v>1414</v>
      </c>
      <c r="U2992" s="74" t="s">
        <v>351</v>
      </c>
      <c r="V2992" s="74">
        <v>44594</v>
      </c>
      <c r="W2992" s="74">
        <v>44643</v>
      </c>
      <c r="X2992" s="55">
        <v>10185644</v>
      </c>
      <c r="Y2992" s="55" t="s">
        <v>132</v>
      </c>
      <c r="AB2992" s="74" t="s">
        <v>132</v>
      </c>
      <c r="AC2992" s="55" t="s">
        <v>130</v>
      </c>
      <c r="AL2992" s="74"/>
      <c r="AM2992" s="74"/>
    </row>
    <row r="2993" spans="1:50" ht="13" x14ac:dyDescent="0.15">
      <c r="A2993" s="55" t="str">
        <f>HYPERLINK("http://reports.ofsted.gov.uk/inspection-reports/find-inspection-report/provider/CARE/SC423606","Ofsted Social Care Provider Webpage")</f>
        <v>Ofsted Social Care Provider Webpage</v>
      </c>
      <c r="B2993" s="55" t="s">
        <v>5567</v>
      </c>
      <c r="D2993" s="55" t="s">
        <v>373</v>
      </c>
      <c r="E2993" s="74">
        <v>40717</v>
      </c>
      <c r="F2993" s="55" t="s">
        <v>344</v>
      </c>
      <c r="G2993" s="55" t="s">
        <v>360</v>
      </c>
      <c r="H2993" s="55" t="s">
        <v>360</v>
      </c>
      <c r="I2993" s="55" t="s">
        <v>360</v>
      </c>
      <c r="J2993" s="55" t="s">
        <v>360</v>
      </c>
      <c r="K2993" s="55" t="s">
        <v>360</v>
      </c>
      <c r="L2993" s="55" t="s">
        <v>360</v>
      </c>
      <c r="M2993" s="55" t="s">
        <v>129</v>
      </c>
      <c r="N2993" s="55" t="s">
        <v>129</v>
      </c>
      <c r="O2993" s="55" t="s">
        <v>205</v>
      </c>
      <c r="P2993" s="55" t="s">
        <v>1312</v>
      </c>
      <c r="Q2993" s="55" t="s">
        <v>350</v>
      </c>
      <c r="R2993" s="85">
        <v>7</v>
      </c>
      <c r="S2993" s="55">
        <v>0</v>
      </c>
      <c r="T2993" s="74" t="s">
        <v>5568</v>
      </c>
      <c r="U2993" s="74" t="s">
        <v>351</v>
      </c>
      <c r="V2993" s="74">
        <v>44473</v>
      </c>
      <c r="W2993" s="74">
        <v>44503</v>
      </c>
      <c r="X2993" s="55">
        <v>10187260</v>
      </c>
      <c r="Y2993" s="55" t="s">
        <v>140</v>
      </c>
      <c r="AB2993" s="74" t="s">
        <v>140</v>
      </c>
      <c r="AC2993" s="55" t="s">
        <v>140</v>
      </c>
      <c r="AL2993" s="74"/>
      <c r="AM2993" s="74"/>
    </row>
    <row r="2994" spans="1:50" ht="13" x14ac:dyDescent="0.15">
      <c r="A2994" s="55" t="str">
        <f>HYPERLINK("http://reports.ofsted.gov.uk/inspection-reports/find-inspection-report/provider/CARE/SC423617","Ofsted Social Care Provider Webpage")</f>
        <v>Ofsted Social Care Provider Webpage</v>
      </c>
      <c r="B2994" s="55" t="s">
        <v>5569</v>
      </c>
      <c r="D2994" s="55" t="s">
        <v>373</v>
      </c>
      <c r="E2994" s="74">
        <v>40641</v>
      </c>
      <c r="F2994" s="55" t="s">
        <v>344</v>
      </c>
      <c r="G2994" s="55" t="s">
        <v>360</v>
      </c>
      <c r="H2994" s="55" t="s">
        <v>360</v>
      </c>
      <c r="I2994" s="55" t="s">
        <v>360</v>
      </c>
      <c r="J2994" s="55" t="s">
        <v>360</v>
      </c>
      <c r="K2994" s="55" t="s">
        <v>360</v>
      </c>
      <c r="L2994" s="55" t="s">
        <v>360</v>
      </c>
      <c r="M2994" s="55" t="s">
        <v>142</v>
      </c>
      <c r="N2994" s="55" t="s">
        <v>142</v>
      </c>
      <c r="O2994" s="55" t="s">
        <v>141</v>
      </c>
      <c r="P2994" s="55" t="s">
        <v>612</v>
      </c>
      <c r="Q2994" s="55" t="s">
        <v>350</v>
      </c>
      <c r="R2994" s="85">
        <v>3</v>
      </c>
      <c r="S2994" s="55">
        <v>0</v>
      </c>
      <c r="T2994" s="74" t="s">
        <v>1377</v>
      </c>
      <c r="U2994" s="74" t="s">
        <v>351</v>
      </c>
      <c r="V2994" s="74">
        <v>44397</v>
      </c>
      <c r="W2994" s="74">
        <v>44446</v>
      </c>
      <c r="X2994" s="55">
        <v>10185065</v>
      </c>
      <c r="Y2994" s="55" t="s">
        <v>132</v>
      </c>
      <c r="AB2994" s="74" t="s">
        <v>132</v>
      </c>
      <c r="AC2994" s="55" t="s">
        <v>132</v>
      </c>
      <c r="AL2994" s="74"/>
      <c r="AM2994" s="74"/>
    </row>
    <row r="2995" spans="1:50" ht="13" x14ac:dyDescent="0.15">
      <c r="A2995" s="55" t="str">
        <f>HYPERLINK("http://reports.ofsted.gov.uk/inspection-reports/find-inspection-report/provider/CARE/SC423753","Ofsted Social Care Provider Webpage")</f>
        <v>Ofsted Social Care Provider Webpage</v>
      </c>
      <c r="B2995" s="55" t="s">
        <v>5570</v>
      </c>
      <c r="D2995" s="55" t="s">
        <v>479</v>
      </c>
      <c r="E2995" s="74">
        <v>40850</v>
      </c>
      <c r="F2995" s="55" t="s">
        <v>344</v>
      </c>
      <c r="G2995" s="55" t="s">
        <v>360</v>
      </c>
      <c r="H2995" s="55" t="s">
        <v>360</v>
      </c>
      <c r="I2995" s="55" t="s">
        <v>360</v>
      </c>
      <c r="J2995" s="55" t="s">
        <v>360</v>
      </c>
      <c r="K2995" s="55" t="s">
        <v>360</v>
      </c>
      <c r="L2995" s="55" t="s">
        <v>360</v>
      </c>
      <c r="M2995" s="55" t="s">
        <v>378</v>
      </c>
      <c r="N2995" s="55" t="s">
        <v>134</v>
      </c>
      <c r="O2995" s="55" t="s">
        <v>251</v>
      </c>
      <c r="P2995" s="55" t="s">
        <v>1709</v>
      </c>
      <c r="Q2995" s="55" t="s">
        <v>362</v>
      </c>
      <c r="R2995" s="85">
        <v>5</v>
      </c>
      <c r="S2995" s="55">
        <v>0</v>
      </c>
      <c r="T2995" s="74" t="s">
        <v>5571</v>
      </c>
      <c r="U2995" s="74" t="s">
        <v>351</v>
      </c>
      <c r="V2995" s="74">
        <v>44616</v>
      </c>
      <c r="W2995" s="74">
        <v>44659</v>
      </c>
      <c r="X2995" s="55">
        <v>10185314</v>
      </c>
      <c r="Y2995" s="55" t="s">
        <v>132</v>
      </c>
      <c r="AB2995" s="74" t="s">
        <v>132</v>
      </c>
      <c r="AC2995" s="55" t="s">
        <v>132</v>
      </c>
      <c r="AL2995" s="74"/>
      <c r="AM2995" s="74"/>
      <c r="AW2995" s="74"/>
      <c r="AX2995" s="74"/>
    </row>
    <row r="2996" spans="1:50" ht="13" x14ac:dyDescent="0.15">
      <c r="A2996" s="55" t="str">
        <f>HYPERLINK("http://reports.ofsted.gov.uk/inspection-reports/find-inspection-report/provider/CARE/SC423959","Ofsted Social Care Provider Webpage")</f>
        <v>Ofsted Social Care Provider Webpage</v>
      </c>
      <c r="B2996" s="55" t="s">
        <v>5572</v>
      </c>
      <c r="D2996" s="55" t="s">
        <v>373</v>
      </c>
      <c r="E2996" s="74">
        <v>40603</v>
      </c>
      <c r="F2996" s="55" t="s">
        <v>344</v>
      </c>
      <c r="G2996" s="55" t="s">
        <v>360</v>
      </c>
      <c r="H2996" s="55" t="s">
        <v>360</v>
      </c>
      <c r="I2996" s="55" t="s">
        <v>360</v>
      </c>
      <c r="J2996" s="55" t="s">
        <v>360</v>
      </c>
      <c r="K2996" s="55" t="s">
        <v>360</v>
      </c>
      <c r="L2996" s="55" t="s">
        <v>360</v>
      </c>
      <c r="M2996" s="55" t="s">
        <v>129</v>
      </c>
      <c r="N2996" s="55" t="s">
        <v>129</v>
      </c>
      <c r="O2996" s="55" t="s">
        <v>128</v>
      </c>
      <c r="P2996" s="55" t="s">
        <v>1201</v>
      </c>
      <c r="Q2996" s="55" t="s">
        <v>350</v>
      </c>
      <c r="R2996" s="85">
        <v>5</v>
      </c>
      <c r="S2996" s="55">
        <v>0</v>
      </c>
      <c r="T2996" s="74" t="s">
        <v>5573</v>
      </c>
      <c r="U2996" s="74" t="s">
        <v>351</v>
      </c>
      <c r="V2996" s="74">
        <v>44420</v>
      </c>
      <c r="W2996" s="74">
        <v>44455</v>
      </c>
      <c r="X2996" s="55">
        <v>10187015</v>
      </c>
      <c r="Y2996" s="55" t="s">
        <v>132</v>
      </c>
      <c r="AB2996" s="74" t="s">
        <v>132</v>
      </c>
      <c r="AC2996" s="55" t="s">
        <v>132</v>
      </c>
      <c r="AL2996" s="74"/>
      <c r="AM2996" s="74"/>
    </row>
    <row r="2997" spans="1:50" ht="13" x14ac:dyDescent="0.15">
      <c r="A2997" s="55" t="str">
        <f>HYPERLINK("http://reports.ofsted.gov.uk/inspection-reports/find-inspection-report/provider/CARE/SC424089","Ofsted Social Care Provider Webpage")</f>
        <v>Ofsted Social Care Provider Webpage</v>
      </c>
      <c r="B2997" s="55" t="s">
        <v>5574</v>
      </c>
      <c r="D2997" s="55" t="s">
        <v>373</v>
      </c>
      <c r="E2997" s="74">
        <v>40616</v>
      </c>
      <c r="F2997" s="55" t="s">
        <v>344</v>
      </c>
      <c r="G2997" s="55" t="s">
        <v>360</v>
      </c>
      <c r="H2997" s="55" t="s">
        <v>360</v>
      </c>
      <c r="I2997" s="55" t="s">
        <v>360</v>
      </c>
      <c r="J2997" s="55" t="s">
        <v>360</v>
      </c>
      <c r="K2997" s="55" t="s">
        <v>360</v>
      </c>
      <c r="L2997" s="55" t="s">
        <v>360</v>
      </c>
      <c r="M2997" s="55" t="s">
        <v>150</v>
      </c>
      <c r="N2997" s="55" t="s">
        <v>150</v>
      </c>
      <c r="O2997" s="55" t="s">
        <v>156</v>
      </c>
      <c r="P2997" s="55" t="s">
        <v>1217</v>
      </c>
      <c r="Q2997" s="55" t="s">
        <v>362</v>
      </c>
      <c r="R2997" s="85">
        <v>14</v>
      </c>
      <c r="S2997" s="55" t="s">
        <v>332</v>
      </c>
      <c r="T2997" s="74" t="s">
        <v>367</v>
      </c>
      <c r="U2997" s="74" t="s">
        <v>351</v>
      </c>
      <c r="V2997" s="74">
        <v>44425</v>
      </c>
      <c r="W2997" s="74">
        <v>44456</v>
      </c>
      <c r="X2997" s="55">
        <v>10186407</v>
      </c>
      <c r="Y2997" s="55" t="s">
        <v>132</v>
      </c>
      <c r="AB2997" s="74" t="s">
        <v>132</v>
      </c>
      <c r="AC2997" s="55" t="s">
        <v>132</v>
      </c>
      <c r="AL2997" s="74"/>
      <c r="AM2997" s="74"/>
    </row>
    <row r="2998" spans="1:50" ht="13" x14ac:dyDescent="0.15">
      <c r="A2998" s="55" t="str">
        <f>HYPERLINK("http://reports.ofsted.gov.uk/inspection-reports/find-inspection-report/provider/CARE/SC424103","Ofsted Social Care Provider Webpage")</f>
        <v>Ofsted Social Care Provider Webpage</v>
      </c>
      <c r="B2998" s="55" t="s">
        <v>5575</v>
      </c>
      <c r="D2998" s="55" t="s">
        <v>373</v>
      </c>
      <c r="E2998" s="74">
        <v>40641</v>
      </c>
      <c r="F2998" s="55" t="s">
        <v>344</v>
      </c>
      <c r="G2998" s="55" t="s">
        <v>360</v>
      </c>
      <c r="H2998" s="55" t="s">
        <v>360</v>
      </c>
      <c r="I2998" s="55" t="s">
        <v>360</v>
      </c>
      <c r="J2998" s="55" t="s">
        <v>360</v>
      </c>
      <c r="K2998" s="55" t="s">
        <v>360</v>
      </c>
      <c r="L2998" s="55" t="s">
        <v>360</v>
      </c>
      <c r="M2998" s="55" t="s">
        <v>150</v>
      </c>
      <c r="N2998" s="55" t="s">
        <v>150</v>
      </c>
      <c r="O2998" s="55" t="s">
        <v>156</v>
      </c>
      <c r="P2998" s="55" t="s">
        <v>1277</v>
      </c>
      <c r="Q2998" s="55" t="s">
        <v>362</v>
      </c>
      <c r="R2998" s="85">
        <v>8</v>
      </c>
      <c r="S2998" s="55" t="s">
        <v>332</v>
      </c>
      <c r="T2998" s="74" t="s">
        <v>367</v>
      </c>
      <c r="U2998" s="74" t="s">
        <v>351</v>
      </c>
      <c r="V2998" s="74">
        <v>44349</v>
      </c>
      <c r="W2998" s="74">
        <v>44414</v>
      </c>
      <c r="X2998" s="55">
        <v>10187226</v>
      </c>
      <c r="Y2998" s="55" t="s">
        <v>140</v>
      </c>
      <c r="AB2998" s="74" t="s">
        <v>132</v>
      </c>
      <c r="AC2998" s="55" t="s">
        <v>132</v>
      </c>
      <c r="AL2998" s="74"/>
      <c r="AM2998" s="74"/>
      <c r="AW2998" s="74"/>
      <c r="AX2998" s="74"/>
    </row>
    <row r="2999" spans="1:50" ht="13" x14ac:dyDescent="0.15">
      <c r="A2999" s="55" t="str">
        <f>HYPERLINK("http://reports.ofsted.gov.uk/inspection-reports/find-inspection-report/provider/CARE/SC424141","Ofsted Social Care Provider Webpage")</f>
        <v>Ofsted Social Care Provider Webpage</v>
      </c>
      <c r="B2999" s="55" t="s">
        <v>5576</v>
      </c>
      <c r="D2999" s="55" t="s">
        <v>373</v>
      </c>
      <c r="E2999" s="74">
        <v>40612</v>
      </c>
      <c r="F2999" s="55" t="s">
        <v>344</v>
      </c>
      <c r="G2999" s="55" t="s">
        <v>360</v>
      </c>
      <c r="H2999" s="55" t="s">
        <v>360</v>
      </c>
      <c r="I2999" s="55" t="s">
        <v>360</v>
      </c>
      <c r="J2999" s="55" t="s">
        <v>360</v>
      </c>
      <c r="K2999" s="55" t="s">
        <v>360</v>
      </c>
      <c r="L2999" s="55" t="s">
        <v>360</v>
      </c>
      <c r="M2999" s="55" t="s">
        <v>378</v>
      </c>
      <c r="N2999" s="55" t="s">
        <v>134</v>
      </c>
      <c r="O2999" s="55" t="s">
        <v>151</v>
      </c>
      <c r="P2999" s="55" t="s">
        <v>1778</v>
      </c>
      <c r="Q2999" s="55" t="s">
        <v>350</v>
      </c>
      <c r="R2999" s="85">
        <v>6</v>
      </c>
      <c r="S2999" s="55">
        <v>0</v>
      </c>
      <c r="T2999" s="74" t="s">
        <v>385</v>
      </c>
      <c r="U2999" s="74" t="s">
        <v>351</v>
      </c>
      <c r="V2999" s="74">
        <v>44615</v>
      </c>
      <c r="W2999" s="74">
        <v>44659</v>
      </c>
      <c r="X2999" s="55">
        <v>10223323</v>
      </c>
      <c r="Y2999" s="55" t="s">
        <v>146</v>
      </c>
      <c r="AB2999" s="74" t="s">
        <v>146</v>
      </c>
      <c r="AC2999" s="55" t="s">
        <v>146</v>
      </c>
      <c r="AL2999" s="74"/>
      <c r="AM2999" s="74"/>
    </row>
    <row r="3000" spans="1:50" ht="13" x14ac:dyDescent="0.15">
      <c r="A3000" s="55" t="str">
        <f>HYPERLINK("http://reports.ofsted.gov.uk/inspection-reports/find-inspection-report/provider/CARE/SC424271","Ofsted Social Care Provider Webpage")</f>
        <v>Ofsted Social Care Provider Webpage</v>
      </c>
      <c r="B3000" s="55" t="s">
        <v>5577</v>
      </c>
      <c r="D3000" s="55" t="s">
        <v>373</v>
      </c>
      <c r="E3000" s="74">
        <v>40576</v>
      </c>
      <c r="F3000" s="55" t="s">
        <v>344</v>
      </c>
      <c r="G3000" s="55" t="s">
        <v>360</v>
      </c>
      <c r="H3000" s="55" t="s">
        <v>360</v>
      </c>
      <c r="I3000" s="55" t="s">
        <v>360</v>
      </c>
      <c r="J3000" s="55" t="s">
        <v>360</v>
      </c>
      <c r="K3000" s="55" t="s">
        <v>360</v>
      </c>
      <c r="L3000" s="55" t="s">
        <v>360</v>
      </c>
      <c r="M3000" s="55" t="s">
        <v>138</v>
      </c>
      <c r="N3000" s="55" t="s">
        <v>138</v>
      </c>
      <c r="O3000" s="55" t="s">
        <v>224</v>
      </c>
      <c r="P3000" s="55" t="s">
        <v>1675</v>
      </c>
      <c r="Q3000" s="55" t="s">
        <v>362</v>
      </c>
      <c r="R3000" s="85">
        <v>4</v>
      </c>
      <c r="S3000" s="55">
        <v>0</v>
      </c>
      <c r="T3000" s="74" t="s">
        <v>557</v>
      </c>
      <c r="U3000" s="74" t="s">
        <v>351</v>
      </c>
      <c r="V3000" s="74">
        <v>44433</v>
      </c>
      <c r="W3000" s="74">
        <v>44461</v>
      </c>
      <c r="X3000" s="55">
        <v>10187412</v>
      </c>
      <c r="Y3000" s="55" t="s">
        <v>140</v>
      </c>
      <c r="AB3000" s="74" t="s">
        <v>140</v>
      </c>
      <c r="AC3000" s="55" t="s">
        <v>140</v>
      </c>
      <c r="AL3000" s="74"/>
      <c r="AM3000" s="74"/>
      <c r="AW3000" s="74"/>
      <c r="AX3000" s="74"/>
    </row>
    <row r="3001" spans="1:50" ht="13" x14ac:dyDescent="0.15">
      <c r="A3001" s="55" t="str">
        <f>HYPERLINK("http://reports.ofsted.gov.uk/inspection-reports/find-inspection-report/provider/CARE/SC424280","Ofsted Social Care Provider Webpage")</f>
        <v>Ofsted Social Care Provider Webpage</v>
      </c>
      <c r="B3001" s="55" t="s">
        <v>5578</v>
      </c>
      <c r="D3001" s="55" t="s">
        <v>373</v>
      </c>
      <c r="E3001" s="74">
        <v>40590</v>
      </c>
      <c r="F3001" s="55" t="s">
        <v>344</v>
      </c>
      <c r="G3001" s="55" t="s">
        <v>360</v>
      </c>
      <c r="H3001" s="55" t="s">
        <v>360</v>
      </c>
      <c r="I3001" s="55" t="s">
        <v>360</v>
      </c>
      <c r="J3001" s="55" t="s">
        <v>360</v>
      </c>
      <c r="K3001" s="55" t="s">
        <v>360</v>
      </c>
      <c r="L3001" s="55" t="s">
        <v>360</v>
      </c>
      <c r="M3001" s="55" t="s">
        <v>172</v>
      </c>
      <c r="N3001" s="55" t="s">
        <v>172</v>
      </c>
      <c r="O3001" s="55" t="s">
        <v>234</v>
      </c>
      <c r="P3001" s="55" t="s">
        <v>965</v>
      </c>
      <c r="Q3001" s="55" t="s">
        <v>380</v>
      </c>
      <c r="R3001" s="85">
        <v>2</v>
      </c>
      <c r="S3001" s="55">
        <v>0</v>
      </c>
      <c r="T3001" s="74" t="s">
        <v>1271</v>
      </c>
      <c r="U3001" s="74" t="s">
        <v>351</v>
      </c>
      <c r="V3001" s="74">
        <v>44599</v>
      </c>
      <c r="W3001" s="74">
        <v>44642</v>
      </c>
      <c r="X3001" s="55">
        <v>10186803</v>
      </c>
      <c r="Y3001" s="55" t="s">
        <v>132</v>
      </c>
      <c r="AB3001" s="74" t="s">
        <v>132</v>
      </c>
      <c r="AC3001" s="55" t="s">
        <v>130</v>
      </c>
      <c r="AL3001" s="74"/>
      <c r="AM3001" s="74"/>
      <c r="AW3001" s="74"/>
      <c r="AX3001" s="74"/>
    </row>
    <row r="3002" spans="1:50" ht="13" x14ac:dyDescent="0.15">
      <c r="A3002" s="55" t="str">
        <f>HYPERLINK("http://reports.ofsted.gov.uk/inspection-reports/find-inspection-report/provider/CARE/SC424348","Ofsted Social Care Provider Webpage")</f>
        <v>Ofsted Social Care Provider Webpage</v>
      </c>
      <c r="B3002" s="55" t="s">
        <v>5579</v>
      </c>
      <c r="D3002" s="55" t="s">
        <v>373</v>
      </c>
      <c r="E3002" s="74">
        <v>40590</v>
      </c>
      <c r="F3002" s="55" t="s">
        <v>344</v>
      </c>
      <c r="G3002" s="55" t="s">
        <v>360</v>
      </c>
      <c r="H3002" s="55" t="s">
        <v>360</v>
      </c>
      <c r="I3002" s="55" t="s">
        <v>360</v>
      </c>
      <c r="J3002" s="55" t="s">
        <v>360</v>
      </c>
      <c r="K3002" s="55" t="s">
        <v>360</v>
      </c>
      <c r="L3002" s="55" t="s">
        <v>360</v>
      </c>
      <c r="M3002" s="55" t="s">
        <v>172</v>
      </c>
      <c r="N3002" s="55" t="s">
        <v>172</v>
      </c>
      <c r="O3002" s="55" t="s">
        <v>234</v>
      </c>
      <c r="P3002" s="55" t="s">
        <v>369</v>
      </c>
      <c r="Q3002" s="55" t="s">
        <v>380</v>
      </c>
      <c r="R3002" s="85">
        <v>2</v>
      </c>
      <c r="S3002" s="55">
        <v>0</v>
      </c>
      <c r="T3002" s="74" t="s">
        <v>1271</v>
      </c>
      <c r="U3002" s="74" t="s">
        <v>351</v>
      </c>
      <c r="V3002" s="74">
        <v>44327</v>
      </c>
      <c r="W3002" s="74">
        <v>44355</v>
      </c>
      <c r="X3002" s="55">
        <v>10186535</v>
      </c>
      <c r="Y3002" s="55" t="s">
        <v>132</v>
      </c>
      <c r="AB3002" s="74" t="s">
        <v>132</v>
      </c>
      <c r="AC3002" s="55" t="s">
        <v>132</v>
      </c>
      <c r="AL3002" s="74"/>
      <c r="AM3002" s="74"/>
      <c r="AW3002" s="74"/>
      <c r="AX3002" s="74"/>
    </row>
    <row r="3003" spans="1:50" ht="13" x14ac:dyDescent="0.15">
      <c r="A3003" s="55" t="str">
        <f>HYPERLINK("http://reports.ofsted.gov.uk/inspection-reports/find-inspection-report/provider/CARE/SC424351","Ofsted Social Care Provider Webpage")</f>
        <v>Ofsted Social Care Provider Webpage</v>
      </c>
      <c r="B3003" s="55" t="s">
        <v>5580</v>
      </c>
      <c r="D3003" s="55" t="s">
        <v>373</v>
      </c>
      <c r="E3003" s="74">
        <v>40590</v>
      </c>
      <c r="F3003" s="55" t="s">
        <v>344</v>
      </c>
      <c r="G3003" s="55" t="s">
        <v>360</v>
      </c>
      <c r="H3003" s="55" t="s">
        <v>360</v>
      </c>
      <c r="I3003" s="55" t="s">
        <v>360</v>
      </c>
      <c r="J3003" s="55" t="s">
        <v>360</v>
      </c>
      <c r="K3003" s="55" t="s">
        <v>360</v>
      </c>
      <c r="L3003" s="55" t="s">
        <v>360</v>
      </c>
      <c r="M3003" s="55" t="s">
        <v>172</v>
      </c>
      <c r="N3003" s="55" t="s">
        <v>172</v>
      </c>
      <c r="O3003" s="55" t="s">
        <v>234</v>
      </c>
      <c r="P3003" s="55" t="s">
        <v>369</v>
      </c>
      <c r="Q3003" s="55" t="s">
        <v>380</v>
      </c>
      <c r="R3003" s="85">
        <v>2</v>
      </c>
      <c r="S3003" s="55">
        <v>0</v>
      </c>
      <c r="T3003" s="74" t="s">
        <v>1271</v>
      </c>
      <c r="U3003" s="74" t="s">
        <v>351</v>
      </c>
      <c r="V3003" s="74">
        <v>44432</v>
      </c>
      <c r="W3003" s="74">
        <v>44462</v>
      </c>
      <c r="X3003" s="55">
        <v>10186988</v>
      </c>
      <c r="Y3003" s="55" t="s">
        <v>132</v>
      </c>
      <c r="AB3003" s="74" t="s">
        <v>132</v>
      </c>
      <c r="AC3003" s="55" t="s">
        <v>132</v>
      </c>
      <c r="AL3003" s="74"/>
      <c r="AM3003" s="74"/>
    </row>
    <row r="3004" spans="1:50" ht="13" x14ac:dyDescent="0.15">
      <c r="A3004" s="55" t="str">
        <f>HYPERLINK("http://reports.ofsted.gov.uk/inspection-reports/find-inspection-report/provider/CARE/SC424851","Ofsted Social Care Provider Webpage")</f>
        <v>Ofsted Social Care Provider Webpage</v>
      </c>
      <c r="B3004" s="55" t="s">
        <v>5582</v>
      </c>
      <c r="D3004" s="55" t="s">
        <v>373</v>
      </c>
      <c r="E3004" s="74">
        <v>40637</v>
      </c>
      <c r="F3004" s="55" t="s">
        <v>344</v>
      </c>
      <c r="G3004" s="55" t="s">
        <v>360</v>
      </c>
      <c r="H3004" s="55" t="s">
        <v>360</v>
      </c>
      <c r="I3004" s="55" t="s">
        <v>360</v>
      </c>
      <c r="J3004" s="55" t="s">
        <v>360</v>
      </c>
      <c r="K3004" s="55" t="s">
        <v>360</v>
      </c>
      <c r="L3004" s="55" t="s">
        <v>360</v>
      </c>
      <c r="M3004" s="55" t="s">
        <v>142</v>
      </c>
      <c r="N3004" s="55" t="s">
        <v>142</v>
      </c>
      <c r="O3004" s="55" t="s">
        <v>141</v>
      </c>
      <c r="P3004" s="55" t="s">
        <v>1231</v>
      </c>
      <c r="Q3004" s="55" t="s">
        <v>350</v>
      </c>
      <c r="R3004" s="85">
        <v>6</v>
      </c>
      <c r="S3004" s="55">
        <v>0</v>
      </c>
      <c r="T3004" s="74" t="s">
        <v>385</v>
      </c>
      <c r="U3004" s="74" t="s">
        <v>351</v>
      </c>
      <c r="V3004" s="74">
        <v>44531</v>
      </c>
      <c r="W3004" s="74">
        <v>44579</v>
      </c>
      <c r="X3004" s="55">
        <v>10186366</v>
      </c>
      <c r="Y3004" s="55" t="s">
        <v>132</v>
      </c>
      <c r="AB3004" s="74" t="s">
        <v>132</v>
      </c>
      <c r="AC3004" s="55" t="s">
        <v>132</v>
      </c>
      <c r="AL3004" s="74"/>
      <c r="AM3004" s="74"/>
      <c r="AW3004" s="74"/>
      <c r="AX3004" s="74"/>
    </row>
    <row r="3005" spans="1:50" ht="13" x14ac:dyDescent="0.15">
      <c r="A3005" s="55" t="str">
        <f>HYPERLINK("http://reports.ofsted.gov.uk/inspection-reports/find-inspection-report/provider/CARE/SC424897","Ofsted Social Care Provider Webpage")</f>
        <v>Ofsted Social Care Provider Webpage</v>
      </c>
      <c r="B3005" s="55" t="s">
        <v>5583</v>
      </c>
      <c r="D3005" s="55" t="s">
        <v>373</v>
      </c>
      <c r="E3005" s="74">
        <v>40659</v>
      </c>
      <c r="F3005" s="55" t="s">
        <v>344</v>
      </c>
      <c r="G3005" s="55" t="s">
        <v>360</v>
      </c>
      <c r="H3005" s="55" t="s">
        <v>360</v>
      </c>
      <c r="I3005" s="55" t="s">
        <v>360</v>
      </c>
      <c r="J3005" s="55" t="s">
        <v>360</v>
      </c>
      <c r="K3005" s="55" t="s">
        <v>360</v>
      </c>
      <c r="L3005" s="55" t="s">
        <v>360</v>
      </c>
      <c r="M3005" s="55" t="s">
        <v>138</v>
      </c>
      <c r="N3005" s="55" t="s">
        <v>138</v>
      </c>
      <c r="O3005" s="55" t="s">
        <v>224</v>
      </c>
      <c r="P3005" s="55" t="s">
        <v>1552</v>
      </c>
      <c r="Q3005" s="55" t="s">
        <v>350</v>
      </c>
      <c r="R3005" s="85">
        <v>7</v>
      </c>
      <c r="S3005" s="55">
        <v>0</v>
      </c>
      <c r="T3005" s="74" t="s">
        <v>1124</v>
      </c>
      <c r="U3005" s="74" t="s">
        <v>351</v>
      </c>
      <c r="V3005" s="74">
        <v>44356</v>
      </c>
      <c r="W3005" s="74">
        <v>44386</v>
      </c>
      <c r="X3005" s="55">
        <v>10187302</v>
      </c>
      <c r="Y3005" s="55" t="s">
        <v>140</v>
      </c>
      <c r="AB3005" s="74" t="s">
        <v>140</v>
      </c>
      <c r="AC3005" s="55" t="s">
        <v>132</v>
      </c>
      <c r="AL3005" s="74"/>
      <c r="AM3005" s="74"/>
      <c r="AW3005" s="74"/>
      <c r="AX3005" s="74"/>
    </row>
    <row r="3006" spans="1:50" ht="13" x14ac:dyDescent="0.15">
      <c r="A3006" s="55" t="str">
        <f>HYPERLINK("http://reports.ofsted.gov.uk/inspection-reports/find-inspection-report/provider/CARE/SC425071","Ofsted Social Care Provider Webpage")</f>
        <v>Ofsted Social Care Provider Webpage</v>
      </c>
      <c r="B3006" s="55" t="s">
        <v>5584</v>
      </c>
      <c r="D3006" s="55" t="s">
        <v>373</v>
      </c>
      <c r="E3006" s="74">
        <v>40980</v>
      </c>
      <c r="F3006" s="55" t="s">
        <v>344</v>
      </c>
      <c r="G3006" s="55" t="s">
        <v>360</v>
      </c>
      <c r="H3006" s="55" t="s">
        <v>360</v>
      </c>
      <c r="I3006" s="55" t="s">
        <v>360</v>
      </c>
      <c r="J3006" s="55" t="s">
        <v>360</v>
      </c>
      <c r="K3006" s="55" t="s">
        <v>360</v>
      </c>
      <c r="L3006" s="55" t="s">
        <v>360</v>
      </c>
      <c r="M3006" s="55" t="s">
        <v>150</v>
      </c>
      <c r="N3006" s="55" t="s">
        <v>150</v>
      </c>
      <c r="O3006" s="55" t="s">
        <v>203</v>
      </c>
      <c r="P3006" s="55" t="s">
        <v>1268</v>
      </c>
      <c r="Q3006" s="55" t="s">
        <v>350</v>
      </c>
      <c r="R3006" s="85">
        <v>6</v>
      </c>
      <c r="S3006" s="55">
        <v>0</v>
      </c>
      <c r="T3006" s="74" t="s">
        <v>2873</v>
      </c>
      <c r="U3006" s="74" t="s">
        <v>351</v>
      </c>
      <c r="V3006" s="74">
        <v>44495</v>
      </c>
      <c r="W3006" s="74">
        <v>44580</v>
      </c>
      <c r="X3006" s="55">
        <v>10187146</v>
      </c>
      <c r="Y3006" s="55" t="s">
        <v>132</v>
      </c>
      <c r="AB3006" s="74" t="s">
        <v>132</v>
      </c>
      <c r="AC3006" s="55" t="s">
        <v>132</v>
      </c>
      <c r="AL3006" s="74"/>
      <c r="AM3006" s="74"/>
      <c r="AW3006" s="74"/>
      <c r="AX3006" s="74"/>
    </row>
    <row r="3007" spans="1:50" ht="13" x14ac:dyDescent="0.15">
      <c r="A3007" s="55" t="str">
        <f>HYPERLINK("http://reports.ofsted.gov.uk/inspection-reports/find-inspection-report/provider/CARE/SC425418","Ofsted Social Care Provider Webpage")</f>
        <v>Ofsted Social Care Provider Webpage</v>
      </c>
      <c r="B3007" s="55" t="s">
        <v>5588</v>
      </c>
      <c r="D3007" s="55" t="s">
        <v>373</v>
      </c>
      <c r="E3007" s="74">
        <v>40592</v>
      </c>
      <c r="F3007" s="55" t="s">
        <v>344</v>
      </c>
      <c r="G3007" s="55" t="s">
        <v>360</v>
      </c>
      <c r="H3007" s="55" t="s">
        <v>360</v>
      </c>
      <c r="I3007" s="55" t="s">
        <v>360</v>
      </c>
      <c r="J3007" s="55" t="s">
        <v>360</v>
      </c>
      <c r="K3007" s="55" t="s">
        <v>360</v>
      </c>
      <c r="L3007" s="55" t="s">
        <v>360</v>
      </c>
      <c r="M3007" s="55" t="s">
        <v>138</v>
      </c>
      <c r="N3007" s="55" t="s">
        <v>138</v>
      </c>
      <c r="O3007" s="55" t="s">
        <v>196</v>
      </c>
      <c r="P3007" s="55" t="s">
        <v>4371</v>
      </c>
      <c r="Q3007" s="55" t="s">
        <v>350</v>
      </c>
      <c r="R3007" s="85">
        <v>4</v>
      </c>
      <c r="S3007" s="55">
        <v>0</v>
      </c>
      <c r="T3007" s="74" t="s">
        <v>2906</v>
      </c>
      <c r="U3007" s="74" t="s">
        <v>351</v>
      </c>
      <c r="V3007" s="74">
        <v>44475</v>
      </c>
      <c r="W3007" s="74">
        <v>44503</v>
      </c>
      <c r="X3007" s="55">
        <v>10185123</v>
      </c>
      <c r="Y3007" s="55" t="s">
        <v>132</v>
      </c>
      <c r="AB3007" s="74" t="s">
        <v>132</v>
      </c>
      <c r="AC3007" s="55" t="s">
        <v>132</v>
      </c>
      <c r="AL3007" s="74"/>
      <c r="AM3007" s="74"/>
      <c r="AW3007" s="74"/>
      <c r="AX3007" s="74"/>
    </row>
    <row r="3008" spans="1:50" ht="13" x14ac:dyDescent="0.15">
      <c r="A3008" s="55" t="str">
        <f>HYPERLINK("http://reports.ofsted.gov.uk/inspection-reports/find-inspection-report/provider/CARE/SC425708","Ofsted Social Care Provider Webpage")</f>
        <v>Ofsted Social Care Provider Webpage</v>
      </c>
      <c r="B3008" s="55" t="s">
        <v>5589</v>
      </c>
      <c r="C3008" s="55">
        <v>136047</v>
      </c>
      <c r="D3008" s="55" t="s">
        <v>413</v>
      </c>
      <c r="E3008" s="74">
        <v>40577</v>
      </c>
      <c r="F3008" s="55" t="s">
        <v>344</v>
      </c>
      <c r="G3008" s="55" t="s">
        <v>5590</v>
      </c>
      <c r="H3008" s="55" t="s">
        <v>5591</v>
      </c>
      <c r="I3008" s="55" t="s">
        <v>5592</v>
      </c>
      <c r="J3008" s="55" t="s">
        <v>1073</v>
      </c>
      <c r="L3008" s="55" t="s">
        <v>5593</v>
      </c>
      <c r="M3008" s="55" t="s">
        <v>138</v>
      </c>
      <c r="N3008" s="55" t="s">
        <v>138</v>
      </c>
      <c r="O3008" s="55" t="s">
        <v>159</v>
      </c>
      <c r="P3008" s="55" t="s">
        <v>633</v>
      </c>
      <c r="Q3008" s="55" t="s">
        <v>350</v>
      </c>
      <c r="R3008" s="85">
        <v>14</v>
      </c>
      <c r="S3008" s="55">
        <v>0</v>
      </c>
      <c r="T3008" s="74" t="s">
        <v>5594</v>
      </c>
      <c r="U3008" s="74" t="s">
        <v>351</v>
      </c>
      <c r="V3008" s="74">
        <v>44634</v>
      </c>
      <c r="W3008" s="74">
        <v>44680</v>
      </c>
      <c r="X3008" s="55">
        <v>10183496</v>
      </c>
      <c r="Y3008" s="55" t="s">
        <v>140</v>
      </c>
      <c r="AB3008" s="74" t="s">
        <v>140</v>
      </c>
      <c r="AC3008" s="55" t="s">
        <v>140</v>
      </c>
      <c r="AL3008" s="74"/>
      <c r="AM3008" s="74"/>
      <c r="AW3008" s="74"/>
      <c r="AX3008" s="74"/>
    </row>
    <row r="3009" spans="1:50" ht="13" x14ac:dyDescent="0.15">
      <c r="A3009" s="55" t="str">
        <f>HYPERLINK("http://reports.ofsted.gov.uk/inspection-reports/find-inspection-report/provider/CARE/SC425786","Ofsted Social Care Provider Webpage")</f>
        <v>Ofsted Social Care Provider Webpage</v>
      </c>
      <c r="B3009" s="55" t="s">
        <v>5595</v>
      </c>
      <c r="D3009" s="55" t="s">
        <v>373</v>
      </c>
      <c r="E3009" s="74">
        <v>40632</v>
      </c>
      <c r="F3009" s="55" t="s">
        <v>344</v>
      </c>
      <c r="G3009" s="55" t="s">
        <v>360</v>
      </c>
      <c r="H3009" s="55" t="s">
        <v>360</v>
      </c>
      <c r="I3009" s="55" t="s">
        <v>360</v>
      </c>
      <c r="J3009" s="55" t="s">
        <v>360</v>
      </c>
      <c r="K3009" s="55" t="s">
        <v>360</v>
      </c>
      <c r="L3009" s="55" t="s">
        <v>360</v>
      </c>
      <c r="M3009" s="55" t="s">
        <v>150</v>
      </c>
      <c r="N3009" s="55" t="s">
        <v>150</v>
      </c>
      <c r="O3009" s="55" t="s">
        <v>203</v>
      </c>
      <c r="P3009" s="55" t="s">
        <v>1835</v>
      </c>
      <c r="Q3009" s="55" t="s">
        <v>362</v>
      </c>
      <c r="R3009" s="85">
        <v>10</v>
      </c>
      <c r="S3009" s="55">
        <v>0</v>
      </c>
      <c r="T3009" s="74" t="s">
        <v>5596</v>
      </c>
      <c r="U3009" s="74" t="s">
        <v>351</v>
      </c>
      <c r="V3009" s="74">
        <v>44299</v>
      </c>
      <c r="W3009" s="74">
        <v>44349</v>
      </c>
      <c r="X3009" s="55">
        <v>10185767</v>
      </c>
      <c r="Y3009" s="55" t="s">
        <v>132</v>
      </c>
      <c r="AB3009" s="74" t="s">
        <v>132</v>
      </c>
      <c r="AC3009" s="55" t="s">
        <v>132</v>
      </c>
      <c r="AL3009" s="74"/>
      <c r="AM3009" s="74"/>
      <c r="AW3009" s="74"/>
      <c r="AX3009" s="74"/>
    </row>
    <row r="3010" spans="1:50" ht="13" x14ac:dyDescent="0.15">
      <c r="A3010" s="55" t="str">
        <f>HYPERLINK("http://reports.ofsted.gov.uk/inspection-reports/find-inspection-report/provider/CARE/SC425859","Ofsted Social Care Provider Webpage")</f>
        <v>Ofsted Social Care Provider Webpage</v>
      </c>
      <c r="B3010" s="55" t="s">
        <v>5597</v>
      </c>
      <c r="D3010" s="55" t="s">
        <v>373</v>
      </c>
      <c r="E3010" s="74">
        <v>40661</v>
      </c>
      <c r="F3010" s="55" t="s">
        <v>344</v>
      </c>
      <c r="G3010" s="55" t="s">
        <v>360</v>
      </c>
      <c r="H3010" s="55" t="s">
        <v>360</v>
      </c>
      <c r="I3010" s="55" t="s">
        <v>360</v>
      </c>
      <c r="J3010" s="55" t="s">
        <v>360</v>
      </c>
      <c r="K3010" s="55" t="s">
        <v>360</v>
      </c>
      <c r="L3010" s="55" t="s">
        <v>360</v>
      </c>
      <c r="M3010" s="55" t="s">
        <v>142</v>
      </c>
      <c r="N3010" s="55" t="s">
        <v>142</v>
      </c>
      <c r="O3010" s="55" t="s">
        <v>262</v>
      </c>
      <c r="P3010" s="55" t="s">
        <v>488</v>
      </c>
      <c r="Q3010" s="55" t="s">
        <v>350</v>
      </c>
      <c r="R3010" s="85">
        <v>3</v>
      </c>
      <c r="S3010" s="55">
        <v>0</v>
      </c>
      <c r="T3010" s="74" t="s">
        <v>5366</v>
      </c>
      <c r="U3010" s="74" t="s">
        <v>351</v>
      </c>
      <c r="V3010" s="74">
        <v>44481</v>
      </c>
      <c r="W3010" s="74">
        <v>44524</v>
      </c>
      <c r="X3010" s="55">
        <v>10186751</v>
      </c>
      <c r="Y3010" s="55" t="s">
        <v>130</v>
      </c>
      <c r="AB3010" s="74" t="s">
        <v>130</v>
      </c>
      <c r="AC3010" s="55" t="s">
        <v>130</v>
      </c>
      <c r="AL3010" s="74"/>
      <c r="AM3010" s="74"/>
      <c r="AW3010" s="74"/>
      <c r="AX3010" s="74"/>
    </row>
    <row r="3011" spans="1:50" ht="13" x14ac:dyDescent="0.15">
      <c r="A3011" s="55" t="str">
        <f>HYPERLINK("http://reports.ofsted.gov.uk/inspection-reports/find-inspection-report/provider/CARE/SC425859","Ofsted Social Care Provider Webpage")</f>
        <v>Ofsted Social Care Provider Webpage</v>
      </c>
      <c r="B3011" s="55" t="s">
        <v>5597</v>
      </c>
      <c r="D3011" s="55" t="s">
        <v>373</v>
      </c>
      <c r="E3011" s="74">
        <v>40661</v>
      </c>
      <c r="F3011" s="55" t="s">
        <v>344</v>
      </c>
      <c r="G3011" s="55" t="s">
        <v>360</v>
      </c>
      <c r="H3011" s="55" t="s">
        <v>360</v>
      </c>
      <c r="I3011" s="55" t="s">
        <v>360</v>
      </c>
      <c r="J3011" s="55" t="s">
        <v>360</v>
      </c>
      <c r="K3011" s="55" t="s">
        <v>360</v>
      </c>
      <c r="L3011" s="55" t="s">
        <v>360</v>
      </c>
      <c r="M3011" s="55" t="s">
        <v>142</v>
      </c>
      <c r="N3011" s="55" t="s">
        <v>142</v>
      </c>
      <c r="O3011" s="55" t="s">
        <v>262</v>
      </c>
      <c r="P3011" s="55" t="s">
        <v>488</v>
      </c>
      <c r="Q3011" s="55" t="s">
        <v>350</v>
      </c>
      <c r="R3011" s="85">
        <v>3</v>
      </c>
      <c r="S3011" s="55">
        <v>0</v>
      </c>
      <c r="T3011" s="74" t="s">
        <v>5366</v>
      </c>
      <c r="U3011" s="74" t="s">
        <v>6703</v>
      </c>
      <c r="V3011" s="74">
        <v>44621</v>
      </c>
      <c r="W3011" s="74">
        <v>44671</v>
      </c>
      <c r="X3011" s="55">
        <v>10217210</v>
      </c>
      <c r="Y3011" s="55" t="s">
        <v>6706</v>
      </c>
      <c r="AL3011" s="74"/>
      <c r="AM3011" s="74"/>
    </row>
    <row r="3012" spans="1:50" ht="13" x14ac:dyDescent="0.15">
      <c r="A3012" s="55" t="str">
        <f>HYPERLINK("http://reports.ofsted.gov.uk/inspection-reports/find-inspection-report/provider/CARE/SC425985","Ofsted Social Care Provider Webpage")</f>
        <v>Ofsted Social Care Provider Webpage</v>
      </c>
      <c r="B3012" s="55" t="s">
        <v>5598</v>
      </c>
      <c r="D3012" s="55" t="s">
        <v>373</v>
      </c>
      <c r="E3012" s="74">
        <v>40697</v>
      </c>
      <c r="F3012" s="55" t="s">
        <v>344</v>
      </c>
      <c r="G3012" s="55" t="s">
        <v>360</v>
      </c>
      <c r="H3012" s="55" t="s">
        <v>360</v>
      </c>
      <c r="I3012" s="55" t="s">
        <v>360</v>
      </c>
      <c r="J3012" s="55" t="s">
        <v>360</v>
      </c>
      <c r="K3012" s="55" t="s">
        <v>360</v>
      </c>
      <c r="L3012" s="55" t="s">
        <v>360</v>
      </c>
      <c r="M3012" s="55" t="s">
        <v>144</v>
      </c>
      <c r="N3012" s="55" t="s">
        <v>144</v>
      </c>
      <c r="O3012" s="55" t="s">
        <v>250</v>
      </c>
      <c r="P3012" s="55" t="s">
        <v>759</v>
      </c>
      <c r="Q3012" s="55" t="s">
        <v>362</v>
      </c>
      <c r="R3012" s="85">
        <v>7</v>
      </c>
      <c r="S3012" s="55">
        <v>0</v>
      </c>
      <c r="T3012" s="74" t="s">
        <v>5599</v>
      </c>
      <c r="U3012" s="74" t="s">
        <v>351</v>
      </c>
      <c r="V3012" s="74">
        <v>44495</v>
      </c>
      <c r="W3012" s="74">
        <v>44524</v>
      </c>
      <c r="X3012" s="55">
        <v>10196705</v>
      </c>
      <c r="Y3012" s="55" t="s">
        <v>132</v>
      </c>
      <c r="AB3012" s="74" t="s">
        <v>132</v>
      </c>
      <c r="AC3012" s="55" t="s">
        <v>132</v>
      </c>
      <c r="AL3012" s="74"/>
      <c r="AM3012" s="74"/>
      <c r="AW3012" s="74"/>
      <c r="AX3012" s="74"/>
    </row>
    <row r="3013" spans="1:50" ht="13" x14ac:dyDescent="0.15">
      <c r="A3013" s="55" t="str">
        <f>HYPERLINK("http://reports.ofsted.gov.uk/inspection-reports/find-inspection-report/provider/CARE/SC425985","Ofsted Social Care Provider Webpage")</f>
        <v>Ofsted Social Care Provider Webpage</v>
      </c>
      <c r="B3013" s="55" t="s">
        <v>5598</v>
      </c>
      <c r="D3013" s="55" t="s">
        <v>373</v>
      </c>
      <c r="E3013" s="74">
        <v>40697</v>
      </c>
      <c r="F3013" s="55" t="s">
        <v>344</v>
      </c>
      <c r="G3013" s="55" t="s">
        <v>360</v>
      </c>
      <c r="H3013" s="55" t="s">
        <v>360</v>
      </c>
      <c r="I3013" s="55" t="s">
        <v>360</v>
      </c>
      <c r="J3013" s="55" t="s">
        <v>360</v>
      </c>
      <c r="K3013" s="55" t="s">
        <v>360</v>
      </c>
      <c r="L3013" s="55" t="s">
        <v>360</v>
      </c>
      <c r="M3013" s="55" t="s">
        <v>144</v>
      </c>
      <c r="N3013" s="55" t="s">
        <v>144</v>
      </c>
      <c r="O3013" s="55" t="s">
        <v>250</v>
      </c>
      <c r="P3013" s="55" t="s">
        <v>759</v>
      </c>
      <c r="Q3013" s="55" t="s">
        <v>362</v>
      </c>
      <c r="R3013" s="85">
        <v>7</v>
      </c>
      <c r="S3013" s="55">
        <v>0</v>
      </c>
      <c r="T3013" s="74" t="s">
        <v>5599</v>
      </c>
      <c r="U3013" s="74" t="s">
        <v>2053</v>
      </c>
      <c r="V3013" s="74">
        <v>44383</v>
      </c>
      <c r="W3013" s="74">
        <v>44419</v>
      </c>
      <c r="X3013" s="55">
        <v>10196666</v>
      </c>
      <c r="AL3013" s="74"/>
      <c r="AM3013" s="74"/>
      <c r="AW3013" s="74"/>
      <c r="AX3013" s="74"/>
    </row>
    <row r="3014" spans="1:50" ht="13" x14ac:dyDescent="0.15">
      <c r="A3014" s="55" t="str">
        <f>HYPERLINK("http://reports.ofsted.gov.uk/inspection-reports/find-inspection-report/provider/CARE/SC425985","Ofsted Social Care Provider Webpage")</f>
        <v>Ofsted Social Care Provider Webpage</v>
      </c>
      <c r="B3014" s="55" t="s">
        <v>5598</v>
      </c>
      <c r="D3014" s="55" t="s">
        <v>373</v>
      </c>
      <c r="E3014" s="74">
        <v>40697</v>
      </c>
      <c r="F3014" s="55" t="s">
        <v>344</v>
      </c>
      <c r="G3014" s="55" t="s">
        <v>360</v>
      </c>
      <c r="H3014" s="55" t="s">
        <v>360</v>
      </c>
      <c r="I3014" s="55" t="s">
        <v>360</v>
      </c>
      <c r="J3014" s="55" t="s">
        <v>360</v>
      </c>
      <c r="K3014" s="55" t="s">
        <v>360</v>
      </c>
      <c r="L3014" s="55" t="s">
        <v>360</v>
      </c>
      <c r="M3014" s="55" t="s">
        <v>144</v>
      </c>
      <c r="N3014" s="55" t="s">
        <v>144</v>
      </c>
      <c r="O3014" s="55" t="s">
        <v>250</v>
      </c>
      <c r="P3014" s="55" t="s">
        <v>759</v>
      </c>
      <c r="Q3014" s="55" t="s">
        <v>362</v>
      </c>
      <c r="R3014" s="85">
        <v>7</v>
      </c>
      <c r="S3014" s="55">
        <v>0</v>
      </c>
      <c r="T3014" s="74" t="s">
        <v>5599</v>
      </c>
      <c r="U3014" s="74" t="s">
        <v>351</v>
      </c>
      <c r="V3014" s="74">
        <v>44334</v>
      </c>
      <c r="W3014" s="74">
        <v>44377</v>
      </c>
      <c r="X3014" s="55">
        <v>10185436</v>
      </c>
      <c r="Y3014" s="55" t="s">
        <v>146</v>
      </c>
      <c r="AB3014" s="74" t="s">
        <v>146</v>
      </c>
      <c r="AC3014" s="55" t="s">
        <v>146</v>
      </c>
      <c r="AL3014" s="74"/>
      <c r="AM3014" s="74"/>
      <c r="AW3014" s="74"/>
      <c r="AX3014" s="74"/>
    </row>
    <row r="3015" spans="1:50" ht="13" x14ac:dyDescent="0.15">
      <c r="A3015" s="55" t="str">
        <f>HYPERLINK("http://reports.ofsted.gov.uk/inspection-reports/find-inspection-report/provider/CARE/SC425985","Ofsted Social Care Provider Webpage")</f>
        <v>Ofsted Social Care Provider Webpage</v>
      </c>
      <c r="B3015" s="55" t="s">
        <v>5598</v>
      </c>
      <c r="D3015" s="55" t="s">
        <v>373</v>
      </c>
      <c r="E3015" s="74">
        <v>40697</v>
      </c>
      <c r="F3015" s="55" t="s">
        <v>344</v>
      </c>
      <c r="G3015" s="55" t="s">
        <v>360</v>
      </c>
      <c r="H3015" s="55" t="s">
        <v>360</v>
      </c>
      <c r="I3015" s="55" t="s">
        <v>360</v>
      </c>
      <c r="J3015" s="55" t="s">
        <v>360</v>
      </c>
      <c r="K3015" s="55" t="s">
        <v>360</v>
      </c>
      <c r="L3015" s="55" t="s">
        <v>360</v>
      </c>
      <c r="M3015" s="55" t="s">
        <v>144</v>
      </c>
      <c r="N3015" s="55" t="s">
        <v>144</v>
      </c>
      <c r="O3015" s="55" t="s">
        <v>250</v>
      </c>
      <c r="P3015" s="55" t="s">
        <v>759</v>
      </c>
      <c r="Q3015" s="55" t="s">
        <v>362</v>
      </c>
      <c r="R3015" s="85">
        <v>7</v>
      </c>
      <c r="S3015" s="55">
        <v>0</v>
      </c>
      <c r="T3015" s="74" t="s">
        <v>5599</v>
      </c>
      <c r="U3015" s="74" t="s">
        <v>2053</v>
      </c>
      <c r="V3015" s="74">
        <v>44434</v>
      </c>
      <c r="W3015" s="74">
        <v>44498</v>
      </c>
      <c r="X3015" s="55">
        <v>10205483</v>
      </c>
      <c r="AL3015" s="74"/>
      <c r="AM3015" s="74"/>
      <c r="AW3015" s="74"/>
      <c r="AX3015" s="74"/>
    </row>
    <row r="3016" spans="1:50" ht="13" x14ac:dyDescent="0.15">
      <c r="A3016" s="55" t="str">
        <f>HYPERLINK("http://reports.ofsted.gov.uk/inspection-reports/find-inspection-report/provider/CARE/SC426172","Ofsted Social Care Provider Webpage")</f>
        <v>Ofsted Social Care Provider Webpage</v>
      </c>
      <c r="B3016" s="55" t="s">
        <v>5600</v>
      </c>
      <c r="D3016" s="55" t="s">
        <v>373</v>
      </c>
      <c r="E3016" s="74">
        <v>40639</v>
      </c>
      <c r="F3016" s="55" t="s">
        <v>344</v>
      </c>
      <c r="G3016" s="55" t="s">
        <v>360</v>
      </c>
      <c r="H3016" s="55" t="s">
        <v>360</v>
      </c>
      <c r="I3016" s="55" t="s">
        <v>360</v>
      </c>
      <c r="J3016" s="55" t="s">
        <v>360</v>
      </c>
      <c r="K3016" s="55" t="s">
        <v>360</v>
      </c>
      <c r="L3016" s="55" t="s">
        <v>360</v>
      </c>
      <c r="M3016" s="55" t="s">
        <v>138</v>
      </c>
      <c r="N3016" s="55" t="s">
        <v>138</v>
      </c>
      <c r="O3016" s="55" t="s">
        <v>196</v>
      </c>
      <c r="P3016" s="55" t="s">
        <v>1368</v>
      </c>
      <c r="Q3016" s="55" t="s">
        <v>362</v>
      </c>
      <c r="R3016" s="85">
        <v>6</v>
      </c>
      <c r="S3016" s="55" t="s">
        <v>332</v>
      </c>
      <c r="T3016" s="74" t="s">
        <v>367</v>
      </c>
      <c r="U3016" s="74" t="s">
        <v>351</v>
      </c>
      <c r="V3016" s="74">
        <v>44538</v>
      </c>
      <c r="W3016" s="74">
        <v>44585</v>
      </c>
      <c r="X3016" s="55">
        <v>10185072</v>
      </c>
      <c r="Y3016" s="55" t="s">
        <v>132</v>
      </c>
      <c r="AB3016" s="74" t="s">
        <v>132</v>
      </c>
      <c r="AC3016" s="55" t="s">
        <v>132</v>
      </c>
      <c r="AL3016" s="74"/>
      <c r="AM3016" s="74"/>
      <c r="AW3016" s="74"/>
      <c r="AX3016" s="74"/>
    </row>
    <row r="3017" spans="1:50" ht="13" x14ac:dyDescent="0.15">
      <c r="A3017" s="55" t="str">
        <f>HYPERLINK("http://reports.ofsted.gov.uk/inspection-reports/find-inspection-report/provider/CARE/SC426318","Ofsted Social Care Provider Webpage")</f>
        <v>Ofsted Social Care Provider Webpage</v>
      </c>
      <c r="B3017" s="55" t="s">
        <v>5601</v>
      </c>
      <c r="D3017" s="55" t="s">
        <v>373</v>
      </c>
      <c r="E3017" s="74">
        <v>40635</v>
      </c>
      <c r="F3017" s="55" t="s">
        <v>344</v>
      </c>
      <c r="G3017" s="55" t="s">
        <v>360</v>
      </c>
      <c r="H3017" s="55" t="s">
        <v>360</v>
      </c>
      <c r="I3017" s="55" t="s">
        <v>360</v>
      </c>
      <c r="J3017" s="55" t="s">
        <v>360</v>
      </c>
      <c r="K3017" s="55" t="s">
        <v>360</v>
      </c>
      <c r="L3017" s="55" t="s">
        <v>360</v>
      </c>
      <c r="M3017" s="55" t="s">
        <v>142</v>
      </c>
      <c r="N3017" s="55" t="s">
        <v>142</v>
      </c>
      <c r="O3017" s="55" t="s">
        <v>265</v>
      </c>
      <c r="P3017" s="55" t="s">
        <v>540</v>
      </c>
      <c r="Q3017" s="55" t="s">
        <v>350</v>
      </c>
      <c r="R3017" s="85">
        <v>2</v>
      </c>
      <c r="S3017" s="55">
        <v>0</v>
      </c>
      <c r="T3017" s="74" t="s">
        <v>917</v>
      </c>
      <c r="U3017" s="74" t="s">
        <v>351</v>
      </c>
      <c r="V3017" s="74">
        <v>44573</v>
      </c>
      <c r="W3017" s="74">
        <v>44610</v>
      </c>
      <c r="X3017" s="55">
        <v>10186570</v>
      </c>
      <c r="Y3017" s="55" t="s">
        <v>132</v>
      </c>
      <c r="AB3017" s="74" t="s">
        <v>132</v>
      </c>
      <c r="AC3017" s="55" t="s">
        <v>132</v>
      </c>
      <c r="AL3017" s="74"/>
      <c r="AM3017" s="74"/>
      <c r="AW3017" s="74"/>
      <c r="AX3017" s="74"/>
    </row>
    <row r="3018" spans="1:50" ht="13" x14ac:dyDescent="0.15">
      <c r="A3018" s="55" t="str">
        <f>HYPERLINK("http://reports.ofsted.gov.uk/inspection-reports/find-inspection-report/provider/CARE/SC426530","Ofsted Social Care Provider Webpage")</f>
        <v>Ofsted Social Care Provider Webpage</v>
      </c>
      <c r="B3018" s="55" t="s">
        <v>5602</v>
      </c>
      <c r="D3018" s="55" t="s">
        <v>373</v>
      </c>
      <c r="E3018" s="74">
        <v>40791</v>
      </c>
      <c r="F3018" s="55" t="s">
        <v>344</v>
      </c>
      <c r="G3018" s="55" t="s">
        <v>360</v>
      </c>
      <c r="H3018" s="55" t="s">
        <v>360</v>
      </c>
      <c r="I3018" s="55" t="s">
        <v>360</v>
      </c>
      <c r="J3018" s="55" t="s">
        <v>360</v>
      </c>
      <c r="K3018" s="55" t="s">
        <v>360</v>
      </c>
      <c r="L3018" s="55" t="s">
        <v>360</v>
      </c>
      <c r="M3018" s="55" t="s">
        <v>150</v>
      </c>
      <c r="N3018" s="55" t="s">
        <v>150</v>
      </c>
      <c r="O3018" s="55" t="s">
        <v>268</v>
      </c>
      <c r="P3018" s="55" t="s">
        <v>1943</v>
      </c>
      <c r="Q3018" s="55" t="s">
        <v>350</v>
      </c>
      <c r="R3018" s="85">
        <v>3</v>
      </c>
      <c r="S3018" s="55">
        <v>0</v>
      </c>
      <c r="T3018" s="74" t="s">
        <v>931</v>
      </c>
      <c r="U3018" s="74" t="s">
        <v>351</v>
      </c>
      <c r="V3018" s="74">
        <v>44369</v>
      </c>
      <c r="W3018" s="74">
        <v>44404</v>
      </c>
      <c r="X3018" s="55">
        <v>10186634</v>
      </c>
      <c r="Y3018" s="55" t="s">
        <v>132</v>
      </c>
      <c r="AB3018" s="74" t="s">
        <v>132</v>
      </c>
      <c r="AC3018" s="55" t="s">
        <v>132</v>
      </c>
      <c r="AL3018" s="74"/>
      <c r="AM3018" s="74"/>
      <c r="AW3018" s="74"/>
      <c r="AX3018" s="74"/>
    </row>
    <row r="3019" spans="1:50" ht="13" x14ac:dyDescent="0.15">
      <c r="A3019" s="55" t="str">
        <f>HYPERLINK("http://reports.ofsted.gov.uk/inspection-reports/find-inspection-report/provider/CARE/SC426719","Ofsted Social Care Provider Webpage")</f>
        <v>Ofsted Social Care Provider Webpage</v>
      </c>
      <c r="B3019" s="55" t="s">
        <v>5603</v>
      </c>
      <c r="D3019" s="55" t="s">
        <v>373</v>
      </c>
      <c r="E3019" s="74">
        <v>40707</v>
      </c>
      <c r="F3019" s="55" t="s">
        <v>344</v>
      </c>
      <c r="G3019" s="55" t="s">
        <v>360</v>
      </c>
      <c r="H3019" s="55" t="s">
        <v>360</v>
      </c>
      <c r="I3019" s="55" t="s">
        <v>360</v>
      </c>
      <c r="J3019" s="55" t="s">
        <v>360</v>
      </c>
      <c r="K3019" s="55" t="s">
        <v>360</v>
      </c>
      <c r="L3019" s="55" t="s">
        <v>360</v>
      </c>
      <c r="M3019" s="55" t="s">
        <v>142</v>
      </c>
      <c r="N3019" s="55" t="s">
        <v>142</v>
      </c>
      <c r="O3019" s="55" t="s">
        <v>272</v>
      </c>
      <c r="P3019" s="55" t="s">
        <v>653</v>
      </c>
      <c r="Q3019" s="55" t="s">
        <v>350</v>
      </c>
      <c r="R3019" s="85">
        <v>6</v>
      </c>
      <c r="S3019" s="55">
        <v>0</v>
      </c>
      <c r="T3019" s="74" t="s">
        <v>751</v>
      </c>
      <c r="U3019" s="74" t="s">
        <v>351</v>
      </c>
      <c r="V3019" s="74">
        <v>44537</v>
      </c>
      <c r="W3019" s="74">
        <v>44592</v>
      </c>
      <c r="X3019" s="55">
        <v>10186749</v>
      </c>
      <c r="Y3019" s="55" t="s">
        <v>130</v>
      </c>
      <c r="AB3019" s="74" t="s">
        <v>130</v>
      </c>
      <c r="AC3019" s="55" t="s">
        <v>130</v>
      </c>
      <c r="AL3019" s="74"/>
      <c r="AM3019" s="74"/>
      <c r="AW3019" s="74"/>
      <c r="AX3019" s="74"/>
    </row>
    <row r="3020" spans="1:50" ht="13" x14ac:dyDescent="0.15">
      <c r="A3020" s="55" t="str">
        <f>HYPERLINK("http://reports.ofsted.gov.uk/inspection-reports/find-inspection-report/provider/CARE/SC426751","Ofsted Social Care Provider Webpage")</f>
        <v>Ofsted Social Care Provider Webpage</v>
      </c>
      <c r="B3020" s="55" t="s">
        <v>5604</v>
      </c>
      <c r="D3020" s="55" t="s">
        <v>373</v>
      </c>
      <c r="E3020" s="74">
        <v>40673</v>
      </c>
      <c r="F3020" s="55" t="s">
        <v>344</v>
      </c>
      <c r="G3020" s="55" t="s">
        <v>360</v>
      </c>
      <c r="H3020" s="55" t="s">
        <v>360</v>
      </c>
      <c r="I3020" s="55" t="s">
        <v>360</v>
      </c>
      <c r="J3020" s="55" t="s">
        <v>360</v>
      </c>
      <c r="K3020" s="55" t="s">
        <v>360</v>
      </c>
      <c r="L3020" s="55" t="s">
        <v>360</v>
      </c>
      <c r="M3020" s="55" t="s">
        <v>172</v>
      </c>
      <c r="N3020" s="55" t="s">
        <v>172</v>
      </c>
      <c r="O3020" s="55" t="s">
        <v>173</v>
      </c>
      <c r="P3020" s="55" t="s">
        <v>1540</v>
      </c>
      <c r="Q3020" s="55" t="s">
        <v>350</v>
      </c>
      <c r="R3020" s="85">
        <v>6</v>
      </c>
      <c r="S3020" s="55">
        <v>0</v>
      </c>
      <c r="T3020" s="74" t="s">
        <v>1713</v>
      </c>
      <c r="U3020" s="74" t="s">
        <v>351</v>
      </c>
      <c r="V3020" s="74">
        <v>44622</v>
      </c>
      <c r="W3020" s="74">
        <v>44665</v>
      </c>
      <c r="X3020" s="55">
        <v>10187209</v>
      </c>
      <c r="Y3020" s="55" t="s">
        <v>140</v>
      </c>
      <c r="AB3020" s="74" t="s">
        <v>140</v>
      </c>
      <c r="AC3020" s="55" t="s">
        <v>140</v>
      </c>
      <c r="AL3020" s="74"/>
      <c r="AM3020" s="74"/>
      <c r="AW3020" s="74"/>
      <c r="AX3020" s="74"/>
    </row>
    <row r="3021" spans="1:50" ht="13" x14ac:dyDescent="0.15">
      <c r="A3021" s="55" t="str">
        <f>HYPERLINK("http://reports.ofsted.gov.uk/inspection-reports/find-inspection-report/provider/CARE/SC427165","Ofsted Social Care Provider Webpage")</f>
        <v>Ofsted Social Care Provider Webpage</v>
      </c>
      <c r="B3021" s="55" t="s">
        <v>5605</v>
      </c>
      <c r="D3021" s="55" t="s">
        <v>373</v>
      </c>
      <c r="E3021" s="74">
        <v>40682</v>
      </c>
      <c r="F3021" s="55" t="s">
        <v>344</v>
      </c>
      <c r="G3021" s="55" t="s">
        <v>360</v>
      </c>
      <c r="H3021" s="55" t="s">
        <v>360</v>
      </c>
      <c r="I3021" s="55" t="s">
        <v>360</v>
      </c>
      <c r="J3021" s="55" t="s">
        <v>360</v>
      </c>
      <c r="K3021" s="55" t="s">
        <v>360</v>
      </c>
      <c r="L3021" s="55" t="s">
        <v>360</v>
      </c>
      <c r="M3021" s="55" t="s">
        <v>172</v>
      </c>
      <c r="N3021" s="55" t="s">
        <v>172</v>
      </c>
      <c r="O3021" s="55" t="s">
        <v>234</v>
      </c>
      <c r="P3021" s="55" t="s">
        <v>965</v>
      </c>
      <c r="Q3021" s="55" t="s">
        <v>380</v>
      </c>
      <c r="R3021" s="85">
        <v>3</v>
      </c>
      <c r="S3021" s="55">
        <v>0</v>
      </c>
      <c r="T3021" s="74" t="s">
        <v>1271</v>
      </c>
      <c r="U3021" s="74" t="s">
        <v>351</v>
      </c>
      <c r="V3021" s="74">
        <v>44621</v>
      </c>
      <c r="W3021" s="74">
        <v>44659</v>
      </c>
      <c r="X3021" s="55">
        <v>10186005</v>
      </c>
      <c r="Y3021" s="55" t="s">
        <v>132</v>
      </c>
      <c r="AB3021" s="74" t="s">
        <v>132</v>
      </c>
      <c r="AC3021" s="55" t="s">
        <v>132</v>
      </c>
      <c r="AL3021" s="74"/>
      <c r="AM3021" s="74"/>
      <c r="AW3021" s="74"/>
      <c r="AX3021" s="74"/>
    </row>
    <row r="3022" spans="1:50" ht="13" x14ac:dyDescent="0.15">
      <c r="A3022" s="55" t="str">
        <f>HYPERLINK("http://reports.ofsted.gov.uk/inspection-reports/find-inspection-report/provider/CARE/SC427652","Ofsted Social Care Provider Webpage")</f>
        <v>Ofsted Social Care Provider Webpage</v>
      </c>
      <c r="B3022" s="55" t="s">
        <v>5606</v>
      </c>
      <c r="D3022" s="55" t="s">
        <v>373</v>
      </c>
      <c r="E3022" s="74">
        <v>40668</v>
      </c>
      <c r="F3022" s="55" t="s">
        <v>344</v>
      </c>
      <c r="G3022" s="55" t="s">
        <v>360</v>
      </c>
      <c r="H3022" s="55" t="s">
        <v>360</v>
      </c>
      <c r="I3022" s="55" t="s">
        <v>360</v>
      </c>
      <c r="J3022" s="55" t="s">
        <v>360</v>
      </c>
      <c r="K3022" s="55" t="s">
        <v>360</v>
      </c>
      <c r="L3022" s="55" t="s">
        <v>360</v>
      </c>
      <c r="M3022" s="55" t="s">
        <v>138</v>
      </c>
      <c r="N3022" s="55" t="s">
        <v>138</v>
      </c>
      <c r="O3022" s="55" t="s">
        <v>266</v>
      </c>
      <c r="P3022" s="55" t="s">
        <v>4472</v>
      </c>
      <c r="Q3022" s="55" t="s">
        <v>350</v>
      </c>
      <c r="R3022" s="85">
        <v>3</v>
      </c>
      <c r="S3022" s="55">
        <v>0</v>
      </c>
      <c r="T3022" s="74" t="s">
        <v>5607</v>
      </c>
      <c r="U3022" s="74" t="s">
        <v>351</v>
      </c>
      <c r="V3022" s="74">
        <v>44354</v>
      </c>
      <c r="W3022" s="74">
        <v>44377</v>
      </c>
      <c r="X3022" s="55">
        <v>10187644</v>
      </c>
      <c r="Y3022" s="55" t="s">
        <v>132</v>
      </c>
      <c r="AB3022" s="74" t="s">
        <v>132</v>
      </c>
      <c r="AC3022" s="55" t="s">
        <v>130</v>
      </c>
      <c r="AL3022" s="74"/>
      <c r="AM3022" s="74"/>
      <c r="AW3022" s="74"/>
      <c r="AX3022" s="74"/>
    </row>
    <row r="3023" spans="1:50" ht="13" x14ac:dyDescent="0.15">
      <c r="A3023" s="55" t="str">
        <f>HYPERLINK("http://reports.ofsted.gov.uk/inspection-reports/find-inspection-report/provider/CARE/SC428599","Ofsted Social Care Provider Webpage")</f>
        <v>Ofsted Social Care Provider Webpage</v>
      </c>
      <c r="B3023" s="55" t="s">
        <v>5609</v>
      </c>
      <c r="D3023" s="55" t="s">
        <v>373</v>
      </c>
      <c r="E3023" s="74">
        <v>40717</v>
      </c>
      <c r="F3023" s="55" t="s">
        <v>344</v>
      </c>
      <c r="G3023" s="55" t="s">
        <v>360</v>
      </c>
      <c r="H3023" s="55" t="s">
        <v>360</v>
      </c>
      <c r="I3023" s="55" t="s">
        <v>360</v>
      </c>
      <c r="J3023" s="55" t="s">
        <v>360</v>
      </c>
      <c r="K3023" s="55" t="s">
        <v>360</v>
      </c>
      <c r="L3023" s="55" t="s">
        <v>360</v>
      </c>
      <c r="M3023" s="55" t="s">
        <v>144</v>
      </c>
      <c r="N3023" s="55" t="s">
        <v>144</v>
      </c>
      <c r="O3023" s="55" t="s">
        <v>248</v>
      </c>
      <c r="P3023" s="55" t="s">
        <v>397</v>
      </c>
      <c r="Q3023" s="55" t="s">
        <v>350</v>
      </c>
      <c r="R3023" s="85">
        <v>5</v>
      </c>
      <c r="S3023" s="55">
        <v>0</v>
      </c>
      <c r="T3023" s="74" t="s">
        <v>656</v>
      </c>
      <c r="U3023" s="74" t="s">
        <v>351</v>
      </c>
      <c r="V3023" s="74">
        <v>44461</v>
      </c>
      <c r="W3023" s="74">
        <v>44491</v>
      </c>
      <c r="X3023" s="55">
        <v>10186541</v>
      </c>
      <c r="Y3023" s="55" t="s">
        <v>140</v>
      </c>
      <c r="AB3023" s="74" t="s">
        <v>140</v>
      </c>
      <c r="AC3023" s="55" t="s">
        <v>140</v>
      </c>
      <c r="AL3023" s="74"/>
      <c r="AM3023" s="74"/>
    </row>
    <row r="3024" spans="1:50" ht="13" x14ac:dyDescent="0.15">
      <c r="A3024" s="55" t="str">
        <f>HYPERLINK("http://reports.ofsted.gov.uk/inspection-reports/find-inspection-report/provider/CARE/SC428700","Ofsted Social Care Provider Webpage")</f>
        <v>Ofsted Social Care Provider Webpage</v>
      </c>
      <c r="B3024" s="55" t="s">
        <v>5610</v>
      </c>
      <c r="D3024" s="55" t="s">
        <v>373</v>
      </c>
      <c r="E3024" s="74">
        <v>40724</v>
      </c>
      <c r="F3024" s="55" t="s">
        <v>344</v>
      </c>
      <c r="G3024" s="55" t="s">
        <v>360</v>
      </c>
      <c r="H3024" s="55" t="s">
        <v>360</v>
      </c>
      <c r="I3024" s="55" t="s">
        <v>360</v>
      </c>
      <c r="J3024" s="55" t="s">
        <v>360</v>
      </c>
      <c r="K3024" s="55" t="s">
        <v>360</v>
      </c>
      <c r="L3024" s="55" t="s">
        <v>360</v>
      </c>
      <c r="M3024" s="55" t="s">
        <v>378</v>
      </c>
      <c r="N3024" s="55" t="s">
        <v>134</v>
      </c>
      <c r="O3024" s="55" t="s">
        <v>251</v>
      </c>
      <c r="P3024" s="55" t="s">
        <v>4655</v>
      </c>
      <c r="Q3024" s="55" t="s">
        <v>350</v>
      </c>
      <c r="R3024" s="85">
        <v>4</v>
      </c>
      <c r="S3024" s="55">
        <v>0</v>
      </c>
      <c r="T3024" s="74" t="s">
        <v>1105</v>
      </c>
      <c r="U3024" s="74" t="s">
        <v>351</v>
      </c>
      <c r="V3024" s="74">
        <v>44580</v>
      </c>
      <c r="W3024" s="74">
        <v>44627</v>
      </c>
      <c r="X3024" s="55">
        <v>10185427</v>
      </c>
      <c r="Y3024" s="55" t="s">
        <v>132</v>
      </c>
      <c r="AB3024" s="74" t="s">
        <v>132</v>
      </c>
      <c r="AC3024" s="55" t="s">
        <v>132</v>
      </c>
      <c r="AL3024" s="74"/>
      <c r="AM3024" s="74"/>
    </row>
    <row r="3025" spans="1:50" ht="13" x14ac:dyDescent="0.15">
      <c r="A3025" s="55" t="str">
        <f>HYPERLINK("http://reports.ofsted.gov.uk/inspection-reports/find-inspection-report/provider/CARE/SC428895","Ofsted Social Care Provider Webpage")</f>
        <v>Ofsted Social Care Provider Webpage</v>
      </c>
      <c r="B3025" s="55" t="s">
        <v>5611</v>
      </c>
      <c r="D3025" s="55" t="s">
        <v>373</v>
      </c>
      <c r="E3025" s="74">
        <v>40711</v>
      </c>
      <c r="F3025" s="55" t="s">
        <v>344</v>
      </c>
      <c r="G3025" s="55" t="s">
        <v>360</v>
      </c>
      <c r="H3025" s="55" t="s">
        <v>360</v>
      </c>
      <c r="I3025" s="55" t="s">
        <v>360</v>
      </c>
      <c r="J3025" s="55" t="s">
        <v>360</v>
      </c>
      <c r="K3025" s="55" t="s">
        <v>360</v>
      </c>
      <c r="L3025" s="55" t="s">
        <v>360</v>
      </c>
      <c r="M3025" s="55" t="s">
        <v>378</v>
      </c>
      <c r="N3025" s="55" t="s">
        <v>134</v>
      </c>
      <c r="O3025" s="55" t="s">
        <v>210</v>
      </c>
      <c r="P3025" s="55" t="s">
        <v>3120</v>
      </c>
      <c r="Q3025" s="55" t="s">
        <v>350</v>
      </c>
      <c r="R3025" s="85">
        <v>3</v>
      </c>
      <c r="S3025" s="55">
        <v>0</v>
      </c>
      <c r="T3025" s="74" t="s">
        <v>385</v>
      </c>
      <c r="U3025" s="74" t="s">
        <v>351</v>
      </c>
      <c r="V3025" s="74">
        <v>44305</v>
      </c>
      <c r="W3025" s="74">
        <v>44342</v>
      </c>
      <c r="X3025" s="55">
        <v>10186174</v>
      </c>
      <c r="Y3025" s="55" t="s">
        <v>132</v>
      </c>
      <c r="AB3025" s="74" t="s">
        <v>132</v>
      </c>
      <c r="AC3025" s="55" t="s">
        <v>132</v>
      </c>
      <c r="AL3025" s="74"/>
      <c r="AM3025" s="74"/>
      <c r="AW3025" s="74"/>
      <c r="AX3025" s="74"/>
    </row>
    <row r="3026" spans="1:50" ht="13" x14ac:dyDescent="0.15">
      <c r="A3026" s="55" t="str">
        <f>HYPERLINK("http://reports.ofsted.gov.uk/inspection-reports/find-inspection-report/provider/CARE/SC428956","Ofsted Social Care Provider Webpage")</f>
        <v>Ofsted Social Care Provider Webpage</v>
      </c>
      <c r="B3026" s="55" t="s">
        <v>5612</v>
      </c>
      <c r="D3026" s="55" t="s">
        <v>373</v>
      </c>
      <c r="E3026" s="74">
        <v>40781</v>
      </c>
      <c r="F3026" s="55" t="s">
        <v>344</v>
      </c>
      <c r="G3026" s="55" t="s">
        <v>360</v>
      </c>
      <c r="H3026" s="55" t="s">
        <v>360</v>
      </c>
      <c r="I3026" s="55" t="s">
        <v>360</v>
      </c>
      <c r="J3026" s="55" t="s">
        <v>360</v>
      </c>
      <c r="K3026" s="55" t="s">
        <v>360</v>
      </c>
      <c r="L3026" s="55" t="s">
        <v>360</v>
      </c>
      <c r="M3026" s="55" t="s">
        <v>136</v>
      </c>
      <c r="N3026" s="55" t="s">
        <v>136</v>
      </c>
      <c r="O3026" s="55" t="s">
        <v>165</v>
      </c>
      <c r="P3026" s="55" t="s">
        <v>1269</v>
      </c>
      <c r="Q3026" s="55" t="s">
        <v>851</v>
      </c>
      <c r="R3026" s="85">
        <v>2</v>
      </c>
      <c r="S3026" s="55" t="s">
        <v>332</v>
      </c>
      <c r="T3026" s="74" t="s">
        <v>5613</v>
      </c>
      <c r="U3026" s="74" t="s">
        <v>351</v>
      </c>
      <c r="V3026" s="74">
        <v>44495</v>
      </c>
      <c r="W3026" s="74">
        <v>44526</v>
      </c>
      <c r="X3026" s="55">
        <v>10185893</v>
      </c>
      <c r="Y3026" s="55" t="s">
        <v>132</v>
      </c>
      <c r="AB3026" s="74" t="s">
        <v>132</v>
      </c>
      <c r="AC3026" s="55" t="s">
        <v>132</v>
      </c>
      <c r="AL3026" s="74"/>
      <c r="AM3026" s="74"/>
    </row>
    <row r="3027" spans="1:50" ht="13" x14ac:dyDescent="0.15">
      <c r="A3027" s="55" t="str">
        <f>HYPERLINK("http://reports.ofsted.gov.uk/inspection-reports/find-inspection-report/provider/CARE/SC429011","Ofsted Social Care Provider Webpage")</f>
        <v>Ofsted Social Care Provider Webpage</v>
      </c>
      <c r="B3027" s="55" t="s">
        <v>5614</v>
      </c>
      <c r="D3027" s="55" t="s">
        <v>373</v>
      </c>
      <c r="E3027" s="74">
        <v>40696</v>
      </c>
      <c r="F3027" s="55" t="s">
        <v>344</v>
      </c>
      <c r="G3027" s="55" t="s">
        <v>360</v>
      </c>
      <c r="H3027" s="55" t="s">
        <v>360</v>
      </c>
      <c r="I3027" s="55" t="s">
        <v>360</v>
      </c>
      <c r="J3027" s="55" t="s">
        <v>360</v>
      </c>
      <c r="K3027" s="55" t="s">
        <v>360</v>
      </c>
      <c r="L3027" s="55" t="s">
        <v>360</v>
      </c>
      <c r="M3027" s="55" t="s">
        <v>150</v>
      </c>
      <c r="N3027" s="55" t="s">
        <v>150</v>
      </c>
      <c r="O3027" s="55" t="s">
        <v>156</v>
      </c>
      <c r="P3027" s="55" t="s">
        <v>1576</v>
      </c>
      <c r="Q3027" s="55" t="s">
        <v>350</v>
      </c>
      <c r="R3027" s="85">
        <v>3</v>
      </c>
      <c r="S3027" s="55">
        <v>0</v>
      </c>
      <c r="T3027" s="74" t="s">
        <v>843</v>
      </c>
      <c r="U3027" s="74" t="s">
        <v>351</v>
      </c>
      <c r="V3027" s="74">
        <v>44579</v>
      </c>
      <c r="W3027" s="74">
        <v>44620</v>
      </c>
      <c r="X3027" s="55">
        <v>10186605</v>
      </c>
      <c r="Y3027" s="55" t="s">
        <v>132</v>
      </c>
      <c r="AB3027" s="74" t="s">
        <v>132</v>
      </c>
      <c r="AC3027" s="55" t="s">
        <v>140</v>
      </c>
      <c r="AL3027" s="74"/>
      <c r="AM3027" s="74"/>
    </row>
    <row r="3028" spans="1:50" ht="13" x14ac:dyDescent="0.15">
      <c r="A3028" s="55" t="str">
        <f>HYPERLINK("http://reports.ofsted.gov.uk/inspection-reports/find-inspection-report/provider/CARE/SC429369","Ofsted Social Care Provider Webpage")</f>
        <v>Ofsted Social Care Provider Webpage</v>
      </c>
      <c r="B3028" s="55" t="s">
        <v>5615</v>
      </c>
      <c r="D3028" s="55" t="s">
        <v>373</v>
      </c>
      <c r="E3028" s="74">
        <v>40708</v>
      </c>
      <c r="F3028" s="55" t="s">
        <v>344</v>
      </c>
      <c r="G3028" s="55" t="s">
        <v>360</v>
      </c>
      <c r="H3028" s="55" t="s">
        <v>360</v>
      </c>
      <c r="I3028" s="55" t="s">
        <v>360</v>
      </c>
      <c r="J3028" s="55" t="s">
        <v>360</v>
      </c>
      <c r="K3028" s="55" t="s">
        <v>360</v>
      </c>
      <c r="L3028" s="55" t="s">
        <v>360</v>
      </c>
      <c r="M3028" s="55" t="s">
        <v>138</v>
      </c>
      <c r="N3028" s="55" t="s">
        <v>138</v>
      </c>
      <c r="O3028" s="55" t="s">
        <v>137</v>
      </c>
      <c r="P3028" s="55" t="s">
        <v>137</v>
      </c>
      <c r="Q3028" s="55" t="s">
        <v>350</v>
      </c>
      <c r="R3028" s="85">
        <v>4</v>
      </c>
      <c r="S3028" s="55">
        <v>0</v>
      </c>
      <c r="T3028" s="74" t="s">
        <v>644</v>
      </c>
      <c r="U3028" s="74" t="s">
        <v>351</v>
      </c>
      <c r="V3028" s="74">
        <v>44384</v>
      </c>
      <c r="W3028" s="74">
        <v>44410</v>
      </c>
      <c r="X3028" s="55">
        <v>10186620</v>
      </c>
      <c r="Y3028" s="55" t="s">
        <v>132</v>
      </c>
      <c r="AB3028" s="74" t="s">
        <v>132</v>
      </c>
      <c r="AC3028" s="55" t="s">
        <v>132</v>
      </c>
      <c r="AL3028" s="74"/>
      <c r="AM3028" s="74"/>
      <c r="AW3028" s="74"/>
      <c r="AX3028" s="74"/>
    </row>
    <row r="3029" spans="1:50" ht="13" x14ac:dyDescent="0.15">
      <c r="A3029" s="55" t="str">
        <f>HYPERLINK("http://reports.ofsted.gov.uk/inspection-reports/find-inspection-report/provider/CARE/SC429369","Ofsted Social Care Provider Webpage")</f>
        <v>Ofsted Social Care Provider Webpage</v>
      </c>
      <c r="B3029" s="55" t="s">
        <v>5615</v>
      </c>
      <c r="D3029" s="55" t="s">
        <v>373</v>
      </c>
      <c r="E3029" s="74">
        <v>40708</v>
      </c>
      <c r="F3029" s="55" t="s">
        <v>344</v>
      </c>
      <c r="G3029" s="55" t="s">
        <v>360</v>
      </c>
      <c r="H3029" s="55" t="s">
        <v>360</v>
      </c>
      <c r="I3029" s="55" t="s">
        <v>360</v>
      </c>
      <c r="J3029" s="55" t="s">
        <v>360</v>
      </c>
      <c r="K3029" s="55" t="s">
        <v>360</v>
      </c>
      <c r="L3029" s="55" t="s">
        <v>360</v>
      </c>
      <c r="M3029" s="55" t="s">
        <v>138</v>
      </c>
      <c r="N3029" s="55" t="s">
        <v>138</v>
      </c>
      <c r="O3029" s="55" t="s">
        <v>137</v>
      </c>
      <c r="P3029" s="55" t="s">
        <v>137</v>
      </c>
      <c r="Q3029" s="55" t="s">
        <v>350</v>
      </c>
      <c r="R3029" s="85">
        <v>4</v>
      </c>
      <c r="S3029" s="55">
        <v>0</v>
      </c>
      <c r="T3029" s="74" t="s">
        <v>644</v>
      </c>
      <c r="U3029" s="74" t="s">
        <v>6703</v>
      </c>
      <c r="V3029" s="74">
        <v>44631</v>
      </c>
      <c r="W3029" s="74">
        <v>44657</v>
      </c>
      <c r="X3029" s="55">
        <v>10230745</v>
      </c>
      <c r="Y3029" s="55" t="s">
        <v>6704</v>
      </c>
      <c r="AL3029" s="74"/>
      <c r="AM3029" s="74"/>
      <c r="AW3029" s="74"/>
      <c r="AX3029" s="74"/>
    </row>
    <row r="3030" spans="1:50" ht="13" x14ac:dyDescent="0.15">
      <c r="A3030" s="55" t="str">
        <f>HYPERLINK("http://reports.ofsted.gov.uk/inspection-reports/find-inspection-report/provider/CARE/SC429523","Ofsted Social Care Provider Webpage")</f>
        <v>Ofsted Social Care Provider Webpage</v>
      </c>
      <c r="B3030" s="55" t="s">
        <v>5616</v>
      </c>
      <c r="D3030" s="55" t="s">
        <v>373</v>
      </c>
      <c r="E3030" s="74">
        <v>41000</v>
      </c>
      <c r="F3030" s="55" t="s">
        <v>344</v>
      </c>
      <c r="G3030" s="55" t="s">
        <v>360</v>
      </c>
      <c r="H3030" s="55" t="s">
        <v>360</v>
      </c>
      <c r="I3030" s="55" t="s">
        <v>360</v>
      </c>
      <c r="J3030" s="55" t="s">
        <v>360</v>
      </c>
      <c r="K3030" s="55" t="s">
        <v>360</v>
      </c>
      <c r="L3030" s="55" t="s">
        <v>360</v>
      </c>
      <c r="M3030" s="55" t="s">
        <v>136</v>
      </c>
      <c r="N3030" s="55" t="s">
        <v>136</v>
      </c>
      <c r="O3030" s="55" t="s">
        <v>165</v>
      </c>
      <c r="P3030" s="55" t="s">
        <v>748</v>
      </c>
      <c r="Q3030" s="55" t="s">
        <v>851</v>
      </c>
      <c r="R3030" s="85">
        <v>4</v>
      </c>
      <c r="S3030" s="55" t="s">
        <v>332</v>
      </c>
      <c r="T3030" s="74" t="s">
        <v>5613</v>
      </c>
      <c r="U3030" s="74" t="s">
        <v>351</v>
      </c>
      <c r="V3030" s="74">
        <v>44306</v>
      </c>
      <c r="W3030" s="74">
        <v>44329</v>
      </c>
      <c r="X3030" s="55">
        <v>10186213</v>
      </c>
      <c r="Y3030" s="55" t="s">
        <v>132</v>
      </c>
      <c r="AB3030" s="74" t="s">
        <v>132</v>
      </c>
      <c r="AC3030" s="55" t="s">
        <v>140</v>
      </c>
      <c r="AL3030" s="74"/>
      <c r="AM3030" s="74"/>
    </row>
    <row r="3031" spans="1:50" ht="13" x14ac:dyDescent="0.15">
      <c r="A3031" s="55" t="str">
        <f>HYPERLINK("http://reports.ofsted.gov.uk/inspection-reports/find-inspection-report/provider/CARE/SC429702","Ofsted Social Care Provider Webpage")</f>
        <v>Ofsted Social Care Provider Webpage</v>
      </c>
      <c r="B3031" s="55" t="s">
        <v>5624</v>
      </c>
      <c r="D3031" s="55" t="s">
        <v>373</v>
      </c>
      <c r="E3031" s="74">
        <v>40660</v>
      </c>
      <c r="F3031" s="55" t="s">
        <v>344</v>
      </c>
      <c r="G3031" s="55" t="s">
        <v>360</v>
      </c>
      <c r="H3031" s="55" t="s">
        <v>360</v>
      </c>
      <c r="I3031" s="55" t="s">
        <v>360</v>
      </c>
      <c r="J3031" s="55" t="s">
        <v>360</v>
      </c>
      <c r="K3031" s="55" t="s">
        <v>360</v>
      </c>
      <c r="L3031" s="55" t="s">
        <v>360</v>
      </c>
      <c r="M3031" s="55" t="s">
        <v>138</v>
      </c>
      <c r="N3031" s="55" t="s">
        <v>138</v>
      </c>
      <c r="O3031" s="55" t="s">
        <v>266</v>
      </c>
      <c r="P3031" s="55" t="s">
        <v>1622</v>
      </c>
      <c r="Q3031" s="55" t="s">
        <v>350</v>
      </c>
      <c r="R3031" s="85">
        <v>4</v>
      </c>
      <c r="S3031" s="55">
        <v>0</v>
      </c>
      <c r="T3031" s="74" t="s">
        <v>1553</v>
      </c>
      <c r="U3031" s="74" t="s">
        <v>351</v>
      </c>
      <c r="V3031" s="74">
        <v>44536</v>
      </c>
      <c r="W3031" s="74">
        <v>44572</v>
      </c>
      <c r="X3031" s="55">
        <v>10186375</v>
      </c>
      <c r="Y3031" s="55" t="s">
        <v>132</v>
      </c>
      <c r="AB3031" s="74" t="s">
        <v>132</v>
      </c>
      <c r="AC3031" s="55" t="s">
        <v>132</v>
      </c>
      <c r="AL3031" s="74"/>
      <c r="AM3031" s="74"/>
      <c r="AW3031" s="74"/>
      <c r="AX3031" s="74"/>
    </row>
    <row r="3032" spans="1:50" ht="13" x14ac:dyDescent="0.15">
      <c r="A3032" s="55" t="str">
        <f>HYPERLINK("http://reports.ofsted.gov.uk/inspection-reports/find-inspection-report/provider/CARE/SC429748","Ofsted Social Care Provider Webpage")</f>
        <v>Ofsted Social Care Provider Webpage</v>
      </c>
      <c r="B3032" s="55" t="s">
        <v>5625</v>
      </c>
      <c r="D3032" s="55" t="s">
        <v>373</v>
      </c>
      <c r="E3032" s="74">
        <v>40746</v>
      </c>
      <c r="F3032" s="55" t="s">
        <v>344</v>
      </c>
      <c r="G3032" s="55" t="s">
        <v>360</v>
      </c>
      <c r="H3032" s="55" t="s">
        <v>360</v>
      </c>
      <c r="I3032" s="55" t="s">
        <v>360</v>
      </c>
      <c r="J3032" s="55" t="s">
        <v>360</v>
      </c>
      <c r="K3032" s="55" t="s">
        <v>360</v>
      </c>
      <c r="L3032" s="55" t="s">
        <v>360</v>
      </c>
      <c r="M3032" s="55" t="s">
        <v>138</v>
      </c>
      <c r="N3032" s="55" t="s">
        <v>138</v>
      </c>
      <c r="O3032" s="55" t="s">
        <v>266</v>
      </c>
      <c r="P3032" s="55" t="s">
        <v>1622</v>
      </c>
      <c r="Q3032" s="55" t="s">
        <v>350</v>
      </c>
      <c r="R3032" s="85">
        <v>4</v>
      </c>
      <c r="S3032" s="55">
        <v>0</v>
      </c>
      <c r="T3032" s="74" t="s">
        <v>1553</v>
      </c>
      <c r="U3032" s="74" t="s">
        <v>351</v>
      </c>
      <c r="V3032" s="74">
        <v>44532</v>
      </c>
      <c r="W3032" s="74">
        <v>44571</v>
      </c>
      <c r="X3032" s="55">
        <v>10185941</v>
      </c>
      <c r="Y3032" s="55" t="s">
        <v>132</v>
      </c>
      <c r="AB3032" s="74" t="s">
        <v>132</v>
      </c>
      <c r="AC3032" s="55" t="s">
        <v>132</v>
      </c>
      <c r="AL3032" s="74"/>
      <c r="AM3032" s="74"/>
      <c r="AW3032" s="74"/>
      <c r="AX3032" s="74"/>
    </row>
    <row r="3033" spans="1:50" ht="13" x14ac:dyDescent="0.15">
      <c r="A3033" s="55" t="str">
        <f>HYPERLINK("http://reports.ofsted.gov.uk/inspection-reports/find-inspection-report/provider/CARE/SC429918","Ofsted Social Care Provider Webpage")</f>
        <v>Ofsted Social Care Provider Webpage</v>
      </c>
      <c r="B3033" s="55" t="s">
        <v>5626</v>
      </c>
      <c r="D3033" s="55" t="s">
        <v>373</v>
      </c>
      <c r="E3033" s="74">
        <v>40746</v>
      </c>
      <c r="F3033" s="55" t="s">
        <v>344</v>
      </c>
      <c r="G3033" s="55" t="s">
        <v>360</v>
      </c>
      <c r="H3033" s="55" t="s">
        <v>360</v>
      </c>
      <c r="I3033" s="55" t="s">
        <v>360</v>
      </c>
      <c r="J3033" s="55" t="s">
        <v>360</v>
      </c>
      <c r="K3033" s="55" t="s">
        <v>360</v>
      </c>
      <c r="L3033" s="55" t="s">
        <v>360</v>
      </c>
      <c r="M3033" s="55" t="s">
        <v>142</v>
      </c>
      <c r="N3033" s="55" t="s">
        <v>142</v>
      </c>
      <c r="O3033" s="55" t="s">
        <v>282</v>
      </c>
      <c r="P3033" s="55" t="s">
        <v>3266</v>
      </c>
      <c r="Q3033" s="55" t="s">
        <v>350</v>
      </c>
      <c r="R3033" s="85">
        <v>4</v>
      </c>
      <c r="S3033" s="55">
        <v>0</v>
      </c>
      <c r="T3033" s="74" t="s">
        <v>4531</v>
      </c>
      <c r="U3033" s="74" t="s">
        <v>351</v>
      </c>
      <c r="V3033" s="74">
        <v>44334</v>
      </c>
      <c r="W3033" s="74">
        <v>44418</v>
      </c>
      <c r="X3033" s="55">
        <v>10187190</v>
      </c>
      <c r="Y3033" s="55" t="s">
        <v>130</v>
      </c>
      <c r="AB3033" s="74" t="s">
        <v>130</v>
      </c>
      <c r="AC3033" s="55" t="s">
        <v>130</v>
      </c>
      <c r="AL3033" s="74"/>
      <c r="AM3033" s="74"/>
      <c r="AW3033" s="74"/>
      <c r="AX3033" s="74"/>
    </row>
    <row r="3034" spans="1:50" ht="13" x14ac:dyDescent="0.15">
      <c r="A3034" s="55" t="str">
        <f>HYPERLINK("http://reports.ofsted.gov.uk/inspection-reports/find-inspection-report/provider/CARE/SC429995","Ofsted Social Care Provider Webpage")</f>
        <v>Ofsted Social Care Provider Webpage</v>
      </c>
      <c r="B3034" s="55" t="s">
        <v>5627</v>
      </c>
      <c r="D3034" s="55" t="s">
        <v>373</v>
      </c>
      <c r="E3034" s="74">
        <v>40746</v>
      </c>
      <c r="F3034" s="55" t="s">
        <v>344</v>
      </c>
      <c r="G3034" s="55" t="s">
        <v>360</v>
      </c>
      <c r="H3034" s="55" t="s">
        <v>360</v>
      </c>
      <c r="I3034" s="55" t="s">
        <v>360</v>
      </c>
      <c r="J3034" s="55" t="s">
        <v>360</v>
      </c>
      <c r="K3034" s="55" t="s">
        <v>360</v>
      </c>
      <c r="L3034" s="55" t="s">
        <v>360</v>
      </c>
      <c r="M3034" s="55" t="s">
        <v>378</v>
      </c>
      <c r="N3034" s="55" t="s">
        <v>170</v>
      </c>
      <c r="O3034" s="55" t="s">
        <v>178</v>
      </c>
      <c r="P3034" s="55" t="s">
        <v>1374</v>
      </c>
      <c r="Q3034" s="55" t="s">
        <v>350</v>
      </c>
      <c r="R3034" s="85">
        <v>4</v>
      </c>
      <c r="S3034" s="55">
        <v>0</v>
      </c>
      <c r="T3034" s="74" t="s">
        <v>5628</v>
      </c>
      <c r="U3034" s="74" t="s">
        <v>351</v>
      </c>
      <c r="V3034" s="74">
        <v>44447</v>
      </c>
      <c r="W3034" s="74">
        <v>44491</v>
      </c>
      <c r="X3034" s="55">
        <v>10185871</v>
      </c>
      <c r="Y3034" s="55" t="s">
        <v>132</v>
      </c>
      <c r="AB3034" s="74" t="s">
        <v>132</v>
      </c>
      <c r="AC3034" s="55" t="s">
        <v>130</v>
      </c>
      <c r="AL3034" s="74"/>
      <c r="AM3034" s="74"/>
    </row>
    <row r="3035" spans="1:50" ht="13" x14ac:dyDescent="0.15">
      <c r="A3035" s="55" t="str">
        <f>HYPERLINK("http://reports.ofsted.gov.uk/inspection-reports/find-inspection-report/provider/CARE/SC430002","Ofsted Social Care Provider Webpage")</f>
        <v>Ofsted Social Care Provider Webpage</v>
      </c>
      <c r="B3035" s="55" t="s">
        <v>6756</v>
      </c>
      <c r="D3035" s="55" t="s">
        <v>373</v>
      </c>
      <c r="E3035" s="74">
        <v>40715</v>
      </c>
      <c r="F3035" s="55" t="s">
        <v>6707</v>
      </c>
      <c r="G3035" s="55" t="s">
        <v>360</v>
      </c>
      <c r="H3035" s="55" t="s">
        <v>360</v>
      </c>
      <c r="I3035" s="55" t="s">
        <v>360</v>
      </c>
      <c r="J3035" s="55" t="s">
        <v>360</v>
      </c>
      <c r="K3035" s="55" t="s">
        <v>360</v>
      </c>
      <c r="L3035" s="55" t="s">
        <v>360</v>
      </c>
      <c r="M3035" s="55" t="s">
        <v>378</v>
      </c>
      <c r="N3035" s="55" t="s">
        <v>134</v>
      </c>
      <c r="O3035" s="55" t="s">
        <v>232</v>
      </c>
      <c r="P3035" s="55" t="s">
        <v>491</v>
      </c>
      <c r="Q3035" s="55" t="s">
        <v>350</v>
      </c>
      <c r="R3035" s="85">
        <v>6</v>
      </c>
      <c r="S3035" s="55">
        <v>0</v>
      </c>
      <c r="T3035" s="74" t="s">
        <v>6757</v>
      </c>
      <c r="U3035" s="74" t="s">
        <v>351</v>
      </c>
      <c r="V3035" s="74">
        <v>44313</v>
      </c>
      <c r="W3035" s="74">
        <v>44365</v>
      </c>
      <c r="X3035" s="55">
        <v>10187605</v>
      </c>
      <c r="Y3035" s="55" t="s">
        <v>146</v>
      </c>
      <c r="AB3035" s="74" t="s">
        <v>146</v>
      </c>
      <c r="AC3035" s="55" t="s">
        <v>146</v>
      </c>
      <c r="AL3035" s="74"/>
      <c r="AM3035" s="74"/>
    </row>
    <row r="3036" spans="1:50" ht="13" x14ac:dyDescent="0.15">
      <c r="A3036" s="55" t="str">
        <f>HYPERLINK("http://reports.ofsted.gov.uk/inspection-reports/find-inspection-report/provider/CARE/SC430022","Ofsted Social Care Provider Webpage")</f>
        <v>Ofsted Social Care Provider Webpage</v>
      </c>
      <c r="B3036" s="55" t="s">
        <v>5629</v>
      </c>
      <c r="D3036" s="55" t="s">
        <v>373</v>
      </c>
      <c r="E3036" s="74">
        <v>40696</v>
      </c>
      <c r="F3036" s="55" t="s">
        <v>344</v>
      </c>
      <c r="G3036" s="55" t="s">
        <v>360</v>
      </c>
      <c r="H3036" s="55" t="s">
        <v>360</v>
      </c>
      <c r="I3036" s="55" t="s">
        <v>360</v>
      </c>
      <c r="J3036" s="55" t="s">
        <v>360</v>
      </c>
      <c r="K3036" s="55" t="s">
        <v>360</v>
      </c>
      <c r="L3036" s="55" t="s">
        <v>360</v>
      </c>
      <c r="M3036" s="55" t="s">
        <v>138</v>
      </c>
      <c r="N3036" s="55" t="s">
        <v>138</v>
      </c>
      <c r="O3036" s="55" t="s">
        <v>266</v>
      </c>
      <c r="P3036" s="55" t="s">
        <v>934</v>
      </c>
      <c r="Q3036" s="55" t="s">
        <v>380</v>
      </c>
      <c r="R3036" s="85">
        <v>7</v>
      </c>
      <c r="S3036" s="55">
        <v>0</v>
      </c>
      <c r="T3036" s="74" t="s">
        <v>3510</v>
      </c>
      <c r="U3036" s="74" t="s">
        <v>6703</v>
      </c>
      <c r="V3036" s="74">
        <v>44586</v>
      </c>
      <c r="W3036" s="74">
        <v>44613</v>
      </c>
      <c r="X3036" s="55">
        <v>10205255</v>
      </c>
      <c r="Y3036" s="55" t="s">
        <v>6706</v>
      </c>
      <c r="AL3036" s="74"/>
      <c r="AM3036" s="74"/>
    </row>
    <row r="3037" spans="1:50" ht="13" x14ac:dyDescent="0.15">
      <c r="A3037" s="55" t="str">
        <f>HYPERLINK("http://reports.ofsted.gov.uk/inspection-reports/find-inspection-report/provider/CARE/SC430022","Ofsted Social Care Provider Webpage")</f>
        <v>Ofsted Social Care Provider Webpage</v>
      </c>
      <c r="B3037" s="55" t="s">
        <v>5629</v>
      </c>
      <c r="D3037" s="55" t="s">
        <v>373</v>
      </c>
      <c r="E3037" s="74">
        <v>40696</v>
      </c>
      <c r="F3037" s="55" t="s">
        <v>344</v>
      </c>
      <c r="G3037" s="55" t="s">
        <v>360</v>
      </c>
      <c r="H3037" s="55" t="s">
        <v>360</v>
      </c>
      <c r="I3037" s="55" t="s">
        <v>360</v>
      </c>
      <c r="J3037" s="55" t="s">
        <v>360</v>
      </c>
      <c r="K3037" s="55" t="s">
        <v>360</v>
      </c>
      <c r="L3037" s="55" t="s">
        <v>360</v>
      </c>
      <c r="M3037" s="55" t="s">
        <v>138</v>
      </c>
      <c r="N3037" s="55" t="s">
        <v>138</v>
      </c>
      <c r="O3037" s="55" t="s">
        <v>266</v>
      </c>
      <c r="P3037" s="55" t="s">
        <v>934</v>
      </c>
      <c r="Q3037" s="55" t="s">
        <v>380</v>
      </c>
      <c r="R3037" s="85">
        <v>7</v>
      </c>
      <c r="S3037" s="55">
        <v>0</v>
      </c>
      <c r="T3037" s="74" t="s">
        <v>3510</v>
      </c>
      <c r="U3037" s="74" t="s">
        <v>351</v>
      </c>
      <c r="V3037" s="74">
        <v>44375</v>
      </c>
      <c r="W3037" s="74">
        <v>44400</v>
      </c>
      <c r="X3037" s="55">
        <v>10185101</v>
      </c>
      <c r="Y3037" s="55" t="s">
        <v>130</v>
      </c>
      <c r="AB3037" s="74" t="s">
        <v>130</v>
      </c>
      <c r="AC3037" s="55" t="s">
        <v>130</v>
      </c>
      <c r="AL3037" s="74"/>
      <c r="AM3037" s="74"/>
    </row>
    <row r="3038" spans="1:50" ht="13" x14ac:dyDescent="0.15">
      <c r="A3038" s="55" t="str">
        <f>HYPERLINK("http://reports.ofsted.gov.uk/inspection-reports/find-inspection-report/provider/CARE/SC430239","Ofsted Social Care Provider Webpage")</f>
        <v>Ofsted Social Care Provider Webpage</v>
      </c>
      <c r="B3038" s="55" t="s">
        <v>5630</v>
      </c>
      <c r="D3038" s="55" t="s">
        <v>373</v>
      </c>
      <c r="E3038" s="74">
        <v>40709</v>
      </c>
      <c r="F3038" s="55" t="s">
        <v>344</v>
      </c>
      <c r="G3038" s="55" t="s">
        <v>360</v>
      </c>
      <c r="H3038" s="55" t="s">
        <v>360</v>
      </c>
      <c r="I3038" s="55" t="s">
        <v>360</v>
      </c>
      <c r="J3038" s="55" t="s">
        <v>360</v>
      </c>
      <c r="K3038" s="55" t="s">
        <v>360</v>
      </c>
      <c r="L3038" s="55" t="s">
        <v>360</v>
      </c>
      <c r="M3038" s="55" t="s">
        <v>144</v>
      </c>
      <c r="N3038" s="55" t="s">
        <v>144</v>
      </c>
      <c r="O3038" s="55" t="s">
        <v>271</v>
      </c>
      <c r="P3038" s="55" t="s">
        <v>1120</v>
      </c>
      <c r="Q3038" s="55" t="s">
        <v>350</v>
      </c>
      <c r="R3038" s="85">
        <v>5</v>
      </c>
      <c r="S3038" s="55">
        <v>0</v>
      </c>
      <c r="T3038" s="74" t="s">
        <v>385</v>
      </c>
      <c r="U3038" s="74" t="s">
        <v>351</v>
      </c>
      <c r="V3038" s="74">
        <v>44538</v>
      </c>
      <c r="W3038" s="74">
        <v>44586</v>
      </c>
      <c r="X3038" s="55">
        <v>10186248</v>
      </c>
      <c r="Y3038" s="55" t="s">
        <v>132</v>
      </c>
      <c r="AB3038" s="74" t="s">
        <v>132</v>
      </c>
      <c r="AC3038" s="55" t="s">
        <v>130</v>
      </c>
      <c r="AL3038" s="74"/>
      <c r="AM3038" s="74"/>
    </row>
    <row r="3039" spans="1:50" ht="13" x14ac:dyDescent="0.15">
      <c r="A3039" s="55" t="str">
        <f>HYPERLINK("http://reports.ofsted.gov.uk/inspection-reports/find-inspection-report/provider/CARE/SC430320","Ofsted Social Care Provider Webpage")</f>
        <v>Ofsted Social Care Provider Webpage</v>
      </c>
      <c r="B3039" s="55" t="s">
        <v>5631</v>
      </c>
      <c r="D3039" s="55" t="s">
        <v>373</v>
      </c>
      <c r="E3039" s="74">
        <v>40764</v>
      </c>
      <c r="F3039" s="55" t="s">
        <v>344</v>
      </c>
      <c r="G3039" s="55" t="s">
        <v>360</v>
      </c>
      <c r="H3039" s="55" t="s">
        <v>360</v>
      </c>
      <c r="I3039" s="55" t="s">
        <v>360</v>
      </c>
      <c r="J3039" s="55" t="s">
        <v>360</v>
      </c>
      <c r="K3039" s="55" t="s">
        <v>360</v>
      </c>
      <c r="L3039" s="55" t="s">
        <v>360</v>
      </c>
      <c r="M3039" s="55" t="s">
        <v>129</v>
      </c>
      <c r="N3039" s="55" t="s">
        <v>129</v>
      </c>
      <c r="O3039" s="55" t="s">
        <v>128</v>
      </c>
      <c r="P3039" s="55" t="s">
        <v>1467</v>
      </c>
      <c r="Q3039" s="55" t="s">
        <v>350</v>
      </c>
      <c r="R3039" s="85">
        <v>5</v>
      </c>
      <c r="S3039" s="55">
        <v>0</v>
      </c>
      <c r="T3039" s="74" t="s">
        <v>1532</v>
      </c>
      <c r="U3039" s="74" t="s">
        <v>351</v>
      </c>
      <c r="V3039" s="74">
        <v>44509</v>
      </c>
      <c r="W3039" s="74">
        <v>44547</v>
      </c>
      <c r="X3039" s="55">
        <v>10187349</v>
      </c>
      <c r="Y3039" s="55" t="s">
        <v>132</v>
      </c>
      <c r="AB3039" s="74" t="s">
        <v>132</v>
      </c>
      <c r="AC3039" s="55" t="s">
        <v>132</v>
      </c>
      <c r="AL3039" s="74"/>
      <c r="AM3039" s="74"/>
    </row>
    <row r="3040" spans="1:50" ht="13" x14ac:dyDescent="0.15">
      <c r="A3040" s="55" t="str">
        <f>HYPERLINK("http://reports.ofsted.gov.uk/inspection-reports/find-inspection-report/provider/CARE/SC430587","Ofsted Social Care Provider Webpage")</f>
        <v>Ofsted Social Care Provider Webpage</v>
      </c>
      <c r="B3040" s="55" t="s">
        <v>5632</v>
      </c>
      <c r="D3040" s="55" t="s">
        <v>373</v>
      </c>
      <c r="E3040" s="74">
        <v>40731</v>
      </c>
      <c r="F3040" s="55" t="s">
        <v>344</v>
      </c>
      <c r="G3040" s="55" t="s">
        <v>360</v>
      </c>
      <c r="H3040" s="55" t="s">
        <v>360</v>
      </c>
      <c r="I3040" s="55" t="s">
        <v>360</v>
      </c>
      <c r="J3040" s="55" t="s">
        <v>360</v>
      </c>
      <c r="K3040" s="55" t="s">
        <v>360</v>
      </c>
      <c r="L3040" s="55" t="s">
        <v>360</v>
      </c>
      <c r="M3040" s="55" t="s">
        <v>172</v>
      </c>
      <c r="N3040" s="55" t="s">
        <v>172</v>
      </c>
      <c r="O3040" s="55" t="s">
        <v>284</v>
      </c>
      <c r="P3040" s="55" t="s">
        <v>357</v>
      </c>
      <c r="Q3040" s="55" t="s">
        <v>350</v>
      </c>
      <c r="R3040" s="85">
        <v>4</v>
      </c>
      <c r="S3040" s="55">
        <v>0</v>
      </c>
      <c r="T3040" s="74" t="s">
        <v>791</v>
      </c>
      <c r="U3040" s="74" t="s">
        <v>351</v>
      </c>
      <c r="V3040" s="74">
        <v>44495</v>
      </c>
      <c r="W3040" s="74">
        <v>44523</v>
      </c>
      <c r="X3040" s="55">
        <v>10187363</v>
      </c>
      <c r="Y3040" s="55" t="s">
        <v>132</v>
      </c>
      <c r="AB3040" s="74" t="s">
        <v>132</v>
      </c>
      <c r="AC3040" s="55" t="s">
        <v>132</v>
      </c>
      <c r="AL3040" s="74"/>
      <c r="AM3040" s="74"/>
      <c r="AW3040" s="74"/>
      <c r="AX3040" s="74"/>
    </row>
    <row r="3041" spans="1:50" ht="13" x14ac:dyDescent="0.15">
      <c r="A3041" s="55" t="str">
        <f>HYPERLINK("http://reports.ofsted.gov.uk/inspection-reports/find-inspection-report/provider/CARE/SC430757","Ofsted Social Care Provider Webpage")</f>
        <v>Ofsted Social Care Provider Webpage</v>
      </c>
      <c r="B3041" s="55" t="s">
        <v>5633</v>
      </c>
      <c r="D3041" s="55" t="s">
        <v>389</v>
      </c>
      <c r="E3041" s="74">
        <v>40780</v>
      </c>
      <c r="F3041" s="55" t="s">
        <v>344</v>
      </c>
      <c r="G3041" s="55" t="s">
        <v>5634</v>
      </c>
      <c r="H3041" s="55" t="s">
        <v>5635</v>
      </c>
      <c r="I3041" s="55" t="s">
        <v>5636</v>
      </c>
      <c r="J3041" s="55" t="s">
        <v>1768</v>
      </c>
      <c r="K3041" s="55" t="s">
        <v>224</v>
      </c>
      <c r="L3041" s="55" t="s">
        <v>5637</v>
      </c>
      <c r="M3041" s="55" t="s">
        <v>138</v>
      </c>
      <c r="N3041" s="55" t="s">
        <v>138</v>
      </c>
      <c r="O3041" s="55" t="s">
        <v>224</v>
      </c>
      <c r="P3041" s="55" t="s">
        <v>2271</v>
      </c>
      <c r="Q3041" s="55" t="s">
        <v>362</v>
      </c>
      <c r="S3041" s="55">
        <v>0</v>
      </c>
      <c r="T3041" s="74" t="s">
        <v>557</v>
      </c>
      <c r="U3041" s="74" t="s">
        <v>351</v>
      </c>
      <c r="V3041" s="74">
        <v>44326</v>
      </c>
      <c r="W3041" s="74">
        <v>44356</v>
      </c>
      <c r="X3041" s="55">
        <v>10183260</v>
      </c>
      <c r="Y3041" s="55" t="s">
        <v>132</v>
      </c>
      <c r="AB3041" s="74" t="s">
        <v>132</v>
      </c>
      <c r="AC3041" s="55" t="s">
        <v>132</v>
      </c>
      <c r="AL3041" s="74"/>
      <c r="AM3041" s="74"/>
    </row>
    <row r="3042" spans="1:50" ht="13" x14ac:dyDescent="0.15">
      <c r="A3042" s="55" t="str">
        <f>HYPERLINK("http://reports.ofsted.gov.uk/inspection-reports/find-inspection-report/provider/CARE/SC431192","Ofsted Social Care Provider Webpage")</f>
        <v>Ofsted Social Care Provider Webpage</v>
      </c>
      <c r="B3042" s="55" t="s">
        <v>5638</v>
      </c>
      <c r="D3042" s="55" t="s">
        <v>373</v>
      </c>
      <c r="E3042" s="74">
        <v>40750</v>
      </c>
      <c r="F3042" s="55" t="s">
        <v>344</v>
      </c>
      <c r="G3042" s="55" t="s">
        <v>360</v>
      </c>
      <c r="H3042" s="55" t="s">
        <v>360</v>
      </c>
      <c r="I3042" s="55" t="s">
        <v>360</v>
      </c>
      <c r="J3042" s="55" t="s">
        <v>360</v>
      </c>
      <c r="K3042" s="55" t="s">
        <v>360</v>
      </c>
      <c r="L3042" s="55" t="s">
        <v>360</v>
      </c>
      <c r="M3042" s="55" t="s">
        <v>144</v>
      </c>
      <c r="N3042" s="55" t="s">
        <v>144</v>
      </c>
      <c r="O3042" s="55" t="s">
        <v>250</v>
      </c>
      <c r="P3042" s="55" t="s">
        <v>361</v>
      </c>
      <c r="Q3042" s="55" t="s">
        <v>350</v>
      </c>
      <c r="R3042" s="85">
        <v>4</v>
      </c>
      <c r="S3042" s="55">
        <v>0</v>
      </c>
      <c r="T3042" s="74" t="s">
        <v>1296</v>
      </c>
      <c r="U3042" s="74" t="s">
        <v>351</v>
      </c>
      <c r="V3042" s="74">
        <v>44412</v>
      </c>
      <c r="W3042" s="74">
        <v>44468</v>
      </c>
      <c r="X3042" s="55">
        <v>10186630</v>
      </c>
      <c r="Y3042" s="55" t="s">
        <v>132</v>
      </c>
      <c r="AB3042" s="74" t="s">
        <v>132</v>
      </c>
      <c r="AC3042" s="55" t="s">
        <v>132</v>
      </c>
      <c r="AL3042" s="74"/>
      <c r="AM3042" s="74"/>
    </row>
    <row r="3043" spans="1:50" ht="13" x14ac:dyDescent="0.15">
      <c r="A3043" s="55" t="str">
        <f>HYPERLINK("http://reports.ofsted.gov.uk/inspection-reports/find-inspection-report/provider/CARE/SC431228","Ofsted Social Care Provider Webpage")</f>
        <v>Ofsted Social Care Provider Webpage</v>
      </c>
      <c r="B3043" s="55" t="s">
        <v>5639</v>
      </c>
      <c r="D3043" s="55" t="s">
        <v>373</v>
      </c>
      <c r="E3043" s="74">
        <v>40787</v>
      </c>
      <c r="F3043" s="55" t="s">
        <v>344</v>
      </c>
      <c r="G3043" s="55" t="s">
        <v>360</v>
      </c>
      <c r="H3043" s="55" t="s">
        <v>360</v>
      </c>
      <c r="I3043" s="55" t="s">
        <v>360</v>
      </c>
      <c r="J3043" s="55" t="s">
        <v>360</v>
      </c>
      <c r="K3043" s="55" t="s">
        <v>360</v>
      </c>
      <c r="L3043" s="55" t="s">
        <v>360</v>
      </c>
      <c r="M3043" s="55" t="s">
        <v>138</v>
      </c>
      <c r="N3043" s="55" t="s">
        <v>138</v>
      </c>
      <c r="O3043" s="55" t="s">
        <v>224</v>
      </c>
      <c r="P3043" s="55" t="s">
        <v>374</v>
      </c>
      <c r="Q3043" s="55" t="s">
        <v>350</v>
      </c>
      <c r="R3043" s="85">
        <v>6</v>
      </c>
      <c r="S3043" s="55">
        <v>0</v>
      </c>
      <c r="T3043" s="74" t="s">
        <v>375</v>
      </c>
      <c r="U3043" s="74" t="s">
        <v>351</v>
      </c>
      <c r="V3043" s="74">
        <v>44355</v>
      </c>
      <c r="W3043" s="74">
        <v>44382</v>
      </c>
      <c r="X3043" s="55">
        <v>10186514</v>
      </c>
      <c r="Y3043" s="55" t="s">
        <v>132</v>
      </c>
      <c r="AB3043" s="74" t="s">
        <v>132</v>
      </c>
      <c r="AC3043" s="55" t="s">
        <v>132</v>
      </c>
      <c r="AL3043" s="74"/>
      <c r="AM3043" s="74"/>
    </row>
    <row r="3044" spans="1:50" ht="13" x14ac:dyDescent="0.15">
      <c r="A3044" s="55" t="str">
        <f>HYPERLINK("http://reports.ofsted.gov.uk/inspection-reports/find-inspection-report/provider/CARE/SC431315","Ofsted Social Care Provider Webpage")</f>
        <v>Ofsted Social Care Provider Webpage</v>
      </c>
      <c r="B3044" s="55" t="s">
        <v>5640</v>
      </c>
      <c r="D3044" s="55" t="s">
        <v>373</v>
      </c>
      <c r="E3044" s="74">
        <v>40694</v>
      </c>
      <c r="F3044" s="55" t="s">
        <v>344</v>
      </c>
      <c r="G3044" s="55" t="s">
        <v>360</v>
      </c>
      <c r="H3044" s="55" t="s">
        <v>360</v>
      </c>
      <c r="I3044" s="55" t="s">
        <v>360</v>
      </c>
      <c r="J3044" s="55" t="s">
        <v>360</v>
      </c>
      <c r="K3044" s="55" t="s">
        <v>360</v>
      </c>
      <c r="L3044" s="55" t="s">
        <v>360</v>
      </c>
      <c r="M3044" s="55" t="s">
        <v>142</v>
      </c>
      <c r="N3044" s="55" t="s">
        <v>142</v>
      </c>
      <c r="O3044" s="55" t="s">
        <v>262</v>
      </c>
      <c r="P3044" s="55" t="s">
        <v>488</v>
      </c>
      <c r="Q3044" s="55" t="s">
        <v>350</v>
      </c>
      <c r="R3044" s="85">
        <v>2</v>
      </c>
      <c r="S3044" s="55">
        <v>0</v>
      </c>
      <c r="T3044" s="74" t="s">
        <v>1430</v>
      </c>
      <c r="U3044" s="74" t="s">
        <v>351</v>
      </c>
      <c r="V3044" s="74">
        <v>44572</v>
      </c>
      <c r="W3044" s="74">
        <v>44620</v>
      </c>
      <c r="X3044" s="55">
        <v>10186440</v>
      </c>
      <c r="Y3044" s="55" t="s">
        <v>130</v>
      </c>
      <c r="AB3044" s="74" t="s">
        <v>130</v>
      </c>
      <c r="AC3044" s="55" t="s">
        <v>146</v>
      </c>
      <c r="AL3044" s="74"/>
      <c r="AM3044" s="74"/>
    </row>
    <row r="3045" spans="1:50" ht="13" x14ac:dyDescent="0.15">
      <c r="A3045" s="55" t="str">
        <f>HYPERLINK("http://reports.ofsted.gov.uk/inspection-reports/find-inspection-report/provider/CARE/SC431696","Ofsted Social Care Provider Webpage")</f>
        <v>Ofsted Social Care Provider Webpage</v>
      </c>
      <c r="B3045" s="55" t="s">
        <v>5641</v>
      </c>
      <c r="D3045" s="55" t="s">
        <v>373</v>
      </c>
      <c r="E3045" s="74">
        <v>40704</v>
      </c>
      <c r="F3045" s="55" t="s">
        <v>344</v>
      </c>
      <c r="G3045" s="55" t="s">
        <v>360</v>
      </c>
      <c r="H3045" s="55" t="s">
        <v>360</v>
      </c>
      <c r="I3045" s="55" t="s">
        <v>360</v>
      </c>
      <c r="J3045" s="55" t="s">
        <v>360</v>
      </c>
      <c r="K3045" s="55" t="s">
        <v>360</v>
      </c>
      <c r="L3045" s="55" t="s">
        <v>360</v>
      </c>
      <c r="M3045" s="55" t="s">
        <v>378</v>
      </c>
      <c r="N3045" s="55" t="s">
        <v>134</v>
      </c>
      <c r="O3045" s="55" t="s">
        <v>151</v>
      </c>
      <c r="P3045" s="55" t="s">
        <v>862</v>
      </c>
      <c r="Q3045" s="55" t="s">
        <v>380</v>
      </c>
      <c r="R3045" s="85">
        <v>10</v>
      </c>
      <c r="S3045" s="55" t="s">
        <v>332</v>
      </c>
      <c r="T3045" s="74" t="s">
        <v>1220</v>
      </c>
      <c r="U3045" s="74" t="s">
        <v>351</v>
      </c>
      <c r="V3045" s="74">
        <v>44418</v>
      </c>
      <c r="W3045" s="74">
        <v>44449</v>
      </c>
      <c r="X3045" s="55">
        <v>10187477</v>
      </c>
      <c r="Y3045" s="55" t="s">
        <v>130</v>
      </c>
      <c r="AB3045" s="74" t="s">
        <v>130</v>
      </c>
      <c r="AC3045" s="55" t="s">
        <v>130</v>
      </c>
      <c r="AL3045" s="74"/>
      <c r="AM3045" s="74"/>
    </row>
    <row r="3046" spans="1:50" ht="13" x14ac:dyDescent="0.15">
      <c r="A3046" s="55" t="str">
        <f>HYPERLINK("http://reports.ofsted.gov.uk/inspection-reports/find-inspection-report/provider/CARE/SC431696","Ofsted Social Care Provider Webpage")</f>
        <v>Ofsted Social Care Provider Webpage</v>
      </c>
      <c r="B3046" s="55" t="s">
        <v>5641</v>
      </c>
      <c r="D3046" s="55" t="s">
        <v>373</v>
      </c>
      <c r="E3046" s="74">
        <v>40704</v>
      </c>
      <c r="F3046" s="55" t="s">
        <v>344</v>
      </c>
      <c r="G3046" s="55" t="s">
        <v>360</v>
      </c>
      <c r="H3046" s="55" t="s">
        <v>360</v>
      </c>
      <c r="I3046" s="55" t="s">
        <v>360</v>
      </c>
      <c r="J3046" s="55" t="s">
        <v>360</v>
      </c>
      <c r="K3046" s="55" t="s">
        <v>360</v>
      </c>
      <c r="L3046" s="55" t="s">
        <v>360</v>
      </c>
      <c r="M3046" s="55" t="s">
        <v>378</v>
      </c>
      <c r="N3046" s="55" t="s">
        <v>134</v>
      </c>
      <c r="O3046" s="55" t="s">
        <v>151</v>
      </c>
      <c r="P3046" s="55" t="s">
        <v>862</v>
      </c>
      <c r="Q3046" s="55" t="s">
        <v>380</v>
      </c>
      <c r="R3046" s="85">
        <v>10</v>
      </c>
      <c r="S3046" s="55" t="s">
        <v>332</v>
      </c>
      <c r="T3046" s="74" t="s">
        <v>1220</v>
      </c>
      <c r="U3046" s="74" t="s">
        <v>6703</v>
      </c>
      <c r="V3046" s="74">
        <v>44592</v>
      </c>
      <c r="W3046" s="74">
        <v>44623</v>
      </c>
      <c r="X3046" s="55">
        <v>10212756</v>
      </c>
      <c r="Y3046" s="55" t="s">
        <v>6705</v>
      </c>
      <c r="AL3046" s="74"/>
      <c r="AM3046" s="74"/>
      <c r="AW3046" s="74"/>
      <c r="AX3046" s="74"/>
    </row>
    <row r="3047" spans="1:50" ht="13" x14ac:dyDescent="0.15">
      <c r="A3047" s="55" t="str">
        <f>HYPERLINK("http://reports.ofsted.gov.uk/inspection-reports/find-inspection-report/provider/CARE/SC431699","Ofsted Social Care Provider Webpage")</f>
        <v>Ofsted Social Care Provider Webpage</v>
      </c>
      <c r="B3047" s="55" t="s">
        <v>5642</v>
      </c>
      <c r="D3047" s="55" t="s">
        <v>373</v>
      </c>
      <c r="E3047" s="74">
        <v>40757</v>
      </c>
      <c r="F3047" s="55" t="s">
        <v>344</v>
      </c>
      <c r="G3047" s="55" t="s">
        <v>360</v>
      </c>
      <c r="H3047" s="55" t="s">
        <v>360</v>
      </c>
      <c r="I3047" s="55" t="s">
        <v>360</v>
      </c>
      <c r="J3047" s="55" t="s">
        <v>360</v>
      </c>
      <c r="K3047" s="55" t="s">
        <v>360</v>
      </c>
      <c r="L3047" s="55" t="s">
        <v>360</v>
      </c>
      <c r="M3047" s="55" t="s">
        <v>172</v>
      </c>
      <c r="N3047" s="55" t="s">
        <v>172</v>
      </c>
      <c r="O3047" s="55" t="s">
        <v>234</v>
      </c>
      <c r="P3047" s="55" t="s">
        <v>965</v>
      </c>
      <c r="Q3047" s="55" t="s">
        <v>350</v>
      </c>
      <c r="R3047" s="85">
        <v>3</v>
      </c>
      <c r="S3047" s="55">
        <v>0</v>
      </c>
      <c r="T3047" s="74" t="s">
        <v>5246</v>
      </c>
      <c r="U3047" s="74" t="s">
        <v>351</v>
      </c>
      <c r="V3047" s="74">
        <v>44466</v>
      </c>
      <c r="W3047" s="74">
        <v>44498</v>
      </c>
      <c r="X3047" s="55">
        <v>10187049</v>
      </c>
      <c r="Y3047" s="55" t="s">
        <v>130</v>
      </c>
      <c r="AB3047" s="74" t="s">
        <v>130</v>
      </c>
      <c r="AC3047" s="55" t="s">
        <v>130</v>
      </c>
      <c r="AL3047" s="74"/>
      <c r="AM3047" s="74"/>
      <c r="AW3047" s="74"/>
      <c r="AX3047" s="74"/>
    </row>
    <row r="3048" spans="1:50" ht="13" x14ac:dyDescent="0.15">
      <c r="A3048" s="55" t="str">
        <f>HYPERLINK("http://reports.ofsted.gov.uk/inspection-reports/find-inspection-report/provider/CARE/SC431799","Ofsted Social Care Provider Webpage")</f>
        <v>Ofsted Social Care Provider Webpage</v>
      </c>
      <c r="B3048" s="55" t="s">
        <v>5643</v>
      </c>
      <c r="D3048" s="55" t="s">
        <v>373</v>
      </c>
      <c r="E3048" s="74">
        <v>40752</v>
      </c>
      <c r="F3048" s="55" t="s">
        <v>344</v>
      </c>
      <c r="G3048" s="55" t="s">
        <v>360</v>
      </c>
      <c r="H3048" s="55" t="s">
        <v>360</v>
      </c>
      <c r="I3048" s="55" t="s">
        <v>360</v>
      </c>
      <c r="J3048" s="55" t="s">
        <v>360</v>
      </c>
      <c r="K3048" s="55" t="s">
        <v>360</v>
      </c>
      <c r="L3048" s="55" t="s">
        <v>360</v>
      </c>
      <c r="M3048" s="55" t="s">
        <v>150</v>
      </c>
      <c r="N3048" s="55" t="s">
        <v>150</v>
      </c>
      <c r="O3048" s="55" t="s">
        <v>149</v>
      </c>
      <c r="P3048" s="55" t="s">
        <v>3548</v>
      </c>
      <c r="Q3048" s="55" t="s">
        <v>350</v>
      </c>
      <c r="R3048" s="85">
        <v>4</v>
      </c>
      <c r="S3048" s="55">
        <v>0</v>
      </c>
      <c r="T3048" s="74" t="s">
        <v>5644</v>
      </c>
      <c r="U3048" s="74" t="s">
        <v>351</v>
      </c>
      <c r="V3048" s="74">
        <v>44313</v>
      </c>
      <c r="W3048" s="74">
        <v>44342</v>
      </c>
      <c r="X3048" s="55">
        <v>10185903</v>
      </c>
      <c r="Y3048" s="55" t="s">
        <v>140</v>
      </c>
      <c r="AB3048" s="74" t="s">
        <v>140</v>
      </c>
      <c r="AC3048" s="55" t="s">
        <v>140</v>
      </c>
      <c r="AL3048" s="74"/>
      <c r="AM3048" s="74"/>
      <c r="AW3048" s="74"/>
      <c r="AX3048" s="74"/>
    </row>
    <row r="3049" spans="1:50" ht="13" x14ac:dyDescent="0.15">
      <c r="A3049" s="55" t="str">
        <f>HYPERLINK("http://reports.ofsted.gov.uk/inspection-reports/find-inspection-report/provider/CARE/SC431803","Ofsted Social Care Provider Webpage")</f>
        <v>Ofsted Social Care Provider Webpage</v>
      </c>
      <c r="B3049" s="55" t="s">
        <v>5645</v>
      </c>
      <c r="D3049" s="55" t="s">
        <v>373</v>
      </c>
      <c r="E3049" s="74">
        <v>40752</v>
      </c>
      <c r="F3049" s="55" t="s">
        <v>344</v>
      </c>
      <c r="G3049" s="55" t="s">
        <v>360</v>
      </c>
      <c r="H3049" s="55" t="s">
        <v>360</v>
      </c>
      <c r="I3049" s="55" t="s">
        <v>360</v>
      </c>
      <c r="J3049" s="55" t="s">
        <v>360</v>
      </c>
      <c r="K3049" s="55" t="s">
        <v>360</v>
      </c>
      <c r="L3049" s="55" t="s">
        <v>360</v>
      </c>
      <c r="M3049" s="55" t="s">
        <v>150</v>
      </c>
      <c r="N3049" s="55" t="s">
        <v>150</v>
      </c>
      <c r="O3049" s="55" t="s">
        <v>149</v>
      </c>
      <c r="P3049" s="55" t="s">
        <v>3548</v>
      </c>
      <c r="Q3049" s="55" t="s">
        <v>350</v>
      </c>
      <c r="R3049" s="85">
        <v>4</v>
      </c>
      <c r="S3049" s="55">
        <v>0</v>
      </c>
      <c r="T3049" s="74" t="s">
        <v>5644</v>
      </c>
      <c r="U3049" s="74" t="s">
        <v>351</v>
      </c>
      <c r="V3049" s="74">
        <v>44468</v>
      </c>
      <c r="W3049" s="74">
        <v>44511</v>
      </c>
      <c r="X3049" s="55">
        <v>10185999</v>
      </c>
      <c r="Y3049" s="55" t="s">
        <v>140</v>
      </c>
      <c r="AB3049" s="74" t="s">
        <v>140</v>
      </c>
      <c r="AC3049" s="55" t="s">
        <v>140</v>
      </c>
      <c r="AL3049" s="74"/>
      <c r="AM3049" s="74"/>
      <c r="AW3049" s="74"/>
      <c r="AX3049" s="74"/>
    </row>
    <row r="3050" spans="1:50" ht="13" x14ac:dyDescent="0.15">
      <c r="A3050" s="55" t="str">
        <f>HYPERLINK("http://reports.ofsted.gov.uk/inspection-reports/find-inspection-report/provider/CARE/SC431804","Ofsted Social Care Provider Webpage")</f>
        <v>Ofsted Social Care Provider Webpage</v>
      </c>
      <c r="B3050" s="55" t="s">
        <v>5646</v>
      </c>
      <c r="D3050" s="55" t="s">
        <v>373</v>
      </c>
      <c r="E3050" s="74">
        <v>40752</v>
      </c>
      <c r="F3050" s="55" t="s">
        <v>344</v>
      </c>
      <c r="G3050" s="55" t="s">
        <v>360</v>
      </c>
      <c r="H3050" s="55" t="s">
        <v>360</v>
      </c>
      <c r="I3050" s="55" t="s">
        <v>360</v>
      </c>
      <c r="J3050" s="55" t="s">
        <v>360</v>
      </c>
      <c r="K3050" s="55" t="s">
        <v>360</v>
      </c>
      <c r="L3050" s="55" t="s">
        <v>360</v>
      </c>
      <c r="M3050" s="55" t="s">
        <v>150</v>
      </c>
      <c r="N3050" s="55" t="s">
        <v>150</v>
      </c>
      <c r="O3050" s="55" t="s">
        <v>149</v>
      </c>
      <c r="P3050" s="55" t="s">
        <v>3548</v>
      </c>
      <c r="Q3050" s="55" t="s">
        <v>350</v>
      </c>
      <c r="R3050" s="85">
        <v>4</v>
      </c>
      <c r="S3050" s="55">
        <v>0</v>
      </c>
      <c r="T3050" s="74" t="s">
        <v>5644</v>
      </c>
      <c r="U3050" s="74" t="s">
        <v>351</v>
      </c>
      <c r="V3050" s="74">
        <v>44327</v>
      </c>
      <c r="W3050" s="74">
        <v>44382</v>
      </c>
      <c r="X3050" s="55">
        <v>10186924</v>
      </c>
      <c r="Y3050" s="55" t="s">
        <v>140</v>
      </c>
      <c r="AB3050" s="74" t="s">
        <v>140</v>
      </c>
      <c r="AC3050" s="55" t="s">
        <v>140</v>
      </c>
      <c r="AL3050" s="74"/>
      <c r="AM3050" s="74"/>
    </row>
    <row r="3051" spans="1:50" ht="13" x14ac:dyDescent="0.15">
      <c r="A3051" s="55" t="str">
        <f>HYPERLINK("http://reports.ofsted.gov.uk/inspection-reports/find-inspection-report/provider/CARE/SC431806","Ofsted Social Care Provider Webpage")</f>
        <v>Ofsted Social Care Provider Webpage</v>
      </c>
      <c r="B3051" s="55" t="s">
        <v>5647</v>
      </c>
      <c r="D3051" s="55" t="s">
        <v>373</v>
      </c>
      <c r="E3051" s="74">
        <v>40752</v>
      </c>
      <c r="F3051" s="55" t="s">
        <v>344</v>
      </c>
      <c r="G3051" s="55" t="s">
        <v>360</v>
      </c>
      <c r="H3051" s="55" t="s">
        <v>360</v>
      </c>
      <c r="I3051" s="55" t="s">
        <v>360</v>
      </c>
      <c r="J3051" s="55" t="s">
        <v>360</v>
      </c>
      <c r="K3051" s="55" t="s">
        <v>360</v>
      </c>
      <c r="L3051" s="55" t="s">
        <v>360</v>
      </c>
      <c r="M3051" s="55" t="s">
        <v>150</v>
      </c>
      <c r="N3051" s="55" t="s">
        <v>150</v>
      </c>
      <c r="O3051" s="55" t="s">
        <v>149</v>
      </c>
      <c r="P3051" s="55" t="s">
        <v>3548</v>
      </c>
      <c r="Q3051" s="55" t="s">
        <v>350</v>
      </c>
      <c r="R3051" s="85">
        <v>4</v>
      </c>
      <c r="S3051" s="55">
        <v>0</v>
      </c>
      <c r="T3051" s="74" t="s">
        <v>5644</v>
      </c>
      <c r="U3051" s="74" t="s">
        <v>351</v>
      </c>
      <c r="V3051" s="74">
        <v>44355</v>
      </c>
      <c r="W3051" s="74">
        <v>44403</v>
      </c>
      <c r="X3051" s="55">
        <v>10186530</v>
      </c>
      <c r="Y3051" s="55" t="s">
        <v>140</v>
      </c>
      <c r="AB3051" s="74" t="s">
        <v>140</v>
      </c>
      <c r="AC3051" s="55" t="s">
        <v>140</v>
      </c>
      <c r="AL3051" s="74"/>
      <c r="AM3051" s="74"/>
      <c r="AW3051" s="74"/>
      <c r="AX3051" s="74"/>
    </row>
    <row r="3052" spans="1:50" ht="13" x14ac:dyDescent="0.15">
      <c r="A3052" s="55" t="str">
        <f>HYPERLINK("http://reports.ofsted.gov.uk/inspection-reports/find-inspection-report/provider/CARE/SC432331","Ofsted Social Care Provider Webpage")</f>
        <v>Ofsted Social Care Provider Webpage</v>
      </c>
      <c r="B3052" s="55" t="s">
        <v>5656</v>
      </c>
      <c r="D3052" s="55" t="s">
        <v>373</v>
      </c>
      <c r="E3052" s="74">
        <v>40780</v>
      </c>
      <c r="F3052" s="55" t="s">
        <v>344</v>
      </c>
      <c r="G3052" s="55" t="s">
        <v>360</v>
      </c>
      <c r="H3052" s="55" t="s">
        <v>360</v>
      </c>
      <c r="I3052" s="55" t="s">
        <v>360</v>
      </c>
      <c r="J3052" s="55" t="s">
        <v>360</v>
      </c>
      <c r="K3052" s="55" t="s">
        <v>360</v>
      </c>
      <c r="L3052" s="55" t="s">
        <v>360</v>
      </c>
      <c r="M3052" s="55" t="s">
        <v>138</v>
      </c>
      <c r="N3052" s="55" t="s">
        <v>138</v>
      </c>
      <c r="O3052" s="55" t="s">
        <v>196</v>
      </c>
      <c r="P3052" s="55" t="s">
        <v>5657</v>
      </c>
      <c r="Q3052" s="55" t="s">
        <v>362</v>
      </c>
      <c r="R3052" s="85">
        <v>8</v>
      </c>
      <c r="S3052" s="55" t="s">
        <v>332</v>
      </c>
      <c r="T3052" s="74" t="s">
        <v>367</v>
      </c>
      <c r="U3052" s="74" t="s">
        <v>351</v>
      </c>
      <c r="V3052" s="74">
        <v>44385</v>
      </c>
      <c r="W3052" s="74">
        <v>44413</v>
      </c>
      <c r="X3052" s="55">
        <v>10186955</v>
      </c>
      <c r="Y3052" s="55" t="s">
        <v>132</v>
      </c>
      <c r="AB3052" s="74" t="s">
        <v>132</v>
      </c>
      <c r="AC3052" s="55" t="s">
        <v>132</v>
      </c>
      <c r="AL3052" s="74"/>
      <c r="AM3052" s="74"/>
      <c r="AW3052" s="74"/>
      <c r="AX3052" s="74"/>
    </row>
    <row r="3053" spans="1:50" ht="13" x14ac:dyDescent="0.15">
      <c r="A3053" s="55" t="str">
        <f>HYPERLINK("http://reports.ofsted.gov.uk/inspection-reports/find-inspection-report/provider/CARE/SC432404","Ofsted Social Care Provider Webpage")</f>
        <v>Ofsted Social Care Provider Webpage</v>
      </c>
      <c r="B3053" s="55" t="s">
        <v>5658</v>
      </c>
      <c r="D3053" s="55" t="s">
        <v>373</v>
      </c>
      <c r="E3053" s="74">
        <v>40794</v>
      </c>
      <c r="F3053" s="55" t="s">
        <v>344</v>
      </c>
      <c r="G3053" s="55" t="s">
        <v>360</v>
      </c>
      <c r="H3053" s="55" t="s">
        <v>360</v>
      </c>
      <c r="I3053" s="55" t="s">
        <v>360</v>
      </c>
      <c r="J3053" s="55" t="s">
        <v>360</v>
      </c>
      <c r="K3053" s="55" t="s">
        <v>360</v>
      </c>
      <c r="L3053" s="55" t="s">
        <v>360</v>
      </c>
      <c r="M3053" s="55" t="s">
        <v>136</v>
      </c>
      <c r="N3053" s="55" t="s">
        <v>136</v>
      </c>
      <c r="O3053" s="55" t="s">
        <v>165</v>
      </c>
      <c r="P3053" s="55" t="s">
        <v>1269</v>
      </c>
      <c r="Q3053" s="55" t="s">
        <v>851</v>
      </c>
      <c r="R3053" s="85">
        <v>2</v>
      </c>
      <c r="S3053" s="55" t="s">
        <v>332</v>
      </c>
      <c r="T3053" s="74" t="s">
        <v>5613</v>
      </c>
      <c r="U3053" s="74" t="s">
        <v>351</v>
      </c>
      <c r="V3053" s="74">
        <v>44517</v>
      </c>
      <c r="W3053" s="74">
        <v>44566</v>
      </c>
      <c r="X3053" s="55">
        <v>10186865</v>
      </c>
      <c r="Y3053" s="55" t="s">
        <v>132</v>
      </c>
      <c r="AB3053" s="74" t="s">
        <v>132</v>
      </c>
      <c r="AC3053" s="55" t="s">
        <v>132</v>
      </c>
      <c r="AL3053" s="74"/>
      <c r="AM3053" s="74"/>
    </row>
    <row r="3054" spans="1:50" ht="13" x14ac:dyDescent="0.15">
      <c r="A3054" s="55" t="str">
        <f>HYPERLINK("http://reports.ofsted.gov.uk/inspection-reports/find-inspection-report/provider/CARE/SC432741","Ofsted Social Care Provider Webpage")</f>
        <v>Ofsted Social Care Provider Webpage</v>
      </c>
      <c r="B3054" s="55" t="s">
        <v>5659</v>
      </c>
      <c r="D3054" s="55" t="s">
        <v>373</v>
      </c>
      <c r="E3054" s="74">
        <v>40816</v>
      </c>
      <c r="F3054" s="55" t="s">
        <v>344</v>
      </c>
      <c r="G3054" s="55" t="s">
        <v>360</v>
      </c>
      <c r="H3054" s="55" t="s">
        <v>360</v>
      </c>
      <c r="I3054" s="55" t="s">
        <v>360</v>
      </c>
      <c r="J3054" s="55" t="s">
        <v>360</v>
      </c>
      <c r="K3054" s="55" t="s">
        <v>360</v>
      </c>
      <c r="L3054" s="55" t="s">
        <v>360</v>
      </c>
      <c r="M3054" s="55" t="s">
        <v>144</v>
      </c>
      <c r="N3054" s="55" t="s">
        <v>144</v>
      </c>
      <c r="O3054" s="55" t="s">
        <v>209</v>
      </c>
      <c r="P3054" s="55" t="s">
        <v>364</v>
      </c>
      <c r="Q3054" s="55" t="s">
        <v>350</v>
      </c>
      <c r="R3054" s="85">
        <v>5</v>
      </c>
      <c r="S3054" s="55">
        <v>0</v>
      </c>
      <c r="T3054" s="74" t="s">
        <v>1279</v>
      </c>
      <c r="U3054" s="74" t="s">
        <v>351</v>
      </c>
      <c r="V3054" s="74">
        <v>44461</v>
      </c>
      <c r="W3054" s="74">
        <v>44495</v>
      </c>
      <c r="X3054" s="55">
        <v>10186063</v>
      </c>
      <c r="Y3054" s="55" t="s">
        <v>130</v>
      </c>
      <c r="AB3054" s="74" t="s">
        <v>130</v>
      </c>
      <c r="AC3054" s="55" t="s">
        <v>130</v>
      </c>
      <c r="AL3054" s="74"/>
      <c r="AM3054" s="74"/>
    </row>
    <row r="3055" spans="1:50" ht="13" x14ac:dyDescent="0.15">
      <c r="A3055" s="55" t="str">
        <f>HYPERLINK("http://reports.ofsted.gov.uk/inspection-reports/find-inspection-report/provider/CARE/SC432843","Ofsted Social Care Provider Webpage")</f>
        <v>Ofsted Social Care Provider Webpage</v>
      </c>
      <c r="B3055" s="55" t="s">
        <v>5660</v>
      </c>
      <c r="D3055" s="55" t="s">
        <v>373</v>
      </c>
      <c r="E3055" s="74">
        <v>40956</v>
      </c>
      <c r="F3055" s="55" t="s">
        <v>344</v>
      </c>
      <c r="G3055" s="55" t="s">
        <v>360</v>
      </c>
      <c r="H3055" s="55" t="s">
        <v>360</v>
      </c>
      <c r="I3055" s="55" t="s">
        <v>360</v>
      </c>
      <c r="J3055" s="55" t="s">
        <v>360</v>
      </c>
      <c r="K3055" s="55" t="s">
        <v>360</v>
      </c>
      <c r="L3055" s="55" t="s">
        <v>360</v>
      </c>
      <c r="M3055" s="55" t="s">
        <v>378</v>
      </c>
      <c r="N3055" s="55" t="s">
        <v>170</v>
      </c>
      <c r="O3055" s="55" t="s">
        <v>222</v>
      </c>
      <c r="P3055" s="55" t="s">
        <v>3131</v>
      </c>
      <c r="Q3055" s="55" t="s">
        <v>362</v>
      </c>
      <c r="R3055" s="85">
        <v>7</v>
      </c>
      <c r="S3055" s="55">
        <v>0</v>
      </c>
      <c r="T3055" s="74" t="s">
        <v>5661</v>
      </c>
      <c r="U3055" s="74" t="s">
        <v>351</v>
      </c>
      <c r="V3055" s="74">
        <v>44334</v>
      </c>
      <c r="W3055" s="74">
        <v>44368</v>
      </c>
      <c r="X3055" s="55">
        <v>10185433</v>
      </c>
      <c r="Y3055" s="55" t="s">
        <v>132</v>
      </c>
      <c r="AB3055" s="74" t="s">
        <v>132</v>
      </c>
      <c r="AC3055" s="55" t="s">
        <v>132</v>
      </c>
      <c r="AL3055" s="74"/>
      <c r="AM3055" s="74"/>
    </row>
    <row r="3056" spans="1:50" ht="13" x14ac:dyDescent="0.15">
      <c r="A3056" s="55" t="str">
        <f>HYPERLINK("http://reports.ofsted.gov.uk/inspection-reports/find-inspection-report/provider/CARE/SC432966","Ofsted Social Care Provider Webpage")</f>
        <v>Ofsted Social Care Provider Webpage</v>
      </c>
      <c r="B3056" s="55" t="s">
        <v>5662</v>
      </c>
      <c r="D3056" s="55" t="s">
        <v>373</v>
      </c>
      <c r="E3056" s="74">
        <v>40751</v>
      </c>
      <c r="F3056" s="55" t="s">
        <v>344</v>
      </c>
      <c r="G3056" s="55" t="s">
        <v>360</v>
      </c>
      <c r="H3056" s="55" t="s">
        <v>360</v>
      </c>
      <c r="I3056" s="55" t="s">
        <v>360</v>
      </c>
      <c r="J3056" s="55" t="s">
        <v>360</v>
      </c>
      <c r="K3056" s="55" t="s">
        <v>360</v>
      </c>
      <c r="L3056" s="55" t="s">
        <v>360</v>
      </c>
      <c r="M3056" s="55" t="s">
        <v>142</v>
      </c>
      <c r="N3056" s="55" t="s">
        <v>142</v>
      </c>
      <c r="O3056" s="55" t="s">
        <v>141</v>
      </c>
      <c r="P3056" s="55" t="s">
        <v>2048</v>
      </c>
      <c r="Q3056" s="55" t="s">
        <v>350</v>
      </c>
      <c r="R3056" s="85">
        <v>4</v>
      </c>
      <c r="S3056" s="55">
        <v>0</v>
      </c>
      <c r="T3056" s="74" t="s">
        <v>1261</v>
      </c>
      <c r="U3056" s="74" t="s">
        <v>351</v>
      </c>
      <c r="V3056" s="74">
        <v>44482</v>
      </c>
      <c r="W3056" s="74">
        <v>44512</v>
      </c>
      <c r="X3056" s="55">
        <v>10185255</v>
      </c>
      <c r="Y3056" s="55" t="s">
        <v>132</v>
      </c>
      <c r="AB3056" s="74" t="s">
        <v>132</v>
      </c>
      <c r="AC3056" s="55" t="s">
        <v>132</v>
      </c>
      <c r="AL3056" s="74"/>
      <c r="AM3056" s="74"/>
    </row>
    <row r="3057" spans="1:50" ht="13" x14ac:dyDescent="0.15">
      <c r="A3057" s="55" t="str">
        <f>HYPERLINK("http://reports.ofsted.gov.uk/inspection-reports/find-inspection-report/provider/CARE/SC433286","Ofsted Social Care Provider Webpage")</f>
        <v>Ofsted Social Care Provider Webpage</v>
      </c>
      <c r="B3057" s="55" t="s">
        <v>5663</v>
      </c>
      <c r="D3057" s="55" t="s">
        <v>373</v>
      </c>
      <c r="E3057" s="74">
        <v>40765</v>
      </c>
      <c r="F3057" s="55" t="s">
        <v>344</v>
      </c>
      <c r="G3057" s="55" t="s">
        <v>360</v>
      </c>
      <c r="H3057" s="55" t="s">
        <v>360</v>
      </c>
      <c r="I3057" s="55" t="s">
        <v>360</v>
      </c>
      <c r="J3057" s="55" t="s">
        <v>360</v>
      </c>
      <c r="K3057" s="55" t="s">
        <v>360</v>
      </c>
      <c r="L3057" s="55" t="s">
        <v>360</v>
      </c>
      <c r="M3057" s="55" t="s">
        <v>136</v>
      </c>
      <c r="N3057" s="55" t="s">
        <v>136</v>
      </c>
      <c r="O3057" s="55" t="s">
        <v>174</v>
      </c>
      <c r="P3057" s="55" t="s">
        <v>857</v>
      </c>
      <c r="Q3057" s="55" t="s">
        <v>350</v>
      </c>
      <c r="R3057" s="85">
        <v>3</v>
      </c>
      <c r="S3057" s="55">
        <v>0</v>
      </c>
      <c r="T3057" s="74" t="s">
        <v>900</v>
      </c>
      <c r="U3057" s="74" t="s">
        <v>351</v>
      </c>
      <c r="V3057" s="74">
        <v>44453</v>
      </c>
      <c r="W3057" s="74">
        <v>44494</v>
      </c>
      <c r="X3057" s="55">
        <v>10185832</v>
      </c>
      <c r="Y3057" s="55" t="s">
        <v>140</v>
      </c>
      <c r="AB3057" s="74" t="s">
        <v>140</v>
      </c>
      <c r="AC3057" s="55" t="s">
        <v>140</v>
      </c>
      <c r="AL3057" s="74"/>
      <c r="AM3057" s="74"/>
    </row>
    <row r="3058" spans="1:50" ht="13" x14ac:dyDescent="0.15">
      <c r="A3058" s="55" t="str">
        <f>HYPERLINK("http://reports.ofsted.gov.uk/inspection-reports/find-inspection-report/provider/CARE/SC433430","Ofsted Social Care Provider Webpage")</f>
        <v>Ofsted Social Care Provider Webpage</v>
      </c>
      <c r="B3058" s="55" t="s">
        <v>5664</v>
      </c>
      <c r="D3058" s="55" t="s">
        <v>373</v>
      </c>
      <c r="E3058" s="74">
        <v>40745</v>
      </c>
      <c r="F3058" s="55" t="s">
        <v>344</v>
      </c>
      <c r="G3058" s="55" t="s">
        <v>360</v>
      </c>
      <c r="H3058" s="55" t="s">
        <v>360</v>
      </c>
      <c r="I3058" s="55" t="s">
        <v>360</v>
      </c>
      <c r="J3058" s="55" t="s">
        <v>360</v>
      </c>
      <c r="K3058" s="55" t="s">
        <v>360</v>
      </c>
      <c r="L3058" s="55" t="s">
        <v>360</v>
      </c>
      <c r="M3058" s="55" t="s">
        <v>172</v>
      </c>
      <c r="N3058" s="55" t="s">
        <v>172</v>
      </c>
      <c r="O3058" s="55" t="s">
        <v>173</v>
      </c>
      <c r="P3058" s="55" t="s">
        <v>1540</v>
      </c>
      <c r="Q3058" s="55" t="s">
        <v>350</v>
      </c>
      <c r="R3058" s="85">
        <v>4</v>
      </c>
      <c r="S3058" s="55">
        <v>0</v>
      </c>
      <c r="T3058" s="74" t="s">
        <v>517</v>
      </c>
      <c r="U3058" s="74" t="s">
        <v>351</v>
      </c>
      <c r="V3058" s="74">
        <v>44440</v>
      </c>
      <c r="W3058" s="74">
        <v>44476</v>
      </c>
      <c r="X3058" s="55">
        <v>10187323</v>
      </c>
      <c r="Y3058" s="55" t="s">
        <v>132</v>
      </c>
      <c r="AB3058" s="74" t="s">
        <v>132</v>
      </c>
      <c r="AC3058" s="55" t="s">
        <v>132</v>
      </c>
      <c r="AL3058" s="74"/>
      <c r="AM3058" s="74"/>
      <c r="AW3058" s="74"/>
      <c r="AX3058" s="74"/>
    </row>
    <row r="3059" spans="1:50" ht="13" x14ac:dyDescent="0.15">
      <c r="A3059" s="55" t="str">
        <f>HYPERLINK("http://reports.ofsted.gov.uk/inspection-reports/find-inspection-report/provider/CARE/SC433451","Ofsted Social Care Provider Webpage")</f>
        <v>Ofsted Social Care Provider Webpage</v>
      </c>
      <c r="B3059" s="55" t="s">
        <v>5665</v>
      </c>
      <c r="D3059" s="55" t="s">
        <v>373</v>
      </c>
      <c r="E3059" s="74">
        <v>40791</v>
      </c>
      <c r="F3059" s="55" t="s">
        <v>344</v>
      </c>
      <c r="G3059" s="55" t="s">
        <v>360</v>
      </c>
      <c r="H3059" s="55" t="s">
        <v>360</v>
      </c>
      <c r="I3059" s="55" t="s">
        <v>360</v>
      </c>
      <c r="J3059" s="55" t="s">
        <v>360</v>
      </c>
      <c r="K3059" s="55" t="s">
        <v>360</v>
      </c>
      <c r="L3059" s="55" t="s">
        <v>360</v>
      </c>
      <c r="M3059" s="55" t="s">
        <v>378</v>
      </c>
      <c r="N3059" s="55" t="s">
        <v>170</v>
      </c>
      <c r="O3059" s="55" t="s">
        <v>267</v>
      </c>
      <c r="P3059" s="55" t="s">
        <v>477</v>
      </c>
      <c r="Q3059" s="55" t="s">
        <v>362</v>
      </c>
      <c r="R3059" s="85">
        <v>6</v>
      </c>
      <c r="S3059" s="55">
        <v>0</v>
      </c>
      <c r="T3059" s="74" t="s">
        <v>3132</v>
      </c>
      <c r="U3059" s="74" t="s">
        <v>351</v>
      </c>
      <c r="V3059" s="74">
        <v>44474</v>
      </c>
      <c r="W3059" s="74">
        <v>44516</v>
      </c>
      <c r="X3059" s="55">
        <v>10185183</v>
      </c>
      <c r="Y3059" s="55" t="s">
        <v>132</v>
      </c>
      <c r="AB3059" s="74" t="s">
        <v>132</v>
      </c>
      <c r="AC3059" s="55" t="s">
        <v>140</v>
      </c>
      <c r="AL3059" s="74"/>
      <c r="AM3059" s="74"/>
    </row>
    <row r="3060" spans="1:50" ht="13" x14ac:dyDescent="0.15">
      <c r="A3060" s="55" t="str">
        <f>HYPERLINK("http://reports.ofsted.gov.uk/inspection-reports/find-inspection-report/provider/CARE/SC434223","Ofsted Social Care Provider Webpage")</f>
        <v>Ofsted Social Care Provider Webpage</v>
      </c>
      <c r="B3060" s="55" t="s">
        <v>5666</v>
      </c>
      <c r="D3060" s="55" t="s">
        <v>373</v>
      </c>
      <c r="E3060" s="74">
        <v>40777</v>
      </c>
      <c r="F3060" s="55" t="s">
        <v>344</v>
      </c>
      <c r="G3060" s="55" t="s">
        <v>360</v>
      </c>
      <c r="H3060" s="55" t="s">
        <v>360</v>
      </c>
      <c r="I3060" s="55" t="s">
        <v>360</v>
      </c>
      <c r="J3060" s="55" t="s">
        <v>360</v>
      </c>
      <c r="K3060" s="55" t="s">
        <v>360</v>
      </c>
      <c r="L3060" s="55" t="s">
        <v>360</v>
      </c>
      <c r="M3060" s="55" t="s">
        <v>142</v>
      </c>
      <c r="N3060" s="55" t="s">
        <v>142</v>
      </c>
      <c r="O3060" s="55" t="s">
        <v>293</v>
      </c>
      <c r="P3060" s="55" t="s">
        <v>1136</v>
      </c>
      <c r="Q3060" s="55" t="s">
        <v>350</v>
      </c>
      <c r="R3060" s="85">
        <v>2</v>
      </c>
      <c r="S3060" s="55">
        <v>0</v>
      </c>
      <c r="T3060" s="74" t="s">
        <v>1281</v>
      </c>
      <c r="U3060" s="74" t="s">
        <v>351</v>
      </c>
      <c r="V3060" s="74">
        <v>44404</v>
      </c>
      <c r="W3060" s="74">
        <v>44446</v>
      </c>
      <c r="X3060" s="55">
        <v>10185725</v>
      </c>
      <c r="Y3060" s="55" t="s">
        <v>132</v>
      </c>
      <c r="AB3060" s="74" t="s">
        <v>132</v>
      </c>
      <c r="AC3060" s="55" t="s">
        <v>132</v>
      </c>
      <c r="AL3060" s="74"/>
      <c r="AM3060" s="74"/>
      <c r="AW3060" s="74"/>
      <c r="AX3060" s="74"/>
    </row>
    <row r="3061" spans="1:50" ht="13" x14ac:dyDescent="0.15">
      <c r="A3061" s="55" t="str">
        <f>HYPERLINK("http://reports.ofsted.gov.uk/inspection-reports/find-inspection-report/provider/CARE/SC434520","Ofsted Social Care Provider Webpage")</f>
        <v>Ofsted Social Care Provider Webpage</v>
      </c>
      <c r="B3061" s="55" t="s">
        <v>5668</v>
      </c>
      <c r="D3061" s="55" t="s">
        <v>373</v>
      </c>
      <c r="E3061" s="74">
        <v>40800</v>
      </c>
      <c r="F3061" s="55" t="s">
        <v>344</v>
      </c>
      <c r="G3061" s="55" t="s">
        <v>360</v>
      </c>
      <c r="H3061" s="55" t="s">
        <v>360</v>
      </c>
      <c r="I3061" s="55" t="s">
        <v>360</v>
      </c>
      <c r="J3061" s="55" t="s">
        <v>360</v>
      </c>
      <c r="K3061" s="55" t="s">
        <v>360</v>
      </c>
      <c r="L3061" s="55" t="s">
        <v>360</v>
      </c>
      <c r="M3061" s="55" t="s">
        <v>142</v>
      </c>
      <c r="N3061" s="55" t="s">
        <v>142</v>
      </c>
      <c r="O3061" s="55" t="s">
        <v>262</v>
      </c>
      <c r="P3061" s="55" t="s">
        <v>916</v>
      </c>
      <c r="Q3061" s="55" t="s">
        <v>350</v>
      </c>
      <c r="R3061" s="85">
        <v>4</v>
      </c>
      <c r="S3061" s="55">
        <v>0</v>
      </c>
      <c r="T3061" s="74" t="s">
        <v>5406</v>
      </c>
      <c r="U3061" s="74" t="s">
        <v>351</v>
      </c>
      <c r="V3061" s="74">
        <v>44630</v>
      </c>
      <c r="W3061" s="74">
        <v>44679</v>
      </c>
      <c r="X3061" s="55">
        <v>10187030</v>
      </c>
      <c r="Y3061" s="55" t="s">
        <v>132</v>
      </c>
      <c r="AB3061" s="74" t="s">
        <v>132</v>
      </c>
      <c r="AC3061" s="55" t="s">
        <v>132</v>
      </c>
      <c r="AL3061" s="74"/>
      <c r="AM3061" s="74"/>
    </row>
    <row r="3062" spans="1:50" ht="13" x14ac:dyDescent="0.15">
      <c r="A3062" s="55" t="str">
        <f>HYPERLINK("http://reports.ofsted.gov.uk/inspection-reports/find-inspection-report/provider/CARE/SC434806","Ofsted Social Care Provider Webpage")</f>
        <v>Ofsted Social Care Provider Webpage</v>
      </c>
      <c r="B3062" s="55" t="s">
        <v>5671</v>
      </c>
      <c r="D3062" s="55" t="s">
        <v>373</v>
      </c>
      <c r="E3062" s="74">
        <v>40801</v>
      </c>
      <c r="F3062" s="55" t="s">
        <v>344</v>
      </c>
      <c r="G3062" s="55" t="s">
        <v>360</v>
      </c>
      <c r="H3062" s="55" t="s">
        <v>360</v>
      </c>
      <c r="I3062" s="55" t="s">
        <v>360</v>
      </c>
      <c r="J3062" s="55" t="s">
        <v>360</v>
      </c>
      <c r="K3062" s="55" t="s">
        <v>360</v>
      </c>
      <c r="L3062" s="55" t="s">
        <v>360</v>
      </c>
      <c r="M3062" s="55" t="s">
        <v>172</v>
      </c>
      <c r="N3062" s="55" t="s">
        <v>172</v>
      </c>
      <c r="O3062" s="55" t="s">
        <v>212</v>
      </c>
      <c r="P3062" s="55" t="s">
        <v>842</v>
      </c>
      <c r="Q3062" s="55" t="s">
        <v>350</v>
      </c>
      <c r="R3062" s="85">
        <v>3</v>
      </c>
      <c r="S3062" s="55">
        <v>0</v>
      </c>
      <c r="T3062" s="74" t="s">
        <v>385</v>
      </c>
      <c r="U3062" s="74" t="s">
        <v>351</v>
      </c>
      <c r="V3062" s="74">
        <v>44460</v>
      </c>
      <c r="W3062" s="74">
        <v>44488</v>
      </c>
      <c r="X3062" s="55">
        <v>10185706</v>
      </c>
      <c r="Y3062" s="55" t="s">
        <v>132</v>
      </c>
      <c r="AB3062" s="74" t="s">
        <v>132</v>
      </c>
      <c r="AC3062" s="55" t="s">
        <v>140</v>
      </c>
      <c r="AL3062" s="74"/>
      <c r="AM3062" s="74"/>
      <c r="AW3062" s="74"/>
      <c r="AX3062" s="74"/>
    </row>
    <row r="3063" spans="1:50" ht="13" x14ac:dyDescent="0.15">
      <c r="A3063" s="55" t="str">
        <f>HYPERLINK("http://reports.ofsted.gov.uk/inspection-reports/find-inspection-report/provider/CARE/SC435152","Ofsted Social Care Provider Webpage")</f>
        <v>Ofsted Social Care Provider Webpage</v>
      </c>
      <c r="B3063" s="55" t="s">
        <v>5677</v>
      </c>
      <c r="D3063" s="55" t="s">
        <v>373</v>
      </c>
      <c r="E3063" s="74">
        <v>41234</v>
      </c>
      <c r="F3063" s="55" t="s">
        <v>344</v>
      </c>
      <c r="G3063" s="55" t="s">
        <v>360</v>
      </c>
      <c r="H3063" s="55" t="s">
        <v>360</v>
      </c>
      <c r="I3063" s="55" t="s">
        <v>360</v>
      </c>
      <c r="J3063" s="55" t="s">
        <v>360</v>
      </c>
      <c r="K3063" s="55" t="s">
        <v>360</v>
      </c>
      <c r="L3063" s="55" t="s">
        <v>360</v>
      </c>
      <c r="M3063" s="55" t="s">
        <v>150</v>
      </c>
      <c r="N3063" s="55" t="s">
        <v>150</v>
      </c>
      <c r="O3063" s="55" t="s">
        <v>203</v>
      </c>
      <c r="P3063" s="55" t="s">
        <v>419</v>
      </c>
      <c r="Q3063" s="55" t="s">
        <v>362</v>
      </c>
      <c r="R3063" s="85">
        <v>6</v>
      </c>
      <c r="S3063" s="55" t="s">
        <v>332</v>
      </c>
      <c r="T3063" s="74" t="s">
        <v>5678</v>
      </c>
      <c r="U3063" s="74" t="s">
        <v>351</v>
      </c>
      <c r="V3063" s="74">
        <v>44334</v>
      </c>
      <c r="W3063" s="74">
        <v>44386</v>
      </c>
      <c r="X3063" s="55">
        <v>10187184</v>
      </c>
      <c r="Y3063" s="55" t="s">
        <v>132</v>
      </c>
      <c r="AB3063" s="74" t="s">
        <v>130</v>
      </c>
      <c r="AC3063" s="55" t="s">
        <v>132</v>
      </c>
      <c r="AL3063" s="74"/>
      <c r="AM3063" s="74"/>
      <c r="AW3063" s="74"/>
      <c r="AX3063" s="74"/>
    </row>
    <row r="3064" spans="1:50" ht="13" x14ac:dyDescent="0.15">
      <c r="A3064" s="55" t="str">
        <f>HYPERLINK("http://reports.ofsted.gov.uk/inspection-reports/find-inspection-report/provider/CARE/SC435322","Ofsted Social Care Provider Webpage")</f>
        <v>Ofsted Social Care Provider Webpage</v>
      </c>
      <c r="B3064" s="55" t="s">
        <v>5679</v>
      </c>
      <c r="D3064" s="55" t="s">
        <v>479</v>
      </c>
      <c r="E3064" s="74">
        <v>40801</v>
      </c>
      <c r="F3064" s="55" t="s">
        <v>344</v>
      </c>
      <c r="G3064" s="55" t="s">
        <v>360</v>
      </c>
      <c r="H3064" s="55" t="s">
        <v>360</v>
      </c>
      <c r="I3064" s="55" t="s">
        <v>360</v>
      </c>
      <c r="J3064" s="55" t="s">
        <v>360</v>
      </c>
      <c r="K3064" s="55" t="s">
        <v>360</v>
      </c>
      <c r="L3064" s="55" t="s">
        <v>360</v>
      </c>
      <c r="M3064" s="55" t="s">
        <v>138</v>
      </c>
      <c r="N3064" s="55" t="s">
        <v>138</v>
      </c>
      <c r="O3064" s="55" t="s">
        <v>224</v>
      </c>
      <c r="P3064" s="55" t="s">
        <v>374</v>
      </c>
      <c r="Q3064" s="55" t="s">
        <v>350</v>
      </c>
      <c r="R3064" s="85">
        <v>14</v>
      </c>
      <c r="S3064" s="55">
        <v>0</v>
      </c>
      <c r="T3064" s="74" t="s">
        <v>2161</v>
      </c>
      <c r="U3064" s="74" t="s">
        <v>6703</v>
      </c>
      <c r="V3064" s="74">
        <v>44571</v>
      </c>
      <c r="W3064" s="74">
        <v>44593</v>
      </c>
      <c r="X3064" s="55">
        <v>10210194</v>
      </c>
      <c r="Y3064" s="55" t="s">
        <v>6705</v>
      </c>
      <c r="AL3064" s="74"/>
      <c r="AM3064" s="74"/>
      <c r="AW3064" s="74"/>
      <c r="AX3064" s="74"/>
    </row>
    <row r="3065" spans="1:50" ht="13" x14ac:dyDescent="0.15">
      <c r="A3065" s="55" t="str">
        <f>HYPERLINK("http://reports.ofsted.gov.uk/inspection-reports/find-inspection-report/provider/CARE/SC435322","Ofsted Social Care Provider Webpage")</f>
        <v>Ofsted Social Care Provider Webpage</v>
      </c>
      <c r="B3065" s="55" t="s">
        <v>5679</v>
      </c>
      <c r="D3065" s="55" t="s">
        <v>479</v>
      </c>
      <c r="E3065" s="74">
        <v>40801</v>
      </c>
      <c r="F3065" s="55" t="s">
        <v>344</v>
      </c>
      <c r="G3065" s="55" t="s">
        <v>360</v>
      </c>
      <c r="H3065" s="55" t="s">
        <v>360</v>
      </c>
      <c r="I3065" s="55" t="s">
        <v>360</v>
      </c>
      <c r="J3065" s="55" t="s">
        <v>360</v>
      </c>
      <c r="K3065" s="55" t="s">
        <v>360</v>
      </c>
      <c r="L3065" s="55" t="s">
        <v>360</v>
      </c>
      <c r="M3065" s="55" t="s">
        <v>138</v>
      </c>
      <c r="N3065" s="55" t="s">
        <v>138</v>
      </c>
      <c r="O3065" s="55" t="s">
        <v>224</v>
      </c>
      <c r="P3065" s="55" t="s">
        <v>374</v>
      </c>
      <c r="Q3065" s="55" t="s">
        <v>350</v>
      </c>
      <c r="R3065" s="85">
        <v>14</v>
      </c>
      <c r="S3065" s="55">
        <v>0</v>
      </c>
      <c r="T3065" s="74" t="s">
        <v>2161</v>
      </c>
      <c r="U3065" s="74" t="s">
        <v>351</v>
      </c>
      <c r="V3065" s="74">
        <v>44467</v>
      </c>
      <c r="W3065" s="74">
        <v>44525</v>
      </c>
      <c r="X3065" s="55">
        <v>10185067</v>
      </c>
      <c r="Y3065" s="55" t="s">
        <v>130</v>
      </c>
      <c r="AB3065" s="74" t="s">
        <v>130</v>
      </c>
      <c r="AC3065" s="55" t="s">
        <v>130</v>
      </c>
      <c r="AL3065" s="74"/>
      <c r="AM3065" s="74"/>
      <c r="AW3065" s="74"/>
      <c r="AX3065" s="74"/>
    </row>
    <row r="3066" spans="1:50" ht="13" x14ac:dyDescent="0.15">
      <c r="A3066" s="55" t="str">
        <f>HYPERLINK("http://reports.ofsted.gov.uk/inspection-reports/find-inspection-report/provider/CARE/SC436372","Ofsted Social Care Provider Webpage")</f>
        <v>Ofsted Social Care Provider Webpage</v>
      </c>
      <c r="B3066" s="55" t="s">
        <v>5686</v>
      </c>
      <c r="D3066" s="55" t="s">
        <v>373</v>
      </c>
      <c r="E3066" s="74">
        <v>40840</v>
      </c>
      <c r="F3066" s="55" t="s">
        <v>344</v>
      </c>
      <c r="G3066" s="55" t="s">
        <v>360</v>
      </c>
      <c r="H3066" s="55" t="s">
        <v>360</v>
      </c>
      <c r="I3066" s="55" t="s">
        <v>360</v>
      </c>
      <c r="J3066" s="55" t="s">
        <v>360</v>
      </c>
      <c r="K3066" s="55" t="s">
        <v>360</v>
      </c>
      <c r="L3066" s="55" t="s">
        <v>360</v>
      </c>
      <c r="M3066" s="55" t="s">
        <v>172</v>
      </c>
      <c r="N3066" s="55" t="s">
        <v>172</v>
      </c>
      <c r="O3066" s="55" t="s">
        <v>212</v>
      </c>
      <c r="P3066" s="55" t="s">
        <v>714</v>
      </c>
      <c r="Q3066" s="55" t="s">
        <v>350</v>
      </c>
      <c r="R3066" s="85">
        <v>6</v>
      </c>
      <c r="S3066" s="55">
        <v>0</v>
      </c>
      <c r="T3066" s="74" t="s">
        <v>385</v>
      </c>
      <c r="U3066" s="74" t="s">
        <v>351</v>
      </c>
      <c r="V3066" s="74">
        <v>44313</v>
      </c>
      <c r="W3066" s="74">
        <v>44356</v>
      </c>
      <c r="X3066" s="55">
        <v>10185323</v>
      </c>
      <c r="Y3066" s="55" t="s">
        <v>130</v>
      </c>
      <c r="AB3066" s="74" t="s">
        <v>130</v>
      </c>
      <c r="AC3066" s="55" t="s">
        <v>130</v>
      </c>
      <c r="AL3066" s="74"/>
      <c r="AM3066" s="74"/>
      <c r="AW3066" s="74"/>
      <c r="AX3066" s="74"/>
    </row>
    <row r="3067" spans="1:50" ht="13" x14ac:dyDescent="0.15">
      <c r="A3067" s="55" t="str">
        <f>HYPERLINK("http://reports.ofsted.gov.uk/inspection-reports/find-inspection-report/provider/CARE/SC436386","Ofsted Social Care Provider Webpage")</f>
        <v>Ofsted Social Care Provider Webpage</v>
      </c>
      <c r="B3067" s="55" t="s">
        <v>5687</v>
      </c>
      <c r="D3067" s="55" t="s">
        <v>373</v>
      </c>
      <c r="E3067" s="74">
        <v>40802</v>
      </c>
      <c r="F3067" s="55" t="s">
        <v>344</v>
      </c>
      <c r="G3067" s="55" t="s">
        <v>360</v>
      </c>
      <c r="H3067" s="55" t="s">
        <v>360</v>
      </c>
      <c r="I3067" s="55" t="s">
        <v>360</v>
      </c>
      <c r="J3067" s="55" t="s">
        <v>360</v>
      </c>
      <c r="K3067" s="55" t="s">
        <v>360</v>
      </c>
      <c r="L3067" s="55" t="s">
        <v>360</v>
      </c>
      <c r="M3067" s="55" t="s">
        <v>172</v>
      </c>
      <c r="N3067" s="55" t="s">
        <v>172</v>
      </c>
      <c r="O3067" s="55" t="s">
        <v>214</v>
      </c>
      <c r="P3067" s="55" t="s">
        <v>1345</v>
      </c>
      <c r="Q3067" s="55" t="s">
        <v>350</v>
      </c>
      <c r="R3067" s="85">
        <v>6</v>
      </c>
      <c r="S3067" s="55">
        <v>0</v>
      </c>
      <c r="T3067" s="74" t="s">
        <v>5688</v>
      </c>
      <c r="U3067" s="74" t="s">
        <v>351</v>
      </c>
      <c r="V3067" s="74">
        <v>44636</v>
      </c>
      <c r="W3067" s="74">
        <v>44679</v>
      </c>
      <c r="X3067" s="55">
        <v>10187072</v>
      </c>
      <c r="Y3067" s="55" t="s">
        <v>132</v>
      </c>
      <c r="AB3067" s="74" t="s">
        <v>132</v>
      </c>
      <c r="AC3067" s="55" t="s">
        <v>132</v>
      </c>
      <c r="AL3067" s="74"/>
      <c r="AM3067" s="74"/>
      <c r="AW3067" s="74"/>
      <c r="AX3067" s="74"/>
    </row>
    <row r="3068" spans="1:50" ht="13" x14ac:dyDescent="0.15">
      <c r="A3068" s="55" t="str">
        <f>HYPERLINK("http://reports.ofsted.gov.uk/inspection-reports/find-inspection-report/provider/CARE/SC436469","Ofsted Social Care Provider Webpage")</f>
        <v>Ofsted Social Care Provider Webpage</v>
      </c>
      <c r="B3068" s="55" t="s">
        <v>5689</v>
      </c>
      <c r="D3068" s="55" t="s">
        <v>373</v>
      </c>
      <c r="E3068" s="74">
        <v>40822</v>
      </c>
      <c r="F3068" s="55" t="s">
        <v>344</v>
      </c>
      <c r="G3068" s="55" t="s">
        <v>360</v>
      </c>
      <c r="H3068" s="55" t="s">
        <v>360</v>
      </c>
      <c r="I3068" s="55" t="s">
        <v>360</v>
      </c>
      <c r="J3068" s="55" t="s">
        <v>360</v>
      </c>
      <c r="K3068" s="55" t="s">
        <v>360</v>
      </c>
      <c r="L3068" s="55" t="s">
        <v>360</v>
      </c>
      <c r="M3068" s="55" t="s">
        <v>172</v>
      </c>
      <c r="N3068" s="55" t="s">
        <v>172</v>
      </c>
      <c r="O3068" s="55" t="s">
        <v>173</v>
      </c>
      <c r="P3068" s="55" t="s">
        <v>1305</v>
      </c>
      <c r="Q3068" s="55" t="s">
        <v>350</v>
      </c>
      <c r="R3068" s="85">
        <v>3</v>
      </c>
      <c r="S3068" s="55">
        <v>0</v>
      </c>
      <c r="T3068" s="74" t="s">
        <v>861</v>
      </c>
      <c r="U3068" s="74" t="s">
        <v>351</v>
      </c>
      <c r="V3068" s="74">
        <v>44607</v>
      </c>
      <c r="W3068" s="74">
        <v>44650</v>
      </c>
      <c r="X3068" s="55">
        <v>10185606</v>
      </c>
      <c r="Y3068" s="55" t="s">
        <v>132</v>
      </c>
      <c r="AB3068" s="74" t="s">
        <v>132</v>
      </c>
      <c r="AC3068" s="55" t="s">
        <v>132</v>
      </c>
      <c r="AL3068" s="74"/>
      <c r="AM3068" s="74"/>
      <c r="AW3068" s="74"/>
      <c r="AX3068" s="74"/>
    </row>
    <row r="3069" spans="1:50" ht="13" x14ac:dyDescent="0.15">
      <c r="A3069" s="55" t="str">
        <f>HYPERLINK("http://reports.ofsted.gov.uk/inspection-reports/find-inspection-report/provider/CARE/SC436559","Ofsted Social Care Provider Webpage")</f>
        <v>Ofsted Social Care Provider Webpage</v>
      </c>
      <c r="B3069" s="55" t="s">
        <v>5690</v>
      </c>
      <c r="D3069" s="55" t="s">
        <v>373</v>
      </c>
      <c r="E3069" s="74">
        <v>40941</v>
      </c>
      <c r="F3069" s="55" t="s">
        <v>344</v>
      </c>
      <c r="G3069" s="55" t="s">
        <v>360</v>
      </c>
      <c r="H3069" s="55" t="s">
        <v>360</v>
      </c>
      <c r="I3069" s="55" t="s">
        <v>360</v>
      </c>
      <c r="J3069" s="55" t="s">
        <v>360</v>
      </c>
      <c r="K3069" s="55" t="s">
        <v>360</v>
      </c>
      <c r="L3069" s="55" t="s">
        <v>360</v>
      </c>
      <c r="M3069" s="55" t="s">
        <v>144</v>
      </c>
      <c r="N3069" s="55" t="s">
        <v>144</v>
      </c>
      <c r="O3069" s="55" t="s">
        <v>263</v>
      </c>
      <c r="P3069" s="55" t="s">
        <v>1211</v>
      </c>
      <c r="Q3069" s="55" t="s">
        <v>350</v>
      </c>
      <c r="R3069" s="85">
        <v>5</v>
      </c>
      <c r="S3069" s="55">
        <v>0</v>
      </c>
      <c r="T3069" s="74" t="s">
        <v>2359</v>
      </c>
      <c r="U3069" s="74" t="s">
        <v>351</v>
      </c>
      <c r="V3069" s="74">
        <v>44419</v>
      </c>
      <c r="W3069" s="74">
        <v>44456</v>
      </c>
      <c r="X3069" s="55">
        <v>10185476</v>
      </c>
      <c r="Y3069" s="55" t="s">
        <v>132</v>
      </c>
      <c r="AB3069" s="74" t="s">
        <v>132</v>
      </c>
      <c r="AC3069" s="55" t="s">
        <v>132</v>
      </c>
      <c r="AL3069" s="74"/>
      <c r="AM3069" s="74"/>
      <c r="AW3069" s="74"/>
      <c r="AX3069" s="74"/>
    </row>
    <row r="3070" spans="1:50" ht="13" x14ac:dyDescent="0.15">
      <c r="A3070" s="55" t="str">
        <f>HYPERLINK("http://reports.ofsted.gov.uk/inspection-reports/find-inspection-report/provider/CARE/SC436559","Ofsted Social Care Provider Webpage")</f>
        <v>Ofsted Social Care Provider Webpage</v>
      </c>
      <c r="B3070" s="55" t="s">
        <v>5690</v>
      </c>
      <c r="D3070" s="55" t="s">
        <v>373</v>
      </c>
      <c r="E3070" s="74">
        <v>40941</v>
      </c>
      <c r="F3070" s="55" t="s">
        <v>344</v>
      </c>
      <c r="G3070" s="55" t="s">
        <v>360</v>
      </c>
      <c r="H3070" s="55" t="s">
        <v>360</v>
      </c>
      <c r="I3070" s="55" t="s">
        <v>360</v>
      </c>
      <c r="J3070" s="55" t="s">
        <v>360</v>
      </c>
      <c r="K3070" s="55" t="s">
        <v>360</v>
      </c>
      <c r="L3070" s="55" t="s">
        <v>360</v>
      </c>
      <c r="M3070" s="55" t="s">
        <v>144</v>
      </c>
      <c r="N3070" s="55" t="s">
        <v>144</v>
      </c>
      <c r="O3070" s="55" t="s">
        <v>263</v>
      </c>
      <c r="P3070" s="55" t="s">
        <v>1211</v>
      </c>
      <c r="Q3070" s="55" t="s">
        <v>350</v>
      </c>
      <c r="R3070" s="85">
        <v>5</v>
      </c>
      <c r="S3070" s="55">
        <v>0</v>
      </c>
      <c r="T3070" s="74" t="s">
        <v>2359</v>
      </c>
      <c r="U3070" s="74" t="s">
        <v>2053</v>
      </c>
      <c r="V3070" s="74">
        <v>44314</v>
      </c>
      <c r="W3070" s="74">
        <v>44340</v>
      </c>
      <c r="X3070" s="55">
        <v>10193909</v>
      </c>
      <c r="AL3070" s="74"/>
      <c r="AM3070" s="74"/>
    </row>
    <row r="3071" spans="1:50" ht="13" x14ac:dyDescent="0.15">
      <c r="A3071" s="55" t="str">
        <f>HYPERLINK("http://reports.ofsted.gov.uk/inspection-reports/find-inspection-report/provider/CARE/SC436818","Ofsted Social Care Provider Webpage")</f>
        <v>Ofsted Social Care Provider Webpage</v>
      </c>
      <c r="B3071" s="55" t="s">
        <v>5691</v>
      </c>
      <c r="D3071" s="55" t="s">
        <v>373</v>
      </c>
      <c r="E3071" s="74">
        <v>40959</v>
      </c>
      <c r="F3071" s="55" t="s">
        <v>344</v>
      </c>
      <c r="G3071" s="55" t="s">
        <v>360</v>
      </c>
      <c r="H3071" s="55" t="s">
        <v>360</v>
      </c>
      <c r="I3071" s="55" t="s">
        <v>360</v>
      </c>
      <c r="J3071" s="55" t="s">
        <v>360</v>
      </c>
      <c r="K3071" s="55" t="s">
        <v>360</v>
      </c>
      <c r="L3071" s="55" t="s">
        <v>360</v>
      </c>
      <c r="M3071" s="55" t="s">
        <v>172</v>
      </c>
      <c r="N3071" s="55" t="s">
        <v>172</v>
      </c>
      <c r="O3071" s="55" t="s">
        <v>234</v>
      </c>
      <c r="P3071" s="55" t="s">
        <v>369</v>
      </c>
      <c r="Q3071" s="55" t="s">
        <v>350</v>
      </c>
      <c r="R3071" s="85">
        <v>3</v>
      </c>
      <c r="S3071" s="55">
        <v>0</v>
      </c>
      <c r="T3071" s="74" t="s">
        <v>5692</v>
      </c>
      <c r="U3071" s="74" t="s">
        <v>351</v>
      </c>
      <c r="V3071" s="74">
        <v>44566</v>
      </c>
      <c r="W3071" s="74">
        <v>44599</v>
      </c>
      <c r="X3071" s="55">
        <v>10185310</v>
      </c>
      <c r="Y3071" s="55" t="s">
        <v>132</v>
      </c>
      <c r="AB3071" s="74" t="s">
        <v>132</v>
      </c>
      <c r="AC3071" s="55" t="s">
        <v>132</v>
      </c>
      <c r="AL3071" s="74"/>
      <c r="AM3071" s="74"/>
    </row>
    <row r="3072" spans="1:50" ht="13" x14ac:dyDescent="0.15">
      <c r="A3072" s="55" t="str">
        <f>HYPERLINK("http://reports.ofsted.gov.uk/inspection-reports/find-inspection-report/provider/CARE/SC436826","Ofsted Social Care Provider Webpage")</f>
        <v>Ofsted Social Care Provider Webpage</v>
      </c>
      <c r="B3072" s="55" t="s">
        <v>6758</v>
      </c>
      <c r="D3072" s="55" t="s">
        <v>373</v>
      </c>
      <c r="E3072" s="74">
        <v>40884</v>
      </c>
      <c r="F3072" s="55" t="s">
        <v>6707</v>
      </c>
      <c r="G3072" s="55" t="s">
        <v>360</v>
      </c>
      <c r="H3072" s="55" t="s">
        <v>360</v>
      </c>
      <c r="I3072" s="55" t="s">
        <v>360</v>
      </c>
      <c r="J3072" s="55" t="s">
        <v>360</v>
      </c>
      <c r="K3072" s="55" t="s">
        <v>360</v>
      </c>
      <c r="L3072" s="55" t="s">
        <v>360</v>
      </c>
      <c r="M3072" s="55" t="s">
        <v>144</v>
      </c>
      <c r="N3072" s="55" t="s">
        <v>144</v>
      </c>
      <c r="O3072" s="55" t="s">
        <v>168</v>
      </c>
      <c r="P3072" s="55" t="s">
        <v>2110</v>
      </c>
      <c r="Q3072" s="55" t="s">
        <v>350</v>
      </c>
      <c r="R3072" s="85">
        <v>4</v>
      </c>
      <c r="S3072" s="55">
        <v>0</v>
      </c>
      <c r="T3072" s="74" t="s">
        <v>2111</v>
      </c>
      <c r="U3072" s="74" t="s">
        <v>351</v>
      </c>
      <c r="V3072" s="74">
        <v>44384</v>
      </c>
      <c r="W3072" s="74">
        <v>44419</v>
      </c>
      <c r="X3072" s="55">
        <v>10185057</v>
      </c>
      <c r="Y3072" s="55" t="s">
        <v>132</v>
      </c>
      <c r="AB3072" s="74" t="s">
        <v>132</v>
      </c>
      <c r="AC3072" s="55" t="s">
        <v>132</v>
      </c>
      <c r="AL3072" s="74"/>
      <c r="AM3072" s="74"/>
      <c r="AW3072" s="74"/>
      <c r="AX3072" s="74"/>
    </row>
    <row r="3073" spans="1:50" ht="13" x14ac:dyDescent="0.15">
      <c r="A3073" s="55" t="str">
        <f>HYPERLINK("http://reports.ofsted.gov.uk/inspection-reports/find-inspection-report/provider/CARE/SC437069","Ofsted Social Care Provider Webpage")</f>
        <v>Ofsted Social Care Provider Webpage</v>
      </c>
      <c r="B3073" s="55" t="s">
        <v>5693</v>
      </c>
      <c r="D3073" s="55" t="s">
        <v>373</v>
      </c>
      <c r="E3073" s="74">
        <v>40856</v>
      </c>
      <c r="F3073" s="55" t="s">
        <v>344</v>
      </c>
      <c r="G3073" s="55" t="s">
        <v>360</v>
      </c>
      <c r="H3073" s="55" t="s">
        <v>360</v>
      </c>
      <c r="I3073" s="55" t="s">
        <v>360</v>
      </c>
      <c r="J3073" s="55" t="s">
        <v>360</v>
      </c>
      <c r="K3073" s="55" t="s">
        <v>360</v>
      </c>
      <c r="L3073" s="55" t="s">
        <v>360</v>
      </c>
      <c r="M3073" s="55" t="s">
        <v>172</v>
      </c>
      <c r="N3073" s="55" t="s">
        <v>172</v>
      </c>
      <c r="O3073" s="55" t="s">
        <v>173</v>
      </c>
      <c r="P3073" s="55" t="s">
        <v>860</v>
      </c>
      <c r="Q3073" s="55" t="s">
        <v>380</v>
      </c>
      <c r="R3073" s="85">
        <v>6</v>
      </c>
      <c r="S3073" s="55" t="s">
        <v>332</v>
      </c>
      <c r="T3073" s="74" t="s">
        <v>1431</v>
      </c>
      <c r="U3073" s="74" t="s">
        <v>351</v>
      </c>
      <c r="V3073" s="74">
        <v>44481</v>
      </c>
      <c r="W3073" s="74">
        <v>44515</v>
      </c>
      <c r="X3073" s="55">
        <v>10187251</v>
      </c>
      <c r="Y3073" s="55" t="s">
        <v>132</v>
      </c>
      <c r="AB3073" s="74" t="s">
        <v>132</v>
      </c>
      <c r="AC3073" s="55" t="s">
        <v>132</v>
      </c>
      <c r="AL3073" s="74"/>
      <c r="AM3073" s="74"/>
      <c r="AW3073" s="74"/>
      <c r="AX3073" s="74"/>
    </row>
    <row r="3074" spans="1:50" ht="13" x14ac:dyDescent="0.15">
      <c r="A3074" s="55" t="str">
        <f>HYPERLINK("http://reports.ofsted.gov.uk/inspection-reports/find-inspection-report/provider/CARE/SC437128","Ofsted Social Care Provider Webpage")</f>
        <v>Ofsted Social Care Provider Webpage</v>
      </c>
      <c r="B3074" s="55" t="s">
        <v>5694</v>
      </c>
      <c r="D3074" s="55" t="s">
        <v>373</v>
      </c>
      <c r="E3074" s="74">
        <v>40833</v>
      </c>
      <c r="F3074" s="55" t="s">
        <v>344</v>
      </c>
      <c r="G3074" s="55" t="s">
        <v>360</v>
      </c>
      <c r="H3074" s="55" t="s">
        <v>360</v>
      </c>
      <c r="I3074" s="55" t="s">
        <v>360</v>
      </c>
      <c r="J3074" s="55" t="s">
        <v>360</v>
      </c>
      <c r="K3074" s="55" t="s">
        <v>360</v>
      </c>
      <c r="L3074" s="55" t="s">
        <v>360</v>
      </c>
      <c r="M3074" s="55" t="s">
        <v>142</v>
      </c>
      <c r="N3074" s="55" t="s">
        <v>142</v>
      </c>
      <c r="O3074" s="55" t="s">
        <v>262</v>
      </c>
      <c r="P3074" s="55" t="s">
        <v>916</v>
      </c>
      <c r="Q3074" s="55" t="s">
        <v>350</v>
      </c>
      <c r="R3074" s="85">
        <v>3</v>
      </c>
      <c r="S3074" s="55">
        <v>0</v>
      </c>
      <c r="T3074" s="74" t="s">
        <v>1253</v>
      </c>
      <c r="U3074" s="74" t="s">
        <v>351</v>
      </c>
      <c r="V3074" s="74">
        <v>44363</v>
      </c>
      <c r="W3074" s="74">
        <v>44393</v>
      </c>
      <c r="X3074" s="55">
        <v>10187256</v>
      </c>
      <c r="Y3074" s="55" t="s">
        <v>132</v>
      </c>
      <c r="AB3074" s="74" t="s">
        <v>132</v>
      </c>
      <c r="AC3074" s="55" t="s">
        <v>132</v>
      </c>
      <c r="AL3074" s="74"/>
      <c r="AM3074" s="74"/>
      <c r="AW3074" s="74"/>
      <c r="AX3074" s="74"/>
    </row>
    <row r="3075" spans="1:50" ht="13" x14ac:dyDescent="0.15">
      <c r="A3075" s="55" t="str">
        <f>HYPERLINK("http://reports.ofsted.gov.uk/inspection-reports/find-inspection-report/provider/CARE/SC437171","Ofsted Social Care Provider Webpage")</f>
        <v>Ofsted Social Care Provider Webpage</v>
      </c>
      <c r="B3075" s="55" t="s">
        <v>5695</v>
      </c>
      <c r="D3075" s="55" t="s">
        <v>373</v>
      </c>
      <c r="E3075" s="74">
        <v>40814</v>
      </c>
      <c r="F3075" s="55" t="s">
        <v>344</v>
      </c>
      <c r="G3075" s="55" t="s">
        <v>360</v>
      </c>
      <c r="H3075" s="55" t="s">
        <v>360</v>
      </c>
      <c r="I3075" s="55" t="s">
        <v>360</v>
      </c>
      <c r="J3075" s="55" t="s">
        <v>360</v>
      </c>
      <c r="K3075" s="55" t="s">
        <v>360</v>
      </c>
      <c r="L3075" s="55" t="s">
        <v>360</v>
      </c>
      <c r="M3075" s="55" t="s">
        <v>136</v>
      </c>
      <c r="N3075" s="55" t="s">
        <v>136</v>
      </c>
      <c r="O3075" s="55" t="s">
        <v>270</v>
      </c>
      <c r="P3075" s="55" t="s">
        <v>1752</v>
      </c>
      <c r="Q3075" s="55" t="s">
        <v>350</v>
      </c>
      <c r="R3075" s="85">
        <v>5</v>
      </c>
      <c r="S3075" s="55">
        <v>0</v>
      </c>
      <c r="T3075" s="74" t="s">
        <v>5696</v>
      </c>
      <c r="U3075" s="74" t="s">
        <v>351</v>
      </c>
      <c r="V3075" s="74">
        <v>44306</v>
      </c>
      <c r="W3075" s="74">
        <v>44340</v>
      </c>
      <c r="X3075" s="55">
        <v>10185388</v>
      </c>
      <c r="Y3075" s="55" t="s">
        <v>132</v>
      </c>
      <c r="AB3075" s="74" t="s">
        <v>130</v>
      </c>
      <c r="AC3075" s="55" t="s">
        <v>132</v>
      </c>
      <c r="AL3075" s="74"/>
      <c r="AM3075" s="74"/>
      <c r="AW3075" s="74"/>
      <c r="AX3075" s="74"/>
    </row>
    <row r="3076" spans="1:50" ht="13" x14ac:dyDescent="0.15">
      <c r="A3076" s="55" t="str">
        <f>HYPERLINK("http://reports.ofsted.gov.uk/inspection-reports/find-inspection-report/provider/CARE/SC437486","Ofsted Social Care Provider Webpage")</f>
        <v>Ofsted Social Care Provider Webpage</v>
      </c>
      <c r="B3076" s="55" t="s">
        <v>5698</v>
      </c>
      <c r="D3076" s="55" t="s">
        <v>373</v>
      </c>
      <c r="E3076" s="74">
        <v>40963</v>
      </c>
      <c r="F3076" s="55" t="s">
        <v>344</v>
      </c>
      <c r="G3076" s="55" t="s">
        <v>360</v>
      </c>
      <c r="H3076" s="55" t="s">
        <v>360</v>
      </c>
      <c r="I3076" s="55" t="s">
        <v>360</v>
      </c>
      <c r="J3076" s="55" t="s">
        <v>360</v>
      </c>
      <c r="K3076" s="55" t="s">
        <v>360</v>
      </c>
      <c r="L3076" s="55" t="s">
        <v>360</v>
      </c>
      <c r="M3076" s="55" t="s">
        <v>142</v>
      </c>
      <c r="N3076" s="55" t="s">
        <v>142</v>
      </c>
      <c r="O3076" s="55" t="s">
        <v>249</v>
      </c>
      <c r="P3076" s="55" t="s">
        <v>1406</v>
      </c>
      <c r="Q3076" s="55" t="s">
        <v>350</v>
      </c>
      <c r="R3076" s="85">
        <v>3</v>
      </c>
      <c r="S3076" s="55">
        <v>0</v>
      </c>
      <c r="T3076" s="74" t="s">
        <v>1164</v>
      </c>
      <c r="U3076" s="74" t="s">
        <v>2053</v>
      </c>
      <c r="V3076" s="74">
        <v>44609</v>
      </c>
      <c r="W3076" s="74">
        <v>44651</v>
      </c>
      <c r="X3076" s="55">
        <v>10219618</v>
      </c>
      <c r="Y3076" s="55" t="s">
        <v>130</v>
      </c>
      <c r="AL3076" s="74"/>
      <c r="AM3076" s="74"/>
      <c r="AW3076" s="74"/>
      <c r="AX3076" s="74"/>
    </row>
    <row r="3077" spans="1:50" ht="13" x14ac:dyDescent="0.15">
      <c r="A3077" s="55" t="str">
        <f>HYPERLINK("http://reports.ofsted.gov.uk/inspection-reports/find-inspection-report/provider/CARE/SC437486","Ofsted Social Care Provider Webpage")</f>
        <v>Ofsted Social Care Provider Webpage</v>
      </c>
      <c r="B3077" s="55" t="s">
        <v>5698</v>
      </c>
      <c r="D3077" s="55" t="s">
        <v>373</v>
      </c>
      <c r="E3077" s="74">
        <v>40963</v>
      </c>
      <c r="F3077" s="55" t="s">
        <v>344</v>
      </c>
      <c r="G3077" s="55" t="s">
        <v>360</v>
      </c>
      <c r="H3077" s="55" t="s">
        <v>360</v>
      </c>
      <c r="I3077" s="55" t="s">
        <v>360</v>
      </c>
      <c r="J3077" s="55" t="s">
        <v>360</v>
      </c>
      <c r="K3077" s="55" t="s">
        <v>360</v>
      </c>
      <c r="L3077" s="55" t="s">
        <v>360</v>
      </c>
      <c r="M3077" s="55" t="s">
        <v>142</v>
      </c>
      <c r="N3077" s="55" t="s">
        <v>142</v>
      </c>
      <c r="O3077" s="55" t="s">
        <v>249</v>
      </c>
      <c r="P3077" s="55" t="s">
        <v>1406</v>
      </c>
      <c r="Q3077" s="55" t="s">
        <v>350</v>
      </c>
      <c r="R3077" s="85">
        <v>3</v>
      </c>
      <c r="S3077" s="55">
        <v>0</v>
      </c>
      <c r="T3077" s="74" t="s">
        <v>1164</v>
      </c>
      <c r="U3077" s="74" t="s">
        <v>351</v>
      </c>
      <c r="V3077" s="74">
        <v>44571</v>
      </c>
      <c r="W3077" s="74">
        <v>44623</v>
      </c>
      <c r="X3077" s="55">
        <v>10186809</v>
      </c>
      <c r="Y3077" s="55" t="s">
        <v>146</v>
      </c>
      <c r="AB3077" s="74" t="s">
        <v>146</v>
      </c>
      <c r="AC3077" s="55" t="s">
        <v>146</v>
      </c>
      <c r="AL3077" s="74"/>
      <c r="AM3077" s="74"/>
      <c r="AW3077" s="74"/>
      <c r="AX3077" s="74"/>
    </row>
    <row r="3078" spans="1:50" ht="13" x14ac:dyDescent="0.15">
      <c r="A3078" s="55" t="str">
        <f>HYPERLINK("http://reports.ofsted.gov.uk/inspection-reports/find-inspection-report/provider/CARE/SC437645","Ofsted Social Care Provider Webpage")</f>
        <v>Ofsted Social Care Provider Webpage</v>
      </c>
      <c r="B3078" s="55" t="s">
        <v>5699</v>
      </c>
      <c r="D3078" s="55" t="s">
        <v>373</v>
      </c>
      <c r="E3078" s="74">
        <v>40947</v>
      </c>
      <c r="F3078" s="55" t="s">
        <v>344</v>
      </c>
      <c r="G3078" s="55" t="s">
        <v>360</v>
      </c>
      <c r="H3078" s="55" t="s">
        <v>360</v>
      </c>
      <c r="I3078" s="55" t="s">
        <v>360</v>
      </c>
      <c r="J3078" s="55" t="s">
        <v>360</v>
      </c>
      <c r="K3078" s="55" t="s">
        <v>360</v>
      </c>
      <c r="L3078" s="55" t="s">
        <v>360</v>
      </c>
      <c r="M3078" s="55" t="s">
        <v>378</v>
      </c>
      <c r="N3078" s="55" t="s">
        <v>134</v>
      </c>
      <c r="O3078" s="55" t="s">
        <v>210</v>
      </c>
      <c r="P3078" s="55" t="s">
        <v>1250</v>
      </c>
      <c r="Q3078" s="55" t="s">
        <v>350</v>
      </c>
      <c r="R3078" s="85">
        <v>4</v>
      </c>
      <c r="S3078" s="55">
        <v>0</v>
      </c>
      <c r="T3078" s="74" t="s">
        <v>1505</v>
      </c>
      <c r="U3078" s="74" t="s">
        <v>351</v>
      </c>
      <c r="V3078" s="74">
        <v>44510</v>
      </c>
      <c r="W3078" s="74">
        <v>44547</v>
      </c>
      <c r="X3078" s="55">
        <v>10186961</v>
      </c>
      <c r="Y3078" s="55" t="s">
        <v>132</v>
      </c>
      <c r="AB3078" s="74" t="s">
        <v>132</v>
      </c>
      <c r="AC3078" s="55" t="s">
        <v>132</v>
      </c>
      <c r="AL3078" s="74"/>
      <c r="AM3078" s="74"/>
      <c r="AW3078" s="74"/>
      <c r="AX3078" s="74"/>
    </row>
    <row r="3079" spans="1:50" ht="13" x14ac:dyDescent="0.15">
      <c r="A3079" s="55" t="str">
        <f>HYPERLINK("http://reports.ofsted.gov.uk/inspection-reports/find-inspection-report/provider/CARE/SC437825","Ofsted Social Care Provider Webpage")</f>
        <v>Ofsted Social Care Provider Webpage</v>
      </c>
      <c r="B3079" s="55" t="s">
        <v>5700</v>
      </c>
      <c r="D3079" s="55" t="s">
        <v>373</v>
      </c>
      <c r="E3079" s="74">
        <v>40911</v>
      </c>
      <c r="F3079" s="55" t="s">
        <v>344</v>
      </c>
      <c r="G3079" s="55" t="s">
        <v>360</v>
      </c>
      <c r="H3079" s="55" t="s">
        <v>360</v>
      </c>
      <c r="I3079" s="55" t="s">
        <v>360</v>
      </c>
      <c r="J3079" s="55" t="s">
        <v>360</v>
      </c>
      <c r="K3079" s="55" t="s">
        <v>360</v>
      </c>
      <c r="L3079" s="55" t="s">
        <v>360</v>
      </c>
      <c r="M3079" s="55" t="s">
        <v>172</v>
      </c>
      <c r="N3079" s="55" t="s">
        <v>172</v>
      </c>
      <c r="O3079" s="55" t="s">
        <v>212</v>
      </c>
      <c r="P3079" s="55" t="s">
        <v>514</v>
      </c>
      <c r="Q3079" s="55" t="s">
        <v>350</v>
      </c>
      <c r="R3079" s="85">
        <v>3</v>
      </c>
      <c r="S3079" s="55">
        <v>0</v>
      </c>
      <c r="T3079" s="74" t="s">
        <v>1424</v>
      </c>
      <c r="U3079" s="74" t="s">
        <v>351</v>
      </c>
      <c r="V3079" s="74">
        <v>44417</v>
      </c>
      <c r="W3079" s="74">
        <v>44446</v>
      </c>
      <c r="X3079" s="55">
        <v>10185921</v>
      </c>
      <c r="Y3079" s="55" t="s">
        <v>132</v>
      </c>
      <c r="AB3079" s="74" t="s">
        <v>132</v>
      </c>
      <c r="AC3079" s="55" t="s">
        <v>132</v>
      </c>
      <c r="AL3079" s="74"/>
      <c r="AM3079" s="74"/>
      <c r="AW3079" s="74"/>
      <c r="AX3079" s="74"/>
    </row>
    <row r="3080" spans="1:50" ht="13" x14ac:dyDescent="0.15">
      <c r="A3080" s="55" t="str">
        <f>HYPERLINK("http://reports.ofsted.gov.uk/inspection-reports/find-inspection-report/provider/CARE/SC438427","Ofsted Social Care Provider Webpage")</f>
        <v>Ofsted Social Care Provider Webpage</v>
      </c>
      <c r="B3080" s="55" t="s">
        <v>5707</v>
      </c>
      <c r="D3080" s="55" t="s">
        <v>373</v>
      </c>
      <c r="E3080" s="74">
        <v>40907</v>
      </c>
      <c r="F3080" s="55" t="s">
        <v>344</v>
      </c>
      <c r="G3080" s="55" t="s">
        <v>360</v>
      </c>
      <c r="H3080" s="55" t="s">
        <v>360</v>
      </c>
      <c r="I3080" s="55" t="s">
        <v>360</v>
      </c>
      <c r="J3080" s="55" t="s">
        <v>360</v>
      </c>
      <c r="K3080" s="55" t="s">
        <v>360</v>
      </c>
      <c r="L3080" s="55" t="s">
        <v>360</v>
      </c>
      <c r="M3080" s="55" t="s">
        <v>142</v>
      </c>
      <c r="N3080" s="55" t="s">
        <v>142</v>
      </c>
      <c r="O3080" s="55" t="s">
        <v>272</v>
      </c>
      <c r="P3080" s="55" t="s">
        <v>653</v>
      </c>
      <c r="Q3080" s="55" t="s">
        <v>350</v>
      </c>
      <c r="R3080" s="85">
        <v>2</v>
      </c>
      <c r="S3080" s="55">
        <v>0</v>
      </c>
      <c r="T3080" s="74" t="s">
        <v>5708</v>
      </c>
      <c r="U3080" s="74" t="s">
        <v>351</v>
      </c>
      <c r="V3080" s="74">
        <v>44566</v>
      </c>
      <c r="W3080" s="74">
        <v>44603</v>
      </c>
      <c r="X3080" s="55">
        <v>10187081</v>
      </c>
      <c r="Y3080" s="55" t="s">
        <v>132</v>
      </c>
      <c r="AB3080" s="74" t="s">
        <v>132</v>
      </c>
      <c r="AC3080" s="55" t="s">
        <v>132</v>
      </c>
      <c r="AL3080" s="74"/>
      <c r="AM3080" s="74"/>
      <c r="AW3080" s="74"/>
      <c r="AX3080" s="74"/>
    </row>
    <row r="3081" spans="1:50" ht="13" x14ac:dyDescent="0.15">
      <c r="A3081" s="55" t="str">
        <f>HYPERLINK("http://reports.ofsted.gov.uk/inspection-reports/find-inspection-report/provider/CARE/SC438624","Ofsted Social Care Provider Webpage")</f>
        <v>Ofsted Social Care Provider Webpage</v>
      </c>
      <c r="B3081" s="55" t="s">
        <v>5715</v>
      </c>
      <c r="D3081" s="55" t="s">
        <v>373</v>
      </c>
      <c r="E3081" s="74">
        <v>40848</v>
      </c>
      <c r="F3081" s="55" t="s">
        <v>344</v>
      </c>
      <c r="G3081" s="55" t="s">
        <v>360</v>
      </c>
      <c r="H3081" s="55" t="s">
        <v>360</v>
      </c>
      <c r="I3081" s="55" t="s">
        <v>360</v>
      </c>
      <c r="J3081" s="55" t="s">
        <v>360</v>
      </c>
      <c r="K3081" s="55" t="s">
        <v>360</v>
      </c>
      <c r="L3081" s="55" t="s">
        <v>360</v>
      </c>
      <c r="M3081" s="55" t="s">
        <v>150</v>
      </c>
      <c r="N3081" s="55" t="s">
        <v>150</v>
      </c>
      <c r="O3081" s="55" t="s">
        <v>289</v>
      </c>
      <c r="P3081" s="55" t="s">
        <v>1756</v>
      </c>
      <c r="Q3081" s="55" t="s">
        <v>350</v>
      </c>
      <c r="R3081" s="85">
        <v>2</v>
      </c>
      <c r="S3081" s="55">
        <v>0</v>
      </c>
      <c r="T3081" s="74" t="s">
        <v>843</v>
      </c>
      <c r="U3081" s="74" t="s">
        <v>351</v>
      </c>
      <c r="V3081" s="74">
        <v>44468</v>
      </c>
      <c r="W3081" s="74">
        <v>44503</v>
      </c>
      <c r="X3081" s="55">
        <v>10186080</v>
      </c>
      <c r="Y3081" s="55" t="s">
        <v>132</v>
      </c>
      <c r="AB3081" s="74" t="s">
        <v>132</v>
      </c>
      <c r="AC3081" s="55" t="s">
        <v>132</v>
      </c>
      <c r="AL3081" s="74"/>
      <c r="AM3081" s="74"/>
    </row>
    <row r="3082" spans="1:50" ht="13" x14ac:dyDescent="0.15">
      <c r="A3082" s="55" t="str">
        <f>HYPERLINK("http://reports.ofsted.gov.uk/inspection-reports/find-inspection-report/provider/CARE/SC438648","Ofsted Social Care Provider Webpage")</f>
        <v>Ofsted Social Care Provider Webpage</v>
      </c>
      <c r="B3082" s="55" t="s">
        <v>5716</v>
      </c>
      <c r="D3082" s="55" t="s">
        <v>373</v>
      </c>
      <c r="E3082" s="74">
        <v>40891</v>
      </c>
      <c r="F3082" s="55" t="s">
        <v>344</v>
      </c>
      <c r="G3082" s="55" t="s">
        <v>360</v>
      </c>
      <c r="H3082" s="55" t="s">
        <v>360</v>
      </c>
      <c r="I3082" s="55" t="s">
        <v>360</v>
      </c>
      <c r="J3082" s="55" t="s">
        <v>360</v>
      </c>
      <c r="K3082" s="55" t="s">
        <v>360</v>
      </c>
      <c r="L3082" s="55" t="s">
        <v>360</v>
      </c>
      <c r="M3082" s="55" t="s">
        <v>150</v>
      </c>
      <c r="N3082" s="55" t="s">
        <v>150</v>
      </c>
      <c r="O3082" s="55" t="s">
        <v>203</v>
      </c>
      <c r="P3082" s="55" t="s">
        <v>1263</v>
      </c>
      <c r="Q3082" s="55" t="s">
        <v>350</v>
      </c>
      <c r="R3082" s="85">
        <v>3</v>
      </c>
      <c r="S3082" s="55">
        <v>0</v>
      </c>
      <c r="T3082" s="74" t="s">
        <v>564</v>
      </c>
      <c r="U3082" s="74" t="s">
        <v>351</v>
      </c>
      <c r="V3082" s="74">
        <v>44440</v>
      </c>
      <c r="W3082" s="74">
        <v>44494</v>
      </c>
      <c r="X3082" s="55">
        <v>10186469</v>
      </c>
      <c r="Y3082" s="55" t="s">
        <v>132</v>
      </c>
      <c r="AB3082" s="74" t="s">
        <v>132</v>
      </c>
      <c r="AC3082" s="55" t="s">
        <v>132</v>
      </c>
      <c r="AL3082" s="74"/>
      <c r="AM3082" s="74"/>
      <c r="AW3082" s="74"/>
      <c r="AX3082" s="74"/>
    </row>
    <row r="3083" spans="1:50" ht="13" x14ac:dyDescent="0.15">
      <c r="A3083" s="55" t="str">
        <f>HYPERLINK("http://reports.ofsted.gov.uk/inspection-reports/find-inspection-report/provider/CARE/SC438764","Ofsted Social Care Provider Webpage")</f>
        <v>Ofsted Social Care Provider Webpage</v>
      </c>
      <c r="B3083" s="55" t="s">
        <v>5717</v>
      </c>
      <c r="D3083" s="55" t="s">
        <v>373</v>
      </c>
      <c r="E3083" s="74">
        <v>40879</v>
      </c>
      <c r="F3083" s="55" t="s">
        <v>344</v>
      </c>
      <c r="G3083" s="55" t="s">
        <v>360</v>
      </c>
      <c r="H3083" s="55" t="s">
        <v>360</v>
      </c>
      <c r="I3083" s="55" t="s">
        <v>360</v>
      </c>
      <c r="J3083" s="55" t="s">
        <v>360</v>
      </c>
      <c r="K3083" s="55" t="s">
        <v>360</v>
      </c>
      <c r="L3083" s="55" t="s">
        <v>360</v>
      </c>
      <c r="M3083" s="55" t="s">
        <v>138</v>
      </c>
      <c r="N3083" s="55" t="s">
        <v>138</v>
      </c>
      <c r="O3083" s="55" t="s">
        <v>259</v>
      </c>
      <c r="P3083" s="55" t="s">
        <v>1914</v>
      </c>
      <c r="Q3083" s="55" t="s">
        <v>350</v>
      </c>
      <c r="R3083" s="85">
        <v>6</v>
      </c>
      <c r="S3083" s="55">
        <v>0</v>
      </c>
      <c r="T3083" s="74" t="s">
        <v>585</v>
      </c>
      <c r="U3083" s="74" t="s">
        <v>351</v>
      </c>
      <c r="V3083" s="74">
        <v>44481</v>
      </c>
      <c r="W3083" s="74">
        <v>44512</v>
      </c>
      <c r="X3083" s="55">
        <v>10186598</v>
      </c>
      <c r="Y3083" s="55" t="s">
        <v>132</v>
      </c>
      <c r="AB3083" s="74" t="s">
        <v>132</v>
      </c>
      <c r="AC3083" s="55" t="s">
        <v>132</v>
      </c>
      <c r="AL3083" s="74"/>
      <c r="AM3083" s="74"/>
    </row>
    <row r="3084" spans="1:50" ht="13" x14ac:dyDescent="0.15">
      <c r="A3084" s="55" t="str">
        <f>HYPERLINK("http://reports.ofsted.gov.uk/inspection-reports/find-inspection-report/provider/CARE/SC439153","Ofsted Social Care Provider Webpage")</f>
        <v>Ofsted Social Care Provider Webpage</v>
      </c>
      <c r="B3084" s="55" t="s">
        <v>5719</v>
      </c>
      <c r="D3084" s="55" t="s">
        <v>373</v>
      </c>
      <c r="E3084" s="74">
        <v>40940</v>
      </c>
      <c r="F3084" s="55" t="s">
        <v>344</v>
      </c>
      <c r="G3084" s="55" t="s">
        <v>360</v>
      </c>
      <c r="H3084" s="55" t="s">
        <v>360</v>
      </c>
      <c r="I3084" s="55" t="s">
        <v>360</v>
      </c>
      <c r="J3084" s="55" t="s">
        <v>360</v>
      </c>
      <c r="K3084" s="55" t="s">
        <v>360</v>
      </c>
      <c r="L3084" s="55" t="s">
        <v>360</v>
      </c>
      <c r="M3084" s="55" t="s">
        <v>138</v>
      </c>
      <c r="N3084" s="55" t="s">
        <v>138</v>
      </c>
      <c r="O3084" s="55" t="s">
        <v>159</v>
      </c>
      <c r="P3084" s="55" t="s">
        <v>1025</v>
      </c>
      <c r="Q3084" s="55" t="s">
        <v>362</v>
      </c>
      <c r="R3084" s="85">
        <v>4</v>
      </c>
      <c r="S3084" s="55">
        <v>0</v>
      </c>
      <c r="T3084" s="74" t="s">
        <v>557</v>
      </c>
      <c r="U3084" s="74" t="s">
        <v>2053</v>
      </c>
      <c r="V3084" s="74">
        <v>44412</v>
      </c>
      <c r="W3084" s="74">
        <v>44441</v>
      </c>
      <c r="X3084" s="55">
        <v>10199095</v>
      </c>
      <c r="AL3084" s="74"/>
      <c r="AM3084" s="74"/>
      <c r="AW3084" s="74"/>
      <c r="AX3084" s="74"/>
    </row>
    <row r="3085" spans="1:50" ht="13" x14ac:dyDescent="0.15">
      <c r="A3085" s="55" t="str">
        <f>HYPERLINK("http://reports.ofsted.gov.uk/inspection-reports/find-inspection-report/provider/CARE/SC439153","Ofsted Social Care Provider Webpage")</f>
        <v>Ofsted Social Care Provider Webpage</v>
      </c>
      <c r="B3085" s="55" t="s">
        <v>5719</v>
      </c>
      <c r="D3085" s="55" t="s">
        <v>373</v>
      </c>
      <c r="E3085" s="74">
        <v>40940</v>
      </c>
      <c r="F3085" s="55" t="s">
        <v>344</v>
      </c>
      <c r="G3085" s="55" t="s">
        <v>360</v>
      </c>
      <c r="H3085" s="55" t="s">
        <v>360</v>
      </c>
      <c r="I3085" s="55" t="s">
        <v>360</v>
      </c>
      <c r="J3085" s="55" t="s">
        <v>360</v>
      </c>
      <c r="K3085" s="55" t="s">
        <v>360</v>
      </c>
      <c r="L3085" s="55" t="s">
        <v>360</v>
      </c>
      <c r="M3085" s="55" t="s">
        <v>138</v>
      </c>
      <c r="N3085" s="55" t="s">
        <v>138</v>
      </c>
      <c r="O3085" s="55" t="s">
        <v>159</v>
      </c>
      <c r="P3085" s="55" t="s">
        <v>1025</v>
      </c>
      <c r="Q3085" s="55" t="s">
        <v>362</v>
      </c>
      <c r="R3085" s="85">
        <v>4</v>
      </c>
      <c r="S3085" s="55">
        <v>0</v>
      </c>
      <c r="T3085" s="74" t="s">
        <v>557</v>
      </c>
      <c r="U3085" s="74" t="s">
        <v>2053</v>
      </c>
      <c r="V3085" s="74">
        <v>44369</v>
      </c>
      <c r="W3085" s="74">
        <v>44396</v>
      </c>
      <c r="X3085" s="55">
        <v>10195853</v>
      </c>
      <c r="AL3085" s="74"/>
      <c r="AM3085" s="74"/>
      <c r="AW3085" s="74"/>
      <c r="AX3085" s="74"/>
    </row>
    <row r="3086" spans="1:50" ht="13" x14ac:dyDescent="0.15">
      <c r="A3086" s="55" t="str">
        <f>HYPERLINK("http://reports.ofsted.gov.uk/inspection-reports/find-inspection-report/provider/CARE/SC439153","Ofsted Social Care Provider Webpage")</f>
        <v>Ofsted Social Care Provider Webpage</v>
      </c>
      <c r="B3086" s="55" t="s">
        <v>5719</v>
      </c>
      <c r="D3086" s="55" t="s">
        <v>373</v>
      </c>
      <c r="E3086" s="74">
        <v>40940</v>
      </c>
      <c r="F3086" s="55" t="s">
        <v>344</v>
      </c>
      <c r="G3086" s="55" t="s">
        <v>360</v>
      </c>
      <c r="H3086" s="55" t="s">
        <v>360</v>
      </c>
      <c r="I3086" s="55" t="s">
        <v>360</v>
      </c>
      <c r="J3086" s="55" t="s">
        <v>360</v>
      </c>
      <c r="K3086" s="55" t="s">
        <v>360</v>
      </c>
      <c r="L3086" s="55" t="s">
        <v>360</v>
      </c>
      <c r="M3086" s="55" t="s">
        <v>138</v>
      </c>
      <c r="N3086" s="55" t="s">
        <v>138</v>
      </c>
      <c r="O3086" s="55" t="s">
        <v>159</v>
      </c>
      <c r="P3086" s="55" t="s">
        <v>1025</v>
      </c>
      <c r="Q3086" s="55" t="s">
        <v>362</v>
      </c>
      <c r="R3086" s="85">
        <v>4</v>
      </c>
      <c r="S3086" s="55">
        <v>0</v>
      </c>
      <c r="T3086" s="74" t="s">
        <v>557</v>
      </c>
      <c r="U3086" s="74" t="s">
        <v>351</v>
      </c>
      <c r="V3086" s="74">
        <v>44315</v>
      </c>
      <c r="W3086" s="74">
        <v>44341</v>
      </c>
      <c r="X3086" s="55">
        <v>10185385</v>
      </c>
      <c r="Y3086" s="55" t="s">
        <v>130</v>
      </c>
      <c r="AB3086" s="74" t="s">
        <v>130</v>
      </c>
      <c r="AC3086" s="55" t="s">
        <v>146</v>
      </c>
      <c r="AL3086" s="74"/>
      <c r="AM3086" s="74"/>
      <c r="AW3086" s="74"/>
      <c r="AX3086" s="74"/>
    </row>
    <row r="3087" spans="1:50" ht="13" x14ac:dyDescent="0.15">
      <c r="A3087" s="55" t="str">
        <f>HYPERLINK("http://reports.ofsted.gov.uk/inspection-reports/find-inspection-report/provider/CARE/SC439153","Ofsted Social Care Provider Webpage")</f>
        <v>Ofsted Social Care Provider Webpage</v>
      </c>
      <c r="B3087" s="55" t="s">
        <v>5719</v>
      </c>
      <c r="D3087" s="55" t="s">
        <v>373</v>
      </c>
      <c r="E3087" s="74">
        <v>40940</v>
      </c>
      <c r="F3087" s="55" t="s">
        <v>344</v>
      </c>
      <c r="G3087" s="55" t="s">
        <v>360</v>
      </c>
      <c r="H3087" s="55" t="s">
        <v>360</v>
      </c>
      <c r="I3087" s="55" t="s">
        <v>360</v>
      </c>
      <c r="J3087" s="55" t="s">
        <v>360</v>
      </c>
      <c r="K3087" s="55" t="s">
        <v>360</v>
      </c>
      <c r="L3087" s="55" t="s">
        <v>360</v>
      </c>
      <c r="M3087" s="55" t="s">
        <v>138</v>
      </c>
      <c r="N3087" s="55" t="s">
        <v>138</v>
      </c>
      <c r="O3087" s="55" t="s">
        <v>159</v>
      </c>
      <c r="P3087" s="55" t="s">
        <v>1025</v>
      </c>
      <c r="Q3087" s="55" t="s">
        <v>362</v>
      </c>
      <c r="R3087" s="85">
        <v>4</v>
      </c>
      <c r="S3087" s="55">
        <v>0</v>
      </c>
      <c r="T3087" s="74" t="s">
        <v>557</v>
      </c>
      <c r="U3087" s="74" t="s">
        <v>6703</v>
      </c>
      <c r="V3087" s="74">
        <v>44581</v>
      </c>
      <c r="W3087" s="74">
        <v>44613</v>
      </c>
      <c r="X3087" s="55">
        <v>10204098</v>
      </c>
      <c r="Y3087" s="55" t="s">
        <v>6705</v>
      </c>
      <c r="AL3087" s="74"/>
      <c r="AM3087" s="74"/>
    </row>
    <row r="3088" spans="1:50" ht="13" x14ac:dyDescent="0.15">
      <c r="A3088" s="55" t="str">
        <f>HYPERLINK("http://reports.ofsted.gov.uk/inspection-reports/find-inspection-report/provider/CARE/SC439153","Ofsted Social Care Provider Webpage")</f>
        <v>Ofsted Social Care Provider Webpage</v>
      </c>
      <c r="B3088" s="55" t="s">
        <v>5719</v>
      </c>
      <c r="D3088" s="55" t="s">
        <v>373</v>
      </c>
      <c r="E3088" s="74">
        <v>40940</v>
      </c>
      <c r="F3088" s="55" t="s">
        <v>344</v>
      </c>
      <c r="G3088" s="55" t="s">
        <v>360</v>
      </c>
      <c r="H3088" s="55" t="s">
        <v>360</v>
      </c>
      <c r="I3088" s="55" t="s">
        <v>360</v>
      </c>
      <c r="J3088" s="55" t="s">
        <v>360</v>
      </c>
      <c r="K3088" s="55" t="s">
        <v>360</v>
      </c>
      <c r="L3088" s="55" t="s">
        <v>360</v>
      </c>
      <c r="M3088" s="55" t="s">
        <v>138</v>
      </c>
      <c r="N3088" s="55" t="s">
        <v>138</v>
      </c>
      <c r="O3088" s="55" t="s">
        <v>159</v>
      </c>
      <c r="P3088" s="55" t="s">
        <v>1025</v>
      </c>
      <c r="Q3088" s="55" t="s">
        <v>362</v>
      </c>
      <c r="R3088" s="85">
        <v>4</v>
      </c>
      <c r="S3088" s="55">
        <v>0</v>
      </c>
      <c r="T3088" s="74" t="s">
        <v>557</v>
      </c>
      <c r="U3088" s="74" t="s">
        <v>2053</v>
      </c>
      <c r="V3088" s="74">
        <v>44334</v>
      </c>
      <c r="W3088" s="74">
        <v>44361</v>
      </c>
      <c r="X3088" s="55">
        <v>10195581</v>
      </c>
      <c r="AL3088" s="74"/>
      <c r="AM3088" s="74"/>
      <c r="AW3088" s="74"/>
      <c r="AX3088" s="74"/>
    </row>
    <row r="3089" spans="1:50" ht="13" x14ac:dyDescent="0.15">
      <c r="A3089" s="55" t="str">
        <f>HYPERLINK("http://reports.ofsted.gov.uk/inspection-reports/find-inspection-report/provider/CARE/SC439282","Ofsted Social Care Provider Webpage")</f>
        <v>Ofsted Social Care Provider Webpage</v>
      </c>
      <c r="B3089" s="55" t="s">
        <v>5720</v>
      </c>
      <c r="D3089" s="55" t="s">
        <v>373</v>
      </c>
      <c r="E3089" s="74">
        <v>40959</v>
      </c>
      <c r="F3089" s="55" t="s">
        <v>344</v>
      </c>
      <c r="G3089" s="55" t="s">
        <v>360</v>
      </c>
      <c r="H3089" s="55" t="s">
        <v>360</v>
      </c>
      <c r="I3089" s="55" t="s">
        <v>360</v>
      </c>
      <c r="J3089" s="55" t="s">
        <v>360</v>
      </c>
      <c r="K3089" s="55" t="s">
        <v>360</v>
      </c>
      <c r="L3089" s="55" t="s">
        <v>360</v>
      </c>
      <c r="M3089" s="55" t="s">
        <v>150</v>
      </c>
      <c r="N3089" s="55" t="s">
        <v>150</v>
      </c>
      <c r="O3089" s="55" t="s">
        <v>203</v>
      </c>
      <c r="P3089" s="55" t="s">
        <v>2078</v>
      </c>
      <c r="Q3089" s="55" t="s">
        <v>380</v>
      </c>
      <c r="R3089" s="85">
        <v>4</v>
      </c>
      <c r="S3089" s="55" t="s">
        <v>332</v>
      </c>
      <c r="T3089" s="74" t="s">
        <v>1547</v>
      </c>
      <c r="U3089" s="74" t="s">
        <v>351</v>
      </c>
      <c r="V3089" s="74">
        <v>44532</v>
      </c>
      <c r="W3089" s="74">
        <v>44589</v>
      </c>
      <c r="X3089" s="55">
        <v>10185287</v>
      </c>
      <c r="Y3089" s="55" t="s">
        <v>132</v>
      </c>
      <c r="AB3089" s="74" t="s">
        <v>132</v>
      </c>
      <c r="AC3089" s="55" t="s">
        <v>130</v>
      </c>
      <c r="AL3089" s="74"/>
      <c r="AM3089" s="74"/>
      <c r="AW3089" s="74"/>
      <c r="AX3089" s="74"/>
    </row>
    <row r="3090" spans="1:50" ht="13" x14ac:dyDescent="0.15">
      <c r="A3090" s="55" t="str">
        <f>HYPERLINK("http://reports.ofsted.gov.uk/inspection-reports/find-inspection-report/provider/CARE/SC439535","Ofsted Social Care Provider Webpage")</f>
        <v>Ofsted Social Care Provider Webpage</v>
      </c>
      <c r="B3090" s="55" t="s">
        <v>5721</v>
      </c>
      <c r="D3090" s="55" t="s">
        <v>373</v>
      </c>
      <c r="E3090" s="74">
        <v>40886</v>
      </c>
      <c r="F3090" s="55" t="s">
        <v>344</v>
      </c>
      <c r="G3090" s="55" t="s">
        <v>360</v>
      </c>
      <c r="H3090" s="55" t="s">
        <v>360</v>
      </c>
      <c r="I3090" s="55" t="s">
        <v>360</v>
      </c>
      <c r="J3090" s="55" t="s">
        <v>360</v>
      </c>
      <c r="K3090" s="55" t="s">
        <v>360</v>
      </c>
      <c r="L3090" s="55" t="s">
        <v>360</v>
      </c>
      <c r="M3090" s="55" t="s">
        <v>378</v>
      </c>
      <c r="N3090" s="55" t="s">
        <v>134</v>
      </c>
      <c r="O3090" s="55" t="s">
        <v>232</v>
      </c>
      <c r="P3090" s="55" t="s">
        <v>412</v>
      </c>
      <c r="Q3090" s="55" t="s">
        <v>350</v>
      </c>
      <c r="R3090" s="85">
        <v>5</v>
      </c>
      <c r="S3090" s="55">
        <v>0</v>
      </c>
      <c r="T3090" s="74" t="s">
        <v>1251</v>
      </c>
      <c r="U3090" s="74" t="s">
        <v>351</v>
      </c>
      <c r="V3090" s="74">
        <v>44581</v>
      </c>
      <c r="W3090" s="74">
        <v>44630</v>
      </c>
      <c r="X3090" s="55">
        <v>10186879</v>
      </c>
      <c r="Y3090" s="55" t="s">
        <v>130</v>
      </c>
      <c r="AB3090" s="74" t="s">
        <v>130</v>
      </c>
      <c r="AC3090" s="55" t="s">
        <v>130</v>
      </c>
      <c r="AL3090" s="74"/>
      <c r="AM3090" s="74"/>
      <c r="AW3090" s="74"/>
      <c r="AX3090" s="74"/>
    </row>
    <row r="3091" spans="1:50" ht="13" x14ac:dyDescent="0.15">
      <c r="A3091" s="55" t="str">
        <f>HYPERLINK("http://reports.ofsted.gov.uk/inspection-reports/find-inspection-report/provider/CARE/SC439882","Ofsted Social Care Provider Webpage")</f>
        <v>Ofsted Social Care Provider Webpage</v>
      </c>
      <c r="B3091" s="55" t="s">
        <v>5728</v>
      </c>
      <c r="D3091" s="55" t="s">
        <v>373</v>
      </c>
      <c r="E3091" s="74">
        <v>40939</v>
      </c>
      <c r="F3091" s="55" t="s">
        <v>344</v>
      </c>
      <c r="G3091" s="55" t="s">
        <v>360</v>
      </c>
      <c r="H3091" s="55" t="s">
        <v>360</v>
      </c>
      <c r="I3091" s="55" t="s">
        <v>360</v>
      </c>
      <c r="J3091" s="55" t="s">
        <v>360</v>
      </c>
      <c r="K3091" s="55" t="s">
        <v>360</v>
      </c>
      <c r="L3091" s="55" t="s">
        <v>360</v>
      </c>
      <c r="M3091" s="55" t="s">
        <v>172</v>
      </c>
      <c r="N3091" s="55" t="s">
        <v>172</v>
      </c>
      <c r="O3091" s="55" t="s">
        <v>173</v>
      </c>
      <c r="P3091" s="55" t="s">
        <v>1540</v>
      </c>
      <c r="Q3091" s="55" t="s">
        <v>380</v>
      </c>
      <c r="R3091" s="85">
        <v>6</v>
      </c>
      <c r="S3091" s="55">
        <v>0</v>
      </c>
      <c r="T3091" s="74" t="s">
        <v>1431</v>
      </c>
      <c r="U3091" s="74" t="s">
        <v>351</v>
      </c>
      <c r="V3091" s="74">
        <v>44566</v>
      </c>
      <c r="W3091" s="74">
        <v>44595</v>
      </c>
      <c r="X3091" s="55">
        <v>10187388</v>
      </c>
      <c r="Y3091" s="55" t="s">
        <v>140</v>
      </c>
      <c r="AB3091" s="74" t="s">
        <v>140</v>
      </c>
      <c r="AC3091" s="55" t="s">
        <v>140</v>
      </c>
      <c r="AL3091" s="74"/>
      <c r="AM3091" s="74"/>
      <c r="AW3091" s="74"/>
      <c r="AX3091" s="74"/>
    </row>
    <row r="3092" spans="1:50" ht="13" x14ac:dyDescent="0.15">
      <c r="A3092" s="55" t="str">
        <f>HYPERLINK("http://reports.ofsted.gov.uk/inspection-reports/find-inspection-report/provider/CARE/SC439956","Ofsted Social Care Provider Webpage")</f>
        <v>Ofsted Social Care Provider Webpage</v>
      </c>
      <c r="B3092" s="55" t="s">
        <v>5729</v>
      </c>
      <c r="D3092" s="55" t="s">
        <v>373</v>
      </c>
      <c r="E3092" s="74">
        <v>41051</v>
      </c>
      <c r="F3092" s="55" t="s">
        <v>344</v>
      </c>
      <c r="G3092" s="55" t="s">
        <v>360</v>
      </c>
      <c r="H3092" s="55" t="s">
        <v>360</v>
      </c>
      <c r="I3092" s="55" t="s">
        <v>360</v>
      </c>
      <c r="J3092" s="55" t="s">
        <v>360</v>
      </c>
      <c r="K3092" s="55" t="s">
        <v>360</v>
      </c>
      <c r="L3092" s="55" t="s">
        <v>360</v>
      </c>
      <c r="M3092" s="55" t="s">
        <v>144</v>
      </c>
      <c r="N3092" s="55" t="s">
        <v>144</v>
      </c>
      <c r="O3092" s="55" t="s">
        <v>168</v>
      </c>
      <c r="P3092" s="55" t="s">
        <v>913</v>
      </c>
      <c r="Q3092" s="55" t="s">
        <v>350</v>
      </c>
      <c r="R3092" s="85">
        <v>1</v>
      </c>
      <c r="S3092" s="55">
        <v>0</v>
      </c>
      <c r="T3092" s="74" t="s">
        <v>709</v>
      </c>
      <c r="U3092" s="74" t="s">
        <v>351</v>
      </c>
      <c r="V3092" s="74">
        <v>44628</v>
      </c>
      <c r="W3092" s="74">
        <v>44677</v>
      </c>
      <c r="X3092" s="55">
        <v>10185025</v>
      </c>
      <c r="Y3092" s="55" t="s">
        <v>132</v>
      </c>
      <c r="AB3092" s="74" t="s">
        <v>132</v>
      </c>
      <c r="AC3092" s="55" t="s">
        <v>130</v>
      </c>
      <c r="AL3092" s="74"/>
      <c r="AM3092" s="74"/>
    </row>
    <row r="3093" spans="1:50" ht="13" x14ac:dyDescent="0.15">
      <c r="A3093" s="55" t="str">
        <f>HYPERLINK("http://reports.ofsted.gov.uk/inspection-reports/find-inspection-report/provider/CARE/SC440001","Ofsted Social Care Provider Webpage")</f>
        <v>Ofsted Social Care Provider Webpage</v>
      </c>
      <c r="B3093" s="55" t="s">
        <v>5730</v>
      </c>
      <c r="D3093" s="55" t="s">
        <v>451</v>
      </c>
      <c r="E3093" s="74">
        <v>40953</v>
      </c>
      <c r="F3093" s="55" t="s">
        <v>344</v>
      </c>
      <c r="G3093" s="55" t="s">
        <v>5731</v>
      </c>
      <c r="H3093" s="55" t="s">
        <v>5732</v>
      </c>
      <c r="I3093" s="55" t="s">
        <v>5733</v>
      </c>
      <c r="J3093" s="55" t="s">
        <v>5734</v>
      </c>
      <c r="K3093" s="55" t="s">
        <v>209</v>
      </c>
      <c r="L3093" s="55" t="s">
        <v>5735</v>
      </c>
      <c r="M3093" s="55" t="s">
        <v>144</v>
      </c>
      <c r="N3093" s="55" t="s">
        <v>144</v>
      </c>
      <c r="O3093" s="55" t="s">
        <v>209</v>
      </c>
      <c r="P3093" s="55" t="s">
        <v>545</v>
      </c>
      <c r="Q3093" s="55" t="s">
        <v>350</v>
      </c>
      <c r="R3093" s="85">
        <v>3</v>
      </c>
      <c r="S3093" s="55">
        <v>0</v>
      </c>
      <c r="T3093" s="74" t="s">
        <v>5736</v>
      </c>
      <c r="U3093" s="74" t="s">
        <v>2053</v>
      </c>
      <c r="V3093" s="74">
        <v>44546</v>
      </c>
      <c r="W3093" s="74">
        <v>44582</v>
      </c>
      <c r="X3093" s="55">
        <v>10217172</v>
      </c>
      <c r="AL3093" s="74"/>
      <c r="AM3093" s="74"/>
      <c r="AW3093" s="74"/>
      <c r="AX3093" s="74"/>
    </row>
    <row r="3094" spans="1:50" ht="13" x14ac:dyDescent="0.15">
      <c r="A3094" s="55" t="str">
        <f>HYPERLINK("http://reports.ofsted.gov.uk/inspection-reports/find-inspection-report/provider/CARE/SC440001","Ofsted Social Care Provider Webpage")</f>
        <v>Ofsted Social Care Provider Webpage</v>
      </c>
      <c r="B3094" s="55" t="s">
        <v>5730</v>
      </c>
      <c r="D3094" s="55" t="s">
        <v>451</v>
      </c>
      <c r="E3094" s="74">
        <v>40953</v>
      </c>
      <c r="F3094" s="55" t="s">
        <v>344</v>
      </c>
      <c r="G3094" s="55" t="s">
        <v>5731</v>
      </c>
      <c r="H3094" s="55" t="s">
        <v>5732</v>
      </c>
      <c r="I3094" s="55" t="s">
        <v>5733</v>
      </c>
      <c r="J3094" s="55" t="s">
        <v>5734</v>
      </c>
      <c r="K3094" s="55" t="s">
        <v>209</v>
      </c>
      <c r="L3094" s="55" t="s">
        <v>5735</v>
      </c>
      <c r="M3094" s="55" t="s">
        <v>144</v>
      </c>
      <c r="N3094" s="55" t="s">
        <v>144</v>
      </c>
      <c r="O3094" s="55" t="s">
        <v>209</v>
      </c>
      <c r="P3094" s="55" t="s">
        <v>545</v>
      </c>
      <c r="Q3094" s="55" t="s">
        <v>350</v>
      </c>
      <c r="R3094" s="85">
        <v>3</v>
      </c>
      <c r="S3094" s="55">
        <v>0</v>
      </c>
      <c r="T3094" s="74" t="s">
        <v>5736</v>
      </c>
      <c r="U3094" s="74" t="s">
        <v>2053</v>
      </c>
      <c r="V3094" s="74">
        <v>44515</v>
      </c>
      <c r="W3094" s="74">
        <v>44547</v>
      </c>
      <c r="X3094" s="55">
        <v>10213846</v>
      </c>
      <c r="AL3094" s="74"/>
      <c r="AM3094" s="74"/>
      <c r="AW3094" s="74"/>
      <c r="AX3094" s="74"/>
    </row>
    <row r="3095" spans="1:50" ht="13" x14ac:dyDescent="0.15">
      <c r="A3095" s="55" t="str">
        <f>HYPERLINK("http://reports.ofsted.gov.uk/inspection-reports/find-inspection-report/provider/CARE/SC440001","Ofsted Social Care Provider Webpage")</f>
        <v>Ofsted Social Care Provider Webpage</v>
      </c>
      <c r="B3095" s="55" t="s">
        <v>5730</v>
      </c>
      <c r="D3095" s="55" t="s">
        <v>451</v>
      </c>
      <c r="E3095" s="74">
        <v>40953</v>
      </c>
      <c r="F3095" s="55" t="s">
        <v>344</v>
      </c>
      <c r="G3095" s="55" t="s">
        <v>5731</v>
      </c>
      <c r="H3095" s="55" t="s">
        <v>5732</v>
      </c>
      <c r="I3095" s="55" t="s">
        <v>5733</v>
      </c>
      <c r="J3095" s="55" t="s">
        <v>5734</v>
      </c>
      <c r="K3095" s="55" t="s">
        <v>209</v>
      </c>
      <c r="L3095" s="55" t="s">
        <v>5735</v>
      </c>
      <c r="M3095" s="55" t="s">
        <v>144</v>
      </c>
      <c r="N3095" s="55" t="s">
        <v>144</v>
      </c>
      <c r="O3095" s="55" t="s">
        <v>209</v>
      </c>
      <c r="P3095" s="55" t="s">
        <v>545</v>
      </c>
      <c r="Q3095" s="55" t="s">
        <v>350</v>
      </c>
      <c r="R3095" s="85">
        <v>3</v>
      </c>
      <c r="S3095" s="55">
        <v>0</v>
      </c>
      <c r="T3095" s="74" t="s">
        <v>5736</v>
      </c>
      <c r="U3095" s="74" t="s">
        <v>2053</v>
      </c>
      <c r="V3095" s="74">
        <v>44617</v>
      </c>
      <c r="W3095" s="74">
        <v>44659</v>
      </c>
      <c r="X3095" s="55">
        <v>10229295</v>
      </c>
      <c r="AL3095" s="74"/>
      <c r="AM3095" s="74"/>
    </row>
    <row r="3096" spans="1:50" ht="13" x14ac:dyDescent="0.15">
      <c r="A3096" s="55" t="str">
        <f>HYPERLINK("http://reports.ofsted.gov.uk/inspection-reports/find-inspection-report/provider/CARE/SC440078","Ofsted Social Care Provider Webpage")</f>
        <v>Ofsted Social Care Provider Webpage</v>
      </c>
      <c r="B3096" s="55" t="s">
        <v>5737</v>
      </c>
      <c r="D3096" s="55" t="s">
        <v>389</v>
      </c>
      <c r="E3096" s="74">
        <v>40889</v>
      </c>
      <c r="F3096" s="55" t="s">
        <v>344</v>
      </c>
      <c r="G3096" s="55" t="s">
        <v>5738</v>
      </c>
      <c r="H3096" s="55" t="s">
        <v>3186</v>
      </c>
      <c r="I3096" s="55" t="s">
        <v>5739</v>
      </c>
      <c r="J3096" s="55" t="s">
        <v>523</v>
      </c>
      <c r="L3096" s="55" t="s">
        <v>5740</v>
      </c>
      <c r="M3096" s="55" t="s">
        <v>142</v>
      </c>
      <c r="N3096" s="55" t="s">
        <v>142</v>
      </c>
      <c r="O3096" s="55" t="s">
        <v>262</v>
      </c>
      <c r="P3096" s="55" t="s">
        <v>916</v>
      </c>
      <c r="Q3096" s="55" t="s">
        <v>350</v>
      </c>
      <c r="S3096" s="55">
        <v>0</v>
      </c>
      <c r="T3096" s="74" t="s">
        <v>5741</v>
      </c>
      <c r="U3096" s="74" t="s">
        <v>351</v>
      </c>
      <c r="V3096" s="74">
        <v>44474</v>
      </c>
      <c r="W3096" s="74">
        <v>44502</v>
      </c>
      <c r="X3096" s="55">
        <v>10183426</v>
      </c>
      <c r="Y3096" s="55" t="s">
        <v>132</v>
      </c>
      <c r="AB3096" s="74" t="s">
        <v>132</v>
      </c>
      <c r="AC3096" s="55" t="s">
        <v>130</v>
      </c>
      <c r="AL3096" s="74"/>
      <c r="AM3096" s="74"/>
      <c r="AW3096" s="74"/>
      <c r="AX3096" s="74"/>
    </row>
    <row r="3097" spans="1:50" ht="13" x14ac:dyDescent="0.15">
      <c r="A3097" s="55" t="str">
        <f>HYPERLINK("http://reports.ofsted.gov.uk/inspection-reports/find-inspection-report/provider/CARE/SC440309","Ofsted Social Care Provider Webpage")</f>
        <v>Ofsted Social Care Provider Webpage</v>
      </c>
      <c r="B3097" s="55" t="s">
        <v>5742</v>
      </c>
      <c r="D3097" s="55" t="s">
        <v>373</v>
      </c>
      <c r="E3097" s="74">
        <v>40912</v>
      </c>
      <c r="F3097" s="55" t="s">
        <v>344</v>
      </c>
      <c r="G3097" s="55" t="s">
        <v>360</v>
      </c>
      <c r="H3097" s="55" t="s">
        <v>360</v>
      </c>
      <c r="I3097" s="55" t="s">
        <v>360</v>
      </c>
      <c r="J3097" s="55" t="s">
        <v>360</v>
      </c>
      <c r="K3097" s="55" t="s">
        <v>360</v>
      </c>
      <c r="L3097" s="55" t="s">
        <v>360</v>
      </c>
      <c r="M3097" s="55" t="s">
        <v>144</v>
      </c>
      <c r="N3097" s="55" t="s">
        <v>144</v>
      </c>
      <c r="O3097" s="55" t="s">
        <v>209</v>
      </c>
      <c r="P3097" s="55" t="s">
        <v>534</v>
      </c>
      <c r="Q3097" s="55" t="s">
        <v>380</v>
      </c>
      <c r="R3097" s="85">
        <v>6</v>
      </c>
      <c r="S3097" s="55">
        <v>0</v>
      </c>
      <c r="T3097" s="74" t="s">
        <v>657</v>
      </c>
      <c r="U3097" s="74" t="s">
        <v>351</v>
      </c>
      <c r="V3097" s="74">
        <v>44530</v>
      </c>
      <c r="W3097" s="74">
        <v>44574</v>
      </c>
      <c r="X3097" s="55">
        <v>10185641</v>
      </c>
      <c r="Y3097" s="55" t="s">
        <v>140</v>
      </c>
      <c r="AB3097" s="74" t="s">
        <v>140</v>
      </c>
      <c r="AC3097" s="55" t="s">
        <v>140</v>
      </c>
      <c r="AL3097" s="74"/>
      <c r="AM3097" s="74"/>
      <c r="AW3097" s="74"/>
      <c r="AX3097" s="74"/>
    </row>
    <row r="3098" spans="1:50" ht="13" x14ac:dyDescent="0.15">
      <c r="A3098" s="55" t="str">
        <f>HYPERLINK("http://reports.ofsted.gov.uk/inspection-reports/find-inspection-report/provider/CARE/SC441080","Ofsted Social Care Provider Webpage")</f>
        <v>Ofsted Social Care Provider Webpage</v>
      </c>
      <c r="B3098" s="55" t="s">
        <v>5743</v>
      </c>
      <c r="D3098" s="55" t="s">
        <v>373</v>
      </c>
      <c r="E3098" s="74">
        <v>40921</v>
      </c>
      <c r="F3098" s="55" t="s">
        <v>344</v>
      </c>
      <c r="G3098" s="55" t="s">
        <v>360</v>
      </c>
      <c r="H3098" s="55" t="s">
        <v>360</v>
      </c>
      <c r="I3098" s="55" t="s">
        <v>360</v>
      </c>
      <c r="J3098" s="55" t="s">
        <v>360</v>
      </c>
      <c r="K3098" s="55" t="s">
        <v>360</v>
      </c>
      <c r="L3098" s="55" t="s">
        <v>360</v>
      </c>
      <c r="M3098" s="55" t="s">
        <v>142</v>
      </c>
      <c r="N3098" s="55" t="s">
        <v>142</v>
      </c>
      <c r="O3098" s="55" t="s">
        <v>252</v>
      </c>
      <c r="P3098" s="55" t="s">
        <v>386</v>
      </c>
      <c r="Q3098" s="55" t="s">
        <v>350</v>
      </c>
      <c r="R3098" s="85">
        <v>3</v>
      </c>
      <c r="S3098" s="55">
        <v>0</v>
      </c>
      <c r="T3098" s="74" t="s">
        <v>1260</v>
      </c>
      <c r="U3098" s="74" t="s">
        <v>351</v>
      </c>
      <c r="V3098" s="74">
        <v>44516</v>
      </c>
      <c r="W3098" s="74">
        <v>44547</v>
      </c>
      <c r="X3098" s="55">
        <v>10186764</v>
      </c>
      <c r="Y3098" s="55" t="s">
        <v>132</v>
      </c>
      <c r="AB3098" s="74" t="s">
        <v>132</v>
      </c>
      <c r="AC3098" s="55" t="s">
        <v>132</v>
      </c>
      <c r="AL3098" s="74"/>
      <c r="AM3098" s="74"/>
      <c r="AW3098" s="74"/>
      <c r="AX3098" s="74"/>
    </row>
    <row r="3099" spans="1:50" ht="13" x14ac:dyDescent="0.15">
      <c r="A3099" s="55" t="str">
        <f>HYPERLINK("http://reports.ofsted.gov.uk/inspection-reports/find-inspection-report/provider/CARE/SC441410","Ofsted Social Care Provider Webpage")</f>
        <v>Ofsted Social Care Provider Webpage</v>
      </c>
      <c r="B3099" s="55" t="s">
        <v>5744</v>
      </c>
      <c r="D3099" s="55" t="s">
        <v>373</v>
      </c>
      <c r="E3099" s="74">
        <v>40941</v>
      </c>
      <c r="F3099" s="55" t="s">
        <v>344</v>
      </c>
      <c r="G3099" s="55" t="s">
        <v>360</v>
      </c>
      <c r="H3099" s="55" t="s">
        <v>360</v>
      </c>
      <c r="I3099" s="55" t="s">
        <v>360</v>
      </c>
      <c r="J3099" s="55" t="s">
        <v>360</v>
      </c>
      <c r="K3099" s="55" t="s">
        <v>360</v>
      </c>
      <c r="L3099" s="55" t="s">
        <v>360</v>
      </c>
      <c r="M3099" s="55" t="s">
        <v>144</v>
      </c>
      <c r="N3099" s="55" t="s">
        <v>144</v>
      </c>
      <c r="O3099" s="55" t="s">
        <v>261</v>
      </c>
      <c r="P3099" s="55" t="s">
        <v>792</v>
      </c>
      <c r="Q3099" s="55" t="s">
        <v>350</v>
      </c>
      <c r="R3099" s="85">
        <v>2</v>
      </c>
      <c r="S3099" s="55">
        <v>0</v>
      </c>
      <c r="T3099" s="74" t="s">
        <v>513</v>
      </c>
      <c r="U3099" s="74" t="s">
        <v>351</v>
      </c>
      <c r="V3099" s="74">
        <v>44601</v>
      </c>
      <c r="W3099" s="74">
        <v>44655</v>
      </c>
      <c r="X3099" s="55">
        <v>10187113</v>
      </c>
      <c r="Y3099" s="55" t="s">
        <v>146</v>
      </c>
      <c r="AB3099" s="74" t="s">
        <v>146</v>
      </c>
      <c r="AC3099" s="55" t="s">
        <v>146</v>
      </c>
      <c r="AL3099" s="74"/>
      <c r="AM3099" s="74"/>
      <c r="AW3099" s="74"/>
      <c r="AX3099" s="74"/>
    </row>
    <row r="3100" spans="1:50" ht="13" x14ac:dyDescent="0.15">
      <c r="A3100" s="55" t="str">
        <f>HYPERLINK("http://reports.ofsted.gov.uk/inspection-reports/find-inspection-report/provider/CARE/SC441513","Ofsted Social Care Provider Webpage")</f>
        <v>Ofsted Social Care Provider Webpage</v>
      </c>
      <c r="B3100" s="55" t="s">
        <v>5751</v>
      </c>
      <c r="D3100" s="55" t="s">
        <v>373</v>
      </c>
      <c r="E3100" s="74">
        <v>40941</v>
      </c>
      <c r="F3100" s="55" t="s">
        <v>344</v>
      </c>
      <c r="G3100" s="55" t="s">
        <v>360</v>
      </c>
      <c r="H3100" s="55" t="s">
        <v>360</v>
      </c>
      <c r="I3100" s="55" t="s">
        <v>360</v>
      </c>
      <c r="J3100" s="55" t="s">
        <v>360</v>
      </c>
      <c r="K3100" s="55" t="s">
        <v>360</v>
      </c>
      <c r="L3100" s="55" t="s">
        <v>360</v>
      </c>
      <c r="M3100" s="55" t="s">
        <v>172</v>
      </c>
      <c r="N3100" s="55" t="s">
        <v>172</v>
      </c>
      <c r="O3100" s="55" t="s">
        <v>173</v>
      </c>
      <c r="P3100" s="55" t="s">
        <v>1540</v>
      </c>
      <c r="Q3100" s="55" t="s">
        <v>380</v>
      </c>
      <c r="R3100" s="85">
        <v>6</v>
      </c>
      <c r="S3100" s="55">
        <v>0</v>
      </c>
      <c r="T3100" s="74" t="s">
        <v>1431</v>
      </c>
      <c r="U3100" s="74" t="s">
        <v>351</v>
      </c>
      <c r="V3100" s="74">
        <v>44600</v>
      </c>
      <c r="W3100" s="74">
        <v>44641</v>
      </c>
      <c r="X3100" s="55">
        <v>10186198</v>
      </c>
      <c r="Y3100" s="55" t="s">
        <v>140</v>
      </c>
      <c r="AB3100" s="74" t="s">
        <v>140</v>
      </c>
      <c r="AC3100" s="55" t="s">
        <v>140</v>
      </c>
      <c r="AL3100" s="74"/>
      <c r="AM3100" s="74"/>
      <c r="AW3100" s="74"/>
      <c r="AX3100" s="74"/>
    </row>
    <row r="3101" spans="1:50" ht="13" x14ac:dyDescent="0.15">
      <c r="A3101" s="55" t="str">
        <f>HYPERLINK("http://reports.ofsted.gov.uk/inspection-reports/find-inspection-report/provider/CARE/SC441514","Ofsted Social Care Provider Webpage")</f>
        <v>Ofsted Social Care Provider Webpage</v>
      </c>
      <c r="B3101" s="55" t="s">
        <v>5752</v>
      </c>
      <c r="D3101" s="55" t="s">
        <v>373</v>
      </c>
      <c r="E3101" s="74">
        <v>40976</v>
      </c>
      <c r="F3101" s="55" t="s">
        <v>344</v>
      </c>
      <c r="G3101" s="55" t="s">
        <v>360</v>
      </c>
      <c r="H3101" s="55" t="s">
        <v>360</v>
      </c>
      <c r="I3101" s="55" t="s">
        <v>360</v>
      </c>
      <c r="J3101" s="55" t="s">
        <v>360</v>
      </c>
      <c r="K3101" s="55" t="s">
        <v>360</v>
      </c>
      <c r="L3101" s="55" t="s">
        <v>360</v>
      </c>
      <c r="M3101" s="55" t="s">
        <v>142</v>
      </c>
      <c r="N3101" s="55" t="s">
        <v>142</v>
      </c>
      <c r="O3101" s="55" t="s">
        <v>293</v>
      </c>
      <c r="P3101" s="55" t="s">
        <v>984</v>
      </c>
      <c r="Q3101" s="55" t="s">
        <v>350</v>
      </c>
      <c r="R3101" s="85">
        <v>3</v>
      </c>
      <c r="S3101" s="55">
        <v>0</v>
      </c>
      <c r="T3101" s="74" t="s">
        <v>450</v>
      </c>
      <c r="U3101" s="74" t="s">
        <v>351</v>
      </c>
      <c r="V3101" s="74">
        <v>44307</v>
      </c>
      <c r="W3101" s="74">
        <v>44337</v>
      </c>
      <c r="X3101" s="55">
        <v>10187437</v>
      </c>
      <c r="Y3101" s="55" t="s">
        <v>132</v>
      </c>
      <c r="AB3101" s="74" t="s">
        <v>132</v>
      </c>
      <c r="AC3101" s="55" t="s">
        <v>132</v>
      </c>
      <c r="AL3101" s="74"/>
      <c r="AM3101" s="74"/>
      <c r="AW3101" s="74"/>
      <c r="AX3101" s="74"/>
    </row>
    <row r="3102" spans="1:50" ht="13" x14ac:dyDescent="0.15">
      <c r="A3102" s="55" t="str">
        <f>HYPERLINK("http://reports.ofsted.gov.uk/inspection-reports/find-inspection-report/provider/CARE/SC441553","Ofsted Social Care Provider Webpage")</f>
        <v>Ofsted Social Care Provider Webpage</v>
      </c>
      <c r="B3102" s="55" t="s">
        <v>5753</v>
      </c>
      <c r="D3102" s="55" t="s">
        <v>373</v>
      </c>
      <c r="E3102" s="74">
        <v>40942</v>
      </c>
      <c r="F3102" s="55" t="s">
        <v>344</v>
      </c>
      <c r="G3102" s="55" t="s">
        <v>360</v>
      </c>
      <c r="H3102" s="55" t="s">
        <v>360</v>
      </c>
      <c r="I3102" s="55" t="s">
        <v>360</v>
      </c>
      <c r="J3102" s="55" t="s">
        <v>360</v>
      </c>
      <c r="K3102" s="55" t="s">
        <v>360</v>
      </c>
      <c r="L3102" s="55" t="s">
        <v>360</v>
      </c>
      <c r="M3102" s="55" t="s">
        <v>378</v>
      </c>
      <c r="N3102" s="55" t="s">
        <v>134</v>
      </c>
      <c r="O3102" s="55" t="s">
        <v>225</v>
      </c>
      <c r="P3102" s="55" t="s">
        <v>1667</v>
      </c>
      <c r="Q3102" s="55" t="s">
        <v>380</v>
      </c>
      <c r="R3102" s="85">
        <v>5</v>
      </c>
      <c r="S3102" s="55">
        <v>0</v>
      </c>
      <c r="T3102" s="74" t="s">
        <v>1668</v>
      </c>
      <c r="U3102" s="74" t="s">
        <v>351</v>
      </c>
      <c r="V3102" s="74">
        <v>44481</v>
      </c>
      <c r="W3102" s="74">
        <v>44522</v>
      </c>
      <c r="X3102" s="55">
        <v>10185027</v>
      </c>
      <c r="Y3102" s="55" t="s">
        <v>132</v>
      </c>
      <c r="AB3102" s="74" t="s">
        <v>132</v>
      </c>
      <c r="AC3102" s="55" t="s">
        <v>132</v>
      </c>
      <c r="AL3102" s="74"/>
      <c r="AM3102" s="74"/>
    </row>
    <row r="3103" spans="1:50" ht="13" x14ac:dyDescent="0.15">
      <c r="A3103" s="55" t="str">
        <f>HYPERLINK("http://reports.ofsted.gov.uk/inspection-reports/find-inspection-report/provider/CARE/SC441717","Ofsted Social Care Provider Webpage")</f>
        <v>Ofsted Social Care Provider Webpage</v>
      </c>
      <c r="B3103" s="55" t="s">
        <v>5754</v>
      </c>
      <c r="D3103" s="55" t="s">
        <v>373</v>
      </c>
      <c r="E3103" s="74">
        <v>41009</v>
      </c>
      <c r="F3103" s="55" t="s">
        <v>344</v>
      </c>
      <c r="G3103" s="55" t="s">
        <v>360</v>
      </c>
      <c r="H3103" s="55" t="s">
        <v>360</v>
      </c>
      <c r="I3103" s="55" t="s">
        <v>360</v>
      </c>
      <c r="J3103" s="55" t="s">
        <v>360</v>
      </c>
      <c r="K3103" s="55" t="s">
        <v>360</v>
      </c>
      <c r="L3103" s="55" t="s">
        <v>360</v>
      </c>
      <c r="M3103" s="55" t="s">
        <v>144</v>
      </c>
      <c r="N3103" s="55" t="s">
        <v>144</v>
      </c>
      <c r="O3103" s="55" t="s">
        <v>209</v>
      </c>
      <c r="P3103" s="55" t="s">
        <v>650</v>
      </c>
      <c r="Q3103" s="55" t="s">
        <v>350</v>
      </c>
      <c r="R3103" s="85">
        <v>4</v>
      </c>
      <c r="S3103" s="55">
        <v>0</v>
      </c>
      <c r="T3103" s="74" t="s">
        <v>2574</v>
      </c>
      <c r="U3103" s="74" t="s">
        <v>351</v>
      </c>
      <c r="V3103" s="74">
        <v>44425</v>
      </c>
      <c r="W3103" s="74">
        <v>44469</v>
      </c>
      <c r="X3103" s="55">
        <v>10186176</v>
      </c>
      <c r="Y3103" s="55" t="s">
        <v>130</v>
      </c>
      <c r="AB3103" s="74" t="s">
        <v>130</v>
      </c>
      <c r="AC3103" s="55" t="s">
        <v>130</v>
      </c>
      <c r="AL3103" s="74"/>
      <c r="AM3103" s="74"/>
      <c r="AW3103" s="74"/>
      <c r="AX3103" s="74"/>
    </row>
    <row r="3104" spans="1:50" ht="13" x14ac:dyDescent="0.15">
      <c r="A3104" s="55" t="str">
        <f>HYPERLINK("http://reports.ofsted.gov.uk/inspection-reports/find-inspection-report/provider/CARE/SC441865","Ofsted Social Care Provider Webpage")</f>
        <v>Ofsted Social Care Provider Webpage</v>
      </c>
      <c r="B3104" s="55" t="s">
        <v>5755</v>
      </c>
      <c r="D3104" s="55" t="s">
        <v>373</v>
      </c>
      <c r="E3104" s="74">
        <v>41119</v>
      </c>
      <c r="F3104" s="55" t="s">
        <v>344</v>
      </c>
      <c r="G3104" s="55" t="s">
        <v>360</v>
      </c>
      <c r="H3104" s="55" t="s">
        <v>360</v>
      </c>
      <c r="I3104" s="55" t="s">
        <v>360</v>
      </c>
      <c r="J3104" s="55" t="s">
        <v>360</v>
      </c>
      <c r="K3104" s="55" t="s">
        <v>360</v>
      </c>
      <c r="L3104" s="55" t="s">
        <v>360</v>
      </c>
      <c r="M3104" s="55" t="s">
        <v>172</v>
      </c>
      <c r="N3104" s="55" t="s">
        <v>172</v>
      </c>
      <c r="O3104" s="55" t="s">
        <v>235</v>
      </c>
      <c r="P3104" s="55" t="s">
        <v>494</v>
      </c>
      <c r="Q3104" s="55" t="s">
        <v>362</v>
      </c>
      <c r="R3104" s="85">
        <v>3</v>
      </c>
      <c r="S3104" s="55">
        <v>0</v>
      </c>
      <c r="T3104" s="74" t="s">
        <v>5756</v>
      </c>
      <c r="U3104" s="74" t="s">
        <v>351</v>
      </c>
      <c r="V3104" s="74">
        <v>44516</v>
      </c>
      <c r="W3104" s="74">
        <v>44559</v>
      </c>
      <c r="X3104" s="55">
        <v>10187040</v>
      </c>
      <c r="Y3104" s="55" t="s">
        <v>132</v>
      </c>
      <c r="AB3104" s="74" t="s">
        <v>132</v>
      </c>
      <c r="AC3104" s="55" t="s">
        <v>132</v>
      </c>
      <c r="AL3104" s="74"/>
      <c r="AM3104" s="74"/>
      <c r="AW3104" s="74"/>
      <c r="AX3104" s="74"/>
    </row>
    <row r="3105" spans="1:50" ht="13" x14ac:dyDescent="0.15">
      <c r="A3105" s="55" t="str">
        <f>HYPERLINK("http://reports.ofsted.gov.uk/inspection-reports/find-inspection-report/provider/CARE/SC442553","Ofsted Social Care Provider Webpage")</f>
        <v>Ofsted Social Care Provider Webpage</v>
      </c>
      <c r="B3105" s="55" t="s">
        <v>5766</v>
      </c>
      <c r="D3105" s="55" t="s">
        <v>389</v>
      </c>
      <c r="E3105" s="74">
        <v>40984</v>
      </c>
      <c r="F3105" s="55" t="s">
        <v>344</v>
      </c>
      <c r="G3105" s="55" t="s">
        <v>5767</v>
      </c>
      <c r="H3105" s="55" t="s">
        <v>5768</v>
      </c>
      <c r="I3105" s="55" t="s">
        <v>5769</v>
      </c>
      <c r="J3105" s="55" t="s">
        <v>5770</v>
      </c>
      <c r="K3105" s="55" t="s">
        <v>176</v>
      </c>
      <c r="L3105" s="55" t="s">
        <v>5771</v>
      </c>
      <c r="M3105" s="55" t="s">
        <v>136</v>
      </c>
      <c r="N3105" s="55" t="s">
        <v>136</v>
      </c>
      <c r="O3105" s="55" t="s">
        <v>176</v>
      </c>
      <c r="P3105" s="55" t="s">
        <v>1832</v>
      </c>
      <c r="Q3105" s="55" t="s">
        <v>350</v>
      </c>
      <c r="S3105" s="55">
        <v>0</v>
      </c>
      <c r="T3105" s="74" t="s">
        <v>5767</v>
      </c>
      <c r="U3105" s="74" t="s">
        <v>351</v>
      </c>
      <c r="V3105" s="74">
        <v>44459</v>
      </c>
      <c r="W3105" s="74">
        <v>44498</v>
      </c>
      <c r="X3105" s="55">
        <v>10183423</v>
      </c>
      <c r="Y3105" s="55" t="s">
        <v>132</v>
      </c>
      <c r="AB3105" s="74" t="s">
        <v>132</v>
      </c>
      <c r="AC3105" s="55" t="s">
        <v>130</v>
      </c>
      <c r="AL3105" s="74"/>
      <c r="AM3105" s="74"/>
      <c r="AW3105" s="74"/>
      <c r="AX3105" s="74"/>
    </row>
    <row r="3106" spans="1:50" ht="13" x14ac:dyDescent="0.15">
      <c r="A3106" s="55" t="str">
        <f>HYPERLINK("http://reports.ofsted.gov.uk/inspection-reports/find-inspection-report/provider/CARE/SC442774","Ofsted Social Care Provider Webpage")</f>
        <v>Ofsted Social Care Provider Webpage</v>
      </c>
      <c r="B3106" s="55" t="s">
        <v>5772</v>
      </c>
      <c r="D3106" s="55" t="s">
        <v>389</v>
      </c>
      <c r="E3106" s="74">
        <v>40983</v>
      </c>
      <c r="F3106" s="55" t="s">
        <v>344</v>
      </c>
      <c r="G3106" s="55" t="s">
        <v>5773</v>
      </c>
      <c r="H3106" s="55" t="s">
        <v>5774</v>
      </c>
      <c r="I3106" s="55" t="s">
        <v>5775</v>
      </c>
      <c r="J3106" s="55" t="s">
        <v>1768</v>
      </c>
      <c r="K3106" s="55" t="s">
        <v>224</v>
      </c>
      <c r="L3106" s="55" t="s">
        <v>5776</v>
      </c>
      <c r="M3106" s="55" t="s">
        <v>138</v>
      </c>
      <c r="N3106" s="55" t="s">
        <v>138</v>
      </c>
      <c r="O3106" s="55" t="s">
        <v>224</v>
      </c>
      <c r="P3106" s="55" t="s">
        <v>1530</v>
      </c>
      <c r="Q3106" s="55" t="s">
        <v>350</v>
      </c>
      <c r="S3106" s="55">
        <v>0</v>
      </c>
      <c r="T3106" s="74" t="s">
        <v>4591</v>
      </c>
      <c r="U3106" s="74" t="s">
        <v>351</v>
      </c>
      <c r="V3106" s="74">
        <v>44333</v>
      </c>
      <c r="W3106" s="74">
        <v>44365</v>
      </c>
      <c r="X3106" s="55">
        <v>10183350</v>
      </c>
      <c r="Y3106" s="55" t="s">
        <v>132</v>
      </c>
      <c r="AB3106" s="74" t="s">
        <v>132</v>
      </c>
      <c r="AC3106" s="55" t="s">
        <v>130</v>
      </c>
      <c r="AL3106" s="74"/>
      <c r="AM3106" s="74"/>
      <c r="AW3106" s="74"/>
      <c r="AX3106" s="74"/>
    </row>
    <row r="3107" spans="1:50" ht="13" x14ac:dyDescent="0.15">
      <c r="A3107" s="55" t="str">
        <f>HYPERLINK("http://reports.ofsted.gov.uk/inspection-reports/find-inspection-report/provider/CARE/SC442777","Ofsted Social Care Provider Webpage")</f>
        <v>Ofsted Social Care Provider Webpage</v>
      </c>
      <c r="B3107" s="55" t="s">
        <v>5777</v>
      </c>
      <c r="D3107" s="55" t="s">
        <v>373</v>
      </c>
      <c r="E3107" s="74">
        <v>40987</v>
      </c>
      <c r="F3107" s="55" t="s">
        <v>344</v>
      </c>
      <c r="G3107" s="55" t="s">
        <v>360</v>
      </c>
      <c r="H3107" s="55" t="s">
        <v>360</v>
      </c>
      <c r="I3107" s="55" t="s">
        <v>360</v>
      </c>
      <c r="J3107" s="55" t="s">
        <v>360</v>
      </c>
      <c r="K3107" s="55" t="s">
        <v>360</v>
      </c>
      <c r="L3107" s="55" t="s">
        <v>360</v>
      </c>
      <c r="M3107" s="55" t="s">
        <v>144</v>
      </c>
      <c r="N3107" s="55" t="s">
        <v>144</v>
      </c>
      <c r="O3107" s="55" t="s">
        <v>281</v>
      </c>
      <c r="P3107" s="55" t="s">
        <v>725</v>
      </c>
      <c r="Q3107" s="55" t="s">
        <v>380</v>
      </c>
      <c r="R3107" s="85">
        <v>3</v>
      </c>
      <c r="S3107" s="55" t="s">
        <v>332</v>
      </c>
      <c r="T3107" s="74" t="s">
        <v>2081</v>
      </c>
      <c r="U3107" s="74" t="s">
        <v>351</v>
      </c>
      <c r="V3107" s="74">
        <v>44404</v>
      </c>
      <c r="W3107" s="74">
        <v>44449</v>
      </c>
      <c r="X3107" s="55">
        <v>10187506</v>
      </c>
      <c r="Y3107" s="55" t="s">
        <v>140</v>
      </c>
      <c r="AB3107" s="74" t="s">
        <v>140</v>
      </c>
      <c r="AC3107" s="55" t="s">
        <v>140</v>
      </c>
      <c r="AL3107" s="74"/>
      <c r="AM3107" s="74"/>
      <c r="AW3107" s="74"/>
      <c r="AX3107" s="74"/>
    </row>
    <row r="3108" spans="1:50" ht="13" x14ac:dyDescent="0.15">
      <c r="A3108" s="55" t="str">
        <f>HYPERLINK("http://reports.ofsted.gov.uk/inspection-reports/find-inspection-report/provider/CARE/SC442864","Ofsted Social Care Provider Webpage")</f>
        <v>Ofsted Social Care Provider Webpage</v>
      </c>
      <c r="B3108" s="55" t="s">
        <v>5786</v>
      </c>
      <c r="D3108" s="55" t="s">
        <v>373</v>
      </c>
      <c r="E3108" s="74">
        <v>40977</v>
      </c>
      <c r="F3108" s="55" t="s">
        <v>344</v>
      </c>
      <c r="G3108" s="55" t="s">
        <v>360</v>
      </c>
      <c r="H3108" s="55" t="s">
        <v>360</v>
      </c>
      <c r="I3108" s="55" t="s">
        <v>360</v>
      </c>
      <c r="J3108" s="55" t="s">
        <v>360</v>
      </c>
      <c r="K3108" s="55" t="s">
        <v>360</v>
      </c>
      <c r="L3108" s="55" t="s">
        <v>360</v>
      </c>
      <c r="M3108" s="55" t="s">
        <v>144</v>
      </c>
      <c r="N3108" s="55" t="s">
        <v>144</v>
      </c>
      <c r="O3108" s="55" t="s">
        <v>245</v>
      </c>
      <c r="P3108" s="55" t="s">
        <v>245</v>
      </c>
      <c r="Q3108" s="55" t="s">
        <v>350</v>
      </c>
      <c r="R3108" s="85">
        <v>3</v>
      </c>
      <c r="S3108" s="55">
        <v>0</v>
      </c>
      <c r="T3108" s="74" t="s">
        <v>613</v>
      </c>
      <c r="U3108" s="74" t="s">
        <v>351</v>
      </c>
      <c r="V3108" s="74">
        <v>44571</v>
      </c>
      <c r="W3108" s="74">
        <v>44600</v>
      </c>
      <c r="X3108" s="55">
        <v>10187071</v>
      </c>
      <c r="Y3108" s="55" t="s">
        <v>132</v>
      </c>
      <c r="AB3108" s="74" t="s">
        <v>132</v>
      </c>
      <c r="AC3108" s="55" t="s">
        <v>132</v>
      </c>
      <c r="AL3108" s="74"/>
      <c r="AM3108" s="74"/>
      <c r="AW3108" s="74"/>
      <c r="AX3108" s="74"/>
    </row>
    <row r="3109" spans="1:50" ht="13" x14ac:dyDescent="0.15">
      <c r="A3109" s="55" t="str">
        <f>HYPERLINK("http://reports.ofsted.gov.uk/inspection-reports/find-inspection-report/provider/CARE/SC443009","Ofsted Social Care Provider Webpage")</f>
        <v>Ofsted Social Care Provider Webpage</v>
      </c>
      <c r="B3109" s="55" t="s">
        <v>5788</v>
      </c>
      <c r="D3109" s="55" t="s">
        <v>373</v>
      </c>
      <c r="E3109" s="74">
        <v>41050</v>
      </c>
      <c r="F3109" s="55" t="s">
        <v>344</v>
      </c>
      <c r="G3109" s="55" t="s">
        <v>360</v>
      </c>
      <c r="H3109" s="55" t="s">
        <v>360</v>
      </c>
      <c r="I3109" s="55" t="s">
        <v>360</v>
      </c>
      <c r="J3109" s="55" t="s">
        <v>360</v>
      </c>
      <c r="K3109" s="55" t="s">
        <v>360</v>
      </c>
      <c r="L3109" s="55" t="s">
        <v>360</v>
      </c>
      <c r="M3109" s="55" t="s">
        <v>138</v>
      </c>
      <c r="N3109" s="55" t="s">
        <v>138</v>
      </c>
      <c r="O3109" s="55" t="s">
        <v>266</v>
      </c>
      <c r="P3109" s="55" t="s">
        <v>4472</v>
      </c>
      <c r="Q3109" s="55" t="s">
        <v>350</v>
      </c>
      <c r="R3109" s="85">
        <v>6</v>
      </c>
      <c r="S3109" s="55">
        <v>0</v>
      </c>
      <c r="T3109" s="74" t="s">
        <v>5607</v>
      </c>
      <c r="U3109" s="74" t="s">
        <v>351</v>
      </c>
      <c r="V3109" s="74">
        <v>44356</v>
      </c>
      <c r="W3109" s="74">
        <v>44389</v>
      </c>
      <c r="X3109" s="55">
        <v>10187377</v>
      </c>
      <c r="Y3109" s="55" t="s">
        <v>132</v>
      </c>
      <c r="AB3109" s="74" t="s">
        <v>132</v>
      </c>
      <c r="AC3109" s="55" t="s">
        <v>132</v>
      </c>
      <c r="AL3109" s="74"/>
      <c r="AM3109" s="74"/>
      <c r="AW3109" s="74"/>
      <c r="AX3109" s="74"/>
    </row>
    <row r="3110" spans="1:50" ht="13" x14ac:dyDescent="0.15">
      <c r="A3110" s="55" t="str">
        <f>HYPERLINK("http://reports.ofsted.gov.uk/inspection-reports/find-inspection-report/provider/CARE/SC443708","Ofsted Social Care Provider Webpage")</f>
        <v>Ofsted Social Care Provider Webpage</v>
      </c>
      <c r="B3110" s="55" t="s">
        <v>5791</v>
      </c>
      <c r="D3110" s="55" t="s">
        <v>373</v>
      </c>
      <c r="E3110" s="74">
        <v>41134</v>
      </c>
      <c r="F3110" s="55" t="s">
        <v>344</v>
      </c>
      <c r="G3110" s="55" t="s">
        <v>360</v>
      </c>
      <c r="H3110" s="55" t="s">
        <v>360</v>
      </c>
      <c r="I3110" s="55" t="s">
        <v>360</v>
      </c>
      <c r="J3110" s="55" t="s">
        <v>360</v>
      </c>
      <c r="K3110" s="55" t="s">
        <v>360</v>
      </c>
      <c r="L3110" s="55" t="s">
        <v>360</v>
      </c>
      <c r="M3110" s="55" t="s">
        <v>142</v>
      </c>
      <c r="N3110" s="55" t="s">
        <v>142</v>
      </c>
      <c r="O3110" s="55" t="s">
        <v>252</v>
      </c>
      <c r="P3110" s="55" t="s">
        <v>386</v>
      </c>
      <c r="Q3110" s="55" t="s">
        <v>350</v>
      </c>
      <c r="R3110" s="85">
        <v>4</v>
      </c>
      <c r="S3110" s="55">
        <v>0</v>
      </c>
      <c r="T3110" s="74" t="s">
        <v>1805</v>
      </c>
      <c r="U3110" s="74" t="s">
        <v>351</v>
      </c>
      <c r="V3110" s="74">
        <v>44467</v>
      </c>
      <c r="W3110" s="74">
        <v>44522</v>
      </c>
      <c r="X3110" s="55">
        <v>10186724</v>
      </c>
      <c r="Y3110" s="55" t="s">
        <v>132</v>
      </c>
      <c r="AB3110" s="74" t="s">
        <v>132</v>
      </c>
      <c r="AC3110" s="55" t="s">
        <v>130</v>
      </c>
      <c r="AL3110" s="74"/>
      <c r="AM3110" s="74"/>
      <c r="AW3110" s="74"/>
      <c r="AX3110" s="74"/>
    </row>
    <row r="3111" spans="1:50" ht="13" x14ac:dyDescent="0.15">
      <c r="A3111" s="55" t="str">
        <f>HYPERLINK("http://reports.ofsted.gov.uk/inspection-reports/find-inspection-report/provider/CARE/SC443765","Ofsted Social Care Provider Webpage")</f>
        <v>Ofsted Social Care Provider Webpage</v>
      </c>
      <c r="B3111" s="55" t="s">
        <v>5792</v>
      </c>
      <c r="D3111" s="55" t="s">
        <v>373</v>
      </c>
      <c r="E3111" s="74">
        <v>41038</v>
      </c>
      <c r="F3111" s="55" t="s">
        <v>344</v>
      </c>
      <c r="G3111" s="55" t="s">
        <v>360</v>
      </c>
      <c r="H3111" s="55" t="s">
        <v>360</v>
      </c>
      <c r="I3111" s="55" t="s">
        <v>360</v>
      </c>
      <c r="J3111" s="55" t="s">
        <v>360</v>
      </c>
      <c r="K3111" s="55" t="s">
        <v>360</v>
      </c>
      <c r="L3111" s="55" t="s">
        <v>360</v>
      </c>
      <c r="M3111" s="55" t="s">
        <v>144</v>
      </c>
      <c r="N3111" s="55" t="s">
        <v>144</v>
      </c>
      <c r="O3111" s="55" t="s">
        <v>168</v>
      </c>
      <c r="P3111" s="55" t="s">
        <v>834</v>
      </c>
      <c r="Q3111" s="55" t="s">
        <v>350</v>
      </c>
      <c r="R3111" s="85">
        <v>3</v>
      </c>
      <c r="S3111" s="55">
        <v>0</v>
      </c>
      <c r="T3111" s="74" t="s">
        <v>5551</v>
      </c>
      <c r="U3111" s="74" t="s">
        <v>351</v>
      </c>
      <c r="V3111" s="74">
        <v>44531</v>
      </c>
      <c r="W3111" s="74">
        <v>44594</v>
      </c>
      <c r="X3111" s="55">
        <v>10187029</v>
      </c>
      <c r="Y3111" s="55" t="s">
        <v>132</v>
      </c>
      <c r="AB3111" s="74" t="s">
        <v>132</v>
      </c>
      <c r="AC3111" s="55" t="s">
        <v>132</v>
      </c>
      <c r="AL3111" s="74"/>
      <c r="AM3111" s="74"/>
    </row>
    <row r="3112" spans="1:50" ht="13" x14ac:dyDescent="0.15">
      <c r="A3112" s="55" t="str">
        <f>HYPERLINK("http://reports.ofsted.gov.uk/inspection-reports/find-inspection-report/provider/CARE/SC443959","Ofsted Social Care Provider Webpage")</f>
        <v>Ofsted Social Care Provider Webpage</v>
      </c>
      <c r="B3112" s="55" t="s">
        <v>5799</v>
      </c>
      <c r="D3112" s="55" t="s">
        <v>373</v>
      </c>
      <c r="E3112" s="74">
        <v>41032</v>
      </c>
      <c r="F3112" s="55" t="s">
        <v>344</v>
      </c>
      <c r="G3112" s="55" t="s">
        <v>360</v>
      </c>
      <c r="H3112" s="55" t="s">
        <v>360</v>
      </c>
      <c r="I3112" s="55" t="s">
        <v>360</v>
      </c>
      <c r="J3112" s="55" t="s">
        <v>360</v>
      </c>
      <c r="K3112" s="55" t="s">
        <v>360</v>
      </c>
      <c r="L3112" s="55" t="s">
        <v>360</v>
      </c>
      <c r="M3112" s="55" t="s">
        <v>144</v>
      </c>
      <c r="N3112" s="55" t="s">
        <v>144</v>
      </c>
      <c r="O3112" s="55" t="s">
        <v>209</v>
      </c>
      <c r="P3112" s="55" t="s">
        <v>555</v>
      </c>
      <c r="Q3112" s="55" t="s">
        <v>350</v>
      </c>
      <c r="R3112" s="85">
        <v>8</v>
      </c>
      <c r="S3112" s="55">
        <v>0</v>
      </c>
      <c r="T3112" s="74" t="s">
        <v>5476</v>
      </c>
      <c r="U3112" s="74" t="s">
        <v>351</v>
      </c>
      <c r="V3112" s="74">
        <v>44628</v>
      </c>
      <c r="W3112" s="74">
        <v>44676</v>
      </c>
      <c r="X3112" s="55">
        <v>10186966</v>
      </c>
      <c r="Y3112" s="55" t="s">
        <v>132</v>
      </c>
      <c r="AB3112" s="74" t="s">
        <v>132</v>
      </c>
      <c r="AC3112" s="55" t="s">
        <v>132</v>
      </c>
      <c r="AL3112" s="74"/>
      <c r="AM3112" s="74"/>
      <c r="AW3112" s="74"/>
      <c r="AX3112" s="74"/>
    </row>
    <row r="3113" spans="1:50" ht="13" x14ac:dyDescent="0.15">
      <c r="A3113" s="55" t="str">
        <f>HYPERLINK("http://reports.ofsted.gov.uk/inspection-reports/find-inspection-report/provider/CARE/SC444176","Ofsted Social Care Provider Webpage")</f>
        <v>Ofsted Social Care Provider Webpage</v>
      </c>
      <c r="B3113" s="55" t="s">
        <v>5800</v>
      </c>
      <c r="D3113" s="55" t="s">
        <v>373</v>
      </c>
      <c r="E3113" s="74">
        <v>40984</v>
      </c>
      <c r="F3113" s="55" t="s">
        <v>344</v>
      </c>
      <c r="G3113" s="55" t="s">
        <v>360</v>
      </c>
      <c r="H3113" s="55" t="s">
        <v>360</v>
      </c>
      <c r="I3113" s="55" t="s">
        <v>360</v>
      </c>
      <c r="J3113" s="55" t="s">
        <v>360</v>
      </c>
      <c r="K3113" s="55" t="s">
        <v>360</v>
      </c>
      <c r="L3113" s="55" t="s">
        <v>360</v>
      </c>
      <c r="M3113" s="55" t="s">
        <v>138</v>
      </c>
      <c r="N3113" s="55" t="s">
        <v>138</v>
      </c>
      <c r="O3113" s="55" t="s">
        <v>196</v>
      </c>
      <c r="P3113" s="55" t="s">
        <v>5801</v>
      </c>
      <c r="Q3113" s="55" t="s">
        <v>380</v>
      </c>
      <c r="R3113" s="85">
        <v>4</v>
      </c>
      <c r="S3113" s="55">
        <v>0</v>
      </c>
      <c r="T3113" s="74" t="s">
        <v>2082</v>
      </c>
      <c r="U3113" s="74" t="s">
        <v>351</v>
      </c>
      <c r="V3113" s="74">
        <v>44607</v>
      </c>
      <c r="W3113" s="74">
        <v>44648</v>
      </c>
      <c r="X3113" s="55">
        <v>10186384</v>
      </c>
      <c r="Y3113" s="55" t="s">
        <v>132</v>
      </c>
      <c r="AB3113" s="74" t="s">
        <v>132</v>
      </c>
      <c r="AC3113" s="55" t="s">
        <v>132</v>
      </c>
      <c r="AL3113" s="74"/>
      <c r="AM3113" s="74"/>
      <c r="AW3113" s="74"/>
      <c r="AX3113" s="74"/>
    </row>
    <row r="3114" spans="1:50" ht="13" x14ac:dyDescent="0.15">
      <c r="A3114" s="55" t="str">
        <f>HYPERLINK("http://reports.ofsted.gov.uk/inspection-reports/find-inspection-report/provider/CARE/SC444289","Ofsted Social Care Provider Webpage")</f>
        <v>Ofsted Social Care Provider Webpage</v>
      </c>
      <c r="B3114" s="55" t="s">
        <v>5802</v>
      </c>
      <c r="D3114" s="55" t="s">
        <v>373</v>
      </c>
      <c r="E3114" s="74">
        <v>41093</v>
      </c>
      <c r="F3114" s="55" t="s">
        <v>344</v>
      </c>
      <c r="G3114" s="55" t="s">
        <v>360</v>
      </c>
      <c r="H3114" s="55" t="s">
        <v>360</v>
      </c>
      <c r="I3114" s="55" t="s">
        <v>360</v>
      </c>
      <c r="J3114" s="55" t="s">
        <v>360</v>
      </c>
      <c r="K3114" s="55" t="s">
        <v>360</v>
      </c>
      <c r="L3114" s="55" t="s">
        <v>360</v>
      </c>
      <c r="M3114" s="55" t="s">
        <v>378</v>
      </c>
      <c r="N3114" s="55" t="s">
        <v>134</v>
      </c>
      <c r="O3114" s="55" t="s">
        <v>232</v>
      </c>
      <c r="P3114" s="55" t="s">
        <v>491</v>
      </c>
      <c r="Q3114" s="55" t="s">
        <v>350</v>
      </c>
      <c r="R3114" s="85">
        <v>4</v>
      </c>
      <c r="S3114" s="55">
        <v>0</v>
      </c>
      <c r="T3114" s="74" t="s">
        <v>2367</v>
      </c>
      <c r="U3114" s="74" t="s">
        <v>351</v>
      </c>
      <c r="V3114" s="74">
        <v>44566</v>
      </c>
      <c r="W3114" s="74">
        <v>44616</v>
      </c>
      <c r="X3114" s="55">
        <v>10187274</v>
      </c>
      <c r="Y3114" s="55" t="s">
        <v>132</v>
      </c>
      <c r="AB3114" s="74" t="s">
        <v>132</v>
      </c>
      <c r="AC3114" s="55" t="s">
        <v>140</v>
      </c>
      <c r="AL3114" s="74"/>
      <c r="AM3114" s="74"/>
      <c r="AW3114" s="74"/>
      <c r="AX3114" s="74"/>
    </row>
    <row r="3115" spans="1:50" ht="13" x14ac:dyDescent="0.15">
      <c r="A3115" s="55" t="str">
        <f>HYPERLINK("http://reports.ofsted.gov.uk/inspection-reports/find-inspection-report/provider/CARE/SC444411","Ofsted Social Care Provider Webpage")</f>
        <v>Ofsted Social Care Provider Webpage</v>
      </c>
      <c r="B3115" s="55" t="s">
        <v>5803</v>
      </c>
      <c r="D3115" s="55" t="s">
        <v>373</v>
      </c>
      <c r="E3115" s="74">
        <v>41096</v>
      </c>
      <c r="F3115" s="55" t="s">
        <v>344</v>
      </c>
      <c r="G3115" s="55" t="s">
        <v>360</v>
      </c>
      <c r="H3115" s="55" t="s">
        <v>360</v>
      </c>
      <c r="I3115" s="55" t="s">
        <v>360</v>
      </c>
      <c r="J3115" s="55" t="s">
        <v>360</v>
      </c>
      <c r="K3115" s="55" t="s">
        <v>360</v>
      </c>
      <c r="L3115" s="55" t="s">
        <v>360</v>
      </c>
      <c r="M3115" s="55" t="s">
        <v>144</v>
      </c>
      <c r="N3115" s="55" t="s">
        <v>144</v>
      </c>
      <c r="O3115" s="55" t="s">
        <v>215</v>
      </c>
      <c r="P3115" s="55" t="s">
        <v>655</v>
      </c>
      <c r="Q3115" s="55" t="s">
        <v>362</v>
      </c>
      <c r="R3115" s="85">
        <v>1</v>
      </c>
      <c r="S3115" s="55">
        <v>0</v>
      </c>
      <c r="T3115" s="74" t="s">
        <v>5438</v>
      </c>
      <c r="U3115" s="74" t="s">
        <v>351</v>
      </c>
      <c r="V3115" s="74">
        <v>44453</v>
      </c>
      <c r="W3115" s="74">
        <v>44495</v>
      </c>
      <c r="X3115" s="55">
        <v>10186500</v>
      </c>
      <c r="Y3115" s="55" t="s">
        <v>130</v>
      </c>
      <c r="AB3115" s="74" t="s">
        <v>130</v>
      </c>
      <c r="AC3115" s="55" t="s">
        <v>130</v>
      </c>
      <c r="AL3115" s="74"/>
      <c r="AM3115" s="74"/>
    </row>
    <row r="3116" spans="1:50" ht="13" x14ac:dyDescent="0.15">
      <c r="A3116" s="55" t="str">
        <f>HYPERLINK("http://reports.ofsted.gov.uk/inspection-reports/find-inspection-report/provider/CARE/SC444681","Ofsted Social Care Provider Webpage")</f>
        <v>Ofsted Social Care Provider Webpage</v>
      </c>
      <c r="B3116" s="55" t="s">
        <v>5804</v>
      </c>
      <c r="D3116" s="55" t="s">
        <v>373</v>
      </c>
      <c r="E3116" s="74">
        <v>41026</v>
      </c>
      <c r="F3116" s="55" t="s">
        <v>344</v>
      </c>
      <c r="G3116" s="55" t="s">
        <v>360</v>
      </c>
      <c r="H3116" s="55" t="s">
        <v>360</v>
      </c>
      <c r="I3116" s="55" t="s">
        <v>360</v>
      </c>
      <c r="J3116" s="55" t="s">
        <v>360</v>
      </c>
      <c r="K3116" s="55" t="s">
        <v>360</v>
      </c>
      <c r="L3116" s="55" t="s">
        <v>360</v>
      </c>
      <c r="M3116" s="55" t="s">
        <v>172</v>
      </c>
      <c r="N3116" s="55" t="s">
        <v>172</v>
      </c>
      <c r="O3116" s="55" t="s">
        <v>234</v>
      </c>
      <c r="P3116" s="55" t="s">
        <v>457</v>
      </c>
      <c r="Q3116" s="55" t="s">
        <v>362</v>
      </c>
      <c r="R3116" s="85">
        <v>3</v>
      </c>
      <c r="S3116" s="55">
        <v>0</v>
      </c>
      <c r="T3116" s="74" t="s">
        <v>458</v>
      </c>
      <c r="U3116" s="74" t="s">
        <v>351</v>
      </c>
      <c r="V3116" s="74">
        <v>44614</v>
      </c>
      <c r="W3116" s="74">
        <v>44656</v>
      </c>
      <c r="X3116" s="55">
        <v>10186850</v>
      </c>
      <c r="Y3116" s="55" t="s">
        <v>130</v>
      </c>
      <c r="AB3116" s="74" t="s">
        <v>130</v>
      </c>
      <c r="AC3116" s="55" t="s">
        <v>130</v>
      </c>
      <c r="AL3116" s="74"/>
      <c r="AM3116" s="74"/>
    </row>
    <row r="3117" spans="1:50" ht="13" x14ac:dyDescent="0.15">
      <c r="A3117" s="55" t="str">
        <f>HYPERLINK("http://reports.ofsted.gov.uk/inspection-reports/find-inspection-report/provider/CARE/SC444869","Ofsted Social Care Provider Webpage")</f>
        <v>Ofsted Social Care Provider Webpage</v>
      </c>
      <c r="B3117" s="55" t="s">
        <v>5805</v>
      </c>
      <c r="D3117" s="55" t="s">
        <v>373</v>
      </c>
      <c r="E3117" s="74">
        <v>41039</v>
      </c>
      <c r="F3117" s="55" t="s">
        <v>344</v>
      </c>
      <c r="G3117" s="55" t="s">
        <v>360</v>
      </c>
      <c r="H3117" s="55" t="s">
        <v>360</v>
      </c>
      <c r="I3117" s="55" t="s">
        <v>360</v>
      </c>
      <c r="J3117" s="55" t="s">
        <v>360</v>
      </c>
      <c r="K3117" s="55" t="s">
        <v>360</v>
      </c>
      <c r="L3117" s="55" t="s">
        <v>360</v>
      </c>
      <c r="M3117" s="55" t="s">
        <v>142</v>
      </c>
      <c r="N3117" s="55" t="s">
        <v>142</v>
      </c>
      <c r="O3117" s="55" t="s">
        <v>262</v>
      </c>
      <c r="P3117" s="55" t="s">
        <v>618</v>
      </c>
      <c r="Q3117" s="55" t="s">
        <v>350</v>
      </c>
      <c r="R3117" s="85">
        <v>15</v>
      </c>
      <c r="S3117" s="55">
        <v>0</v>
      </c>
      <c r="T3117" s="74" t="s">
        <v>5806</v>
      </c>
      <c r="U3117" s="74" t="s">
        <v>351</v>
      </c>
      <c r="V3117" s="74">
        <v>44522</v>
      </c>
      <c r="W3117" s="74">
        <v>44579</v>
      </c>
      <c r="X3117" s="55">
        <v>10186060</v>
      </c>
      <c r="Y3117" s="55" t="s">
        <v>130</v>
      </c>
      <c r="AB3117" s="74" t="s">
        <v>130</v>
      </c>
      <c r="AC3117" s="55" t="s">
        <v>130</v>
      </c>
      <c r="AL3117" s="74"/>
      <c r="AM3117" s="74"/>
      <c r="AW3117" s="74"/>
      <c r="AX3117" s="74"/>
    </row>
    <row r="3118" spans="1:50" ht="13" x14ac:dyDescent="0.15">
      <c r="A3118" s="55" t="str">
        <f>HYPERLINK("http://reports.ofsted.gov.uk/inspection-reports/find-inspection-report/provider/CARE/SC446152","Ofsted Social Care Provider Webpage")</f>
        <v>Ofsted Social Care Provider Webpage</v>
      </c>
      <c r="B3118" s="55" t="s">
        <v>5809</v>
      </c>
      <c r="D3118" s="55" t="s">
        <v>373</v>
      </c>
      <c r="E3118" s="74">
        <v>41103</v>
      </c>
      <c r="F3118" s="55" t="s">
        <v>344</v>
      </c>
      <c r="G3118" s="55" t="s">
        <v>360</v>
      </c>
      <c r="H3118" s="55" t="s">
        <v>360</v>
      </c>
      <c r="I3118" s="55" t="s">
        <v>360</v>
      </c>
      <c r="J3118" s="55" t="s">
        <v>360</v>
      </c>
      <c r="K3118" s="55" t="s">
        <v>360</v>
      </c>
      <c r="L3118" s="55" t="s">
        <v>360</v>
      </c>
      <c r="M3118" s="55" t="s">
        <v>142</v>
      </c>
      <c r="N3118" s="55" t="s">
        <v>142</v>
      </c>
      <c r="O3118" s="55" t="s">
        <v>141</v>
      </c>
      <c r="P3118" s="55" t="s">
        <v>1231</v>
      </c>
      <c r="Q3118" s="55" t="s">
        <v>350</v>
      </c>
      <c r="R3118" s="85">
        <v>3</v>
      </c>
      <c r="S3118" s="55">
        <v>0</v>
      </c>
      <c r="T3118" s="74" t="s">
        <v>1261</v>
      </c>
      <c r="U3118" s="74" t="s">
        <v>2053</v>
      </c>
      <c r="V3118" s="74">
        <v>44361</v>
      </c>
      <c r="W3118" s="74">
        <v>44389</v>
      </c>
      <c r="X3118" s="55">
        <v>10195668</v>
      </c>
      <c r="AL3118" s="74"/>
      <c r="AM3118" s="74"/>
      <c r="AW3118" s="74"/>
      <c r="AX3118" s="74"/>
    </row>
    <row r="3119" spans="1:50" ht="13" x14ac:dyDescent="0.15">
      <c r="A3119" s="55" t="str">
        <f>HYPERLINK("http://reports.ofsted.gov.uk/inspection-reports/find-inspection-report/provider/CARE/SC446152","Ofsted Social Care Provider Webpage")</f>
        <v>Ofsted Social Care Provider Webpage</v>
      </c>
      <c r="B3119" s="55" t="s">
        <v>5809</v>
      </c>
      <c r="D3119" s="55" t="s">
        <v>373</v>
      </c>
      <c r="E3119" s="74">
        <v>41103</v>
      </c>
      <c r="F3119" s="55" t="s">
        <v>344</v>
      </c>
      <c r="G3119" s="55" t="s">
        <v>360</v>
      </c>
      <c r="H3119" s="55" t="s">
        <v>360</v>
      </c>
      <c r="I3119" s="55" t="s">
        <v>360</v>
      </c>
      <c r="J3119" s="55" t="s">
        <v>360</v>
      </c>
      <c r="K3119" s="55" t="s">
        <v>360</v>
      </c>
      <c r="L3119" s="55" t="s">
        <v>360</v>
      </c>
      <c r="M3119" s="55" t="s">
        <v>142</v>
      </c>
      <c r="N3119" s="55" t="s">
        <v>142</v>
      </c>
      <c r="O3119" s="55" t="s">
        <v>141</v>
      </c>
      <c r="P3119" s="55" t="s">
        <v>1231</v>
      </c>
      <c r="Q3119" s="55" t="s">
        <v>350</v>
      </c>
      <c r="R3119" s="85">
        <v>3</v>
      </c>
      <c r="S3119" s="55">
        <v>0</v>
      </c>
      <c r="T3119" s="74" t="s">
        <v>1261</v>
      </c>
      <c r="U3119" s="74" t="s">
        <v>351</v>
      </c>
      <c r="V3119" s="74">
        <v>44328</v>
      </c>
      <c r="W3119" s="74">
        <v>44383</v>
      </c>
      <c r="X3119" s="55">
        <v>10186748</v>
      </c>
      <c r="Y3119" s="55" t="s">
        <v>146</v>
      </c>
      <c r="AB3119" s="74" t="s">
        <v>146</v>
      </c>
      <c r="AC3119" s="55" t="s">
        <v>146</v>
      </c>
      <c r="AL3119" s="74"/>
      <c r="AM3119" s="74"/>
      <c r="AW3119" s="74"/>
      <c r="AX3119" s="74"/>
    </row>
    <row r="3120" spans="1:50" ht="13" x14ac:dyDescent="0.15">
      <c r="A3120" s="55" t="str">
        <f>HYPERLINK("http://reports.ofsted.gov.uk/inspection-reports/find-inspection-report/provider/CARE/SC446152","Ofsted Social Care Provider Webpage")</f>
        <v>Ofsted Social Care Provider Webpage</v>
      </c>
      <c r="B3120" s="55" t="s">
        <v>5809</v>
      </c>
      <c r="D3120" s="55" t="s">
        <v>373</v>
      </c>
      <c r="E3120" s="74">
        <v>41103</v>
      </c>
      <c r="F3120" s="55" t="s">
        <v>344</v>
      </c>
      <c r="G3120" s="55" t="s">
        <v>360</v>
      </c>
      <c r="H3120" s="55" t="s">
        <v>360</v>
      </c>
      <c r="I3120" s="55" t="s">
        <v>360</v>
      </c>
      <c r="J3120" s="55" t="s">
        <v>360</v>
      </c>
      <c r="K3120" s="55" t="s">
        <v>360</v>
      </c>
      <c r="L3120" s="55" t="s">
        <v>360</v>
      </c>
      <c r="M3120" s="55" t="s">
        <v>142</v>
      </c>
      <c r="N3120" s="55" t="s">
        <v>142</v>
      </c>
      <c r="O3120" s="55" t="s">
        <v>141</v>
      </c>
      <c r="P3120" s="55" t="s">
        <v>1231</v>
      </c>
      <c r="Q3120" s="55" t="s">
        <v>350</v>
      </c>
      <c r="R3120" s="85">
        <v>3</v>
      </c>
      <c r="S3120" s="55">
        <v>0</v>
      </c>
      <c r="T3120" s="74" t="s">
        <v>1261</v>
      </c>
      <c r="U3120" s="74" t="s">
        <v>351</v>
      </c>
      <c r="V3120" s="74">
        <v>44440</v>
      </c>
      <c r="W3120" s="74">
        <v>44480</v>
      </c>
      <c r="X3120" s="55">
        <v>10195667</v>
      </c>
      <c r="Y3120" s="55" t="s">
        <v>132</v>
      </c>
      <c r="AB3120" s="74" t="s">
        <v>132</v>
      </c>
      <c r="AC3120" s="55" t="s">
        <v>132</v>
      </c>
      <c r="AL3120" s="74"/>
      <c r="AM3120" s="74"/>
      <c r="AW3120" s="74"/>
      <c r="AX3120" s="74"/>
    </row>
    <row r="3121" spans="1:50" ht="13" x14ac:dyDescent="0.15">
      <c r="A3121" s="55" t="str">
        <f>HYPERLINK("http://reports.ofsted.gov.uk/inspection-reports/find-inspection-report/provider/CARE/SC446325","Ofsted Social Care Provider Webpage")</f>
        <v>Ofsted Social Care Provider Webpage</v>
      </c>
      <c r="B3121" s="55" t="s">
        <v>5811</v>
      </c>
      <c r="D3121" s="55" t="s">
        <v>373</v>
      </c>
      <c r="E3121" s="74">
        <v>41057</v>
      </c>
      <c r="F3121" s="55" t="s">
        <v>344</v>
      </c>
      <c r="G3121" s="55" t="s">
        <v>360</v>
      </c>
      <c r="H3121" s="55" t="s">
        <v>360</v>
      </c>
      <c r="I3121" s="55" t="s">
        <v>360</v>
      </c>
      <c r="J3121" s="55" t="s">
        <v>360</v>
      </c>
      <c r="K3121" s="55" t="s">
        <v>360</v>
      </c>
      <c r="L3121" s="55" t="s">
        <v>360</v>
      </c>
      <c r="M3121" s="55" t="s">
        <v>144</v>
      </c>
      <c r="N3121" s="55" t="s">
        <v>144</v>
      </c>
      <c r="O3121" s="55" t="s">
        <v>217</v>
      </c>
      <c r="P3121" s="55" t="s">
        <v>1969</v>
      </c>
      <c r="Q3121" s="55" t="s">
        <v>350</v>
      </c>
      <c r="R3121" s="85">
        <v>2</v>
      </c>
      <c r="S3121" s="55">
        <v>0</v>
      </c>
      <c r="T3121" s="74" t="s">
        <v>385</v>
      </c>
      <c r="U3121" s="74" t="s">
        <v>351</v>
      </c>
      <c r="V3121" s="74">
        <v>44329</v>
      </c>
      <c r="W3121" s="74">
        <v>44364</v>
      </c>
      <c r="X3121" s="55">
        <v>10185359</v>
      </c>
      <c r="Y3121" s="55" t="s">
        <v>130</v>
      </c>
      <c r="AB3121" s="74" t="s">
        <v>130</v>
      </c>
      <c r="AC3121" s="55" t="s">
        <v>130</v>
      </c>
      <c r="AL3121" s="74"/>
      <c r="AM3121" s="74"/>
      <c r="AW3121" s="74"/>
      <c r="AX3121" s="74"/>
    </row>
    <row r="3122" spans="1:50" ht="13" x14ac:dyDescent="0.15">
      <c r="A3122" s="55" t="str">
        <f>HYPERLINK("http://reports.ofsted.gov.uk/inspection-reports/find-inspection-report/provider/CARE/SC446957","Ofsted Social Care Provider Webpage")</f>
        <v>Ofsted Social Care Provider Webpage</v>
      </c>
      <c r="B3122" s="55" t="s">
        <v>5817</v>
      </c>
      <c r="D3122" s="55" t="s">
        <v>373</v>
      </c>
      <c r="E3122" s="74">
        <v>41057</v>
      </c>
      <c r="F3122" s="55" t="s">
        <v>344</v>
      </c>
      <c r="G3122" s="55" t="s">
        <v>360</v>
      </c>
      <c r="H3122" s="55" t="s">
        <v>360</v>
      </c>
      <c r="I3122" s="55" t="s">
        <v>360</v>
      </c>
      <c r="J3122" s="55" t="s">
        <v>360</v>
      </c>
      <c r="K3122" s="55" t="s">
        <v>360</v>
      </c>
      <c r="L3122" s="55" t="s">
        <v>360</v>
      </c>
      <c r="M3122" s="55" t="s">
        <v>378</v>
      </c>
      <c r="N3122" s="55" t="s">
        <v>170</v>
      </c>
      <c r="O3122" s="55" t="s">
        <v>267</v>
      </c>
      <c r="P3122" s="55" t="s">
        <v>477</v>
      </c>
      <c r="Q3122" s="55" t="s">
        <v>362</v>
      </c>
      <c r="R3122" s="85">
        <v>4</v>
      </c>
      <c r="S3122" s="55">
        <v>0</v>
      </c>
      <c r="T3122" s="74" t="s">
        <v>5369</v>
      </c>
      <c r="U3122" s="74" t="s">
        <v>351</v>
      </c>
      <c r="V3122" s="74">
        <v>44508</v>
      </c>
      <c r="W3122" s="74">
        <v>44543</v>
      </c>
      <c r="X3122" s="55">
        <v>10187458</v>
      </c>
      <c r="Y3122" s="55" t="s">
        <v>132</v>
      </c>
      <c r="AB3122" s="74" t="s">
        <v>132</v>
      </c>
      <c r="AC3122" s="55" t="s">
        <v>130</v>
      </c>
      <c r="AL3122" s="74"/>
      <c r="AM3122" s="74"/>
      <c r="AW3122" s="74"/>
      <c r="AX3122" s="74"/>
    </row>
    <row r="3123" spans="1:50" ht="13" x14ac:dyDescent="0.15">
      <c r="A3123" s="55" t="str">
        <f>HYPERLINK("http://reports.ofsted.gov.uk/inspection-reports/find-inspection-report/provider/CARE/SC447457","Ofsted Social Care Provider Webpage")</f>
        <v>Ofsted Social Care Provider Webpage</v>
      </c>
      <c r="B3123" s="55" t="s">
        <v>5824</v>
      </c>
      <c r="D3123" s="55" t="s">
        <v>373</v>
      </c>
      <c r="E3123" s="74">
        <v>41100</v>
      </c>
      <c r="F3123" s="55" t="s">
        <v>344</v>
      </c>
      <c r="G3123" s="55" t="s">
        <v>360</v>
      </c>
      <c r="H3123" s="55" t="s">
        <v>360</v>
      </c>
      <c r="I3123" s="55" t="s">
        <v>360</v>
      </c>
      <c r="J3123" s="55" t="s">
        <v>360</v>
      </c>
      <c r="K3123" s="55" t="s">
        <v>360</v>
      </c>
      <c r="L3123" s="55" t="s">
        <v>360</v>
      </c>
      <c r="M3123" s="55" t="s">
        <v>142</v>
      </c>
      <c r="N3123" s="55" t="s">
        <v>142</v>
      </c>
      <c r="O3123" s="55" t="s">
        <v>262</v>
      </c>
      <c r="P3123" s="55" t="s">
        <v>692</v>
      </c>
      <c r="Q3123" s="55" t="s">
        <v>350</v>
      </c>
      <c r="R3123" s="85">
        <v>3</v>
      </c>
      <c r="S3123" s="55">
        <v>0</v>
      </c>
      <c r="T3123" s="74" t="s">
        <v>1988</v>
      </c>
      <c r="U3123" s="74" t="s">
        <v>2053</v>
      </c>
      <c r="V3123" s="74">
        <v>44571</v>
      </c>
      <c r="W3123" s="74">
        <v>44607</v>
      </c>
      <c r="X3123" s="55">
        <v>10217175</v>
      </c>
      <c r="AL3123" s="74"/>
      <c r="AM3123" s="74"/>
    </row>
    <row r="3124" spans="1:50" ht="13" x14ac:dyDescent="0.15">
      <c r="A3124" s="55" t="str">
        <f>HYPERLINK("http://reports.ofsted.gov.uk/inspection-reports/find-inspection-report/provider/CARE/SC447457","Ofsted Social Care Provider Webpage")</f>
        <v>Ofsted Social Care Provider Webpage</v>
      </c>
      <c r="B3124" s="55" t="s">
        <v>5824</v>
      </c>
      <c r="D3124" s="55" t="s">
        <v>373</v>
      </c>
      <c r="E3124" s="74">
        <v>41100</v>
      </c>
      <c r="F3124" s="55" t="s">
        <v>344</v>
      </c>
      <c r="G3124" s="55" t="s">
        <v>360</v>
      </c>
      <c r="H3124" s="55" t="s">
        <v>360</v>
      </c>
      <c r="I3124" s="55" t="s">
        <v>360</v>
      </c>
      <c r="J3124" s="55" t="s">
        <v>360</v>
      </c>
      <c r="K3124" s="55" t="s">
        <v>360</v>
      </c>
      <c r="L3124" s="55" t="s">
        <v>360</v>
      </c>
      <c r="M3124" s="55" t="s">
        <v>142</v>
      </c>
      <c r="N3124" s="55" t="s">
        <v>142</v>
      </c>
      <c r="O3124" s="55" t="s">
        <v>262</v>
      </c>
      <c r="P3124" s="55" t="s">
        <v>692</v>
      </c>
      <c r="Q3124" s="55" t="s">
        <v>350</v>
      </c>
      <c r="R3124" s="85">
        <v>3</v>
      </c>
      <c r="S3124" s="55">
        <v>0</v>
      </c>
      <c r="T3124" s="74" t="s">
        <v>1988</v>
      </c>
      <c r="U3124" s="74" t="s">
        <v>351</v>
      </c>
      <c r="V3124" s="74">
        <v>44537</v>
      </c>
      <c r="W3124" s="74">
        <v>44592</v>
      </c>
      <c r="X3124" s="55">
        <v>10186578</v>
      </c>
      <c r="Y3124" s="55" t="s">
        <v>146</v>
      </c>
      <c r="AB3124" s="74" t="s">
        <v>146</v>
      </c>
      <c r="AC3124" s="55" t="s">
        <v>146</v>
      </c>
      <c r="AL3124" s="74"/>
      <c r="AM3124" s="74"/>
      <c r="AW3124" s="74"/>
      <c r="AX3124" s="74"/>
    </row>
    <row r="3125" spans="1:50" ht="13" x14ac:dyDescent="0.15">
      <c r="A3125" s="55" t="str">
        <f>HYPERLINK("http://reports.ofsted.gov.uk/inspection-reports/find-inspection-report/provider/CARE/SC447457","Ofsted Social Care Provider Webpage")</f>
        <v>Ofsted Social Care Provider Webpage</v>
      </c>
      <c r="B3125" s="55" t="s">
        <v>5824</v>
      </c>
      <c r="D3125" s="55" t="s">
        <v>373</v>
      </c>
      <c r="E3125" s="74">
        <v>41100</v>
      </c>
      <c r="F3125" s="55" t="s">
        <v>344</v>
      </c>
      <c r="G3125" s="55" t="s">
        <v>360</v>
      </c>
      <c r="H3125" s="55" t="s">
        <v>360</v>
      </c>
      <c r="I3125" s="55" t="s">
        <v>360</v>
      </c>
      <c r="J3125" s="55" t="s">
        <v>360</v>
      </c>
      <c r="K3125" s="55" t="s">
        <v>360</v>
      </c>
      <c r="L3125" s="55" t="s">
        <v>360</v>
      </c>
      <c r="M3125" s="55" t="s">
        <v>142</v>
      </c>
      <c r="N3125" s="55" t="s">
        <v>142</v>
      </c>
      <c r="O3125" s="55" t="s">
        <v>262</v>
      </c>
      <c r="P3125" s="55" t="s">
        <v>692</v>
      </c>
      <c r="Q3125" s="55" t="s">
        <v>350</v>
      </c>
      <c r="R3125" s="85">
        <v>3</v>
      </c>
      <c r="S3125" s="55">
        <v>0</v>
      </c>
      <c r="T3125" s="74" t="s">
        <v>1988</v>
      </c>
      <c r="U3125" s="74" t="s">
        <v>2053</v>
      </c>
      <c r="V3125" s="74">
        <v>44602</v>
      </c>
      <c r="W3125" s="74">
        <v>44645</v>
      </c>
      <c r="X3125" s="55">
        <v>10217375</v>
      </c>
      <c r="AL3125" s="74"/>
      <c r="AM3125" s="74"/>
      <c r="AW3125" s="74"/>
      <c r="AX3125" s="74"/>
    </row>
    <row r="3126" spans="1:50" ht="13" x14ac:dyDescent="0.15">
      <c r="A3126" s="55" t="str">
        <f>HYPERLINK("http://reports.ofsted.gov.uk/inspection-reports/find-inspection-report/provider/CARE/SC447645","Ofsted Social Care Provider Webpage")</f>
        <v>Ofsted Social Care Provider Webpage</v>
      </c>
      <c r="B3126" s="55" t="s">
        <v>5825</v>
      </c>
      <c r="D3126" s="55" t="s">
        <v>373</v>
      </c>
      <c r="E3126" s="74">
        <v>41200</v>
      </c>
      <c r="F3126" s="55" t="s">
        <v>344</v>
      </c>
      <c r="G3126" s="55" t="s">
        <v>360</v>
      </c>
      <c r="H3126" s="55" t="s">
        <v>360</v>
      </c>
      <c r="I3126" s="55" t="s">
        <v>360</v>
      </c>
      <c r="J3126" s="55" t="s">
        <v>360</v>
      </c>
      <c r="K3126" s="55" t="s">
        <v>360</v>
      </c>
      <c r="L3126" s="55" t="s">
        <v>360</v>
      </c>
      <c r="M3126" s="55" t="s">
        <v>142</v>
      </c>
      <c r="N3126" s="55" t="s">
        <v>142</v>
      </c>
      <c r="O3126" s="55" t="s">
        <v>262</v>
      </c>
      <c r="P3126" s="55" t="s">
        <v>916</v>
      </c>
      <c r="Q3126" s="55" t="s">
        <v>350</v>
      </c>
      <c r="R3126" s="85">
        <v>4</v>
      </c>
      <c r="S3126" s="55">
        <v>0</v>
      </c>
      <c r="T3126" s="74" t="s">
        <v>917</v>
      </c>
      <c r="U3126" s="74" t="s">
        <v>351</v>
      </c>
      <c r="V3126" s="74">
        <v>44530</v>
      </c>
      <c r="W3126" s="74">
        <v>44581</v>
      </c>
      <c r="X3126" s="55">
        <v>10186049</v>
      </c>
      <c r="Y3126" s="55" t="s">
        <v>132</v>
      </c>
      <c r="AB3126" s="74" t="s">
        <v>132</v>
      </c>
      <c r="AC3126" s="55" t="s">
        <v>132</v>
      </c>
      <c r="AL3126" s="74"/>
      <c r="AM3126" s="74"/>
      <c r="AW3126" s="74"/>
      <c r="AX3126" s="74"/>
    </row>
    <row r="3127" spans="1:50" ht="13" x14ac:dyDescent="0.15">
      <c r="A3127" s="55" t="str">
        <f>HYPERLINK("http://reports.ofsted.gov.uk/inspection-reports/find-inspection-report/provider/CARE/SC447645","Ofsted Social Care Provider Webpage")</f>
        <v>Ofsted Social Care Provider Webpage</v>
      </c>
      <c r="B3127" s="55" t="s">
        <v>5825</v>
      </c>
      <c r="D3127" s="55" t="s">
        <v>373</v>
      </c>
      <c r="E3127" s="74">
        <v>41200</v>
      </c>
      <c r="F3127" s="55" t="s">
        <v>344</v>
      </c>
      <c r="G3127" s="55" t="s">
        <v>360</v>
      </c>
      <c r="H3127" s="55" t="s">
        <v>360</v>
      </c>
      <c r="I3127" s="55" t="s">
        <v>360</v>
      </c>
      <c r="J3127" s="55" t="s">
        <v>360</v>
      </c>
      <c r="K3127" s="55" t="s">
        <v>360</v>
      </c>
      <c r="L3127" s="55" t="s">
        <v>360</v>
      </c>
      <c r="M3127" s="55" t="s">
        <v>142</v>
      </c>
      <c r="N3127" s="55" t="s">
        <v>142</v>
      </c>
      <c r="O3127" s="55" t="s">
        <v>262</v>
      </c>
      <c r="P3127" s="55" t="s">
        <v>916</v>
      </c>
      <c r="Q3127" s="55" t="s">
        <v>350</v>
      </c>
      <c r="R3127" s="85">
        <v>4</v>
      </c>
      <c r="S3127" s="55">
        <v>0</v>
      </c>
      <c r="T3127" s="74" t="s">
        <v>917</v>
      </c>
      <c r="U3127" s="74" t="s">
        <v>2053</v>
      </c>
      <c r="V3127" s="74">
        <v>44305</v>
      </c>
      <c r="W3127" s="74">
        <v>44335</v>
      </c>
      <c r="X3127" s="55">
        <v>10189146</v>
      </c>
      <c r="AL3127" s="74"/>
      <c r="AM3127" s="74"/>
    </row>
    <row r="3128" spans="1:50" ht="13" x14ac:dyDescent="0.15">
      <c r="A3128" s="55" t="str">
        <f>HYPERLINK("http://reports.ofsted.gov.uk/inspection-reports/find-inspection-report/provider/CARE/SC447768","Ofsted Social Care Provider Webpage")</f>
        <v>Ofsted Social Care Provider Webpage</v>
      </c>
      <c r="B3128" s="55" t="s">
        <v>5826</v>
      </c>
      <c r="D3128" s="55" t="s">
        <v>373</v>
      </c>
      <c r="E3128" s="74">
        <v>41086</v>
      </c>
      <c r="F3128" s="55" t="s">
        <v>344</v>
      </c>
      <c r="G3128" s="55" t="s">
        <v>360</v>
      </c>
      <c r="H3128" s="55" t="s">
        <v>360</v>
      </c>
      <c r="I3128" s="55" t="s">
        <v>360</v>
      </c>
      <c r="J3128" s="55" t="s">
        <v>360</v>
      </c>
      <c r="K3128" s="55" t="s">
        <v>360</v>
      </c>
      <c r="L3128" s="55" t="s">
        <v>360</v>
      </c>
      <c r="M3128" s="55" t="s">
        <v>136</v>
      </c>
      <c r="N3128" s="55" t="s">
        <v>136</v>
      </c>
      <c r="O3128" s="55" t="s">
        <v>230</v>
      </c>
      <c r="P3128" s="55" t="s">
        <v>767</v>
      </c>
      <c r="Q3128" s="55" t="s">
        <v>350</v>
      </c>
      <c r="R3128" s="85">
        <v>3</v>
      </c>
      <c r="S3128" s="55">
        <v>0</v>
      </c>
      <c r="T3128" s="74" t="s">
        <v>914</v>
      </c>
      <c r="U3128" s="74" t="s">
        <v>351</v>
      </c>
      <c r="V3128" s="74">
        <v>44579</v>
      </c>
      <c r="W3128" s="74">
        <v>44617</v>
      </c>
      <c r="X3128" s="55">
        <v>10186508</v>
      </c>
      <c r="Y3128" s="55" t="s">
        <v>132</v>
      </c>
      <c r="AB3128" s="74" t="s">
        <v>132</v>
      </c>
      <c r="AC3128" s="55" t="s">
        <v>130</v>
      </c>
      <c r="AL3128" s="74"/>
      <c r="AM3128" s="74"/>
    </row>
    <row r="3129" spans="1:50" ht="13" x14ac:dyDescent="0.15">
      <c r="A3129" s="55" t="str">
        <f>HYPERLINK("http://reports.ofsted.gov.uk/inspection-reports/find-inspection-report/provider/CARE/SC448209","Ofsted Social Care Provider Webpage")</f>
        <v>Ofsted Social Care Provider Webpage</v>
      </c>
      <c r="B3129" s="55" t="s">
        <v>5827</v>
      </c>
      <c r="D3129" s="55" t="s">
        <v>479</v>
      </c>
      <c r="E3129" s="74">
        <v>41117</v>
      </c>
      <c r="F3129" s="55" t="s">
        <v>344</v>
      </c>
      <c r="G3129" s="55" t="s">
        <v>360</v>
      </c>
      <c r="H3129" s="55" t="s">
        <v>360</v>
      </c>
      <c r="I3129" s="55" t="s">
        <v>360</v>
      </c>
      <c r="J3129" s="55" t="s">
        <v>360</v>
      </c>
      <c r="K3129" s="55" t="s">
        <v>360</v>
      </c>
      <c r="L3129" s="55" t="s">
        <v>360</v>
      </c>
      <c r="M3129" s="55" t="s">
        <v>142</v>
      </c>
      <c r="N3129" s="55" t="s">
        <v>142</v>
      </c>
      <c r="O3129" s="55" t="s">
        <v>252</v>
      </c>
      <c r="P3129" s="55" t="s">
        <v>653</v>
      </c>
      <c r="Q3129" s="55" t="s">
        <v>350</v>
      </c>
      <c r="R3129" s="85">
        <v>12</v>
      </c>
      <c r="S3129" s="55">
        <v>0</v>
      </c>
      <c r="T3129" s="74" t="s">
        <v>5828</v>
      </c>
      <c r="U3129" s="74" t="s">
        <v>351</v>
      </c>
      <c r="V3129" s="74">
        <v>44614</v>
      </c>
      <c r="W3129" s="74">
        <v>44662</v>
      </c>
      <c r="X3129" s="55">
        <v>10187299</v>
      </c>
      <c r="Y3129" s="55" t="s">
        <v>132</v>
      </c>
      <c r="AB3129" s="74" t="s">
        <v>132</v>
      </c>
      <c r="AC3129" s="55" t="s">
        <v>132</v>
      </c>
      <c r="AL3129" s="74"/>
      <c r="AM3129" s="74"/>
    </row>
    <row r="3130" spans="1:50" ht="13" x14ac:dyDescent="0.15">
      <c r="A3130" s="55" t="str">
        <f>HYPERLINK("http://reports.ofsted.gov.uk/inspection-reports/find-inspection-report/provider/CARE/SC448211","Ofsted Social Care Provider Webpage")</f>
        <v>Ofsted Social Care Provider Webpage</v>
      </c>
      <c r="B3130" s="55" t="s">
        <v>5829</v>
      </c>
      <c r="D3130" s="55" t="s">
        <v>389</v>
      </c>
      <c r="E3130" s="74">
        <v>41124</v>
      </c>
      <c r="F3130" s="55" t="s">
        <v>344</v>
      </c>
      <c r="G3130" s="55" t="s">
        <v>5830</v>
      </c>
      <c r="H3130" s="55" t="s">
        <v>5831</v>
      </c>
      <c r="I3130" s="55" t="s">
        <v>5832</v>
      </c>
      <c r="J3130" s="55" t="s">
        <v>169</v>
      </c>
      <c r="L3130" s="55" t="s">
        <v>5833</v>
      </c>
      <c r="M3130" s="55" t="s">
        <v>378</v>
      </c>
      <c r="N3130" s="55" t="s">
        <v>170</v>
      </c>
      <c r="O3130" s="55" t="s">
        <v>169</v>
      </c>
      <c r="P3130" s="55" t="s">
        <v>169</v>
      </c>
      <c r="Q3130" s="55" t="s">
        <v>350</v>
      </c>
      <c r="S3130" s="55">
        <v>0</v>
      </c>
      <c r="T3130" s="74" t="s">
        <v>5834</v>
      </c>
      <c r="U3130" s="74" t="s">
        <v>351</v>
      </c>
      <c r="V3130" s="74">
        <v>44578</v>
      </c>
      <c r="W3130" s="74">
        <v>44613</v>
      </c>
      <c r="X3130" s="55">
        <v>10183381</v>
      </c>
      <c r="Y3130" s="55" t="s">
        <v>140</v>
      </c>
      <c r="AB3130" s="74" t="s">
        <v>132</v>
      </c>
      <c r="AC3130" s="55" t="s">
        <v>140</v>
      </c>
      <c r="AL3130" s="74"/>
      <c r="AM3130" s="74"/>
    </row>
    <row r="3131" spans="1:50" ht="13" x14ac:dyDescent="0.15">
      <c r="A3131" s="55" t="str">
        <f>HYPERLINK("http://reports.ofsted.gov.uk/inspection-reports/find-inspection-report/provider/CARE/SC448220","Ofsted Social Care Provider Webpage")</f>
        <v>Ofsted Social Care Provider Webpage</v>
      </c>
      <c r="B3131" s="55" t="s">
        <v>5835</v>
      </c>
      <c r="D3131" s="55" t="s">
        <v>389</v>
      </c>
      <c r="E3131" s="74">
        <v>41095</v>
      </c>
      <c r="F3131" s="55" t="s">
        <v>344</v>
      </c>
      <c r="G3131" s="55" t="s">
        <v>5836</v>
      </c>
      <c r="H3131" s="55" t="s">
        <v>5837</v>
      </c>
      <c r="I3131" s="55" t="s">
        <v>1573</v>
      </c>
      <c r="J3131" s="55" t="s">
        <v>3559</v>
      </c>
      <c r="K3131" s="55" t="s">
        <v>203</v>
      </c>
      <c r="L3131" s="55" t="s">
        <v>5838</v>
      </c>
      <c r="M3131" s="55" t="s">
        <v>150</v>
      </c>
      <c r="N3131" s="55" t="s">
        <v>150</v>
      </c>
      <c r="O3131" s="55" t="s">
        <v>203</v>
      </c>
      <c r="P3131" s="55" t="s">
        <v>3559</v>
      </c>
      <c r="Q3131" s="55" t="s">
        <v>350</v>
      </c>
      <c r="S3131" s="55">
        <v>0</v>
      </c>
      <c r="T3131" s="74" t="s">
        <v>5839</v>
      </c>
      <c r="U3131" s="74" t="s">
        <v>351</v>
      </c>
      <c r="V3131" s="74">
        <v>44452</v>
      </c>
      <c r="W3131" s="74">
        <v>44491</v>
      </c>
      <c r="X3131" s="55">
        <v>10183416</v>
      </c>
      <c r="Y3131" s="55" t="s">
        <v>140</v>
      </c>
      <c r="AB3131" s="74" t="s">
        <v>140</v>
      </c>
      <c r="AC3131" s="55" t="s">
        <v>140</v>
      </c>
      <c r="AL3131" s="74"/>
      <c r="AM3131" s="74"/>
    </row>
    <row r="3132" spans="1:50" ht="13" x14ac:dyDescent="0.15">
      <c r="A3132" s="55" t="str">
        <f>HYPERLINK("http://reports.ofsted.gov.uk/inspection-reports/find-inspection-report/provider/CARE/SC448336","Ofsted Social Care Provider Webpage")</f>
        <v>Ofsted Social Care Provider Webpage</v>
      </c>
      <c r="B3132" s="55" t="s">
        <v>5840</v>
      </c>
      <c r="D3132" s="55" t="s">
        <v>389</v>
      </c>
      <c r="E3132" s="74">
        <v>41199</v>
      </c>
      <c r="F3132" s="55" t="s">
        <v>344</v>
      </c>
      <c r="G3132" s="55" t="s">
        <v>5841</v>
      </c>
      <c r="H3132" s="55" t="s">
        <v>3192</v>
      </c>
      <c r="I3132" s="55" t="s">
        <v>3193</v>
      </c>
      <c r="J3132" s="55" t="s">
        <v>3194</v>
      </c>
      <c r="L3132" s="55" t="s">
        <v>3195</v>
      </c>
      <c r="M3132" s="55" t="s">
        <v>378</v>
      </c>
      <c r="N3132" s="55" t="s">
        <v>170</v>
      </c>
      <c r="O3132" s="55" t="s">
        <v>233</v>
      </c>
      <c r="P3132" s="55" t="s">
        <v>1376</v>
      </c>
      <c r="Q3132" s="55" t="s">
        <v>362</v>
      </c>
      <c r="S3132" s="55">
        <v>0</v>
      </c>
      <c r="T3132" s="74" t="s">
        <v>3196</v>
      </c>
      <c r="U3132" s="74" t="s">
        <v>351</v>
      </c>
      <c r="V3132" s="74">
        <v>44480</v>
      </c>
      <c r="W3132" s="74">
        <v>44596</v>
      </c>
      <c r="X3132" s="55">
        <v>10183382</v>
      </c>
      <c r="Y3132" s="55" t="s">
        <v>132</v>
      </c>
      <c r="AB3132" s="74" t="s">
        <v>132</v>
      </c>
      <c r="AC3132" s="55" t="s">
        <v>130</v>
      </c>
      <c r="AL3132" s="74"/>
      <c r="AM3132" s="74"/>
    </row>
    <row r="3133" spans="1:50" ht="13" x14ac:dyDescent="0.15">
      <c r="A3133" s="55" t="str">
        <f>HYPERLINK("http://reports.ofsted.gov.uk/inspection-reports/find-inspection-report/provider/CARE/SC448693","Ofsted Social Care Provider Webpage")</f>
        <v>Ofsted Social Care Provider Webpage</v>
      </c>
      <c r="B3133" s="55" t="s">
        <v>5842</v>
      </c>
      <c r="D3133" s="55" t="s">
        <v>373</v>
      </c>
      <c r="E3133" s="74">
        <v>41260</v>
      </c>
      <c r="F3133" s="55" t="s">
        <v>344</v>
      </c>
      <c r="G3133" s="55" t="s">
        <v>360</v>
      </c>
      <c r="H3133" s="55" t="s">
        <v>360</v>
      </c>
      <c r="I3133" s="55" t="s">
        <v>360</v>
      </c>
      <c r="J3133" s="55" t="s">
        <v>360</v>
      </c>
      <c r="K3133" s="55" t="s">
        <v>360</v>
      </c>
      <c r="L3133" s="55" t="s">
        <v>360</v>
      </c>
      <c r="M3133" s="55" t="s">
        <v>129</v>
      </c>
      <c r="N3133" s="55" t="s">
        <v>129</v>
      </c>
      <c r="O3133" s="55" t="s">
        <v>152</v>
      </c>
      <c r="P3133" s="55" t="s">
        <v>1994</v>
      </c>
      <c r="Q3133" s="55" t="s">
        <v>350</v>
      </c>
      <c r="R3133" s="85">
        <v>4</v>
      </c>
      <c r="S3133" s="55">
        <v>0</v>
      </c>
      <c r="T3133" s="74" t="s">
        <v>5843</v>
      </c>
      <c r="U3133" s="74" t="s">
        <v>351</v>
      </c>
      <c r="V3133" s="74">
        <v>44517</v>
      </c>
      <c r="W3133" s="74">
        <v>44565</v>
      </c>
      <c r="X3133" s="55">
        <v>10185119</v>
      </c>
      <c r="Y3133" s="55" t="s">
        <v>132</v>
      </c>
      <c r="AB3133" s="74" t="s">
        <v>132</v>
      </c>
      <c r="AC3133" s="55" t="s">
        <v>130</v>
      </c>
      <c r="AL3133" s="74"/>
      <c r="AM3133" s="74"/>
    </row>
    <row r="3134" spans="1:50" ht="13" x14ac:dyDescent="0.15">
      <c r="A3134" s="55" t="str">
        <f>HYPERLINK("http://reports.ofsted.gov.uk/inspection-reports/find-inspection-report/provider/CARE/SC448997","Ofsted Social Care Provider Webpage")</f>
        <v>Ofsted Social Care Provider Webpage</v>
      </c>
      <c r="B3134" s="55" t="s">
        <v>5850</v>
      </c>
      <c r="D3134" s="55" t="s">
        <v>373</v>
      </c>
      <c r="E3134" s="74">
        <v>41066</v>
      </c>
      <c r="F3134" s="55" t="s">
        <v>344</v>
      </c>
      <c r="G3134" s="55" t="s">
        <v>360</v>
      </c>
      <c r="H3134" s="55" t="s">
        <v>360</v>
      </c>
      <c r="I3134" s="55" t="s">
        <v>360</v>
      </c>
      <c r="J3134" s="55" t="s">
        <v>360</v>
      </c>
      <c r="K3134" s="55" t="s">
        <v>360</v>
      </c>
      <c r="L3134" s="55" t="s">
        <v>360</v>
      </c>
      <c r="M3134" s="55" t="s">
        <v>150</v>
      </c>
      <c r="N3134" s="55" t="s">
        <v>150</v>
      </c>
      <c r="O3134" s="55" t="s">
        <v>203</v>
      </c>
      <c r="P3134" s="55" t="s">
        <v>593</v>
      </c>
      <c r="Q3134" s="55" t="s">
        <v>350</v>
      </c>
      <c r="R3134" s="85">
        <v>2</v>
      </c>
      <c r="S3134" s="55">
        <v>0</v>
      </c>
      <c r="T3134" s="74" t="s">
        <v>594</v>
      </c>
      <c r="U3134" s="74" t="s">
        <v>351</v>
      </c>
      <c r="V3134" s="74">
        <v>44376</v>
      </c>
      <c r="W3134" s="74">
        <v>44431</v>
      </c>
      <c r="X3134" s="55">
        <v>10186444</v>
      </c>
      <c r="Y3134" s="55" t="s">
        <v>132</v>
      </c>
      <c r="AB3134" s="74" t="s">
        <v>132</v>
      </c>
      <c r="AC3134" s="55" t="s">
        <v>130</v>
      </c>
      <c r="AL3134" s="74"/>
      <c r="AM3134" s="74"/>
      <c r="AW3134" s="74"/>
      <c r="AX3134" s="74"/>
    </row>
    <row r="3135" spans="1:50" ht="13" x14ac:dyDescent="0.15">
      <c r="A3135" s="55" t="str">
        <f>HYPERLINK("http://reports.ofsted.gov.uk/inspection-reports/find-inspection-report/provider/CARE/SC449096","Ofsted Social Care Provider Webpage")</f>
        <v>Ofsted Social Care Provider Webpage</v>
      </c>
      <c r="B3135" s="55" t="s">
        <v>5851</v>
      </c>
      <c r="D3135" s="55" t="s">
        <v>373</v>
      </c>
      <c r="E3135" s="74">
        <v>41085</v>
      </c>
      <c r="F3135" s="55" t="s">
        <v>344</v>
      </c>
      <c r="G3135" s="55" t="s">
        <v>360</v>
      </c>
      <c r="H3135" s="55" t="s">
        <v>360</v>
      </c>
      <c r="I3135" s="55" t="s">
        <v>360</v>
      </c>
      <c r="J3135" s="55" t="s">
        <v>360</v>
      </c>
      <c r="K3135" s="55" t="s">
        <v>360</v>
      </c>
      <c r="L3135" s="55" t="s">
        <v>360</v>
      </c>
      <c r="M3135" s="55" t="s">
        <v>378</v>
      </c>
      <c r="N3135" s="55" t="s">
        <v>170</v>
      </c>
      <c r="O3135" s="55" t="s">
        <v>178</v>
      </c>
      <c r="P3135" s="55" t="s">
        <v>905</v>
      </c>
      <c r="Q3135" s="55" t="s">
        <v>380</v>
      </c>
      <c r="R3135" s="85">
        <v>4</v>
      </c>
      <c r="S3135" s="55">
        <v>0</v>
      </c>
      <c r="T3135" s="74" t="s">
        <v>2068</v>
      </c>
      <c r="U3135" s="74" t="s">
        <v>351</v>
      </c>
      <c r="V3135" s="74">
        <v>44320</v>
      </c>
      <c r="W3135" s="74">
        <v>44357</v>
      </c>
      <c r="X3135" s="55">
        <v>10186496</v>
      </c>
      <c r="Y3135" s="55" t="s">
        <v>130</v>
      </c>
      <c r="AB3135" s="74" t="s">
        <v>130</v>
      </c>
      <c r="AC3135" s="55" t="s">
        <v>130</v>
      </c>
      <c r="AL3135" s="74"/>
      <c r="AM3135" s="74"/>
      <c r="AW3135" s="74"/>
      <c r="AX3135" s="74"/>
    </row>
    <row r="3136" spans="1:50" ht="13" x14ac:dyDescent="0.15">
      <c r="A3136" s="55" t="str">
        <f>HYPERLINK("http://reports.ofsted.gov.uk/inspection-reports/find-inspection-report/provider/CARE/SC449096","Ofsted Social Care Provider Webpage")</f>
        <v>Ofsted Social Care Provider Webpage</v>
      </c>
      <c r="B3136" s="55" t="s">
        <v>5851</v>
      </c>
      <c r="D3136" s="55" t="s">
        <v>373</v>
      </c>
      <c r="E3136" s="74">
        <v>41085</v>
      </c>
      <c r="F3136" s="55" t="s">
        <v>344</v>
      </c>
      <c r="G3136" s="55" t="s">
        <v>360</v>
      </c>
      <c r="H3136" s="55" t="s">
        <v>360</v>
      </c>
      <c r="I3136" s="55" t="s">
        <v>360</v>
      </c>
      <c r="J3136" s="55" t="s">
        <v>360</v>
      </c>
      <c r="K3136" s="55" t="s">
        <v>360</v>
      </c>
      <c r="L3136" s="55" t="s">
        <v>360</v>
      </c>
      <c r="M3136" s="55" t="s">
        <v>378</v>
      </c>
      <c r="N3136" s="55" t="s">
        <v>170</v>
      </c>
      <c r="O3136" s="55" t="s">
        <v>178</v>
      </c>
      <c r="P3136" s="55" t="s">
        <v>905</v>
      </c>
      <c r="Q3136" s="55" t="s">
        <v>380</v>
      </c>
      <c r="R3136" s="85">
        <v>4</v>
      </c>
      <c r="S3136" s="55">
        <v>0</v>
      </c>
      <c r="T3136" s="74" t="s">
        <v>2068</v>
      </c>
      <c r="U3136" s="74" t="s">
        <v>6703</v>
      </c>
      <c r="V3136" s="74">
        <v>44592</v>
      </c>
      <c r="W3136" s="74">
        <v>44615</v>
      </c>
      <c r="X3136" s="55">
        <v>10210094</v>
      </c>
      <c r="Y3136" s="55" t="s">
        <v>6705</v>
      </c>
      <c r="AL3136" s="74"/>
      <c r="AM3136" s="74"/>
      <c r="AW3136" s="74"/>
      <c r="AX3136" s="74"/>
    </row>
    <row r="3137" spans="1:50" ht="13" x14ac:dyDescent="0.15">
      <c r="A3137" s="55" t="str">
        <f>HYPERLINK("http://reports.ofsted.gov.uk/inspection-reports/find-inspection-report/provider/CARE/SC449099","Ofsted Social Care Provider Webpage")</f>
        <v>Ofsted Social Care Provider Webpage</v>
      </c>
      <c r="B3137" s="55" t="s">
        <v>5852</v>
      </c>
      <c r="D3137" s="55" t="s">
        <v>373</v>
      </c>
      <c r="E3137" s="74">
        <v>41113</v>
      </c>
      <c r="F3137" s="55" t="s">
        <v>344</v>
      </c>
      <c r="G3137" s="55" t="s">
        <v>360</v>
      </c>
      <c r="H3137" s="55" t="s">
        <v>360</v>
      </c>
      <c r="I3137" s="55" t="s">
        <v>360</v>
      </c>
      <c r="J3137" s="55" t="s">
        <v>360</v>
      </c>
      <c r="K3137" s="55" t="s">
        <v>360</v>
      </c>
      <c r="L3137" s="55" t="s">
        <v>360</v>
      </c>
      <c r="M3137" s="55" t="s">
        <v>172</v>
      </c>
      <c r="N3137" s="55" t="s">
        <v>172</v>
      </c>
      <c r="O3137" s="55" t="s">
        <v>212</v>
      </c>
      <c r="P3137" s="55" t="s">
        <v>842</v>
      </c>
      <c r="Q3137" s="55" t="s">
        <v>350</v>
      </c>
      <c r="R3137" s="85">
        <v>3</v>
      </c>
      <c r="S3137" s="55">
        <v>0</v>
      </c>
      <c r="T3137" s="74" t="s">
        <v>5853</v>
      </c>
      <c r="U3137" s="74" t="s">
        <v>351</v>
      </c>
      <c r="V3137" s="74">
        <v>44326</v>
      </c>
      <c r="W3137" s="74">
        <v>44358</v>
      </c>
      <c r="X3137" s="55">
        <v>10186154</v>
      </c>
      <c r="Y3137" s="55" t="s">
        <v>132</v>
      </c>
      <c r="AB3137" s="74" t="s">
        <v>132</v>
      </c>
      <c r="AC3137" s="55" t="s">
        <v>132</v>
      </c>
      <c r="AL3137" s="74"/>
      <c r="AM3137" s="74"/>
      <c r="AW3137" s="74"/>
      <c r="AX3137" s="74"/>
    </row>
    <row r="3138" spans="1:50" ht="13" x14ac:dyDescent="0.15">
      <c r="A3138" s="55" t="str">
        <f>HYPERLINK("http://reports.ofsted.gov.uk/inspection-reports/find-inspection-report/provider/CARE/SC449155","Ofsted Social Care Provider Webpage")</f>
        <v>Ofsted Social Care Provider Webpage</v>
      </c>
      <c r="B3138" s="55" t="s">
        <v>5854</v>
      </c>
      <c r="D3138" s="55" t="s">
        <v>373</v>
      </c>
      <c r="E3138" s="74">
        <v>41136</v>
      </c>
      <c r="F3138" s="55" t="s">
        <v>344</v>
      </c>
      <c r="G3138" s="55" t="s">
        <v>360</v>
      </c>
      <c r="H3138" s="55" t="s">
        <v>360</v>
      </c>
      <c r="I3138" s="55" t="s">
        <v>360</v>
      </c>
      <c r="J3138" s="55" t="s">
        <v>360</v>
      </c>
      <c r="K3138" s="55" t="s">
        <v>360</v>
      </c>
      <c r="L3138" s="55" t="s">
        <v>360</v>
      </c>
      <c r="M3138" s="55" t="s">
        <v>150</v>
      </c>
      <c r="N3138" s="55" t="s">
        <v>150</v>
      </c>
      <c r="O3138" s="55" t="s">
        <v>285</v>
      </c>
      <c r="P3138" s="55" t="s">
        <v>893</v>
      </c>
      <c r="Q3138" s="55" t="s">
        <v>350</v>
      </c>
      <c r="R3138" s="85">
        <v>4</v>
      </c>
      <c r="S3138" s="55">
        <v>0</v>
      </c>
      <c r="T3138" s="74" t="s">
        <v>894</v>
      </c>
      <c r="U3138" s="74" t="s">
        <v>351</v>
      </c>
      <c r="V3138" s="74">
        <v>44447</v>
      </c>
      <c r="W3138" s="74">
        <v>44480</v>
      </c>
      <c r="X3138" s="55">
        <v>10187121</v>
      </c>
      <c r="Y3138" s="55" t="s">
        <v>132</v>
      </c>
      <c r="AB3138" s="74" t="s">
        <v>132</v>
      </c>
      <c r="AC3138" s="55" t="s">
        <v>132</v>
      </c>
      <c r="AL3138" s="74"/>
      <c r="AM3138" s="74"/>
    </row>
    <row r="3139" spans="1:50" ht="13" x14ac:dyDescent="0.15">
      <c r="A3139" s="55" t="str">
        <f>HYPERLINK("http://reports.ofsted.gov.uk/inspection-reports/find-inspection-report/provider/CARE/SC449245","Ofsted Social Care Provider Webpage")</f>
        <v>Ofsted Social Care Provider Webpage</v>
      </c>
      <c r="B3139" s="55" t="s">
        <v>5855</v>
      </c>
      <c r="D3139" s="55" t="s">
        <v>373</v>
      </c>
      <c r="E3139" s="74">
        <v>41103</v>
      </c>
      <c r="F3139" s="55" t="s">
        <v>344</v>
      </c>
      <c r="G3139" s="55" t="s">
        <v>360</v>
      </c>
      <c r="H3139" s="55" t="s">
        <v>360</v>
      </c>
      <c r="I3139" s="55" t="s">
        <v>360</v>
      </c>
      <c r="J3139" s="55" t="s">
        <v>360</v>
      </c>
      <c r="K3139" s="55" t="s">
        <v>360</v>
      </c>
      <c r="L3139" s="55" t="s">
        <v>360</v>
      </c>
      <c r="M3139" s="55" t="s">
        <v>142</v>
      </c>
      <c r="N3139" s="55" t="s">
        <v>142</v>
      </c>
      <c r="O3139" s="55" t="s">
        <v>252</v>
      </c>
      <c r="P3139" s="55" t="s">
        <v>386</v>
      </c>
      <c r="Q3139" s="55" t="s">
        <v>350</v>
      </c>
      <c r="R3139" s="85">
        <v>3</v>
      </c>
      <c r="S3139" s="55">
        <v>0</v>
      </c>
      <c r="T3139" s="74" t="s">
        <v>1260</v>
      </c>
      <c r="U3139" s="74" t="s">
        <v>351</v>
      </c>
      <c r="V3139" s="74">
        <v>44517</v>
      </c>
      <c r="W3139" s="74">
        <v>44559</v>
      </c>
      <c r="X3139" s="55">
        <v>10186349</v>
      </c>
      <c r="Y3139" s="55" t="s">
        <v>132</v>
      </c>
      <c r="AB3139" s="74" t="s">
        <v>132</v>
      </c>
      <c r="AC3139" s="55" t="s">
        <v>132</v>
      </c>
      <c r="AL3139" s="74"/>
      <c r="AM3139" s="74"/>
      <c r="AW3139" s="74"/>
      <c r="AX3139" s="74"/>
    </row>
    <row r="3140" spans="1:50" ht="13" x14ac:dyDescent="0.15">
      <c r="A3140" s="55" t="str">
        <f>HYPERLINK("http://reports.ofsted.gov.uk/inspection-reports/find-inspection-report/provider/CARE/SC449307","Ofsted Social Care Provider Webpage")</f>
        <v>Ofsted Social Care Provider Webpage</v>
      </c>
      <c r="B3140" s="55" t="s">
        <v>5856</v>
      </c>
      <c r="D3140" s="55" t="s">
        <v>373</v>
      </c>
      <c r="E3140" s="74">
        <v>41270</v>
      </c>
      <c r="F3140" s="55" t="s">
        <v>344</v>
      </c>
      <c r="G3140" s="55" t="s">
        <v>360</v>
      </c>
      <c r="H3140" s="55" t="s">
        <v>360</v>
      </c>
      <c r="I3140" s="55" t="s">
        <v>360</v>
      </c>
      <c r="J3140" s="55" t="s">
        <v>360</v>
      </c>
      <c r="K3140" s="55" t="s">
        <v>360</v>
      </c>
      <c r="L3140" s="55" t="s">
        <v>360</v>
      </c>
      <c r="M3140" s="55" t="s">
        <v>150</v>
      </c>
      <c r="N3140" s="55" t="s">
        <v>150</v>
      </c>
      <c r="O3140" s="55" t="s">
        <v>190</v>
      </c>
      <c r="P3140" s="55" t="s">
        <v>897</v>
      </c>
      <c r="Q3140" s="55" t="s">
        <v>350</v>
      </c>
      <c r="R3140" s="85">
        <v>7</v>
      </c>
      <c r="S3140" s="55">
        <v>0</v>
      </c>
      <c r="T3140" s="74" t="s">
        <v>450</v>
      </c>
      <c r="U3140" s="74" t="s">
        <v>351</v>
      </c>
      <c r="V3140" s="74">
        <v>44439</v>
      </c>
      <c r="W3140" s="74">
        <v>44490</v>
      </c>
      <c r="X3140" s="55">
        <v>10185743</v>
      </c>
      <c r="Y3140" s="55" t="s">
        <v>130</v>
      </c>
      <c r="AB3140" s="74" t="s">
        <v>130</v>
      </c>
      <c r="AC3140" s="55" t="s">
        <v>130</v>
      </c>
      <c r="AL3140" s="74"/>
      <c r="AM3140" s="74"/>
      <c r="AW3140" s="74"/>
      <c r="AX3140" s="74"/>
    </row>
    <row r="3141" spans="1:50" ht="13" x14ac:dyDescent="0.15">
      <c r="A3141" s="55" t="str">
        <f>HYPERLINK("http://reports.ofsted.gov.uk/inspection-reports/find-inspection-report/provider/CARE/SC449954","Ofsted Social Care Provider Webpage")</f>
        <v>Ofsted Social Care Provider Webpage</v>
      </c>
      <c r="B3141" s="55" t="s">
        <v>5857</v>
      </c>
      <c r="D3141" s="55" t="s">
        <v>373</v>
      </c>
      <c r="E3141" s="74">
        <v>41197</v>
      </c>
      <c r="F3141" s="55" t="s">
        <v>344</v>
      </c>
      <c r="G3141" s="55" t="s">
        <v>360</v>
      </c>
      <c r="H3141" s="55" t="s">
        <v>360</v>
      </c>
      <c r="I3141" s="55" t="s">
        <v>360</v>
      </c>
      <c r="J3141" s="55" t="s">
        <v>360</v>
      </c>
      <c r="K3141" s="55" t="s">
        <v>360</v>
      </c>
      <c r="L3141" s="55" t="s">
        <v>360</v>
      </c>
      <c r="M3141" s="55" t="s">
        <v>172</v>
      </c>
      <c r="N3141" s="55" t="s">
        <v>172</v>
      </c>
      <c r="O3141" s="55" t="s">
        <v>234</v>
      </c>
      <c r="P3141" s="55" t="s">
        <v>369</v>
      </c>
      <c r="Q3141" s="55" t="s">
        <v>350</v>
      </c>
      <c r="R3141" s="85">
        <v>3</v>
      </c>
      <c r="S3141" s="55">
        <v>0</v>
      </c>
      <c r="T3141" s="74" t="s">
        <v>668</v>
      </c>
      <c r="U3141" s="74" t="s">
        <v>351</v>
      </c>
      <c r="V3141" s="74">
        <v>44516</v>
      </c>
      <c r="W3141" s="74">
        <v>44559</v>
      </c>
      <c r="X3141" s="55">
        <v>10186502</v>
      </c>
      <c r="Y3141" s="55" t="s">
        <v>132</v>
      </c>
      <c r="AB3141" s="74" t="s">
        <v>132</v>
      </c>
      <c r="AC3141" s="55" t="s">
        <v>132</v>
      </c>
      <c r="AL3141" s="74"/>
      <c r="AM3141" s="74"/>
      <c r="AW3141" s="74"/>
      <c r="AX3141" s="74"/>
    </row>
    <row r="3142" spans="1:50" ht="13" x14ac:dyDescent="0.15">
      <c r="A3142" s="55" t="str">
        <f>HYPERLINK("http://reports.ofsted.gov.uk/inspection-reports/find-inspection-report/provider/CARE/SC450045","Ofsted Social Care Provider Webpage")</f>
        <v>Ofsted Social Care Provider Webpage</v>
      </c>
      <c r="B3142" s="55" t="s">
        <v>5858</v>
      </c>
      <c r="D3142" s="55" t="s">
        <v>373</v>
      </c>
      <c r="E3142" s="74">
        <v>41122</v>
      </c>
      <c r="F3142" s="55" t="s">
        <v>344</v>
      </c>
      <c r="G3142" s="55" t="s">
        <v>360</v>
      </c>
      <c r="H3142" s="55" t="s">
        <v>360</v>
      </c>
      <c r="I3142" s="55" t="s">
        <v>360</v>
      </c>
      <c r="J3142" s="55" t="s">
        <v>360</v>
      </c>
      <c r="K3142" s="55" t="s">
        <v>360</v>
      </c>
      <c r="L3142" s="55" t="s">
        <v>360</v>
      </c>
      <c r="M3142" s="55" t="s">
        <v>138</v>
      </c>
      <c r="N3142" s="55" t="s">
        <v>138</v>
      </c>
      <c r="O3142" s="55" t="s">
        <v>224</v>
      </c>
      <c r="P3142" s="55" t="s">
        <v>2271</v>
      </c>
      <c r="Q3142" s="55" t="s">
        <v>380</v>
      </c>
      <c r="R3142" s="85">
        <v>6</v>
      </c>
      <c r="S3142" s="55">
        <v>0</v>
      </c>
      <c r="T3142" s="74" t="s">
        <v>2272</v>
      </c>
      <c r="U3142" s="74" t="s">
        <v>351</v>
      </c>
      <c r="V3142" s="74">
        <v>44404</v>
      </c>
      <c r="W3142" s="74">
        <v>44434</v>
      </c>
      <c r="X3142" s="55">
        <v>10187268</v>
      </c>
      <c r="Y3142" s="55" t="s">
        <v>130</v>
      </c>
      <c r="AB3142" s="74" t="s">
        <v>130</v>
      </c>
      <c r="AC3142" s="55" t="s">
        <v>130</v>
      </c>
      <c r="AL3142" s="74"/>
      <c r="AM3142" s="74"/>
      <c r="AW3142" s="74"/>
      <c r="AX3142" s="74"/>
    </row>
    <row r="3143" spans="1:50" ht="13" x14ac:dyDescent="0.15">
      <c r="A3143" s="55" t="str">
        <f>HYPERLINK("http://reports.ofsted.gov.uk/inspection-reports/find-inspection-report/provider/CARE/SC450045","Ofsted Social Care Provider Webpage")</f>
        <v>Ofsted Social Care Provider Webpage</v>
      </c>
      <c r="B3143" s="55" t="s">
        <v>5858</v>
      </c>
      <c r="D3143" s="55" t="s">
        <v>373</v>
      </c>
      <c r="E3143" s="74">
        <v>41122</v>
      </c>
      <c r="F3143" s="55" t="s">
        <v>344</v>
      </c>
      <c r="G3143" s="55" t="s">
        <v>360</v>
      </c>
      <c r="H3143" s="55" t="s">
        <v>360</v>
      </c>
      <c r="I3143" s="55" t="s">
        <v>360</v>
      </c>
      <c r="J3143" s="55" t="s">
        <v>360</v>
      </c>
      <c r="K3143" s="55" t="s">
        <v>360</v>
      </c>
      <c r="L3143" s="55" t="s">
        <v>360</v>
      </c>
      <c r="M3143" s="55" t="s">
        <v>138</v>
      </c>
      <c r="N3143" s="55" t="s">
        <v>138</v>
      </c>
      <c r="O3143" s="55" t="s">
        <v>224</v>
      </c>
      <c r="P3143" s="55" t="s">
        <v>2271</v>
      </c>
      <c r="Q3143" s="55" t="s">
        <v>380</v>
      </c>
      <c r="R3143" s="85">
        <v>6</v>
      </c>
      <c r="S3143" s="55">
        <v>0</v>
      </c>
      <c r="T3143" s="74" t="s">
        <v>2272</v>
      </c>
      <c r="U3143" s="74" t="s">
        <v>6703</v>
      </c>
      <c r="V3143" s="74">
        <v>44572</v>
      </c>
      <c r="W3143" s="74">
        <v>44599</v>
      </c>
      <c r="X3143" s="55">
        <v>10205260</v>
      </c>
      <c r="Y3143" s="55" t="s">
        <v>6705</v>
      </c>
      <c r="AL3143" s="74"/>
      <c r="AM3143" s="74"/>
      <c r="AW3143" s="74"/>
      <c r="AX3143" s="74"/>
    </row>
    <row r="3144" spans="1:50" ht="13" x14ac:dyDescent="0.15">
      <c r="A3144" s="55" t="str">
        <f>HYPERLINK("http://reports.ofsted.gov.uk/inspection-reports/find-inspection-report/provider/CARE/SC450627","Ofsted Social Care Provider Webpage")</f>
        <v>Ofsted Social Care Provider Webpage</v>
      </c>
      <c r="B3144" s="55" t="s">
        <v>5859</v>
      </c>
      <c r="D3144" s="55" t="s">
        <v>389</v>
      </c>
      <c r="E3144" s="74">
        <v>41201</v>
      </c>
      <c r="F3144" s="55" t="s">
        <v>344</v>
      </c>
      <c r="G3144" s="55" t="s">
        <v>5860</v>
      </c>
      <c r="H3144" s="55" t="s">
        <v>5861</v>
      </c>
      <c r="I3144" s="55" t="s">
        <v>5862</v>
      </c>
      <c r="J3144" s="55" t="s">
        <v>1060</v>
      </c>
      <c r="K3144" s="55" t="s">
        <v>293</v>
      </c>
      <c r="L3144" s="55" t="s">
        <v>5863</v>
      </c>
      <c r="M3144" s="55" t="s">
        <v>142</v>
      </c>
      <c r="N3144" s="55" t="s">
        <v>142</v>
      </c>
      <c r="O3144" s="55" t="s">
        <v>293</v>
      </c>
      <c r="P3144" s="55" t="s">
        <v>1060</v>
      </c>
      <c r="Q3144" s="55" t="s">
        <v>350</v>
      </c>
      <c r="S3144" s="55">
        <v>0</v>
      </c>
      <c r="T3144" s="74" t="s">
        <v>4591</v>
      </c>
      <c r="U3144" s="74" t="s">
        <v>351</v>
      </c>
      <c r="V3144" s="74">
        <v>44522</v>
      </c>
      <c r="W3144" s="74">
        <v>44573</v>
      </c>
      <c r="X3144" s="55">
        <v>10183438</v>
      </c>
      <c r="Y3144" s="55" t="s">
        <v>132</v>
      </c>
      <c r="AB3144" s="74" t="s">
        <v>132</v>
      </c>
      <c r="AC3144" s="55" t="s">
        <v>132</v>
      </c>
      <c r="AL3144" s="74"/>
      <c r="AM3144" s="74"/>
      <c r="AW3144" s="74"/>
      <c r="AX3144" s="74"/>
    </row>
    <row r="3145" spans="1:50" ht="13" x14ac:dyDescent="0.15">
      <c r="A3145" s="55" t="str">
        <f>HYPERLINK("http://reports.ofsted.gov.uk/inspection-reports/find-inspection-report/provider/CARE/SC450728","Ofsted Social Care Provider Webpage")</f>
        <v>Ofsted Social Care Provider Webpage</v>
      </c>
      <c r="B3145" s="55" t="s">
        <v>5864</v>
      </c>
      <c r="D3145" s="55" t="s">
        <v>373</v>
      </c>
      <c r="E3145" s="74">
        <v>41134</v>
      </c>
      <c r="F3145" s="55" t="s">
        <v>344</v>
      </c>
      <c r="G3145" s="55" t="s">
        <v>360</v>
      </c>
      <c r="H3145" s="55" t="s">
        <v>360</v>
      </c>
      <c r="I3145" s="55" t="s">
        <v>360</v>
      </c>
      <c r="J3145" s="55" t="s">
        <v>360</v>
      </c>
      <c r="K3145" s="55" t="s">
        <v>360</v>
      </c>
      <c r="L3145" s="55" t="s">
        <v>360</v>
      </c>
      <c r="M3145" s="55" t="s">
        <v>378</v>
      </c>
      <c r="N3145" s="55" t="s">
        <v>134</v>
      </c>
      <c r="O3145" s="55" t="s">
        <v>158</v>
      </c>
      <c r="P3145" s="55" t="s">
        <v>912</v>
      </c>
      <c r="Q3145" s="55" t="s">
        <v>350</v>
      </c>
      <c r="R3145" s="85">
        <v>2</v>
      </c>
      <c r="S3145" s="55">
        <v>0</v>
      </c>
      <c r="T3145" s="74" t="s">
        <v>711</v>
      </c>
      <c r="U3145" s="74" t="s">
        <v>351</v>
      </c>
      <c r="V3145" s="74">
        <v>44461</v>
      </c>
      <c r="W3145" s="74">
        <v>44497</v>
      </c>
      <c r="X3145" s="55">
        <v>10186249</v>
      </c>
      <c r="Y3145" s="55" t="s">
        <v>132</v>
      </c>
      <c r="AB3145" s="74" t="s">
        <v>132</v>
      </c>
      <c r="AC3145" s="55" t="s">
        <v>132</v>
      </c>
      <c r="AL3145" s="74"/>
      <c r="AM3145" s="74"/>
    </row>
    <row r="3146" spans="1:50" ht="13" x14ac:dyDescent="0.15">
      <c r="A3146" s="55" t="str">
        <f>HYPERLINK("http://reports.ofsted.gov.uk/inspection-reports/find-inspection-report/provider/CARE/SC450992","Ofsted Social Care Provider Webpage")</f>
        <v>Ofsted Social Care Provider Webpage</v>
      </c>
      <c r="B3146" s="55" t="s">
        <v>5871</v>
      </c>
      <c r="D3146" s="55" t="s">
        <v>373</v>
      </c>
      <c r="E3146" s="74">
        <v>41103</v>
      </c>
      <c r="F3146" s="55" t="s">
        <v>344</v>
      </c>
      <c r="G3146" s="55" t="s">
        <v>360</v>
      </c>
      <c r="H3146" s="55" t="s">
        <v>360</v>
      </c>
      <c r="I3146" s="55" t="s">
        <v>360</v>
      </c>
      <c r="J3146" s="55" t="s">
        <v>360</v>
      </c>
      <c r="K3146" s="55" t="s">
        <v>360</v>
      </c>
      <c r="L3146" s="55" t="s">
        <v>360</v>
      </c>
      <c r="M3146" s="55" t="s">
        <v>142</v>
      </c>
      <c r="N3146" s="55" t="s">
        <v>142</v>
      </c>
      <c r="O3146" s="55" t="s">
        <v>177</v>
      </c>
      <c r="P3146" s="55" t="s">
        <v>5872</v>
      </c>
      <c r="Q3146" s="55" t="s">
        <v>350</v>
      </c>
      <c r="R3146" s="85">
        <v>6</v>
      </c>
      <c r="S3146" s="55">
        <v>0</v>
      </c>
      <c r="T3146" s="74" t="s">
        <v>385</v>
      </c>
      <c r="U3146" s="74" t="s">
        <v>351</v>
      </c>
      <c r="V3146" s="74">
        <v>44573</v>
      </c>
      <c r="W3146" s="74">
        <v>44616</v>
      </c>
      <c r="X3146" s="55">
        <v>10185728</v>
      </c>
      <c r="Y3146" s="55" t="s">
        <v>130</v>
      </c>
      <c r="AB3146" s="74" t="s">
        <v>130</v>
      </c>
      <c r="AC3146" s="55" t="s">
        <v>146</v>
      </c>
      <c r="AL3146" s="74"/>
      <c r="AM3146" s="74"/>
    </row>
    <row r="3147" spans="1:50" ht="13" x14ac:dyDescent="0.15">
      <c r="A3147" s="55" t="str">
        <f>HYPERLINK("http://reports.ofsted.gov.uk/inspection-reports/find-inspection-report/provider/CARE/SC450994","Ofsted Social Care Provider Webpage")</f>
        <v>Ofsted Social Care Provider Webpage</v>
      </c>
      <c r="B3147" s="55" t="s">
        <v>5873</v>
      </c>
      <c r="D3147" s="55" t="s">
        <v>373</v>
      </c>
      <c r="E3147" s="74">
        <v>41138</v>
      </c>
      <c r="F3147" s="55" t="s">
        <v>344</v>
      </c>
      <c r="G3147" s="55" t="s">
        <v>360</v>
      </c>
      <c r="H3147" s="55" t="s">
        <v>360</v>
      </c>
      <c r="I3147" s="55" t="s">
        <v>360</v>
      </c>
      <c r="J3147" s="55" t="s">
        <v>360</v>
      </c>
      <c r="K3147" s="55" t="s">
        <v>360</v>
      </c>
      <c r="L3147" s="55" t="s">
        <v>360</v>
      </c>
      <c r="M3147" s="55" t="s">
        <v>138</v>
      </c>
      <c r="N3147" s="55" t="s">
        <v>138</v>
      </c>
      <c r="O3147" s="55" t="s">
        <v>224</v>
      </c>
      <c r="P3147" s="55" t="s">
        <v>374</v>
      </c>
      <c r="Q3147" s="55" t="s">
        <v>350</v>
      </c>
      <c r="R3147" s="85">
        <v>4</v>
      </c>
      <c r="S3147" s="55">
        <v>0</v>
      </c>
      <c r="T3147" s="74" t="s">
        <v>791</v>
      </c>
      <c r="U3147" s="74" t="s">
        <v>351</v>
      </c>
      <c r="V3147" s="74">
        <v>44355</v>
      </c>
      <c r="W3147" s="74">
        <v>44384</v>
      </c>
      <c r="X3147" s="55">
        <v>10186992</v>
      </c>
      <c r="Y3147" s="55" t="s">
        <v>132</v>
      </c>
      <c r="AB3147" s="74" t="s">
        <v>132</v>
      </c>
      <c r="AC3147" s="55" t="s">
        <v>132</v>
      </c>
      <c r="AL3147" s="74"/>
      <c r="AM3147" s="74"/>
    </row>
    <row r="3148" spans="1:50" ht="13" x14ac:dyDescent="0.15">
      <c r="A3148" s="55" t="str">
        <f>HYPERLINK("http://reports.ofsted.gov.uk/inspection-reports/find-inspection-report/provider/CARE/SC451077","Ofsted Social Care Provider Webpage")</f>
        <v>Ofsted Social Care Provider Webpage</v>
      </c>
      <c r="B3148" s="55" t="s">
        <v>5874</v>
      </c>
      <c r="D3148" s="55" t="s">
        <v>389</v>
      </c>
      <c r="E3148" s="74">
        <v>41122</v>
      </c>
      <c r="F3148" s="55" t="s">
        <v>344</v>
      </c>
      <c r="G3148" s="55" t="s">
        <v>5875</v>
      </c>
      <c r="H3148" s="55" t="s">
        <v>5876</v>
      </c>
      <c r="I3148" s="55" t="s">
        <v>5877</v>
      </c>
      <c r="J3148" s="55" t="s">
        <v>254</v>
      </c>
      <c r="L3148" s="55" t="s">
        <v>5878</v>
      </c>
      <c r="M3148" s="55" t="s">
        <v>142</v>
      </c>
      <c r="N3148" s="55" t="s">
        <v>142</v>
      </c>
      <c r="O3148" s="55" t="s">
        <v>254</v>
      </c>
      <c r="P3148" s="55" t="s">
        <v>1048</v>
      </c>
      <c r="Q3148" s="55" t="s">
        <v>350</v>
      </c>
      <c r="S3148" s="55">
        <v>0</v>
      </c>
      <c r="T3148" s="74" t="s">
        <v>5879</v>
      </c>
      <c r="U3148" s="74" t="s">
        <v>351</v>
      </c>
      <c r="V3148" s="74">
        <v>44599</v>
      </c>
      <c r="W3148" s="74">
        <v>44644</v>
      </c>
      <c r="X3148" s="55">
        <v>10183437</v>
      </c>
      <c r="Y3148" s="55" t="s">
        <v>140</v>
      </c>
      <c r="AB3148" s="74" t="s">
        <v>132</v>
      </c>
      <c r="AC3148" s="55" t="s">
        <v>140</v>
      </c>
      <c r="AL3148" s="74"/>
      <c r="AM3148" s="74"/>
      <c r="AW3148" s="74"/>
      <c r="AX3148" s="74"/>
    </row>
    <row r="3149" spans="1:50" ht="13" x14ac:dyDescent="0.15">
      <c r="A3149" s="55" t="str">
        <f>HYPERLINK("http://reports.ofsted.gov.uk/inspection-reports/find-inspection-report/provider/CARE/SC451152","Ofsted Social Care Provider Webpage")</f>
        <v>Ofsted Social Care Provider Webpage</v>
      </c>
      <c r="B3149" s="55" t="s">
        <v>6759</v>
      </c>
      <c r="D3149" s="55" t="s">
        <v>373</v>
      </c>
      <c r="E3149" s="74">
        <v>41229</v>
      </c>
      <c r="F3149" s="55" t="s">
        <v>6707</v>
      </c>
      <c r="G3149" s="55" t="s">
        <v>360</v>
      </c>
      <c r="H3149" s="55" t="s">
        <v>360</v>
      </c>
      <c r="I3149" s="55" t="s">
        <v>360</v>
      </c>
      <c r="J3149" s="55" t="s">
        <v>360</v>
      </c>
      <c r="K3149" s="55" t="s">
        <v>360</v>
      </c>
      <c r="L3149" s="55" t="s">
        <v>360</v>
      </c>
      <c r="M3149" s="55" t="s">
        <v>138</v>
      </c>
      <c r="N3149" s="55" t="s">
        <v>138</v>
      </c>
      <c r="O3149" s="55" t="s">
        <v>224</v>
      </c>
      <c r="P3149" s="55" t="s">
        <v>374</v>
      </c>
      <c r="Q3149" s="55" t="s">
        <v>350</v>
      </c>
      <c r="R3149" s="85">
        <v>4</v>
      </c>
      <c r="S3149" s="55">
        <v>0</v>
      </c>
      <c r="T3149" s="74" t="s">
        <v>6712</v>
      </c>
      <c r="U3149" s="74" t="s">
        <v>351</v>
      </c>
      <c r="V3149" s="74">
        <v>44516</v>
      </c>
      <c r="W3149" s="74">
        <v>44539</v>
      </c>
      <c r="X3149" s="55">
        <v>10187039</v>
      </c>
      <c r="Y3149" s="55" t="s">
        <v>146</v>
      </c>
      <c r="AB3149" s="74" t="s">
        <v>146</v>
      </c>
      <c r="AC3149" s="55" t="s">
        <v>146</v>
      </c>
      <c r="AL3149" s="74"/>
      <c r="AM3149" s="74"/>
    </row>
    <row r="3150" spans="1:50" ht="13" x14ac:dyDescent="0.15">
      <c r="A3150" s="55" t="str">
        <f>HYPERLINK("http://reports.ofsted.gov.uk/inspection-reports/find-inspection-report/provider/CARE/SC451174","Ofsted Social Care Provider Webpage")</f>
        <v>Ofsted Social Care Provider Webpage</v>
      </c>
      <c r="B3150" s="55" t="s">
        <v>5880</v>
      </c>
      <c r="D3150" s="55" t="s">
        <v>373</v>
      </c>
      <c r="E3150" s="74">
        <v>41239</v>
      </c>
      <c r="F3150" s="55" t="s">
        <v>344</v>
      </c>
      <c r="G3150" s="55" t="s">
        <v>360</v>
      </c>
      <c r="H3150" s="55" t="s">
        <v>360</v>
      </c>
      <c r="I3150" s="55" t="s">
        <v>360</v>
      </c>
      <c r="J3150" s="55" t="s">
        <v>360</v>
      </c>
      <c r="K3150" s="55" t="s">
        <v>360</v>
      </c>
      <c r="L3150" s="55" t="s">
        <v>360</v>
      </c>
      <c r="M3150" s="55" t="s">
        <v>144</v>
      </c>
      <c r="N3150" s="55" t="s">
        <v>144</v>
      </c>
      <c r="O3150" s="55" t="s">
        <v>217</v>
      </c>
      <c r="P3150" s="55" t="s">
        <v>903</v>
      </c>
      <c r="Q3150" s="55" t="s">
        <v>350</v>
      </c>
      <c r="R3150" s="85">
        <v>2</v>
      </c>
      <c r="S3150" s="55">
        <v>0</v>
      </c>
      <c r="T3150" s="74" t="s">
        <v>385</v>
      </c>
      <c r="U3150" s="74" t="s">
        <v>351</v>
      </c>
      <c r="V3150" s="74">
        <v>44628</v>
      </c>
      <c r="W3150" s="74">
        <v>44665</v>
      </c>
      <c r="X3150" s="55">
        <v>10185309</v>
      </c>
      <c r="Y3150" s="55" t="s">
        <v>132</v>
      </c>
      <c r="AB3150" s="74" t="s">
        <v>132</v>
      </c>
      <c r="AC3150" s="55" t="s">
        <v>132</v>
      </c>
      <c r="AL3150" s="74"/>
      <c r="AM3150" s="74"/>
      <c r="AW3150" s="74"/>
      <c r="AX3150" s="74"/>
    </row>
    <row r="3151" spans="1:50" ht="13" x14ac:dyDescent="0.15">
      <c r="A3151" s="55" t="str">
        <f>HYPERLINK("http://reports.ofsted.gov.uk/inspection-reports/find-inspection-report/provider/CARE/SC451751","Ofsted Social Care Provider Webpage")</f>
        <v>Ofsted Social Care Provider Webpage</v>
      </c>
      <c r="B3151" s="55" t="s">
        <v>5881</v>
      </c>
      <c r="D3151" s="55" t="s">
        <v>389</v>
      </c>
      <c r="E3151" s="74">
        <v>41199</v>
      </c>
      <c r="F3151" s="55" t="s">
        <v>344</v>
      </c>
      <c r="G3151" s="55" t="s">
        <v>5882</v>
      </c>
      <c r="H3151" s="55" t="s">
        <v>5883</v>
      </c>
      <c r="I3151" s="55" t="s">
        <v>5884</v>
      </c>
      <c r="J3151" s="55" t="s">
        <v>5885</v>
      </c>
      <c r="K3151" s="55" t="s">
        <v>129</v>
      </c>
      <c r="L3151" s="55" t="s">
        <v>5886</v>
      </c>
      <c r="M3151" s="55" t="s">
        <v>129</v>
      </c>
      <c r="N3151" s="55" t="s">
        <v>129</v>
      </c>
      <c r="O3151" s="55" t="s">
        <v>152</v>
      </c>
      <c r="P3151" s="55" t="s">
        <v>1994</v>
      </c>
      <c r="Q3151" s="55" t="s">
        <v>350</v>
      </c>
      <c r="S3151" s="55">
        <v>0</v>
      </c>
      <c r="T3151" s="74" t="s">
        <v>5887</v>
      </c>
      <c r="U3151" s="74" t="s">
        <v>351</v>
      </c>
      <c r="V3151" s="74">
        <v>44459</v>
      </c>
      <c r="W3151" s="74">
        <v>44501</v>
      </c>
      <c r="X3151" s="55">
        <v>10183263</v>
      </c>
      <c r="Y3151" s="55" t="s">
        <v>132</v>
      </c>
      <c r="AB3151" s="74" t="s">
        <v>132</v>
      </c>
      <c r="AC3151" s="55" t="s">
        <v>132</v>
      </c>
      <c r="AL3151" s="74"/>
      <c r="AM3151" s="74"/>
      <c r="AW3151" s="74"/>
      <c r="AX3151" s="74"/>
    </row>
    <row r="3152" spans="1:50" ht="13" x14ac:dyDescent="0.15">
      <c r="A3152" s="55" t="str">
        <f>HYPERLINK("http://reports.ofsted.gov.uk/inspection-reports/find-inspection-report/provider/CARE/SC452107","Ofsted Social Care Provider Webpage")</f>
        <v>Ofsted Social Care Provider Webpage</v>
      </c>
      <c r="B3152" s="55" t="s">
        <v>5888</v>
      </c>
      <c r="D3152" s="55" t="s">
        <v>373</v>
      </c>
      <c r="E3152" s="74">
        <v>41246</v>
      </c>
      <c r="F3152" s="55" t="s">
        <v>344</v>
      </c>
      <c r="G3152" s="55" t="s">
        <v>360</v>
      </c>
      <c r="H3152" s="55" t="s">
        <v>360</v>
      </c>
      <c r="I3152" s="55" t="s">
        <v>360</v>
      </c>
      <c r="J3152" s="55" t="s">
        <v>360</v>
      </c>
      <c r="K3152" s="55" t="s">
        <v>360</v>
      </c>
      <c r="L3152" s="55" t="s">
        <v>360</v>
      </c>
      <c r="M3152" s="55" t="s">
        <v>138</v>
      </c>
      <c r="N3152" s="55" t="s">
        <v>138</v>
      </c>
      <c r="O3152" s="55" t="s">
        <v>159</v>
      </c>
      <c r="P3152" s="55" t="s">
        <v>1025</v>
      </c>
      <c r="Q3152" s="55" t="s">
        <v>350</v>
      </c>
      <c r="R3152" s="85">
        <v>3</v>
      </c>
      <c r="S3152" s="55">
        <v>0</v>
      </c>
      <c r="T3152" s="74" t="s">
        <v>1079</v>
      </c>
      <c r="U3152" s="74" t="s">
        <v>351</v>
      </c>
      <c r="V3152" s="74">
        <v>44397</v>
      </c>
      <c r="W3152" s="74">
        <v>44427</v>
      </c>
      <c r="X3152" s="55">
        <v>10187058</v>
      </c>
      <c r="Y3152" s="55" t="s">
        <v>132</v>
      </c>
      <c r="AB3152" s="74" t="s">
        <v>132</v>
      </c>
      <c r="AC3152" s="55" t="s">
        <v>132</v>
      </c>
      <c r="AL3152" s="74"/>
      <c r="AM3152" s="74"/>
      <c r="AW3152" s="74"/>
      <c r="AX3152" s="74"/>
    </row>
    <row r="3153" spans="1:50" ht="13" x14ac:dyDescent="0.15">
      <c r="A3153" s="55" t="str">
        <f>HYPERLINK("http://reports.ofsted.gov.uk/inspection-reports/find-inspection-report/provider/CARE/SC452461","Ofsted Social Care Provider Webpage")</f>
        <v>Ofsted Social Care Provider Webpage</v>
      </c>
      <c r="B3153" s="55" t="s">
        <v>5889</v>
      </c>
      <c r="D3153" s="55" t="s">
        <v>479</v>
      </c>
      <c r="E3153" s="74">
        <v>41180</v>
      </c>
      <c r="F3153" s="55" t="s">
        <v>344</v>
      </c>
      <c r="G3153" s="55" t="s">
        <v>360</v>
      </c>
      <c r="H3153" s="55" t="s">
        <v>360</v>
      </c>
      <c r="I3153" s="55" t="s">
        <v>360</v>
      </c>
      <c r="J3153" s="55" t="s">
        <v>360</v>
      </c>
      <c r="K3153" s="55" t="s">
        <v>360</v>
      </c>
      <c r="L3153" s="55" t="s">
        <v>360</v>
      </c>
      <c r="M3153" s="55" t="s">
        <v>138</v>
      </c>
      <c r="N3153" s="55" t="s">
        <v>138</v>
      </c>
      <c r="O3153" s="55" t="s">
        <v>224</v>
      </c>
      <c r="P3153" s="55" t="s">
        <v>1675</v>
      </c>
      <c r="Q3153" s="55" t="s">
        <v>350</v>
      </c>
      <c r="R3153" s="85">
        <v>8</v>
      </c>
      <c r="S3153" s="55">
        <v>0</v>
      </c>
      <c r="T3153" s="74" t="s">
        <v>5890</v>
      </c>
      <c r="U3153" s="74" t="s">
        <v>351</v>
      </c>
      <c r="V3153" s="74">
        <v>44537</v>
      </c>
      <c r="W3153" s="74">
        <v>44582</v>
      </c>
      <c r="X3153" s="55">
        <v>10187432</v>
      </c>
      <c r="Y3153" s="55" t="s">
        <v>132</v>
      </c>
      <c r="AB3153" s="74" t="s">
        <v>132</v>
      </c>
      <c r="AC3153" s="55" t="s">
        <v>132</v>
      </c>
      <c r="AL3153" s="74"/>
      <c r="AM3153" s="74"/>
    </row>
    <row r="3154" spans="1:50" ht="13" x14ac:dyDescent="0.15">
      <c r="A3154" s="55" t="str">
        <f>HYPERLINK("http://reports.ofsted.gov.uk/inspection-reports/find-inspection-report/provider/CARE/SC452713","Ofsted Social Care Provider Webpage")</f>
        <v>Ofsted Social Care Provider Webpage</v>
      </c>
      <c r="B3154" s="55" t="s">
        <v>5891</v>
      </c>
      <c r="D3154" s="55" t="s">
        <v>373</v>
      </c>
      <c r="E3154" s="74">
        <v>41181</v>
      </c>
      <c r="F3154" s="55" t="s">
        <v>344</v>
      </c>
      <c r="G3154" s="55" t="s">
        <v>360</v>
      </c>
      <c r="H3154" s="55" t="s">
        <v>360</v>
      </c>
      <c r="I3154" s="55" t="s">
        <v>360</v>
      </c>
      <c r="J3154" s="55" t="s">
        <v>360</v>
      </c>
      <c r="K3154" s="55" t="s">
        <v>360</v>
      </c>
      <c r="L3154" s="55" t="s">
        <v>360</v>
      </c>
      <c r="M3154" s="55" t="s">
        <v>136</v>
      </c>
      <c r="N3154" s="55" t="s">
        <v>136</v>
      </c>
      <c r="O3154" s="55" t="s">
        <v>256</v>
      </c>
      <c r="P3154" s="55" t="s">
        <v>5892</v>
      </c>
      <c r="Q3154" s="55" t="s">
        <v>350</v>
      </c>
      <c r="R3154" s="85">
        <v>3</v>
      </c>
      <c r="S3154" s="55">
        <v>0</v>
      </c>
      <c r="T3154" s="74" t="s">
        <v>1219</v>
      </c>
      <c r="U3154" s="74" t="s">
        <v>351</v>
      </c>
      <c r="V3154" s="74">
        <v>44418</v>
      </c>
      <c r="W3154" s="74">
        <v>44463</v>
      </c>
      <c r="X3154" s="55">
        <v>10186067</v>
      </c>
      <c r="Y3154" s="55" t="s">
        <v>132</v>
      </c>
      <c r="AB3154" s="74" t="s">
        <v>132</v>
      </c>
      <c r="AC3154" s="55" t="s">
        <v>132</v>
      </c>
      <c r="AL3154" s="74"/>
      <c r="AM3154" s="74"/>
      <c r="AW3154" s="74"/>
      <c r="AX3154" s="74"/>
    </row>
    <row r="3155" spans="1:50" ht="13" x14ac:dyDescent="0.15">
      <c r="A3155" s="55" t="str">
        <f>HYPERLINK("http://reports.ofsted.gov.uk/inspection-reports/find-inspection-report/provider/CARE/SC453308","Ofsted Social Care Provider Webpage")</f>
        <v>Ofsted Social Care Provider Webpage</v>
      </c>
      <c r="B3155" s="55" t="s">
        <v>5904</v>
      </c>
      <c r="D3155" s="55" t="s">
        <v>389</v>
      </c>
      <c r="E3155" s="74">
        <v>41222</v>
      </c>
      <c r="F3155" s="55" t="s">
        <v>344</v>
      </c>
      <c r="G3155" s="55" t="s">
        <v>5905</v>
      </c>
      <c r="H3155" s="55" t="s">
        <v>5906</v>
      </c>
      <c r="I3155" s="55" t="s">
        <v>5907</v>
      </c>
      <c r="J3155" s="55" t="s">
        <v>5783</v>
      </c>
      <c r="L3155" s="55" t="s">
        <v>5908</v>
      </c>
      <c r="M3155" s="55" t="s">
        <v>142</v>
      </c>
      <c r="N3155" s="55" t="s">
        <v>142</v>
      </c>
      <c r="O3155" s="55" t="s">
        <v>293</v>
      </c>
      <c r="P3155" s="55" t="s">
        <v>1136</v>
      </c>
      <c r="Q3155" s="55" t="s">
        <v>362</v>
      </c>
      <c r="S3155" s="55">
        <v>0</v>
      </c>
      <c r="T3155" s="74" t="s">
        <v>5909</v>
      </c>
      <c r="U3155" s="74" t="s">
        <v>351</v>
      </c>
      <c r="V3155" s="74">
        <v>44508</v>
      </c>
      <c r="W3155" s="74">
        <v>44547</v>
      </c>
      <c r="X3155" s="55">
        <v>10183429</v>
      </c>
      <c r="Y3155" s="55" t="s">
        <v>140</v>
      </c>
      <c r="AB3155" s="74" t="s">
        <v>132</v>
      </c>
      <c r="AC3155" s="55" t="s">
        <v>140</v>
      </c>
      <c r="AL3155" s="74"/>
      <c r="AM3155" s="74"/>
    </row>
    <row r="3156" spans="1:50" ht="13" x14ac:dyDescent="0.15">
      <c r="A3156" s="55" t="str">
        <f>HYPERLINK("http://reports.ofsted.gov.uk/inspection-reports/find-inspection-report/provider/CARE/SC453372","Ofsted Social Care Provider Webpage")</f>
        <v>Ofsted Social Care Provider Webpage</v>
      </c>
      <c r="B3156" s="55" t="s">
        <v>5910</v>
      </c>
      <c r="D3156" s="55" t="s">
        <v>373</v>
      </c>
      <c r="E3156" s="74">
        <v>41388</v>
      </c>
      <c r="F3156" s="55" t="s">
        <v>344</v>
      </c>
      <c r="G3156" s="55" t="s">
        <v>360</v>
      </c>
      <c r="H3156" s="55" t="s">
        <v>360</v>
      </c>
      <c r="I3156" s="55" t="s">
        <v>360</v>
      </c>
      <c r="J3156" s="55" t="s">
        <v>360</v>
      </c>
      <c r="K3156" s="55" t="s">
        <v>360</v>
      </c>
      <c r="L3156" s="55" t="s">
        <v>360</v>
      </c>
      <c r="M3156" s="55" t="s">
        <v>378</v>
      </c>
      <c r="N3156" s="55" t="s">
        <v>170</v>
      </c>
      <c r="O3156" s="55" t="s">
        <v>178</v>
      </c>
      <c r="P3156" s="55" t="s">
        <v>1450</v>
      </c>
      <c r="Q3156" s="55" t="s">
        <v>350</v>
      </c>
      <c r="R3156" s="85">
        <v>4</v>
      </c>
      <c r="S3156" s="55">
        <v>0</v>
      </c>
      <c r="T3156" s="74" t="s">
        <v>1236</v>
      </c>
      <c r="U3156" s="74" t="s">
        <v>351</v>
      </c>
      <c r="V3156" s="74">
        <v>44418</v>
      </c>
      <c r="W3156" s="74">
        <v>44452</v>
      </c>
      <c r="X3156" s="55">
        <v>10185695</v>
      </c>
      <c r="Y3156" s="55" t="s">
        <v>130</v>
      </c>
      <c r="AB3156" s="74" t="s">
        <v>130</v>
      </c>
      <c r="AC3156" s="55" t="s">
        <v>130</v>
      </c>
      <c r="AL3156" s="74"/>
      <c r="AM3156" s="74"/>
      <c r="AW3156" s="74"/>
      <c r="AX3156" s="74"/>
    </row>
    <row r="3157" spans="1:50" ht="13" x14ac:dyDescent="0.15">
      <c r="A3157" s="55" t="str">
        <f>HYPERLINK("http://reports.ofsted.gov.uk/inspection-reports/find-inspection-report/provider/CARE/SC453372","Ofsted Social Care Provider Webpage")</f>
        <v>Ofsted Social Care Provider Webpage</v>
      </c>
      <c r="B3157" s="55" t="s">
        <v>5910</v>
      </c>
      <c r="D3157" s="55" t="s">
        <v>373</v>
      </c>
      <c r="E3157" s="74">
        <v>41388</v>
      </c>
      <c r="F3157" s="55" t="s">
        <v>344</v>
      </c>
      <c r="G3157" s="55" t="s">
        <v>360</v>
      </c>
      <c r="H3157" s="55" t="s">
        <v>360</v>
      </c>
      <c r="I3157" s="55" t="s">
        <v>360</v>
      </c>
      <c r="J3157" s="55" t="s">
        <v>360</v>
      </c>
      <c r="K3157" s="55" t="s">
        <v>360</v>
      </c>
      <c r="L3157" s="55" t="s">
        <v>360</v>
      </c>
      <c r="M3157" s="55" t="s">
        <v>378</v>
      </c>
      <c r="N3157" s="55" t="s">
        <v>170</v>
      </c>
      <c r="O3157" s="55" t="s">
        <v>178</v>
      </c>
      <c r="P3157" s="55" t="s">
        <v>1450</v>
      </c>
      <c r="Q3157" s="55" t="s">
        <v>350</v>
      </c>
      <c r="R3157" s="85">
        <v>4</v>
      </c>
      <c r="S3157" s="55">
        <v>0</v>
      </c>
      <c r="T3157" s="74" t="s">
        <v>1236</v>
      </c>
      <c r="U3157" s="74" t="s">
        <v>6703</v>
      </c>
      <c r="V3157" s="74">
        <v>44594</v>
      </c>
      <c r="W3157" s="74">
        <v>44638</v>
      </c>
      <c r="X3157" s="55">
        <v>10210092</v>
      </c>
      <c r="Y3157" s="55" t="s">
        <v>6706</v>
      </c>
      <c r="AL3157" s="74"/>
      <c r="AM3157" s="74"/>
    </row>
    <row r="3158" spans="1:50" ht="13" x14ac:dyDescent="0.15">
      <c r="A3158" s="55" t="str">
        <f>HYPERLINK("http://reports.ofsted.gov.uk/inspection-reports/find-inspection-report/provider/CARE/SC453726","Ofsted Social Care Provider Webpage")</f>
        <v>Ofsted Social Care Provider Webpage</v>
      </c>
      <c r="B3158" s="55" t="s">
        <v>5911</v>
      </c>
      <c r="D3158" s="55" t="s">
        <v>373</v>
      </c>
      <c r="E3158" s="74">
        <v>41215</v>
      </c>
      <c r="F3158" s="55" t="s">
        <v>344</v>
      </c>
      <c r="G3158" s="55" t="s">
        <v>360</v>
      </c>
      <c r="H3158" s="55" t="s">
        <v>360</v>
      </c>
      <c r="I3158" s="55" t="s">
        <v>360</v>
      </c>
      <c r="J3158" s="55" t="s">
        <v>360</v>
      </c>
      <c r="K3158" s="55" t="s">
        <v>360</v>
      </c>
      <c r="L3158" s="55" t="s">
        <v>360</v>
      </c>
      <c r="M3158" s="55" t="s">
        <v>142</v>
      </c>
      <c r="N3158" s="55" t="s">
        <v>142</v>
      </c>
      <c r="O3158" s="55" t="s">
        <v>141</v>
      </c>
      <c r="P3158" s="55" t="s">
        <v>573</v>
      </c>
      <c r="Q3158" s="55" t="s">
        <v>350</v>
      </c>
      <c r="R3158" s="85">
        <v>4</v>
      </c>
      <c r="S3158" s="55">
        <v>0</v>
      </c>
      <c r="T3158" s="74" t="s">
        <v>1415</v>
      </c>
      <c r="U3158" s="74" t="s">
        <v>351</v>
      </c>
      <c r="V3158" s="74">
        <v>44446</v>
      </c>
      <c r="W3158" s="74">
        <v>44487</v>
      </c>
      <c r="X3158" s="55">
        <v>10187210</v>
      </c>
      <c r="Y3158" s="55" t="s">
        <v>146</v>
      </c>
      <c r="AB3158" s="74" t="s">
        <v>146</v>
      </c>
      <c r="AC3158" s="55" t="s">
        <v>146</v>
      </c>
      <c r="AL3158" s="74"/>
      <c r="AM3158" s="74"/>
      <c r="AW3158" s="74"/>
      <c r="AX3158" s="74"/>
    </row>
    <row r="3159" spans="1:50" ht="13" x14ac:dyDescent="0.15">
      <c r="A3159" s="55" t="str">
        <f>HYPERLINK("http://reports.ofsted.gov.uk/inspection-reports/find-inspection-report/provider/CARE/SC453726","Ofsted Social Care Provider Webpage")</f>
        <v>Ofsted Social Care Provider Webpage</v>
      </c>
      <c r="B3159" s="55" t="s">
        <v>5911</v>
      </c>
      <c r="D3159" s="55" t="s">
        <v>373</v>
      </c>
      <c r="E3159" s="74">
        <v>41215</v>
      </c>
      <c r="F3159" s="55" t="s">
        <v>344</v>
      </c>
      <c r="G3159" s="55" t="s">
        <v>360</v>
      </c>
      <c r="H3159" s="55" t="s">
        <v>360</v>
      </c>
      <c r="I3159" s="55" t="s">
        <v>360</v>
      </c>
      <c r="J3159" s="55" t="s">
        <v>360</v>
      </c>
      <c r="K3159" s="55" t="s">
        <v>360</v>
      </c>
      <c r="L3159" s="55" t="s">
        <v>360</v>
      </c>
      <c r="M3159" s="55" t="s">
        <v>142</v>
      </c>
      <c r="N3159" s="55" t="s">
        <v>142</v>
      </c>
      <c r="O3159" s="55" t="s">
        <v>141</v>
      </c>
      <c r="P3159" s="55" t="s">
        <v>573</v>
      </c>
      <c r="Q3159" s="55" t="s">
        <v>350</v>
      </c>
      <c r="R3159" s="85">
        <v>4</v>
      </c>
      <c r="S3159" s="55">
        <v>0</v>
      </c>
      <c r="T3159" s="74" t="s">
        <v>1415</v>
      </c>
      <c r="U3159" s="74" t="s">
        <v>2053</v>
      </c>
      <c r="V3159" s="74">
        <v>44487</v>
      </c>
      <c r="W3159" s="74">
        <v>44519</v>
      </c>
      <c r="X3159" s="55">
        <v>10206950</v>
      </c>
      <c r="AL3159" s="74"/>
      <c r="AM3159" s="74"/>
      <c r="AW3159" s="74"/>
      <c r="AX3159" s="74"/>
    </row>
    <row r="3160" spans="1:50" ht="13" x14ac:dyDescent="0.15">
      <c r="A3160" s="55" t="str">
        <f>HYPERLINK("http://reports.ofsted.gov.uk/inspection-reports/find-inspection-report/provider/CARE/SC453726","Ofsted Social Care Provider Webpage")</f>
        <v>Ofsted Social Care Provider Webpage</v>
      </c>
      <c r="B3160" s="55" t="s">
        <v>5911</v>
      </c>
      <c r="D3160" s="55" t="s">
        <v>373</v>
      </c>
      <c r="E3160" s="74">
        <v>41215</v>
      </c>
      <c r="F3160" s="55" t="s">
        <v>344</v>
      </c>
      <c r="G3160" s="55" t="s">
        <v>360</v>
      </c>
      <c r="H3160" s="55" t="s">
        <v>360</v>
      </c>
      <c r="I3160" s="55" t="s">
        <v>360</v>
      </c>
      <c r="J3160" s="55" t="s">
        <v>360</v>
      </c>
      <c r="K3160" s="55" t="s">
        <v>360</v>
      </c>
      <c r="L3160" s="55" t="s">
        <v>360</v>
      </c>
      <c r="M3160" s="55" t="s">
        <v>142</v>
      </c>
      <c r="N3160" s="55" t="s">
        <v>142</v>
      </c>
      <c r="O3160" s="55" t="s">
        <v>141</v>
      </c>
      <c r="P3160" s="55" t="s">
        <v>573</v>
      </c>
      <c r="Q3160" s="55" t="s">
        <v>350</v>
      </c>
      <c r="R3160" s="85">
        <v>4</v>
      </c>
      <c r="S3160" s="55">
        <v>0</v>
      </c>
      <c r="T3160" s="74" t="s">
        <v>1415</v>
      </c>
      <c r="U3160" s="74" t="s">
        <v>2053</v>
      </c>
      <c r="V3160" s="74">
        <v>44475</v>
      </c>
      <c r="W3160" s="74">
        <v>44505</v>
      </c>
      <c r="X3160" s="55">
        <v>10206949</v>
      </c>
      <c r="AL3160" s="74"/>
      <c r="AM3160" s="74"/>
      <c r="AW3160" s="74"/>
      <c r="AX3160" s="74"/>
    </row>
    <row r="3161" spans="1:50" ht="13" x14ac:dyDescent="0.15">
      <c r="A3161" s="55" t="str">
        <f>HYPERLINK("http://reports.ofsted.gov.uk/inspection-reports/find-inspection-report/provider/CARE/SC453726","Ofsted Social Care Provider Webpage")</f>
        <v>Ofsted Social Care Provider Webpage</v>
      </c>
      <c r="B3161" s="55" t="s">
        <v>5911</v>
      </c>
      <c r="D3161" s="55" t="s">
        <v>373</v>
      </c>
      <c r="E3161" s="74">
        <v>41215</v>
      </c>
      <c r="F3161" s="55" t="s">
        <v>344</v>
      </c>
      <c r="G3161" s="55" t="s">
        <v>360</v>
      </c>
      <c r="H3161" s="55" t="s">
        <v>360</v>
      </c>
      <c r="I3161" s="55" t="s">
        <v>360</v>
      </c>
      <c r="J3161" s="55" t="s">
        <v>360</v>
      </c>
      <c r="K3161" s="55" t="s">
        <v>360</v>
      </c>
      <c r="L3161" s="55" t="s">
        <v>360</v>
      </c>
      <c r="M3161" s="55" t="s">
        <v>142</v>
      </c>
      <c r="N3161" s="55" t="s">
        <v>142</v>
      </c>
      <c r="O3161" s="55" t="s">
        <v>141</v>
      </c>
      <c r="P3161" s="55" t="s">
        <v>573</v>
      </c>
      <c r="Q3161" s="55" t="s">
        <v>350</v>
      </c>
      <c r="R3161" s="85">
        <v>4</v>
      </c>
      <c r="S3161" s="55">
        <v>0</v>
      </c>
      <c r="T3161" s="74" t="s">
        <v>1415</v>
      </c>
      <c r="U3161" s="74" t="s">
        <v>2053</v>
      </c>
      <c r="V3161" s="74">
        <v>44550</v>
      </c>
      <c r="W3161" s="74">
        <v>44593</v>
      </c>
      <c r="X3161" s="55">
        <v>10214854</v>
      </c>
      <c r="AL3161" s="74"/>
      <c r="AM3161" s="74"/>
      <c r="AW3161" s="74"/>
      <c r="AX3161" s="74"/>
    </row>
    <row r="3162" spans="1:50" ht="13" x14ac:dyDescent="0.15">
      <c r="A3162" s="55" t="str">
        <f>HYPERLINK("http://reports.ofsted.gov.uk/inspection-reports/find-inspection-report/provider/CARE/SC453726","Ofsted Social Care Provider Webpage")</f>
        <v>Ofsted Social Care Provider Webpage</v>
      </c>
      <c r="B3162" s="55" t="s">
        <v>5911</v>
      </c>
      <c r="D3162" s="55" t="s">
        <v>373</v>
      </c>
      <c r="E3162" s="74">
        <v>41215</v>
      </c>
      <c r="F3162" s="55" t="s">
        <v>344</v>
      </c>
      <c r="G3162" s="55" t="s">
        <v>360</v>
      </c>
      <c r="H3162" s="55" t="s">
        <v>360</v>
      </c>
      <c r="I3162" s="55" t="s">
        <v>360</v>
      </c>
      <c r="J3162" s="55" t="s">
        <v>360</v>
      </c>
      <c r="K3162" s="55" t="s">
        <v>360</v>
      </c>
      <c r="L3162" s="55" t="s">
        <v>360</v>
      </c>
      <c r="M3162" s="55" t="s">
        <v>142</v>
      </c>
      <c r="N3162" s="55" t="s">
        <v>142</v>
      </c>
      <c r="O3162" s="55" t="s">
        <v>141</v>
      </c>
      <c r="P3162" s="55" t="s">
        <v>573</v>
      </c>
      <c r="Q3162" s="55" t="s">
        <v>350</v>
      </c>
      <c r="R3162" s="85">
        <v>4</v>
      </c>
      <c r="S3162" s="55">
        <v>0</v>
      </c>
      <c r="T3162" s="74" t="s">
        <v>1415</v>
      </c>
      <c r="U3162" s="74" t="s">
        <v>351</v>
      </c>
      <c r="V3162" s="74">
        <v>44516</v>
      </c>
      <c r="W3162" s="74">
        <v>44559</v>
      </c>
      <c r="X3162" s="55">
        <v>10206951</v>
      </c>
      <c r="Y3162" s="55" t="s">
        <v>130</v>
      </c>
      <c r="AB3162" s="74" t="s">
        <v>130</v>
      </c>
      <c r="AC3162" s="55" t="s">
        <v>146</v>
      </c>
      <c r="AL3162" s="74"/>
      <c r="AM3162" s="74"/>
      <c r="AW3162" s="74"/>
      <c r="AX3162" s="74"/>
    </row>
    <row r="3163" spans="1:50" ht="13" x14ac:dyDescent="0.15">
      <c r="A3163" s="55" t="str">
        <f>HYPERLINK("http://reports.ofsted.gov.uk/inspection-reports/find-inspection-report/provider/CARE/SC454265","Ofsted Social Care Provider Webpage")</f>
        <v>Ofsted Social Care Provider Webpage</v>
      </c>
      <c r="B3163" s="55" t="s">
        <v>5913</v>
      </c>
      <c r="D3163" s="55" t="s">
        <v>373</v>
      </c>
      <c r="E3163" s="74">
        <v>41305</v>
      </c>
      <c r="F3163" s="55" t="s">
        <v>344</v>
      </c>
      <c r="G3163" s="55" t="s">
        <v>360</v>
      </c>
      <c r="H3163" s="55" t="s">
        <v>360</v>
      </c>
      <c r="I3163" s="55" t="s">
        <v>360</v>
      </c>
      <c r="J3163" s="55" t="s">
        <v>360</v>
      </c>
      <c r="K3163" s="55" t="s">
        <v>360</v>
      </c>
      <c r="L3163" s="55" t="s">
        <v>360</v>
      </c>
      <c r="M3163" s="55" t="s">
        <v>144</v>
      </c>
      <c r="N3163" s="55" t="s">
        <v>144</v>
      </c>
      <c r="O3163" s="55" t="s">
        <v>261</v>
      </c>
      <c r="P3163" s="55" t="s">
        <v>792</v>
      </c>
      <c r="Q3163" s="55" t="s">
        <v>350</v>
      </c>
      <c r="R3163" s="85">
        <v>1</v>
      </c>
      <c r="S3163" s="55">
        <v>0</v>
      </c>
      <c r="T3163" s="74" t="s">
        <v>5480</v>
      </c>
      <c r="U3163" s="74" t="s">
        <v>351</v>
      </c>
      <c r="V3163" s="74">
        <v>44586</v>
      </c>
      <c r="W3163" s="74">
        <v>44627</v>
      </c>
      <c r="X3163" s="55">
        <v>10185782</v>
      </c>
      <c r="Y3163" s="55" t="s">
        <v>132</v>
      </c>
      <c r="AB3163" s="74" t="s">
        <v>132</v>
      </c>
      <c r="AC3163" s="55" t="s">
        <v>130</v>
      </c>
      <c r="AL3163" s="74"/>
      <c r="AM3163" s="74"/>
    </row>
    <row r="3164" spans="1:50" ht="13" x14ac:dyDescent="0.15">
      <c r="A3164" s="55" t="str">
        <f>HYPERLINK("http://reports.ofsted.gov.uk/inspection-reports/find-inspection-report/provider/CARE/SC454266","Ofsted Social Care Provider Webpage")</f>
        <v>Ofsted Social Care Provider Webpage</v>
      </c>
      <c r="B3164" s="55" t="s">
        <v>5914</v>
      </c>
      <c r="D3164" s="55" t="s">
        <v>373</v>
      </c>
      <c r="E3164" s="74">
        <v>41256</v>
      </c>
      <c r="F3164" s="55" t="s">
        <v>344</v>
      </c>
      <c r="G3164" s="55" t="s">
        <v>360</v>
      </c>
      <c r="H3164" s="55" t="s">
        <v>360</v>
      </c>
      <c r="I3164" s="55" t="s">
        <v>360</v>
      </c>
      <c r="J3164" s="55" t="s">
        <v>360</v>
      </c>
      <c r="K3164" s="55" t="s">
        <v>360</v>
      </c>
      <c r="L3164" s="55" t="s">
        <v>360</v>
      </c>
      <c r="M3164" s="55" t="s">
        <v>378</v>
      </c>
      <c r="N3164" s="55" t="s">
        <v>170</v>
      </c>
      <c r="O3164" s="55" t="s">
        <v>220</v>
      </c>
      <c r="P3164" s="55" t="s">
        <v>1222</v>
      </c>
      <c r="Q3164" s="55" t="s">
        <v>350</v>
      </c>
      <c r="R3164" s="85">
        <v>4</v>
      </c>
      <c r="S3164" s="55">
        <v>0</v>
      </c>
      <c r="T3164" s="74" t="s">
        <v>385</v>
      </c>
      <c r="U3164" s="74" t="s">
        <v>351</v>
      </c>
      <c r="V3164" s="74">
        <v>44616</v>
      </c>
      <c r="W3164" s="74">
        <v>44658</v>
      </c>
      <c r="X3164" s="55">
        <v>10187035</v>
      </c>
      <c r="Y3164" s="55" t="s">
        <v>132</v>
      </c>
      <c r="AB3164" s="74" t="s">
        <v>132</v>
      </c>
      <c r="AC3164" s="55" t="s">
        <v>132</v>
      </c>
      <c r="AL3164" s="74"/>
      <c r="AM3164" s="74"/>
      <c r="AW3164" s="74"/>
      <c r="AX3164" s="74"/>
    </row>
    <row r="3165" spans="1:50" ht="13" x14ac:dyDescent="0.15">
      <c r="A3165" s="55" t="str">
        <f>HYPERLINK("http://reports.ofsted.gov.uk/inspection-reports/find-inspection-report/provider/CARE/SC454294","Ofsted Social Care Provider Webpage")</f>
        <v>Ofsted Social Care Provider Webpage</v>
      </c>
      <c r="B3165" s="55" t="s">
        <v>5915</v>
      </c>
      <c r="D3165" s="55" t="s">
        <v>373</v>
      </c>
      <c r="E3165" s="74">
        <v>41215</v>
      </c>
      <c r="F3165" s="55" t="s">
        <v>344</v>
      </c>
      <c r="G3165" s="55" t="s">
        <v>360</v>
      </c>
      <c r="H3165" s="55" t="s">
        <v>360</v>
      </c>
      <c r="I3165" s="55" t="s">
        <v>360</v>
      </c>
      <c r="J3165" s="55" t="s">
        <v>360</v>
      </c>
      <c r="K3165" s="55" t="s">
        <v>360</v>
      </c>
      <c r="L3165" s="55" t="s">
        <v>360</v>
      </c>
      <c r="M3165" s="55" t="s">
        <v>150</v>
      </c>
      <c r="N3165" s="55" t="s">
        <v>150</v>
      </c>
      <c r="O3165" s="55" t="s">
        <v>203</v>
      </c>
      <c r="P3165" s="55" t="s">
        <v>1038</v>
      </c>
      <c r="Q3165" s="55" t="s">
        <v>362</v>
      </c>
      <c r="R3165" s="85">
        <v>8</v>
      </c>
      <c r="S3165" s="55">
        <v>0</v>
      </c>
      <c r="T3165" s="74" t="s">
        <v>1119</v>
      </c>
      <c r="U3165" s="74" t="s">
        <v>351</v>
      </c>
      <c r="V3165" s="74">
        <v>44321</v>
      </c>
      <c r="W3165" s="74">
        <v>44378</v>
      </c>
      <c r="X3165" s="55">
        <v>10185821</v>
      </c>
      <c r="Y3165" s="55" t="s">
        <v>130</v>
      </c>
      <c r="AB3165" s="74" t="s">
        <v>130</v>
      </c>
      <c r="AC3165" s="55" t="s">
        <v>130</v>
      </c>
      <c r="AL3165" s="74"/>
      <c r="AM3165" s="74"/>
      <c r="AW3165" s="74"/>
      <c r="AX3165" s="74"/>
    </row>
    <row r="3166" spans="1:50" ht="13" x14ac:dyDescent="0.15">
      <c r="A3166" s="55" t="str">
        <f>HYPERLINK("http://reports.ofsted.gov.uk/inspection-reports/find-inspection-report/provider/CARE/SC454294","Ofsted Social Care Provider Webpage")</f>
        <v>Ofsted Social Care Provider Webpage</v>
      </c>
      <c r="B3166" s="55" t="s">
        <v>5915</v>
      </c>
      <c r="D3166" s="55" t="s">
        <v>373</v>
      </c>
      <c r="E3166" s="74">
        <v>41215</v>
      </c>
      <c r="F3166" s="55" t="s">
        <v>344</v>
      </c>
      <c r="G3166" s="55" t="s">
        <v>360</v>
      </c>
      <c r="H3166" s="55" t="s">
        <v>360</v>
      </c>
      <c r="I3166" s="55" t="s">
        <v>360</v>
      </c>
      <c r="J3166" s="55" t="s">
        <v>360</v>
      </c>
      <c r="K3166" s="55" t="s">
        <v>360</v>
      </c>
      <c r="L3166" s="55" t="s">
        <v>360</v>
      </c>
      <c r="M3166" s="55" t="s">
        <v>150</v>
      </c>
      <c r="N3166" s="55" t="s">
        <v>150</v>
      </c>
      <c r="O3166" s="55" t="s">
        <v>203</v>
      </c>
      <c r="P3166" s="55" t="s">
        <v>1038</v>
      </c>
      <c r="Q3166" s="55" t="s">
        <v>362</v>
      </c>
      <c r="R3166" s="85">
        <v>8</v>
      </c>
      <c r="S3166" s="55">
        <v>0</v>
      </c>
      <c r="T3166" s="74" t="s">
        <v>1119</v>
      </c>
      <c r="U3166" s="74" t="s">
        <v>6703</v>
      </c>
      <c r="V3166" s="74">
        <v>44574</v>
      </c>
      <c r="W3166" s="74">
        <v>44608</v>
      </c>
      <c r="X3166" s="55">
        <v>10212855</v>
      </c>
      <c r="Y3166" s="55" t="s">
        <v>6705</v>
      </c>
      <c r="AL3166" s="74"/>
      <c r="AM3166" s="74"/>
      <c r="AW3166" s="74"/>
      <c r="AX3166" s="74"/>
    </row>
    <row r="3167" spans="1:50" ht="13" x14ac:dyDescent="0.15">
      <c r="A3167" s="55" t="str">
        <f>HYPERLINK("http://reports.ofsted.gov.uk/inspection-reports/find-inspection-report/provider/CARE/SC454484","Ofsted Social Care Provider Webpage")</f>
        <v>Ofsted Social Care Provider Webpage</v>
      </c>
      <c r="B3167" s="55" t="s">
        <v>5916</v>
      </c>
      <c r="D3167" s="55" t="s">
        <v>373</v>
      </c>
      <c r="E3167" s="74">
        <v>41228</v>
      </c>
      <c r="F3167" s="55" t="s">
        <v>344</v>
      </c>
      <c r="G3167" s="55" t="s">
        <v>360</v>
      </c>
      <c r="H3167" s="55" t="s">
        <v>360</v>
      </c>
      <c r="I3167" s="55" t="s">
        <v>360</v>
      </c>
      <c r="J3167" s="55" t="s">
        <v>360</v>
      </c>
      <c r="K3167" s="55" t="s">
        <v>360</v>
      </c>
      <c r="L3167" s="55" t="s">
        <v>360</v>
      </c>
      <c r="M3167" s="55" t="s">
        <v>378</v>
      </c>
      <c r="N3167" s="55" t="s">
        <v>134</v>
      </c>
      <c r="O3167" s="55" t="s">
        <v>133</v>
      </c>
      <c r="P3167" s="55" t="s">
        <v>1804</v>
      </c>
      <c r="Q3167" s="55" t="s">
        <v>380</v>
      </c>
      <c r="R3167" s="85">
        <v>5</v>
      </c>
      <c r="S3167" s="55">
        <v>0</v>
      </c>
      <c r="T3167" s="74" t="s">
        <v>5555</v>
      </c>
      <c r="U3167" s="74" t="s">
        <v>2053</v>
      </c>
      <c r="V3167" s="74">
        <v>44446</v>
      </c>
      <c r="W3167" s="74">
        <v>44481</v>
      </c>
      <c r="X3167" s="55">
        <v>10203855</v>
      </c>
      <c r="AL3167" s="74"/>
      <c r="AM3167" s="74"/>
      <c r="AW3167" s="74"/>
      <c r="AX3167" s="74"/>
    </row>
    <row r="3168" spans="1:50" ht="13" x14ac:dyDescent="0.15">
      <c r="A3168" s="55" t="str">
        <f>HYPERLINK("http://reports.ofsted.gov.uk/inspection-reports/find-inspection-report/provider/CARE/SC454484","Ofsted Social Care Provider Webpage")</f>
        <v>Ofsted Social Care Provider Webpage</v>
      </c>
      <c r="B3168" s="55" t="s">
        <v>5916</v>
      </c>
      <c r="D3168" s="55" t="s">
        <v>373</v>
      </c>
      <c r="E3168" s="74">
        <v>41228</v>
      </c>
      <c r="F3168" s="55" t="s">
        <v>344</v>
      </c>
      <c r="G3168" s="55" t="s">
        <v>360</v>
      </c>
      <c r="H3168" s="55" t="s">
        <v>360</v>
      </c>
      <c r="I3168" s="55" t="s">
        <v>360</v>
      </c>
      <c r="J3168" s="55" t="s">
        <v>360</v>
      </c>
      <c r="K3168" s="55" t="s">
        <v>360</v>
      </c>
      <c r="L3168" s="55" t="s">
        <v>360</v>
      </c>
      <c r="M3168" s="55" t="s">
        <v>378</v>
      </c>
      <c r="N3168" s="55" t="s">
        <v>134</v>
      </c>
      <c r="O3168" s="55" t="s">
        <v>133</v>
      </c>
      <c r="P3168" s="55" t="s">
        <v>1804</v>
      </c>
      <c r="Q3168" s="55" t="s">
        <v>380</v>
      </c>
      <c r="R3168" s="85">
        <v>5</v>
      </c>
      <c r="S3168" s="55">
        <v>0</v>
      </c>
      <c r="T3168" s="74" t="s">
        <v>5555</v>
      </c>
      <c r="U3168" s="74" t="s">
        <v>351</v>
      </c>
      <c r="V3168" s="74">
        <v>44502</v>
      </c>
      <c r="W3168" s="74">
        <v>44537</v>
      </c>
      <c r="X3168" s="55">
        <v>10206921</v>
      </c>
      <c r="Y3168" s="55" t="s">
        <v>132</v>
      </c>
      <c r="AB3168" s="74" t="s">
        <v>132</v>
      </c>
      <c r="AC3168" s="55" t="s">
        <v>132</v>
      </c>
      <c r="AL3168" s="74"/>
      <c r="AM3168" s="74"/>
      <c r="AW3168" s="74"/>
      <c r="AX3168" s="74"/>
    </row>
    <row r="3169" spans="1:50" ht="13" x14ac:dyDescent="0.15">
      <c r="A3169" s="55" t="str">
        <f>HYPERLINK("http://reports.ofsted.gov.uk/inspection-reports/find-inspection-report/provider/CARE/SC454484","Ofsted Social Care Provider Webpage")</f>
        <v>Ofsted Social Care Provider Webpage</v>
      </c>
      <c r="B3169" s="55" t="s">
        <v>5916</v>
      </c>
      <c r="D3169" s="55" t="s">
        <v>373</v>
      </c>
      <c r="E3169" s="74">
        <v>41228</v>
      </c>
      <c r="F3169" s="55" t="s">
        <v>344</v>
      </c>
      <c r="G3169" s="55" t="s">
        <v>360</v>
      </c>
      <c r="H3169" s="55" t="s">
        <v>360</v>
      </c>
      <c r="I3169" s="55" t="s">
        <v>360</v>
      </c>
      <c r="J3169" s="55" t="s">
        <v>360</v>
      </c>
      <c r="K3169" s="55" t="s">
        <v>360</v>
      </c>
      <c r="L3169" s="55" t="s">
        <v>360</v>
      </c>
      <c r="M3169" s="55" t="s">
        <v>378</v>
      </c>
      <c r="N3169" s="55" t="s">
        <v>134</v>
      </c>
      <c r="O3169" s="55" t="s">
        <v>133</v>
      </c>
      <c r="P3169" s="55" t="s">
        <v>1804</v>
      </c>
      <c r="Q3169" s="55" t="s">
        <v>380</v>
      </c>
      <c r="R3169" s="85">
        <v>5</v>
      </c>
      <c r="S3169" s="55">
        <v>0</v>
      </c>
      <c r="T3169" s="74" t="s">
        <v>5555</v>
      </c>
      <c r="U3169" s="74" t="s">
        <v>351</v>
      </c>
      <c r="V3169" s="74">
        <v>44398</v>
      </c>
      <c r="W3169" s="74">
        <v>44431</v>
      </c>
      <c r="X3169" s="55">
        <v>10187002</v>
      </c>
      <c r="Y3169" s="55" t="s">
        <v>146</v>
      </c>
      <c r="AB3169" s="74" t="s">
        <v>146</v>
      </c>
      <c r="AC3169" s="55" t="s">
        <v>146</v>
      </c>
      <c r="AL3169" s="74"/>
      <c r="AM3169" s="74"/>
      <c r="AW3169" s="74"/>
      <c r="AX3169" s="74"/>
    </row>
    <row r="3170" spans="1:50" ht="13" x14ac:dyDescent="0.15">
      <c r="A3170" s="55" t="str">
        <f>HYPERLINK("http://reports.ofsted.gov.uk/inspection-reports/find-inspection-report/provider/CARE/SC454647","Ofsted Social Care Provider Webpage")</f>
        <v>Ofsted Social Care Provider Webpage</v>
      </c>
      <c r="B3170" s="55" t="s">
        <v>5923</v>
      </c>
      <c r="D3170" s="55" t="s">
        <v>373</v>
      </c>
      <c r="E3170" s="74">
        <v>41225</v>
      </c>
      <c r="F3170" s="55" t="s">
        <v>344</v>
      </c>
      <c r="G3170" s="55" t="s">
        <v>360</v>
      </c>
      <c r="H3170" s="55" t="s">
        <v>360</v>
      </c>
      <c r="I3170" s="55" t="s">
        <v>360</v>
      </c>
      <c r="J3170" s="55" t="s">
        <v>360</v>
      </c>
      <c r="K3170" s="55" t="s">
        <v>360</v>
      </c>
      <c r="L3170" s="55" t="s">
        <v>360</v>
      </c>
      <c r="M3170" s="55" t="s">
        <v>142</v>
      </c>
      <c r="N3170" s="55" t="s">
        <v>142</v>
      </c>
      <c r="O3170" s="55" t="s">
        <v>252</v>
      </c>
      <c r="P3170" s="55" t="s">
        <v>386</v>
      </c>
      <c r="Q3170" s="55" t="s">
        <v>350</v>
      </c>
      <c r="R3170" s="85">
        <v>4</v>
      </c>
      <c r="S3170" s="55">
        <v>0</v>
      </c>
      <c r="T3170" s="74" t="s">
        <v>385</v>
      </c>
      <c r="U3170" s="74" t="s">
        <v>351</v>
      </c>
      <c r="V3170" s="74">
        <v>44475</v>
      </c>
      <c r="W3170" s="74">
        <v>44523</v>
      </c>
      <c r="X3170" s="55">
        <v>10186920</v>
      </c>
      <c r="Y3170" s="55" t="s">
        <v>140</v>
      </c>
      <c r="AB3170" s="74" t="s">
        <v>132</v>
      </c>
      <c r="AC3170" s="55" t="s">
        <v>140</v>
      </c>
      <c r="AL3170" s="74"/>
      <c r="AM3170" s="74"/>
      <c r="AW3170" s="74"/>
      <c r="AX3170" s="74"/>
    </row>
    <row r="3171" spans="1:50" ht="13" x14ac:dyDescent="0.15">
      <c r="A3171" s="55" t="str">
        <f>HYPERLINK("http://reports.ofsted.gov.uk/inspection-reports/find-inspection-report/provider/CARE/SC454707","Ofsted Social Care Provider Webpage")</f>
        <v>Ofsted Social Care Provider Webpage</v>
      </c>
      <c r="B3171" s="55" t="s">
        <v>5924</v>
      </c>
      <c r="D3171" s="55" t="s">
        <v>373</v>
      </c>
      <c r="E3171" s="74">
        <v>41190</v>
      </c>
      <c r="F3171" s="55" t="s">
        <v>344</v>
      </c>
      <c r="G3171" s="55" t="s">
        <v>360</v>
      </c>
      <c r="H3171" s="55" t="s">
        <v>360</v>
      </c>
      <c r="I3171" s="55" t="s">
        <v>360</v>
      </c>
      <c r="J3171" s="55" t="s">
        <v>360</v>
      </c>
      <c r="K3171" s="55" t="s">
        <v>360</v>
      </c>
      <c r="L3171" s="55" t="s">
        <v>360</v>
      </c>
      <c r="M3171" s="55" t="s">
        <v>136</v>
      </c>
      <c r="N3171" s="55" t="s">
        <v>136</v>
      </c>
      <c r="O3171" s="55" t="s">
        <v>256</v>
      </c>
      <c r="P3171" s="55" t="s">
        <v>5892</v>
      </c>
      <c r="Q3171" s="55" t="s">
        <v>362</v>
      </c>
      <c r="R3171" s="85">
        <v>7</v>
      </c>
      <c r="S3171" s="55" t="s">
        <v>332</v>
      </c>
      <c r="T3171" s="74" t="s">
        <v>659</v>
      </c>
      <c r="U3171" s="74" t="s">
        <v>351</v>
      </c>
      <c r="V3171" s="74">
        <v>44327</v>
      </c>
      <c r="W3171" s="74">
        <v>44362</v>
      </c>
      <c r="X3171" s="55">
        <v>10186152</v>
      </c>
      <c r="Y3171" s="55" t="s">
        <v>132</v>
      </c>
      <c r="AB3171" s="74" t="s">
        <v>132</v>
      </c>
      <c r="AC3171" s="55" t="s">
        <v>132</v>
      </c>
      <c r="AL3171" s="74"/>
      <c r="AM3171" s="74"/>
      <c r="AW3171" s="74"/>
      <c r="AX3171" s="74"/>
    </row>
    <row r="3172" spans="1:50" ht="13" x14ac:dyDescent="0.15">
      <c r="A3172" s="55" t="str">
        <f>HYPERLINK("http://reports.ofsted.gov.uk/inspection-reports/find-inspection-report/provider/CARE/SC454838","Ofsted Social Care Provider Webpage")</f>
        <v>Ofsted Social Care Provider Webpage</v>
      </c>
      <c r="B3172" s="55" t="s">
        <v>5925</v>
      </c>
      <c r="D3172" s="55" t="s">
        <v>373</v>
      </c>
      <c r="E3172" s="74">
        <v>41235</v>
      </c>
      <c r="F3172" s="55" t="s">
        <v>344</v>
      </c>
      <c r="G3172" s="55" t="s">
        <v>360</v>
      </c>
      <c r="H3172" s="55" t="s">
        <v>360</v>
      </c>
      <c r="I3172" s="55" t="s">
        <v>360</v>
      </c>
      <c r="J3172" s="55" t="s">
        <v>360</v>
      </c>
      <c r="K3172" s="55" t="s">
        <v>360</v>
      </c>
      <c r="L3172" s="55" t="s">
        <v>360</v>
      </c>
      <c r="M3172" s="55" t="s">
        <v>142</v>
      </c>
      <c r="N3172" s="55" t="s">
        <v>142</v>
      </c>
      <c r="O3172" s="55" t="s">
        <v>262</v>
      </c>
      <c r="P3172" s="55" t="s">
        <v>618</v>
      </c>
      <c r="Q3172" s="55" t="s">
        <v>350</v>
      </c>
      <c r="R3172" s="85">
        <v>8</v>
      </c>
      <c r="S3172" s="55">
        <v>0</v>
      </c>
      <c r="T3172" s="74" t="s">
        <v>1505</v>
      </c>
      <c r="U3172" s="74" t="s">
        <v>351</v>
      </c>
      <c r="V3172" s="74">
        <v>44545</v>
      </c>
      <c r="W3172" s="74">
        <v>44594</v>
      </c>
      <c r="X3172" s="55">
        <v>10185679</v>
      </c>
      <c r="Y3172" s="55" t="s">
        <v>132</v>
      </c>
      <c r="AB3172" s="74" t="s">
        <v>132</v>
      </c>
      <c r="AC3172" s="55" t="s">
        <v>132</v>
      </c>
      <c r="AL3172" s="74"/>
      <c r="AM3172" s="74"/>
    </row>
    <row r="3173" spans="1:50" ht="13" x14ac:dyDescent="0.15">
      <c r="A3173" s="55" t="str">
        <f>HYPERLINK("http://reports.ofsted.gov.uk/inspection-reports/find-inspection-report/provider/CARE/SC454900","Ofsted Social Care Provider Webpage")</f>
        <v>Ofsted Social Care Provider Webpage</v>
      </c>
      <c r="B3173" s="55" t="s">
        <v>5926</v>
      </c>
      <c r="D3173" s="55" t="s">
        <v>373</v>
      </c>
      <c r="E3173" s="74">
        <v>41236</v>
      </c>
      <c r="F3173" s="55" t="s">
        <v>344</v>
      </c>
      <c r="G3173" s="55" t="s">
        <v>360</v>
      </c>
      <c r="H3173" s="55" t="s">
        <v>360</v>
      </c>
      <c r="I3173" s="55" t="s">
        <v>360</v>
      </c>
      <c r="J3173" s="55" t="s">
        <v>360</v>
      </c>
      <c r="K3173" s="55" t="s">
        <v>360</v>
      </c>
      <c r="L3173" s="55" t="s">
        <v>360</v>
      </c>
      <c r="M3173" s="55" t="s">
        <v>136</v>
      </c>
      <c r="N3173" s="55" t="s">
        <v>136</v>
      </c>
      <c r="O3173" s="55" t="s">
        <v>239</v>
      </c>
      <c r="P3173" s="55" t="s">
        <v>3555</v>
      </c>
      <c r="Q3173" s="55" t="s">
        <v>380</v>
      </c>
      <c r="R3173" s="85">
        <v>6</v>
      </c>
      <c r="S3173" s="55" t="s">
        <v>332</v>
      </c>
      <c r="T3173" s="74" t="s">
        <v>5927</v>
      </c>
      <c r="U3173" s="74" t="s">
        <v>351</v>
      </c>
      <c r="V3173" s="74">
        <v>44454</v>
      </c>
      <c r="W3173" s="74">
        <v>44508</v>
      </c>
      <c r="X3173" s="55">
        <v>10185614</v>
      </c>
      <c r="Y3173" s="55" t="s">
        <v>130</v>
      </c>
      <c r="AB3173" s="74" t="s">
        <v>132</v>
      </c>
      <c r="AC3173" s="55" t="s">
        <v>132</v>
      </c>
      <c r="AL3173" s="74"/>
      <c r="AM3173" s="74"/>
    </row>
    <row r="3174" spans="1:50" ht="13" x14ac:dyDescent="0.15">
      <c r="A3174" s="55" t="str">
        <f>HYPERLINK("http://reports.ofsted.gov.uk/inspection-reports/find-inspection-report/provider/CARE/SC454900","Ofsted Social Care Provider Webpage")</f>
        <v>Ofsted Social Care Provider Webpage</v>
      </c>
      <c r="B3174" s="55" t="s">
        <v>5926</v>
      </c>
      <c r="D3174" s="55" t="s">
        <v>373</v>
      </c>
      <c r="E3174" s="74">
        <v>41236</v>
      </c>
      <c r="F3174" s="55" t="s">
        <v>344</v>
      </c>
      <c r="G3174" s="55" t="s">
        <v>360</v>
      </c>
      <c r="H3174" s="55" t="s">
        <v>360</v>
      </c>
      <c r="I3174" s="55" t="s">
        <v>360</v>
      </c>
      <c r="J3174" s="55" t="s">
        <v>360</v>
      </c>
      <c r="K3174" s="55" t="s">
        <v>360</v>
      </c>
      <c r="L3174" s="55" t="s">
        <v>360</v>
      </c>
      <c r="M3174" s="55" t="s">
        <v>136</v>
      </c>
      <c r="N3174" s="55" t="s">
        <v>136</v>
      </c>
      <c r="O3174" s="55" t="s">
        <v>239</v>
      </c>
      <c r="P3174" s="55" t="s">
        <v>3555</v>
      </c>
      <c r="Q3174" s="55" t="s">
        <v>380</v>
      </c>
      <c r="R3174" s="85">
        <v>6</v>
      </c>
      <c r="S3174" s="55" t="s">
        <v>332</v>
      </c>
      <c r="T3174" s="74" t="s">
        <v>5927</v>
      </c>
      <c r="U3174" s="74" t="s">
        <v>6703</v>
      </c>
      <c r="V3174" s="74">
        <v>44608</v>
      </c>
      <c r="W3174" s="74">
        <v>44651</v>
      </c>
      <c r="X3174" s="55">
        <v>10215858</v>
      </c>
      <c r="Y3174" s="55" t="s">
        <v>6706</v>
      </c>
      <c r="AL3174" s="74"/>
      <c r="AM3174" s="74"/>
    </row>
    <row r="3175" spans="1:50" ht="13" x14ac:dyDescent="0.15">
      <c r="A3175" s="55" t="str">
        <f>HYPERLINK("http://reports.ofsted.gov.uk/inspection-reports/find-inspection-report/provider/CARE/SC454901","Ofsted Social Care Provider Webpage")</f>
        <v>Ofsted Social Care Provider Webpage</v>
      </c>
      <c r="B3175" s="55" t="s">
        <v>5928</v>
      </c>
      <c r="D3175" s="55" t="s">
        <v>373</v>
      </c>
      <c r="E3175" s="74">
        <v>41233</v>
      </c>
      <c r="F3175" s="55" t="s">
        <v>344</v>
      </c>
      <c r="G3175" s="55" t="s">
        <v>360</v>
      </c>
      <c r="H3175" s="55" t="s">
        <v>360</v>
      </c>
      <c r="I3175" s="55" t="s">
        <v>360</v>
      </c>
      <c r="J3175" s="55" t="s">
        <v>360</v>
      </c>
      <c r="K3175" s="55" t="s">
        <v>360</v>
      </c>
      <c r="L3175" s="55" t="s">
        <v>360</v>
      </c>
      <c r="M3175" s="55" t="s">
        <v>172</v>
      </c>
      <c r="N3175" s="55" t="s">
        <v>172</v>
      </c>
      <c r="O3175" s="55" t="s">
        <v>235</v>
      </c>
      <c r="P3175" s="55" t="s">
        <v>855</v>
      </c>
      <c r="Q3175" s="55" t="s">
        <v>350</v>
      </c>
      <c r="R3175" s="85">
        <v>5</v>
      </c>
      <c r="S3175" s="55">
        <v>0</v>
      </c>
      <c r="T3175" s="74" t="s">
        <v>442</v>
      </c>
      <c r="U3175" s="74" t="s">
        <v>351</v>
      </c>
      <c r="V3175" s="74">
        <v>44530</v>
      </c>
      <c r="W3175" s="74">
        <v>44571</v>
      </c>
      <c r="X3175" s="55">
        <v>10186257</v>
      </c>
      <c r="Y3175" s="55" t="s">
        <v>132</v>
      </c>
      <c r="AB3175" s="74" t="s">
        <v>132</v>
      </c>
      <c r="AC3175" s="55" t="s">
        <v>132</v>
      </c>
      <c r="AL3175" s="74"/>
      <c r="AM3175" s="74"/>
    </row>
    <row r="3176" spans="1:50" ht="13" x14ac:dyDescent="0.15">
      <c r="A3176" s="55" t="str">
        <f>HYPERLINK("http://reports.ofsted.gov.uk/inspection-reports/find-inspection-report/provider/CARE/SC455338","Ofsted Social Care Provider Webpage")</f>
        <v>Ofsted Social Care Provider Webpage</v>
      </c>
      <c r="B3176" s="55" t="s">
        <v>5929</v>
      </c>
      <c r="D3176" s="55" t="s">
        <v>373</v>
      </c>
      <c r="E3176" s="74">
        <v>41201</v>
      </c>
      <c r="F3176" s="55" t="s">
        <v>344</v>
      </c>
      <c r="G3176" s="55" t="s">
        <v>360</v>
      </c>
      <c r="H3176" s="55" t="s">
        <v>360</v>
      </c>
      <c r="I3176" s="55" t="s">
        <v>360</v>
      </c>
      <c r="J3176" s="55" t="s">
        <v>360</v>
      </c>
      <c r="K3176" s="55" t="s">
        <v>360</v>
      </c>
      <c r="L3176" s="55" t="s">
        <v>360</v>
      </c>
      <c r="M3176" s="55" t="s">
        <v>138</v>
      </c>
      <c r="N3176" s="55" t="s">
        <v>138</v>
      </c>
      <c r="O3176" s="55" t="s">
        <v>161</v>
      </c>
      <c r="P3176" s="55" t="s">
        <v>822</v>
      </c>
      <c r="Q3176" s="55" t="s">
        <v>350</v>
      </c>
      <c r="R3176" s="85">
        <v>3</v>
      </c>
      <c r="S3176" s="55">
        <v>0</v>
      </c>
      <c r="T3176" s="74" t="s">
        <v>4819</v>
      </c>
      <c r="U3176" s="74" t="s">
        <v>351</v>
      </c>
      <c r="V3176" s="74">
        <v>44572</v>
      </c>
      <c r="W3176" s="74">
        <v>44601</v>
      </c>
      <c r="X3176" s="55">
        <v>10186156</v>
      </c>
      <c r="Y3176" s="55" t="s">
        <v>132</v>
      </c>
      <c r="AB3176" s="74" t="s">
        <v>132</v>
      </c>
      <c r="AC3176" s="55" t="s">
        <v>132</v>
      </c>
      <c r="AL3176" s="74"/>
      <c r="AM3176" s="74"/>
    </row>
    <row r="3177" spans="1:50" ht="13" x14ac:dyDescent="0.15">
      <c r="A3177" s="55" t="str">
        <f>HYPERLINK("http://reports.ofsted.gov.uk/inspection-reports/find-inspection-report/provider/CARE/SC455864","Ofsted Social Care Provider Webpage")</f>
        <v>Ofsted Social Care Provider Webpage</v>
      </c>
      <c r="B3177" s="55" t="s">
        <v>5930</v>
      </c>
      <c r="D3177" s="55" t="s">
        <v>373</v>
      </c>
      <c r="E3177" s="74">
        <v>41344</v>
      </c>
      <c r="F3177" s="55" t="s">
        <v>344</v>
      </c>
      <c r="G3177" s="55" t="s">
        <v>360</v>
      </c>
      <c r="H3177" s="55" t="s">
        <v>360</v>
      </c>
      <c r="I3177" s="55" t="s">
        <v>360</v>
      </c>
      <c r="J3177" s="55" t="s">
        <v>360</v>
      </c>
      <c r="K3177" s="55" t="s">
        <v>360</v>
      </c>
      <c r="L3177" s="55" t="s">
        <v>360</v>
      </c>
      <c r="M3177" s="55" t="s">
        <v>378</v>
      </c>
      <c r="N3177" s="55" t="s">
        <v>170</v>
      </c>
      <c r="O3177" s="55" t="s">
        <v>220</v>
      </c>
      <c r="P3177" s="55" t="s">
        <v>1222</v>
      </c>
      <c r="Q3177" s="55" t="s">
        <v>350</v>
      </c>
      <c r="R3177" s="85">
        <v>8</v>
      </c>
      <c r="S3177" s="55">
        <v>0</v>
      </c>
      <c r="T3177" s="74" t="s">
        <v>1946</v>
      </c>
      <c r="U3177" s="74" t="s">
        <v>2053</v>
      </c>
      <c r="V3177" s="74">
        <v>44313</v>
      </c>
      <c r="W3177" s="74">
        <v>44344</v>
      </c>
      <c r="X3177" s="55">
        <v>10182912</v>
      </c>
      <c r="AL3177" s="74"/>
      <c r="AM3177" s="74"/>
    </row>
    <row r="3178" spans="1:50" ht="13" x14ac:dyDescent="0.15">
      <c r="A3178" s="55" t="str">
        <f>HYPERLINK("http://reports.ofsted.gov.uk/inspection-reports/find-inspection-report/provider/CARE/SC455864","Ofsted Social Care Provider Webpage")</f>
        <v>Ofsted Social Care Provider Webpage</v>
      </c>
      <c r="B3178" s="55" t="s">
        <v>5930</v>
      </c>
      <c r="D3178" s="55" t="s">
        <v>373</v>
      </c>
      <c r="E3178" s="74">
        <v>41344</v>
      </c>
      <c r="F3178" s="55" t="s">
        <v>344</v>
      </c>
      <c r="G3178" s="55" t="s">
        <v>360</v>
      </c>
      <c r="H3178" s="55" t="s">
        <v>360</v>
      </c>
      <c r="I3178" s="55" t="s">
        <v>360</v>
      </c>
      <c r="J3178" s="55" t="s">
        <v>360</v>
      </c>
      <c r="K3178" s="55" t="s">
        <v>360</v>
      </c>
      <c r="L3178" s="55" t="s">
        <v>360</v>
      </c>
      <c r="M3178" s="55" t="s">
        <v>378</v>
      </c>
      <c r="N3178" s="55" t="s">
        <v>170</v>
      </c>
      <c r="O3178" s="55" t="s">
        <v>220</v>
      </c>
      <c r="P3178" s="55" t="s">
        <v>1222</v>
      </c>
      <c r="Q3178" s="55" t="s">
        <v>350</v>
      </c>
      <c r="R3178" s="85">
        <v>8</v>
      </c>
      <c r="S3178" s="55">
        <v>0</v>
      </c>
      <c r="T3178" s="74" t="s">
        <v>1946</v>
      </c>
      <c r="U3178" s="74" t="s">
        <v>351</v>
      </c>
      <c r="V3178" s="74">
        <v>44580</v>
      </c>
      <c r="W3178" s="74">
        <v>44624</v>
      </c>
      <c r="X3178" s="55">
        <v>10186051</v>
      </c>
      <c r="Y3178" s="55" t="s">
        <v>130</v>
      </c>
      <c r="AB3178" s="74" t="s">
        <v>130</v>
      </c>
      <c r="AC3178" s="55" t="s">
        <v>130</v>
      </c>
      <c r="AL3178" s="74"/>
      <c r="AM3178" s="74"/>
    </row>
    <row r="3179" spans="1:50" ht="13" x14ac:dyDescent="0.15">
      <c r="A3179" s="55" t="str">
        <f>HYPERLINK("http://reports.ofsted.gov.uk/inspection-reports/find-inspection-report/provider/CARE/SC455864","Ofsted Social Care Provider Webpage")</f>
        <v>Ofsted Social Care Provider Webpage</v>
      </c>
      <c r="B3179" s="55" t="s">
        <v>5930</v>
      </c>
      <c r="D3179" s="55" t="s">
        <v>373</v>
      </c>
      <c r="E3179" s="74">
        <v>41344</v>
      </c>
      <c r="F3179" s="55" t="s">
        <v>344</v>
      </c>
      <c r="G3179" s="55" t="s">
        <v>360</v>
      </c>
      <c r="H3179" s="55" t="s">
        <v>360</v>
      </c>
      <c r="I3179" s="55" t="s">
        <v>360</v>
      </c>
      <c r="J3179" s="55" t="s">
        <v>360</v>
      </c>
      <c r="K3179" s="55" t="s">
        <v>360</v>
      </c>
      <c r="L3179" s="55" t="s">
        <v>360</v>
      </c>
      <c r="M3179" s="55" t="s">
        <v>378</v>
      </c>
      <c r="N3179" s="55" t="s">
        <v>170</v>
      </c>
      <c r="O3179" s="55" t="s">
        <v>220</v>
      </c>
      <c r="P3179" s="55" t="s">
        <v>1222</v>
      </c>
      <c r="Q3179" s="55" t="s">
        <v>350</v>
      </c>
      <c r="R3179" s="85">
        <v>8</v>
      </c>
      <c r="S3179" s="55">
        <v>0</v>
      </c>
      <c r="T3179" s="74" t="s">
        <v>1946</v>
      </c>
      <c r="U3179" s="74" t="s">
        <v>2053</v>
      </c>
      <c r="V3179" s="74">
        <v>44348</v>
      </c>
      <c r="W3179" s="74">
        <v>44376</v>
      </c>
      <c r="X3179" s="55">
        <v>10194655</v>
      </c>
      <c r="AL3179" s="74"/>
      <c r="AM3179" s="74"/>
    </row>
    <row r="3180" spans="1:50" ht="13" x14ac:dyDescent="0.15">
      <c r="A3180" s="55" t="str">
        <f>HYPERLINK("http://reports.ofsted.gov.uk/inspection-reports/find-inspection-report/provider/CARE/SC455991","Ofsted Social Care Provider Webpage")</f>
        <v>Ofsted Social Care Provider Webpage</v>
      </c>
      <c r="B3180" s="55" t="s">
        <v>5931</v>
      </c>
      <c r="D3180" s="55" t="s">
        <v>373</v>
      </c>
      <c r="E3180" s="74">
        <v>41262</v>
      </c>
      <c r="F3180" s="55" t="s">
        <v>344</v>
      </c>
      <c r="G3180" s="55" t="s">
        <v>360</v>
      </c>
      <c r="H3180" s="55" t="s">
        <v>360</v>
      </c>
      <c r="I3180" s="55" t="s">
        <v>360</v>
      </c>
      <c r="J3180" s="55" t="s">
        <v>360</v>
      </c>
      <c r="K3180" s="55" t="s">
        <v>360</v>
      </c>
      <c r="L3180" s="55" t="s">
        <v>360</v>
      </c>
      <c r="M3180" s="55" t="s">
        <v>136</v>
      </c>
      <c r="N3180" s="55" t="s">
        <v>136</v>
      </c>
      <c r="O3180" s="55" t="s">
        <v>174</v>
      </c>
      <c r="P3180" s="55" t="s">
        <v>982</v>
      </c>
      <c r="Q3180" s="55" t="s">
        <v>350</v>
      </c>
      <c r="R3180" s="85">
        <v>4</v>
      </c>
      <c r="S3180" s="55">
        <v>0</v>
      </c>
      <c r="T3180" s="74" t="s">
        <v>5932</v>
      </c>
      <c r="U3180" s="74" t="s">
        <v>351</v>
      </c>
      <c r="V3180" s="74">
        <v>44328</v>
      </c>
      <c r="W3180" s="74">
        <v>44362</v>
      </c>
      <c r="X3180" s="55">
        <v>10185981</v>
      </c>
      <c r="Y3180" s="55" t="s">
        <v>140</v>
      </c>
      <c r="AB3180" s="74" t="s">
        <v>140</v>
      </c>
      <c r="AC3180" s="55" t="s">
        <v>140</v>
      </c>
      <c r="AL3180" s="74"/>
      <c r="AM3180" s="74"/>
    </row>
    <row r="3181" spans="1:50" ht="13" x14ac:dyDescent="0.15">
      <c r="A3181" s="55" t="str">
        <f>HYPERLINK("http://reports.ofsted.gov.uk/inspection-reports/find-inspection-report/provider/CARE/SC456149","Ofsted Social Care Provider Webpage")</f>
        <v>Ofsted Social Care Provider Webpage</v>
      </c>
      <c r="B3181" s="55" t="s">
        <v>5933</v>
      </c>
      <c r="D3181" s="55" t="s">
        <v>373</v>
      </c>
      <c r="E3181" s="74">
        <v>41213</v>
      </c>
      <c r="F3181" s="55" t="s">
        <v>344</v>
      </c>
      <c r="G3181" s="55" t="s">
        <v>360</v>
      </c>
      <c r="H3181" s="55" t="s">
        <v>360</v>
      </c>
      <c r="I3181" s="55" t="s">
        <v>360</v>
      </c>
      <c r="J3181" s="55" t="s">
        <v>360</v>
      </c>
      <c r="K3181" s="55" t="s">
        <v>360</v>
      </c>
      <c r="L3181" s="55" t="s">
        <v>360</v>
      </c>
      <c r="M3181" s="55" t="s">
        <v>144</v>
      </c>
      <c r="N3181" s="55" t="s">
        <v>144</v>
      </c>
      <c r="O3181" s="55" t="s">
        <v>281</v>
      </c>
      <c r="P3181" s="55" t="s">
        <v>556</v>
      </c>
      <c r="Q3181" s="55" t="s">
        <v>350</v>
      </c>
      <c r="R3181" s="85">
        <v>6</v>
      </c>
      <c r="S3181" s="55">
        <v>0</v>
      </c>
      <c r="T3181" s="74" t="s">
        <v>1885</v>
      </c>
      <c r="U3181" s="74" t="s">
        <v>351</v>
      </c>
      <c r="V3181" s="74">
        <v>44523</v>
      </c>
      <c r="W3181" s="74">
        <v>44566</v>
      </c>
      <c r="X3181" s="55">
        <v>10187449</v>
      </c>
      <c r="Y3181" s="55" t="s">
        <v>132</v>
      </c>
      <c r="AB3181" s="74" t="s">
        <v>130</v>
      </c>
      <c r="AC3181" s="55" t="s">
        <v>130</v>
      </c>
      <c r="AL3181" s="74"/>
      <c r="AM3181" s="74"/>
    </row>
    <row r="3182" spans="1:50" ht="13" x14ac:dyDescent="0.15">
      <c r="A3182" s="55" t="str">
        <f>HYPERLINK("http://reports.ofsted.gov.uk/inspection-reports/find-inspection-report/provider/CARE/SC456157","Ofsted Social Care Provider Webpage")</f>
        <v>Ofsted Social Care Provider Webpage</v>
      </c>
      <c r="B3182" s="55" t="s">
        <v>5934</v>
      </c>
      <c r="D3182" s="55" t="s">
        <v>373</v>
      </c>
      <c r="E3182" s="74">
        <v>41213</v>
      </c>
      <c r="F3182" s="55" t="s">
        <v>344</v>
      </c>
      <c r="G3182" s="55" t="s">
        <v>360</v>
      </c>
      <c r="H3182" s="55" t="s">
        <v>360</v>
      </c>
      <c r="I3182" s="55" t="s">
        <v>360</v>
      </c>
      <c r="J3182" s="55" t="s">
        <v>360</v>
      </c>
      <c r="K3182" s="55" t="s">
        <v>360</v>
      </c>
      <c r="L3182" s="55" t="s">
        <v>360</v>
      </c>
      <c r="M3182" s="55" t="s">
        <v>144</v>
      </c>
      <c r="N3182" s="55" t="s">
        <v>144</v>
      </c>
      <c r="O3182" s="55" t="s">
        <v>281</v>
      </c>
      <c r="P3182" s="55" t="s">
        <v>556</v>
      </c>
      <c r="Q3182" s="55" t="s">
        <v>350</v>
      </c>
      <c r="R3182" s="85">
        <v>4</v>
      </c>
      <c r="S3182" s="55">
        <v>0</v>
      </c>
      <c r="T3182" s="74" t="s">
        <v>1885</v>
      </c>
      <c r="U3182" s="74" t="s">
        <v>351</v>
      </c>
      <c r="V3182" s="74">
        <v>44635</v>
      </c>
      <c r="W3182" s="74">
        <v>44677</v>
      </c>
      <c r="X3182" s="55">
        <v>10187218</v>
      </c>
      <c r="Y3182" s="55" t="s">
        <v>132</v>
      </c>
      <c r="AB3182" s="74" t="s">
        <v>132</v>
      </c>
      <c r="AC3182" s="55" t="s">
        <v>132</v>
      </c>
      <c r="AL3182" s="74"/>
      <c r="AM3182" s="74"/>
    </row>
    <row r="3183" spans="1:50" ht="13" x14ac:dyDescent="0.15">
      <c r="A3183" s="55" t="str">
        <f>HYPERLINK("http://reports.ofsted.gov.uk/inspection-reports/find-inspection-report/provider/CARE/SC456174","Ofsted Social Care Provider Webpage")</f>
        <v>Ofsted Social Care Provider Webpage</v>
      </c>
      <c r="B3183" s="55" t="s">
        <v>5935</v>
      </c>
      <c r="D3183" s="55" t="s">
        <v>389</v>
      </c>
      <c r="E3183" s="74">
        <v>41240</v>
      </c>
      <c r="F3183" s="55" t="s">
        <v>344</v>
      </c>
      <c r="G3183" s="55" t="s">
        <v>5936</v>
      </c>
      <c r="H3183" s="55" t="s">
        <v>5937</v>
      </c>
      <c r="I3183" s="55" t="s">
        <v>5938</v>
      </c>
      <c r="J3183" s="55" t="s">
        <v>251</v>
      </c>
      <c r="L3183" s="55" t="s">
        <v>5188</v>
      </c>
      <c r="M3183" s="55" t="s">
        <v>378</v>
      </c>
      <c r="N3183" s="55" t="s">
        <v>134</v>
      </c>
      <c r="O3183" s="55" t="s">
        <v>251</v>
      </c>
      <c r="P3183" s="55" t="s">
        <v>1709</v>
      </c>
      <c r="Q3183" s="55" t="s">
        <v>350</v>
      </c>
      <c r="S3183" s="55">
        <v>0</v>
      </c>
      <c r="T3183" s="74" t="s">
        <v>5936</v>
      </c>
      <c r="U3183" s="74" t="s">
        <v>351</v>
      </c>
      <c r="V3183" s="74">
        <v>44340</v>
      </c>
      <c r="W3183" s="74">
        <v>44398</v>
      </c>
      <c r="X3183" s="55">
        <v>10183268</v>
      </c>
      <c r="Y3183" s="55" t="s">
        <v>132</v>
      </c>
      <c r="AB3183" s="74" t="s">
        <v>132</v>
      </c>
      <c r="AC3183" s="55" t="s">
        <v>132</v>
      </c>
      <c r="AL3183" s="74"/>
      <c r="AM3183" s="74"/>
    </row>
    <row r="3184" spans="1:50" ht="13" x14ac:dyDescent="0.15">
      <c r="A3184" s="55" t="str">
        <f>HYPERLINK("http://reports.ofsted.gov.uk/inspection-reports/find-inspection-report/provider/CARE/SC456271","Ofsted Social Care Provider Webpage")</f>
        <v>Ofsted Social Care Provider Webpage</v>
      </c>
      <c r="B3184" s="55" t="s">
        <v>5939</v>
      </c>
      <c r="D3184" s="55" t="s">
        <v>373</v>
      </c>
      <c r="E3184" s="74">
        <v>41235</v>
      </c>
      <c r="F3184" s="55" t="s">
        <v>344</v>
      </c>
      <c r="G3184" s="55" t="s">
        <v>360</v>
      </c>
      <c r="H3184" s="55" t="s">
        <v>360</v>
      </c>
      <c r="I3184" s="55" t="s">
        <v>360</v>
      </c>
      <c r="J3184" s="55" t="s">
        <v>360</v>
      </c>
      <c r="K3184" s="55" t="s">
        <v>360</v>
      </c>
      <c r="L3184" s="55" t="s">
        <v>360</v>
      </c>
      <c r="M3184" s="55" t="s">
        <v>144</v>
      </c>
      <c r="N3184" s="55" t="s">
        <v>144</v>
      </c>
      <c r="O3184" s="55" t="s">
        <v>209</v>
      </c>
      <c r="P3184" s="55" t="s">
        <v>534</v>
      </c>
      <c r="Q3184" s="55" t="s">
        <v>350</v>
      </c>
      <c r="R3184" s="85">
        <v>4</v>
      </c>
      <c r="S3184" s="55">
        <v>0</v>
      </c>
      <c r="T3184" s="74" t="s">
        <v>778</v>
      </c>
      <c r="U3184" s="74" t="s">
        <v>351</v>
      </c>
      <c r="V3184" s="74">
        <v>44474</v>
      </c>
      <c r="W3184" s="74">
        <v>44518</v>
      </c>
      <c r="X3184" s="55">
        <v>10185083</v>
      </c>
      <c r="Y3184" s="55" t="s">
        <v>132</v>
      </c>
      <c r="AB3184" s="74" t="s">
        <v>132</v>
      </c>
      <c r="AC3184" s="55" t="s">
        <v>132</v>
      </c>
      <c r="AL3184" s="74"/>
      <c r="AM3184" s="74"/>
    </row>
    <row r="3185" spans="1:50" ht="13" x14ac:dyDescent="0.15">
      <c r="A3185" s="55" t="str">
        <f>HYPERLINK("http://reports.ofsted.gov.uk/inspection-reports/find-inspection-report/provider/CARE/SC456330","Ofsted Social Care Provider Webpage")</f>
        <v>Ofsted Social Care Provider Webpage</v>
      </c>
      <c r="B3185" s="55" t="s">
        <v>5940</v>
      </c>
      <c r="D3185" s="55" t="s">
        <v>373</v>
      </c>
      <c r="E3185" s="74">
        <v>41325</v>
      </c>
      <c r="F3185" s="55" t="s">
        <v>344</v>
      </c>
      <c r="G3185" s="55" t="s">
        <v>360</v>
      </c>
      <c r="H3185" s="55" t="s">
        <v>360</v>
      </c>
      <c r="I3185" s="55" t="s">
        <v>360</v>
      </c>
      <c r="J3185" s="55" t="s">
        <v>360</v>
      </c>
      <c r="K3185" s="55" t="s">
        <v>360</v>
      </c>
      <c r="L3185" s="55" t="s">
        <v>360</v>
      </c>
      <c r="M3185" s="55" t="s">
        <v>138</v>
      </c>
      <c r="N3185" s="55" t="s">
        <v>138</v>
      </c>
      <c r="O3185" s="55" t="s">
        <v>224</v>
      </c>
      <c r="P3185" s="55" t="s">
        <v>374</v>
      </c>
      <c r="Q3185" s="55" t="s">
        <v>350</v>
      </c>
      <c r="R3185" s="85">
        <v>4</v>
      </c>
      <c r="S3185" s="55">
        <v>0</v>
      </c>
      <c r="T3185" s="74" t="s">
        <v>385</v>
      </c>
      <c r="U3185" s="74" t="s">
        <v>351</v>
      </c>
      <c r="V3185" s="74">
        <v>44510</v>
      </c>
      <c r="W3185" s="74">
        <v>44546</v>
      </c>
      <c r="X3185" s="55">
        <v>10187083</v>
      </c>
      <c r="Y3185" s="55" t="s">
        <v>132</v>
      </c>
      <c r="AB3185" s="74" t="s">
        <v>132</v>
      </c>
      <c r="AC3185" s="55" t="s">
        <v>132</v>
      </c>
      <c r="AL3185" s="74"/>
      <c r="AM3185" s="74"/>
      <c r="AW3185" s="74"/>
      <c r="AX3185" s="74"/>
    </row>
    <row r="3186" spans="1:50" ht="13" x14ac:dyDescent="0.15">
      <c r="A3186" s="55" t="str">
        <f>HYPERLINK("http://reports.ofsted.gov.uk/inspection-reports/find-inspection-report/provider/CARE/SC456347","Ofsted Social Care Provider Webpage")</f>
        <v>Ofsted Social Care Provider Webpage</v>
      </c>
      <c r="B3186" s="55" t="s">
        <v>5941</v>
      </c>
      <c r="D3186" s="55" t="s">
        <v>373</v>
      </c>
      <c r="E3186" s="74">
        <v>41332</v>
      </c>
      <c r="F3186" s="55" t="s">
        <v>344</v>
      </c>
      <c r="G3186" s="55" t="s">
        <v>360</v>
      </c>
      <c r="H3186" s="55" t="s">
        <v>360</v>
      </c>
      <c r="I3186" s="55" t="s">
        <v>360</v>
      </c>
      <c r="J3186" s="55" t="s">
        <v>360</v>
      </c>
      <c r="K3186" s="55" t="s">
        <v>360</v>
      </c>
      <c r="L3186" s="55" t="s">
        <v>360</v>
      </c>
      <c r="M3186" s="55" t="s">
        <v>172</v>
      </c>
      <c r="N3186" s="55" t="s">
        <v>172</v>
      </c>
      <c r="O3186" s="55" t="s">
        <v>214</v>
      </c>
      <c r="P3186" s="55" t="s">
        <v>790</v>
      </c>
      <c r="Q3186" s="55" t="s">
        <v>350</v>
      </c>
      <c r="R3186" s="85">
        <v>2</v>
      </c>
      <c r="S3186" s="55">
        <v>0</v>
      </c>
      <c r="T3186" s="74" t="s">
        <v>385</v>
      </c>
      <c r="U3186" s="74" t="s">
        <v>351</v>
      </c>
      <c r="V3186" s="74">
        <v>44369</v>
      </c>
      <c r="W3186" s="74">
        <v>44398</v>
      </c>
      <c r="X3186" s="55">
        <v>10186942</v>
      </c>
      <c r="Y3186" s="55" t="s">
        <v>132</v>
      </c>
      <c r="AB3186" s="74" t="s">
        <v>132</v>
      </c>
      <c r="AC3186" s="55" t="s">
        <v>132</v>
      </c>
      <c r="AL3186" s="74"/>
      <c r="AM3186" s="74"/>
    </row>
    <row r="3187" spans="1:50" ht="13" x14ac:dyDescent="0.15">
      <c r="A3187" s="55" t="str">
        <f>HYPERLINK("http://reports.ofsted.gov.uk/inspection-reports/find-inspection-report/provider/CARE/SC456409","Ofsted Social Care Provider Webpage")</f>
        <v>Ofsted Social Care Provider Webpage</v>
      </c>
      <c r="B3187" s="55" t="s">
        <v>5942</v>
      </c>
      <c r="D3187" s="55" t="s">
        <v>373</v>
      </c>
      <c r="E3187" s="74">
        <v>41325</v>
      </c>
      <c r="F3187" s="55" t="s">
        <v>344</v>
      </c>
      <c r="G3187" s="55" t="s">
        <v>360</v>
      </c>
      <c r="H3187" s="55" t="s">
        <v>360</v>
      </c>
      <c r="I3187" s="55" t="s">
        <v>360</v>
      </c>
      <c r="J3187" s="55" t="s">
        <v>360</v>
      </c>
      <c r="K3187" s="55" t="s">
        <v>360</v>
      </c>
      <c r="L3187" s="55" t="s">
        <v>360</v>
      </c>
      <c r="M3187" s="55" t="s">
        <v>144</v>
      </c>
      <c r="N3187" s="55" t="s">
        <v>144</v>
      </c>
      <c r="O3187" s="55" t="s">
        <v>245</v>
      </c>
      <c r="P3187" s="55" t="s">
        <v>245</v>
      </c>
      <c r="Q3187" s="55" t="s">
        <v>350</v>
      </c>
      <c r="R3187" s="85">
        <v>1</v>
      </c>
      <c r="S3187" s="55">
        <v>0</v>
      </c>
      <c r="T3187" s="74" t="s">
        <v>385</v>
      </c>
      <c r="U3187" s="74" t="s">
        <v>351</v>
      </c>
      <c r="V3187" s="74">
        <v>44551</v>
      </c>
      <c r="W3187" s="74">
        <v>44603</v>
      </c>
      <c r="X3187" s="55">
        <v>10185814</v>
      </c>
      <c r="Y3187" s="55" t="s">
        <v>140</v>
      </c>
      <c r="AB3187" s="74" t="s">
        <v>140</v>
      </c>
      <c r="AC3187" s="55" t="s">
        <v>140</v>
      </c>
      <c r="AL3187" s="74"/>
      <c r="AM3187" s="74"/>
    </row>
    <row r="3188" spans="1:50" ht="13" x14ac:dyDescent="0.15">
      <c r="A3188" s="55" t="str">
        <f>HYPERLINK("http://reports.ofsted.gov.uk/inspection-reports/find-inspection-report/provider/CARE/SC456413","Ofsted Social Care Provider Webpage")</f>
        <v>Ofsted Social Care Provider Webpage</v>
      </c>
      <c r="B3188" s="55" t="s">
        <v>5943</v>
      </c>
      <c r="D3188" s="55" t="s">
        <v>373</v>
      </c>
      <c r="E3188" s="74">
        <v>41322</v>
      </c>
      <c r="F3188" s="55" t="s">
        <v>344</v>
      </c>
      <c r="G3188" s="55" t="s">
        <v>360</v>
      </c>
      <c r="H3188" s="55" t="s">
        <v>360</v>
      </c>
      <c r="I3188" s="55" t="s">
        <v>360</v>
      </c>
      <c r="J3188" s="55" t="s">
        <v>360</v>
      </c>
      <c r="K3188" s="55" t="s">
        <v>360</v>
      </c>
      <c r="L3188" s="55" t="s">
        <v>360</v>
      </c>
      <c r="M3188" s="55" t="s">
        <v>144</v>
      </c>
      <c r="N3188" s="55" t="s">
        <v>144</v>
      </c>
      <c r="O3188" s="55" t="s">
        <v>245</v>
      </c>
      <c r="P3188" s="55" t="s">
        <v>1796</v>
      </c>
      <c r="Q3188" s="55" t="s">
        <v>350</v>
      </c>
      <c r="R3188" s="85">
        <v>1</v>
      </c>
      <c r="S3188" s="55">
        <v>0</v>
      </c>
      <c r="T3188" s="74" t="s">
        <v>385</v>
      </c>
      <c r="U3188" s="74" t="s">
        <v>351</v>
      </c>
      <c r="V3188" s="74">
        <v>44593</v>
      </c>
      <c r="W3188" s="74">
        <v>44634</v>
      </c>
      <c r="X3188" s="55">
        <v>10186783</v>
      </c>
      <c r="Y3188" s="55" t="s">
        <v>132</v>
      </c>
      <c r="AB3188" s="74" t="s">
        <v>132</v>
      </c>
      <c r="AC3188" s="55" t="s">
        <v>132</v>
      </c>
      <c r="AL3188" s="74"/>
      <c r="AM3188" s="74"/>
    </row>
    <row r="3189" spans="1:50" ht="13" x14ac:dyDescent="0.15">
      <c r="A3189" s="55" t="str">
        <f>HYPERLINK("http://reports.ofsted.gov.uk/inspection-reports/find-inspection-report/provider/CARE/SC456416","Ofsted Social Care Provider Webpage")</f>
        <v>Ofsted Social Care Provider Webpage</v>
      </c>
      <c r="B3189" s="55" t="s">
        <v>5944</v>
      </c>
      <c r="D3189" s="55" t="s">
        <v>373</v>
      </c>
      <c r="E3189" s="74">
        <v>41316</v>
      </c>
      <c r="F3189" s="55" t="s">
        <v>344</v>
      </c>
      <c r="G3189" s="55" t="s">
        <v>360</v>
      </c>
      <c r="H3189" s="55" t="s">
        <v>360</v>
      </c>
      <c r="I3189" s="55" t="s">
        <v>360</v>
      </c>
      <c r="J3189" s="55" t="s">
        <v>360</v>
      </c>
      <c r="K3189" s="55" t="s">
        <v>360</v>
      </c>
      <c r="L3189" s="55" t="s">
        <v>360</v>
      </c>
      <c r="M3189" s="55" t="s">
        <v>144</v>
      </c>
      <c r="N3189" s="55" t="s">
        <v>144</v>
      </c>
      <c r="O3189" s="55" t="s">
        <v>245</v>
      </c>
      <c r="P3189" s="55" t="s">
        <v>1796</v>
      </c>
      <c r="Q3189" s="55" t="s">
        <v>350</v>
      </c>
      <c r="R3189" s="85">
        <v>1</v>
      </c>
      <c r="S3189" s="55">
        <v>0</v>
      </c>
      <c r="T3189" s="74" t="s">
        <v>385</v>
      </c>
      <c r="U3189" s="74" t="s">
        <v>351</v>
      </c>
      <c r="V3189" s="74">
        <v>44601</v>
      </c>
      <c r="W3189" s="74">
        <v>44655</v>
      </c>
      <c r="X3189" s="55">
        <v>10186744</v>
      </c>
      <c r="Y3189" s="55" t="s">
        <v>132</v>
      </c>
      <c r="AB3189" s="74" t="s">
        <v>132</v>
      </c>
      <c r="AC3189" s="55" t="s">
        <v>132</v>
      </c>
      <c r="AL3189" s="74"/>
      <c r="AM3189" s="74"/>
    </row>
    <row r="3190" spans="1:50" ht="13" x14ac:dyDescent="0.15">
      <c r="A3190" s="55" t="str">
        <f>HYPERLINK("http://reports.ofsted.gov.uk/inspection-reports/find-inspection-report/provider/CARE/SC456417","Ofsted Social Care Provider Webpage")</f>
        <v>Ofsted Social Care Provider Webpage</v>
      </c>
      <c r="B3190" s="55" t="s">
        <v>5945</v>
      </c>
      <c r="D3190" s="55" t="s">
        <v>373</v>
      </c>
      <c r="E3190" s="74">
        <v>41264</v>
      </c>
      <c r="F3190" s="55" t="s">
        <v>344</v>
      </c>
      <c r="G3190" s="55" t="s">
        <v>360</v>
      </c>
      <c r="H3190" s="55" t="s">
        <v>360</v>
      </c>
      <c r="I3190" s="55" t="s">
        <v>360</v>
      </c>
      <c r="J3190" s="55" t="s">
        <v>360</v>
      </c>
      <c r="K3190" s="55" t="s">
        <v>360</v>
      </c>
      <c r="L3190" s="55" t="s">
        <v>360</v>
      </c>
      <c r="M3190" s="55" t="s">
        <v>144</v>
      </c>
      <c r="N3190" s="55" t="s">
        <v>144</v>
      </c>
      <c r="O3190" s="55" t="s">
        <v>163</v>
      </c>
      <c r="P3190" s="55" t="s">
        <v>472</v>
      </c>
      <c r="Q3190" s="55" t="s">
        <v>350</v>
      </c>
      <c r="R3190" s="85">
        <v>4</v>
      </c>
      <c r="S3190" s="55">
        <v>0</v>
      </c>
      <c r="T3190" s="74" t="s">
        <v>4600</v>
      </c>
      <c r="U3190" s="74" t="s">
        <v>351</v>
      </c>
      <c r="V3190" s="74">
        <v>44440</v>
      </c>
      <c r="W3190" s="74">
        <v>44469</v>
      </c>
      <c r="X3190" s="55">
        <v>10185337</v>
      </c>
      <c r="Y3190" s="55" t="s">
        <v>130</v>
      </c>
      <c r="AB3190" s="74" t="s">
        <v>130</v>
      </c>
      <c r="AC3190" s="55" t="s">
        <v>130</v>
      </c>
      <c r="AL3190" s="74"/>
      <c r="AM3190" s="74"/>
    </row>
    <row r="3191" spans="1:50" ht="13" x14ac:dyDescent="0.15">
      <c r="A3191" s="55" t="str">
        <f>HYPERLINK("http://reports.ofsted.gov.uk/inspection-reports/find-inspection-report/provider/CARE/SC456418","Ofsted Social Care Provider Webpage")</f>
        <v>Ofsted Social Care Provider Webpage</v>
      </c>
      <c r="B3191" s="55" t="s">
        <v>5946</v>
      </c>
      <c r="D3191" s="55" t="s">
        <v>373</v>
      </c>
      <c r="E3191" s="74">
        <v>41339</v>
      </c>
      <c r="F3191" s="55" t="s">
        <v>344</v>
      </c>
      <c r="G3191" s="55" t="s">
        <v>360</v>
      </c>
      <c r="H3191" s="55" t="s">
        <v>360</v>
      </c>
      <c r="I3191" s="55" t="s">
        <v>360</v>
      </c>
      <c r="J3191" s="55" t="s">
        <v>360</v>
      </c>
      <c r="K3191" s="55" t="s">
        <v>360</v>
      </c>
      <c r="L3191" s="55" t="s">
        <v>360</v>
      </c>
      <c r="M3191" s="55" t="s">
        <v>144</v>
      </c>
      <c r="N3191" s="55" t="s">
        <v>144</v>
      </c>
      <c r="O3191" s="55" t="s">
        <v>245</v>
      </c>
      <c r="P3191" s="55" t="s">
        <v>245</v>
      </c>
      <c r="Q3191" s="55" t="s">
        <v>350</v>
      </c>
      <c r="R3191" s="85">
        <v>1</v>
      </c>
      <c r="S3191" s="55">
        <v>0</v>
      </c>
      <c r="T3191" s="74" t="s">
        <v>385</v>
      </c>
      <c r="U3191" s="74" t="s">
        <v>351</v>
      </c>
      <c r="V3191" s="74">
        <v>44474</v>
      </c>
      <c r="W3191" s="74">
        <v>44498</v>
      </c>
      <c r="X3191" s="55">
        <v>10185545</v>
      </c>
      <c r="Y3191" s="55" t="s">
        <v>132</v>
      </c>
      <c r="AB3191" s="74" t="s">
        <v>132</v>
      </c>
      <c r="AC3191" s="55" t="s">
        <v>132</v>
      </c>
      <c r="AL3191" s="74"/>
      <c r="AM3191" s="74"/>
      <c r="AW3191" s="74"/>
      <c r="AX3191" s="74"/>
    </row>
    <row r="3192" spans="1:50" ht="13" x14ac:dyDescent="0.15">
      <c r="A3192" s="55" t="str">
        <f>HYPERLINK("http://reports.ofsted.gov.uk/inspection-reports/find-inspection-report/provider/CARE/SC456419","Ofsted Social Care Provider Webpage")</f>
        <v>Ofsted Social Care Provider Webpage</v>
      </c>
      <c r="B3192" s="55" t="s">
        <v>5947</v>
      </c>
      <c r="D3192" s="55" t="s">
        <v>373</v>
      </c>
      <c r="E3192" s="74">
        <v>41323</v>
      </c>
      <c r="F3192" s="55" t="s">
        <v>344</v>
      </c>
      <c r="G3192" s="55" t="s">
        <v>360</v>
      </c>
      <c r="H3192" s="55" t="s">
        <v>360</v>
      </c>
      <c r="I3192" s="55" t="s">
        <v>360</v>
      </c>
      <c r="J3192" s="55" t="s">
        <v>360</v>
      </c>
      <c r="K3192" s="55" t="s">
        <v>360</v>
      </c>
      <c r="L3192" s="55" t="s">
        <v>360</v>
      </c>
      <c r="M3192" s="55" t="s">
        <v>144</v>
      </c>
      <c r="N3192" s="55" t="s">
        <v>144</v>
      </c>
      <c r="O3192" s="55" t="s">
        <v>245</v>
      </c>
      <c r="P3192" s="55" t="s">
        <v>1796</v>
      </c>
      <c r="Q3192" s="55" t="s">
        <v>350</v>
      </c>
      <c r="R3192" s="85">
        <v>1</v>
      </c>
      <c r="S3192" s="55">
        <v>0</v>
      </c>
      <c r="T3192" s="74" t="s">
        <v>385</v>
      </c>
      <c r="U3192" s="74" t="s">
        <v>351</v>
      </c>
      <c r="V3192" s="74">
        <v>44523</v>
      </c>
      <c r="W3192" s="74">
        <v>44560</v>
      </c>
      <c r="X3192" s="55">
        <v>10186726</v>
      </c>
      <c r="Y3192" s="55" t="s">
        <v>132</v>
      </c>
      <c r="AB3192" s="74" t="s">
        <v>132</v>
      </c>
      <c r="AC3192" s="55" t="s">
        <v>130</v>
      </c>
      <c r="AL3192" s="74"/>
      <c r="AM3192" s="74"/>
    </row>
    <row r="3193" spans="1:50" ht="13" x14ac:dyDescent="0.15">
      <c r="A3193" s="55" t="str">
        <f>HYPERLINK("http://reports.ofsted.gov.uk/inspection-reports/find-inspection-report/provider/CARE/SC456477","Ofsted Social Care Provider Webpage")</f>
        <v>Ofsted Social Care Provider Webpage</v>
      </c>
      <c r="B3193" s="55" t="s">
        <v>5949</v>
      </c>
      <c r="D3193" s="55" t="s">
        <v>373</v>
      </c>
      <c r="E3193" s="74">
        <v>41294</v>
      </c>
      <c r="F3193" s="55" t="s">
        <v>344</v>
      </c>
      <c r="G3193" s="55" t="s">
        <v>360</v>
      </c>
      <c r="H3193" s="55" t="s">
        <v>360</v>
      </c>
      <c r="I3193" s="55" t="s">
        <v>360</v>
      </c>
      <c r="J3193" s="55" t="s">
        <v>360</v>
      </c>
      <c r="K3193" s="55" t="s">
        <v>360</v>
      </c>
      <c r="L3193" s="55" t="s">
        <v>360</v>
      </c>
      <c r="M3193" s="55" t="s">
        <v>378</v>
      </c>
      <c r="N3193" s="55" t="s">
        <v>134</v>
      </c>
      <c r="O3193" s="55" t="s">
        <v>232</v>
      </c>
      <c r="P3193" s="55" t="s">
        <v>595</v>
      </c>
      <c r="Q3193" s="55" t="s">
        <v>350</v>
      </c>
      <c r="R3193" s="85">
        <v>4</v>
      </c>
      <c r="S3193" s="55">
        <v>0</v>
      </c>
      <c r="T3193" s="74" t="s">
        <v>385</v>
      </c>
      <c r="U3193" s="74" t="s">
        <v>351</v>
      </c>
      <c r="V3193" s="74">
        <v>44629</v>
      </c>
      <c r="W3193" s="74">
        <v>44672</v>
      </c>
      <c r="X3193" s="55">
        <v>10185186</v>
      </c>
      <c r="Y3193" s="55" t="s">
        <v>132</v>
      </c>
      <c r="AB3193" s="74" t="s">
        <v>132</v>
      </c>
      <c r="AC3193" s="55" t="s">
        <v>132</v>
      </c>
      <c r="AL3193" s="74"/>
      <c r="AM3193" s="74"/>
      <c r="AW3193" s="74"/>
      <c r="AX3193" s="74"/>
    </row>
    <row r="3194" spans="1:50" ht="13" x14ac:dyDescent="0.15">
      <c r="A3194" s="55" t="str">
        <f>HYPERLINK("http://reports.ofsted.gov.uk/inspection-reports/find-inspection-report/provider/CARE/SC456532","Ofsted Social Care Provider Webpage")</f>
        <v>Ofsted Social Care Provider Webpage</v>
      </c>
      <c r="B3194" s="55" t="s">
        <v>5950</v>
      </c>
      <c r="D3194" s="55" t="s">
        <v>373</v>
      </c>
      <c r="E3194" s="74">
        <v>41339</v>
      </c>
      <c r="F3194" s="55" t="s">
        <v>344</v>
      </c>
      <c r="G3194" s="55" t="s">
        <v>360</v>
      </c>
      <c r="H3194" s="55" t="s">
        <v>360</v>
      </c>
      <c r="I3194" s="55" t="s">
        <v>360</v>
      </c>
      <c r="J3194" s="55" t="s">
        <v>360</v>
      </c>
      <c r="K3194" s="55" t="s">
        <v>360</v>
      </c>
      <c r="L3194" s="55" t="s">
        <v>360</v>
      </c>
      <c r="M3194" s="55" t="s">
        <v>144</v>
      </c>
      <c r="N3194" s="55" t="s">
        <v>144</v>
      </c>
      <c r="O3194" s="55" t="s">
        <v>245</v>
      </c>
      <c r="P3194" s="55" t="s">
        <v>1796</v>
      </c>
      <c r="Q3194" s="55" t="s">
        <v>350</v>
      </c>
      <c r="R3194" s="85">
        <v>2</v>
      </c>
      <c r="S3194" s="55">
        <v>0</v>
      </c>
      <c r="T3194" s="74" t="s">
        <v>385</v>
      </c>
      <c r="U3194" s="74" t="s">
        <v>351</v>
      </c>
      <c r="V3194" s="74">
        <v>44607</v>
      </c>
      <c r="W3194" s="74">
        <v>44651</v>
      </c>
      <c r="X3194" s="55">
        <v>10185847</v>
      </c>
      <c r="Y3194" s="55" t="s">
        <v>132</v>
      </c>
      <c r="AB3194" s="74" t="s">
        <v>132</v>
      </c>
      <c r="AC3194" s="55" t="s">
        <v>132</v>
      </c>
      <c r="AL3194" s="74"/>
      <c r="AM3194" s="74"/>
      <c r="AW3194" s="74"/>
      <c r="AX3194" s="74"/>
    </row>
    <row r="3195" spans="1:50" ht="13" x14ac:dyDescent="0.15">
      <c r="A3195" s="55" t="str">
        <f>HYPERLINK("http://reports.ofsted.gov.uk/inspection-reports/find-inspection-report/provider/CARE/SC456537","Ofsted Social Care Provider Webpage")</f>
        <v>Ofsted Social Care Provider Webpage</v>
      </c>
      <c r="B3195" s="55" t="s">
        <v>5952</v>
      </c>
      <c r="D3195" s="55" t="s">
        <v>373</v>
      </c>
      <c r="E3195" s="74">
        <v>41213</v>
      </c>
      <c r="F3195" s="55" t="s">
        <v>344</v>
      </c>
      <c r="G3195" s="55" t="s">
        <v>360</v>
      </c>
      <c r="H3195" s="55" t="s">
        <v>360</v>
      </c>
      <c r="I3195" s="55" t="s">
        <v>360</v>
      </c>
      <c r="J3195" s="55" t="s">
        <v>360</v>
      </c>
      <c r="K3195" s="55" t="s">
        <v>360</v>
      </c>
      <c r="L3195" s="55" t="s">
        <v>360</v>
      </c>
      <c r="M3195" s="55" t="s">
        <v>144</v>
      </c>
      <c r="N3195" s="55" t="s">
        <v>144</v>
      </c>
      <c r="O3195" s="55" t="s">
        <v>281</v>
      </c>
      <c r="P3195" s="55" t="s">
        <v>556</v>
      </c>
      <c r="Q3195" s="55" t="s">
        <v>350</v>
      </c>
      <c r="R3195" s="85">
        <v>4</v>
      </c>
      <c r="S3195" s="55">
        <v>0</v>
      </c>
      <c r="T3195" s="74" t="s">
        <v>1885</v>
      </c>
      <c r="U3195" s="74" t="s">
        <v>351</v>
      </c>
      <c r="V3195" s="74">
        <v>44621</v>
      </c>
      <c r="W3195" s="74">
        <v>44672</v>
      </c>
      <c r="X3195" s="55">
        <v>10185549</v>
      </c>
      <c r="Y3195" s="55" t="s">
        <v>132</v>
      </c>
      <c r="AB3195" s="74" t="s">
        <v>132</v>
      </c>
      <c r="AC3195" s="55" t="s">
        <v>130</v>
      </c>
      <c r="AL3195" s="74"/>
      <c r="AM3195" s="74"/>
    </row>
    <row r="3196" spans="1:50" ht="13" x14ac:dyDescent="0.15">
      <c r="A3196" s="55" t="str">
        <f>HYPERLINK("http://reports.ofsted.gov.uk/inspection-reports/find-inspection-report/provider/CARE/SC456539","Ofsted Social Care Provider Webpage")</f>
        <v>Ofsted Social Care Provider Webpage</v>
      </c>
      <c r="B3196" s="55" t="s">
        <v>5953</v>
      </c>
      <c r="D3196" s="55" t="s">
        <v>373</v>
      </c>
      <c r="E3196" s="74">
        <v>41320</v>
      </c>
      <c r="F3196" s="55" t="s">
        <v>344</v>
      </c>
      <c r="G3196" s="55" t="s">
        <v>360</v>
      </c>
      <c r="H3196" s="55" t="s">
        <v>360</v>
      </c>
      <c r="I3196" s="55" t="s">
        <v>360</v>
      </c>
      <c r="J3196" s="55" t="s">
        <v>360</v>
      </c>
      <c r="K3196" s="55" t="s">
        <v>360</v>
      </c>
      <c r="L3196" s="55" t="s">
        <v>360</v>
      </c>
      <c r="M3196" s="55" t="s">
        <v>144</v>
      </c>
      <c r="N3196" s="55" t="s">
        <v>144</v>
      </c>
      <c r="O3196" s="55" t="s">
        <v>147</v>
      </c>
      <c r="P3196" s="55" t="s">
        <v>387</v>
      </c>
      <c r="Q3196" s="55" t="s">
        <v>350</v>
      </c>
      <c r="R3196" s="85">
        <v>1</v>
      </c>
      <c r="S3196" s="55">
        <v>0</v>
      </c>
      <c r="T3196" s="74" t="s">
        <v>385</v>
      </c>
      <c r="U3196" s="74" t="s">
        <v>351</v>
      </c>
      <c r="V3196" s="74">
        <v>44627</v>
      </c>
      <c r="W3196" s="74">
        <v>44671</v>
      </c>
      <c r="X3196" s="55">
        <v>10185294</v>
      </c>
      <c r="Y3196" s="55" t="s">
        <v>132</v>
      </c>
      <c r="AB3196" s="74" t="s">
        <v>132</v>
      </c>
      <c r="AC3196" s="55" t="s">
        <v>132</v>
      </c>
      <c r="AL3196" s="74"/>
      <c r="AM3196" s="74"/>
      <c r="AW3196" s="74"/>
      <c r="AX3196" s="74"/>
    </row>
    <row r="3197" spans="1:50" ht="13" x14ac:dyDescent="0.15">
      <c r="A3197" s="55" t="str">
        <f>HYPERLINK("http://reports.ofsted.gov.uk/inspection-reports/find-inspection-report/provider/CARE/SC456542","Ofsted Social Care Provider Webpage")</f>
        <v>Ofsted Social Care Provider Webpage</v>
      </c>
      <c r="B3197" s="55" t="s">
        <v>5954</v>
      </c>
      <c r="D3197" s="55" t="s">
        <v>373</v>
      </c>
      <c r="E3197" s="74">
        <v>41320</v>
      </c>
      <c r="F3197" s="55" t="s">
        <v>344</v>
      </c>
      <c r="G3197" s="55" t="s">
        <v>360</v>
      </c>
      <c r="H3197" s="55" t="s">
        <v>360</v>
      </c>
      <c r="I3197" s="55" t="s">
        <v>360</v>
      </c>
      <c r="J3197" s="55" t="s">
        <v>360</v>
      </c>
      <c r="K3197" s="55" t="s">
        <v>360</v>
      </c>
      <c r="L3197" s="55" t="s">
        <v>360</v>
      </c>
      <c r="M3197" s="55" t="s">
        <v>144</v>
      </c>
      <c r="N3197" s="55" t="s">
        <v>144</v>
      </c>
      <c r="O3197" s="55" t="s">
        <v>245</v>
      </c>
      <c r="P3197" s="55" t="s">
        <v>245</v>
      </c>
      <c r="Q3197" s="55" t="s">
        <v>350</v>
      </c>
      <c r="R3197" s="85">
        <v>1</v>
      </c>
      <c r="S3197" s="55">
        <v>0</v>
      </c>
      <c r="T3197" s="74" t="s">
        <v>385</v>
      </c>
      <c r="U3197" s="74" t="s">
        <v>351</v>
      </c>
      <c r="V3197" s="74">
        <v>44306</v>
      </c>
      <c r="W3197" s="74">
        <v>44334</v>
      </c>
      <c r="X3197" s="55">
        <v>10186836</v>
      </c>
      <c r="Y3197" s="55" t="s">
        <v>132</v>
      </c>
      <c r="AB3197" s="74" t="s">
        <v>132</v>
      </c>
      <c r="AC3197" s="55" t="s">
        <v>132</v>
      </c>
      <c r="AL3197" s="74"/>
      <c r="AM3197" s="74"/>
      <c r="AW3197" s="74"/>
      <c r="AX3197" s="74"/>
    </row>
    <row r="3198" spans="1:50" ht="13" x14ac:dyDescent="0.15">
      <c r="A3198" s="55" t="str">
        <f>HYPERLINK("http://reports.ofsted.gov.uk/inspection-reports/find-inspection-report/provider/CARE/SC456543","Ofsted Social Care Provider Webpage")</f>
        <v>Ofsted Social Care Provider Webpage</v>
      </c>
      <c r="B3198" s="55" t="s">
        <v>5955</v>
      </c>
      <c r="D3198" s="55" t="s">
        <v>373</v>
      </c>
      <c r="E3198" s="74">
        <v>41320</v>
      </c>
      <c r="F3198" s="55" t="s">
        <v>344</v>
      </c>
      <c r="G3198" s="55" t="s">
        <v>360</v>
      </c>
      <c r="H3198" s="55" t="s">
        <v>360</v>
      </c>
      <c r="I3198" s="55" t="s">
        <v>360</v>
      </c>
      <c r="J3198" s="55" t="s">
        <v>360</v>
      </c>
      <c r="K3198" s="55" t="s">
        <v>360</v>
      </c>
      <c r="L3198" s="55" t="s">
        <v>360</v>
      </c>
      <c r="M3198" s="55" t="s">
        <v>144</v>
      </c>
      <c r="N3198" s="55" t="s">
        <v>144</v>
      </c>
      <c r="O3198" s="55" t="s">
        <v>245</v>
      </c>
      <c r="P3198" s="55" t="s">
        <v>1796</v>
      </c>
      <c r="Q3198" s="55" t="s">
        <v>350</v>
      </c>
      <c r="R3198" s="85">
        <v>1</v>
      </c>
      <c r="S3198" s="55">
        <v>0</v>
      </c>
      <c r="T3198" s="74" t="s">
        <v>385</v>
      </c>
      <c r="U3198" s="74" t="s">
        <v>351</v>
      </c>
      <c r="V3198" s="74">
        <v>44572</v>
      </c>
      <c r="W3198" s="74">
        <v>44600</v>
      </c>
      <c r="X3198" s="55">
        <v>10187078</v>
      </c>
      <c r="Y3198" s="55" t="s">
        <v>132</v>
      </c>
      <c r="AB3198" s="74" t="s">
        <v>132</v>
      </c>
      <c r="AC3198" s="55" t="s">
        <v>130</v>
      </c>
      <c r="AL3198" s="74"/>
      <c r="AM3198" s="74"/>
    </row>
    <row r="3199" spans="1:50" ht="13" x14ac:dyDescent="0.15">
      <c r="A3199" s="55" t="str">
        <f>HYPERLINK("http://reports.ofsted.gov.uk/inspection-reports/find-inspection-report/provider/CARE/SC456602","Ofsted Social Care Provider Webpage")</f>
        <v>Ofsted Social Care Provider Webpage</v>
      </c>
      <c r="B3199" s="55" t="s">
        <v>5956</v>
      </c>
      <c r="D3199" s="55" t="s">
        <v>373</v>
      </c>
      <c r="E3199" s="74">
        <v>41319</v>
      </c>
      <c r="F3199" s="55" t="s">
        <v>344</v>
      </c>
      <c r="G3199" s="55" t="s">
        <v>360</v>
      </c>
      <c r="H3199" s="55" t="s">
        <v>360</v>
      </c>
      <c r="I3199" s="55" t="s">
        <v>360</v>
      </c>
      <c r="J3199" s="55" t="s">
        <v>360</v>
      </c>
      <c r="K3199" s="55" t="s">
        <v>360</v>
      </c>
      <c r="L3199" s="55" t="s">
        <v>360</v>
      </c>
      <c r="M3199" s="55" t="s">
        <v>378</v>
      </c>
      <c r="N3199" s="55" t="s">
        <v>170</v>
      </c>
      <c r="O3199" s="55" t="s">
        <v>178</v>
      </c>
      <c r="P3199" s="55" t="s">
        <v>2014</v>
      </c>
      <c r="Q3199" s="55" t="s">
        <v>350</v>
      </c>
      <c r="R3199" s="85">
        <v>3</v>
      </c>
      <c r="S3199" s="55">
        <v>0</v>
      </c>
      <c r="T3199" s="74" t="s">
        <v>385</v>
      </c>
      <c r="U3199" s="74" t="s">
        <v>351</v>
      </c>
      <c r="V3199" s="74">
        <v>44480</v>
      </c>
      <c r="W3199" s="74">
        <v>44530</v>
      </c>
      <c r="X3199" s="55">
        <v>10186247</v>
      </c>
      <c r="Y3199" s="55" t="s">
        <v>130</v>
      </c>
      <c r="AB3199" s="74" t="s">
        <v>130</v>
      </c>
      <c r="AC3199" s="55" t="s">
        <v>130</v>
      </c>
      <c r="AL3199" s="74"/>
      <c r="AM3199" s="74"/>
      <c r="AW3199" s="74"/>
      <c r="AX3199" s="74"/>
    </row>
    <row r="3200" spans="1:50" ht="13" x14ac:dyDescent="0.15">
      <c r="A3200" s="55" t="str">
        <f>HYPERLINK("http://reports.ofsted.gov.uk/inspection-reports/find-inspection-report/provider/CARE/SC456602","Ofsted Social Care Provider Webpage")</f>
        <v>Ofsted Social Care Provider Webpage</v>
      </c>
      <c r="B3200" s="55" t="s">
        <v>5956</v>
      </c>
      <c r="D3200" s="55" t="s">
        <v>373</v>
      </c>
      <c r="E3200" s="74">
        <v>41319</v>
      </c>
      <c r="F3200" s="55" t="s">
        <v>344</v>
      </c>
      <c r="G3200" s="55" t="s">
        <v>360</v>
      </c>
      <c r="H3200" s="55" t="s">
        <v>360</v>
      </c>
      <c r="I3200" s="55" t="s">
        <v>360</v>
      </c>
      <c r="J3200" s="55" t="s">
        <v>360</v>
      </c>
      <c r="K3200" s="55" t="s">
        <v>360</v>
      </c>
      <c r="L3200" s="55" t="s">
        <v>360</v>
      </c>
      <c r="M3200" s="55" t="s">
        <v>378</v>
      </c>
      <c r="N3200" s="55" t="s">
        <v>170</v>
      </c>
      <c r="O3200" s="55" t="s">
        <v>178</v>
      </c>
      <c r="P3200" s="55" t="s">
        <v>2014</v>
      </c>
      <c r="Q3200" s="55" t="s">
        <v>350</v>
      </c>
      <c r="R3200" s="85">
        <v>3</v>
      </c>
      <c r="S3200" s="55">
        <v>0</v>
      </c>
      <c r="T3200" s="74" t="s">
        <v>385</v>
      </c>
      <c r="U3200" s="74" t="s">
        <v>6703</v>
      </c>
      <c r="V3200" s="74">
        <v>44573</v>
      </c>
      <c r="W3200" s="74">
        <v>44600</v>
      </c>
      <c r="X3200" s="55">
        <v>10210852</v>
      </c>
      <c r="Y3200" s="55" t="s">
        <v>6706</v>
      </c>
      <c r="AL3200" s="74"/>
      <c r="AM3200" s="74"/>
    </row>
    <row r="3201" spans="1:50" ht="13" x14ac:dyDescent="0.15">
      <c r="A3201" s="55" t="str">
        <f>HYPERLINK("http://reports.ofsted.gov.uk/inspection-reports/find-inspection-report/provider/CARE/SC456710","Ofsted Social Care Provider Webpage")</f>
        <v>Ofsted Social Care Provider Webpage</v>
      </c>
      <c r="B3201" s="55" t="s">
        <v>5957</v>
      </c>
      <c r="D3201" s="55" t="s">
        <v>373</v>
      </c>
      <c r="E3201" s="74">
        <v>41221</v>
      </c>
      <c r="F3201" s="55" t="s">
        <v>344</v>
      </c>
      <c r="G3201" s="55" t="s">
        <v>360</v>
      </c>
      <c r="H3201" s="55" t="s">
        <v>360</v>
      </c>
      <c r="I3201" s="55" t="s">
        <v>360</v>
      </c>
      <c r="J3201" s="55" t="s">
        <v>360</v>
      </c>
      <c r="K3201" s="55" t="s">
        <v>360</v>
      </c>
      <c r="L3201" s="55" t="s">
        <v>360</v>
      </c>
      <c r="M3201" s="55" t="s">
        <v>378</v>
      </c>
      <c r="N3201" s="55" t="s">
        <v>170</v>
      </c>
      <c r="O3201" s="55" t="s">
        <v>264</v>
      </c>
      <c r="P3201" s="55" t="s">
        <v>1334</v>
      </c>
      <c r="Q3201" s="55" t="s">
        <v>380</v>
      </c>
      <c r="R3201" s="85">
        <v>4</v>
      </c>
      <c r="S3201" s="55">
        <v>0</v>
      </c>
      <c r="T3201" s="74" t="s">
        <v>1696</v>
      </c>
      <c r="U3201" s="74" t="s">
        <v>351</v>
      </c>
      <c r="V3201" s="74">
        <v>44376</v>
      </c>
      <c r="W3201" s="74">
        <v>44421</v>
      </c>
      <c r="X3201" s="55">
        <v>10185190</v>
      </c>
      <c r="Y3201" s="55" t="s">
        <v>132</v>
      </c>
      <c r="AB3201" s="74" t="s">
        <v>132</v>
      </c>
      <c r="AC3201" s="55" t="s">
        <v>130</v>
      </c>
      <c r="AL3201" s="74"/>
      <c r="AM3201" s="74"/>
    </row>
    <row r="3202" spans="1:50" ht="13" x14ac:dyDescent="0.15">
      <c r="A3202" s="55" t="str">
        <f>HYPERLINK("http://reports.ofsted.gov.uk/inspection-reports/find-inspection-report/provider/CARE/SC456719","Ofsted Social Care Provider Webpage")</f>
        <v>Ofsted Social Care Provider Webpage</v>
      </c>
      <c r="B3202" s="55" t="s">
        <v>5958</v>
      </c>
      <c r="D3202" s="55" t="s">
        <v>373</v>
      </c>
      <c r="E3202" s="74">
        <v>41332</v>
      </c>
      <c r="F3202" s="55" t="s">
        <v>344</v>
      </c>
      <c r="G3202" s="55" t="s">
        <v>360</v>
      </c>
      <c r="H3202" s="55" t="s">
        <v>360</v>
      </c>
      <c r="I3202" s="55" t="s">
        <v>360</v>
      </c>
      <c r="J3202" s="55" t="s">
        <v>360</v>
      </c>
      <c r="K3202" s="55" t="s">
        <v>360</v>
      </c>
      <c r="L3202" s="55" t="s">
        <v>360</v>
      </c>
      <c r="M3202" s="55" t="s">
        <v>172</v>
      </c>
      <c r="N3202" s="55" t="s">
        <v>172</v>
      </c>
      <c r="O3202" s="55" t="s">
        <v>284</v>
      </c>
      <c r="P3202" s="55" t="s">
        <v>986</v>
      </c>
      <c r="Q3202" s="55" t="s">
        <v>350</v>
      </c>
      <c r="R3202" s="85">
        <v>6</v>
      </c>
      <c r="S3202" s="55">
        <v>0</v>
      </c>
      <c r="T3202" s="74" t="s">
        <v>385</v>
      </c>
      <c r="U3202" s="74" t="s">
        <v>351</v>
      </c>
      <c r="V3202" s="74">
        <v>44454</v>
      </c>
      <c r="W3202" s="74">
        <v>44482</v>
      </c>
      <c r="X3202" s="55">
        <v>10186644</v>
      </c>
      <c r="Y3202" s="55" t="s">
        <v>132</v>
      </c>
      <c r="AB3202" s="74" t="s">
        <v>132</v>
      </c>
      <c r="AC3202" s="55" t="s">
        <v>132</v>
      </c>
      <c r="AL3202" s="74"/>
      <c r="AM3202" s="74"/>
    </row>
    <row r="3203" spans="1:50" ht="13" x14ac:dyDescent="0.15">
      <c r="A3203" s="55" t="str">
        <f>HYPERLINK("http://reports.ofsted.gov.uk/inspection-reports/find-inspection-report/provider/CARE/SC456729","Ofsted Social Care Provider Webpage")</f>
        <v>Ofsted Social Care Provider Webpage</v>
      </c>
      <c r="B3203" s="55" t="s">
        <v>5959</v>
      </c>
      <c r="D3203" s="55" t="s">
        <v>373</v>
      </c>
      <c r="E3203" s="74">
        <v>41319</v>
      </c>
      <c r="F3203" s="55" t="s">
        <v>344</v>
      </c>
      <c r="G3203" s="55" t="s">
        <v>360</v>
      </c>
      <c r="H3203" s="55" t="s">
        <v>360</v>
      </c>
      <c r="I3203" s="55" t="s">
        <v>360</v>
      </c>
      <c r="J3203" s="55" t="s">
        <v>360</v>
      </c>
      <c r="K3203" s="55" t="s">
        <v>360</v>
      </c>
      <c r="L3203" s="55" t="s">
        <v>360</v>
      </c>
      <c r="M3203" s="55" t="s">
        <v>144</v>
      </c>
      <c r="N3203" s="55" t="s">
        <v>144</v>
      </c>
      <c r="O3203" s="55" t="s">
        <v>188</v>
      </c>
      <c r="P3203" s="55" t="s">
        <v>188</v>
      </c>
      <c r="Q3203" s="55" t="s">
        <v>350</v>
      </c>
      <c r="R3203" s="85">
        <v>3</v>
      </c>
      <c r="S3203" s="55">
        <v>0</v>
      </c>
      <c r="T3203" s="74" t="s">
        <v>385</v>
      </c>
      <c r="U3203" s="74" t="s">
        <v>351</v>
      </c>
      <c r="V3203" s="74">
        <v>44334</v>
      </c>
      <c r="W3203" s="74">
        <v>44364</v>
      </c>
      <c r="X3203" s="55">
        <v>10186298</v>
      </c>
      <c r="Y3203" s="55" t="s">
        <v>130</v>
      </c>
      <c r="AB3203" s="74" t="s">
        <v>130</v>
      </c>
      <c r="AC3203" s="55" t="s">
        <v>130</v>
      </c>
      <c r="AL3203" s="74"/>
      <c r="AM3203" s="74"/>
    </row>
    <row r="3204" spans="1:50" ht="13" x14ac:dyDescent="0.15">
      <c r="A3204" s="55" t="str">
        <f>HYPERLINK("http://reports.ofsted.gov.uk/inspection-reports/find-inspection-report/provider/CARE/SC456795","Ofsted Social Care Provider Webpage")</f>
        <v>Ofsted Social Care Provider Webpage</v>
      </c>
      <c r="B3204" s="55" t="s">
        <v>5960</v>
      </c>
      <c r="D3204" s="55" t="s">
        <v>373</v>
      </c>
      <c r="E3204" s="74">
        <v>41319</v>
      </c>
      <c r="F3204" s="55" t="s">
        <v>344</v>
      </c>
      <c r="G3204" s="55" t="s">
        <v>360</v>
      </c>
      <c r="H3204" s="55" t="s">
        <v>360</v>
      </c>
      <c r="I3204" s="55" t="s">
        <v>360</v>
      </c>
      <c r="J3204" s="55" t="s">
        <v>360</v>
      </c>
      <c r="K3204" s="55" t="s">
        <v>360</v>
      </c>
      <c r="L3204" s="55" t="s">
        <v>360</v>
      </c>
      <c r="M3204" s="55" t="s">
        <v>144</v>
      </c>
      <c r="N3204" s="55" t="s">
        <v>144</v>
      </c>
      <c r="O3204" s="55" t="s">
        <v>281</v>
      </c>
      <c r="P3204" s="55" t="s">
        <v>725</v>
      </c>
      <c r="Q3204" s="55" t="s">
        <v>350</v>
      </c>
      <c r="R3204" s="85">
        <v>1</v>
      </c>
      <c r="S3204" s="55">
        <v>0</v>
      </c>
      <c r="T3204" s="74" t="s">
        <v>385</v>
      </c>
      <c r="U3204" s="74" t="s">
        <v>351</v>
      </c>
      <c r="V3204" s="74">
        <v>44594</v>
      </c>
      <c r="W3204" s="74">
        <v>44641</v>
      </c>
      <c r="X3204" s="55">
        <v>10185760</v>
      </c>
      <c r="Y3204" s="55" t="s">
        <v>132</v>
      </c>
      <c r="AB3204" s="74" t="s">
        <v>132</v>
      </c>
      <c r="AC3204" s="55" t="s">
        <v>132</v>
      </c>
      <c r="AL3204" s="74"/>
      <c r="AM3204" s="74"/>
    </row>
    <row r="3205" spans="1:50" ht="13" x14ac:dyDescent="0.15">
      <c r="A3205" s="55" t="str">
        <f>HYPERLINK("http://reports.ofsted.gov.uk/inspection-reports/find-inspection-report/provider/CARE/SC456798","Ofsted Social Care Provider Webpage")</f>
        <v>Ofsted Social Care Provider Webpage</v>
      </c>
      <c r="B3205" s="55" t="s">
        <v>5961</v>
      </c>
      <c r="D3205" s="55" t="s">
        <v>373</v>
      </c>
      <c r="E3205" s="74">
        <v>41319</v>
      </c>
      <c r="F3205" s="55" t="s">
        <v>344</v>
      </c>
      <c r="G3205" s="55" t="s">
        <v>360</v>
      </c>
      <c r="H3205" s="55" t="s">
        <v>360</v>
      </c>
      <c r="I3205" s="55" t="s">
        <v>360</v>
      </c>
      <c r="J3205" s="55" t="s">
        <v>360</v>
      </c>
      <c r="K3205" s="55" t="s">
        <v>360</v>
      </c>
      <c r="L3205" s="55" t="s">
        <v>360</v>
      </c>
      <c r="M3205" s="55" t="s">
        <v>144</v>
      </c>
      <c r="N3205" s="55" t="s">
        <v>144</v>
      </c>
      <c r="O3205" s="55" t="s">
        <v>281</v>
      </c>
      <c r="P3205" s="55" t="s">
        <v>725</v>
      </c>
      <c r="Q3205" s="55" t="s">
        <v>350</v>
      </c>
      <c r="R3205" s="85">
        <v>1</v>
      </c>
      <c r="S3205" s="55">
        <v>0</v>
      </c>
      <c r="T3205" s="74" t="s">
        <v>385</v>
      </c>
      <c r="U3205" s="74" t="s">
        <v>351</v>
      </c>
      <c r="V3205" s="74">
        <v>44628</v>
      </c>
      <c r="W3205" s="74">
        <v>44671</v>
      </c>
      <c r="X3205" s="55">
        <v>10186169</v>
      </c>
      <c r="Y3205" s="55" t="s">
        <v>132</v>
      </c>
      <c r="AB3205" s="74" t="s">
        <v>132</v>
      </c>
      <c r="AC3205" s="55" t="s">
        <v>130</v>
      </c>
      <c r="AL3205" s="74"/>
      <c r="AM3205" s="74"/>
    </row>
    <row r="3206" spans="1:50" ht="13" x14ac:dyDescent="0.15">
      <c r="A3206" s="55" t="str">
        <f>HYPERLINK("http://reports.ofsted.gov.uk/inspection-reports/find-inspection-report/provider/CARE/SC456800","Ofsted Social Care Provider Webpage")</f>
        <v>Ofsted Social Care Provider Webpage</v>
      </c>
      <c r="B3206" s="55" t="s">
        <v>5962</v>
      </c>
      <c r="D3206" s="55" t="s">
        <v>373</v>
      </c>
      <c r="E3206" s="74">
        <v>41319</v>
      </c>
      <c r="F3206" s="55" t="s">
        <v>344</v>
      </c>
      <c r="G3206" s="55" t="s">
        <v>360</v>
      </c>
      <c r="H3206" s="55" t="s">
        <v>360</v>
      </c>
      <c r="I3206" s="55" t="s">
        <v>360</v>
      </c>
      <c r="J3206" s="55" t="s">
        <v>360</v>
      </c>
      <c r="K3206" s="55" t="s">
        <v>360</v>
      </c>
      <c r="L3206" s="55" t="s">
        <v>360</v>
      </c>
      <c r="M3206" s="55" t="s">
        <v>144</v>
      </c>
      <c r="N3206" s="55" t="s">
        <v>144</v>
      </c>
      <c r="O3206" s="55" t="s">
        <v>281</v>
      </c>
      <c r="P3206" s="55" t="s">
        <v>725</v>
      </c>
      <c r="Q3206" s="55" t="s">
        <v>350</v>
      </c>
      <c r="R3206" s="85">
        <v>2</v>
      </c>
      <c r="S3206" s="55">
        <v>0</v>
      </c>
      <c r="T3206" s="74" t="s">
        <v>385</v>
      </c>
      <c r="U3206" s="74" t="s">
        <v>351</v>
      </c>
      <c r="V3206" s="74">
        <v>44432</v>
      </c>
      <c r="W3206" s="74">
        <v>44466</v>
      </c>
      <c r="X3206" s="55">
        <v>10187208</v>
      </c>
      <c r="Y3206" s="55" t="s">
        <v>132</v>
      </c>
      <c r="AB3206" s="74" t="s">
        <v>132</v>
      </c>
      <c r="AC3206" s="55" t="s">
        <v>132</v>
      </c>
      <c r="AL3206" s="74"/>
      <c r="AM3206" s="74"/>
    </row>
    <row r="3207" spans="1:50" ht="13" x14ac:dyDescent="0.15">
      <c r="A3207" s="55" t="str">
        <f>HYPERLINK("http://reports.ofsted.gov.uk/inspection-reports/find-inspection-report/provider/CARE/SC456846","Ofsted Social Care Provider Webpage")</f>
        <v>Ofsted Social Care Provider Webpage</v>
      </c>
      <c r="B3207" s="55" t="s">
        <v>5963</v>
      </c>
      <c r="D3207" s="55" t="s">
        <v>373</v>
      </c>
      <c r="E3207" s="74">
        <v>41330</v>
      </c>
      <c r="F3207" s="55" t="s">
        <v>344</v>
      </c>
      <c r="G3207" s="55" t="s">
        <v>360</v>
      </c>
      <c r="H3207" s="55" t="s">
        <v>360</v>
      </c>
      <c r="I3207" s="55" t="s">
        <v>360</v>
      </c>
      <c r="J3207" s="55" t="s">
        <v>360</v>
      </c>
      <c r="K3207" s="55" t="s">
        <v>360</v>
      </c>
      <c r="L3207" s="55" t="s">
        <v>360</v>
      </c>
      <c r="M3207" s="55" t="s">
        <v>138</v>
      </c>
      <c r="N3207" s="55" t="s">
        <v>138</v>
      </c>
      <c r="O3207" s="55" t="s">
        <v>159</v>
      </c>
      <c r="P3207" s="55" t="s">
        <v>1025</v>
      </c>
      <c r="Q3207" s="55" t="s">
        <v>350</v>
      </c>
      <c r="R3207" s="85">
        <v>3</v>
      </c>
      <c r="S3207" s="55">
        <v>0</v>
      </c>
      <c r="T3207" s="74" t="s">
        <v>385</v>
      </c>
      <c r="U3207" s="74" t="s">
        <v>351</v>
      </c>
      <c r="V3207" s="74">
        <v>44503</v>
      </c>
      <c r="W3207" s="74">
        <v>44537</v>
      </c>
      <c r="X3207" s="55">
        <v>10186475</v>
      </c>
      <c r="Y3207" s="55" t="s">
        <v>140</v>
      </c>
      <c r="AB3207" s="74" t="s">
        <v>140</v>
      </c>
      <c r="AC3207" s="55" t="s">
        <v>140</v>
      </c>
      <c r="AL3207" s="74"/>
      <c r="AM3207" s="74"/>
    </row>
    <row r="3208" spans="1:50" ht="13" x14ac:dyDescent="0.15">
      <c r="A3208" s="55" t="str">
        <f>HYPERLINK("http://reports.ofsted.gov.uk/inspection-reports/find-inspection-report/provider/CARE/SC456850","Ofsted Social Care Provider Webpage")</f>
        <v>Ofsted Social Care Provider Webpage</v>
      </c>
      <c r="B3208" s="55" t="s">
        <v>5964</v>
      </c>
      <c r="D3208" s="55" t="s">
        <v>373</v>
      </c>
      <c r="E3208" s="74">
        <v>41320</v>
      </c>
      <c r="F3208" s="55" t="s">
        <v>344</v>
      </c>
      <c r="G3208" s="55" t="s">
        <v>360</v>
      </c>
      <c r="H3208" s="55" t="s">
        <v>360</v>
      </c>
      <c r="I3208" s="55" t="s">
        <v>360</v>
      </c>
      <c r="J3208" s="55" t="s">
        <v>360</v>
      </c>
      <c r="K3208" s="55" t="s">
        <v>360</v>
      </c>
      <c r="L3208" s="55" t="s">
        <v>360</v>
      </c>
      <c r="M3208" s="55" t="s">
        <v>144</v>
      </c>
      <c r="N3208" s="55" t="s">
        <v>144</v>
      </c>
      <c r="O3208" s="55" t="s">
        <v>245</v>
      </c>
      <c r="P3208" s="55" t="s">
        <v>245</v>
      </c>
      <c r="Q3208" s="55" t="s">
        <v>350</v>
      </c>
      <c r="R3208" s="85">
        <v>1</v>
      </c>
      <c r="S3208" s="55">
        <v>0</v>
      </c>
      <c r="T3208" s="74" t="s">
        <v>385</v>
      </c>
      <c r="U3208" s="74" t="s">
        <v>351</v>
      </c>
      <c r="V3208" s="74">
        <v>44635</v>
      </c>
      <c r="W3208" s="74">
        <v>44678</v>
      </c>
      <c r="X3208" s="55">
        <v>10187511</v>
      </c>
      <c r="Y3208" s="55" t="s">
        <v>132</v>
      </c>
      <c r="AB3208" s="74" t="s">
        <v>132</v>
      </c>
      <c r="AC3208" s="55" t="s">
        <v>132</v>
      </c>
      <c r="AL3208" s="74"/>
      <c r="AM3208" s="74"/>
    </row>
    <row r="3209" spans="1:50" ht="13" x14ac:dyDescent="0.15">
      <c r="A3209" s="55" t="str">
        <f>HYPERLINK("http://reports.ofsted.gov.uk/inspection-reports/find-inspection-report/provider/CARE/SC456857","Ofsted Social Care Provider Webpage")</f>
        <v>Ofsted Social Care Provider Webpage</v>
      </c>
      <c r="B3209" s="55" t="s">
        <v>5965</v>
      </c>
      <c r="D3209" s="55" t="s">
        <v>373</v>
      </c>
      <c r="E3209" s="74">
        <v>41316</v>
      </c>
      <c r="F3209" s="55" t="s">
        <v>344</v>
      </c>
      <c r="G3209" s="55" t="s">
        <v>360</v>
      </c>
      <c r="H3209" s="55" t="s">
        <v>360</v>
      </c>
      <c r="I3209" s="55" t="s">
        <v>360</v>
      </c>
      <c r="J3209" s="55" t="s">
        <v>360</v>
      </c>
      <c r="K3209" s="55" t="s">
        <v>360</v>
      </c>
      <c r="L3209" s="55" t="s">
        <v>360</v>
      </c>
      <c r="M3209" s="55" t="s">
        <v>144</v>
      </c>
      <c r="N3209" s="55" t="s">
        <v>144</v>
      </c>
      <c r="O3209" s="55" t="s">
        <v>245</v>
      </c>
      <c r="P3209" s="55" t="s">
        <v>1796</v>
      </c>
      <c r="Q3209" s="55" t="s">
        <v>350</v>
      </c>
      <c r="R3209" s="85">
        <v>1</v>
      </c>
      <c r="S3209" s="55">
        <v>0</v>
      </c>
      <c r="T3209" s="74" t="s">
        <v>385</v>
      </c>
      <c r="U3209" s="74" t="s">
        <v>351</v>
      </c>
      <c r="V3209" s="74">
        <v>44335</v>
      </c>
      <c r="W3209" s="74">
        <v>44363</v>
      </c>
      <c r="X3209" s="55">
        <v>10185793</v>
      </c>
      <c r="Y3209" s="55" t="s">
        <v>132</v>
      </c>
      <c r="AB3209" s="74" t="s">
        <v>132</v>
      </c>
      <c r="AC3209" s="55" t="s">
        <v>132</v>
      </c>
      <c r="AL3209" s="74"/>
      <c r="AM3209" s="74"/>
    </row>
    <row r="3210" spans="1:50" ht="13" x14ac:dyDescent="0.15">
      <c r="A3210" s="55" t="str">
        <f>HYPERLINK("http://reports.ofsted.gov.uk/inspection-reports/find-inspection-report/provider/CARE/SC456863","Ofsted Social Care Provider Webpage")</f>
        <v>Ofsted Social Care Provider Webpage</v>
      </c>
      <c r="B3210" s="55" t="s">
        <v>5966</v>
      </c>
      <c r="D3210" s="55" t="s">
        <v>373</v>
      </c>
      <c r="E3210" s="74">
        <v>41347</v>
      </c>
      <c r="F3210" s="55" t="s">
        <v>344</v>
      </c>
      <c r="G3210" s="55" t="s">
        <v>360</v>
      </c>
      <c r="H3210" s="55" t="s">
        <v>360</v>
      </c>
      <c r="I3210" s="55" t="s">
        <v>360</v>
      </c>
      <c r="J3210" s="55" t="s">
        <v>360</v>
      </c>
      <c r="K3210" s="55" t="s">
        <v>360</v>
      </c>
      <c r="L3210" s="55" t="s">
        <v>360</v>
      </c>
      <c r="M3210" s="55" t="s">
        <v>136</v>
      </c>
      <c r="N3210" s="55" t="s">
        <v>136</v>
      </c>
      <c r="O3210" s="55" t="s">
        <v>274</v>
      </c>
      <c r="P3210" s="55" t="s">
        <v>274</v>
      </c>
      <c r="Q3210" s="55" t="s">
        <v>350</v>
      </c>
      <c r="R3210" s="85">
        <v>1</v>
      </c>
      <c r="S3210" s="55">
        <v>0</v>
      </c>
      <c r="T3210" s="74" t="s">
        <v>385</v>
      </c>
      <c r="U3210" s="74" t="s">
        <v>351</v>
      </c>
      <c r="V3210" s="74">
        <v>44356</v>
      </c>
      <c r="W3210" s="74">
        <v>44393</v>
      </c>
      <c r="X3210" s="55">
        <v>10186001</v>
      </c>
      <c r="Y3210" s="55" t="s">
        <v>132</v>
      </c>
      <c r="AB3210" s="74" t="s">
        <v>132</v>
      </c>
      <c r="AC3210" s="55" t="s">
        <v>132</v>
      </c>
      <c r="AL3210" s="74"/>
      <c r="AM3210" s="74"/>
    </row>
    <row r="3211" spans="1:50" ht="13" x14ac:dyDescent="0.15">
      <c r="A3211" s="55" t="str">
        <f>HYPERLINK("http://reports.ofsted.gov.uk/inspection-reports/find-inspection-report/provider/CARE/SC456910","Ofsted Social Care Provider Webpage")</f>
        <v>Ofsted Social Care Provider Webpage</v>
      </c>
      <c r="B3211" s="55" t="s">
        <v>5967</v>
      </c>
      <c r="D3211" s="55" t="s">
        <v>373</v>
      </c>
      <c r="E3211" s="74">
        <v>41330</v>
      </c>
      <c r="F3211" s="55" t="s">
        <v>344</v>
      </c>
      <c r="G3211" s="55" t="s">
        <v>360</v>
      </c>
      <c r="H3211" s="55" t="s">
        <v>360</v>
      </c>
      <c r="I3211" s="55" t="s">
        <v>360</v>
      </c>
      <c r="J3211" s="55" t="s">
        <v>360</v>
      </c>
      <c r="K3211" s="55" t="s">
        <v>360</v>
      </c>
      <c r="L3211" s="55" t="s">
        <v>360</v>
      </c>
      <c r="M3211" s="55" t="s">
        <v>136</v>
      </c>
      <c r="N3211" s="55" t="s">
        <v>136</v>
      </c>
      <c r="O3211" s="55" t="s">
        <v>274</v>
      </c>
      <c r="P3211" s="55" t="s">
        <v>274</v>
      </c>
      <c r="Q3211" s="55" t="s">
        <v>350</v>
      </c>
      <c r="R3211" s="85">
        <v>2</v>
      </c>
      <c r="S3211" s="55">
        <v>0</v>
      </c>
      <c r="T3211" s="74" t="s">
        <v>385</v>
      </c>
      <c r="U3211" s="74" t="s">
        <v>351</v>
      </c>
      <c r="V3211" s="74">
        <v>44391</v>
      </c>
      <c r="W3211" s="74">
        <v>44426</v>
      </c>
      <c r="X3211" s="55">
        <v>10186071</v>
      </c>
      <c r="Y3211" s="55" t="s">
        <v>130</v>
      </c>
      <c r="AB3211" s="74" t="s">
        <v>130</v>
      </c>
      <c r="AC3211" s="55" t="s">
        <v>130</v>
      </c>
      <c r="AL3211" s="74"/>
      <c r="AM3211" s="74"/>
    </row>
    <row r="3212" spans="1:50" ht="13" x14ac:dyDescent="0.15">
      <c r="A3212" s="55" t="str">
        <f>HYPERLINK("http://reports.ofsted.gov.uk/inspection-reports/find-inspection-report/provider/CARE/SC456910","Ofsted Social Care Provider Webpage")</f>
        <v>Ofsted Social Care Provider Webpage</v>
      </c>
      <c r="B3212" s="55" t="s">
        <v>5967</v>
      </c>
      <c r="D3212" s="55" t="s">
        <v>373</v>
      </c>
      <c r="E3212" s="74">
        <v>41330</v>
      </c>
      <c r="F3212" s="55" t="s">
        <v>344</v>
      </c>
      <c r="G3212" s="55" t="s">
        <v>360</v>
      </c>
      <c r="H3212" s="55" t="s">
        <v>360</v>
      </c>
      <c r="I3212" s="55" t="s">
        <v>360</v>
      </c>
      <c r="J3212" s="55" t="s">
        <v>360</v>
      </c>
      <c r="K3212" s="55" t="s">
        <v>360</v>
      </c>
      <c r="L3212" s="55" t="s">
        <v>360</v>
      </c>
      <c r="M3212" s="55" t="s">
        <v>136</v>
      </c>
      <c r="N3212" s="55" t="s">
        <v>136</v>
      </c>
      <c r="O3212" s="55" t="s">
        <v>274</v>
      </c>
      <c r="P3212" s="55" t="s">
        <v>274</v>
      </c>
      <c r="Q3212" s="55" t="s">
        <v>350</v>
      </c>
      <c r="R3212" s="85">
        <v>2</v>
      </c>
      <c r="S3212" s="55">
        <v>0</v>
      </c>
      <c r="T3212" s="74" t="s">
        <v>385</v>
      </c>
      <c r="U3212" s="74" t="s">
        <v>6703</v>
      </c>
      <c r="V3212" s="74">
        <v>44539</v>
      </c>
      <c r="W3212" s="74">
        <v>44586</v>
      </c>
      <c r="X3212" s="55">
        <v>10215855</v>
      </c>
      <c r="Y3212" s="55" t="s">
        <v>6706</v>
      </c>
      <c r="AL3212" s="74"/>
      <c r="AM3212" s="74"/>
    </row>
    <row r="3213" spans="1:50" ht="13" x14ac:dyDescent="0.15">
      <c r="A3213" s="55" t="str">
        <f>HYPERLINK("http://reports.ofsted.gov.uk/inspection-reports/find-inspection-report/provider/CARE/SC456911","Ofsted Social Care Provider Webpage")</f>
        <v>Ofsted Social Care Provider Webpage</v>
      </c>
      <c r="B3213" s="55" t="s">
        <v>5968</v>
      </c>
      <c r="D3213" s="55" t="s">
        <v>373</v>
      </c>
      <c r="E3213" s="74">
        <v>41330</v>
      </c>
      <c r="F3213" s="55" t="s">
        <v>344</v>
      </c>
      <c r="G3213" s="55" t="s">
        <v>360</v>
      </c>
      <c r="H3213" s="55" t="s">
        <v>360</v>
      </c>
      <c r="I3213" s="55" t="s">
        <v>360</v>
      </c>
      <c r="J3213" s="55" t="s">
        <v>360</v>
      </c>
      <c r="K3213" s="55" t="s">
        <v>360</v>
      </c>
      <c r="L3213" s="55" t="s">
        <v>360</v>
      </c>
      <c r="M3213" s="55" t="s">
        <v>138</v>
      </c>
      <c r="N3213" s="55" t="s">
        <v>138</v>
      </c>
      <c r="O3213" s="55" t="s">
        <v>159</v>
      </c>
      <c r="P3213" s="55" t="s">
        <v>1025</v>
      </c>
      <c r="Q3213" s="55" t="s">
        <v>350</v>
      </c>
      <c r="R3213" s="85">
        <v>6</v>
      </c>
      <c r="S3213" s="55">
        <v>0</v>
      </c>
      <c r="T3213" s="74" t="s">
        <v>385</v>
      </c>
      <c r="U3213" s="74" t="s">
        <v>351</v>
      </c>
      <c r="V3213" s="74">
        <v>44539</v>
      </c>
      <c r="W3213" s="74">
        <v>44587</v>
      </c>
      <c r="X3213" s="55">
        <v>10186785</v>
      </c>
      <c r="Y3213" s="55" t="s">
        <v>132</v>
      </c>
      <c r="AB3213" s="74" t="s">
        <v>130</v>
      </c>
      <c r="AC3213" s="55" t="s">
        <v>132</v>
      </c>
      <c r="AL3213" s="74"/>
      <c r="AM3213" s="74"/>
      <c r="AW3213" s="74"/>
      <c r="AX3213" s="74"/>
    </row>
    <row r="3214" spans="1:50" ht="13" x14ac:dyDescent="0.15">
      <c r="A3214" s="55" t="str">
        <f>HYPERLINK("http://reports.ofsted.gov.uk/inspection-reports/find-inspection-report/provider/CARE/SC456942","Ofsted Social Care Provider Webpage")</f>
        <v>Ofsted Social Care Provider Webpage</v>
      </c>
      <c r="B3214" s="55" t="s">
        <v>5969</v>
      </c>
      <c r="D3214" s="55" t="s">
        <v>373</v>
      </c>
      <c r="E3214" s="74">
        <v>41320</v>
      </c>
      <c r="F3214" s="55" t="s">
        <v>344</v>
      </c>
      <c r="G3214" s="55" t="s">
        <v>360</v>
      </c>
      <c r="H3214" s="55" t="s">
        <v>360</v>
      </c>
      <c r="I3214" s="55" t="s">
        <v>360</v>
      </c>
      <c r="J3214" s="55" t="s">
        <v>360</v>
      </c>
      <c r="K3214" s="55" t="s">
        <v>360</v>
      </c>
      <c r="L3214" s="55" t="s">
        <v>360</v>
      </c>
      <c r="M3214" s="55" t="s">
        <v>144</v>
      </c>
      <c r="N3214" s="55" t="s">
        <v>144</v>
      </c>
      <c r="O3214" s="55" t="s">
        <v>281</v>
      </c>
      <c r="P3214" s="55" t="s">
        <v>725</v>
      </c>
      <c r="Q3214" s="55" t="s">
        <v>350</v>
      </c>
      <c r="R3214" s="85">
        <v>1</v>
      </c>
      <c r="S3214" s="55">
        <v>0</v>
      </c>
      <c r="T3214" s="74" t="s">
        <v>385</v>
      </c>
      <c r="U3214" s="74" t="s">
        <v>351</v>
      </c>
      <c r="V3214" s="74">
        <v>44502</v>
      </c>
      <c r="W3214" s="74">
        <v>44546</v>
      </c>
      <c r="X3214" s="55">
        <v>10185053</v>
      </c>
      <c r="Y3214" s="55" t="s">
        <v>130</v>
      </c>
      <c r="AB3214" s="74" t="s">
        <v>132</v>
      </c>
      <c r="AC3214" s="55" t="s">
        <v>130</v>
      </c>
      <c r="AL3214" s="74"/>
      <c r="AM3214" s="74"/>
      <c r="AW3214" s="74"/>
      <c r="AX3214" s="74"/>
    </row>
    <row r="3215" spans="1:50" ht="13" x14ac:dyDescent="0.15">
      <c r="A3215" s="55" t="str">
        <f>HYPERLINK("http://reports.ofsted.gov.uk/inspection-reports/find-inspection-report/provider/CARE/SC456959","Ofsted Social Care Provider Webpage")</f>
        <v>Ofsted Social Care Provider Webpage</v>
      </c>
      <c r="B3215" s="55" t="s">
        <v>5970</v>
      </c>
      <c r="D3215" s="55" t="s">
        <v>373</v>
      </c>
      <c r="E3215" s="74">
        <v>41219</v>
      </c>
      <c r="F3215" s="55" t="s">
        <v>344</v>
      </c>
      <c r="G3215" s="55" t="s">
        <v>360</v>
      </c>
      <c r="H3215" s="55" t="s">
        <v>360</v>
      </c>
      <c r="I3215" s="55" t="s">
        <v>360</v>
      </c>
      <c r="J3215" s="55" t="s">
        <v>360</v>
      </c>
      <c r="K3215" s="55" t="s">
        <v>360</v>
      </c>
      <c r="L3215" s="55" t="s">
        <v>360</v>
      </c>
      <c r="M3215" s="55" t="s">
        <v>144</v>
      </c>
      <c r="N3215" s="55" t="s">
        <v>144</v>
      </c>
      <c r="O3215" s="55" t="s">
        <v>281</v>
      </c>
      <c r="P3215" s="55" t="s">
        <v>556</v>
      </c>
      <c r="Q3215" s="55" t="s">
        <v>350</v>
      </c>
      <c r="R3215" s="85">
        <v>1</v>
      </c>
      <c r="S3215" s="55">
        <v>0</v>
      </c>
      <c r="T3215" s="74" t="s">
        <v>385</v>
      </c>
      <c r="U3215" s="74" t="s">
        <v>351</v>
      </c>
      <c r="V3215" s="74">
        <v>44544</v>
      </c>
      <c r="W3215" s="74">
        <v>44593</v>
      </c>
      <c r="X3215" s="55">
        <v>10185764</v>
      </c>
      <c r="Y3215" s="55" t="s">
        <v>146</v>
      </c>
      <c r="AB3215" s="74" t="s">
        <v>146</v>
      </c>
      <c r="AC3215" s="55" t="s">
        <v>146</v>
      </c>
      <c r="AL3215" s="74"/>
      <c r="AM3215" s="74"/>
      <c r="AW3215" s="74"/>
      <c r="AX3215" s="74"/>
    </row>
    <row r="3216" spans="1:50" ht="13" x14ac:dyDescent="0.15">
      <c r="A3216" s="55" t="str">
        <f>HYPERLINK("http://reports.ofsted.gov.uk/inspection-reports/find-inspection-report/provider/CARE/SC456959","Ofsted Social Care Provider Webpage")</f>
        <v>Ofsted Social Care Provider Webpage</v>
      </c>
      <c r="B3216" s="55" t="s">
        <v>5970</v>
      </c>
      <c r="D3216" s="55" t="s">
        <v>373</v>
      </c>
      <c r="E3216" s="74">
        <v>41219</v>
      </c>
      <c r="F3216" s="55" t="s">
        <v>344</v>
      </c>
      <c r="G3216" s="55" t="s">
        <v>360</v>
      </c>
      <c r="H3216" s="55" t="s">
        <v>360</v>
      </c>
      <c r="I3216" s="55" t="s">
        <v>360</v>
      </c>
      <c r="J3216" s="55" t="s">
        <v>360</v>
      </c>
      <c r="K3216" s="55" t="s">
        <v>360</v>
      </c>
      <c r="L3216" s="55" t="s">
        <v>360</v>
      </c>
      <c r="M3216" s="55" t="s">
        <v>144</v>
      </c>
      <c r="N3216" s="55" t="s">
        <v>144</v>
      </c>
      <c r="O3216" s="55" t="s">
        <v>281</v>
      </c>
      <c r="P3216" s="55" t="s">
        <v>556</v>
      </c>
      <c r="Q3216" s="55" t="s">
        <v>350</v>
      </c>
      <c r="R3216" s="85">
        <v>1</v>
      </c>
      <c r="S3216" s="55">
        <v>0</v>
      </c>
      <c r="T3216" s="74" t="s">
        <v>385</v>
      </c>
      <c r="U3216" s="74" t="s">
        <v>2053</v>
      </c>
      <c r="V3216" s="74">
        <v>44589</v>
      </c>
      <c r="W3216" s="74">
        <v>44636</v>
      </c>
      <c r="X3216" s="55">
        <v>10221137</v>
      </c>
      <c r="AL3216" s="74"/>
      <c r="AM3216" s="74"/>
      <c r="AW3216" s="74"/>
      <c r="AX3216" s="74"/>
    </row>
    <row r="3217" spans="1:50" ht="13" x14ac:dyDescent="0.15">
      <c r="A3217" s="55" t="str">
        <f>HYPERLINK("http://reports.ofsted.gov.uk/inspection-reports/find-inspection-report/provider/CARE/SC456959","Ofsted Social Care Provider Webpage")</f>
        <v>Ofsted Social Care Provider Webpage</v>
      </c>
      <c r="B3217" s="55" t="s">
        <v>5970</v>
      </c>
      <c r="D3217" s="55" t="s">
        <v>373</v>
      </c>
      <c r="E3217" s="74">
        <v>41219</v>
      </c>
      <c r="F3217" s="55" t="s">
        <v>344</v>
      </c>
      <c r="G3217" s="55" t="s">
        <v>360</v>
      </c>
      <c r="H3217" s="55" t="s">
        <v>360</v>
      </c>
      <c r="I3217" s="55" t="s">
        <v>360</v>
      </c>
      <c r="J3217" s="55" t="s">
        <v>360</v>
      </c>
      <c r="K3217" s="55" t="s">
        <v>360</v>
      </c>
      <c r="L3217" s="55" t="s">
        <v>360</v>
      </c>
      <c r="M3217" s="55" t="s">
        <v>144</v>
      </c>
      <c r="N3217" s="55" t="s">
        <v>144</v>
      </c>
      <c r="O3217" s="55" t="s">
        <v>281</v>
      </c>
      <c r="P3217" s="55" t="s">
        <v>556</v>
      </c>
      <c r="Q3217" s="55" t="s">
        <v>350</v>
      </c>
      <c r="R3217" s="85">
        <v>1</v>
      </c>
      <c r="S3217" s="55">
        <v>0</v>
      </c>
      <c r="T3217" s="74" t="s">
        <v>385</v>
      </c>
      <c r="U3217" s="74" t="s">
        <v>2053</v>
      </c>
      <c r="V3217" s="74">
        <v>44614</v>
      </c>
      <c r="W3217" s="74">
        <v>44659</v>
      </c>
      <c r="X3217" s="55">
        <v>10221238</v>
      </c>
      <c r="AL3217" s="74"/>
      <c r="AM3217" s="74"/>
      <c r="AW3217" s="74"/>
      <c r="AX3217" s="74"/>
    </row>
    <row r="3218" spans="1:50" ht="13" x14ac:dyDescent="0.15">
      <c r="A3218" s="55" t="str">
        <f>HYPERLINK("http://reports.ofsted.gov.uk/inspection-reports/find-inspection-report/provider/CARE/SC456964","Ofsted Social Care Provider Webpage")</f>
        <v>Ofsted Social Care Provider Webpage</v>
      </c>
      <c r="B3218" s="55" t="s">
        <v>5971</v>
      </c>
      <c r="D3218" s="55" t="s">
        <v>373</v>
      </c>
      <c r="E3218" s="74">
        <v>41319</v>
      </c>
      <c r="F3218" s="55" t="s">
        <v>344</v>
      </c>
      <c r="G3218" s="55" t="s">
        <v>360</v>
      </c>
      <c r="H3218" s="55" t="s">
        <v>360</v>
      </c>
      <c r="I3218" s="55" t="s">
        <v>360</v>
      </c>
      <c r="J3218" s="55" t="s">
        <v>360</v>
      </c>
      <c r="K3218" s="55" t="s">
        <v>360</v>
      </c>
      <c r="L3218" s="55" t="s">
        <v>360</v>
      </c>
      <c r="M3218" s="55" t="s">
        <v>144</v>
      </c>
      <c r="N3218" s="55" t="s">
        <v>144</v>
      </c>
      <c r="O3218" s="55" t="s">
        <v>188</v>
      </c>
      <c r="P3218" s="55" t="s">
        <v>188</v>
      </c>
      <c r="Q3218" s="55" t="s">
        <v>350</v>
      </c>
      <c r="R3218" s="85">
        <v>2</v>
      </c>
      <c r="S3218" s="55">
        <v>0</v>
      </c>
      <c r="T3218" s="74" t="s">
        <v>385</v>
      </c>
      <c r="U3218" s="74" t="s">
        <v>351</v>
      </c>
      <c r="V3218" s="74">
        <v>44628</v>
      </c>
      <c r="W3218" s="74">
        <v>44670</v>
      </c>
      <c r="X3218" s="55">
        <v>10186690</v>
      </c>
      <c r="Y3218" s="55" t="s">
        <v>132</v>
      </c>
      <c r="AB3218" s="74" t="s">
        <v>132</v>
      </c>
      <c r="AC3218" s="55" t="s">
        <v>132</v>
      </c>
      <c r="AL3218" s="74"/>
      <c r="AM3218" s="74"/>
      <c r="AW3218" s="74"/>
      <c r="AX3218" s="74"/>
    </row>
    <row r="3219" spans="1:50" ht="13" x14ac:dyDescent="0.15">
      <c r="A3219" s="55" t="str">
        <f>HYPERLINK("http://reports.ofsted.gov.uk/inspection-reports/find-inspection-report/provider/CARE/SC457012","Ofsted Social Care Provider Webpage")</f>
        <v>Ofsted Social Care Provider Webpage</v>
      </c>
      <c r="B3219" s="55" t="s">
        <v>5972</v>
      </c>
      <c r="D3219" s="55" t="s">
        <v>373</v>
      </c>
      <c r="E3219" s="74">
        <v>41327</v>
      </c>
      <c r="F3219" s="55" t="s">
        <v>344</v>
      </c>
      <c r="G3219" s="55" t="s">
        <v>360</v>
      </c>
      <c r="H3219" s="55" t="s">
        <v>360</v>
      </c>
      <c r="I3219" s="55" t="s">
        <v>360</v>
      </c>
      <c r="J3219" s="55" t="s">
        <v>360</v>
      </c>
      <c r="K3219" s="55" t="s">
        <v>360</v>
      </c>
      <c r="L3219" s="55" t="s">
        <v>360</v>
      </c>
      <c r="M3219" s="55" t="s">
        <v>138</v>
      </c>
      <c r="N3219" s="55" t="s">
        <v>138</v>
      </c>
      <c r="O3219" s="55" t="s">
        <v>183</v>
      </c>
      <c r="P3219" s="55" t="s">
        <v>1500</v>
      </c>
      <c r="Q3219" s="55" t="s">
        <v>350</v>
      </c>
      <c r="R3219" s="85">
        <v>3</v>
      </c>
      <c r="S3219" s="55">
        <v>0</v>
      </c>
      <c r="T3219" s="74" t="s">
        <v>385</v>
      </c>
      <c r="U3219" s="74" t="s">
        <v>351</v>
      </c>
      <c r="V3219" s="74">
        <v>44453</v>
      </c>
      <c r="W3219" s="74">
        <v>44480</v>
      </c>
      <c r="X3219" s="55">
        <v>10186684</v>
      </c>
      <c r="Y3219" s="55" t="s">
        <v>132</v>
      </c>
      <c r="AB3219" s="74" t="s">
        <v>132</v>
      </c>
      <c r="AC3219" s="55" t="s">
        <v>132</v>
      </c>
      <c r="AL3219" s="74"/>
      <c r="AM3219" s="74"/>
      <c r="AW3219" s="74"/>
      <c r="AX3219" s="74"/>
    </row>
    <row r="3220" spans="1:50" ht="13" x14ac:dyDescent="0.15">
      <c r="A3220" s="55" t="str">
        <f>HYPERLINK("http://reports.ofsted.gov.uk/inspection-reports/find-inspection-report/provider/CARE/SC457025","Ofsted Social Care Provider Webpage")</f>
        <v>Ofsted Social Care Provider Webpage</v>
      </c>
      <c r="B3220" s="55" t="s">
        <v>5974</v>
      </c>
      <c r="D3220" s="55" t="s">
        <v>373</v>
      </c>
      <c r="E3220" s="74">
        <v>41316</v>
      </c>
      <c r="F3220" s="55" t="s">
        <v>344</v>
      </c>
      <c r="G3220" s="55" t="s">
        <v>360</v>
      </c>
      <c r="H3220" s="55" t="s">
        <v>360</v>
      </c>
      <c r="I3220" s="55" t="s">
        <v>360</v>
      </c>
      <c r="J3220" s="55" t="s">
        <v>360</v>
      </c>
      <c r="K3220" s="55" t="s">
        <v>360</v>
      </c>
      <c r="L3220" s="55" t="s">
        <v>360</v>
      </c>
      <c r="M3220" s="55" t="s">
        <v>142</v>
      </c>
      <c r="N3220" s="55" t="s">
        <v>142</v>
      </c>
      <c r="O3220" s="55" t="s">
        <v>195</v>
      </c>
      <c r="P3220" s="55" t="s">
        <v>747</v>
      </c>
      <c r="Q3220" s="55" t="s">
        <v>350</v>
      </c>
      <c r="R3220" s="85">
        <v>4</v>
      </c>
      <c r="S3220" s="55">
        <v>0</v>
      </c>
      <c r="T3220" s="74" t="s">
        <v>385</v>
      </c>
      <c r="U3220" s="74" t="s">
        <v>351</v>
      </c>
      <c r="V3220" s="74">
        <v>44454</v>
      </c>
      <c r="W3220" s="74">
        <v>44484</v>
      </c>
      <c r="X3220" s="55">
        <v>10186418</v>
      </c>
      <c r="Y3220" s="55" t="s">
        <v>132</v>
      </c>
      <c r="AB3220" s="74" t="s">
        <v>132</v>
      </c>
      <c r="AC3220" s="55" t="s">
        <v>130</v>
      </c>
      <c r="AL3220" s="74"/>
      <c r="AM3220" s="74"/>
      <c r="AW3220" s="74"/>
      <c r="AX3220" s="74"/>
    </row>
    <row r="3221" spans="1:50" ht="13" x14ac:dyDescent="0.15">
      <c r="A3221" s="55" t="str">
        <f>HYPERLINK("http://reports.ofsted.gov.uk/inspection-reports/find-inspection-report/provider/CARE/SC457068","Ofsted Social Care Provider Webpage")</f>
        <v>Ofsted Social Care Provider Webpage</v>
      </c>
      <c r="B3221" s="55" t="s">
        <v>5975</v>
      </c>
      <c r="D3221" s="55" t="s">
        <v>373</v>
      </c>
      <c r="E3221" s="74">
        <v>41489</v>
      </c>
      <c r="F3221" s="55" t="s">
        <v>344</v>
      </c>
      <c r="G3221" s="55" t="s">
        <v>360</v>
      </c>
      <c r="H3221" s="55" t="s">
        <v>360</v>
      </c>
      <c r="I3221" s="55" t="s">
        <v>360</v>
      </c>
      <c r="J3221" s="55" t="s">
        <v>360</v>
      </c>
      <c r="K3221" s="55" t="s">
        <v>360</v>
      </c>
      <c r="L3221" s="55" t="s">
        <v>360</v>
      </c>
      <c r="M3221" s="55" t="s">
        <v>142</v>
      </c>
      <c r="N3221" s="55" t="s">
        <v>142</v>
      </c>
      <c r="O3221" s="55" t="s">
        <v>195</v>
      </c>
      <c r="P3221" s="55" t="s">
        <v>518</v>
      </c>
      <c r="Q3221" s="55" t="s">
        <v>350</v>
      </c>
      <c r="R3221" s="85">
        <v>3</v>
      </c>
      <c r="S3221" s="55">
        <v>0</v>
      </c>
      <c r="T3221" s="74" t="s">
        <v>385</v>
      </c>
      <c r="U3221" s="74" t="s">
        <v>351</v>
      </c>
      <c r="V3221" s="74">
        <v>44621</v>
      </c>
      <c r="W3221" s="74">
        <v>44670</v>
      </c>
      <c r="X3221" s="55">
        <v>10185373</v>
      </c>
      <c r="Y3221" s="55" t="s">
        <v>132</v>
      </c>
      <c r="AB3221" s="74" t="s">
        <v>130</v>
      </c>
      <c r="AC3221" s="55" t="s">
        <v>132</v>
      </c>
      <c r="AL3221" s="74"/>
      <c r="AM3221" s="74"/>
      <c r="AW3221" s="74"/>
      <c r="AX3221" s="74"/>
    </row>
    <row r="3222" spans="1:50" ht="13" x14ac:dyDescent="0.15">
      <c r="A3222" s="55" t="str">
        <f>HYPERLINK("http://reports.ofsted.gov.uk/inspection-reports/find-inspection-report/provider/CARE/SC457132","Ofsted Social Care Provider Webpage")</f>
        <v>Ofsted Social Care Provider Webpage</v>
      </c>
      <c r="B3222" s="55" t="s">
        <v>5978</v>
      </c>
      <c r="D3222" s="55" t="s">
        <v>373</v>
      </c>
      <c r="E3222" s="74">
        <v>41330</v>
      </c>
      <c r="F3222" s="55" t="s">
        <v>344</v>
      </c>
      <c r="G3222" s="55" t="s">
        <v>360</v>
      </c>
      <c r="H3222" s="55" t="s">
        <v>360</v>
      </c>
      <c r="I3222" s="55" t="s">
        <v>360</v>
      </c>
      <c r="J3222" s="55" t="s">
        <v>360</v>
      </c>
      <c r="K3222" s="55" t="s">
        <v>360</v>
      </c>
      <c r="L3222" s="55" t="s">
        <v>360</v>
      </c>
      <c r="M3222" s="55" t="s">
        <v>136</v>
      </c>
      <c r="N3222" s="55" t="s">
        <v>136</v>
      </c>
      <c r="O3222" s="55" t="s">
        <v>174</v>
      </c>
      <c r="P3222" s="55" t="s">
        <v>651</v>
      </c>
      <c r="Q3222" s="55" t="s">
        <v>350</v>
      </c>
      <c r="R3222" s="85">
        <v>1</v>
      </c>
      <c r="S3222" s="55">
        <v>0</v>
      </c>
      <c r="T3222" s="74" t="s">
        <v>385</v>
      </c>
      <c r="U3222" s="74" t="s">
        <v>351</v>
      </c>
      <c r="V3222" s="74">
        <v>44608</v>
      </c>
      <c r="W3222" s="74">
        <v>44652</v>
      </c>
      <c r="X3222" s="55">
        <v>10186627</v>
      </c>
      <c r="Y3222" s="55" t="s">
        <v>130</v>
      </c>
      <c r="AB3222" s="74" t="s">
        <v>130</v>
      </c>
      <c r="AC3222" s="55" t="s">
        <v>130</v>
      </c>
      <c r="AL3222" s="74"/>
      <c r="AM3222" s="74"/>
      <c r="AW3222" s="74"/>
      <c r="AX3222" s="74"/>
    </row>
    <row r="3223" spans="1:50" ht="13" x14ac:dyDescent="0.15">
      <c r="A3223" s="55" t="str">
        <f>HYPERLINK("http://reports.ofsted.gov.uk/inspection-reports/find-inspection-report/provider/CARE/SC457137","Ofsted Social Care Provider Webpage")</f>
        <v>Ofsted Social Care Provider Webpage</v>
      </c>
      <c r="B3223" s="55" t="s">
        <v>5979</v>
      </c>
      <c r="D3223" s="55" t="s">
        <v>373</v>
      </c>
      <c r="E3223" s="74">
        <v>41347</v>
      </c>
      <c r="F3223" s="55" t="s">
        <v>344</v>
      </c>
      <c r="G3223" s="55" t="s">
        <v>360</v>
      </c>
      <c r="H3223" s="55" t="s">
        <v>360</v>
      </c>
      <c r="I3223" s="55" t="s">
        <v>360</v>
      </c>
      <c r="J3223" s="55" t="s">
        <v>360</v>
      </c>
      <c r="K3223" s="55" t="s">
        <v>360</v>
      </c>
      <c r="L3223" s="55" t="s">
        <v>360</v>
      </c>
      <c r="M3223" s="55" t="s">
        <v>136</v>
      </c>
      <c r="N3223" s="55" t="s">
        <v>136</v>
      </c>
      <c r="O3223" s="55" t="s">
        <v>174</v>
      </c>
      <c r="P3223" s="55" t="s">
        <v>651</v>
      </c>
      <c r="Q3223" s="55" t="s">
        <v>350</v>
      </c>
      <c r="R3223" s="85">
        <v>1</v>
      </c>
      <c r="S3223" s="55">
        <v>0</v>
      </c>
      <c r="T3223" s="74" t="s">
        <v>385</v>
      </c>
      <c r="U3223" s="74" t="s">
        <v>351</v>
      </c>
      <c r="V3223" s="74">
        <v>44355</v>
      </c>
      <c r="W3223" s="74">
        <v>44384</v>
      </c>
      <c r="X3223" s="55">
        <v>10187613</v>
      </c>
      <c r="Y3223" s="55" t="s">
        <v>132</v>
      </c>
      <c r="AB3223" s="74" t="s">
        <v>132</v>
      </c>
      <c r="AC3223" s="55" t="s">
        <v>132</v>
      </c>
      <c r="AL3223" s="74"/>
      <c r="AM3223" s="74"/>
      <c r="AW3223" s="74"/>
      <c r="AX3223" s="74"/>
    </row>
    <row r="3224" spans="1:50" ht="13" x14ac:dyDescent="0.15">
      <c r="A3224" s="55" t="str">
        <f>HYPERLINK("http://reports.ofsted.gov.uk/inspection-reports/find-inspection-report/provider/CARE/SC457175","Ofsted Social Care Provider Webpage")</f>
        <v>Ofsted Social Care Provider Webpage</v>
      </c>
      <c r="B3224" s="55" t="s">
        <v>5980</v>
      </c>
      <c r="D3224" s="55" t="s">
        <v>373</v>
      </c>
      <c r="E3224" s="74">
        <v>41319</v>
      </c>
      <c r="F3224" s="55" t="s">
        <v>344</v>
      </c>
      <c r="G3224" s="55" t="s">
        <v>360</v>
      </c>
      <c r="H3224" s="55" t="s">
        <v>360</v>
      </c>
      <c r="I3224" s="55" t="s">
        <v>360</v>
      </c>
      <c r="J3224" s="55" t="s">
        <v>360</v>
      </c>
      <c r="K3224" s="55" t="s">
        <v>360</v>
      </c>
      <c r="L3224" s="55" t="s">
        <v>360</v>
      </c>
      <c r="M3224" s="55" t="s">
        <v>144</v>
      </c>
      <c r="N3224" s="55" t="s">
        <v>144</v>
      </c>
      <c r="O3224" s="55" t="s">
        <v>188</v>
      </c>
      <c r="P3224" s="55" t="s">
        <v>188</v>
      </c>
      <c r="Q3224" s="55" t="s">
        <v>350</v>
      </c>
      <c r="R3224" s="85">
        <v>1</v>
      </c>
      <c r="S3224" s="55">
        <v>0</v>
      </c>
      <c r="T3224" s="74" t="s">
        <v>385</v>
      </c>
      <c r="U3224" s="74" t="s">
        <v>351</v>
      </c>
      <c r="V3224" s="74">
        <v>44453</v>
      </c>
      <c r="W3224" s="74">
        <v>44487</v>
      </c>
      <c r="X3224" s="55">
        <v>10186691</v>
      </c>
      <c r="Y3224" s="55" t="s">
        <v>132</v>
      </c>
      <c r="AB3224" s="74" t="s">
        <v>132</v>
      </c>
      <c r="AC3224" s="55" t="s">
        <v>132</v>
      </c>
      <c r="AL3224" s="74"/>
      <c r="AM3224" s="74"/>
    </row>
    <row r="3225" spans="1:50" ht="13" x14ac:dyDescent="0.15">
      <c r="A3225" s="55" t="str">
        <f>HYPERLINK("http://reports.ofsted.gov.uk/inspection-reports/find-inspection-report/provider/CARE/SC457181","Ofsted Social Care Provider Webpage")</f>
        <v>Ofsted Social Care Provider Webpage</v>
      </c>
      <c r="B3225" s="55" t="s">
        <v>5982</v>
      </c>
      <c r="D3225" s="55" t="s">
        <v>373</v>
      </c>
      <c r="E3225" s="74">
        <v>41319</v>
      </c>
      <c r="F3225" s="55" t="s">
        <v>344</v>
      </c>
      <c r="G3225" s="55" t="s">
        <v>360</v>
      </c>
      <c r="H3225" s="55" t="s">
        <v>360</v>
      </c>
      <c r="I3225" s="55" t="s">
        <v>360</v>
      </c>
      <c r="J3225" s="55" t="s">
        <v>360</v>
      </c>
      <c r="K3225" s="55" t="s">
        <v>360</v>
      </c>
      <c r="L3225" s="55" t="s">
        <v>360</v>
      </c>
      <c r="M3225" s="55" t="s">
        <v>144</v>
      </c>
      <c r="N3225" s="55" t="s">
        <v>144</v>
      </c>
      <c r="O3225" s="55" t="s">
        <v>188</v>
      </c>
      <c r="P3225" s="55" t="s">
        <v>188</v>
      </c>
      <c r="Q3225" s="55" t="s">
        <v>350</v>
      </c>
      <c r="R3225" s="85">
        <v>1</v>
      </c>
      <c r="S3225" s="55">
        <v>0</v>
      </c>
      <c r="T3225" s="74" t="s">
        <v>385</v>
      </c>
      <c r="U3225" s="74" t="s">
        <v>351</v>
      </c>
      <c r="V3225" s="74">
        <v>44340</v>
      </c>
      <c r="W3225" s="74">
        <v>44377</v>
      </c>
      <c r="X3225" s="55">
        <v>10185899</v>
      </c>
      <c r="Y3225" s="55" t="s">
        <v>132</v>
      </c>
      <c r="AB3225" s="74" t="s">
        <v>132</v>
      </c>
      <c r="AC3225" s="55" t="s">
        <v>130</v>
      </c>
      <c r="AL3225" s="74"/>
      <c r="AM3225" s="74"/>
    </row>
    <row r="3226" spans="1:50" ht="13" x14ac:dyDescent="0.15">
      <c r="A3226" s="55" t="str">
        <f>HYPERLINK("http://reports.ofsted.gov.uk/inspection-reports/find-inspection-report/provider/CARE/SC457182","Ofsted Social Care Provider Webpage")</f>
        <v>Ofsted Social Care Provider Webpage</v>
      </c>
      <c r="B3226" s="55" t="s">
        <v>5983</v>
      </c>
      <c r="D3226" s="55" t="s">
        <v>373</v>
      </c>
      <c r="E3226" s="74">
        <v>41319</v>
      </c>
      <c r="F3226" s="55" t="s">
        <v>344</v>
      </c>
      <c r="G3226" s="55" t="s">
        <v>360</v>
      </c>
      <c r="H3226" s="55" t="s">
        <v>360</v>
      </c>
      <c r="I3226" s="55" t="s">
        <v>360</v>
      </c>
      <c r="J3226" s="55" t="s">
        <v>360</v>
      </c>
      <c r="K3226" s="55" t="s">
        <v>360</v>
      </c>
      <c r="L3226" s="55" t="s">
        <v>360</v>
      </c>
      <c r="M3226" s="55" t="s">
        <v>144</v>
      </c>
      <c r="N3226" s="55" t="s">
        <v>144</v>
      </c>
      <c r="O3226" s="55" t="s">
        <v>188</v>
      </c>
      <c r="P3226" s="55" t="s">
        <v>188</v>
      </c>
      <c r="Q3226" s="55" t="s">
        <v>350</v>
      </c>
      <c r="R3226" s="85">
        <v>1</v>
      </c>
      <c r="S3226" s="55">
        <v>0</v>
      </c>
      <c r="T3226" s="74" t="s">
        <v>385</v>
      </c>
      <c r="U3226" s="74" t="s">
        <v>351</v>
      </c>
      <c r="V3226" s="74">
        <v>44447</v>
      </c>
      <c r="W3226" s="74">
        <v>44480</v>
      </c>
      <c r="X3226" s="55">
        <v>10186267</v>
      </c>
      <c r="Y3226" s="55" t="s">
        <v>132</v>
      </c>
      <c r="AB3226" s="74" t="s">
        <v>132</v>
      </c>
      <c r="AC3226" s="55" t="s">
        <v>132</v>
      </c>
      <c r="AL3226" s="74"/>
      <c r="AM3226" s="74"/>
      <c r="AW3226" s="74"/>
      <c r="AX3226" s="74"/>
    </row>
    <row r="3227" spans="1:50" ht="13" x14ac:dyDescent="0.15">
      <c r="A3227" s="55" t="str">
        <f>HYPERLINK("http://reports.ofsted.gov.uk/inspection-reports/find-inspection-report/provider/CARE/SC457182","Ofsted Social Care Provider Webpage")</f>
        <v>Ofsted Social Care Provider Webpage</v>
      </c>
      <c r="B3227" s="55" t="s">
        <v>5983</v>
      </c>
      <c r="D3227" s="55" t="s">
        <v>373</v>
      </c>
      <c r="E3227" s="74">
        <v>41319</v>
      </c>
      <c r="F3227" s="55" t="s">
        <v>344</v>
      </c>
      <c r="G3227" s="55" t="s">
        <v>360</v>
      </c>
      <c r="H3227" s="55" t="s">
        <v>360</v>
      </c>
      <c r="I3227" s="55" t="s">
        <v>360</v>
      </c>
      <c r="J3227" s="55" t="s">
        <v>360</v>
      </c>
      <c r="K3227" s="55" t="s">
        <v>360</v>
      </c>
      <c r="L3227" s="55" t="s">
        <v>360</v>
      </c>
      <c r="M3227" s="55" t="s">
        <v>144</v>
      </c>
      <c r="N3227" s="55" t="s">
        <v>144</v>
      </c>
      <c r="O3227" s="55" t="s">
        <v>188</v>
      </c>
      <c r="P3227" s="55" t="s">
        <v>188</v>
      </c>
      <c r="Q3227" s="55" t="s">
        <v>350</v>
      </c>
      <c r="R3227" s="85">
        <v>1</v>
      </c>
      <c r="S3227" s="55">
        <v>0</v>
      </c>
      <c r="T3227" s="74" t="s">
        <v>385</v>
      </c>
      <c r="U3227" s="74" t="s">
        <v>2053</v>
      </c>
      <c r="V3227" s="74">
        <v>44327</v>
      </c>
      <c r="W3227" s="74">
        <v>44358</v>
      </c>
      <c r="X3227" s="55">
        <v>10189147</v>
      </c>
      <c r="AL3227" s="74"/>
      <c r="AM3227" s="74"/>
      <c r="AW3227" s="74"/>
      <c r="AX3227" s="74"/>
    </row>
    <row r="3228" spans="1:50" ht="13" x14ac:dyDescent="0.15">
      <c r="A3228" s="55" t="str">
        <f>HYPERLINK("http://reports.ofsted.gov.uk/inspection-reports/find-inspection-report/provider/CARE/SC457182","Ofsted Social Care Provider Webpage")</f>
        <v>Ofsted Social Care Provider Webpage</v>
      </c>
      <c r="B3228" s="55" t="s">
        <v>5983</v>
      </c>
      <c r="D3228" s="55" t="s">
        <v>373</v>
      </c>
      <c r="E3228" s="74">
        <v>41319</v>
      </c>
      <c r="F3228" s="55" t="s">
        <v>344</v>
      </c>
      <c r="G3228" s="55" t="s">
        <v>360</v>
      </c>
      <c r="H3228" s="55" t="s">
        <v>360</v>
      </c>
      <c r="I3228" s="55" t="s">
        <v>360</v>
      </c>
      <c r="J3228" s="55" t="s">
        <v>360</v>
      </c>
      <c r="K3228" s="55" t="s">
        <v>360</v>
      </c>
      <c r="L3228" s="55" t="s">
        <v>360</v>
      </c>
      <c r="M3228" s="55" t="s">
        <v>144</v>
      </c>
      <c r="N3228" s="55" t="s">
        <v>144</v>
      </c>
      <c r="O3228" s="55" t="s">
        <v>188</v>
      </c>
      <c r="P3228" s="55" t="s">
        <v>188</v>
      </c>
      <c r="Q3228" s="55" t="s">
        <v>350</v>
      </c>
      <c r="R3228" s="85">
        <v>1</v>
      </c>
      <c r="S3228" s="55">
        <v>0</v>
      </c>
      <c r="T3228" s="74" t="s">
        <v>385</v>
      </c>
      <c r="U3228" s="74" t="s">
        <v>2053</v>
      </c>
      <c r="V3228" s="74">
        <v>44390</v>
      </c>
      <c r="W3228" s="74">
        <v>44428</v>
      </c>
      <c r="X3228" s="55">
        <v>10201937</v>
      </c>
      <c r="AL3228" s="74"/>
      <c r="AM3228" s="74"/>
    </row>
    <row r="3229" spans="1:50" ht="13" x14ac:dyDescent="0.15">
      <c r="A3229" s="55" t="str">
        <f>HYPERLINK("http://reports.ofsted.gov.uk/inspection-reports/find-inspection-report/provider/CARE/SC457183","Ofsted Social Care Provider Webpage")</f>
        <v>Ofsted Social Care Provider Webpage</v>
      </c>
      <c r="B3229" s="55" t="s">
        <v>5984</v>
      </c>
      <c r="D3229" s="55" t="s">
        <v>373</v>
      </c>
      <c r="E3229" s="74">
        <v>41319</v>
      </c>
      <c r="F3229" s="55" t="s">
        <v>344</v>
      </c>
      <c r="G3229" s="55" t="s">
        <v>360</v>
      </c>
      <c r="H3229" s="55" t="s">
        <v>360</v>
      </c>
      <c r="I3229" s="55" t="s">
        <v>360</v>
      </c>
      <c r="J3229" s="55" t="s">
        <v>360</v>
      </c>
      <c r="K3229" s="55" t="s">
        <v>360</v>
      </c>
      <c r="L3229" s="55" t="s">
        <v>360</v>
      </c>
      <c r="M3229" s="55" t="s">
        <v>144</v>
      </c>
      <c r="N3229" s="55" t="s">
        <v>144</v>
      </c>
      <c r="O3229" s="55" t="s">
        <v>188</v>
      </c>
      <c r="P3229" s="55" t="s">
        <v>188</v>
      </c>
      <c r="Q3229" s="55" t="s">
        <v>350</v>
      </c>
      <c r="R3229" s="85">
        <v>1</v>
      </c>
      <c r="S3229" s="55">
        <v>0</v>
      </c>
      <c r="T3229" s="74" t="s">
        <v>385</v>
      </c>
      <c r="U3229" s="74" t="s">
        <v>2053</v>
      </c>
      <c r="V3229" s="74">
        <v>44342</v>
      </c>
      <c r="W3229" s="74">
        <v>44382</v>
      </c>
      <c r="X3229" s="55">
        <v>10196648</v>
      </c>
      <c r="AL3229" s="74"/>
      <c r="AM3229" s="74"/>
      <c r="AW3229" s="74"/>
      <c r="AX3229" s="74"/>
    </row>
    <row r="3230" spans="1:50" ht="13" x14ac:dyDescent="0.15">
      <c r="A3230" s="55" t="str">
        <f>HYPERLINK("http://reports.ofsted.gov.uk/inspection-reports/find-inspection-report/provider/CARE/SC457183","Ofsted Social Care Provider Webpage")</f>
        <v>Ofsted Social Care Provider Webpage</v>
      </c>
      <c r="B3230" s="55" t="s">
        <v>5984</v>
      </c>
      <c r="D3230" s="55" t="s">
        <v>373</v>
      </c>
      <c r="E3230" s="74">
        <v>41319</v>
      </c>
      <c r="F3230" s="55" t="s">
        <v>344</v>
      </c>
      <c r="G3230" s="55" t="s">
        <v>360</v>
      </c>
      <c r="H3230" s="55" t="s">
        <v>360</v>
      </c>
      <c r="I3230" s="55" t="s">
        <v>360</v>
      </c>
      <c r="J3230" s="55" t="s">
        <v>360</v>
      </c>
      <c r="K3230" s="55" t="s">
        <v>360</v>
      </c>
      <c r="L3230" s="55" t="s">
        <v>360</v>
      </c>
      <c r="M3230" s="55" t="s">
        <v>144</v>
      </c>
      <c r="N3230" s="55" t="s">
        <v>144</v>
      </c>
      <c r="O3230" s="55" t="s">
        <v>188</v>
      </c>
      <c r="P3230" s="55" t="s">
        <v>188</v>
      </c>
      <c r="Q3230" s="55" t="s">
        <v>350</v>
      </c>
      <c r="R3230" s="85">
        <v>1</v>
      </c>
      <c r="S3230" s="55">
        <v>0</v>
      </c>
      <c r="T3230" s="74" t="s">
        <v>385</v>
      </c>
      <c r="U3230" s="74" t="s">
        <v>351</v>
      </c>
      <c r="V3230" s="74">
        <v>44320</v>
      </c>
      <c r="W3230" s="74">
        <v>44361</v>
      </c>
      <c r="X3230" s="55">
        <v>10185885</v>
      </c>
      <c r="Y3230" s="55" t="s">
        <v>146</v>
      </c>
      <c r="AB3230" s="74" t="s">
        <v>146</v>
      </c>
      <c r="AC3230" s="55" t="s">
        <v>146</v>
      </c>
      <c r="AL3230" s="74"/>
      <c r="AM3230" s="74"/>
      <c r="AW3230" s="74"/>
      <c r="AX3230" s="74"/>
    </row>
    <row r="3231" spans="1:50" ht="13" x14ac:dyDescent="0.15">
      <c r="A3231" s="55" t="str">
        <f>HYPERLINK("http://reports.ofsted.gov.uk/inspection-reports/find-inspection-report/provider/CARE/SC457254","Ofsted Social Care Provider Webpage")</f>
        <v>Ofsted Social Care Provider Webpage</v>
      </c>
      <c r="B3231" s="55" t="s">
        <v>5985</v>
      </c>
      <c r="D3231" s="55" t="s">
        <v>373</v>
      </c>
      <c r="E3231" s="74">
        <v>41256</v>
      </c>
      <c r="F3231" s="55" t="s">
        <v>344</v>
      </c>
      <c r="G3231" s="55" t="s">
        <v>360</v>
      </c>
      <c r="H3231" s="55" t="s">
        <v>360</v>
      </c>
      <c r="I3231" s="55" t="s">
        <v>360</v>
      </c>
      <c r="J3231" s="55" t="s">
        <v>360</v>
      </c>
      <c r="K3231" s="55" t="s">
        <v>360</v>
      </c>
      <c r="L3231" s="55" t="s">
        <v>360</v>
      </c>
      <c r="M3231" s="55" t="s">
        <v>144</v>
      </c>
      <c r="N3231" s="55" t="s">
        <v>144</v>
      </c>
      <c r="O3231" s="55" t="s">
        <v>168</v>
      </c>
      <c r="P3231" s="55" t="s">
        <v>708</v>
      </c>
      <c r="Q3231" s="55" t="s">
        <v>350</v>
      </c>
      <c r="R3231" s="85">
        <v>5</v>
      </c>
      <c r="S3231" s="55">
        <v>0</v>
      </c>
      <c r="T3231" s="74" t="s">
        <v>2358</v>
      </c>
      <c r="U3231" s="74" t="s">
        <v>351</v>
      </c>
      <c r="V3231" s="74">
        <v>44469</v>
      </c>
      <c r="W3231" s="74">
        <v>44509</v>
      </c>
      <c r="X3231" s="55">
        <v>10186143</v>
      </c>
      <c r="Y3231" s="55" t="s">
        <v>140</v>
      </c>
      <c r="AB3231" s="74" t="s">
        <v>140</v>
      </c>
      <c r="AC3231" s="55" t="s">
        <v>140</v>
      </c>
      <c r="AL3231" s="74"/>
      <c r="AM3231" s="74"/>
      <c r="AW3231" s="74"/>
      <c r="AX3231" s="74"/>
    </row>
    <row r="3232" spans="1:50" ht="13" x14ac:dyDescent="0.15">
      <c r="A3232" s="55" t="str">
        <f>HYPERLINK("http://reports.ofsted.gov.uk/inspection-reports/find-inspection-report/provider/CARE/SC457266","Ofsted Social Care Provider Webpage")</f>
        <v>Ofsted Social Care Provider Webpage</v>
      </c>
      <c r="B3232" s="55" t="s">
        <v>5986</v>
      </c>
      <c r="D3232" s="55" t="s">
        <v>373</v>
      </c>
      <c r="E3232" s="74">
        <v>41354</v>
      </c>
      <c r="F3232" s="55" t="s">
        <v>344</v>
      </c>
      <c r="G3232" s="55" t="s">
        <v>360</v>
      </c>
      <c r="H3232" s="55" t="s">
        <v>360</v>
      </c>
      <c r="I3232" s="55" t="s">
        <v>360</v>
      </c>
      <c r="J3232" s="55" t="s">
        <v>360</v>
      </c>
      <c r="K3232" s="55" t="s">
        <v>360</v>
      </c>
      <c r="L3232" s="55" t="s">
        <v>360</v>
      </c>
      <c r="M3232" s="55" t="s">
        <v>136</v>
      </c>
      <c r="N3232" s="55" t="s">
        <v>136</v>
      </c>
      <c r="O3232" s="55" t="s">
        <v>174</v>
      </c>
      <c r="P3232" s="55" t="s">
        <v>3555</v>
      </c>
      <c r="Q3232" s="55" t="s">
        <v>350</v>
      </c>
      <c r="R3232" s="85">
        <v>3</v>
      </c>
      <c r="S3232" s="55">
        <v>0</v>
      </c>
      <c r="T3232" s="74" t="s">
        <v>385</v>
      </c>
      <c r="U3232" s="74" t="s">
        <v>351</v>
      </c>
      <c r="V3232" s="74">
        <v>44411</v>
      </c>
      <c r="W3232" s="74">
        <v>44448</v>
      </c>
      <c r="X3232" s="55">
        <v>10185277</v>
      </c>
      <c r="Y3232" s="55" t="s">
        <v>132</v>
      </c>
      <c r="AB3232" s="74" t="s">
        <v>132</v>
      </c>
      <c r="AC3232" s="55" t="s">
        <v>132</v>
      </c>
      <c r="AL3232" s="74"/>
      <c r="AM3232" s="74"/>
      <c r="AW3232" s="74"/>
      <c r="AX3232" s="74"/>
    </row>
    <row r="3233" spans="1:50" ht="13" x14ac:dyDescent="0.15">
      <c r="A3233" s="55" t="str">
        <f>HYPERLINK("http://reports.ofsted.gov.uk/inspection-reports/find-inspection-report/provider/CARE/SC457272","Ofsted Social Care Provider Webpage")</f>
        <v>Ofsted Social Care Provider Webpage</v>
      </c>
      <c r="B3233" s="55" t="s">
        <v>5987</v>
      </c>
      <c r="D3233" s="55" t="s">
        <v>373</v>
      </c>
      <c r="E3233" s="74">
        <v>41324</v>
      </c>
      <c r="F3233" s="55" t="s">
        <v>344</v>
      </c>
      <c r="G3233" s="55" t="s">
        <v>360</v>
      </c>
      <c r="H3233" s="55" t="s">
        <v>360</v>
      </c>
      <c r="I3233" s="55" t="s">
        <v>360</v>
      </c>
      <c r="J3233" s="55" t="s">
        <v>360</v>
      </c>
      <c r="K3233" s="55" t="s">
        <v>360</v>
      </c>
      <c r="L3233" s="55" t="s">
        <v>360</v>
      </c>
      <c r="M3233" s="55" t="s">
        <v>138</v>
      </c>
      <c r="N3233" s="55" t="s">
        <v>138</v>
      </c>
      <c r="O3233" s="55" t="s">
        <v>159</v>
      </c>
      <c r="P3233" s="55" t="s">
        <v>1080</v>
      </c>
      <c r="Q3233" s="55" t="s">
        <v>350</v>
      </c>
      <c r="R3233" s="85">
        <v>3</v>
      </c>
      <c r="S3233" s="55">
        <v>0</v>
      </c>
      <c r="T3233" s="74" t="s">
        <v>385</v>
      </c>
      <c r="U3233" s="74" t="s">
        <v>351</v>
      </c>
      <c r="V3233" s="74">
        <v>44326</v>
      </c>
      <c r="W3233" s="74">
        <v>44355</v>
      </c>
      <c r="X3233" s="55">
        <v>10186318</v>
      </c>
      <c r="Y3233" s="55" t="s">
        <v>132</v>
      </c>
      <c r="AB3233" s="74" t="s">
        <v>132</v>
      </c>
      <c r="AC3233" s="55" t="s">
        <v>132</v>
      </c>
      <c r="AL3233" s="74"/>
      <c r="AM3233" s="74"/>
      <c r="AW3233" s="74"/>
      <c r="AX3233" s="74"/>
    </row>
    <row r="3234" spans="1:50" ht="13" x14ac:dyDescent="0.15">
      <c r="A3234" s="55" t="str">
        <f>HYPERLINK("http://reports.ofsted.gov.uk/inspection-reports/find-inspection-report/provider/CARE/SC457308","Ofsted Social Care Provider Webpage")</f>
        <v>Ofsted Social Care Provider Webpage</v>
      </c>
      <c r="B3234" s="55" t="s">
        <v>5988</v>
      </c>
      <c r="D3234" s="55" t="s">
        <v>373</v>
      </c>
      <c r="E3234" s="74">
        <v>41294</v>
      </c>
      <c r="F3234" s="55" t="s">
        <v>344</v>
      </c>
      <c r="G3234" s="55" t="s">
        <v>360</v>
      </c>
      <c r="H3234" s="55" t="s">
        <v>360</v>
      </c>
      <c r="I3234" s="55" t="s">
        <v>360</v>
      </c>
      <c r="J3234" s="55" t="s">
        <v>360</v>
      </c>
      <c r="K3234" s="55" t="s">
        <v>360</v>
      </c>
      <c r="L3234" s="55" t="s">
        <v>360</v>
      </c>
      <c r="M3234" s="55" t="s">
        <v>378</v>
      </c>
      <c r="N3234" s="55" t="s">
        <v>134</v>
      </c>
      <c r="O3234" s="55" t="s">
        <v>180</v>
      </c>
      <c r="P3234" s="55" t="s">
        <v>1249</v>
      </c>
      <c r="Q3234" s="55" t="s">
        <v>350</v>
      </c>
      <c r="R3234" s="85">
        <v>5</v>
      </c>
      <c r="S3234" s="55">
        <v>0</v>
      </c>
      <c r="T3234" s="74" t="s">
        <v>385</v>
      </c>
      <c r="U3234" s="74" t="s">
        <v>351</v>
      </c>
      <c r="V3234" s="74">
        <v>44349</v>
      </c>
      <c r="W3234" s="74">
        <v>44393</v>
      </c>
      <c r="X3234" s="55">
        <v>10186085</v>
      </c>
      <c r="Y3234" s="55" t="s">
        <v>130</v>
      </c>
      <c r="AB3234" s="74" t="s">
        <v>130</v>
      </c>
      <c r="AC3234" s="55" t="s">
        <v>132</v>
      </c>
      <c r="AL3234" s="74"/>
      <c r="AM3234" s="74"/>
      <c r="AW3234" s="74"/>
      <c r="AX3234" s="74"/>
    </row>
    <row r="3235" spans="1:50" ht="13" x14ac:dyDescent="0.15">
      <c r="A3235" s="55" t="str">
        <f>HYPERLINK("http://reports.ofsted.gov.uk/inspection-reports/find-inspection-report/provider/CARE/SC457308","Ofsted Social Care Provider Webpage")</f>
        <v>Ofsted Social Care Provider Webpage</v>
      </c>
      <c r="B3235" s="55" t="s">
        <v>5988</v>
      </c>
      <c r="D3235" s="55" t="s">
        <v>373</v>
      </c>
      <c r="E3235" s="74">
        <v>41294</v>
      </c>
      <c r="F3235" s="55" t="s">
        <v>344</v>
      </c>
      <c r="G3235" s="55" t="s">
        <v>360</v>
      </c>
      <c r="H3235" s="55" t="s">
        <v>360</v>
      </c>
      <c r="I3235" s="55" t="s">
        <v>360</v>
      </c>
      <c r="J3235" s="55" t="s">
        <v>360</v>
      </c>
      <c r="K3235" s="55" t="s">
        <v>360</v>
      </c>
      <c r="L3235" s="55" t="s">
        <v>360</v>
      </c>
      <c r="M3235" s="55" t="s">
        <v>378</v>
      </c>
      <c r="N3235" s="55" t="s">
        <v>134</v>
      </c>
      <c r="O3235" s="55" t="s">
        <v>180</v>
      </c>
      <c r="P3235" s="55" t="s">
        <v>1249</v>
      </c>
      <c r="Q3235" s="55" t="s">
        <v>350</v>
      </c>
      <c r="R3235" s="85">
        <v>5</v>
      </c>
      <c r="S3235" s="55">
        <v>0</v>
      </c>
      <c r="T3235" s="74" t="s">
        <v>385</v>
      </c>
      <c r="U3235" s="74" t="s">
        <v>6703</v>
      </c>
      <c r="V3235" s="74">
        <v>44607</v>
      </c>
      <c r="W3235" s="74">
        <v>44649</v>
      </c>
      <c r="X3235" s="55">
        <v>10212746</v>
      </c>
      <c r="Y3235" s="55" t="s">
        <v>6705</v>
      </c>
      <c r="AL3235" s="74"/>
      <c r="AM3235" s="74"/>
      <c r="AW3235" s="74"/>
      <c r="AX3235" s="74"/>
    </row>
    <row r="3236" spans="1:50" ht="13" x14ac:dyDescent="0.15">
      <c r="A3236" s="55" t="str">
        <f>HYPERLINK("http://reports.ofsted.gov.uk/inspection-reports/find-inspection-report/provider/CARE/SC457318","Ofsted Social Care Provider Webpage")</f>
        <v>Ofsted Social Care Provider Webpage</v>
      </c>
      <c r="B3236" s="55" t="s">
        <v>5989</v>
      </c>
      <c r="D3236" s="55" t="s">
        <v>373</v>
      </c>
      <c r="E3236" s="74">
        <v>41347</v>
      </c>
      <c r="F3236" s="55" t="s">
        <v>344</v>
      </c>
      <c r="G3236" s="55" t="s">
        <v>360</v>
      </c>
      <c r="H3236" s="55" t="s">
        <v>360</v>
      </c>
      <c r="I3236" s="55" t="s">
        <v>360</v>
      </c>
      <c r="J3236" s="55" t="s">
        <v>360</v>
      </c>
      <c r="K3236" s="55" t="s">
        <v>360</v>
      </c>
      <c r="L3236" s="55" t="s">
        <v>360</v>
      </c>
      <c r="M3236" s="55" t="s">
        <v>136</v>
      </c>
      <c r="N3236" s="55" t="s">
        <v>136</v>
      </c>
      <c r="O3236" s="55" t="s">
        <v>274</v>
      </c>
      <c r="P3236" s="55" t="s">
        <v>274</v>
      </c>
      <c r="Q3236" s="55" t="s">
        <v>350</v>
      </c>
      <c r="R3236" s="85">
        <v>2</v>
      </c>
      <c r="S3236" s="55">
        <v>0</v>
      </c>
      <c r="T3236" s="74" t="s">
        <v>385</v>
      </c>
      <c r="U3236" s="74" t="s">
        <v>351</v>
      </c>
      <c r="V3236" s="74">
        <v>44425</v>
      </c>
      <c r="W3236" s="74">
        <v>44463</v>
      </c>
      <c r="X3236" s="55">
        <v>10185918</v>
      </c>
      <c r="Y3236" s="55" t="s">
        <v>132</v>
      </c>
      <c r="AB3236" s="74" t="s">
        <v>132</v>
      </c>
      <c r="AC3236" s="55" t="s">
        <v>130</v>
      </c>
      <c r="AL3236" s="74"/>
      <c r="AM3236" s="74"/>
      <c r="AW3236" s="74"/>
      <c r="AX3236" s="74"/>
    </row>
    <row r="3237" spans="1:50" ht="13" x14ac:dyDescent="0.15">
      <c r="A3237" s="55" t="str">
        <f>HYPERLINK("http://reports.ofsted.gov.uk/inspection-reports/find-inspection-report/provider/CARE/SC457327","Ofsted Social Care Provider Webpage")</f>
        <v>Ofsted Social Care Provider Webpage</v>
      </c>
      <c r="B3237" s="55" t="s">
        <v>5990</v>
      </c>
      <c r="D3237" s="55" t="s">
        <v>373</v>
      </c>
      <c r="E3237" s="74">
        <v>41327</v>
      </c>
      <c r="F3237" s="55" t="s">
        <v>344</v>
      </c>
      <c r="G3237" s="55" t="s">
        <v>360</v>
      </c>
      <c r="H3237" s="55" t="s">
        <v>360</v>
      </c>
      <c r="I3237" s="55" t="s">
        <v>360</v>
      </c>
      <c r="J3237" s="55" t="s">
        <v>360</v>
      </c>
      <c r="K3237" s="55" t="s">
        <v>360</v>
      </c>
      <c r="L3237" s="55" t="s">
        <v>360</v>
      </c>
      <c r="M3237" s="55" t="s">
        <v>136</v>
      </c>
      <c r="N3237" s="55" t="s">
        <v>136</v>
      </c>
      <c r="O3237" s="55" t="s">
        <v>255</v>
      </c>
      <c r="P3237" s="55" t="s">
        <v>609</v>
      </c>
      <c r="Q3237" s="55" t="s">
        <v>350</v>
      </c>
      <c r="R3237" s="85">
        <v>3</v>
      </c>
      <c r="S3237" s="55">
        <v>0</v>
      </c>
      <c r="T3237" s="74" t="s">
        <v>385</v>
      </c>
      <c r="U3237" s="74" t="s">
        <v>351</v>
      </c>
      <c r="V3237" s="74">
        <v>44306</v>
      </c>
      <c r="W3237" s="74">
        <v>44341</v>
      </c>
      <c r="X3237" s="55">
        <v>10185344</v>
      </c>
      <c r="Y3237" s="55" t="s">
        <v>132</v>
      </c>
      <c r="AB3237" s="74" t="s">
        <v>132</v>
      </c>
      <c r="AC3237" s="55" t="s">
        <v>140</v>
      </c>
      <c r="AL3237" s="74"/>
      <c r="AM3237" s="74"/>
      <c r="AW3237" s="74"/>
      <c r="AX3237" s="74"/>
    </row>
    <row r="3238" spans="1:50" ht="13" x14ac:dyDescent="0.15">
      <c r="A3238" s="55" t="str">
        <f>HYPERLINK("http://reports.ofsted.gov.uk/inspection-reports/find-inspection-report/provider/CARE/SC457423","Ofsted Social Care Provider Webpage")</f>
        <v>Ofsted Social Care Provider Webpage</v>
      </c>
      <c r="B3238" s="55" t="s">
        <v>5991</v>
      </c>
      <c r="D3238" s="55" t="s">
        <v>373</v>
      </c>
      <c r="E3238" s="74">
        <v>41319</v>
      </c>
      <c r="F3238" s="55" t="s">
        <v>344</v>
      </c>
      <c r="G3238" s="55" t="s">
        <v>360</v>
      </c>
      <c r="H3238" s="55" t="s">
        <v>360</v>
      </c>
      <c r="I3238" s="55" t="s">
        <v>360</v>
      </c>
      <c r="J3238" s="55" t="s">
        <v>360</v>
      </c>
      <c r="K3238" s="55" t="s">
        <v>360</v>
      </c>
      <c r="L3238" s="55" t="s">
        <v>360</v>
      </c>
      <c r="M3238" s="55" t="s">
        <v>138</v>
      </c>
      <c r="N3238" s="55" t="s">
        <v>138</v>
      </c>
      <c r="O3238" s="55" t="s">
        <v>161</v>
      </c>
      <c r="P3238" s="55" t="s">
        <v>761</v>
      </c>
      <c r="Q3238" s="55" t="s">
        <v>362</v>
      </c>
      <c r="R3238" s="85">
        <v>5</v>
      </c>
      <c r="S3238" s="55">
        <v>0</v>
      </c>
      <c r="T3238" s="74" t="s">
        <v>1459</v>
      </c>
      <c r="U3238" s="74" t="s">
        <v>351</v>
      </c>
      <c r="V3238" s="74">
        <v>44362</v>
      </c>
      <c r="W3238" s="74">
        <v>44392</v>
      </c>
      <c r="X3238" s="55">
        <v>10186312</v>
      </c>
      <c r="Y3238" s="55" t="s">
        <v>132</v>
      </c>
      <c r="AB3238" s="74" t="s">
        <v>132</v>
      </c>
      <c r="AC3238" s="55" t="s">
        <v>132</v>
      </c>
      <c r="AL3238" s="74"/>
      <c r="AM3238" s="74"/>
      <c r="AW3238" s="74"/>
      <c r="AX3238" s="74"/>
    </row>
    <row r="3239" spans="1:50" ht="13" x14ac:dyDescent="0.15">
      <c r="A3239" s="55" t="str">
        <f>HYPERLINK("http://reports.ofsted.gov.uk/inspection-reports/find-inspection-report/provider/CARE/SC457430","Ofsted Social Care Provider Webpage")</f>
        <v>Ofsted Social Care Provider Webpage</v>
      </c>
      <c r="B3239" s="55" t="s">
        <v>5992</v>
      </c>
      <c r="D3239" s="55" t="s">
        <v>373</v>
      </c>
      <c r="E3239" s="74">
        <v>41264</v>
      </c>
      <c r="F3239" s="55" t="s">
        <v>344</v>
      </c>
      <c r="G3239" s="55" t="s">
        <v>360</v>
      </c>
      <c r="H3239" s="55" t="s">
        <v>360</v>
      </c>
      <c r="I3239" s="55" t="s">
        <v>360</v>
      </c>
      <c r="J3239" s="55" t="s">
        <v>360</v>
      </c>
      <c r="K3239" s="55" t="s">
        <v>360</v>
      </c>
      <c r="L3239" s="55" t="s">
        <v>360</v>
      </c>
      <c r="M3239" s="55" t="s">
        <v>378</v>
      </c>
      <c r="N3239" s="55" t="s">
        <v>170</v>
      </c>
      <c r="O3239" s="55" t="s">
        <v>193</v>
      </c>
      <c r="P3239" s="55" t="s">
        <v>193</v>
      </c>
      <c r="Q3239" s="55" t="s">
        <v>350</v>
      </c>
      <c r="R3239" s="85">
        <v>3</v>
      </c>
      <c r="S3239" s="55">
        <v>0</v>
      </c>
      <c r="T3239" s="74" t="s">
        <v>385</v>
      </c>
      <c r="U3239" s="74" t="s">
        <v>351</v>
      </c>
      <c r="V3239" s="74">
        <v>44483</v>
      </c>
      <c r="W3239" s="74">
        <v>44518</v>
      </c>
      <c r="X3239" s="55">
        <v>10186380</v>
      </c>
      <c r="Y3239" s="55" t="s">
        <v>130</v>
      </c>
      <c r="AB3239" s="74" t="s">
        <v>130</v>
      </c>
      <c r="AC3239" s="55" t="s">
        <v>130</v>
      </c>
      <c r="AL3239" s="74"/>
      <c r="AM3239" s="74"/>
      <c r="AW3239" s="74"/>
      <c r="AX3239" s="74"/>
    </row>
    <row r="3240" spans="1:50" ht="13" x14ac:dyDescent="0.15">
      <c r="A3240" s="55" t="str">
        <f>HYPERLINK("http://reports.ofsted.gov.uk/inspection-reports/find-inspection-report/provider/CARE/SC457433","Ofsted Social Care Provider Webpage")</f>
        <v>Ofsted Social Care Provider Webpage</v>
      </c>
      <c r="B3240" s="55" t="s">
        <v>5993</v>
      </c>
      <c r="D3240" s="55" t="s">
        <v>373</v>
      </c>
      <c r="E3240" s="74">
        <v>41319</v>
      </c>
      <c r="F3240" s="55" t="s">
        <v>344</v>
      </c>
      <c r="G3240" s="55" t="s">
        <v>360</v>
      </c>
      <c r="H3240" s="55" t="s">
        <v>360</v>
      </c>
      <c r="I3240" s="55" t="s">
        <v>360</v>
      </c>
      <c r="J3240" s="55" t="s">
        <v>360</v>
      </c>
      <c r="K3240" s="55" t="s">
        <v>360</v>
      </c>
      <c r="L3240" s="55" t="s">
        <v>360</v>
      </c>
      <c r="M3240" s="55" t="s">
        <v>144</v>
      </c>
      <c r="N3240" s="55" t="s">
        <v>144</v>
      </c>
      <c r="O3240" s="55" t="s">
        <v>188</v>
      </c>
      <c r="P3240" s="55" t="s">
        <v>188</v>
      </c>
      <c r="Q3240" s="55" t="s">
        <v>350</v>
      </c>
      <c r="R3240" s="85">
        <v>1</v>
      </c>
      <c r="S3240" s="55">
        <v>0</v>
      </c>
      <c r="T3240" s="74" t="s">
        <v>385</v>
      </c>
      <c r="U3240" s="74" t="s">
        <v>351</v>
      </c>
      <c r="V3240" s="74">
        <v>44594</v>
      </c>
      <c r="W3240" s="74">
        <v>44634</v>
      </c>
      <c r="X3240" s="55">
        <v>10186286</v>
      </c>
      <c r="Y3240" s="55" t="s">
        <v>132</v>
      </c>
      <c r="AB3240" s="74" t="s">
        <v>132</v>
      </c>
      <c r="AC3240" s="55" t="s">
        <v>132</v>
      </c>
      <c r="AL3240" s="74"/>
      <c r="AM3240" s="74"/>
      <c r="AW3240" s="74"/>
      <c r="AX3240" s="74"/>
    </row>
    <row r="3241" spans="1:50" ht="13" x14ac:dyDescent="0.15">
      <c r="A3241" s="55" t="str">
        <f>HYPERLINK("http://reports.ofsted.gov.uk/inspection-reports/find-inspection-report/provider/CARE/SC457434","Ofsted Social Care Provider Webpage")</f>
        <v>Ofsted Social Care Provider Webpage</v>
      </c>
      <c r="B3241" s="55" t="s">
        <v>5994</v>
      </c>
      <c r="D3241" s="55" t="s">
        <v>373</v>
      </c>
      <c r="E3241" s="74">
        <v>41324</v>
      </c>
      <c r="F3241" s="55" t="s">
        <v>344</v>
      </c>
      <c r="G3241" s="55" t="s">
        <v>360</v>
      </c>
      <c r="H3241" s="55" t="s">
        <v>360</v>
      </c>
      <c r="I3241" s="55" t="s">
        <v>360</v>
      </c>
      <c r="J3241" s="55" t="s">
        <v>360</v>
      </c>
      <c r="K3241" s="55" t="s">
        <v>360</v>
      </c>
      <c r="L3241" s="55" t="s">
        <v>360</v>
      </c>
      <c r="M3241" s="55" t="s">
        <v>378</v>
      </c>
      <c r="N3241" s="55" t="s">
        <v>170</v>
      </c>
      <c r="O3241" s="55" t="s">
        <v>220</v>
      </c>
      <c r="P3241" s="55" t="s">
        <v>220</v>
      </c>
      <c r="Q3241" s="55" t="s">
        <v>350</v>
      </c>
      <c r="R3241" s="85">
        <v>1</v>
      </c>
      <c r="S3241" s="55">
        <v>0</v>
      </c>
      <c r="T3241" s="74" t="s">
        <v>385</v>
      </c>
      <c r="U3241" s="74" t="s">
        <v>351</v>
      </c>
      <c r="V3241" s="74">
        <v>44425</v>
      </c>
      <c r="W3241" s="74">
        <v>44456</v>
      </c>
      <c r="X3241" s="55">
        <v>10185374</v>
      </c>
      <c r="Y3241" s="55" t="s">
        <v>130</v>
      </c>
      <c r="AB3241" s="74" t="s">
        <v>130</v>
      </c>
      <c r="AC3241" s="55" t="s">
        <v>130</v>
      </c>
      <c r="AL3241" s="74"/>
      <c r="AM3241" s="74"/>
      <c r="AW3241" s="74"/>
      <c r="AX3241" s="74"/>
    </row>
    <row r="3242" spans="1:50" ht="13" x14ac:dyDescent="0.15">
      <c r="A3242" s="55" t="str">
        <f>HYPERLINK("http://reports.ofsted.gov.uk/inspection-reports/find-inspection-report/provider/CARE/SC457435","Ofsted Social Care Provider Webpage")</f>
        <v>Ofsted Social Care Provider Webpage</v>
      </c>
      <c r="B3242" s="55" t="s">
        <v>5995</v>
      </c>
      <c r="D3242" s="55" t="s">
        <v>373</v>
      </c>
      <c r="E3242" s="74">
        <v>41294</v>
      </c>
      <c r="F3242" s="55" t="s">
        <v>344</v>
      </c>
      <c r="G3242" s="55" t="s">
        <v>360</v>
      </c>
      <c r="H3242" s="55" t="s">
        <v>360</v>
      </c>
      <c r="I3242" s="55" t="s">
        <v>360</v>
      </c>
      <c r="J3242" s="55" t="s">
        <v>360</v>
      </c>
      <c r="K3242" s="55" t="s">
        <v>360</v>
      </c>
      <c r="L3242" s="55" t="s">
        <v>360</v>
      </c>
      <c r="M3242" s="55" t="s">
        <v>378</v>
      </c>
      <c r="N3242" s="55" t="s">
        <v>134</v>
      </c>
      <c r="O3242" s="55" t="s">
        <v>232</v>
      </c>
      <c r="P3242" s="55" t="s">
        <v>595</v>
      </c>
      <c r="Q3242" s="55" t="s">
        <v>350</v>
      </c>
      <c r="R3242" s="85">
        <v>2</v>
      </c>
      <c r="S3242" s="55">
        <v>0</v>
      </c>
      <c r="T3242" s="74" t="s">
        <v>385</v>
      </c>
      <c r="U3242" s="74" t="s">
        <v>351</v>
      </c>
      <c r="V3242" s="74">
        <v>44418</v>
      </c>
      <c r="W3242" s="74">
        <v>44452</v>
      </c>
      <c r="X3242" s="55">
        <v>10186465</v>
      </c>
      <c r="Y3242" s="55" t="s">
        <v>130</v>
      </c>
      <c r="AB3242" s="74" t="s">
        <v>130</v>
      </c>
      <c r="AC3242" s="55" t="s">
        <v>146</v>
      </c>
      <c r="AL3242" s="74"/>
      <c r="AM3242" s="74"/>
      <c r="AW3242" s="74"/>
      <c r="AX3242" s="74"/>
    </row>
    <row r="3243" spans="1:50" ht="13" x14ac:dyDescent="0.15">
      <c r="A3243" s="55" t="str">
        <f>HYPERLINK("http://reports.ofsted.gov.uk/inspection-reports/find-inspection-report/provider/CARE/SC457488","Ofsted Social Care Provider Webpage")</f>
        <v>Ofsted Social Care Provider Webpage</v>
      </c>
      <c r="B3243" s="55" t="s">
        <v>5996</v>
      </c>
      <c r="D3243" s="55" t="s">
        <v>373</v>
      </c>
      <c r="E3243" s="74">
        <v>41319</v>
      </c>
      <c r="F3243" s="55" t="s">
        <v>344</v>
      </c>
      <c r="G3243" s="55" t="s">
        <v>360</v>
      </c>
      <c r="H3243" s="55" t="s">
        <v>360</v>
      </c>
      <c r="I3243" s="55" t="s">
        <v>360</v>
      </c>
      <c r="J3243" s="55" t="s">
        <v>360</v>
      </c>
      <c r="K3243" s="55" t="s">
        <v>360</v>
      </c>
      <c r="L3243" s="55" t="s">
        <v>360</v>
      </c>
      <c r="M3243" s="55" t="s">
        <v>142</v>
      </c>
      <c r="N3243" s="55" t="s">
        <v>142</v>
      </c>
      <c r="O3243" s="55" t="s">
        <v>282</v>
      </c>
      <c r="P3243" s="55" t="s">
        <v>5997</v>
      </c>
      <c r="Q3243" s="55" t="s">
        <v>350</v>
      </c>
      <c r="R3243" s="85">
        <v>5</v>
      </c>
      <c r="S3243" s="55">
        <v>0</v>
      </c>
      <c r="T3243" s="74" t="s">
        <v>385</v>
      </c>
      <c r="U3243" s="74" t="s">
        <v>351</v>
      </c>
      <c r="V3243" s="74">
        <v>44453</v>
      </c>
      <c r="W3243" s="74">
        <v>44498</v>
      </c>
      <c r="X3243" s="55">
        <v>10185532</v>
      </c>
      <c r="Y3243" s="55" t="s">
        <v>130</v>
      </c>
      <c r="AB3243" s="74" t="s">
        <v>130</v>
      </c>
      <c r="AC3243" s="55" t="s">
        <v>130</v>
      </c>
      <c r="AL3243" s="74"/>
      <c r="AM3243" s="74"/>
      <c r="AW3243" s="74"/>
      <c r="AX3243" s="74"/>
    </row>
    <row r="3244" spans="1:50" ht="13" x14ac:dyDescent="0.15">
      <c r="A3244" s="55" t="str">
        <f>HYPERLINK("http://reports.ofsted.gov.uk/inspection-reports/find-inspection-report/provider/CARE/SC457500","Ofsted Social Care Provider Webpage")</f>
        <v>Ofsted Social Care Provider Webpage</v>
      </c>
      <c r="B3244" s="55" t="s">
        <v>5998</v>
      </c>
      <c r="D3244" s="55" t="s">
        <v>373</v>
      </c>
      <c r="E3244" s="74">
        <v>41332</v>
      </c>
      <c r="F3244" s="55" t="s">
        <v>344</v>
      </c>
      <c r="G3244" s="55" t="s">
        <v>360</v>
      </c>
      <c r="H3244" s="55" t="s">
        <v>360</v>
      </c>
      <c r="I3244" s="55" t="s">
        <v>360</v>
      </c>
      <c r="J3244" s="55" t="s">
        <v>360</v>
      </c>
      <c r="K3244" s="55" t="s">
        <v>360</v>
      </c>
      <c r="L3244" s="55" t="s">
        <v>360</v>
      </c>
      <c r="M3244" s="55" t="s">
        <v>172</v>
      </c>
      <c r="N3244" s="55" t="s">
        <v>172</v>
      </c>
      <c r="O3244" s="55" t="s">
        <v>234</v>
      </c>
      <c r="P3244" s="55" t="s">
        <v>965</v>
      </c>
      <c r="Q3244" s="55" t="s">
        <v>350</v>
      </c>
      <c r="R3244" s="85">
        <v>6</v>
      </c>
      <c r="S3244" s="55">
        <v>0</v>
      </c>
      <c r="T3244" s="74" t="s">
        <v>385</v>
      </c>
      <c r="U3244" s="74" t="s">
        <v>2053</v>
      </c>
      <c r="V3244" s="74">
        <v>44544</v>
      </c>
      <c r="W3244" s="74">
        <v>44579</v>
      </c>
      <c r="X3244" s="55">
        <v>10213857</v>
      </c>
      <c r="AL3244" s="74"/>
      <c r="AM3244" s="74"/>
      <c r="AW3244" s="74"/>
      <c r="AX3244" s="74"/>
    </row>
    <row r="3245" spans="1:50" ht="13" x14ac:dyDescent="0.15">
      <c r="A3245" s="55" t="str">
        <f>HYPERLINK("http://reports.ofsted.gov.uk/inspection-reports/find-inspection-report/provider/CARE/SC457500","Ofsted Social Care Provider Webpage")</f>
        <v>Ofsted Social Care Provider Webpage</v>
      </c>
      <c r="B3245" s="55" t="s">
        <v>5998</v>
      </c>
      <c r="D3245" s="55" t="s">
        <v>373</v>
      </c>
      <c r="E3245" s="74">
        <v>41332</v>
      </c>
      <c r="F3245" s="55" t="s">
        <v>344</v>
      </c>
      <c r="G3245" s="55" t="s">
        <v>360</v>
      </c>
      <c r="H3245" s="55" t="s">
        <v>360</v>
      </c>
      <c r="I3245" s="55" t="s">
        <v>360</v>
      </c>
      <c r="J3245" s="55" t="s">
        <v>360</v>
      </c>
      <c r="K3245" s="55" t="s">
        <v>360</v>
      </c>
      <c r="L3245" s="55" t="s">
        <v>360</v>
      </c>
      <c r="M3245" s="55" t="s">
        <v>172</v>
      </c>
      <c r="N3245" s="55" t="s">
        <v>172</v>
      </c>
      <c r="O3245" s="55" t="s">
        <v>234</v>
      </c>
      <c r="P3245" s="55" t="s">
        <v>965</v>
      </c>
      <c r="Q3245" s="55" t="s">
        <v>350</v>
      </c>
      <c r="R3245" s="85">
        <v>6</v>
      </c>
      <c r="S3245" s="55">
        <v>0</v>
      </c>
      <c r="T3245" s="74" t="s">
        <v>385</v>
      </c>
      <c r="U3245" s="74" t="s">
        <v>351</v>
      </c>
      <c r="V3245" s="74">
        <v>44503</v>
      </c>
      <c r="W3245" s="74">
        <v>44539</v>
      </c>
      <c r="X3245" s="55">
        <v>10186058</v>
      </c>
      <c r="Y3245" s="55" t="s">
        <v>146</v>
      </c>
      <c r="AB3245" s="74" t="s">
        <v>146</v>
      </c>
      <c r="AC3245" s="55" t="s">
        <v>146</v>
      </c>
      <c r="AL3245" s="74"/>
      <c r="AM3245" s="74"/>
      <c r="AW3245" s="74"/>
      <c r="AX3245" s="74"/>
    </row>
    <row r="3246" spans="1:50" ht="13" x14ac:dyDescent="0.15">
      <c r="A3246" s="55" t="str">
        <f>HYPERLINK("http://reports.ofsted.gov.uk/inspection-reports/find-inspection-report/provider/CARE/SC457500","Ofsted Social Care Provider Webpage")</f>
        <v>Ofsted Social Care Provider Webpage</v>
      </c>
      <c r="B3246" s="55" t="s">
        <v>5998</v>
      </c>
      <c r="D3246" s="55" t="s">
        <v>373</v>
      </c>
      <c r="E3246" s="74">
        <v>41332</v>
      </c>
      <c r="F3246" s="55" t="s">
        <v>344</v>
      </c>
      <c r="G3246" s="55" t="s">
        <v>360</v>
      </c>
      <c r="H3246" s="55" t="s">
        <v>360</v>
      </c>
      <c r="I3246" s="55" t="s">
        <v>360</v>
      </c>
      <c r="J3246" s="55" t="s">
        <v>360</v>
      </c>
      <c r="K3246" s="55" t="s">
        <v>360</v>
      </c>
      <c r="L3246" s="55" t="s">
        <v>360</v>
      </c>
      <c r="M3246" s="55" t="s">
        <v>172</v>
      </c>
      <c r="N3246" s="55" t="s">
        <v>172</v>
      </c>
      <c r="O3246" s="55" t="s">
        <v>234</v>
      </c>
      <c r="P3246" s="55" t="s">
        <v>965</v>
      </c>
      <c r="Q3246" s="55" t="s">
        <v>350</v>
      </c>
      <c r="R3246" s="85">
        <v>6</v>
      </c>
      <c r="S3246" s="55">
        <v>0</v>
      </c>
      <c r="T3246" s="74" t="s">
        <v>385</v>
      </c>
      <c r="U3246" s="74" t="s">
        <v>351</v>
      </c>
      <c r="V3246" s="74">
        <v>44586</v>
      </c>
      <c r="W3246" s="74">
        <v>44623</v>
      </c>
      <c r="X3246" s="55">
        <v>10217790</v>
      </c>
      <c r="Y3246" s="55" t="s">
        <v>130</v>
      </c>
      <c r="AB3246" s="74" t="s">
        <v>130</v>
      </c>
      <c r="AC3246" s="55" t="s">
        <v>130</v>
      </c>
      <c r="AL3246" s="74"/>
      <c r="AM3246" s="74"/>
      <c r="AW3246" s="74"/>
      <c r="AX3246" s="74"/>
    </row>
    <row r="3247" spans="1:50" ht="13" x14ac:dyDescent="0.15">
      <c r="A3247" s="55" t="str">
        <f>HYPERLINK("http://reports.ofsted.gov.uk/inspection-reports/find-inspection-report/provider/CARE/SC457501","Ofsted Social Care Provider Webpage")</f>
        <v>Ofsted Social Care Provider Webpage</v>
      </c>
      <c r="B3247" s="55" t="s">
        <v>5999</v>
      </c>
      <c r="D3247" s="55" t="s">
        <v>373</v>
      </c>
      <c r="E3247" s="74">
        <v>41347</v>
      </c>
      <c r="F3247" s="55" t="s">
        <v>344</v>
      </c>
      <c r="G3247" s="55" t="s">
        <v>360</v>
      </c>
      <c r="H3247" s="55" t="s">
        <v>360</v>
      </c>
      <c r="I3247" s="55" t="s">
        <v>360</v>
      </c>
      <c r="J3247" s="55" t="s">
        <v>360</v>
      </c>
      <c r="K3247" s="55" t="s">
        <v>360</v>
      </c>
      <c r="L3247" s="55" t="s">
        <v>360</v>
      </c>
      <c r="M3247" s="55" t="s">
        <v>136</v>
      </c>
      <c r="N3247" s="55" t="s">
        <v>136</v>
      </c>
      <c r="O3247" s="55" t="s">
        <v>165</v>
      </c>
      <c r="P3247" s="55" t="s">
        <v>748</v>
      </c>
      <c r="Q3247" s="55" t="s">
        <v>350</v>
      </c>
      <c r="R3247" s="85">
        <v>3</v>
      </c>
      <c r="S3247" s="55">
        <v>0</v>
      </c>
      <c r="T3247" s="74" t="s">
        <v>385</v>
      </c>
      <c r="U3247" s="74" t="s">
        <v>6703</v>
      </c>
      <c r="V3247" s="74">
        <v>44617</v>
      </c>
      <c r="W3247" s="74">
        <v>44664</v>
      </c>
      <c r="X3247" s="55">
        <v>10215863</v>
      </c>
      <c r="Y3247" s="55" t="s">
        <v>6706</v>
      </c>
      <c r="AL3247" s="74"/>
      <c r="AM3247" s="74"/>
      <c r="AW3247" s="74"/>
      <c r="AX3247" s="74"/>
    </row>
    <row r="3248" spans="1:50" ht="13" x14ac:dyDescent="0.15">
      <c r="A3248" s="55" t="str">
        <f>HYPERLINK("http://reports.ofsted.gov.uk/inspection-reports/find-inspection-report/provider/CARE/SC457501","Ofsted Social Care Provider Webpage")</f>
        <v>Ofsted Social Care Provider Webpage</v>
      </c>
      <c r="B3248" s="55" t="s">
        <v>5999</v>
      </c>
      <c r="D3248" s="55" t="s">
        <v>373</v>
      </c>
      <c r="E3248" s="74">
        <v>41347</v>
      </c>
      <c r="F3248" s="55" t="s">
        <v>344</v>
      </c>
      <c r="G3248" s="55" t="s">
        <v>360</v>
      </c>
      <c r="H3248" s="55" t="s">
        <v>360</v>
      </c>
      <c r="I3248" s="55" t="s">
        <v>360</v>
      </c>
      <c r="J3248" s="55" t="s">
        <v>360</v>
      </c>
      <c r="K3248" s="55" t="s">
        <v>360</v>
      </c>
      <c r="L3248" s="55" t="s">
        <v>360</v>
      </c>
      <c r="M3248" s="55" t="s">
        <v>136</v>
      </c>
      <c r="N3248" s="55" t="s">
        <v>136</v>
      </c>
      <c r="O3248" s="55" t="s">
        <v>165</v>
      </c>
      <c r="P3248" s="55" t="s">
        <v>748</v>
      </c>
      <c r="Q3248" s="55" t="s">
        <v>350</v>
      </c>
      <c r="R3248" s="85">
        <v>3</v>
      </c>
      <c r="S3248" s="55">
        <v>0</v>
      </c>
      <c r="T3248" s="74" t="s">
        <v>385</v>
      </c>
      <c r="U3248" s="74" t="s">
        <v>351</v>
      </c>
      <c r="V3248" s="74">
        <v>44433</v>
      </c>
      <c r="W3248" s="74">
        <v>44468</v>
      </c>
      <c r="X3248" s="55">
        <v>10186430</v>
      </c>
      <c r="Y3248" s="55" t="s">
        <v>130</v>
      </c>
      <c r="AB3248" s="74" t="s">
        <v>130</v>
      </c>
      <c r="AC3248" s="55" t="s">
        <v>130</v>
      </c>
      <c r="AL3248" s="74"/>
      <c r="AM3248" s="74"/>
      <c r="AW3248" s="74"/>
      <c r="AX3248" s="74"/>
    </row>
    <row r="3249" spans="1:50" ht="13" x14ac:dyDescent="0.15">
      <c r="A3249" s="55" t="str">
        <f>HYPERLINK("http://reports.ofsted.gov.uk/inspection-reports/find-inspection-report/provider/CARE/SC457553","Ofsted Social Care Provider Webpage")</f>
        <v>Ofsted Social Care Provider Webpage</v>
      </c>
      <c r="B3249" s="55" t="s">
        <v>6000</v>
      </c>
      <c r="D3249" s="55" t="s">
        <v>373</v>
      </c>
      <c r="E3249" s="74">
        <v>41347</v>
      </c>
      <c r="F3249" s="55" t="s">
        <v>344</v>
      </c>
      <c r="G3249" s="55" t="s">
        <v>360</v>
      </c>
      <c r="H3249" s="55" t="s">
        <v>360</v>
      </c>
      <c r="I3249" s="55" t="s">
        <v>360</v>
      </c>
      <c r="J3249" s="55" t="s">
        <v>360</v>
      </c>
      <c r="K3249" s="55" t="s">
        <v>360</v>
      </c>
      <c r="L3249" s="55" t="s">
        <v>360</v>
      </c>
      <c r="M3249" s="55" t="s">
        <v>136</v>
      </c>
      <c r="N3249" s="55" t="s">
        <v>136</v>
      </c>
      <c r="O3249" s="55" t="s">
        <v>174</v>
      </c>
      <c r="P3249" s="55" t="s">
        <v>3555</v>
      </c>
      <c r="Q3249" s="55" t="s">
        <v>350</v>
      </c>
      <c r="R3249" s="85">
        <v>2</v>
      </c>
      <c r="S3249" s="55">
        <v>0</v>
      </c>
      <c r="T3249" s="74" t="s">
        <v>385</v>
      </c>
      <c r="U3249" s="74" t="s">
        <v>351</v>
      </c>
      <c r="V3249" s="74">
        <v>44573</v>
      </c>
      <c r="W3249" s="74">
        <v>44617</v>
      </c>
      <c r="X3249" s="55">
        <v>10186068</v>
      </c>
      <c r="Y3249" s="55" t="s">
        <v>132</v>
      </c>
      <c r="AB3249" s="74" t="s">
        <v>132</v>
      </c>
      <c r="AC3249" s="55" t="s">
        <v>132</v>
      </c>
      <c r="AL3249" s="74"/>
      <c r="AM3249" s="74"/>
      <c r="AW3249" s="74"/>
      <c r="AX3249" s="74"/>
    </row>
    <row r="3250" spans="1:50" ht="13" x14ac:dyDescent="0.15">
      <c r="A3250" s="55" t="str">
        <f>HYPERLINK("http://reports.ofsted.gov.uk/inspection-reports/find-inspection-report/provider/CARE/SC457567","Ofsted Social Care Provider Webpage")</f>
        <v>Ofsted Social Care Provider Webpage</v>
      </c>
      <c r="B3250" s="55" t="s">
        <v>6001</v>
      </c>
      <c r="D3250" s="55" t="s">
        <v>373</v>
      </c>
      <c r="E3250" s="74">
        <v>41347</v>
      </c>
      <c r="F3250" s="55" t="s">
        <v>344</v>
      </c>
      <c r="G3250" s="55" t="s">
        <v>360</v>
      </c>
      <c r="H3250" s="55" t="s">
        <v>360</v>
      </c>
      <c r="I3250" s="55" t="s">
        <v>360</v>
      </c>
      <c r="J3250" s="55" t="s">
        <v>360</v>
      </c>
      <c r="K3250" s="55" t="s">
        <v>360</v>
      </c>
      <c r="L3250" s="55" t="s">
        <v>360</v>
      </c>
      <c r="M3250" s="55" t="s">
        <v>136</v>
      </c>
      <c r="N3250" s="55" t="s">
        <v>136</v>
      </c>
      <c r="O3250" s="55" t="s">
        <v>274</v>
      </c>
      <c r="P3250" s="55" t="s">
        <v>274</v>
      </c>
      <c r="Q3250" s="55" t="s">
        <v>350</v>
      </c>
      <c r="R3250" s="85">
        <v>1</v>
      </c>
      <c r="S3250" s="55">
        <v>0</v>
      </c>
      <c r="T3250" s="74" t="s">
        <v>385</v>
      </c>
      <c r="U3250" s="74" t="s">
        <v>351</v>
      </c>
      <c r="V3250" s="74">
        <v>44397</v>
      </c>
      <c r="W3250" s="74">
        <v>44433</v>
      </c>
      <c r="X3250" s="55">
        <v>10187632</v>
      </c>
      <c r="Y3250" s="55" t="s">
        <v>132</v>
      </c>
      <c r="AB3250" s="74" t="s">
        <v>132</v>
      </c>
      <c r="AC3250" s="55" t="s">
        <v>130</v>
      </c>
      <c r="AL3250" s="74"/>
      <c r="AM3250" s="74"/>
      <c r="AW3250" s="74"/>
      <c r="AX3250" s="74"/>
    </row>
    <row r="3251" spans="1:50" ht="13" x14ac:dyDescent="0.15">
      <c r="A3251" s="55" t="str">
        <f>HYPERLINK("http://reports.ofsted.gov.uk/inspection-reports/find-inspection-report/provider/CARE/SC457573","Ofsted Social Care Provider Webpage")</f>
        <v>Ofsted Social Care Provider Webpage</v>
      </c>
      <c r="B3251" s="55" t="s">
        <v>6002</v>
      </c>
      <c r="D3251" s="55" t="s">
        <v>373</v>
      </c>
      <c r="E3251" s="74">
        <v>41319</v>
      </c>
      <c r="F3251" s="55" t="s">
        <v>344</v>
      </c>
      <c r="G3251" s="55" t="s">
        <v>360</v>
      </c>
      <c r="H3251" s="55" t="s">
        <v>360</v>
      </c>
      <c r="I3251" s="55" t="s">
        <v>360</v>
      </c>
      <c r="J3251" s="55" t="s">
        <v>360</v>
      </c>
      <c r="K3251" s="55" t="s">
        <v>360</v>
      </c>
      <c r="L3251" s="55" t="s">
        <v>360</v>
      </c>
      <c r="M3251" s="55" t="s">
        <v>378</v>
      </c>
      <c r="N3251" s="55" t="s">
        <v>170</v>
      </c>
      <c r="O3251" s="55" t="s">
        <v>178</v>
      </c>
      <c r="P3251" s="55" t="s">
        <v>952</v>
      </c>
      <c r="Q3251" s="55" t="s">
        <v>350</v>
      </c>
      <c r="R3251" s="85">
        <v>3</v>
      </c>
      <c r="S3251" s="55">
        <v>0</v>
      </c>
      <c r="T3251" s="74" t="s">
        <v>385</v>
      </c>
      <c r="U3251" s="74" t="s">
        <v>351</v>
      </c>
      <c r="V3251" s="74">
        <v>44550</v>
      </c>
      <c r="W3251" s="74">
        <v>44594</v>
      </c>
      <c r="X3251" s="55">
        <v>10186769</v>
      </c>
      <c r="Y3251" s="55" t="s">
        <v>130</v>
      </c>
      <c r="AB3251" s="74" t="s">
        <v>130</v>
      </c>
      <c r="AC3251" s="55" t="s">
        <v>146</v>
      </c>
      <c r="AL3251" s="74"/>
      <c r="AM3251" s="74"/>
      <c r="AW3251" s="74"/>
      <c r="AX3251" s="74"/>
    </row>
    <row r="3252" spans="1:50" ht="13" x14ac:dyDescent="0.15">
      <c r="A3252" s="55" t="str">
        <f>HYPERLINK("http://reports.ofsted.gov.uk/inspection-reports/find-inspection-report/provider/CARE/SC457688","Ofsted Social Care Provider Webpage")</f>
        <v>Ofsted Social Care Provider Webpage</v>
      </c>
      <c r="B3252" s="55" t="s">
        <v>6004</v>
      </c>
      <c r="D3252" s="55" t="s">
        <v>389</v>
      </c>
      <c r="E3252" s="74">
        <v>41311</v>
      </c>
      <c r="F3252" s="55" t="s">
        <v>344</v>
      </c>
      <c r="G3252" s="55" t="s">
        <v>6005</v>
      </c>
      <c r="H3252" s="55" t="s">
        <v>6006</v>
      </c>
      <c r="I3252" s="55" t="s">
        <v>6007</v>
      </c>
      <c r="J3252" s="55" t="s">
        <v>6008</v>
      </c>
      <c r="K3252" s="55" t="s">
        <v>266</v>
      </c>
      <c r="L3252" s="55" t="s">
        <v>6009</v>
      </c>
      <c r="M3252" s="55" t="s">
        <v>138</v>
      </c>
      <c r="N3252" s="55" t="s">
        <v>138</v>
      </c>
      <c r="O3252" s="55" t="s">
        <v>266</v>
      </c>
      <c r="P3252" s="55" t="s">
        <v>4472</v>
      </c>
      <c r="Q3252" s="55" t="s">
        <v>350</v>
      </c>
      <c r="S3252" s="55">
        <v>0</v>
      </c>
      <c r="T3252" s="74" t="s">
        <v>6010</v>
      </c>
      <c r="U3252" s="74" t="s">
        <v>351</v>
      </c>
      <c r="V3252" s="74">
        <v>44361</v>
      </c>
      <c r="W3252" s="74">
        <v>44404</v>
      </c>
      <c r="X3252" s="55">
        <v>10183345</v>
      </c>
      <c r="Y3252" s="55" t="s">
        <v>132</v>
      </c>
      <c r="AB3252" s="74" t="s">
        <v>132</v>
      </c>
      <c r="AC3252" s="55" t="s">
        <v>132</v>
      </c>
      <c r="AL3252" s="74"/>
      <c r="AM3252" s="74"/>
      <c r="AW3252" s="74"/>
      <c r="AX3252" s="74"/>
    </row>
    <row r="3253" spans="1:50" ht="13" x14ac:dyDescent="0.15">
      <c r="A3253" s="55" t="str">
        <f>HYPERLINK("http://reports.ofsted.gov.uk/inspection-reports/find-inspection-report/provider/CARE/SC457780","Ofsted Social Care Provider Webpage")</f>
        <v>Ofsted Social Care Provider Webpage</v>
      </c>
      <c r="B3253" s="55" t="s">
        <v>6011</v>
      </c>
      <c r="D3253" s="55" t="s">
        <v>373</v>
      </c>
      <c r="E3253" s="74">
        <v>41250</v>
      </c>
      <c r="F3253" s="55" t="s">
        <v>344</v>
      </c>
      <c r="G3253" s="55" t="s">
        <v>360</v>
      </c>
      <c r="H3253" s="55" t="s">
        <v>360</v>
      </c>
      <c r="I3253" s="55" t="s">
        <v>360</v>
      </c>
      <c r="J3253" s="55" t="s">
        <v>360</v>
      </c>
      <c r="K3253" s="55" t="s">
        <v>360</v>
      </c>
      <c r="L3253" s="55" t="s">
        <v>360</v>
      </c>
      <c r="M3253" s="55" t="s">
        <v>129</v>
      </c>
      <c r="N3253" s="55" t="s">
        <v>129</v>
      </c>
      <c r="O3253" s="55" t="s">
        <v>152</v>
      </c>
      <c r="P3253" s="55" t="s">
        <v>1130</v>
      </c>
      <c r="Q3253" s="55" t="s">
        <v>380</v>
      </c>
      <c r="R3253" s="85">
        <v>8</v>
      </c>
      <c r="S3253" s="55" t="s">
        <v>332</v>
      </c>
      <c r="T3253" s="74" t="s">
        <v>6012</v>
      </c>
      <c r="U3253" s="74" t="s">
        <v>351</v>
      </c>
      <c r="V3253" s="74">
        <v>44502</v>
      </c>
      <c r="W3253" s="74">
        <v>44540</v>
      </c>
      <c r="X3253" s="55">
        <v>10185077</v>
      </c>
      <c r="Y3253" s="55" t="s">
        <v>140</v>
      </c>
      <c r="AB3253" s="74" t="s">
        <v>132</v>
      </c>
      <c r="AC3253" s="55" t="s">
        <v>140</v>
      </c>
      <c r="AL3253" s="74"/>
      <c r="AM3253" s="74"/>
      <c r="AW3253" s="74"/>
      <c r="AX3253" s="74"/>
    </row>
    <row r="3254" spans="1:50" ht="13" x14ac:dyDescent="0.15">
      <c r="A3254" s="55" t="str">
        <f>HYPERLINK("http://reports.ofsted.gov.uk/inspection-reports/find-inspection-report/provider/CARE/SC457784","Ofsted Social Care Provider Webpage")</f>
        <v>Ofsted Social Care Provider Webpage</v>
      </c>
      <c r="B3254" s="55" t="s">
        <v>6013</v>
      </c>
      <c r="D3254" s="55" t="s">
        <v>389</v>
      </c>
      <c r="E3254" s="74">
        <v>41368</v>
      </c>
      <c r="F3254" s="55" t="s">
        <v>344</v>
      </c>
      <c r="G3254" s="55" t="s">
        <v>6014</v>
      </c>
      <c r="H3254" s="55" t="s">
        <v>6015</v>
      </c>
      <c r="I3254" s="55" t="s">
        <v>6016</v>
      </c>
      <c r="J3254" s="55" t="s">
        <v>141</v>
      </c>
      <c r="K3254" s="55" t="s">
        <v>142</v>
      </c>
      <c r="L3254" s="55" t="s">
        <v>6017</v>
      </c>
      <c r="M3254" s="55" t="s">
        <v>142</v>
      </c>
      <c r="N3254" s="55" t="s">
        <v>142</v>
      </c>
      <c r="O3254" s="55" t="s">
        <v>141</v>
      </c>
      <c r="P3254" s="55" t="s">
        <v>1231</v>
      </c>
      <c r="Q3254" s="55" t="s">
        <v>350</v>
      </c>
      <c r="S3254" s="55">
        <v>0</v>
      </c>
      <c r="T3254" s="74" t="s">
        <v>6018</v>
      </c>
      <c r="U3254" s="74" t="s">
        <v>351</v>
      </c>
      <c r="V3254" s="74">
        <v>44508</v>
      </c>
      <c r="W3254" s="74">
        <v>44538</v>
      </c>
      <c r="X3254" s="55">
        <v>10183431</v>
      </c>
      <c r="Y3254" s="55" t="s">
        <v>132</v>
      </c>
      <c r="AB3254" s="74" t="s">
        <v>132</v>
      </c>
      <c r="AC3254" s="55" t="s">
        <v>132</v>
      </c>
      <c r="AL3254" s="74"/>
      <c r="AM3254" s="74"/>
      <c r="AW3254" s="74"/>
      <c r="AX3254" s="74"/>
    </row>
    <row r="3255" spans="1:50" ht="13" x14ac:dyDescent="0.15">
      <c r="A3255" s="55" t="str">
        <f>HYPERLINK("http://reports.ofsted.gov.uk/inspection-reports/find-inspection-report/provider/CARE/SC457831","Ofsted Social Care Provider Webpage")</f>
        <v>Ofsted Social Care Provider Webpage</v>
      </c>
      <c r="B3255" s="55" t="s">
        <v>6019</v>
      </c>
      <c r="D3255" s="55" t="s">
        <v>389</v>
      </c>
      <c r="E3255" s="74">
        <v>41347</v>
      </c>
      <c r="F3255" s="55" t="s">
        <v>344</v>
      </c>
      <c r="G3255" s="55" t="s">
        <v>6020</v>
      </c>
      <c r="H3255" s="55" t="s">
        <v>5524</v>
      </c>
      <c r="I3255" s="55" t="s">
        <v>6021</v>
      </c>
      <c r="J3255" s="55" t="s">
        <v>6022</v>
      </c>
      <c r="K3255" s="55" t="s">
        <v>129</v>
      </c>
      <c r="L3255" s="55" t="s">
        <v>6023</v>
      </c>
      <c r="M3255" s="55" t="s">
        <v>129</v>
      </c>
      <c r="N3255" s="55" t="s">
        <v>129</v>
      </c>
      <c r="O3255" s="55" t="s">
        <v>242</v>
      </c>
      <c r="P3255" s="55" t="s">
        <v>1128</v>
      </c>
      <c r="Q3255" s="55" t="s">
        <v>350</v>
      </c>
      <c r="S3255" s="55">
        <v>0</v>
      </c>
      <c r="T3255" s="74" t="s">
        <v>6020</v>
      </c>
      <c r="U3255" s="74" t="s">
        <v>351</v>
      </c>
      <c r="V3255" s="74">
        <v>44389</v>
      </c>
      <c r="W3255" s="74">
        <v>44439</v>
      </c>
      <c r="X3255" s="55">
        <v>10183353</v>
      </c>
      <c r="Y3255" s="55" t="s">
        <v>146</v>
      </c>
      <c r="AB3255" s="74" t="s">
        <v>146</v>
      </c>
      <c r="AC3255" s="55" t="s">
        <v>146</v>
      </c>
      <c r="AL3255" s="74"/>
      <c r="AM3255" s="74"/>
      <c r="AW3255" s="74"/>
      <c r="AX3255" s="74"/>
    </row>
    <row r="3256" spans="1:50" ht="13" x14ac:dyDescent="0.15">
      <c r="A3256" s="55" t="str">
        <f>HYPERLINK("http://reports.ofsted.gov.uk/inspection-reports/find-inspection-report/provider/CARE/SC457923","Ofsted Social Care Provider Webpage")</f>
        <v>Ofsted Social Care Provider Webpage</v>
      </c>
      <c r="B3256" s="55" t="s">
        <v>6024</v>
      </c>
      <c r="D3256" s="55" t="s">
        <v>373</v>
      </c>
      <c r="E3256" s="74">
        <v>41254</v>
      </c>
      <c r="F3256" s="55" t="s">
        <v>344</v>
      </c>
      <c r="G3256" s="55" t="s">
        <v>360</v>
      </c>
      <c r="H3256" s="55" t="s">
        <v>360</v>
      </c>
      <c r="I3256" s="55" t="s">
        <v>360</v>
      </c>
      <c r="J3256" s="55" t="s">
        <v>360</v>
      </c>
      <c r="K3256" s="55" t="s">
        <v>360</v>
      </c>
      <c r="L3256" s="55" t="s">
        <v>360</v>
      </c>
      <c r="M3256" s="55" t="s">
        <v>142</v>
      </c>
      <c r="N3256" s="55" t="s">
        <v>142</v>
      </c>
      <c r="O3256" s="55" t="s">
        <v>195</v>
      </c>
      <c r="P3256" s="55" t="s">
        <v>518</v>
      </c>
      <c r="Q3256" s="55" t="s">
        <v>350</v>
      </c>
      <c r="R3256" s="85">
        <v>4</v>
      </c>
      <c r="S3256" s="55">
        <v>0</v>
      </c>
      <c r="T3256" s="74" t="s">
        <v>385</v>
      </c>
      <c r="U3256" s="74" t="s">
        <v>351</v>
      </c>
      <c r="V3256" s="74">
        <v>44627</v>
      </c>
      <c r="W3256" s="74">
        <v>44663</v>
      </c>
      <c r="X3256" s="55">
        <v>10186712</v>
      </c>
      <c r="Y3256" s="55" t="s">
        <v>132</v>
      </c>
      <c r="AB3256" s="74" t="s">
        <v>132</v>
      </c>
      <c r="AC3256" s="55" t="s">
        <v>132</v>
      </c>
      <c r="AL3256" s="74"/>
      <c r="AM3256" s="74"/>
      <c r="AW3256" s="74"/>
      <c r="AX3256" s="74"/>
    </row>
    <row r="3257" spans="1:50" ht="13" x14ac:dyDescent="0.15">
      <c r="A3257" s="55" t="str">
        <f>HYPERLINK("http://reports.ofsted.gov.uk/inspection-reports/find-inspection-report/provider/CARE/SC458027","Ofsted Social Care Provider Webpage")</f>
        <v>Ofsted Social Care Provider Webpage</v>
      </c>
      <c r="B3257" s="55" t="s">
        <v>6025</v>
      </c>
      <c r="D3257" s="55" t="s">
        <v>373</v>
      </c>
      <c r="E3257" s="74">
        <v>41320</v>
      </c>
      <c r="F3257" s="55" t="s">
        <v>344</v>
      </c>
      <c r="G3257" s="55" t="s">
        <v>360</v>
      </c>
      <c r="H3257" s="55" t="s">
        <v>360</v>
      </c>
      <c r="I3257" s="55" t="s">
        <v>360</v>
      </c>
      <c r="J3257" s="55" t="s">
        <v>360</v>
      </c>
      <c r="K3257" s="55" t="s">
        <v>360</v>
      </c>
      <c r="L3257" s="55" t="s">
        <v>360</v>
      </c>
      <c r="M3257" s="55" t="s">
        <v>138</v>
      </c>
      <c r="N3257" s="55" t="s">
        <v>138</v>
      </c>
      <c r="O3257" s="55" t="s">
        <v>183</v>
      </c>
      <c r="P3257" s="55" t="s">
        <v>907</v>
      </c>
      <c r="Q3257" s="55" t="s">
        <v>350</v>
      </c>
      <c r="R3257" s="85">
        <v>3</v>
      </c>
      <c r="S3257" s="55">
        <v>0</v>
      </c>
      <c r="T3257" s="74" t="s">
        <v>385</v>
      </c>
      <c r="U3257" s="74" t="s">
        <v>351</v>
      </c>
      <c r="V3257" s="74">
        <v>44502</v>
      </c>
      <c r="W3257" s="74">
        <v>44526</v>
      </c>
      <c r="X3257" s="55">
        <v>10185515</v>
      </c>
      <c r="Y3257" s="55" t="s">
        <v>132</v>
      </c>
      <c r="AB3257" s="74" t="s">
        <v>132</v>
      </c>
      <c r="AC3257" s="55" t="s">
        <v>140</v>
      </c>
      <c r="AL3257" s="74"/>
      <c r="AM3257" s="74"/>
      <c r="AW3257" s="74"/>
      <c r="AX3257" s="74"/>
    </row>
    <row r="3258" spans="1:50" ht="13" x14ac:dyDescent="0.15">
      <c r="A3258" s="55" t="str">
        <f>HYPERLINK("http://reports.ofsted.gov.uk/inspection-reports/find-inspection-report/provider/CARE/SC458028","Ofsted Social Care Provider Webpage")</f>
        <v>Ofsted Social Care Provider Webpage</v>
      </c>
      <c r="B3258" s="55" t="s">
        <v>6026</v>
      </c>
      <c r="D3258" s="55" t="s">
        <v>373</v>
      </c>
      <c r="E3258" s="74">
        <v>41320</v>
      </c>
      <c r="F3258" s="55" t="s">
        <v>344</v>
      </c>
      <c r="G3258" s="55" t="s">
        <v>360</v>
      </c>
      <c r="H3258" s="55" t="s">
        <v>360</v>
      </c>
      <c r="I3258" s="55" t="s">
        <v>360</v>
      </c>
      <c r="J3258" s="55" t="s">
        <v>360</v>
      </c>
      <c r="K3258" s="55" t="s">
        <v>360</v>
      </c>
      <c r="L3258" s="55" t="s">
        <v>360</v>
      </c>
      <c r="M3258" s="55" t="s">
        <v>138</v>
      </c>
      <c r="N3258" s="55" t="s">
        <v>138</v>
      </c>
      <c r="O3258" s="55" t="s">
        <v>183</v>
      </c>
      <c r="P3258" s="55" t="s">
        <v>907</v>
      </c>
      <c r="Q3258" s="55" t="s">
        <v>350</v>
      </c>
      <c r="R3258" s="85">
        <v>3</v>
      </c>
      <c r="S3258" s="55">
        <v>0</v>
      </c>
      <c r="T3258" s="74" t="s">
        <v>385</v>
      </c>
      <c r="U3258" s="74" t="s">
        <v>351</v>
      </c>
      <c r="V3258" s="74">
        <v>44488</v>
      </c>
      <c r="W3258" s="74">
        <v>44518</v>
      </c>
      <c r="X3258" s="55">
        <v>10187530</v>
      </c>
      <c r="Y3258" s="55" t="s">
        <v>132</v>
      </c>
      <c r="AB3258" s="74" t="s">
        <v>132</v>
      </c>
      <c r="AC3258" s="55" t="s">
        <v>132</v>
      </c>
      <c r="AL3258" s="74"/>
      <c r="AM3258" s="74"/>
      <c r="AW3258" s="74"/>
      <c r="AX3258" s="74"/>
    </row>
    <row r="3259" spans="1:50" ht="13" x14ac:dyDescent="0.15">
      <c r="A3259" s="55" t="str">
        <f>HYPERLINK("http://reports.ofsted.gov.uk/inspection-reports/find-inspection-report/provider/CARE/SC458115","Ofsted Social Care Provider Webpage")</f>
        <v>Ofsted Social Care Provider Webpage</v>
      </c>
      <c r="B3259" s="55" t="s">
        <v>6027</v>
      </c>
      <c r="D3259" s="55" t="s">
        <v>479</v>
      </c>
      <c r="E3259" s="74">
        <v>41306</v>
      </c>
      <c r="F3259" s="55" t="s">
        <v>344</v>
      </c>
      <c r="G3259" s="55" t="s">
        <v>360</v>
      </c>
      <c r="H3259" s="55" t="s">
        <v>360</v>
      </c>
      <c r="I3259" s="55" t="s">
        <v>360</v>
      </c>
      <c r="J3259" s="55" t="s">
        <v>360</v>
      </c>
      <c r="K3259" s="55" t="s">
        <v>360</v>
      </c>
      <c r="L3259" s="55" t="s">
        <v>360</v>
      </c>
      <c r="M3259" s="55" t="s">
        <v>378</v>
      </c>
      <c r="N3259" s="55" t="s">
        <v>134</v>
      </c>
      <c r="O3259" s="55" t="s">
        <v>251</v>
      </c>
      <c r="P3259" s="55" t="s">
        <v>4046</v>
      </c>
      <c r="Q3259" s="55" t="s">
        <v>380</v>
      </c>
      <c r="R3259" s="85">
        <v>19</v>
      </c>
      <c r="S3259" s="55">
        <v>0</v>
      </c>
      <c r="T3259" s="74" t="s">
        <v>3358</v>
      </c>
      <c r="U3259" s="74" t="s">
        <v>351</v>
      </c>
      <c r="V3259" s="74">
        <v>44614</v>
      </c>
      <c r="W3259" s="74">
        <v>44658</v>
      </c>
      <c r="X3259" s="55">
        <v>10185834</v>
      </c>
      <c r="Y3259" s="55" t="s">
        <v>132</v>
      </c>
      <c r="AB3259" s="74" t="s">
        <v>132</v>
      </c>
      <c r="AC3259" s="55" t="s">
        <v>130</v>
      </c>
      <c r="AL3259" s="74"/>
      <c r="AM3259" s="74"/>
      <c r="AW3259" s="74"/>
      <c r="AX3259" s="74"/>
    </row>
    <row r="3260" spans="1:50" ht="13" x14ac:dyDescent="0.15">
      <c r="A3260" s="55" t="str">
        <f>HYPERLINK("http://reports.ofsted.gov.uk/inspection-reports/find-inspection-report/provider/CARE/SC458141","Ofsted Social Care Provider Webpage")</f>
        <v>Ofsted Social Care Provider Webpage</v>
      </c>
      <c r="B3260" s="55" t="s">
        <v>6033</v>
      </c>
      <c r="D3260" s="55" t="s">
        <v>373</v>
      </c>
      <c r="E3260" s="74">
        <v>41284</v>
      </c>
      <c r="F3260" s="55" t="s">
        <v>344</v>
      </c>
      <c r="G3260" s="55" t="s">
        <v>360</v>
      </c>
      <c r="H3260" s="55" t="s">
        <v>360</v>
      </c>
      <c r="I3260" s="55" t="s">
        <v>360</v>
      </c>
      <c r="J3260" s="55" t="s">
        <v>360</v>
      </c>
      <c r="K3260" s="55" t="s">
        <v>360</v>
      </c>
      <c r="L3260" s="55" t="s">
        <v>360</v>
      </c>
      <c r="M3260" s="55" t="s">
        <v>138</v>
      </c>
      <c r="N3260" s="55" t="s">
        <v>138</v>
      </c>
      <c r="O3260" s="55" t="s">
        <v>196</v>
      </c>
      <c r="P3260" s="55" t="s">
        <v>1506</v>
      </c>
      <c r="Q3260" s="55" t="s">
        <v>380</v>
      </c>
      <c r="R3260" s="85">
        <v>7</v>
      </c>
      <c r="S3260" s="55">
        <v>0</v>
      </c>
      <c r="T3260" s="74" t="s">
        <v>2082</v>
      </c>
      <c r="U3260" s="74" t="s">
        <v>351</v>
      </c>
      <c r="V3260" s="74">
        <v>44432</v>
      </c>
      <c r="W3260" s="74">
        <v>44453</v>
      </c>
      <c r="X3260" s="55">
        <v>10187547</v>
      </c>
      <c r="Y3260" s="55" t="s">
        <v>132</v>
      </c>
      <c r="AB3260" s="74" t="s">
        <v>132</v>
      </c>
      <c r="AC3260" s="55" t="s">
        <v>132</v>
      </c>
      <c r="AL3260" s="74"/>
      <c r="AM3260" s="74"/>
      <c r="AW3260" s="74"/>
      <c r="AX3260" s="74"/>
    </row>
    <row r="3261" spans="1:50" ht="13" x14ac:dyDescent="0.15">
      <c r="A3261" s="55" t="str">
        <f>HYPERLINK("http://reports.ofsted.gov.uk/inspection-reports/find-inspection-report/provider/CARE/SC458352","Ofsted Social Care Provider Webpage")</f>
        <v>Ofsted Social Care Provider Webpage</v>
      </c>
      <c r="B3261" s="55" t="s">
        <v>6039</v>
      </c>
      <c r="D3261" s="55" t="s">
        <v>373</v>
      </c>
      <c r="E3261" s="74">
        <v>41347</v>
      </c>
      <c r="F3261" s="55" t="s">
        <v>344</v>
      </c>
      <c r="G3261" s="55" t="s">
        <v>360</v>
      </c>
      <c r="H3261" s="55" t="s">
        <v>360</v>
      </c>
      <c r="I3261" s="55" t="s">
        <v>360</v>
      </c>
      <c r="J3261" s="55" t="s">
        <v>360</v>
      </c>
      <c r="K3261" s="55" t="s">
        <v>360</v>
      </c>
      <c r="L3261" s="55" t="s">
        <v>360</v>
      </c>
      <c r="M3261" s="55" t="s">
        <v>136</v>
      </c>
      <c r="N3261" s="55" t="s">
        <v>136</v>
      </c>
      <c r="O3261" s="55" t="s">
        <v>174</v>
      </c>
      <c r="P3261" s="55" t="s">
        <v>651</v>
      </c>
      <c r="Q3261" s="55" t="s">
        <v>350</v>
      </c>
      <c r="R3261" s="85">
        <v>3</v>
      </c>
      <c r="S3261" s="55">
        <v>0</v>
      </c>
      <c r="T3261" s="74" t="s">
        <v>385</v>
      </c>
      <c r="U3261" s="74" t="s">
        <v>351</v>
      </c>
      <c r="V3261" s="74">
        <v>44440</v>
      </c>
      <c r="W3261" s="74">
        <v>44470</v>
      </c>
      <c r="X3261" s="55">
        <v>10187444</v>
      </c>
      <c r="Y3261" s="55" t="s">
        <v>132</v>
      </c>
      <c r="AB3261" s="74" t="s">
        <v>132</v>
      </c>
      <c r="AC3261" s="55" t="s">
        <v>132</v>
      </c>
      <c r="AL3261" s="74"/>
      <c r="AM3261" s="74"/>
      <c r="AW3261" s="74"/>
      <c r="AX3261" s="74"/>
    </row>
    <row r="3262" spans="1:50" ht="13" x14ac:dyDescent="0.15">
      <c r="A3262" s="55" t="str">
        <f>HYPERLINK("http://reports.ofsted.gov.uk/inspection-reports/find-inspection-report/provider/CARE/SC458415","Ofsted Social Care Provider Webpage")</f>
        <v>Ofsted Social Care Provider Webpage</v>
      </c>
      <c r="B3262" s="55" t="s">
        <v>6040</v>
      </c>
      <c r="D3262" s="55" t="s">
        <v>373</v>
      </c>
      <c r="E3262" s="74">
        <v>41304</v>
      </c>
      <c r="F3262" s="55" t="s">
        <v>344</v>
      </c>
      <c r="G3262" s="55" t="s">
        <v>360</v>
      </c>
      <c r="H3262" s="55" t="s">
        <v>360</v>
      </c>
      <c r="I3262" s="55" t="s">
        <v>360</v>
      </c>
      <c r="J3262" s="55" t="s">
        <v>360</v>
      </c>
      <c r="K3262" s="55" t="s">
        <v>360</v>
      </c>
      <c r="L3262" s="55" t="s">
        <v>360</v>
      </c>
      <c r="M3262" s="55" t="s">
        <v>378</v>
      </c>
      <c r="N3262" s="55" t="s">
        <v>170</v>
      </c>
      <c r="O3262" s="55" t="s">
        <v>178</v>
      </c>
      <c r="P3262" s="55" t="s">
        <v>434</v>
      </c>
      <c r="Q3262" s="55" t="s">
        <v>362</v>
      </c>
      <c r="R3262" s="85">
        <v>6</v>
      </c>
      <c r="S3262" s="55" t="s">
        <v>332</v>
      </c>
      <c r="T3262" s="74" t="s">
        <v>5369</v>
      </c>
      <c r="U3262" s="74" t="s">
        <v>351</v>
      </c>
      <c r="V3262" s="74">
        <v>44509</v>
      </c>
      <c r="W3262" s="74">
        <v>44566</v>
      </c>
      <c r="X3262" s="55">
        <v>10186953</v>
      </c>
      <c r="Y3262" s="55" t="s">
        <v>132</v>
      </c>
      <c r="AB3262" s="74" t="s">
        <v>132</v>
      </c>
      <c r="AC3262" s="55" t="s">
        <v>132</v>
      </c>
      <c r="AL3262" s="74"/>
      <c r="AM3262" s="74"/>
      <c r="AW3262" s="74"/>
      <c r="AX3262" s="74"/>
    </row>
    <row r="3263" spans="1:50" ht="13" x14ac:dyDescent="0.15">
      <c r="A3263" s="55" t="str">
        <f>HYPERLINK("http://reports.ofsted.gov.uk/inspection-reports/find-inspection-report/provider/CARE/SC458746","Ofsted Social Care Provider Webpage")</f>
        <v>Ofsted Social Care Provider Webpage</v>
      </c>
      <c r="B3263" s="55" t="s">
        <v>6760</v>
      </c>
      <c r="D3263" s="55" t="s">
        <v>373</v>
      </c>
      <c r="E3263" s="74">
        <v>41297</v>
      </c>
      <c r="F3263" s="55" t="s">
        <v>6707</v>
      </c>
      <c r="G3263" s="55" t="s">
        <v>360</v>
      </c>
      <c r="H3263" s="55" t="s">
        <v>360</v>
      </c>
      <c r="I3263" s="55" t="s">
        <v>360</v>
      </c>
      <c r="J3263" s="55" t="s">
        <v>360</v>
      </c>
      <c r="K3263" s="55" t="s">
        <v>360</v>
      </c>
      <c r="L3263" s="55" t="s">
        <v>360</v>
      </c>
      <c r="M3263" s="55" t="s">
        <v>142</v>
      </c>
      <c r="N3263" s="55" t="s">
        <v>142</v>
      </c>
      <c r="O3263" s="55" t="s">
        <v>278</v>
      </c>
      <c r="P3263" s="55" t="s">
        <v>1126</v>
      </c>
      <c r="Q3263" s="55" t="s">
        <v>350</v>
      </c>
      <c r="R3263" s="85">
        <v>1</v>
      </c>
      <c r="S3263" s="55">
        <v>0</v>
      </c>
      <c r="T3263" s="74" t="s">
        <v>6710</v>
      </c>
      <c r="U3263" s="74" t="s">
        <v>2053</v>
      </c>
      <c r="V3263" s="74">
        <v>44343</v>
      </c>
      <c r="W3263" s="74">
        <v>44372</v>
      </c>
      <c r="X3263" s="55">
        <v>10195138</v>
      </c>
      <c r="AL3263" s="74"/>
      <c r="AM3263" s="74"/>
      <c r="AW3263" s="74"/>
      <c r="AX3263" s="74"/>
    </row>
    <row r="3264" spans="1:50" ht="13" x14ac:dyDescent="0.15">
      <c r="A3264" s="55" t="str">
        <f>HYPERLINK("http://reports.ofsted.gov.uk/inspection-reports/find-inspection-report/provider/CARE/SC458746","Ofsted Social Care Provider Webpage")</f>
        <v>Ofsted Social Care Provider Webpage</v>
      </c>
      <c r="B3264" s="55" t="s">
        <v>6760</v>
      </c>
      <c r="D3264" s="55" t="s">
        <v>373</v>
      </c>
      <c r="E3264" s="74">
        <v>41297</v>
      </c>
      <c r="F3264" s="55" t="s">
        <v>6707</v>
      </c>
      <c r="G3264" s="55" t="s">
        <v>360</v>
      </c>
      <c r="H3264" s="55" t="s">
        <v>360</v>
      </c>
      <c r="I3264" s="55" t="s">
        <v>360</v>
      </c>
      <c r="J3264" s="55" t="s">
        <v>360</v>
      </c>
      <c r="K3264" s="55" t="s">
        <v>360</v>
      </c>
      <c r="L3264" s="55" t="s">
        <v>360</v>
      </c>
      <c r="M3264" s="55" t="s">
        <v>142</v>
      </c>
      <c r="N3264" s="55" t="s">
        <v>142</v>
      </c>
      <c r="O3264" s="55" t="s">
        <v>278</v>
      </c>
      <c r="P3264" s="55" t="s">
        <v>1126</v>
      </c>
      <c r="Q3264" s="55" t="s">
        <v>350</v>
      </c>
      <c r="R3264" s="85">
        <v>1</v>
      </c>
      <c r="S3264" s="55">
        <v>0</v>
      </c>
      <c r="T3264" s="74" t="s">
        <v>6710</v>
      </c>
      <c r="U3264" s="74" t="s">
        <v>2053</v>
      </c>
      <c r="V3264" s="74">
        <v>44299</v>
      </c>
      <c r="W3264" s="74">
        <v>44330</v>
      </c>
      <c r="X3264" s="55">
        <v>10188799</v>
      </c>
      <c r="AL3264" s="74"/>
      <c r="AM3264" s="74"/>
      <c r="AW3264" s="74"/>
      <c r="AX3264" s="74"/>
    </row>
    <row r="3265" spans="1:50" ht="13" x14ac:dyDescent="0.15">
      <c r="A3265" s="55" t="str">
        <f>HYPERLINK("http://reports.ofsted.gov.uk/inspection-reports/find-inspection-report/provider/CARE/SC458746","Ofsted Social Care Provider Webpage")</f>
        <v>Ofsted Social Care Provider Webpage</v>
      </c>
      <c r="B3265" s="55" t="s">
        <v>6760</v>
      </c>
      <c r="D3265" s="55" t="s">
        <v>373</v>
      </c>
      <c r="E3265" s="74">
        <v>41297</v>
      </c>
      <c r="F3265" s="55" t="s">
        <v>6707</v>
      </c>
      <c r="G3265" s="55" t="s">
        <v>360</v>
      </c>
      <c r="H3265" s="55" t="s">
        <v>360</v>
      </c>
      <c r="I3265" s="55" t="s">
        <v>360</v>
      </c>
      <c r="J3265" s="55" t="s">
        <v>360</v>
      </c>
      <c r="K3265" s="55" t="s">
        <v>360</v>
      </c>
      <c r="L3265" s="55" t="s">
        <v>360</v>
      </c>
      <c r="M3265" s="55" t="s">
        <v>142</v>
      </c>
      <c r="N3265" s="55" t="s">
        <v>142</v>
      </c>
      <c r="O3265" s="55" t="s">
        <v>278</v>
      </c>
      <c r="P3265" s="55" t="s">
        <v>1126</v>
      </c>
      <c r="Q3265" s="55" t="s">
        <v>350</v>
      </c>
      <c r="R3265" s="85">
        <v>1</v>
      </c>
      <c r="S3265" s="55">
        <v>0</v>
      </c>
      <c r="T3265" s="74" t="s">
        <v>6710</v>
      </c>
      <c r="U3265" s="74" t="s">
        <v>2053</v>
      </c>
      <c r="V3265" s="74">
        <v>44375</v>
      </c>
      <c r="W3265" s="74">
        <v>44399</v>
      </c>
      <c r="X3265" s="55">
        <v>10197090</v>
      </c>
      <c r="AL3265" s="74"/>
      <c r="AM3265" s="74"/>
      <c r="AW3265" s="74"/>
      <c r="AX3265" s="74"/>
    </row>
    <row r="3266" spans="1:50" ht="13" x14ac:dyDescent="0.15">
      <c r="A3266" s="55" t="str">
        <f>HYPERLINK("http://reports.ofsted.gov.uk/inspection-reports/find-inspection-report/provider/CARE/SC458754","Ofsted Social Care Provider Webpage")</f>
        <v>Ofsted Social Care Provider Webpage</v>
      </c>
      <c r="B3266" s="55" t="s">
        <v>6041</v>
      </c>
      <c r="D3266" s="55" t="s">
        <v>373</v>
      </c>
      <c r="E3266" s="74">
        <v>41306</v>
      </c>
      <c r="F3266" s="55" t="s">
        <v>344</v>
      </c>
      <c r="G3266" s="55" t="s">
        <v>360</v>
      </c>
      <c r="H3266" s="55" t="s">
        <v>360</v>
      </c>
      <c r="I3266" s="55" t="s">
        <v>360</v>
      </c>
      <c r="J3266" s="55" t="s">
        <v>360</v>
      </c>
      <c r="K3266" s="55" t="s">
        <v>360</v>
      </c>
      <c r="L3266" s="55" t="s">
        <v>360</v>
      </c>
      <c r="M3266" s="55" t="s">
        <v>378</v>
      </c>
      <c r="N3266" s="55" t="s">
        <v>170</v>
      </c>
      <c r="O3266" s="55" t="s">
        <v>178</v>
      </c>
      <c r="P3266" s="55" t="s">
        <v>434</v>
      </c>
      <c r="Q3266" s="55" t="s">
        <v>362</v>
      </c>
      <c r="R3266" s="85">
        <v>8</v>
      </c>
      <c r="S3266" s="55">
        <v>0</v>
      </c>
      <c r="T3266" s="74" t="s">
        <v>5369</v>
      </c>
      <c r="U3266" s="74" t="s">
        <v>351</v>
      </c>
      <c r="V3266" s="74">
        <v>44516</v>
      </c>
      <c r="W3266" s="74">
        <v>44550</v>
      </c>
      <c r="X3266" s="55">
        <v>10185429</v>
      </c>
      <c r="Y3266" s="55" t="s">
        <v>132</v>
      </c>
      <c r="AB3266" s="74" t="s">
        <v>132</v>
      </c>
      <c r="AC3266" s="55" t="s">
        <v>132</v>
      </c>
      <c r="AL3266" s="74"/>
      <c r="AM3266" s="74"/>
      <c r="AW3266" s="74"/>
      <c r="AX3266" s="74"/>
    </row>
    <row r="3267" spans="1:50" ht="13" x14ac:dyDescent="0.15">
      <c r="A3267" s="55" t="str">
        <f>HYPERLINK("http://reports.ofsted.gov.uk/inspection-reports/find-inspection-report/provider/CARE/SC458811","Ofsted Social Care Provider Webpage")</f>
        <v>Ofsted Social Care Provider Webpage</v>
      </c>
      <c r="B3267" s="55" t="s">
        <v>6042</v>
      </c>
      <c r="D3267" s="55" t="s">
        <v>373</v>
      </c>
      <c r="E3267" s="74">
        <v>41361</v>
      </c>
      <c r="F3267" s="55" t="s">
        <v>344</v>
      </c>
      <c r="G3267" s="55" t="s">
        <v>360</v>
      </c>
      <c r="H3267" s="55" t="s">
        <v>360</v>
      </c>
      <c r="I3267" s="55" t="s">
        <v>360</v>
      </c>
      <c r="J3267" s="55" t="s">
        <v>360</v>
      </c>
      <c r="K3267" s="55" t="s">
        <v>360</v>
      </c>
      <c r="L3267" s="55" t="s">
        <v>360</v>
      </c>
      <c r="M3267" s="55" t="s">
        <v>136</v>
      </c>
      <c r="N3267" s="55" t="s">
        <v>136</v>
      </c>
      <c r="O3267" s="55" t="s">
        <v>239</v>
      </c>
      <c r="P3267" s="55" t="s">
        <v>738</v>
      </c>
      <c r="Q3267" s="55" t="s">
        <v>350</v>
      </c>
      <c r="R3267" s="85">
        <v>2</v>
      </c>
      <c r="S3267" s="55">
        <v>0</v>
      </c>
      <c r="T3267" s="74" t="s">
        <v>858</v>
      </c>
      <c r="U3267" s="74" t="s">
        <v>351</v>
      </c>
      <c r="V3267" s="74">
        <v>44524</v>
      </c>
      <c r="W3267" s="74">
        <v>44572</v>
      </c>
      <c r="X3267" s="55">
        <v>10185514</v>
      </c>
      <c r="Y3267" s="55" t="s">
        <v>132</v>
      </c>
      <c r="AB3267" s="74" t="s">
        <v>130</v>
      </c>
      <c r="AC3267" s="55" t="s">
        <v>132</v>
      </c>
      <c r="AL3267" s="74"/>
      <c r="AM3267" s="74"/>
    </row>
    <row r="3268" spans="1:50" ht="13" x14ac:dyDescent="0.15">
      <c r="A3268" s="55" t="str">
        <f>HYPERLINK("http://reports.ofsted.gov.uk/inspection-reports/find-inspection-report/provider/CARE/SC458812","Ofsted Social Care Provider Webpage")</f>
        <v>Ofsted Social Care Provider Webpage</v>
      </c>
      <c r="B3268" s="55" t="s">
        <v>6043</v>
      </c>
      <c r="D3268" s="55" t="s">
        <v>373</v>
      </c>
      <c r="E3268" s="74">
        <v>41330</v>
      </c>
      <c r="F3268" s="55" t="s">
        <v>344</v>
      </c>
      <c r="G3268" s="55" t="s">
        <v>360</v>
      </c>
      <c r="H3268" s="55" t="s">
        <v>360</v>
      </c>
      <c r="I3268" s="55" t="s">
        <v>360</v>
      </c>
      <c r="J3268" s="55" t="s">
        <v>360</v>
      </c>
      <c r="K3268" s="55" t="s">
        <v>360</v>
      </c>
      <c r="L3268" s="55" t="s">
        <v>360</v>
      </c>
      <c r="M3268" s="55" t="s">
        <v>136</v>
      </c>
      <c r="N3268" s="55" t="s">
        <v>136</v>
      </c>
      <c r="O3268" s="55" t="s">
        <v>239</v>
      </c>
      <c r="P3268" s="55" t="s">
        <v>738</v>
      </c>
      <c r="Q3268" s="55" t="s">
        <v>350</v>
      </c>
      <c r="R3268" s="85">
        <v>1</v>
      </c>
      <c r="S3268" s="55">
        <v>0</v>
      </c>
      <c r="T3268" s="74" t="s">
        <v>858</v>
      </c>
      <c r="U3268" s="74" t="s">
        <v>351</v>
      </c>
      <c r="V3268" s="74">
        <v>44327</v>
      </c>
      <c r="W3268" s="74">
        <v>44362</v>
      </c>
      <c r="X3268" s="55">
        <v>10185807</v>
      </c>
      <c r="Y3268" s="55" t="s">
        <v>132</v>
      </c>
      <c r="AB3268" s="74" t="s">
        <v>132</v>
      </c>
      <c r="AC3268" s="55" t="s">
        <v>132</v>
      </c>
      <c r="AL3268" s="74"/>
      <c r="AM3268" s="74"/>
    </row>
    <row r="3269" spans="1:50" ht="13" x14ac:dyDescent="0.15">
      <c r="A3269" s="55" t="str">
        <f>HYPERLINK("http://reports.ofsted.gov.uk/inspection-reports/find-inspection-report/provider/CARE/SC459168","Ofsted Social Care Provider Webpage")</f>
        <v>Ofsted Social Care Provider Webpage</v>
      </c>
      <c r="B3269" s="55" t="s">
        <v>6044</v>
      </c>
      <c r="D3269" s="55" t="s">
        <v>373</v>
      </c>
      <c r="E3269" s="74">
        <v>41325</v>
      </c>
      <c r="F3269" s="55" t="s">
        <v>344</v>
      </c>
      <c r="G3269" s="55" t="s">
        <v>360</v>
      </c>
      <c r="H3269" s="55" t="s">
        <v>360</v>
      </c>
      <c r="I3269" s="55" t="s">
        <v>360</v>
      </c>
      <c r="J3269" s="55" t="s">
        <v>360</v>
      </c>
      <c r="K3269" s="55" t="s">
        <v>360</v>
      </c>
      <c r="L3269" s="55" t="s">
        <v>360</v>
      </c>
      <c r="M3269" s="55" t="s">
        <v>138</v>
      </c>
      <c r="N3269" s="55" t="s">
        <v>138</v>
      </c>
      <c r="O3269" s="55" t="s">
        <v>224</v>
      </c>
      <c r="P3269" s="55" t="s">
        <v>374</v>
      </c>
      <c r="Q3269" s="55" t="s">
        <v>350</v>
      </c>
      <c r="R3269" s="85">
        <v>4</v>
      </c>
      <c r="S3269" s="55">
        <v>0</v>
      </c>
      <c r="T3269" s="74" t="s">
        <v>385</v>
      </c>
      <c r="U3269" s="74" t="s">
        <v>351</v>
      </c>
      <c r="V3269" s="74">
        <v>44306</v>
      </c>
      <c r="W3269" s="74">
        <v>44326</v>
      </c>
      <c r="X3269" s="55">
        <v>10186307</v>
      </c>
      <c r="Y3269" s="55" t="s">
        <v>132</v>
      </c>
      <c r="AB3269" s="74" t="s">
        <v>132</v>
      </c>
      <c r="AC3269" s="55" t="s">
        <v>132</v>
      </c>
      <c r="AL3269" s="74"/>
      <c r="AM3269" s="74"/>
      <c r="AW3269" s="74"/>
      <c r="AX3269" s="74"/>
    </row>
    <row r="3270" spans="1:50" ht="13" x14ac:dyDescent="0.15">
      <c r="A3270" s="55" t="str">
        <f>HYPERLINK("http://reports.ofsted.gov.uk/inspection-reports/find-inspection-report/provider/CARE/SC459354","Ofsted Social Care Provider Webpage")</f>
        <v>Ofsted Social Care Provider Webpage</v>
      </c>
      <c r="B3270" s="55" t="s">
        <v>6045</v>
      </c>
      <c r="D3270" s="55" t="s">
        <v>373</v>
      </c>
      <c r="E3270" s="74">
        <v>41568</v>
      </c>
      <c r="F3270" s="55" t="s">
        <v>344</v>
      </c>
      <c r="G3270" s="55" t="s">
        <v>360</v>
      </c>
      <c r="H3270" s="55" t="s">
        <v>360</v>
      </c>
      <c r="I3270" s="55" t="s">
        <v>360</v>
      </c>
      <c r="J3270" s="55" t="s">
        <v>360</v>
      </c>
      <c r="K3270" s="55" t="s">
        <v>360</v>
      </c>
      <c r="L3270" s="55" t="s">
        <v>360</v>
      </c>
      <c r="M3270" s="55" t="s">
        <v>129</v>
      </c>
      <c r="N3270" s="55" t="s">
        <v>129</v>
      </c>
      <c r="O3270" s="55" t="s">
        <v>186</v>
      </c>
      <c r="P3270" s="55" t="s">
        <v>1639</v>
      </c>
      <c r="Q3270" s="55" t="s">
        <v>350</v>
      </c>
      <c r="R3270" s="85">
        <v>3</v>
      </c>
      <c r="S3270" s="55">
        <v>0</v>
      </c>
      <c r="T3270" s="74" t="s">
        <v>713</v>
      </c>
      <c r="U3270" s="74" t="s">
        <v>351</v>
      </c>
      <c r="V3270" s="74">
        <v>44494</v>
      </c>
      <c r="W3270" s="74">
        <v>44532</v>
      </c>
      <c r="X3270" s="55">
        <v>10186935</v>
      </c>
      <c r="Y3270" s="55" t="s">
        <v>132</v>
      </c>
      <c r="AB3270" s="74" t="s">
        <v>132</v>
      </c>
      <c r="AC3270" s="55" t="s">
        <v>132</v>
      </c>
      <c r="AL3270" s="74"/>
      <c r="AM3270" s="74"/>
    </row>
    <row r="3271" spans="1:50" ht="13" x14ac:dyDescent="0.15">
      <c r="A3271" s="55" t="str">
        <f>HYPERLINK("http://reports.ofsted.gov.uk/inspection-reports/find-inspection-report/provider/CARE/SC459857","Ofsted Social Care Provider Webpage")</f>
        <v>Ofsted Social Care Provider Webpage</v>
      </c>
      <c r="B3271" s="55" t="s">
        <v>6058</v>
      </c>
      <c r="D3271" s="55" t="s">
        <v>373</v>
      </c>
      <c r="E3271" s="74">
        <v>41390</v>
      </c>
      <c r="F3271" s="55" t="s">
        <v>344</v>
      </c>
      <c r="G3271" s="55" t="s">
        <v>360</v>
      </c>
      <c r="H3271" s="55" t="s">
        <v>360</v>
      </c>
      <c r="I3271" s="55" t="s">
        <v>360</v>
      </c>
      <c r="J3271" s="55" t="s">
        <v>360</v>
      </c>
      <c r="K3271" s="55" t="s">
        <v>360</v>
      </c>
      <c r="L3271" s="55" t="s">
        <v>360</v>
      </c>
      <c r="M3271" s="55" t="s">
        <v>129</v>
      </c>
      <c r="N3271" s="55" t="s">
        <v>129</v>
      </c>
      <c r="O3271" s="55" t="s">
        <v>179</v>
      </c>
      <c r="P3271" s="55" t="s">
        <v>433</v>
      </c>
      <c r="Q3271" s="55" t="s">
        <v>362</v>
      </c>
      <c r="R3271" s="85">
        <v>8</v>
      </c>
      <c r="S3271" s="55">
        <v>0</v>
      </c>
      <c r="T3271" s="74" t="s">
        <v>432</v>
      </c>
      <c r="U3271" s="74" t="s">
        <v>351</v>
      </c>
      <c r="V3271" s="74">
        <v>44635</v>
      </c>
      <c r="W3271" s="74">
        <v>44680</v>
      </c>
      <c r="X3271" s="55">
        <v>10187016</v>
      </c>
      <c r="Y3271" s="55" t="s">
        <v>130</v>
      </c>
      <c r="AB3271" s="74" t="s">
        <v>130</v>
      </c>
      <c r="AC3271" s="55" t="s">
        <v>130</v>
      </c>
      <c r="AL3271" s="74"/>
      <c r="AM3271" s="74"/>
    </row>
    <row r="3272" spans="1:50" ht="13" x14ac:dyDescent="0.15">
      <c r="A3272" s="55" t="str">
        <f>HYPERLINK("http://reports.ofsted.gov.uk/inspection-reports/find-inspection-report/provider/CARE/SC460063","Ofsted Social Care Provider Webpage")</f>
        <v>Ofsted Social Care Provider Webpage</v>
      </c>
      <c r="B3272" s="55" t="s">
        <v>6059</v>
      </c>
      <c r="D3272" s="55" t="s">
        <v>373</v>
      </c>
      <c r="E3272" s="74">
        <v>41344</v>
      </c>
      <c r="F3272" s="55" t="s">
        <v>344</v>
      </c>
      <c r="G3272" s="55" t="s">
        <v>360</v>
      </c>
      <c r="H3272" s="55" t="s">
        <v>360</v>
      </c>
      <c r="I3272" s="55" t="s">
        <v>360</v>
      </c>
      <c r="J3272" s="55" t="s">
        <v>360</v>
      </c>
      <c r="K3272" s="55" t="s">
        <v>360</v>
      </c>
      <c r="L3272" s="55" t="s">
        <v>360</v>
      </c>
      <c r="M3272" s="55" t="s">
        <v>378</v>
      </c>
      <c r="N3272" s="55" t="s">
        <v>134</v>
      </c>
      <c r="O3272" s="55" t="s">
        <v>180</v>
      </c>
      <c r="P3272" s="55" t="s">
        <v>662</v>
      </c>
      <c r="Q3272" s="55" t="s">
        <v>350</v>
      </c>
      <c r="R3272" s="85">
        <v>5</v>
      </c>
      <c r="S3272" s="55">
        <v>0</v>
      </c>
      <c r="T3272" s="74" t="s">
        <v>385</v>
      </c>
      <c r="U3272" s="74" t="s">
        <v>351</v>
      </c>
      <c r="V3272" s="74">
        <v>44411</v>
      </c>
      <c r="W3272" s="74">
        <v>44445</v>
      </c>
      <c r="X3272" s="55">
        <v>10186329</v>
      </c>
      <c r="Y3272" s="55" t="s">
        <v>130</v>
      </c>
      <c r="AB3272" s="74" t="s">
        <v>130</v>
      </c>
      <c r="AC3272" s="55" t="s">
        <v>146</v>
      </c>
      <c r="AL3272" s="74"/>
      <c r="AM3272" s="74"/>
      <c r="AW3272" s="74"/>
      <c r="AX3272" s="74"/>
    </row>
    <row r="3273" spans="1:50" ht="13" x14ac:dyDescent="0.15">
      <c r="A3273" s="55" t="str">
        <f>HYPERLINK("http://reports.ofsted.gov.uk/inspection-reports/find-inspection-report/provider/CARE/SC460593","Ofsted Social Care Provider Webpage")</f>
        <v>Ofsted Social Care Provider Webpage</v>
      </c>
      <c r="B3273" s="55" t="s">
        <v>6060</v>
      </c>
      <c r="D3273" s="55" t="s">
        <v>373</v>
      </c>
      <c r="E3273" s="74">
        <v>41431</v>
      </c>
      <c r="F3273" s="55" t="s">
        <v>344</v>
      </c>
      <c r="G3273" s="55" t="s">
        <v>360</v>
      </c>
      <c r="H3273" s="55" t="s">
        <v>360</v>
      </c>
      <c r="I3273" s="55" t="s">
        <v>360</v>
      </c>
      <c r="J3273" s="55" t="s">
        <v>360</v>
      </c>
      <c r="K3273" s="55" t="s">
        <v>360</v>
      </c>
      <c r="L3273" s="55" t="s">
        <v>360</v>
      </c>
      <c r="M3273" s="55" t="s">
        <v>378</v>
      </c>
      <c r="N3273" s="55" t="s">
        <v>134</v>
      </c>
      <c r="O3273" s="55" t="s">
        <v>206</v>
      </c>
      <c r="P3273" s="55" t="s">
        <v>1655</v>
      </c>
      <c r="Q3273" s="55" t="s">
        <v>350</v>
      </c>
      <c r="R3273" s="85">
        <v>4</v>
      </c>
      <c r="S3273" s="55">
        <v>0</v>
      </c>
      <c r="T3273" s="74" t="s">
        <v>613</v>
      </c>
      <c r="U3273" s="74" t="s">
        <v>351</v>
      </c>
      <c r="V3273" s="74">
        <v>44432</v>
      </c>
      <c r="W3273" s="74">
        <v>44463</v>
      </c>
      <c r="X3273" s="55">
        <v>10185546</v>
      </c>
      <c r="Y3273" s="55" t="s">
        <v>132</v>
      </c>
      <c r="AB3273" s="74" t="s">
        <v>132</v>
      </c>
      <c r="AC3273" s="55" t="s">
        <v>132</v>
      </c>
      <c r="AL3273" s="74"/>
      <c r="AM3273" s="74"/>
    </row>
    <row r="3274" spans="1:50" ht="13" x14ac:dyDescent="0.15">
      <c r="A3274" s="55" t="str">
        <f>HYPERLINK("http://reports.ofsted.gov.uk/inspection-reports/find-inspection-report/provider/CARE/SC460671","Ofsted Social Care Provider Webpage")</f>
        <v>Ofsted Social Care Provider Webpage</v>
      </c>
      <c r="B3274" s="55" t="s">
        <v>6061</v>
      </c>
      <c r="D3274" s="55" t="s">
        <v>373</v>
      </c>
      <c r="E3274" s="74">
        <v>41373</v>
      </c>
      <c r="F3274" s="55" t="s">
        <v>344</v>
      </c>
      <c r="G3274" s="55" t="s">
        <v>360</v>
      </c>
      <c r="H3274" s="55" t="s">
        <v>360</v>
      </c>
      <c r="I3274" s="55" t="s">
        <v>360</v>
      </c>
      <c r="J3274" s="55" t="s">
        <v>360</v>
      </c>
      <c r="K3274" s="55" t="s">
        <v>360</v>
      </c>
      <c r="L3274" s="55" t="s">
        <v>360</v>
      </c>
      <c r="M3274" s="55" t="s">
        <v>150</v>
      </c>
      <c r="N3274" s="55" t="s">
        <v>150</v>
      </c>
      <c r="O3274" s="55" t="s">
        <v>203</v>
      </c>
      <c r="P3274" s="55" t="s">
        <v>593</v>
      </c>
      <c r="Q3274" s="55" t="s">
        <v>350</v>
      </c>
      <c r="R3274" s="85">
        <v>2</v>
      </c>
      <c r="S3274" s="55">
        <v>0</v>
      </c>
      <c r="T3274" s="74" t="s">
        <v>594</v>
      </c>
      <c r="U3274" s="74" t="s">
        <v>351</v>
      </c>
      <c r="V3274" s="74">
        <v>44474</v>
      </c>
      <c r="W3274" s="74">
        <v>44526</v>
      </c>
      <c r="X3274" s="55">
        <v>10186443</v>
      </c>
      <c r="Y3274" s="55" t="s">
        <v>132</v>
      </c>
      <c r="AB3274" s="74" t="s">
        <v>132</v>
      </c>
      <c r="AC3274" s="55" t="s">
        <v>132</v>
      </c>
      <c r="AL3274" s="74"/>
      <c r="AM3274" s="74"/>
      <c r="AW3274" s="74"/>
      <c r="AX3274" s="74"/>
    </row>
    <row r="3275" spans="1:50" ht="13" x14ac:dyDescent="0.15">
      <c r="A3275" s="55" t="str">
        <f>HYPERLINK("http://reports.ofsted.gov.uk/inspection-reports/find-inspection-report/provider/CARE/SC460761","Ofsted Social Care Provider Webpage")</f>
        <v>Ofsted Social Care Provider Webpage</v>
      </c>
      <c r="B3275" s="55" t="s">
        <v>6062</v>
      </c>
      <c r="D3275" s="55" t="s">
        <v>373</v>
      </c>
      <c r="E3275" s="74">
        <v>41415</v>
      </c>
      <c r="F3275" s="55" t="s">
        <v>344</v>
      </c>
      <c r="G3275" s="55" t="s">
        <v>360</v>
      </c>
      <c r="H3275" s="55" t="s">
        <v>360</v>
      </c>
      <c r="I3275" s="55" t="s">
        <v>360</v>
      </c>
      <c r="J3275" s="55" t="s">
        <v>360</v>
      </c>
      <c r="K3275" s="55" t="s">
        <v>360</v>
      </c>
      <c r="L3275" s="55" t="s">
        <v>360</v>
      </c>
      <c r="M3275" s="55" t="s">
        <v>144</v>
      </c>
      <c r="N3275" s="55" t="s">
        <v>144</v>
      </c>
      <c r="O3275" s="55" t="s">
        <v>261</v>
      </c>
      <c r="P3275" s="55" t="s">
        <v>512</v>
      </c>
      <c r="Q3275" s="55" t="s">
        <v>350</v>
      </c>
      <c r="R3275" s="85">
        <v>1</v>
      </c>
      <c r="S3275" s="55">
        <v>0</v>
      </c>
      <c r="T3275" s="74" t="s">
        <v>4505</v>
      </c>
      <c r="U3275" s="74" t="s">
        <v>351</v>
      </c>
      <c r="V3275" s="74">
        <v>44321</v>
      </c>
      <c r="W3275" s="74">
        <v>44354</v>
      </c>
      <c r="X3275" s="55">
        <v>10185271</v>
      </c>
      <c r="Y3275" s="55" t="s">
        <v>132</v>
      </c>
      <c r="AB3275" s="74" t="s">
        <v>132</v>
      </c>
      <c r="AC3275" s="55" t="s">
        <v>132</v>
      </c>
      <c r="AL3275" s="74"/>
      <c r="AM3275" s="74"/>
    </row>
    <row r="3276" spans="1:50" ht="13" x14ac:dyDescent="0.15">
      <c r="A3276" s="55" t="str">
        <f>HYPERLINK("http://reports.ofsted.gov.uk/inspection-reports/find-inspection-report/provider/CARE/SC460800","Ofsted Social Care Provider Webpage")</f>
        <v>Ofsted Social Care Provider Webpage</v>
      </c>
      <c r="B3276" s="55" t="s">
        <v>6063</v>
      </c>
      <c r="D3276" s="55" t="s">
        <v>373</v>
      </c>
      <c r="E3276" s="74">
        <v>41416</v>
      </c>
      <c r="F3276" s="55" t="s">
        <v>344</v>
      </c>
      <c r="G3276" s="55" t="s">
        <v>360</v>
      </c>
      <c r="H3276" s="55" t="s">
        <v>360</v>
      </c>
      <c r="I3276" s="55" t="s">
        <v>360</v>
      </c>
      <c r="J3276" s="55" t="s">
        <v>360</v>
      </c>
      <c r="K3276" s="55" t="s">
        <v>360</v>
      </c>
      <c r="L3276" s="55" t="s">
        <v>360</v>
      </c>
      <c r="M3276" s="55" t="s">
        <v>144</v>
      </c>
      <c r="N3276" s="55" t="s">
        <v>144</v>
      </c>
      <c r="O3276" s="55" t="s">
        <v>162</v>
      </c>
      <c r="P3276" s="55" t="s">
        <v>1502</v>
      </c>
      <c r="Q3276" s="55" t="s">
        <v>350</v>
      </c>
      <c r="R3276" s="85">
        <v>4</v>
      </c>
      <c r="S3276" s="55">
        <v>0</v>
      </c>
      <c r="T3276" s="74" t="s">
        <v>1446</v>
      </c>
      <c r="U3276" s="74" t="s">
        <v>351</v>
      </c>
      <c r="V3276" s="74">
        <v>44453</v>
      </c>
      <c r="W3276" s="74">
        <v>44498</v>
      </c>
      <c r="X3276" s="55">
        <v>10186927</v>
      </c>
      <c r="Y3276" s="55" t="s">
        <v>132</v>
      </c>
      <c r="AB3276" s="74" t="s">
        <v>132</v>
      </c>
      <c r="AC3276" s="55" t="s">
        <v>132</v>
      </c>
      <c r="AL3276" s="74"/>
      <c r="AM3276" s="74"/>
      <c r="AW3276" s="74"/>
      <c r="AX3276" s="74"/>
    </row>
    <row r="3277" spans="1:50" ht="13" x14ac:dyDescent="0.15">
      <c r="A3277" s="55" t="str">
        <f>HYPERLINK("http://reports.ofsted.gov.uk/inspection-reports/find-inspection-report/provider/CARE/SC460973","Ofsted Social Care Provider Webpage")</f>
        <v>Ofsted Social Care Provider Webpage</v>
      </c>
      <c r="B3277" s="55" t="s">
        <v>6064</v>
      </c>
      <c r="D3277" s="55" t="s">
        <v>373</v>
      </c>
      <c r="E3277" s="74">
        <v>41388</v>
      </c>
      <c r="F3277" s="55" t="s">
        <v>344</v>
      </c>
      <c r="G3277" s="55" t="s">
        <v>360</v>
      </c>
      <c r="H3277" s="55" t="s">
        <v>360</v>
      </c>
      <c r="I3277" s="55" t="s">
        <v>360</v>
      </c>
      <c r="J3277" s="55" t="s">
        <v>360</v>
      </c>
      <c r="K3277" s="55" t="s">
        <v>360</v>
      </c>
      <c r="L3277" s="55" t="s">
        <v>360</v>
      </c>
      <c r="M3277" s="55" t="s">
        <v>142</v>
      </c>
      <c r="N3277" s="55" t="s">
        <v>142</v>
      </c>
      <c r="O3277" s="55" t="s">
        <v>252</v>
      </c>
      <c r="P3277" s="55" t="s">
        <v>503</v>
      </c>
      <c r="Q3277" s="55" t="s">
        <v>350</v>
      </c>
      <c r="R3277" s="85">
        <v>3</v>
      </c>
      <c r="S3277" s="55">
        <v>0</v>
      </c>
      <c r="T3277" s="74" t="s">
        <v>504</v>
      </c>
      <c r="U3277" s="74" t="s">
        <v>351</v>
      </c>
      <c r="V3277" s="74">
        <v>44545</v>
      </c>
      <c r="W3277" s="74">
        <v>44594</v>
      </c>
      <c r="X3277" s="55">
        <v>10187564</v>
      </c>
      <c r="Y3277" s="55" t="s">
        <v>132</v>
      </c>
      <c r="AB3277" s="74" t="s">
        <v>132</v>
      </c>
      <c r="AC3277" s="55" t="s">
        <v>132</v>
      </c>
      <c r="AL3277" s="74"/>
      <c r="AM3277" s="74"/>
      <c r="AW3277" s="74"/>
      <c r="AX3277" s="74"/>
    </row>
    <row r="3278" spans="1:50" ht="13" x14ac:dyDescent="0.15">
      <c r="A3278" s="55" t="str">
        <f>HYPERLINK("http://reports.ofsted.gov.uk/inspection-reports/find-inspection-report/provider/CARE/SC461275","Ofsted Social Care Provider Webpage")</f>
        <v>Ofsted Social Care Provider Webpage</v>
      </c>
      <c r="B3278" s="55" t="s">
        <v>6761</v>
      </c>
      <c r="D3278" s="55" t="s">
        <v>373</v>
      </c>
      <c r="E3278" s="74">
        <v>41383</v>
      </c>
      <c r="F3278" s="55" t="s">
        <v>6707</v>
      </c>
      <c r="G3278" s="55" t="s">
        <v>360</v>
      </c>
      <c r="H3278" s="55" t="s">
        <v>360</v>
      </c>
      <c r="I3278" s="55" t="s">
        <v>360</v>
      </c>
      <c r="J3278" s="55" t="s">
        <v>360</v>
      </c>
      <c r="K3278" s="55" t="s">
        <v>360</v>
      </c>
      <c r="L3278" s="55" t="s">
        <v>360</v>
      </c>
      <c r="M3278" s="55" t="s">
        <v>142</v>
      </c>
      <c r="N3278" s="55" t="s">
        <v>142</v>
      </c>
      <c r="O3278" s="55" t="s">
        <v>262</v>
      </c>
      <c r="P3278" s="55" t="s">
        <v>692</v>
      </c>
      <c r="Q3278" s="55" t="s">
        <v>350</v>
      </c>
      <c r="R3278" s="85">
        <v>2</v>
      </c>
      <c r="S3278" s="55">
        <v>0</v>
      </c>
      <c r="T3278" s="74" t="s">
        <v>1253</v>
      </c>
      <c r="U3278" s="74" t="s">
        <v>351</v>
      </c>
      <c r="V3278" s="74">
        <v>44411</v>
      </c>
      <c r="W3278" s="74">
        <v>44460</v>
      </c>
      <c r="X3278" s="55">
        <v>10187281</v>
      </c>
      <c r="Y3278" s="55" t="s">
        <v>130</v>
      </c>
      <c r="AB3278" s="74" t="s">
        <v>130</v>
      </c>
      <c r="AC3278" s="55" t="s">
        <v>130</v>
      </c>
      <c r="AL3278" s="74"/>
      <c r="AM3278" s="74"/>
      <c r="AW3278" s="74"/>
      <c r="AX3278" s="74"/>
    </row>
    <row r="3279" spans="1:50" ht="13" x14ac:dyDescent="0.15">
      <c r="A3279" s="55" t="str">
        <f>HYPERLINK("http://reports.ofsted.gov.uk/inspection-reports/find-inspection-report/provider/CARE/SC461450","Ofsted Social Care Provider Webpage")</f>
        <v>Ofsted Social Care Provider Webpage</v>
      </c>
      <c r="B3279" s="55" t="s">
        <v>6072</v>
      </c>
      <c r="D3279" s="55" t="s">
        <v>373</v>
      </c>
      <c r="E3279" s="74">
        <v>41411</v>
      </c>
      <c r="F3279" s="55" t="s">
        <v>344</v>
      </c>
      <c r="G3279" s="55" t="s">
        <v>360</v>
      </c>
      <c r="H3279" s="55" t="s">
        <v>360</v>
      </c>
      <c r="I3279" s="55" t="s">
        <v>360</v>
      </c>
      <c r="J3279" s="55" t="s">
        <v>360</v>
      </c>
      <c r="K3279" s="55" t="s">
        <v>360</v>
      </c>
      <c r="L3279" s="55" t="s">
        <v>360</v>
      </c>
      <c r="M3279" s="55" t="s">
        <v>378</v>
      </c>
      <c r="N3279" s="55" t="s">
        <v>134</v>
      </c>
      <c r="O3279" s="55" t="s">
        <v>206</v>
      </c>
      <c r="P3279" s="55" t="s">
        <v>710</v>
      </c>
      <c r="Q3279" s="55" t="s">
        <v>350</v>
      </c>
      <c r="R3279" s="85">
        <v>3</v>
      </c>
      <c r="S3279" s="55">
        <v>0</v>
      </c>
      <c r="T3279" s="74" t="s">
        <v>1237</v>
      </c>
      <c r="U3279" s="74" t="s">
        <v>351</v>
      </c>
      <c r="V3279" s="74">
        <v>44593</v>
      </c>
      <c r="W3279" s="74">
        <v>44636</v>
      </c>
      <c r="X3279" s="55">
        <v>10187244</v>
      </c>
      <c r="Y3279" s="55" t="s">
        <v>132</v>
      </c>
      <c r="AB3279" s="74" t="s">
        <v>132</v>
      </c>
      <c r="AC3279" s="55" t="s">
        <v>130</v>
      </c>
      <c r="AL3279" s="74"/>
      <c r="AM3279" s="74"/>
    </row>
    <row r="3280" spans="1:50" ht="13" x14ac:dyDescent="0.15">
      <c r="A3280" s="55" t="str">
        <f>HYPERLINK("http://reports.ofsted.gov.uk/inspection-reports/find-inspection-report/provider/CARE/SC461781","Ofsted Social Care Provider Webpage")</f>
        <v>Ofsted Social Care Provider Webpage</v>
      </c>
      <c r="B3280" s="55" t="s">
        <v>6073</v>
      </c>
      <c r="D3280" s="55" t="s">
        <v>373</v>
      </c>
      <c r="E3280" s="74">
        <v>41415</v>
      </c>
      <c r="F3280" s="55" t="s">
        <v>344</v>
      </c>
      <c r="G3280" s="55" t="s">
        <v>360</v>
      </c>
      <c r="H3280" s="55" t="s">
        <v>360</v>
      </c>
      <c r="I3280" s="55" t="s">
        <v>360</v>
      </c>
      <c r="J3280" s="55" t="s">
        <v>360</v>
      </c>
      <c r="K3280" s="55" t="s">
        <v>360</v>
      </c>
      <c r="L3280" s="55" t="s">
        <v>360</v>
      </c>
      <c r="M3280" s="55" t="s">
        <v>150</v>
      </c>
      <c r="N3280" s="55" t="s">
        <v>150</v>
      </c>
      <c r="O3280" s="55" t="s">
        <v>190</v>
      </c>
      <c r="P3280" s="55" t="s">
        <v>749</v>
      </c>
      <c r="Q3280" s="55" t="s">
        <v>350</v>
      </c>
      <c r="R3280" s="85">
        <v>4</v>
      </c>
      <c r="S3280" s="55">
        <v>0</v>
      </c>
      <c r="T3280" s="74" t="s">
        <v>888</v>
      </c>
      <c r="U3280" s="74" t="s">
        <v>2053</v>
      </c>
      <c r="V3280" s="74">
        <v>44614</v>
      </c>
      <c r="W3280" s="74">
        <v>44659</v>
      </c>
      <c r="X3280" s="55">
        <v>10220235</v>
      </c>
      <c r="AL3280" s="74"/>
      <c r="AM3280" s="74"/>
    </row>
    <row r="3281" spans="1:39" ht="13" x14ac:dyDescent="0.15">
      <c r="A3281" s="55" t="str">
        <f>HYPERLINK("http://reports.ofsted.gov.uk/inspection-reports/find-inspection-report/provider/CARE/SC461781","Ofsted Social Care Provider Webpage")</f>
        <v>Ofsted Social Care Provider Webpage</v>
      </c>
      <c r="B3281" s="55" t="s">
        <v>6073</v>
      </c>
      <c r="D3281" s="55" t="s">
        <v>373</v>
      </c>
      <c r="E3281" s="74">
        <v>41415</v>
      </c>
      <c r="F3281" s="55" t="s">
        <v>344</v>
      </c>
      <c r="G3281" s="55" t="s">
        <v>360</v>
      </c>
      <c r="H3281" s="55" t="s">
        <v>360</v>
      </c>
      <c r="I3281" s="55" t="s">
        <v>360</v>
      </c>
      <c r="J3281" s="55" t="s">
        <v>360</v>
      </c>
      <c r="K3281" s="55" t="s">
        <v>360</v>
      </c>
      <c r="L3281" s="55" t="s">
        <v>360</v>
      </c>
      <c r="M3281" s="55" t="s">
        <v>150</v>
      </c>
      <c r="N3281" s="55" t="s">
        <v>150</v>
      </c>
      <c r="O3281" s="55" t="s">
        <v>190</v>
      </c>
      <c r="P3281" s="55" t="s">
        <v>749</v>
      </c>
      <c r="Q3281" s="55" t="s">
        <v>350</v>
      </c>
      <c r="R3281" s="85">
        <v>4</v>
      </c>
      <c r="S3281" s="55">
        <v>0</v>
      </c>
      <c r="T3281" s="74" t="s">
        <v>888</v>
      </c>
      <c r="U3281" s="74" t="s">
        <v>2053</v>
      </c>
      <c r="V3281" s="74">
        <v>44335</v>
      </c>
      <c r="W3281" s="74">
        <v>44392</v>
      </c>
      <c r="X3281" s="55">
        <v>10195749</v>
      </c>
      <c r="AL3281" s="74"/>
      <c r="AM3281" s="74"/>
    </row>
    <row r="3282" spans="1:39" ht="13" x14ac:dyDescent="0.15">
      <c r="A3282" s="55" t="str">
        <f>HYPERLINK("http://reports.ofsted.gov.uk/inspection-reports/find-inspection-report/provider/CARE/SC461781","Ofsted Social Care Provider Webpage")</f>
        <v>Ofsted Social Care Provider Webpage</v>
      </c>
      <c r="B3282" s="55" t="s">
        <v>6073</v>
      </c>
      <c r="D3282" s="55" t="s">
        <v>373</v>
      </c>
      <c r="E3282" s="74">
        <v>41415</v>
      </c>
      <c r="F3282" s="55" t="s">
        <v>344</v>
      </c>
      <c r="G3282" s="55" t="s">
        <v>360</v>
      </c>
      <c r="H3282" s="55" t="s">
        <v>360</v>
      </c>
      <c r="I3282" s="55" t="s">
        <v>360</v>
      </c>
      <c r="J3282" s="55" t="s">
        <v>360</v>
      </c>
      <c r="K3282" s="55" t="s">
        <v>360</v>
      </c>
      <c r="L3282" s="55" t="s">
        <v>360</v>
      </c>
      <c r="M3282" s="55" t="s">
        <v>150</v>
      </c>
      <c r="N3282" s="55" t="s">
        <v>150</v>
      </c>
      <c r="O3282" s="55" t="s">
        <v>190</v>
      </c>
      <c r="P3282" s="55" t="s">
        <v>749</v>
      </c>
      <c r="Q3282" s="55" t="s">
        <v>350</v>
      </c>
      <c r="R3282" s="85">
        <v>4</v>
      </c>
      <c r="S3282" s="55">
        <v>0</v>
      </c>
      <c r="T3282" s="74" t="s">
        <v>888</v>
      </c>
      <c r="U3282" s="74" t="s">
        <v>351</v>
      </c>
      <c r="V3282" s="74">
        <v>44404</v>
      </c>
      <c r="W3282" s="74">
        <v>44452</v>
      </c>
      <c r="X3282" s="55">
        <v>10187503</v>
      </c>
      <c r="Y3282" s="55" t="s">
        <v>130</v>
      </c>
      <c r="AB3282" s="74" t="s">
        <v>130</v>
      </c>
      <c r="AC3282" s="55" t="s">
        <v>130</v>
      </c>
      <c r="AL3282" s="74"/>
      <c r="AM3282" s="74"/>
    </row>
    <row r="3283" spans="1:39" ht="13" x14ac:dyDescent="0.15">
      <c r="A3283" s="55" t="str">
        <f>HYPERLINK("http://reports.ofsted.gov.uk/inspection-reports/find-inspection-report/provider/CARE/SC461781","Ofsted Social Care Provider Webpage")</f>
        <v>Ofsted Social Care Provider Webpage</v>
      </c>
      <c r="B3283" s="55" t="s">
        <v>6073</v>
      </c>
      <c r="D3283" s="55" t="s">
        <v>373</v>
      </c>
      <c r="E3283" s="74">
        <v>41415</v>
      </c>
      <c r="F3283" s="55" t="s">
        <v>344</v>
      </c>
      <c r="G3283" s="55" t="s">
        <v>360</v>
      </c>
      <c r="H3283" s="55" t="s">
        <v>360</v>
      </c>
      <c r="I3283" s="55" t="s">
        <v>360</v>
      </c>
      <c r="J3283" s="55" t="s">
        <v>360</v>
      </c>
      <c r="K3283" s="55" t="s">
        <v>360</v>
      </c>
      <c r="L3283" s="55" t="s">
        <v>360</v>
      </c>
      <c r="M3283" s="55" t="s">
        <v>150</v>
      </c>
      <c r="N3283" s="55" t="s">
        <v>150</v>
      </c>
      <c r="O3283" s="55" t="s">
        <v>190</v>
      </c>
      <c r="P3283" s="55" t="s">
        <v>749</v>
      </c>
      <c r="Q3283" s="55" t="s">
        <v>350</v>
      </c>
      <c r="R3283" s="85">
        <v>4</v>
      </c>
      <c r="S3283" s="55">
        <v>0</v>
      </c>
      <c r="T3283" s="74" t="s">
        <v>888</v>
      </c>
      <c r="U3283" s="74" t="s">
        <v>6703</v>
      </c>
      <c r="V3283" s="74">
        <v>44571</v>
      </c>
      <c r="W3283" s="74">
        <v>44613</v>
      </c>
      <c r="X3283" s="55">
        <v>10212858</v>
      </c>
      <c r="Y3283" s="55" t="s">
        <v>6704</v>
      </c>
      <c r="AL3283" s="74"/>
      <c r="AM3283" s="74"/>
    </row>
    <row r="3284" spans="1:39" ht="13" x14ac:dyDescent="0.15">
      <c r="A3284" s="55" t="str">
        <f>HYPERLINK("http://reports.ofsted.gov.uk/inspection-reports/find-inspection-report/provider/CARE/SC461846","Ofsted Social Care Provider Webpage")</f>
        <v>Ofsted Social Care Provider Webpage</v>
      </c>
      <c r="B3284" s="55" t="s">
        <v>6074</v>
      </c>
      <c r="D3284" s="55" t="s">
        <v>373</v>
      </c>
      <c r="E3284" s="74">
        <v>41389</v>
      </c>
      <c r="F3284" s="55" t="s">
        <v>344</v>
      </c>
      <c r="G3284" s="55" t="s">
        <v>360</v>
      </c>
      <c r="H3284" s="55" t="s">
        <v>360</v>
      </c>
      <c r="I3284" s="55" t="s">
        <v>360</v>
      </c>
      <c r="J3284" s="55" t="s">
        <v>360</v>
      </c>
      <c r="K3284" s="55" t="s">
        <v>360</v>
      </c>
      <c r="L3284" s="55" t="s">
        <v>360</v>
      </c>
      <c r="M3284" s="55" t="s">
        <v>138</v>
      </c>
      <c r="N3284" s="55" t="s">
        <v>138</v>
      </c>
      <c r="O3284" s="55" t="s">
        <v>183</v>
      </c>
      <c r="P3284" s="55" t="s">
        <v>510</v>
      </c>
      <c r="Q3284" s="55" t="s">
        <v>350</v>
      </c>
      <c r="R3284" s="85">
        <v>6</v>
      </c>
      <c r="S3284" s="55">
        <v>0</v>
      </c>
      <c r="T3284" s="74" t="s">
        <v>644</v>
      </c>
      <c r="U3284" s="74" t="s">
        <v>351</v>
      </c>
      <c r="V3284" s="74">
        <v>44607</v>
      </c>
      <c r="W3284" s="74">
        <v>44637</v>
      </c>
      <c r="X3284" s="55">
        <v>10186815</v>
      </c>
      <c r="Y3284" s="55" t="s">
        <v>146</v>
      </c>
      <c r="AB3284" s="74" t="s">
        <v>146</v>
      </c>
      <c r="AC3284" s="55" t="s">
        <v>146</v>
      </c>
      <c r="AL3284" s="74"/>
      <c r="AM3284" s="74"/>
    </row>
    <row r="3285" spans="1:39" ht="13" x14ac:dyDescent="0.15">
      <c r="A3285" s="55" t="str">
        <f>HYPERLINK("http://reports.ofsted.gov.uk/inspection-reports/find-inspection-report/provider/CARE/SC461865","Ofsted Social Care Provider Webpage")</f>
        <v>Ofsted Social Care Provider Webpage</v>
      </c>
      <c r="B3285" s="55" t="s">
        <v>6075</v>
      </c>
      <c r="D3285" s="55" t="s">
        <v>373</v>
      </c>
      <c r="E3285" s="74">
        <v>41586</v>
      </c>
      <c r="F3285" s="55" t="s">
        <v>344</v>
      </c>
      <c r="G3285" s="55" t="s">
        <v>360</v>
      </c>
      <c r="H3285" s="55" t="s">
        <v>360</v>
      </c>
      <c r="I3285" s="55" t="s">
        <v>360</v>
      </c>
      <c r="J3285" s="55" t="s">
        <v>360</v>
      </c>
      <c r="K3285" s="55" t="s">
        <v>360</v>
      </c>
      <c r="L3285" s="55" t="s">
        <v>360</v>
      </c>
      <c r="M3285" s="55" t="s">
        <v>129</v>
      </c>
      <c r="N3285" s="55" t="s">
        <v>129</v>
      </c>
      <c r="O3285" s="55" t="s">
        <v>242</v>
      </c>
      <c r="P3285" s="55" t="s">
        <v>1519</v>
      </c>
      <c r="Q3285" s="55" t="s">
        <v>350</v>
      </c>
      <c r="R3285" s="85">
        <v>5</v>
      </c>
      <c r="S3285" s="55">
        <v>0</v>
      </c>
      <c r="T3285" s="74" t="s">
        <v>6076</v>
      </c>
      <c r="U3285" s="74" t="s">
        <v>351</v>
      </c>
      <c r="V3285" s="74">
        <v>44446</v>
      </c>
      <c r="W3285" s="74">
        <v>44481</v>
      </c>
      <c r="X3285" s="55">
        <v>10187606</v>
      </c>
      <c r="Y3285" s="55" t="s">
        <v>132</v>
      </c>
      <c r="AB3285" s="74" t="s">
        <v>132</v>
      </c>
      <c r="AC3285" s="55" t="s">
        <v>130</v>
      </c>
    </row>
    <row r="3286" spans="1:39" ht="13" x14ac:dyDescent="0.15">
      <c r="A3286" s="55" t="str">
        <f>HYPERLINK("http://reports.ofsted.gov.uk/inspection-reports/find-inspection-report/provider/CARE/SC461938","Ofsted Social Care Provider Webpage")</f>
        <v>Ofsted Social Care Provider Webpage</v>
      </c>
      <c r="B3286" s="55" t="s">
        <v>6077</v>
      </c>
      <c r="D3286" s="55" t="s">
        <v>373</v>
      </c>
      <c r="E3286" s="74">
        <v>41415</v>
      </c>
      <c r="F3286" s="55" t="s">
        <v>344</v>
      </c>
      <c r="G3286" s="55" t="s">
        <v>360</v>
      </c>
      <c r="H3286" s="55" t="s">
        <v>360</v>
      </c>
      <c r="I3286" s="55" t="s">
        <v>360</v>
      </c>
      <c r="J3286" s="55" t="s">
        <v>360</v>
      </c>
      <c r="K3286" s="55" t="s">
        <v>360</v>
      </c>
      <c r="L3286" s="55" t="s">
        <v>360</v>
      </c>
      <c r="M3286" s="55" t="s">
        <v>144</v>
      </c>
      <c r="N3286" s="55" t="s">
        <v>144</v>
      </c>
      <c r="O3286" s="55" t="s">
        <v>290</v>
      </c>
      <c r="P3286" s="55" t="s">
        <v>1099</v>
      </c>
      <c r="Q3286" s="55" t="s">
        <v>350</v>
      </c>
      <c r="R3286" s="85">
        <v>2</v>
      </c>
      <c r="S3286" s="55">
        <v>0</v>
      </c>
      <c r="T3286" s="74" t="s">
        <v>1446</v>
      </c>
      <c r="U3286" s="74" t="s">
        <v>351</v>
      </c>
      <c r="V3286" s="74">
        <v>44550</v>
      </c>
      <c r="W3286" s="74">
        <v>44593</v>
      </c>
      <c r="X3286" s="55">
        <v>10185547</v>
      </c>
      <c r="Y3286" s="55" t="s">
        <v>132</v>
      </c>
      <c r="AB3286" s="74" t="s">
        <v>132</v>
      </c>
      <c r="AC3286" s="55" t="s">
        <v>132</v>
      </c>
    </row>
    <row r="3287" spans="1:39" ht="13" x14ac:dyDescent="0.15">
      <c r="A3287" s="55" t="str">
        <f>HYPERLINK("http://reports.ofsted.gov.uk/inspection-reports/find-inspection-report/provider/CARE/SC462450","Ofsted Social Care Provider Webpage")</f>
        <v>Ofsted Social Care Provider Webpage</v>
      </c>
      <c r="B3287" s="55" t="s">
        <v>6085</v>
      </c>
      <c r="D3287" s="55" t="s">
        <v>373</v>
      </c>
      <c r="E3287" s="74">
        <v>41459</v>
      </c>
      <c r="F3287" s="55" t="s">
        <v>344</v>
      </c>
      <c r="G3287" s="55" t="s">
        <v>360</v>
      </c>
      <c r="H3287" s="55" t="s">
        <v>360</v>
      </c>
      <c r="I3287" s="55" t="s">
        <v>360</v>
      </c>
      <c r="J3287" s="55" t="s">
        <v>360</v>
      </c>
      <c r="K3287" s="55" t="s">
        <v>360</v>
      </c>
      <c r="L3287" s="55" t="s">
        <v>360</v>
      </c>
      <c r="M3287" s="55" t="s">
        <v>138</v>
      </c>
      <c r="N3287" s="55" t="s">
        <v>138</v>
      </c>
      <c r="O3287" s="55" t="s">
        <v>273</v>
      </c>
      <c r="P3287" s="55" t="s">
        <v>273</v>
      </c>
      <c r="Q3287" s="55" t="s">
        <v>350</v>
      </c>
      <c r="R3287" s="85">
        <v>4</v>
      </c>
      <c r="S3287" s="55">
        <v>0</v>
      </c>
      <c r="T3287" s="74" t="s">
        <v>6086</v>
      </c>
      <c r="U3287" s="74" t="s">
        <v>351</v>
      </c>
      <c r="V3287" s="74">
        <v>44398</v>
      </c>
      <c r="W3287" s="74">
        <v>44421</v>
      </c>
      <c r="X3287" s="55">
        <v>10186905</v>
      </c>
      <c r="Y3287" s="55" t="s">
        <v>132</v>
      </c>
      <c r="AB3287" s="74" t="s">
        <v>132</v>
      </c>
      <c r="AC3287" s="55" t="s">
        <v>132</v>
      </c>
    </row>
    <row r="3288" spans="1:39" ht="13" x14ac:dyDescent="0.15">
      <c r="A3288" s="55" t="str">
        <f>HYPERLINK("http://reports.ofsted.gov.uk/inspection-reports/find-inspection-report/provider/CARE/SC462583","Ofsted Social Care Provider Webpage")</f>
        <v>Ofsted Social Care Provider Webpage</v>
      </c>
      <c r="B3288" s="55" t="s">
        <v>6100</v>
      </c>
      <c r="D3288" s="55" t="s">
        <v>373</v>
      </c>
      <c r="E3288" s="74">
        <v>41393</v>
      </c>
      <c r="F3288" s="55" t="s">
        <v>344</v>
      </c>
      <c r="G3288" s="55" t="s">
        <v>360</v>
      </c>
      <c r="H3288" s="55" t="s">
        <v>360</v>
      </c>
      <c r="I3288" s="55" t="s">
        <v>360</v>
      </c>
      <c r="J3288" s="55" t="s">
        <v>360</v>
      </c>
      <c r="K3288" s="55" t="s">
        <v>360</v>
      </c>
      <c r="L3288" s="55" t="s">
        <v>360</v>
      </c>
      <c r="M3288" s="55" t="s">
        <v>138</v>
      </c>
      <c r="N3288" s="55" t="s">
        <v>138</v>
      </c>
      <c r="O3288" s="55" t="s">
        <v>224</v>
      </c>
      <c r="P3288" s="55" t="s">
        <v>2271</v>
      </c>
      <c r="Q3288" s="55" t="s">
        <v>380</v>
      </c>
      <c r="R3288" s="85">
        <v>4</v>
      </c>
      <c r="S3288" s="55" t="s">
        <v>332</v>
      </c>
      <c r="T3288" s="74" t="s">
        <v>2272</v>
      </c>
      <c r="U3288" s="74" t="s">
        <v>351</v>
      </c>
      <c r="V3288" s="74">
        <v>44397</v>
      </c>
      <c r="W3288" s="74">
        <v>44428</v>
      </c>
      <c r="X3288" s="55">
        <v>10185189</v>
      </c>
      <c r="Y3288" s="55" t="s">
        <v>132</v>
      </c>
      <c r="AB3288" s="74" t="s">
        <v>140</v>
      </c>
      <c r="AC3288" s="55" t="s">
        <v>132</v>
      </c>
    </row>
    <row r="3289" spans="1:39" ht="13" x14ac:dyDescent="0.15">
      <c r="A3289" s="55" t="str">
        <f>HYPERLINK("http://reports.ofsted.gov.uk/inspection-reports/find-inspection-report/provider/CARE/SC462591","Ofsted Social Care Provider Webpage")</f>
        <v>Ofsted Social Care Provider Webpage</v>
      </c>
      <c r="B3289" s="55" t="s">
        <v>6101</v>
      </c>
      <c r="D3289" s="55" t="s">
        <v>373</v>
      </c>
      <c r="E3289" s="74">
        <v>41381</v>
      </c>
      <c r="F3289" s="55" t="s">
        <v>344</v>
      </c>
      <c r="G3289" s="55" t="s">
        <v>360</v>
      </c>
      <c r="H3289" s="55" t="s">
        <v>360</v>
      </c>
      <c r="I3289" s="55" t="s">
        <v>360</v>
      </c>
      <c r="J3289" s="55" t="s">
        <v>360</v>
      </c>
      <c r="K3289" s="55" t="s">
        <v>360</v>
      </c>
      <c r="L3289" s="55" t="s">
        <v>360</v>
      </c>
      <c r="M3289" s="55" t="s">
        <v>378</v>
      </c>
      <c r="N3289" s="55" t="s">
        <v>134</v>
      </c>
      <c r="O3289" s="55" t="s">
        <v>158</v>
      </c>
      <c r="P3289" s="55" t="s">
        <v>480</v>
      </c>
      <c r="Q3289" s="55" t="s">
        <v>350</v>
      </c>
      <c r="R3289" s="85">
        <v>3</v>
      </c>
      <c r="S3289" s="55">
        <v>0</v>
      </c>
      <c r="T3289" s="74" t="s">
        <v>6102</v>
      </c>
      <c r="U3289" s="74" t="s">
        <v>6703</v>
      </c>
      <c r="V3289" s="74">
        <v>44586</v>
      </c>
      <c r="W3289" s="74">
        <v>44608</v>
      </c>
      <c r="X3289" s="55">
        <v>10212735</v>
      </c>
      <c r="Y3289" s="55" t="s">
        <v>6705</v>
      </c>
    </row>
    <row r="3290" spans="1:39" ht="13" x14ac:dyDescent="0.15">
      <c r="A3290" s="55" t="str">
        <f>HYPERLINK("http://reports.ofsted.gov.uk/inspection-reports/find-inspection-report/provider/CARE/SC462591","Ofsted Social Care Provider Webpage")</f>
        <v>Ofsted Social Care Provider Webpage</v>
      </c>
      <c r="B3290" s="55" t="s">
        <v>6101</v>
      </c>
      <c r="D3290" s="55" t="s">
        <v>373</v>
      </c>
      <c r="E3290" s="74">
        <v>41381</v>
      </c>
      <c r="F3290" s="55" t="s">
        <v>344</v>
      </c>
      <c r="G3290" s="55" t="s">
        <v>360</v>
      </c>
      <c r="H3290" s="55" t="s">
        <v>360</v>
      </c>
      <c r="I3290" s="55" t="s">
        <v>360</v>
      </c>
      <c r="J3290" s="55" t="s">
        <v>360</v>
      </c>
      <c r="K3290" s="55" t="s">
        <v>360</v>
      </c>
      <c r="L3290" s="55" t="s">
        <v>360</v>
      </c>
      <c r="M3290" s="55" t="s">
        <v>378</v>
      </c>
      <c r="N3290" s="55" t="s">
        <v>134</v>
      </c>
      <c r="O3290" s="55" t="s">
        <v>158</v>
      </c>
      <c r="P3290" s="55" t="s">
        <v>480</v>
      </c>
      <c r="Q3290" s="55" t="s">
        <v>350</v>
      </c>
      <c r="R3290" s="85">
        <v>3</v>
      </c>
      <c r="S3290" s="55">
        <v>0</v>
      </c>
      <c r="T3290" s="74" t="s">
        <v>6102</v>
      </c>
      <c r="U3290" s="74" t="s">
        <v>351</v>
      </c>
      <c r="V3290" s="74">
        <v>44488</v>
      </c>
      <c r="W3290" s="74">
        <v>44522</v>
      </c>
      <c r="X3290" s="55">
        <v>10185616</v>
      </c>
      <c r="Y3290" s="55" t="s">
        <v>130</v>
      </c>
      <c r="AB3290" s="74" t="s">
        <v>130</v>
      </c>
      <c r="AC3290" s="55" t="s">
        <v>130</v>
      </c>
    </row>
    <row r="3291" spans="1:39" ht="13" x14ac:dyDescent="0.15">
      <c r="A3291" s="55" t="str">
        <f>HYPERLINK("http://reports.ofsted.gov.uk/inspection-reports/find-inspection-report/provider/CARE/SC462593","Ofsted Social Care Provider Webpage")</f>
        <v>Ofsted Social Care Provider Webpage</v>
      </c>
      <c r="B3291" s="55" t="s">
        <v>6103</v>
      </c>
      <c r="D3291" s="55" t="s">
        <v>373</v>
      </c>
      <c r="E3291" s="74">
        <v>41381</v>
      </c>
      <c r="F3291" s="55" t="s">
        <v>344</v>
      </c>
      <c r="G3291" s="55" t="s">
        <v>360</v>
      </c>
      <c r="H3291" s="55" t="s">
        <v>360</v>
      </c>
      <c r="I3291" s="55" t="s">
        <v>360</v>
      </c>
      <c r="J3291" s="55" t="s">
        <v>360</v>
      </c>
      <c r="K3291" s="55" t="s">
        <v>360</v>
      </c>
      <c r="L3291" s="55" t="s">
        <v>360</v>
      </c>
      <c r="M3291" s="55" t="s">
        <v>378</v>
      </c>
      <c r="N3291" s="55" t="s">
        <v>134</v>
      </c>
      <c r="O3291" s="55" t="s">
        <v>158</v>
      </c>
      <c r="P3291" s="55" t="s">
        <v>912</v>
      </c>
      <c r="Q3291" s="55" t="s">
        <v>350</v>
      </c>
      <c r="R3291" s="85">
        <v>4</v>
      </c>
      <c r="S3291" s="55">
        <v>0</v>
      </c>
      <c r="T3291" s="74" t="s">
        <v>6102</v>
      </c>
      <c r="U3291" s="74" t="s">
        <v>351</v>
      </c>
      <c r="V3291" s="74">
        <v>44312</v>
      </c>
      <c r="W3291" s="74">
        <v>44355</v>
      </c>
      <c r="X3291" s="55">
        <v>10185244</v>
      </c>
      <c r="Y3291" s="55" t="s">
        <v>132</v>
      </c>
      <c r="AB3291" s="74" t="s">
        <v>132</v>
      </c>
      <c r="AC3291" s="55" t="s">
        <v>132</v>
      </c>
    </row>
    <row r="3292" spans="1:39" ht="13" x14ac:dyDescent="0.15">
      <c r="A3292" s="55" t="str">
        <f>HYPERLINK("http://reports.ofsted.gov.uk/inspection-reports/find-inspection-report/provider/CARE/SC462631","Ofsted Social Care Provider Webpage")</f>
        <v>Ofsted Social Care Provider Webpage</v>
      </c>
      <c r="B3292" s="55" t="s">
        <v>6104</v>
      </c>
      <c r="D3292" s="55" t="s">
        <v>373</v>
      </c>
      <c r="E3292" s="74">
        <v>41528</v>
      </c>
      <c r="F3292" s="55" t="s">
        <v>344</v>
      </c>
      <c r="G3292" s="55" t="s">
        <v>360</v>
      </c>
      <c r="H3292" s="55" t="s">
        <v>360</v>
      </c>
      <c r="I3292" s="55" t="s">
        <v>360</v>
      </c>
      <c r="J3292" s="55" t="s">
        <v>360</v>
      </c>
      <c r="K3292" s="55" t="s">
        <v>360</v>
      </c>
      <c r="L3292" s="55" t="s">
        <v>360</v>
      </c>
      <c r="M3292" s="55" t="s">
        <v>129</v>
      </c>
      <c r="N3292" s="55" t="s">
        <v>129</v>
      </c>
      <c r="O3292" s="55" t="s">
        <v>167</v>
      </c>
      <c r="P3292" s="55" t="s">
        <v>866</v>
      </c>
      <c r="Q3292" s="55" t="s">
        <v>350</v>
      </c>
      <c r="R3292" s="85">
        <v>3</v>
      </c>
      <c r="S3292" s="55">
        <v>0</v>
      </c>
      <c r="U3292" s="74" t="s">
        <v>351</v>
      </c>
      <c r="V3292" s="74">
        <v>44614</v>
      </c>
      <c r="W3292" s="74">
        <v>44658</v>
      </c>
      <c r="X3292" s="55">
        <v>10187265</v>
      </c>
      <c r="Y3292" s="55" t="s">
        <v>132</v>
      </c>
      <c r="AB3292" s="74" t="s">
        <v>132</v>
      </c>
      <c r="AC3292" s="55" t="s">
        <v>130</v>
      </c>
    </row>
    <row r="3293" spans="1:39" ht="13" x14ac:dyDescent="0.15">
      <c r="A3293" s="55" t="str">
        <f>HYPERLINK("http://reports.ofsted.gov.uk/inspection-reports/find-inspection-report/provider/CARE/SC462729","Ofsted Social Care Provider Webpage")</f>
        <v>Ofsted Social Care Provider Webpage</v>
      </c>
      <c r="B3293" s="55" t="s">
        <v>6105</v>
      </c>
      <c r="D3293" s="55" t="s">
        <v>373</v>
      </c>
      <c r="E3293" s="74">
        <v>41416</v>
      </c>
      <c r="F3293" s="55" t="s">
        <v>344</v>
      </c>
      <c r="G3293" s="55" t="s">
        <v>360</v>
      </c>
      <c r="H3293" s="55" t="s">
        <v>360</v>
      </c>
      <c r="I3293" s="55" t="s">
        <v>360</v>
      </c>
      <c r="J3293" s="55" t="s">
        <v>360</v>
      </c>
      <c r="K3293" s="55" t="s">
        <v>360</v>
      </c>
      <c r="L3293" s="55" t="s">
        <v>360</v>
      </c>
      <c r="M3293" s="55" t="s">
        <v>138</v>
      </c>
      <c r="N3293" s="55" t="s">
        <v>138</v>
      </c>
      <c r="O3293" s="55" t="s">
        <v>183</v>
      </c>
      <c r="P3293" s="55" t="s">
        <v>576</v>
      </c>
      <c r="Q3293" s="55" t="s">
        <v>350</v>
      </c>
      <c r="R3293" s="85">
        <v>5</v>
      </c>
      <c r="S3293" s="55">
        <v>0</v>
      </c>
      <c r="T3293" s="74" t="s">
        <v>997</v>
      </c>
      <c r="U3293" s="74" t="s">
        <v>351</v>
      </c>
      <c r="V3293" s="74">
        <v>44488</v>
      </c>
      <c r="W3293" s="74">
        <v>44523</v>
      </c>
      <c r="X3293" s="55">
        <v>10186941</v>
      </c>
      <c r="Y3293" s="55" t="s">
        <v>132</v>
      </c>
      <c r="AB3293" s="74" t="s">
        <v>132</v>
      </c>
      <c r="AC3293" s="55" t="s">
        <v>132</v>
      </c>
    </row>
    <row r="3294" spans="1:39" ht="13" x14ac:dyDescent="0.15">
      <c r="A3294" s="55" t="str">
        <f>HYPERLINK("http://reports.ofsted.gov.uk/inspection-reports/find-inspection-report/provider/CARE/SC462951","Ofsted Social Care Provider Webpage")</f>
        <v>Ofsted Social Care Provider Webpage</v>
      </c>
      <c r="B3294" s="55" t="s">
        <v>6106</v>
      </c>
      <c r="D3294" s="55" t="s">
        <v>373</v>
      </c>
      <c r="E3294" s="74">
        <v>41453</v>
      </c>
      <c r="F3294" s="55" t="s">
        <v>344</v>
      </c>
      <c r="G3294" s="55" t="s">
        <v>360</v>
      </c>
      <c r="H3294" s="55" t="s">
        <v>360</v>
      </c>
      <c r="I3294" s="55" t="s">
        <v>360</v>
      </c>
      <c r="J3294" s="55" t="s">
        <v>360</v>
      </c>
      <c r="K3294" s="55" t="s">
        <v>360</v>
      </c>
      <c r="L3294" s="55" t="s">
        <v>360</v>
      </c>
      <c r="M3294" s="55" t="s">
        <v>138</v>
      </c>
      <c r="N3294" s="55" t="s">
        <v>138</v>
      </c>
      <c r="O3294" s="55" t="s">
        <v>183</v>
      </c>
      <c r="P3294" s="55" t="s">
        <v>576</v>
      </c>
      <c r="Q3294" s="55" t="s">
        <v>350</v>
      </c>
      <c r="R3294" s="85">
        <v>3</v>
      </c>
      <c r="S3294" s="55">
        <v>0</v>
      </c>
      <c r="T3294" s="74" t="s">
        <v>6107</v>
      </c>
      <c r="U3294" s="74" t="s">
        <v>351</v>
      </c>
      <c r="V3294" s="74">
        <v>44607</v>
      </c>
      <c r="W3294" s="74">
        <v>44648</v>
      </c>
      <c r="X3294" s="55">
        <v>10187214</v>
      </c>
      <c r="Y3294" s="55" t="s">
        <v>132</v>
      </c>
      <c r="AB3294" s="74" t="s">
        <v>132</v>
      </c>
      <c r="AC3294" s="55" t="s">
        <v>132</v>
      </c>
    </row>
    <row r="3295" spans="1:39" ht="13" x14ac:dyDescent="0.15">
      <c r="A3295" s="55" t="str">
        <f>HYPERLINK("http://reports.ofsted.gov.uk/inspection-reports/find-inspection-report/provider/CARE/SC463188","Ofsted Social Care Provider Webpage")</f>
        <v>Ofsted Social Care Provider Webpage</v>
      </c>
      <c r="B3295" s="55" t="s">
        <v>6116</v>
      </c>
      <c r="D3295" s="55" t="s">
        <v>373</v>
      </c>
      <c r="E3295" s="74">
        <v>41445</v>
      </c>
      <c r="F3295" s="55" t="s">
        <v>344</v>
      </c>
      <c r="G3295" s="55" t="s">
        <v>360</v>
      </c>
      <c r="H3295" s="55" t="s">
        <v>360</v>
      </c>
      <c r="I3295" s="55" t="s">
        <v>360</v>
      </c>
      <c r="J3295" s="55" t="s">
        <v>360</v>
      </c>
      <c r="K3295" s="55" t="s">
        <v>360</v>
      </c>
      <c r="L3295" s="55" t="s">
        <v>360</v>
      </c>
      <c r="M3295" s="55" t="s">
        <v>144</v>
      </c>
      <c r="N3295" s="55" t="s">
        <v>144</v>
      </c>
      <c r="O3295" s="55" t="s">
        <v>162</v>
      </c>
      <c r="P3295" s="55" t="s">
        <v>1502</v>
      </c>
      <c r="Q3295" s="55" t="s">
        <v>350</v>
      </c>
      <c r="R3295" s="85">
        <v>4</v>
      </c>
      <c r="S3295" s="55">
        <v>0</v>
      </c>
      <c r="T3295" s="74" t="s">
        <v>5406</v>
      </c>
      <c r="U3295" s="74" t="s">
        <v>351</v>
      </c>
      <c r="V3295" s="74">
        <v>44587</v>
      </c>
      <c r="W3295" s="74">
        <v>44623</v>
      </c>
      <c r="X3295" s="55">
        <v>10187425</v>
      </c>
      <c r="Y3295" s="55" t="s">
        <v>132</v>
      </c>
      <c r="AB3295" s="74" t="s">
        <v>132</v>
      </c>
      <c r="AC3295" s="55" t="s">
        <v>132</v>
      </c>
    </row>
    <row r="3296" spans="1:39" ht="13" x14ac:dyDescent="0.15">
      <c r="A3296" s="55" t="str">
        <f>HYPERLINK("http://reports.ofsted.gov.uk/inspection-reports/find-inspection-report/provider/CARE/SC463431","Ofsted Social Care Provider Webpage")</f>
        <v>Ofsted Social Care Provider Webpage</v>
      </c>
      <c r="B3296" s="55" t="s">
        <v>6117</v>
      </c>
      <c r="D3296" s="55" t="s">
        <v>373</v>
      </c>
      <c r="E3296" s="74">
        <v>41425</v>
      </c>
      <c r="F3296" s="55" t="s">
        <v>344</v>
      </c>
      <c r="G3296" s="55" t="s">
        <v>360</v>
      </c>
      <c r="H3296" s="55" t="s">
        <v>360</v>
      </c>
      <c r="I3296" s="55" t="s">
        <v>360</v>
      </c>
      <c r="J3296" s="55" t="s">
        <v>360</v>
      </c>
      <c r="K3296" s="55" t="s">
        <v>360</v>
      </c>
      <c r="L3296" s="55" t="s">
        <v>360</v>
      </c>
      <c r="M3296" s="55" t="s">
        <v>136</v>
      </c>
      <c r="N3296" s="55" t="s">
        <v>136</v>
      </c>
      <c r="O3296" s="55" t="s">
        <v>174</v>
      </c>
      <c r="P3296" s="55" t="s">
        <v>857</v>
      </c>
      <c r="Q3296" s="55" t="s">
        <v>350</v>
      </c>
      <c r="R3296" s="85">
        <v>2</v>
      </c>
      <c r="S3296" s="55">
        <v>0</v>
      </c>
      <c r="T3296" s="74" t="s">
        <v>858</v>
      </c>
      <c r="U3296" s="74" t="s">
        <v>351</v>
      </c>
      <c r="V3296" s="74">
        <v>44341</v>
      </c>
      <c r="W3296" s="74">
        <v>44376</v>
      </c>
      <c r="X3296" s="55">
        <v>10185496</v>
      </c>
      <c r="Y3296" s="55" t="s">
        <v>140</v>
      </c>
      <c r="AB3296" s="74" t="s">
        <v>140</v>
      </c>
      <c r="AC3296" s="55" t="s">
        <v>140</v>
      </c>
    </row>
    <row r="3297" spans="1:29" ht="13" x14ac:dyDescent="0.15">
      <c r="A3297" s="55" t="str">
        <f>HYPERLINK("http://reports.ofsted.gov.uk/inspection-reports/find-inspection-report/provider/CARE/SC463639","Ofsted Social Care Provider Webpage")</f>
        <v>Ofsted Social Care Provider Webpage</v>
      </c>
      <c r="B3297" s="55" t="s">
        <v>6118</v>
      </c>
      <c r="D3297" s="55" t="s">
        <v>373</v>
      </c>
      <c r="E3297" s="74">
        <v>41474</v>
      </c>
      <c r="F3297" s="55" t="s">
        <v>344</v>
      </c>
      <c r="G3297" s="55" t="s">
        <v>360</v>
      </c>
      <c r="H3297" s="55" t="s">
        <v>360</v>
      </c>
      <c r="I3297" s="55" t="s">
        <v>360</v>
      </c>
      <c r="J3297" s="55" t="s">
        <v>360</v>
      </c>
      <c r="K3297" s="55" t="s">
        <v>360</v>
      </c>
      <c r="L3297" s="55" t="s">
        <v>360</v>
      </c>
      <c r="M3297" s="55" t="s">
        <v>142</v>
      </c>
      <c r="N3297" s="55" t="s">
        <v>142</v>
      </c>
      <c r="O3297" s="55" t="s">
        <v>141</v>
      </c>
      <c r="P3297" s="55" t="s">
        <v>612</v>
      </c>
      <c r="Q3297" s="55" t="s">
        <v>350</v>
      </c>
      <c r="R3297" s="85">
        <v>5</v>
      </c>
      <c r="S3297" s="55">
        <v>0</v>
      </c>
      <c r="T3297" s="74" t="s">
        <v>1415</v>
      </c>
      <c r="U3297" s="74" t="s">
        <v>351</v>
      </c>
      <c r="V3297" s="74">
        <v>44341</v>
      </c>
      <c r="W3297" s="74">
        <v>44375</v>
      </c>
      <c r="X3297" s="55">
        <v>10186615</v>
      </c>
      <c r="Y3297" s="55" t="s">
        <v>132</v>
      </c>
      <c r="AB3297" s="74" t="s">
        <v>132</v>
      </c>
      <c r="AC3297" s="55" t="s">
        <v>130</v>
      </c>
    </row>
    <row r="3298" spans="1:29" ht="13" x14ac:dyDescent="0.15">
      <c r="A3298" s="55" t="str">
        <f>HYPERLINK("http://reports.ofsted.gov.uk/inspection-reports/find-inspection-report/provider/CARE/SC463852","Ofsted Social Care Provider Webpage")</f>
        <v>Ofsted Social Care Provider Webpage</v>
      </c>
      <c r="B3298" s="55" t="s">
        <v>6120</v>
      </c>
      <c r="D3298" s="55" t="s">
        <v>373</v>
      </c>
      <c r="E3298" s="74">
        <v>41449</v>
      </c>
      <c r="F3298" s="55" t="s">
        <v>344</v>
      </c>
      <c r="G3298" s="55" t="s">
        <v>360</v>
      </c>
      <c r="H3298" s="55" t="s">
        <v>360</v>
      </c>
      <c r="I3298" s="55" t="s">
        <v>360</v>
      </c>
      <c r="J3298" s="55" t="s">
        <v>360</v>
      </c>
      <c r="K3298" s="55" t="s">
        <v>360</v>
      </c>
      <c r="L3298" s="55" t="s">
        <v>360</v>
      </c>
      <c r="M3298" s="55" t="s">
        <v>142</v>
      </c>
      <c r="N3298" s="55" t="s">
        <v>142</v>
      </c>
      <c r="O3298" s="55" t="s">
        <v>262</v>
      </c>
      <c r="P3298" s="55" t="s">
        <v>488</v>
      </c>
      <c r="Q3298" s="55" t="s">
        <v>350</v>
      </c>
      <c r="R3298" s="85">
        <v>4</v>
      </c>
      <c r="S3298" s="55">
        <v>0</v>
      </c>
      <c r="T3298" s="74" t="s">
        <v>489</v>
      </c>
      <c r="U3298" s="74" t="s">
        <v>351</v>
      </c>
      <c r="V3298" s="74">
        <v>44501</v>
      </c>
      <c r="W3298" s="74">
        <v>44546</v>
      </c>
      <c r="X3298" s="55">
        <v>10186263</v>
      </c>
      <c r="Y3298" s="55" t="s">
        <v>132</v>
      </c>
      <c r="AB3298" s="74" t="s">
        <v>132</v>
      </c>
      <c r="AC3298" s="55" t="s">
        <v>132</v>
      </c>
    </row>
    <row r="3299" spans="1:29" ht="13" x14ac:dyDescent="0.15">
      <c r="A3299" s="55" t="str">
        <f>HYPERLINK("http://reports.ofsted.gov.uk/inspection-reports/find-inspection-report/provider/CARE/SC463902","Ofsted Social Care Provider Webpage")</f>
        <v>Ofsted Social Care Provider Webpage</v>
      </c>
      <c r="B3299" s="55" t="s">
        <v>6121</v>
      </c>
      <c r="D3299" s="55" t="s">
        <v>373</v>
      </c>
      <c r="E3299" s="74">
        <v>41451</v>
      </c>
      <c r="F3299" s="55" t="s">
        <v>344</v>
      </c>
      <c r="G3299" s="55" t="s">
        <v>360</v>
      </c>
      <c r="H3299" s="55" t="s">
        <v>360</v>
      </c>
      <c r="I3299" s="55" t="s">
        <v>360</v>
      </c>
      <c r="J3299" s="55" t="s">
        <v>360</v>
      </c>
      <c r="K3299" s="55" t="s">
        <v>360</v>
      </c>
      <c r="L3299" s="55" t="s">
        <v>360</v>
      </c>
      <c r="M3299" s="55" t="s">
        <v>138</v>
      </c>
      <c r="N3299" s="55" t="s">
        <v>138</v>
      </c>
      <c r="O3299" s="55" t="s">
        <v>224</v>
      </c>
      <c r="P3299" s="55" t="s">
        <v>1123</v>
      </c>
      <c r="Q3299" s="55" t="s">
        <v>380</v>
      </c>
      <c r="R3299" s="85">
        <v>4</v>
      </c>
      <c r="S3299" s="55">
        <v>0</v>
      </c>
      <c r="T3299" s="74" t="s">
        <v>2272</v>
      </c>
      <c r="U3299" s="74" t="s">
        <v>351</v>
      </c>
      <c r="V3299" s="74">
        <v>44306</v>
      </c>
      <c r="W3299" s="74">
        <v>44333</v>
      </c>
      <c r="X3299" s="55">
        <v>10186272</v>
      </c>
      <c r="Y3299" s="55" t="s">
        <v>132</v>
      </c>
      <c r="AB3299" s="74" t="s">
        <v>132</v>
      </c>
      <c r="AC3299" s="55" t="s">
        <v>132</v>
      </c>
    </row>
    <row r="3300" spans="1:29" ht="13" x14ac:dyDescent="0.15">
      <c r="A3300" s="55" t="str">
        <f>HYPERLINK("http://reports.ofsted.gov.uk/inspection-reports/find-inspection-report/provider/CARE/SC463926","Ofsted Social Care Provider Webpage")</f>
        <v>Ofsted Social Care Provider Webpage</v>
      </c>
      <c r="B3300" s="55" t="s">
        <v>6122</v>
      </c>
      <c r="D3300" s="55" t="s">
        <v>373</v>
      </c>
      <c r="E3300" s="74">
        <v>41417</v>
      </c>
      <c r="F3300" s="55" t="s">
        <v>344</v>
      </c>
      <c r="G3300" s="55" t="s">
        <v>360</v>
      </c>
      <c r="H3300" s="55" t="s">
        <v>360</v>
      </c>
      <c r="I3300" s="55" t="s">
        <v>360</v>
      </c>
      <c r="J3300" s="55" t="s">
        <v>360</v>
      </c>
      <c r="K3300" s="55" t="s">
        <v>360</v>
      </c>
      <c r="L3300" s="55" t="s">
        <v>360</v>
      </c>
      <c r="M3300" s="55" t="s">
        <v>144</v>
      </c>
      <c r="N3300" s="55" t="s">
        <v>144</v>
      </c>
      <c r="O3300" s="55" t="s">
        <v>209</v>
      </c>
      <c r="P3300" s="55" t="s">
        <v>364</v>
      </c>
      <c r="Q3300" s="55" t="s">
        <v>350</v>
      </c>
      <c r="R3300" s="85">
        <v>4</v>
      </c>
      <c r="S3300" s="55">
        <v>0</v>
      </c>
      <c r="T3300" s="74" t="s">
        <v>1539</v>
      </c>
      <c r="U3300" s="74" t="s">
        <v>351</v>
      </c>
      <c r="V3300" s="74">
        <v>44496</v>
      </c>
      <c r="W3300" s="74">
        <v>44537</v>
      </c>
      <c r="X3300" s="55">
        <v>10185844</v>
      </c>
      <c r="Y3300" s="55" t="s">
        <v>132</v>
      </c>
      <c r="AB3300" s="74" t="s">
        <v>132</v>
      </c>
      <c r="AC3300" s="55" t="s">
        <v>132</v>
      </c>
    </row>
    <row r="3301" spans="1:29" ht="13" x14ac:dyDescent="0.15">
      <c r="A3301" s="55" t="str">
        <f>HYPERLINK("http://reports.ofsted.gov.uk/inspection-reports/find-inspection-report/provider/CARE/SC463937","Ofsted Social Care Provider Webpage")</f>
        <v>Ofsted Social Care Provider Webpage</v>
      </c>
      <c r="B3301" s="55" t="s">
        <v>6123</v>
      </c>
      <c r="D3301" s="55" t="s">
        <v>389</v>
      </c>
      <c r="E3301" s="74">
        <v>41507</v>
      </c>
      <c r="F3301" s="55" t="s">
        <v>344</v>
      </c>
      <c r="G3301" s="55" t="s">
        <v>6124</v>
      </c>
      <c r="H3301" s="55" t="s">
        <v>6125</v>
      </c>
      <c r="I3301" s="55" t="s">
        <v>6126</v>
      </c>
      <c r="J3301" s="55" t="s">
        <v>593</v>
      </c>
      <c r="L3301" s="55" t="s">
        <v>6127</v>
      </c>
      <c r="M3301" s="55" t="s">
        <v>150</v>
      </c>
      <c r="N3301" s="55" t="s">
        <v>150</v>
      </c>
      <c r="O3301" s="55" t="s">
        <v>203</v>
      </c>
      <c r="P3301" s="55" t="s">
        <v>593</v>
      </c>
      <c r="Q3301" s="55" t="s">
        <v>350</v>
      </c>
      <c r="S3301" s="55">
        <v>0</v>
      </c>
      <c r="T3301" s="74" t="s">
        <v>6128</v>
      </c>
      <c r="U3301" s="74" t="s">
        <v>351</v>
      </c>
      <c r="V3301" s="74">
        <v>44515</v>
      </c>
      <c r="W3301" s="74">
        <v>44589</v>
      </c>
      <c r="X3301" s="55">
        <v>10183415</v>
      </c>
      <c r="Y3301" s="55" t="s">
        <v>132</v>
      </c>
      <c r="AB3301" s="74" t="s">
        <v>132</v>
      </c>
      <c r="AC3301" s="55" t="s">
        <v>132</v>
      </c>
    </row>
    <row r="3302" spans="1:29" ht="13" x14ac:dyDescent="0.15">
      <c r="A3302" s="55" t="str">
        <f>HYPERLINK("http://reports.ofsted.gov.uk/inspection-reports/find-inspection-report/provider/CARE/SC464759","Ofsted Social Care Provider Webpage")</f>
        <v>Ofsted Social Care Provider Webpage</v>
      </c>
      <c r="B3302" s="55" t="s">
        <v>6129</v>
      </c>
      <c r="D3302" s="55" t="s">
        <v>373</v>
      </c>
      <c r="E3302" s="74">
        <v>41740</v>
      </c>
      <c r="F3302" s="55" t="s">
        <v>344</v>
      </c>
      <c r="G3302" s="55" t="s">
        <v>360</v>
      </c>
      <c r="H3302" s="55" t="s">
        <v>360</v>
      </c>
      <c r="I3302" s="55" t="s">
        <v>360</v>
      </c>
      <c r="J3302" s="55" t="s">
        <v>360</v>
      </c>
      <c r="K3302" s="55" t="s">
        <v>360</v>
      </c>
      <c r="L3302" s="55" t="s">
        <v>360</v>
      </c>
      <c r="M3302" s="55" t="s">
        <v>172</v>
      </c>
      <c r="N3302" s="55" t="s">
        <v>172</v>
      </c>
      <c r="O3302" s="55" t="s">
        <v>173</v>
      </c>
      <c r="P3302" s="55" t="s">
        <v>1305</v>
      </c>
      <c r="Q3302" s="55" t="s">
        <v>350</v>
      </c>
      <c r="R3302" s="85">
        <v>4</v>
      </c>
      <c r="S3302" s="55">
        <v>0</v>
      </c>
      <c r="T3302" s="74" t="s">
        <v>861</v>
      </c>
      <c r="U3302" s="74" t="s">
        <v>351</v>
      </c>
      <c r="V3302" s="74">
        <v>44315</v>
      </c>
      <c r="W3302" s="74">
        <v>44356</v>
      </c>
      <c r="X3302" s="55">
        <v>10186057</v>
      </c>
      <c r="Y3302" s="55" t="s">
        <v>130</v>
      </c>
      <c r="AB3302" s="74" t="s">
        <v>130</v>
      </c>
      <c r="AC3302" s="55" t="s">
        <v>130</v>
      </c>
    </row>
    <row r="3303" spans="1:29" ht="13" x14ac:dyDescent="0.15">
      <c r="A3303" s="55" t="str">
        <f>HYPERLINK("http://reports.ofsted.gov.uk/inspection-reports/find-inspection-report/provider/CARE/SC464762","Ofsted Social Care Provider Webpage")</f>
        <v>Ofsted Social Care Provider Webpage</v>
      </c>
      <c r="B3303" s="55" t="s">
        <v>6130</v>
      </c>
      <c r="D3303" s="55" t="s">
        <v>373</v>
      </c>
      <c r="E3303" s="74">
        <v>41514</v>
      </c>
      <c r="F3303" s="55" t="s">
        <v>344</v>
      </c>
      <c r="G3303" s="55" t="s">
        <v>360</v>
      </c>
      <c r="H3303" s="55" t="s">
        <v>360</v>
      </c>
      <c r="I3303" s="55" t="s">
        <v>360</v>
      </c>
      <c r="J3303" s="55" t="s">
        <v>360</v>
      </c>
      <c r="K3303" s="55" t="s">
        <v>360</v>
      </c>
      <c r="L3303" s="55" t="s">
        <v>360</v>
      </c>
      <c r="M3303" s="55" t="s">
        <v>142</v>
      </c>
      <c r="N3303" s="55" t="s">
        <v>142</v>
      </c>
      <c r="O3303" s="55" t="s">
        <v>278</v>
      </c>
      <c r="P3303" s="55" t="s">
        <v>1126</v>
      </c>
      <c r="Q3303" s="55" t="s">
        <v>380</v>
      </c>
      <c r="R3303" s="85">
        <v>6</v>
      </c>
      <c r="S3303" s="55" t="s">
        <v>332</v>
      </c>
      <c r="T3303" s="74" t="s">
        <v>3433</v>
      </c>
      <c r="U3303" s="74" t="s">
        <v>351</v>
      </c>
      <c r="V3303" s="74">
        <v>44600</v>
      </c>
      <c r="W3303" s="74">
        <v>44644</v>
      </c>
      <c r="X3303" s="55">
        <v>10186954</v>
      </c>
      <c r="Y3303" s="55" t="s">
        <v>132</v>
      </c>
      <c r="AB3303" s="74" t="s">
        <v>132</v>
      </c>
      <c r="AC3303" s="55" t="s">
        <v>130</v>
      </c>
    </row>
    <row r="3304" spans="1:29" ht="13" x14ac:dyDescent="0.15">
      <c r="A3304" s="55" t="str">
        <f>HYPERLINK("http://reports.ofsted.gov.uk/inspection-reports/find-inspection-report/provider/CARE/SC464809","Ofsted Social Care Provider Webpage")</f>
        <v>Ofsted Social Care Provider Webpage</v>
      </c>
      <c r="B3304" s="55" t="s">
        <v>6131</v>
      </c>
      <c r="D3304" s="55" t="s">
        <v>373</v>
      </c>
      <c r="E3304" s="74">
        <v>41450</v>
      </c>
      <c r="F3304" s="55" t="s">
        <v>344</v>
      </c>
      <c r="G3304" s="55" t="s">
        <v>360</v>
      </c>
      <c r="H3304" s="55" t="s">
        <v>360</v>
      </c>
      <c r="I3304" s="55" t="s">
        <v>360</v>
      </c>
      <c r="J3304" s="55" t="s">
        <v>360</v>
      </c>
      <c r="K3304" s="55" t="s">
        <v>360</v>
      </c>
      <c r="L3304" s="55" t="s">
        <v>360</v>
      </c>
      <c r="M3304" s="55" t="s">
        <v>144</v>
      </c>
      <c r="N3304" s="55" t="s">
        <v>144</v>
      </c>
      <c r="O3304" s="55" t="s">
        <v>209</v>
      </c>
      <c r="P3304" s="55" t="s">
        <v>777</v>
      </c>
      <c r="Q3304" s="55" t="s">
        <v>350</v>
      </c>
      <c r="R3304" s="85">
        <v>5</v>
      </c>
      <c r="S3304" s="55">
        <v>0</v>
      </c>
      <c r="T3304" s="74" t="s">
        <v>863</v>
      </c>
      <c r="U3304" s="74" t="s">
        <v>351</v>
      </c>
      <c r="V3304" s="74">
        <v>44621</v>
      </c>
      <c r="W3304" s="74">
        <v>44663</v>
      </c>
      <c r="X3304" s="55">
        <v>10185153</v>
      </c>
      <c r="Y3304" s="55" t="s">
        <v>132</v>
      </c>
      <c r="AB3304" s="74" t="s">
        <v>132</v>
      </c>
      <c r="AC3304" s="55" t="s">
        <v>132</v>
      </c>
    </row>
    <row r="3305" spans="1:29" ht="13" x14ac:dyDescent="0.15">
      <c r="A3305" s="55" t="str">
        <f>HYPERLINK("http://reports.ofsted.gov.uk/inspection-reports/find-inspection-report/provider/CARE/SC464958","Ofsted Social Care Provider Webpage")</f>
        <v>Ofsted Social Care Provider Webpage</v>
      </c>
      <c r="B3305" s="55" t="s">
        <v>6132</v>
      </c>
      <c r="D3305" s="55" t="s">
        <v>373</v>
      </c>
      <c r="E3305" s="74">
        <v>41493</v>
      </c>
      <c r="F3305" s="55" t="s">
        <v>344</v>
      </c>
      <c r="G3305" s="55" t="s">
        <v>360</v>
      </c>
      <c r="H3305" s="55" t="s">
        <v>360</v>
      </c>
      <c r="I3305" s="55" t="s">
        <v>360</v>
      </c>
      <c r="J3305" s="55" t="s">
        <v>360</v>
      </c>
      <c r="K3305" s="55" t="s">
        <v>360</v>
      </c>
      <c r="L3305" s="55" t="s">
        <v>360</v>
      </c>
      <c r="M3305" s="55" t="s">
        <v>142</v>
      </c>
      <c r="N3305" s="55" t="s">
        <v>142</v>
      </c>
      <c r="O3305" s="55" t="s">
        <v>252</v>
      </c>
      <c r="P3305" s="55" t="s">
        <v>503</v>
      </c>
      <c r="Q3305" s="55" t="s">
        <v>350</v>
      </c>
      <c r="R3305" s="85">
        <v>6</v>
      </c>
      <c r="S3305" s="55">
        <v>0</v>
      </c>
      <c r="T3305" s="74" t="s">
        <v>385</v>
      </c>
      <c r="U3305" s="74" t="s">
        <v>351</v>
      </c>
      <c r="V3305" s="74">
        <v>44322</v>
      </c>
      <c r="W3305" s="74">
        <v>44349</v>
      </c>
      <c r="X3305" s="55">
        <v>10185327</v>
      </c>
      <c r="Y3305" s="55" t="s">
        <v>132</v>
      </c>
      <c r="AB3305" s="74" t="s">
        <v>130</v>
      </c>
      <c r="AC3305" s="55" t="s">
        <v>132</v>
      </c>
    </row>
    <row r="3306" spans="1:29" ht="13" x14ac:dyDescent="0.15">
      <c r="A3306" s="55" t="str">
        <f>HYPERLINK("http://reports.ofsted.gov.uk/inspection-reports/find-inspection-report/provider/CARE/SC465120","Ofsted Social Care Provider Webpage")</f>
        <v>Ofsted Social Care Provider Webpage</v>
      </c>
      <c r="B3306" s="55" t="s">
        <v>6134</v>
      </c>
      <c r="D3306" s="55" t="s">
        <v>373</v>
      </c>
      <c r="E3306" s="74">
        <v>41725</v>
      </c>
      <c r="F3306" s="55" t="s">
        <v>344</v>
      </c>
      <c r="G3306" s="55" t="s">
        <v>360</v>
      </c>
      <c r="H3306" s="55" t="s">
        <v>360</v>
      </c>
      <c r="I3306" s="55" t="s">
        <v>360</v>
      </c>
      <c r="J3306" s="55" t="s">
        <v>360</v>
      </c>
      <c r="K3306" s="55" t="s">
        <v>360</v>
      </c>
      <c r="L3306" s="55" t="s">
        <v>360</v>
      </c>
      <c r="M3306" s="55" t="s">
        <v>136</v>
      </c>
      <c r="N3306" s="55" t="s">
        <v>136</v>
      </c>
      <c r="O3306" s="55" t="s">
        <v>174</v>
      </c>
      <c r="P3306" s="55" t="s">
        <v>982</v>
      </c>
      <c r="Q3306" s="55" t="s">
        <v>350</v>
      </c>
      <c r="R3306" s="85">
        <v>3</v>
      </c>
      <c r="S3306" s="55">
        <v>0</v>
      </c>
      <c r="T3306" s="74" t="s">
        <v>6135</v>
      </c>
      <c r="U3306" s="74" t="s">
        <v>351</v>
      </c>
      <c r="V3306" s="74">
        <v>44334</v>
      </c>
      <c r="W3306" s="74">
        <v>44372</v>
      </c>
      <c r="X3306" s="55">
        <v>10185371</v>
      </c>
      <c r="Y3306" s="55" t="s">
        <v>132</v>
      </c>
      <c r="AB3306" s="74" t="s">
        <v>132</v>
      </c>
      <c r="AC3306" s="55" t="s">
        <v>132</v>
      </c>
    </row>
    <row r="3307" spans="1:29" ht="13" x14ac:dyDescent="0.15">
      <c r="A3307" s="55" t="str">
        <f>HYPERLINK("http://reports.ofsted.gov.uk/inspection-reports/find-inspection-report/provider/CARE/SC465257","Ofsted Social Care Provider Webpage")</f>
        <v>Ofsted Social Care Provider Webpage</v>
      </c>
      <c r="B3307" s="55" t="s">
        <v>6136</v>
      </c>
      <c r="D3307" s="55" t="s">
        <v>373</v>
      </c>
      <c r="E3307" s="74">
        <v>41484</v>
      </c>
      <c r="F3307" s="55" t="s">
        <v>344</v>
      </c>
      <c r="G3307" s="55" t="s">
        <v>360</v>
      </c>
      <c r="H3307" s="55" t="s">
        <v>360</v>
      </c>
      <c r="I3307" s="55" t="s">
        <v>360</v>
      </c>
      <c r="J3307" s="55" t="s">
        <v>360</v>
      </c>
      <c r="K3307" s="55" t="s">
        <v>360</v>
      </c>
      <c r="L3307" s="55" t="s">
        <v>360</v>
      </c>
      <c r="M3307" s="55" t="s">
        <v>172</v>
      </c>
      <c r="N3307" s="55" t="s">
        <v>172</v>
      </c>
      <c r="O3307" s="55" t="s">
        <v>284</v>
      </c>
      <c r="P3307" s="55" t="s">
        <v>985</v>
      </c>
      <c r="Q3307" s="55" t="s">
        <v>851</v>
      </c>
      <c r="R3307" s="85">
        <v>12</v>
      </c>
      <c r="S3307" s="55" t="s">
        <v>332</v>
      </c>
      <c r="T3307" s="74" t="s">
        <v>6137</v>
      </c>
      <c r="U3307" s="74" t="s">
        <v>351</v>
      </c>
      <c r="V3307" s="74">
        <v>44376</v>
      </c>
      <c r="W3307" s="74">
        <v>44407</v>
      </c>
      <c r="X3307" s="55">
        <v>10186345</v>
      </c>
      <c r="Y3307" s="55" t="s">
        <v>132</v>
      </c>
      <c r="AB3307" s="74" t="s">
        <v>132</v>
      </c>
      <c r="AC3307" s="55" t="s">
        <v>132</v>
      </c>
    </row>
    <row r="3308" spans="1:29" ht="13" x14ac:dyDescent="0.15">
      <c r="A3308" s="55" t="str">
        <f>HYPERLINK("http://reports.ofsted.gov.uk/inspection-reports/find-inspection-report/provider/CARE/SC465287","Ofsted Social Care Provider Webpage")</f>
        <v>Ofsted Social Care Provider Webpage</v>
      </c>
      <c r="B3308" s="55" t="s">
        <v>6138</v>
      </c>
      <c r="D3308" s="55" t="s">
        <v>373</v>
      </c>
      <c r="E3308" s="74">
        <v>41477</v>
      </c>
      <c r="F3308" s="55" t="s">
        <v>344</v>
      </c>
      <c r="G3308" s="55" t="s">
        <v>360</v>
      </c>
      <c r="H3308" s="55" t="s">
        <v>360</v>
      </c>
      <c r="I3308" s="55" t="s">
        <v>360</v>
      </c>
      <c r="J3308" s="55" t="s">
        <v>360</v>
      </c>
      <c r="K3308" s="55" t="s">
        <v>360</v>
      </c>
      <c r="L3308" s="55" t="s">
        <v>360</v>
      </c>
      <c r="M3308" s="55" t="s">
        <v>172</v>
      </c>
      <c r="N3308" s="55" t="s">
        <v>172</v>
      </c>
      <c r="O3308" s="55" t="s">
        <v>228</v>
      </c>
      <c r="P3308" s="55" t="s">
        <v>459</v>
      </c>
      <c r="Q3308" s="55" t="s">
        <v>851</v>
      </c>
      <c r="R3308" s="85">
        <v>6</v>
      </c>
      <c r="S3308" s="55" t="s">
        <v>332</v>
      </c>
      <c r="T3308" s="74" t="s">
        <v>6137</v>
      </c>
      <c r="U3308" s="74" t="s">
        <v>351</v>
      </c>
      <c r="V3308" s="74">
        <v>44523</v>
      </c>
      <c r="W3308" s="74">
        <v>44572</v>
      </c>
      <c r="X3308" s="55">
        <v>10187374</v>
      </c>
      <c r="Y3308" s="55" t="s">
        <v>132</v>
      </c>
      <c r="AB3308" s="74" t="s">
        <v>132</v>
      </c>
      <c r="AC3308" s="55" t="s">
        <v>132</v>
      </c>
    </row>
    <row r="3309" spans="1:29" ht="13" x14ac:dyDescent="0.15">
      <c r="A3309" s="55" t="str">
        <f>HYPERLINK("http://reports.ofsted.gov.uk/inspection-reports/find-inspection-report/provider/CARE/SC465475","Ofsted Social Care Provider Webpage")</f>
        <v>Ofsted Social Care Provider Webpage</v>
      </c>
      <c r="B3309" s="55" t="s">
        <v>6139</v>
      </c>
      <c r="D3309" s="55" t="s">
        <v>373</v>
      </c>
      <c r="E3309" s="74">
        <v>41481</v>
      </c>
      <c r="F3309" s="55" t="s">
        <v>344</v>
      </c>
      <c r="G3309" s="55" t="s">
        <v>360</v>
      </c>
      <c r="H3309" s="55" t="s">
        <v>360</v>
      </c>
      <c r="I3309" s="55" t="s">
        <v>360</v>
      </c>
      <c r="J3309" s="55" t="s">
        <v>360</v>
      </c>
      <c r="K3309" s="55" t="s">
        <v>360</v>
      </c>
      <c r="L3309" s="55" t="s">
        <v>360</v>
      </c>
      <c r="M3309" s="55" t="s">
        <v>378</v>
      </c>
      <c r="N3309" s="55" t="s">
        <v>170</v>
      </c>
      <c r="O3309" s="55" t="s">
        <v>222</v>
      </c>
      <c r="P3309" s="55" t="s">
        <v>2188</v>
      </c>
      <c r="Q3309" s="55" t="s">
        <v>350</v>
      </c>
      <c r="R3309" s="85">
        <v>6</v>
      </c>
      <c r="S3309" s="55">
        <v>0</v>
      </c>
      <c r="T3309" s="74" t="s">
        <v>1528</v>
      </c>
      <c r="U3309" s="74" t="s">
        <v>351</v>
      </c>
      <c r="V3309" s="74">
        <v>44327</v>
      </c>
      <c r="W3309" s="74">
        <v>44377</v>
      </c>
      <c r="X3309" s="55">
        <v>10185015</v>
      </c>
      <c r="Y3309" s="55" t="s">
        <v>132</v>
      </c>
      <c r="AB3309" s="74" t="s">
        <v>132</v>
      </c>
      <c r="AC3309" s="55" t="s">
        <v>132</v>
      </c>
    </row>
    <row r="3310" spans="1:29" ht="13" x14ac:dyDescent="0.15">
      <c r="A3310" s="55" t="str">
        <f>HYPERLINK("http://reports.ofsted.gov.uk/inspection-reports/find-inspection-report/provider/CARE/SC465579","Ofsted Social Care Provider Webpage")</f>
        <v>Ofsted Social Care Provider Webpage</v>
      </c>
      <c r="B3310" s="55" t="s">
        <v>6140</v>
      </c>
      <c r="D3310" s="55" t="s">
        <v>373</v>
      </c>
      <c r="E3310" s="74">
        <v>41502</v>
      </c>
      <c r="F3310" s="55" t="s">
        <v>344</v>
      </c>
      <c r="G3310" s="55" t="s">
        <v>360</v>
      </c>
      <c r="H3310" s="55" t="s">
        <v>360</v>
      </c>
      <c r="I3310" s="55" t="s">
        <v>360</v>
      </c>
      <c r="J3310" s="55" t="s">
        <v>360</v>
      </c>
      <c r="K3310" s="55" t="s">
        <v>360</v>
      </c>
      <c r="L3310" s="55" t="s">
        <v>360</v>
      </c>
      <c r="M3310" s="55" t="s">
        <v>150</v>
      </c>
      <c r="N3310" s="55" t="s">
        <v>150</v>
      </c>
      <c r="O3310" s="55" t="s">
        <v>203</v>
      </c>
      <c r="P3310" s="55" t="s">
        <v>1263</v>
      </c>
      <c r="Q3310" s="55" t="s">
        <v>350</v>
      </c>
      <c r="R3310" s="85">
        <v>3</v>
      </c>
      <c r="S3310" s="55">
        <v>0</v>
      </c>
      <c r="T3310" s="74" t="s">
        <v>564</v>
      </c>
      <c r="U3310" s="74" t="s">
        <v>351</v>
      </c>
      <c r="V3310" s="74">
        <v>44538</v>
      </c>
      <c r="W3310" s="74">
        <v>44593</v>
      </c>
      <c r="X3310" s="55">
        <v>10186314</v>
      </c>
      <c r="Y3310" s="55" t="s">
        <v>132</v>
      </c>
      <c r="AB3310" s="74" t="s">
        <v>132</v>
      </c>
      <c r="AC3310" s="55" t="s">
        <v>132</v>
      </c>
    </row>
    <row r="3311" spans="1:29" ht="13" x14ac:dyDescent="0.15">
      <c r="A3311" s="55" t="str">
        <f>HYPERLINK("http://reports.ofsted.gov.uk/inspection-reports/find-inspection-report/provider/CARE/SC465588","Ofsted Social Care Provider Webpage")</f>
        <v>Ofsted Social Care Provider Webpage</v>
      </c>
      <c r="B3311" s="55" t="s">
        <v>6141</v>
      </c>
      <c r="D3311" s="55" t="s">
        <v>373</v>
      </c>
      <c r="E3311" s="74">
        <v>41458</v>
      </c>
      <c r="F3311" s="55" t="s">
        <v>344</v>
      </c>
      <c r="G3311" s="55" t="s">
        <v>360</v>
      </c>
      <c r="H3311" s="55" t="s">
        <v>360</v>
      </c>
      <c r="I3311" s="55" t="s">
        <v>360</v>
      </c>
      <c r="J3311" s="55" t="s">
        <v>360</v>
      </c>
      <c r="K3311" s="55" t="s">
        <v>360</v>
      </c>
      <c r="L3311" s="55" t="s">
        <v>360</v>
      </c>
      <c r="M3311" s="55" t="s">
        <v>150</v>
      </c>
      <c r="N3311" s="55" t="s">
        <v>150</v>
      </c>
      <c r="O3311" s="55" t="s">
        <v>221</v>
      </c>
      <c r="P3311" s="55" t="s">
        <v>349</v>
      </c>
      <c r="Q3311" s="55" t="s">
        <v>350</v>
      </c>
      <c r="R3311" s="85">
        <v>4</v>
      </c>
      <c r="S3311" s="55">
        <v>0</v>
      </c>
      <c r="T3311" s="74" t="s">
        <v>6142</v>
      </c>
      <c r="U3311" s="74" t="s">
        <v>351</v>
      </c>
      <c r="V3311" s="74">
        <v>44599</v>
      </c>
      <c r="W3311" s="74">
        <v>44631</v>
      </c>
      <c r="X3311" s="55">
        <v>10187522</v>
      </c>
      <c r="Y3311" s="55" t="s">
        <v>140</v>
      </c>
      <c r="AB3311" s="74" t="s">
        <v>140</v>
      </c>
      <c r="AC3311" s="55" t="s">
        <v>132</v>
      </c>
    </row>
    <row r="3312" spans="1:29" ht="13" x14ac:dyDescent="0.15">
      <c r="A3312" s="55" t="str">
        <f>HYPERLINK("http://reports.ofsted.gov.uk/inspection-reports/find-inspection-report/provider/CARE/SC465634","Ofsted Social Care Provider Webpage")</f>
        <v>Ofsted Social Care Provider Webpage</v>
      </c>
      <c r="B3312" s="55" t="s">
        <v>6143</v>
      </c>
      <c r="D3312" s="55" t="s">
        <v>373</v>
      </c>
      <c r="E3312" s="74">
        <v>41772</v>
      </c>
      <c r="F3312" s="55" t="s">
        <v>344</v>
      </c>
      <c r="G3312" s="55" t="s">
        <v>360</v>
      </c>
      <c r="H3312" s="55" t="s">
        <v>360</v>
      </c>
      <c r="I3312" s="55" t="s">
        <v>360</v>
      </c>
      <c r="J3312" s="55" t="s">
        <v>360</v>
      </c>
      <c r="K3312" s="55" t="s">
        <v>360</v>
      </c>
      <c r="L3312" s="55" t="s">
        <v>360</v>
      </c>
      <c r="M3312" s="55" t="s">
        <v>144</v>
      </c>
      <c r="N3312" s="55" t="s">
        <v>144</v>
      </c>
      <c r="O3312" s="55" t="s">
        <v>168</v>
      </c>
      <c r="P3312" s="55" t="s">
        <v>708</v>
      </c>
      <c r="Q3312" s="55" t="s">
        <v>350</v>
      </c>
      <c r="R3312" s="85">
        <v>2</v>
      </c>
      <c r="S3312" s="55">
        <v>0</v>
      </c>
      <c r="T3312" s="74" t="s">
        <v>709</v>
      </c>
      <c r="U3312" s="74" t="s">
        <v>351</v>
      </c>
      <c r="V3312" s="74">
        <v>44615</v>
      </c>
      <c r="W3312" s="74">
        <v>44680</v>
      </c>
      <c r="X3312" s="55">
        <v>10185031</v>
      </c>
      <c r="Y3312" s="55" t="s">
        <v>132</v>
      </c>
      <c r="AB3312" s="74" t="s">
        <v>132</v>
      </c>
      <c r="AC3312" s="55" t="s">
        <v>132</v>
      </c>
    </row>
    <row r="3313" spans="1:29" ht="13" x14ac:dyDescent="0.15">
      <c r="A3313" s="55" t="str">
        <f>HYPERLINK("http://reports.ofsted.gov.uk/inspection-reports/find-inspection-report/provider/CARE/SC465940","Ofsted Social Care Provider Webpage")</f>
        <v>Ofsted Social Care Provider Webpage</v>
      </c>
      <c r="B3313" s="55" t="s">
        <v>6150</v>
      </c>
      <c r="D3313" s="55" t="s">
        <v>373</v>
      </c>
      <c r="E3313" s="74">
        <v>41506</v>
      </c>
      <c r="F3313" s="55" t="s">
        <v>344</v>
      </c>
      <c r="G3313" s="55" t="s">
        <v>360</v>
      </c>
      <c r="H3313" s="55" t="s">
        <v>360</v>
      </c>
      <c r="I3313" s="55" t="s">
        <v>360</v>
      </c>
      <c r="J3313" s="55" t="s">
        <v>360</v>
      </c>
      <c r="K3313" s="55" t="s">
        <v>360</v>
      </c>
      <c r="L3313" s="55" t="s">
        <v>360</v>
      </c>
      <c r="M3313" s="55" t="s">
        <v>136</v>
      </c>
      <c r="N3313" s="55" t="s">
        <v>136</v>
      </c>
      <c r="O3313" s="55" t="s">
        <v>255</v>
      </c>
      <c r="P3313" s="55" t="s">
        <v>609</v>
      </c>
      <c r="Q3313" s="55" t="s">
        <v>350</v>
      </c>
      <c r="R3313" s="85">
        <v>7</v>
      </c>
      <c r="S3313" s="55">
        <v>0</v>
      </c>
      <c r="T3313" s="74" t="s">
        <v>450</v>
      </c>
      <c r="U3313" s="74" t="s">
        <v>351</v>
      </c>
      <c r="V3313" s="74">
        <v>44384</v>
      </c>
      <c r="W3313" s="74">
        <v>44414</v>
      </c>
      <c r="X3313" s="55">
        <v>10185212</v>
      </c>
      <c r="Y3313" s="55" t="s">
        <v>132</v>
      </c>
      <c r="AB3313" s="74" t="s">
        <v>132</v>
      </c>
      <c r="AC3313" s="55" t="s">
        <v>132</v>
      </c>
    </row>
    <row r="3314" spans="1:29" ht="13" x14ac:dyDescent="0.15">
      <c r="A3314" s="55" t="str">
        <f>HYPERLINK("http://reports.ofsted.gov.uk/inspection-reports/find-inspection-report/provider/CARE/SC466264","Ofsted Social Care Provider Webpage")</f>
        <v>Ofsted Social Care Provider Webpage</v>
      </c>
      <c r="B3314" s="55" t="s">
        <v>6156</v>
      </c>
      <c r="C3314" s="55">
        <v>118140</v>
      </c>
      <c r="D3314" s="55" t="s">
        <v>413</v>
      </c>
      <c r="E3314" s="74">
        <v>41417</v>
      </c>
      <c r="F3314" s="55" t="s">
        <v>344</v>
      </c>
      <c r="G3314" s="55" t="s">
        <v>600</v>
      </c>
      <c r="H3314" s="55" t="s">
        <v>600</v>
      </c>
      <c r="I3314" s="55" t="s">
        <v>6157</v>
      </c>
      <c r="J3314" s="55" t="s">
        <v>927</v>
      </c>
      <c r="L3314" s="55" t="s">
        <v>6158</v>
      </c>
      <c r="M3314" s="55" t="s">
        <v>378</v>
      </c>
      <c r="N3314" s="55" t="s">
        <v>134</v>
      </c>
      <c r="O3314" s="55" t="s">
        <v>204</v>
      </c>
      <c r="P3314" s="55" t="s">
        <v>1920</v>
      </c>
      <c r="Q3314" s="55" t="s">
        <v>380</v>
      </c>
      <c r="R3314" s="85">
        <v>34</v>
      </c>
      <c r="S3314" s="55">
        <v>0</v>
      </c>
      <c r="T3314" s="74" t="s">
        <v>1479</v>
      </c>
      <c r="U3314" s="74" t="s">
        <v>351</v>
      </c>
      <c r="V3314" s="74">
        <v>44621</v>
      </c>
      <c r="W3314" s="74">
        <v>44678</v>
      </c>
      <c r="X3314" s="55">
        <v>10183518</v>
      </c>
      <c r="Y3314" s="55" t="s">
        <v>132</v>
      </c>
      <c r="AB3314" s="74" t="s">
        <v>132</v>
      </c>
      <c r="AC3314" s="55" t="s">
        <v>130</v>
      </c>
    </row>
    <row r="3315" spans="1:29" ht="13" x14ac:dyDescent="0.15">
      <c r="A3315" s="55" t="str">
        <f>HYPERLINK("http://reports.ofsted.gov.uk/inspection-reports/find-inspection-report/provider/CARE/SC466284","Ofsted Social Care Provider Webpage")</f>
        <v>Ofsted Social Care Provider Webpage</v>
      </c>
      <c r="B3315" s="55" t="s">
        <v>6159</v>
      </c>
      <c r="D3315" s="55" t="s">
        <v>373</v>
      </c>
      <c r="E3315" s="74">
        <v>41613</v>
      </c>
      <c r="F3315" s="55" t="s">
        <v>344</v>
      </c>
      <c r="G3315" s="55" t="s">
        <v>360</v>
      </c>
      <c r="H3315" s="55" t="s">
        <v>360</v>
      </c>
      <c r="I3315" s="55" t="s">
        <v>360</v>
      </c>
      <c r="J3315" s="55" t="s">
        <v>360</v>
      </c>
      <c r="K3315" s="55" t="s">
        <v>360</v>
      </c>
      <c r="L3315" s="55" t="s">
        <v>360</v>
      </c>
      <c r="M3315" s="55" t="s">
        <v>172</v>
      </c>
      <c r="N3315" s="55" t="s">
        <v>172</v>
      </c>
      <c r="O3315" s="55" t="s">
        <v>235</v>
      </c>
      <c r="P3315" s="55" t="s">
        <v>628</v>
      </c>
      <c r="Q3315" s="55" t="s">
        <v>362</v>
      </c>
      <c r="R3315" s="85">
        <v>7</v>
      </c>
      <c r="S3315" s="55">
        <v>0</v>
      </c>
      <c r="T3315" s="74" t="s">
        <v>824</v>
      </c>
      <c r="U3315" s="74" t="s">
        <v>351</v>
      </c>
      <c r="V3315" s="74">
        <v>44473</v>
      </c>
      <c r="W3315" s="74">
        <v>44509</v>
      </c>
      <c r="X3315" s="55">
        <v>10187326</v>
      </c>
      <c r="Y3315" s="55" t="s">
        <v>140</v>
      </c>
      <c r="AB3315" s="74" t="s">
        <v>140</v>
      </c>
      <c r="AC3315" s="55" t="s">
        <v>140</v>
      </c>
    </row>
    <row r="3316" spans="1:29" ht="13" x14ac:dyDescent="0.15">
      <c r="A3316" s="55" t="str">
        <f>HYPERLINK("http://reports.ofsted.gov.uk/inspection-reports/find-inspection-report/provider/CARE/SC466378","Ofsted Social Care Provider Webpage")</f>
        <v>Ofsted Social Care Provider Webpage</v>
      </c>
      <c r="B3316" s="55" t="s">
        <v>6160</v>
      </c>
      <c r="D3316" s="55" t="s">
        <v>373</v>
      </c>
      <c r="E3316" s="74">
        <v>41576</v>
      </c>
      <c r="F3316" s="55" t="s">
        <v>344</v>
      </c>
      <c r="G3316" s="55" t="s">
        <v>360</v>
      </c>
      <c r="H3316" s="55" t="s">
        <v>360</v>
      </c>
      <c r="I3316" s="55" t="s">
        <v>360</v>
      </c>
      <c r="J3316" s="55" t="s">
        <v>360</v>
      </c>
      <c r="K3316" s="55" t="s">
        <v>360</v>
      </c>
      <c r="L3316" s="55" t="s">
        <v>360</v>
      </c>
      <c r="M3316" s="55" t="s">
        <v>129</v>
      </c>
      <c r="N3316" s="55" t="s">
        <v>129</v>
      </c>
      <c r="O3316" s="55" t="s">
        <v>194</v>
      </c>
      <c r="P3316" s="55" t="s">
        <v>1201</v>
      </c>
      <c r="Q3316" s="55" t="s">
        <v>350</v>
      </c>
      <c r="R3316" s="85">
        <v>5</v>
      </c>
      <c r="S3316" s="55">
        <v>0</v>
      </c>
      <c r="T3316" s="74" t="s">
        <v>1013</v>
      </c>
      <c r="U3316" s="74" t="s">
        <v>351</v>
      </c>
      <c r="V3316" s="74">
        <v>44321</v>
      </c>
      <c r="W3316" s="74">
        <v>44349</v>
      </c>
      <c r="X3316" s="55">
        <v>10186829</v>
      </c>
      <c r="Y3316" s="55" t="s">
        <v>132</v>
      </c>
      <c r="AB3316" s="74" t="s">
        <v>132</v>
      </c>
      <c r="AC3316" s="55" t="s">
        <v>132</v>
      </c>
    </row>
    <row r="3317" spans="1:29" ht="13" x14ac:dyDescent="0.15">
      <c r="A3317" s="55" t="str">
        <f>HYPERLINK("http://reports.ofsted.gov.uk/inspection-reports/find-inspection-report/provider/CARE/SC466786","Ofsted Social Care Provider Webpage")</f>
        <v>Ofsted Social Care Provider Webpage</v>
      </c>
      <c r="B3317" s="55" t="s">
        <v>6161</v>
      </c>
      <c r="D3317" s="55" t="s">
        <v>373</v>
      </c>
      <c r="E3317" s="74">
        <v>41519</v>
      </c>
      <c r="F3317" s="55" t="s">
        <v>344</v>
      </c>
      <c r="G3317" s="55" t="s">
        <v>360</v>
      </c>
      <c r="H3317" s="55" t="s">
        <v>360</v>
      </c>
      <c r="I3317" s="55" t="s">
        <v>360</v>
      </c>
      <c r="J3317" s="55" t="s">
        <v>360</v>
      </c>
      <c r="K3317" s="55" t="s">
        <v>360</v>
      </c>
      <c r="L3317" s="55" t="s">
        <v>360</v>
      </c>
      <c r="M3317" s="55" t="s">
        <v>138</v>
      </c>
      <c r="N3317" s="55" t="s">
        <v>138</v>
      </c>
      <c r="O3317" s="55" t="s">
        <v>238</v>
      </c>
      <c r="P3317" s="55" t="s">
        <v>1080</v>
      </c>
      <c r="Q3317" s="55" t="s">
        <v>350</v>
      </c>
      <c r="R3317" s="85">
        <v>4</v>
      </c>
      <c r="S3317" s="55">
        <v>0</v>
      </c>
      <c r="T3317" s="74" t="s">
        <v>1899</v>
      </c>
      <c r="U3317" s="74" t="s">
        <v>351</v>
      </c>
      <c r="V3317" s="74">
        <v>44349</v>
      </c>
      <c r="W3317" s="74">
        <v>44375</v>
      </c>
      <c r="X3317" s="55">
        <v>10187276</v>
      </c>
      <c r="Y3317" s="55" t="s">
        <v>132</v>
      </c>
      <c r="AB3317" s="74" t="s">
        <v>132</v>
      </c>
      <c r="AC3317" s="55" t="s">
        <v>130</v>
      </c>
    </row>
    <row r="3318" spans="1:29" ht="13" x14ac:dyDescent="0.15">
      <c r="A3318" s="55" t="str">
        <f>HYPERLINK("http://reports.ofsted.gov.uk/inspection-reports/find-inspection-report/provider/CARE/SC466934","Ofsted Social Care Provider Webpage")</f>
        <v>Ofsted Social Care Provider Webpage</v>
      </c>
      <c r="B3318" s="55" t="s">
        <v>6162</v>
      </c>
      <c r="D3318" s="55" t="s">
        <v>389</v>
      </c>
      <c r="E3318" s="74">
        <v>41529</v>
      </c>
      <c r="F3318" s="55" t="s">
        <v>344</v>
      </c>
      <c r="G3318" s="55" t="s">
        <v>6163</v>
      </c>
      <c r="H3318" s="55" t="s">
        <v>6164</v>
      </c>
      <c r="I3318" s="55" t="s">
        <v>6165</v>
      </c>
      <c r="J3318" s="55" t="s">
        <v>1641</v>
      </c>
      <c r="K3318" s="55" t="s">
        <v>293</v>
      </c>
      <c r="L3318" s="55" t="s">
        <v>6166</v>
      </c>
      <c r="M3318" s="55" t="s">
        <v>142</v>
      </c>
      <c r="N3318" s="55" t="s">
        <v>142</v>
      </c>
      <c r="O3318" s="55" t="s">
        <v>293</v>
      </c>
      <c r="P3318" s="55" t="s">
        <v>1641</v>
      </c>
      <c r="Q3318" s="55" t="s">
        <v>350</v>
      </c>
      <c r="S3318" s="55">
        <v>0</v>
      </c>
      <c r="T3318" s="74" t="s">
        <v>6163</v>
      </c>
      <c r="U3318" s="74" t="s">
        <v>351</v>
      </c>
      <c r="V3318" s="74">
        <v>44529</v>
      </c>
      <c r="W3318" s="74">
        <v>44596</v>
      </c>
      <c r="X3318" s="55">
        <v>10183440</v>
      </c>
      <c r="Y3318" s="55" t="s">
        <v>132</v>
      </c>
      <c r="AB3318" s="74" t="s">
        <v>132</v>
      </c>
      <c r="AC3318" s="55" t="s">
        <v>130</v>
      </c>
    </row>
    <row r="3319" spans="1:29" ht="13" x14ac:dyDescent="0.15">
      <c r="A3319" s="55" t="str">
        <f>HYPERLINK("http://reports.ofsted.gov.uk/inspection-reports/find-inspection-report/provider/CARE/SC467115","Ofsted Social Care Provider Webpage")</f>
        <v>Ofsted Social Care Provider Webpage</v>
      </c>
      <c r="B3319" s="55" t="s">
        <v>6167</v>
      </c>
      <c r="D3319" s="55" t="s">
        <v>373</v>
      </c>
      <c r="E3319" s="74">
        <v>41513</v>
      </c>
      <c r="F3319" s="55" t="s">
        <v>344</v>
      </c>
      <c r="G3319" s="55" t="s">
        <v>360</v>
      </c>
      <c r="H3319" s="55" t="s">
        <v>360</v>
      </c>
      <c r="I3319" s="55" t="s">
        <v>360</v>
      </c>
      <c r="J3319" s="55" t="s">
        <v>360</v>
      </c>
      <c r="K3319" s="55" t="s">
        <v>360</v>
      </c>
      <c r="L3319" s="55" t="s">
        <v>360</v>
      </c>
      <c r="M3319" s="55" t="s">
        <v>136</v>
      </c>
      <c r="N3319" s="55" t="s">
        <v>136</v>
      </c>
      <c r="O3319" s="55" t="s">
        <v>255</v>
      </c>
      <c r="P3319" s="55" t="s">
        <v>583</v>
      </c>
      <c r="Q3319" s="55" t="s">
        <v>350</v>
      </c>
      <c r="R3319" s="85">
        <v>2</v>
      </c>
      <c r="S3319" s="55">
        <v>0</v>
      </c>
      <c r="T3319" s="74" t="s">
        <v>5169</v>
      </c>
      <c r="U3319" s="74" t="s">
        <v>351</v>
      </c>
      <c r="V3319" s="74">
        <v>44321</v>
      </c>
      <c r="W3319" s="74">
        <v>44356</v>
      </c>
      <c r="X3319" s="55">
        <v>10187065</v>
      </c>
      <c r="Y3319" s="55" t="s">
        <v>130</v>
      </c>
      <c r="AB3319" s="74" t="s">
        <v>130</v>
      </c>
      <c r="AC3319" s="55" t="s">
        <v>130</v>
      </c>
    </row>
    <row r="3320" spans="1:29" ht="13" x14ac:dyDescent="0.15">
      <c r="A3320" s="55" t="str">
        <f>HYPERLINK("http://reports.ofsted.gov.uk/inspection-reports/find-inspection-report/provider/CARE/SC467155","Ofsted Social Care Provider Webpage")</f>
        <v>Ofsted Social Care Provider Webpage</v>
      </c>
      <c r="B3320" s="55" t="s">
        <v>6168</v>
      </c>
      <c r="D3320" s="55" t="s">
        <v>373</v>
      </c>
      <c r="E3320" s="74">
        <v>41646</v>
      </c>
      <c r="F3320" s="55" t="s">
        <v>344</v>
      </c>
      <c r="G3320" s="55" t="s">
        <v>360</v>
      </c>
      <c r="H3320" s="55" t="s">
        <v>360</v>
      </c>
      <c r="I3320" s="55" t="s">
        <v>360</v>
      </c>
      <c r="J3320" s="55" t="s">
        <v>360</v>
      </c>
      <c r="K3320" s="55" t="s">
        <v>360</v>
      </c>
      <c r="L3320" s="55" t="s">
        <v>360</v>
      </c>
      <c r="M3320" s="55" t="s">
        <v>150</v>
      </c>
      <c r="N3320" s="55" t="s">
        <v>150</v>
      </c>
      <c r="O3320" s="55" t="s">
        <v>190</v>
      </c>
      <c r="P3320" s="55" t="s">
        <v>830</v>
      </c>
      <c r="Q3320" s="55" t="s">
        <v>350</v>
      </c>
      <c r="R3320" s="85">
        <v>4</v>
      </c>
      <c r="S3320" s="55">
        <v>0</v>
      </c>
      <c r="T3320" s="74" t="s">
        <v>450</v>
      </c>
      <c r="U3320" s="74" t="s">
        <v>351</v>
      </c>
      <c r="V3320" s="74">
        <v>44376</v>
      </c>
      <c r="W3320" s="74">
        <v>44428</v>
      </c>
      <c r="X3320" s="55">
        <v>10187212</v>
      </c>
      <c r="Y3320" s="55" t="s">
        <v>132</v>
      </c>
      <c r="AB3320" s="74" t="s">
        <v>132</v>
      </c>
      <c r="AC3320" s="55" t="s">
        <v>130</v>
      </c>
    </row>
    <row r="3321" spans="1:29" ht="13" x14ac:dyDescent="0.15">
      <c r="A3321" s="55" t="str">
        <f>HYPERLINK("http://reports.ofsted.gov.uk/inspection-reports/find-inspection-report/provider/CARE/SC467264","Ofsted Social Care Provider Webpage")</f>
        <v>Ofsted Social Care Provider Webpage</v>
      </c>
      <c r="B3321" s="55" t="s">
        <v>6169</v>
      </c>
      <c r="D3321" s="55" t="s">
        <v>373</v>
      </c>
      <c r="E3321" s="74">
        <v>41514</v>
      </c>
      <c r="F3321" s="55" t="s">
        <v>344</v>
      </c>
      <c r="G3321" s="55" t="s">
        <v>360</v>
      </c>
      <c r="H3321" s="55" t="s">
        <v>360</v>
      </c>
      <c r="I3321" s="55" t="s">
        <v>360</v>
      </c>
      <c r="J3321" s="55" t="s">
        <v>360</v>
      </c>
      <c r="K3321" s="55" t="s">
        <v>360</v>
      </c>
      <c r="L3321" s="55" t="s">
        <v>360</v>
      </c>
      <c r="M3321" s="55" t="s">
        <v>142</v>
      </c>
      <c r="N3321" s="55" t="s">
        <v>142</v>
      </c>
      <c r="O3321" s="55" t="s">
        <v>141</v>
      </c>
      <c r="P3321" s="55" t="s">
        <v>641</v>
      </c>
      <c r="Q3321" s="55" t="s">
        <v>350</v>
      </c>
      <c r="R3321" s="85">
        <v>4</v>
      </c>
      <c r="S3321" s="55">
        <v>0</v>
      </c>
      <c r="T3321" s="74" t="s">
        <v>1261</v>
      </c>
      <c r="U3321" s="74" t="s">
        <v>351</v>
      </c>
      <c r="V3321" s="74">
        <v>44384</v>
      </c>
      <c r="W3321" s="74">
        <v>44454</v>
      </c>
      <c r="X3321" s="55">
        <v>10185949</v>
      </c>
      <c r="Y3321" s="55" t="s">
        <v>146</v>
      </c>
      <c r="AB3321" s="74" t="s">
        <v>146</v>
      </c>
      <c r="AC3321" s="55" t="s">
        <v>146</v>
      </c>
    </row>
    <row r="3322" spans="1:29" ht="13" x14ac:dyDescent="0.15">
      <c r="A3322" s="55" t="str">
        <f>HYPERLINK("http://reports.ofsted.gov.uk/inspection-reports/find-inspection-report/provider/CARE/SC467264","Ofsted Social Care Provider Webpage")</f>
        <v>Ofsted Social Care Provider Webpage</v>
      </c>
      <c r="B3322" s="55" t="s">
        <v>6169</v>
      </c>
      <c r="D3322" s="55" t="s">
        <v>373</v>
      </c>
      <c r="E3322" s="74">
        <v>41514</v>
      </c>
      <c r="F3322" s="55" t="s">
        <v>344</v>
      </c>
      <c r="G3322" s="55" t="s">
        <v>360</v>
      </c>
      <c r="H3322" s="55" t="s">
        <v>360</v>
      </c>
      <c r="I3322" s="55" t="s">
        <v>360</v>
      </c>
      <c r="J3322" s="55" t="s">
        <v>360</v>
      </c>
      <c r="K3322" s="55" t="s">
        <v>360</v>
      </c>
      <c r="L3322" s="55" t="s">
        <v>360</v>
      </c>
      <c r="M3322" s="55" t="s">
        <v>142</v>
      </c>
      <c r="N3322" s="55" t="s">
        <v>142</v>
      </c>
      <c r="O3322" s="55" t="s">
        <v>141</v>
      </c>
      <c r="P3322" s="55" t="s">
        <v>641</v>
      </c>
      <c r="Q3322" s="55" t="s">
        <v>350</v>
      </c>
      <c r="R3322" s="85">
        <v>4</v>
      </c>
      <c r="S3322" s="55">
        <v>0</v>
      </c>
      <c r="T3322" s="74" t="s">
        <v>1261</v>
      </c>
      <c r="U3322" s="74" t="s">
        <v>2053</v>
      </c>
      <c r="V3322" s="74">
        <v>44544</v>
      </c>
      <c r="W3322" s="74">
        <v>44587</v>
      </c>
      <c r="X3322" s="55">
        <v>10209068</v>
      </c>
    </row>
    <row r="3323" spans="1:29" ht="13" x14ac:dyDescent="0.15">
      <c r="A3323" s="55" t="str">
        <f>HYPERLINK("http://reports.ofsted.gov.uk/inspection-reports/find-inspection-report/provider/CARE/SC467264","Ofsted Social Care Provider Webpage")</f>
        <v>Ofsted Social Care Provider Webpage</v>
      </c>
      <c r="B3323" s="55" t="s">
        <v>6169</v>
      </c>
      <c r="D3323" s="55" t="s">
        <v>373</v>
      </c>
      <c r="E3323" s="74">
        <v>41514</v>
      </c>
      <c r="F3323" s="55" t="s">
        <v>344</v>
      </c>
      <c r="G3323" s="55" t="s">
        <v>360</v>
      </c>
      <c r="H3323" s="55" t="s">
        <v>360</v>
      </c>
      <c r="I3323" s="55" t="s">
        <v>360</v>
      </c>
      <c r="J3323" s="55" t="s">
        <v>360</v>
      </c>
      <c r="K3323" s="55" t="s">
        <v>360</v>
      </c>
      <c r="L3323" s="55" t="s">
        <v>360</v>
      </c>
      <c r="M3323" s="55" t="s">
        <v>142</v>
      </c>
      <c r="N3323" s="55" t="s">
        <v>142</v>
      </c>
      <c r="O3323" s="55" t="s">
        <v>141</v>
      </c>
      <c r="P3323" s="55" t="s">
        <v>641</v>
      </c>
      <c r="Q3323" s="55" t="s">
        <v>350</v>
      </c>
      <c r="R3323" s="85">
        <v>4</v>
      </c>
      <c r="S3323" s="55">
        <v>0</v>
      </c>
      <c r="T3323" s="74" t="s">
        <v>1261</v>
      </c>
      <c r="U3323" s="74" t="s">
        <v>2053</v>
      </c>
      <c r="V3323" s="74">
        <v>44467</v>
      </c>
      <c r="W3323" s="74">
        <v>44498</v>
      </c>
      <c r="X3323" s="55">
        <v>10205481</v>
      </c>
    </row>
    <row r="3324" spans="1:29" ht="13" x14ac:dyDescent="0.15">
      <c r="A3324" s="55" t="str">
        <f>HYPERLINK("http://reports.ofsted.gov.uk/inspection-reports/find-inspection-report/provider/CARE/SC467264","Ofsted Social Care Provider Webpage")</f>
        <v>Ofsted Social Care Provider Webpage</v>
      </c>
      <c r="B3324" s="55" t="s">
        <v>6169</v>
      </c>
      <c r="D3324" s="55" t="s">
        <v>373</v>
      </c>
      <c r="E3324" s="74">
        <v>41514</v>
      </c>
      <c r="F3324" s="55" t="s">
        <v>344</v>
      </c>
      <c r="G3324" s="55" t="s">
        <v>360</v>
      </c>
      <c r="H3324" s="55" t="s">
        <v>360</v>
      </c>
      <c r="I3324" s="55" t="s">
        <v>360</v>
      </c>
      <c r="J3324" s="55" t="s">
        <v>360</v>
      </c>
      <c r="K3324" s="55" t="s">
        <v>360</v>
      </c>
      <c r="L3324" s="55" t="s">
        <v>360</v>
      </c>
      <c r="M3324" s="55" t="s">
        <v>142</v>
      </c>
      <c r="N3324" s="55" t="s">
        <v>142</v>
      </c>
      <c r="O3324" s="55" t="s">
        <v>141</v>
      </c>
      <c r="P3324" s="55" t="s">
        <v>641</v>
      </c>
      <c r="Q3324" s="55" t="s">
        <v>350</v>
      </c>
      <c r="R3324" s="85">
        <v>4</v>
      </c>
      <c r="S3324" s="55">
        <v>0</v>
      </c>
      <c r="T3324" s="74" t="s">
        <v>1261</v>
      </c>
      <c r="U3324" s="74" t="s">
        <v>2053</v>
      </c>
      <c r="V3324" s="74">
        <v>44503</v>
      </c>
      <c r="W3324" s="74">
        <v>44544</v>
      </c>
      <c r="X3324" s="55">
        <v>10209060</v>
      </c>
    </row>
    <row r="3325" spans="1:29" ht="13" x14ac:dyDescent="0.15">
      <c r="A3325" s="55" t="str">
        <f>HYPERLINK("http://reports.ofsted.gov.uk/inspection-reports/find-inspection-report/provider/CARE/SC467264","Ofsted Social Care Provider Webpage")</f>
        <v>Ofsted Social Care Provider Webpage</v>
      </c>
      <c r="B3325" s="55" t="s">
        <v>6169</v>
      </c>
      <c r="D3325" s="55" t="s">
        <v>373</v>
      </c>
      <c r="E3325" s="74">
        <v>41514</v>
      </c>
      <c r="F3325" s="55" t="s">
        <v>344</v>
      </c>
      <c r="G3325" s="55" t="s">
        <v>360</v>
      </c>
      <c r="H3325" s="55" t="s">
        <v>360</v>
      </c>
      <c r="I3325" s="55" t="s">
        <v>360</v>
      </c>
      <c r="J3325" s="55" t="s">
        <v>360</v>
      </c>
      <c r="K3325" s="55" t="s">
        <v>360</v>
      </c>
      <c r="L3325" s="55" t="s">
        <v>360</v>
      </c>
      <c r="M3325" s="55" t="s">
        <v>142</v>
      </c>
      <c r="N3325" s="55" t="s">
        <v>142</v>
      </c>
      <c r="O3325" s="55" t="s">
        <v>141</v>
      </c>
      <c r="P3325" s="55" t="s">
        <v>641</v>
      </c>
      <c r="Q3325" s="55" t="s">
        <v>350</v>
      </c>
      <c r="R3325" s="85">
        <v>4</v>
      </c>
      <c r="S3325" s="55">
        <v>0</v>
      </c>
      <c r="T3325" s="74" t="s">
        <v>1261</v>
      </c>
      <c r="U3325" s="74" t="s">
        <v>2053</v>
      </c>
      <c r="V3325" s="74">
        <v>44427</v>
      </c>
      <c r="W3325" s="74">
        <v>44476</v>
      </c>
      <c r="X3325" s="55">
        <v>10201936</v>
      </c>
    </row>
    <row r="3326" spans="1:29" ht="13" x14ac:dyDescent="0.15">
      <c r="A3326" s="55" t="str">
        <f>HYPERLINK("http://reports.ofsted.gov.uk/inspection-reports/find-inspection-report/provider/CARE/SC467268","Ofsted Social Care Provider Webpage")</f>
        <v>Ofsted Social Care Provider Webpage</v>
      </c>
      <c r="B3326" s="55" t="s">
        <v>6170</v>
      </c>
      <c r="D3326" s="55" t="s">
        <v>373</v>
      </c>
      <c r="E3326" s="74">
        <v>41546</v>
      </c>
      <c r="F3326" s="55" t="s">
        <v>344</v>
      </c>
      <c r="G3326" s="55" t="s">
        <v>360</v>
      </c>
      <c r="H3326" s="55" t="s">
        <v>360</v>
      </c>
      <c r="I3326" s="55" t="s">
        <v>360</v>
      </c>
      <c r="J3326" s="55" t="s">
        <v>360</v>
      </c>
      <c r="K3326" s="55" t="s">
        <v>360</v>
      </c>
      <c r="L3326" s="55" t="s">
        <v>360</v>
      </c>
      <c r="M3326" s="55" t="s">
        <v>144</v>
      </c>
      <c r="N3326" s="55" t="s">
        <v>144</v>
      </c>
      <c r="O3326" s="55" t="s">
        <v>143</v>
      </c>
      <c r="P3326" s="55" t="s">
        <v>650</v>
      </c>
      <c r="Q3326" s="55" t="s">
        <v>350</v>
      </c>
      <c r="R3326" s="85">
        <v>5</v>
      </c>
      <c r="S3326" s="55">
        <v>0</v>
      </c>
      <c r="T3326" s="74" t="s">
        <v>1505</v>
      </c>
      <c r="U3326" s="74" t="s">
        <v>351</v>
      </c>
      <c r="V3326" s="74">
        <v>44586</v>
      </c>
      <c r="W3326" s="74">
        <v>44629</v>
      </c>
      <c r="X3326" s="55">
        <v>10186289</v>
      </c>
      <c r="Y3326" s="55" t="s">
        <v>132</v>
      </c>
      <c r="AB3326" s="74" t="s">
        <v>132</v>
      </c>
      <c r="AC3326" s="55" t="s">
        <v>132</v>
      </c>
    </row>
    <row r="3327" spans="1:29" ht="13" x14ac:dyDescent="0.15">
      <c r="A3327" s="55" t="str">
        <f>HYPERLINK("http://reports.ofsted.gov.uk/inspection-reports/find-inspection-report/provider/CARE/SC467704","Ofsted Social Care Provider Webpage")</f>
        <v>Ofsted Social Care Provider Webpage</v>
      </c>
      <c r="B3327" s="55" t="s">
        <v>6171</v>
      </c>
      <c r="D3327" s="55" t="s">
        <v>373</v>
      </c>
      <c r="E3327" s="74">
        <v>41495</v>
      </c>
      <c r="F3327" s="55" t="s">
        <v>344</v>
      </c>
      <c r="G3327" s="55" t="s">
        <v>360</v>
      </c>
      <c r="H3327" s="55" t="s">
        <v>360</v>
      </c>
      <c r="I3327" s="55" t="s">
        <v>360</v>
      </c>
      <c r="J3327" s="55" t="s">
        <v>360</v>
      </c>
      <c r="K3327" s="55" t="s">
        <v>360</v>
      </c>
      <c r="L3327" s="55" t="s">
        <v>360</v>
      </c>
      <c r="M3327" s="55" t="s">
        <v>136</v>
      </c>
      <c r="N3327" s="55" t="s">
        <v>136</v>
      </c>
      <c r="O3327" s="55" t="s">
        <v>174</v>
      </c>
      <c r="P3327" s="55" t="s">
        <v>572</v>
      </c>
      <c r="Q3327" s="55" t="s">
        <v>350</v>
      </c>
      <c r="R3327" s="85">
        <v>2</v>
      </c>
      <c r="S3327" s="55">
        <v>0</v>
      </c>
      <c r="T3327" s="74" t="s">
        <v>385</v>
      </c>
      <c r="U3327" s="74" t="s">
        <v>351</v>
      </c>
      <c r="V3327" s="74">
        <v>44530</v>
      </c>
      <c r="W3327" s="74">
        <v>44571</v>
      </c>
      <c r="X3327" s="55">
        <v>10186886</v>
      </c>
      <c r="Y3327" s="55" t="s">
        <v>140</v>
      </c>
      <c r="AB3327" s="74" t="s">
        <v>140</v>
      </c>
      <c r="AC3327" s="55" t="s">
        <v>140</v>
      </c>
    </row>
    <row r="3328" spans="1:29" ht="13" x14ac:dyDescent="0.15">
      <c r="A3328" s="55" t="str">
        <f>HYPERLINK("http://reports.ofsted.gov.uk/inspection-reports/find-inspection-report/provider/CARE/SC467796","Ofsted Social Care Provider Webpage")</f>
        <v>Ofsted Social Care Provider Webpage</v>
      </c>
      <c r="B3328" s="55" t="s">
        <v>6172</v>
      </c>
      <c r="D3328" s="55" t="s">
        <v>373</v>
      </c>
      <c r="E3328" s="74">
        <v>41565</v>
      </c>
      <c r="F3328" s="55" t="s">
        <v>344</v>
      </c>
      <c r="G3328" s="55" t="s">
        <v>360</v>
      </c>
      <c r="H3328" s="55" t="s">
        <v>360</v>
      </c>
      <c r="I3328" s="55" t="s">
        <v>360</v>
      </c>
      <c r="J3328" s="55" t="s">
        <v>360</v>
      </c>
      <c r="K3328" s="55" t="s">
        <v>360</v>
      </c>
      <c r="L3328" s="55" t="s">
        <v>360</v>
      </c>
      <c r="M3328" s="55" t="s">
        <v>144</v>
      </c>
      <c r="N3328" s="55" t="s">
        <v>144</v>
      </c>
      <c r="O3328" s="55" t="s">
        <v>147</v>
      </c>
      <c r="P3328" s="55" t="s">
        <v>674</v>
      </c>
      <c r="Q3328" s="55" t="s">
        <v>362</v>
      </c>
      <c r="R3328" s="85">
        <v>3</v>
      </c>
      <c r="S3328" s="55">
        <v>0</v>
      </c>
      <c r="T3328" s="74" t="s">
        <v>675</v>
      </c>
      <c r="U3328" s="74" t="s">
        <v>351</v>
      </c>
      <c r="V3328" s="74">
        <v>44516</v>
      </c>
      <c r="W3328" s="74">
        <v>44565</v>
      </c>
      <c r="X3328" s="55">
        <v>10186186</v>
      </c>
      <c r="Y3328" s="55" t="s">
        <v>132</v>
      </c>
      <c r="AB3328" s="74" t="s">
        <v>132</v>
      </c>
      <c r="AC3328" s="55" t="s">
        <v>132</v>
      </c>
    </row>
    <row r="3329" spans="1:29" ht="13" x14ac:dyDescent="0.15">
      <c r="A3329" s="55" t="str">
        <f>HYPERLINK("http://reports.ofsted.gov.uk/inspection-reports/find-inspection-report/provider/CARE/SC467796","Ofsted Social Care Provider Webpage")</f>
        <v>Ofsted Social Care Provider Webpage</v>
      </c>
      <c r="B3329" s="55" t="s">
        <v>6172</v>
      </c>
      <c r="D3329" s="55" t="s">
        <v>373</v>
      </c>
      <c r="E3329" s="74">
        <v>41565</v>
      </c>
      <c r="F3329" s="55" t="s">
        <v>344</v>
      </c>
      <c r="G3329" s="55" t="s">
        <v>360</v>
      </c>
      <c r="H3329" s="55" t="s">
        <v>360</v>
      </c>
      <c r="I3329" s="55" t="s">
        <v>360</v>
      </c>
      <c r="J3329" s="55" t="s">
        <v>360</v>
      </c>
      <c r="K3329" s="55" t="s">
        <v>360</v>
      </c>
      <c r="L3329" s="55" t="s">
        <v>360</v>
      </c>
      <c r="M3329" s="55" t="s">
        <v>144</v>
      </c>
      <c r="N3329" s="55" t="s">
        <v>144</v>
      </c>
      <c r="O3329" s="55" t="s">
        <v>147</v>
      </c>
      <c r="P3329" s="55" t="s">
        <v>674</v>
      </c>
      <c r="Q3329" s="55" t="s">
        <v>362</v>
      </c>
      <c r="R3329" s="85">
        <v>3</v>
      </c>
      <c r="S3329" s="55">
        <v>0</v>
      </c>
      <c r="T3329" s="74" t="s">
        <v>675</v>
      </c>
      <c r="U3329" s="74" t="s">
        <v>2053</v>
      </c>
      <c r="V3329" s="74">
        <v>44320</v>
      </c>
      <c r="W3329" s="74">
        <v>44348</v>
      </c>
      <c r="X3329" s="55">
        <v>10194652</v>
      </c>
    </row>
    <row r="3330" spans="1:29" ht="13" x14ac:dyDescent="0.15">
      <c r="A3330" s="55" t="str">
        <f>HYPERLINK("http://reports.ofsted.gov.uk/inspection-reports/find-inspection-report/provider/CARE/SC467847","Ofsted Social Care Provider Webpage")</f>
        <v>Ofsted Social Care Provider Webpage</v>
      </c>
      <c r="B3330" s="55" t="s">
        <v>6173</v>
      </c>
      <c r="D3330" s="55" t="s">
        <v>373</v>
      </c>
      <c r="E3330" s="74">
        <v>41488</v>
      </c>
      <c r="F3330" s="55" t="s">
        <v>344</v>
      </c>
      <c r="G3330" s="55" t="s">
        <v>360</v>
      </c>
      <c r="H3330" s="55" t="s">
        <v>360</v>
      </c>
      <c r="I3330" s="55" t="s">
        <v>360</v>
      </c>
      <c r="J3330" s="55" t="s">
        <v>360</v>
      </c>
      <c r="K3330" s="55" t="s">
        <v>360</v>
      </c>
      <c r="L3330" s="55" t="s">
        <v>360</v>
      </c>
      <c r="M3330" s="55" t="s">
        <v>129</v>
      </c>
      <c r="N3330" s="55" t="s">
        <v>129</v>
      </c>
      <c r="O3330" s="55" t="s">
        <v>242</v>
      </c>
      <c r="P3330" s="55" t="s">
        <v>1519</v>
      </c>
      <c r="Q3330" s="55" t="s">
        <v>350</v>
      </c>
      <c r="R3330" s="85">
        <v>5</v>
      </c>
      <c r="S3330" s="55">
        <v>0</v>
      </c>
      <c r="T3330" s="74" t="s">
        <v>1603</v>
      </c>
      <c r="U3330" s="74" t="s">
        <v>351</v>
      </c>
      <c r="V3330" s="74">
        <v>44481</v>
      </c>
      <c r="W3330" s="74">
        <v>44518</v>
      </c>
      <c r="X3330" s="55">
        <v>10186551</v>
      </c>
      <c r="Y3330" s="55" t="s">
        <v>132</v>
      </c>
      <c r="AB3330" s="74" t="s">
        <v>132</v>
      </c>
      <c r="AC3330" s="55" t="s">
        <v>130</v>
      </c>
    </row>
    <row r="3331" spans="1:29" ht="13" x14ac:dyDescent="0.15">
      <c r="A3331" s="55" t="str">
        <f>HYPERLINK("http://reports.ofsted.gov.uk/inspection-reports/find-inspection-report/provider/CARE/SC468747","Ofsted Social Care Provider Webpage")</f>
        <v>Ofsted Social Care Provider Webpage</v>
      </c>
      <c r="B3331" s="55" t="s">
        <v>6174</v>
      </c>
      <c r="D3331" s="55" t="s">
        <v>373</v>
      </c>
      <c r="E3331" s="74">
        <v>41498</v>
      </c>
      <c r="F3331" s="55" t="s">
        <v>344</v>
      </c>
      <c r="G3331" s="55" t="s">
        <v>360</v>
      </c>
      <c r="H3331" s="55" t="s">
        <v>360</v>
      </c>
      <c r="I3331" s="55" t="s">
        <v>360</v>
      </c>
      <c r="J3331" s="55" t="s">
        <v>360</v>
      </c>
      <c r="K3331" s="55" t="s">
        <v>360</v>
      </c>
      <c r="L3331" s="55" t="s">
        <v>360</v>
      </c>
      <c r="M3331" s="55" t="s">
        <v>136</v>
      </c>
      <c r="N3331" s="55" t="s">
        <v>136</v>
      </c>
      <c r="O3331" s="55" t="s">
        <v>174</v>
      </c>
      <c r="P3331" s="55" t="s">
        <v>982</v>
      </c>
      <c r="Q3331" s="55" t="s">
        <v>350</v>
      </c>
      <c r="R3331" s="85">
        <v>2</v>
      </c>
      <c r="S3331" s="55">
        <v>0</v>
      </c>
      <c r="T3331" s="74" t="s">
        <v>793</v>
      </c>
      <c r="U3331" s="74" t="s">
        <v>6703</v>
      </c>
      <c r="V3331" s="74">
        <v>44601</v>
      </c>
      <c r="W3331" s="74">
        <v>44655</v>
      </c>
      <c r="X3331" s="55">
        <v>10215857</v>
      </c>
      <c r="Y3331" s="55" t="s">
        <v>6706</v>
      </c>
    </row>
    <row r="3332" spans="1:29" ht="13" x14ac:dyDescent="0.15">
      <c r="A3332" s="55" t="str">
        <f>HYPERLINK("http://reports.ofsted.gov.uk/inspection-reports/find-inspection-report/provider/CARE/SC468747","Ofsted Social Care Provider Webpage")</f>
        <v>Ofsted Social Care Provider Webpage</v>
      </c>
      <c r="B3332" s="55" t="s">
        <v>6174</v>
      </c>
      <c r="D3332" s="55" t="s">
        <v>373</v>
      </c>
      <c r="E3332" s="74">
        <v>41498</v>
      </c>
      <c r="F3332" s="55" t="s">
        <v>344</v>
      </c>
      <c r="G3332" s="55" t="s">
        <v>360</v>
      </c>
      <c r="H3332" s="55" t="s">
        <v>360</v>
      </c>
      <c r="I3332" s="55" t="s">
        <v>360</v>
      </c>
      <c r="J3332" s="55" t="s">
        <v>360</v>
      </c>
      <c r="K3332" s="55" t="s">
        <v>360</v>
      </c>
      <c r="L3332" s="55" t="s">
        <v>360</v>
      </c>
      <c r="M3332" s="55" t="s">
        <v>136</v>
      </c>
      <c r="N3332" s="55" t="s">
        <v>136</v>
      </c>
      <c r="O3332" s="55" t="s">
        <v>174</v>
      </c>
      <c r="P3332" s="55" t="s">
        <v>982</v>
      </c>
      <c r="Q3332" s="55" t="s">
        <v>350</v>
      </c>
      <c r="R3332" s="85">
        <v>2</v>
      </c>
      <c r="S3332" s="55">
        <v>0</v>
      </c>
      <c r="T3332" s="74" t="s">
        <v>793</v>
      </c>
      <c r="U3332" s="74" t="s">
        <v>351</v>
      </c>
      <c r="V3332" s="74">
        <v>44313</v>
      </c>
      <c r="W3332" s="74">
        <v>44351</v>
      </c>
      <c r="X3332" s="55">
        <v>10185990</v>
      </c>
      <c r="Y3332" s="55" t="s">
        <v>130</v>
      </c>
      <c r="AB3332" s="74" t="s">
        <v>130</v>
      </c>
      <c r="AC3332" s="55" t="s">
        <v>130</v>
      </c>
    </row>
    <row r="3333" spans="1:29" ht="13" x14ac:dyDescent="0.15">
      <c r="A3333" s="55" t="str">
        <f>HYPERLINK("http://reports.ofsted.gov.uk/inspection-reports/find-inspection-report/provider/CARE/SC468929","Ofsted Social Care Provider Webpage")</f>
        <v>Ofsted Social Care Provider Webpage</v>
      </c>
      <c r="B3333" s="55" t="s">
        <v>6175</v>
      </c>
      <c r="D3333" s="55" t="s">
        <v>373</v>
      </c>
      <c r="E3333" s="74">
        <v>41556</v>
      </c>
      <c r="F3333" s="55" t="s">
        <v>344</v>
      </c>
      <c r="G3333" s="55" t="s">
        <v>360</v>
      </c>
      <c r="H3333" s="55" t="s">
        <v>360</v>
      </c>
      <c r="I3333" s="55" t="s">
        <v>360</v>
      </c>
      <c r="J3333" s="55" t="s">
        <v>360</v>
      </c>
      <c r="K3333" s="55" t="s">
        <v>360</v>
      </c>
      <c r="L3333" s="55" t="s">
        <v>360</v>
      </c>
      <c r="M3333" s="55" t="s">
        <v>378</v>
      </c>
      <c r="N3333" s="55" t="s">
        <v>170</v>
      </c>
      <c r="O3333" s="55" t="s">
        <v>233</v>
      </c>
      <c r="P3333" s="55" t="s">
        <v>1376</v>
      </c>
      <c r="Q3333" s="55" t="s">
        <v>380</v>
      </c>
      <c r="R3333" s="85">
        <v>4</v>
      </c>
      <c r="S3333" s="55">
        <v>0</v>
      </c>
      <c r="T3333" s="74" t="s">
        <v>381</v>
      </c>
      <c r="U3333" s="74" t="s">
        <v>351</v>
      </c>
      <c r="V3333" s="74">
        <v>44327</v>
      </c>
      <c r="W3333" s="74">
        <v>44350</v>
      </c>
      <c r="X3333" s="55">
        <v>10185505</v>
      </c>
      <c r="Y3333" s="55" t="s">
        <v>132</v>
      </c>
      <c r="AB3333" s="74" t="s">
        <v>132</v>
      </c>
      <c r="AC3333" s="55" t="s">
        <v>132</v>
      </c>
    </row>
    <row r="3334" spans="1:29" ht="13" x14ac:dyDescent="0.15">
      <c r="A3334" s="55" t="str">
        <f>HYPERLINK("http://reports.ofsted.gov.uk/inspection-reports/find-inspection-report/provider/CARE/SC469113","Ofsted Social Care Provider Webpage")</f>
        <v>Ofsted Social Care Provider Webpage</v>
      </c>
      <c r="B3334" s="55" t="s">
        <v>6176</v>
      </c>
      <c r="C3334" s="55">
        <v>138405</v>
      </c>
      <c r="D3334" s="55" t="s">
        <v>398</v>
      </c>
      <c r="E3334" s="74">
        <v>41474</v>
      </c>
      <c r="F3334" s="55" t="s">
        <v>344</v>
      </c>
      <c r="G3334" s="55" t="s">
        <v>6177</v>
      </c>
      <c r="H3334" s="55" t="s">
        <v>6178</v>
      </c>
      <c r="I3334" s="55" t="s">
        <v>354</v>
      </c>
      <c r="J3334" s="55" t="s">
        <v>6179</v>
      </c>
      <c r="K3334" s="55" t="s">
        <v>203</v>
      </c>
      <c r="L3334" s="55" t="s">
        <v>6180</v>
      </c>
      <c r="M3334" s="55" t="s">
        <v>150</v>
      </c>
      <c r="N3334" s="55" t="s">
        <v>150</v>
      </c>
      <c r="O3334" s="55" t="s">
        <v>203</v>
      </c>
      <c r="P3334" s="55" t="s">
        <v>1268</v>
      </c>
      <c r="Q3334" s="55" t="s">
        <v>350</v>
      </c>
      <c r="R3334" s="85">
        <v>117</v>
      </c>
      <c r="S3334" s="55">
        <v>0</v>
      </c>
      <c r="T3334" s="74" t="s">
        <v>6181</v>
      </c>
      <c r="U3334" s="74" t="s">
        <v>351</v>
      </c>
      <c r="V3334" s="74">
        <v>44474</v>
      </c>
      <c r="W3334" s="74">
        <v>44529</v>
      </c>
      <c r="X3334" s="55">
        <v>10183308</v>
      </c>
      <c r="Y3334" s="55" t="s">
        <v>132</v>
      </c>
      <c r="AB3334" s="74" t="s">
        <v>132</v>
      </c>
      <c r="AC3334" s="55" t="s">
        <v>132</v>
      </c>
    </row>
    <row r="3335" spans="1:29" ht="13" x14ac:dyDescent="0.15">
      <c r="A3335" s="55" t="str">
        <f>HYPERLINK("http://reports.ofsted.gov.uk/inspection-reports/find-inspection-report/provider/CARE/SC469396","Ofsted Social Care Provider Webpage")</f>
        <v>Ofsted Social Care Provider Webpage</v>
      </c>
      <c r="B3335" s="55" t="s">
        <v>6182</v>
      </c>
      <c r="D3335" s="55" t="s">
        <v>373</v>
      </c>
      <c r="E3335" s="74">
        <v>41631</v>
      </c>
      <c r="F3335" s="55" t="s">
        <v>344</v>
      </c>
      <c r="G3335" s="55" t="s">
        <v>360</v>
      </c>
      <c r="H3335" s="55" t="s">
        <v>360</v>
      </c>
      <c r="I3335" s="55" t="s">
        <v>360</v>
      </c>
      <c r="J3335" s="55" t="s">
        <v>360</v>
      </c>
      <c r="K3335" s="55" t="s">
        <v>360</v>
      </c>
      <c r="L3335" s="55" t="s">
        <v>360</v>
      </c>
      <c r="M3335" s="55" t="s">
        <v>150</v>
      </c>
      <c r="N3335" s="55" t="s">
        <v>150</v>
      </c>
      <c r="O3335" s="55" t="s">
        <v>203</v>
      </c>
      <c r="P3335" s="55" t="s">
        <v>1263</v>
      </c>
      <c r="Q3335" s="55" t="s">
        <v>350</v>
      </c>
      <c r="R3335" s="85">
        <v>4</v>
      </c>
      <c r="S3335" s="55">
        <v>0</v>
      </c>
      <c r="T3335" s="74" t="s">
        <v>483</v>
      </c>
      <c r="U3335" s="74" t="s">
        <v>351</v>
      </c>
      <c r="V3335" s="74">
        <v>44593</v>
      </c>
      <c r="W3335" s="74">
        <v>44645</v>
      </c>
      <c r="X3335" s="55">
        <v>10187364</v>
      </c>
      <c r="Y3335" s="55" t="s">
        <v>132</v>
      </c>
      <c r="AB3335" s="74" t="s">
        <v>132</v>
      </c>
      <c r="AC3335" s="55" t="s">
        <v>132</v>
      </c>
    </row>
    <row r="3336" spans="1:29" ht="13" x14ac:dyDescent="0.15">
      <c r="A3336" s="55" t="str">
        <f>HYPERLINK("http://reports.ofsted.gov.uk/inspection-reports/find-inspection-report/provider/CARE/SC469686","Ofsted Social Care Provider Webpage")</f>
        <v>Ofsted Social Care Provider Webpage</v>
      </c>
      <c r="B3336" s="55" t="s">
        <v>6183</v>
      </c>
      <c r="D3336" s="55" t="s">
        <v>373</v>
      </c>
      <c r="E3336" s="74">
        <v>41605</v>
      </c>
      <c r="F3336" s="55" t="s">
        <v>344</v>
      </c>
      <c r="G3336" s="55" t="s">
        <v>360</v>
      </c>
      <c r="H3336" s="55" t="s">
        <v>360</v>
      </c>
      <c r="I3336" s="55" t="s">
        <v>360</v>
      </c>
      <c r="J3336" s="55" t="s">
        <v>360</v>
      </c>
      <c r="K3336" s="55" t="s">
        <v>360</v>
      </c>
      <c r="L3336" s="55" t="s">
        <v>360</v>
      </c>
      <c r="M3336" s="55" t="s">
        <v>142</v>
      </c>
      <c r="N3336" s="55" t="s">
        <v>142</v>
      </c>
      <c r="O3336" s="55" t="s">
        <v>262</v>
      </c>
      <c r="P3336" s="55" t="s">
        <v>618</v>
      </c>
      <c r="Q3336" s="55" t="s">
        <v>350</v>
      </c>
      <c r="R3336" s="85">
        <v>3</v>
      </c>
      <c r="S3336" s="55">
        <v>0</v>
      </c>
      <c r="T3336" s="74" t="s">
        <v>4819</v>
      </c>
      <c r="U3336" s="74" t="s">
        <v>351</v>
      </c>
      <c r="V3336" s="74">
        <v>44629</v>
      </c>
      <c r="W3336" s="74">
        <v>44672</v>
      </c>
      <c r="X3336" s="55">
        <v>10187046</v>
      </c>
      <c r="Y3336" s="55" t="s">
        <v>132</v>
      </c>
      <c r="AB3336" s="74" t="s">
        <v>132</v>
      </c>
      <c r="AC3336" s="55" t="s">
        <v>132</v>
      </c>
    </row>
    <row r="3337" spans="1:29" ht="13" x14ac:dyDescent="0.15">
      <c r="A3337" s="55" t="str">
        <f>HYPERLINK("http://reports.ofsted.gov.uk/inspection-reports/find-inspection-report/provider/CARE/SC469761","Ofsted Social Care Provider Webpage")</f>
        <v>Ofsted Social Care Provider Webpage</v>
      </c>
      <c r="B3337" s="55" t="s">
        <v>6190</v>
      </c>
      <c r="D3337" s="55" t="s">
        <v>373</v>
      </c>
      <c r="E3337" s="74">
        <v>41567</v>
      </c>
      <c r="F3337" s="55" t="s">
        <v>344</v>
      </c>
      <c r="G3337" s="55" t="s">
        <v>360</v>
      </c>
      <c r="H3337" s="55" t="s">
        <v>360</v>
      </c>
      <c r="I3337" s="55" t="s">
        <v>360</v>
      </c>
      <c r="J3337" s="55" t="s">
        <v>360</v>
      </c>
      <c r="K3337" s="55" t="s">
        <v>360</v>
      </c>
      <c r="L3337" s="55" t="s">
        <v>360</v>
      </c>
      <c r="M3337" s="55" t="s">
        <v>142</v>
      </c>
      <c r="N3337" s="55" t="s">
        <v>142</v>
      </c>
      <c r="O3337" s="55" t="s">
        <v>272</v>
      </c>
      <c r="P3337" s="55" t="s">
        <v>1291</v>
      </c>
      <c r="Q3337" s="55" t="s">
        <v>350</v>
      </c>
      <c r="R3337" s="85">
        <v>3</v>
      </c>
      <c r="S3337" s="55">
        <v>0</v>
      </c>
      <c r="T3337" s="74" t="s">
        <v>917</v>
      </c>
      <c r="U3337" s="74" t="s">
        <v>351</v>
      </c>
      <c r="V3337" s="74">
        <v>44390</v>
      </c>
      <c r="W3337" s="74">
        <v>44440</v>
      </c>
      <c r="X3337" s="55">
        <v>10187481</v>
      </c>
      <c r="Y3337" s="55" t="s">
        <v>132</v>
      </c>
      <c r="AB3337" s="74" t="s">
        <v>132</v>
      </c>
      <c r="AC3337" s="55" t="s">
        <v>132</v>
      </c>
    </row>
    <row r="3338" spans="1:29" ht="13" x14ac:dyDescent="0.15">
      <c r="A3338" s="55" t="str">
        <f>HYPERLINK("http://reports.ofsted.gov.uk/inspection-reports/find-inspection-report/provider/CARE/SC470224","Ofsted Social Care Provider Webpage")</f>
        <v>Ofsted Social Care Provider Webpage</v>
      </c>
      <c r="B3338" s="55" t="s">
        <v>6196</v>
      </c>
      <c r="D3338" s="55" t="s">
        <v>373</v>
      </c>
      <c r="E3338" s="74">
        <v>41589</v>
      </c>
      <c r="F3338" s="55" t="s">
        <v>344</v>
      </c>
      <c r="G3338" s="55" t="s">
        <v>360</v>
      </c>
      <c r="H3338" s="55" t="s">
        <v>360</v>
      </c>
      <c r="I3338" s="55" t="s">
        <v>360</v>
      </c>
      <c r="J3338" s="55" t="s">
        <v>360</v>
      </c>
      <c r="K3338" s="55" t="s">
        <v>360</v>
      </c>
      <c r="L3338" s="55" t="s">
        <v>360</v>
      </c>
      <c r="M3338" s="55" t="s">
        <v>144</v>
      </c>
      <c r="N3338" s="55" t="s">
        <v>144</v>
      </c>
      <c r="O3338" s="55" t="s">
        <v>209</v>
      </c>
      <c r="P3338" s="55" t="s">
        <v>650</v>
      </c>
      <c r="Q3338" s="55" t="s">
        <v>350</v>
      </c>
      <c r="R3338" s="85">
        <v>10</v>
      </c>
      <c r="S3338" s="55">
        <v>0</v>
      </c>
      <c r="T3338" s="74" t="s">
        <v>630</v>
      </c>
      <c r="U3338" s="74" t="s">
        <v>351</v>
      </c>
      <c r="V3338" s="74">
        <v>44405</v>
      </c>
      <c r="W3338" s="74">
        <v>44445</v>
      </c>
      <c r="X3338" s="55">
        <v>10187375</v>
      </c>
      <c r="Y3338" s="55" t="s">
        <v>132</v>
      </c>
      <c r="AB3338" s="74" t="s">
        <v>132</v>
      </c>
      <c r="AC3338" s="55" t="s">
        <v>132</v>
      </c>
    </row>
    <row r="3339" spans="1:29" ht="13" x14ac:dyDescent="0.15">
      <c r="A3339" s="55" t="str">
        <f>HYPERLINK("http://reports.ofsted.gov.uk/inspection-reports/find-inspection-report/provider/CARE/SC470284","Ofsted Social Care Provider Webpage")</f>
        <v>Ofsted Social Care Provider Webpage</v>
      </c>
      <c r="B3339" s="55" t="s">
        <v>6201</v>
      </c>
      <c r="D3339" s="55" t="s">
        <v>373</v>
      </c>
      <c r="E3339" s="74">
        <v>41562</v>
      </c>
      <c r="F3339" s="55" t="s">
        <v>344</v>
      </c>
      <c r="G3339" s="55" t="s">
        <v>360</v>
      </c>
      <c r="H3339" s="55" t="s">
        <v>360</v>
      </c>
      <c r="I3339" s="55" t="s">
        <v>360</v>
      </c>
      <c r="J3339" s="55" t="s">
        <v>360</v>
      </c>
      <c r="K3339" s="55" t="s">
        <v>360</v>
      </c>
      <c r="L3339" s="55" t="s">
        <v>360</v>
      </c>
      <c r="M3339" s="55" t="s">
        <v>142</v>
      </c>
      <c r="N3339" s="55" t="s">
        <v>142</v>
      </c>
      <c r="O3339" s="55" t="s">
        <v>249</v>
      </c>
      <c r="P3339" s="55" t="s">
        <v>1318</v>
      </c>
      <c r="Q3339" s="55" t="s">
        <v>350</v>
      </c>
      <c r="R3339" s="85">
        <v>3</v>
      </c>
      <c r="S3339" s="55">
        <v>0</v>
      </c>
      <c r="T3339" s="74" t="s">
        <v>1019</v>
      </c>
      <c r="U3339" s="74" t="s">
        <v>351</v>
      </c>
      <c r="V3339" s="74">
        <v>44595</v>
      </c>
      <c r="W3339" s="74">
        <v>44638</v>
      </c>
      <c r="X3339" s="55">
        <v>10185038</v>
      </c>
      <c r="Y3339" s="55" t="s">
        <v>132</v>
      </c>
      <c r="AB3339" s="74" t="s">
        <v>132</v>
      </c>
      <c r="AC3339" s="55" t="s">
        <v>132</v>
      </c>
    </row>
    <row r="3340" spans="1:29" ht="13" x14ac:dyDescent="0.15">
      <c r="A3340" s="55" t="str">
        <f>HYPERLINK("http://reports.ofsted.gov.uk/inspection-reports/find-inspection-report/provider/CARE/SC470290","Ofsted Social Care Provider Webpage")</f>
        <v>Ofsted Social Care Provider Webpage</v>
      </c>
      <c r="B3340" s="55" t="s">
        <v>6202</v>
      </c>
      <c r="D3340" s="55" t="s">
        <v>373</v>
      </c>
      <c r="E3340" s="74">
        <v>41662</v>
      </c>
      <c r="F3340" s="55" t="s">
        <v>344</v>
      </c>
      <c r="G3340" s="55" t="s">
        <v>360</v>
      </c>
      <c r="H3340" s="55" t="s">
        <v>360</v>
      </c>
      <c r="I3340" s="55" t="s">
        <v>360</v>
      </c>
      <c r="J3340" s="55" t="s">
        <v>360</v>
      </c>
      <c r="K3340" s="55" t="s">
        <v>360</v>
      </c>
      <c r="L3340" s="55" t="s">
        <v>360</v>
      </c>
      <c r="M3340" s="55" t="s">
        <v>136</v>
      </c>
      <c r="N3340" s="55" t="s">
        <v>136</v>
      </c>
      <c r="O3340" s="55" t="s">
        <v>255</v>
      </c>
      <c r="P3340" s="55" t="s">
        <v>757</v>
      </c>
      <c r="Q3340" s="55" t="s">
        <v>350</v>
      </c>
      <c r="R3340" s="85">
        <v>3</v>
      </c>
      <c r="S3340" s="55">
        <v>0</v>
      </c>
      <c r="T3340" s="74" t="s">
        <v>914</v>
      </c>
      <c r="U3340" s="74" t="s">
        <v>351</v>
      </c>
      <c r="V3340" s="74">
        <v>44426</v>
      </c>
      <c r="W3340" s="74">
        <v>44462</v>
      </c>
      <c r="X3340" s="55">
        <v>10186190</v>
      </c>
      <c r="Y3340" s="55" t="s">
        <v>130</v>
      </c>
      <c r="AB3340" s="74" t="s">
        <v>130</v>
      </c>
      <c r="AC3340" s="55" t="s">
        <v>130</v>
      </c>
    </row>
    <row r="3341" spans="1:29" ht="13" x14ac:dyDescent="0.15">
      <c r="A3341" s="55" t="str">
        <f>HYPERLINK("http://reports.ofsted.gov.uk/inspection-reports/find-inspection-report/provider/CARE/SC470413","Ofsted Social Care Provider Webpage")</f>
        <v>Ofsted Social Care Provider Webpage</v>
      </c>
      <c r="B3341" s="55" t="s">
        <v>6203</v>
      </c>
      <c r="D3341" s="55" t="s">
        <v>373</v>
      </c>
      <c r="E3341" s="74">
        <v>41554</v>
      </c>
      <c r="F3341" s="55" t="s">
        <v>344</v>
      </c>
      <c r="G3341" s="55" t="s">
        <v>360</v>
      </c>
      <c r="H3341" s="55" t="s">
        <v>360</v>
      </c>
      <c r="I3341" s="55" t="s">
        <v>360</v>
      </c>
      <c r="J3341" s="55" t="s">
        <v>360</v>
      </c>
      <c r="K3341" s="55" t="s">
        <v>360</v>
      </c>
      <c r="L3341" s="55" t="s">
        <v>360</v>
      </c>
      <c r="M3341" s="55" t="s">
        <v>142</v>
      </c>
      <c r="N3341" s="55" t="s">
        <v>142</v>
      </c>
      <c r="O3341" s="55" t="s">
        <v>262</v>
      </c>
      <c r="P3341" s="55" t="s">
        <v>618</v>
      </c>
      <c r="Q3341" s="55" t="s">
        <v>350</v>
      </c>
      <c r="R3341" s="85">
        <v>2</v>
      </c>
      <c r="S3341" s="55">
        <v>0</v>
      </c>
      <c r="T3341" s="74" t="s">
        <v>917</v>
      </c>
      <c r="U3341" s="74" t="s">
        <v>351</v>
      </c>
      <c r="V3341" s="74">
        <v>44460</v>
      </c>
      <c r="W3341" s="74">
        <v>44503</v>
      </c>
      <c r="X3341" s="55">
        <v>10186291</v>
      </c>
      <c r="Y3341" s="55" t="s">
        <v>132</v>
      </c>
      <c r="AB3341" s="74" t="s">
        <v>132</v>
      </c>
      <c r="AC3341" s="55" t="s">
        <v>132</v>
      </c>
    </row>
    <row r="3342" spans="1:29" ht="13" x14ac:dyDescent="0.15">
      <c r="A3342" s="55" t="str">
        <f>HYPERLINK("http://reports.ofsted.gov.uk/inspection-reports/find-inspection-report/provider/CARE/SC470457","Ofsted Social Care Provider Webpage")</f>
        <v>Ofsted Social Care Provider Webpage</v>
      </c>
      <c r="B3342" s="55" t="s">
        <v>6204</v>
      </c>
      <c r="D3342" s="55" t="s">
        <v>373</v>
      </c>
      <c r="E3342" s="74">
        <v>41614</v>
      </c>
      <c r="F3342" s="55" t="s">
        <v>344</v>
      </c>
      <c r="G3342" s="55" t="s">
        <v>360</v>
      </c>
      <c r="H3342" s="55" t="s">
        <v>360</v>
      </c>
      <c r="I3342" s="55" t="s">
        <v>360</v>
      </c>
      <c r="J3342" s="55" t="s">
        <v>360</v>
      </c>
      <c r="K3342" s="55" t="s">
        <v>360</v>
      </c>
      <c r="L3342" s="55" t="s">
        <v>360</v>
      </c>
      <c r="M3342" s="55" t="s">
        <v>142</v>
      </c>
      <c r="N3342" s="55" t="s">
        <v>142</v>
      </c>
      <c r="O3342" s="55" t="s">
        <v>141</v>
      </c>
      <c r="P3342" s="55" t="s">
        <v>573</v>
      </c>
      <c r="Q3342" s="55" t="s">
        <v>350</v>
      </c>
      <c r="R3342" s="85">
        <v>3</v>
      </c>
      <c r="S3342" s="55">
        <v>0</v>
      </c>
      <c r="T3342" s="74" t="s">
        <v>1913</v>
      </c>
      <c r="U3342" s="74" t="s">
        <v>351</v>
      </c>
      <c r="V3342" s="74">
        <v>44362</v>
      </c>
      <c r="W3342" s="74">
        <v>44400</v>
      </c>
      <c r="X3342" s="55">
        <v>10185041</v>
      </c>
      <c r="Y3342" s="55" t="s">
        <v>146</v>
      </c>
      <c r="AB3342" s="74" t="s">
        <v>146</v>
      </c>
      <c r="AC3342" s="55" t="s">
        <v>146</v>
      </c>
    </row>
    <row r="3343" spans="1:29" ht="13" x14ac:dyDescent="0.15">
      <c r="A3343" s="55" t="str">
        <f>HYPERLINK("http://reports.ofsted.gov.uk/inspection-reports/find-inspection-report/provider/CARE/SC470457","Ofsted Social Care Provider Webpage")</f>
        <v>Ofsted Social Care Provider Webpage</v>
      </c>
      <c r="B3343" s="55" t="s">
        <v>6204</v>
      </c>
      <c r="D3343" s="55" t="s">
        <v>373</v>
      </c>
      <c r="E3343" s="74">
        <v>41614</v>
      </c>
      <c r="F3343" s="55" t="s">
        <v>344</v>
      </c>
      <c r="G3343" s="55" t="s">
        <v>360</v>
      </c>
      <c r="H3343" s="55" t="s">
        <v>360</v>
      </c>
      <c r="I3343" s="55" t="s">
        <v>360</v>
      </c>
      <c r="J3343" s="55" t="s">
        <v>360</v>
      </c>
      <c r="K3343" s="55" t="s">
        <v>360</v>
      </c>
      <c r="L3343" s="55" t="s">
        <v>360</v>
      </c>
      <c r="M3343" s="55" t="s">
        <v>142</v>
      </c>
      <c r="N3343" s="55" t="s">
        <v>142</v>
      </c>
      <c r="O3343" s="55" t="s">
        <v>141</v>
      </c>
      <c r="P3343" s="55" t="s">
        <v>573</v>
      </c>
      <c r="Q3343" s="55" t="s">
        <v>350</v>
      </c>
      <c r="R3343" s="85">
        <v>3</v>
      </c>
      <c r="S3343" s="55">
        <v>0</v>
      </c>
      <c r="T3343" s="74" t="s">
        <v>1913</v>
      </c>
      <c r="U3343" s="74" t="s">
        <v>351</v>
      </c>
      <c r="V3343" s="74">
        <v>44453</v>
      </c>
      <c r="W3343" s="74">
        <v>44484</v>
      </c>
      <c r="X3343" s="55">
        <v>10204752</v>
      </c>
      <c r="Y3343" s="55" t="s">
        <v>132</v>
      </c>
      <c r="AB3343" s="74" t="s">
        <v>132</v>
      </c>
      <c r="AC3343" s="55" t="s">
        <v>132</v>
      </c>
    </row>
    <row r="3344" spans="1:29" ht="13" x14ac:dyDescent="0.15">
      <c r="A3344" s="55" t="str">
        <f>HYPERLINK("http://reports.ofsted.gov.uk/inspection-reports/find-inspection-report/provider/CARE/SC470457","Ofsted Social Care Provider Webpage")</f>
        <v>Ofsted Social Care Provider Webpage</v>
      </c>
      <c r="B3344" s="55" t="s">
        <v>6204</v>
      </c>
      <c r="D3344" s="55" t="s">
        <v>373</v>
      </c>
      <c r="E3344" s="74">
        <v>41614</v>
      </c>
      <c r="F3344" s="55" t="s">
        <v>344</v>
      </c>
      <c r="G3344" s="55" t="s">
        <v>360</v>
      </c>
      <c r="H3344" s="55" t="s">
        <v>360</v>
      </c>
      <c r="I3344" s="55" t="s">
        <v>360</v>
      </c>
      <c r="J3344" s="55" t="s">
        <v>360</v>
      </c>
      <c r="K3344" s="55" t="s">
        <v>360</v>
      </c>
      <c r="L3344" s="55" t="s">
        <v>360</v>
      </c>
      <c r="M3344" s="55" t="s">
        <v>142</v>
      </c>
      <c r="N3344" s="55" t="s">
        <v>142</v>
      </c>
      <c r="O3344" s="55" t="s">
        <v>141</v>
      </c>
      <c r="P3344" s="55" t="s">
        <v>573</v>
      </c>
      <c r="Q3344" s="55" t="s">
        <v>350</v>
      </c>
      <c r="R3344" s="85">
        <v>3</v>
      </c>
      <c r="S3344" s="55">
        <v>0</v>
      </c>
      <c r="T3344" s="74" t="s">
        <v>1913</v>
      </c>
      <c r="U3344" s="74" t="s">
        <v>2053</v>
      </c>
      <c r="V3344" s="74">
        <v>44418</v>
      </c>
      <c r="W3344" s="74">
        <v>44455</v>
      </c>
      <c r="X3344" s="55">
        <v>10198595</v>
      </c>
    </row>
    <row r="3345" spans="1:29" ht="13" x14ac:dyDescent="0.15">
      <c r="A3345" s="55" t="str">
        <f>HYPERLINK("http://reports.ofsted.gov.uk/inspection-reports/find-inspection-report/provider/CARE/SC470479","Ofsted Social Care Provider Webpage")</f>
        <v>Ofsted Social Care Provider Webpage</v>
      </c>
      <c r="B3345" s="55" t="s">
        <v>6208</v>
      </c>
      <c r="D3345" s="55" t="s">
        <v>373</v>
      </c>
      <c r="E3345" s="74">
        <v>41647</v>
      </c>
      <c r="F3345" s="55" t="s">
        <v>344</v>
      </c>
      <c r="G3345" s="55" t="s">
        <v>360</v>
      </c>
      <c r="H3345" s="55" t="s">
        <v>360</v>
      </c>
      <c r="I3345" s="55" t="s">
        <v>360</v>
      </c>
      <c r="J3345" s="55" t="s">
        <v>360</v>
      </c>
      <c r="K3345" s="55" t="s">
        <v>360</v>
      </c>
      <c r="L3345" s="55" t="s">
        <v>360</v>
      </c>
      <c r="M3345" s="55" t="s">
        <v>136</v>
      </c>
      <c r="N3345" s="55" t="s">
        <v>136</v>
      </c>
      <c r="O3345" s="55" t="s">
        <v>176</v>
      </c>
      <c r="P3345" s="55" t="s">
        <v>1832</v>
      </c>
      <c r="Q3345" s="55" t="s">
        <v>350</v>
      </c>
      <c r="R3345" s="85">
        <v>4</v>
      </c>
      <c r="S3345" s="55">
        <v>0</v>
      </c>
      <c r="T3345" s="74" t="s">
        <v>892</v>
      </c>
      <c r="U3345" s="74" t="s">
        <v>351</v>
      </c>
      <c r="V3345" s="74">
        <v>44342</v>
      </c>
      <c r="W3345" s="74">
        <v>44398</v>
      </c>
      <c r="X3345" s="55">
        <v>10186017</v>
      </c>
      <c r="Y3345" s="55" t="s">
        <v>132</v>
      </c>
      <c r="AB3345" s="74" t="s">
        <v>132</v>
      </c>
      <c r="AC3345" s="55" t="s">
        <v>132</v>
      </c>
    </row>
    <row r="3346" spans="1:29" ht="13" x14ac:dyDescent="0.15">
      <c r="A3346" s="55" t="str">
        <f>HYPERLINK("http://reports.ofsted.gov.uk/inspection-reports/find-inspection-report/provider/CARE/SC470513","Ofsted Social Care Provider Webpage")</f>
        <v>Ofsted Social Care Provider Webpage</v>
      </c>
      <c r="B3346" s="55" t="s">
        <v>6209</v>
      </c>
      <c r="D3346" s="55" t="s">
        <v>479</v>
      </c>
      <c r="E3346" s="74">
        <v>41646</v>
      </c>
      <c r="F3346" s="55" t="s">
        <v>344</v>
      </c>
      <c r="G3346" s="55" t="s">
        <v>360</v>
      </c>
      <c r="H3346" s="55" t="s">
        <v>360</v>
      </c>
      <c r="I3346" s="55" t="s">
        <v>360</v>
      </c>
      <c r="J3346" s="55" t="s">
        <v>360</v>
      </c>
      <c r="K3346" s="55" t="s">
        <v>360</v>
      </c>
      <c r="L3346" s="55" t="s">
        <v>360</v>
      </c>
      <c r="M3346" s="55" t="s">
        <v>150</v>
      </c>
      <c r="N3346" s="55" t="s">
        <v>150</v>
      </c>
      <c r="O3346" s="55" t="s">
        <v>203</v>
      </c>
      <c r="P3346" s="55" t="s">
        <v>1263</v>
      </c>
      <c r="Q3346" s="55" t="s">
        <v>380</v>
      </c>
      <c r="R3346" s="85">
        <v>56</v>
      </c>
      <c r="S3346" s="55">
        <v>0</v>
      </c>
      <c r="T3346" s="74" t="s">
        <v>2581</v>
      </c>
      <c r="U3346" s="74" t="s">
        <v>2053</v>
      </c>
      <c r="V3346" s="74">
        <v>44375</v>
      </c>
      <c r="W3346" s="74">
        <v>44421</v>
      </c>
      <c r="X3346" s="55">
        <v>10198185</v>
      </c>
    </row>
    <row r="3347" spans="1:29" ht="13" x14ac:dyDescent="0.15">
      <c r="A3347" s="55" t="str">
        <f>HYPERLINK("http://reports.ofsted.gov.uk/inspection-reports/find-inspection-report/provider/CARE/SC470513","Ofsted Social Care Provider Webpage")</f>
        <v>Ofsted Social Care Provider Webpage</v>
      </c>
      <c r="B3347" s="55" t="s">
        <v>6209</v>
      </c>
      <c r="D3347" s="55" t="s">
        <v>479</v>
      </c>
      <c r="E3347" s="74">
        <v>41646</v>
      </c>
      <c r="F3347" s="55" t="s">
        <v>344</v>
      </c>
      <c r="G3347" s="55" t="s">
        <v>360</v>
      </c>
      <c r="H3347" s="55" t="s">
        <v>360</v>
      </c>
      <c r="I3347" s="55" t="s">
        <v>360</v>
      </c>
      <c r="J3347" s="55" t="s">
        <v>360</v>
      </c>
      <c r="K3347" s="55" t="s">
        <v>360</v>
      </c>
      <c r="L3347" s="55" t="s">
        <v>360</v>
      </c>
      <c r="M3347" s="55" t="s">
        <v>150</v>
      </c>
      <c r="N3347" s="55" t="s">
        <v>150</v>
      </c>
      <c r="O3347" s="55" t="s">
        <v>203</v>
      </c>
      <c r="P3347" s="55" t="s">
        <v>1263</v>
      </c>
      <c r="Q3347" s="55" t="s">
        <v>380</v>
      </c>
      <c r="R3347" s="85">
        <v>56</v>
      </c>
      <c r="S3347" s="55">
        <v>0</v>
      </c>
      <c r="T3347" s="74" t="s">
        <v>2581</v>
      </c>
      <c r="U3347" s="74" t="s">
        <v>351</v>
      </c>
      <c r="V3347" s="74">
        <v>44307</v>
      </c>
      <c r="W3347" s="74">
        <v>44355</v>
      </c>
      <c r="X3347" s="55">
        <v>10185306</v>
      </c>
      <c r="Y3347" s="55" t="s">
        <v>130</v>
      </c>
      <c r="AB3347" s="74" t="s">
        <v>130</v>
      </c>
      <c r="AC3347" s="55" t="s">
        <v>146</v>
      </c>
    </row>
    <row r="3348" spans="1:29" ht="13" x14ac:dyDescent="0.15">
      <c r="A3348" s="55" t="str">
        <f>HYPERLINK("http://reports.ofsted.gov.uk/inspection-reports/find-inspection-report/provider/CARE/SC470513","Ofsted Social Care Provider Webpage")</f>
        <v>Ofsted Social Care Provider Webpage</v>
      </c>
      <c r="B3348" s="55" t="s">
        <v>6209</v>
      </c>
      <c r="D3348" s="55" t="s">
        <v>479</v>
      </c>
      <c r="E3348" s="74">
        <v>41646</v>
      </c>
      <c r="F3348" s="55" t="s">
        <v>344</v>
      </c>
      <c r="G3348" s="55" t="s">
        <v>360</v>
      </c>
      <c r="H3348" s="55" t="s">
        <v>360</v>
      </c>
      <c r="I3348" s="55" t="s">
        <v>360</v>
      </c>
      <c r="J3348" s="55" t="s">
        <v>360</v>
      </c>
      <c r="K3348" s="55" t="s">
        <v>360</v>
      </c>
      <c r="L3348" s="55" t="s">
        <v>360</v>
      </c>
      <c r="M3348" s="55" t="s">
        <v>150</v>
      </c>
      <c r="N3348" s="55" t="s">
        <v>150</v>
      </c>
      <c r="O3348" s="55" t="s">
        <v>203</v>
      </c>
      <c r="P3348" s="55" t="s">
        <v>1263</v>
      </c>
      <c r="Q3348" s="55" t="s">
        <v>380</v>
      </c>
      <c r="R3348" s="85">
        <v>56</v>
      </c>
      <c r="S3348" s="55">
        <v>0</v>
      </c>
      <c r="T3348" s="74" t="s">
        <v>2581</v>
      </c>
      <c r="U3348" s="74" t="s">
        <v>2053</v>
      </c>
      <c r="V3348" s="74">
        <v>44337</v>
      </c>
      <c r="W3348" s="74">
        <v>44385</v>
      </c>
      <c r="X3348" s="55">
        <v>10195143</v>
      </c>
    </row>
    <row r="3349" spans="1:29" ht="13" x14ac:dyDescent="0.15">
      <c r="A3349" s="55" t="str">
        <f>HYPERLINK("http://reports.ofsted.gov.uk/inspection-reports/find-inspection-report/provider/CARE/SC470513","Ofsted Social Care Provider Webpage")</f>
        <v>Ofsted Social Care Provider Webpage</v>
      </c>
      <c r="B3349" s="55" t="s">
        <v>6209</v>
      </c>
      <c r="D3349" s="55" t="s">
        <v>479</v>
      </c>
      <c r="E3349" s="74">
        <v>41646</v>
      </c>
      <c r="F3349" s="55" t="s">
        <v>344</v>
      </c>
      <c r="G3349" s="55" t="s">
        <v>360</v>
      </c>
      <c r="H3349" s="55" t="s">
        <v>360</v>
      </c>
      <c r="I3349" s="55" t="s">
        <v>360</v>
      </c>
      <c r="J3349" s="55" t="s">
        <v>360</v>
      </c>
      <c r="K3349" s="55" t="s">
        <v>360</v>
      </c>
      <c r="L3349" s="55" t="s">
        <v>360</v>
      </c>
      <c r="M3349" s="55" t="s">
        <v>150</v>
      </c>
      <c r="N3349" s="55" t="s">
        <v>150</v>
      </c>
      <c r="O3349" s="55" t="s">
        <v>203</v>
      </c>
      <c r="P3349" s="55" t="s">
        <v>1263</v>
      </c>
      <c r="Q3349" s="55" t="s">
        <v>380</v>
      </c>
      <c r="R3349" s="85">
        <v>56</v>
      </c>
      <c r="S3349" s="55">
        <v>0</v>
      </c>
      <c r="T3349" s="74" t="s">
        <v>2581</v>
      </c>
      <c r="U3349" s="74" t="s">
        <v>6703</v>
      </c>
      <c r="V3349" s="74">
        <v>44580</v>
      </c>
      <c r="W3349" s="74">
        <v>44620</v>
      </c>
      <c r="X3349" s="55">
        <v>10212854</v>
      </c>
      <c r="Y3349" s="55" t="s">
        <v>6705</v>
      </c>
    </row>
    <row r="3350" spans="1:29" ht="13" x14ac:dyDescent="0.15">
      <c r="A3350" s="55" t="str">
        <f>HYPERLINK("http://reports.ofsted.gov.uk/inspection-reports/find-inspection-report/provider/CARE/SC470585","Ofsted Social Care Provider Webpage")</f>
        <v>Ofsted Social Care Provider Webpage</v>
      </c>
      <c r="B3350" s="55" t="s">
        <v>6210</v>
      </c>
      <c r="D3350" s="55" t="s">
        <v>373</v>
      </c>
      <c r="E3350" s="74">
        <v>41544</v>
      </c>
      <c r="F3350" s="55" t="s">
        <v>344</v>
      </c>
      <c r="G3350" s="55" t="s">
        <v>360</v>
      </c>
      <c r="H3350" s="55" t="s">
        <v>360</v>
      </c>
      <c r="I3350" s="55" t="s">
        <v>360</v>
      </c>
      <c r="J3350" s="55" t="s">
        <v>360</v>
      </c>
      <c r="K3350" s="55" t="s">
        <v>360</v>
      </c>
      <c r="L3350" s="55" t="s">
        <v>360</v>
      </c>
      <c r="M3350" s="55" t="s">
        <v>138</v>
      </c>
      <c r="N3350" s="55" t="s">
        <v>138</v>
      </c>
      <c r="O3350" s="55" t="s">
        <v>224</v>
      </c>
      <c r="P3350" s="55" t="s">
        <v>2176</v>
      </c>
      <c r="Q3350" s="55" t="s">
        <v>350</v>
      </c>
      <c r="R3350" s="85">
        <v>6</v>
      </c>
      <c r="S3350" s="55">
        <v>0</v>
      </c>
      <c r="T3350" s="74" t="s">
        <v>2177</v>
      </c>
      <c r="U3350" s="74" t="s">
        <v>351</v>
      </c>
      <c r="V3350" s="74">
        <v>44508</v>
      </c>
      <c r="W3350" s="74">
        <v>44550</v>
      </c>
      <c r="X3350" s="55">
        <v>10185756</v>
      </c>
      <c r="Y3350" s="55" t="s">
        <v>130</v>
      </c>
      <c r="AB3350" s="74" t="s">
        <v>130</v>
      </c>
      <c r="AC3350" s="55" t="s">
        <v>130</v>
      </c>
    </row>
    <row r="3351" spans="1:29" ht="13" x14ac:dyDescent="0.15">
      <c r="A3351" s="55" t="str">
        <f>HYPERLINK("http://reports.ofsted.gov.uk/inspection-reports/find-inspection-report/provider/CARE/SC470645","Ofsted Social Care Provider Webpage")</f>
        <v>Ofsted Social Care Provider Webpage</v>
      </c>
      <c r="B3351" s="55" t="s">
        <v>6211</v>
      </c>
      <c r="D3351" s="55" t="s">
        <v>373</v>
      </c>
      <c r="E3351" s="74">
        <v>41568</v>
      </c>
      <c r="F3351" s="55" t="s">
        <v>344</v>
      </c>
      <c r="G3351" s="55" t="s">
        <v>360</v>
      </c>
      <c r="H3351" s="55" t="s">
        <v>360</v>
      </c>
      <c r="I3351" s="55" t="s">
        <v>360</v>
      </c>
      <c r="J3351" s="55" t="s">
        <v>360</v>
      </c>
      <c r="K3351" s="55" t="s">
        <v>360</v>
      </c>
      <c r="L3351" s="55" t="s">
        <v>360</v>
      </c>
      <c r="M3351" s="55" t="s">
        <v>138</v>
      </c>
      <c r="N3351" s="55" t="s">
        <v>138</v>
      </c>
      <c r="O3351" s="55" t="s">
        <v>196</v>
      </c>
      <c r="P3351" s="55" t="s">
        <v>1368</v>
      </c>
      <c r="Q3351" s="55" t="s">
        <v>350</v>
      </c>
      <c r="R3351" s="85">
        <v>4</v>
      </c>
      <c r="S3351" s="55">
        <v>0</v>
      </c>
      <c r="T3351" s="74" t="s">
        <v>997</v>
      </c>
      <c r="U3351" s="74" t="s">
        <v>351</v>
      </c>
      <c r="V3351" s="74">
        <v>44399</v>
      </c>
      <c r="W3351" s="74">
        <v>44428</v>
      </c>
      <c r="X3351" s="55">
        <v>10185495</v>
      </c>
      <c r="Y3351" s="55" t="s">
        <v>140</v>
      </c>
      <c r="AB3351" s="74" t="s">
        <v>140</v>
      </c>
      <c r="AC3351" s="55" t="s">
        <v>140</v>
      </c>
    </row>
    <row r="3352" spans="1:29" ht="13" x14ac:dyDescent="0.15">
      <c r="A3352" s="55" t="str">
        <f>HYPERLINK("http://reports.ofsted.gov.uk/inspection-reports/find-inspection-report/provider/CARE/SC470797","Ofsted Social Care Provider Webpage")</f>
        <v>Ofsted Social Care Provider Webpage</v>
      </c>
      <c r="B3352" s="55" t="s">
        <v>6225</v>
      </c>
      <c r="D3352" s="55" t="s">
        <v>373</v>
      </c>
      <c r="E3352" s="74">
        <v>41563</v>
      </c>
      <c r="F3352" s="55" t="s">
        <v>344</v>
      </c>
      <c r="G3352" s="55" t="s">
        <v>360</v>
      </c>
      <c r="H3352" s="55" t="s">
        <v>360</v>
      </c>
      <c r="I3352" s="55" t="s">
        <v>360</v>
      </c>
      <c r="J3352" s="55" t="s">
        <v>360</v>
      </c>
      <c r="K3352" s="55" t="s">
        <v>360</v>
      </c>
      <c r="L3352" s="55" t="s">
        <v>360</v>
      </c>
      <c r="M3352" s="55" t="s">
        <v>144</v>
      </c>
      <c r="N3352" s="55" t="s">
        <v>144</v>
      </c>
      <c r="O3352" s="55" t="s">
        <v>147</v>
      </c>
      <c r="P3352" s="55" t="s">
        <v>674</v>
      </c>
      <c r="Q3352" s="55" t="s">
        <v>362</v>
      </c>
      <c r="R3352" s="85">
        <v>4</v>
      </c>
      <c r="S3352" s="55">
        <v>0</v>
      </c>
      <c r="T3352" s="74" t="s">
        <v>675</v>
      </c>
      <c r="U3352" s="74" t="s">
        <v>351</v>
      </c>
      <c r="V3352" s="74">
        <v>44474</v>
      </c>
      <c r="W3352" s="74">
        <v>44511</v>
      </c>
      <c r="X3352" s="55">
        <v>10185092</v>
      </c>
      <c r="Y3352" s="55" t="s">
        <v>132</v>
      </c>
      <c r="AB3352" s="74" t="s">
        <v>132</v>
      </c>
      <c r="AC3352" s="55" t="s">
        <v>130</v>
      </c>
    </row>
    <row r="3353" spans="1:29" ht="13" x14ac:dyDescent="0.15">
      <c r="A3353" s="55" t="str">
        <f>HYPERLINK("http://reports.ofsted.gov.uk/inspection-reports/find-inspection-report/provider/CARE/SC470928","Ofsted Social Care Provider Webpage")</f>
        <v>Ofsted Social Care Provider Webpage</v>
      </c>
      <c r="B3353" s="55" t="s">
        <v>6226</v>
      </c>
      <c r="D3353" s="55" t="s">
        <v>373</v>
      </c>
      <c r="E3353" s="74">
        <v>41628</v>
      </c>
      <c r="F3353" s="55" t="s">
        <v>344</v>
      </c>
      <c r="G3353" s="55" t="s">
        <v>360</v>
      </c>
      <c r="H3353" s="55" t="s">
        <v>360</v>
      </c>
      <c r="I3353" s="55" t="s">
        <v>360</v>
      </c>
      <c r="J3353" s="55" t="s">
        <v>360</v>
      </c>
      <c r="K3353" s="55" t="s">
        <v>360</v>
      </c>
      <c r="L3353" s="55" t="s">
        <v>360</v>
      </c>
      <c r="M3353" s="55" t="s">
        <v>172</v>
      </c>
      <c r="N3353" s="55" t="s">
        <v>172</v>
      </c>
      <c r="O3353" s="55" t="s">
        <v>234</v>
      </c>
      <c r="P3353" s="55" t="s">
        <v>965</v>
      </c>
      <c r="Q3353" s="55" t="s">
        <v>380</v>
      </c>
      <c r="R3353" s="85">
        <v>4</v>
      </c>
      <c r="S3353" s="55">
        <v>0</v>
      </c>
      <c r="T3353" s="74" t="s">
        <v>1271</v>
      </c>
      <c r="U3353" s="74" t="s">
        <v>351</v>
      </c>
      <c r="V3353" s="74">
        <v>44544</v>
      </c>
      <c r="W3353" s="74">
        <v>44588</v>
      </c>
      <c r="X3353" s="55">
        <v>10187578</v>
      </c>
      <c r="Y3353" s="55" t="s">
        <v>132</v>
      </c>
      <c r="AB3353" s="74" t="s">
        <v>132</v>
      </c>
      <c r="AC3353" s="55" t="s">
        <v>132</v>
      </c>
    </row>
    <row r="3354" spans="1:29" ht="13" x14ac:dyDescent="0.15">
      <c r="A3354" s="55" t="str">
        <f>HYPERLINK("http://reports.ofsted.gov.uk/inspection-reports/find-inspection-report/provider/CARE/SC471058","Ofsted Social Care Provider Webpage")</f>
        <v>Ofsted Social Care Provider Webpage</v>
      </c>
      <c r="B3354" s="55" t="s">
        <v>6228</v>
      </c>
      <c r="D3354" s="55" t="s">
        <v>373</v>
      </c>
      <c r="E3354" s="74">
        <v>41611</v>
      </c>
      <c r="F3354" s="55" t="s">
        <v>344</v>
      </c>
      <c r="G3354" s="55" t="s">
        <v>360</v>
      </c>
      <c r="H3354" s="55" t="s">
        <v>360</v>
      </c>
      <c r="I3354" s="55" t="s">
        <v>360</v>
      </c>
      <c r="J3354" s="55" t="s">
        <v>360</v>
      </c>
      <c r="K3354" s="55" t="s">
        <v>360</v>
      </c>
      <c r="L3354" s="55" t="s">
        <v>360</v>
      </c>
      <c r="M3354" s="55" t="s">
        <v>136</v>
      </c>
      <c r="N3354" s="55" t="s">
        <v>136</v>
      </c>
      <c r="O3354" s="55" t="s">
        <v>239</v>
      </c>
      <c r="P3354" s="55" t="s">
        <v>738</v>
      </c>
      <c r="Q3354" s="55" t="s">
        <v>350</v>
      </c>
      <c r="R3354" s="85">
        <v>1</v>
      </c>
      <c r="S3354" s="55">
        <v>0</v>
      </c>
      <c r="T3354" s="74" t="s">
        <v>385</v>
      </c>
      <c r="U3354" s="74" t="s">
        <v>351</v>
      </c>
      <c r="V3354" s="74">
        <v>44571</v>
      </c>
      <c r="W3354" s="74">
        <v>44606</v>
      </c>
      <c r="X3354" s="55">
        <v>10187086</v>
      </c>
      <c r="Y3354" s="55" t="s">
        <v>130</v>
      </c>
      <c r="AB3354" s="74" t="s">
        <v>130</v>
      </c>
      <c r="AC3354" s="55" t="s">
        <v>130</v>
      </c>
    </row>
    <row r="3355" spans="1:29" ht="13" x14ac:dyDescent="0.15">
      <c r="A3355" s="55" t="str">
        <f>HYPERLINK("http://reports.ofsted.gov.uk/inspection-reports/find-inspection-report/provider/CARE/SC471153","Ofsted Social Care Provider Webpage")</f>
        <v>Ofsted Social Care Provider Webpage</v>
      </c>
      <c r="B3355" s="55" t="s">
        <v>6229</v>
      </c>
      <c r="D3355" s="55" t="s">
        <v>373</v>
      </c>
      <c r="E3355" s="74">
        <v>41753</v>
      </c>
      <c r="F3355" s="55" t="s">
        <v>344</v>
      </c>
      <c r="G3355" s="55" t="s">
        <v>360</v>
      </c>
      <c r="H3355" s="55" t="s">
        <v>360</v>
      </c>
      <c r="I3355" s="55" t="s">
        <v>360</v>
      </c>
      <c r="J3355" s="55" t="s">
        <v>360</v>
      </c>
      <c r="K3355" s="55" t="s">
        <v>360</v>
      </c>
      <c r="L3355" s="55" t="s">
        <v>360</v>
      </c>
      <c r="M3355" s="55" t="s">
        <v>138</v>
      </c>
      <c r="N3355" s="55" t="s">
        <v>138</v>
      </c>
      <c r="O3355" s="55" t="s">
        <v>183</v>
      </c>
      <c r="P3355" s="55" t="s">
        <v>907</v>
      </c>
      <c r="Q3355" s="55" t="s">
        <v>350</v>
      </c>
      <c r="R3355" s="85">
        <v>2</v>
      </c>
      <c r="S3355" s="55">
        <v>0</v>
      </c>
      <c r="T3355" s="74" t="s">
        <v>385</v>
      </c>
      <c r="U3355" s="74" t="s">
        <v>351</v>
      </c>
      <c r="V3355" s="74">
        <v>44474</v>
      </c>
      <c r="W3355" s="74">
        <v>44503</v>
      </c>
      <c r="X3355" s="55">
        <v>10187427</v>
      </c>
      <c r="Y3355" s="55" t="s">
        <v>132</v>
      </c>
      <c r="AB3355" s="74" t="s">
        <v>132</v>
      </c>
      <c r="AC3355" s="55" t="s">
        <v>132</v>
      </c>
    </row>
    <row r="3356" spans="1:29" ht="13" x14ac:dyDescent="0.15">
      <c r="A3356" s="55" t="str">
        <f>HYPERLINK("http://reports.ofsted.gov.uk/inspection-reports/find-inspection-report/provider/CARE/SC471178","Ofsted Social Care Provider Webpage")</f>
        <v>Ofsted Social Care Provider Webpage</v>
      </c>
      <c r="B3356" s="55" t="s">
        <v>6230</v>
      </c>
      <c r="D3356" s="55" t="s">
        <v>373</v>
      </c>
      <c r="E3356" s="74">
        <v>41607</v>
      </c>
      <c r="F3356" s="55" t="s">
        <v>344</v>
      </c>
      <c r="G3356" s="55" t="s">
        <v>360</v>
      </c>
      <c r="H3356" s="55" t="s">
        <v>360</v>
      </c>
      <c r="I3356" s="55" t="s">
        <v>360</v>
      </c>
      <c r="J3356" s="55" t="s">
        <v>360</v>
      </c>
      <c r="K3356" s="55" t="s">
        <v>360</v>
      </c>
      <c r="L3356" s="55" t="s">
        <v>360</v>
      </c>
      <c r="M3356" s="55" t="s">
        <v>378</v>
      </c>
      <c r="N3356" s="55" t="s">
        <v>134</v>
      </c>
      <c r="O3356" s="55" t="s">
        <v>133</v>
      </c>
      <c r="P3356" s="55" t="s">
        <v>2789</v>
      </c>
      <c r="Q3356" s="55" t="s">
        <v>350</v>
      </c>
      <c r="R3356" s="85">
        <v>5</v>
      </c>
      <c r="S3356" s="55">
        <v>0</v>
      </c>
      <c r="T3356" s="74" t="s">
        <v>2448</v>
      </c>
      <c r="U3356" s="74" t="s">
        <v>351</v>
      </c>
      <c r="V3356" s="74">
        <v>44593</v>
      </c>
      <c r="W3356" s="74">
        <v>44627</v>
      </c>
      <c r="X3356" s="55">
        <v>10185611</v>
      </c>
      <c r="Y3356" s="55" t="s">
        <v>132</v>
      </c>
      <c r="AB3356" s="74" t="s">
        <v>132</v>
      </c>
      <c r="AC3356" s="55" t="s">
        <v>130</v>
      </c>
    </row>
    <row r="3357" spans="1:29" ht="13" x14ac:dyDescent="0.15">
      <c r="A3357" s="55" t="str">
        <f>HYPERLINK("http://reports.ofsted.gov.uk/inspection-reports/find-inspection-report/provider/CARE/SC471289","Ofsted Social Care Provider Webpage")</f>
        <v>Ofsted Social Care Provider Webpage</v>
      </c>
      <c r="B3357" s="55" t="s">
        <v>6231</v>
      </c>
      <c r="D3357" s="55" t="s">
        <v>373</v>
      </c>
      <c r="E3357" s="74">
        <v>41675</v>
      </c>
      <c r="F3357" s="55" t="s">
        <v>344</v>
      </c>
      <c r="G3357" s="55" t="s">
        <v>360</v>
      </c>
      <c r="H3357" s="55" t="s">
        <v>360</v>
      </c>
      <c r="I3357" s="55" t="s">
        <v>360</v>
      </c>
      <c r="J3357" s="55" t="s">
        <v>360</v>
      </c>
      <c r="K3357" s="55" t="s">
        <v>360</v>
      </c>
      <c r="L3357" s="55" t="s">
        <v>360</v>
      </c>
      <c r="M3357" s="55" t="s">
        <v>144</v>
      </c>
      <c r="N3357" s="55" t="s">
        <v>144</v>
      </c>
      <c r="O3357" s="55" t="s">
        <v>207</v>
      </c>
      <c r="P3357" s="55" t="s">
        <v>1203</v>
      </c>
      <c r="Q3357" s="55" t="s">
        <v>362</v>
      </c>
      <c r="R3357" s="85">
        <v>4</v>
      </c>
      <c r="S3357" s="55">
        <v>0</v>
      </c>
      <c r="T3357" s="74" t="s">
        <v>5438</v>
      </c>
      <c r="U3357" s="74" t="s">
        <v>351</v>
      </c>
      <c r="V3357" s="74">
        <v>44391</v>
      </c>
      <c r="W3357" s="74">
        <v>44432</v>
      </c>
      <c r="X3357" s="55">
        <v>10186996</v>
      </c>
      <c r="Y3357" s="55" t="s">
        <v>130</v>
      </c>
      <c r="AB3357" s="74" t="s">
        <v>130</v>
      </c>
      <c r="AC3357" s="55" t="s">
        <v>130</v>
      </c>
    </row>
    <row r="3358" spans="1:29" ht="13" x14ac:dyDescent="0.15">
      <c r="A3358" s="55" t="str">
        <f>HYPERLINK("http://reports.ofsted.gov.uk/inspection-reports/find-inspection-report/provider/CARE/SC471581","Ofsted Social Care Provider Webpage")</f>
        <v>Ofsted Social Care Provider Webpage</v>
      </c>
      <c r="B3358" s="55" t="s">
        <v>6232</v>
      </c>
      <c r="D3358" s="55" t="s">
        <v>373</v>
      </c>
      <c r="E3358" s="74">
        <v>41607</v>
      </c>
      <c r="F3358" s="55" t="s">
        <v>344</v>
      </c>
      <c r="G3358" s="55" t="s">
        <v>360</v>
      </c>
      <c r="H3358" s="55" t="s">
        <v>360</v>
      </c>
      <c r="I3358" s="55" t="s">
        <v>360</v>
      </c>
      <c r="J3358" s="55" t="s">
        <v>360</v>
      </c>
      <c r="K3358" s="55" t="s">
        <v>360</v>
      </c>
      <c r="L3358" s="55" t="s">
        <v>360</v>
      </c>
      <c r="M3358" s="55" t="s">
        <v>142</v>
      </c>
      <c r="N3358" s="55" t="s">
        <v>142</v>
      </c>
      <c r="O3358" s="55" t="s">
        <v>262</v>
      </c>
      <c r="P3358" s="55" t="s">
        <v>488</v>
      </c>
      <c r="Q3358" s="55" t="s">
        <v>350</v>
      </c>
      <c r="R3358" s="85">
        <v>2</v>
      </c>
      <c r="S3358" s="55">
        <v>0</v>
      </c>
      <c r="T3358" s="74" t="s">
        <v>1106</v>
      </c>
      <c r="U3358" s="74" t="s">
        <v>351</v>
      </c>
      <c r="V3358" s="74">
        <v>44356</v>
      </c>
      <c r="W3358" s="74">
        <v>44386</v>
      </c>
      <c r="X3358" s="55">
        <v>10185090</v>
      </c>
      <c r="Y3358" s="55" t="s">
        <v>132</v>
      </c>
      <c r="AB3358" s="74" t="s">
        <v>132</v>
      </c>
      <c r="AC3358" s="55" t="s">
        <v>132</v>
      </c>
    </row>
    <row r="3359" spans="1:29" ht="13" x14ac:dyDescent="0.15">
      <c r="A3359" s="55" t="str">
        <f>HYPERLINK("http://reports.ofsted.gov.uk/inspection-reports/find-inspection-report/provider/CARE/SC471672","Ofsted Social Care Provider Webpage")</f>
        <v>Ofsted Social Care Provider Webpage</v>
      </c>
      <c r="B3359" s="55" t="s">
        <v>6233</v>
      </c>
      <c r="D3359" s="55" t="s">
        <v>373</v>
      </c>
      <c r="E3359" s="74">
        <v>41780</v>
      </c>
      <c r="F3359" s="55" t="s">
        <v>344</v>
      </c>
      <c r="G3359" s="55" t="s">
        <v>360</v>
      </c>
      <c r="H3359" s="55" t="s">
        <v>360</v>
      </c>
      <c r="I3359" s="55" t="s">
        <v>360</v>
      </c>
      <c r="J3359" s="55" t="s">
        <v>360</v>
      </c>
      <c r="K3359" s="55" t="s">
        <v>360</v>
      </c>
      <c r="L3359" s="55" t="s">
        <v>360</v>
      </c>
      <c r="M3359" s="55" t="s">
        <v>142</v>
      </c>
      <c r="N3359" s="55" t="s">
        <v>142</v>
      </c>
      <c r="O3359" s="55" t="s">
        <v>141</v>
      </c>
      <c r="P3359" s="55" t="s">
        <v>1226</v>
      </c>
      <c r="Q3359" s="55" t="s">
        <v>350</v>
      </c>
      <c r="R3359" s="85">
        <v>4</v>
      </c>
      <c r="S3359" s="55">
        <v>0</v>
      </c>
      <c r="T3359" s="74" t="s">
        <v>1996</v>
      </c>
      <c r="U3359" s="74" t="s">
        <v>6703</v>
      </c>
      <c r="V3359" s="74">
        <v>44580</v>
      </c>
      <c r="W3359" s="74">
        <v>44627</v>
      </c>
      <c r="X3359" s="55">
        <v>10217212</v>
      </c>
      <c r="Y3359" s="55" t="s">
        <v>6705</v>
      </c>
    </row>
    <row r="3360" spans="1:29" ht="13" x14ac:dyDescent="0.15">
      <c r="A3360" s="55" t="str">
        <f>HYPERLINK("http://reports.ofsted.gov.uk/inspection-reports/find-inspection-report/provider/CARE/SC471672","Ofsted Social Care Provider Webpage")</f>
        <v>Ofsted Social Care Provider Webpage</v>
      </c>
      <c r="B3360" s="55" t="s">
        <v>6233</v>
      </c>
      <c r="D3360" s="55" t="s">
        <v>373</v>
      </c>
      <c r="E3360" s="74">
        <v>41780</v>
      </c>
      <c r="F3360" s="55" t="s">
        <v>344</v>
      </c>
      <c r="G3360" s="55" t="s">
        <v>360</v>
      </c>
      <c r="H3360" s="55" t="s">
        <v>360</v>
      </c>
      <c r="I3360" s="55" t="s">
        <v>360</v>
      </c>
      <c r="J3360" s="55" t="s">
        <v>360</v>
      </c>
      <c r="K3360" s="55" t="s">
        <v>360</v>
      </c>
      <c r="L3360" s="55" t="s">
        <v>360</v>
      </c>
      <c r="M3360" s="55" t="s">
        <v>142</v>
      </c>
      <c r="N3360" s="55" t="s">
        <v>142</v>
      </c>
      <c r="O3360" s="55" t="s">
        <v>141</v>
      </c>
      <c r="P3360" s="55" t="s">
        <v>1226</v>
      </c>
      <c r="Q3360" s="55" t="s">
        <v>350</v>
      </c>
      <c r="R3360" s="85">
        <v>4</v>
      </c>
      <c r="S3360" s="55">
        <v>0</v>
      </c>
      <c r="T3360" s="74" t="s">
        <v>1996</v>
      </c>
      <c r="U3360" s="74" t="s">
        <v>351</v>
      </c>
      <c r="V3360" s="74">
        <v>44468</v>
      </c>
      <c r="W3360" s="74">
        <v>44523</v>
      </c>
      <c r="X3360" s="55">
        <v>10186921</v>
      </c>
      <c r="Y3360" s="55" t="s">
        <v>130</v>
      </c>
      <c r="AB3360" s="74" t="s">
        <v>130</v>
      </c>
      <c r="AC3360" s="55" t="s">
        <v>130</v>
      </c>
    </row>
    <row r="3361" spans="1:29" ht="13" x14ac:dyDescent="0.15">
      <c r="A3361" s="55" t="str">
        <f>HYPERLINK("http://reports.ofsted.gov.uk/inspection-reports/find-inspection-report/provider/CARE/SC471856","Ofsted Social Care Provider Webpage")</f>
        <v>Ofsted Social Care Provider Webpage</v>
      </c>
      <c r="B3361" s="55" t="s">
        <v>6234</v>
      </c>
      <c r="D3361" s="55" t="s">
        <v>373</v>
      </c>
      <c r="E3361" s="74">
        <v>41617</v>
      </c>
      <c r="F3361" s="55" t="s">
        <v>344</v>
      </c>
      <c r="G3361" s="55" t="s">
        <v>360</v>
      </c>
      <c r="H3361" s="55" t="s">
        <v>360</v>
      </c>
      <c r="I3361" s="55" t="s">
        <v>360</v>
      </c>
      <c r="J3361" s="55" t="s">
        <v>360</v>
      </c>
      <c r="K3361" s="55" t="s">
        <v>360</v>
      </c>
      <c r="L3361" s="55" t="s">
        <v>360</v>
      </c>
      <c r="M3361" s="55" t="s">
        <v>138</v>
      </c>
      <c r="N3361" s="55" t="s">
        <v>138</v>
      </c>
      <c r="O3361" s="55" t="s">
        <v>224</v>
      </c>
      <c r="P3361" s="55" t="s">
        <v>1552</v>
      </c>
      <c r="Q3361" s="55" t="s">
        <v>350</v>
      </c>
      <c r="R3361" s="85">
        <v>6</v>
      </c>
      <c r="S3361" s="55">
        <v>0</v>
      </c>
      <c r="T3361" s="74" t="s">
        <v>6235</v>
      </c>
      <c r="U3361" s="74" t="s">
        <v>351</v>
      </c>
      <c r="V3361" s="74">
        <v>44545</v>
      </c>
      <c r="W3361" s="74">
        <v>44586</v>
      </c>
      <c r="X3361" s="55">
        <v>10185637</v>
      </c>
      <c r="Y3361" s="55" t="s">
        <v>132</v>
      </c>
      <c r="AB3361" s="74" t="s">
        <v>132</v>
      </c>
      <c r="AC3361" s="55" t="s">
        <v>130</v>
      </c>
    </row>
    <row r="3362" spans="1:29" ht="13" x14ac:dyDescent="0.15">
      <c r="A3362" s="55" t="str">
        <f>HYPERLINK("http://reports.ofsted.gov.uk/inspection-reports/find-inspection-report/provider/CARE/SC472102","Ofsted Social Care Provider Webpage")</f>
        <v>Ofsted Social Care Provider Webpage</v>
      </c>
      <c r="B3362" s="55" t="s">
        <v>6236</v>
      </c>
      <c r="D3362" s="55" t="s">
        <v>373</v>
      </c>
      <c r="E3362" s="74">
        <v>41703</v>
      </c>
      <c r="F3362" s="55" t="s">
        <v>344</v>
      </c>
      <c r="G3362" s="55" t="s">
        <v>360</v>
      </c>
      <c r="H3362" s="55" t="s">
        <v>360</v>
      </c>
      <c r="I3362" s="55" t="s">
        <v>360</v>
      </c>
      <c r="J3362" s="55" t="s">
        <v>360</v>
      </c>
      <c r="K3362" s="55" t="s">
        <v>360</v>
      </c>
      <c r="L3362" s="55" t="s">
        <v>360</v>
      </c>
      <c r="M3362" s="55" t="s">
        <v>150</v>
      </c>
      <c r="N3362" s="55" t="s">
        <v>150</v>
      </c>
      <c r="O3362" s="55" t="s">
        <v>190</v>
      </c>
      <c r="P3362" s="55" t="s">
        <v>749</v>
      </c>
      <c r="Q3362" s="55" t="s">
        <v>350</v>
      </c>
      <c r="R3362" s="85">
        <v>10</v>
      </c>
      <c r="S3362" s="55">
        <v>0</v>
      </c>
      <c r="T3362" s="74" t="s">
        <v>450</v>
      </c>
      <c r="U3362" s="74" t="s">
        <v>351</v>
      </c>
      <c r="V3362" s="74">
        <v>44538</v>
      </c>
      <c r="W3362" s="74">
        <v>44586</v>
      </c>
      <c r="X3362" s="55">
        <v>10186153</v>
      </c>
      <c r="Y3362" s="55" t="s">
        <v>132</v>
      </c>
      <c r="AB3362" s="74" t="s">
        <v>132</v>
      </c>
      <c r="AC3362" s="55" t="s">
        <v>132</v>
      </c>
    </row>
    <row r="3363" spans="1:29" ht="13" x14ac:dyDescent="0.15">
      <c r="A3363" s="55" t="str">
        <f>HYPERLINK("http://reports.ofsted.gov.uk/inspection-reports/find-inspection-report/provider/CARE/SC472125","Ofsted Social Care Provider Webpage")</f>
        <v>Ofsted Social Care Provider Webpage</v>
      </c>
      <c r="B3363" s="55" t="s">
        <v>6237</v>
      </c>
      <c r="D3363" s="55" t="s">
        <v>389</v>
      </c>
      <c r="E3363" s="74">
        <v>41669</v>
      </c>
      <c r="F3363" s="55" t="s">
        <v>344</v>
      </c>
      <c r="G3363" s="55" t="s">
        <v>6238</v>
      </c>
      <c r="H3363" s="55" t="s">
        <v>6239</v>
      </c>
      <c r="I3363" s="55" t="s">
        <v>6240</v>
      </c>
      <c r="J3363" s="55" t="s">
        <v>278</v>
      </c>
      <c r="L3363" s="55" t="s">
        <v>6241</v>
      </c>
      <c r="M3363" s="55" t="s">
        <v>142</v>
      </c>
      <c r="N3363" s="55" t="s">
        <v>142</v>
      </c>
      <c r="O3363" s="55" t="s">
        <v>278</v>
      </c>
      <c r="P3363" s="55" t="s">
        <v>1126</v>
      </c>
      <c r="Q3363" s="55" t="s">
        <v>350</v>
      </c>
      <c r="S3363" s="55">
        <v>0</v>
      </c>
      <c r="T3363" s="74" t="s">
        <v>6242</v>
      </c>
      <c r="U3363" s="74" t="s">
        <v>351</v>
      </c>
      <c r="V3363" s="74">
        <v>44508</v>
      </c>
      <c r="W3363" s="74">
        <v>44589</v>
      </c>
      <c r="X3363" s="55">
        <v>10213238</v>
      </c>
      <c r="Y3363" s="55" t="s">
        <v>130</v>
      </c>
      <c r="AB3363" s="74" t="s">
        <v>130</v>
      </c>
      <c r="AC3363" s="55" t="s">
        <v>130</v>
      </c>
    </row>
    <row r="3364" spans="1:29" ht="13" x14ac:dyDescent="0.15">
      <c r="A3364" s="55" t="str">
        <f>HYPERLINK("http://reports.ofsted.gov.uk/inspection-reports/find-inspection-report/provider/CARE/SC472139","Ofsted Social Care Provider Webpage")</f>
        <v>Ofsted Social Care Provider Webpage</v>
      </c>
      <c r="B3364" s="55" t="s">
        <v>6243</v>
      </c>
      <c r="D3364" s="55" t="s">
        <v>373</v>
      </c>
      <c r="E3364" s="74">
        <v>41591</v>
      </c>
      <c r="F3364" s="55" t="s">
        <v>344</v>
      </c>
      <c r="G3364" s="55" t="s">
        <v>360</v>
      </c>
      <c r="H3364" s="55" t="s">
        <v>360</v>
      </c>
      <c r="I3364" s="55" t="s">
        <v>360</v>
      </c>
      <c r="J3364" s="55" t="s">
        <v>360</v>
      </c>
      <c r="K3364" s="55" t="s">
        <v>360</v>
      </c>
      <c r="L3364" s="55" t="s">
        <v>360</v>
      </c>
      <c r="M3364" s="55" t="s">
        <v>150</v>
      </c>
      <c r="N3364" s="55" t="s">
        <v>150</v>
      </c>
      <c r="O3364" s="55" t="s">
        <v>283</v>
      </c>
      <c r="P3364" s="55" t="s">
        <v>291</v>
      </c>
      <c r="Q3364" s="55" t="s">
        <v>350</v>
      </c>
      <c r="R3364" s="85">
        <v>3</v>
      </c>
      <c r="S3364" s="55">
        <v>0</v>
      </c>
      <c r="T3364" s="74" t="s">
        <v>6244</v>
      </c>
      <c r="U3364" s="74" t="s">
        <v>2053</v>
      </c>
      <c r="V3364" s="74">
        <v>44481</v>
      </c>
      <c r="W3364" s="74">
        <v>44509</v>
      </c>
      <c r="X3364" s="55">
        <v>10209665</v>
      </c>
    </row>
    <row r="3365" spans="1:29" ht="13" x14ac:dyDescent="0.15">
      <c r="A3365" s="55" t="str">
        <f>HYPERLINK("http://reports.ofsted.gov.uk/inspection-reports/find-inspection-report/provider/CARE/SC472139","Ofsted Social Care Provider Webpage")</f>
        <v>Ofsted Social Care Provider Webpage</v>
      </c>
      <c r="B3365" s="55" t="s">
        <v>6243</v>
      </c>
      <c r="D3365" s="55" t="s">
        <v>373</v>
      </c>
      <c r="E3365" s="74">
        <v>41591</v>
      </c>
      <c r="F3365" s="55" t="s">
        <v>344</v>
      </c>
      <c r="G3365" s="55" t="s">
        <v>360</v>
      </c>
      <c r="H3365" s="55" t="s">
        <v>360</v>
      </c>
      <c r="I3365" s="55" t="s">
        <v>360</v>
      </c>
      <c r="J3365" s="55" t="s">
        <v>360</v>
      </c>
      <c r="K3365" s="55" t="s">
        <v>360</v>
      </c>
      <c r="L3365" s="55" t="s">
        <v>360</v>
      </c>
      <c r="M3365" s="55" t="s">
        <v>150</v>
      </c>
      <c r="N3365" s="55" t="s">
        <v>150</v>
      </c>
      <c r="O3365" s="55" t="s">
        <v>283</v>
      </c>
      <c r="P3365" s="55" t="s">
        <v>291</v>
      </c>
      <c r="Q3365" s="55" t="s">
        <v>350</v>
      </c>
      <c r="R3365" s="85">
        <v>3</v>
      </c>
      <c r="S3365" s="55">
        <v>0</v>
      </c>
      <c r="T3365" s="74" t="s">
        <v>6244</v>
      </c>
      <c r="U3365" s="74" t="s">
        <v>351</v>
      </c>
      <c r="V3365" s="74">
        <v>44398</v>
      </c>
      <c r="W3365" s="74">
        <v>44447</v>
      </c>
      <c r="X3365" s="55">
        <v>10185761</v>
      </c>
      <c r="Y3365" s="55" t="s">
        <v>132</v>
      </c>
      <c r="AB3365" s="74" t="s">
        <v>132</v>
      </c>
      <c r="AC3365" s="55" t="s">
        <v>130</v>
      </c>
    </row>
    <row r="3366" spans="1:29" ht="13" x14ac:dyDescent="0.15">
      <c r="A3366" s="55" t="str">
        <f>HYPERLINK("http://reports.ofsted.gov.uk/inspection-reports/find-inspection-report/provider/CARE/SC472164","Ofsted Social Care Provider Webpage")</f>
        <v>Ofsted Social Care Provider Webpage</v>
      </c>
      <c r="B3366" s="55" t="s">
        <v>6245</v>
      </c>
      <c r="D3366" s="55" t="s">
        <v>373</v>
      </c>
      <c r="E3366" s="74">
        <v>41591</v>
      </c>
      <c r="F3366" s="55" t="s">
        <v>344</v>
      </c>
      <c r="G3366" s="55" t="s">
        <v>360</v>
      </c>
      <c r="H3366" s="55" t="s">
        <v>360</v>
      </c>
      <c r="I3366" s="55" t="s">
        <v>360</v>
      </c>
      <c r="J3366" s="55" t="s">
        <v>360</v>
      </c>
      <c r="K3366" s="55" t="s">
        <v>360</v>
      </c>
      <c r="L3366" s="55" t="s">
        <v>360</v>
      </c>
      <c r="M3366" s="55" t="s">
        <v>150</v>
      </c>
      <c r="N3366" s="55" t="s">
        <v>150</v>
      </c>
      <c r="O3366" s="55" t="s">
        <v>283</v>
      </c>
      <c r="P3366" s="55" t="s">
        <v>291</v>
      </c>
      <c r="Q3366" s="55" t="s">
        <v>350</v>
      </c>
      <c r="R3366" s="85">
        <v>4</v>
      </c>
      <c r="S3366" s="55">
        <v>0</v>
      </c>
      <c r="T3366" s="74" t="s">
        <v>6244</v>
      </c>
      <c r="U3366" s="74" t="s">
        <v>351</v>
      </c>
      <c r="V3366" s="74">
        <v>44376</v>
      </c>
      <c r="W3366" s="74">
        <v>44412</v>
      </c>
      <c r="X3366" s="55">
        <v>10186575</v>
      </c>
      <c r="Y3366" s="55" t="s">
        <v>132</v>
      </c>
      <c r="AB3366" s="74" t="s">
        <v>130</v>
      </c>
      <c r="AC3366" s="55" t="s">
        <v>130</v>
      </c>
    </row>
    <row r="3367" spans="1:29" ht="13" x14ac:dyDescent="0.15">
      <c r="A3367" s="55" t="str">
        <f>HYPERLINK("http://reports.ofsted.gov.uk/inspection-reports/find-inspection-report/provider/CARE/SC472325","Ofsted Social Care Provider Webpage")</f>
        <v>Ofsted Social Care Provider Webpage</v>
      </c>
      <c r="B3367" s="55" t="s">
        <v>6246</v>
      </c>
      <c r="D3367" s="55" t="s">
        <v>373</v>
      </c>
      <c r="E3367" s="74">
        <v>41664</v>
      </c>
      <c r="F3367" s="55" t="s">
        <v>344</v>
      </c>
      <c r="G3367" s="55" t="s">
        <v>360</v>
      </c>
      <c r="H3367" s="55" t="s">
        <v>360</v>
      </c>
      <c r="I3367" s="55" t="s">
        <v>360</v>
      </c>
      <c r="J3367" s="55" t="s">
        <v>360</v>
      </c>
      <c r="K3367" s="55" t="s">
        <v>360</v>
      </c>
      <c r="L3367" s="55" t="s">
        <v>360</v>
      </c>
      <c r="M3367" s="55" t="s">
        <v>142</v>
      </c>
      <c r="N3367" s="55" t="s">
        <v>142</v>
      </c>
      <c r="O3367" s="55" t="s">
        <v>262</v>
      </c>
      <c r="P3367" s="55" t="s">
        <v>618</v>
      </c>
      <c r="Q3367" s="55" t="s">
        <v>350</v>
      </c>
      <c r="R3367" s="85">
        <v>2</v>
      </c>
      <c r="S3367" s="55">
        <v>0</v>
      </c>
      <c r="T3367" s="74" t="s">
        <v>619</v>
      </c>
      <c r="U3367" s="74" t="s">
        <v>351</v>
      </c>
      <c r="V3367" s="74">
        <v>44460</v>
      </c>
      <c r="W3367" s="74">
        <v>44502</v>
      </c>
      <c r="X3367" s="55">
        <v>10185142</v>
      </c>
      <c r="Y3367" s="55" t="s">
        <v>140</v>
      </c>
      <c r="AB3367" s="74" t="s">
        <v>140</v>
      </c>
      <c r="AC3367" s="55" t="s">
        <v>140</v>
      </c>
    </row>
    <row r="3368" spans="1:29" ht="13" x14ac:dyDescent="0.15">
      <c r="A3368" s="55" t="str">
        <f>HYPERLINK("http://reports.ofsted.gov.uk/inspection-reports/find-inspection-report/provider/CARE/SC472374","Ofsted Social Care Provider Webpage")</f>
        <v>Ofsted Social Care Provider Webpage</v>
      </c>
      <c r="B3368" s="55" t="s">
        <v>6247</v>
      </c>
      <c r="D3368" s="55" t="s">
        <v>373</v>
      </c>
      <c r="E3368" s="74">
        <v>41642</v>
      </c>
      <c r="F3368" s="55" t="s">
        <v>344</v>
      </c>
      <c r="G3368" s="55" t="s">
        <v>360</v>
      </c>
      <c r="H3368" s="55" t="s">
        <v>360</v>
      </c>
      <c r="I3368" s="55" t="s">
        <v>360</v>
      </c>
      <c r="J3368" s="55" t="s">
        <v>360</v>
      </c>
      <c r="K3368" s="55" t="s">
        <v>360</v>
      </c>
      <c r="L3368" s="55" t="s">
        <v>360</v>
      </c>
      <c r="M3368" s="55" t="s">
        <v>378</v>
      </c>
      <c r="N3368" s="55" t="s">
        <v>170</v>
      </c>
      <c r="O3368" s="55" t="s">
        <v>220</v>
      </c>
      <c r="P3368" s="55" t="s">
        <v>220</v>
      </c>
      <c r="Q3368" s="55" t="s">
        <v>380</v>
      </c>
      <c r="R3368" s="85">
        <v>4</v>
      </c>
      <c r="S3368" s="55">
        <v>0</v>
      </c>
      <c r="T3368" s="74" t="s">
        <v>1674</v>
      </c>
      <c r="U3368" s="74" t="s">
        <v>351</v>
      </c>
      <c r="V3368" s="74">
        <v>44509</v>
      </c>
      <c r="W3368" s="74">
        <v>44544</v>
      </c>
      <c r="X3368" s="55">
        <v>10186036</v>
      </c>
      <c r="Y3368" s="55" t="s">
        <v>132</v>
      </c>
      <c r="AB3368" s="74" t="s">
        <v>132</v>
      </c>
      <c r="AC3368" s="55" t="s">
        <v>132</v>
      </c>
    </row>
    <row r="3369" spans="1:29" ht="13" x14ac:dyDescent="0.15">
      <c r="A3369" s="55" t="str">
        <f>HYPERLINK("http://reports.ofsted.gov.uk/inspection-reports/find-inspection-report/provider/CARE/SC472381","Ofsted Social Care Provider Webpage")</f>
        <v>Ofsted Social Care Provider Webpage</v>
      </c>
      <c r="B3369" s="55" t="s">
        <v>6248</v>
      </c>
      <c r="D3369" s="55" t="s">
        <v>373</v>
      </c>
      <c r="E3369" s="74">
        <v>41642</v>
      </c>
      <c r="F3369" s="55" t="s">
        <v>344</v>
      </c>
      <c r="G3369" s="55" t="s">
        <v>360</v>
      </c>
      <c r="H3369" s="55" t="s">
        <v>360</v>
      </c>
      <c r="I3369" s="55" t="s">
        <v>360</v>
      </c>
      <c r="J3369" s="55" t="s">
        <v>360</v>
      </c>
      <c r="K3369" s="55" t="s">
        <v>360</v>
      </c>
      <c r="L3369" s="55" t="s">
        <v>360</v>
      </c>
      <c r="M3369" s="55" t="s">
        <v>378</v>
      </c>
      <c r="N3369" s="55" t="s">
        <v>170</v>
      </c>
      <c r="O3369" s="55" t="s">
        <v>220</v>
      </c>
      <c r="P3369" s="55" t="s">
        <v>1222</v>
      </c>
      <c r="Q3369" s="55" t="s">
        <v>380</v>
      </c>
      <c r="R3369" s="85">
        <v>3</v>
      </c>
      <c r="S3369" s="55">
        <v>0</v>
      </c>
      <c r="T3369" s="74" t="s">
        <v>1674</v>
      </c>
      <c r="U3369" s="74" t="s">
        <v>351</v>
      </c>
      <c r="V3369" s="74">
        <v>44627</v>
      </c>
      <c r="W3369" s="74">
        <v>44671</v>
      </c>
      <c r="X3369" s="55">
        <v>10185758</v>
      </c>
      <c r="Y3369" s="55" t="s">
        <v>132</v>
      </c>
      <c r="AB3369" s="74" t="s">
        <v>132</v>
      </c>
      <c r="AC3369" s="55" t="s">
        <v>132</v>
      </c>
    </row>
    <row r="3370" spans="1:29" ht="13" x14ac:dyDescent="0.15">
      <c r="A3370" s="55" t="str">
        <f>HYPERLINK("http://reports.ofsted.gov.uk/inspection-reports/find-inspection-report/provider/CARE/SC472392","Ofsted Social Care Provider Webpage")</f>
        <v>Ofsted Social Care Provider Webpage</v>
      </c>
      <c r="B3370" s="55" t="s">
        <v>6249</v>
      </c>
      <c r="D3370" s="55" t="s">
        <v>373</v>
      </c>
      <c r="E3370" s="74">
        <v>41642</v>
      </c>
      <c r="F3370" s="55" t="s">
        <v>344</v>
      </c>
      <c r="G3370" s="55" t="s">
        <v>360</v>
      </c>
      <c r="H3370" s="55" t="s">
        <v>360</v>
      </c>
      <c r="I3370" s="55" t="s">
        <v>360</v>
      </c>
      <c r="J3370" s="55" t="s">
        <v>360</v>
      </c>
      <c r="K3370" s="55" t="s">
        <v>360</v>
      </c>
      <c r="L3370" s="55" t="s">
        <v>360</v>
      </c>
      <c r="M3370" s="55" t="s">
        <v>378</v>
      </c>
      <c r="N3370" s="55" t="s">
        <v>170</v>
      </c>
      <c r="O3370" s="55" t="s">
        <v>220</v>
      </c>
      <c r="P3370" s="55" t="s">
        <v>220</v>
      </c>
      <c r="Q3370" s="55" t="s">
        <v>380</v>
      </c>
      <c r="R3370" s="85">
        <v>4</v>
      </c>
      <c r="S3370" s="55">
        <v>0</v>
      </c>
      <c r="T3370" s="74" t="s">
        <v>1674</v>
      </c>
      <c r="U3370" s="74" t="s">
        <v>351</v>
      </c>
      <c r="V3370" s="74">
        <v>44621</v>
      </c>
      <c r="W3370" s="74">
        <v>44670</v>
      </c>
      <c r="X3370" s="55">
        <v>10186854</v>
      </c>
      <c r="Y3370" s="55" t="s">
        <v>132</v>
      </c>
      <c r="AB3370" s="74" t="s">
        <v>132</v>
      </c>
      <c r="AC3370" s="55" t="s">
        <v>132</v>
      </c>
    </row>
    <row r="3371" spans="1:29" ht="13" x14ac:dyDescent="0.15">
      <c r="A3371" s="55" t="str">
        <f>HYPERLINK("http://reports.ofsted.gov.uk/inspection-reports/find-inspection-report/provider/CARE/SC472417","Ofsted Social Care Provider Webpage")</f>
        <v>Ofsted Social Care Provider Webpage</v>
      </c>
      <c r="B3371" s="55" t="s">
        <v>6250</v>
      </c>
      <c r="D3371" s="55" t="s">
        <v>373</v>
      </c>
      <c r="E3371" s="74">
        <v>41649</v>
      </c>
      <c r="F3371" s="55" t="s">
        <v>344</v>
      </c>
      <c r="G3371" s="55" t="s">
        <v>360</v>
      </c>
      <c r="H3371" s="55" t="s">
        <v>360</v>
      </c>
      <c r="I3371" s="55" t="s">
        <v>360</v>
      </c>
      <c r="J3371" s="55" t="s">
        <v>360</v>
      </c>
      <c r="K3371" s="55" t="s">
        <v>360</v>
      </c>
      <c r="L3371" s="55" t="s">
        <v>360</v>
      </c>
      <c r="M3371" s="55" t="s">
        <v>378</v>
      </c>
      <c r="N3371" s="55" t="s">
        <v>170</v>
      </c>
      <c r="O3371" s="55" t="s">
        <v>193</v>
      </c>
      <c r="P3371" s="55" t="s">
        <v>193</v>
      </c>
      <c r="Q3371" s="55" t="s">
        <v>380</v>
      </c>
      <c r="R3371" s="85">
        <v>4</v>
      </c>
      <c r="S3371" s="55">
        <v>0</v>
      </c>
      <c r="T3371" s="74" t="s">
        <v>1353</v>
      </c>
      <c r="U3371" s="74" t="s">
        <v>351</v>
      </c>
      <c r="V3371" s="74">
        <v>44433</v>
      </c>
      <c r="W3371" s="74">
        <v>44468</v>
      </c>
      <c r="X3371" s="55">
        <v>10187057</v>
      </c>
      <c r="Y3371" s="55" t="s">
        <v>132</v>
      </c>
      <c r="AB3371" s="74" t="s">
        <v>132</v>
      </c>
      <c r="AC3371" s="55" t="s">
        <v>132</v>
      </c>
    </row>
    <row r="3372" spans="1:29" ht="13" x14ac:dyDescent="0.15">
      <c r="A3372" s="55" t="str">
        <f>HYPERLINK("http://reports.ofsted.gov.uk/inspection-reports/find-inspection-report/provider/CARE/SC472449","Ofsted Social Care Provider Webpage")</f>
        <v>Ofsted Social Care Provider Webpage</v>
      </c>
      <c r="B3372" s="55" t="s">
        <v>6251</v>
      </c>
      <c r="D3372" s="55" t="s">
        <v>373</v>
      </c>
      <c r="E3372" s="74">
        <v>41618</v>
      </c>
      <c r="F3372" s="55" t="s">
        <v>344</v>
      </c>
      <c r="G3372" s="55" t="s">
        <v>360</v>
      </c>
      <c r="H3372" s="55" t="s">
        <v>360</v>
      </c>
      <c r="I3372" s="55" t="s">
        <v>360</v>
      </c>
      <c r="J3372" s="55" t="s">
        <v>360</v>
      </c>
      <c r="K3372" s="55" t="s">
        <v>360</v>
      </c>
      <c r="L3372" s="55" t="s">
        <v>360</v>
      </c>
      <c r="M3372" s="55" t="s">
        <v>378</v>
      </c>
      <c r="N3372" s="55" t="s">
        <v>134</v>
      </c>
      <c r="O3372" s="55" t="s">
        <v>226</v>
      </c>
      <c r="P3372" s="55" t="s">
        <v>3094</v>
      </c>
      <c r="Q3372" s="55" t="s">
        <v>380</v>
      </c>
      <c r="R3372" s="85">
        <v>6</v>
      </c>
      <c r="S3372" s="55">
        <v>0</v>
      </c>
      <c r="T3372" s="74" t="s">
        <v>3095</v>
      </c>
      <c r="U3372" s="74" t="s">
        <v>351</v>
      </c>
      <c r="V3372" s="74">
        <v>44508</v>
      </c>
      <c r="W3372" s="74">
        <v>44581</v>
      </c>
      <c r="X3372" s="55">
        <v>10186160</v>
      </c>
      <c r="Y3372" s="55" t="s">
        <v>140</v>
      </c>
      <c r="AB3372" s="74" t="s">
        <v>140</v>
      </c>
      <c r="AC3372" s="55" t="s">
        <v>140</v>
      </c>
    </row>
    <row r="3373" spans="1:29" ht="13" x14ac:dyDescent="0.15">
      <c r="A3373" s="55" t="str">
        <f>HYPERLINK("http://reports.ofsted.gov.uk/inspection-reports/find-inspection-report/provider/CARE/SC472465","Ofsted Social Care Provider Webpage")</f>
        <v>Ofsted Social Care Provider Webpage</v>
      </c>
      <c r="B3373" s="55" t="s">
        <v>6252</v>
      </c>
      <c r="D3373" s="55" t="s">
        <v>373</v>
      </c>
      <c r="E3373" s="74">
        <v>41675</v>
      </c>
      <c r="F3373" s="55" t="s">
        <v>344</v>
      </c>
      <c r="G3373" s="55" t="s">
        <v>360</v>
      </c>
      <c r="H3373" s="55" t="s">
        <v>360</v>
      </c>
      <c r="I3373" s="55" t="s">
        <v>360</v>
      </c>
      <c r="J3373" s="55" t="s">
        <v>360</v>
      </c>
      <c r="K3373" s="55" t="s">
        <v>360</v>
      </c>
      <c r="L3373" s="55" t="s">
        <v>360</v>
      </c>
      <c r="M3373" s="55" t="s">
        <v>142</v>
      </c>
      <c r="N3373" s="55" t="s">
        <v>142</v>
      </c>
      <c r="O3373" s="55" t="s">
        <v>177</v>
      </c>
      <c r="P3373" s="55" t="s">
        <v>1406</v>
      </c>
      <c r="Q3373" s="55" t="s">
        <v>350</v>
      </c>
      <c r="R3373" s="85">
        <v>5</v>
      </c>
      <c r="S3373" s="55">
        <v>0</v>
      </c>
      <c r="T3373" s="74" t="s">
        <v>385</v>
      </c>
      <c r="U3373" s="74" t="s">
        <v>351</v>
      </c>
      <c r="V3373" s="74">
        <v>44600</v>
      </c>
      <c r="W3373" s="74">
        <v>44644</v>
      </c>
      <c r="X3373" s="55">
        <v>10187230</v>
      </c>
      <c r="Y3373" s="55" t="s">
        <v>132</v>
      </c>
      <c r="AB3373" s="74" t="s">
        <v>130</v>
      </c>
      <c r="AC3373" s="55" t="s">
        <v>130</v>
      </c>
    </row>
    <row r="3374" spans="1:29" ht="13" x14ac:dyDescent="0.15">
      <c r="A3374" s="55" t="str">
        <f>HYPERLINK("http://reports.ofsted.gov.uk/inspection-reports/find-inspection-report/provider/CARE/SC472680","Ofsted Social Care Provider Webpage")</f>
        <v>Ofsted Social Care Provider Webpage</v>
      </c>
      <c r="B3374" s="55" t="s">
        <v>6254</v>
      </c>
      <c r="D3374" s="55" t="s">
        <v>373</v>
      </c>
      <c r="E3374" s="74">
        <v>41670</v>
      </c>
      <c r="F3374" s="55" t="s">
        <v>344</v>
      </c>
      <c r="G3374" s="55" t="s">
        <v>360</v>
      </c>
      <c r="H3374" s="55" t="s">
        <v>360</v>
      </c>
      <c r="I3374" s="55" t="s">
        <v>360</v>
      </c>
      <c r="J3374" s="55" t="s">
        <v>360</v>
      </c>
      <c r="K3374" s="55" t="s">
        <v>360</v>
      </c>
      <c r="L3374" s="55" t="s">
        <v>360</v>
      </c>
      <c r="M3374" s="55" t="s">
        <v>144</v>
      </c>
      <c r="N3374" s="55" t="s">
        <v>144</v>
      </c>
      <c r="O3374" s="55" t="s">
        <v>217</v>
      </c>
      <c r="P3374" s="55" t="s">
        <v>384</v>
      </c>
      <c r="Q3374" s="55" t="s">
        <v>350</v>
      </c>
      <c r="R3374" s="85">
        <v>5</v>
      </c>
      <c r="S3374" s="55">
        <v>0</v>
      </c>
      <c r="T3374" s="74" t="s">
        <v>1093</v>
      </c>
      <c r="U3374" s="74" t="s">
        <v>351</v>
      </c>
      <c r="V3374" s="74">
        <v>44544</v>
      </c>
      <c r="W3374" s="74">
        <v>44589</v>
      </c>
      <c r="X3374" s="55">
        <v>10186858</v>
      </c>
      <c r="Y3374" s="55" t="s">
        <v>132</v>
      </c>
      <c r="AB3374" s="74" t="s">
        <v>132</v>
      </c>
      <c r="AC3374" s="55" t="s">
        <v>132</v>
      </c>
    </row>
    <row r="3375" spans="1:29" ht="13" x14ac:dyDescent="0.15">
      <c r="A3375" s="55" t="str">
        <f>HYPERLINK("http://reports.ofsted.gov.uk/inspection-reports/find-inspection-report/provider/CARE/SC472795","Ofsted Social Care Provider Webpage")</f>
        <v>Ofsted Social Care Provider Webpage</v>
      </c>
      <c r="B3375" s="55" t="s">
        <v>6255</v>
      </c>
      <c r="D3375" s="55" t="s">
        <v>373</v>
      </c>
      <c r="E3375" s="74">
        <v>41641</v>
      </c>
      <c r="F3375" s="55" t="s">
        <v>344</v>
      </c>
      <c r="G3375" s="55" t="s">
        <v>360</v>
      </c>
      <c r="H3375" s="55" t="s">
        <v>360</v>
      </c>
      <c r="I3375" s="55" t="s">
        <v>360</v>
      </c>
      <c r="J3375" s="55" t="s">
        <v>360</v>
      </c>
      <c r="K3375" s="55" t="s">
        <v>360</v>
      </c>
      <c r="L3375" s="55" t="s">
        <v>360</v>
      </c>
      <c r="M3375" s="55" t="s">
        <v>378</v>
      </c>
      <c r="N3375" s="55" t="s">
        <v>170</v>
      </c>
      <c r="O3375" s="55" t="s">
        <v>222</v>
      </c>
      <c r="P3375" s="55" t="s">
        <v>521</v>
      </c>
      <c r="Q3375" s="55" t="s">
        <v>350</v>
      </c>
      <c r="R3375" s="85">
        <v>5</v>
      </c>
      <c r="S3375" s="55">
        <v>0</v>
      </c>
      <c r="T3375" s="74" t="s">
        <v>677</v>
      </c>
      <c r="U3375" s="74" t="s">
        <v>351</v>
      </c>
      <c r="V3375" s="74">
        <v>44502</v>
      </c>
      <c r="W3375" s="74">
        <v>44532</v>
      </c>
      <c r="X3375" s="55">
        <v>10186866</v>
      </c>
      <c r="Y3375" s="55" t="s">
        <v>132</v>
      </c>
      <c r="AB3375" s="74" t="s">
        <v>132</v>
      </c>
      <c r="AC3375" s="55" t="s">
        <v>132</v>
      </c>
    </row>
    <row r="3376" spans="1:29" ht="13" x14ac:dyDescent="0.15">
      <c r="A3376" s="55" t="str">
        <f t="shared" ref="A3376:A3381" si="6">HYPERLINK("http://reports.ofsted.gov.uk/inspection-reports/find-inspection-report/provider/CARE/SC472977","Ofsted Social Care Provider Webpage")</f>
        <v>Ofsted Social Care Provider Webpage</v>
      </c>
      <c r="B3376" s="55" t="s">
        <v>6256</v>
      </c>
      <c r="D3376" s="55" t="s">
        <v>373</v>
      </c>
      <c r="E3376" s="74">
        <v>41669</v>
      </c>
      <c r="F3376" s="55" t="s">
        <v>344</v>
      </c>
      <c r="G3376" s="55" t="s">
        <v>360</v>
      </c>
      <c r="H3376" s="55" t="s">
        <v>360</v>
      </c>
      <c r="I3376" s="55" t="s">
        <v>360</v>
      </c>
      <c r="J3376" s="55" t="s">
        <v>360</v>
      </c>
      <c r="K3376" s="55" t="s">
        <v>360</v>
      </c>
      <c r="L3376" s="55" t="s">
        <v>360</v>
      </c>
      <c r="M3376" s="55" t="s">
        <v>378</v>
      </c>
      <c r="N3376" s="55" t="s">
        <v>134</v>
      </c>
      <c r="O3376" s="55" t="s">
        <v>151</v>
      </c>
      <c r="P3376" s="55" t="s">
        <v>1778</v>
      </c>
      <c r="Q3376" s="55" t="s">
        <v>380</v>
      </c>
      <c r="R3376" s="85">
        <v>15</v>
      </c>
      <c r="S3376" s="55">
        <v>0</v>
      </c>
      <c r="T3376" s="74" t="s">
        <v>1220</v>
      </c>
      <c r="U3376" s="74" t="s">
        <v>351</v>
      </c>
      <c r="V3376" s="74">
        <v>44342</v>
      </c>
      <c r="W3376" s="74">
        <v>44378</v>
      </c>
      <c r="X3376" s="55">
        <v>10187445</v>
      </c>
      <c r="Y3376" s="55" t="s">
        <v>146</v>
      </c>
      <c r="AB3376" s="74" t="s">
        <v>130</v>
      </c>
      <c r="AC3376" s="55" t="s">
        <v>146</v>
      </c>
    </row>
    <row r="3377" spans="1:29" ht="13" x14ac:dyDescent="0.15">
      <c r="A3377" s="55" t="str">
        <f t="shared" si="6"/>
        <v>Ofsted Social Care Provider Webpage</v>
      </c>
      <c r="B3377" s="55" t="s">
        <v>6256</v>
      </c>
      <c r="D3377" s="55" t="s">
        <v>373</v>
      </c>
      <c r="E3377" s="74">
        <v>41669</v>
      </c>
      <c r="F3377" s="55" t="s">
        <v>344</v>
      </c>
      <c r="G3377" s="55" t="s">
        <v>360</v>
      </c>
      <c r="H3377" s="55" t="s">
        <v>360</v>
      </c>
      <c r="I3377" s="55" t="s">
        <v>360</v>
      </c>
      <c r="J3377" s="55" t="s">
        <v>360</v>
      </c>
      <c r="K3377" s="55" t="s">
        <v>360</v>
      </c>
      <c r="L3377" s="55" t="s">
        <v>360</v>
      </c>
      <c r="M3377" s="55" t="s">
        <v>378</v>
      </c>
      <c r="N3377" s="55" t="s">
        <v>134</v>
      </c>
      <c r="O3377" s="55" t="s">
        <v>151</v>
      </c>
      <c r="P3377" s="55" t="s">
        <v>1778</v>
      </c>
      <c r="Q3377" s="55" t="s">
        <v>380</v>
      </c>
      <c r="R3377" s="85">
        <v>15</v>
      </c>
      <c r="S3377" s="55">
        <v>0</v>
      </c>
      <c r="T3377" s="74" t="s">
        <v>1220</v>
      </c>
      <c r="U3377" s="74" t="s">
        <v>2053</v>
      </c>
      <c r="V3377" s="74">
        <v>44358</v>
      </c>
      <c r="W3377" s="74">
        <v>44390</v>
      </c>
      <c r="X3377" s="55">
        <v>10197967</v>
      </c>
    </row>
    <row r="3378" spans="1:29" ht="13" x14ac:dyDescent="0.15">
      <c r="A3378" s="55" t="str">
        <f t="shared" si="6"/>
        <v>Ofsted Social Care Provider Webpage</v>
      </c>
      <c r="B3378" s="55" t="s">
        <v>6256</v>
      </c>
      <c r="D3378" s="55" t="s">
        <v>373</v>
      </c>
      <c r="E3378" s="74">
        <v>41669</v>
      </c>
      <c r="F3378" s="55" t="s">
        <v>344</v>
      </c>
      <c r="G3378" s="55" t="s">
        <v>360</v>
      </c>
      <c r="H3378" s="55" t="s">
        <v>360</v>
      </c>
      <c r="I3378" s="55" t="s">
        <v>360</v>
      </c>
      <c r="J3378" s="55" t="s">
        <v>360</v>
      </c>
      <c r="K3378" s="55" t="s">
        <v>360</v>
      </c>
      <c r="L3378" s="55" t="s">
        <v>360</v>
      </c>
      <c r="M3378" s="55" t="s">
        <v>378</v>
      </c>
      <c r="N3378" s="55" t="s">
        <v>134</v>
      </c>
      <c r="O3378" s="55" t="s">
        <v>151</v>
      </c>
      <c r="P3378" s="55" t="s">
        <v>1778</v>
      </c>
      <c r="Q3378" s="55" t="s">
        <v>380</v>
      </c>
      <c r="R3378" s="85">
        <v>15</v>
      </c>
      <c r="S3378" s="55">
        <v>0</v>
      </c>
      <c r="T3378" s="74" t="s">
        <v>1220</v>
      </c>
      <c r="U3378" s="74" t="s">
        <v>2053</v>
      </c>
      <c r="V3378" s="74">
        <v>44392</v>
      </c>
      <c r="W3378" s="74">
        <v>44425</v>
      </c>
      <c r="X3378" s="55">
        <v>10197091</v>
      </c>
    </row>
    <row r="3379" spans="1:29" ht="13" x14ac:dyDescent="0.15">
      <c r="A3379" s="55" t="str">
        <f t="shared" si="6"/>
        <v>Ofsted Social Care Provider Webpage</v>
      </c>
      <c r="B3379" s="55" t="s">
        <v>6256</v>
      </c>
      <c r="D3379" s="55" t="s">
        <v>373</v>
      </c>
      <c r="E3379" s="74">
        <v>41669</v>
      </c>
      <c r="F3379" s="55" t="s">
        <v>344</v>
      </c>
      <c r="G3379" s="55" t="s">
        <v>360</v>
      </c>
      <c r="H3379" s="55" t="s">
        <v>360</v>
      </c>
      <c r="I3379" s="55" t="s">
        <v>360</v>
      </c>
      <c r="J3379" s="55" t="s">
        <v>360</v>
      </c>
      <c r="K3379" s="55" t="s">
        <v>360</v>
      </c>
      <c r="L3379" s="55" t="s">
        <v>360</v>
      </c>
      <c r="M3379" s="55" t="s">
        <v>378</v>
      </c>
      <c r="N3379" s="55" t="s">
        <v>134</v>
      </c>
      <c r="O3379" s="55" t="s">
        <v>151</v>
      </c>
      <c r="P3379" s="55" t="s">
        <v>1778</v>
      </c>
      <c r="Q3379" s="55" t="s">
        <v>380</v>
      </c>
      <c r="R3379" s="85">
        <v>15</v>
      </c>
      <c r="S3379" s="55">
        <v>0</v>
      </c>
      <c r="T3379" s="74" t="s">
        <v>1220</v>
      </c>
      <c r="U3379" s="74" t="s">
        <v>2053</v>
      </c>
      <c r="V3379" s="74">
        <v>44425</v>
      </c>
      <c r="W3379" s="74">
        <v>44463</v>
      </c>
      <c r="X3379" s="55">
        <v>10202618</v>
      </c>
    </row>
    <row r="3380" spans="1:29" ht="13" x14ac:dyDescent="0.15">
      <c r="A3380" s="55" t="str">
        <f t="shared" si="6"/>
        <v>Ofsted Social Care Provider Webpage</v>
      </c>
      <c r="B3380" s="55" t="s">
        <v>6256</v>
      </c>
      <c r="D3380" s="55" t="s">
        <v>373</v>
      </c>
      <c r="E3380" s="74">
        <v>41669</v>
      </c>
      <c r="F3380" s="55" t="s">
        <v>344</v>
      </c>
      <c r="G3380" s="55" t="s">
        <v>360</v>
      </c>
      <c r="H3380" s="55" t="s">
        <v>360</v>
      </c>
      <c r="I3380" s="55" t="s">
        <v>360</v>
      </c>
      <c r="J3380" s="55" t="s">
        <v>360</v>
      </c>
      <c r="K3380" s="55" t="s">
        <v>360</v>
      </c>
      <c r="L3380" s="55" t="s">
        <v>360</v>
      </c>
      <c r="M3380" s="55" t="s">
        <v>378</v>
      </c>
      <c r="N3380" s="55" t="s">
        <v>134</v>
      </c>
      <c r="O3380" s="55" t="s">
        <v>151</v>
      </c>
      <c r="P3380" s="55" t="s">
        <v>1778</v>
      </c>
      <c r="Q3380" s="55" t="s">
        <v>380</v>
      </c>
      <c r="R3380" s="85">
        <v>15</v>
      </c>
      <c r="S3380" s="55">
        <v>0</v>
      </c>
      <c r="T3380" s="74" t="s">
        <v>1220</v>
      </c>
      <c r="U3380" s="74" t="s">
        <v>2053</v>
      </c>
      <c r="V3380" s="74">
        <v>44474</v>
      </c>
      <c r="W3380" s="74">
        <v>44533</v>
      </c>
      <c r="X3380" s="55">
        <v>10207546</v>
      </c>
    </row>
    <row r="3381" spans="1:29" ht="13" x14ac:dyDescent="0.15">
      <c r="A3381" s="55" t="str">
        <f t="shared" si="6"/>
        <v>Ofsted Social Care Provider Webpage</v>
      </c>
      <c r="B3381" s="55" t="s">
        <v>6256</v>
      </c>
      <c r="D3381" s="55" t="s">
        <v>373</v>
      </c>
      <c r="E3381" s="74">
        <v>41669</v>
      </c>
      <c r="F3381" s="55" t="s">
        <v>344</v>
      </c>
      <c r="G3381" s="55" t="s">
        <v>360</v>
      </c>
      <c r="H3381" s="55" t="s">
        <v>360</v>
      </c>
      <c r="I3381" s="55" t="s">
        <v>360</v>
      </c>
      <c r="J3381" s="55" t="s">
        <v>360</v>
      </c>
      <c r="K3381" s="55" t="s">
        <v>360</v>
      </c>
      <c r="L3381" s="55" t="s">
        <v>360</v>
      </c>
      <c r="M3381" s="55" t="s">
        <v>378</v>
      </c>
      <c r="N3381" s="55" t="s">
        <v>134</v>
      </c>
      <c r="O3381" s="55" t="s">
        <v>151</v>
      </c>
      <c r="P3381" s="55" t="s">
        <v>1778</v>
      </c>
      <c r="Q3381" s="55" t="s">
        <v>380</v>
      </c>
      <c r="R3381" s="85">
        <v>15</v>
      </c>
      <c r="S3381" s="55">
        <v>0</v>
      </c>
      <c r="T3381" s="74" t="s">
        <v>1220</v>
      </c>
      <c r="U3381" s="74" t="s">
        <v>351</v>
      </c>
      <c r="V3381" s="74">
        <v>44539</v>
      </c>
      <c r="W3381" s="74">
        <v>44596</v>
      </c>
      <c r="X3381" s="55">
        <v>10216301</v>
      </c>
      <c r="Y3381" s="55" t="s">
        <v>130</v>
      </c>
      <c r="AB3381" s="74" t="s">
        <v>130</v>
      </c>
      <c r="AC3381" s="55" t="s">
        <v>130</v>
      </c>
    </row>
    <row r="3382" spans="1:29" ht="13" x14ac:dyDescent="0.15">
      <c r="A3382" s="55" t="str">
        <f>HYPERLINK("http://reports.ofsted.gov.uk/inspection-reports/find-inspection-report/provider/CARE/SC473329","Ofsted Social Care Provider Webpage")</f>
        <v>Ofsted Social Care Provider Webpage</v>
      </c>
      <c r="B3382" s="55" t="s">
        <v>6257</v>
      </c>
      <c r="D3382" s="55" t="s">
        <v>373</v>
      </c>
      <c r="E3382" s="74">
        <v>41625</v>
      </c>
      <c r="F3382" s="55" t="s">
        <v>344</v>
      </c>
      <c r="G3382" s="55" t="s">
        <v>360</v>
      </c>
      <c r="H3382" s="55" t="s">
        <v>360</v>
      </c>
      <c r="I3382" s="55" t="s">
        <v>360</v>
      </c>
      <c r="J3382" s="55" t="s">
        <v>360</v>
      </c>
      <c r="K3382" s="55" t="s">
        <v>360</v>
      </c>
      <c r="L3382" s="55" t="s">
        <v>360</v>
      </c>
      <c r="M3382" s="55" t="s">
        <v>150</v>
      </c>
      <c r="N3382" s="55" t="s">
        <v>150</v>
      </c>
      <c r="O3382" s="55" t="s">
        <v>283</v>
      </c>
      <c r="P3382" s="55" t="s">
        <v>291</v>
      </c>
      <c r="Q3382" s="55" t="s">
        <v>350</v>
      </c>
      <c r="R3382" s="85">
        <v>5</v>
      </c>
      <c r="S3382" s="55">
        <v>0</v>
      </c>
      <c r="T3382" s="74" t="s">
        <v>6244</v>
      </c>
      <c r="U3382" s="74" t="s">
        <v>351</v>
      </c>
      <c r="V3382" s="74">
        <v>44517</v>
      </c>
      <c r="W3382" s="74">
        <v>44580</v>
      </c>
      <c r="X3382" s="55">
        <v>10185203</v>
      </c>
      <c r="Y3382" s="55" t="s">
        <v>140</v>
      </c>
      <c r="AB3382" s="74" t="s">
        <v>140</v>
      </c>
      <c r="AC3382" s="55" t="s">
        <v>140</v>
      </c>
    </row>
    <row r="3383" spans="1:29" ht="13" x14ac:dyDescent="0.15">
      <c r="A3383" s="55" t="str">
        <f>HYPERLINK("http://reports.ofsted.gov.uk/inspection-reports/find-inspection-report/provider/CARE/SC473375","Ofsted Social Care Provider Webpage")</f>
        <v>Ofsted Social Care Provider Webpage</v>
      </c>
      <c r="B3383" s="55" t="s">
        <v>6258</v>
      </c>
      <c r="D3383" s="55" t="s">
        <v>373</v>
      </c>
      <c r="E3383" s="74">
        <v>41659</v>
      </c>
      <c r="F3383" s="55" t="s">
        <v>344</v>
      </c>
      <c r="G3383" s="55" t="s">
        <v>360</v>
      </c>
      <c r="H3383" s="55" t="s">
        <v>360</v>
      </c>
      <c r="I3383" s="55" t="s">
        <v>360</v>
      </c>
      <c r="J3383" s="55" t="s">
        <v>360</v>
      </c>
      <c r="K3383" s="55" t="s">
        <v>360</v>
      </c>
      <c r="L3383" s="55" t="s">
        <v>360</v>
      </c>
      <c r="M3383" s="55" t="s">
        <v>144</v>
      </c>
      <c r="N3383" s="55" t="s">
        <v>144</v>
      </c>
      <c r="O3383" s="55" t="s">
        <v>207</v>
      </c>
      <c r="P3383" s="55" t="s">
        <v>792</v>
      </c>
      <c r="Q3383" s="55" t="s">
        <v>350</v>
      </c>
      <c r="R3383" s="85">
        <v>2</v>
      </c>
      <c r="S3383" s="55">
        <v>0</v>
      </c>
      <c r="T3383" s="74" t="s">
        <v>1449</v>
      </c>
      <c r="U3383" s="74" t="s">
        <v>351</v>
      </c>
      <c r="V3383" s="74">
        <v>44530</v>
      </c>
      <c r="W3383" s="74">
        <v>44581</v>
      </c>
      <c r="X3383" s="55">
        <v>10185716</v>
      </c>
      <c r="Y3383" s="55" t="s">
        <v>132</v>
      </c>
      <c r="AB3383" s="74" t="s">
        <v>132</v>
      </c>
      <c r="AC3383" s="55" t="s">
        <v>132</v>
      </c>
    </row>
    <row r="3384" spans="1:29" ht="13" x14ac:dyDescent="0.15">
      <c r="A3384" s="55" t="str">
        <f>HYPERLINK("http://reports.ofsted.gov.uk/inspection-reports/find-inspection-report/provider/CARE/SC473404","Ofsted Social Care Provider Webpage")</f>
        <v>Ofsted Social Care Provider Webpage</v>
      </c>
      <c r="B3384" s="55" t="s">
        <v>6259</v>
      </c>
      <c r="D3384" s="55" t="s">
        <v>373</v>
      </c>
      <c r="E3384" s="74">
        <v>41607</v>
      </c>
      <c r="F3384" s="55" t="s">
        <v>344</v>
      </c>
      <c r="G3384" s="55" t="s">
        <v>360</v>
      </c>
      <c r="H3384" s="55" t="s">
        <v>360</v>
      </c>
      <c r="I3384" s="55" t="s">
        <v>360</v>
      </c>
      <c r="J3384" s="55" t="s">
        <v>360</v>
      </c>
      <c r="K3384" s="55" t="s">
        <v>360</v>
      </c>
      <c r="L3384" s="55" t="s">
        <v>360</v>
      </c>
      <c r="M3384" s="55" t="s">
        <v>150</v>
      </c>
      <c r="N3384" s="55" t="s">
        <v>150</v>
      </c>
      <c r="O3384" s="55" t="s">
        <v>203</v>
      </c>
      <c r="P3384" s="55" t="s">
        <v>593</v>
      </c>
      <c r="Q3384" s="55" t="s">
        <v>350</v>
      </c>
      <c r="R3384" s="85">
        <v>5</v>
      </c>
      <c r="S3384" s="55">
        <v>0</v>
      </c>
      <c r="T3384" s="74" t="s">
        <v>1442</v>
      </c>
      <c r="U3384" s="74" t="s">
        <v>2053</v>
      </c>
      <c r="V3384" s="74">
        <v>44586</v>
      </c>
      <c r="W3384" s="74">
        <v>44638</v>
      </c>
      <c r="X3384" s="55">
        <v>10209701</v>
      </c>
    </row>
    <row r="3385" spans="1:29" ht="13" x14ac:dyDescent="0.15">
      <c r="A3385" s="55" t="str">
        <f>HYPERLINK("http://reports.ofsted.gov.uk/inspection-reports/find-inspection-report/provider/CARE/SC473404","Ofsted Social Care Provider Webpage")</f>
        <v>Ofsted Social Care Provider Webpage</v>
      </c>
      <c r="B3385" s="55" t="s">
        <v>6259</v>
      </c>
      <c r="D3385" s="55" t="s">
        <v>373</v>
      </c>
      <c r="E3385" s="74">
        <v>41607</v>
      </c>
      <c r="F3385" s="55" t="s">
        <v>344</v>
      </c>
      <c r="G3385" s="55" t="s">
        <v>360</v>
      </c>
      <c r="H3385" s="55" t="s">
        <v>360</v>
      </c>
      <c r="I3385" s="55" t="s">
        <v>360</v>
      </c>
      <c r="J3385" s="55" t="s">
        <v>360</v>
      </c>
      <c r="K3385" s="55" t="s">
        <v>360</v>
      </c>
      <c r="L3385" s="55" t="s">
        <v>360</v>
      </c>
      <c r="M3385" s="55" t="s">
        <v>150</v>
      </c>
      <c r="N3385" s="55" t="s">
        <v>150</v>
      </c>
      <c r="O3385" s="55" t="s">
        <v>203</v>
      </c>
      <c r="P3385" s="55" t="s">
        <v>593</v>
      </c>
      <c r="Q3385" s="55" t="s">
        <v>350</v>
      </c>
      <c r="R3385" s="85">
        <v>5</v>
      </c>
      <c r="S3385" s="55">
        <v>0</v>
      </c>
      <c r="T3385" s="74" t="s">
        <v>1442</v>
      </c>
      <c r="U3385" s="74" t="s">
        <v>2053</v>
      </c>
      <c r="V3385" s="74">
        <v>44608</v>
      </c>
      <c r="W3385" s="74">
        <v>44659</v>
      </c>
      <c r="X3385" s="55">
        <v>10225643</v>
      </c>
    </row>
    <row r="3386" spans="1:29" ht="13" x14ac:dyDescent="0.15">
      <c r="A3386" s="55" t="str">
        <f>HYPERLINK("http://reports.ofsted.gov.uk/inspection-reports/find-inspection-report/provider/CARE/SC473473","Ofsted Social Care Provider Webpage")</f>
        <v>Ofsted Social Care Provider Webpage</v>
      </c>
      <c r="B3386" s="55" t="s">
        <v>6260</v>
      </c>
      <c r="D3386" s="55" t="s">
        <v>373</v>
      </c>
      <c r="E3386" s="74">
        <v>41712</v>
      </c>
      <c r="F3386" s="55" t="s">
        <v>344</v>
      </c>
      <c r="G3386" s="55" t="s">
        <v>360</v>
      </c>
      <c r="H3386" s="55" t="s">
        <v>360</v>
      </c>
      <c r="I3386" s="55" t="s">
        <v>360</v>
      </c>
      <c r="J3386" s="55" t="s">
        <v>360</v>
      </c>
      <c r="K3386" s="55" t="s">
        <v>360</v>
      </c>
      <c r="L3386" s="55" t="s">
        <v>360</v>
      </c>
      <c r="M3386" s="55" t="s">
        <v>144</v>
      </c>
      <c r="N3386" s="55" t="s">
        <v>144</v>
      </c>
      <c r="O3386" s="55" t="s">
        <v>245</v>
      </c>
      <c r="P3386" s="55" t="s">
        <v>245</v>
      </c>
      <c r="Q3386" s="55" t="s">
        <v>350</v>
      </c>
      <c r="R3386" s="85">
        <v>3</v>
      </c>
      <c r="S3386" s="55">
        <v>0</v>
      </c>
      <c r="T3386" s="74" t="s">
        <v>1218</v>
      </c>
      <c r="U3386" s="74" t="s">
        <v>351</v>
      </c>
      <c r="V3386" s="74">
        <v>44453</v>
      </c>
      <c r="W3386" s="74">
        <v>44481</v>
      </c>
      <c r="X3386" s="55">
        <v>10185980</v>
      </c>
      <c r="Y3386" s="55" t="s">
        <v>132</v>
      </c>
      <c r="AB3386" s="74" t="s">
        <v>132</v>
      </c>
      <c r="AC3386" s="55" t="s">
        <v>132</v>
      </c>
    </row>
    <row r="3387" spans="1:29" ht="13" x14ac:dyDescent="0.15">
      <c r="A3387" s="55" t="str">
        <f>HYPERLINK("http://reports.ofsted.gov.uk/inspection-reports/find-inspection-report/provider/CARE/SC473475","Ofsted Social Care Provider Webpage")</f>
        <v>Ofsted Social Care Provider Webpage</v>
      </c>
      <c r="B3387" s="55" t="s">
        <v>6261</v>
      </c>
      <c r="D3387" s="55" t="s">
        <v>373</v>
      </c>
      <c r="E3387" s="74">
        <v>41838</v>
      </c>
      <c r="F3387" s="55" t="s">
        <v>344</v>
      </c>
      <c r="G3387" s="55" t="s">
        <v>360</v>
      </c>
      <c r="H3387" s="55" t="s">
        <v>360</v>
      </c>
      <c r="I3387" s="55" t="s">
        <v>360</v>
      </c>
      <c r="J3387" s="55" t="s">
        <v>360</v>
      </c>
      <c r="K3387" s="55" t="s">
        <v>360</v>
      </c>
      <c r="L3387" s="55" t="s">
        <v>360</v>
      </c>
      <c r="M3387" s="55" t="s">
        <v>144</v>
      </c>
      <c r="N3387" s="55" t="s">
        <v>144</v>
      </c>
      <c r="O3387" s="55" t="s">
        <v>250</v>
      </c>
      <c r="P3387" s="55" t="s">
        <v>759</v>
      </c>
      <c r="Q3387" s="55" t="s">
        <v>350</v>
      </c>
      <c r="R3387" s="85">
        <v>5</v>
      </c>
      <c r="S3387" s="55">
        <v>0</v>
      </c>
      <c r="T3387" s="74" t="s">
        <v>737</v>
      </c>
      <c r="U3387" s="74" t="s">
        <v>351</v>
      </c>
      <c r="V3387" s="74">
        <v>44299</v>
      </c>
      <c r="W3387" s="74">
        <v>44334</v>
      </c>
      <c r="X3387" s="55">
        <v>10185220</v>
      </c>
      <c r="Y3387" s="55" t="s">
        <v>132</v>
      </c>
      <c r="AB3387" s="74" t="s">
        <v>132</v>
      </c>
      <c r="AC3387" s="55" t="s">
        <v>132</v>
      </c>
    </row>
    <row r="3388" spans="1:29" ht="13" x14ac:dyDescent="0.15">
      <c r="A3388" s="55" t="str">
        <f>HYPERLINK("http://reports.ofsted.gov.uk/inspection-reports/find-inspection-report/provider/CARE/SC473631","Ofsted Social Care Provider Webpage")</f>
        <v>Ofsted Social Care Provider Webpage</v>
      </c>
      <c r="B3388" s="55" t="s">
        <v>6262</v>
      </c>
      <c r="D3388" s="55" t="s">
        <v>373</v>
      </c>
      <c r="E3388" s="74">
        <v>41701</v>
      </c>
      <c r="F3388" s="55" t="s">
        <v>344</v>
      </c>
      <c r="G3388" s="55" t="s">
        <v>360</v>
      </c>
      <c r="H3388" s="55" t="s">
        <v>360</v>
      </c>
      <c r="I3388" s="55" t="s">
        <v>360</v>
      </c>
      <c r="J3388" s="55" t="s">
        <v>360</v>
      </c>
      <c r="K3388" s="55" t="s">
        <v>360</v>
      </c>
      <c r="L3388" s="55" t="s">
        <v>360</v>
      </c>
      <c r="M3388" s="55" t="s">
        <v>378</v>
      </c>
      <c r="N3388" s="55" t="s">
        <v>134</v>
      </c>
      <c r="O3388" s="55" t="s">
        <v>246</v>
      </c>
      <c r="P3388" s="55" t="s">
        <v>1104</v>
      </c>
      <c r="Q3388" s="55" t="s">
        <v>350</v>
      </c>
      <c r="R3388" s="85">
        <v>6</v>
      </c>
      <c r="S3388" s="55">
        <v>0</v>
      </c>
      <c r="T3388" s="74" t="s">
        <v>450</v>
      </c>
      <c r="U3388" s="74" t="s">
        <v>351</v>
      </c>
      <c r="V3388" s="74">
        <v>44425</v>
      </c>
      <c r="W3388" s="74">
        <v>44459</v>
      </c>
      <c r="X3388" s="55">
        <v>10187164</v>
      </c>
      <c r="Y3388" s="55" t="s">
        <v>130</v>
      </c>
      <c r="AB3388" s="74" t="s">
        <v>130</v>
      </c>
      <c r="AC3388" s="55" t="s">
        <v>146</v>
      </c>
    </row>
    <row r="3389" spans="1:29" ht="13" x14ac:dyDescent="0.15">
      <c r="A3389" s="55" t="str">
        <f>HYPERLINK("http://reports.ofsted.gov.uk/inspection-reports/find-inspection-report/provider/CARE/SC473631","Ofsted Social Care Provider Webpage")</f>
        <v>Ofsted Social Care Provider Webpage</v>
      </c>
      <c r="B3389" s="55" t="s">
        <v>6262</v>
      </c>
      <c r="D3389" s="55" t="s">
        <v>373</v>
      </c>
      <c r="E3389" s="74">
        <v>41701</v>
      </c>
      <c r="F3389" s="55" t="s">
        <v>344</v>
      </c>
      <c r="G3389" s="55" t="s">
        <v>360</v>
      </c>
      <c r="H3389" s="55" t="s">
        <v>360</v>
      </c>
      <c r="I3389" s="55" t="s">
        <v>360</v>
      </c>
      <c r="J3389" s="55" t="s">
        <v>360</v>
      </c>
      <c r="K3389" s="55" t="s">
        <v>360</v>
      </c>
      <c r="L3389" s="55" t="s">
        <v>360</v>
      </c>
      <c r="M3389" s="55" t="s">
        <v>378</v>
      </c>
      <c r="N3389" s="55" t="s">
        <v>134</v>
      </c>
      <c r="O3389" s="55" t="s">
        <v>246</v>
      </c>
      <c r="P3389" s="55" t="s">
        <v>1104</v>
      </c>
      <c r="Q3389" s="55" t="s">
        <v>350</v>
      </c>
      <c r="R3389" s="85">
        <v>6</v>
      </c>
      <c r="S3389" s="55">
        <v>0</v>
      </c>
      <c r="T3389" s="74" t="s">
        <v>450</v>
      </c>
      <c r="U3389" s="74" t="s">
        <v>6703</v>
      </c>
      <c r="V3389" s="74">
        <v>44551</v>
      </c>
      <c r="W3389" s="74">
        <v>44595</v>
      </c>
      <c r="X3389" s="55">
        <v>10212721</v>
      </c>
      <c r="Y3389" s="55" t="s">
        <v>6706</v>
      </c>
    </row>
    <row r="3390" spans="1:29" ht="13" x14ac:dyDescent="0.15">
      <c r="A3390" s="55" t="str">
        <f>HYPERLINK("http://reports.ofsted.gov.uk/inspection-reports/find-inspection-report/provider/CARE/SC473639","Ofsted Social Care Provider Webpage")</f>
        <v>Ofsted Social Care Provider Webpage</v>
      </c>
      <c r="B3390" s="55" t="s">
        <v>6263</v>
      </c>
      <c r="D3390" s="55" t="s">
        <v>373</v>
      </c>
      <c r="E3390" s="74">
        <v>41677</v>
      </c>
      <c r="F3390" s="55" t="s">
        <v>344</v>
      </c>
      <c r="G3390" s="55" t="s">
        <v>360</v>
      </c>
      <c r="H3390" s="55" t="s">
        <v>360</v>
      </c>
      <c r="I3390" s="55" t="s">
        <v>360</v>
      </c>
      <c r="J3390" s="55" t="s">
        <v>360</v>
      </c>
      <c r="K3390" s="55" t="s">
        <v>360</v>
      </c>
      <c r="L3390" s="55" t="s">
        <v>360</v>
      </c>
      <c r="M3390" s="55" t="s">
        <v>129</v>
      </c>
      <c r="N3390" s="55" t="s">
        <v>129</v>
      </c>
      <c r="O3390" s="55" t="s">
        <v>160</v>
      </c>
      <c r="P3390" s="55" t="s">
        <v>447</v>
      </c>
      <c r="Q3390" s="55" t="s">
        <v>350</v>
      </c>
      <c r="R3390" s="85">
        <v>10</v>
      </c>
      <c r="S3390" s="55">
        <v>0</v>
      </c>
      <c r="T3390" s="74" t="s">
        <v>939</v>
      </c>
      <c r="U3390" s="74" t="s">
        <v>351</v>
      </c>
      <c r="V3390" s="74">
        <v>44482</v>
      </c>
      <c r="W3390" s="74">
        <v>44518</v>
      </c>
      <c r="X3390" s="55">
        <v>10185135</v>
      </c>
      <c r="Y3390" s="55" t="s">
        <v>132</v>
      </c>
      <c r="AB3390" s="74" t="s">
        <v>130</v>
      </c>
      <c r="AC3390" s="55" t="s">
        <v>132</v>
      </c>
    </row>
    <row r="3391" spans="1:29" ht="13" x14ac:dyDescent="0.15">
      <c r="A3391" s="55" t="str">
        <f>HYPERLINK("http://reports.ofsted.gov.uk/inspection-reports/find-inspection-report/provider/CARE/SC473699","Ofsted Social Care Provider Webpage")</f>
        <v>Ofsted Social Care Provider Webpage</v>
      </c>
      <c r="B3391" s="55" t="s">
        <v>6264</v>
      </c>
      <c r="D3391" s="55" t="s">
        <v>373</v>
      </c>
      <c r="E3391" s="74">
        <v>41715</v>
      </c>
      <c r="F3391" s="55" t="s">
        <v>344</v>
      </c>
      <c r="G3391" s="55" t="s">
        <v>360</v>
      </c>
      <c r="H3391" s="55" t="s">
        <v>360</v>
      </c>
      <c r="I3391" s="55" t="s">
        <v>360</v>
      </c>
      <c r="J3391" s="55" t="s">
        <v>360</v>
      </c>
      <c r="K3391" s="55" t="s">
        <v>360</v>
      </c>
      <c r="L3391" s="55" t="s">
        <v>360</v>
      </c>
      <c r="M3391" s="55" t="s">
        <v>172</v>
      </c>
      <c r="N3391" s="55" t="s">
        <v>172</v>
      </c>
      <c r="O3391" s="55" t="s">
        <v>214</v>
      </c>
      <c r="P3391" s="55" t="s">
        <v>790</v>
      </c>
      <c r="Q3391" s="55" t="s">
        <v>350</v>
      </c>
      <c r="R3391" s="85">
        <v>4</v>
      </c>
      <c r="S3391" s="55">
        <v>0</v>
      </c>
      <c r="T3391" s="74" t="s">
        <v>375</v>
      </c>
      <c r="U3391" s="74" t="s">
        <v>351</v>
      </c>
      <c r="V3391" s="74">
        <v>44481</v>
      </c>
      <c r="W3391" s="74">
        <v>44516</v>
      </c>
      <c r="X3391" s="55">
        <v>10185719</v>
      </c>
      <c r="Y3391" s="55" t="s">
        <v>146</v>
      </c>
      <c r="AB3391" s="74" t="s">
        <v>146</v>
      </c>
      <c r="AC3391" s="55" t="s">
        <v>146</v>
      </c>
    </row>
    <row r="3392" spans="1:29" ht="13" x14ac:dyDescent="0.15">
      <c r="A3392" s="55" t="str">
        <f>HYPERLINK("http://reports.ofsted.gov.uk/inspection-reports/find-inspection-report/provider/CARE/SC473699","Ofsted Social Care Provider Webpage")</f>
        <v>Ofsted Social Care Provider Webpage</v>
      </c>
      <c r="B3392" s="55" t="s">
        <v>6264</v>
      </c>
      <c r="D3392" s="55" t="s">
        <v>373</v>
      </c>
      <c r="E3392" s="74">
        <v>41715</v>
      </c>
      <c r="F3392" s="55" t="s">
        <v>344</v>
      </c>
      <c r="G3392" s="55" t="s">
        <v>360</v>
      </c>
      <c r="H3392" s="55" t="s">
        <v>360</v>
      </c>
      <c r="I3392" s="55" t="s">
        <v>360</v>
      </c>
      <c r="J3392" s="55" t="s">
        <v>360</v>
      </c>
      <c r="K3392" s="55" t="s">
        <v>360</v>
      </c>
      <c r="L3392" s="55" t="s">
        <v>360</v>
      </c>
      <c r="M3392" s="55" t="s">
        <v>172</v>
      </c>
      <c r="N3392" s="55" t="s">
        <v>172</v>
      </c>
      <c r="O3392" s="55" t="s">
        <v>214</v>
      </c>
      <c r="P3392" s="55" t="s">
        <v>790</v>
      </c>
      <c r="Q3392" s="55" t="s">
        <v>350</v>
      </c>
      <c r="R3392" s="85">
        <v>4</v>
      </c>
      <c r="S3392" s="55">
        <v>0</v>
      </c>
      <c r="T3392" s="74" t="s">
        <v>375</v>
      </c>
      <c r="U3392" s="74" t="s">
        <v>351</v>
      </c>
      <c r="V3392" s="74">
        <v>44572</v>
      </c>
      <c r="W3392" s="74">
        <v>44615</v>
      </c>
      <c r="X3392" s="55">
        <v>10210477</v>
      </c>
      <c r="Y3392" s="55" t="s">
        <v>130</v>
      </c>
      <c r="AB3392" s="74" t="s">
        <v>130</v>
      </c>
      <c r="AC3392" s="55" t="s">
        <v>130</v>
      </c>
    </row>
    <row r="3393" spans="1:29" ht="13" x14ac:dyDescent="0.15">
      <c r="A3393" s="55" t="str">
        <f>HYPERLINK("http://reports.ofsted.gov.uk/inspection-reports/find-inspection-report/provider/CARE/SC473699","Ofsted Social Care Provider Webpage")</f>
        <v>Ofsted Social Care Provider Webpage</v>
      </c>
      <c r="B3393" s="55" t="s">
        <v>6264</v>
      </c>
      <c r="D3393" s="55" t="s">
        <v>373</v>
      </c>
      <c r="E3393" s="74">
        <v>41715</v>
      </c>
      <c r="F3393" s="55" t="s">
        <v>344</v>
      </c>
      <c r="G3393" s="55" t="s">
        <v>360</v>
      </c>
      <c r="H3393" s="55" t="s">
        <v>360</v>
      </c>
      <c r="I3393" s="55" t="s">
        <v>360</v>
      </c>
      <c r="J3393" s="55" t="s">
        <v>360</v>
      </c>
      <c r="K3393" s="55" t="s">
        <v>360</v>
      </c>
      <c r="L3393" s="55" t="s">
        <v>360</v>
      </c>
      <c r="M3393" s="55" t="s">
        <v>172</v>
      </c>
      <c r="N3393" s="55" t="s">
        <v>172</v>
      </c>
      <c r="O3393" s="55" t="s">
        <v>214</v>
      </c>
      <c r="P3393" s="55" t="s">
        <v>790</v>
      </c>
      <c r="Q3393" s="55" t="s">
        <v>350</v>
      </c>
      <c r="R3393" s="85">
        <v>4</v>
      </c>
      <c r="S3393" s="55">
        <v>0</v>
      </c>
      <c r="T3393" s="74" t="s">
        <v>375</v>
      </c>
      <c r="U3393" s="74" t="s">
        <v>2053</v>
      </c>
      <c r="V3393" s="74">
        <v>44531</v>
      </c>
      <c r="W3393" s="74">
        <v>44565</v>
      </c>
      <c r="X3393" s="55">
        <v>10216238</v>
      </c>
    </row>
    <row r="3394" spans="1:29" ht="13" x14ac:dyDescent="0.15">
      <c r="A3394" s="55" t="str">
        <f>HYPERLINK("http://reports.ofsted.gov.uk/inspection-reports/find-inspection-report/provider/CARE/SC473713","Ofsted Social Care Provider Webpage")</f>
        <v>Ofsted Social Care Provider Webpage</v>
      </c>
      <c r="B3394" s="55" t="s">
        <v>6265</v>
      </c>
      <c r="C3394" s="55">
        <v>106965</v>
      </c>
      <c r="D3394" s="55" t="s">
        <v>413</v>
      </c>
      <c r="E3394" s="74">
        <v>41589</v>
      </c>
      <c r="F3394" s="55" t="s">
        <v>344</v>
      </c>
      <c r="G3394" s="55" t="s">
        <v>6266</v>
      </c>
      <c r="H3394" s="55" t="s">
        <v>6267</v>
      </c>
      <c r="I3394" s="55" t="s">
        <v>6268</v>
      </c>
      <c r="J3394" s="55" t="s">
        <v>6269</v>
      </c>
      <c r="K3394" s="55" t="s">
        <v>683</v>
      </c>
      <c r="L3394" s="55" t="s">
        <v>6270</v>
      </c>
      <c r="M3394" s="55" t="s">
        <v>378</v>
      </c>
      <c r="N3394" s="55" t="s">
        <v>134</v>
      </c>
      <c r="O3394" s="55" t="s">
        <v>133</v>
      </c>
      <c r="P3394" s="55" t="s">
        <v>685</v>
      </c>
      <c r="Q3394" s="55" t="s">
        <v>362</v>
      </c>
      <c r="R3394" s="85">
        <v>10</v>
      </c>
      <c r="S3394" s="55">
        <v>0</v>
      </c>
      <c r="T3394" s="74" t="s">
        <v>2804</v>
      </c>
      <c r="U3394" s="74" t="s">
        <v>351</v>
      </c>
      <c r="V3394" s="74">
        <v>44452</v>
      </c>
      <c r="W3394" s="74">
        <v>44494</v>
      </c>
      <c r="X3394" s="55">
        <v>10183521</v>
      </c>
      <c r="Y3394" s="55" t="s">
        <v>140</v>
      </c>
      <c r="AB3394" s="74" t="s">
        <v>140</v>
      </c>
      <c r="AC3394" s="55" t="s">
        <v>140</v>
      </c>
    </row>
    <row r="3395" spans="1:29" ht="13" x14ac:dyDescent="0.15">
      <c r="A3395" s="55" t="str">
        <f>HYPERLINK("http://reports.ofsted.gov.uk/inspection-reports/find-inspection-report/provider/CARE/SC473877","Ofsted Social Care Provider Webpage")</f>
        <v>Ofsted Social Care Provider Webpage</v>
      </c>
      <c r="B3395" s="55" t="s">
        <v>6271</v>
      </c>
      <c r="D3395" s="55" t="s">
        <v>373</v>
      </c>
      <c r="E3395" s="74">
        <v>41726</v>
      </c>
      <c r="F3395" s="55" t="s">
        <v>344</v>
      </c>
      <c r="G3395" s="55" t="s">
        <v>360</v>
      </c>
      <c r="H3395" s="55" t="s">
        <v>360</v>
      </c>
      <c r="I3395" s="55" t="s">
        <v>360</v>
      </c>
      <c r="J3395" s="55" t="s">
        <v>360</v>
      </c>
      <c r="K3395" s="55" t="s">
        <v>360</v>
      </c>
      <c r="L3395" s="55" t="s">
        <v>360</v>
      </c>
      <c r="M3395" s="55" t="s">
        <v>150</v>
      </c>
      <c r="N3395" s="55" t="s">
        <v>150</v>
      </c>
      <c r="O3395" s="55" t="s">
        <v>203</v>
      </c>
      <c r="P3395" s="55" t="s">
        <v>800</v>
      </c>
      <c r="Q3395" s="55" t="s">
        <v>350</v>
      </c>
      <c r="R3395" s="85">
        <v>2</v>
      </c>
      <c r="S3395" s="55">
        <v>0</v>
      </c>
      <c r="T3395" s="74" t="s">
        <v>5214</v>
      </c>
      <c r="U3395" s="74" t="s">
        <v>351</v>
      </c>
      <c r="V3395" s="74">
        <v>44600</v>
      </c>
      <c r="W3395" s="74">
        <v>44662</v>
      </c>
      <c r="X3395" s="55">
        <v>10186997</v>
      </c>
      <c r="Y3395" s="55" t="s">
        <v>132</v>
      </c>
      <c r="AB3395" s="74" t="s">
        <v>132</v>
      </c>
      <c r="AC3395" s="55" t="s">
        <v>132</v>
      </c>
    </row>
    <row r="3396" spans="1:29" ht="13" x14ac:dyDescent="0.15">
      <c r="A3396" s="55" t="str">
        <f>HYPERLINK("http://reports.ofsted.gov.uk/inspection-reports/find-inspection-report/provider/CARE/SC474041","Ofsted Social Care Provider Webpage")</f>
        <v>Ofsted Social Care Provider Webpage</v>
      </c>
      <c r="B3396" s="55" t="s">
        <v>6273</v>
      </c>
      <c r="D3396" s="55" t="s">
        <v>373</v>
      </c>
      <c r="E3396" s="74">
        <v>41759</v>
      </c>
      <c r="F3396" s="55" t="s">
        <v>344</v>
      </c>
      <c r="G3396" s="55" t="s">
        <v>360</v>
      </c>
      <c r="H3396" s="55" t="s">
        <v>360</v>
      </c>
      <c r="I3396" s="55" t="s">
        <v>360</v>
      </c>
      <c r="J3396" s="55" t="s">
        <v>360</v>
      </c>
      <c r="K3396" s="55" t="s">
        <v>360</v>
      </c>
      <c r="L3396" s="55" t="s">
        <v>360</v>
      </c>
      <c r="M3396" s="55" t="s">
        <v>142</v>
      </c>
      <c r="N3396" s="55" t="s">
        <v>142</v>
      </c>
      <c r="O3396" s="55" t="s">
        <v>252</v>
      </c>
      <c r="P3396" s="55" t="s">
        <v>386</v>
      </c>
      <c r="Q3396" s="55" t="s">
        <v>350</v>
      </c>
      <c r="R3396" s="85">
        <v>2</v>
      </c>
      <c r="S3396" s="55">
        <v>0</v>
      </c>
      <c r="T3396" s="74" t="s">
        <v>1182</v>
      </c>
      <c r="U3396" s="74" t="s">
        <v>351</v>
      </c>
      <c r="V3396" s="74">
        <v>44314</v>
      </c>
      <c r="W3396" s="74">
        <v>44341</v>
      </c>
      <c r="X3396" s="55">
        <v>10187422</v>
      </c>
      <c r="Y3396" s="55" t="s">
        <v>132</v>
      </c>
      <c r="AB3396" s="74" t="s">
        <v>132</v>
      </c>
      <c r="AC3396" s="55" t="s">
        <v>130</v>
      </c>
    </row>
    <row r="3397" spans="1:29" ht="13" x14ac:dyDescent="0.15">
      <c r="A3397" s="55" t="str">
        <f>HYPERLINK("http://reports.ofsted.gov.uk/inspection-reports/find-inspection-report/provider/CARE/SC474150","Ofsted Social Care Provider Webpage")</f>
        <v>Ofsted Social Care Provider Webpage</v>
      </c>
      <c r="B3397" s="55" t="s">
        <v>6274</v>
      </c>
      <c r="D3397" s="55" t="s">
        <v>373</v>
      </c>
      <c r="E3397" s="74">
        <v>41681</v>
      </c>
      <c r="F3397" s="55" t="s">
        <v>344</v>
      </c>
      <c r="G3397" s="55" t="s">
        <v>360</v>
      </c>
      <c r="H3397" s="55" t="s">
        <v>360</v>
      </c>
      <c r="I3397" s="55" t="s">
        <v>360</v>
      </c>
      <c r="J3397" s="55" t="s">
        <v>360</v>
      </c>
      <c r="K3397" s="55" t="s">
        <v>360</v>
      </c>
      <c r="L3397" s="55" t="s">
        <v>360</v>
      </c>
      <c r="M3397" s="55" t="s">
        <v>150</v>
      </c>
      <c r="N3397" s="55" t="s">
        <v>150</v>
      </c>
      <c r="O3397" s="55" t="s">
        <v>156</v>
      </c>
      <c r="P3397" s="55" t="s">
        <v>1576</v>
      </c>
      <c r="Q3397" s="55" t="s">
        <v>350</v>
      </c>
      <c r="R3397" s="85">
        <v>4</v>
      </c>
      <c r="S3397" s="55">
        <v>0</v>
      </c>
      <c r="T3397" s="74" t="s">
        <v>762</v>
      </c>
      <c r="U3397" s="74" t="s">
        <v>351</v>
      </c>
      <c r="V3397" s="74">
        <v>44383</v>
      </c>
      <c r="W3397" s="74">
        <v>44435</v>
      </c>
      <c r="X3397" s="55">
        <v>10185673</v>
      </c>
      <c r="Y3397" s="55" t="s">
        <v>132</v>
      </c>
      <c r="AB3397" s="74" t="s">
        <v>132</v>
      </c>
      <c r="AC3397" s="55" t="s">
        <v>132</v>
      </c>
    </row>
    <row r="3398" spans="1:29" ht="13" x14ac:dyDescent="0.15">
      <c r="A3398" s="55" t="str">
        <f>HYPERLINK("http://reports.ofsted.gov.uk/inspection-reports/find-inspection-report/provider/CARE/SC474179","Ofsted Social Care Provider Webpage")</f>
        <v>Ofsted Social Care Provider Webpage</v>
      </c>
      <c r="B3398" s="55" t="s">
        <v>6275</v>
      </c>
      <c r="D3398" s="55" t="s">
        <v>373</v>
      </c>
      <c r="E3398" s="74">
        <v>41758</v>
      </c>
      <c r="F3398" s="55" t="s">
        <v>344</v>
      </c>
      <c r="G3398" s="55" t="s">
        <v>360</v>
      </c>
      <c r="H3398" s="55" t="s">
        <v>360</v>
      </c>
      <c r="I3398" s="55" t="s">
        <v>360</v>
      </c>
      <c r="J3398" s="55" t="s">
        <v>360</v>
      </c>
      <c r="K3398" s="55" t="s">
        <v>360</v>
      </c>
      <c r="L3398" s="55" t="s">
        <v>360</v>
      </c>
      <c r="M3398" s="55" t="s">
        <v>142</v>
      </c>
      <c r="N3398" s="55" t="s">
        <v>142</v>
      </c>
      <c r="O3398" s="55" t="s">
        <v>262</v>
      </c>
      <c r="P3398" s="55" t="s">
        <v>949</v>
      </c>
      <c r="Q3398" s="55" t="s">
        <v>350</v>
      </c>
      <c r="R3398" s="85">
        <v>4</v>
      </c>
      <c r="S3398" s="55">
        <v>0</v>
      </c>
      <c r="T3398" s="74" t="s">
        <v>865</v>
      </c>
      <c r="U3398" s="74" t="s">
        <v>2053</v>
      </c>
      <c r="V3398" s="74">
        <v>44445</v>
      </c>
      <c r="W3398" s="74">
        <v>44474</v>
      </c>
      <c r="X3398" s="55">
        <v>10205002</v>
      </c>
    </row>
    <row r="3399" spans="1:29" ht="13" x14ac:dyDescent="0.15">
      <c r="A3399" s="55" t="str">
        <f>HYPERLINK("http://reports.ofsted.gov.uk/inspection-reports/find-inspection-report/provider/CARE/SC474179","Ofsted Social Care Provider Webpage")</f>
        <v>Ofsted Social Care Provider Webpage</v>
      </c>
      <c r="B3399" s="55" t="s">
        <v>6275</v>
      </c>
      <c r="D3399" s="55" t="s">
        <v>373</v>
      </c>
      <c r="E3399" s="74">
        <v>41758</v>
      </c>
      <c r="F3399" s="55" t="s">
        <v>344</v>
      </c>
      <c r="G3399" s="55" t="s">
        <v>360</v>
      </c>
      <c r="H3399" s="55" t="s">
        <v>360</v>
      </c>
      <c r="I3399" s="55" t="s">
        <v>360</v>
      </c>
      <c r="J3399" s="55" t="s">
        <v>360</v>
      </c>
      <c r="K3399" s="55" t="s">
        <v>360</v>
      </c>
      <c r="L3399" s="55" t="s">
        <v>360</v>
      </c>
      <c r="M3399" s="55" t="s">
        <v>142</v>
      </c>
      <c r="N3399" s="55" t="s">
        <v>142</v>
      </c>
      <c r="O3399" s="55" t="s">
        <v>262</v>
      </c>
      <c r="P3399" s="55" t="s">
        <v>949</v>
      </c>
      <c r="Q3399" s="55" t="s">
        <v>350</v>
      </c>
      <c r="R3399" s="85">
        <v>4</v>
      </c>
      <c r="S3399" s="55">
        <v>0</v>
      </c>
      <c r="T3399" s="74" t="s">
        <v>865</v>
      </c>
      <c r="U3399" s="74" t="s">
        <v>351</v>
      </c>
      <c r="V3399" s="74">
        <v>44502</v>
      </c>
      <c r="W3399" s="74">
        <v>44538</v>
      </c>
      <c r="X3399" s="55">
        <v>10205001</v>
      </c>
      <c r="Y3399" s="55" t="s">
        <v>132</v>
      </c>
      <c r="AB3399" s="74" t="s">
        <v>132</v>
      </c>
      <c r="AC3399" s="55" t="s">
        <v>132</v>
      </c>
    </row>
    <row r="3400" spans="1:29" ht="13" x14ac:dyDescent="0.15">
      <c r="A3400" s="55" t="str">
        <f>HYPERLINK("http://reports.ofsted.gov.uk/inspection-reports/find-inspection-report/provider/CARE/SC474179","Ofsted Social Care Provider Webpage")</f>
        <v>Ofsted Social Care Provider Webpage</v>
      </c>
      <c r="B3400" s="55" t="s">
        <v>6275</v>
      </c>
      <c r="D3400" s="55" t="s">
        <v>373</v>
      </c>
      <c r="E3400" s="74">
        <v>41758</v>
      </c>
      <c r="F3400" s="55" t="s">
        <v>344</v>
      </c>
      <c r="G3400" s="55" t="s">
        <v>360</v>
      </c>
      <c r="H3400" s="55" t="s">
        <v>360</v>
      </c>
      <c r="I3400" s="55" t="s">
        <v>360</v>
      </c>
      <c r="J3400" s="55" t="s">
        <v>360</v>
      </c>
      <c r="K3400" s="55" t="s">
        <v>360</v>
      </c>
      <c r="L3400" s="55" t="s">
        <v>360</v>
      </c>
      <c r="M3400" s="55" t="s">
        <v>142</v>
      </c>
      <c r="N3400" s="55" t="s">
        <v>142</v>
      </c>
      <c r="O3400" s="55" t="s">
        <v>262</v>
      </c>
      <c r="P3400" s="55" t="s">
        <v>949</v>
      </c>
      <c r="Q3400" s="55" t="s">
        <v>350</v>
      </c>
      <c r="R3400" s="85">
        <v>4</v>
      </c>
      <c r="S3400" s="55">
        <v>0</v>
      </c>
      <c r="T3400" s="74" t="s">
        <v>865</v>
      </c>
      <c r="U3400" s="74" t="s">
        <v>351</v>
      </c>
      <c r="V3400" s="74">
        <v>44404</v>
      </c>
      <c r="W3400" s="74">
        <v>44456</v>
      </c>
      <c r="X3400" s="55">
        <v>10185063</v>
      </c>
      <c r="Y3400" s="55" t="s">
        <v>146</v>
      </c>
      <c r="AB3400" s="74" t="s">
        <v>146</v>
      </c>
      <c r="AC3400" s="55" t="s">
        <v>146</v>
      </c>
    </row>
    <row r="3401" spans="1:29" ht="13" x14ac:dyDescent="0.15">
      <c r="A3401" s="55" t="str">
        <f>HYPERLINK("http://reports.ofsted.gov.uk/inspection-reports/find-inspection-report/provider/CARE/SC474543","Ofsted Social Care Provider Webpage")</f>
        <v>Ofsted Social Care Provider Webpage</v>
      </c>
      <c r="B3401" s="55" t="s">
        <v>6276</v>
      </c>
      <c r="D3401" s="55" t="s">
        <v>373</v>
      </c>
      <c r="E3401" s="74">
        <v>41696</v>
      </c>
      <c r="F3401" s="55" t="s">
        <v>344</v>
      </c>
      <c r="G3401" s="55" t="s">
        <v>360</v>
      </c>
      <c r="H3401" s="55" t="s">
        <v>360</v>
      </c>
      <c r="I3401" s="55" t="s">
        <v>360</v>
      </c>
      <c r="J3401" s="55" t="s">
        <v>360</v>
      </c>
      <c r="K3401" s="55" t="s">
        <v>360</v>
      </c>
      <c r="L3401" s="55" t="s">
        <v>360</v>
      </c>
      <c r="M3401" s="55" t="s">
        <v>129</v>
      </c>
      <c r="N3401" s="55" t="s">
        <v>129</v>
      </c>
      <c r="O3401" s="55" t="s">
        <v>155</v>
      </c>
      <c r="P3401" s="55" t="s">
        <v>2490</v>
      </c>
      <c r="Q3401" s="55" t="s">
        <v>851</v>
      </c>
      <c r="R3401" s="85">
        <v>12</v>
      </c>
      <c r="S3401" s="55" t="s">
        <v>332</v>
      </c>
      <c r="T3401" s="74" t="s">
        <v>6277</v>
      </c>
      <c r="U3401" s="74" t="s">
        <v>351</v>
      </c>
      <c r="V3401" s="74">
        <v>44396</v>
      </c>
      <c r="W3401" s="74">
        <v>44447</v>
      </c>
      <c r="X3401" s="55">
        <v>10186044</v>
      </c>
      <c r="Y3401" s="55" t="s">
        <v>132</v>
      </c>
      <c r="AB3401" s="74" t="s">
        <v>132</v>
      </c>
      <c r="AC3401" s="55" t="s">
        <v>130</v>
      </c>
    </row>
    <row r="3402" spans="1:29" ht="13" x14ac:dyDescent="0.15">
      <c r="A3402" s="55" t="str">
        <f>HYPERLINK("http://reports.ofsted.gov.uk/inspection-reports/find-inspection-report/provider/CARE/SC474728","Ofsted Social Care Provider Webpage")</f>
        <v>Ofsted Social Care Provider Webpage</v>
      </c>
      <c r="B3402" s="55" t="s">
        <v>6278</v>
      </c>
      <c r="D3402" s="55" t="s">
        <v>451</v>
      </c>
      <c r="E3402" s="74">
        <v>41801</v>
      </c>
      <c r="F3402" s="55" t="s">
        <v>344</v>
      </c>
      <c r="G3402" s="55" t="s">
        <v>6279</v>
      </c>
      <c r="H3402" s="55" t="s">
        <v>6280</v>
      </c>
      <c r="I3402" s="55" t="s">
        <v>354</v>
      </c>
      <c r="J3402" s="55" t="s">
        <v>2578</v>
      </c>
      <c r="L3402" s="55" t="s">
        <v>6281</v>
      </c>
      <c r="M3402" s="55" t="s">
        <v>129</v>
      </c>
      <c r="N3402" s="55" t="s">
        <v>129</v>
      </c>
      <c r="O3402" s="55" t="s">
        <v>223</v>
      </c>
      <c r="P3402" s="55" t="s">
        <v>712</v>
      </c>
      <c r="Q3402" s="55" t="s">
        <v>350</v>
      </c>
      <c r="R3402" s="85">
        <v>6</v>
      </c>
      <c r="S3402" s="55">
        <v>0</v>
      </c>
      <c r="T3402" s="74" t="s">
        <v>6282</v>
      </c>
      <c r="U3402" s="74" t="s">
        <v>2053</v>
      </c>
      <c r="V3402" s="74">
        <v>44518</v>
      </c>
      <c r="W3402" s="74">
        <v>44565</v>
      </c>
      <c r="X3402" s="55">
        <v>10213854</v>
      </c>
    </row>
    <row r="3403" spans="1:29" ht="13" x14ac:dyDescent="0.15">
      <c r="A3403" s="55" t="str">
        <f>HYPERLINK("http://reports.ofsted.gov.uk/inspection-reports/find-inspection-report/provider/CARE/SC474728","Ofsted Social Care Provider Webpage")</f>
        <v>Ofsted Social Care Provider Webpage</v>
      </c>
      <c r="B3403" s="55" t="s">
        <v>6278</v>
      </c>
      <c r="D3403" s="55" t="s">
        <v>451</v>
      </c>
      <c r="E3403" s="74">
        <v>41801</v>
      </c>
      <c r="F3403" s="55" t="s">
        <v>344</v>
      </c>
      <c r="G3403" s="55" t="s">
        <v>6279</v>
      </c>
      <c r="H3403" s="55" t="s">
        <v>6280</v>
      </c>
      <c r="I3403" s="55" t="s">
        <v>354</v>
      </c>
      <c r="J3403" s="55" t="s">
        <v>2578</v>
      </c>
      <c r="L3403" s="55" t="s">
        <v>6281</v>
      </c>
      <c r="M3403" s="55" t="s">
        <v>129</v>
      </c>
      <c r="N3403" s="55" t="s">
        <v>129</v>
      </c>
      <c r="O3403" s="55" t="s">
        <v>223</v>
      </c>
      <c r="P3403" s="55" t="s">
        <v>712</v>
      </c>
      <c r="Q3403" s="55" t="s">
        <v>350</v>
      </c>
      <c r="R3403" s="85">
        <v>6</v>
      </c>
      <c r="S3403" s="55">
        <v>0</v>
      </c>
      <c r="T3403" s="74" t="s">
        <v>6282</v>
      </c>
      <c r="U3403" s="74" t="s">
        <v>2053</v>
      </c>
      <c r="V3403" s="74">
        <v>44448</v>
      </c>
      <c r="W3403" s="74">
        <v>44474</v>
      </c>
      <c r="X3403" s="55">
        <v>10206059</v>
      </c>
    </row>
    <row r="3404" spans="1:29" ht="13" x14ac:dyDescent="0.15">
      <c r="A3404" s="55" t="str">
        <f>HYPERLINK("http://reports.ofsted.gov.uk/inspection-reports/find-inspection-report/provider/CARE/SC474894","Ofsted Social Care Provider Webpage")</f>
        <v>Ofsted Social Care Provider Webpage</v>
      </c>
      <c r="B3404" s="55" t="s">
        <v>6288</v>
      </c>
      <c r="D3404" s="55" t="s">
        <v>373</v>
      </c>
      <c r="E3404" s="74">
        <v>41772</v>
      </c>
      <c r="F3404" s="55" t="s">
        <v>344</v>
      </c>
      <c r="G3404" s="55" t="s">
        <v>360</v>
      </c>
      <c r="H3404" s="55" t="s">
        <v>360</v>
      </c>
      <c r="I3404" s="55" t="s">
        <v>360</v>
      </c>
      <c r="J3404" s="55" t="s">
        <v>360</v>
      </c>
      <c r="K3404" s="55" t="s">
        <v>360</v>
      </c>
      <c r="L3404" s="55" t="s">
        <v>360</v>
      </c>
      <c r="M3404" s="55" t="s">
        <v>378</v>
      </c>
      <c r="N3404" s="55" t="s">
        <v>170</v>
      </c>
      <c r="O3404" s="55" t="s">
        <v>233</v>
      </c>
      <c r="P3404" s="55" t="s">
        <v>2363</v>
      </c>
      <c r="Q3404" s="55" t="s">
        <v>350</v>
      </c>
      <c r="R3404" s="85">
        <v>3</v>
      </c>
      <c r="S3404" s="55">
        <v>0</v>
      </c>
      <c r="T3404" s="74" t="s">
        <v>1098</v>
      </c>
      <c r="U3404" s="74" t="s">
        <v>351</v>
      </c>
      <c r="V3404" s="74">
        <v>44411</v>
      </c>
      <c r="W3404" s="74">
        <v>44447</v>
      </c>
      <c r="X3404" s="55">
        <v>10185708</v>
      </c>
      <c r="Y3404" s="55" t="s">
        <v>132</v>
      </c>
      <c r="AB3404" s="74" t="s">
        <v>132</v>
      </c>
      <c r="AC3404" s="55" t="s">
        <v>132</v>
      </c>
    </row>
    <row r="3405" spans="1:29" ht="13" x14ac:dyDescent="0.15">
      <c r="A3405" s="55" t="str">
        <f>HYPERLINK("http://reports.ofsted.gov.uk/inspection-reports/find-inspection-report/provider/CARE/SC475088","Ofsted Social Care Provider Webpage")</f>
        <v>Ofsted Social Care Provider Webpage</v>
      </c>
      <c r="B3405" s="55" t="s">
        <v>6289</v>
      </c>
      <c r="D3405" s="55" t="s">
        <v>373</v>
      </c>
      <c r="E3405" s="74">
        <v>41885</v>
      </c>
      <c r="F3405" s="55" t="s">
        <v>344</v>
      </c>
      <c r="G3405" s="55" t="s">
        <v>360</v>
      </c>
      <c r="H3405" s="55" t="s">
        <v>360</v>
      </c>
      <c r="I3405" s="55" t="s">
        <v>360</v>
      </c>
      <c r="J3405" s="55" t="s">
        <v>360</v>
      </c>
      <c r="K3405" s="55" t="s">
        <v>360</v>
      </c>
      <c r="L3405" s="55" t="s">
        <v>360</v>
      </c>
      <c r="M3405" s="55" t="s">
        <v>138</v>
      </c>
      <c r="N3405" s="55" t="s">
        <v>138</v>
      </c>
      <c r="O3405" s="55" t="s">
        <v>183</v>
      </c>
      <c r="P3405" s="55" t="s">
        <v>510</v>
      </c>
      <c r="Q3405" s="55" t="s">
        <v>350</v>
      </c>
      <c r="R3405" s="85">
        <v>4</v>
      </c>
      <c r="S3405" s="55">
        <v>0</v>
      </c>
      <c r="T3405" s="74" t="s">
        <v>1504</v>
      </c>
      <c r="U3405" s="74" t="s">
        <v>351</v>
      </c>
      <c r="V3405" s="74">
        <v>44474</v>
      </c>
      <c r="W3405" s="74">
        <v>44511</v>
      </c>
      <c r="X3405" s="55">
        <v>10186925</v>
      </c>
      <c r="Y3405" s="55" t="s">
        <v>132</v>
      </c>
      <c r="AB3405" s="74" t="s">
        <v>132</v>
      </c>
      <c r="AC3405" s="55" t="s">
        <v>132</v>
      </c>
    </row>
    <row r="3406" spans="1:29" ht="13" x14ac:dyDescent="0.15">
      <c r="A3406" s="55" t="str">
        <f>HYPERLINK("http://reports.ofsted.gov.uk/inspection-reports/find-inspection-report/provider/CARE/SC475323","Ofsted Social Care Provider Webpage")</f>
        <v>Ofsted Social Care Provider Webpage</v>
      </c>
      <c r="B3406" s="55" t="s">
        <v>6290</v>
      </c>
      <c r="D3406" s="55" t="s">
        <v>373</v>
      </c>
      <c r="E3406" s="74">
        <v>41676</v>
      </c>
      <c r="F3406" s="55" t="s">
        <v>344</v>
      </c>
      <c r="G3406" s="55" t="s">
        <v>360</v>
      </c>
      <c r="H3406" s="55" t="s">
        <v>360</v>
      </c>
      <c r="I3406" s="55" t="s">
        <v>360</v>
      </c>
      <c r="J3406" s="55" t="s">
        <v>360</v>
      </c>
      <c r="K3406" s="55" t="s">
        <v>360</v>
      </c>
      <c r="L3406" s="55" t="s">
        <v>360</v>
      </c>
      <c r="M3406" s="55" t="s">
        <v>142</v>
      </c>
      <c r="N3406" s="55" t="s">
        <v>142</v>
      </c>
      <c r="O3406" s="55" t="s">
        <v>262</v>
      </c>
      <c r="P3406" s="55" t="s">
        <v>618</v>
      </c>
      <c r="Q3406" s="55" t="s">
        <v>350</v>
      </c>
      <c r="R3406" s="85">
        <v>3</v>
      </c>
      <c r="S3406" s="55">
        <v>0</v>
      </c>
      <c r="T3406" s="74" t="s">
        <v>489</v>
      </c>
      <c r="U3406" s="74" t="s">
        <v>2053</v>
      </c>
      <c r="V3406" s="74">
        <v>44468</v>
      </c>
      <c r="W3406" s="74">
        <v>44501</v>
      </c>
      <c r="X3406" s="55">
        <v>10207532</v>
      </c>
    </row>
    <row r="3407" spans="1:29" ht="13" x14ac:dyDescent="0.15">
      <c r="A3407" s="55" t="str">
        <f>HYPERLINK("http://reports.ofsted.gov.uk/inspection-reports/find-inspection-report/provider/CARE/SC475323","Ofsted Social Care Provider Webpage")</f>
        <v>Ofsted Social Care Provider Webpage</v>
      </c>
      <c r="B3407" s="55" t="s">
        <v>6290</v>
      </c>
      <c r="D3407" s="55" t="s">
        <v>373</v>
      </c>
      <c r="E3407" s="74">
        <v>41676</v>
      </c>
      <c r="F3407" s="55" t="s">
        <v>344</v>
      </c>
      <c r="G3407" s="55" t="s">
        <v>360</v>
      </c>
      <c r="H3407" s="55" t="s">
        <v>360</v>
      </c>
      <c r="I3407" s="55" t="s">
        <v>360</v>
      </c>
      <c r="J3407" s="55" t="s">
        <v>360</v>
      </c>
      <c r="K3407" s="55" t="s">
        <v>360</v>
      </c>
      <c r="L3407" s="55" t="s">
        <v>360</v>
      </c>
      <c r="M3407" s="55" t="s">
        <v>142</v>
      </c>
      <c r="N3407" s="55" t="s">
        <v>142</v>
      </c>
      <c r="O3407" s="55" t="s">
        <v>262</v>
      </c>
      <c r="P3407" s="55" t="s">
        <v>618</v>
      </c>
      <c r="Q3407" s="55" t="s">
        <v>350</v>
      </c>
      <c r="R3407" s="85">
        <v>3</v>
      </c>
      <c r="S3407" s="55">
        <v>0</v>
      </c>
      <c r="T3407" s="74" t="s">
        <v>489</v>
      </c>
      <c r="U3407" s="74" t="s">
        <v>2053</v>
      </c>
      <c r="V3407" s="74">
        <v>44389</v>
      </c>
      <c r="W3407" s="74">
        <v>44435</v>
      </c>
      <c r="X3407" s="55">
        <v>10201957</v>
      </c>
    </row>
    <row r="3408" spans="1:29" ht="13" x14ac:dyDescent="0.15">
      <c r="A3408" s="55" t="str">
        <f>HYPERLINK("http://reports.ofsted.gov.uk/inspection-reports/find-inspection-report/provider/CARE/SC475323","Ofsted Social Care Provider Webpage")</f>
        <v>Ofsted Social Care Provider Webpage</v>
      </c>
      <c r="B3408" s="55" t="s">
        <v>6290</v>
      </c>
      <c r="D3408" s="55" t="s">
        <v>373</v>
      </c>
      <c r="E3408" s="74">
        <v>41676</v>
      </c>
      <c r="F3408" s="55" t="s">
        <v>344</v>
      </c>
      <c r="G3408" s="55" t="s">
        <v>360</v>
      </c>
      <c r="H3408" s="55" t="s">
        <v>360</v>
      </c>
      <c r="I3408" s="55" t="s">
        <v>360</v>
      </c>
      <c r="J3408" s="55" t="s">
        <v>360</v>
      </c>
      <c r="K3408" s="55" t="s">
        <v>360</v>
      </c>
      <c r="L3408" s="55" t="s">
        <v>360</v>
      </c>
      <c r="M3408" s="55" t="s">
        <v>142</v>
      </c>
      <c r="N3408" s="55" t="s">
        <v>142</v>
      </c>
      <c r="O3408" s="55" t="s">
        <v>262</v>
      </c>
      <c r="P3408" s="55" t="s">
        <v>618</v>
      </c>
      <c r="Q3408" s="55" t="s">
        <v>350</v>
      </c>
      <c r="R3408" s="85">
        <v>3</v>
      </c>
      <c r="S3408" s="55">
        <v>0</v>
      </c>
      <c r="T3408" s="74" t="s">
        <v>489</v>
      </c>
      <c r="U3408" s="74" t="s">
        <v>351</v>
      </c>
      <c r="V3408" s="74">
        <v>44431</v>
      </c>
      <c r="W3408" s="74">
        <v>44497</v>
      </c>
      <c r="X3408" s="55">
        <v>10201960</v>
      </c>
      <c r="Y3408" s="55" t="s">
        <v>130</v>
      </c>
      <c r="AB3408" s="74" t="s">
        <v>130</v>
      </c>
      <c r="AC3408" s="55" t="s">
        <v>130</v>
      </c>
    </row>
    <row r="3409" spans="1:29" ht="13" x14ac:dyDescent="0.15">
      <c r="A3409" s="55" t="str">
        <f>HYPERLINK("http://reports.ofsted.gov.uk/inspection-reports/find-inspection-report/provider/CARE/SC475323","Ofsted Social Care Provider Webpage")</f>
        <v>Ofsted Social Care Provider Webpage</v>
      </c>
      <c r="B3409" s="55" t="s">
        <v>6290</v>
      </c>
      <c r="D3409" s="55" t="s">
        <v>373</v>
      </c>
      <c r="E3409" s="74">
        <v>41676</v>
      </c>
      <c r="F3409" s="55" t="s">
        <v>344</v>
      </c>
      <c r="G3409" s="55" t="s">
        <v>360</v>
      </c>
      <c r="H3409" s="55" t="s">
        <v>360</v>
      </c>
      <c r="I3409" s="55" t="s">
        <v>360</v>
      </c>
      <c r="J3409" s="55" t="s">
        <v>360</v>
      </c>
      <c r="K3409" s="55" t="s">
        <v>360</v>
      </c>
      <c r="L3409" s="55" t="s">
        <v>360</v>
      </c>
      <c r="M3409" s="55" t="s">
        <v>142</v>
      </c>
      <c r="N3409" s="55" t="s">
        <v>142</v>
      </c>
      <c r="O3409" s="55" t="s">
        <v>262</v>
      </c>
      <c r="P3409" s="55" t="s">
        <v>618</v>
      </c>
      <c r="Q3409" s="55" t="s">
        <v>350</v>
      </c>
      <c r="R3409" s="85">
        <v>3</v>
      </c>
      <c r="S3409" s="55">
        <v>0</v>
      </c>
      <c r="T3409" s="74" t="s">
        <v>489</v>
      </c>
      <c r="U3409" s="74" t="s">
        <v>351</v>
      </c>
      <c r="V3409" s="74">
        <v>44349</v>
      </c>
      <c r="W3409" s="74">
        <v>44400</v>
      </c>
      <c r="X3409" s="55">
        <v>10185876</v>
      </c>
      <c r="Y3409" s="55" t="s">
        <v>146</v>
      </c>
      <c r="AB3409" s="74" t="s">
        <v>146</v>
      </c>
      <c r="AC3409" s="55" t="s">
        <v>146</v>
      </c>
    </row>
    <row r="3410" spans="1:29" ht="13" x14ac:dyDescent="0.15">
      <c r="A3410" s="55" t="str">
        <f>HYPERLINK("http://reports.ofsted.gov.uk/inspection-reports/find-inspection-report/provider/CARE/SC475335","Ofsted Social Care Provider Webpage")</f>
        <v>Ofsted Social Care Provider Webpage</v>
      </c>
      <c r="B3410" s="55" t="s">
        <v>6291</v>
      </c>
      <c r="D3410" s="55" t="s">
        <v>373</v>
      </c>
      <c r="E3410" s="74">
        <v>41803</v>
      </c>
      <c r="F3410" s="55" t="s">
        <v>344</v>
      </c>
      <c r="G3410" s="55" t="s">
        <v>360</v>
      </c>
      <c r="H3410" s="55" t="s">
        <v>360</v>
      </c>
      <c r="I3410" s="55" t="s">
        <v>360</v>
      </c>
      <c r="J3410" s="55" t="s">
        <v>360</v>
      </c>
      <c r="K3410" s="55" t="s">
        <v>360</v>
      </c>
      <c r="L3410" s="55" t="s">
        <v>360</v>
      </c>
      <c r="M3410" s="55" t="s">
        <v>172</v>
      </c>
      <c r="N3410" s="55" t="s">
        <v>172</v>
      </c>
      <c r="O3410" s="55" t="s">
        <v>235</v>
      </c>
      <c r="P3410" s="55" t="s">
        <v>2338</v>
      </c>
      <c r="Q3410" s="55" t="s">
        <v>350</v>
      </c>
      <c r="R3410" s="85">
        <v>4</v>
      </c>
      <c r="S3410" s="55">
        <v>0</v>
      </c>
      <c r="T3410" s="74" t="s">
        <v>861</v>
      </c>
      <c r="U3410" s="74" t="s">
        <v>351</v>
      </c>
      <c r="V3410" s="74">
        <v>44585</v>
      </c>
      <c r="W3410" s="74">
        <v>44620</v>
      </c>
      <c r="X3410" s="55">
        <v>10185636</v>
      </c>
      <c r="Y3410" s="55" t="s">
        <v>140</v>
      </c>
      <c r="AB3410" s="74" t="s">
        <v>140</v>
      </c>
      <c r="AC3410" s="55" t="s">
        <v>140</v>
      </c>
    </row>
    <row r="3411" spans="1:29" ht="13" x14ac:dyDescent="0.15">
      <c r="A3411" s="55" t="str">
        <f>HYPERLINK("http://reports.ofsted.gov.uk/inspection-reports/find-inspection-report/provider/CARE/SC475347","Ofsted Social Care Provider Webpage")</f>
        <v>Ofsted Social Care Provider Webpage</v>
      </c>
      <c r="B3411" s="55" t="s">
        <v>6296</v>
      </c>
      <c r="D3411" s="55" t="s">
        <v>373</v>
      </c>
      <c r="E3411" s="74">
        <v>41743</v>
      </c>
      <c r="F3411" s="55" t="s">
        <v>344</v>
      </c>
      <c r="G3411" s="55" t="s">
        <v>360</v>
      </c>
      <c r="H3411" s="55" t="s">
        <v>360</v>
      </c>
      <c r="I3411" s="55" t="s">
        <v>360</v>
      </c>
      <c r="J3411" s="55" t="s">
        <v>360</v>
      </c>
      <c r="K3411" s="55" t="s">
        <v>360</v>
      </c>
      <c r="L3411" s="55" t="s">
        <v>360</v>
      </c>
      <c r="M3411" s="55" t="s">
        <v>142</v>
      </c>
      <c r="N3411" s="55" t="s">
        <v>142</v>
      </c>
      <c r="O3411" s="55" t="s">
        <v>262</v>
      </c>
      <c r="P3411" s="55" t="s">
        <v>1859</v>
      </c>
      <c r="Q3411" s="55" t="s">
        <v>350</v>
      </c>
      <c r="R3411" s="85">
        <v>2</v>
      </c>
      <c r="S3411" s="55">
        <v>0</v>
      </c>
      <c r="T3411" s="74" t="s">
        <v>489</v>
      </c>
      <c r="U3411" s="74" t="s">
        <v>351</v>
      </c>
      <c r="V3411" s="74">
        <v>44425</v>
      </c>
      <c r="W3411" s="74">
        <v>44463</v>
      </c>
      <c r="X3411" s="55">
        <v>10187125</v>
      </c>
      <c r="Y3411" s="55" t="s">
        <v>132</v>
      </c>
      <c r="AB3411" s="74" t="s">
        <v>132</v>
      </c>
      <c r="AC3411" s="55" t="s">
        <v>132</v>
      </c>
    </row>
    <row r="3412" spans="1:29" ht="13" x14ac:dyDescent="0.15">
      <c r="A3412" s="55" t="str">
        <f>HYPERLINK("http://reports.ofsted.gov.uk/inspection-reports/find-inspection-report/provider/CARE/SC475680","Ofsted Social Care Provider Webpage")</f>
        <v>Ofsted Social Care Provider Webpage</v>
      </c>
      <c r="B3412" s="55" t="s">
        <v>6297</v>
      </c>
      <c r="D3412" s="55" t="s">
        <v>373</v>
      </c>
      <c r="E3412" s="74">
        <v>41767</v>
      </c>
      <c r="F3412" s="55" t="s">
        <v>344</v>
      </c>
      <c r="G3412" s="55" t="s">
        <v>360</v>
      </c>
      <c r="H3412" s="55" t="s">
        <v>360</v>
      </c>
      <c r="I3412" s="55" t="s">
        <v>360</v>
      </c>
      <c r="J3412" s="55" t="s">
        <v>360</v>
      </c>
      <c r="K3412" s="55" t="s">
        <v>360</v>
      </c>
      <c r="L3412" s="55" t="s">
        <v>360</v>
      </c>
      <c r="M3412" s="55" t="s">
        <v>144</v>
      </c>
      <c r="N3412" s="55" t="s">
        <v>144</v>
      </c>
      <c r="O3412" s="55" t="s">
        <v>209</v>
      </c>
      <c r="P3412" s="55" t="s">
        <v>597</v>
      </c>
      <c r="Q3412" s="55" t="s">
        <v>350</v>
      </c>
      <c r="R3412" s="85">
        <v>8</v>
      </c>
      <c r="S3412" s="55">
        <v>0</v>
      </c>
      <c r="T3412" s="74" t="s">
        <v>435</v>
      </c>
      <c r="U3412" s="74" t="s">
        <v>2053</v>
      </c>
      <c r="V3412" s="74">
        <v>44418</v>
      </c>
      <c r="W3412" s="74">
        <v>44596</v>
      </c>
      <c r="X3412" s="55">
        <v>10204578</v>
      </c>
    </row>
    <row r="3413" spans="1:29" ht="13" x14ac:dyDescent="0.15">
      <c r="A3413" s="55" t="str">
        <f>HYPERLINK("http://reports.ofsted.gov.uk/inspection-reports/find-inspection-report/provider/CARE/SC475680","Ofsted Social Care Provider Webpage")</f>
        <v>Ofsted Social Care Provider Webpage</v>
      </c>
      <c r="B3413" s="55" t="s">
        <v>6297</v>
      </c>
      <c r="D3413" s="55" t="s">
        <v>373</v>
      </c>
      <c r="E3413" s="74">
        <v>41767</v>
      </c>
      <c r="F3413" s="55" t="s">
        <v>344</v>
      </c>
      <c r="G3413" s="55" t="s">
        <v>360</v>
      </c>
      <c r="H3413" s="55" t="s">
        <v>360</v>
      </c>
      <c r="I3413" s="55" t="s">
        <v>360</v>
      </c>
      <c r="J3413" s="55" t="s">
        <v>360</v>
      </c>
      <c r="K3413" s="55" t="s">
        <v>360</v>
      </c>
      <c r="L3413" s="55" t="s">
        <v>360</v>
      </c>
      <c r="M3413" s="55" t="s">
        <v>144</v>
      </c>
      <c r="N3413" s="55" t="s">
        <v>144</v>
      </c>
      <c r="O3413" s="55" t="s">
        <v>209</v>
      </c>
      <c r="P3413" s="55" t="s">
        <v>597</v>
      </c>
      <c r="Q3413" s="55" t="s">
        <v>350</v>
      </c>
      <c r="R3413" s="85">
        <v>8</v>
      </c>
      <c r="S3413" s="55">
        <v>0</v>
      </c>
      <c r="T3413" s="74" t="s">
        <v>435</v>
      </c>
      <c r="U3413" s="74" t="s">
        <v>351</v>
      </c>
      <c r="V3413" s="74">
        <v>44495</v>
      </c>
      <c r="W3413" s="74">
        <v>44524</v>
      </c>
      <c r="X3413" s="55">
        <v>10185238</v>
      </c>
      <c r="Y3413" s="55" t="s">
        <v>132</v>
      </c>
      <c r="AB3413" s="74" t="s">
        <v>132</v>
      </c>
      <c r="AC3413" s="55" t="s">
        <v>132</v>
      </c>
    </row>
    <row r="3414" spans="1:29" ht="13" x14ac:dyDescent="0.15">
      <c r="A3414" s="55" t="str">
        <f>HYPERLINK("http://reports.ofsted.gov.uk/inspection-reports/find-inspection-report/provider/CARE/SC475689","Ofsted Social Care Provider Webpage")</f>
        <v>Ofsted Social Care Provider Webpage</v>
      </c>
      <c r="B3414" s="55" t="s">
        <v>6298</v>
      </c>
      <c r="D3414" s="55" t="s">
        <v>373</v>
      </c>
      <c r="E3414" s="74">
        <v>41719</v>
      </c>
      <c r="F3414" s="55" t="s">
        <v>344</v>
      </c>
      <c r="G3414" s="55" t="s">
        <v>360</v>
      </c>
      <c r="H3414" s="55" t="s">
        <v>360</v>
      </c>
      <c r="I3414" s="55" t="s">
        <v>360</v>
      </c>
      <c r="J3414" s="55" t="s">
        <v>360</v>
      </c>
      <c r="K3414" s="55" t="s">
        <v>360</v>
      </c>
      <c r="L3414" s="55" t="s">
        <v>360</v>
      </c>
      <c r="M3414" s="55" t="s">
        <v>144</v>
      </c>
      <c r="N3414" s="55" t="s">
        <v>144</v>
      </c>
      <c r="O3414" s="55" t="s">
        <v>250</v>
      </c>
      <c r="P3414" s="55" t="s">
        <v>759</v>
      </c>
      <c r="Q3414" s="55" t="s">
        <v>350</v>
      </c>
      <c r="R3414" s="85">
        <v>6</v>
      </c>
      <c r="S3414" s="55">
        <v>0</v>
      </c>
      <c r="T3414" s="74" t="s">
        <v>435</v>
      </c>
      <c r="U3414" s="74" t="s">
        <v>351</v>
      </c>
      <c r="V3414" s="74">
        <v>44634</v>
      </c>
      <c r="W3414" s="74">
        <v>44677</v>
      </c>
      <c r="X3414" s="55">
        <v>10187147</v>
      </c>
      <c r="Y3414" s="55" t="s">
        <v>140</v>
      </c>
      <c r="AB3414" s="74" t="s">
        <v>132</v>
      </c>
      <c r="AC3414" s="55" t="s">
        <v>140</v>
      </c>
    </row>
    <row r="3415" spans="1:29" ht="13" x14ac:dyDescent="0.15">
      <c r="A3415" s="55" t="str">
        <f>HYPERLINK("http://reports.ofsted.gov.uk/inspection-reports/find-inspection-report/provider/CARE/SC475703","Ofsted Social Care Provider Webpage")</f>
        <v>Ofsted Social Care Provider Webpage</v>
      </c>
      <c r="B3415" s="55" t="s">
        <v>6300</v>
      </c>
      <c r="D3415" s="55" t="s">
        <v>373</v>
      </c>
      <c r="E3415" s="74">
        <v>41767</v>
      </c>
      <c r="F3415" s="55" t="s">
        <v>344</v>
      </c>
      <c r="G3415" s="55" t="s">
        <v>360</v>
      </c>
      <c r="H3415" s="55" t="s">
        <v>360</v>
      </c>
      <c r="I3415" s="55" t="s">
        <v>360</v>
      </c>
      <c r="J3415" s="55" t="s">
        <v>360</v>
      </c>
      <c r="K3415" s="55" t="s">
        <v>360</v>
      </c>
      <c r="L3415" s="55" t="s">
        <v>360</v>
      </c>
      <c r="M3415" s="55" t="s">
        <v>378</v>
      </c>
      <c r="N3415" s="55" t="s">
        <v>134</v>
      </c>
      <c r="O3415" s="55" t="s">
        <v>232</v>
      </c>
      <c r="P3415" s="55" t="s">
        <v>496</v>
      </c>
      <c r="Q3415" s="55" t="s">
        <v>350</v>
      </c>
      <c r="R3415" s="85">
        <v>8</v>
      </c>
      <c r="S3415" s="55">
        <v>0</v>
      </c>
      <c r="T3415" s="74" t="s">
        <v>435</v>
      </c>
      <c r="U3415" s="74" t="s">
        <v>351</v>
      </c>
      <c r="V3415" s="74">
        <v>44425</v>
      </c>
      <c r="W3415" s="74">
        <v>44468</v>
      </c>
      <c r="X3415" s="55">
        <v>10185839</v>
      </c>
      <c r="Y3415" s="55" t="s">
        <v>132</v>
      </c>
      <c r="AB3415" s="74" t="s">
        <v>132</v>
      </c>
      <c r="AC3415" s="55" t="s">
        <v>132</v>
      </c>
    </row>
    <row r="3416" spans="1:29" ht="13" x14ac:dyDescent="0.15">
      <c r="A3416" s="55" t="str">
        <f>HYPERLINK("http://reports.ofsted.gov.uk/inspection-reports/find-inspection-report/provider/CARE/SC475706","Ofsted Social Care Provider Webpage")</f>
        <v>Ofsted Social Care Provider Webpage</v>
      </c>
      <c r="B3416" s="55" t="s">
        <v>6301</v>
      </c>
      <c r="D3416" s="55" t="s">
        <v>373</v>
      </c>
      <c r="E3416" s="74">
        <v>41787</v>
      </c>
      <c r="F3416" s="55" t="s">
        <v>344</v>
      </c>
      <c r="G3416" s="55" t="s">
        <v>360</v>
      </c>
      <c r="H3416" s="55" t="s">
        <v>360</v>
      </c>
      <c r="I3416" s="55" t="s">
        <v>360</v>
      </c>
      <c r="J3416" s="55" t="s">
        <v>360</v>
      </c>
      <c r="K3416" s="55" t="s">
        <v>360</v>
      </c>
      <c r="L3416" s="55" t="s">
        <v>360</v>
      </c>
      <c r="M3416" s="55" t="s">
        <v>378</v>
      </c>
      <c r="N3416" s="55" t="s">
        <v>170</v>
      </c>
      <c r="O3416" s="55" t="s">
        <v>178</v>
      </c>
      <c r="P3416" s="55" t="s">
        <v>1374</v>
      </c>
      <c r="Q3416" s="55" t="s">
        <v>350</v>
      </c>
      <c r="R3416" s="85">
        <v>7</v>
      </c>
      <c r="S3416" s="55">
        <v>0</v>
      </c>
      <c r="T3416" s="74" t="s">
        <v>435</v>
      </c>
      <c r="U3416" s="74" t="s">
        <v>351</v>
      </c>
      <c r="V3416" s="74">
        <v>44326</v>
      </c>
      <c r="W3416" s="74">
        <v>44369</v>
      </c>
      <c r="X3416" s="55">
        <v>10187221</v>
      </c>
      <c r="Y3416" s="55" t="s">
        <v>140</v>
      </c>
      <c r="AB3416" s="74" t="s">
        <v>132</v>
      </c>
      <c r="AC3416" s="55" t="s">
        <v>132</v>
      </c>
    </row>
    <row r="3417" spans="1:29" ht="13" x14ac:dyDescent="0.15">
      <c r="A3417" s="55" t="str">
        <f>HYPERLINK("http://reports.ofsted.gov.uk/inspection-reports/find-inspection-report/provider/CARE/SC475710","Ofsted Social Care Provider Webpage")</f>
        <v>Ofsted Social Care Provider Webpage</v>
      </c>
      <c r="B3417" s="55" t="s">
        <v>6302</v>
      </c>
      <c r="D3417" s="55" t="s">
        <v>373</v>
      </c>
      <c r="E3417" s="74">
        <v>41793</v>
      </c>
      <c r="F3417" s="55" t="s">
        <v>344</v>
      </c>
      <c r="G3417" s="55" t="s">
        <v>360</v>
      </c>
      <c r="H3417" s="55" t="s">
        <v>360</v>
      </c>
      <c r="I3417" s="55" t="s">
        <v>360</v>
      </c>
      <c r="J3417" s="55" t="s">
        <v>360</v>
      </c>
      <c r="K3417" s="55" t="s">
        <v>360</v>
      </c>
      <c r="L3417" s="55" t="s">
        <v>360</v>
      </c>
      <c r="M3417" s="55" t="s">
        <v>378</v>
      </c>
      <c r="N3417" s="55" t="s">
        <v>170</v>
      </c>
      <c r="O3417" s="55" t="s">
        <v>178</v>
      </c>
      <c r="P3417" s="55" t="s">
        <v>1374</v>
      </c>
      <c r="Q3417" s="55" t="s">
        <v>350</v>
      </c>
      <c r="R3417" s="85">
        <v>8</v>
      </c>
      <c r="S3417" s="55">
        <v>0</v>
      </c>
      <c r="T3417" s="74" t="s">
        <v>435</v>
      </c>
      <c r="U3417" s="74" t="s">
        <v>351</v>
      </c>
      <c r="V3417" s="74">
        <v>44530</v>
      </c>
      <c r="W3417" s="74">
        <v>44575</v>
      </c>
      <c r="X3417" s="55">
        <v>10185859</v>
      </c>
      <c r="Y3417" s="55" t="s">
        <v>132</v>
      </c>
      <c r="AB3417" s="74" t="s">
        <v>132</v>
      </c>
      <c r="AC3417" s="55" t="s">
        <v>132</v>
      </c>
    </row>
    <row r="3418" spans="1:29" ht="13" x14ac:dyDescent="0.15">
      <c r="A3418" s="55" t="str">
        <f>HYPERLINK("http://reports.ofsted.gov.uk/inspection-reports/find-inspection-report/provider/CARE/SC475723","Ofsted Social Care Provider Webpage")</f>
        <v>Ofsted Social Care Provider Webpage</v>
      </c>
      <c r="B3418" s="55" t="s">
        <v>6304</v>
      </c>
      <c r="D3418" s="55" t="s">
        <v>373</v>
      </c>
      <c r="E3418" s="74">
        <v>41991</v>
      </c>
      <c r="F3418" s="55" t="s">
        <v>344</v>
      </c>
      <c r="G3418" s="55" t="s">
        <v>360</v>
      </c>
      <c r="H3418" s="55" t="s">
        <v>360</v>
      </c>
      <c r="I3418" s="55" t="s">
        <v>360</v>
      </c>
      <c r="J3418" s="55" t="s">
        <v>360</v>
      </c>
      <c r="K3418" s="55" t="s">
        <v>360</v>
      </c>
      <c r="L3418" s="55" t="s">
        <v>360</v>
      </c>
      <c r="M3418" s="55" t="s">
        <v>144</v>
      </c>
      <c r="N3418" s="55" t="s">
        <v>144</v>
      </c>
      <c r="O3418" s="55" t="s">
        <v>209</v>
      </c>
      <c r="P3418" s="55" t="s">
        <v>561</v>
      </c>
      <c r="Q3418" s="55" t="s">
        <v>350</v>
      </c>
      <c r="R3418" s="85">
        <v>9</v>
      </c>
      <c r="S3418" s="55">
        <v>0</v>
      </c>
      <c r="T3418" s="74" t="s">
        <v>435</v>
      </c>
      <c r="U3418" s="74" t="s">
        <v>2053</v>
      </c>
      <c r="V3418" s="74">
        <v>44616</v>
      </c>
      <c r="W3418" s="74">
        <v>44659</v>
      </c>
      <c r="X3418" s="55">
        <v>10226551</v>
      </c>
    </row>
    <row r="3419" spans="1:29" ht="13" x14ac:dyDescent="0.15">
      <c r="A3419" s="55" t="str">
        <f>HYPERLINK("http://reports.ofsted.gov.uk/inspection-reports/find-inspection-report/provider/CARE/SC475723","Ofsted Social Care Provider Webpage")</f>
        <v>Ofsted Social Care Provider Webpage</v>
      </c>
      <c r="B3419" s="55" t="s">
        <v>6304</v>
      </c>
      <c r="D3419" s="55" t="s">
        <v>373</v>
      </c>
      <c r="E3419" s="74">
        <v>41991</v>
      </c>
      <c r="F3419" s="55" t="s">
        <v>344</v>
      </c>
      <c r="G3419" s="55" t="s">
        <v>360</v>
      </c>
      <c r="H3419" s="55" t="s">
        <v>360</v>
      </c>
      <c r="I3419" s="55" t="s">
        <v>360</v>
      </c>
      <c r="J3419" s="55" t="s">
        <v>360</v>
      </c>
      <c r="K3419" s="55" t="s">
        <v>360</v>
      </c>
      <c r="L3419" s="55" t="s">
        <v>360</v>
      </c>
      <c r="M3419" s="55" t="s">
        <v>144</v>
      </c>
      <c r="N3419" s="55" t="s">
        <v>144</v>
      </c>
      <c r="O3419" s="55" t="s">
        <v>209</v>
      </c>
      <c r="P3419" s="55" t="s">
        <v>561</v>
      </c>
      <c r="Q3419" s="55" t="s">
        <v>350</v>
      </c>
      <c r="R3419" s="85">
        <v>9</v>
      </c>
      <c r="S3419" s="55">
        <v>0</v>
      </c>
      <c r="T3419" s="74" t="s">
        <v>435</v>
      </c>
      <c r="U3419" s="74" t="s">
        <v>351</v>
      </c>
      <c r="V3419" s="74">
        <v>44481</v>
      </c>
      <c r="W3419" s="74">
        <v>44526</v>
      </c>
      <c r="X3419" s="55">
        <v>10186385</v>
      </c>
      <c r="Y3419" s="55" t="s">
        <v>132</v>
      </c>
      <c r="AB3419" s="74" t="s">
        <v>132</v>
      </c>
      <c r="AC3419" s="55" t="s">
        <v>130</v>
      </c>
    </row>
    <row r="3420" spans="1:29" ht="13" x14ac:dyDescent="0.15">
      <c r="A3420" s="55" t="str">
        <f>HYPERLINK("http://reports.ofsted.gov.uk/inspection-reports/find-inspection-report/provider/CARE/SC476083","Ofsted Social Care Provider Webpage")</f>
        <v>Ofsted Social Care Provider Webpage</v>
      </c>
      <c r="B3420" s="55" t="s">
        <v>6307</v>
      </c>
      <c r="D3420" s="55" t="s">
        <v>373</v>
      </c>
      <c r="E3420" s="74">
        <v>42075</v>
      </c>
      <c r="F3420" s="55" t="s">
        <v>344</v>
      </c>
      <c r="G3420" s="55" t="s">
        <v>360</v>
      </c>
      <c r="H3420" s="55" t="s">
        <v>360</v>
      </c>
      <c r="I3420" s="55" t="s">
        <v>360</v>
      </c>
      <c r="J3420" s="55" t="s">
        <v>360</v>
      </c>
      <c r="K3420" s="55" t="s">
        <v>360</v>
      </c>
      <c r="L3420" s="55" t="s">
        <v>360</v>
      </c>
      <c r="M3420" s="55" t="s">
        <v>144</v>
      </c>
      <c r="N3420" s="55" t="s">
        <v>144</v>
      </c>
      <c r="O3420" s="55" t="s">
        <v>168</v>
      </c>
      <c r="P3420" s="55" t="s">
        <v>913</v>
      </c>
      <c r="Q3420" s="55" t="s">
        <v>350</v>
      </c>
      <c r="R3420" s="85">
        <v>3</v>
      </c>
      <c r="S3420" s="55">
        <v>0</v>
      </c>
      <c r="T3420" s="74" t="s">
        <v>915</v>
      </c>
      <c r="U3420" s="74" t="s">
        <v>351</v>
      </c>
      <c r="V3420" s="74">
        <v>44474</v>
      </c>
      <c r="W3420" s="74">
        <v>44516</v>
      </c>
      <c r="X3420" s="55">
        <v>10185874</v>
      </c>
      <c r="Y3420" s="55" t="s">
        <v>132</v>
      </c>
      <c r="AB3420" s="74" t="s">
        <v>132</v>
      </c>
      <c r="AC3420" s="55" t="s">
        <v>130</v>
      </c>
    </row>
    <row r="3421" spans="1:29" ht="13" x14ac:dyDescent="0.15">
      <c r="A3421" s="55" t="str">
        <f>HYPERLINK("http://reports.ofsted.gov.uk/inspection-reports/find-inspection-report/provider/CARE/SC476231","Ofsted Social Care Provider Webpage")</f>
        <v>Ofsted Social Care Provider Webpage</v>
      </c>
      <c r="B3421" s="55" t="s">
        <v>6308</v>
      </c>
      <c r="D3421" s="55" t="s">
        <v>373</v>
      </c>
      <c r="E3421" s="74">
        <v>41712</v>
      </c>
      <c r="F3421" s="55" t="s">
        <v>344</v>
      </c>
      <c r="G3421" s="55" t="s">
        <v>360</v>
      </c>
      <c r="H3421" s="55" t="s">
        <v>360</v>
      </c>
      <c r="I3421" s="55" t="s">
        <v>360</v>
      </c>
      <c r="J3421" s="55" t="s">
        <v>360</v>
      </c>
      <c r="K3421" s="55" t="s">
        <v>360</v>
      </c>
      <c r="L3421" s="55" t="s">
        <v>360</v>
      </c>
      <c r="M3421" s="55" t="s">
        <v>142</v>
      </c>
      <c r="N3421" s="55" t="s">
        <v>142</v>
      </c>
      <c r="O3421" s="55" t="s">
        <v>252</v>
      </c>
      <c r="P3421" s="55" t="s">
        <v>503</v>
      </c>
      <c r="Q3421" s="55" t="s">
        <v>350</v>
      </c>
      <c r="R3421" s="85">
        <v>4</v>
      </c>
      <c r="S3421" s="55">
        <v>0</v>
      </c>
      <c r="T3421" s="74" t="s">
        <v>385</v>
      </c>
      <c r="U3421" s="74" t="s">
        <v>351</v>
      </c>
      <c r="V3421" s="74">
        <v>44538</v>
      </c>
      <c r="W3421" s="74">
        <v>44595</v>
      </c>
      <c r="X3421" s="55">
        <v>10187344</v>
      </c>
      <c r="Y3421" s="55" t="s">
        <v>132</v>
      </c>
      <c r="AB3421" s="74" t="s">
        <v>132</v>
      </c>
      <c r="AC3421" s="55" t="s">
        <v>132</v>
      </c>
    </row>
    <row r="3422" spans="1:29" ht="13" x14ac:dyDescent="0.15">
      <c r="A3422" s="55" t="str">
        <f>HYPERLINK("http://reports.ofsted.gov.uk/inspection-reports/find-inspection-report/provider/CARE/SC476236","Ofsted Social Care Provider Webpage")</f>
        <v>Ofsted Social Care Provider Webpage</v>
      </c>
      <c r="B3422" s="55" t="s">
        <v>6309</v>
      </c>
      <c r="D3422" s="55" t="s">
        <v>373</v>
      </c>
      <c r="E3422" s="74">
        <v>41753</v>
      </c>
      <c r="F3422" s="55" t="s">
        <v>344</v>
      </c>
      <c r="G3422" s="55" t="s">
        <v>360</v>
      </c>
      <c r="H3422" s="55" t="s">
        <v>360</v>
      </c>
      <c r="I3422" s="55" t="s">
        <v>360</v>
      </c>
      <c r="J3422" s="55" t="s">
        <v>360</v>
      </c>
      <c r="K3422" s="55" t="s">
        <v>360</v>
      </c>
      <c r="L3422" s="55" t="s">
        <v>360</v>
      </c>
      <c r="M3422" s="55" t="s">
        <v>142</v>
      </c>
      <c r="N3422" s="55" t="s">
        <v>142</v>
      </c>
      <c r="O3422" s="55" t="s">
        <v>252</v>
      </c>
      <c r="P3422" s="55" t="s">
        <v>388</v>
      </c>
      <c r="Q3422" s="55" t="s">
        <v>350</v>
      </c>
      <c r="R3422" s="85">
        <v>4</v>
      </c>
      <c r="S3422" s="55">
        <v>0</v>
      </c>
      <c r="T3422" s="74" t="s">
        <v>385</v>
      </c>
      <c r="U3422" s="74" t="s">
        <v>351</v>
      </c>
      <c r="V3422" s="74">
        <v>44481</v>
      </c>
      <c r="W3422" s="74">
        <v>44516</v>
      </c>
      <c r="X3422" s="55">
        <v>10186901</v>
      </c>
      <c r="Y3422" s="55" t="s">
        <v>132</v>
      </c>
      <c r="AB3422" s="74" t="s">
        <v>132</v>
      </c>
      <c r="AC3422" s="55" t="s">
        <v>132</v>
      </c>
    </row>
    <row r="3423" spans="1:29" ht="13" x14ac:dyDescent="0.15">
      <c r="A3423" s="55" t="str">
        <f>HYPERLINK("http://reports.ofsted.gov.uk/inspection-reports/find-inspection-report/provider/CARE/SC476249","Ofsted Social Care Provider Webpage")</f>
        <v>Ofsted Social Care Provider Webpage</v>
      </c>
      <c r="B3423" s="55" t="s">
        <v>6310</v>
      </c>
      <c r="D3423" s="55" t="s">
        <v>373</v>
      </c>
      <c r="E3423" s="74">
        <v>41820</v>
      </c>
      <c r="F3423" s="55" t="s">
        <v>344</v>
      </c>
      <c r="G3423" s="55" t="s">
        <v>360</v>
      </c>
      <c r="H3423" s="55" t="s">
        <v>360</v>
      </c>
      <c r="I3423" s="55" t="s">
        <v>360</v>
      </c>
      <c r="J3423" s="55" t="s">
        <v>360</v>
      </c>
      <c r="K3423" s="55" t="s">
        <v>360</v>
      </c>
      <c r="L3423" s="55" t="s">
        <v>360</v>
      </c>
      <c r="M3423" s="55" t="s">
        <v>142</v>
      </c>
      <c r="N3423" s="55" t="s">
        <v>142</v>
      </c>
      <c r="O3423" s="55" t="s">
        <v>282</v>
      </c>
      <c r="P3423" s="55" t="s">
        <v>3266</v>
      </c>
      <c r="Q3423" s="55" t="s">
        <v>350</v>
      </c>
      <c r="R3423" s="85">
        <v>5</v>
      </c>
      <c r="S3423" s="55">
        <v>0</v>
      </c>
      <c r="T3423" s="74" t="s">
        <v>385</v>
      </c>
      <c r="U3423" s="74" t="s">
        <v>351</v>
      </c>
      <c r="V3423" s="74">
        <v>44586</v>
      </c>
      <c r="W3423" s="74">
        <v>44630</v>
      </c>
      <c r="X3423" s="55">
        <v>10186158</v>
      </c>
      <c r="Y3423" s="55" t="s">
        <v>132</v>
      </c>
      <c r="AB3423" s="74" t="s">
        <v>132</v>
      </c>
      <c r="AC3423" s="55" t="s">
        <v>132</v>
      </c>
    </row>
    <row r="3424" spans="1:29" ht="13" x14ac:dyDescent="0.15">
      <c r="A3424" s="55" t="str">
        <f>HYPERLINK("http://reports.ofsted.gov.uk/inspection-reports/find-inspection-report/provider/CARE/SC476251","Ofsted Social Care Provider Webpage")</f>
        <v>Ofsted Social Care Provider Webpage</v>
      </c>
      <c r="B3424" s="55" t="s">
        <v>6311</v>
      </c>
      <c r="D3424" s="55" t="s">
        <v>373</v>
      </c>
      <c r="E3424" s="74">
        <v>41696</v>
      </c>
      <c r="F3424" s="55" t="s">
        <v>344</v>
      </c>
      <c r="G3424" s="55" t="s">
        <v>360</v>
      </c>
      <c r="H3424" s="55" t="s">
        <v>360</v>
      </c>
      <c r="I3424" s="55" t="s">
        <v>360</v>
      </c>
      <c r="J3424" s="55" t="s">
        <v>360</v>
      </c>
      <c r="K3424" s="55" t="s">
        <v>360</v>
      </c>
      <c r="L3424" s="55" t="s">
        <v>360</v>
      </c>
      <c r="M3424" s="55" t="s">
        <v>138</v>
      </c>
      <c r="N3424" s="55" t="s">
        <v>138</v>
      </c>
      <c r="O3424" s="55" t="s">
        <v>137</v>
      </c>
      <c r="P3424" s="55" t="s">
        <v>643</v>
      </c>
      <c r="Q3424" s="55" t="s">
        <v>350</v>
      </c>
      <c r="R3424" s="85">
        <v>4</v>
      </c>
      <c r="S3424" s="55">
        <v>0</v>
      </c>
      <c r="T3424" s="74" t="s">
        <v>385</v>
      </c>
      <c r="U3424" s="74" t="s">
        <v>351</v>
      </c>
      <c r="V3424" s="74">
        <v>44579</v>
      </c>
      <c r="W3424" s="74">
        <v>44607</v>
      </c>
      <c r="X3424" s="55">
        <v>10187461</v>
      </c>
      <c r="Y3424" s="55" t="s">
        <v>140</v>
      </c>
      <c r="AB3424" s="74" t="s">
        <v>140</v>
      </c>
      <c r="AC3424" s="55" t="s">
        <v>140</v>
      </c>
    </row>
    <row r="3425" spans="1:29" ht="13" x14ac:dyDescent="0.15">
      <c r="A3425" s="55" t="str">
        <f>HYPERLINK("http://reports.ofsted.gov.uk/inspection-reports/find-inspection-report/provider/CARE/SC476252","Ofsted Social Care Provider Webpage")</f>
        <v>Ofsted Social Care Provider Webpage</v>
      </c>
      <c r="B3425" s="55" t="s">
        <v>6312</v>
      </c>
      <c r="D3425" s="55" t="s">
        <v>373</v>
      </c>
      <c r="E3425" s="74">
        <v>41707</v>
      </c>
      <c r="F3425" s="55" t="s">
        <v>344</v>
      </c>
      <c r="G3425" s="55" t="s">
        <v>360</v>
      </c>
      <c r="H3425" s="55" t="s">
        <v>360</v>
      </c>
      <c r="I3425" s="55" t="s">
        <v>360</v>
      </c>
      <c r="J3425" s="55" t="s">
        <v>360</v>
      </c>
      <c r="K3425" s="55" t="s">
        <v>360</v>
      </c>
      <c r="L3425" s="55" t="s">
        <v>360</v>
      </c>
      <c r="M3425" s="55" t="s">
        <v>142</v>
      </c>
      <c r="N3425" s="55" t="s">
        <v>142</v>
      </c>
      <c r="O3425" s="55" t="s">
        <v>252</v>
      </c>
      <c r="P3425" s="55" t="s">
        <v>386</v>
      </c>
      <c r="Q3425" s="55" t="s">
        <v>350</v>
      </c>
      <c r="R3425" s="85">
        <v>3</v>
      </c>
      <c r="S3425" s="55">
        <v>0</v>
      </c>
      <c r="T3425" s="74" t="s">
        <v>385</v>
      </c>
      <c r="U3425" s="74" t="s">
        <v>2053</v>
      </c>
      <c r="V3425" s="74">
        <v>44382</v>
      </c>
      <c r="W3425" s="74">
        <v>44412</v>
      </c>
      <c r="X3425" s="55">
        <v>10199169</v>
      </c>
    </row>
    <row r="3426" spans="1:29" ht="13" x14ac:dyDescent="0.15">
      <c r="A3426" s="55" t="str">
        <f>HYPERLINK("http://reports.ofsted.gov.uk/inspection-reports/find-inspection-report/provider/CARE/SC476252","Ofsted Social Care Provider Webpage")</f>
        <v>Ofsted Social Care Provider Webpage</v>
      </c>
      <c r="B3426" s="55" t="s">
        <v>6312</v>
      </c>
      <c r="D3426" s="55" t="s">
        <v>373</v>
      </c>
      <c r="E3426" s="74">
        <v>41707</v>
      </c>
      <c r="F3426" s="55" t="s">
        <v>344</v>
      </c>
      <c r="G3426" s="55" t="s">
        <v>360</v>
      </c>
      <c r="H3426" s="55" t="s">
        <v>360</v>
      </c>
      <c r="I3426" s="55" t="s">
        <v>360</v>
      </c>
      <c r="J3426" s="55" t="s">
        <v>360</v>
      </c>
      <c r="K3426" s="55" t="s">
        <v>360</v>
      </c>
      <c r="L3426" s="55" t="s">
        <v>360</v>
      </c>
      <c r="M3426" s="55" t="s">
        <v>142</v>
      </c>
      <c r="N3426" s="55" t="s">
        <v>142</v>
      </c>
      <c r="O3426" s="55" t="s">
        <v>252</v>
      </c>
      <c r="P3426" s="55" t="s">
        <v>386</v>
      </c>
      <c r="Q3426" s="55" t="s">
        <v>350</v>
      </c>
      <c r="R3426" s="85">
        <v>3</v>
      </c>
      <c r="S3426" s="55">
        <v>0</v>
      </c>
      <c r="T3426" s="74" t="s">
        <v>385</v>
      </c>
      <c r="U3426" s="74" t="s">
        <v>2053</v>
      </c>
      <c r="V3426" s="74">
        <v>44419</v>
      </c>
      <c r="W3426" s="74">
        <v>44460</v>
      </c>
      <c r="X3426" s="55">
        <v>10201944</v>
      </c>
    </row>
    <row r="3427" spans="1:29" ht="13" x14ac:dyDescent="0.15">
      <c r="A3427" s="55" t="str">
        <f>HYPERLINK("http://reports.ofsted.gov.uk/inspection-reports/find-inspection-report/provider/CARE/SC476252","Ofsted Social Care Provider Webpage")</f>
        <v>Ofsted Social Care Provider Webpage</v>
      </c>
      <c r="B3427" s="55" t="s">
        <v>6312</v>
      </c>
      <c r="D3427" s="55" t="s">
        <v>373</v>
      </c>
      <c r="E3427" s="74">
        <v>41707</v>
      </c>
      <c r="F3427" s="55" t="s">
        <v>344</v>
      </c>
      <c r="G3427" s="55" t="s">
        <v>360</v>
      </c>
      <c r="H3427" s="55" t="s">
        <v>360</v>
      </c>
      <c r="I3427" s="55" t="s">
        <v>360</v>
      </c>
      <c r="J3427" s="55" t="s">
        <v>360</v>
      </c>
      <c r="K3427" s="55" t="s">
        <v>360</v>
      </c>
      <c r="L3427" s="55" t="s">
        <v>360</v>
      </c>
      <c r="M3427" s="55" t="s">
        <v>142</v>
      </c>
      <c r="N3427" s="55" t="s">
        <v>142</v>
      </c>
      <c r="O3427" s="55" t="s">
        <v>252</v>
      </c>
      <c r="P3427" s="55" t="s">
        <v>386</v>
      </c>
      <c r="Q3427" s="55" t="s">
        <v>350</v>
      </c>
      <c r="R3427" s="85">
        <v>3</v>
      </c>
      <c r="S3427" s="55">
        <v>0</v>
      </c>
      <c r="T3427" s="74" t="s">
        <v>385</v>
      </c>
      <c r="U3427" s="74" t="s">
        <v>351</v>
      </c>
      <c r="V3427" s="74">
        <v>44300</v>
      </c>
      <c r="W3427" s="74">
        <v>44334</v>
      </c>
      <c r="X3427" s="55">
        <v>10185880</v>
      </c>
      <c r="Y3427" s="55" t="s">
        <v>130</v>
      </c>
      <c r="AB3427" s="74" t="s">
        <v>130</v>
      </c>
      <c r="AC3427" s="55" t="s">
        <v>130</v>
      </c>
    </row>
    <row r="3428" spans="1:29" ht="13" x14ac:dyDescent="0.15">
      <c r="A3428" s="55" t="str">
        <f>HYPERLINK("http://reports.ofsted.gov.uk/inspection-reports/find-inspection-report/provider/CARE/SC476252","Ofsted Social Care Provider Webpage")</f>
        <v>Ofsted Social Care Provider Webpage</v>
      </c>
      <c r="B3428" s="55" t="s">
        <v>6312</v>
      </c>
      <c r="D3428" s="55" t="s">
        <v>373</v>
      </c>
      <c r="E3428" s="74">
        <v>41707</v>
      </c>
      <c r="F3428" s="55" t="s">
        <v>344</v>
      </c>
      <c r="G3428" s="55" t="s">
        <v>360</v>
      </c>
      <c r="H3428" s="55" t="s">
        <v>360</v>
      </c>
      <c r="I3428" s="55" t="s">
        <v>360</v>
      </c>
      <c r="J3428" s="55" t="s">
        <v>360</v>
      </c>
      <c r="K3428" s="55" t="s">
        <v>360</v>
      </c>
      <c r="L3428" s="55" t="s">
        <v>360</v>
      </c>
      <c r="M3428" s="55" t="s">
        <v>142</v>
      </c>
      <c r="N3428" s="55" t="s">
        <v>142</v>
      </c>
      <c r="O3428" s="55" t="s">
        <v>252</v>
      </c>
      <c r="P3428" s="55" t="s">
        <v>386</v>
      </c>
      <c r="Q3428" s="55" t="s">
        <v>350</v>
      </c>
      <c r="R3428" s="85">
        <v>3</v>
      </c>
      <c r="S3428" s="55">
        <v>0</v>
      </c>
      <c r="T3428" s="74" t="s">
        <v>385</v>
      </c>
      <c r="U3428" s="74" t="s">
        <v>2053</v>
      </c>
      <c r="V3428" s="74">
        <v>44459</v>
      </c>
      <c r="W3428" s="74">
        <v>44494</v>
      </c>
      <c r="X3428" s="55">
        <v>10205011</v>
      </c>
    </row>
    <row r="3429" spans="1:29" ht="13" x14ac:dyDescent="0.15">
      <c r="A3429" s="55" t="str">
        <f>HYPERLINK("http://reports.ofsted.gov.uk/inspection-reports/find-inspection-report/provider/CARE/SC476261","Ofsted Social Care Provider Webpage")</f>
        <v>Ofsted Social Care Provider Webpage</v>
      </c>
      <c r="B3429" s="55" t="s">
        <v>6762</v>
      </c>
      <c r="D3429" s="55" t="s">
        <v>373</v>
      </c>
      <c r="E3429" s="74">
        <v>41852</v>
      </c>
      <c r="F3429" s="55" t="s">
        <v>6707</v>
      </c>
      <c r="G3429" s="55" t="s">
        <v>360</v>
      </c>
      <c r="H3429" s="55" t="s">
        <v>360</v>
      </c>
      <c r="I3429" s="55" t="s">
        <v>360</v>
      </c>
      <c r="J3429" s="55" t="s">
        <v>360</v>
      </c>
      <c r="K3429" s="55" t="s">
        <v>360</v>
      </c>
      <c r="L3429" s="55" t="s">
        <v>360</v>
      </c>
      <c r="M3429" s="55" t="s">
        <v>142</v>
      </c>
      <c r="N3429" s="55" t="s">
        <v>142</v>
      </c>
      <c r="O3429" s="55" t="s">
        <v>252</v>
      </c>
      <c r="P3429" s="55" t="s">
        <v>388</v>
      </c>
      <c r="Q3429" s="55" t="s">
        <v>350</v>
      </c>
      <c r="R3429" s="85">
        <v>2</v>
      </c>
      <c r="S3429" s="55">
        <v>0</v>
      </c>
      <c r="T3429" s="74" t="s">
        <v>385</v>
      </c>
      <c r="U3429" s="74" t="s">
        <v>351</v>
      </c>
      <c r="V3429" s="74">
        <v>44300</v>
      </c>
      <c r="W3429" s="74">
        <v>44350</v>
      </c>
      <c r="X3429" s="55">
        <v>10186984</v>
      </c>
      <c r="Y3429" s="55" t="s">
        <v>146</v>
      </c>
      <c r="AB3429" s="74" t="s">
        <v>146</v>
      </c>
      <c r="AC3429" s="55" t="s">
        <v>146</v>
      </c>
    </row>
    <row r="3430" spans="1:29" ht="13" x14ac:dyDescent="0.15">
      <c r="A3430" s="55" t="str">
        <f>HYPERLINK("http://reports.ofsted.gov.uk/inspection-reports/find-inspection-report/provider/CARE/SC476262","Ofsted Social Care Provider Webpage")</f>
        <v>Ofsted Social Care Provider Webpage</v>
      </c>
      <c r="B3430" s="55" t="s">
        <v>6313</v>
      </c>
      <c r="D3430" s="55" t="s">
        <v>373</v>
      </c>
      <c r="E3430" s="74">
        <v>41707</v>
      </c>
      <c r="F3430" s="55" t="s">
        <v>344</v>
      </c>
      <c r="G3430" s="55" t="s">
        <v>360</v>
      </c>
      <c r="H3430" s="55" t="s">
        <v>360</v>
      </c>
      <c r="I3430" s="55" t="s">
        <v>360</v>
      </c>
      <c r="J3430" s="55" t="s">
        <v>360</v>
      </c>
      <c r="K3430" s="55" t="s">
        <v>360</v>
      </c>
      <c r="L3430" s="55" t="s">
        <v>360</v>
      </c>
      <c r="M3430" s="55" t="s">
        <v>142</v>
      </c>
      <c r="N3430" s="55" t="s">
        <v>142</v>
      </c>
      <c r="O3430" s="55" t="s">
        <v>252</v>
      </c>
      <c r="P3430" s="55" t="s">
        <v>388</v>
      </c>
      <c r="Q3430" s="55" t="s">
        <v>350</v>
      </c>
      <c r="R3430" s="85">
        <v>5</v>
      </c>
      <c r="S3430" s="55">
        <v>0</v>
      </c>
      <c r="T3430" s="74" t="s">
        <v>385</v>
      </c>
      <c r="U3430" s="74" t="s">
        <v>351</v>
      </c>
      <c r="V3430" s="74">
        <v>44550</v>
      </c>
      <c r="W3430" s="74">
        <v>44599</v>
      </c>
      <c r="X3430" s="55">
        <v>10187200</v>
      </c>
      <c r="Y3430" s="55" t="s">
        <v>130</v>
      </c>
      <c r="AB3430" s="74" t="s">
        <v>130</v>
      </c>
      <c r="AC3430" s="55" t="s">
        <v>130</v>
      </c>
    </row>
    <row r="3431" spans="1:29" ht="13" x14ac:dyDescent="0.15">
      <c r="A3431" s="55" t="str">
        <f>HYPERLINK("http://reports.ofsted.gov.uk/inspection-reports/find-inspection-report/provider/CARE/SC476270","Ofsted Social Care Provider Webpage")</f>
        <v>Ofsted Social Care Provider Webpage</v>
      </c>
      <c r="B3431" s="55" t="s">
        <v>6315</v>
      </c>
      <c r="D3431" s="55" t="s">
        <v>373</v>
      </c>
      <c r="E3431" s="74">
        <v>41698</v>
      </c>
      <c r="F3431" s="55" t="s">
        <v>344</v>
      </c>
      <c r="G3431" s="55" t="s">
        <v>360</v>
      </c>
      <c r="H3431" s="55" t="s">
        <v>360</v>
      </c>
      <c r="I3431" s="55" t="s">
        <v>360</v>
      </c>
      <c r="J3431" s="55" t="s">
        <v>360</v>
      </c>
      <c r="K3431" s="55" t="s">
        <v>360</v>
      </c>
      <c r="L3431" s="55" t="s">
        <v>360</v>
      </c>
      <c r="M3431" s="55" t="s">
        <v>142</v>
      </c>
      <c r="N3431" s="55" t="s">
        <v>142</v>
      </c>
      <c r="O3431" s="55" t="s">
        <v>278</v>
      </c>
      <c r="P3431" s="55" t="s">
        <v>611</v>
      </c>
      <c r="Q3431" s="55" t="s">
        <v>350</v>
      </c>
      <c r="R3431" s="85">
        <v>5</v>
      </c>
      <c r="S3431" s="55">
        <v>0</v>
      </c>
      <c r="T3431" s="74" t="s">
        <v>385</v>
      </c>
      <c r="U3431" s="74" t="s">
        <v>2053</v>
      </c>
      <c r="V3431" s="74">
        <v>44453</v>
      </c>
      <c r="W3431" s="74">
        <v>44482</v>
      </c>
      <c r="X3431" s="55">
        <v>10206351</v>
      </c>
    </row>
    <row r="3432" spans="1:29" ht="13" x14ac:dyDescent="0.15">
      <c r="A3432" s="55" t="str">
        <f>HYPERLINK("http://reports.ofsted.gov.uk/inspection-reports/find-inspection-report/provider/CARE/SC476270","Ofsted Social Care Provider Webpage")</f>
        <v>Ofsted Social Care Provider Webpage</v>
      </c>
      <c r="B3432" s="55" t="s">
        <v>6315</v>
      </c>
      <c r="D3432" s="55" t="s">
        <v>373</v>
      </c>
      <c r="E3432" s="74">
        <v>41698</v>
      </c>
      <c r="F3432" s="55" t="s">
        <v>344</v>
      </c>
      <c r="G3432" s="55" t="s">
        <v>360</v>
      </c>
      <c r="H3432" s="55" t="s">
        <v>360</v>
      </c>
      <c r="I3432" s="55" t="s">
        <v>360</v>
      </c>
      <c r="J3432" s="55" t="s">
        <v>360</v>
      </c>
      <c r="K3432" s="55" t="s">
        <v>360</v>
      </c>
      <c r="L3432" s="55" t="s">
        <v>360</v>
      </c>
      <c r="M3432" s="55" t="s">
        <v>142</v>
      </c>
      <c r="N3432" s="55" t="s">
        <v>142</v>
      </c>
      <c r="O3432" s="55" t="s">
        <v>278</v>
      </c>
      <c r="P3432" s="55" t="s">
        <v>611</v>
      </c>
      <c r="Q3432" s="55" t="s">
        <v>350</v>
      </c>
      <c r="R3432" s="85">
        <v>5</v>
      </c>
      <c r="S3432" s="55">
        <v>0</v>
      </c>
      <c r="T3432" s="74" t="s">
        <v>385</v>
      </c>
      <c r="U3432" s="74" t="s">
        <v>351</v>
      </c>
      <c r="V3432" s="74">
        <v>44396</v>
      </c>
      <c r="W3432" s="74">
        <v>44439</v>
      </c>
      <c r="X3432" s="55">
        <v>10186074</v>
      </c>
      <c r="Y3432" s="55" t="s">
        <v>146</v>
      </c>
      <c r="AB3432" s="74" t="s">
        <v>146</v>
      </c>
      <c r="AC3432" s="55" t="s">
        <v>146</v>
      </c>
    </row>
    <row r="3433" spans="1:29" ht="13" x14ac:dyDescent="0.15">
      <c r="A3433" s="55" t="str">
        <f>HYPERLINK("http://reports.ofsted.gov.uk/inspection-reports/find-inspection-report/provider/CARE/SC476270","Ofsted Social Care Provider Webpage")</f>
        <v>Ofsted Social Care Provider Webpage</v>
      </c>
      <c r="B3433" s="55" t="s">
        <v>6315</v>
      </c>
      <c r="D3433" s="55" t="s">
        <v>373</v>
      </c>
      <c r="E3433" s="74">
        <v>41698</v>
      </c>
      <c r="F3433" s="55" t="s">
        <v>344</v>
      </c>
      <c r="G3433" s="55" t="s">
        <v>360</v>
      </c>
      <c r="H3433" s="55" t="s">
        <v>360</v>
      </c>
      <c r="I3433" s="55" t="s">
        <v>360</v>
      </c>
      <c r="J3433" s="55" t="s">
        <v>360</v>
      </c>
      <c r="K3433" s="55" t="s">
        <v>360</v>
      </c>
      <c r="L3433" s="55" t="s">
        <v>360</v>
      </c>
      <c r="M3433" s="55" t="s">
        <v>142</v>
      </c>
      <c r="N3433" s="55" t="s">
        <v>142</v>
      </c>
      <c r="O3433" s="55" t="s">
        <v>278</v>
      </c>
      <c r="P3433" s="55" t="s">
        <v>611</v>
      </c>
      <c r="Q3433" s="55" t="s">
        <v>350</v>
      </c>
      <c r="R3433" s="85">
        <v>5</v>
      </c>
      <c r="S3433" s="55">
        <v>0</v>
      </c>
      <c r="T3433" s="74" t="s">
        <v>385</v>
      </c>
      <c r="U3433" s="74" t="s">
        <v>2053</v>
      </c>
      <c r="V3433" s="74">
        <v>44441</v>
      </c>
      <c r="W3433" s="74">
        <v>44468</v>
      </c>
      <c r="X3433" s="55">
        <v>10205850</v>
      </c>
    </row>
    <row r="3434" spans="1:29" ht="13" x14ac:dyDescent="0.15">
      <c r="A3434" s="55" t="str">
        <f>HYPERLINK("http://reports.ofsted.gov.uk/inspection-reports/find-inspection-report/provider/CARE/SC476270","Ofsted Social Care Provider Webpage")</f>
        <v>Ofsted Social Care Provider Webpage</v>
      </c>
      <c r="B3434" s="55" t="s">
        <v>6315</v>
      </c>
      <c r="D3434" s="55" t="s">
        <v>373</v>
      </c>
      <c r="E3434" s="74">
        <v>41698</v>
      </c>
      <c r="F3434" s="55" t="s">
        <v>344</v>
      </c>
      <c r="G3434" s="55" t="s">
        <v>360</v>
      </c>
      <c r="H3434" s="55" t="s">
        <v>360</v>
      </c>
      <c r="I3434" s="55" t="s">
        <v>360</v>
      </c>
      <c r="J3434" s="55" t="s">
        <v>360</v>
      </c>
      <c r="K3434" s="55" t="s">
        <v>360</v>
      </c>
      <c r="L3434" s="55" t="s">
        <v>360</v>
      </c>
      <c r="M3434" s="55" t="s">
        <v>142</v>
      </c>
      <c r="N3434" s="55" t="s">
        <v>142</v>
      </c>
      <c r="O3434" s="55" t="s">
        <v>278</v>
      </c>
      <c r="P3434" s="55" t="s">
        <v>611</v>
      </c>
      <c r="Q3434" s="55" t="s">
        <v>350</v>
      </c>
      <c r="R3434" s="85">
        <v>5</v>
      </c>
      <c r="S3434" s="55">
        <v>0</v>
      </c>
      <c r="T3434" s="74" t="s">
        <v>385</v>
      </c>
      <c r="U3434" s="74" t="s">
        <v>351</v>
      </c>
      <c r="V3434" s="74">
        <v>44474</v>
      </c>
      <c r="W3434" s="74">
        <v>44519</v>
      </c>
      <c r="X3434" s="55">
        <v>10205851</v>
      </c>
      <c r="Y3434" s="55" t="s">
        <v>130</v>
      </c>
      <c r="AB3434" s="74" t="s">
        <v>130</v>
      </c>
      <c r="AC3434" s="55" t="s">
        <v>130</v>
      </c>
    </row>
    <row r="3435" spans="1:29" ht="13" x14ac:dyDescent="0.15">
      <c r="A3435" s="55" t="str">
        <f>HYPERLINK("http://reports.ofsted.gov.uk/inspection-reports/find-inspection-report/provider/CARE/SC476271","Ofsted Social Care Provider Webpage")</f>
        <v>Ofsted Social Care Provider Webpage</v>
      </c>
      <c r="B3435" s="55" t="s">
        <v>6316</v>
      </c>
      <c r="D3435" s="55" t="s">
        <v>373</v>
      </c>
      <c r="E3435" s="74">
        <v>41707</v>
      </c>
      <c r="F3435" s="55" t="s">
        <v>344</v>
      </c>
      <c r="G3435" s="55" t="s">
        <v>360</v>
      </c>
      <c r="H3435" s="55" t="s">
        <v>360</v>
      </c>
      <c r="I3435" s="55" t="s">
        <v>360</v>
      </c>
      <c r="J3435" s="55" t="s">
        <v>360</v>
      </c>
      <c r="K3435" s="55" t="s">
        <v>360</v>
      </c>
      <c r="L3435" s="55" t="s">
        <v>360</v>
      </c>
      <c r="M3435" s="55" t="s">
        <v>142</v>
      </c>
      <c r="N3435" s="55" t="s">
        <v>142</v>
      </c>
      <c r="O3435" s="55" t="s">
        <v>252</v>
      </c>
      <c r="P3435" s="55" t="s">
        <v>386</v>
      </c>
      <c r="Q3435" s="55" t="s">
        <v>350</v>
      </c>
      <c r="R3435" s="85">
        <v>5</v>
      </c>
      <c r="S3435" s="55">
        <v>0</v>
      </c>
      <c r="T3435" s="74" t="s">
        <v>385</v>
      </c>
      <c r="U3435" s="74" t="s">
        <v>351</v>
      </c>
      <c r="V3435" s="74">
        <v>44427</v>
      </c>
      <c r="W3435" s="74">
        <v>44466</v>
      </c>
      <c r="X3435" s="55">
        <v>10186062</v>
      </c>
      <c r="Y3435" s="55" t="s">
        <v>132</v>
      </c>
      <c r="AB3435" s="74" t="s">
        <v>132</v>
      </c>
      <c r="AC3435" s="55" t="s">
        <v>130</v>
      </c>
    </row>
    <row r="3436" spans="1:29" ht="13" x14ac:dyDescent="0.15">
      <c r="A3436" s="55" t="str">
        <f>HYPERLINK("http://reports.ofsted.gov.uk/inspection-reports/find-inspection-report/provider/CARE/SC476286","Ofsted Social Care Provider Webpage")</f>
        <v>Ofsted Social Care Provider Webpage</v>
      </c>
      <c r="B3436" s="55" t="s">
        <v>6317</v>
      </c>
      <c r="D3436" s="55" t="s">
        <v>373</v>
      </c>
      <c r="E3436" s="74">
        <v>41768</v>
      </c>
      <c r="F3436" s="55" t="s">
        <v>344</v>
      </c>
      <c r="G3436" s="55" t="s">
        <v>360</v>
      </c>
      <c r="H3436" s="55" t="s">
        <v>360</v>
      </c>
      <c r="I3436" s="55" t="s">
        <v>360</v>
      </c>
      <c r="J3436" s="55" t="s">
        <v>360</v>
      </c>
      <c r="K3436" s="55" t="s">
        <v>360</v>
      </c>
      <c r="L3436" s="55" t="s">
        <v>360</v>
      </c>
      <c r="M3436" s="55" t="s">
        <v>172</v>
      </c>
      <c r="N3436" s="55" t="s">
        <v>172</v>
      </c>
      <c r="O3436" s="55" t="s">
        <v>212</v>
      </c>
      <c r="P3436" s="55" t="s">
        <v>842</v>
      </c>
      <c r="Q3436" s="55" t="s">
        <v>350</v>
      </c>
      <c r="R3436" s="85">
        <v>5</v>
      </c>
      <c r="S3436" s="55">
        <v>0</v>
      </c>
      <c r="T3436" s="74" t="s">
        <v>385</v>
      </c>
      <c r="U3436" s="74" t="s">
        <v>351</v>
      </c>
      <c r="V3436" s="74">
        <v>44362</v>
      </c>
      <c r="W3436" s="74">
        <v>44403</v>
      </c>
      <c r="X3436" s="55">
        <v>10187054</v>
      </c>
      <c r="Y3436" s="55" t="s">
        <v>132</v>
      </c>
      <c r="AB3436" s="74" t="s">
        <v>132</v>
      </c>
      <c r="AC3436" s="55" t="s">
        <v>132</v>
      </c>
    </row>
    <row r="3437" spans="1:29" ht="13" x14ac:dyDescent="0.15">
      <c r="A3437" s="55" t="str">
        <f>HYPERLINK("http://reports.ofsted.gov.uk/inspection-reports/find-inspection-report/provider/CARE/SC476289","Ofsted Social Care Provider Webpage")</f>
        <v>Ofsted Social Care Provider Webpage</v>
      </c>
      <c r="B3437" s="55" t="s">
        <v>6318</v>
      </c>
      <c r="D3437" s="55" t="s">
        <v>373</v>
      </c>
      <c r="E3437" s="74">
        <v>42019</v>
      </c>
      <c r="F3437" s="55" t="s">
        <v>344</v>
      </c>
      <c r="G3437" s="55" t="s">
        <v>360</v>
      </c>
      <c r="H3437" s="55" t="s">
        <v>360</v>
      </c>
      <c r="I3437" s="55" t="s">
        <v>360</v>
      </c>
      <c r="J3437" s="55" t="s">
        <v>360</v>
      </c>
      <c r="K3437" s="55" t="s">
        <v>360</v>
      </c>
      <c r="L3437" s="55" t="s">
        <v>360</v>
      </c>
      <c r="M3437" s="55" t="s">
        <v>172</v>
      </c>
      <c r="N3437" s="55" t="s">
        <v>172</v>
      </c>
      <c r="O3437" s="55" t="s">
        <v>173</v>
      </c>
      <c r="P3437" s="55" t="s">
        <v>1069</v>
      </c>
      <c r="Q3437" s="55" t="s">
        <v>350</v>
      </c>
      <c r="R3437" s="85">
        <v>5</v>
      </c>
      <c r="S3437" s="55">
        <v>0</v>
      </c>
      <c r="T3437" s="74" t="s">
        <v>385</v>
      </c>
      <c r="U3437" s="74" t="s">
        <v>351</v>
      </c>
      <c r="V3437" s="74">
        <v>44516</v>
      </c>
      <c r="W3437" s="74">
        <v>44551</v>
      </c>
      <c r="X3437" s="55">
        <v>10185715</v>
      </c>
      <c r="Y3437" s="55" t="s">
        <v>132</v>
      </c>
      <c r="AB3437" s="74" t="s">
        <v>132</v>
      </c>
      <c r="AC3437" s="55" t="s">
        <v>132</v>
      </c>
    </row>
    <row r="3438" spans="1:29" ht="13" x14ac:dyDescent="0.15">
      <c r="A3438" s="55" t="str">
        <f>HYPERLINK("http://reports.ofsted.gov.uk/inspection-reports/find-inspection-report/provider/CARE/SC476292","Ofsted Social Care Provider Webpage")</f>
        <v>Ofsted Social Care Provider Webpage</v>
      </c>
      <c r="B3438" s="55" t="s">
        <v>6319</v>
      </c>
      <c r="D3438" s="55" t="s">
        <v>373</v>
      </c>
      <c r="E3438" s="74">
        <v>41698</v>
      </c>
      <c r="F3438" s="55" t="s">
        <v>344</v>
      </c>
      <c r="G3438" s="55" t="s">
        <v>360</v>
      </c>
      <c r="H3438" s="55" t="s">
        <v>360</v>
      </c>
      <c r="I3438" s="55" t="s">
        <v>360</v>
      </c>
      <c r="J3438" s="55" t="s">
        <v>360</v>
      </c>
      <c r="K3438" s="55" t="s">
        <v>360</v>
      </c>
      <c r="L3438" s="55" t="s">
        <v>360</v>
      </c>
      <c r="M3438" s="55" t="s">
        <v>142</v>
      </c>
      <c r="N3438" s="55" t="s">
        <v>142</v>
      </c>
      <c r="O3438" s="55" t="s">
        <v>252</v>
      </c>
      <c r="P3438" s="55" t="s">
        <v>388</v>
      </c>
      <c r="Q3438" s="55" t="s">
        <v>350</v>
      </c>
      <c r="R3438" s="85">
        <v>5</v>
      </c>
      <c r="S3438" s="55">
        <v>0</v>
      </c>
      <c r="T3438" s="74" t="s">
        <v>385</v>
      </c>
      <c r="U3438" s="74" t="s">
        <v>351</v>
      </c>
      <c r="V3438" s="74">
        <v>44307</v>
      </c>
      <c r="W3438" s="74">
        <v>44335</v>
      </c>
      <c r="X3438" s="55">
        <v>10185900</v>
      </c>
      <c r="Y3438" s="55" t="s">
        <v>132</v>
      </c>
      <c r="AB3438" s="74" t="s">
        <v>132</v>
      </c>
      <c r="AC3438" s="55" t="s">
        <v>132</v>
      </c>
    </row>
    <row r="3439" spans="1:29" ht="13" x14ac:dyDescent="0.15">
      <c r="A3439" s="55" t="str">
        <f>HYPERLINK("http://reports.ofsted.gov.uk/inspection-reports/find-inspection-report/provider/CARE/SC476303","Ofsted Social Care Provider Webpage")</f>
        <v>Ofsted Social Care Provider Webpage</v>
      </c>
      <c r="B3439" s="55" t="s">
        <v>6320</v>
      </c>
      <c r="D3439" s="55" t="s">
        <v>373</v>
      </c>
      <c r="E3439" s="74">
        <v>41767</v>
      </c>
      <c r="F3439" s="55" t="s">
        <v>344</v>
      </c>
      <c r="G3439" s="55" t="s">
        <v>360</v>
      </c>
      <c r="H3439" s="55" t="s">
        <v>360</v>
      </c>
      <c r="I3439" s="55" t="s">
        <v>360</v>
      </c>
      <c r="J3439" s="55" t="s">
        <v>360</v>
      </c>
      <c r="K3439" s="55" t="s">
        <v>360</v>
      </c>
      <c r="L3439" s="55" t="s">
        <v>360</v>
      </c>
      <c r="M3439" s="55" t="s">
        <v>378</v>
      </c>
      <c r="N3439" s="55" t="s">
        <v>170</v>
      </c>
      <c r="O3439" s="55" t="s">
        <v>184</v>
      </c>
      <c r="P3439" s="55" t="s">
        <v>184</v>
      </c>
      <c r="Q3439" s="55" t="s">
        <v>350</v>
      </c>
      <c r="R3439" s="85">
        <v>3</v>
      </c>
      <c r="S3439" s="55">
        <v>0</v>
      </c>
      <c r="T3439" s="74" t="s">
        <v>385</v>
      </c>
      <c r="U3439" s="74" t="s">
        <v>351</v>
      </c>
      <c r="V3439" s="74">
        <v>44607</v>
      </c>
      <c r="W3439" s="74">
        <v>44651</v>
      </c>
      <c r="X3439" s="55">
        <v>10185422</v>
      </c>
      <c r="Y3439" s="55" t="s">
        <v>132</v>
      </c>
      <c r="AB3439" s="74" t="s">
        <v>132</v>
      </c>
      <c r="AC3439" s="55" t="s">
        <v>132</v>
      </c>
    </row>
    <row r="3440" spans="1:29" ht="13" x14ac:dyDescent="0.15">
      <c r="A3440" s="55" t="str">
        <f>HYPERLINK("http://reports.ofsted.gov.uk/inspection-reports/find-inspection-report/provider/CARE/SC476326","Ofsted Social Care Provider Webpage")</f>
        <v>Ofsted Social Care Provider Webpage</v>
      </c>
      <c r="B3440" s="55" t="s">
        <v>6321</v>
      </c>
      <c r="D3440" s="55" t="s">
        <v>373</v>
      </c>
      <c r="E3440" s="74">
        <v>41701</v>
      </c>
      <c r="F3440" s="55" t="s">
        <v>344</v>
      </c>
      <c r="G3440" s="55" t="s">
        <v>360</v>
      </c>
      <c r="H3440" s="55" t="s">
        <v>360</v>
      </c>
      <c r="I3440" s="55" t="s">
        <v>360</v>
      </c>
      <c r="J3440" s="55" t="s">
        <v>360</v>
      </c>
      <c r="K3440" s="55" t="s">
        <v>360</v>
      </c>
      <c r="L3440" s="55" t="s">
        <v>360</v>
      </c>
      <c r="M3440" s="55" t="s">
        <v>142</v>
      </c>
      <c r="N3440" s="55" t="s">
        <v>142</v>
      </c>
      <c r="O3440" s="55" t="s">
        <v>252</v>
      </c>
      <c r="P3440" s="55" t="s">
        <v>386</v>
      </c>
      <c r="Q3440" s="55" t="s">
        <v>350</v>
      </c>
      <c r="R3440" s="85">
        <v>5</v>
      </c>
      <c r="S3440" s="55">
        <v>0</v>
      </c>
      <c r="T3440" s="74" t="s">
        <v>385</v>
      </c>
      <c r="U3440" s="74" t="s">
        <v>351</v>
      </c>
      <c r="V3440" s="74">
        <v>44370</v>
      </c>
      <c r="W3440" s="74">
        <v>44400</v>
      </c>
      <c r="X3440" s="55">
        <v>10187282</v>
      </c>
      <c r="Y3440" s="55" t="s">
        <v>130</v>
      </c>
      <c r="AB3440" s="74" t="s">
        <v>130</v>
      </c>
      <c r="AC3440" s="55" t="s">
        <v>130</v>
      </c>
    </row>
    <row r="3441" spans="1:29" ht="13" x14ac:dyDescent="0.15">
      <c r="A3441" s="55" t="str">
        <f>HYPERLINK("http://reports.ofsted.gov.uk/inspection-reports/find-inspection-report/provider/CARE/SC476482","Ofsted Social Care Provider Webpage")</f>
        <v>Ofsted Social Care Provider Webpage</v>
      </c>
      <c r="B3441" s="55" t="s">
        <v>6322</v>
      </c>
      <c r="D3441" s="55" t="s">
        <v>468</v>
      </c>
      <c r="E3441" s="74">
        <v>41718</v>
      </c>
      <c r="F3441" s="55" t="s">
        <v>344</v>
      </c>
      <c r="G3441" s="55" t="s">
        <v>6323</v>
      </c>
      <c r="H3441" s="55" t="s">
        <v>5502</v>
      </c>
      <c r="I3441" s="55" t="s">
        <v>5503</v>
      </c>
      <c r="J3441" s="55" t="s">
        <v>4030</v>
      </c>
      <c r="K3441" s="55" t="s">
        <v>293</v>
      </c>
      <c r="L3441" s="55" t="s">
        <v>4031</v>
      </c>
      <c r="M3441" s="55" t="s">
        <v>142</v>
      </c>
      <c r="N3441" s="55" t="s">
        <v>142</v>
      </c>
      <c r="O3441" s="55" t="s">
        <v>293</v>
      </c>
      <c r="P3441" s="55" t="s">
        <v>1641</v>
      </c>
      <c r="Q3441" s="55" t="s">
        <v>362</v>
      </c>
      <c r="S3441" s="55">
        <v>0</v>
      </c>
      <c r="T3441" s="74" t="s">
        <v>6324</v>
      </c>
      <c r="U3441" s="74" t="s">
        <v>351</v>
      </c>
      <c r="V3441" s="74">
        <v>44536</v>
      </c>
      <c r="W3441" s="74">
        <v>44586</v>
      </c>
      <c r="X3441" s="55">
        <v>10183461</v>
      </c>
      <c r="Y3441" s="55" t="s">
        <v>132</v>
      </c>
      <c r="AB3441" s="74" t="s">
        <v>132</v>
      </c>
      <c r="AC3441" s="55" t="s">
        <v>132</v>
      </c>
    </row>
    <row r="3442" spans="1:29" ht="13" x14ac:dyDescent="0.15">
      <c r="A3442" s="55" t="str">
        <f>HYPERLINK("http://reports.ofsted.gov.uk/inspection-reports/find-inspection-report/provider/CARE/SC476486","Ofsted Social Care Provider Webpage")</f>
        <v>Ofsted Social Care Provider Webpage</v>
      </c>
      <c r="B3442" s="55" t="s">
        <v>6325</v>
      </c>
      <c r="D3442" s="55" t="s">
        <v>373</v>
      </c>
      <c r="E3442" s="74">
        <v>41771</v>
      </c>
      <c r="F3442" s="55" t="s">
        <v>344</v>
      </c>
      <c r="G3442" s="55" t="s">
        <v>360</v>
      </c>
      <c r="H3442" s="55" t="s">
        <v>360</v>
      </c>
      <c r="I3442" s="55" t="s">
        <v>360</v>
      </c>
      <c r="J3442" s="55" t="s">
        <v>360</v>
      </c>
      <c r="K3442" s="55" t="s">
        <v>360</v>
      </c>
      <c r="L3442" s="55" t="s">
        <v>360</v>
      </c>
      <c r="M3442" s="55" t="s">
        <v>142</v>
      </c>
      <c r="N3442" s="55" t="s">
        <v>142</v>
      </c>
      <c r="O3442" s="55" t="s">
        <v>195</v>
      </c>
      <c r="P3442" s="55" t="s">
        <v>518</v>
      </c>
      <c r="Q3442" s="55" t="s">
        <v>350</v>
      </c>
      <c r="R3442" s="85">
        <v>7</v>
      </c>
      <c r="S3442" s="55">
        <v>0</v>
      </c>
      <c r="T3442" s="74" t="s">
        <v>450</v>
      </c>
      <c r="U3442" s="74" t="s">
        <v>2053</v>
      </c>
      <c r="V3442" s="74">
        <v>44368</v>
      </c>
      <c r="W3442" s="74">
        <v>44397</v>
      </c>
      <c r="X3442" s="55">
        <v>10198573</v>
      </c>
    </row>
    <row r="3443" spans="1:29" ht="13" x14ac:dyDescent="0.15">
      <c r="A3443" s="55" t="str">
        <f>HYPERLINK("http://reports.ofsted.gov.uk/inspection-reports/find-inspection-report/provider/CARE/SC476486","Ofsted Social Care Provider Webpage")</f>
        <v>Ofsted Social Care Provider Webpage</v>
      </c>
      <c r="B3443" s="55" t="s">
        <v>6325</v>
      </c>
      <c r="D3443" s="55" t="s">
        <v>373</v>
      </c>
      <c r="E3443" s="74">
        <v>41771</v>
      </c>
      <c r="F3443" s="55" t="s">
        <v>344</v>
      </c>
      <c r="G3443" s="55" t="s">
        <v>360</v>
      </c>
      <c r="H3443" s="55" t="s">
        <v>360</v>
      </c>
      <c r="I3443" s="55" t="s">
        <v>360</v>
      </c>
      <c r="J3443" s="55" t="s">
        <v>360</v>
      </c>
      <c r="K3443" s="55" t="s">
        <v>360</v>
      </c>
      <c r="L3443" s="55" t="s">
        <v>360</v>
      </c>
      <c r="M3443" s="55" t="s">
        <v>142</v>
      </c>
      <c r="N3443" s="55" t="s">
        <v>142</v>
      </c>
      <c r="O3443" s="55" t="s">
        <v>195</v>
      </c>
      <c r="P3443" s="55" t="s">
        <v>518</v>
      </c>
      <c r="Q3443" s="55" t="s">
        <v>350</v>
      </c>
      <c r="R3443" s="85">
        <v>7</v>
      </c>
      <c r="S3443" s="55">
        <v>0</v>
      </c>
      <c r="T3443" s="74" t="s">
        <v>450</v>
      </c>
      <c r="U3443" s="74" t="s">
        <v>351</v>
      </c>
      <c r="V3443" s="74">
        <v>44607</v>
      </c>
      <c r="W3443" s="74">
        <v>44673</v>
      </c>
      <c r="X3443" s="55">
        <v>10187591</v>
      </c>
      <c r="Y3443" s="55" t="s">
        <v>146</v>
      </c>
      <c r="AB3443" s="74" t="s">
        <v>146</v>
      </c>
      <c r="AC3443" s="55" t="s">
        <v>146</v>
      </c>
    </row>
    <row r="3444" spans="1:29" ht="13" x14ac:dyDescent="0.15">
      <c r="A3444" s="55" t="str">
        <f>HYPERLINK("http://reports.ofsted.gov.uk/inspection-reports/find-inspection-report/provider/CARE/SC476512","Ofsted Social Care Provider Webpage")</f>
        <v>Ofsted Social Care Provider Webpage</v>
      </c>
      <c r="B3444" s="55" t="s">
        <v>6326</v>
      </c>
      <c r="D3444" s="55" t="s">
        <v>373</v>
      </c>
      <c r="E3444" s="74">
        <v>41793</v>
      </c>
      <c r="F3444" s="55" t="s">
        <v>344</v>
      </c>
      <c r="G3444" s="55" t="s">
        <v>360</v>
      </c>
      <c r="H3444" s="55" t="s">
        <v>360</v>
      </c>
      <c r="I3444" s="55" t="s">
        <v>360</v>
      </c>
      <c r="J3444" s="55" t="s">
        <v>360</v>
      </c>
      <c r="K3444" s="55" t="s">
        <v>360</v>
      </c>
      <c r="L3444" s="55" t="s">
        <v>360</v>
      </c>
      <c r="M3444" s="55" t="s">
        <v>378</v>
      </c>
      <c r="N3444" s="55" t="s">
        <v>170</v>
      </c>
      <c r="O3444" s="55" t="s">
        <v>243</v>
      </c>
      <c r="P3444" s="55" t="s">
        <v>1222</v>
      </c>
      <c r="Q3444" s="55" t="s">
        <v>350</v>
      </c>
      <c r="R3444" s="85">
        <v>5</v>
      </c>
      <c r="S3444" s="55">
        <v>0</v>
      </c>
      <c r="T3444" s="74" t="s">
        <v>5426</v>
      </c>
      <c r="U3444" s="74" t="s">
        <v>351</v>
      </c>
      <c r="V3444" s="74">
        <v>44462</v>
      </c>
      <c r="W3444" s="74">
        <v>44498</v>
      </c>
      <c r="X3444" s="55">
        <v>10186817</v>
      </c>
      <c r="Y3444" s="55" t="s">
        <v>130</v>
      </c>
      <c r="AB3444" s="74" t="s">
        <v>130</v>
      </c>
      <c r="AC3444" s="55" t="s">
        <v>130</v>
      </c>
    </row>
    <row r="3445" spans="1:29" ht="13" x14ac:dyDescent="0.15">
      <c r="A3445" s="55" t="str">
        <f>HYPERLINK("http://reports.ofsted.gov.uk/inspection-reports/find-inspection-report/provider/CARE/SC476570","Ofsted Social Care Provider Webpage")</f>
        <v>Ofsted Social Care Provider Webpage</v>
      </c>
      <c r="B3445" s="55" t="s">
        <v>6327</v>
      </c>
      <c r="D3445" s="55" t="s">
        <v>373</v>
      </c>
      <c r="E3445" s="74">
        <v>41765</v>
      </c>
      <c r="F3445" s="55" t="s">
        <v>344</v>
      </c>
      <c r="G3445" s="55" t="s">
        <v>360</v>
      </c>
      <c r="H3445" s="55" t="s">
        <v>360</v>
      </c>
      <c r="I3445" s="55" t="s">
        <v>360</v>
      </c>
      <c r="J3445" s="55" t="s">
        <v>360</v>
      </c>
      <c r="K3445" s="55" t="s">
        <v>360</v>
      </c>
      <c r="L3445" s="55" t="s">
        <v>360</v>
      </c>
      <c r="M3445" s="55" t="s">
        <v>138</v>
      </c>
      <c r="N3445" s="55" t="s">
        <v>138</v>
      </c>
      <c r="O3445" s="55" t="s">
        <v>159</v>
      </c>
      <c r="P3445" s="55" t="s">
        <v>1025</v>
      </c>
      <c r="Q3445" s="55" t="s">
        <v>350</v>
      </c>
      <c r="R3445" s="85">
        <v>5</v>
      </c>
      <c r="S3445" s="55">
        <v>0</v>
      </c>
      <c r="T3445" s="74" t="s">
        <v>2811</v>
      </c>
      <c r="U3445" s="74" t="s">
        <v>351</v>
      </c>
      <c r="V3445" s="74">
        <v>44363</v>
      </c>
      <c r="W3445" s="74">
        <v>44397</v>
      </c>
      <c r="X3445" s="55">
        <v>10187352</v>
      </c>
      <c r="Y3445" s="55" t="s">
        <v>132</v>
      </c>
      <c r="AB3445" s="74" t="s">
        <v>132</v>
      </c>
      <c r="AC3445" s="55" t="s">
        <v>132</v>
      </c>
    </row>
    <row r="3446" spans="1:29" ht="13" x14ac:dyDescent="0.15">
      <c r="A3446" s="55" t="str">
        <f>HYPERLINK("http://reports.ofsted.gov.uk/inspection-reports/find-inspection-report/provider/CARE/SC476602","Ofsted Social Care Provider Webpage")</f>
        <v>Ofsted Social Care Provider Webpage</v>
      </c>
      <c r="B3446" s="55" t="s">
        <v>6328</v>
      </c>
      <c r="D3446" s="55" t="s">
        <v>373</v>
      </c>
      <c r="E3446" s="74">
        <v>42068</v>
      </c>
      <c r="F3446" s="55" t="s">
        <v>344</v>
      </c>
      <c r="G3446" s="55" t="s">
        <v>360</v>
      </c>
      <c r="H3446" s="55" t="s">
        <v>360</v>
      </c>
      <c r="I3446" s="55" t="s">
        <v>360</v>
      </c>
      <c r="J3446" s="55" t="s">
        <v>360</v>
      </c>
      <c r="K3446" s="55" t="s">
        <v>360</v>
      </c>
      <c r="L3446" s="55" t="s">
        <v>360</v>
      </c>
      <c r="M3446" s="55" t="s">
        <v>378</v>
      </c>
      <c r="N3446" s="55" t="s">
        <v>170</v>
      </c>
      <c r="O3446" s="55" t="s">
        <v>178</v>
      </c>
      <c r="P3446" s="55" t="s">
        <v>1450</v>
      </c>
      <c r="Q3446" s="55" t="s">
        <v>350</v>
      </c>
      <c r="R3446" s="85">
        <v>3</v>
      </c>
      <c r="S3446" s="55">
        <v>0</v>
      </c>
      <c r="T3446" s="74" t="s">
        <v>5244</v>
      </c>
      <c r="U3446" s="74" t="s">
        <v>351</v>
      </c>
      <c r="V3446" s="74">
        <v>44424</v>
      </c>
      <c r="W3446" s="74">
        <v>44455</v>
      </c>
      <c r="X3446" s="55">
        <v>10186840</v>
      </c>
      <c r="Y3446" s="55" t="s">
        <v>130</v>
      </c>
      <c r="AB3446" s="74" t="s">
        <v>130</v>
      </c>
      <c r="AC3446" s="55" t="s">
        <v>130</v>
      </c>
    </row>
    <row r="3447" spans="1:29" ht="13" x14ac:dyDescent="0.15">
      <c r="A3447" s="55" t="str">
        <f>HYPERLINK("http://reports.ofsted.gov.uk/inspection-reports/find-inspection-report/provider/CARE/SC476602","Ofsted Social Care Provider Webpage")</f>
        <v>Ofsted Social Care Provider Webpage</v>
      </c>
      <c r="B3447" s="55" t="s">
        <v>6328</v>
      </c>
      <c r="D3447" s="55" t="s">
        <v>373</v>
      </c>
      <c r="E3447" s="74">
        <v>42068</v>
      </c>
      <c r="F3447" s="55" t="s">
        <v>344</v>
      </c>
      <c r="G3447" s="55" t="s">
        <v>360</v>
      </c>
      <c r="H3447" s="55" t="s">
        <v>360</v>
      </c>
      <c r="I3447" s="55" t="s">
        <v>360</v>
      </c>
      <c r="J3447" s="55" t="s">
        <v>360</v>
      </c>
      <c r="K3447" s="55" t="s">
        <v>360</v>
      </c>
      <c r="L3447" s="55" t="s">
        <v>360</v>
      </c>
      <c r="M3447" s="55" t="s">
        <v>378</v>
      </c>
      <c r="N3447" s="55" t="s">
        <v>170</v>
      </c>
      <c r="O3447" s="55" t="s">
        <v>178</v>
      </c>
      <c r="P3447" s="55" t="s">
        <v>1450</v>
      </c>
      <c r="Q3447" s="55" t="s">
        <v>350</v>
      </c>
      <c r="R3447" s="85">
        <v>3</v>
      </c>
      <c r="S3447" s="55">
        <v>0</v>
      </c>
      <c r="T3447" s="74" t="s">
        <v>5244</v>
      </c>
      <c r="U3447" s="74" t="s">
        <v>6703</v>
      </c>
      <c r="V3447" s="74">
        <v>44551</v>
      </c>
      <c r="W3447" s="74">
        <v>44601</v>
      </c>
      <c r="X3447" s="55">
        <v>10209367</v>
      </c>
      <c r="Y3447" s="55" t="s">
        <v>6706</v>
      </c>
    </row>
    <row r="3448" spans="1:29" ht="13" x14ac:dyDescent="0.15">
      <c r="A3448" s="55" t="str">
        <f>HYPERLINK("http://reports.ofsted.gov.uk/inspection-reports/find-inspection-report/provider/CARE/SC476868","Ofsted Social Care Provider Webpage")</f>
        <v>Ofsted Social Care Provider Webpage</v>
      </c>
      <c r="B3448" s="55" t="s">
        <v>6329</v>
      </c>
      <c r="D3448" s="55" t="s">
        <v>373</v>
      </c>
      <c r="E3448" s="74">
        <v>41787</v>
      </c>
      <c r="F3448" s="55" t="s">
        <v>344</v>
      </c>
      <c r="G3448" s="55" t="s">
        <v>360</v>
      </c>
      <c r="H3448" s="55" t="s">
        <v>360</v>
      </c>
      <c r="I3448" s="55" t="s">
        <v>360</v>
      </c>
      <c r="J3448" s="55" t="s">
        <v>360</v>
      </c>
      <c r="K3448" s="55" t="s">
        <v>360</v>
      </c>
      <c r="L3448" s="55" t="s">
        <v>360</v>
      </c>
      <c r="M3448" s="55" t="s">
        <v>144</v>
      </c>
      <c r="N3448" s="55" t="s">
        <v>144</v>
      </c>
      <c r="O3448" s="55" t="s">
        <v>209</v>
      </c>
      <c r="P3448" s="55" t="s">
        <v>650</v>
      </c>
      <c r="Q3448" s="55" t="s">
        <v>350</v>
      </c>
      <c r="R3448" s="85">
        <v>4</v>
      </c>
      <c r="S3448" s="55">
        <v>0</v>
      </c>
      <c r="T3448" s="74" t="s">
        <v>1599</v>
      </c>
      <c r="U3448" s="74" t="s">
        <v>351</v>
      </c>
      <c r="V3448" s="74">
        <v>44460</v>
      </c>
      <c r="W3448" s="74">
        <v>44498</v>
      </c>
      <c r="X3448" s="55">
        <v>10197684</v>
      </c>
      <c r="Y3448" s="55" t="s">
        <v>130</v>
      </c>
      <c r="AB3448" s="74" t="s">
        <v>130</v>
      </c>
      <c r="AC3448" s="55" t="s">
        <v>130</v>
      </c>
    </row>
    <row r="3449" spans="1:29" ht="13" x14ac:dyDescent="0.15">
      <c r="A3449" s="55" t="str">
        <f>HYPERLINK("http://reports.ofsted.gov.uk/inspection-reports/find-inspection-report/provider/CARE/SC476868","Ofsted Social Care Provider Webpage")</f>
        <v>Ofsted Social Care Provider Webpage</v>
      </c>
      <c r="B3449" s="55" t="s">
        <v>6329</v>
      </c>
      <c r="D3449" s="55" t="s">
        <v>373</v>
      </c>
      <c r="E3449" s="74">
        <v>41787</v>
      </c>
      <c r="F3449" s="55" t="s">
        <v>344</v>
      </c>
      <c r="G3449" s="55" t="s">
        <v>360</v>
      </c>
      <c r="H3449" s="55" t="s">
        <v>360</v>
      </c>
      <c r="I3449" s="55" t="s">
        <v>360</v>
      </c>
      <c r="J3449" s="55" t="s">
        <v>360</v>
      </c>
      <c r="K3449" s="55" t="s">
        <v>360</v>
      </c>
      <c r="L3449" s="55" t="s">
        <v>360</v>
      </c>
      <c r="M3449" s="55" t="s">
        <v>144</v>
      </c>
      <c r="N3449" s="55" t="s">
        <v>144</v>
      </c>
      <c r="O3449" s="55" t="s">
        <v>209</v>
      </c>
      <c r="P3449" s="55" t="s">
        <v>650</v>
      </c>
      <c r="Q3449" s="55" t="s">
        <v>350</v>
      </c>
      <c r="R3449" s="85">
        <v>4</v>
      </c>
      <c r="S3449" s="55">
        <v>0</v>
      </c>
      <c r="T3449" s="74" t="s">
        <v>1599</v>
      </c>
      <c r="U3449" s="74" t="s">
        <v>351</v>
      </c>
      <c r="V3449" s="74">
        <v>44335</v>
      </c>
      <c r="W3449" s="74">
        <v>44375</v>
      </c>
      <c r="X3449" s="55">
        <v>10186894</v>
      </c>
      <c r="Y3449" s="55" t="s">
        <v>146</v>
      </c>
      <c r="AB3449" s="74" t="s">
        <v>146</v>
      </c>
      <c r="AC3449" s="55" t="s">
        <v>146</v>
      </c>
    </row>
    <row r="3450" spans="1:29" ht="13" x14ac:dyDescent="0.15">
      <c r="A3450" s="55" t="str">
        <f>HYPERLINK("http://reports.ofsted.gov.uk/inspection-reports/find-inspection-report/provider/CARE/SC476990","Ofsted Social Care Provider Webpage")</f>
        <v>Ofsted Social Care Provider Webpage</v>
      </c>
      <c r="B3450" s="55" t="s">
        <v>6342</v>
      </c>
      <c r="D3450" s="55" t="s">
        <v>373</v>
      </c>
      <c r="E3450" s="74">
        <v>41810</v>
      </c>
      <c r="F3450" s="55" t="s">
        <v>344</v>
      </c>
      <c r="G3450" s="55" t="s">
        <v>360</v>
      </c>
      <c r="H3450" s="55" t="s">
        <v>360</v>
      </c>
      <c r="I3450" s="55" t="s">
        <v>360</v>
      </c>
      <c r="J3450" s="55" t="s">
        <v>360</v>
      </c>
      <c r="K3450" s="55" t="s">
        <v>360</v>
      </c>
      <c r="L3450" s="55" t="s">
        <v>360</v>
      </c>
      <c r="M3450" s="55" t="s">
        <v>172</v>
      </c>
      <c r="N3450" s="55" t="s">
        <v>172</v>
      </c>
      <c r="O3450" s="55" t="s">
        <v>173</v>
      </c>
      <c r="P3450" s="55" t="s">
        <v>2307</v>
      </c>
      <c r="Q3450" s="55" t="s">
        <v>350</v>
      </c>
      <c r="R3450" s="85">
        <v>7</v>
      </c>
      <c r="S3450" s="55">
        <v>0</v>
      </c>
      <c r="T3450" s="74" t="s">
        <v>450</v>
      </c>
      <c r="U3450" s="74" t="s">
        <v>351</v>
      </c>
      <c r="V3450" s="74">
        <v>44369</v>
      </c>
      <c r="W3450" s="74">
        <v>44404</v>
      </c>
      <c r="X3450" s="55">
        <v>10186600</v>
      </c>
      <c r="Y3450" s="55" t="s">
        <v>140</v>
      </c>
      <c r="AB3450" s="74" t="s">
        <v>132</v>
      </c>
      <c r="AC3450" s="55" t="s">
        <v>140</v>
      </c>
    </row>
    <row r="3451" spans="1:29" ht="13" x14ac:dyDescent="0.15">
      <c r="A3451" s="55" t="str">
        <f>HYPERLINK("http://reports.ofsted.gov.uk/inspection-reports/find-inspection-report/provider/CARE/SC477031","Ofsted Social Care Provider Webpage")</f>
        <v>Ofsted Social Care Provider Webpage</v>
      </c>
      <c r="B3451" s="55" t="s">
        <v>6349</v>
      </c>
      <c r="D3451" s="55" t="s">
        <v>373</v>
      </c>
      <c r="E3451" s="74">
        <v>41814</v>
      </c>
      <c r="F3451" s="55" t="s">
        <v>344</v>
      </c>
      <c r="G3451" s="55" t="s">
        <v>360</v>
      </c>
      <c r="H3451" s="55" t="s">
        <v>360</v>
      </c>
      <c r="I3451" s="55" t="s">
        <v>360</v>
      </c>
      <c r="J3451" s="55" t="s">
        <v>360</v>
      </c>
      <c r="K3451" s="55" t="s">
        <v>360</v>
      </c>
      <c r="L3451" s="55" t="s">
        <v>360</v>
      </c>
      <c r="M3451" s="55" t="s">
        <v>378</v>
      </c>
      <c r="N3451" s="55" t="s">
        <v>170</v>
      </c>
      <c r="O3451" s="55" t="s">
        <v>264</v>
      </c>
      <c r="P3451" s="55" t="s">
        <v>437</v>
      </c>
      <c r="Q3451" s="55" t="s">
        <v>350</v>
      </c>
      <c r="R3451" s="85">
        <v>5</v>
      </c>
      <c r="S3451" s="55">
        <v>0</v>
      </c>
      <c r="T3451" s="74" t="s">
        <v>438</v>
      </c>
      <c r="U3451" s="74" t="s">
        <v>351</v>
      </c>
      <c r="V3451" s="74">
        <v>44629</v>
      </c>
      <c r="W3451" s="74">
        <v>44676</v>
      </c>
      <c r="X3451" s="55">
        <v>10185702</v>
      </c>
      <c r="Y3451" s="55" t="s">
        <v>130</v>
      </c>
      <c r="AB3451" s="74" t="s">
        <v>130</v>
      </c>
      <c r="AC3451" s="55" t="s">
        <v>130</v>
      </c>
    </row>
    <row r="3452" spans="1:29" ht="13" x14ac:dyDescent="0.15">
      <c r="A3452" s="55" t="str">
        <f>HYPERLINK("http://reports.ofsted.gov.uk/inspection-reports/find-inspection-report/provider/CARE/SC477040","Ofsted Social Care Provider Webpage")</f>
        <v>Ofsted Social Care Provider Webpage</v>
      </c>
      <c r="B3452" s="55" t="s">
        <v>6350</v>
      </c>
      <c r="D3452" s="55" t="s">
        <v>373</v>
      </c>
      <c r="E3452" s="74">
        <v>41815</v>
      </c>
      <c r="F3452" s="55" t="s">
        <v>344</v>
      </c>
      <c r="G3452" s="55" t="s">
        <v>360</v>
      </c>
      <c r="H3452" s="55" t="s">
        <v>360</v>
      </c>
      <c r="I3452" s="55" t="s">
        <v>360</v>
      </c>
      <c r="J3452" s="55" t="s">
        <v>360</v>
      </c>
      <c r="K3452" s="55" t="s">
        <v>360</v>
      </c>
      <c r="L3452" s="55" t="s">
        <v>360</v>
      </c>
      <c r="M3452" s="55" t="s">
        <v>136</v>
      </c>
      <c r="N3452" s="55" t="s">
        <v>136</v>
      </c>
      <c r="O3452" s="55" t="s">
        <v>255</v>
      </c>
      <c r="P3452" s="55" t="s">
        <v>1447</v>
      </c>
      <c r="Q3452" s="55" t="s">
        <v>350</v>
      </c>
      <c r="R3452" s="85">
        <v>3</v>
      </c>
      <c r="S3452" s="55">
        <v>0</v>
      </c>
      <c r="T3452" s="74" t="s">
        <v>5169</v>
      </c>
      <c r="U3452" s="74" t="s">
        <v>351</v>
      </c>
      <c r="V3452" s="74">
        <v>44530</v>
      </c>
      <c r="W3452" s="74">
        <v>44580</v>
      </c>
      <c r="X3452" s="55">
        <v>10187202</v>
      </c>
      <c r="Y3452" s="55" t="s">
        <v>130</v>
      </c>
      <c r="AB3452" s="74" t="s">
        <v>130</v>
      </c>
      <c r="AC3452" s="55" t="s">
        <v>146</v>
      </c>
    </row>
    <row r="3453" spans="1:29" ht="13" x14ac:dyDescent="0.15">
      <c r="A3453" s="55" t="str">
        <f>HYPERLINK("http://reports.ofsted.gov.uk/inspection-reports/find-inspection-report/provider/CARE/SC477205","Ofsted Social Care Provider Webpage")</f>
        <v>Ofsted Social Care Provider Webpage</v>
      </c>
      <c r="B3453" s="55" t="s">
        <v>6351</v>
      </c>
      <c r="D3453" s="55" t="s">
        <v>373</v>
      </c>
      <c r="E3453" s="74">
        <v>41780</v>
      </c>
      <c r="F3453" s="55" t="s">
        <v>344</v>
      </c>
      <c r="G3453" s="55" t="s">
        <v>360</v>
      </c>
      <c r="H3453" s="55" t="s">
        <v>360</v>
      </c>
      <c r="I3453" s="55" t="s">
        <v>360</v>
      </c>
      <c r="J3453" s="55" t="s">
        <v>360</v>
      </c>
      <c r="K3453" s="55" t="s">
        <v>360</v>
      </c>
      <c r="L3453" s="55" t="s">
        <v>360</v>
      </c>
      <c r="M3453" s="55" t="s">
        <v>129</v>
      </c>
      <c r="N3453" s="55" t="s">
        <v>129</v>
      </c>
      <c r="O3453" s="55" t="s">
        <v>202</v>
      </c>
      <c r="P3453" s="55" t="s">
        <v>5749</v>
      </c>
      <c r="Q3453" s="55" t="s">
        <v>380</v>
      </c>
      <c r="R3453" s="85">
        <v>7</v>
      </c>
      <c r="S3453" s="55">
        <v>0</v>
      </c>
      <c r="T3453" s="74" t="s">
        <v>6352</v>
      </c>
      <c r="U3453" s="74" t="s">
        <v>351</v>
      </c>
      <c r="V3453" s="74">
        <v>44579</v>
      </c>
      <c r="W3453" s="74">
        <v>44641</v>
      </c>
      <c r="X3453" s="55">
        <v>10186607</v>
      </c>
      <c r="Y3453" s="55" t="s">
        <v>132</v>
      </c>
      <c r="AB3453" s="74" t="s">
        <v>130</v>
      </c>
      <c r="AC3453" s="55" t="s">
        <v>132</v>
      </c>
    </row>
    <row r="3454" spans="1:29" ht="13" x14ac:dyDescent="0.15">
      <c r="A3454" s="55" t="str">
        <f>HYPERLINK("http://reports.ofsted.gov.uk/inspection-reports/find-inspection-report/provider/CARE/SC477428","Ofsted Social Care Provider Webpage")</f>
        <v>Ofsted Social Care Provider Webpage</v>
      </c>
      <c r="B3454" s="55" t="s">
        <v>6354</v>
      </c>
      <c r="D3454" s="55" t="s">
        <v>373</v>
      </c>
      <c r="E3454" s="74">
        <v>41892</v>
      </c>
      <c r="F3454" s="55" t="s">
        <v>344</v>
      </c>
      <c r="G3454" s="55" t="s">
        <v>360</v>
      </c>
      <c r="H3454" s="55" t="s">
        <v>360</v>
      </c>
      <c r="I3454" s="55" t="s">
        <v>360</v>
      </c>
      <c r="J3454" s="55" t="s">
        <v>360</v>
      </c>
      <c r="K3454" s="55" t="s">
        <v>360</v>
      </c>
      <c r="L3454" s="55" t="s">
        <v>360</v>
      </c>
      <c r="M3454" s="55" t="s">
        <v>378</v>
      </c>
      <c r="N3454" s="55" t="s">
        <v>134</v>
      </c>
      <c r="O3454" s="55" t="s">
        <v>225</v>
      </c>
      <c r="P3454" s="55" t="s">
        <v>1667</v>
      </c>
      <c r="Q3454" s="55" t="s">
        <v>380</v>
      </c>
      <c r="R3454" s="85">
        <v>3</v>
      </c>
      <c r="S3454" s="55">
        <v>0</v>
      </c>
      <c r="T3454" s="74" t="s">
        <v>1668</v>
      </c>
      <c r="U3454" s="74" t="s">
        <v>351</v>
      </c>
      <c r="V3454" s="74">
        <v>44566</v>
      </c>
      <c r="W3454" s="74">
        <v>44610</v>
      </c>
      <c r="X3454" s="55">
        <v>10185049</v>
      </c>
      <c r="Y3454" s="55" t="s">
        <v>132</v>
      </c>
      <c r="AB3454" s="74" t="s">
        <v>132</v>
      </c>
      <c r="AC3454" s="55" t="s">
        <v>132</v>
      </c>
    </row>
    <row r="3455" spans="1:29" ht="13" x14ac:dyDescent="0.15">
      <c r="A3455" s="55" t="str">
        <f>HYPERLINK("http://reports.ofsted.gov.uk/inspection-reports/find-inspection-report/provider/CARE/SC477724","Ofsted Social Care Provider Webpage")</f>
        <v>Ofsted Social Care Provider Webpage</v>
      </c>
      <c r="B3455" s="55" t="s">
        <v>6365</v>
      </c>
      <c r="D3455" s="55" t="s">
        <v>373</v>
      </c>
      <c r="E3455" s="74">
        <v>41837</v>
      </c>
      <c r="F3455" s="55" t="s">
        <v>344</v>
      </c>
      <c r="G3455" s="55" t="s">
        <v>360</v>
      </c>
      <c r="H3455" s="55" t="s">
        <v>360</v>
      </c>
      <c r="I3455" s="55" t="s">
        <v>360</v>
      </c>
      <c r="J3455" s="55" t="s">
        <v>360</v>
      </c>
      <c r="K3455" s="55" t="s">
        <v>360</v>
      </c>
      <c r="L3455" s="55" t="s">
        <v>360</v>
      </c>
      <c r="M3455" s="55" t="s">
        <v>144</v>
      </c>
      <c r="N3455" s="55" t="s">
        <v>144</v>
      </c>
      <c r="O3455" s="55" t="s">
        <v>287</v>
      </c>
      <c r="P3455" s="55" t="s">
        <v>1103</v>
      </c>
      <c r="Q3455" s="55" t="s">
        <v>350</v>
      </c>
      <c r="R3455" s="85">
        <v>3</v>
      </c>
      <c r="S3455" s="55">
        <v>0</v>
      </c>
      <c r="T3455" s="74" t="s">
        <v>1446</v>
      </c>
      <c r="U3455" s="74" t="s">
        <v>351</v>
      </c>
      <c r="V3455" s="74">
        <v>44384</v>
      </c>
      <c r="W3455" s="74">
        <v>44425</v>
      </c>
      <c r="X3455" s="55">
        <v>10185288</v>
      </c>
      <c r="Y3455" s="55" t="s">
        <v>132</v>
      </c>
      <c r="AB3455" s="74" t="s">
        <v>132</v>
      </c>
      <c r="AC3455" s="55" t="s">
        <v>130</v>
      </c>
    </row>
    <row r="3456" spans="1:29" ht="13" x14ac:dyDescent="0.15">
      <c r="A3456" s="55" t="str">
        <f>HYPERLINK("http://reports.ofsted.gov.uk/inspection-reports/find-inspection-report/provider/CARE/SC477726","Ofsted Social Care Provider Webpage")</f>
        <v>Ofsted Social Care Provider Webpage</v>
      </c>
      <c r="B3456" s="55" t="s">
        <v>6366</v>
      </c>
      <c r="D3456" s="55" t="s">
        <v>373</v>
      </c>
      <c r="E3456" s="74">
        <v>41838</v>
      </c>
      <c r="F3456" s="55" t="s">
        <v>344</v>
      </c>
      <c r="G3456" s="55" t="s">
        <v>360</v>
      </c>
      <c r="H3456" s="55" t="s">
        <v>360</v>
      </c>
      <c r="I3456" s="55" t="s">
        <v>360</v>
      </c>
      <c r="J3456" s="55" t="s">
        <v>360</v>
      </c>
      <c r="K3456" s="55" t="s">
        <v>360</v>
      </c>
      <c r="L3456" s="55" t="s">
        <v>360</v>
      </c>
      <c r="M3456" s="55" t="s">
        <v>144</v>
      </c>
      <c r="N3456" s="55" t="s">
        <v>144</v>
      </c>
      <c r="O3456" s="55" t="s">
        <v>287</v>
      </c>
      <c r="P3456" s="55" t="s">
        <v>815</v>
      </c>
      <c r="Q3456" s="55" t="s">
        <v>350</v>
      </c>
      <c r="R3456" s="85">
        <v>2</v>
      </c>
      <c r="S3456" s="55">
        <v>0</v>
      </c>
      <c r="T3456" s="74" t="s">
        <v>1446</v>
      </c>
      <c r="U3456" s="74" t="s">
        <v>351</v>
      </c>
      <c r="V3456" s="74">
        <v>44622</v>
      </c>
      <c r="W3456" s="74">
        <v>44679</v>
      </c>
      <c r="X3456" s="55">
        <v>10185609</v>
      </c>
      <c r="Y3456" s="55" t="s">
        <v>132</v>
      </c>
      <c r="AB3456" s="74" t="s">
        <v>132</v>
      </c>
      <c r="AC3456" s="55" t="s">
        <v>132</v>
      </c>
    </row>
    <row r="3457" spans="1:29" ht="13" x14ac:dyDescent="0.15">
      <c r="A3457" s="55" t="str">
        <f>HYPERLINK("http://reports.ofsted.gov.uk/inspection-reports/find-inspection-report/provider/CARE/SC477900","Ofsted Social Care Provider Webpage")</f>
        <v>Ofsted Social Care Provider Webpage</v>
      </c>
      <c r="B3457" s="55" t="s">
        <v>6371</v>
      </c>
      <c r="D3457" s="55" t="s">
        <v>373</v>
      </c>
      <c r="E3457" s="74">
        <v>41796</v>
      </c>
      <c r="F3457" s="55" t="s">
        <v>344</v>
      </c>
      <c r="G3457" s="55" t="s">
        <v>360</v>
      </c>
      <c r="H3457" s="55" t="s">
        <v>360</v>
      </c>
      <c r="I3457" s="55" t="s">
        <v>360</v>
      </c>
      <c r="J3457" s="55" t="s">
        <v>360</v>
      </c>
      <c r="K3457" s="55" t="s">
        <v>360</v>
      </c>
      <c r="L3457" s="55" t="s">
        <v>360</v>
      </c>
      <c r="M3457" s="55" t="s">
        <v>138</v>
      </c>
      <c r="N3457" s="55" t="s">
        <v>138</v>
      </c>
      <c r="O3457" s="55" t="s">
        <v>183</v>
      </c>
      <c r="P3457" s="55" t="s">
        <v>510</v>
      </c>
      <c r="Q3457" s="55" t="s">
        <v>350</v>
      </c>
      <c r="R3457" s="85">
        <v>4</v>
      </c>
      <c r="S3457" s="55">
        <v>0</v>
      </c>
      <c r="T3457" s="74" t="s">
        <v>1623</v>
      </c>
      <c r="U3457" s="74" t="s">
        <v>351</v>
      </c>
      <c r="V3457" s="74">
        <v>44425</v>
      </c>
      <c r="W3457" s="74">
        <v>44455</v>
      </c>
      <c r="X3457" s="55">
        <v>10185263</v>
      </c>
      <c r="Y3457" s="55" t="s">
        <v>140</v>
      </c>
      <c r="AB3457" s="74" t="s">
        <v>140</v>
      </c>
      <c r="AC3457" s="55" t="s">
        <v>140</v>
      </c>
    </row>
    <row r="3458" spans="1:29" ht="13" x14ac:dyDescent="0.15">
      <c r="A3458" s="55" t="str">
        <f>HYPERLINK("http://reports.ofsted.gov.uk/inspection-reports/find-inspection-report/provider/CARE/SC477939","Ofsted Social Care Provider Webpage")</f>
        <v>Ofsted Social Care Provider Webpage</v>
      </c>
      <c r="B3458" s="55" t="s">
        <v>6372</v>
      </c>
      <c r="D3458" s="55" t="s">
        <v>373</v>
      </c>
      <c r="E3458" s="74">
        <v>41793</v>
      </c>
      <c r="F3458" s="55" t="s">
        <v>344</v>
      </c>
      <c r="G3458" s="55" t="s">
        <v>360</v>
      </c>
      <c r="H3458" s="55" t="s">
        <v>360</v>
      </c>
      <c r="I3458" s="55" t="s">
        <v>360</v>
      </c>
      <c r="J3458" s="55" t="s">
        <v>360</v>
      </c>
      <c r="K3458" s="55" t="s">
        <v>360</v>
      </c>
      <c r="L3458" s="55" t="s">
        <v>360</v>
      </c>
      <c r="M3458" s="55" t="s">
        <v>144</v>
      </c>
      <c r="N3458" s="55" t="s">
        <v>144</v>
      </c>
      <c r="O3458" s="55" t="s">
        <v>245</v>
      </c>
      <c r="P3458" s="55" t="s">
        <v>1796</v>
      </c>
      <c r="Q3458" s="55" t="s">
        <v>350</v>
      </c>
      <c r="R3458" s="85">
        <v>3</v>
      </c>
      <c r="S3458" s="55">
        <v>0</v>
      </c>
      <c r="T3458" s="74" t="s">
        <v>613</v>
      </c>
      <c r="U3458" s="74" t="s">
        <v>351</v>
      </c>
      <c r="V3458" s="74">
        <v>44621</v>
      </c>
      <c r="W3458" s="74">
        <v>44665</v>
      </c>
      <c r="X3458" s="55">
        <v>10185043</v>
      </c>
      <c r="Y3458" s="55" t="s">
        <v>132</v>
      </c>
      <c r="AB3458" s="74" t="s">
        <v>132</v>
      </c>
      <c r="AC3458" s="55" t="s">
        <v>132</v>
      </c>
    </row>
    <row r="3459" spans="1:29" ht="13" x14ac:dyDescent="0.15">
      <c r="A3459" s="55" t="str">
        <f>HYPERLINK("http://reports.ofsted.gov.uk/inspection-reports/find-inspection-report/provider/CARE/SC478001","Ofsted Social Care Provider Webpage")</f>
        <v>Ofsted Social Care Provider Webpage</v>
      </c>
      <c r="B3459" s="55" t="s">
        <v>6373</v>
      </c>
      <c r="D3459" s="55" t="s">
        <v>373</v>
      </c>
      <c r="E3459" s="74">
        <v>41831</v>
      </c>
      <c r="F3459" s="55" t="s">
        <v>344</v>
      </c>
      <c r="G3459" s="55" t="s">
        <v>360</v>
      </c>
      <c r="H3459" s="55" t="s">
        <v>360</v>
      </c>
      <c r="I3459" s="55" t="s">
        <v>360</v>
      </c>
      <c r="J3459" s="55" t="s">
        <v>360</v>
      </c>
      <c r="K3459" s="55" t="s">
        <v>360</v>
      </c>
      <c r="L3459" s="55" t="s">
        <v>360</v>
      </c>
      <c r="M3459" s="55" t="s">
        <v>142</v>
      </c>
      <c r="N3459" s="55" t="s">
        <v>142</v>
      </c>
      <c r="O3459" s="55" t="s">
        <v>262</v>
      </c>
      <c r="P3459" s="55" t="s">
        <v>1859</v>
      </c>
      <c r="Q3459" s="55" t="s">
        <v>350</v>
      </c>
      <c r="R3459" s="85">
        <v>4</v>
      </c>
      <c r="S3459" s="55">
        <v>0</v>
      </c>
      <c r="T3459" s="74" t="s">
        <v>6374</v>
      </c>
      <c r="U3459" s="74" t="s">
        <v>351</v>
      </c>
      <c r="V3459" s="74">
        <v>44573</v>
      </c>
      <c r="W3459" s="74">
        <v>44610</v>
      </c>
      <c r="X3459" s="55">
        <v>10187199</v>
      </c>
      <c r="Y3459" s="55" t="s">
        <v>132</v>
      </c>
      <c r="AB3459" s="74" t="s">
        <v>132</v>
      </c>
      <c r="AC3459" s="55" t="s">
        <v>132</v>
      </c>
    </row>
    <row r="3460" spans="1:29" ht="13" x14ac:dyDescent="0.15">
      <c r="A3460" s="55" t="str">
        <f>HYPERLINK("http://reports.ofsted.gov.uk/inspection-reports/find-inspection-report/provider/CARE/SC478134","Ofsted Social Care Provider Webpage")</f>
        <v>Ofsted Social Care Provider Webpage</v>
      </c>
      <c r="B3460" s="55" t="s">
        <v>6375</v>
      </c>
      <c r="D3460" s="55" t="s">
        <v>373</v>
      </c>
      <c r="E3460" s="74">
        <v>41814</v>
      </c>
      <c r="F3460" s="55" t="s">
        <v>344</v>
      </c>
      <c r="G3460" s="55" t="s">
        <v>360</v>
      </c>
      <c r="H3460" s="55" t="s">
        <v>360</v>
      </c>
      <c r="I3460" s="55" t="s">
        <v>360</v>
      </c>
      <c r="J3460" s="55" t="s">
        <v>360</v>
      </c>
      <c r="K3460" s="55" t="s">
        <v>360</v>
      </c>
      <c r="L3460" s="55" t="s">
        <v>360</v>
      </c>
      <c r="M3460" s="55" t="s">
        <v>142</v>
      </c>
      <c r="N3460" s="55" t="s">
        <v>142</v>
      </c>
      <c r="O3460" s="55" t="s">
        <v>293</v>
      </c>
      <c r="P3460" s="55" t="s">
        <v>984</v>
      </c>
      <c r="Q3460" s="55" t="s">
        <v>350</v>
      </c>
      <c r="R3460" s="85">
        <v>4</v>
      </c>
      <c r="S3460" s="55">
        <v>0</v>
      </c>
      <c r="T3460" s="74" t="s">
        <v>385</v>
      </c>
      <c r="U3460" s="74" t="s">
        <v>351</v>
      </c>
      <c r="V3460" s="74">
        <v>44328</v>
      </c>
      <c r="W3460" s="74">
        <v>44361</v>
      </c>
      <c r="X3460" s="55">
        <v>10187279</v>
      </c>
      <c r="Y3460" s="55" t="s">
        <v>132</v>
      </c>
      <c r="AB3460" s="74" t="s">
        <v>132</v>
      </c>
      <c r="AC3460" s="55" t="s">
        <v>132</v>
      </c>
    </row>
    <row r="3461" spans="1:29" ht="13" x14ac:dyDescent="0.15">
      <c r="A3461" s="55" t="str">
        <f>HYPERLINK("http://reports.ofsted.gov.uk/inspection-reports/find-inspection-report/provider/CARE/SC478152","Ofsted Social Care Provider Webpage")</f>
        <v>Ofsted Social Care Provider Webpage</v>
      </c>
      <c r="B3461" s="55" t="s">
        <v>6376</v>
      </c>
      <c r="D3461" s="55" t="s">
        <v>373</v>
      </c>
      <c r="E3461" s="74">
        <v>42068</v>
      </c>
      <c r="F3461" s="55" t="s">
        <v>344</v>
      </c>
      <c r="G3461" s="55" t="s">
        <v>360</v>
      </c>
      <c r="H3461" s="55" t="s">
        <v>360</v>
      </c>
      <c r="I3461" s="55" t="s">
        <v>360</v>
      </c>
      <c r="J3461" s="55" t="s">
        <v>360</v>
      </c>
      <c r="K3461" s="55" t="s">
        <v>360</v>
      </c>
      <c r="L3461" s="55" t="s">
        <v>360</v>
      </c>
      <c r="M3461" s="55" t="s">
        <v>136</v>
      </c>
      <c r="N3461" s="55" t="s">
        <v>136</v>
      </c>
      <c r="O3461" s="55" t="s">
        <v>255</v>
      </c>
      <c r="P3461" s="55" t="s">
        <v>757</v>
      </c>
      <c r="Q3461" s="55" t="s">
        <v>350</v>
      </c>
      <c r="R3461" s="85">
        <v>4</v>
      </c>
      <c r="S3461" s="55">
        <v>0</v>
      </c>
      <c r="T3461" s="74" t="s">
        <v>858</v>
      </c>
      <c r="U3461" s="74" t="s">
        <v>351</v>
      </c>
      <c r="V3461" s="74">
        <v>44432</v>
      </c>
      <c r="W3461" s="74">
        <v>44462</v>
      </c>
      <c r="X3461" s="55">
        <v>10185997</v>
      </c>
      <c r="Y3461" s="55" t="s">
        <v>130</v>
      </c>
      <c r="AB3461" s="74" t="s">
        <v>130</v>
      </c>
      <c r="AC3461" s="55" t="s">
        <v>130</v>
      </c>
    </row>
    <row r="3462" spans="1:29" ht="13" x14ac:dyDescent="0.15">
      <c r="A3462" s="55" t="str">
        <f>HYPERLINK("http://reports.ofsted.gov.uk/inspection-reports/find-inspection-report/provider/CARE/SC478152","Ofsted Social Care Provider Webpage")</f>
        <v>Ofsted Social Care Provider Webpage</v>
      </c>
      <c r="B3462" s="55" t="s">
        <v>6376</v>
      </c>
      <c r="D3462" s="55" t="s">
        <v>373</v>
      </c>
      <c r="E3462" s="74">
        <v>42068</v>
      </c>
      <c r="F3462" s="55" t="s">
        <v>344</v>
      </c>
      <c r="G3462" s="55" t="s">
        <v>360</v>
      </c>
      <c r="H3462" s="55" t="s">
        <v>360</v>
      </c>
      <c r="I3462" s="55" t="s">
        <v>360</v>
      </c>
      <c r="J3462" s="55" t="s">
        <v>360</v>
      </c>
      <c r="K3462" s="55" t="s">
        <v>360</v>
      </c>
      <c r="L3462" s="55" t="s">
        <v>360</v>
      </c>
      <c r="M3462" s="55" t="s">
        <v>136</v>
      </c>
      <c r="N3462" s="55" t="s">
        <v>136</v>
      </c>
      <c r="O3462" s="55" t="s">
        <v>255</v>
      </c>
      <c r="P3462" s="55" t="s">
        <v>757</v>
      </c>
      <c r="Q3462" s="55" t="s">
        <v>350</v>
      </c>
      <c r="R3462" s="85">
        <v>4</v>
      </c>
      <c r="S3462" s="55">
        <v>0</v>
      </c>
      <c r="T3462" s="74" t="s">
        <v>858</v>
      </c>
      <c r="U3462" s="74" t="s">
        <v>6703</v>
      </c>
      <c r="V3462" s="74">
        <v>44573</v>
      </c>
      <c r="W3462" s="74">
        <v>44606</v>
      </c>
      <c r="X3462" s="55">
        <v>10215850</v>
      </c>
      <c r="Y3462" s="55" t="s">
        <v>6706</v>
      </c>
    </row>
    <row r="3463" spans="1:29" ht="13" x14ac:dyDescent="0.15">
      <c r="A3463" s="55" t="str">
        <f>HYPERLINK("http://reports.ofsted.gov.uk/inspection-reports/find-inspection-report/provider/CARE/SC478315","Ofsted Social Care Provider Webpage")</f>
        <v>Ofsted Social Care Provider Webpage</v>
      </c>
      <c r="B3463" s="55" t="s">
        <v>6377</v>
      </c>
      <c r="D3463" s="55" t="s">
        <v>373</v>
      </c>
      <c r="E3463" s="74">
        <v>41799</v>
      </c>
      <c r="F3463" s="55" t="s">
        <v>344</v>
      </c>
      <c r="G3463" s="55" t="s">
        <v>360</v>
      </c>
      <c r="H3463" s="55" t="s">
        <v>360</v>
      </c>
      <c r="I3463" s="55" t="s">
        <v>360</v>
      </c>
      <c r="J3463" s="55" t="s">
        <v>360</v>
      </c>
      <c r="K3463" s="55" t="s">
        <v>360</v>
      </c>
      <c r="L3463" s="55" t="s">
        <v>360</v>
      </c>
      <c r="M3463" s="55" t="s">
        <v>150</v>
      </c>
      <c r="N3463" s="55" t="s">
        <v>150</v>
      </c>
      <c r="O3463" s="55" t="s">
        <v>190</v>
      </c>
      <c r="P3463" s="55" t="s">
        <v>1523</v>
      </c>
      <c r="Q3463" s="55" t="s">
        <v>350</v>
      </c>
      <c r="R3463" s="85">
        <v>4</v>
      </c>
      <c r="S3463" s="55">
        <v>0</v>
      </c>
      <c r="T3463" s="74" t="s">
        <v>1960</v>
      </c>
      <c r="U3463" s="74" t="s">
        <v>351</v>
      </c>
      <c r="V3463" s="74">
        <v>44399</v>
      </c>
      <c r="W3463" s="74">
        <v>44448</v>
      </c>
      <c r="X3463" s="55">
        <v>10187371</v>
      </c>
      <c r="Y3463" s="55" t="s">
        <v>132</v>
      </c>
      <c r="AB3463" s="74" t="s">
        <v>132</v>
      </c>
      <c r="AC3463" s="55" t="s">
        <v>130</v>
      </c>
    </row>
    <row r="3464" spans="1:29" ht="13" x14ac:dyDescent="0.15">
      <c r="A3464" s="55" t="str">
        <f>HYPERLINK("http://reports.ofsted.gov.uk/inspection-reports/find-inspection-report/provider/CARE/SC478468","Ofsted Social Care Provider Webpage")</f>
        <v>Ofsted Social Care Provider Webpage</v>
      </c>
      <c r="B3464" s="55" t="s">
        <v>6381</v>
      </c>
      <c r="D3464" s="55" t="s">
        <v>373</v>
      </c>
      <c r="E3464" s="74">
        <v>41872</v>
      </c>
      <c r="F3464" s="55" t="s">
        <v>344</v>
      </c>
      <c r="G3464" s="55" t="s">
        <v>360</v>
      </c>
      <c r="H3464" s="55" t="s">
        <v>360</v>
      </c>
      <c r="I3464" s="55" t="s">
        <v>360</v>
      </c>
      <c r="J3464" s="55" t="s">
        <v>360</v>
      </c>
      <c r="K3464" s="55" t="s">
        <v>360</v>
      </c>
      <c r="L3464" s="55" t="s">
        <v>360</v>
      </c>
      <c r="M3464" s="55" t="s">
        <v>144</v>
      </c>
      <c r="N3464" s="55" t="s">
        <v>144</v>
      </c>
      <c r="O3464" s="55" t="s">
        <v>209</v>
      </c>
      <c r="P3464" s="55" t="s">
        <v>544</v>
      </c>
      <c r="Q3464" s="55" t="s">
        <v>350</v>
      </c>
      <c r="R3464" s="85">
        <v>5</v>
      </c>
      <c r="S3464" s="55">
        <v>0</v>
      </c>
      <c r="T3464" s="74" t="s">
        <v>385</v>
      </c>
      <c r="U3464" s="74" t="s">
        <v>351</v>
      </c>
      <c r="V3464" s="74">
        <v>44405</v>
      </c>
      <c r="W3464" s="74">
        <v>44445</v>
      </c>
      <c r="X3464" s="55">
        <v>10186340</v>
      </c>
      <c r="Y3464" s="55" t="s">
        <v>132</v>
      </c>
      <c r="AB3464" s="74" t="s">
        <v>130</v>
      </c>
      <c r="AC3464" s="55" t="s">
        <v>132</v>
      </c>
    </row>
    <row r="3465" spans="1:29" ht="13" x14ac:dyDescent="0.15">
      <c r="A3465" s="55" t="str">
        <f>HYPERLINK("http://reports.ofsted.gov.uk/inspection-reports/find-inspection-report/provider/CARE/SC478616","Ofsted Social Care Provider Webpage")</f>
        <v>Ofsted Social Care Provider Webpage</v>
      </c>
      <c r="B3465" s="55" t="s">
        <v>6382</v>
      </c>
      <c r="D3465" s="55" t="s">
        <v>373</v>
      </c>
      <c r="E3465" s="74">
        <v>41926</v>
      </c>
      <c r="F3465" s="55" t="s">
        <v>344</v>
      </c>
      <c r="G3465" s="55" t="s">
        <v>360</v>
      </c>
      <c r="H3465" s="55" t="s">
        <v>360</v>
      </c>
      <c r="I3465" s="55" t="s">
        <v>360</v>
      </c>
      <c r="J3465" s="55" t="s">
        <v>360</v>
      </c>
      <c r="K3465" s="55" t="s">
        <v>360</v>
      </c>
      <c r="L3465" s="55" t="s">
        <v>360</v>
      </c>
      <c r="M3465" s="55" t="s">
        <v>150</v>
      </c>
      <c r="N3465" s="55" t="s">
        <v>150</v>
      </c>
      <c r="O3465" s="55" t="s">
        <v>203</v>
      </c>
      <c r="P3465" s="55" t="s">
        <v>1263</v>
      </c>
      <c r="Q3465" s="55" t="s">
        <v>350</v>
      </c>
      <c r="R3465" s="85">
        <v>4</v>
      </c>
      <c r="S3465" s="55">
        <v>0</v>
      </c>
      <c r="T3465" s="74" t="s">
        <v>483</v>
      </c>
      <c r="U3465" s="74" t="s">
        <v>351</v>
      </c>
      <c r="V3465" s="74">
        <v>44466</v>
      </c>
      <c r="W3465" s="74">
        <v>44518</v>
      </c>
      <c r="X3465" s="55">
        <v>10187636</v>
      </c>
      <c r="Y3465" s="55" t="s">
        <v>132</v>
      </c>
      <c r="AB3465" s="74" t="s">
        <v>132</v>
      </c>
      <c r="AC3465" s="55" t="s">
        <v>132</v>
      </c>
    </row>
    <row r="3466" spans="1:29" ht="13" x14ac:dyDescent="0.15">
      <c r="A3466" s="55" t="str">
        <f>HYPERLINK("http://reports.ofsted.gov.uk/inspection-reports/find-inspection-report/provider/CARE/SC478852","Ofsted Social Care Provider Webpage")</f>
        <v>Ofsted Social Care Provider Webpage</v>
      </c>
      <c r="B3466" s="55" t="s">
        <v>6388</v>
      </c>
      <c r="D3466" s="55" t="s">
        <v>373</v>
      </c>
      <c r="E3466" s="74">
        <v>41815</v>
      </c>
      <c r="F3466" s="55" t="s">
        <v>344</v>
      </c>
      <c r="G3466" s="55" t="s">
        <v>360</v>
      </c>
      <c r="H3466" s="55" t="s">
        <v>360</v>
      </c>
      <c r="I3466" s="55" t="s">
        <v>360</v>
      </c>
      <c r="J3466" s="55" t="s">
        <v>360</v>
      </c>
      <c r="K3466" s="55" t="s">
        <v>360</v>
      </c>
      <c r="L3466" s="55" t="s">
        <v>360</v>
      </c>
      <c r="M3466" s="55" t="s">
        <v>142</v>
      </c>
      <c r="N3466" s="55" t="s">
        <v>142</v>
      </c>
      <c r="O3466" s="55" t="s">
        <v>262</v>
      </c>
      <c r="P3466" s="55" t="s">
        <v>523</v>
      </c>
      <c r="Q3466" s="55" t="s">
        <v>350</v>
      </c>
      <c r="R3466" s="85">
        <v>3</v>
      </c>
      <c r="S3466" s="55">
        <v>0</v>
      </c>
      <c r="T3466" s="74" t="s">
        <v>5366</v>
      </c>
      <c r="U3466" s="74" t="s">
        <v>351</v>
      </c>
      <c r="V3466" s="74">
        <v>44454</v>
      </c>
      <c r="W3466" s="74">
        <v>44487</v>
      </c>
      <c r="X3466" s="55">
        <v>10187671</v>
      </c>
      <c r="Y3466" s="55" t="s">
        <v>132</v>
      </c>
      <c r="AB3466" s="74" t="s">
        <v>132</v>
      </c>
      <c r="AC3466" s="55" t="s">
        <v>132</v>
      </c>
    </row>
    <row r="3467" spans="1:29" ht="13" x14ac:dyDescent="0.15">
      <c r="A3467" s="55" t="str">
        <f>HYPERLINK("http://reports.ofsted.gov.uk/inspection-reports/find-inspection-report/provider/CARE/SC478986","Ofsted Social Care Provider Webpage")</f>
        <v>Ofsted Social Care Provider Webpage</v>
      </c>
      <c r="B3467" s="55" t="s">
        <v>6389</v>
      </c>
      <c r="D3467" s="55" t="s">
        <v>373</v>
      </c>
      <c r="E3467" s="74">
        <v>41781</v>
      </c>
      <c r="F3467" s="55" t="s">
        <v>344</v>
      </c>
      <c r="G3467" s="55" t="s">
        <v>360</v>
      </c>
      <c r="H3467" s="55" t="s">
        <v>360</v>
      </c>
      <c r="I3467" s="55" t="s">
        <v>360</v>
      </c>
      <c r="J3467" s="55" t="s">
        <v>360</v>
      </c>
      <c r="K3467" s="55" t="s">
        <v>360</v>
      </c>
      <c r="L3467" s="55" t="s">
        <v>360</v>
      </c>
      <c r="M3467" s="55" t="s">
        <v>172</v>
      </c>
      <c r="N3467" s="55" t="s">
        <v>172</v>
      </c>
      <c r="O3467" s="55" t="s">
        <v>171</v>
      </c>
      <c r="P3467" s="55" t="s">
        <v>1125</v>
      </c>
      <c r="Q3467" s="55" t="s">
        <v>350</v>
      </c>
      <c r="R3467" s="85">
        <v>5</v>
      </c>
      <c r="S3467" s="55">
        <v>0</v>
      </c>
      <c r="T3467" s="74" t="s">
        <v>517</v>
      </c>
      <c r="U3467" s="74" t="s">
        <v>351</v>
      </c>
      <c r="V3467" s="74">
        <v>44390</v>
      </c>
      <c r="W3467" s="74">
        <v>44417</v>
      </c>
      <c r="X3467" s="55">
        <v>10186709</v>
      </c>
      <c r="Y3467" s="55" t="s">
        <v>132</v>
      </c>
      <c r="AB3467" s="74" t="s">
        <v>132</v>
      </c>
      <c r="AC3467" s="55" t="s">
        <v>132</v>
      </c>
    </row>
    <row r="3468" spans="1:29" ht="13" x14ac:dyDescent="0.15">
      <c r="A3468" s="55" t="str">
        <f>HYPERLINK("http://reports.ofsted.gov.uk/inspection-reports/find-inspection-report/provider/CARE/SC478991","Ofsted Social Care Provider Webpage")</f>
        <v>Ofsted Social Care Provider Webpage</v>
      </c>
      <c r="B3468" s="55" t="s">
        <v>6390</v>
      </c>
      <c r="D3468" s="55" t="s">
        <v>373</v>
      </c>
      <c r="E3468" s="74">
        <v>41792</v>
      </c>
      <c r="F3468" s="55" t="s">
        <v>344</v>
      </c>
      <c r="G3468" s="55" t="s">
        <v>360</v>
      </c>
      <c r="H3468" s="55" t="s">
        <v>360</v>
      </c>
      <c r="I3468" s="55" t="s">
        <v>360</v>
      </c>
      <c r="J3468" s="55" t="s">
        <v>360</v>
      </c>
      <c r="K3468" s="55" t="s">
        <v>360</v>
      </c>
      <c r="L3468" s="55" t="s">
        <v>360</v>
      </c>
      <c r="M3468" s="55" t="s">
        <v>142</v>
      </c>
      <c r="N3468" s="55" t="s">
        <v>142</v>
      </c>
      <c r="O3468" s="55" t="s">
        <v>262</v>
      </c>
      <c r="P3468" s="55" t="s">
        <v>949</v>
      </c>
      <c r="Q3468" s="55" t="s">
        <v>350</v>
      </c>
      <c r="R3468" s="85">
        <v>4</v>
      </c>
      <c r="S3468" s="55">
        <v>0</v>
      </c>
      <c r="T3468" s="74" t="s">
        <v>517</v>
      </c>
      <c r="U3468" s="74" t="s">
        <v>351</v>
      </c>
      <c r="V3468" s="74">
        <v>44537</v>
      </c>
      <c r="W3468" s="74">
        <v>44587</v>
      </c>
      <c r="X3468" s="55">
        <v>10185794</v>
      </c>
      <c r="Y3468" s="55" t="s">
        <v>130</v>
      </c>
      <c r="AB3468" s="74" t="s">
        <v>132</v>
      </c>
      <c r="AC3468" s="55" t="s">
        <v>130</v>
      </c>
    </row>
    <row r="3469" spans="1:29" ht="13" x14ac:dyDescent="0.15">
      <c r="A3469" s="55" t="str">
        <f>HYPERLINK("http://reports.ofsted.gov.uk/inspection-reports/find-inspection-report/provider/CARE/SC479230","Ofsted Social Care Provider Webpage")</f>
        <v>Ofsted Social Care Provider Webpage</v>
      </c>
      <c r="B3469" s="55" t="s">
        <v>6396</v>
      </c>
      <c r="D3469" s="55" t="s">
        <v>373</v>
      </c>
      <c r="E3469" s="74">
        <v>42113</v>
      </c>
      <c r="F3469" s="55" t="s">
        <v>344</v>
      </c>
      <c r="G3469" s="55" t="s">
        <v>360</v>
      </c>
      <c r="H3469" s="55" t="s">
        <v>360</v>
      </c>
      <c r="I3469" s="55" t="s">
        <v>360</v>
      </c>
      <c r="J3469" s="55" t="s">
        <v>360</v>
      </c>
      <c r="K3469" s="55" t="s">
        <v>360</v>
      </c>
      <c r="L3469" s="55" t="s">
        <v>360</v>
      </c>
      <c r="M3469" s="55" t="s">
        <v>142</v>
      </c>
      <c r="N3469" s="55" t="s">
        <v>142</v>
      </c>
      <c r="O3469" s="55" t="s">
        <v>262</v>
      </c>
      <c r="P3469" s="55" t="s">
        <v>949</v>
      </c>
      <c r="Q3469" s="55" t="s">
        <v>350</v>
      </c>
      <c r="R3469" s="85">
        <v>2</v>
      </c>
      <c r="S3469" s="55">
        <v>0</v>
      </c>
      <c r="T3469" s="74" t="s">
        <v>515</v>
      </c>
      <c r="U3469" s="74" t="s">
        <v>351</v>
      </c>
      <c r="V3469" s="74">
        <v>44600</v>
      </c>
      <c r="W3469" s="74">
        <v>44642</v>
      </c>
      <c r="X3469" s="55">
        <v>10185677</v>
      </c>
      <c r="Y3469" s="55" t="s">
        <v>132</v>
      </c>
      <c r="AB3469" s="74" t="s">
        <v>132</v>
      </c>
      <c r="AC3469" s="55" t="s">
        <v>132</v>
      </c>
    </row>
    <row r="3470" spans="1:29" ht="13" x14ac:dyDescent="0.15">
      <c r="A3470" s="55" t="str">
        <f>HYPERLINK("http://reports.ofsted.gov.uk/inspection-reports/find-inspection-report/provider/CARE/SC479647","Ofsted Social Care Provider Webpage")</f>
        <v>Ofsted Social Care Provider Webpage</v>
      </c>
      <c r="B3470" s="55" t="s">
        <v>6399</v>
      </c>
      <c r="D3470" s="55" t="s">
        <v>373</v>
      </c>
      <c r="E3470" s="74">
        <v>41920</v>
      </c>
      <c r="F3470" s="55" t="s">
        <v>344</v>
      </c>
      <c r="G3470" s="55" t="s">
        <v>360</v>
      </c>
      <c r="H3470" s="55" t="s">
        <v>360</v>
      </c>
      <c r="I3470" s="55" t="s">
        <v>360</v>
      </c>
      <c r="J3470" s="55" t="s">
        <v>360</v>
      </c>
      <c r="K3470" s="55" t="s">
        <v>360</v>
      </c>
      <c r="L3470" s="55" t="s">
        <v>360</v>
      </c>
      <c r="M3470" s="55" t="s">
        <v>144</v>
      </c>
      <c r="N3470" s="55" t="s">
        <v>144</v>
      </c>
      <c r="O3470" s="55" t="s">
        <v>287</v>
      </c>
      <c r="P3470" s="55" t="s">
        <v>1103</v>
      </c>
      <c r="Q3470" s="55" t="s">
        <v>350</v>
      </c>
      <c r="R3470" s="85">
        <v>6</v>
      </c>
      <c r="S3470" s="55">
        <v>0</v>
      </c>
      <c r="T3470" s="74" t="s">
        <v>493</v>
      </c>
      <c r="U3470" s="74" t="s">
        <v>351</v>
      </c>
      <c r="V3470" s="74">
        <v>44376</v>
      </c>
      <c r="W3470" s="74">
        <v>44411</v>
      </c>
      <c r="X3470" s="55">
        <v>10185946</v>
      </c>
      <c r="Y3470" s="55" t="s">
        <v>132</v>
      </c>
      <c r="AB3470" s="74" t="s">
        <v>132</v>
      </c>
      <c r="AC3470" s="55" t="s">
        <v>132</v>
      </c>
    </row>
    <row r="3471" spans="1:29" ht="13" x14ac:dyDescent="0.15">
      <c r="A3471" s="55" t="str">
        <f>HYPERLINK("http://reports.ofsted.gov.uk/inspection-reports/find-inspection-report/provider/CARE/SC479650","Ofsted Social Care Provider Webpage")</f>
        <v>Ofsted Social Care Provider Webpage</v>
      </c>
      <c r="B3471" s="55" t="s">
        <v>6401</v>
      </c>
      <c r="D3471" s="55" t="s">
        <v>373</v>
      </c>
      <c r="E3471" s="74">
        <v>41920</v>
      </c>
      <c r="F3471" s="55" t="s">
        <v>344</v>
      </c>
      <c r="G3471" s="55" t="s">
        <v>360</v>
      </c>
      <c r="H3471" s="55" t="s">
        <v>360</v>
      </c>
      <c r="I3471" s="55" t="s">
        <v>360</v>
      </c>
      <c r="J3471" s="55" t="s">
        <v>360</v>
      </c>
      <c r="K3471" s="55" t="s">
        <v>360</v>
      </c>
      <c r="L3471" s="55" t="s">
        <v>360</v>
      </c>
      <c r="M3471" s="55" t="s">
        <v>144</v>
      </c>
      <c r="N3471" s="55" t="s">
        <v>144</v>
      </c>
      <c r="O3471" s="55" t="s">
        <v>245</v>
      </c>
      <c r="P3471" s="55" t="s">
        <v>1796</v>
      </c>
      <c r="Q3471" s="55" t="s">
        <v>350</v>
      </c>
      <c r="R3471" s="85">
        <v>6</v>
      </c>
      <c r="S3471" s="55">
        <v>0</v>
      </c>
      <c r="T3471" s="74" t="s">
        <v>493</v>
      </c>
      <c r="U3471" s="74" t="s">
        <v>351</v>
      </c>
      <c r="V3471" s="74">
        <v>44601</v>
      </c>
      <c r="W3471" s="74">
        <v>44649</v>
      </c>
      <c r="X3471" s="55">
        <v>10185430</v>
      </c>
      <c r="Y3471" s="55" t="s">
        <v>132</v>
      </c>
      <c r="AB3471" s="74" t="s">
        <v>132</v>
      </c>
      <c r="AC3471" s="55" t="s">
        <v>132</v>
      </c>
    </row>
    <row r="3472" spans="1:29" ht="13" x14ac:dyDescent="0.15">
      <c r="A3472" s="55" t="str">
        <f>HYPERLINK("http://reports.ofsted.gov.uk/inspection-reports/find-inspection-report/provider/CARE/SC479654","Ofsted Social Care Provider Webpage")</f>
        <v>Ofsted Social Care Provider Webpage</v>
      </c>
      <c r="B3472" s="55" t="s">
        <v>6402</v>
      </c>
      <c r="D3472" s="55" t="s">
        <v>373</v>
      </c>
      <c r="E3472" s="74">
        <v>41887</v>
      </c>
      <c r="F3472" s="55" t="s">
        <v>344</v>
      </c>
      <c r="G3472" s="55" t="s">
        <v>360</v>
      </c>
      <c r="H3472" s="55" t="s">
        <v>360</v>
      </c>
      <c r="I3472" s="55" t="s">
        <v>360</v>
      </c>
      <c r="J3472" s="55" t="s">
        <v>360</v>
      </c>
      <c r="K3472" s="55" t="s">
        <v>360</v>
      </c>
      <c r="L3472" s="55" t="s">
        <v>360</v>
      </c>
      <c r="M3472" s="55" t="s">
        <v>144</v>
      </c>
      <c r="N3472" s="55" t="s">
        <v>144</v>
      </c>
      <c r="O3472" s="55" t="s">
        <v>245</v>
      </c>
      <c r="P3472" s="55" t="s">
        <v>1796</v>
      </c>
      <c r="Q3472" s="55" t="s">
        <v>350</v>
      </c>
      <c r="R3472" s="85">
        <v>6</v>
      </c>
      <c r="S3472" s="55">
        <v>0</v>
      </c>
      <c r="T3472" s="74" t="s">
        <v>493</v>
      </c>
      <c r="U3472" s="74" t="s">
        <v>351</v>
      </c>
      <c r="V3472" s="74">
        <v>44600</v>
      </c>
      <c r="W3472" s="74">
        <v>44642</v>
      </c>
      <c r="X3472" s="55">
        <v>10185653</v>
      </c>
      <c r="Y3472" s="55" t="s">
        <v>140</v>
      </c>
      <c r="AB3472" s="74" t="s">
        <v>140</v>
      </c>
      <c r="AC3472" s="55" t="s">
        <v>132</v>
      </c>
    </row>
    <row r="3473" spans="1:29" ht="13" x14ac:dyDescent="0.15">
      <c r="A3473" s="55" t="str">
        <f>HYPERLINK("http://reports.ofsted.gov.uk/inspection-reports/find-inspection-report/provider/CARE/SC479919","Ofsted Social Care Provider Webpage")</f>
        <v>Ofsted Social Care Provider Webpage</v>
      </c>
      <c r="B3473" s="55" t="s">
        <v>6403</v>
      </c>
      <c r="D3473" s="55" t="s">
        <v>451</v>
      </c>
      <c r="E3473" s="74">
        <v>41918</v>
      </c>
      <c r="F3473" s="55" t="s">
        <v>344</v>
      </c>
      <c r="G3473" s="55" t="s">
        <v>6404</v>
      </c>
      <c r="H3473" s="55" t="s">
        <v>6405</v>
      </c>
      <c r="I3473" s="55" t="s">
        <v>354</v>
      </c>
      <c r="J3473" s="55" t="s">
        <v>6406</v>
      </c>
      <c r="K3473" s="55" t="s">
        <v>174</v>
      </c>
      <c r="L3473" s="55" t="s">
        <v>6407</v>
      </c>
      <c r="M3473" s="55" t="s">
        <v>136</v>
      </c>
      <c r="N3473" s="55" t="s">
        <v>136</v>
      </c>
      <c r="O3473" s="55" t="s">
        <v>174</v>
      </c>
      <c r="P3473" s="55" t="s">
        <v>857</v>
      </c>
      <c r="Q3473" s="55" t="s">
        <v>350</v>
      </c>
      <c r="R3473" s="85">
        <v>4</v>
      </c>
      <c r="S3473" s="55">
        <v>0</v>
      </c>
      <c r="T3473" s="74" t="s">
        <v>6408</v>
      </c>
      <c r="U3473" s="74" t="s">
        <v>351</v>
      </c>
      <c r="V3473" s="74">
        <v>44404</v>
      </c>
      <c r="W3473" s="74">
        <v>44445</v>
      </c>
      <c r="X3473" s="55">
        <v>10183279</v>
      </c>
      <c r="Y3473" s="55" t="s">
        <v>130</v>
      </c>
      <c r="AB3473" s="74" t="s">
        <v>130</v>
      </c>
      <c r="AC3473" s="55" t="s">
        <v>130</v>
      </c>
    </row>
    <row r="3474" spans="1:29" ht="13" x14ac:dyDescent="0.15">
      <c r="A3474" s="55" t="str">
        <f>HYPERLINK("http://reports.ofsted.gov.uk/inspection-reports/find-inspection-report/provider/CARE/SC480075","Ofsted Social Care Provider Webpage")</f>
        <v>Ofsted Social Care Provider Webpage</v>
      </c>
      <c r="B3474" s="55" t="s">
        <v>6409</v>
      </c>
      <c r="D3474" s="55" t="s">
        <v>373</v>
      </c>
      <c r="E3474" s="74">
        <v>41990</v>
      </c>
      <c r="F3474" s="55" t="s">
        <v>344</v>
      </c>
      <c r="G3474" s="55" t="s">
        <v>360</v>
      </c>
      <c r="H3474" s="55" t="s">
        <v>360</v>
      </c>
      <c r="I3474" s="55" t="s">
        <v>360</v>
      </c>
      <c r="J3474" s="55" t="s">
        <v>360</v>
      </c>
      <c r="K3474" s="55" t="s">
        <v>360</v>
      </c>
      <c r="L3474" s="55" t="s">
        <v>360</v>
      </c>
      <c r="M3474" s="55" t="s">
        <v>144</v>
      </c>
      <c r="N3474" s="55" t="s">
        <v>144</v>
      </c>
      <c r="O3474" s="55" t="s">
        <v>290</v>
      </c>
      <c r="P3474" s="55" t="s">
        <v>1099</v>
      </c>
      <c r="Q3474" s="55" t="s">
        <v>350</v>
      </c>
      <c r="R3474" s="85">
        <v>3</v>
      </c>
      <c r="S3474" s="55">
        <v>0</v>
      </c>
      <c r="T3474" s="74" t="s">
        <v>6410</v>
      </c>
      <c r="U3474" s="74" t="s">
        <v>351</v>
      </c>
      <c r="V3474" s="74">
        <v>44600</v>
      </c>
      <c r="W3474" s="74">
        <v>44644</v>
      </c>
      <c r="X3474" s="55">
        <v>10186770</v>
      </c>
      <c r="Y3474" s="55" t="s">
        <v>132</v>
      </c>
      <c r="AB3474" s="74" t="s">
        <v>132</v>
      </c>
      <c r="AC3474" s="55" t="s">
        <v>132</v>
      </c>
    </row>
    <row r="3475" spans="1:29" ht="13" x14ac:dyDescent="0.15">
      <c r="A3475" s="55" t="str">
        <f>HYPERLINK("http://reports.ofsted.gov.uk/inspection-reports/find-inspection-report/provider/CARE/SC480161","Ofsted Social Care Provider Webpage")</f>
        <v>Ofsted Social Care Provider Webpage</v>
      </c>
      <c r="B3475" s="55" t="s">
        <v>6411</v>
      </c>
      <c r="D3475" s="55" t="s">
        <v>373</v>
      </c>
      <c r="E3475" s="74">
        <v>41892</v>
      </c>
      <c r="F3475" s="55" t="s">
        <v>344</v>
      </c>
      <c r="G3475" s="55" t="s">
        <v>360</v>
      </c>
      <c r="H3475" s="55" t="s">
        <v>360</v>
      </c>
      <c r="I3475" s="55" t="s">
        <v>360</v>
      </c>
      <c r="J3475" s="55" t="s">
        <v>360</v>
      </c>
      <c r="K3475" s="55" t="s">
        <v>360</v>
      </c>
      <c r="L3475" s="55" t="s">
        <v>360</v>
      </c>
      <c r="M3475" s="55" t="s">
        <v>144</v>
      </c>
      <c r="N3475" s="55" t="s">
        <v>144</v>
      </c>
      <c r="O3475" s="55" t="s">
        <v>271</v>
      </c>
      <c r="P3475" s="55" t="s">
        <v>1122</v>
      </c>
      <c r="Q3475" s="55" t="s">
        <v>350</v>
      </c>
      <c r="R3475" s="85">
        <v>6</v>
      </c>
      <c r="S3475" s="55">
        <v>0</v>
      </c>
      <c r="T3475" s="74" t="s">
        <v>493</v>
      </c>
      <c r="U3475" s="74" t="s">
        <v>351</v>
      </c>
      <c r="V3475" s="74">
        <v>44544</v>
      </c>
      <c r="W3475" s="74">
        <v>44589</v>
      </c>
      <c r="X3475" s="55">
        <v>10187263</v>
      </c>
      <c r="Y3475" s="55" t="s">
        <v>140</v>
      </c>
      <c r="AB3475" s="74" t="s">
        <v>140</v>
      </c>
      <c r="AC3475" s="55" t="s">
        <v>140</v>
      </c>
    </row>
    <row r="3476" spans="1:29" ht="13" x14ac:dyDescent="0.15">
      <c r="A3476" s="55" t="str">
        <f>HYPERLINK("http://reports.ofsted.gov.uk/inspection-reports/find-inspection-report/provider/CARE/SC480240","Ofsted Social Care Provider Webpage")</f>
        <v>Ofsted Social Care Provider Webpage</v>
      </c>
      <c r="B3476" s="55" t="s">
        <v>6412</v>
      </c>
      <c r="D3476" s="55" t="s">
        <v>373</v>
      </c>
      <c r="E3476" s="74">
        <v>41935</v>
      </c>
      <c r="F3476" s="55" t="s">
        <v>344</v>
      </c>
      <c r="G3476" s="55" t="s">
        <v>360</v>
      </c>
      <c r="H3476" s="55" t="s">
        <v>360</v>
      </c>
      <c r="I3476" s="55" t="s">
        <v>360</v>
      </c>
      <c r="J3476" s="55" t="s">
        <v>360</v>
      </c>
      <c r="K3476" s="55" t="s">
        <v>360</v>
      </c>
      <c r="L3476" s="55" t="s">
        <v>360</v>
      </c>
      <c r="M3476" s="55" t="s">
        <v>144</v>
      </c>
      <c r="N3476" s="55" t="s">
        <v>144</v>
      </c>
      <c r="O3476" s="55" t="s">
        <v>209</v>
      </c>
      <c r="P3476" s="55" t="s">
        <v>629</v>
      </c>
      <c r="Q3476" s="55" t="s">
        <v>350</v>
      </c>
      <c r="R3476" s="85">
        <v>7</v>
      </c>
      <c r="S3476" s="55">
        <v>0</v>
      </c>
      <c r="T3476" s="74" t="s">
        <v>493</v>
      </c>
      <c r="U3476" s="74" t="s">
        <v>351</v>
      </c>
      <c r="V3476" s="74">
        <v>44349</v>
      </c>
      <c r="W3476" s="74">
        <v>44386</v>
      </c>
      <c r="X3476" s="55">
        <v>10186664</v>
      </c>
      <c r="Y3476" s="55" t="s">
        <v>130</v>
      </c>
      <c r="AB3476" s="74" t="s">
        <v>130</v>
      </c>
      <c r="AC3476" s="55" t="s">
        <v>130</v>
      </c>
    </row>
    <row r="3477" spans="1:29" ht="13" x14ac:dyDescent="0.15">
      <c r="A3477" s="55" t="str">
        <f>HYPERLINK("http://reports.ofsted.gov.uk/inspection-reports/find-inspection-report/provider/CARE/SC480318","Ofsted Social Care Provider Webpage")</f>
        <v>Ofsted Social Care Provider Webpage</v>
      </c>
      <c r="B3477" s="55" t="s">
        <v>6413</v>
      </c>
      <c r="D3477" s="55" t="s">
        <v>373</v>
      </c>
      <c r="E3477" s="74">
        <v>41877</v>
      </c>
      <c r="F3477" s="55" t="s">
        <v>344</v>
      </c>
      <c r="G3477" s="55" t="s">
        <v>360</v>
      </c>
      <c r="H3477" s="55" t="s">
        <v>360</v>
      </c>
      <c r="I3477" s="55" t="s">
        <v>360</v>
      </c>
      <c r="J3477" s="55" t="s">
        <v>360</v>
      </c>
      <c r="K3477" s="55" t="s">
        <v>360</v>
      </c>
      <c r="L3477" s="55" t="s">
        <v>360</v>
      </c>
      <c r="M3477" s="55" t="s">
        <v>142</v>
      </c>
      <c r="N3477" s="55" t="s">
        <v>142</v>
      </c>
      <c r="O3477" s="55" t="s">
        <v>252</v>
      </c>
      <c r="P3477" s="55" t="s">
        <v>388</v>
      </c>
      <c r="Q3477" s="55" t="s">
        <v>350</v>
      </c>
      <c r="R3477" s="85">
        <v>4</v>
      </c>
      <c r="S3477" s="55">
        <v>0</v>
      </c>
      <c r="T3477" s="74" t="s">
        <v>1260</v>
      </c>
      <c r="U3477" s="74" t="s">
        <v>351</v>
      </c>
      <c r="V3477" s="74">
        <v>44629</v>
      </c>
      <c r="W3477" s="74">
        <v>44679</v>
      </c>
      <c r="X3477" s="55">
        <v>10185391</v>
      </c>
      <c r="Y3477" s="55" t="s">
        <v>132</v>
      </c>
      <c r="AB3477" s="74" t="s">
        <v>132</v>
      </c>
      <c r="AC3477" s="55" t="s">
        <v>130</v>
      </c>
    </row>
    <row r="3478" spans="1:29" ht="13" x14ac:dyDescent="0.15">
      <c r="A3478" s="55" t="str">
        <f>HYPERLINK("http://reports.ofsted.gov.uk/inspection-reports/find-inspection-report/provider/CARE/SC480422","Ofsted Social Care Provider Webpage")</f>
        <v>Ofsted Social Care Provider Webpage</v>
      </c>
      <c r="B3478" s="55" t="s">
        <v>6414</v>
      </c>
      <c r="D3478" s="55" t="s">
        <v>373</v>
      </c>
      <c r="E3478" s="74">
        <v>41848</v>
      </c>
      <c r="F3478" s="55" t="s">
        <v>344</v>
      </c>
      <c r="G3478" s="55" t="s">
        <v>360</v>
      </c>
      <c r="H3478" s="55" t="s">
        <v>360</v>
      </c>
      <c r="I3478" s="55" t="s">
        <v>360</v>
      </c>
      <c r="J3478" s="55" t="s">
        <v>360</v>
      </c>
      <c r="K3478" s="55" t="s">
        <v>360</v>
      </c>
      <c r="L3478" s="55" t="s">
        <v>360</v>
      </c>
      <c r="M3478" s="55" t="s">
        <v>144</v>
      </c>
      <c r="N3478" s="55" t="s">
        <v>144</v>
      </c>
      <c r="O3478" s="55" t="s">
        <v>168</v>
      </c>
      <c r="P3478" s="55" t="s">
        <v>834</v>
      </c>
      <c r="Q3478" s="55" t="s">
        <v>350</v>
      </c>
      <c r="R3478" s="85">
        <v>8</v>
      </c>
      <c r="S3478" s="55">
        <v>0</v>
      </c>
      <c r="T3478" s="74" t="s">
        <v>435</v>
      </c>
      <c r="U3478" s="74" t="s">
        <v>351</v>
      </c>
      <c r="V3478" s="74">
        <v>44587</v>
      </c>
      <c r="W3478" s="74">
        <v>44638</v>
      </c>
      <c r="X3478" s="55">
        <v>10185985</v>
      </c>
      <c r="Y3478" s="55" t="s">
        <v>132</v>
      </c>
      <c r="AB3478" s="74" t="s">
        <v>132</v>
      </c>
      <c r="AC3478" s="55" t="s">
        <v>130</v>
      </c>
    </row>
    <row r="3479" spans="1:29" ht="13" x14ac:dyDescent="0.15">
      <c r="A3479" s="55" t="str">
        <f>HYPERLINK("http://reports.ofsted.gov.uk/inspection-reports/find-inspection-report/provider/CARE/SC480429","Ofsted Social Care Provider Webpage")</f>
        <v>Ofsted Social Care Provider Webpage</v>
      </c>
      <c r="B3479" s="55" t="s">
        <v>6415</v>
      </c>
      <c r="D3479" s="55" t="s">
        <v>373</v>
      </c>
      <c r="E3479" s="74">
        <v>41859</v>
      </c>
      <c r="F3479" s="55" t="s">
        <v>344</v>
      </c>
      <c r="G3479" s="55" t="s">
        <v>360</v>
      </c>
      <c r="H3479" s="55" t="s">
        <v>360</v>
      </c>
      <c r="I3479" s="55" t="s">
        <v>360</v>
      </c>
      <c r="J3479" s="55" t="s">
        <v>360</v>
      </c>
      <c r="K3479" s="55" t="s">
        <v>360</v>
      </c>
      <c r="L3479" s="55" t="s">
        <v>360</v>
      </c>
      <c r="M3479" s="55" t="s">
        <v>144</v>
      </c>
      <c r="N3479" s="55" t="s">
        <v>144</v>
      </c>
      <c r="O3479" s="55" t="s">
        <v>209</v>
      </c>
      <c r="P3479" s="55" t="s">
        <v>1858</v>
      </c>
      <c r="Q3479" s="55" t="s">
        <v>350</v>
      </c>
      <c r="R3479" s="85">
        <v>1</v>
      </c>
      <c r="S3479" s="55">
        <v>0</v>
      </c>
      <c r="T3479" s="74" t="s">
        <v>385</v>
      </c>
      <c r="U3479" s="74" t="s">
        <v>351</v>
      </c>
      <c r="V3479" s="74">
        <v>44377</v>
      </c>
      <c r="W3479" s="74">
        <v>44427</v>
      </c>
      <c r="X3479" s="55">
        <v>10186694</v>
      </c>
      <c r="Y3479" s="55" t="s">
        <v>132</v>
      </c>
      <c r="AB3479" s="74" t="s">
        <v>132</v>
      </c>
      <c r="AC3479" s="55" t="s">
        <v>132</v>
      </c>
    </row>
    <row r="3480" spans="1:29" ht="13" x14ac:dyDescent="0.15">
      <c r="A3480" s="55" t="str">
        <f>HYPERLINK("http://reports.ofsted.gov.uk/inspection-reports/find-inspection-report/provider/CARE/SC480502","Ofsted Social Care Provider Webpage")</f>
        <v>Ofsted Social Care Provider Webpage</v>
      </c>
      <c r="B3480" s="55" t="s">
        <v>6416</v>
      </c>
      <c r="D3480" s="55" t="s">
        <v>373</v>
      </c>
      <c r="E3480" s="74">
        <v>41904</v>
      </c>
      <c r="F3480" s="55" t="s">
        <v>344</v>
      </c>
      <c r="G3480" s="55" t="s">
        <v>360</v>
      </c>
      <c r="H3480" s="55" t="s">
        <v>360</v>
      </c>
      <c r="I3480" s="55" t="s">
        <v>360</v>
      </c>
      <c r="J3480" s="55" t="s">
        <v>360</v>
      </c>
      <c r="K3480" s="55" t="s">
        <v>360</v>
      </c>
      <c r="L3480" s="55" t="s">
        <v>360</v>
      </c>
      <c r="M3480" s="55" t="s">
        <v>150</v>
      </c>
      <c r="N3480" s="55" t="s">
        <v>150</v>
      </c>
      <c r="O3480" s="55" t="s">
        <v>190</v>
      </c>
      <c r="P3480" s="55" t="s">
        <v>887</v>
      </c>
      <c r="Q3480" s="55" t="s">
        <v>350</v>
      </c>
      <c r="R3480" s="85">
        <v>4</v>
      </c>
      <c r="S3480" s="55">
        <v>0</v>
      </c>
      <c r="T3480" s="74" t="s">
        <v>888</v>
      </c>
      <c r="U3480" s="74" t="s">
        <v>351</v>
      </c>
      <c r="V3480" s="74">
        <v>44440</v>
      </c>
      <c r="W3480" s="74">
        <v>44483</v>
      </c>
      <c r="X3480" s="55">
        <v>10186813</v>
      </c>
      <c r="Y3480" s="55" t="s">
        <v>130</v>
      </c>
      <c r="AB3480" s="74" t="s">
        <v>130</v>
      </c>
      <c r="AC3480" s="55" t="s">
        <v>146</v>
      </c>
    </row>
    <row r="3481" spans="1:29" ht="13" x14ac:dyDescent="0.15">
      <c r="A3481" s="55" t="str">
        <f>HYPERLINK("http://reports.ofsted.gov.uk/inspection-reports/find-inspection-report/provider/CARE/SC480502","Ofsted Social Care Provider Webpage")</f>
        <v>Ofsted Social Care Provider Webpage</v>
      </c>
      <c r="B3481" s="55" t="s">
        <v>6416</v>
      </c>
      <c r="D3481" s="55" t="s">
        <v>373</v>
      </c>
      <c r="E3481" s="74">
        <v>41904</v>
      </c>
      <c r="F3481" s="55" t="s">
        <v>344</v>
      </c>
      <c r="G3481" s="55" t="s">
        <v>360</v>
      </c>
      <c r="H3481" s="55" t="s">
        <v>360</v>
      </c>
      <c r="I3481" s="55" t="s">
        <v>360</v>
      </c>
      <c r="J3481" s="55" t="s">
        <v>360</v>
      </c>
      <c r="K3481" s="55" t="s">
        <v>360</v>
      </c>
      <c r="L3481" s="55" t="s">
        <v>360</v>
      </c>
      <c r="M3481" s="55" t="s">
        <v>150</v>
      </c>
      <c r="N3481" s="55" t="s">
        <v>150</v>
      </c>
      <c r="O3481" s="55" t="s">
        <v>190</v>
      </c>
      <c r="P3481" s="55" t="s">
        <v>887</v>
      </c>
      <c r="Q3481" s="55" t="s">
        <v>350</v>
      </c>
      <c r="R3481" s="85">
        <v>4</v>
      </c>
      <c r="S3481" s="55">
        <v>0</v>
      </c>
      <c r="T3481" s="74" t="s">
        <v>888</v>
      </c>
      <c r="U3481" s="74" t="s">
        <v>6703</v>
      </c>
      <c r="V3481" s="74">
        <v>44580</v>
      </c>
      <c r="W3481" s="74">
        <v>44629</v>
      </c>
      <c r="X3481" s="55">
        <v>10212866</v>
      </c>
      <c r="Y3481" s="55" t="s">
        <v>6706</v>
      </c>
    </row>
    <row r="3482" spans="1:29" ht="13" x14ac:dyDescent="0.15">
      <c r="A3482" s="55" t="str">
        <f>HYPERLINK("http://reports.ofsted.gov.uk/inspection-reports/find-inspection-report/provider/CARE/SC480594","Ofsted Social Care Provider Webpage")</f>
        <v>Ofsted Social Care Provider Webpage</v>
      </c>
      <c r="B3482" s="55" t="s">
        <v>6417</v>
      </c>
      <c r="D3482" s="55" t="s">
        <v>373</v>
      </c>
      <c r="E3482" s="74">
        <v>41911</v>
      </c>
      <c r="F3482" s="55" t="s">
        <v>344</v>
      </c>
      <c r="G3482" s="55" t="s">
        <v>360</v>
      </c>
      <c r="H3482" s="55" t="s">
        <v>360</v>
      </c>
      <c r="I3482" s="55" t="s">
        <v>360</v>
      </c>
      <c r="J3482" s="55" t="s">
        <v>360</v>
      </c>
      <c r="K3482" s="55" t="s">
        <v>360</v>
      </c>
      <c r="L3482" s="55" t="s">
        <v>360</v>
      </c>
      <c r="M3482" s="55" t="s">
        <v>142</v>
      </c>
      <c r="N3482" s="55" t="s">
        <v>142</v>
      </c>
      <c r="O3482" s="55" t="s">
        <v>262</v>
      </c>
      <c r="P3482" s="55" t="s">
        <v>850</v>
      </c>
      <c r="Q3482" s="55" t="s">
        <v>350</v>
      </c>
      <c r="R3482" s="85">
        <v>4</v>
      </c>
      <c r="S3482" s="55">
        <v>0</v>
      </c>
      <c r="T3482" s="74" t="s">
        <v>1446</v>
      </c>
      <c r="U3482" s="74" t="s">
        <v>351</v>
      </c>
      <c r="V3482" s="74">
        <v>44376</v>
      </c>
      <c r="W3482" s="74">
        <v>44411</v>
      </c>
      <c r="X3482" s="55">
        <v>10185896</v>
      </c>
      <c r="Y3482" s="55" t="s">
        <v>140</v>
      </c>
      <c r="AB3482" s="74" t="s">
        <v>140</v>
      </c>
      <c r="AC3482" s="55" t="s">
        <v>140</v>
      </c>
    </row>
    <row r="3483" spans="1:29" ht="13" x14ac:dyDescent="0.15">
      <c r="A3483" s="55" t="str">
        <f>HYPERLINK("http://reports.ofsted.gov.uk/inspection-reports/find-inspection-report/provider/CARE/SC480655","Ofsted Social Care Provider Webpage")</f>
        <v>Ofsted Social Care Provider Webpage</v>
      </c>
      <c r="B3483" s="55" t="s">
        <v>6418</v>
      </c>
      <c r="D3483" s="55" t="s">
        <v>373</v>
      </c>
      <c r="E3483" s="74">
        <v>41913</v>
      </c>
      <c r="F3483" s="55" t="s">
        <v>344</v>
      </c>
      <c r="G3483" s="55" t="s">
        <v>360</v>
      </c>
      <c r="H3483" s="55" t="s">
        <v>360</v>
      </c>
      <c r="I3483" s="55" t="s">
        <v>360</v>
      </c>
      <c r="J3483" s="55" t="s">
        <v>360</v>
      </c>
      <c r="K3483" s="55" t="s">
        <v>360</v>
      </c>
      <c r="L3483" s="55" t="s">
        <v>360</v>
      </c>
      <c r="M3483" s="55" t="s">
        <v>172</v>
      </c>
      <c r="N3483" s="55" t="s">
        <v>172</v>
      </c>
      <c r="O3483" s="55" t="s">
        <v>212</v>
      </c>
      <c r="P3483" s="55" t="s">
        <v>798</v>
      </c>
      <c r="Q3483" s="55" t="s">
        <v>350</v>
      </c>
      <c r="R3483" s="85">
        <v>4</v>
      </c>
      <c r="S3483" s="55">
        <v>0</v>
      </c>
      <c r="T3483" s="74" t="s">
        <v>799</v>
      </c>
      <c r="U3483" s="74" t="s">
        <v>351</v>
      </c>
      <c r="V3483" s="74">
        <v>44475</v>
      </c>
      <c r="W3483" s="74">
        <v>44515</v>
      </c>
      <c r="X3483" s="55">
        <v>10186129</v>
      </c>
      <c r="Y3483" s="55" t="s">
        <v>132</v>
      </c>
      <c r="AB3483" s="74" t="s">
        <v>132</v>
      </c>
      <c r="AC3483" s="55" t="s">
        <v>132</v>
      </c>
    </row>
    <row r="3484" spans="1:29" ht="13" x14ac:dyDescent="0.15">
      <c r="A3484" s="55" t="str">
        <f>HYPERLINK("http://reports.ofsted.gov.uk/inspection-reports/find-inspection-report/provider/CARE/SC480671","Ofsted Social Care Provider Webpage")</f>
        <v>Ofsted Social Care Provider Webpage</v>
      </c>
      <c r="B3484" s="55" t="s">
        <v>6419</v>
      </c>
      <c r="D3484" s="55" t="s">
        <v>373</v>
      </c>
      <c r="E3484" s="74">
        <v>41935</v>
      </c>
      <c r="F3484" s="55" t="s">
        <v>344</v>
      </c>
      <c r="G3484" s="55" t="s">
        <v>360</v>
      </c>
      <c r="H3484" s="55" t="s">
        <v>360</v>
      </c>
      <c r="I3484" s="55" t="s">
        <v>360</v>
      </c>
      <c r="J3484" s="55" t="s">
        <v>360</v>
      </c>
      <c r="K3484" s="55" t="s">
        <v>360</v>
      </c>
      <c r="L3484" s="55" t="s">
        <v>360</v>
      </c>
      <c r="M3484" s="55" t="s">
        <v>144</v>
      </c>
      <c r="N3484" s="55" t="s">
        <v>144</v>
      </c>
      <c r="O3484" s="55" t="s">
        <v>209</v>
      </c>
      <c r="P3484" s="55" t="s">
        <v>1858</v>
      </c>
      <c r="Q3484" s="55" t="s">
        <v>350</v>
      </c>
      <c r="R3484" s="85">
        <v>8</v>
      </c>
      <c r="S3484" s="55">
        <v>0</v>
      </c>
      <c r="T3484" s="74" t="s">
        <v>493</v>
      </c>
      <c r="U3484" s="74" t="s">
        <v>351</v>
      </c>
      <c r="V3484" s="74">
        <v>44383</v>
      </c>
      <c r="W3484" s="74">
        <v>44418</v>
      </c>
      <c r="X3484" s="55">
        <v>10187292</v>
      </c>
      <c r="Y3484" s="55" t="s">
        <v>130</v>
      </c>
      <c r="AB3484" s="74" t="s">
        <v>130</v>
      </c>
      <c r="AC3484" s="55" t="s">
        <v>130</v>
      </c>
    </row>
    <row r="3485" spans="1:29" ht="13" x14ac:dyDescent="0.15">
      <c r="A3485" s="55" t="str">
        <f>HYPERLINK("http://reports.ofsted.gov.uk/inspection-reports/find-inspection-report/provider/CARE/SC480678","Ofsted Social Care Provider Webpage")</f>
        <v>Ofsted Social Care Provider Webpage</v>
      </c>
      <c r="B3485" s="55" t="s">
        <v>6420</v>
      </c>
      <c r="D3485" s="55" t="s">
        <v>373</v>
      </c>
      <c r="E3485" s="74">
        <v>41973</v>
      </c>
      <c r="F3485" s="55" t="s">
        <v>344</v>
      </c>
      <c r="G3485" s="55" t="s">
        <v>360</v>
      </c>
      <c r="H3485" s="55" t="s">
        <v>360</v>
      </c>
      <c r="I3485" s="55" t="s">
        <v>360</v>
      </c>
      <c r="J3485" s="55" t="s">
        <v>360</v>
      </c>
      <c r="K3485" s="55" t="s">
        <v>360</v>
      </c>
      <c r="L3485" s="55" t="s">
        <v>360</v>
      </c>
      <c r="M3485" s="55" t="s">
        <v>144</v>
      </c>
      <c r="N3485" s="55" t="s">
        <v>144</v>
      </c>
      <c r="O3485" s="55" t="s">
        <v>145</v>
      </c>
      <c r="P3485" s="55" t="s">
        <v>525</v>
      </c>
      <c r="Q3485" s="55" t="s">
        <v>350</v>
      </c>
      <c r="R3485" s="85">
        <v>5</v>
      </c>
      <c r="S3485" s="55">
        <v>0</v>
      </c>
      <c r="T3485" s="74" t="s">
        <v>493</v>
      </c>
      <c r="U3485" s="74" t="s">
        <v>351</v>
      </c>
      <c r="V3485" s="74">
        <v>44530</v>
      </c>
      <c r="W3485" s="74">
        <v>44579</v>
      </c>
      <c r="X3485" s="55">
        <v>10186705</v>
      </c>
      <c r="Y3485" s="55" t="s">
        <v>132</v>
      </c>
      <c r="AB3485" s="74" t="s">
        <v>132</v>
      </c>
      <c r="AC3485" s="55" t="s">
        <v>132</v>
      </c>
    </row>
    <row r="3486" spans="1:29" ht="13" x14ac:dyDescent="0.15">
      <c r="A3486" s="55" t="str">
        <f>HYPERLINK("http://reports.ofsted.gov.uk/inspection-reports/find-inspection-report/provider/CARE/SC480681","Ofsted Social Care Provider Webpage")</f>
        <v>Ofsted Social Care Provider Webpage</v>
      </c>
      <c r="B3486" s="55" t="s">
        <v>6421</v>
      </c>
      <c r="D3486" s="55" t="s">
        <v>373</v>
      </c>
      <c r="E3486" s="74">
        <v>42031</v>
      </c>
      <c r="F3486" s="55" t="s">
        <v>344</v>
      </c>
      <c r="G3486" s="55" t="s">
        <v>360</v>
      </c>
      <c r="H3486" s="55" t="s">
        <v>360</v>
      </c>
      <c r="I3486" s="55" t="s">
        <v>360</v>
      </c>
      <c r="J3486" s="55" t="s">
        <v>360</v>
      </c>
      <c r="K3486" s="55" t="s">
        <v>360</v>
      </c>
      <c r="L3486" s="55" t="s">
        <v>360</v>
      </c>
      <c r="M3486" s="55" t="s">
        <v>144</v>
      </c>
      <c r="N3486" s="55" t="s">
        <v>144</v>
      </c>
      <c r="O3486" s="55" t="s">
        <v>209</v>
      </c>
      <c r="P3486" s="55" t="s">
        <v>777</v>
      </c>
      <c r="Q3486" s="55" t="s">
        <v>350</v>
      </c>
      <c r="R3486" s="85">
        <v>6</v>
      </c>
      <c r="S3486" s="55">
        <v>0</v>
      </c>
      <c r="T3486" s="74" t="s">
        <v>493</v>
      </c>
      <c r="U3486" s="74" t="s">
        <v>351</v>
      </c>
      <c r="V3486" s="74">
        <v>44502</v>
      </c>
      <c r="W3486" s="74">
        <v>44537</v>
      </c>
      <c r="X3486" s="55">
        <v>10187143</v>
      </c>
      <c r="Y3486" s="55" t="s">
        <v>132</v>
      </c>
      <c r="AB3486" s="74" t="s">
        <v>132</v>
      </c>
      <c r="AC3486" s="55" t="s">
        <v>132</v>
      </c>
    </row>
    <row r="3487" spans="1:29" ht="13" x14ac:dyDescent="0.15">
      <c r="A3487" s="55" t="str">
        <f>HYPERLINK("http://reports.ofsted.gov.uk/inspection-reports/find-inspection-report/provider/CARE/SC480704","Ofsted Social Care Provider Webpage")</f>
        <v>Ofsted Social Care Provider Webpage</v>
      </c>
      <c r="B3487" s="55" t="s">
        <v>6422</v>
      </c>
      <c r="D3487" s="55" t="s">
        <v>373</v>
      </c>
      <c r="E3487" s="74">
        <v>41973</v>
      </c>
      <c r="F3487" s="55" t="s">
        <v>344</v>
      </c>
      <c r="G3487" s="55" t="s">
        <v>360</v>
      </c>
      <c r="H3487" s="55" t="s">
        <v>360</v>
      </c>
      <c r="I3487" s="55" t="s">
        <v>360</v>
      </c>
      <c r="J3487" s="55" t="s">
        <v>360</v>
      </c>
      <c r="K3487" s="55" t="s">
        <v>360</v>
      </c>
      <c r="L3487" s="55" t="s">
        <v>360</v>
      </c>
      <c r="M3487" s="55" t="s">
        <v>144</v>
      </c>
      <c r="N3487" s="55" t="s">
        <v>144</v>
      </c>
      <c r="O3487" s="55" t="s">
        <v>145</v>
      </c>
      <c r="P3487" s="55" t="s">
        <v>525</v>
      </c>
      <c r="Q3487" s="55" t="s">
        <v>350</v>
      </c>
      <c r="R3487" s="85">
        <v>5</v>
      </c>
      <c r="S3487" s="55">
        <v>0</v>
      </c>
      <c r="T3487" s="74" t="s">
        <v>493</v>
      </c>
      <c r="U3487" s="74" t="s">
        <v>351</v>
      </c>
      <c r="V3487" s="74">
        <v>44481</v>
      </c>
      <c r="W3487" s="74">
        <v>44538</v>
      </c>
      <c r="X3487" s="55">
        <v>10186725</v>
      </c>
      <c r="Y3487" s="55" t="s">
        <v>130</v>
      </c>
      <c r="AB3487" s="74" t="s">
        <v>130</v>
      </c>
      <c r="AC3487" s="55" t="s">
        <v>130</v>
      </c>
    </row>
    <row r="3488" spans="1:29" ht="13" x14ac:dyDescent="0.15">
      <c r="A3488" s="55" t="str">
        <f>HYPERLINK("http://reports.ofsted.gov.uk/inspection-reports/find-inspection-report/provider/CARE/SC480705","Ofsted Social Care Provider Webpage")</f>
        <v>Ofsted Social Care Provider Webpage</v>
      </c>
      <c r="B3488" s="55" t="s">
        <v>6423</v>
      </c>
      <c r="D3488" s="55" t="s">
        <v>373</v>
      </c>
      <c r="E3488" s="74">
        <v>41883</v>
      </c>
      <c r="F3488" s="55" t="s">
        <v>344</v>
      </c>
      <c r="G3488" s="55" t="s">
        <v>360</v>
      </c>
      <c r="H3488" s="55" t="s">
        <v>360</v>
      </c>
      <c r="I3488" s="55" t="s">
        <v>360</v>
      </c>
      <c r="J3488" s="55" t="s">
        <v>360</v>
      </c>
      <c r="K3488" s="55" t="s">
        <v>360</v>
      </c>
      <c r="L3488" s="55" t="s">
        <v>360</v>
      </c>
      <c r="M3488" s="55" t="s">
        <v>150</v>
      </c>
      <c r="N3488" s="55" t="s">
        <v>150</v>
      </c>
      <c r="O3488" s="55" t="s">
        <v>190</v>
      </c>
      <c r="P3488" s="55" t="s">
        <v>897</v>
      </c>
      <c r="Q3488" s="55" t="s">
        <v>350</v>
      </c>
      <c r="R3488" s="85">
        <v>3</v>
      </c>
      <c r="S3488" s="55">
        <v>0</v>
      </c>
      <c r="T3488" s="74" t="s">
        <v>1051</v>
      </c>
      <c r="U3488" s="74" t="s">
        <v>351</v>
      </c>
      <c r="V3488" s="74">
        <v>44607</v>
      </c>
      <c r="W3488" s="74">
        <v>44659</v>
      </c>
      <c r="X3488" s="55">
        <v>10186977</v>
      </c>
      <c r="Y3488" s="55" t="s">
        <v>140</v>
      </c>
      <c r="AB3488" s="74" t="s">
        <v>140</v>
      </c>
      <c r="AC3488" s="55" t="s">
        <v>140</v>
      </c>
    </row>
    <row r="3489" spans="1:29" ht="13" x14ac:dyDescent="0.15">
      <c r="A3489" s="55" t="str">
        <f>HYPERLINK("http://reports.ofsted.gov.uk/inspection-reports/find-inspection-report/provider/CARE/SC480840","Ofsted Social Care Provider Webpage")</f>
        <v>Ofsted Social Care Provider Webpage</v>
      </c>
      <c r="B3489" s="55" t="s">
        <v>6763</v>
      </c>
      <c r="D3489" s="55" t="s">
        <v>373</v>
      </c>
      <c r="E3489" s="74">
        <v>41933</v>
      </c>
      <c r="F3489" s="55" t="s">
        <v>6707</v>
      </c>
      <c r="G3489" s="55" t="s">
        <v>360</v>
      </c>
      <c r="H3489" s="55" t="s">
        <v>360</v>
      </c>
      <c r="I3489" s="55" t="s">
        <v>360</v>
      </c>
      <c r="J3489" s="55" t="s">
        <v>360</v>
      </c>
      <c r="K3489" s="55" t="s">
        <v>360</v>
      </c>
      <c r="L3489" s="55" t="s">
        <v>360</v>
      </c>
      <c r="M3489" s="55" t="s">
        <v>378</v>
      </c>
      <c r="N3489" s="55" t="s">
        <v>134</v>
      </c>
      <c r="O3489" s="55" t="s">
        <v>151</v>
      </c>
      <c r="P3489" s="55" t="s">
        <v>1778</v>
      </c>
      <c r="Q3489" s="55" t="s">
        <v>350</v>
      </c>
      <c r="R3489" s="85">
        <v>8</v>
      </c>
      <c r="S3489" s="55">
        <v>0</v>
      </c>
      <c r="T3489" s="74" t="s">
        <v>493</v>
      </c>
      <c r="U3489" s="74" t="s">
        <v>351</v>
      </c>
      <c r="V3489" s="74">
        <v>44475</v>
      </c>
      <c r="W3489" s="74">
        <v>44508</v>
      </c>
      <c r="X3489" s="55">
        <v>10187191</v>
      </c>
      <c r="Y3489" s="55" t="s">
        <v>132</v>
      </c>
      <c r="AB3489" s="74" t="s">
        <v>132</v>
      </c>
      <c r="AC3489" s="55" t="s">
        <v>132</v>
      </c>
    </row>
    <row r="3490" spans="1:29" ht="13" x14ac:dyDescent="0.15">
      <c r="A3490" s="55" t="str">
        <f>HYPERLINK("http://reports.ofsted.gov.uk/inspection-reports/find-inspection-report/provider/CARE/SC480847","Ofsted Social Care Provider Webpage")</f>
        <v>Ofsted Social Care Provider Webpage</v>
      </c>
      <c r="B3490" s="55" t="s">
        <v>6424</v>
      </c>
      <c r="D3490" s="55" t="s">
        <v>373</v>
      </c>
      <c r="E3490" s="74">
        <v>41974</v>
      </c>
      <c r="F3490" s="55" t="s">
        <v>344</v>
      </c>
      <c r="G3490" s="55" t="s">
        <v>360</v>
      </c>
      <c r="H3490" s="55" t="s">
        <v>360</v>
      </c>
      <c r="I3490" s="55" t="s">
        <v>360</v>
      </c>
      <c r="J3490" s="55" t="s">
        <v>360</v>
      </c>
      <c r="K3490" s="55" t="s">
        <v>360</v>
      </c>
      <c r="L3490" s="55" t="s">
        <v>360</v>
      </c>
      <c r="M3490" s="55" t="s">
        <v>378</v>
      </c>
      <c r="N3490" s="55" t="s">
        <v>134</v>
      </c>
      <c r="O3490" s="55" t="s">
        <v>180</v>
      </c>
      <c r="P3490" s="55" t="s">
        <v>1892</v>
      </c>
      <c r="Q3490" s="55" t="s">
        <v>350</v>
      </c>
      <c r="R3490" s="85">
        <v>4</v>
      </c>
      <c r="S3490" s="55">
        <v>0</v>
      </c>
      <c r="T3490" s="74" t="s">
        <v>493</v>
      </c>
      <c r="U3490" s="74" t="s">
        <v>351</v>
      </c>
      <c r="V3490" s="74">
        <v>44601</v>
      </c>
      <c r="W3490" s="74">
        <v>44652</v>
      </c>
      <c r="X3490" s="55">
        <v>10187102</v>
      </c>
      <c r="Y3490" s="55" t="s">
        <v>132</v>
      </c>
      <c r="AB3490" s="74" t="s">
        <v>130</v>
      </c>
      <c r="AC3490" s="55" t="s">
        <v>132</v>
      </c>
    </row>
    <row r="3491" spans="1:29" ht="13" x14ac:dyDescent="0.15">
      <c r="A3491" s="55" t="str">
        <f>HYPERLINK("http://reports.ofsted.gov.uk/inspection-reports/find-inspection-report/provider/CARE/SC480854","Ofsted Social Care Provider Webpage")</f>
        <v>Ofsted Social Care Provider Webpage</v>
      </c>
      <c r="B3491" s="55" t="s">
        <v>6425</v>
      </c>
      <c r="D3491" s="55" t="s">
        <v>373</v>
      </c>
      <c r="E3491" s="74">
        <v>41927</v>
      </c>
      <c r="F3491" s="55" t="s">
        <v>344</v>
      </c>
      <c r="G3491" s="55" t="s">
        <v>360</v>
      </c>
      <c r="H3491" s="55" t="s">
        <v>360</v>
      </c>
      <c r="I3491" s="55" t="s">
        <v>360</v>
      </c>
      <c r="J3491" s="55" t="s">
        <v>360</v>
      </c>
      <c r="K3491" s="55" t="s">
        <v>360</v>
      </c>
      <c r="L3491" s="55" t="s">
        <v>360</v>
      </c>
      <c r="M3491" s="55" t="s">
        <v>378</v>
      </c>
      <c r="N3491" s="55" t="s">
        <v>134</v>
      </c>
      <c r="O3491" s="55" t="s">
        <v>206</v>
      </c>
      <c r="P3491" s="55" t="s">
        <v>760</v>
      </c>
      <c r="Q3491" s="55" t="s">
        <v>350</v>
      </c>
      <c r="R3491" s="85">
        <v>6</v>
      </c>
      <c r="S3491" s="55">
        <v>0</v>
      </c>
      <c r="T3491" s="74" t="s">
        <v>493</v>
      </c>
      <c r="U3491" s="74" t="s">
        <v>351</v>
      </c>
      <c r="V3491" s="74">
        <v>44340</v>
      </c>
      <c r="W3491" s="74">
        <v>44390</v>
      </c>
      <c r="X3491" s="55">
        <v>10186880</v>
      </c>
      <c r="Y3491" s="55" t="s">
        <v>132</v>
      </c>
      <c r="AB3491" s="74" t="s">
        <v>132</v>
      </c>
      <c r="AC3491" s="55" t="s">
        <v>132</v>
      </c>
    </row>
    <row r="3492" spans="1:29" ht="13" x14ac:dyDescent="0.15">
      <c r="A3492" s="55" t="str">
        <f>HYPERLINK("http://reports.ofsted.gov.uk/inspection-reports/find-inspection-report/provider/CARE/SC481015","Ofsted Social Care Provider Webpage")</f>
        <v>Ofsted Social Care Provider Webpage</v>
      </c>
      <c r="B3492" s="55" t="s">
        <v>6426</v>
      </c>
      <c r="D3492" s="55" t="s">
        <v>373</v>
      </c>
      <c r="E3492" s="74">
        <v>41920</v>
      </c>
      <c r="F3492" s="55" t="s">
        <v>344</v>
      </c>
      <c r="G3492" s="55" t="s">
        <v>360</v>
      </c>
      <c r="H3492" s="55" t="s">
        <v>360</v>
      </c>
      <c r="I3492" s="55" t="s">
        <v>360</v>
      </c>
      <c r="J3492" s="55" t="s">
        <v>360</v>
      </c>
      <c r="K3492" s="55" t="s">
        <v>360</v>
      </c>
      <c r="L3492" s="55" t="s">
        <v>360</v>
      </c>
      <c r="M3492" s="55" t="s">
        <v>138</v>
      </c>
      <c r="N3492" s="55" t="s">
        <v>138</v>
      </c>
      <c r="O3492" s="55" t="s">
        <v>159</v>
      </c>
      <c r="P3492" s="55" t="s">
        <v>1985</v>
      </c>
      <c r="Q3492" s="55" t="s">
        <v>350</v>
      </c>
      <c r="R3492" s="85">
        <v>6</v>
      </c>
      <c r="S3492" s="55">
        <v>0</v>
      </c>
      <c r="T3492" s="74" t="s">
        <v>375</v>
      </c>
      <c r="U3492" s="74" t="s">
        <v>351</v>
      </c>
      <c r="V3492" s="74">
        <v>44369</v>
      </c>
      <c r="W3492" s="74">
        <v>44392</v>
      </c>
      <c r="X3492" s="55">
        <v>10187411</v>
      </c>
      <c r="Y3492" s="55" t="s">
        <v>132</v>
      </c>
      <c r="AB3492" s="74" t="s">
        <v>132</v>
      </c>
      <c r="AC3492" s="55" t="s">
        <v>132</v>
      </c>
    </row>
    <row r="3493" spans="1:29" ht="13" x14ac:dyDescent="0.15">
      <c r="A3493" s="55" t="str">
        <f>HYPERLINK("http://reports.ofsted.gov.uk/inspection-reports/find-inspection-report/provider/CARE/SC481015","Ofsted Social Care Provider Webpage")</f>
        <v>Ofsted Social Care Provider Webpage</v>
      </c>
      <c r="B3493" s="55" t="s">
        <v>6426</v>
      </c>
      <c r="D3493" s="55" t="s">
        <v>373</v>
      </c>
      <c r="E3493" s="74">
        <v>41920</v>
      </c>
      <c r="F3493" s="55" t="s">
        <v>344</v>
      </c>
      <c r="G3493" s="55" t="s">
        <v>360</v>
      </c>
      <c r="H3493" s="55" t="s">
        <v>360</v>
      </c>
      <c r="I3493" s="55" t="s">
        <v>360</v>
      </c>
      <c r="J3493" s="55" t="s">
        <v>360</v>
      </c>
      <c r="K3493" s="55" t="s">
        <v>360</v>
      </c>
      <c r="L3493" s="55" t="s">
        <v>360</v>
      </c>
      <c r="M3493" s="55" t="s">
        <v>138</v>
      </c>
      <c r="N3493" s="55" t="s">
        <v>138</v>
      </c>
      <c r="O3493" s="55" t="s">
        <v>159</v>
      </c>
      <c r="P3493" s="55" t="s">
        <v>1985</v>
      </c>
      <c r="Q3493" s="55" t="s">
        <v>350</v>
      </c>
      <c r="R3493" s="85">
        <v>6</v>
      </c>
      <c r="S3493" s="55">
        <v>0</v>
      </c>
      <c r="T3493" s="74" t="s">
        <v>375</v>
      </c>
      <c r="U3493" s="74" t="s">
        <v>6703</v>
      </c>
      <c r="V3493" s="74">
        <v>44587</v>
      </c>
      <c r="W3493" s="74">
        <v>44617</v>
      </c>
      <c r="X3493" s="55">
        <v>10220241</v>
      </c>
      <c r="Y3493" s="55" t="s">
        <v>6704</v>
      </c>
    </row>
    <row r="3494" spans="1:29" ht="13" x14ac:dyDescent="0.15">
      <c r="A3494" s="55" t="str">
        <f>HYPERLINK("http://reports.ofsted.gov.uk/inspection-reports/find-inspection-report/provider/CARE/SC481040","Ofsted Social Care Provider Webpage")</f>
        <v>Ofsted Social Care Provider Webpage</v>
      </c>
      <c r="B3494" s="55" t="s">
        <v>6427</v>
      </c>
      <c r="D3494" s="55" t="s">
        <v>373</v>
      </c>
      <c r="E3494" s="74">
        <v>42059</v>
      </c>
      <c r="F3494" s="55" t="s">
        <v>344</v>
      </c>
      <c r="G3494" s="55" t="s">
        <v>360</v>
      </c>
      <c r="H3494" s="55" t="s">
        <v>360</v>
      </c>
      <c r="I3494" s="55" t="s">
        <v>360</v>
      </c>
      <c r="J3494" s="55" t="s">
        <v>360</v>
      </c>
      <c r="K3494" s="55" t="s">
        <v>360</v>
      </c>
      <c r="L3494" s="55" t="s">
        <v>360</v>
      </c>
      <c r="M3494" s="55" t="s">
        <v>150</v>
      </c>
      <c r="N3494" s="55" t="s">
        <v>150</v>
      </c>
      <c r="O3494" s="55" t="s">
        <v>149</v>
      </c>
      <c r="P3494" s="55" t="s">
        <v>3548</v>
      </c>
      <c r="Q3494" s="55" t="s">
        <v>350</v>
      </c>
      <c r="R3494" s="85">
        <v>4</v>
      </c>
      <c r="S3494" s="55">
        <v>0</v>
      </c>
      <c r="T3494" s="74" t="s">
        <v>5644</v>
      </c>
      <c r="U3494" s="74" t="s">
        <v>351</v>
      </c>
      <c r="V3494" s="74">
        <v>44418</v>
      </c>
      <c r="W3494" s="74">
        <v>44460</v>
      </c>
      <c r="X3494" s="55">
        <v>10185039</v>
      </c>
      <c r="Y3494" s="55" t="s">
        <v>140</v>
      </c>
      <c r="AB3494" s="74" t="s">
        <v>132</v>
      </c>
      <c r="AC3494" s="55" t="s">
        <v>140</v>
      </c>
    </row>
    <row r="3495" spans="1:29" ht="13" x14ac:dyDescent="0.15">
      <c r="A3495" s="55" t="str">
        <f>HYPERLINK("http://reports.ofsted.gov.uk/inspection-reports/find-inspection-report/provider/CARE/SC481172","Ofsted Social Care Provider Webpage")</f>
        <v>Ofsted Social Care Provider Webpage</v>
      </c>
      <c r="B3495" s="55" t="s">
        <v>6440</v>
      </c>
      <c r="D3495" s="55" t="s">
        <v>373</v>
      </c>
      <c r="E3495" s="74">
        <v>41992</v>
      </c>
      <c r="F3495" s="55" t="s">
        <v>344</v>
      </c>
      <c r="G3495" s="55" t="s">
        <v>360</v>
      </c>
      <c r="H3495" s="55" t="s">
        <v>360</v>
      </c>
      <c r="I3495" s="55" t="s">
        <v>360</v>
      </c>
      <c r="J3495" s="55" t="s">
        <v>360</v>
      </c>
      <c r="K3495" s="55" t="s">
        <v>360</v>
      </c>
      <c r="L3495" s="55" t="s">
        <v>360</v>
      </c>
      <c r="M3495" s="55" t="s">
        <v>378</v>
      </c>
      <c r="N3495" s="55" t="s">
        <v>134</v>
      </c>
      <c r="O3495" s="55" t="s">
        <v>226</v>
      </c>
      <c r="P3495" s="55" t="s">
        <v>662</v>
      </c>
      <c r="Q3495" s="55" t="s">
        <v>350</v>
      </c>
      <c r="R3495" s="85">
        <v>4</v>
      </c>
      <c r="S3495" s="55">
        <v>0</v>
      </c>
      <c r="T3495" s="74" t="s">
        <v>1582</v>
      </c>
      <c r="U3495" s="74" t="s">
        <v>351</v>
      </c>
      <c r="V3495" s="74">
        <v>44628</v>
      </c>
      <c r="W3495" s="74">
        <v>44676</v>
      </c>
      <c r="X3495" s="55">
        <v>10187300</v>
      </c>
      <c r="Y3495" s="55" t="s">
        <v>140</v>
      </c>
      <c r="AB3495" s="74" t="s">
        <v>140</v>
      </c>
      <c r="AC3495" s="55" t="s">
        <v>140</v>
      </c>
    </row>
    <row r="3496" spans="1:29" ht="13" x14ac:dyDescent="0.15">
      <c r="A3496" s="55" t="str">
        <f>HYPERLINK("http://reports.ofsted.gov.uk/inspection-reports/find-inspection-report/provider/CARE/SC481221","Ofsted Social Care Provider Webpage")</f>
        <v>Ofsted Social Care Provider Webpage</v>
      </c>
      <c r="B3496" s="55" t="s">
        <v>6442</v>
      </c>
      <c r="D3496" s="55" t="s">
        <v>373</v>
      </c>
      <c r="E3496" s="74">
        <v>41941</v>
      </c>
      <c r="F3496" s="55" t="s">
        <v>344</v>
      </c>
      <c r="G3496" s="55" t="s">
        <v>360</v>
      </c>
      <c r="H3496" s="55" t="s">
        <v>360</v>
      </c>
      <c r="I3496" s="55" t="s">
        <v>360</v>
      </c>
      <c r="J3496" s="55" t="s">
        <v>360</v>
      </c>
      <c r="K3496" s="55" t="s">
        <v>360</v>
      </c>
      <c r="L3496" s="55" t="s">
        <v>360</v>
      </c>
      <c r="M3496" s="55" t="s">
        <v>138</v>
      </c>
      <c r="N3496" s="55" t="s">
        <v>138</v>
      </c>
      <c r="O3496" s="55" t="s">
        <v>266</v>
      </c>
      <c r="P3496" s="55" t="s">
        <v>4472</v>
      </c>
      <c r="Q3496" s="55" t="s">
        <v>350</v>
      </c>
      <c r="R3496" s="85">
        <v>5</v>
      </c>
      <c r="S3496" s="55">
        <v>0</v>
      </c>
      <c r="T3496" s="74" t="s">
        <v>450</v>
      </c>
      <c r="U3496" s="74" t="s">
        <v>351</v>
      </c>
      <c r="V3496" s="74">
        <v>44382</v>
      </c>
      <c r="W3496" s="74">
        <v>44406</v>
      </c>
      <c r="X3496" s="55">
        <v>10185825</v>
      </c>
      <c r="Y3496" s="55" t="s">
        <v>130</v>
      </c>
      <c r="AB3496" s="74" t="s">
        <v>130</v>
      </c>
      <c r="AC3496" s="55" t="s">
        <v>130</v>
      </c>
    </row>
    <row r="3497" spans="1:29" ht="13" x14ac:dyDescent="0.15">
      <c r="A3497" s="55" t="str">
        <f>HYPERLINK("http://reports.ofsted.gov.uk/inspection-reports/find-inspection-report/provider/CARE/SC481221","Ofsted Social Care Provider Webpage")</f>
        <v>Ofsted Social Care Provider Webpage</v>
      </c>
      <c r="B3497" s="55" t="s">
        <v>6442</v>
      </c>
      <c r="D3497" s="55" t="s">
        <v>373</v>
      </c>
      <c r="E3497" s="74">
        <v>41941</v>
      </c>
      <c r="F3497" s="55" t="s">
        <v>344</v>
      </c>
      <c r="G3497" s="55" t="s">
        <v>360</v>
      </c>
      <c r="H3497" s="55" t="s">
        <v>360</v>
      </c>
      <c r="I3497" s="55" t="s">
        <v>360</v>
      </c>
      <c r="J3497" s="55" t="s">
        <v>360</v>
      </c>
      <c r="K3497" s="55" t="s">
        <v>360</v>
      </c>
      <c r="L3497" s="55" t="s">
        <v>360</v>
      </c>
      <c r="M3497" s="55" t="s">
        <v>138</v>
      </c>
      <c r="N3497" s="55" t="s">
        <v>138</v>
      </c>
      <c r="O3497" s="55" t="s">
        <v>266</v>
      </c>
      <c r="P3497" s="55" t="s">
        <v>4472</v>
      </c>
      <c r="Q3497" s="55" t="s">
        <v>350</v>
      </c>
      <c r="R3497" s="85">
        <v>5</v>
      </c>
      <c r="S3497" s="55">
        <v>0</v>
      </c>
      <c r="T3497" s="74" t="s">
        <v>450</v>
      </c>
      <c r="U3497" s="74" t="s">
        <v>6703</v>
      </c>
      <c r="V3497" s="74">
        <v>44627</v>
      </c>
      <c r="W3497" s="74">
        <v>44663</v>
      </c>
      <c r="X3497" s="55">
        <v>10205261</v>
      </c>
      <c r="Y3497" s="55" t="s">
        <v>6705</v>
      </c>
    </row>
    <row r="3498" spans="1:29" ht="13" x14ac:dyDescent="0.15">
      <c r="A3498" s="55" t="str">
        <f>HYPERLINK("http://reports.ofsted.gov.uk/inspection-reports/find-inspection-report/provider/CARE/SC481235","Ofsted Social Care Provider Webpage")</f>
        <v>Ofsted Social Care Provider Webpage</v>
      </c>
      <c r="B3498" s="55" t="s">
        <v>6443</v>
      </c>
      <c r="D3498" s="55" t="s">
        <v>373</v>
      </c>
      <c r="E3498" s="74">
        <v>41886</v>
      </c>
      <c r="F3498" s="55" t="s">
        <v>344</v>
      </c>
      <c r="G3498" s="55" t="s">
        <v>360</v>
      </c>
      <c r="H3498" s="55" t="s">
        <v>360</v>
      </c>
      <c r="I3498" s="55" t="s">
        <v>360</v>
      </c>
      <c r="J3498" s="55" t="s">
        <v>360</v>
      </c>
      <c r="K3498" s="55" t="s">
        <v>360</v>
      </c>
      <c r="L3498" s="55" t="s">
        <v>360</v>
      </c>
      <c r="M3498" s="55" t="s">
        <v>142</v>
      </c>
      <c r="N3498" s="55" t="s">
        <v>142</v>
      </c>
      <c r="O3498" s="55" t="s">
        <v>249</v>
      </c>
      <c r="P3498" s="55" t="s">
        <v>1318</v>
      </c>
      <c r="Q3498" s="55" t="s">
        <v>350</v>
      </c>
      <c r="R3498" s="85">
        <v>3</v>
      </c>
      <c r="S3498" s="55">
        <v>0</v>
      </c>
      <c r="T3498" s="74" t="s">
        <v>6444</v>
      </c>
      <c r="U3498" s="74" t="s">
        <v>351</v>
      </c>
      <c r="V3498" s="74">
        <v>44503</v>
      </c>
      <c r="W3498" s="74">
        <v>44539</v>
      </c>
      <c r="X3498" s="55">
        <v>10186030</v>
      </c>
      <c r="Y3498" s="55" t="s">
        <v>130</v>
      </c>
      <c r="AB3498" s="74" t="s">
        <v>130</v>
      </c>
      <c r="AC3498" s="55" t="s">
        <v>130</v>
      </c>
    </row>
    <row r="3499" spans="1:29" ht="13" x14ac:dyDescent="0.15">
      <c r="A3499" s="55" t="str">
        <f>HYPERLINK("http://reports.ofsted.gov.uk/inspection-reports/find-inspection-report/provider/CARE/SC481293","Ofsted Social Care Provider Webpage")</f>
        <v>Ofsted Social Care Provider Webpage</v>
      </c>
      <c r="B3499" s="55" t="s">
        <v>6445</v>
      </c>
      <c r="D3499" s="55" t="s">
        <v>373</v>
      </c>
      <c r="E3499" s="74">
        <v>41984</v>
      </c>
      <c r="F3499" s="55" t="s">
        <v>344</v>
      </c>
      <c r="G3499" s="55" t="s">
        <v>360</v>
      </c>
      <c r="H3499" s="55" t="s">
        <v>360</v>
      </c>
      <c r="I3499" s="55" t="s">
        <v>360</v>
      </c>
      <c r="J3499" s="55" t="s">
        <v>360</v>
      </c>
      <c r="K3499" s="55" t="s">
        <v>360</v>
      </c>
      <c r="L3499" s="55" t="s">
        <v>360</v>
      </c>
      <c r="M3499" s="55" t="s">
        <v>129</v>
      </c>
      <c r="N3499" s="55" t="s">
        <v>129</v>
      </c>
      <c r="O3499" s="55" t="s">
        <v>279</v>
      </c>
      <c r="P3499" s="55" t="s">
        <v>1078</v>
      </c>
      <c r="Q3499" s="55" t="s">
        <v>350</v>
      </c>
      <c r="R3499" s="85">
        <v>8</v>
      </c>
      <c r="S3499" s="55">
        <v>0</v>
      </c>
      <c r="T3499" s="74" t="s">
        <v>1559</v>
      </c>
      <c r="U3499" s="74" t="s">
        <v>351</v>
      </c>
      <c r="V3499" s="74">
        <v>44313</v>
      </c>
      <c r="W3499" s="74">
        <v>44344</v>
      </c>
      <c r="X3499" s="55">
        <v>10185771</v>
      </c>
      <c r="Y3499" s="55" t="s">
        <v>132</v>
      </c>
      <c r="AB3499" s="74" t="s">
        <v>132</v>
      </c>
      <c r="AC3499" s="55" t="s">
        <v>130</v>
      </c>
    </row>
    <row r="3500" spans="1:29" ht="13" x14ac:dyDescent="0.15">
      <c r="A3500" s="55" t="str">
        <f>HYPERLINK("http://reports.ofsted.gov.uk/inspection-reports/find-inspection-report/provider/CARE/SC481295","Ofsted Social Care Provider Webpage")</f>
        <v>Ofsted Social Care Provider Webpage</v>
      </c>
      <c r="B3500" s="55" t="s">
        <v>6446</v>
      </c>
      <c r="D3500" s="55" t="s">
        <v>1493</v>
      </c>
      <c r="E3500" s="74">
        <v>41905</v>
      </c>
      <c r="F3500" s="55" t="s">
        <v>344</v>
      </c>
      <c r="G3500" s="55" t="s">
        <v>360</v>
      </c>
      <c r="H3500" s="55" t="s">
        <v>360</v>
      </c>
      <c r="I3500" s="55" t="s">
        <v>360</v>
      </c>
      <c r="J3500" s="55" t="s">
        <v>360</v>
      </c>
      <c r="K3500" s="55" t="s">
        <v>360</v>
      </c>
      <c r="L3500" s="55" t="s">
        <v>360</v>
      </c>
      <c r="M3500" s="55" t="s">
        <v>144</v>
      </c>
      <c r="N3500" s="55" t="s">
        <v>144</v>
      </c>
      <c r="O3500" s="55" t="s">
        <v>163</v>
      </c>
      <c r="P3500" s="55" t="s">
        <v>376</v>
      </c>
      <c r="Q3500" s="55" t="s">
        <v>350</v>
      </c>
      <c r="R3500" s="85">
        <v>5</v>
      </c>
      <c r="S3500" s="55">
        <v>0</v>
      </c>
      <c r="T3500" s="74" t="s">
        <v>1998</v>
      </c>
      <c r="U3500" s="74" t="s">
        <v>351</v>
      </c>
      <c r="V3500" s="74">
        <v>44538</v>
      </c>
      <c r="W3500" s="74">
        <v>44587</v>
      </c>
      <c r="X3500" s="55">
        <v>10186081</v>
      </c>
      <c r="Y3500" s="55" t="s">
        <v>132</v>
      </c>
      <c r="AB3500" s="74" t="s">
        <v>132</v>
      </c>
      <c r="AC3500" s="55" t="s">
        <v>132</v>
      </c>
    </row>
    <row r="3501" spans="1:29" ht="13" x14ac:dyDescent="0.15">
      <c r="A3501" s="55" t="str">
        <f>HYPERLINK("http://reports.ofsted.gov.uk/inspection-reports/find-inspection-report/provider/CARE/SC481305","Ofsted Social Care Provider Webpage")</f>
        <v>Ofsted Social Care Provider Webpage</v>
      </c>
      <c r="B3501" s="55" t="s">
        <v>6447</v>
      </c>
      <c r="D3501" s="55" t="s">
        <v>373</v>
      </c>
      <c r="E3501" s="74">
        <v>42051</v>
      </c>
      <c r="F3501" s="55" t="s">
        <v>344</v>
      </c>
      <c r="G3501" s="55" t="s">
        <v>360</v>
      </c>
      <c r="H3501" s="55" t="s">
        <v>360</v>
      </c>
      <c r="I3501" s="55" t="s">
        <v>360</v>
      </c>
      <c r="J3501" s="55" t="s">
        <v>360</v>
      </c>
      <c r="K3501" s="55" t="s">
        <v>360</v>
      </c>
      <c r="L3501" s="55" t="s">
        <v>360</v>
      </c>
      <c r="M3501" s="55" t="s">
        <v>378</v>
      </c>
      <c r="N3501" s="55" t="s">
        <v>134</v>
      </c>
      <c r="O3501" s="55" t="s">
        <v>232</v>
      </c>
      <c r="P3501" s="55" t="s">
        <v>491</v>
      </c>
      <c r="Q3501" s="55" t="s">
        <v>350</v>
      </c>
      <c r="R3501" s="85">
        <v>2</v>
      </c>
      <c r="S3501" s="55">
        <v>0</v>
      </c>
      <c r="T3501" s="74" t="s">
        <v>1251</v>
      </c>
      <c r="U3501" s="74" t="s">
        <v>2053</v>
      </c>
      <c r="V3501" s="74">
        <v>44300</v>
      </c>
      <c r="W3501" s="74">
        <v>44334</v>
      </c>
      <c r="X3501" s="55">
        <v>10191906</v>
      </c>
    </row>
    <row r="3502" spans="1:29" ht="13" x14ac:dyDescent="0.15">
      <c r="A3502" s="55" t="str">
        <f>HYPERLINK("http://reports.ofsted.gov.uk/inspection-reports/find-inspection-report/provider/CARE/SC481305","Ofsted Social Care Provider Webpage")</f>
        <v>Ofsted Social Care Provider Webpage</v>
      </c>
      <c r="B3502" s="55" t="s">
        <v>6447</v>
      </c>
      <c r="D3502" s="55" t="s">
        <v>373</v>
      </c>
      <c r="E3502" s="74">
        <v>42051</v>
      </c>
      <c r="F3502" s="55" t="s">
        <v>344</v>
      </c>
      <c r="G3502" s="55" t="s">
        <v>360</v>
      </c>
      <c r="H3502" s="55" t="s">
        <v>360</v>
      </c>
      <c r="I3502" s="55" t="s">
        <v>360</v>
      </c>
      <c r="J3502" s="55" t="s">
        <v>360</v>
      </c>
      <c r="K3502" s="55" t="s">
        <v>360</v>
      </c>
      <c r="L3502" s="55" t="s">
        <v>360</v>
      </c>
      <c r="M3502" s="55" t="s">
        <v>378</v>
      </c>
      <c r="N3502" s="55" t="s">
        <v>134</v>
      </c>
      <c r="O3502" s="55" t="s">
        <v>232</v>
      </c>
      <c r="P3502" s="55" t="s">
        <v>491</v>
      </c>
      <c r="Q3502" s="55" t="s">
        <v>350</v>
      </c>
      <c r="R3502" s="85">
        <v>2</v>
      </c>
      <c r="S3502" s="55">
        <v>0</v>
      </c>
      <c r="T3502" s="74" t="s">
        <v>1251</v>
      </c>
      <c r="U3502" s="74" t="s">
        <v>351</v>
      </c>
      <c r="V3502" s="74">
        <v>44440</v>
      </c>
      <c r="W3502" s="74">
        <v>44474</v>
      </c>
      <c r="X3502" s="55">
        <v>10187451</v>
      </c>
      <c r="Y3502" s="55" t="s">
        <v>130</v>
      </c>
      <c r="AB3502" s="74" t="s">
        <v>130</v>
      </c>
      <c r="AC3502" s="55" t="s">
        <v>146</v>
      </c>
    </row>
    <row r="3503" spans="1:29" ht="13" x14ac:dyDescent="0.15">
      <c r="A3503" s="55" t="str">
        <f>HYPERLINK("http://reports.ofsted.gov.uk/inspection-reports/find-inspection-report/provider/CARE/SC481312","Ofsted Social Care Provider Webpage")</f>
        <v>Ofsted Social Care Provider Webpage</v>
      </c>
      <c r="B3503" s="55" t="s">
        <v>6448</v>
      </c>
      <c r="D3503" s="55" t="s">
        <v>373</v>
      </c>
      <c r="E3503" s="74">
        <v>41886</v>
      </c>
      <c r="F3503" s="55" t="s">
        <v>344</v>
      </c>
      <c r="G3503" s="55" t="s">
        <v>360</v>
      </c>
      <c r="H3503" s="55" t="s">
        <v>360</v>
      </c>
      <c r="I3503" s="55" t="s">
        <v>360</v>
      </c>
      <c r="J3503" s="55" t="s">
        <v>360</v>
      </c>
      <c r="K3503" s="55" t="s">
        <v>360</v>
      </c>
      <c r="L3503" s="55" t="s">
        <v>360</v>
      </c>
      <c r="M3503" s="55" t="s">
        <v>142</v>
      </c>
      <c r="N3503" s="55" t="s">
        <v>142</v>
      </c>
      <c r="O3503" s="55" t="s">
        <v>293</v>
      </c>
      <c r="P3503" s="55" t="s">
        <v>1641</v>
      </c>
      <c r="Q3503" s="55" t="s">
        <v>350</v>
      </c>
      <c r="R3503" s="85">
        <v>2</v>
      </c>
      <c r="S3503" s="55">
        <v>0</v>
      </c>
      <c r="T3503" s="74" t="s">
        <v>1281</v>
      </c>
      <c r="U3503" s="74" t="s">
        <v>351</v>
      </c>
      <c r="V3503" s="74">
        <v>44502</v>
      </c>
      <c r="W3503" s="74">
        <v>44540</v>
      </c>
      <c r="X3503" s="55">
        <v>10185354</v>
      </c>
      <c r="Y3503" s="55" t="s">
        <v>132</v>
      </c>
      <c r="AB3503" s="74" t="s">
        <v>132</v>
      </c>
      <c r="AC3503" s="55" t="s">
        <v>132</v>
      </c>
    </row>
    <row r="3504" spans="1:29" ht="13" x14ac:dyDescent="0.15">
      <c r="A3504" s="55" t="str">
        <f>HYPERLINK("http://reports.ofsted.gov.uk/inspection-reports/find-inspection-report/provider/CARE/SC481369","Ofsted Social Care Provider Webpage")</f>
        <v>Ofsted Social Care Provider Webpage</v>
      </c>
      <c r="B3504" s="55" t="s">
        <v>6449</v>
      </c>
      <c r="D3504" s="55" t="s">
        <v>373</v>
      </c>
      <c r="E3504" s="74">
        <v>42010</v>
      </c>
      <c r="F3504" s="55" t="s">
        <v>344</v>
      </c>
      <c r="G3504" s="55" t="s">
        <v>360</v>
      </c>
      <c r="H3504" s="55" t="s">
        <v>360</v>
      </c>
      <c r="I3504" s="55" t="s">
        <v>360</v>
      </c>
      <c r="J3504" s="55" t="s">
        <v>360</v>
      </c>
      <c r="K3504" s="55" t="s">
        <v>360</v>
      </c>
      <c r="L3504" s="55" t="s">
        <v>360</v>
      </c>
      <c r="M3504" s="55" t="s">
        <v>129</v>
      </c>
      <c r="N3504" s="55" t="s">
        <v>129</v>
      </c>
      <c r="O3504" s="55" t="s">
        <v>219</v>
      </c>
      <c r="P3504" s="55" t="s">
        <v>740</v>
      </c>
      <c r="Q3504" s="55" t="s">
        <v>350</v>
      </c>
      <c r="R3504" s="85">
        <v>5</v>
      </c>
      <c r="S3504" s="55">
        <v>0</v>
      </c>
      <c r="T3504" s="74" t="s">
        <v>5568</v>
      </c>
      <c r="U3504" s="74" t="s">
        <v>351</v>
      </c>
      <c r="V3504" s="74">
        <v>44572</v>
      </c>
      <c r="W3504" s="74">
        <v>44623</v>
      </c>
      <c r="X3504" s="55">
        <v>10187259</v>
      </c>
      <c r="Y3504" s="55" t="s">
        <v>140</v>
      </c>
      <c r="AB3504" s="74" t="s">
        <v>140</v>
      </c>
      <c r="AC3504" s="55" t="s">
        <v>140</v>
      </c>
    </row>
    <row r="3505" spans="1:29" ht="13" x14ac:dyDescent="0.15">
      <c r="A3505" s="55" t="str">
        <f>HYPERLINK("http://reports.ofsted.gov.uk/inspection-reports/find-inspection-report/provider/CARE/SC481439","Ofsted Social Care Provider Webpage")</f>
        <v>Ofsted Social Care Provider Webpage</v>
      </c>
      <c r="B3505" s="55" t="s">
        <v>6450</v>
      </c>
      <c r="D3505" s="55" t="s">
        <v>373</v>
      </c>
      <c r="E3505" s="74">
        <v>41907</v>
      </c>
      <c r="F3505" s="55" t="s">
        <v>344</v>
      </c>
      <c r="G3505" s="55" t="s">
        <v>360</v>
      </c>
      <c r="H3505" s="55" t="s">
        <v>360</v>
      </c>
      <c r="I3505" s="55" t="s">
        <v>360</v>
      </c>
      <c r="J3505" s="55" t="s">
        <v>360</v>
      </c>
      <c r="K3505" s="55" t="s">
        <v>360</v>
      </c>
      <c r="L3505" s="55" t="s">
        <v>360</v>
      </c>
      <c r="M3505" s="55" t="s">
        <v>378</v>
      </c>
      <c r="N3505" s="55" t="s">
        <v>134</v>
      </c>
      <c r="O3505" s="55" t="s">
        <v>175</v>
      </c>
      <c r="P3505" s="55" t="s">
        <v>932</v>
      </c>
      <c r="Q3505" s="55" t="s">
        <v>362</v>
      </c>
      <c r="R3505" s="85">
        <v>6</v>
      </c>
      <c r="S3505" s="55">
        <v>0</v>
      </c>
      <c r="T3505" s="74" t="s">
        <v>1049</v>
      </c>
      <c r="U3505" s="74" t="s">
        <v>351</v>
      </c>
      <c r="V3505" s="74">
        <v>44313</v>
      </c>
      <c r="W3505" s="74">
        <v>44349</v>
      </c>
      <c r="X3505" s="55">
        <v>10185543</v>
      </c>
      <c r="Y3505" s="55" t="s">
        <v>132</v>
      </c>
      <c r="AB3505" s="74" t="s">
        <v>132</v>
      </c>
      <c r="AC3505" s="55" t="s">
        <v>140</v>
      </c>
    </row>
    <row r="3506" spans="1:29" ht="13" x14ac:dyDescent="0.15">
      <c r="A3506" s="55" t="str">
        <f>HYPERLINK("http://reports.ofsted.gov.uk/inspection-reports/find-inspection-report/provider/CARE/SC481447","Ofsted Social Care Provider Webpage")</f>
        <v>Ofsted Social Care Provider Webpage</v>
      </c>
      <c r="B3506" s="55" t="s">
        <v>6457</v>
      </c>
      <c r="D3506" s="55" t="s">
        <v>373</v>
      </c>
      <c r="E3506" s="74">
        <v>41907</v>
      </c>
      <c r="F3506" s="55" t="s">
        <v>344</v>
      </c>
      <c r="G3506" s="55" t="s">
        <v>360</v>
      </c>
      <c r="H3506" s="55" t="s">
        <v>360</v>
      </c>
      <c r="I3506" s="55" t="s">
        <v>360</v>
      </c>
      <c r="J3506" s="55" t="s">
        <v>360</v>
      </c>
      <c r="K3506" s="55" t="s">
        <v>360</v>
      </c>
      <c r="L3506" s="55" t="s">
        <v>360</v>
      </c>
      <c r="M3506" s="55" t="s">
        <v>378</v>
      </c>
      <c r="N3506" s="55" t="s">
        <v>134</v>
      </c>
      <c r="O3506" s="55" t="s">
        <v>175</v>
      </c>
      <c r="P3506" s="55" t="s">
        <v>666</v>
      </c>
      <c r="Q3506" s="55" t="s">
        <v>362</v>
      </c>
      <c r="R3506" s="85">
        <v>5</v>
      </c>
      <c r="S3506" s="55">
        <v>0</v>
      </c>
      <c r="T3506" s="74" t="s">
        <v>1049</v>
      </c>
      <c r="U3506" s="74" t="s">
        <v>351</v>
      </c>
      <c r="V3506" s="74">
        <v>44327</v>
      </c>
      <c r="W3506" s="74">
        <v>44377</v>
      </c>
      <c r="X3506" s="55">
        <v>10186730</v>
      </c>
      <c r="Y3506" s="55" t="s">
        <v>130</v>
      </c>
      <c r="AB3506" s="74" t="s">
        <v>130</v>
      </c>
      <c r="AC3506" s="55" t="s">
        <v>130</v>
      </c>
    </row>
    <row r="3507" spans="1:29" ht="13" x14ac:dyDescent="0.15">
      <c r="A3507" s="55" t="str">
        <f>HYPERLINK("http://reports.ofsted.gov.uk/inspection-reports/find-inspection-report/provider/CARE/SC481631","Ofsted Social Care Provider Webpage")</f>
        <v>Ofsted Social Care Provider Webpage</v>
      </c>
      <c r="B3507" s="55" t="s">
        <v>6460</v>
      </c>
      <c r="D3507" s="55" t="s">
        <v>373</v>
      </c>
      <c r="E3507" s="74">
        <v>42051</v>
      </c>
      <c r="F3507" s="55" t="s">
        <v>344</v>
      </c>
      <c r="G3507" s="55" t="s">
        <v>360</v>
      </c>
      <c r="H3507" s="55" t="s">
        <v>360</v>
      </c>
      <c r="I3507" s="55" t="s">
        <v>360</v>
      </c>
      <c r="J3507" s="55" t="s">
        <v>360</v>
      </c>
      <c r="K3507" s="55" t="s">
        <v>360</v>
      </c>
      <c r="L3507" s="55" t="s">
        <v>360</v>
      </c>
      <c r="M3507" s="55" t="s">
        <v>378</v>
      </c>
      <c r="N3507" s="55" t="s">
        <v>134</v>
      </c>
      <c r="O3507" s="55" t="s">
        <v>232</v>
      </c>
      <c r="P3507" s="55" t="s">
        <v>491</v>
      </c>
      <c r="Q3507" s="55" t="s">
        <v>350</v>
      </c>
      <c r="R3507" s="85">
        <v>4</v>
      </c>
      <c r="S3507" s="55">
        <v>0</v>
      </c>
      <c r="T3507" s="74" t="s">
        <v>1251</v>
      </c>
      <c r="U3507" s="74" t="s">
        <v>351</v>
      </c>
      <c r="V3507" s="74">
        <v>44327</v>
      </c>
      <c r="W3507" s="74">
        <v>44369</v>
      </c>
      <c r="X3507" s="55">
        <v>10186776</v>
      </c>
      <c r="Y3507" s="55" t="s">
        <v>130</v>
      </c>
      <c r="AB3507" s="74" t="s">
        <v>130</v>
      </c>
      <c r="AC3507" s="55" t="s">
        <v>146</v>
      </c>
    </row>
    <row r="3508" spans="1:29" ht="13" x14ac:dyDescent="0.15">
      <c r="A3508" s="55" t="str">
        <f>HYPERLINK("http://reports.ofsted.gov.uk/inspection-reports/find-inspection-report/provider/CARE/SC481844","Ofsted Social Care Provider Webpage")</f>
        <v>Ofsted Social Care Provider Webpage</v>
      </c>
      <c r="B3508" s="55" t="s">
        <v>6461</v>
      </c>
      <c r="D3508" s="55" t="s">
        <v>373</v>
      </c>
      <c r="E3508" s="74">
        <v>41913</v>
      </c>
      <c r="F3508" s="55" t="s">
        <v>344</v>
      </c>
      <c r="G3508" s="55" t="s">
        <v>360</v>
      </c>
      <c r="H3508" s="55" t="s">
        <v>360</v>
      </c>
      <c r="I3508" s="55" t="s">
        <v>360</v>
      </c>
      <c r="J3508" s="55" t="s">
        <v>360</v>
      </c>
      <c r="K3508" s="55" t="s">
        <v>360</v>
      </c>
      <c r="L3508" s="55" t="s">
        <v>360</v>
      </c>
      <c r="M3508" s="55" t="s">
        <v>172</v>
      </c>
      <c r="N3508" s="55" t="s">
        <v>172</v>
      </c>
      <c r="O3508" s="55" t="s">
        <v>284</v>
      </c>
      <c r="P3508" s="55" t="s">
        <v>985</v>
      </c>
      <c r="Q3508" s="55" t="s">
        <v>350</v>
      </c>
      <c r="R3508" s="85">
        <v>5</v>
      </c>
      <c r="S3508" s="55">
        <v>0</v>
      </c>
      <c r="T3508" s="74" t="s">
        <v>5267</v>
      </c>
      <c r="U3508" s="74" t="s">
        <v>351</v>
      </c>
      <c r="V3508" s="74">
        <v>44398</v>
      </c>
      <c r="W3508" s="74">
        <v>44433</v>
      </c>
      <c r="X3508" s="55">
        <v>10187177</v>
      </c>
      <c r="Y3508" s="55" t="s">
        <v>132</v>
      </c>
      <c r="AB3508" s="74" t="s">
        <v>132</v>
      </c>
      <c r="AC3508" s="55" t="s">
        <v>132</v>
      </c>
    </row>
    <row r="3509" spans="1:29" ht="13" x14ac:dyDescent="0.15">
      <c r="A3509" s="55" t="str">
        <f>HYPERLINK("http://reports.ofsted.gov.uk/inspection-reports/find-inspection-report/provider/CARE/SC482223","Ofsted Social Care Provider Webpage")</f>
        <v>Ofsted Social Care Provider Webpage</v>
      </c>
      <c r="B3509" s="55" t="s">
        <v>6764</v>
      </c>
      <c r="D3509" s="55" t="s">
        <v>373</v>
      </c>
      <c r="E3509" s="74">
        <v>42083</v>
      </c>
      <c r="F3509" s="55" t="s">
        <v>6707</v>
      </c>
      <c r="G3509" s="55" t="s">
        <v>360</v>
      </c>
      <c r="H3509" s="55" t="s">
        <v>360</v>
      </c>
      <c r="I3509" s="55" t="s">
        <v>360</v>
      </c>
      <c r="J3509" s="55" t="s">
        <v>360</v>
      </c>
      <c r="K3509" s="55" t="s">
        <v>360</v>
      </c>
      <c r="L3509" s="55" t="s">
        <v>360</v>
      </c>
      <c r="M3509" s="55" t="s">
        <v>172</v>
      </c>
      <c r="N3509" s="55" t="s">
        <v>172</v>
      </c>
      <c r="O3509" s="55" t="s">
        <v>212</v>
      </c>
      <c r="P3509" s="55" t="s">
        <v>592</v>
      </c>
      <c r="Q3509" s="55" t="s">
        <v>350</v>
      </c>
      <c r="R3509" s="85">
        <v>3</v>
      </c>
      <c r="S3509" s="55">
        <v>0</v>
      </c>
      <c r="T3509" s="74" t="s">
        <v>489</v>
      </c>
      <c r="U3509" s="74" t="s">
        <v>351</v>
      </c>
      <c r="V3509" s="74">
        <v>44327</v>
      </c>
      <c r="W3509" s="74">
        <v>44351</v>
      </c>
      <c r="X3509" s="55">
        <v>10186526</v>
      </c>
      <c r="Y3509" s="55" t="s">
        <v>132</v>
      </c>
      <c r="AB3509" s="74" t="s">
        <v>132</v>
      </c>
      <c r="AC3509" s="55" t="s">
        <v>132</v>
      </c>
    </row>
    <row r="3510" spans="1:29" ht="13" x14ac:dyDescent="0.15">
      <c r="A3510" s="55" t="str">
        <f>HYPERLINK("http://reports.ofsted.gov.uk/inspection-reports/find-inspection-report/provider/CARE/SC482275","Ofsted Social Care Provider Webpage")</f>
        <v>Ofsted Social Care Provider Webpage</v>
      </c>
      <c r="B3510" s="55" t="s">
        <v>6462</v>
      </c>
      <c r="D3510" s="55" t="s">
        <v>373</v>
      </c>
      <c r="E3510" s="74">
        <v>41957</v>
      </c>
      <c r="F3510" s="55" t="s">
        <v>344</v>
      </c>
      <c r="G3510" s="55" t="s">
        <v>360</v>
      </c>
      <c r="H3510" s="55" t="s">
        <v>360</v>
      </c>
      <c r="I3510" s="55" t="s">
        <v>360</v>
      </c>
      <c r="J3510" s="55" t="s">
        <v>360</v>
      </c>
      <c r="K3510" s="55" t="s">
        <v>360</v>
      </c>
      <c r="L3510" s="55" t="s">
        <v>360</v>
      </c>
      <c r="M3510" s="55" t="s">
        <v>136</v>
      </c>
      <c r="N3510" s="55" t="s">
        <v>136</v>
      </c>
      <c r="O3510" s="55" t="s">
        <v>165</v>
      </c>
      <c r="P3510" s="55" t="s">
        <v>1269</v>
      </c>
      <c r="Q3510" s="55" t="s">
        <v>350</v>
      </c>
      <c r="R3510" s="85">
        <v>4</v>
      </c>
      <c r="S3510" s="55">
        <v>0</v>
      </c>
      <c r="T3510" s="74" t="s">
        <v>1887</v>
      </c>
      <c r="U3510" s="74" t="s">
        <v>351</v>
      </c>
      <c r="V3510" s="74">
        <v>44538</v>
      </c>
      <c r="W3510" s="74">
        <v>44587</v>
      </c>
      <c r="X3510" s="55">
        <v>10186756</v>
      </c>
      <c r="Y3510" s="55" t="s">
        <v>130</v>
      </c>
      <c r="AB3510" s="74" t="s">
        <v>132</v>
      </c>
      <c r="AC3510" s="55" t="s">
        <v>130</v>
      </c>
    </row>
    <row r="3511" spans="1:29" ht="13" x14ac:dyDescent="0.15">
      <c r="A3511" s="55" t="str">
        <f>HYPERLINK("http://reports.ofsted.gov.uk/inspection-reports/find-inspection-report/provider/CARE/SC482294","Ofsted Social Care Provider Webpage")</f>
        <v>Ofsted Social Care Provider Webpage</v>
      </c>
      <c r="B3511" s="55" t="s">
        <v>6464</v>
      </c>
      <c r="D3511" s="55" t="s">
        <v>479</v>
      </c>
      <c r="E3511" s="74">
        <v>41964</v>
      </c>
      <c r="F3511" s="55" t="s">
        <v>344</v>
      </c>
      <c r="G3511" s="55" t="s">
        <v>360</v>
      </c>
      <c r="H3511" s="55" t="s">
        <v>360</v>
      </c>
      <c r="I3511" s="55" t="s">
        <v>360</v>
      </c>
      <c r="J3511" s="55" t="s">
        <v>360</v>
      </c>
      <c r="K3511" s="55" t="s">
        <v>360</v>
      </c>
      <c r="L3511" s="55" t="s">
        <v>360</v>
      </c>
      <c r="M3511" s="55" t="s">
        <v>150</v>
      </c>
      <c r="N3511" s="55" t="s">
        <v>150</v>
      </c>
      <c r="O3511" s="55" t="s">
        <v>190</v>
      </c>
      <c r="P3511" s="55" t="s">
        <v>749</v>
      </c>
      <c r="Q3511" s="55" t="s">
        <v>350</v>
      </c>
      <c r="R3511" s="85">
        <v>42</v>
      </c>
      <c r="S3511" s="55">
        <v>0</v>
      </c>
      <c r="T3511" s="74" t="s">
        <v>2629</v>
      </c>
      <c r="U3511" s="74" t="s">
        <v>351</v>
      </c>
      <c r="V3511" s="74">
        <v>44354</v>
      </c>
      <c r="W3511" s="74">
        <v>44420</v>
      </c>
      <c r="X3511" s="55">
        <v>10186991</v>
      </c>
      <c r="Y3511" s="55" t="s">
        <v>146</v>
      </c>
      <c r="AB3511" s="74" t="s">
        <v>146</v>
      </c>
      <c r="AC3511" s="55" t="s">
        <v>146</v>
      </c>
    </row>
    <row r="3512" spans="1:29" ht="13" x14ac:dyDescent="0.15">
      <c r="A3512" s="55" t="str">
        <f>HYPERLINK("http://reports.ofsted.gov.uk/inspection-reports/find-inspection-report/provider/CARE/SC482294","Ofsted Social Care Provider Webpage")</f>
        <v>Ofsted Social Care Provider Webpage</v>
      </c>
      <c r="B3512" s="55" t="s">
        <v>6464</v>
      </c>
      <c r="D3512" s="55" t="s">
        <v>479</v>
      </c>
      <c r="E3512" s="74">
        <v>41964</v>
      </c>
      <c r="F3512" s="55" t="s">
        <v>344</v>
      </c>
      <c r="G3512" s="55" t="s">
        <v>360</v>
      </c>
      <c r="H3512" s="55" t="s">
        <v>360</v>
      </c>
      <c r="I3512" s="55" t="s">
        <v>360</v>
      </c>
      <c r="J3512" s="55" t="s">
        <v>360</v>
      </c>
      <c r="K3512" s="55" t="s">
        <v>360</v>
      </c>
      <c r="L3512" s="55" t="s">
        <v>360</v>
      </c>
      <c r="M3512" s="55" t="s">
        <v>150</v>
      </c>
      <c r="N3512" s="55" t="s">
        <v>150</v>
      </c>
      <c r="O3512" s="55" t="s">
        <v>190</v>
      </c>
      <c r="P3512" s="55" t="s">
        <v>749</v>
      </c>
      <c r="Q3512" s="55" t="s">
        <v>350</v>
      </c>
      <c r="R3512" s="85">
        <v>42</v>
      </c>
      <c r="S3512" s="55">
        <v>0</v>
      </c>
      <c r="T3512" s="74" t="s">
        <v>2629</v>
      </c>
      <c r="U3512" s="74" t="s">
        <v>2053</v>
      </c>
      <c r="V3512" s="74">
        <v>44400</v>
      </c>
      <c r="W3512" s="74">
        <v>44449</v>
      </c>
      <c r="X3512" s="55">
        <v>10202750</v>
      </c>
    </row>
    <row r="3513" spans="1:29" ht="13" x14ac:dyDescent="0.15">
      <c r="A3513" s="55" t="str">
        <f>HYPERLINK("http://reports.ofsted.gov.uk/inspection-reports/find-inspection-report/provider/CARE/SC482294","Ofsted Social Care Provider Webpage")</f>
        <v>Ofsted Social Care Provider Webpage</v>
      </c>
      <c r="B3513" s="55" t="s">
        <v>6464</v>
      </c>
      <c r="D3513" s="55" t="s">
        <v>479</v>
      </c>
      <c r="E3513" s="74">
        <v>41964</v>
      </c>
      <c r="F3513" s="55" t="s">
        <v>344</v>
      </c>
      <c r="G3513" s="55" t="s">
        <v>360</v>
      </c>
      <c r="H3513" s="55" t="s">
        <v>360</v>
      </c>
      <c r="I3513" s="55" t="s">
        <v>360</v>
      </c>
      <c r="J3513" s="55" t="s">
        <v>360</v>
      </c>
      <c r="K3513" s="55" t="s">
        <v>360</v>
      </c>
      <c r="L3513" s="55" t="s">
        <v>360</v>
      </c>
      <c r="M3513" s="55" t="s">
        <v>150</v>
      </c>
      <c r="N3513" s="55" t="s">
        <v>150</v>
      </c>
      <c r="O3513" s="55" t="s">
        <v>190</v>
      </c>
      <c r="P3513" s="55" t="s">
        <v>749</v>
      </c>
      <c r="Q3513" s="55" t="s">
        <v>350</v>
      </c>
      <c r="R3513" s="85">
        <v>42</v>
      </c>
      <c r="S3513" s="55">
        <v>0</v>
      </c>
      <c r="T3513" s="74" t="s">
        <v>2629</v>
      </c>
      <c r="U3513" s="74" t="s">
        <v>2053</v>
      </c>
      <c r="V3513" s="74">
        <v>44434</v>
      </c>
      <c r="W3513" s="74">
        <v>44474</v>
      </c>
      <c r="X3513" s="55">
        <v>10203204</v>
      </c>
    </row>
    <row r="3514" spans="1:29" ht="13" x14ac:dyDescent="0.15">
      <c r="A3514" s="55" t="str">
        <f>HYPERLINK("http://reports.ofsted.gov.uk/inspection-reports/find-inspection-report/provider/CARE/SC482294","Ofsted Social Care Provider Webpage")</f>
        <v>Ofsted Social Care Provider Webpage</v>
      </c>
      <c r="B3514" s="55" t="s">
        <v>6464</v>
      </c>
      <c r="D3514" s="55" t="s">
        <v>479</v>
      </c>
      <c r="E3514" s="74">
        <v>41964</v>
      </c>
      <c r="F3514" s="55" t="s">
        <v>344</v>
      </c>
      <c r="G3514" s="55" t="s">
        <v>360</v>
      </c>
      <c r="H3514" s="55" t="s">
        <v>360</v>
      </c>
      <c r="I3514" s="55" t="s">
        <v>360</v>
      </c>
      <c r="J3514" s="55" t="s">
        <v>360</v>
      </c>
      <c r="K3514" s="55" t="s">
        <v>360</v>
      </c>
      <c r="L3514" s="55" t="s">
        <v>360</v>
      </c>
      <c r="M3514" s="55" t="s">
        <v>150</v>
      </c>
      <c r="N3514" s="55" t="s">
        <v>150</v>
      </c>
      <c r="O3514" s="55" t="s">
        <v>190</v>
      </c>
      <c r="P3514" s="55" t="s">
        <v>749</v>
      </c>
      <c r="Q3514" s="55" t="s">
        <v>350</v>
      </c>
      <c r="R3514" s="85">
        <v>42</v>
      </c>
      <c r="S3514" s="55">
        <v>0</v>
      </c>
      <c r="T3514" s="74" t="s">
        <v>2629</v>
      </c>
      <c r="U3514" s="74" t="s">
        <v>351</v>
      </c>
      <c r="V3514" s="74">
        <v>44467</v>
      </c>
      <c r="W3514" s="74">
        <v>44519</v>
      </c>
      <c r="X3514" s="55">
        <v>10205859</v>
      </c>
      <c r="Y3514" s="55" t="s">
        <v>132</v>
      </c>
      <c r="AB3514" s="74" t="s">
        <v>132</v>
      </c>
      <c r="AC3514" s="55" t="s">
        <v>130</v>
      </c>
    </row>
    <row r="3515" spans="1:29" ht="13" x14ac:dyDescent="0.15">
      <c r="A3515" s="55" t="str">
        <f>HYPERLINK("http://reports.ofsted.gov.uk/inspection-reports/find-inspection-report/provider/CARE/SC482295","Ofsted Social Care Provider Webpage")</f>
        <v>Ofsted Social Care Provider Webpage</v>
      </c>
      <c r="B3515" s="55" t="s">
        <v>6465</v>
      </c>
      <c r="D3515" s="55" t="s">
        <v>373</v>
      </c>
      <c r="E3515" s="74">
        <v>41904</v>
      </c>
      <c r="F3515" s="55" t="s">
        <v>344</v>
      </c>
      <c r="G3515" s="55" t="s">
        <v>360</v>
      </c>
      <c r="H3515" s="55" t="s">
        <v>360</v>
      </c>
      <c r="I3515" s="55" t="s">
        <v>360</v>
      </c>
      <c r="J3515" s="55" t="s">
        <v>360</v>
      </c>
      <c r="K3515" s="55" t="s">
        <v>360</v>
      </c>
      <c r="L3515" s="55" t="s">
        <v>360</v>
      </c>
      <c r="M3515" s="55" t="s">
        <v>150</v>
      </c>
      <c r="N3515" s="55" t="s">
        <v>150</v>
      </c>
      <c r="O3515" s="55" t="s">
        <v>237</v>
      </c>
      <c r="P3515" s="55" t="s">
        <v>869</v>
      </c>
      <c r="Q3515" s="55" t="s">
        <v>350</v>
      </c>
      <c r="R3515" s="85">
        <v>7</v>
      </c>
      <c r="S3515" s="55">
        <v>0</v>
      </c>
      <c r="T3515" s="74" t="s">
        <v>890</v>
      </c>
      <c r="U3515" s="74" t="s">
        <v>351</v>
      </c>
      <c r="V3515" s="74">
        <v>44510</v>
      </c>
      <c r="W3515" s="74">
        <v>44565</v>
      </c>
      <c r="X3515" s="55">
        <v>10186594</v>
      </c>
      <c r="Y3515" s="55" t="s">
        <v>132</v>
      </c>
      <c r="AB3515" s="74" t="s">
        <v>132</v>
      </c>
      <c r="AC3515" s="55" t="s">
        <v>132</v>
      </c>
    </row>
    <row r="3516" spans="1:29" ht="13" x14ac:dyDescent="0.15">
      <c r="A3516" s="55" t="str">
        <f>HYPERLINK("http://reports.ofsted.gov.uk/inspection-reports/find-inspection-report/provider/CARE/SC482296","Ofsted Social Care Provider Webpage")</f>
        <v>Ofsted Social Care Provider Webpage</v>
      </c>
      <c r="B3516" s="55" t="s">
        <v>6466</v>
      </c>
      <c r="D3516" s="55" t="s">
        <v>373</v>
      </c>
      <c r="E3516" s="74">
        <v>41904</v>
      </c>
      <c r="F3516" s="55" t="s">
        <v>344</v>
      </c>
      <c r="G3516" s="55" t="s">
        <v>360</v>
      </c>
      <c r="H3516" s="55" t="s">
        <v>360</v>
      </c>
      <c r="I3516" s="55" t="s">
        <v>360</v>
      </c>
      <c r="J3516" s="55" t="s">
        <v>360</v>
      </c>
      <c r="K3516" s="55" t="s">
        <v>360</v>
      </c>
      <c r="L3516" s="55" t="s">
        <v>360</v>
      </c>
      <c r="M3516" s="55" t="s">
        <v>150</v>
      </c>
      <c r="N3516" s="55" t="s">
        <v>150</v>
      </c>
      <c r="O3516" s="55" t="s">
        <v>237</v>
      </c>
      <c r="P3516" s="55" t="s">
        <v>869</v>
      </c>
      <c r="Q3516" s="55" t="s">
        <v>350</v>
      </c>
      <c r="R3516" s="85">
        <v>8</v>
      </c>
      <c r="S3516" s="55">
        <v>0</v>
      </c>
      <c r="T3516" s="74" t="s">
        <v>890</v>
      </c>
      <c r="U3516" s="74" t="s">
        <v>2053</v>
      </c>
      <c r="V3516" s="74">
        <v>44427</v>
      </c>
      <c r="W3516" s="74">
        <v>44463</v>
      </c>
      <c r="X3516" s="55">
        <v>10204647</v>
      </c>
    </row>
    <row r="3517" spans="1:29" ht="13" x14ac:dyDescent="0.15">
      <c r="A3517" s="55" t="str">
        <f>HYPERLINK("http://reports.ofsted.gov.uk/inspection-reports/find-inspection-report/provider/CARE/SC482296","Ofsted Social Care Provider Webpage")</f>
        <v>Ofsted Social Care Provider Webpage</v>
      </c>
      <c r="B3517" s="55" t="s">
        <v>6466</v>
      </c>
      <c r="D3517" s="55" t="s">
        <v>373</v>
      </c>
      <c r="E3517" s="74">
        <v>41904</v>
      </c>
      <c r="F3517" s="55" t="s">
        <v>344</v>
      </c>
      <c r="G3517" s="55" t="s">
        <v>360</v>
      </c>
      <c r="H3517" s="55" t="s">
        <v>360</v>
      </c>
      <c r="I3517" s="55" t="s">
        <v>360</v>
      </c>
      <c r="J3517" s="55" t="s">
        <v>360</v>
      </c>
      <c r="K3517" s="55" t="s">
        <v>360</v>
      </c>
      <c r="L3517" s="55" t="s">
        <v>360</v>
      </c>
      <c r="M3517" s="55" t="s">
        <v>150</v>
      </c>
      <c r="N3517" s="55" t="s">
        <v>150</v>
      </c>
      <c r="O3517" s="55" t="s">
        <v>237</v>
      </c>
      <c r="P3517" s="55" t="s">
        <v>869</v>
      </c>
      <c r="Q3517" s="55" t="s">
        <v>350</v>
      </c>
      <c r="R3517" s="85">
        <v>8</v>
      </c>
      <c r="S3517" s="55">
        <v>0</v>
      </c>
      <c r="T3517" s="74" t="s">
        <v>890</v>
      </c>
      <c r="U3517" s="74" t="s">
        <v>2053</v>
      </c>
      <c r="V3517" s="74">
        <v>44357</v>
      </c>
      <c r="W3517" s="74">
        <v>44396</v>
      </c>
      <c r="X3517" s="55">
        <v>10197092</v>
      </c>
    </row>
    <row r="3518" spans="1:29" ht="13" x14ac:dyDescent="0.15">
      <c r="A3518" s="55" t="str">
        <f>HYPERLINK("http://reports.ofsted.gov.uk/inspection-reports/find-inspection-report/provider/CARE/SC482296","Ofsted Social Care Provider Webpage")</f>
        <v>Ofsted Social Care Provider Webpage</v>
      </c>
      <c r="B3518" s="55" t="s">
        <v>6466</v>
      </c>
      <c r="D3518" s="55" t="s">
        <v>373</v>
      </c>
      <c r="E3518" s="74">
        <v>41904</v>
      </c>
      <c r="F3518" s="55" t="s">
        <v>344</v>
      </c>
      <c r="G3518" s="55" t="s">
        <v>360</v>
      </c>
      <c r="H3518" s="55" t="s">
        <v>360</v>
      </c>
      <c r="I3518" s="55" t="s">
        <v>360</v>
      </c>
      <c r="J3518" s="55" t="s">
        <v>360</v>
      </c>
      <c r="K3518" s="55" t="s">
        <v>360</v>
      </c>
      <c r="L3518" s="55" t="s">
        <v>360</v>
      </c>
      <c r="M3518" s="55" t="s">
        <v>150</v>
      </c>
      <c r="N3518" s="55" t="s">
        <v>150</v>
      </c>
      <c r="O3518" s="55" t="s">
        <v>237</v>
      </c>
      <c r="P3518" s="55" t="s">
        <v>869</v>
      </c>
      <c r="Q3518" s="55" t="s">
        <v>350</v>
      </c>
      <c r="R3518" s="85">
        <v>8</v>
      </c>
      <c r="S3518" s="55">
        <v>0</v>
      </c>
      <c r="T3518" s="74" t="s">
        <v>890</v>
      </c>
      <c r="U3518" s="74" t="s">
        <v>351</v>
      </c>
      <c r="V3518" s="74">
        <v>44473</v>
      </c>
      <c r="W3518" s="74">
        <v>44525</v>
      </c>
      <c r="X3518" s="55">
        <v>10187053</v>
      </c>
      <c r="Y3518" s="55" t="s">
        <v>132</v>
      </c>
      <c r="AB3518" s="74" t="s">
        <v>132</v>
      </c>
      <c r="AC3518" s="55" t="s">
        <v>132</v>
      </c>
    </row>
    <row r="3519" spans="1:29" ht="13" x14ac:dyDescent="0.15">
      <c r="A3519" s="55" t="str">
        <f>HYPERLINK("http://reports.ofsted.gov.uk/inspection-reports/find-inspection-report/provider/CARE/SC482299","Ofsted Social Care Provider Webpage")</f>
        <v>Ofsted Social Care Provider Webpage</v>
      </c>
      <c r="B3519" s="55" t="s">
        <v>6467</v>
      </c>
      <c r="D3519" s="55" t="s">
        <v>373</v>
      </c>
      <c r="E3519" s="74">
        <v>41904</v>
      </c>
      <c r="F3519" s="55" t="s">
        <v>344</v>
      </c>
      <c r="G3519" s="55" t="s">
        <v>360</v>
      </c>
      <c r="H3519" s="55" t="s">
        <v>360</v>
      </c>
      <c r="I3519" s="55" t="s">
        <v>360</v>
      </c>
      <c r="J3519" s="55" t="s">
        <v>360</v>
      </c>
      <c r="K3519" s="55" t="s">
        <v>360</v>
      </c>
      <c r="L3519" s="55" t="s">
        <v>360</v>
      </c>
      <c r="M3519" s="55" t="s">
        <v>150</v>
      </c>
      <c r="N3519" s="55" t="s">
        <v>150</v>
      </c>
      <c r="O3519" s="55" t="s">
        <v>190</v>
      </c>
      <c r="P3519" s="55" t="s">
        <v>371</v>
      </c>
      <c r="Q3519" s="55" t="s">
        <v>350</v>
      </c>
      <c r="R3519" s="85">
        <v>10</v>
      </c>
      <c r="S3519" s="55">
        <v>0</v>
      </c>
      <c r="T3519" s="74" t="s">
        <v>890</v>
      </c>
      <c r="U3519" s="74" t="s">
        <v>351</v>
      </c>
      <c r="V3519" s="74">
        <v>44384</v>
      </c>
      <c r="W3519" s="74">
        <v>44428</v>
      </c>
      <c r="X3519" s="55">
        <v>10185933</v>
      </c>
      <c r="Y3519" s="55" t="s">
        <v>132</v>
      </c>
      <c r="AB3519" s="74" t="s">
        <v>132</v>
      </c>
      <c r="AC3519" s="55" t="s">
        <v>132</v>
      </c>
    </row>
    <row r="3520" spans="1:29" ht="13" x14ac:dyDescent="0.15">
      <c r="A3520" s="55" t="str">
        <f>HYPERLINK("http://reports.ofsted.gov.uk/inspection-reports/find-inspection-report/provider/CARE/SC482300","Ofsted Social Care Provider Webpage")</f>
        <v>Ofsted Social Care Provider Webpage</v>
      </c>
      <c r="B3520" s="55" t="s">
        <v>6468</v>
      </c>
      <c r="D3520" s="55" t="s">
        <v>479</v>
      </c>
      <c r="E3520" s="74">
        <v>41904</v>
      </c>
      <c r="F3520" s="55" t="s">
        <v>344</v>
      </c>
      <c r="G3520" s="55" t="s">
        <v>360</v>
      </c>
      <c r="H3520" s="55" t="s">
        <v>360</v>
      </c>
      <c r="I3520" s="55" t="s">
        <v>360</v>
      </c>
      <c r="J3520" s="55" t="s">
        <v>360</v>
      </c>
      <c r="K3520" s="55" t="s">
        <v>360</v>
      </c>
      <c r="L3520" s="55" t="s">
        <v>360</v>
      </c>
      <c r="M3520" s="55" t="s">
        <v>150</v>
      </c>
      <c r="N3520" s="55" t="s">
        <v>150</v>
      </c>
      <c r="O3520" s="55" t="s">
        <v>285</v>
      </c>
      <c r="P3520" s="55" t="s">
        <v>796</v>
      </c>
      <c r="Q3520" s="55" t="s">
        <v>350</v>
      </c>
      <c r="R3520" s="85">
        <v>6</v>
      </c>
      <c r="S3520" s="55">
        <v>0</v>
      </c>
      <c r="T3520" s="74" t="s">
        <v>890</v>
      </c>
      <c r="U3520" s="74" t="s">
        <v>351</v>
      </c>
      <c r="V3520" s="74">
        <v>44368</v>
      </c>
      <c r="W3520" s="74">
        <v>44398</v>
      </c>
      <c r="X3520" s="55">
        <v>10185384</v>
      </c>
      <c r="Y3520" s="55" t="s">
        <v>132</v>
      </c>
      <c r="AB3520" s="74" t="s">
        <v>132</v>
      </c>
      <c r="AC3520" s="55" t="s">
        <v>132</v>
      </c>
    </row>
    <row r="3521" spans="1:29" ht="13" x14ac:dyDescent="0.15">
      <c r="A3521" s="55" t="str">
        <f>HYPERLINK("http://reports.ofsted.gov.uk/inspection-reports/find-inspection-report/provider/CARE/SC482301","Ofsted Social Care Provider Webpage")</f>
        <v>Ofsted Social Care Provider Webpage</v>
      </c>
      <c r="B3521" s="55" t="s">
        <v>6469</v>
      </c>
      <c r="D3521" s="55" t="s">
        <v>373</v>
      </c>
      <c r="E3521" s="74">
        <v>41904</v>
      </c>
      <c r="F3521" s="55" t="s">
        <v>344</v>
      </c>
      <c r="G3521" s="55" t="s">
        <v>360</v>
      </c>
      <c r="H3521" s="55" t="s">
        <v>360</v>
      </c>
      <c r="I3521" s="55" t="s">
        <v>360</v>
      </c>
      <c r="J3521" s="55" t="s">
        <v>360</v>
      </c>
      <c r="K3521" s="55" t="s">
        <v>360</v>
      </c>
      <c r="L3521" s="55" t="s">
        <v>360</v>
      </c>
      <c r="M3521" s="55" t="s">
        <v>150</v>
      </c>
      <c r="N3521" s="55" t="s">
        <v>150</v>
      </c>
      <c r="O3521" s="55" t="s">
        <v>190</v>
      </c>
      <c r="P3521" s="55" t="s">
        <v>371</v>
      </c>
      <c r="Q3521" s="55" t="s">
        <v>350</v>
      </c>
      <c r="R3521" s="85">
        <v>6</v>
      </c>
      <c r="S3521" s="55">
        <v>0</v>
      </c>
      <c r="T3521" s="74" t="s">
        <v>890</v>
      </c>
      <c r="U3521" s="74" t="s">
        <v>351</v>
      </c>
      <c r="V3521" s="74">
        <v>44411</v>
      </c>
      <c r="W3521" s="74">
        <v>44446</v>
      </c>
      <c r="X3521" s="55">
        <v>10185222</v>
      </c>
      <c r="Y3521" s="55" t="s">
        <v>132</v>
      </c>
      <c r="AB3521" s="74" t="s">
        <v>132</v>
      </c>
      <c r="AC3521" s="55" t="s">
        <v>132</v>
      </c>
    </row>
    <row r="3522" spans="1:29" ht="13" x14ac:dyDescent="0.15">
      <c r="A3522" s="55" t="str">
        <f>HYPERLINK("http://reports.ofsted.gov.uk/inspection-reports/find-inspection-report/provider/CARE/SC482303","Ofsted Social Care Provider Webpage")</f>
        <v>Ofsted Social Care Provider Webpage</v>
      </c>
      <c r="B3522" s="55" t="s">
        <v>6470</v>
      </c>
      <c r="D3522" s="55" t="s">
        <v>373</v>
      </c>
      <c r="E3522" s="74">
        <v>41934</v>
      </c>
      <c r="F3522" s="55" t="s">
        <v>344</v>
      </c>
      <c r="G3522" s="55" t="s">
        <v>360</v>
      </c>
      <c r="H3522" s="55" t="s">
        <v>360</v>
      </c>
      <c r="I3522" s="55" t="s">
        <v>360</v>
      </c>
      <c r="J3522" s="55" t="s">
        <v>360</v>
      </c>
      <c r="K3522" s="55" t="s">
        <v>360</v>
      </c>
      <c r="L3522" s="55" t="s">
        <v>360</v>
      </c>
      <c r="M3522" s="55" t="s">
        <v>150</v>
      </c>
      <c r="N3522" s="55" t="s">
        <v>150</v>
      </c>
      <c r="O3522" s="55" t="s">
        <v>237</v>
      </c>
      <c r="P3522" s="55" t="s">
        <v>990</v>
      </c>
      <c r="Q3522" s="55" t="s">
        <v>350</v>
      </c>
      <c r="R3522" s="85">
        <v>8</v>
      </c>
      <c r="S3522" s="55">
        <v>0</v>
      </c>
      <c r="T3522" s="74" t="s">
        <v>890</v>
      </c>
      <c r="U3522" s="74" t="s">
        <v>351</v>
      </c>
      <c r="V3522" s="74">
        <v>44480</v>
      </c>
      <c r="W3522" s="74">
        <v>44532</v>
      </c>
      <c r="X3522" s="55">
        <v>10186657</v>
      </c>
      <c r="Y3522" s="55" t="s">
        <v>140</v>
      </c>
      <c r="AB3522" s="74" t="s">
        <v>132</v>
      </c>
      <c r="AC3522" s="55" t="s">
        <v>140</v>
      </c>
    </row>
    <row r="3523" spans="1:29" ht="13" x14ac:dyDescent="0.15">
      <c r="A3523" s="55" t="str">
        <f>HYPERLINK("http://reports.ofsted.gov.uk/inspection-reports/find-inspection-report/provider/CARE/SC482344","Ofsted Social Care Provider Webpage")</f>
        <v>Ofsted Social Care Provider Webpage</v>
      </c>
      <c r="B3523" s="55" t="s">
        <v>6472</v>
      </c>
      <c r="D3523" s="55" t="s">
        <v>373</v>
      </c>
      <c r="E3523" s="74">
        <v>41934</v>
      </c>
      <c r="F3523" s="55" t="s">
        <v>344</v>
      </c>
      <c r="G3523" s="55" t="s">
        <v>360</v>
      </c>
      <c r="H3523" s="55" t="s">
        <v>360</v>
      </c>
      <c r="I3523" s="55" t="s">
        <v>360</v>
      </c>
      <c r="J3523" s="55" t="s">
        <v>360</v>
      </c>
      <c r="K3523" s="55" t="s">
        <v>360</v>
      </c>
      <c r="L3523" s="55" t="s">
        <v>360</v>
      </c>
      <c r="M3523" s="55" t="s">
        <v>150</v>
      </c>
      <c r="N3523" s="55" t="s">
        <v>150</v>
      </c>
      <c r="O3523" s="55" t="s">
        <v>237</v>
      </c>
      <c r="P3523" s="55" t="s">
        <v>869</v>
      </c>
      <c r="Q3523" s="55" t="s">
        <v>350</v>
      </c>
      <c r="R3523" s="85">
        <v>8</v>
      </c>
      <c r="S3523" s="55">
        <v>0</v>
      </c>
      <c r="T3523" s="74" t="s">
        <v>890</v>
      </c>
      <c r="U3523" s="74" t="s">
        <v>351</v>
      </c>
      <c r="V3523" s="74">
        <v>44614</v>
      </c>
      <c r="W3523" s="74">
        <v>44659</v>
      </c>
      <c r="X3523" s="55">
        <v>10187130</v>
      </c>
      <c r="Y3523" s="55" t="s">
        <v>140</v>
      </c>
      <c r="AB3523" s="74" t="s">
        <v>140</v>
      </c>
      <c r="AC3523" s="55" t="s">
        <v>140</v>
      </c>
    </row>
    <row r="3524" spans="1:29" ht="13" x14ac:dyDescent="0.15">
      <c r="A3524" s="55" t="str">
        <f>HYPERLINK("http://reports.ofsted.gov.uk/inspection-reports/find-inspection-report/provider/CARE/SC482380","Ofsted Social Care Provider Webpage")</f>
        <v>Ofsted Social Care Provider Webpage</v>
      </c>
      <c r="B3524" s="55" t="s">
        <v>6473</v>
      </c>
      <c r="D3524" s="55" t="s">
        <v>373</v>
      </c>
      <c r="E3524" s="74">
        <v>42094</v>
      </c>
      <c r="F3524" s="55" t="s">
        <v>344</v>
      </c>
      <c r="G3524" s="55" t="s">
        <v>360</v>
      </c>
      <c r="H3524" s="55" t="s">
        <v>360</v>
      </c>
      <c r="I3524" s="55" t="s">
        <v>360</v>
      </c>
      <c r="J3524" s="55" t="s">
        <v>360</v>
      </c>
      <c r="K3524" s="55" t="s">
        <v>360</v>
      </c>
      <c r="L3524" s="55" t="s">
        <v>360</v>
      </c>
      <c r="M3524" s="55" t="s">
        <v>138</v>
      </c>
      <c r="N3524" s="55" t="s">
        <v>138</v>
      </c>
      <c r="O3524" s="55" t="s">
        <v>159</v>
      </c>
      <c r="P3524" s="55" t="s">
        <v>1025</v>
      </c>
      <c r="Q3524" s="55" t="s">
        <v>350</v>
      </c>
      <c r="R3524" s="85">
        <v>4</v>
      </c>
      <c r="S3524" s="55">
        <v>0</v>
      </c>
      <c r="T3524" s="74" t="s">
        <v>791</v>
      </c>
      <c r="U3524" s="74" t="s">
        <v>351</v>
      </c>
      <c r="V3524" s="74">
        <v>44313</v>
      </c>
      <c r="W3524" s="74">
        <v>44337</v>
      </c>
      <c r="X3524" s="55">
        <v>10185245</v>
      </c>
      <c r="Y3524" s="55" t="s">
        <v>140</v>
      </c>
      <c r="AB3524" s="74" t="s">
        <v>140</v>
      </c>
      <c r="AC3524" s="55" t="s">
        <v>140</v>
      </c>
    </row>
    <row r="3525" spans="1:29" ht="13" x14ac:dyDescent="0.15">
      <c r="A3525" s="55" t="str">
        <f>HYPERLINK("http://reports.ofsted.gov.uk/inspection-reports/find-inspection-report/provider/CARE/SC482410","Ofsted Social Care Provider Webpage")</f>
        <v>Ofsted Social Care Provider Webpage</v>
      </c>
      <c r="B3525" s="55" t="s">
        <v>6474</v>
      </c>
      <c r="D3525" s="55" t="s">
        <v>373</v>
      </c>
      <c r="E3525" s="74">
        <v>41955</v>
      </c>
      <c r="F3525" s="55" t="s">
        <v>344</v>
      </c>
      <c r="G3525" s="55" t="s">
        <v>360</v>
      </c>
      <c r="H3525" s="55" t="s">
        <v>360</v>
      </c>
      <c r="I3525" s="55" t="s">
        <v>360</v>
      </c>
      <c r="J3525" s="55" t="s">
        <v>360</v>
      </c>
      <c r="K3525" s="55" t="s">
        <v>360</v>
      </c>
      <c r="L3525" s="55" t="s">
        <v>360</v>
      </c>
      <c r="M3525" s="55" t="s">
        <v>144</v>
      </c>
      <c r="N3525" s="55" t="s">
        <v>144</v>
      </c>
      <c r="O3525" s="55" t="s">
        <v>287</v>
      </c>
      <c r="P3525" s="55" t="s">
        <v>815</v>
      </c>
      <c r="Q3525" s="55" t="s">
        <v>350</v>
      </c>
      <c r="R3525" s="85">
        <v>3</v>
      </c>
      <c r="S3525" s="55">
        <v>0</v>
      </c>
      <c r="T3525" s="74" t="s">
        <v>513</v>
      </c>
      <c r="U3525" s="74" t="s">
        <v>351</v>
      </c>
      <c r="V3525" s="74">
        <v>44593</v>
      </c>
      <c r="W3525" s="74">
        <v>44635</v>
      </c>
      <c r="X3525" s="55">
        <v>10186166</v>
      </c>
      <c r="Y3525" s="55" t="s">
        <v>132</v>
      </c>
      <c r="AB3525" s="74" t="s">
        <v>132</v>
      </c>
      <c r="AC3525" s="55" t="s">
        <v>132</v>
      </c>
    </row>
    <row r="3526" spans="1:29" ht="13" x14ac:dyDescent="0.15">
      <c r="A3526" s="55" t="str">
        <f>HYPERLINK("http://reports.ofsted.gov.uk/inspection-reports/find-inspection-report/provider/CARE/SC482411","Ofsted Social Care Provider Webpage")</f>
        <v>Ofsted Social Care Provider Webpage</v>
      </c>
      <c r="B3526" s="55" t="s">
        <v>6475</v>
      </c>
      <c r="D3526" s="55" t="s">
        <v>373</v>
      </c>
      <c r="E3526" s="74">
        <v>41978</v>
      </c>
      <c r="F3526" s="55" t="s">
        <v>344</v>
      </c>
      <c r="G3526" s="55" t="s">
        <v>360</v>
      </c>
      <c r="H3526" s="55" t="s">
        <v>360</v>
      </c>
      <c r="I3526" s="55" t="s">
        <v>360</v>
      </c>
      <c r="J3526" s="55" t="s">
        <v>360</v>
      </c>
      <c r="K3526" s="55" t="s">
        <v>360</v>
      </c>
      <c r="L3526" s="55" t="s">
        <v>360</v>
      </c>
      <c r="M3526" s="55" t="s">
        <v>172</v>
      </c>
      <c r="N3526" s="55" t="s">
        <v>172</v>
      </c>
      <c r="O3526" s="55" t="s">
        <v>214</v>
      </c>
      <c r="P3526" s="55" t="s">
        <v>790</v>
      </c>
      <c r="Q3526" s="55" t="s">
        <v>350</v>
      </c>
      <c r="R3526" s="85">
        <v>6</v>
      </c>
      <c r="S3526" s="55">
        <v>0</v>
      </c>
      <c r="T3526" s="74" t="s">
        <v>493</v>
      </c>
      <c r="U3526" s="74" t="s">
        <v>351</v>
      </c>
      <c r="V3526" s="74">
        <v>44300</v>
      </c>
      <c r="W3526" s="74">
        <v>44351</v>
      </c>
      <c r="X3526" s="55">
        <v>10187401</v>
      </c>
      <c r="Y3526" s="55" t="s">
        <v>140</v>
      </c>
      <c r="AB3526" s="74" t="s">
        <v>140</v>
      </c>
      <c r="AC3526" s="55" t="s">
        <v>140</v>
      </c>
    </row>
    <row r="3527" spans="1:29" ht="13" x14ac:dyDescent="0.15">
      <c r="A3527" s="55" t="str">
        <f>HYPERLINK("http://reports.ofsted.gov.uk/inspection-reports/find-inspection-report/provider/CARE/SC482415","Ofsted Social Care Provider Webpage")</f>
        <v>Ofsted Social Care Provider Webpage</v>
      </c>
      <c r="B3527" s="55" t="s">
        <v>6476</v>
      </c>
      <c r="D3527" s="55" t="s">
        <v>373</v>
      </c>
      <c r="E3527" s="74">
        <v>42286</v>
      </c>
      <c r="F3527" s="55" t="s">
        <v>344</v>
      </c>
      <c r="G3527" s="55" t="s">
        <v>360</v>
      </c>
      <c r="H3527" s="55" t="s">
        <v>360</v>
      </c>
      <c r="I3527" s="55" t="s">
        <v>360</v>
      </c>
      <c r="J3527" s="55" t="s">
        <v>360</v>
      </c>
      <c r="K3527" s="55" t="s">
        <v>360</v>
      </c>
      <c r="L3527" s="55" t="s">
        <v>360</v>
      </c>
      <c r="M3527" s="55" t="s">
        <v>378</v>
      </c>
      <c r="N3527" s="55" t="s">
        <v>134</v>
      </c>
      <c r="O3527" s="55" t="s">
        <v>210</v>
      </c>
      <c r="P3527" s="55" t="s">
        <v>1034</v>
      </c>
      <c r="Q3527" s="55" t="s">
        <v>350</v>
      </c>
      <c r="R3527" s="85">
        <v>4</v>
      </c>
      <c r="S3527" s="55">
        <v>0</v>
      </c>
      <c r="T3527" s="74" t="s">
        <v>1947</v>
      </c>
      <c r="U3527" s="74" t="s">
        <v>351</v>
      </c>
      <c r="V3527" s="74">
        <v>44474</v>
      </c>
      <c r="W3527" s="74">
        <v>44511</v>
      </c>
      <c r="X3527" s="55">
        <v>10185035</v>
      </c>
      <c r="Y3527" s="55" t="s">
        <v>132</v>
      </c>
      <c r="AB3527" s="74" t="s">
        <v>140</v>
      </c>
      <c r="AC3527" s="55" t="s">
        <v>132</v>
      </c>
    </row>
    <row r="3528" spans="1:29" ht="13" x14ac:dyDescent="0.15">
      <c r="A3528" s="55" t="str">
        <f>HYPERLINK("http://reports.ofsted.gov.uk/inspection-reports/find-inspection-report/provider/CARE/SC482418","Ofsted Social Care Provider Webpage")</f>
        <v>Ofsted Social Care Provider Webpage</v>
      </c>
      <c r="B3528" s="55" t="s">
        <v>6477</v>
      </c>
      <c r="D3528" s="55" t="s">
        <v>373</v>
      </c>
      <c r="E3528" s="74">
        <v>42107</v>
      </c>
      <c r="F3528" s="55" t="s">
        <v>344</v>
      </c>
      <c r="G3528" s="55" t="s">
        <v>360</v>
      </c>
      <c r="H3528" s="55" t="s">
        <v>360</v>
      </c>
      <c r="I3528" s="55" t="s">
        <v>360</v>
      </c>
      <c r="J3528" s="55" t="s">
        <v>360</v>
      </c>
      <c r="K3528" s="55" t="s">
        <v>360</v>
      </c>
      <c r="L3528" s="55" t="s">
        <v>360</v>
      </c>
      <c r="M3528" s="55" t="s">
        <v>378</v>
      </c>
      <c r="N3528" s="55" t="s">
        <v>170</v>
      </c>
      <c r="O3528" s="55" t="s">
        <v>178</v>
      </c>
      <c r="P3528" s="55" t="s">
        <v>1374</v>
      </c>
      <c r="Q3528" s="55" t="s">
        <v>350</v>
      </c>
      <c r="R3528" s="85">
        <v>3</v>
      </c>
      <c r="S3528" s="55">
        <v>0</v>
      </c>
      <c r="T3528" s="74" t="s">
        <v>522</v>
      </c>
      <c r="U3528" s="74" t="s">
        <v>351</v>
      </c>
      <c r="V3528" s="74">
        <v>44536</v>
      </c>
      <c r="W3528" s="74">
        <v>44586</v>
      </c>
      <c r="X3528" s="55">
        <v>10187555</v>
      </c>
      <c r="Y3528" s="55" t="s">
        <v>132</v>
      </c>
      <c r="AB3528" s="74" t="s">
        <v>132</v>
      </c>
      <c r="AC3528" s="55" t="s">
        <v>130</v>
      </c>
    </row>
    <row r="3529" spans="1:29" ht="13" x14ac:dyDescent="0.15">
      <c r="A3529" s="55" t="str">
        <f>HYPERLINK("http://reports.ofsted.gov.uk/inspection-reports/find-inspection-report/provider/CARE/SC482418","Ofsted Social Care Provider Webpage")</f>
        <v>Ofsted Social Care Provider Webpage</v>
      </c>
      <c r="B3529" s="55" t="s">
        <v>6477</v>
      </c>
      <c r="D3529" s="55" t="s">
        <v>373</v>
      </c>
      <c r="E3529" s="74">
        <v>42107</v>
      </c>
      <c r="F3529" s="55" t="s">
        <v>344</v>
      </c>
      <c r="G3529" s="55" t="s">
        <v>360</v>
      </c>
      <c r="H3529" s="55" t="s">
        <v>360</v>
      </c>
      <c r="I3529" s="55" t="s">
        <v>360</v>
      </c>
      <c r="J3529" s="55" t="s">
        <v>360</v>
      </c>
      <c r="K3529" s="55" t="s">
        <v>360</v>
      </c>
      <c r="L3529" s="55" t="s">
        <v>360</v>
      </c>
      <c r="M3529" s="55" t="s">
        <v>378</v>
      </c>
      <c r="N3529" s="55" t="s">
        <v>170</v>
      </c>
      <c r="O3529" s="55" t="s">
        <v>178</v>
      </c>
      <c r="P3529" s="55" t="s">
        <v>1374</v>
      </c>
      <c r="Q3529" s="55" t="s">
        <v>350</v>
      </c>
      <c r="R3529" s="85">
        <v>3</v>
      </c>
      <c r="S3529" s="55">
        <v>0</v>
      </c>
      <c r="T3529" s="74" t="s">
        <v>522</v>
      </c>
      <c r="U3529" s="74" t="s">
        <v>2053</v>
      </c>
      <c r="V3529" s="74">
        <v>44601</v>
      </c>
      <c r="W3529" s="74">
        <v>44648</v>
      </c>
      <c r="X3529" s="55">
        <v>10221918</v>
      </c>
    </row>
    <row r="3530" spans="1:29" ht="13" x14ac:dyDescent="0.15">
      <c r="A3530" s="55" t="str">
        <f>HYPERLINK("http://reports.ofsted.gov.uk/inspection-reports/find-inspection-report/provider/CARE/SC482517","Ofsted Social Care Provider Webpage")</f>
        <v>Ofsted Social Care Provider Webpage</v>
      </c>
      <c r="B3530" s="55" t="s">
        <v>6479</v>
      </c>
      <c r="D3530" s="55" t="s">
        <v>373</v>
      </c>
      <c r="E3530" s="74">
        <v>42033</v>
      </c>
      <c r="F3530" s="55" t="s">
        <v>344</v>
      </c>
      <c r="G3530" s="55" t="s">
        <v>360</v>
      </c>
      <c r="H3530" s="55" t="s">
        <v>360</v>
      </c>
      <c r="I3530" s="55" t="s">
        <v>360</v>
      </c>
      <c r="J3530" s="55" t="s">
        <v>360</v>
      </c>
      <c r="K3530" s="55" t="s">
        <v>360</v>
      </c>
      <c r="L3530" s="55" t="s">
        <v>360</v>
      </c>
      <c r="M3530" s="55" t="s">
        <v>142</v>
      </c>
      <c r="N3530" s="55" t="s">
        <v>142</v>
      </c>
      <c r="O3530" s="55" t="s">
        <v>282</v>
      </c>
      <c r="P3530" s="55" t="s">
        <v>3266</v>
      </c>
      <c r="Q3530" s="55" t="s">
        <v>350</v>
      </c>
      <c r="R3530" s="85">
        <v>4</v>
      </c>
      <c r="S3530" s="55">
        <v>0</v>
      </c>
      <c r="T3530" s="74" t="s">
        <v>493</v>
      </c>
      <c r="U3530" s="74" t="s">
        <v>351</v>
      </c>
      <c r="V3530" s="74">
        <v>44545</v>
      </c>
      <c r="W3530" s="74">
        <v>44602</v>
      </c>
      <c r="X3530" s="55">
        <v>10187227</v>
      </c>
      <c r="Y3530" s="55" t="s">
        <v>132</v>
      </c>
      <c r="AB3530" s="74" t="s">
        <v>130</v>
      </c>
      <c r="AC3530" s="55" t="s">
        <v>132</v>
      </c>
    </row>
    <row r="3531" spans="1:29" ht="13" x14ac:dyDescent="0.15">
      <c r="A3531" s="55" t="str">
        <f>HYPERLINK("http://reports.ofsted.gov.uk/inspection-reports/find-inspection-report/provider/CARE/SC482548","Ofsted Social Care Provider Webpage")</f>
        <v>Ofsted Social Care Provider Webpage</v>
      </c>
      <c r="B3531" s="55" t="s">
        <v>6480</v>
      </c>
      <c r="D3531" s="55" t="s">
        <v>373</v>
      </c>
      <c r="E3531" s="74">
        <v>42090</v>
      </c>
      <c r="F3531" s="55" t="s">
        <v>344</v>
      </c>
      <c r="G3531" s="55" t="s">
        <v>360</v>
      </c>
      <c r="H3531" s="55" t="s">
        <v>360</v>
      </c>
      <c r="I3531" s="55" t="s">
        <v>360</v>
      </c>
      <c r="J3531" s="55" t="s">
        <v>360</v>
      </c>
      <c r="K3531" s="55" t="s">
        <v>360</v>
      </c>
      <c r="L3531" s="55" t="s">
        <v>360</v>
      </c>
      <c r="M3531" s="55" t="s">
        <v>150</v>
      </c>
      <c r="N3531" s="55" t="s">
        <v>150</v>
      </c>
      <c r="O3531" s="55" t="s">
        <v>153</v>
      </c>
      <c r="P3531" s="55" t="s">
        <v>829</v>
      </c>
      <c r="Q3531" s="55" t="s">
        <v>350</v>
      </c>
      <c r="R3531" s="85">
        <v>5</v>
      </c>
      <c r="S3531" s="55">
        <v>0</v>
      </c>
      <c r="T3531" s="74" t="s">
        <v>1332</v>
      </c>
      <c r="U3531" s="74" t="s">
        <v>2053</v>
      </c>
      <c r="V3531" s="74">
        <v>44379</v>
      </c>
      <c r="W3531" s="74">
        <v>44427</v>
      </c>
      <c r="X3531" s="55">
        <v>10199168</v>
      </c>
    </row>
    <row r="3532" spans="1:29" ht="13" x14ac:dyDescent="0.15">
      <c r="A3532" s="55" t="str">
        <f>HYPERLINK("http://reports.ofsted.gov.uk/inspection-reports/find-inspection-report/provider/CARE/SC482548","Ofsted Social Care Provider Webpage")</f>
        <v>Ofsted Social Care Provider Webpage</v>
      </c>
      <c r="B3532" s="55" t="s">
        <v>6480</v>
      </c>
      <c r="D3532" s="55" t="s">
        <v>373</v>
      </c>
      <c r="E3532" s="74">
        <v>42090</v>
      </c>
      <c r="F3532" s="55" t="s">
        <v>344</v>
      </c>
      <c r="G3532" s="55" t="s">
        <v>360</v>
      </c>
      <c r="H3532" s="55" t="s">
        <v>360</v>
      </c>
      <c r="I3532" s="55" t="s">
        <v>360</v>
      </c>
      <c r="J3532" s="55" t="s">
        <v>360</v>
      </c>
      <c r="K3532" s="55" t="s">
        <v>360</v>
      </c>
      <c r="L3532" s="55" t="s">
        <v>360</v>
      </c>
      <c r="M3532" s="55" t="s">
        <v>150</v>
      </c>
      <c r="N3532" s="55" t="s">
        <v>150</v>
      </c>
      <c r="O3532" s="55" t="s">
        <v>153</v>
      </c>
      <c r="P3532" s="55" t="s">
        <v>829</v>
      </c>
      <c r="Q3532" s="55" t="s">
        <v>350</v>
      </c>
      <c r="R3532" s="85">
        <v>5</v>
      </c>
      <c r="S3532" s="55">
        <v>0</v>
      </c>
      <c r="T3532" s="74" t="s">
        <v>1332</v>
      </c>
      <c r="U3532" s="74" t="s">
        <v>351</v>
      </c>
      <c r="V3532" s="74">
        <v>44313</v>
      </c>
      <c r="W3532" s="74">
        <v>44371</v>
      </c>
      <c r="X3532" s="55">
        <v>10186002</v>
      </c>
      <c r="Y3532" s="55" t="s">
        <v>146</v>
      </c>
      <c r="AB3532" s="74" t="s">
        <v>146</v>
      </c>
      <c r="AC3532" s="55" t="s">
        <v>146</v>
      </c>
    </row>
    <row r="3533" spans="1:29" ht="13" x14ac:dyDescent="0.15">
      <c r="A3533" s="55" t="str">
        <f>HYPERLINK("http://reports.ofsted.gov.uk/inspection-reports/find-inspection-report/provider/CARE/SC482548","Ofsted Social Care Provider Webpage")</f>
        <v>Ofsted Social Care Provider Webpage</v>
      </c>
      <c r="B3533" s="55" t="s">
        <v>6480</v>
      </c>
      <c r="D3533" s="55" t="s">
        <v>373</v>
      </c>
      <c r="E3533" s="74">
        <v>42090</v>
      </c>
      <c r="F3533" s="55" t="s">
        <v>344</v>
      </c>
      <c r="G3533" s="55" t="s">
        <v>360</v>
      </c>
      <c r="H3533" s="55" t="s">
        <v>360</v>
      </c>
      <c r="I3533" s="55" t="s">
        <v>360</v>
      </c>
      <c r="J3533" s="55" t="s">
        <v>360</v>
      </c>
      <c r="K3533" s="55" t="s">
        <v>360</v>
      </c>
      <c r="L3533" s="55" t="s">
        <v>360</v>
      </c>
      <c r="M3533" s="55" t="s">
        <v>150</v>
      </c>
      <c r="N3533" s="55" t="s">
        <v>150</v>
      </c>
      <c r="O3533" s="55" t="s">
        <v>153</v>
      </c>
      <c r="P3533" s="55" t="s">
        <v>829</v>
      </c>
      <c r="Q3533" s="55" t="s">
        <v>350</v>
      </c>
      <c r="R3533" s="85">
        <v>5</v>
      </c>
      <c r="S3533" s="55">
        <v>0</v>
      </c>
      <c r="T3533" s="74" t="s">
        <v>1332</v>
      </c>
      <c r="U3533" s="74" t="s">
        <v>351</v>
      </c>
      <c r="V3533" s="74">
        <v>44418</v>
      </c>
      <c r="W3533" s="74">
        <v>44453</v>
      </c>
      <c r="X3533" s="55">
        <v>10201891</v>
      </c>
      <c r="Y3533" s="55" t="s">
        <v>132</v>
      </c>
      <c r="AB3533" s="74" t="s">
        <v>132</v>
      </c>
      <c r="AC3533" s="55" t="s">
        <v>132</v>
      </c>
    </row>
    <row r="3534" spans="1:29" ht="13" x14ac:dyDescent="0.15">
      <c r="A3534" s="55" t="str">
        <f>HYPERLINK("http://reports.ofsted.gov.uk/inspection-reports/find-inspection-report/provider/CARE/SC482569","Ofsted Social Care Provider Webpage")</f>
        <v>Ofsted Social Care Provider Webpage</v>
      </c>
      <c r="B3534" s="55" t="s">
        <v>6481</v>
      </c>
      <c r="D3534" s="55" t="s">
        <v>373</v>
      </c>
      <c r="E3534" s="74">
        <v>42024</v>
      </c>
      <c r="F3534" s="55" t="s">
        <v>344</v>
      </c>
      <c r="G3534" s="55" t="s">
        <v>360</v>
      </c>
      <c r="H3534" s="55" t="s">
        <v>360</v>
      </c>
      <c r="I3534" s="55" t="s">
        <v>360</v>
      </c>
      <c r="J3534" s="55" t="s">
        <v>360</v>
      </c>
      <c r="K3534" s="55" t="s">
        <v>360</v>
      </c>
      <c r="L3534" s="55" t="s">
        <v>360</v>
      </c>
      <c r="M3534" s="55" t="s">
        <v>136</v>
      </c>
      <c r="N3534" s="55" t="s">
        <v>136</v>
      </c>
      <c r="O3534" s="55" t="s">
        <v>230</v>
      </c>
      <c r="P3534" s="55" t="s">
        <v>230</v>
      </c>
      <c r="Q3534" s="55" t="s">
        <v>350</v>
      </c>
      <c r="R3534" s="85">
        <v>4</v>
      </c>
      <c r="S3534" s="55">
        <v>0</v>
      </c>
      <c r="T3534" s="74" t="s">
        <v>493</v>
      </c>
      <c r="U3534" s="74" t="s">
        <v>351</v>
      </c>
      <c r="V3534" s="74">
        <v>44354</v>
      </c>
      <c r="W3534" s="74">
        <v>44386</v>
      </c>
      <c r="X3534" s="55">
        <v>10185741</v>
      </c>
      <c r="Y3534" s="55" t="s">
        <v>132</v>
      </c>
      <c r="AB3534" s="74" t="s">
        <v>132</v>
      </c>
      <c r="AC3534" s="55" t="s">
        <v>132</v>
      </c>
    </row>
    <row r="3535" spans="1:29" ht="13" x14ac:dyDescent="0.15">
      <c r="A3535" s="55" t="str">
        <f>HYPERLINK("http://reports.ofsted.gov.uk/inspection-reports/find-inspection-report/provider/CARE/SC482588","Ofsted Social Care Provider Webpage")</f>
        <v>Ofsted Social Care Provider Webpage</v>
      </c>
      <c r="B3535" s="55" t="s">
        <v>6482</v>
      </c>
      <c r="D3535" s="55" t="s">
        <v>451</v>
      </c>
      <c r="E3535" s="74">
        <v>42270</v>
      </c>
      <c r="F3535" s="55" t="s">
        <v>344</v>
      </c>
      <c r="G3535" s="55" t="s">
        <v>6483</v>
      </c>
      <c r="H3535" s="55" t="s">
        <v>6484</v>
      </c>
      <c r="I3535" s="55" t="s">
        <v>6485</v>
      </c>
      <c r="J3535" s="55" t="s">
        <v>6486</v>
      </c>
      <c r="K3535" s="55" t="s">
        <v>209</v>
      </c>
      <c r="L3535" s="55" t="s">
        <v>6487</v>
      </c>
      <c r="M3535" s="55" t="s">
        <v>144</v>
      </c>
      <c r="N3535" s="55" t="s">
        <v>144</v>
      </c>
      <c r="O3535" s="55" t="s">
        <v>287</v>
      </c>
      <c r="P3535" s="55" t="s">
        <v>815</v>
      </c>
      <c r="Q3535" s="55" t="s">
        <v>350</v>
      </c>
      <c r="R3535" s="85">
        <v>6</v>
      </c>
      <c r="S3535" s="55">
        <v>0</v>
      </c>
      <c r="T3535" s="74" t="s">
        <v>1259</v>
      </c>
      <c r="U3535" s="74" t="s">
        <v>2053</v>
      </c>
      <c r="V3535" s="74">
        <v>44530</v>
      </c>
      <c r="W3535" s="74">
        <v>44574</v>
      </c>
      <c r="X3535" s="55">
        <v>10216572</v>
      </c>
    </row>
    <row r="3536" spans="1:29" ht="13" x14ac:dyDescent="0.15">
      <c r="A3536" s="55" t="str">
        <f>HYPERLINK("http://reports.ofsted.gov.uk/inspection-reports/find-inspection-report/provider/CARE/SC482588","Ofsted Social Care Provider Webpage")</f>
        <v>Ofsted Social Care Provider Webpage</v>
      </c>
      <c r="B3536" s="55" t="s">
        <v>6482</v>
      </c>
      <c r="D3536" s="55" t="s">
        <v>451</v>
      </c>
      <c r="E3536" s="74">
        <v>42270</v>
      </c>
      <c r="F3536" s="55" t="s">
        <v>344</v>
      </c>
      <c r="G3536" s="55" t="s">
        <v>6483</v>
      </c>
      <c r="H3536" s="55" t="s">
        <v>6484</v>
      </c>
      <c r="I3536" s="55" t="s">
        <v>6485</v>
      </c>
      <c r="J3536" s="55" t="s">
        <v>6486</v>
      </c>
      <c r="K3536" s="55" t="s">
        <v>209</v>
      </c>
      <c r="L3536" s="55" t="s">
        <v>6487</v>
      </c>
      <c r="M3536" s="55" t="s">
        <v>144</v>
      </c>
      <c r="N3536" s="55" t="s">
        <v>144</v>
      </c>
      <c r="O3536" s="55" t="s">
        <v>287</v>
      </c>
      <c r="P3536" s="55" t="s">
        <v>815</v>
      </c>
      <c r="Q3536" s="55" t="s">
        <v>350</v>
      </c>
      <c r="R3536" s="85">
        <v>6</v>
      </c>
      <c r="S3536" s="55">
        <v>0</v>
      </c>
      <c r="T3536" s="74" t="s">
        <v>1259</v>
      </c>
      <c r="U3536" s="74" t="s">
        <v>2053</v>
      </c>
      <c r="V3536" s="74">
        <v>44342</v>
      </c>
      <c r="W3536" s="74">
        <v>44377</v>
      </c>
      <c r="X3536" s="55">
        <v>10193439</v>
      </c>
    </row>
    <row r="3537" spans="1:29" ht="13" x14ac:dyDescent="0.15">
      <c r="A3537" s="55" t="str">
        <f>HYPERLINK("http://reports.ofsted.gov.uk/inspection-reports/find-inspection-report/provider/CARE/SC482588","Ofsted Social Care Provider Webpage")</f>
        <v>Ofsted Social Care Provider Webpage</v>
      </c>
      <c r="B3537" s="55" t="s">
        <v>6482</v>
      </c>
      <c r="D3537" s="55" t="s">
        <v>451</v>
      </c>
      <c r="E3537" s="74">
        <v>42270</v>
      </c>
      <c r="F3537" s="55" t="s">
        <v>344</v>
      </c>
      <c r="G3537" s="55" t="s">
        <v>6483</v>
      </c>
      <c r="H3537" s="55" t="s">
        <v>6484</v>
      </c>
      <c r="I3537" s="55" t="s">
        <v>6485</v>
      </c>
      <c r="J3537" s="55" t="s">
        <v>6486</v>
      </c>
      <c r="K3537" s="55" t="s">
        <v>209</v>
      </c>
      <c r="L3537" s="55" t="s">
        <v>6487</v>
      </c>
      <c r="M3537" s="55" t="s">
        <v>144</v>
      </c>
      <c r="N3537" s="55" t="s">
        <v>144</v>
      </c>
      <c r="O3537" s="55" t="s">
        <v>287</v>
      </c>
      <c r="P3537" s="55" t="s">
        <v>815</v>
      </c>
      <c r="Q3537" s="55" t="s">
        <v>350</v>
      </c>
      <c r="R3537" s="85">
        <v>6</v>
      </c>
      <c r="S3537" s="55">
        <v>0</v>
      </c>
      <c r="T3537" s="74" t="s">
        <v>1259</v>
      </c>
      <c r="U3537" s="74" t="s">
        <v>351</v>
      </c>
      <c r="V3537" s="74">
        <v>44482</v>
      </c>
      <c r="W3537" s="74">
        <v>44544</v>
      </c>
      <c r="X3537" s="55">
        <v>10183449</v>
      </c>
      <c r="Y3537" s="55" t="s">
        <v>146</v>
      </c>
      <c r="AB3537" s="74" t="s">
        <v>146</v>
      </c>
      <c r="AC3537" s="55" t="s">
        <v>146</v>
      </c>
    </row>
    <row r="3538" spans="1:29" ht="13" x14ac:dyDescent="0.15">
      <c r="A3538" s="55" t="str">
        <f>HYPERLINK("http://reports.ofsted.gov.uk/inspection-reports/find-inspection-report/provider/CARE/SC482683","Ofsted Social Care Provider Webpage")</f>
        <v>Ofsted Social Care Provider Webpage</v>
      </c>
      <c r="B3538" s="55" t="s">
        <v>6488</v>
      </c>
      <c r="D3538" s="55" t="s">
        <v>373</v>
      </c>
      <c r="E3538" s="74">
        <v>42060</v>
      </c>
      <c r="F3538" s="55" t="s">
        <v>344</v>
      </c>
      <c r="G3538" s="55" t="s">
        <v>360</v>
      </c>
      <c r="H3538" s="55" t="s">
        <v>360</v>
      </c>
      <c r="I3538" s="55" t="s">
        <v>360</v>
      </c>
      <c r="J3538" s="55" t="s">
        <v>360</v>
      </c>
      <c r="K3538" s="55" t="s">
        <v>360</v>
      </c>
      <c r="L3538" s="55" t="s">
        <v>360</v>
      </c>
      <c r="M3538" s="55" t="s">
        <v>142</v>
      </c>
      <c r="N3538" s="55" t="s">
        <v>142</v>
      </c>
      <c r="O3538" s="55" t="s">
        <v>166</v>
      </c>
      <c r="P3538" s="55" t="s">
        <v>1301</v>
      </c>
      <c r="Q3538" s="55" t="s">
        <v>350</v>
      </c>
      <c r="R3538" s="85">
        <v>4</v>
      </c>
      <c r="S3538" s="55">
        <v>0</v>
      </c>
      <c r="T3538" s="74" t="s">
        <v>493</v>
      </c>
      <c r="U3538" s="74" t="s">
        <v>351</v>
      </c>
      <c r="V3538" s="74">
        <v>44607</v>
      </c>
      <c r="W3538" s="74">
        <v>44649</v>
      </c>
      <c r="X3538" s="55">
        <v>10186114</v>
      </c>
      <c r="Y3538" s="55" t="s">
        <v>132</v>
      </c>
      <c r="AB3538" s="74" t="s">
        <v>132</v>
      </c>
      <c r="AC3538" s="55" t="s">
        <v>132</v>
      </c>
    </row>
    <row r="3539" spans="1:29" ht="13" x14ac:dyDescent="0.15">
      <c r="A3539" s="55" t="str">
        <f>HYPERLINK("http://reports.ofsted.gov.uk/inspection-reports/find-inspection-report/provider/CARE/SC482872","Ofsted Social Care Provider Webpage")</f>
        <v>Ofsted Social Care Provider Webpage</v>
      </c>
      <c r="B3539" s="55" t="s">
        <v>6489</v>
      </c>
      <c r="D3539" s="55" t="s">
        <v>373</v>
      </c>
      <c r="E3539" s="74">
        <v>41984</v>
      </c>
      <c r="F3539" s="55" t="s">
        <v>344</v>
      </c>
      <c r="G3539" s="55" t="s">
        <v>360</v>
      </c>
      <c r="H3539" s="55" t="s">
        <v>360</v>
      </c>
      <c r="I3539" s="55" t="s">
        <v>360</v>
      </c>
      <c r="J3539" s="55" t="s">
        <v>360</v>
      </c>
      <c r="K3539" s="55" t="s">
        <v>360</v>
      </c>
      <c r="L3539" s="55" t="s">
        <v>360</v>
      </c>
      <c r="M3539" s="55" t="s">
        <v>136</v>
      </c>
      <c r="N3539" s="55" t="s">
        <v>136</v>
      </c>
      <c r="O3539" s="55" t="s">
        <v>288</v>
      </c>
      <c r="P3539" s="55" t="s">
        <v>1235</v>
      </c>
      <c r="Q3539" s="55" t="s">
        <v>350</v>
      </c>
      <c r="R3539" s="85">
        <v>3</v>
      </c>
      <c r="S3539" s="55">
        <v>0</v>
      </c>
      <c r="T3539" s="74" t="s">
        <v>1236</v>
      </c>
      <c r="U3539" s="74" t="s">
        <v>351</v>
      </c>
      <c r="V3539" s="74">
        <v>44453</v>
      </c>
      <c r="W3539" s="74">
        <v>44488</v>
      </c>
      <c r="X3539" s="55">
        <v>10186777</v>
      </c>
      <c r="Y3539" s="55" t="s">
        <v>132</v>
      </c>
      <c r="AB3539" s="74" t="s">
        <v>132</v>
      </c>
      <c r="AC3539" s="55" t="s">
        <v>132</v>
      </c>
    </row>
    <row r="3540" spans="1:29" ht="13" x14ac:dyDescent="0.15">
      <c r="A3540" s="55" t="str">
        <f>HYPERLINK("http://reports.ofsted.gov.uk/inspection-reports/find-inspection-report/provider/CARE/SC483028","Ofsted Social Care Provider Webpage")</f>
        <v>Ofsted Social Care Provider Webpage</v>
      </c>
      <c r="B3540" s="55" t="s">
        <v>6490</v>
      </c>
      <c r="C3540" s="55">
        <v>139971</v>
      </c>
      <c r="D3540" s="55" t="s">
        <v>398</v>
      </c>
      <c r="E3540" s="74">
        <v>41897</v>
      </c>
      <c r="F3540" s="55" t="s">
        <v>344</v>
      </c>
      <c r="G3540" s="55" t="s">
        <v>6491</v>
      </c>
      <c r="H3540" s="55" t="s">
        <v>6492</v>
      </c>
      <c r="I3540" s="55" t="s">
        <v>6493</v>
      </c>
      <c r="J3540" s="55" t="s">
        <v>1756</v>
      </c>
      <c r="K3540" s="55" t="s">
        <v>1402</v>
      </c>
      <c r="L3540" s="55" t="s">
        <v>6494</v>
      </c>
      <c r="M3540" s="55" t="s">
        <v>150</v>
      </c>
      <c r="N3540" s="55" t="s">
        <v>150</v>
      </c>
      <c r="O3540" s="55" t="s">
        <v>289</v>
      </c>
      <c r="P3540" s="55" t="s">
        <v>1756</v>
      </c>
      <c r="Q3540" s="55" t="s">
        <v>420</v>
      </c>
      <c r="R3540" s="85">
        <v>224</v>
      </c>
      <c r="S3540" s="55">
        <v>0</v>
      </c>
      <c r="T3540" s="74" t="s">
        <v>6491</v>
      </c>
      <c r="U3540" s="74" t="s">
        <v>351</v>
      </c>
      <c r="V3540" s="74">
        <v>44523</v>
      </c>
      <c r="W3540" s="74">
        <v>44581</v>
      </c>
      <c r="X3540" s="55">
        <v>10183314</v>
      </c>
      <c r="Y3540" s="55" t="s">
        <v>140</v>
      </c>
      <c r="AB3540" s="74" t="s">
        <v>140</v>
      </c>
      <c r="AC3540" s="55" t="s">
        <v>140</v>
      </c>
    </row>
    <row r="3541" spans="1:29" ht="13" x14ac:dyDescent="0.15">
      <c r="A3541" s="55" t="str">
        <f>HYPERLINK("http://reports.ofsted.gov.uk/inspection-reports/find-inspection-report/provider/CARE/SC483220","Ofsted Social Care Provider Webpage")</f>
        <v>Ofsted Social Care Provider Webpage</v>
      </c>
      <c r="B3541" s="55" t="s">
        <v>6496</v>
      </c>
      <c r="D3541" s="55" t="s">
        <v>373</v>
      </c>
      <c r="E3541" s="74">
        <v>42030</v>
      </c>
      <c r="F3541" s="55" t="s">
        <v>344</v>
      </c>
      <c r="G3541" s="55" t="s">
        <v>360</v>
      </c>
      <c r="H3541" s="55" t="s">
        <v>360</v>
      </c>
      <c r="I3541" s="55" t="s">
        <v>360</v>
      </c>
      <c r="J3541" s="55" t="s">
        <v>360</v>
      </c>
      <c r="K3541" s="55" t="s">
        <v>360</v>
      </c>
      <c r="L3541" s="55" t="s">
        <v>360</v>
      </c>
      <c r="M3541" s="55" t="s">
        <v>378</v>
      </c>
      <c r="N3541" s="55" t="s">
        <v>134</v>
      </c>
      <c r="O3541" s="55" t="s">
        <v>158</v>
      </c>
      <c r="P3541" s="55" t="s">
        <v>912</v>
      </c>
      <c r="Q3541" s="55" t="s">
        <v>350</v>
      </c>
      <c r="R3541" s="85">
        <v>5</v>
      </c>
      <c r="S3541" s="55">
        <v>0</v>
      </c>
      <c r="T3541" s="74" t="s">
        <v>574</v>
      </c>
      <c r="U3541" s="74" t="s">
        <v>351</v>
      </c>
      <c r="V3541" s="74">
        <v>44601</v>
      </c>
      <c r="W3541" s="74">
        <v>44652</v>
      </c>
      <c r="X3541" s="55">
        <v>10186278</v>
      </c>
      <c r="Y3541" s="55" t="s">
        <v>132</v>
      </c>
      <c r="AB3541" s="74" t="s">
        <v>132</v>
      </c>
      <c r="AC3541" s="55" t="s">
        <v>132</v>
      </c>
    </row>
    <row r="3542" spans="1:29" ht="13" x14ac:dyDescent="0.15">
      <c r="A3542" s="55" t="str">
        <f>HYPERLINK("http://reports.ofsted.gov.uk/inspection-reports/find-inspection-report/provider/CARE/SC483533","Ofsted Social Care Provider Webpage")</f>
        <v>Ofsted Social Care Provider Webpage</v>
      </c>
      <c r="B3542" s="55" t="s">
        <v>6497</v>
      </c>
      <c r="D3542" s="55" t="s">
        <v>373</v>
      </c>
      <c r="E3542" s="74">
        <v>42031</v>
      </c>
      <c r="F3542" s="55" t="s">
        <v>344</v>
      </c>
      <c r="G3542" s="55" t="s">
        <v>360</v>
      </c>
      <c r="H3542" s="55" t="s">
        <v>360</v>
      </c>
      <c r="I3542" s="55" t="s">
        <v>360</v>
      </c>
      <c r="J3542" s="55" t="s">
        <v>360</v>
      </c>
      <c r="K3542" s="55" t="s">
        <v>360</v>
      </c>
      <c r="L3542" s="55" t="s">
        <v>360</v>
      </c>
      <c r="M3542" s="55" t="s">
        <v>144</v>
      </c>
      <c r="N3542" s="55" t="s">
        <v>144</v>
      </c>
      <c r="O3542" s="55" t="s">
        <v>147</v>
      </c>
      <c r="P3542" s="55" t="s">
        <v>674</v>
      </c>
      <c r="Q3542" s="55" t="s">
        <v>362</v>
      </c>
      <c r="R3542" s="85">
        <v>3</v>
      </c>
      <c r="S3542" s="55">
        <v>0</v>
      </c>
      <c r="T3542" s="74" t="s">
        <v>675</v>
      </c>
      <c r="U3542" s="74" t="s">
        <v>351</v>
      </c>
      <c r="V3542" s="74">
        <v>44397</v>
      </c>
      <c r="W3542" s="74">
        <v>44428</v>
      </c>
      <c r="X3542" s="55">
        <v>10185201</v>
      </c>
      <c r="Y3542" s="55" t="s">
        <v>132</v>
      </c>
      <c r="AB3542" s="74" t="s">
        <v>132</v>
      </c>
      <c r="AC3542" s="55" t="s">
        <v>130</v>
      </c>
    </row>
    <row r="3543" spans="1:29" ht="13" x14ac:dyDescent="0.15">
      <c r="A3543" s="55" t="str">
        <f>HYPERLINK("http://reports.ofsted.gov.uk/inspection-reports/find-inspection-report/provider/CARE/SC483662","Ofsted Social Care Provider Webpage")</f>
        <v>Ofsted Social Care Provider Webpage</v>
      </c>
      <c r="B3543" s="55" t="s">
        <v>6500</v>
      </c>
      <c r="D3543" s="55" t="s">
        <v>373</v>
      </c>
      <c r="E3543" s="74">
        <v>42041</v>
      </c>
      <c r="F3543" s="55" t="s">
        <v>344</v>
      </c>
      <c r="G3543" s="55" t="s">
        <v>360</v>
      </c>
      <c r="H3543" s="55" t="s">
        <v>360</v>
      </c>
      <c r="I3543" s="55" t="s">
        <v>360</v>
      </c>
      <c r="J3543" s="55" t="s">
        <v>360</v>
      </c>
      <c r="K3543" s="55" t="s">
        <v>360</v>
      </c>
      <c r="L3543" s="55" t="s">
        <v>360</v>
      </c>
      <c r="M3543" s="55" t="s">
        <v>142</v>
      </c>
      <c r="N3543" s="55" t="s">
        <v>142</v>
      </c>
      <c r="O3543" s="55" t="s">
        <v>177</v>
      </c>
      <c r="P3543" s="55" t="s">
        <v>885</v>
      </c>
      <c r="Q3543" s="55" t="s">
        <v>350</v>
      </c>
      <c r="R3543" s="85">
        <v>6</v>
      </c>
      <c r="S3543" s="55" t="s">
        <v>332</v>
      </c>
      <c r="T3543" s="74" t="s">
        <v>751</v>
      </c>
      <c r="U3543" s="74" t="s">
        <v>351</v>
      </c>
      <c r="V3543" s="74">
        <v>44537</v>
      </c>
      <c r="W3543" s="74">
        <v>44586</v>
      </c>
      <c r="X3543" s="55">
        <v>10185519</v>
      </c>
      <c r="Y3543" s="55" t="s">
        <v>132</v>
      </c>
      <c r="AB3543" s="74" t="s">
        <v>132</v>
      </c>
      <c r="AC3543" s="55" t="s">
        <v>132</v>
      </c>
    </row>
    <row r="3544" spans="1:29" ht="13" x14ac:dyDescent="0.15">
      <c r="A3544" s="55" t="str">
        <f>HYPERLINK("http://reports.ofsted.gov.uk/inspection-reports/find-inspection-report/provider/CARE/SC483688","Ofsted Social Care Provider Webpage")</f>
        <v>Ofsted Social Care Provider Webpage</v>
      </c>
      <c r="B3544" s="55" t="s">
        <v>6501</v>
      </c>
      <c r="D3544" s="55" t="s">
        <v>373</v>
      </c>
      <c r="E3544" s="74">
        <v>41976</v>
      </c>
      <c r="F3544" s="55" t="s">
        <v>344</v>
      </c>
      <c r="G3544" s="55" t="s">
        <v>360</v>
      </c>
      <c r="H3544" s="55" t="s">
        <v>360</v>
      </c>
      <c r="I3544" s="55" t="s">
        <v>360</v>
      </c>
      <c r="J3544" s="55" t="s">
        <v>360</v>
      </c>
      <c r="K3544" s="55" t="s">
        <v>360</v>
      </c>
      <c r="L3544" s="55" t="s">
        <v>360</v>
      </c>
      <c r="M3544" s="55" t="s">
        <v>144</v>
      </c>
      <c r="N3544" s="55" t="s">
        <v>144</v>
      </c>
      <c r="O3544" s="55" t="s">
        <v>209</v>
      </c>
      <c r="P3544" s="55" t="s">
        <v>544</v>
      </c>
      <c r="Q3544" s="55" t="s">
        <v>350</v>
      </c>
      <c r="R3544" s="85">
        <v>7</v>
      </c>
      <c r="S3544" s="55">
        <v>0</v>
      </c>
      <c r="T3544" s="74" t="s">
        <v>863</v>
      </c>
      <c r="U3544" s="74" t="s">
        <v>2053</v>
      </c>
      <c r="V3544" s="74">
        <v>44302</v>
      </c>
      <c r="W3544" s="74">
        <v>44343</v>
      </c>
      <c r="X3544" s="55">
        <v>10192806</v>
      </c>
    </row>
    <row r="3545" spans="1:29" ht="13" x14ac:dyDescent="0.15">
      <c r="A3545" s="55" t="str">
        <f>HYPERLINK("http://reports.ofsted.gov.uk/inspection-reports/find-inspection-report/provider/CARE/SC483688","Ofsted Social Care Provider Webpage")</f>
        <v>Ofsted Social Care Provider Webpage</v>
      </c>
      <c r="B3545" s="55" t="s">
        <v>6501</v>
      </c>
      <c r="D3545" s="55" t="s">
        <v>373</v>
      </c>
      <c r="E3545" s="74">
        <v>41976</v>
      </c>
      <c r="F3545" s="55" t="s">
        <v>344</v>
      </c>
      <c r="G3545" s="55" t="s">
        <v>360</v>
      </c>
      <c r="H3545" s="55" t="s">
        <v>360</v>
      </c>
      <c r="I3545" s="55" t="s">
        <v>360</v>
      </c>
      <c r="J3545" s="55" t="s">
        <v>360</v>
      </c>
      <c r="K3545" s="55" t="s">
        <v>360</v>
      </c>
      <c r="L3545" s="55" t="s">
        <v>360</v>
      </c>
      <c r="M3545" s="55" t="s">
        <v>144</v>
      </c>
      <c r="N3545" s="55" t="s">
        <v>144</v>
      </c>
      <c r="O3545" s="55" t="s">
        <v>209</v>
      </c>
      <c r="P3545" s="55" t="s">
        <v>544</v>
      </c>
      <c r="Q3545" s="55" t="s">
        <v>350</v>
      </c>
      <c r="R3545" s="85">
        <v>7</v>
      </c>
      <c r="S3545" s="55">
        <v>0</v>
      </c>
      <c r="T3545" s="74" t="s">
        <v>863</v>
      </c>
      <c r="U3545" s="74" t="s">
        <v>351</v>
      </c>
      <c r="V3545" s="74">
        <v>44600</v>
      </c>
      <c r="W3545" s="74">
        <v>44655</v>
      </c>
      <c r="X3545" s="55">
        <v>10186254</v>
      </c>
      <c r="Y3545" s="55" t="s">
        <v>146</v>
      </c>
      <c r="AB3545" s="74" t="s">
        <v>146</v>
      </c>
      <c r="AC3545" s="55" t="s">
        <v>146</v>
      </c>
    </row>
    <row r="3546" spans="1:29" ht="13" x14ac:dyDescent="0.15">
      <c r="A3546" s="55" t="str">
        <f>HYPERLINK("http://reports.ofsted.gov.uk/inspection-reports/find-inspection-report/provider/CARE/SC483688","Ofsted Social Care Provider Webpage")</f>
        <v>Ofsted Social Care Provider Webpage</v>
      </c>
      <c r="B3546" s="55" t="s">
        <v>6501</v>
      </c>
      <c r="D3546" s="55" t="s">
        <v>373</v>
      </c>
      <c r="E3546" s="74">
        <v>41976</v>
      </c>
      <c r="F3546" s="55" t="s">
        <v>344</v>
      </c>
      <c r="G3546" s="55" t="s">
        <v>360</v>
      </c>
      <c r="H3546" s="55" t="s">
        <v>360</v>
      </c>
      <c r="I3546" s="55" t="s">
        <v>360</v>
      </c>
      <c r="J3546" s="55" t="s">
        <v>360</v>
      </c>
      <c r="K3546" s="55" t="s">
        <v>360</v>
      </c>
      <c r="L3546" s="55" t="s">
        <v>360</v>
      </c>
      <c r="M3546" s="55" t="s">
        <v>144</v>
      </c>
      <c r="N3546" s="55" t="s">
        <v>144</v>
      </c>
      <c r="O3546" s="55" t="s">
        <v>209</v>
      </c>
      <c r="P3546" s="55" t="s">
        <v>544</v>
      </c>
      <c r="Q3546" s="55" t="s">
        <v>350</v>
      </c>
      <c r="R3546" s="85">
        <v>7</v>
      </c>
      <c r="S3546" s="55">
        <v>0</v>
      </c>
      <c r="T3546" s="74" t="s">
        <v>863</v>
      </c>
      <c r="U3546" s="74" t="s">
        <v>2053</v>
      </c>
      <c r="V3546" s="74">
        <v>44340</v>
      </c>
      <c r="W3546" s="74">
        <v>44369</v>
      </c>
      <c r="X3546" s="55">
        <v>10195287</v>
      </c>
    </row>
    <row r="3547" spans="1:29" ht="13" x14ac:dyDescent="0.15">
      <c r="A3547" s="55" t="str">
        <f>HYPERLINK("http://reports.ofsted.gov.uk/inspection-reports/find-inspection-report/provider/CARE/SC483692","Ofsted Social Care Provider Webpage")</f>
        <v>Ofsted Social Care Provider Webpage</v>
      </c>
      <c r="B3547" s="55" t="s">
        <v>6502</v>
      </c>
      <c r="D3547" s="55" t="s">
        <v>373</v>
      </c>
      <c r="E3547" s="74">
        <v>41976</v>
      </c>
      <c r="F3547" s="55" t="s">
        <v>344</v>
      </c>
      <c r="G3547" s="55" t="s">
        <v>360</v>
      </c>
      <c r="H3547" s="55" t="s">
        <v>360</v>
      </c>
      <c r="I3547" s="55" t="s">
        <v>360</v>
      </c>
      <c r="J3547" s="55" t="s">
        <v>360</v>
      </c>
      <c r="K3547" s="55" t="s">
        <v>360</v>
      </c>
      <c r="L3547" s="55" t="s">
        <v>360</v>
      </c>
      <c r="M3547" s="55" t="s">
        <v>144</v>
      </c>
      <c r="N3547" s="55" t="s">
        <v>144</v>
      </c>
      <c r="O3547" s="55" t="s">
        <v>209</v>
      </c>
      <c r="P3547" s="55" t="s">
        <v>474</v>
      </c>
      <c r="Q3547" s="55" t="s">
        <v>350</v>
      </c>
      <c r="R3547" s="85">
        <v>4</v>
      </c>
      <c r="S3547" s="55">
        <v>0</v>
      </c>
      <c r="T3547" s="74" t="s">
        <v>863</v>
      </c>
      <c r="U3547" s="74" t="s">
        <v>351</v>
      </c>
      <c r="V3547" s="74">
        <v>44573</v>
      </c>
      <c r="W3547" s="74">
        <v>44602</v>
      </c>
      <c r="X3547" s="55">
        <v>10187235</v>
      </c>
      <c r="Y3547" s="55" t="s">
        <v>140</v>
      </c>
      <c r="AB3547" s="74" t="s">
        <v>140</v>
      </c>
      <c r="AC3547" s="55" t="s">
        <v>140</v>
      </c>
    </row>
    <row r="3548" spans="1:29" ht="13" x14ac:dyDescent="0.15">
      <c r="A3548" s="55" t="str">
        <f>HYPERLINK("http://reports.ofsted.gov.uk/inspection-reports/find-inspection-report/provider/CARE/SC483710","Ofsted Social Care Provider Webpage")</f>
        <v>Ofsted Social Care Provider Webpage</v>
      </c>
      <c r="B3548" s="55" t="s">
        <v>6503</v>
      </c>
      <c r="D3548" s="55" t="s">
        <v>373</v>
      </c>
      <c r="E3548" s="74">
        <v>42053</v>
      </c>
      <c r="F3548" s="55" t="s">
        <v>344</v>
      </c>
      <c r="G3548" s="55" t="s">
        <v>360</v>
      </c>
      <c r="H3548" s="55" t="s">
        <v>360</v>
      </c>
      <c r="I3548" s="55" t="s">
        <v>360</v>
      </c>
      <c r="J3548" s="55" t="s">
        <v>360</v>
      </c>
      <c r="K3548" s="55" t="s">
        <v>360</v>
      </c>
      <c r="L3548" s="55" t="s">
        <v>360</v>
      </c>
      <c r="M3548" s="55" t="s">
        <v>172</v>
      </c>
      <c r="N3548" s="55" t="s">
        <v>172</v>
      </c>
      <c r="O3548" s="55" t="s">
        <v>173</v>
      </c>
      <c r="P3548" s="55" t="s">
        <v>860</v>
      </c>
      <c r="Q3548" s="55" t="s">
        <v>350</v>
      </c>
      <c r="R3548" s="85">
        <v>3</v>
      </c>
      <c r="S3548" s="55">
        <v>0</v>
      </c>
      <c r="T3548" s="74" t="s">
        <v>489</v>
      </c>
      <c r="U3548" s="74" t="s">
        <v>351</v>
      </c>
      <c r="V3548" s="74">
        <v>44530</v>
      </c>
      <c r="W3548" s="74">
        <v>44579</v>
      </c>
      <c r="X3548" s="55">
        <v>10186999</v>
      </c>
      <c r="Y3548" s="55" t="s">
        <v>140</v>
      </c>
      <c r="AB3548" s="74" t="s">
        <v>140</v>
      </c>
      <c r="AC3548" s="55" t="s">
        <v>140</v>
      </c>
    </row>
    <row r="3549" spans="1:29" ht="13" x14ac:dyDescent="0.15">
      <c r="A3549" s="55" t="str">
        <f>HYPERLINK("http://reports.ofsted.gov.uk/inspection-reports/find-inspection-report/provider/CARE/SC483714","Ofsted Social Care Provider Webpage")</f>
        <v>Ofsted Social Care Provider Webpage</v>
      </c>
      <c r="B3549" s="55" t="s">
        <v>6504</v>
      </c>
      <c r="D3549" s="55" t="s">
        <v>373</v>
      </c>
      <c r="E3549" s="74">
        <v>42027</v>
      </c>
      <c r="F3549" s="55" t="s">
        <v>344</v>
      </c>
      <c r="G3549" s="55" t="s">
        <v>360</v>
      </c>
      <c r="H3549" s="55" t="s">
        <v>360</v>
      </c>
      <c r="I3549" s="55" t="s">
        <v>360</v>
      </c>
      <c r="J3549" s="55" t="s">
        <v>360</v>
      </c>
      <c r="K3549" s="55" t="s">
        <v>360</v>
      </c>
      <c r="L3549" s="55" t="s">
        <v>360</v>
      </c>
      <c r="M3549" s="55" t="s">
        <v>138</v>
      </c>
      <c r="N3549" s="55" t="s">
        <v>138</v>
      </c>
      <c r="O3549" s="55" t="s">
        <v>161</v>
      </c>
      <c r="P3549" s="55" t="s">
        <v>822</v>
      </c>
      <c r="Q3549" s="55" t="s">
        <v>350</v>
      </c>
      <c r="R3549" s="85">
        <v>6</v>
      </c>
      <c r="S3549" s="55">
        <v>0</v>
      </c>
      <c r="T3549" s="74" t="s">
        <v>6505</v>
      </c>
      <c r="U3549" s="74" t="s">
        <v>351</v>
      </c>
      <c r="V3549" s="74">
        <v>44411</v>
      </c>
      <c r="W3549" s="74">
        <v>44442</v>
      </c>
      <c r="X3549" s="55">
        <v>10187523</v>
      </c>
      <c r="Y3549" s="55" t="s">
        <v>140</v>
      </c>
      <c r="AB3549" s="74" t="s">
        <v>140</v>
      </c>
      <c r="AC3549" s="55" t="s">
        <v>140</v>
      </c>
    </row>
    <row r="3550" spans="1:29" ht="13" x14ac:dyDescent="0.15">
      <c r="A3550" s="55" t="str">
        <f>HYPERLINK("http://reports.ofsted.gov.uk/inspection-reports/find-inspection-report/provider/CARE/SC483779","Ofsted Social Care Provider Webpage")</f>
        <v>Ofsted Social Care Provider Webpage</v>
      </c>
      <c r="B3550" s="55" t="s">
        <v>6506</v>
      </c>
      <c r="D3550" s="55" t="s">
        <v>373</v>
      </c>
      <c r="E3550" s="74">
        <v>42074</v>
      </c>
      <c r="F3550" s="55" t="s">
        <v>344</v>
      </c>
      <c r="G3550" s="55" t="s">
        <v>360</v>
      </c>
      <c r="H3550" s="55" t="s">
        <v>360</v>
      </c>
      <c r="I3550" s="55" t="s">
        <v>360</v>
      </c>
      <c r="J3550" s="55" t="s">
        <v>360</v>
      </c>
      <c r="K3550" s="55" t="s">
        <v>360</v>
      </c>
      <c r="L3550" s="55" t="s">
        <v>360</v>
      </c>
      <c r="M3550" s="55" t="s">
        <v>129</v>
      </c>
      <c r="N3550" s="55" t="s">
        <v>129</v>
      </c>
      <c r="O3550" s="55" t="s">
        <v>213</v>
      </c>
      <c r="P3550" s="55" t="s">
        <v>1160</v>
      </c>
      <c r="Q3550" s="55" t="s">
        <v>350</v>
      </c>
      <c r="R3550" s="85">
        <v>4</v>
      </c>
      <c r="S3550" s="55">
        <v>0</v>
      </c>
      <c r="T3550" s="74" t="s">
        <v>1597</v>
      </c>
      <c r="U3550" s="74" t="s">
        <v>351</v>
      </c>
      <c r="V3550" s="74">
        <v>44328</v>
      </c>
      <c r="W3550" s="74">
        <v>44363</v>
      </c>
      <c r="X3550" s="55">
        <v>10186647</v>
      </c>
      <c r="Y3550" s="55" t="s">
        <v>132</v>
      </c>
      <c r="AB3550" s="74" t="s">
        <v>132</v>
      </c>
      <c r="AC3550" s="55" t="s">
        <v>132</v>
      </c>
    </row>
    <row r="3551" spans="1:29" ht="13" x14ac:dyDescent="0.15">
      <c r="A3551" s="55" t="str">
        <f>HYPERLINK("http://reports.ofsted.gov.uk/inspection-reports/find-inspection-report/provider/CARE/SC483828","Ofsted Social Care Provider Webpage")</f>
        <v>Ofsted Social Care Provider Webpage</v>
      </c>
      <c r="B3551" s="55" t="s">
        <v>6507</v>
      </c>
      <c r="D3551" s="55" t="s">
        <v>373</v>
      </c>
      <c r="E3551" s="74">
        <v>41977</v>
      </c>
      <c r="F3551" s="55" t="s">
        <v>344</v>
      </c>
      <c r="G3551" s="55" t="s">
        <v>360</v>
      </c>
      <c r="H3551" s="55" t="s">
        <v>360</v>
      </c>
      <c r="I3551" s="55" t="s">
        <v>360</v>
      </c>
      <c r="J3551" s="55" t="s">
        <v>360</v>
      </c>
      <c r="K3551" s="55" t="s">
        <v>360</v>
      </c>
      <c r="L3551" s="55" t="s">
        <v>360</v>
      </c>
      <c r="M3551" s="55" t="s">
        <v>144</v>
      </c>
      <c r="N3551" s="55" t="s">
        <v>144</v>
      </c>
      <c r="O3551" s="55" t="s">
        <v>263</v>
      </c>
      <c r="P3551" s="55" t="s">
        <v>1120</v>
      </c>
      <c r="Q3551" s="55" t="s">
        <v>350</v>
      </c>
      <c r="R3551" s="85">
        <v>5</v>
      </c>
      <c r="S3551" s="55">
        <v>0</v>
      </c>
      <c r="T3551" s="74" t="s">
        <v>4707</v>
      </c>
      <c r="U3551" s="74" t="s">
        <v>351</v>
      </c>
      <c r="V3551" s="74">
        <v>44488</v>
      </c>
      <c r="W3551" s="74">
        <v>44539</v>
      </c>
      <c r="X3551" s="55">
        <v>10186699</v>
      </c>
      <c r="Y3551" s="55" t="s">
        <v>146</v>
      </c>
      <c r="AB3551" s="74" t="s">
        <v>146</v>
      </c>
      <c r="AC3551" s="55" t="s">
        <v>146</v>
      </c>
    </row>
    <row r="3552" spans="1:29" ht="13" x14ac:dyDescent="0.15">
      <c r="A3552" s="55" t="str">
        <f>HYPERLINK("http://reports.ofsted.gov.uk/inspection-reports/find-inspection-report/provider/CARE/SC483828","Ofsted Social Care Provider Webpage")</f>
        <v>Ofsted Social Care Provider Webpage</v>
      </c>
      <c r="B3552" s="55" t="s">
        <v>6507</v>
      </c>
      <c r="D3552" s="55" t="s">
        <v>373</v>
      </c>
      <c r="E3552" s="74">
        <v>41977</v>
      </c>
      <c r="F3552" s="55" t="s">
        <v>344</v>
      </c>
      <c r="G3552" s="55" t="s">
        <v>360</v>
      </c>
      <c r="H3552" s="55" t="s">
        <v>360</v>
      </c>
      <c r="I3552" s="55" t="s">
        <v>360</v>
      </c>
      <c r="J3552" s="55" t="s">
        <v>360</v>
      </c>
      <c r="K3552" s="55" t="s">
        <v>360</v>
      </c>
      <c r="L3552" s="55" t="s">
        <v>360</v>
      </c>
      <c r="M3552" s="55" t="s">
        <v>144</v>
      </c>
      <c r="N3552" s="55" t="s">
        <v>144</v>
      </c>
      <c r="O3552" s="55" t="s">
        <v>263</v>
      </c>
      <c r="P3552" s="55" t="s">
        <v>1120</v>
      </c>
      <c r="Q3552" s="55" t="s">
        <v>350</v>
      </c>
      <c r="R3552" s="85">
        <v>5</v>
      </c>
      <c r="S3552" s="55">
        <v>0</v>
      </c>
      <c r="T3552" s="74" t="s">
        <v>4707</v>
      </c>
      <c r="U3552" s="74" t="s">
        <v>2053</v>
      </c>
      <c r="V3552" s="74">
        <v>44523</v>
      </c>
      <c r="W3552" s="74">
        <v>44581</v>
      </c>
      <c r="X3552" s="55">
        <v>10212710</v>
      </c>
    </row>
    <row r="3553" spans="1:29" ht="13" x14ac:dyDescent="0.15">
      <c r="A3553" s="55" t="str">
        <f>HYPERLINK("http://reports.ofsted.gov.uk/inspection-reports/find-inspection-report/provider/CARE/SC483846","Ofsted Social Care Provider Webpage")</f>
        <v>Ofsted Social Care Provider Webpage</v>
      </c>
      <c r="B3553" s="55" t="s">
        <v>6508</v>
      </c>
      <c r="D3553" s="55" t="s">
        <v>373</v>
      </c>
      <c r="E3553" s="74">
        <v>42289</v>
      </c>
      <c r="F3553" s="55" t="s">
        <v>344</v>
      </c>
      <c r="G3553" s="55" t="s">
        <v>360</v>
      </c>
      <c r="H3553" s="55" t="s">
        <v>360</v>
      </c>
      <c r="I3553" s="55" t="s">
        <v>360</v>
      </c>
      <c r="J3553" s="55" t="s">
        <v>360</v>
      </c>
      <c r="K3553" s="55" t="s">
        <v>360</v>
      </c>
      <c r="L3553" s="55" t="s">
        <v>360</v>
      </c>
      <c r="M3553" s="55" t="s">
        <v>144</v>
      </c>
      <c r="N3553" s="55" t="s">
        <v>144</v>
      </c>
      <c r="O3553" s="55" t="s">
        <v>209</v>
      </c>
      <c r="P3553" s="55" t="s">
        <v>561</v>
      </c>
      <c r="Q3553" s="55" t="s">
        <v>350</v>
      </c>
      <c r="R3553" s="85">
        <v>5</v>
      </c>
      <c r="S3553" s="55">
        <v>0</v>
      </c>
      <c r="T3553" s="74" t="s">
        <v>385</v>
      </c>
      <c r="U3553" s="74" t="s">
        <v>351</v>
      </c>
      <c r="V3553" s="74">
        <v>44586</v>
      </c>
      <c r="W3553" s="74">
        <v>44627</v>
      </c>
      <c r="X3553" s="55">
        <v>10187548</v>
      </c>
      <c r="Y3553" s="55" t="s">
        <v>130</v>
      </c>
      <c r="AB3553" s="74" t="s">
        <v>130</v>
      </c>
      <c r="AC3553" s="55" t="s">
        <v>130</v>
      </c>
    </row>
    <row r="3554" spans="1:29" ht="13" x14ac:dyDescent="0.15">
      <c r="A3554" s="55" t="str">
        <f>HYPERLINK("http://reports.ofsted.gov.uk/inspection-reports/find-inspection-report/provider/CARE/SC483958","Ofsted Social Care Provider Webpage")</f>
        <v>Ofsted Social Care Provider Webpage</v>
      </c>
      <c r="B3554" s="55" t="s">
        <v>6516</v>
      </c>
      <c r="D3554" s="55" t="s">
        <v>373</v>
      </c>
      <c r="E3554" s="74">
        <v>41954</v>
      </c>
      <c r="F3554" s="55" t="s">
        <v>344</v>
      </c>
      <c r="G3554" s="55" t="s">
        <v>360</v>
      </c>
      <c r="H3554" s="55" t="s">
        <v>360</v>
      </c>
      <c r="I3554" s="55" t="s">
        <v>360</v>
      </c>
      <c r="J3554" s="55" t="s">
        <v>360</v>
      </c>
      <c r="K3554" s="55" t="s">
        <v>360</v>
      </c>
      <c r="L3554" s="55" t="s">
        <v>360</v>
      </c>
      <c r="M3554" s="55" t="s">
        <v>142</v>
      </c>
      <c r="N3554" s="55" t="s">
        <v>142</v>
      </c>
      <c r="O3554" s="55" t="s">
        <v>177</v>
      </c>
      <c r="P3554" s="55" t="s">
        <v>1406</v>
      </c>
      <c r="Q3554" s="55" t="s">
        <v>350</v>
      </c>
      <c r="R3554" s="85">
        <v>3</v>
      </c>
      <c r="S3554" s="55">
        <v>0</v>
      </c>
      <c r="T3554" s="74" t="s">
        <v>2119</v>
      </c>
      <c r="U3554" s="74" t="s">
        <v>351</v>
      </c>
      <c r="V3554" s="74">
        <v>44355</v>
      </c>
      <c r="W3554" s="74">
        <v>44379</v>
      </c>
      <c r="X3554" s="55">
        <v>10185011</v>
      </c>
      <c r="Y3554" s="55" t="s">
        <v>130</v>
      </c>
      <c r="AB3554" s="74" t="s">
        <v>130</v>
      </c>
      <c r="AC3554" s="55" t="s">
        <v>130</v>
      </c>
    </row>
    <row r="3555" spans="1:29" ht="13" x14ac:dyDescent="0.15">
      <c r="A3555" s="55" t="str">
        <f>HYPERLINK("http://reports.ofsted.gov.uk/inspection-reports/find-inspection-report/provider/CARE/SC483958","Ofsted Social Care Provider Webpage")</f>
        <v>Ofsted Social Care Provider Webpage</v>
      </c>
      <c r="B3555" s="55" t="s">
        <v>6516</v>
      </c>
      <c r="D3555" s="55" t="s">
        <v>373</v>
      </c>
      <c r="E3555" s="74">
        <v>41954</v>
      </c>
      <c r="F3555" s="55" t="s">
        <v>344</v>
      </c>
      <c r="G3555" s="55" t="s">
        <v>360</v>
      </c>
      <c r="H3555" s="55" t="s">
        <v>360</v>
      </c>
      <c r="I3555" s="55" t="s">
        <v>360</v>
      </c>
      <c r="J3555" s="55" t="s">
        <v>360</v>
      </c>
      <c r="K3555" s="55" t="s">
        <v>360</v>
      </c>
      <c r="L3555" s="55" t="s">
        <v>360</v>
      </c>
      <c r="M3555" s="55" t="s">
        <v>142</v>
      </c>
      <c r="N3555" s="55" t="s">
        <v>142</v>
      </c>
      <c r="O3555" s="55" t="s">
        <v>177</v>
      </c>
      <c r="P3555" s="55" t="s">
        <v>1406</v>
      </c>
      <c r="Q3555" s="55" t="s">
        <v>350</v>
      </c>
      <c r="R3555" s="85">
        <v>3</v>
      </c>
      <c r="S3555" s="55">
        <v>0</v>
      </c>
      <c r="T3555" s="74" t="s">
        <v>2119</v>
      </c>
      <c r="U3555" s="74" t="s">
        <v>6703</v>
      </c>
      <c r="V3555" s="74">
        <v>44595</v>
      </c>
      <c r="W3555" s="74">
        <v>44637</v>
      </c>
      <c r="X3555" s="55">
        <v>10217205</v>
      </c>
      <c r="Y3555" s="55" t="s">
        <v>6705</v>
      </c>
    </row>
    <row r="3556" spans="1:29" ht="13" x14ac:dyDescent="0.15">
      <c r="A3556" s="55" t="str">
        <f>HYPERLINK("http://reports.ofsted.gov.uk/inspection-reports/find-inspection-report/provider/CARE/SC484114","Ofsted Social Care Provider Webpage")</f>
        <v>Ofsted Social Care Provider Webpage</v>
      </c>
      <c r="B3556" s="55" t="s">
        <v>6517</v>
      </c>
      <c r="D3556" s="55" t="s">
        <v>373</v>
      </c>
      <c r="E3556" s="74">
        <v>42094</v>
      </c>
      <c r="F3556" s="55" t="s">
        <v>344</v>
      </c>
      <c r="G3556" s="55" t="s">
        <v>360</v>
      </c>
      <c r="H3556" s="55" t="s">
        <v>360</v>
      </c>
      <c r="I3556" s="55" t="s">
        <v>360</v>
      </c>
      <c r="J3556" s="55" t="s">
        <v>360</v>
      </c>
      <c r="K3556" s="55" t="s">
        <v>360</v>
      </c>
      <c r="L3556" s="55" t="s">
        <v>360</v>
      </c>
      <c r="M3556" s="55" t="s">
        <v>138</v>
      </c>
      <c r="N3556" s="55" t="s">
        <v>138</v>
      </c>
      <c r="O3556" s="55" t="s">
        <v>137</v>
      </c>
      <c r="P3556" s="55" t="s">
        <v>643</v>
      </c>
      <c r="Q3556" s="55" t="s">
        <v>350</v>
      </c>
      <c r="R3556" s="85">
        <v>3</v>
      </c>
      <c r="S3556" s="55">
        <v>0</v>
      </c>
      <c r="T3556" s="74" t="s">
        <v>4819</v>
      </c>
      <c r="U3556" s="74" t="s">
        <v>351</v>
      </c>
      <c r="V3556" s="74">
        <v>44509</v>
      </c>
      <c r="W3556" s="74">
        <v>44540</v>
      </c>
      <c r="X3556" s="55">
        <v>10186519</v>
      </c>
      <c r="Y3556" s="55" t="s">
        <v>132</v>
      </c>
      <c r="AB3556" s="74" t="s">
        <v>132</v>
      </c>
      <c r="AC3556" s="55" t="s">
        <v>132</v>
      </c>
    </row>
    <row r="3557" spans="1:29" ht="13" x14ac:dyDescent="0.15">
      <c r="A3557" s="55" t="str">
        <f>HYPERLINK("http://reports.ofsted.gov.uk/inspection-reports/find-inspection-report/provider/CARE/SC484133","Ofsted Social Care Provider Webpage")</f>
        <v>Ofsted Social Care Provider Webpage</v>
      </c>
      <c r="B3557" s="55" t="s">
        <v>6518</v>
      </c>
      <c r="D3557" s="55" t="s">
        <v>373</v>
      </c>
      <c r="E3557" s="74">
        <v>42029</v>
      </c>
      <c r="F3557" s="55" t="s">
        <v>344</v>
      </c>
      <c r="G3557" s="55" t="s">
        <v>360</v>
      </c>
      <c r="H3557" s="55" t="s">
        <v>360</v>
      </c>
      <c r="I3557" s="55" t="s">
        <v>360</v>
      </c>
      <c r="J3557" s="55" t="s">
        <v>360</v>
      </c>
      <c r="K3557" s="55" t="s">
        <v>360</v>
      </c>
      <c r="L3557" s="55" t="s">
        <v>360</v>
      </c>
      <c r="M3557" s="55" t="s">
        <v>150</v>
      </c>
      <c r="N3557" s="55" t="s">
        <v>150</v>
      </c>
      <c r="O3557" s="55" t="s">
        <v>285</v>
      </c>
      <c r="P3557" s="55" t="s">
        <v>796</v>
      </c>
      <c r="Q3557" s="55" t="s">
        <v>350</v>
      </c>
      <c r="R3557" s="85">
        <v>6</v>
      </c>
      <c r="S3557" s="55">
        <v>0</v>
      </c>
      <c r="T3557" s="74" t="s">
        <v>2654</v>
      </c>
      <c r="U3557" s="74" t="s">
        <v>351</v>
      </c>
      <c r="V3557" s="74">
        <v>44454</v>
      </c>
      <c r="W3557" s="74">
        <v>44483</v>
      </c>
      <c r="X3557" s="55">
        <v>10186567</v>
      </c>
      <c r="Y3557" s="55" t="s">
        <v>132</v>
      </c>
      <c r="AB3557" s="74" t="s">
        <v>132</v>
      </c>
      <c r="AC3557" s="55" t="s">
        <v>132</v>
      </c>
    </row>
    <row r="3558" spans="1:29" ht="13" x14ac:dyDescent="0.15">
      <c r="A3558" s="55" t="str">
        <f>HYPERLINK("http://reports.ofsted.gov.uk/inspection-reports/find-inspection-report/provider/CARE/SC484134","Ofsted Social Care Provider Webpage")</f>
        <v>Ofsted Social Care Provider Webpage</v>
      </c>
      <c r="B3558" s="55" t="s">
        <v>6519</v>
      </c>
      <c r="D3558" s="55" t="s">
        <v>479</v>
      </c>
      <c r="E3558" s="74">
        <v>42047</v>
      </c>
      <c r="F3558" s="55" t="s">
        <v>344</v>
      </c>
      <c r="G3558" s="55" t="s">
        <v>360</v>
      </c>
      <c r="H3558" s="55" t="s">
        <v>360</v>
      </c>
      <c r="I3558" s="55" t="s">
        <v>360</v>
      </c>
      <c r="J3558" s="55" t="s">
        <v>360</v>
      </c>
      <c r="K3558" s="55" t="s">
        <v>360</v>
      </c>
      <c r="L3558" s="55" t="s">
        <v>360</v>
      </c>
      <c r="M3558" s="55" t="s">
        <v>144</v>
      </c>
      <c r="N3558" s="55" t="s">
        <v>144</v>
      </c>
      <c r="O3558" s="55" t="s">
        <v>162</v>
      </c>
      <c r="P3558" s="55" t="s">
        <v>516</v>
      </c>
      <c r="Q3558" s="55" t="s">
        <v>350</v>
      </c>
      <c r="R3558" s="85">
        <v>20</v>
      </c>
      <c r="S3558" s="55">
        <v>0</v>
      </c>
      <c r="T3558" s="74" t="s">
        <v>6520</v>
      </c>
      <c r="U3558" s="74" t="s">
        <v>351</v>
      </c>
      <c r="V3558" s="74">
        <v>44595</v>
      </c>
      <c r="W3558" s="74">
        <v>44641</v>
      </c>
      <c r="X3558" s="55">
        <v>10185970</v>
      </c>
      <c r="Y3558" s="55" t="s">
        <v>132</v>
      </c>
      <c r="AB3558" s="74" t="s">
        <v>130</v>
      </c>
      <c r="AC3558" s="55" t="s">
        <v>132</v>
      </c>
    </row>
    <row r="3559" spans="1:29" ht="13" x14ac:dyDescent="0.15">
      <c r="A3559" s="55" t="str">
        <f>HYPERLINK("http://reports.ofsted.gov.uk/inspection-reports/find-inspection-report/provider/CARE/SC484242","Ofsted Social Care Provider Webpage")</f>
        <v>Ofsted Social Care Provider Webpage</v>
      </c>
      <c r="B3559" s="55" t="s">
        <v>6528</v>
      </c>
      <c r="D3559" s="55" t="s">
        <v>373</v>
      </c>
      <c r="E3559" s="74">
        <v>42046</v>
      </c>
      <c r="F3559" s="55" t="s">
        <v>344</v>
      </c>
      <c r="G3559" s="55" t="s">
        <v>360</v>
      </c>
      <c r="H3559" s="55" t="s">
        <v>360</v>
      </c>
      <c r="I3559" s="55" t="s">
        <v>360</v>
      </c>
      <c r="J3559" s="55" t="s">
        <v>360</v>
      </c>
      <c r="K3559" s="55" t="s">
        <v>360</v>
      </c>
      <c r="L3559" s="55" t="s">
        <v>360</v>
      </c>
      <c r="M3559" s="55" t="s">
        <v>378</v>
      </c>
      <c r="N3559" s="55" t="s">
        <v>170</v>
      </c>
      <c r="O3559" s="55" t="s">
        <v>264</v>
      </c>
      <c r="P3559" s="55" t="s">
        <v>1334</v>
      </c>
      <c r="Q3559" s="55" t="s">
        <v>350</v>
      </c>
      <c r="R3559" s="85">
        <v>5</v>
      </c>
      <c r="S3559" s="55">
        <v>0</v>
      </c>
      <c r="T3559" s="74" t="s">
        <v>438</v>
      </c>
      <c r="U3559" s="74" t="s">
        <v>351</v>
      </c>
      <c r="V3559" s="74">
        <v>44614</v>
      </c>
      <c r="W3559" s="74">
        <v>44656</v>
      </c>
      <c r="X3559" s="55">
        <v>10186801</v>
      </c>
      <c r="Y3559" s="55" t="s">
        <v>140</v>
      </c>
      <c r="AB3559" s="74" t="s">
        <v>140</v>
      </c>
      <c r="AC3559" s="55" t="s">
        <v>140</v>
      </c>
    </row>
    <row r="3560" spans="1:29" ht="13" x14ac:dyDescent="0.15">
      <c r="A3560" s="55" t="str">
        <f>HYPERLINK("http://reports.ofsted.gov.uk/inspection-reports/find-inspection-report/provider/CARE/SC484247","Ofsted Social Care Provider Webpage")</f>
        <v>Ofsted Social Care Provider Webpage</v>
      </c>
      <c r="B3560" s="55" t="s">
        <v>6529</v>
      </c>
      <c r="D3560" s="55" t="s">
        <v>373</v>
      </c>
      <c r="E3560" s="74">
        <v>42036</v>
      </c>
      <c r="F3560" s="55" t="s">
        <v>344</v>
      </c>
      <c r="G3560" s="55" t="s">
        <v>360</v>
      </c>
      <c r="H3560" s="55" t="s">
        <v>360</v>
      </c>
      <c r="I3560" s="55" t="s">
        <v>360</v>
      </c>
      <c r="J3560" s="55" t="s">
        <v>360</v>
      </c>
      <c r="K3560" s="55" t="s">
        <v>360</v>
      </c>
      <c r="L3560" s="55" t="s">
        <v>360</v>
      </c>
      <c r="M3560" s="55" t="s">
        <v>378</v>
      </c>
      <c r="N3560" s="55" t="s">
        <v>134</v>
      </c>
      <c r="O3560" s="55" t="s">
        <v>151</v>
      </c>
      <c r="P3560" s="55" t="s">
        <v>1778</v>
      </c>
      <c r="Q3560" s="55" t="s">
        <v>350</v>
      </c>
      <c r="R3560" s="85">
        <v>6</v>
      </c>
      <c r="S3560" s="55">
        <v>0</v>
      </c>
      <c r="T3560" s="74" t="s">
        <v>493</v>
      </c>
      <c r="U3560" s="74" t="s">
        <v>351</v>
      </c>
      <c r="V3560" s="74">
        <v>44531</v>
      </c>
      <c r="W3560" s="74">
        <v>44582</v>
      </c>
      <c r="X3560" s="55">
        <v>10187607</v>
      </c>
      <c r="Y3560" s="55" t="s">
        <v>132</v>
      </c>
      <c r="AB3560" s="74" t="s">
        <v>132</v>
      </c>
      <c r="AC3560" s="55" t="s">
        <v>140</v>
      </c>
    </row>
    <row r="3561" spans="1:29" ht="13" x14ac:dyDescent="0.15">
      <c r="A3561" s="55" t="str">
        <f>HYPERLINK("http://reports.ofsted.gov.uk/inspection-reports/find-inspection-report/provider/CARE/SC484302","Ofsted Social Care Provider Webpage")</f>
        <v>Ofsted Social Care Provider Webpage</v>
      </c>
      <c r="B3561" s="55" t="s">
        <v>6530</v>
      </c>
      <c r="D3561" s="55" t="s">
        <v>373</v>
      </c>
      <c r="E3561" s="74">
        <v>42100</v>
      </c>
      <c r="F3561" s="55" t="s">
        <v>344</v>
      </c>
      <c r="G3561" s="55" t="s">
        <v>360</v>
      </c>
      <c r="H3561" s="55" t="s">
        <v>360</v>
      </c>
      <c r="I3561" s="55" t="s">
        <v>360</v>
      </c>
      <c r="J3561" s="55" t="s">
        <v>360</v>
      </c>
      <c r="K3561" s="55" t="s">
        <v>360</v>
      </c>
      <c r="L3561" s="55" t="s">
        <v>360</v>
      </c>
      <c r="M3561" s="55" t="s">
        <v>150</v>
      </c>
      <c r="N3561" s="55" t="s">
        <v>150</v>
      </c>
      <c r="O3561" s="55" t="s">
        <v>181</v>
      </c>
      <c r="P3561" s="55" t="s">
        <v>937</v>
      </c>
      <c r="Q3561" s="55" t="s">
        <v>350</v>
      </c>
      <c r="R3561" s="85">
        <v>2</v>
      </c>
      <c r="S3561" s="55">
        <v>0</v>
      </c>
      <c r="T3561" s="74" t="s">
        <v>5670</v>
      </c>
      <c r="U3561" s="74" t="s">
        <v>351</v>
      </c>
      <c r="V3561" s="74">
        <v>44341</v>
      </c>
      <c r="W3561" s="74">
        <v>44396</v>
      </c>
      <c r="X3561" s="55">
        <v>10185026</v>
      </c>
      <c r="Y3561" s="55" t="s">
        <v>132</v>
      </c>
      <c r="AB3561" s="74" t="s">
        <v>132</v>
      </c>
      <c r="AC3561" s="55" t="s">
        <v>130</v>
      </c>
    </row>
    <row r="3562" spans="1:29" ht="13" x14ac:dyDescent="0.15">
      <c r="A3562" s="55" t="str">
        <f>HYPERLINK("http://reports.ofsted.gov.uk/inspection-reports/find-inspection-report/provider/CARE/SC484402","Ofsted Social Care Provider Webpage")</f>
        <v>Ofsted Social Care Provider Webpage</v>
      </c>
      <c r="B3562" s="55" t="s">
        <v>6531</v>
      </c>
      <c r="D3562" s="55" t="s">
        <v>373</v>
      </c>
      <c r="E3562" s="74">
        <v>42023</v>
      </c>
      <c r="F3562" s="55" t="s">
        <v>344</v>
      </c>
      <c r="G3562" s="55" t="s">
        <v>360</v>
      </c>
      <c r="H3562" s="55" t="s">
        <v>360</v>
      </c>
      <c r="I3562" s="55" t="s">
        <v>360</v>
      </c>
      <c r="J3562" s="55" t="s">
        <v>360</v>
      </c>
      <c r="K3562" s="55" t="s">
        <v>360</v>
      </c>
      <c r="L3562" s="55" t="s">
        <v>360</v>
      </c>
      <c r="M3562" s="55" t="s">
        <v>172</v>
      </c>
      <c r="N3562" s="55" t="s">
        <v>172</v>
      </c>
      <c r="O3562" s="55" t="s">
        <v>235</v>
      </c>
      <c r="P3562" s="55" t="s">
        <v>1396</v>
      </c>
      <c r="Q3562" s="55" t="s">
        <v>350</v>
      </c>
      <c r="R3562" s="85">
        <v>3</v>
      </c>
      <c r="S3562" s="55">
        <v>0</v>
      </c>
      <c r="T3562" s="74" t="s">
        <v>1819</v>
      </c>
      <c r="U3562" s="74" t="s">
        <v>351</v>
      </c>
      <c r="V3562" s="74">
        <v>44370</v>
      </c>
      <c r="W3562" s="74">
        <v>44407</v>
      </c>
      <c r="X3562" s="55">
        <v>10186178</v>
      </c>
      <c r="Y3562" s="55" t="s">
        <v>140</v>
      </c>
      <c r="AB3562" s="74" t="s">
        <v>132</v>
      </c>
      <c r="AC3562" s="55" t="s">
        <v>140</v>
      </c>
    </row>
    <row r="3563" spans="1:29" ht="13" x14ac:dyDescent="0.15">
      <c r="A3563" s="55" t="str">
        <f>HYPERLINK("http://reports.ofsted.gov.uk/inspection-reports/find-inspection-report/provider/CARE/SC484671","Ofsted Social Care Provider Webpage")</f>
        <v>Ofsted Social Care Provider Webpage</v>
      </c>
      <c r="B3563" s="55" t="s">
        <v>6540</v>
      </c>
      <c r="D3563" s="55" t="s">
        <v>373</v>
      </c>
      <c r="E3563" s="74">
        <v>42067</v>
      </c>
      <c r="F3563" s="55" t="s">
        <v>344</v>
      </c>
      <c r="G3563" s="55" t="s">
        <v>360</v>
      </c>
      <c r="H3563" s="55" t="s">
        <v>360</v>
      </c>
      <c r="I3563" s="55" t="s">
        <v>360</v>
      </c>
      <c r="J3563" s="55" t="s">
        <v>360</v>
      </c>
      <c r="K3563" s="55" t="s">
        <v>360</v>
      </c>
      <c r="L3563" s="55" t="s">
        <v>360</v>
      </c>
      <c r="M3563" s="55" t="s">
        <v>138</v>
      </c>
      <c r="N3563" s="55" t="s">
        <v>138</v>
      </c>
      <c r="O3563" s="55" t="s">
        <v>137</v>
      </c>
      <c r="P3563" s="55" t="s">
        <v>643</v>
      </c>
      <c r="Q3563" s="55" t="s">
        <v>350</v>
      </c>
      <c r="R3563" s="85">
        <v>4</v>
      </c>
      <c r="S3563" s="55">
        <v>0</v>
      </c>
      <c r="T3563" s="74" t="s">
        <v>762</v>
      </c>
      <c r="U3563" s="74" t="s">
        <v>351</v>
      </c>
      <c r="V3563" s="74">
        <v>44571</v>
      </c>
      <c r="W3563" s="74">
        <v>44599</v>
      </c>
      <c r="X3563" s="55">
        <v>10187341</v>
      </c>
      <c r="Y3563" s="55" t="s">
        <v>132</v>
      </c>
      <c r="AB3563" s="74" t="s">
        <v>132</v>
      </c>
      <c r="AC3563" s="55" t="s">
        <v>130</v>
      </c>
    </row>
    <row r="3564" spans="1:29" ht="13" x14ac:dyDescent="0.15">
      <c r="A3564" s="55" t="str">
        <f>HYPERLINK("http://reports.ofsted.gov.uk/inspection-reports/find-inspection-report/provider/CARE/SC484789","Ofsted Social Care Provider Webpage")</f>
        <v>Ofsted Social Care Provider Webpage</v>
      </c>
      <c r="B3564" s="55" t="s">
        <v>6545</v>
      </c>
      <c r="D3564" s="55" t="s">
        <v>373</v>
      </c>
      <c r="E3564" s="74">
        <v>42031</v>
      </c>
      <c r="F3564" s="55" t="s">
        <v>344</v>
      </c>
      <c r="G3564" s="55" t="s">
        <v>360</v>
      </c>
      <c r="H3564" s="55" t="s">
        <v>360</v>
      </c>
      <c r="I3564" s="55" t="s">
        <v>360</v>
      </c>
      <c r="J3564" s="55" t="s">
        <v>360</v>
      </c>
      <c r="K3564" s="55" t="s">
        <v>360</v>
      </c>
      <c r="L3564" s="55" t="s">
        <v>360</v>
      </c>
      <c r="M3564" s="55" t="s">
        <v>144</v>
      </c>
      <c r="N3564" s="55" t="s">
        <v>144</v>
      </c>
      <c r="O3564" s="55" t="s">
        <v>147</v>
      </c>
      <c r="P3564" s="55" t="s">
        <v>674</v>
      </c>
      <c r="Q3564" s="55" t="s">
        <v>362</v>
      </c>
      <c r="R3564" s="85">
        <v>3</v>
      </c>
      <c r="S3564" s="55">
        <v>0</v>
      </c>
      <c r="T3564" s="74" t="s">
        <v>675</v>
      </c>
      <c r="U3564" s="74" t="s">
        <v>351</v>
      </c>
      <c r="V3564" s="74">
        <v>44355</v>
      </c>
      <c r="W3564" s="74">
        <v>44383</v>
      </c>
      <c r="X3564" s="55">
        <v>10187655</v>
      </c>
      <c r="Y3564" s="55" t="s">
        <v>132</v>
      </c>
      <c r="AB3564" s="74" t="s">
        <v>132</v>
      </c>
      <c r="AC3564" s="55" t="s">
        <v>130</v>
      </c>
    </row>
    <row r="3565" spans="1:29" ht="13" x14ac:dyDescent="0.15">
      <c r="A3565" s="55" t="str">
        <f>HYPERLINK("http://reports.ofsted.gov.uk/inspection-reports/find-inspection-report/provider/CARE/SC484830","Ofsted Social Care Provider Webpage")</f>
        <v>Ofsted Social Care Provider Webpage</v>
      </c>
      <c r="B3565" s="55" t="s">
        <v>6550</v>
      </c>
      <c r="D3565" s="55" t="s">
        <v>373</v>
      </c>
      <c r="E3565" s="74">
        <v>42057</v>
      </c>
      <c r="F3565" s="55" t="s">
        <v>344</v>
      </c>
      <c r="G3565" s="55" t="s">
        <v>360</v>
      </c>
      <c r="H3565" s="55" t="s">
        <v>360</v>
      </c>
      <c r="I3565" s="55" t="s">
        <v>360</v>
      </c>
      <c r="J3565" s="55" t="s">
        <v>360</v>
      </c>
      <c r="K3565" s="55" t="s">
        <v>360</v>
      </c>
      <c r="L3565" s="55" t="s">
        <v>360</v>
      </c>
      <c r="M3565" s="55" t="s">
        <v>142</v>
      </c>
      <c r="N3565" s="55" t="s">
        <v>142</v>
      </c>
      <c r="O3565" s="55" t="s">
        <v>262</v>
      </c>
      <c r="P3565" s="55" t="s">
        <v>692</v>
      </c>
      <c r="Q3565" s="55" t="s">
        <v>350</v>
      </c>
      <c r="R3565" s="85">
        <v>2</v>
      </c>
      <c r="S3565" s="55">
        <v>0</v>
      </c>
      <c r="T3565" s="74" t="s">
        <v>1106</v>
      </c>
      <c r="U3565" s="74" t="s">
        <v>351</v>
      </c>
      <c r="V3565" s="74">
        <v>44621</v>
      </c>
      <c r="W3565" s="74">
        <v>44662</v>
      </c>
      <c r="X3565" s="55">
        <v>10185056</v>
      </c>
      <c r="Y3565" s="55" t="s">
        <v>132</v>
      </c>
      <c r="AB3565" s="74" t="s">
        <v>132</v>
      </c>
      <c r="AC3565" s="55" t="s">
        <v>132</v>
      </c>
    </row>
    <row r="3566" spans="1:29" ht="13" x14ac:dyDescent="0.15">
      <c r="A3566" s="55" t="str">
        <f>HYPERLINK("http://reports.ofsted.gov.uk/inspection-reports/find-inspection-report/provider/CARE/SC484912","Ofsted Social Care Provider Webpage")</f>
        <v>Ofsted Social Care Provider Webpage</v>
      </c>
      <c r="B3566" s="55" t="s">
        <v>6551</v>
      </c>
      <c r="D3566" s="55" t="s">
        <v>373</v>
      </c>
      <c r="E3566" s="74">
        <v>42046</v>
      </c>
      <c r="F3566" s="55" t="s">
        <v>344</v>
      </c>
      <c r="G3566" s="55" t="s">
        <v>360</v>
      </c>
      <c r="H3566" s="55" t="s">
        <v>360</v>
      </c>
      <c r="I3566" s="55" t="s">
        <v>360</v>
      </c>
      <c r="J3566" s="55" t="s">
        <v>360</v>
      </c>
      <c r="K3566" s="55" t="s">
        <v>360</v>
      </c>
      <c r="L3566" s="55" t="s">
        <v>360</v>
      </c>
      <c r="M3566" s="55" t="s">
        <v>129</v>
      </c>
      <c r="N3566" s="55" t="s">
        <v>129</v>
      </c>
      <c r="O3566" s="55" t="s">
        <v>197</v>
      </c>
      <c r="P3566" s="55" t="s">
        <v>532</v>
      </c>
      <c r="Q3566" s="55" t="s">
        <v>350</v>
      </c>
      <c r="R3566" s="85">
        <v>10</v>
      </c>
      <c r="S3566" s="55">
        <v>0</v>
      </c>
      <c r="U3566" s="74" t="s">
        <v>351</v>
      </c>
      <c r="V3566" s="74">
        <v>44516</v>
      </c>
      <c r="W3566" s="74">
        <v>44587</v>
      </c>
      <c r="X3566" s="55">
        <v>10185276</v>
      </c>
      <c r="Y3566" s="55" t="s">
        <v>132</v>
      </c>
      <c r="AB3566" s="74" t="s">
        <v>132</v>
      </c>
      <c r="AC3566" s="55" t="s">
        <v>130</v>
      </c>
    </row>
    <row r="3567" spans="1:29" ht="13" x14ac:dyDescent="0.15">
      <c r="A3567" s="55" t="str">
        <f>HYPERLINK("http://reports.ofsted.gov.uk/inspection-reports/find-inspection-report/provider/CARE/SC485318","Ofsted Social Care Provider Webpage")</f>
        <v>Ofsted Social Care Provider Webpage</v>
      </c>
      <c r="B3567" s="55" t="s">
        <v>6557</v>
      </c>
      <c r="D3567" s="55" t="s">
        <v>373</v>
      </c>
      <c r="E3567" s="74">
        <v>42031</v>
      </c>
      <c r="F3567" s="55" t="s">
        <v>344</v>
      </c>
      <c r="G3567" s="55" t="s">
        <v>360</v>
      </c>
      <c r="H3567" s="55" t="s">
        <v>360</v>
      </c>
      <c r="I3567" s="55" t="s">
        <v>360</v>
      </c>
      <c r="J3567" s="55" t="s">
        <v>360</v>
      </c>
      <c r="K3567" s="55" t="s">
        <v>360</v>
      </c>
      <c r="L3567" s="55" t="s">
        <v>360</v>
      </c>
      <c r="M3567" s="55" t="s">
        <v>144</v>
      </c>
      <c r="N3567" s="55" t="s">
        <v>144</v>
      </c>
      <c r="O3567" s="55" t="s">
        <v>209</v>
      </c>
      <c r="P3567" s="55" t="s">
        <v>597</v>
      </c>
      <c r="Q3567" s="55" t="s">
        <v>350</v>
      </c>
      <c r="R3567" s="85">
        <v>2</v>
      </c>
      <c r="S3567" s="55">
        <v>0</v>
      </c>
      <c r="T3567" s="74" t="s">
        <v>513</v>
      </c>
      <c r="U3567" s="74" t="s">
        <v>351</v>
      </c>
      <c r="V3567" s="74">
        <v>44607</v>
      </c>
      <c r="W3567" s="74">
        <v>44652</v>
      </c>
      <c r="X3567" s="55">
        <v>10185846</v>
      </c>
      <c r="Y3567" s="55" t="s">
        <v>132</v>
      </c>
      <c r="AB3567" s="74" t="s">
        <v>132</v>
      </c>
      <c r="AC3567" s="55" t="s">
        <v>132</v>
      </c>
    </row>
    <row r="3568" spans="1:29" ht="13" x14ac:dyDescent="0.15">
      <c r="A3568" s="55" t="str">
        <f>HYPERLINK("http://reports.ofsted.gov.uk/inspection-reports/find-inspection-report/provider/CARE/SC485423","Ofsted Social Care Provider Webpage")</f>
        <v>Ofsted Social Care Provider Webpage</v>
      </c>
      <c r="B3568" s="55" t="s">
        <v>6558</v>
      </c>
      <c r="D3568" s="55" t="s">
        <v>373</v>
      </c>
      <c r="E3568" s="74">
        <v>42090</v>
      </c>
      <c r="F3568" s="55" t="s">
        <v>344</v>
      </c>
      <c r="G3568" s="55" t="s">
        <v>360</v>
      </c>
      <c r="H3568" s="55" t="s">
        <v>360</v>
      </c>
      <c r="I3568" s="55" t="s">
        <v>360</v>
      </c>
      <c r="J3568" s="55" t="s">
        <v>360</v>
      </c>
      <c r="K3568" s="55" t="s">
        <v>360</v>
      </c>
      <c r="L3568" s="55" t="s">
        <v>360</v>
      </c>
      <c r="M3568" s="55" t="s">
        <v>150</v>
      </c>
      <c r="N3568" s="55" t="s">
        <v>150</v>
      </c>
      <c r="O3568" s="55" t="s">
        <v>190</v>
      </c>
      <c r="P3568" s="55" t="s">
        <v>1523</v>
      </c>
      <c r="Q3568" s="55" t="s">
        <v>350</v>
      </c>
      <c r="R3568" s="85">
        <v>5</v>
      </c>
      <c r="S3568" s="55">
        <v>0</v>
      </c>
      <c r="T3568" s="74" t="s">
        <v>1960</v>
      </c>
      <c r="U3568" s="74" t="s">
        <v>351</v>
      </c>
      <c r="V3568" s="74">
        <v>44599</v>
      </c>
      <c r="W3568" s="74">
        <v>44657</v>
      </c>
      <c r="X3568" s="55">
        <v>10187273</v>
      </c>
      <c r="Y3568" s="55" t="s">
        <v>130</v>
      </c>
      <c r="AB3568" s="74" t="s">
        <v>130</v>
      </c>
      <c r="AC3568" s="55" t="s">
        <v>130</v>
      </c>
    </row>
    <row r="3569" spans="1:29" ht="13" x14ac:dyDescent="0.15">
      <c r="A3569" s="55" t="str">
        <f>HYPERLINK("http://reports.ofsted.gov.uk/inspection-reports/find-inspection-report/provider/CARE/SC485427","Ofsted Social Care Provider Webpage")</f>
        <v>Ofsted Social Care Provider Webpage</v>
      </c>
      <c r="B3569" s="55" t="s">
        <v>6559</v>
      </c>
      <c r="D3569" s="55" t="s">
        <v>373</v>
      </c>
      <c r="E3569" s="74">
        <v>42053</v>
      </c>
      <c r="F3569" s="55" t="s">
        <v>344</v>
      </c>
      <c r="G3569" s="55" t="s">
        <v>360</v>
      </c>
      <c r="H3569" s="55" t="s">
        <v>360</v>
      </c>
      <c r="I3569" s="55" t="s">
        <v>360</v>
      </c>
      <c r="J3569" s="55" t="s">
        <v>360</v>
      </c>
      <c r="K3569" s="55" t="s">
        <v>360</v>
      </c>
      <c r="L3569" s="55" t="s">
        <v>360</v>
      </c>
      <c r="M3569" s="55" t="s">
        <v>136</v>
      </c>
      <c r="N3569" s="55" t="s">
        <v>136</v>
      </c>
      <c r="O3569" s="55" t="s">
        <v>255</v>
      </c>
      <c r="P3569" s="55" t="s">
        <v>757</v>
      </c>
      <c r="Q3569" s="55" t="s">
        <v>350</v>
      </c>
      <c r="R3569" s="85">
        <v>2</v>
      </c>
      <c r="S3569" s="55">
        <v>0</v>
      </c>
      <c r="T3569" s="74" t="s">
        <v>4019</v>
      </c>
      <c r="U3569" s="74" t="s">
        <v>351</v>
      </c>
      <c r="V3569" s="74">
        <v>44529</v>
      </c>
      <c r="W3569" s="74">
        <v>44617</v>
      </c>
      <c r="X3569" s="55">
        <v>10185034</v>
      </c>
      <c r="Y3569" s="55" t="s">
        <v>130</v>
      </c>
      <c r="AB3569" s="74" t="s">
        <v>130</v>
      </c>
      <c r="AC3569" s="55" t="s">
        <v>130</v>
      </c>
    </row>
    <row r="3570" spans="1:29" ht="13" x14ac:dyDescent="0.15">
      <c r="A3570" s="55" t="str">
        <f>HYPERLINK("http://reports.ofsted.gov.uk/inspection-reports/find-inspection-report/provider/CARE/SC485529","Ofsted Social Care Provider Webpage")</f>
        <v>Ofsted Social Care Provider Webpage</v>
      </c>
      <c r="B3570" s="55" t="s">
        <v>6560</v>
      </c>
      <c r="D3570" s="55" t="s">
        <v>373</v>
      </c>
      <c r="E3570" s="74">
        <v>42024</v>
      </c>
      <c r="F3570" s="55" t="s">
        <v>344</v>
      </c>
      <c r="G3570" s="55" t="s">
        <v>360</v>
      </c>
      <c r="H3570" s="55" t="s">
        <v>360</v>
      </c>
      <c r="I3570" s="55" t="s">
        <v>360</v>
      </c>
      <c r="J3570" s="55" t="s">
        <v>360</v>
      </c>
      <c r="K3570" s="55" t="s">
        <v>360</v>
      </c>
      <c r="L3570" s="55" t="s">
        <v>360</v>
      </c>
      <c r="M3570" s="55" t="s">
        <v>150</v>
      </c>
      <c r="N3570" s="55" t="s">
        <v>150</v>
      </c>
      <c r="O3570" s="55" t="s">
        <v>190</v>
      </c>
      <c r="P3570" s="55" t="s">
        <v>749</v>
      </c>
      <c r="Q3570" s="55" t="s">
        <v>350</v>
      </c>
      <c r="R3570" s="85">
        <v>3</v>
      </c>
      <c r="S3570" s="55">
        <v>0</v>
      </c>
      <c r="T3570" s="74" t="s">
        <v>888</v>
      </c>
      <c r="U3570" s="74" t="s">
        <v>351</v>
      </c>
      <c r="V3570" s="74">
        <v>44622</v>
      </c>
      <c r="W3570" s="74">
        <v>44680</v>
      </c>
      <c r="X3570" s="55">
        <v>10185938</v>
      </c>
      <c r="Y3570" s="55" t="s">
        <v>132</v>
      </c>
      <c r="AB3570" s="74" t="s">
        <v>132</v>
      </c>
      <c r="AC3570" s="55" t="s">
        <v>132</v>
      </c>
    </row>
    <row r="3571" spans="1:29" ht="13" x14ac:dyDescent="0.15">
      <c r="A3571" s="55" t="str">
        <f>HYPERLINK("http://reports.ofsted.gov.uk/inspection-reports/find-inspection-report/provider/CARE/SC485540","Ofsted Social Care Provider Webpage")</f>
        <v>Ofsted Social Care Provider Webpage</v>
      </c>
      <c r="B3571" s="55" t="s">
        <v>6561</v>
      </c>
      <c r="D3571" s="55" t="s">
        <v>373</v>
      </c>
      <c r="E3571" s="74">
        <v>42046</v>
      </c>
      <c r="F3571" s="55" t="s">
        <v>344</v>
      </c>
      <c r="G3571" s="55" t="s">
        <v>360</v>
      </c>
      <c r="H3571" s="55" t="s">
        <v>360</v>
      </c>
      <c r="I3571" s="55" t="s">
        <v>360</v>
      </c>
      <c r="J3571" s="55" t="s">
        <v>360</v>
      </c>
      <c r="K3571" s="55" t="s">
        <v>360</v>
      </c>
      <c r="L3571" s="55" t="s">
        <v>360</v>
      </c>
      <c r="M3571" s="55" t="s">
        <v>378</v>
      </c>
      <c r="N3571" s="55" t="s">
        <v>170</v>
      </c>
      <c r="O3571" s="55" t="s">
        <v>169</v>
      </c>
      <c r="P3571" s="55" t="s">
        <v>434</v>
      </c>
      <c r="Q3571" s="55" t="s">
        <v>350</v>
      </c>
      <c r="R3571" s="85">
        <v>7</v>
      </c>
      <c r="S3571" s="55">
        <v>0</v>
      </c>
      <c r="T3571" s="74" t="s">
        <v>435</v>
      </c>
      <c r="U3571" s="74" t="s">
        <v>351</v>
      </c>
      <c r="V3571" s="74">
        <v>44615</v>
      </c>
      <c r="W3571" s="74">
        <v>44663</v>
      </c>
      <c r="X3571" s="55">
        <v>10186587</v>
      </c>
      <c r="Y3571" s="55" t="s">
        <v>132</v>
      </c>
      <c r="AB3571" s="74" t="s">
        <v>132</v>
      </c>
      <c r="AC3571" s="55" t="s">
        <v>132</v>
      </c>
    </row>
    <row r="3572" spans="1:29" ht="13" x14ac:dyDescent="0.15">
      <c r="A3572" s="55" t="str">
        <f>HYPERLINK("http://reports.ofsted.gov.uk/inspection-reports/find-inspection-report/provider/CARE/SC486114","Ofsted Social Care Provider Webpage")</f>
        <v>Ofsted Social Care Provider Webpage</v>
      </c>
      <c r="B3572" s="55" t="s">
        <v>6591</v>
      </c>
      <c r="D3572" s="55" t="s">
        <v>373</v>
      </c>
      <c r="E3572" s="74">
        <v>42193</v>
      </c>
      <c r="F3572" s="55" t="s">
        <v>344</v>
      </c>
      <c r="G3572" s="55" t="s">
        <v>360</v>
      </c>
      <c r="H3572" s="55" t="s">
        <v>360</v>
      </c>
      <c r="I3572" s="55" t="s">
        <v>360</v>
      </c>
      <c r="J3572" s="55" t="s">
        <v>360</v>
      </c>
      <c r="K3572" s="55" t="s">
        <v>360</v>
      </c>
      <c r="L3572" s="55" t="s">
        <v>360</v>
      </c>
      <c r="M3572" s="55" t="s">
        <v>144</v>
      </c>
      <c r="N3572" s="55" t="s">
        <v>144</v>
      </c>
      <c r="O3572" s="55" t="s">
        <v>209</v>
      </c>
      <c r="P3572" s="55" t="s">
        <v>650</v>
      </c>
      <c r="Q3572" s="55" t="s">
        <v>350</v>
      </c>
      <c r="R3572" s="85">
        <v>4</v>
      </c>
      <c r="S3572" s="55">
        <v>0</v>
      </c>
      <c r="T3572" s="74" t="s">
        <v>1577</v>
      </c>
      <c r="U3572" s="74" t="s">
        <v>351</v>
      </c>
      <c r="V3572" s="74">
        <v>44523</v>
      </c>
      <c r="W3572" s="74">
        <v>44575</v>
      </c>
      <c r="X3572" s="55">
        <v>10185293</v>
      </c>
      <c r="Y3572" s="55" t="s">
        <v>132</v>
      </c>
      <c r="AB3572" s="74" t="s">
        <v>132</v>
      </c>
      <c r="AC3572" s="55" t="s">
        <v>130</v>
      </c>
    </row>
    <row r="3573" spans="1:29" ht="13" x14ac:dyDescent="0.15">
      <c r="A3573" s="55" t="str">
        <f>HYPERLINK("http://reports.ofsted.gov.uk/inspection-reports/find-inspection-report/provider/CARE/SC486165","Ofsted Social Care Provider Webpage")</f>
        <v>Ofsted Social Care Provider Webpage</v>
      </c>
      <c r="B3573" s="55" t="s">
        <v>6592</v>
      </c>
      <c r="D3573" s="55" t="s">
        <v>373</v>
      </c>
      <c r="E3573" s="74">
        <v>42068</v>
      </c>
      <c r="F3573" s="55" t="s">
        <v>344</v>
      </c>
      <c r="G3573" s="55" t="s">
        <v>360</v>
      </c>
      <c r="H3573" s="55" t="s">
        <v>360</v>
      </c>
      <c r="I3573" s="55" t="s">
        <v>360</v>
      </c>
      <c r="J3573" s="55" t="s">
        <v>360</v>
      </c>
      <c r="K3573" s="55" t="s">
        <v>360</v>
      </c>
      <c r="L3573" s="55" t="s">
        <v>360</v>
      </c>
      <c r="M3573" s="55" t="s">
        <v>144</v>
      </c>
      <c r="N3573" s="55" t="s">
        <v>144</v>
      </c>
      <c r="O3573" s="55" t="s">
        <v>290</v>
      </c>
      <c r="P3573" s="55" t="s">
        <v>1099</v>
      </c>
      <c r="Q3573" s="55" t="s">
        <v>350</v>
      </c>
      <c r="R3573" s="85">
        <v>4</v>
      </c>
      <c r="S3573" s="55">
        <v>0</v>
      </c>
      <c r="T3573" s="74" t="s">
        <v>4600</v>
      </c>
      <c r="U3573" s="74" t="s">
        <v>351</v>
      </c>
      <c r="V3573" s="74">
        <v>44306</v>
      </c>
      <c r="W3573" s="74">
        <v>44348</v>
      </c>
      <c r="X3573" s="55">
        <v>10186412</v>
      </c>
      <c r="Y3573" s="55" t="s">
        <v>132</v>
      </c>
      <c r="AB3573" s="74" t="s">
        <v>132</v>
      </c>
      <c r="AC3573" s="55" t="s">
        <v>130</v>
      </c>
    </row>
    <row r="3574" spans="1:29" ht="13" x14ac:dyDescent="0.15">
      <c r="A3574" s="55" t="str">
        <f>HYPERLINK("http://reports.ofsted.gov.uk/inspection-reports/find-inspection-report/provider/CARE/SC486167","Ofsted Social Care Provider Webpage")</f>
        <v>Ofsted Social Care Provider Webpage</v>
      </c>
      <c r="B3574" s="55" t="s">
        <v>6593</v>
      </c>
      <c r="D3574" s="55" t="s">
        <v>373</v>
      </c>
      <c r="E3574" s="74">
        <v>42053</v>
      </c>
      <c r="F3574" s="55" t="s">
        <v>344</v>
      </c>
      <c r="G3574" s="55" t="s">
        <v>360</v>
      </c>
      <c r="H3574" s="55" t="s">
        <v>360</v>
      </c>
      <c r="I3574" s="55" t="s">
        <v>360</v>
      </c>
      <c r="J3574" s="55" t="s">
        <v>360</v>
      </c>
      <c r="K3574" s="55" t="s">
        <v>360</v>
      </c>
      <c r="L3574" s="55" t="s">
        <v>360</v>
      </c>
      <c r="M3574" s="55" t="s">
        <v>136</v>
      </c>
      <c r="N3574" s="55" t="s">
        <v>136</v>
      </c>
      <c r="O3574" s="55" t="s">
        <v>239</v>
      </c>
      <c r="P3574" s="55" t="s">
        <v>738</v>
      </c>
      <c r="Q3574" s="55" t="s">
        <v>350</v>
      </c>
      <c r="R3574" s="85">
        <v>1</v>
      </c>
      <c r="S3574" s="55">
        <v>0</v>
      </c>
      <c r="T3574" s="74" t="s">
        <v>739</v>
      </c>
      <c r="U3574" s="74" t="s">
        <v>351</v>
      </c>
      <c r="V3574" s="74">
        <v>44433</v>
      </c>
      <c r="W3574" s="74">
        <v>44467</v>
      </c>
      <c r="X3574" s="55">
        <v>10186978</v>
      </c>
      <c r="Y3574" s="55" t="s">
        <v>132</v>
      </c>
      <c r="AB3574" s="74" t="s">
        <v>132</v>
      </c>
      <c r="AC3574" s="55" t="s">
        <v>132</v>
      </c>
    </row>
    <row r="3575" spans="1:29" ht="13" x14ac:dyDescent="0.15">
      <c r="A3575" s="55" t="str">
        <f>HYPERLINK("http://reports.ofsted.gov.uk/inspection-reports/find-inspection-report/provider/CARE/SC486398","Ofsted Social Care Provider Webpage")</f>
        <v>Ofsted Social Care Provider Webpage</v>
      </c>
      <c r="B3575" s="55" t="s">
        <v>6600</v>
      </c>
      <c r="D3575" s="55" t="s">
        <v>373</v>
      </c>
      <c r="E3575" s="74">
        <v>42138</v>
      </c>
      <c r="F3575" s="55" t="s">
        <v>344</v>
      </c>
      <c r="G3575" s="55" t="s">
        <v>360</v>
      </c>
      <c r="H3575" s="55" t="s">
        <v>360</v>
      </c>
      <c r="I3575" s="55" t="s">
        <v>360</v>
      </c>
      <c r="J3575" s="55" t="s">
        <v>360</v>
      </c>
      <c r="K3575" s="55" t="s">
        <v>360</v>
      </c>
      <c r="L3575" s="55" t="s">
        <v>360</v>
      </c>
      <c r="M3575" s="55" t="s">
        <v>172</v>
      </c>
      <c r="N3575" s="55" t="s">
        <v>172</v>
      </c>
      <c r="O3575" s="55" t="s">
        <v>212</v>
      </c>
      <c r="P3575" s="55" t="s">
        <v>514</v>
      </c>
      <c r="Q3575" s="55" t="s">
        <v>350</v>
      </c>
      <c r="R3575" s="85">
        <v>4</v>
      </c>
      <c r="S3575" s="55">
        <v>0</v>
      </c>
      <c r="T3575" s="74" t="s">
        <v>1424</v>
      </c>
      <c r="U3575" s="74" t="s">
        <v>351</v>
      </c>
      <c r="V3575" s="74">
        <v>44356</v>
      </c>
      <c r="W3575" s="74">
        <v>44396</v>
      </c>
      <c r="X3575" s="55">
        <v>10186386</v>
      </c>
      <c r="Y3575" s="55" t="s">
        <v>132</v>
      </c>
      <c r="AB3575" s="74" t="s">
        <v>132</v>
      </c>
      <c r="AC3575" s="55" t="s">
        <v>132</v>
      </c>
    </row>
    <row r="3576" spans="1:29" ht="13" x14ac:dyDescent="0.15">
      <c r="A3576" s="55" t="str">
        <f>HYPERLINK("http://reports.ofsted.gov.uk/inspection-reports/find-inspection-report/provider/CARE/SC486479","Ofsted Social Care Provider Webpage")</f>
        <v>Ofsted Social Care Provider Webpage</v>
      </c>
      <c r="B3576" s="55" t="s">
        <v>6601</v>
      </c>
      <c r="D3576" s="55" t="s">
        <v>373</v>
      </c>
      <c r="E3576" s="74">
        <v>42110</v>
      </c>
      <c r="F3576" s="55" t="s">
        <v>344</v>
      </c>
      <c r="G3576" s="55" t="s">
        <v>360</v>
      </c>
      <c r="H3576" s="55" t="s">
        <v>360</v>
      </c>
      <c r="I3576" s="55" t="s">
        <v>360</v>
      </c>
      <c r="J3576" s="55" t="s">
        <v>360</v>
      </c>
      <c r="K3576" s="55" t="s">
        <v>360</v>
      </c>
      <c r="L3576" s="55" t="s">
        <v>360</v>
      </c>
      <c r="M3576" s="55" t="s">
        <v>150</v>
      </c>
      <c r="N3576" s="55" t="s">
        <v>150</v>
      </c>
      <c r="O3576" s="55" t="s">
        <v>283</v>
      </c>
      <c r="P3576" s="55" t="s">
        <v>1333</v>
      </c>
      <c r="Q3576" s="55" t="s">
        <v>350</v>
      </c>
      <c r="R3576" s="85">
        <v>5</v>
      </c>
      <c r="S3576" s="55">
        <v>0</v>
      </c>
      <c r="T3576" s="74" t="s">
        <v>450</v>
      </c>
      <c r="U3576" s="74" t="s">
        <v>351</v>
      </c>
      <c r="V3576" s="74">
        <v>44502</v>
      </c>
      <c r="W3576" s="74">
        <v>44547</v>
      </c>
      <c r="X3576" s="55">
        <v>10185341</v>
      </c>
      <c r="Y3576" s="55" t="s">
        <v>132</v>
      </c>
      <c r="AB3576" s="74" t="s">
        <v>132</v>
      </c>
      <c r="AC3576" s="55" t="s">
        <v>132</v>
      </c>
    </row>
    <row r="3577" spans="1:29" ht="13" x14ac:dyDescent="0.15">
      <c r="A3577" s="55" t="str">
        <f>HYPERLINK("http://reports.ofsted.gov.uk/inspection-reports/find-inspection-report/provider/CARE/SC486604","Ofsted Social Care Provider Webpage")</f>
        <v>Ofsted Social Care Provider Webpage</v>
      </c>
      <c r="B3577" s="55" t="s">
        <v>6602</v>
      </c>
      <c r="D3577" s="55" t="s">
        <v>373</v>
      </c>
      <c r="E3577" s="74">
        <v>42027</v>
      </c>
      <c r="F3577" s="55" t="s">
        <v>344</v>
      </c>
      <c r="G3577" s="55" t="s">
        <v>360</v>
      </c>
      <c r="H3577" s="55" t="s">
        <v>360</v>
      </c>
      <c r="I3577" s="55" t="s">
        <v>360</v>
      </c>
      <c r="J3577" s="55" t="s">
        <v>360</v>
      </c>
      <c r="K3577" s="55" t="s">
        <v>360</v>
      </c>
      <c r="L3577" s="55" t="s">
        <v>360</v>
      </c>
      <c r="M3577" s="55" t="s">
        <v>378</v>
      </c>
      <c r="N3577" s="55" t="s">
        <v>170</v>
      </c>
      <c r="O3577" s="55" t="s">
        <v>233</v>
      </c>
      <c r="P3577" s="55" t="s">
        <v>1999</v>
      </c>
      <c r="Q3577" s="55" t="s">
        <v>380</v>
      </c>
      <c r="R3577" s="85">
        <v>4</v>
      </c>
      <c r="S3577" s="55">
        <v>0</v>
      </c>
      <c r="T3577" s="74" t="s">
        <v>381</v>
      </c>
      <c r="U3577" s="74" t="s">
        <v>351</v>
      </c>
      <c r="V3577" s="74">
        <v>44341</v>
      </c>
      <c r="W3577" s="74">
        <v>44368</v>
      </c>
      <c r="X3577" s="55">
        <v>10187380</v>
      </c>
      <c r="Y3577" s="55" t="s">
        <v>140</v>
      </c>
      <c r="AB3577" s="74" t="s">
        <v>132</v>
      </c>
      <c r="AC3577" s="55" t="s">
        <v>140</v>
      </c>
    </row>
    <row r="3578" spans="1:29" ht="13" x14ac:dyDescent="0.15">
      <c r="A3578" s="55" t="str">
        <f>HYPERLINK("http://reports.ofsted.gov.uk/inspection-reports/find-inspection-report/provider/CARE/SC486606","Ofsted Social Care Provider Webpage")</f>
        <v>Ofsted Social Care Provider Webpage</v>
      </c>
      <c r="B3578" s="55" t="s">
        <v>6603</v>
      </c>
      <c r="D3578" s="55" t="s">
        <v>373</v>
      </c>
      <c r="E3578" s="74">
        <v>42029</v>
      </c>
      <c r="F3578" s="55" t="s">
        <v>344</v>
      </c>
      <c r="G3578" s="55" t="s">
        <v>360</v>
      </c>
      <c r="H3578" s="55" t="s">
        <v>360</v>
      </c>
      <c r="I3578" s="55" t="s">
        <v>360</v>
      </c>
      <c r="J3578" s="55" t="s">
        <v>360</v>
      </c>
      <c r="K3578" s="55" t="s">
        <v>360</v>
      </c>
      <c r="L3578" s="55" t="s">
        <v>360</v>
      </c>
      <c r="M3578" s="55" t="s">
        <v>378</v>
      </c>
      <c r="N3578" s="55" t="s">
        <v>134</v>
      </c>
      <c r="O3578" s="55" t="s">
        <v>151</v>
      </c>
      <c r="P3578" s="55" t="s">
        <v>1778</v>
      </c>
      <c r="Q3578" s="55" t="s">
        <v>380</v>
      </c>
      <c r="R3578" s="85">
        <v>4</v>
      </c>
      <c r="S3578" s="55">
        <v>0</v>
      </c>
      <c r="T3578" s="74" t="s">
        <v>1220</v>
      </c>
      <c r="U3578" s="74" t="s">
        <v>2053</v>
      </c>
      <c r="V3578" s="74">
        <v>44446</v>
      </c>
      <c r="W3578" s="74">
        <v>44488</v>
      </c>
      <c r="X3578" s="55">
        <v>10204381</v>
      </c>
    </row>
    <row r="3579" spans="1:29" ht="13" x14ac:dyDescent="0.15">
      <c r="A3579" s="55" t="str">
        <f>HYPERLINK("http://reports.ofsted.gov.uk/inspection-reports/find-inspection-report/provider/CARE/SC486606","Ofsted Social Care Provider Webpage")</f>
        <v>Ofsted Social Care Provider Webpage</v>
      </c>
      <c r="B3579" s="55" t="s">
        <v>6603</v>
      </c>
      <c r="D3579" s="55" t="s">
        <v>373</v>
      </c>
      <c r="E3579" s="74">
        <v>42029</v>
      </c>
      <c r="F3579" s="55" t="s">
        <v>344</v>
      </c>
      <c r="G3579" s="55" t="s">
        <v>360</v>
      </c>
      <c r="H3579" s="55" t="s">
        <v>360</v>
      </c>
      <c r="I3579" s="55" t="s">
        <v>360</v>
      </c>
      <c r="J3579" s="55" t="s">
        <v>360</v>
      </c>
      <c r="K3579" s="55" t="s">
        <v>360</v>
      </c>
      <c r="L3579" s="55" t="s">
        <v>360</v>
      </c>
      <c r="M3579" s="55" t="s">
        <v>378</v>
      </c>
      <c r="N3579" s="55" t="s">
        <v>134</v>
      </c>
      <c r="O3579" s="55" t="s">
        <v>151</v>
      </c>
      <c r="P3579" s="55" t="s">
        <v>1778</v>
      </c>
      <c r="Q3579" s="55" t="s">
        <v>380</v>
      </c>
      <c r="R3579" s="85">
        <v>4</v>
      </c>
      <c r="S3579" s="55">
        <v>0</v>
      </c>
      <c r="T3579" s="74" t="s">
        <v>1220</v>
      </c>
      <c r="U3579" s="74" t="s">
        <v>351</v>
      </c>
      <c r="V3579" s="74">
        <v>44411</v>
      </c>
      <c r="W3579" s="74">
        <v>44445</v>
      </c>
      <c r="X3579" s="55">
        <v>10187365</v>
      </c>
      <c r="Y3579" s="55" t="s">
        <v>146</v>
      </c>
      <c r="AB3579" s="74" t="s">
        <v>146</v>
      </c>
      <c r="AC3579" s="55" t="s">
        <v>146</v>
      </c>
    </row>
    <row r="3580" spans="1:29" ht="13" x14ac:dyDescent="0.15">
      <c r="A3580" s="55" t="str">
        <f>HYPERLINK("http://reports.ofsted.gov.uk/inspection-reports/find-inspection-report/provider/CARE/SC486606","Ofsted Social Care Provider Webpage")</f>
        <v>Ofsted Social Care Provider Webpage</v>
      </c>
      <c r="B3580" s="55" t="s">
        <v>6603</v>
      </c>
      <c r="D3580" s="55" t="s">
        <v>373</v>
      </c>
      <c r="E3580" s="74">
        <v>42029</v>
      </c>
      <c r="F3580" s="55" t="s">
        <v>344</v>
      </c>
      <c r="G3580" s="55" t="s">
        <v>360</v>
      </c>
      <c r="H3580" s="55" t="s">
        <v>360</v>
      </c>
      <c r="I3580" s="55" t="s">
        <v>360</v>
      </c>
      <c r="J3580" s="55" t="s">
        <v>360</v>
      </c>
      <c r="K3580" s="55" t="s">
        <v>360</v>
      </c>
      <c r="L3580" s="55" t="s">
        <v>360</v>
      </c>
      <c r="M3580" s="55" t="s">
        <v>378</v>
      </c>
      <c r="N3580" s="55" t="s">
        <v>134</v>
      </c>
      <c r="O3580" s="55" t="s">
        <v>151</v>
      </c>
      <c r="P3580" s="55" t="s">
        <v>1778</v>
      </c>
      <c r="Q3580" s="55" t="s">
        <v>380</v>
      </c>
      <c r="R3580" s="85">
        <v>4</v>
      </c>
      <c r="S3580" s="55">
        <v>0</v>
      </c>
      <c r="T3580" s="74" t="s">
        <v>1220</v>
      </c>
      <c r="U3580" s="74" t="s">
        <v>351</v>
      </c>
      <c r="V3580" s="74">
        <v>44517</v>
      </c>
      <c r="W3580" s="74">
        <v>44565</v>
      </c>
      <c r="X3580" s="55">
        <v>10206673</v>
      </c>
      <c r="Y3580" s="55" t="s">
        <v>130</v>
      </c>
      <c r="AB3580" s="74" t="s">
        <v>130</v>
      </c>
      <c r="AC3580" s="55" t="s">
        <v>146</v>
      </c>
    </row>
    <row r="3581" spans="1:29" ht="13" x14ac:dyDescent="0.15">
      <c r="A3581" s="55" t="str">
        <f>HYPERLINK("http://reports.ofsted.gov.uk/inspection-reports/find-inspection-report/provider/CARE/SC486879","Ofsted Social Care Provider Webpage")</f>
        <v>Ofsted Social Care Provider Webpage</v>
      </c>
      <c r="B3581" s="55" t="s">
        <v>6610</v>
      </c>
      <c r="D3581" s="55" t="s">
        <v>373</v>
      </c>
      <c r="E3581" s="74">
        <v>42206</v>
      </c>
      <c r="F3581" s="55" t="s">
        <v>344</v>
      </c>
      <c r="G3581" s="55" t="s">
        <v>360</v>
      </c>
      <c r="H3581" s="55" t="s">
        <v>360</v>
      </c>
      <c r="I3581" s="55" t="s">
        <v>360</v>
      </c>
      <c r="J3581" s="55" t="s">
        <v>360</v>
      </c>
      <c r="K3581" s="55" t="s">
        <v>360</v>
      </c>
      <c r="L3581" s="55" t="s">
        <v>360</v>
      </c>
      <c r="M3581" s="55" t="s">
        <v>150</v>
      </c>
      <c r="N3581" s="55" t="s">
        <v>150</v>
      </c>
      <c r="O3581" s="55" t="s">
        <v>181</v>
      </c>
      <c r="P3581" s="55" t="s">
        <v>1142</v>
      </c>
      <c r="Q3581" s="55" t="s">
        <v>350</v>
      </c>
      <c r="R3581" s="85">
        <v>5</v>
      </c>
      <c r="S3581" s="55">
        <v>0</v>
      </c>
      <c r="T3581" s="74" t="s">
        <v>4900</v>
      </c>
      <c r="U3581" s="74" t="s">
        <v>351</v>
      </c>
      <c r="V3581" s="74">
        <v>44531</v>
      </c>
      <c r="W3581" s="74">
        <v>44594</v>
      </c>
      <c r="X3581" s="55">
        <v>10185801</v>
      </c>
      <c r="Y3581" s="55" t="s">
        <v>140</v>
      </c>
      <c r="AB3581" s="74" t="s">
        <v>140</v>
      </c>
      <c r="AC3581" s="55" t="s">
        <v>132</v>
      </c>
    </row>
    <row r="3582" spans="1:29" ht="13" x14ac:dyDescent="0.15">
      <c r="A3582" s="55" t="str">
        <f>HYPERLINK("http://reports.ofsted.gov.uk/inspection-reports/find-inspection-report/provider/CARE/SC487165","Ofsted Social Care Provider Webpage")</f>
        <v>Ofsted Social Care Provider Webpage</v>
      </c>
      <c r="B3582" s="55" t="s">
        <v>6616</v>
      </c>
      <c r="D3582" s="55" t="s">
        <v>373</v>
      </c>
      <c r="E3582" s="74">
        <v>42093</v>
      </c>
      <c r="F3582" s="55" t="s">
        <v>344</v>
      </c>
      <c r="G3582" s="55" t="s">
        <v>360</v>
      </c>
      <c r="H3582" s="55" t="s">
        <v>360</v>
      </c>
      <c r="I3582" s="55" t="s">
        <v>360</v>
      </c>
      <c r="J3582" s="55" t="s">
        <v>360</v>
      </c>
      <c r="K3582" s="55" t="s">
        <v>360</v>
      </c>
      <c r="L3582" s="55" t="s">
        <v>360</v>
      </c>
      <c r="M3582" s="55" t="s">
        <v>150</v>
      </c>
      <c r="N3582" s="55" t="s">
        <v>150</v>
      </c>
      <c r="O3582" s="55" t="s">
        <v>190</v>
      </c>
      <c r="P3582" s="55" t="s">
        <v>897</v>
      </c>
      <c r="Q3582" s="55" t="s">
        <v>350</v>
      </c>
      <c r="R3582" s="85">
        <v>2</v>
      </c>
      <c r="S3582" s="55">
        <v>0</v>
      </c>
      <c r="T3582" s="74" t="s">
        <v>911</v>
      </c>
      <c r="U3582" s="74" t="s">
        <v>351</v>
      </c>
      <c r="V3582" s="74">
        <v>44530</v>
      </c>
      <c r="W3582" s="74">
        <v>44606</v>
      </c>
      <c r="X3582" s="55">
        <v>10187270</v>
      </c>
      <c r="Y3582" s="55" t="s">
        <v>132</v>
      </c>
      <c r="AB3582" s="74" t="s">
        <v>132</v>
      </c>
      <c r="AC3582" s="55" t="s">
        <v>132</v>
      </c>
    </row>
    <row r="3583" spans="1:29" ht="13" x14ac:dyDescent="0.15">
      <c r="A3583" s="55" t="str">
        <f>HYPERLINK("http://reports.ofsted.gov.uk/inspection-reports/find-inspection-report/provider/CARE/SC487196","Ofsted Social Care Provider Webpage")</f>
        <v>Ofsted Social Care Provider Webpage</v>
      </c>
      <c r="B3583" s="55" t="s">
        <v>6765</v>
      </c>
      <c r="D3583" s="55" t="s">
        <v>373</v>
      </c>
      <c r="E3583" s="74">
        <v>42110</v>
      </c>
      <c r="F3583" s="55" t="s">
        <v>6707</v>
      </c>
      <c r="G3583" s="55" t="s">
        <v>360</v>
      </c>
      <c r="H3583" s="55" t="s">
        <v>360</v>
      </c>
      <c r="I3583" s="55" t="s">
        <v>360</v>
      </c>
      <c r="J3583" s="55" t="s">
        <v>360</v>
      </c>
      <c r="K3583" s="55" t="s">
        <v>360</v>
      </c>
      <c r="L3583" s="55" t="s">
        <v>360</v>
      </c>
      <c r="M3583" s="55" t="s">
        <v>150</v>
      </c>
      <c r="N3583" s="55" t="s">
        <v>150</v>
      </c>
      <c r="O3583" s="55" t="s">
        <v>285</v>
      </c>
      <c r="P3583" s="55" t="s">
        <v>2738</v>
      </c>
      <c r="Q3583" s="55" t="s">
        <v>350</v>
      </c>
      <c r="R3583" s="85">
        <v>5</v>
      </c>
      <c r="S3583" s="55">
        <v>0</v>
      </c>
      <c r="T3583" s="74" t="s">
        <v>3586</v>
      </c>
      <c r="U3583" s="74" t="s">
        <v>351</v>
      </c>
      <c r="V3583" s="74">
        <v>44411</v>
      </c>
      <c r="W3583" s="74">
        <v>44463</v>
      </c>
      <c r="X3583" s="55">
        <v>10186735</v>
      </c>
      <c r="Y3583" s="55" t="s">
        <v>146</v>
      </c>
      <c r="AB3583" s="74" t="s">
        <v>146</v>
      </c>
      <c r="AC3583" s="55" t="s">
        <v>146</v>
      </c>
    </row>
    <row r="3584" spans="1:29" ht="13" x14ac:dyDescent="0.15">
      <c r="A3584" s="55" t="str">
        <f>HYPERLINK("http://reports.ofsted.gov.uk/inspection-reports/find-inspection-report/provider/CARE/SC487488","Ofsted Social Care Provider Webpage")</f>
        <v>Ofsted Social Care Provider Webpage</v>
      </c>
      <c r="B3584" s="55" t="s">
        <v>6617</v>
      </c>
      <c r="D3584" s="55" t="s">
        <v>373</v>
      </c>
      <c r="E3584" s="74">
        <v>42136</v>
      </c>
      <c r="F3584" s="55" t="s">
        <v>344</v>
      </c>
      <c r="G3584" s="55" t="s">
        <v>360</v>
      </c>
      <c r="H3584" s="55" t="s">
        <v>360</v>
      </c>
      <c r="I3584" s="55" t="s">
        <v>360</v>
      </c>
      <c r="J3584" s="55" t="s">
        <v>360</v>
      </c>
      <c r="K3584" s="55" t="s">
        <v>360</v>
      </c>
      <c r="L3584" s="55" t="s">
        <v>360</v>
      </c>
      <c r="M3584" s="55" t="s">
        <v>144</v>
      </c>
      <c r="N3584" s="55" t="s">
        <v>144</v>
      </c>
      <c r="O3584" s="55" t="s">
        <v>188</v>
      </c>
      <c r="P3584" s="55" t="s">
        <v>188</v>
      </c>
      <c r="Q3584" s="55" t="s">
        <v>350</v>
      </c>
      <c r="R3584" s="85">
        <v>1</v>
      </c>
      <c r="S3584" s="55">
        <v>0</v>
      </c>
      <c r="T3584" s="74" t="s">
        <v>1363</v>
      </c>
      <c r="U3584" s="74" t="s">
        <v>351</v>
      </c>
      <c r="V3584" s="74">
        <v>44539</v>
      </c>
      <c r="W3584" s="74">
        <v>44588</v>
      </c>
      <c r="X3584" s="55">
        <v>10187510</v>
      </c>
      <c r="Y3584" s="55" t="s">
        <v>132</v>
      </c>
      <c r="AB3584" s="74" t="s">
        <v>132</v>
      </c>
      <c r="AC3584" s="55" t="s">
        <v>132</v>
      </c>
    </row>
    <row r="3585" spans="1:29" ht="13" x14ac:dyDescent="0.15">
      <c r="A3585" s="55" t="str">
        <f>HYPERLINK("http://reports.ofsted.gov.uk/inspection-reports/find-inspection-report/provider/CARE/SC487549","Ofsted Social Care Provider Webpage")</f>
        <v>Ofsted Social Care Provider Webpage</v>
      </c>
      <c r="B3585" s="55" t="s">
        <v>6618</v>
      </c>
      <c r="D3585" s="55" t="s">
        <v>373</v>
      </c>
      <c r="E3585" s="74">
        <v>42167</v>
      </c>
      <c r="F3585" s="55" t="s">
        <v>344</v>
      </c>
      <c r="G3585" s="55" t="s">
        <v>360</v>
      </c>
      <c r="H3585" s="55" t="s">
        <v>360</v>
      </c>
      <c r="I3585" s="55" t="s">
        <v>360</v>
      </c>
      <c r="J3585" s="55" t="s">
        <v>360</v>
      </c>
      <c r="K3585" s="55" t="s">
        <v>360</v>
      </c>
      <c r="L3585" s="55" t="s">
        <v>360</v>
      </c>
      <c r="M3585" s="55" t="s">
        <v>144</v>
      </c>
      <c r="N3585" s="55" t="s">
        <v>144</v>
      </c>
      <c r="O3585" s="55" t="s">
        <v>168</v>
      </c>
      <c r="P3585" s="55" t="s">
        <v>913</v>
      </c>
      <c r="Q3585" s="55" t="s">
        <v>350</v>
      </c>
      <c r="R3585" s="85">
        <v>4</v>
      </c>
      <c r="S3585" s="55">
        <v>0</v>
      </c>
      <c r="T3585" s="74" t="s">
        <v>915</v>
      </c>
      <c r="U3585" s="74" t="s">
        <v>351</v>
      </c>
      <c r="V3585" s="74">
        <v>44425</v>
      </c>
      <c r="W3585" s="74">
        <v>44462</v>
      </c>
      <c r="X3585" s="55">
        <v>10187062</v>
      </c>
      <c r="Y3585" s="55" t="s">
        <v>132</v>
      </c>
      <c r="AB3585" s="74" t="s">
        <v>132</v>
      </c>
      <c r="AC3585" s="55" t="s">
        <v>130</v>
      </c>
    </row>
    <row r="3586" spans="1:29" ht="13" x14ac:dyDescent="0.15">
      <c r="A3586" s="55" t="str">
        <f>HYPERLINK("http://reports.ofsted.gov.uk/inspection-reports/find-inspection-report/provider/CARE/SC487702","Ofsted Social Care Provider Webpage")</f>
        <v>Ofsted Social Care Provider Webpage</v>
      </c>
      <c r="B3586" s="55" t="s">
        <v>6619</v>
      </c>
      <c r="D3586" s="55" t="s">
        <v>373</v>
      </c>
      <c r="E3586" s="74">
        <v>42275</v>
      </c>
      <c r="F3586" s="55" t="s">
        <v>344</v>
      </c>
      <c r="G3586" s="55" t="s">
        <v>360</v>
      </c>
      <c r="H3586" s="55" t="s">
        <v>360</v>
      </c>
      <c r="I3586" s="55" t="s">
        <v>360</v>
      </c>
      <c r="J3586" s="55" t="s">
        <v>360</v>
      </c>
      <c r="K3586" s="55" t="s">
        <v>360</v>
      </c>
      <c r="L3586" s="55" t="s">
        <v>360</v>
      </c>
      <c r="M3586" s="55" t="s">
        <v>138</v>
      </c>
      <c r="N3586" s="55" t="s">
        <v>138</v>
      </c>
      <c r="O3586" s="55" t="s">
        <v>266</v>
      </c>
      <c r="P3586" s="55" t="s">
        <v>449</v>
      </c>
      <c r="Q3586" s="55" t="s">
        <v>350</v>
      </c>
      <c r="R3586" s="85">
        <v>3</v>
      </c>
      <c r="S3586" s="55">
        <v>0</v>
      </c>
      <c r="T3586" s="74" t="s">
        <v>1799</v>
      </c>
      <c r="U3586" s="74" t="s">
        <v>351</v>
      </c>
      <c r="V3586" s="74">
        <v>44390</v>
      </c>
      <c r="W3586" s="74">
        <v>44410</v>
      </c>
      <c r="X3586" s="55">
        <v>10186611</v>
      </c>
      <c r="Y3586" s="55" t="s">
        <v>132</v>
      </c>
      <c r="AB3586" s="74" t="s">
        <v>132</v>
      </c>
      <c r="AC3586" s="55" t="s">
        <v>132</v>
      </c>
    </row>
    <row r="3587" spans="1:29" ht="13" x14ac:dyDescent="0.15">
      <c r="A3587" s="55" t="str">
        <f>HYPERLINK("http://reports.ofsted.gov.uk/inspection-reports/find-inspection-report/provider/CARE/SC487764","Ofsted Social Care Provider Webpage")</f>
        <v>Ofsted Social Care Provider Webpage</v>
      </c>
      <c r="B3587" s="55" t="s">
        <v>6620</v>
      </c>
      <c r="D3587" s="55" t="s">
        <v>373</v>
      </c>
      <c r="E3587" s="74">
        <v>42270</v>
      </c>
      <c r="F3587" s="55" t="s">
        <v>344</v>
      </c>
      <c r="G3587" s="55" t="s">
        <v>360</v>
      </c>
      <c r="H3587" s="55" t="s">
        <v>360</v>
      </c>
      <c r="I3587" s="55" t="s">
        <v>360</v>
      </c>
      <c r="J3587" s="55" t="s">
        <v>360</v>
      </c>
      <c r="K3587" s="55" t="s">
        <v>360</v>
      </c>
      <c r="L3587" s="55" t="s">
        <v>360</v>
      </c>
      <c r="M3587" s="55" t="s">
        <v>142</v>
      </c>
      <c r="N3587" s="55" t="s">
        <v>142</v>
      </c>
      <c r="O3587" s="55" t="s">
        <v>262</v>
      </c>
      <c r="P3587" s="55" t="s">
        <v>850</v>
      </c>
      <c r="Q3587" s="55" t="s">
        <v>350</v>
      </c>
      <c r="R3587" s="85">
        <v>2</v>
      </c>
      <c r="S3587" s="55">
        <v>0</v>
      </c>
      <c r="T3587" s="74" t="s">
        <v>1216</v>
      </c>
      <c r="U3587" s="74" t="s">
        <v>351</v>
      </c>
      <c r="V3587" s="74">
        <v>44419</v>
      </c>
      <c r="W3587" s="74">
        <v>44462</v>
      </c>
      <c r="X3587" s="55">
        <v>10187417</v>
      </c>
      <c r="Y3587" s="55" t="s">
        <v>130</v>
      </c>
      <c r="AB3587" s="74" t="s">
        <v>130</v>
      </c>
      <c r="AC3587" s="55" t="s">
        <v>130</v>
      </c>
    </row>
    <row r="3588" spans="1:29" ht="13" x14ac:dyDescent="0.15">
      <c r="A3588" s="55" t="str">
        <f>HYPERLINK("http://reports.ofsted.gov.uk/inspection-reports/find-inspection-report/provider/CARE/SC487945","Ofsted Social Care Provider Webpage")</f>
        <v>Ofsted Social Care Provider Webpage</v>
      </c>
      <c r="B3588" s="55" t="s">
        <v>6622</v>
      </c>
      <c r="D3588" s="55" t="s">
        <v>389</v>
      </c>
      <c r="E3588" s="74">
        <v>42184</v>
      </c>
      <c r="F3588" s="55" t="s">
        <v>344</v>
      </c>
      <c r="G3588" s="55" t="s">
        <v>6623</v>
      </c>
      <c r="H3588" s="55" t="s">
        <v>6624</v>
      </c>
      <c r="I3588" s="55" t="s">
        <v>6625</v>
      </c>
      <c r="J3588" s="55" t="s">
        <v>6626</v>
      </c>
      <c r="K3588" s="55" t="s">
        <v>252</v>
      </c>
      <c r="L3588" s="55" t="s">
        <v>6627</v>
      </c>
      <c r="M3588" s="55" t="s">
        <v>142</v>
      </c>
      <c r="N3588" s="55" t="s">
        <v>142</v>
      </c>
      <c r="O3588" s="55" t="s">
        <v>252</v>
      </c>
      <c r="P3588" s="55" t="s">
        <v>388</v>
      </c>
      <c r="Q3588" s="55" t="s">
        <v>350</v>
      </c>
      <c r="S3588" s="55">
        <v>0</v>
      </c>
      <c r="T3588" s="74" t="s">
        <v>6628</v>
      </c>
      <c r="U3588" s="74" t="s">
        <v>2053</v>
      </c>
      <c r="V3588" s="74">
        <v>44504</v>
      </c>
      <c r="W3588" s="74">
        <v>44539</v>
      </c>
      <c r="X3588" s="55">
        <v>10213481</v>
      </c>
    </row>
    <row r="3589" spans="1:29" ht="13" x14ac:dyDescent="0.15">
      <c r="A3589" s="55" t="str">
        <f>HYPERLINK("http://reports.ofsted.gov.uk/inspection-reports/find-inspection-report/provider/CARE/SC488112","Ofsted Social Care Provider Webpage")</f>
        <v>Ofsted Social Care Provider Webpage</v>
      </c>
      <c r="B3589" s="55" t="s">
        <v>6629</v>
      </c>
      <c r="D3589" s="55" t="s">
        <v>373</v>
      </c>
      <c r="E3589" s="74">
        <v>42065</v>
      </c>
      <c r="F3589" s="55" t="s">
        <v>344</v>
      </c>
      <c r="G3589" s="55" t="s">
        <v>360</v>
      </c>
      <c r="H3589" s="55" t="s">
        <v>360</v>
      </c>
      <c r="I3589" s="55" t="s">
        <v>360</v>
      </c>
      <c r="J3589" s="55" t="s">
        <v>360</v>
      </c>
      <c r="K3589" s="55" t="s">
        <v>360</v>
      </c>
      <c r="L3589" s="55" t="s">
        <v>360</v>
      </c>
      <c r="M3589" s="55" t="s">
        <v>378</v>
      </c>
      <c r="N3589" s="55" t="s">
        <v>170</v>
      </c>
      <c r="O3589" s="55" t="s">
        <v>193</v>
      </c>
      <c r="P3589" s="55" t="s">
        <v>193</v>
      </c>
      <c r="Q3589" s="55" t="s">
        <v>350</v>
      </c>
      <c r="R3589" s="85">
        <v>4</v>
      </c>
      <c r="S3589" s="55">
        <v>0</v>
      </c>
      <c r="T3589" s="74" t="s">
        <v>1297</v>
      </c>
      <c r="U3589" s="74" t="s">
        <v>351</v>
      </c>
      <c r="V3589" s="74">
        <v>44385</v>
      </c>
      <c r="W3589" s="74">
        <v>44420</v>
      </c>
      <c r="X3589" s="55">
        <v>10186528</v>
      </c>
      <c r="Y3589" s="55" t="s">
        <v>132</v>
      </c>
      <c r="AB3589" s="74" t="s">
        <v>132</v>
      </c>
      <c r="AC3589" s="55" t="s">
        <v>132</v>
      </c>
    </row>
    <row r="3590" spans="1:29" ht="13" x14ac:dyDescent="0.15">
      <c r="A3590" s="55" t="str">
        <f>HYPERLINK("http://reports.ofsted.gov.uk/inspection-reports/find-inspection-report/provider/CARE/SC488223","Ofsted Social Care Provider Webpage")</f>
        <v>Ofsted Social Care Provider Webpage</v>
      </c>
      <c r="B3590" s="55" t="s">
        <v>6630</v>
      </c>
      <c r="D3590" s="55" t="s">
        <v>373</v>
      </c>
      <c r="E3590" s="74">
        <v>42110</v>
      </c>
      <c r="F3590" s="55" t="s">
        <v>344</v>
      </c>
      <c r="G3590" s="55" t="s">
        <v>360</v>
      </c>
      <c r="H3590" s="55" t="s">
        <v>360</v>
      </c>
      <c r="I3590" s="55" t="s">
        <v>360</v>
      </c>
      <c r="J3590" s="55" t="s">
        <v>360</v>
      </c>
      <c r="K3590" s="55" t="s">
        <v>360</v>
      </c>
      <c r="L3590" s="55" t="s">
        <v>360</v>
      </c>
      <c r="M3590" s="55" t="s">
        <v>378</v>
      </c>
      <c r="N3590" s="55" t="s">
        <v>134</v>
      </c>
      <c r="O3590" s="55" t="s">
        <v>246</v>
      </c>
      <c r="P3590" s="55" t="s">
        <v>1104</v>
      </c>
      <c r="Q3590" s="55" t="s">
        <v>350</v>
      </c>
      <c r="R3590" s="85">
        <v>3</v>
      </c>
      <c r="S3590" s="55">
        <v>0</v>
      </c>
      <c r="T3590" s="74" t="s">
        <v>517</v>
      </c>
      <c r="U3590" s="74" t="s">
        <v>351</v>
      </c>
      <c r="V3590" s="74">
        <v>44607</v>
      </c>
      <c r="W3590" s="74">
        <v>44650</v>
      </c>
      <c r="X3590" s="55">
        <v>10186240</v>
      </c>
      <c r="Y3590" s="55" t="s">
        <v>132</v>
      </c>
      <c r="AB3590" s="74" t="s">
        <v>132</v>
      </c>
      <c r="AC3590" s="55" t="s">
        <v>132</v>
      </c>
    </row>
    <row r="3591" spans="1:29" ht="13" x14ac:dyDescent="0.15">
      <c r="A3591" s="55" t="str">
        <f>HYPERLINK("http://reports.ofsted.gov.uk/inspection-reports/find-inspection-report/provider/CARE/SC488290","Ofsted Social Care Provider Webpage")</f>
        <v>Ofsted Social Care Provider Webpage</v>
      </c>
      <c r="B3591" s="55" t="s">
        <v>6631</v>
      </c>
      <c r="D3591" s="55" t="s">
        <v>389</v>
      </c>
      <c r="E3591" s="74">
        <v>42192</v>
      </c>
      <c r="F3591" s="55" t="s">
        <v>344</v>
      </c>
      <c r="G3591" s="55" t="s">
        <v>6632</v>
      </c>
      <c r="H3591" s="55" t="s">
        <v>6633</v>
      </c>
      <c r="I3591" s="55" t="s">
        <v>6634</v>
      </c>
      <c r="J3591" s="55" t="s">
        <v>2249</v>
      </c>
      <c r="L3591" s="55" t="s">
        <v>6635</v>
      </c>
      <c r="M3591" s="55" t="s">
        <v>144</v>
      </c>
      <c r="N3591" s="55" t="s">
        <v>144</v>
      </c>
      <c r="O3591" s="55" t="s">
        <v>209</v>
      </c>
      <c r="P3591" s="55" t="s">
        <v>650</v>
      </c>
      <c r="Q3591" s="55" t="s">
        <v>350</v>
      </c>
      <c r="S3591" s="55">
        <v>0</v>
      </c>
      <c r="T3591" s="74" t="s">
        <v>6632</v>
      </c>
      <c r="U3591" s="74" t="s">
        <v>351</v>
      </c>
      <c r="V3591" s="74">
        <v>44361</v>
      </c>
      <c r="W3591" s="74">
        <v>44399</v>
      </c>
      <c r="X3591" s="55">
        <v>10183287</v>
      </c>
      <c r="Y3591" s="55" t="s">
        <v>132</v>
      </c>
      <c r="AB3591" s="74" t="s">
        <v>132</v>
      </c>
      <c r="AC3591" s="55" t="s">
        <v>130</v>
      </c>
    </row>
    <row r="3592" spans="1:29" ht="13" x14ac:dyDescent="0.15">
      <c r="A3592" s="55" t="str">
        <f>HYPERLINK("http://reports.ofsted.gov.uk/inspection-reports/find-inspection-report/provider/CARE/SC488439","Ofsted Social Care Provider Webpage")</f>
        <v>Ofsted Social Care Provider Webpage</v>
      </c>
      <c r="B3592" s="55" t="s">
        <v>6636</v>
      </c>
      <c r="D3592" s="55" t="s">
        <v>373</v>
      </c>
      <c r="E3592" s="74">
        <v>42062</v>
      </c>
      <c r="F3592" s="55" t="s">
        <v>344</v>
      </c>
      <c r="G3592" s="55" t="s">
        <v>360</v>
      </c>
      <c r="H3592" s="55" t="s">
        <v>360</v>
      </c>
      <c r="I3592" s="55" t="s">
        <v>360</v>
      </c>
      <c r="J3592" s="55" t="s">
        <v>360</v>
      </c>
      <c r="K3592" s="55" t="s">
        <v>360</v>
      </c>
      <c r="L3592" s="55" t="s">
        <v>360</v>
      </c>
      <c r="M3592" s="55" t="s">
        <v>142</v>
      </c>
      <c r="N3592" s="55" t="s">
        <v>142</v>
      </c>
      <c r="O3592" s="55" t="s">
        <v>252</v>
      </c>
      <c r="P3592" s="55" t="s">
        <v>503</v>
      </c>
      <c r="Q3592" s="55" t="s">
        <v>350</v>
      </c>
      <c r="R3592" s="85">
        <v>3</v>
      </c>
      <c r="S3592" s="55">
        <v>0</v>
      </c>
      <c r="T3592" s="74" t="s">
        <v>1365</v>
      </c>
      <c r="U3592" s="74" t="s">
        <v>351</v>
      </c>
      <c r="V3592" s="74">
        <v>44420</v>
      </c>
      <c r="W3592" s="74">
        <v>44456</v>
      </c>
      <c r="X3592" s="55">
        <v>10187283</v>
      </c>
      <c r="Y3592" s="55" t="s">
        <v>132</v>
      </c>
      <c r="AB3592" s="74" t="s">
        <v>132</v>
      </c>
      <c r="AC3592" s="55" t="s">
        <v>130</v>
      </c>
    </row>
    <row r="3593" spans="1:29" ht="13" x14ac:dyDescent="0.15">
      <c r="A3593" s="55" t="str">
        <f>HYPERLINK("http://reports.ofsted.gov.uk/inspection-reports/find-inspection-report/provider/CARE/SC488596","Ofsted Social Care Provider Webpage")</f>
        <v>Ofsted Social Care Provider Webpage</v>
      </c>
      <c r="B3593" s="55" t="s">
        <v>6637</v>
      </c>
      <c r="D3593" s="55" t="s">
        <v>373</v>
      </c>
      <c r="E3593" s="74">
        <v>42109</v>
      </c>
      <c r="F3593" s="55" t="s">
        <v>344</v>
      </c>
      <c r="G3593" s="55" t="s">
        <v>360</v>
      </c>
      <c r="H3593" s="55" t="s">
        <v>360</v>
      </c>
      <c r="I3593" s="55" t="s">
        <v>360</v>
      </c>
      <c r="J3593" s="55" t="s">
        <v>360</v>
      </c>
      <c r="K3593" s="55" t="s">
        <v>360</v>
      </c>
      <c r="L3593" s="55" t="s">
        <v>360</v>
      </c>
      <c r="M3593" s="55" t="s">
        <v>172</v>
      </c>
      <c r="N3593" s="55" t="s">
        <v>172</v>
      </c>
      <c r="O3593" s="55" t="s">
        <v>171</v>
      </c>
      <c r="P3593" s="55" t="s">
        <v>983</v>
      </c>
      <c r="Q3593" s="55" t="s">
        <v>380</v>
      </c>
      <c r="R3593" s="85">
        <v>5</v>
      </c>
      <c r="S3593" s="55">
        <v>0</v>
      </c>
      <c r="T3593" s="74" t="s">
        <v>3360</v>
      </c>
      <c r="U3593" s="74" t="s">
        <v>351</v>
      </c>
      <c r="V3593" s="74">
        <v>44453</v>
      </c>
      <c r="W3593" s="74">
        <v>44481</v>
      </c>
      <c r="X3593" s="55">
        <v>10207320</v>
      </c>
      <c r="Y3593" s="55" t="s">
        <v>130</v>
      </c>
      <c r="AB3593" s="74" t="s">
        <v>130</v>
      </c>
      <c r="AC3593" s="55" t="s">
        <v>130</v>
      </c>
    </row>
    <row r="3594" spans="1:29" ht="13" x14ac:dyDescent="0.15">
      <c r="A3594" s="55" t="str">
        <f>HYPERLINK("http://reports.ofsted.gov.uk/inspection-reports/find-inspection-report/provider/CARE/SC488596","Ofsted Social Care Provider Webpage")</f>
        <v>Ofsted Social Care Provider Webpage</v>
      </c>
      <c r="B3594" s="55" t="s">
        <v>6637</v>
      </c>
      <c r="D3594" s="55" t="s">
        <v>373</v>
      </c>
      <c r="E3594" s="74">
        <v>42109</v>
      </c>
      <c r="F3594" s="55" t="s">
        <v>344</v>
      </c>
      <c r="G3594" s="55" t="s">
        <v>360</v>
      </c>
      <c r="H3594" s="55" t="s">
        <v>360</v>
      </c>
      <c r="I3594" s="55" t="s">
        <v>360</v>
      </c>
      <c r="J3594" s="55" t="s">
        <v>360</v>
      </c>
      <c r="K3594" s="55" t="s">
        <v>360</v>
      </c>
      <c r="L3594" s="55" t="s">
        <v>360</v>
      </c>
      <c r="M3594" s="55" t="s">
        <v>172</v>
      </c>
      <c r="N3594" s="55" t="s">
        <v>172</v>
      </c>
      <c r="O3594" s="55" t="s">
        <v>171</v>
      </c>
      <c r="P3594" s="55" t="s">
        <v>983</v>
      </c>
      <c r="Q3594" s="55" t="s">
        <v>380</v>
      </c>
      <c r="R3594" s="85">
        <v>5</v>
      </c>
      <c r="S3594" s="55">
        <v>0</v>
      </c>
      <c r="T3594" s="74" t="s">
        <v>3360</v>
      </c>
      <c r="U3594" s="74" t="s">
        <v>351</v>
      </c>
      <c r="V3594" s="74">
        <v>44369</v>
      </c>
      <c r="W3594" s="74">
        <v>44407</v>
      </c>
      <c r="X3594" s="55">
        <v>10186947</v>
      </c>
      <c r="Y3594" s="55" t="s">
        <v>146</v>
      </c>
      <c r="AB3594" s="74" t="s">
        <v>146</v>
      </c>
      <c r="AC3594" s="55" t="s">
        <v>146</v>
      </c>
    </row>
    <row r="3595" spans="1:29" ht="13" x14ac:dyDescent="0.15">
      <c r="A3595" s="55" t="str">
        <f>HYPERLINK("http://reports.ofsted.gov.uk/inspection-reports/find-inspection-report/provider/CARE/SC488596","Ofsted Social Care Provider Webpage")</f>
        <v>Ofsted Social Care Provider Webpage</v>
      </c>
      <c r="B3595" s="55" t="s">
        <v>6637</v>
      </c>
      <c r="D3595" s="55" t="s">
        <v>373</v>
      </c>
      <c r="E3595" s="74">
        <v>42109</v>
      </c>
      <c r="F3595" s="55" t="s">
        <v>344</v>
      </c>
      <c r="G3595" s="55" t="s">
        <v>360</v>
      </c>
      <c r="H3595" s="55" t="s">
        <v>360</v>
      </c>
      <c r="I3595" s="55" t="s">
        <v>360</v>
      </c>
      <c r="J3595" s="55" t="s">
        <v>360</v>
      </c>
      <c r="K3595" s="55" t="s">
        <v>360</v>
      </c>
      <c r="L3595" s="55" t="s">
        <v>360</v>
      </c>
      <c r="M3595" s="55" t="s">
        <v>172</v>
      </c>
      <c r="N3595" s="55" t="s">
        <v>172</v>
      </c>
      <c r="O3595" s="55" t="s">
        <v>171</v>
      </c>
      <c r="P3595" s="55" t="s">
        <v>983</v>
      </c>
      <c r="Q3595" s="55" t="s">
        <v>380</v>
      </c>
      <c r="R3595" s="85">
        <v>5</v>
      </c>
      <c r="S3595" s="55">
        <v>0</v>
      </c>
      <c r="T3595" s="74" t="s">
        <v>3360</v>
      </c>
      <c r="U3595" s="74" t="s">
        <v>351</v>
      </c>
      <c r="V3595" s="74">
        <v>44412</v>
      </c>
      <c r="W3595" s="74">
        <v>44449</v>
      </c>
      <c r="X3595" s="55">
        <v>10199104</v>
      </c>
      <c r="Y3595" s="55" t="s">
        <v>146</v>
      </c>
      <c r="AB3595" s="74" t="s">
        <v>146</v>
      </c>
      <c r="AC3595" s="55" t="s">
        <v>146</v>
      </c>
    </row>
    <row r="3596" spans="1:29" ht="13" x14ac:dyDescent="0.15">
      <c r="A3596" s="55" t="str">
        <f>HYPERLINK("http://reports.ofsted.gov.uk/inspection-reports/find-inspection-report/provider/CARE/SC488596","Ofsted Social Care Provider Webpage")</f>
        <v>Ofsted Social Care Provider Webpage</v>
      </c>
      <c r="B3596" s="55" t="s">
        <v>6637</v>
      </c>
      <c r="D3596" s="55" t="s">
        <v>373</v>
      </c>
      <c r="E3596" s="74">
        <v>42109</v>
      </c>
      <c r="F3596" s="55" t="s">
        <v>344</v>
      </c>
      <c r="G3596" s="55" t="s">
        <v>360</v>
      </c>
      <c r="H3596" s="55" t="s">
        <v>360</v>
      </c>
      <c r="I3596" s="55" t="s">
        <v>360</v>
      </c>
      <c r="J3596" s="55" t="s">
        <v>360</v>
      </c>
      <c r="K3596" s="55" t="s">
        <v>360</v>
      </c>
      <c r="L3596" s="55" t="s">
        <v>360</v>
      </c>
      <c r="M3596" s="55" t="s">
        <v>172</v>
      </c>
      <c r="N3596" s="55" t="s">
        <v>172</v>
      </c>
      <c r="O3596" s="55" t="s">
        <v>171</v>
      </c>
      <c r="P3596" s="55" t="s">
        <v>983</v>
      </c>
      <c r="Q3596" s="55" t="s">
        <v>380</v>
      </c>
      <c r="R3596" s="85">
        <v>5</v>
      </c>
      <c r="S3596" s="55">
        <v>0</v>
      </c>
      <c r="T3596" s="74" t="s">
        <v>3360</v>
      </c>
      <c r="U3596" s="74" t="s">
        <v>6703</v>
      </c>
      <c r="V3596" s="74">
        <v>44531</v>
      </c>
      <c r="W3596" s="74">
        <v>44572</v>
      </c>
      <c r="X3596" s="55">
        <v>10214363</v>
      </c>
      <c r="Y3596" s="55" t="s">
        <v>6706</v>
      </c>
    </row>
    <row r="3597" spans="1:29" ht="13" x14ac:dyDescent="0.15">
      <c r="A3597" s="55" t="str">
        <f>HYPERLINK("http://reports.ofsted.gov.uk/inspection-reports/find-inspection-report/provider/CARE/SC488679","Ofsted Social Care Provider Webpage")</f>
        <v>Ofsted Social Care Provider Webpage</v>
      </c>
      <c r="B3597" s="55" t="s">
        <v>6638</v>
      </c>
      <c r="D3597" s="55" t="s">
        <v>373</v>
      </c>
      <c r="E3597" s="74">
        <v>42104</v>
      </c>
      <c r="F3597" s="55" t="s">
        <v>344</v>
      </c>
      <c r="G3597" s="55" t="s">
        <v>360</v>
      </c>
      <c r="H3597" s="55" t="s">
        <v>360</v>
      </c>
      <c r="I3597" s="55" t="s">
        <v>360</v>
      </c>
      <c r="J3597" s="55" t="s">
        <v>360</v>
      </c>
      <c r="K3597" s="55" t="s">
        <v>360</v>
      </c>
      <c r="L3597" s="55" t="s">
        <v>360</v>
      </c>
      <c r="M3597" s="55" t="s">
        <v>378</v>
      </c>
      <c r="N3597" s="55" t="s">
        <v>134</v>
      </c>
      <c r="O3597" s="55" t="s">
        <v>210</v>
      </c>
      <c r="P3597" s="55" t="s">
        <v>1250</v>
      </c>
      <c r="Q3597" s="55" t="s">
        <v>380</v>
      </c>
      <c r="R3597" s="85">
        <v>4</v>
      </c>
      <c r="S3597" s="55">
        <v>0</v>
      </c>
      <c r="T3597" s="74" t="s">
        <v>543</v>
      </c>
      <c r="U3597" s="74" t="s">
        <v>351</v>
      </c>
      <c r="V3597" s="74">
        <v>44516</v>
      </c>
      <c r="W3597" s="74">
        <v>44559</v>
      </c>
      <c r="X3597" s="55">
        <v>10187366</v>
      </c>
      <c r="Y3597" s="55" t="s">
        <v>132</v>
      </c>
      <c r="AB3597" s="74" t="s">
        <v>132</v>
      </c>
      <c r="AC3597" s="55" t="s">
        <v>130</v>
      </c>
    </row>
    <row r="3598" spans="1:29" ht="13" x14ac:dyDescent="0.15">
      <c r="A3598" s="55" t="str">
        <f>HYPERLINK("http://reports.ofsted.gov.uk/inspection-reports/find-inspection-report/provider/CARE/SC488788","Ofsted Social Care Provider Webpage")</f>
        <v>Ofsted Social Care Provider Webpage</v>
      </c>
      <c r="B3598" s="55" t="s">
        <v>6639</v>
      </c>
      <c r="D3598" s="55" t="s">
        <v>389</v>
      </c>
      <c r="E3598" s="74">
        <v>42128</v>
      </c>
      <c r="F3598" s="55" t="s">
        <v>344</v>
      </c>
      <c r="G3598" s="55" t="s">
        <v>6640</v>
      </c>
      <c r="H3598" s="55" t="s">
        <v>6641</v>
      </c>
      <c r="I3598" s="55" t="s">
        <v>354</v>
      </c>
      <c r="J3598" s="55" t="s">
        <v>129</v>
      </c>
      <c r="L3598" s="55" t="s">
        <v>6642</v>
      </c>
      <c r="M3598" s="55" t="s">
        <v>129</v>
      </c>
      <c r="N3598" s="55" t="s">
        <v>129</v>
      </c>
      <c r="O3598" s="55" t="s">
        <v>191</v>
      </c>
      <c r="P3598" s="55" t="s">
        <v>2985</v>
      </c>
      <c r="Q3598" s="55" t="s">
        <v>350</v>
      </c>
      <c r="S3598" s="55">
        <v>0</v>
      </c>
      <c r="T3598" s="74" t="s">
        <v>6640</v>
      </c>
      <c r="U3598" s="74" t="s">
        <v>351</v>
      </c>
      <c r="V3598" s="74">
        <v>44571</v>
      </c>
      <c r="W3598" s="74">
        <v>44628</v>
      </c>
      <c r="X3598" s="55">
        <v>10183407</v>
      </c>
      <c r="Y3598" s="55" t="s">
        <v>140</v>
      </c>
      <c r="AB3598" s="74" t="s">
        <v>132</v>
      </c>
      <c r="AC3598" s="55" t="s">
        <v>140</v>
      </c>
    </row>
    <row r="3599" spans="1:29" ht="13" x14ac:dyDescent="0.15">
      <c r="A3599" s="55" t="str">
        <f>HYPERLINK("http://reports.ofsted.gov.uk/inspection-reports/find-inspection-report/provider/CARE/SC488930","Ofsted Social Care Provider Webpage")</f>
        <v>Ofsted Social Care Provider Webpage</v>
      </c>
      <c r="B3599" s="55" t="s">
        <v>6643</v>
      </c>
      <c r="D3599" s="55" t="s">
        <v>373</v>
      </c>
      <c r="E3599" s="74">
        <v>42213</v>
      </c>
      <c r="F3599" s="55" t="s">
        <v>344</v>
      </c>
      <c r="G3599" s="55" t="s">
        <v>360</v>
      </c>
      <c r="H3599" s="55" t="s">
        <v>360</v>
      </c>
      <c r="I3599" s="55" t="s">
        <v>360</v>
      </c>
      <c r="J3599" s="55" t="s">
        <v>360</v>
      </c>
      <c r="K3599" s="55" t="s">
        <v>360</v>
      </c>
      <c r="L3599" s="55" t="s">
        <v>360</v>
      </c>
      <c r="M3599" s="55" t="s">
        <v>172</v>
      </c>
      <c r="N3599" s="55" t="s">
        <v>172</v>
      </c>
      <c r="O3599" s="55" t="s">
        <v>211</v>
      </c>
      <c r="P3599" s="55" t="s">
        <v>1343</v>
      </c>
      <c r="Q3599" s="55" t="s">
        <v>350</v>
      </c>
      <c r="R3599" s="85">
        <v>6</v>
      </c>
      <c r="S3599" s="55">
        <v>0</v>
      </c>
      <c r="T3599" s="74" t="s">
        <v>6644</v>
      </c>
      <c r="U3599" s="74" t="s">
        <v>351</v>
      </c>
      <c r="V3599" s="74">
        <v>44495</v>
      </c>
      <c r="W3599" s="74">
        <v>44547</v>
      </c>
      <c r="X3599" s="55">
        <v>10187311</v>
      </c>
      <c r="Y3599" s="55" t="s">
        <v>132</v>
      </c>
      <c r="AB3599" s="74" t="s">
        <v>132</v>
      </c>
      <c r="AC3599" s="55" t="s">
        <v>132</v>
      </c>
    </row>
    <row r="3600" spans="1:29" ht="13" x14ac:dyDescent="0.15">
      <c r="A3600" s="55" t="str">
        <f>HYPERLINK("http://reports.ofsted.gov.uk/inspection-reports/find-inspection-report/provider/CARE/SC488943","Ofsted Social Care Provider Webpage")</f>
        <v>Ofsted Social Care Provider Webpage</v>
      </c>
      <c r="B3600" s="55" t="s">
        <v>6645</v>
      </c>
      <c r="D3600" s="55" t="s">
        <v>373</v>
      </c>
      <c r="E3600" s="74">
        <v>42207</v>
      </c>
      <c r="F3600" s="55" t="s">
        <v>344</v>
      </c>
      <c r="G3600" s="55" t="s">
        <v>360</v>
      </c>
      <c r="H3600" s="55" t="s">
        <v>360</v>
      </c>
      <c r="I3600" s="55" t="s">
        <v>360</v>
      </c>
      <c r="J3600" s="55" t="s">
        <v>360</v>
      </c>
      <c r="K3600" s="55" t="s">
        <v>360</v>
      </c>
      <c r="L3600" s="55" t="s">
        <v>360</v>
      </c>
      <c r="M3600" s="55" t="s">
        <v>142</v>
      </c>
      <c r="N3600" s="55" t="s">
        <v>142</v>
      </c>
      <c r="O3600" s="55" t="s">
        <v>262</v>
      </c>
      <c r="P3600" s="55" t="s">
        <v>916</v>
      </c>
      <c r="Q3600" s="55" t="s">
        <v>350</v>
      </c>
      <c r="R3600" s="85">
        <v>4</v>
      </c>
      <c r="S3600" s="55">
        <v>0</v>
      </c>
      <c r="T3600" s="74" t="s">
        <v>917</v>
      </c>
      <c r="U3600" s="74" t="s">
        <v>351</v>
      </c>
      <c r="V3600" s="74">
        <v>44613</v>
      </c>
      <c r="W3600" s="74">
        <v>44655</v>
      </c>
      <c r="X3600" s="55">
        <v>10185233</v>
      </c>
      <c r="Y3600" s="55" t="s">
        <v>132</v>
      </c>
      <c r="AB3600" s="74" t="s">
        <v>132</v>
      </c>
      <c r="AC3600" s="55" t="s">
        <v>132</v>
      </c>
    </row>
    <row r="3601" spans="1:29" ht="13" x14ac:dyDescent="0.15">
      <c r="A3601" s="55" t="str">
        <f>HYPERLINK("http://reports.ofsted.gov.uk/inspection-reports/find-inspection-report/provider/CARE/SC488961","Ofsted Social Care Provider Webpage")</f>
        <v>Ofsted Social Care Provider Webpage</v>
      </c>
      <c r="B3601" s="55" t="s">
        <v>6646</v>
      </c>
      <c r="D3601" s="55" t="s">
        <v>373</v>
      </c>
      <c r="E3601" s="74">
        <v>42447</v>
      </c>
      <c r="F3601" s="55" t="s">
        <v>344</v>
      </c>
      <c r="G3601" s="55" t="s">
        <v>360</v>
      </c>
      <c r="H3601" s="55" t="s">
        <v>360</v>
      </c>
      <c r="I3601" s="55" t="s">
        <v>360</v>
      </c>
      <c r="J3601" s="55" t="s">
        <v>360</v>
      </c>
      <c r="K3601" s="55" t="s">
        <v>360</v>
      </c>
      <c r="L3601" s="55" t="s">
        <v>360</v>
      </c>
      <c r="M3601" s="55" t="s">
        <v>172</v>
      </c>
      <c r="N3601" s="55" t="s">
        <v>172</v>
      </c>
      <c r="O3601" s="55" t="s">
        <v>235</v>
      </c>
      <c r="P3601" s="55" t="s">
        <v>948</v>
      </c>
      <c r="Q3601" s="55" t="s">
        <v>350</v>
      </c>
      <c r="R3601" s="85">
        <v>5</v>
      </c>
      <c r="S3601" s="55">
        <v>0</v>
      </c>
      <c r="T3601" s="74" t="s">
        <v>6644</v>
      </c>
      <c r="U3601" s="74" t="s">
        <v>351</v>
      </c>
      <c r="V3601" s="74">
        <v>44516</v>
      </c>
      <c r="W3601" s="74">
        <v>44547</v>
      </c>
      <c r="X3601" s="55">
        <v>10185590</v>
      </c>
      <c r="Y3601" s="55" t="s">
        <v>132</v>
      </c>
      <c r="AB3601" s="74" t="s">
        <v>132</v>
      </c>
      <c r="AC3601" s="55" t="s">
        <v>132</v>
      </c>
    </row>
    <row r="3602" spans="1:29" ht="13" x14ac:dyDescent="0.15">
      <c r="A3602" s="55" t="str">
        <f>HYPERLINK("http://reports.ofsted.gov.uk/inspection-reports/find-inspection-report/provider/CARE/SC489036","Ofsted Social Care Provider Webpage")</f>
        <v>Ofsted Social Care Provider Webpage</v>
      </c>
      <c r="B3602" s="55" t="s">
        <v>6654</v>
      </c>
      <c r="D3602" s="55" t="s">
        <v>373</v>
      </c>
      <c r="E3602" s="74">
        <v>42250</v>
      </c>
      <c r="F3602" s="55" t="s">
        <v>344</v>
      </c>
      <c r="G3602" s="55" t="s">
        <v>360</v>
      </c>
      <c r="H3602" s="55" t="s">
        <v>360</v>
      </c>
      <c r="I3602" s="55" t="s">
        <v>360</v>
      </c>
      <c r="J3602" s="55" t="s">
        <v>360</v>
      </c>
      <c r="K3602" s="55" t="s">
        <v>360</v>
      </c>
      <c r="L3602" s="55" t="s">
        <v>360</v>
      </c>
      <c r="M3602" s="55" t="s">
        <v>172</v>
      </c>
      <c r="N3602" s="55" t="s">
        <v>172</v>
      </c>
      <c r="O3602" s="55" t="s">
        <v>212</v>
      </c>
      <c r="P3602" s="55" t="s">
        <v>592</v>
      </c>
      <c r="Q3602" s="55" t="s">
        <v>350</v>
      </c>
      <c r="R3602" s="85">
        <v>4</v>
      </c>
      <c r="S3602" s="55">
        <v>0</v>
      </c>
      <c r="T3602" s="74" t="s">
        <v>6644</v>
      </c>
      <c r="U3602" s="74" t="s">
        <v>351</v>
      </c>
      <c r="V3602" s="74">
        <v>44327</v>
      </c>
      <c r="W3602" s="74">
        <v>44357</v>
      </c>
      <c r="X3602" s="55">
        <v>10187321</v>
      </c>
      <c r="Y3602" s="55" t="s">
        <v>130</v>
      </c>
      <c r="AB3602" s="74" t="s">
        <v>130</v>
      </c>
      <c r="AC3602" s="55" t="s">
        <v>130</v>
      </c>
    </row>
    <row r="3603" spans="1:29" ht="13" x14ac:dyDescent="0.15">
      <c r="A3603" s="55" t="str">
        <f>HYPERLINK("http://reports.ofsted.gov.uk/inspection-reports/find-inspection-report/provider/CARE/SC489036","Ofsted Social Care Provider Webpage")</f>
        <v>Ofsted Social Care Provider Webpage</v>
      </c>
      <c r="B3603" s="55" t="s">
        <v>6654</v>
      </c>
      <c r="D3603" s="55" t="s">
        <v>373</v>
      </c>
      <c r="E3603" s="74">
        <v>42250</v>
      </c>
      <c r="F3603" s="55" t="s">
        <v>344</v>
      </c>
      <c r="G3603" s="55" t="s">
        <v>360</v>
      </c>
      <c r="H3603" s="55" t="s">
        <v>360</v>
      </c>
      <c r="I3603" s="55" t="s">
        <v>360</v>
      </c>
      <c r="J3603" s="55" t="s">
        <v>360</v>
      </c>
      <c r="K3603" s="55" t="s">
        <v>360</v>
      </c>
      <c r="L3603" s="55" t="s">
        <v>360</v>
      </c>
      <c r="M3603" s="55" t="s">
        <v>172</v>
      </c>
      <c r="N3603" s="55" t="s">
        <v>172</v>
      </c>
      <c r="O3603" s="55" t="s">
        <v>212</v>
      </c>
      <c r="P3603" s="55" t="s">
        <v>592</v>
      </c>
      <c r="Q3603" s="55" t="s">
        <v>350</v>
      </c>
      <c r="R3603" s="85">
        <v>4</v>
      </c>
      <c r="S3603" s="55">
        <v>0</v>
      </c>
      <c r="T3603" s="74" t="s">
        <v>6644</v>
      </c>
      <c r="U3603" s="74" t="s">
        <v>6703</v>
      </c>
      <c r="V3603" s="74">
        <v>44627</v>
      </c>
      <c r="W3603" s="74">
        <v>44662</v>
      </c>
      <c r="X3603" s="55">
        <v>10213722</v>
      </c>
      <c r="Y3603" s="55" t="s">
        <v>6706</v>
      </c>
    </row>
    <row r="3604" spans="1:29" ht="13" x14ac:dyDescent="0.15">
      <c r="A3604" s="55" t="str">
        <f>HYPERLINK("http://reports.ofsted.gov.uk/inspection-reports/find-inspection-report/provider/CARE/SC489212","Ofsted Social Care Provider Webpage")</f>
        <v>Ofsted Social Care Provider Webpage</v>
      </c>
      <c r="B3604" s="55" t="s">
        <v>6657</v>
      </c>
      <c r="D3604" s="55" t="s">
        <v>479</v>
      </c>
      <c r="E3604" s="74">
        <v>42192</v>
      </c>
      <c r="F3604" s="55" t="s">
        <v>344</v>
      </c>
      <c r="G3604" s="55" t="s">
        <v>360</v>
      </c>
      <c r="H3604" s="55" t="s">
        <v>360</v>
      </c>
      <c r="I3604" s="55" t="s">
        <v>360</v>
      </c>
      <c r="J3604" s="55" t="s">
        <v>360</v>
      </c>
      <c r="K3604" s="55" t="s">
        <v>360</v>
      </c>
      <c r="L3604" s="55" t="s">
        <v>360</v>
      </c>
      <c r="M3604" s="55" t="s">
        <v>150</v>
      </c>
      <c r="N3604" s="55" t="s">
        <v>150</v>
      </c>
      <c r="O3604" s="55" t="s">
        <v>237</v>
      </c>
      <c r="P3604" s="55" t="s">
        <v>404</v>
      </c>
      <c r="Q3604" s="55" t="s">
        <v>350</v>
      </c>
      <c r="R3604" s="85">
        <v>12</v>
      </c>
      <c r="S3604" s="55">
        <v>0</v>
      </c>
      <c r="T3604" s="74" t="s">
        <v>6658</v>
      </c>
      <c r="U3604" s="74" t="s">
        <v>2053</v>
      </c>
      <c r="V3604" s="74">
        <v>44616</v>
      </c>
      <c r="W3604" s="74">
        <v>44678</v>
      </c>
      <c r="X3604" s="55">
        <v>10226687</v>
      </c>
    </row>
    <row r="3605" spans="1:29" ht="13" x14ac:dyDescent="0.15">
      <c r="A3605" s="55" t="str">
        <f>HYPERLINK("http://reports.ofsted.gov.uk/inspection-reports/find-inspection-report/provider/CARE/SC489212","Ofsted Social Care Provider Webpage")</f>
        <v>Ofsted Social Care Provider Webpage</v>
      </c>
      <c r="B3605" s="55" t="s">
        <v>6657</v>
      </c>
      <c r="D3605" s="55" t="s">
        <v>479</v>
      </c>
      <c r="E3605" s="74">
        <v>42192</v>
      </c>
      <c r="F3605" s="55" t="s">
        <v>344</v>
      </c>
      <c r="G3605" s="55" t="s">
        <v>360</v>
      </c>
      <c r="H3605" s="55" t="s">
        <v>360</v>
      </c>
      <c r="I3605" s="55" t="s">
        <v>360</v>
      </c>
      <c r="J3605" s="55" t="s">
        <v>360</v>
      </c>
      <c r="K3605" s="55" t="s">
        <v>360</v>
      </c>
      <c r="L3605" s="55" t="s">
        <v>360</v>
      </c>
      <c r="M3605" s="55" t="s">
        <v>150</v>
      </c>
      <c r="N3605" s="55" t="s">
        <v>150</v>
      </c>
      <c r="O3605" s="55" t="s">
        <v>237</v>
      </c>
      <c r="P3605" s="55" t="s">
        <v>404</v>
      </c>
      <c r="Q3605" s="55" t="s">
        <v>350</v>
      </c>
      <c r="R3605" s="85">
        <v>12</v>
      </c>
      <c r="S3605" s="55">
        <v>0</v>
      </c>
      <c r="T3605" s="74" t="s">
        <v>6658</v>
      </c>
      <c r="U3605" s="74" t="s">
        <v>351</v>
      </c>
      <c r="V3605" s="74">
        <v>44460</v>
      </c>
      <c r="W3605" s="74">
        <v>44510</v>
      </c>
      <c r="X3605" s="55">
        <v>10185666</v>
      </c>
      <c r="Y3605" s="55" t="s">
        <v>132</v>
      </c>
      <c r="AB3605" s="74" t="s">
        <v>132</v>
      </c>
      <c r="AC3605" s="55" t="s">
        <v>132</v>
      </c>
    </row>
    <row r="3606" spans="1:29" ht="13" x14ac:dyDescent="0.15">
      <c r="A3606" s="55" t="str">
        <f>HYPERLINK("http://reports.ofsted.gov.uk/inspection-reports/find-inspection-report/provider/CARE/SC489223","Ofsted Social Care Provider Webpage")</f>
        <v>Ofsted Social Care Provider Webpage</v>
      </c>
      <c r="B3606" s="55" t="s">
        <v>6659</v>
      </c>
      <c r="D3606" s="55" t="s">
        <v>373</v>
      </c>
      <c r="E3606" s="74">
        <v>42398</v>
      </c>
      <c r="F3606" s="55" t="s">
        <v>344</v>
      </c>
      <c r="G3606" s="55" t="s">
        <v>360</v>
      </c>
      <c r="H3606" s="55" t="s">
        <v>360</v>
      </c>
      <c r="I3606" s="55" t="s">
        <v>360</v>
      </c>
      <c r="J3606" s="55" t="s">
        <v>360</v>
      </c>
      <c r="K3606" s="55" t="s">
        <v>360</v>
      </c>
      <c r="L3606" s="55" t="s">
        <v>360</v>
      </c>
      <c r="M3606" s="55" t="s">
        <v>136</v>
      </c>
      <c r="N3606" s="55" t="s">
        <v>136</v>
      </c>
      <c r="O3606" s="55" t="s">
        <v>255</v>
      </c>
      <c r="P3606" s="55" t="s">
        <v>583</v>
      </c>
      <c r="Q3606" s="55" t="s">
        <v>350</v>
      </c>
      <c r="R3606" s="85">
        <v>2</v>
      </c>
      <c r="S3606" s="55">
        <v>0</v>
      </c>
      <c r="T3606" s="74" t="s">
        <v>793</v>
      </c>
      <c r="U3606" s="74" t="s">
        <v>351</v>
      </c>
      <c r="V3606" s="74">
        <v>44503</v>
      </c>
      <c r="W3606" s="74">
        <v>44559</v>
      </c>
      <c r="X3606" s="55">
        <v>10185431</v>
      </c>
      <c r="Y3606" s="55" t="s">
        <v>130</v>
      </c>
      <c r="AB3606" s="74" t="s">
        <v>130</v>
      </c>
      <c r="AC3606" s="55" t="s">
        <v>130</v>
      </c>
    </row>
    <row r="3607" spans="1:29" ht="13" x14ac:dyDescent="0.15">
      <c r="A3607" s="55" t="str">
        <f>HYPERLINK("http://reports.ofsted.gov.uk/inspection-reports/find-inspection-report/provider/CARE/SC489226","Ofsted Social Care Provider Webpage")</f>
        <v>Ofsted Social Care Provider Webpage</v>
      </c>
      <c r="B3607" s="55" t="s">
        <v>6660</v>
      </c>
      <c r="D3607" s="55" t="s">
        <v>373</v>
      </c>
      <c r="E3607" s="74">
        <v>42368</v>
      </c>
      <c r="F3607" s="55" t="s">
        <v>344</v>
      </c>
      <c r="G3607" s="55" t="s">
        <v>360</v>
      </c>
      <c r="H3607" s="55" t="s">
        <v>360</v>
      </c>
      <c r="I3607" s="55" t="s">
        <v>360</v>
      </c>
      <c r="J3607" s="55" t="s">
        <v>360</v>
      </c>
      <c r="K3607" s="55" t="s">
        <v>360</v>
      </c>
      <c r="L3607" s="55" t="s">
        <v>360</v>
      </c>
      <c r="M3607" s="55" t="s">
        <v>378</v>
      </c>
      <c r="N3607" s="55" t="s">
        <v>134</v>
      </c>
      <c r="O3607" s="55" t="s">
        <v>206</v>
      </c>
      <c r="P3607" s="55" t="s">
        <v>710</v>
      </c>
      <c r="Q3607" s="55" t="s">
        <v>350</v>
      </c>
      <c r="R3607" s="85">
        <v>5</v>
      </c>
      <c r="S3607" s="55">
        <v>0</v>
      </c>
      <c r="T3607" s="74" t="s">
        <v>6661</v>
      </c>
      <c r="U3607" s="74" t="s">
        <v>351</v>
      </c>
      <c r="V3607" s="74">
        <v>44333</v>
      </c>
      <c r="W3607" s="74">
        <v>44372</v>
      </c>
      <c r="X3607" s="55">
        <v>10185003</v>
      </c>
      <c r="Y3607" s="55" t="s">
        <v>140</v>
      </c>
      <c r="AB3607" s="74" t="s">
        <v>140</v>
      </c>
      <c r="AC3607" s="55" t="s">
        <v>140</v>
      </c>
    </row>
    <row r="3608" spans="1:29" ht="13" x14ac:dyDescent="0.15">
      <c r="A3608" s="55" t="str">
        <f>HYPERLINK("http://reports.ofsted.gov.uk/inspection-reports/find-inspection-report/provider/CARE/SC489416","Ofsted Social Care Provider Webpage")</f>
        <v>Ofsted Social Care Provider Webpage</v>
      </c>
      <c r="B3608" s="55" t="s">
        <v>6662</v>
      </c>
      <c r="D3608" s="55" t="s">
        <v>373</v>
      </c>
      <c r="E3608" s="74">
        <v>42228</v>
      </c>
      <c r="F3608" s="55" t="s">
        <v>344</v>
      </c>
      <c r="G3608" s="55" t="s">
        <v>360</v>
      </c>
      <c r="H3608" s="55" t="s">
        <v>360</v>
      </c>
      <c r="I3608" s="55" t="s">
        <v>360</v>
      </c>
      <c r="J3608" s="55" t="s">
        <v>360</v>
      </c>
      <c r="K3608" s="55" t="s">
        <v>360</v>
      </c>
      <c r="L3608" s="55" t="s">
        <v>360</v>
      </c>
      <c r="M3608" s="55" t="s">
        <v>144</v>
      </c>
      <c r="N3608" s="55" t="s">
        <v>144</v>
      </c>
      <c r="O3608" s="55" t="s">
        <v>209</v>
      </c>
      <c r="P3608" s="55" t="s">
        <v>629</v>
      </c>
      <c r="Q3608" s="55" t="s">
        <v>350</v>
      </c>
      <c r="R3608" s="85">
        <v>4</v>
      </c>
      <c r="S3608" s="55">
        <v>0</v>
      </c>
      <c r="T3608" s="74" t="s">
        <v>377</v>
      </c>
      <c r="U3608" s="74" t="s">
        <v>351</v>
      </c>
      <c r="V3608" s="74">
        <v>44601</v>
      </c>
      <c r="W3608" s="74">
        <v>44648</v>
      </c>
      <c r="X3608" s="55">
        <v>10185179</v>
      </c>
      <c r="Y3608" s="55" t="s">
        <v>140</v>
      </c>
      <c r="AB3608" s="74" t="s">
        <v>140</v>
      </c>
      <c r="AC3608" s="55" t="s">
        <v>140</v>
      </c>
    </row>
    <row r="3609" spans="1:29" ht="13" x14ac:dyDescent="0.15">
      <c r="A3609" s="55" t="str">
        <f>HYPERLINK("http://reports.ofsted.gov.uk/inspection-reports/find-inspection-report/provider/CARE/SC489516","Ofsted Social Care Provider Webpage")</f>
        <v>Ofsted Social Care Provider Webpage</v>
      </c>
      <c r="B3609" s="55" t="s">
        <v>6663</v>
      </c>
      <c r="D3609" s="55" t="s">
        <v>373</v>
      </c>
      <c r="E3609" s="74">
        <v>42151</v>
      </c>
      <c r="F3609" s="55" t="s">
        <v>344</v>
      </c>
      <c r="G3609" s="55" t="s">
        <v>360</v>
      </c>
      <c r="H3609" s="55" t="s">
        <v>360</v>
      </c>
      <c r="I3609" s="55" t="s">
        <v>360</v>
      </c>
      <c r="J3609" s="55" t="s">
        <v>360</v>
      </c>
      <c r="K3609" s="55" t="s">
        <v>360</v>
      </c>
      <c r="L3609" s="55" t="s">
        <v>360</v>
      </c>
      <c r="M3609" s="55" t="s">
        <v>172</v>
      </c>
      <c r="N3609" s="55" t="s">
        <v>172</v>
      </c>
      <c r="O3609" s="55" t="s">
        <v>284</v>
      </c>
      <c r="P3609" s="55" t="s">
        <v>357</v>
      </c>
      <c r="Q3609" s="55" t="s">
        <v>350</v>
      </c>
      <c r="R3609" s="85">
        <v>2</v>
      </c>
      <c r="S3609" s="55">
        <v>0</v>
      </c>
      <c r="T3609" s="74" t="s">
        <v>517</v>
      </c>
      <c r="U3609" s="74" t="s">
        <v>351</v>
      </c>
      <c r="V3609" s="74">
        <v>44369</v>
      </c>
      <c r="W3609" s="74">
        <v>44410</v>
      </c>
      <c r="X3609" s="55">
        <v>10186207</v>
      </c>
      <c r="Y3609" s="55" t="s">
        <v>132</v>
      </c>
      <c r="AB3609" s="74" t="s">
        <v>132</v>
      </c>
      <c r="AC3609" s="55" t="s">
        <v>140</v>
      </c>
    </row>
    <row r="3610" spans="1:29" ht="13" x14ac:dyDescent="0.15">
      <c r="A3610" s="55" t="str">
        <f>HYPERLINK("http://reports.ofsted.gov.uk/inspection-reports/find-inspection-report/provider/CARE/SC489594","Ofsted Social Care Provider Webpage")</f>
        <v>Ofsted Social Care Provider Webpage</v>
      </c>
      <c r="B3610" s="55" t="s">
        <v>6670</v>
      </c>
      <c r="D3610" s="55" t="s">
        <v>389</v>
      </c>
      <c r="E3610" s="74">
        <v>42193</v>
      </c>
      <c r="F3610" s="55" t="s">
        <v>344</v>
      </c>
      <c r="G3610" s="55" t="s">
        <v>6671</v>
      </c>
      <c r="H3610" s="55" t="s">
        <v>6672</v>
      </c>
      <c r="I3610" s="55" t="s">
        <v>354</v>
      </c>
      <c r="J3610" s="55" t="s">
        <v>6673</v>
      </c>
      <c r="K3610" s="55" t="s">
        <v>168</v>
      </c>
      <c r="L3610" s="55" t="s">
        <v>6674</v>
      </c>
      <c r="M3610" s="55" t="s">
        <v>144</v>
      </c>
      <c r="N3610" s="55" t="s">
        <v>144</v>
      </c>
      <c r="O3610" s="55" t="s">
        <v>168</v>
      </c>
      <c r="P3610" s="55" t="s">
        <v>3199</v>
      </c>
      <c r="Q3610" s="55" t="s">
        <v>350</v>
      </c>
      <c r="S3610" s="55">
        <v>0</v>
      </c>
      <c r="T3610" s="74" t="s">
        <v>6675</v>
      </c>
      <c r="U3610" s="74" t="s">
        <v>351</v>
      </c>
      <c r="V3610" s="74">
        <v>44571</v>
      </c>
      <c r="W3610" s="74">
        <v>44603</v>
      </c>
      <c r="X3610" s="55">
        <v>10183394</v>
      </c>
      <c r="Y3610" s="55" t="s">
        <v>132</v>
      </c>
      <c r="AB3610" s="74" t="s">
        <v>132</v>
      </c>
      <c r="AC3610" s="55" t="s">
        <v>130</v>
      </c>
    </row>
    <row r="3611" spans="1:29" ht="13" x14ac:dyDescent="0.15">
      <c r="A3611" s="55" t="str">
        <f>HYPERLINK("http://reports.ofsted.gov.uk/inspection-reports/find-inspection-report/provider/CARE/SC489610","Ofsted Social Care Provider Webpage")</f>
        <v>Ofsted Social Care Provider Webpage</v>
      </c>
      <c r="B3611" s="55" t="s">
        <v>6676</v>
      </c>
      <c r="D3611" s="55" t="s">
        <v>373</v>
      </c>
      <c r="E3611" s="74">
        <v>42153</v>
      </c>
      <c r="F3611" s="55" t="s">
        <v>344</v>
      </c>
      <c r="G3611" s="55" t="s">
        <v>360</v>
      </c>
      <c r="H3611" s="55" t="s">
        <v>360</v>
      </c>
      <c r="I3611" s="55" t="s">
        <v>360</v>
      </c>
      <c r="J3611" s="55" t="s">
        <v>360</v>
      </c>
      <c r="K3611" s="55" t="s">
        <v>360</v>
      </c>
      <c r="L3611" s="55" t="s">
        <v>360</v>
      </c>
      <c r="M3611" s="55" t="s">
        <v>172</v>
      </c>
      <c r="N3611" s="55" t="s">
        <v>172</v>
      </c>
      <c r="O3611" s="55" t="s">
        <v>173</v>
      </c>
      <c r="P3611" s="55" t="s">
        <v>1069</v>
      </c>
      <c r="Q3611" s="55" t="s">
        <v>350</v>
      </c>
      <c r="R3611" s="85">
        <v>3</v>
      </c>
      <c r="S3611" s="55">
        <v>0</v>
      </c>
      <c r="T3611" s="74" t="s">
        <v>1370</v>
      </c>
      <c r="U3611" s="74" t="s">
        <v>351</v>
      </c>
      <c r="V3611" s="74">
        <v>44377</v>
      </c>
      <c r="W3611" s="74">
        <v>44405</v>
      </c>
      <c r="X3611" s="55">
        <v>10187127</v>
      </c>
      <c r="Y3611" s="55" t="s">
        <v>130</v>
      </c>
      <c r="AB3611" s="74" t="s">
        <v>130</v>
      </c>
      <c r="AC3611" s="55" t="s">
        <v>130</v>
      </c>
    </row>
    <row r="3612" spans="1:29" ht="13" x14ac:dyDescent="0.15">
      <c r="A3612" s="55" t="str">
        <f>HYPERLINK("http://reports.ofsted.gov.uk/inspection-reports/find-inspection-report/provider/CARE/SC489820","Ofsted Social Care Provider Webpage")</f>
        <v>Ofsted Social Care Provider Webpage</v>
      </c>
      <c r="B3612" s="55" t="s">
        <v>6677</v>
      </c>
      <c r="D3612" s="55" t="s">
        <v>373</v>
      </c>
      <c r="E3612" s="74">
        <v>42286</v>
      </c>
      <c r="F3612" s="55" t="s">
        <v>344</v>
      </c>
      <c r="G3612" s="55" t="s">
        <v>360</v>
      </c>
      <c r="H3612" s="55" t="s">
        <v>360</v>
      </c>
      <c r="I3612" s="55" t="s">
        <v>360</v>
      </c>
      <c r="J3612" s="55" t="s">
        <v>360</v>
      </c>
      <c r="K3612" s="55" t="s">
        <v>360</v>
      </c>
      <c r="L3612" s="55" t="s">
        <v>360</v>
      </c>
      <c r="M3612" s="55" t="s">
        <v>136</v>
      </c>
      <c r="N3612" s="55" t="s">
        <v>136</v>
      </c>
      <c r="O3612" s="55" t="s">
        <v>176</v>
      </c>
      <c r="P3612" s="55" t="s">
        <v>526</v>
      </c>
      <c r="Q3612" s="55" t="s">
        <v>350</v>
      </c>
      <c r="R3612" s="85">
        <v>4</v>
      </c>
      <c r="S3612" s="55">
        <v>0</v>
      </c>
      <c r="T3612" s="74" t="s">
        <v>527</v>
      </c>
      <c r="U3612" s="74" t="s">
        <v>351</v>
      </c>
      <c r="V3612" s="74">
        <v>44412</v>
      </c>
      <c r="W3612" s="74">
        <v>44484</v>
      </c>
      <c r="X3612" s="55">
        <v>10185127</v>
      </c>
      <c r="Y3612" s="55" t="s">
        <v>132</v>
      </c>
      <c r="AB3612" s="74" t="s">
        <v>132</v>
      </c>
      <c r="AC3612" s="55" t="s">
        <v>132</v>
      </c>
    </row>
    <row r="3613" spans="1:29" ht="13" x14ac:dyDescent="0.15">
      <c r="A3613" s="55" t="str">
        <f>HYPERLINK("http://reports.ofsted.gov.uk/inspection-reports/find-inspection-report/provider/CARE/SC489970","Ofsted Social Care Provider Webpage")</f>
        <v>Ofsted Social Care Provider Webpage</v>
      </c>
      <c r="B3613" s="55" t="s">
        <v>6678</v>
      </c>
      <c r="D3613" s="55" t="s">
        <v>373</v>
      </c>
      <c r="E3613" s="74">
        <v>42213</v>
      </c>
      <c r="F3613" s="55" t="s">
        <v>344</v>
      </c>
      <c r="G3613" s="55" t="s">
        <v>360</v>
      </c>
      <c r="H3613" s="55" t="s">
        <v>360</v>
      </c>
      <c r="I3613" s="55" t="s">
        <v>360</v>
      </c>
      <c r="J3613" s="55" t="s">
        <v>360</v>
      </c>
      <c r="K3613" s="55" t="s">
        <v>360</v>
      </c>
      <c r="L3613" s="55" t="s">
        <v>360</v>
      </c>
      <c r="M3613" s="55" t="s">
        <v>172</v>
      </c>
      <c r="N3613" s="55" t="s">
        <v>172</v>
      </c>
      <c r="O3613" s="55" t="s">
        <v>212</v>
      </c>
      <c r="P3613" s="55" t="s">
        <v>592</v>
      </c>
      <c r="Q3613" s="55" t="s">
        <v>350</v>
      </c>
      <c r="R3613" s="85">
        <v>4</v>
      </c>
      <c r="S3613" s="55">
        <v>0</v>
      </c>
      <c r="T3613" s="74" t="s">
        <v>6644</v>
      </c>
      <c r="U3613" s="74" t="s">
        <v>351</v>
      </c>
      <c r="V3613" s="74">
        <v>44530</v>
      </c>
      <c r="W3613" s="74">
        <v>44582</v>
      </c>
      <c r="X3613" s="55">
        <v>10187557</v>
      </c>
      <c r="Y3613" s="55" t="s">
        <v>130</v>
      </c>
      <c r="AB3613" s="74" t="s">
        <v>130</v>
      </c>
      <c r="AC3613" s="55" t="s">
        <v>130</v>
      </c>
    </row>
    <row r="3614" spans="1:29" ht="13" x14ac:dyDescent="0.15">
      <c r="A3614" s="55" t="str">
        <f>HYPERLINK("http://reports.ofsted.gov.uk/inspection-reports/find-inspection-report/provider/CARE/SC490122","Ofsted Social Care Provider Webpage")</f>
        <v>Ofsted Social Care Provider Webpage</v>
      </c>
      <c r="B3614" s="55" t="s">
        <v>6684</v>
      </c>
      <c r="C3614" s="55">
        <v>135791</v>
      </c>
      <c r="D3614" s="55" t="s">
        <v>413</v>
      </c>
      <c r="E3614" s="74">
        <v>42110</v>
      </c>
      <c r="F3614" s="55" t="s">
        <v>344</v>
      </c>
      <c r="G3614" s="55" t="s">
        <v>6685</v>
      </c>
      <c r="H3614" s="55" t="s">
        <v>6685</v>
      </c>
      <c r="I3614" s="55" t="s">
        <v>6686</v>
      </c>
      <c r="J3614" s="55" t="s">
        <v>6687</v>
      </c>
      <c r="K3614" s="55" t="s">
        <v>293</v>
      </c>
      <c r="L3614" s="55" t="s">
        <v>6688</v>
      </c>
      <c r="M3614" s="55" t="s">
        <v>142</v>
      </c>
      <c r="N3614" s="55" t="s">
        <v>142</v>
      </c>
      <c r="O3614" s="55" t="s">
        <v>293</v>
      </c>
      <c r="P3614" s="55" t="s">
        <v>1422</v>
      </c>
      <c r="Q3614" s="55" t="s">
        <v>380</v>
      </c>
      <c r="R3614" s="85">
        <v>16</v>
      </c>
      <c r="S3614" s="55">
        <v>0</v>
      </c>
      <c r="T3614" s="74" t="s">
        <v>2224</v>
      </c>
      <c r="U3614" s="74" t="s">
        <v>351</v>
      </c>
      <c r="V3614" s="74">
        <v>44480</v>
      </c>
      <c r="W3614" s="74">
        <v>44517</v>
      </c>
      <c r="X3614" s="55">
        <v>10183592</v>
      </c>
      <c r="Y3614" s="55" t="s">
        <v>132</v>
      </c>
      <c r="AB3614" s="74" t="s">
        <v>132</v>
      </c>
      <c r="AC3614" s="55" t="s">
        <v>132</v>
      </c>
    </row>
    <row r="3615" spans="1:29" ht="13" x14ac:dyDescent="0.15">
      <c r="A3615" s="55" t="str">
        <f>HYPERLINK("http://reports.ofsted.gov.uk/inspection-reports/find-inspection-report/provider/CARE/SC490364","Ofsted Social Care Provider Webpage")</f>
        <v>Ofsted Social Care Provider Webpage</v>
      </c>
      <c r="B3615" s="55" t="s">
        <v>6689</v>
      </c>
      <c r="D3615" s="55" t="s">
        <v>373</v>
      </c>
      <c r="E3615" s="74">
        <v>42286</v>
      </c>
      <c r="F3615" s="55" t="s">
        <v>344</v>
      </c>
      <c r="G3615" s="55" t="s">
        <v>360</v>
      </c>
      <c r="H3615" s="55" t="s">
        <v>360</v>
      </c>
      <c r="I3615" s="55" t="s">
        <v>360</v>
      </c>
      <c r="J3615" s="55" t="s">
        <v>360</v>
      </c>
      <c r="K3615" s="55" t="s">
        <v>360</v>
      </c>
      <c r="L3615" s="55" t="s">
        <v>360</v>
      </c>
      <c r="M3615" s="55" t="s">
        <v>172</v>
      </c>
      <c r="N3615" s="55" t="s">
        <v>172</v>
      </c>
      <c r="O3615" s="55" t="s">
        <v>173</v>
      </c>
      <c r="P3615" s="55" t="s">
        <v>1198</v>
      </c>
      <c r="Q3615" s="55" t="s">
        <v>350</v>
      </c>
      <c r="R3615" s="85">
        <v>4</v>
      </c>
      <c r="S3615" s="55">
        <v>0</v>
      </c>
      <c r="T3615" s="74" t="s">
        <v>861</v>
      </c>
      <c r="U3615" s="74" t="s">
        <v>351</v>
      </c>
      <c r="V3615" s="74">
        <v>44628</v>
      </c>
      <c r="W3615" s="74">
        <v>44670</v>
      </c>
      <c r="X3615" s="55">
        <v>10185420</v>
      </c>
      <c r="Y3615" s="55" t="s">
        <v>130</v>
      </c>
      <c r="AB3615" s="74" t="s">
        <v>130</v>
      </c>
      <c r="AC3615" s="55" t="s">
        <v>130</v>
      </c>
    </row>
    <row r="3616" spans="1:29" ht="13" x14ac:dyDescent="0.15">
      <c r="A3616" s="55" t="str">
        <f>HYPERLINK("http://reports.ofsted.gov.uk/inspection-reports/find-inspection-report/provider/CARE/SC490365","Ofsted Social Care Provider Webpage")</f>
        <v>Ofsted Social Care Provider Webpage</v>
      </c>
      <c r="B3616" s="55" t="s">
        <v>6690</v>
      </c>
      <c r="D3616" s="55" t="s">
        <v>373</v>
      </c>
      <c r="E3616" s="74">
        <v>42129</v>
      </c>
      <c r="F3616" s="55" t="s">
        <v>344</v>
      </c>
      <c r="G3616" s="55" t="s">
        <v>360</v>
      </c>
      <c r="H3616" s="55" t="s">
        <v>360</v>
      </c>
      <c r="I3616" s="55" t="s">
        <v>360</v>
      </c>
      <c r="J3616" s="55" t="s">
        <v>360</v>
      </c>
      <c r="K3616" s="55" t="s">
        <v>360</v>
      </c>
      <c r="L3616" s="55" t="s">
        <v>360</v>
      </c>
      <c r="M3616" s="55" t="s">
        <v>129</v>
      </c>
      <c r="N3616" s="55" t="s">
        <v>129</v>
      </c>
      <c r="O3616" s="55" t="s">
        <v>187</v>
      </c>
      <c r="P3616" s="55" t="s">
        <v>4155</v>
      </c>
      <c r="Q3616" s="55" t="s">
        <v>350</v>
      </c>
      <c r="R3616" s="85">
        <v>8</v>
      </c>
      <c r="S3616" s="55">
        <v>0</v>
      </c>
      <c r="T3616" s="74" t="s">
        <v>6691</v>
      </c>
      <c r="U3616" s="74" t="s">
        <v>351</v>
      </c>
      <c r="V3616" s="74">
        <v>44607</v>
      </c>
      <c r="W3616" s="74">
        <v>44651</v>
      </c>
      <c r="X3616" s="55">
        <v>10185218</v>
      </c>
      <c r="Y3616" s="55" t="s">
        <v>132</v>
      </c>
      <c r="AB3616" s="74" t="s">
        <v>132</v>
      </c>
      <c r="AC3616" s="55" t="s">
        <v>132</v>
      </c>
    </row>
  </sheetData>
  <pageMargins left="0.7" right="0.7" top="0.75" bottom="0.75" header="0.3" footer="0.3"/>
  <pageSetup paperSize="0" scale="26" fitToWidth="0" fitToHeight="0" orientation="landscape" horizontalDpi="0" verticalDpi="0" copies="0"/>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D8FBE9-F2C5-C14F-9E8E-C6545CFA5DFD}">
  <dimension ref="A1:T3930"/>
  <sheetViews>
    <sheetView workbookViewId="0"/>
  </sheetViews>
  <sheetFormatPr baseColWidth="10" defaultColWidth="12.796875" defaultRowHeight="12.75" x14ac:dyDescent="0.15"/>
  <cols>
    <col min="1" max="1" width="49.19921875" style="55" customWidth="1"/>
    <col min="2" max="2" width="13.3984375" style="55" bestFit="1" customWidth="1"/>
    <col min="3" max="3" width="32.3984375" style="55" customWidth="1"/>
    <col min="4" max="4" width="25" style="55" customWidth="1"/>
    <col min="5" max="5" width="27" style="55" customWidth="1"/>
    <col min="6" max="6" width="29.3984375" style="55" customWidth="1"/>
    <col min="7" max="7" width="18.796875" style="55" customWidth="1"/>
    <col min="8" max="8" width="17.3984375" style="55" customWidth="1"/>
    <col min="9" max="9" width="25" style="55" customWidth="1"/>
    <col min="10" max="10" width="25.19921875" style="55" customWidth="1"/>
    <col min="11" max="11" width="30.796875" style="55" customWidth="1"/>
    <col min="12" max="12" width="23" style="55" customWidth="1"/>
    <col min="13" max="13" width="22.3984375" style="55" customWidth="1"/>
    <col min="14" max="14" width="37.796875" style="55" customWidth="1"/>
    <col min="15" max="15" width="23.796875" style="55" customWidth="1"/>
    <col min="16" max="16" width="40" style="55" customWidth="1"/>
    <col min="17" max="17" width="13.19921875" style="77" customWidth="1"/>
    <col min="18" max="18" width="13.19921875" style="85" customWidth="1"/>
    <col min="19" max="19" width="25.796875" style="78" customWidth="1"/>
    <col min="20" max="20" width="28.3984375" style="55" customWidth="1"/>
    <col min="21" max="21" width="12.796875" style="55" customWidth="1"/>
    <col min="22" max="16384" width="12.796875" style="55"/>
  </cols>
  <sheetData>
    <row r="1" spans="1:20" ht="19" x14ac:dyDescent="0.2">
      <c r="A1" s="53" t="s">
        <v>6766</v>
      </c>
    </row>
    <row r="2" spans="1:20" ht="13" x14ac:dyDescent="0.15">
      <c r="A2" s="75" t="s">
        <v>6693</v>
      </c>
    </row>
    <row r="3" spans="1:20" ht="13" x14ac:dyDescent="0.15">
      <c r="A3" s="75" t="s">
        <v>6767</v>
      </c>
      <c r="H3" s="69"/>
    </row>
    <row r="4" spans="1:20" ht="28" x14ac:dyDescent="0.15">
      <c r="A4" s="71" t="s">
        <v>120</v>
      </c>
      <c r="B4" s="71" t="s">
        <v>316</v>
      </c>
      <c r="C4" s="71" t="s">
        <v>6768</v>
      </c>
      <c r="D4" s="71" t="s">
        <v>318</v>
      </c>
      <c r="E4" s="71" t="s">
        <v>319</v>
      </c>
      <c r="F4" s="71" t="s">
        <v>320</v>
      </c>
      <c r="G4" s="71" t="s">
        <v>321</v>
      </c>
      <c r="H4" s="71" t="s">
        <v>322</v>
      </c>
      <c r="I4" s="71" t="s">
        <v>323</v>
      </c>
      <c r="J4" s="71" t="s">
        <v>324</v>
      </c>
      <c r="K4" s="71" t="s">
        <v>325</v>
      </c>
      <c r="L4" s="71" t="s">
        <v>326</v>
      </c>
      <c r="M4" s="71" t="s">
        <v>6769</v>
      </c>
      <c r="N4" s="71" t="s">
        <v>327</v>
      </c>
      <c r="O4" s="71" t="s">
        <v>328</v>
      </c>
      <c r="P4" s="71" t="s">
        <v>329</v>
      </c>
      <c r="Q4" s="71" t="s">
        <v>330</v>
      </c>
      <c r="R4" s="86" t="s">
        <v>331</v>
      </c>
      <c r="S4" s="81" t="s">
        <v>332</v>
      </c>
      <c r="T4" s="71" t="s">
        <v>6770</v>
      </c>
    </row>
    <row r="5" spans="1:20" ht="13" x14ac:dyDescent="0.15">
      <c r="A5" s="72" t="str">
        <f t="shared" ref="A5:A68" si="0">HYPERLINK(_xlfn.CONCAT("http://reports.ofsted.gov.uk/inspection-reports/find-inspection-report/provider/CARE/",B5),"Ofsted Social Care Provider Webpage")</f>
        <v>Ofsted Social Care Provider Webpage</v>
      </c>
      <c r="B5" s="55">
        <v>1027077</v>
      </c>
      <c r="D5" s="55" t="s">
        <v>343</v>
      </c>
      <c r="E5" s="74">
        <v>41954</v>
      </c>
      <c r="F5" s="55" t="s">
        <v>344</v>
      </c>
      <c r="G5" s="55" t="s">
        <v>345</v>
      </c>
      <c r="H5" s="55" t="s">
        <v>346</v>
      </c>
      <c r="I5" s="55" t="s">
        <v>347</v>
      </c>
      <c r="J5" s="55" t="s">
        <v>221</v>
      </c>
      <c r="L5" s="55" t="s">
        <v>348</v>
      </c>
      <c r="M5" s="55" t="s">
        <v>150</v>
      </c>
      <c r="N5" s="55" t="s">
        <v>150</v>
      </c>
      <c r="O5" s="55" t="s">
        <v>221</v>
      </c>
      <c r="P5" s="55" t="s">
        <v>349</v>
      </c>
      <c r="Q5" s="55" t="s">
        <v>350</v>
      </c>
      <c r="R5" s="55"/>
      <c r="S5" s="55"/>
    </row>
    <row r="6" spans="1:20" ht="13" x14ac:dyDescent="0.15">
      <c r="A6" s="72" t="str">
        <f t="shared" si="0"/>
        <v>Ofsted Social Care Provider Webpage</v>
      </c>
      <c r="B6" s="55">
        <v>1027078</v>
      </c>
      <c r="D6" s="55" t="s">
        <v>343</v>
      </c>
      <c r="E6" s="74">
        <v>41954</v>
      </c>
      <c r="F6" s="55" t="s">
        <v>344</v>
      </c>
      <c r="G6" s="55" t="s">
        <v>352</v>
      </c>
      <c r="H6" s="55" t="s">
        <v>353</v>
      </c>
      <c r="I6" s="55" t="s">
        <v>354</v>
      </c>
      <c r="J6" s="55" t="s">
        <v>355</v>
      </c>
      <c r="K6" s="55" t="s">
        <v>282</v>
      </c>
      <c r="L6" s="55" t="s">
        <v>356</v>
      </c>
      <c r="M6" s="55" t="s">
        <v>172</v>
      </c>
      <c r="N6" s="55" t="s">
        <v>172</v>
      </c>
      <c r="O6" s="55" t="s">
        <v>284</v>
      </c>
      <c r="P6" s="55" t="s">
        <v>357</v>
      </c>
      <c r="Q6" s="55" t="s">
        <v>350</v>
      </c>
      <c r="R6" s="55"/>
      <c r="S6" s="55"/>
    </row>
    <row r="7" spans="1:20" ht="13" x14ac:dyDescent="0.15">
      <c r="A7" s="72" t="str">
        <f t="shared" si="0"/>
        <v>Ofsted Social Care Provider Webpage</v>
      </c>
      <c r="B7" s="55">
        <v>1027082</v>
      </c>
      <c r="D7" s="55" t="s">
        <v>358</v>
      </c>
      <c r="E7" s="74">
        <v>41495</v>
      </c>
      <c r="F7" s="55" t="s">
        <v>344</v>
      </c>
      <c r="G7" s="55" t="s">
        <v>359</v>
      </c>
      <c r="H7" s="55" t="s">
        <v>360</v>
      </c>
      <c r="I7" s="55" t="s">
        <v>360</v>
      </c>
      <c r="J7" s="55" t="s">
        <v>360</v>
      </c>
      <c r="K7" s="55" t="s">
        <v>360</v>
      </c>
      <c r="L7" s="55" t="s">
        <v>360</v>
      </c>
      <c r="M7" s="55" t="s">
        <v>144</v>
      </c>
      <c r="N7" s="55" t="s">
        <v>144</v>
      </c>
      <c r="O7" s="55" t="s">
        <v>250</v>
      </c>
      <c r="P7" s="55" t="s">
        <v>361</v>
      </c>
      <c r="Q7" s="55" t="s">
        <v>362</v>
      </c>
      <c r="R7" s="55"/>
      <c r="S7" s="55"/>
      <c r="T7" s="55" t="s">
        <v>359</v>
      </c>
    </row>
    <row r="8" spans="1:20" ht="13" x14ac:dyDescent="0.15">
      <c r="A8" s="72" t="str">
        <f t="shared" si="0"/>
        <v>Ofsted Social Care Provider Webpage</v>
      </c>
      <c r="B8" s="55">
        <v>1027083</v>
      </c>
      <c r="D8" s="55" t="s">
        <v>358</v>
      </c>
      <c r="E8" s="74">
        <v>41495</v>
      </c>
      <c r="F8" s="55" t="s">
        <v>344</v>
      </c>
      <c r="G8" s="55" t="s">
        <v>363</v>
      </c>
      <c r="H8" s="55" t="s">
        <v>360</v>
      </c>
      <c r="I8" s="55" t="s">
        <v>360</v>
      </c>
      <c r="J8" s="55" t="s">
        <v>360</v>
      </c>
      <c r="K8" s="55" t="s">
        <v>360</v>
      </c>
      <c r="L8" s="55" t="s">
        <v>360</v>
      </c>
      <c r="M8" s="55" t="s">
        <v>144</v>
      </c>
      <c r="N8" s="55" t="s">
        <v>144</v>
      </c>
      <c r="O8" s="55" t="s">
        <v>209</v>
      </c>
      <c r="P8" s="55" t="s">
        <v>364</v>
      </c>
      <c r="Q8" s="55" t="s">
        <v>362</v>
      </c>
      <c r="R8" s="55"/>
      <c r="S8" s="55"/>
      <c r="T8" s="55" t="s">
        <v>365</v>
      </c>
    </row>
    <row r="9" spans="1:20" ht="13" x14ac:dyDescent="0.15">
      <c r="A9" s="72" t="str">
        <f t="shared" si="0"/>
        <v>Ofsted Social Care Provider Webpage</v>
      </c>
      <c r="B9" s="55">
        <v>1027084</v>
      </c>
      <c r="D9" s="55" t="s">
        <v>358</v>
      </c>
      <c r="E9" s="74">
        <v>41754</v>
      </c>
      <c r="F9" s="55" t="s">
        <v>344</v>
      </c>
      <c r="G9" s="55" t="s">
        <v>366</v>
      </c>
      <c r="H9" s="55" t="s">
        <v>360</v>
      </c>
      <c r="I9" s="55" t="s">
        <v>360</v>
      </c>
      <c r="J9" s="55" t="s">
        <v>360</v>
      </c>
      <c r="K9" s="55" t="s">
        <v>360</v>
      </c>
      <c r="L9" s="55" t="s">
        <v>360</v>
      </c>
      <c r="M9" s="55" t="s">
        <v>136</v>
      </c>
      <c r="N9" s="55" t="s">
        <v>136</v>
      </c>
      <c r="O9" s="55" t="s">
        <v>230</v>
      </c>
      <c r="P9" s="55" t="s">
        <v>230</v>
      </c>
      <c r="Q9" s="55" t="s">
        <v>362</v>
      </c>
      <c r="R9" s="55"/>
      <c r="S9" s="55"/>
      <c r="T9" s="55" t="s">
        <v>367</v>
      </c>
    </row>
    <row r="10" spans="1:20" ht="13" x14ac:dyDescent="0.15">
      <c r="A10" s="72" t="str">
        <f t="shared" si="0"/>
        <v>Ofsted Social Care Provider Webpage</v>
      </c>
      <c r="B10" s="55">
        <v>1027092</v>
      </c>
      <c r="D10" s="55" t="s">
        <v>358</v>
      </c>
      <c r="E10" s="74">
        <v>42166</v>
      </c>
      <c r="F10" s="55" t="s">
        <v>344</v>
      </c>
      <c r="G10" s="55" t="s">
        <v>368</v>
      </c>
      <c r="H10" s="55" t="s">
        <v>360</v>
      </c>
      <c r="I10" s="55" t="s">
        <v>360</v>
      </c>
      <c r="J10" s="55" t="s">
        <v>360</v>
      </c>
      <c r="K10" s="55" t="s">
        <v>360</v>
      </c>
      <c r="L10" s="55" t="s">
        <v>360</v>
      </c>
      <c r="M10" s="55" t="s">
        <v>172</v>
      </c>
      <c r="N10" s="55" t="s">
        <v>172</v>
      </c>
      <c r="O10" s="55" t="s">
        <v>234</v>
      </c>
      <c r="P10" s="55" t="s">
        <v>369</v>
      </c>
      <c r="Q10" s="55" t="s">
        <v>362</v>
      </c>
      <c r="R10" s="55"/>
      <c r="S10" s="55"/>
    </row>
    <row r="11" spans="1:20" ht="13" x14ac:dyDescent="0.15">
      <c r="A11" s="72" t="str">
        <f t="shared" si="0"/>
        <v>Ofsted Social Care Provider Webpage</v>
      </c>
      <c r="B11" s="55">
        <v>1027093</v>
      </c>
      <c r="D11" s="55" t="s">
        <v>358</v>
      </c>
      <c r="E11" s="74">
        <v>42300</v>
      </c>
      <c r="F11" s="55" t="s">
        <v>344</v>
      </c>
      <c r="G11" s="55" t="s">
        <v>370</v>
      </c>
      <c r="H11" s="55" t="s">
        <v>360</v>
      </c>
      <c r="I11" s="55" t="s">
        <v>360</v>
      </c>
      <c r="J11" s="55" t="s">
        <v>360</v>
      </c>
      <c r="K11" s="55" t="s">
        <v>360</v>
      </c>
      <c r="L11" s="55" t="s">
        <v>360</v>
      </c>
      <c r="M11" s="55" t="s">
        <v>150</v>
      </c>
      <c r="N11" s="55" t="s">
        <v>150</v>
      </c>
      <c r="O11" s="55" t="s">
        <v>190</v>
      </c>
      <c r="P11" s="55" t="s">
        <v>371</v>
      </c>
      <c r="Q11" s="55" t="s">
        <v>350</v>
      </c>
      <c r="R11" s="55"/>
      <c r="S11" s="55"/>
      <c r="T11" s="55" t="s">
        <v>372</v>
      </c>
    </row>
    <row r="12" spans="1:20" ht="13" x14ac:dyDescent="0.15">
      <c r="A12" s="72" t="str">
        <f t="shared" si="0"/>
        <v>Ofsted Social Care Provider Webpage</v>
      </c>
      <c r="B12" s="55">
        <v>1027158</v>
      </c>
      <c r="D12" s="55" t="s">
        <v>373</v>
      </c>
      <c r="E12" s="74">
        <v>42251</v>
      </c>
      <c r="F12" s="55" t="s">
        <v>344</v>
      </c>
      <c r="G12" s="55" t="s">
        <v>360</v>
      </c>
      <c r="H12" s="55" t="s">
        <v>360</v>
      </c>
      <c r="I12" s="55" t="s">
        <v>360</v>
      </c>
      <c r="J12" s="55" t="s">
        <v>360</v>
      </c>
      <c r="K12" s="55" t="s">
        <v>360</v>
      </c>
      <c r="L12" s="55" t="s">
        <v>360</v>
      </c>
      <c r="M12" s="55" t="s">
        <v>138</v>
      </c>
      <c r="N12" s="55" t="s">
        <v>138</v>
      </c>
      <c r="O12" s="55" t="s">
        <v>224</v>
      </c>
      <c r="P12" s="55" t="s">
        <v>374</v>
      </c>
      <c r="Q12" s="55" t="s">
        <v>350</v>
      </c>
      <c r="R12" s="55">
        <v>6</v>
      </c>
      <c r="S12" s="55"/>
      <c r="T12" s="55" t="s">
        <v>375</v>
      </c>
    </row>
    <row r="13" spans="1:20" ht="13" x14ac:dyDescent="0.15">
      <c r="A13" s="72" t="str">
        <f t="shared" si="0"/>
        <v>Ofsted Social Care Provider Webpage</v>
      </c>
      <c r="B13" s="55">
        <v>1027164</v>
      </c>
      <c r="D13" s="55" t="s">
        <v>373</v>
      </c>
      <c r="E13" s="74">
        <v>42226</v>
      </c>
      <c r="F13" s="55" t="s">
        <v>344</v>
      </c>
      <c r="G13" s="55" t="s">
        <v>360</v>
      </c>
      <c r="H13" s="55" t="s">
        <v>360</v>
      </c>
      <c r="I13" s="55" t="s">
        <v>360</v>
      </c>
      <c r="J13" s="55" t="s">
        <v>360</v>
      </c>
      <c r="K13" s="55" t="s">
        <v>360</v>
      </c>
      <c r="L13" s="55" t="s">
        <v>360</v>
      </c>
      <c r="M13" s="55" t="s">
        <v>144</v>
      </c>
      <c r="N13" s="55" t="s">
        <v>144</v>
      </c>
      <c r="O13" s="55" t="s">
        <v>163</v>
      </c>
      <c r="P13" s="55" t="s">
        <v>376</v>
      </c>
      <c r="Q13" s="55" t="s">
        <v>350</v>
      </c>
      <c r="R13" s="55">
        <v>6</v>
      </c>
      <c r="S13" s="55"/>
      <c r="T13" s="55" t="s">
        <v>377</v>
      </c>
    </row>
    <row r="14" spans="1:20" ht="13" x14ac:dyDescent="0.15">
      <c r="A14" s="72" t="str">
        <f t="shared" si="0"/>
        <v>Ofsted Social Care Provider Webpage</v>
      </c>
      <c r="B14" s="55">
        <v>1155757</v>
      </c>
      <c r="D14" s="55" t="s">
        <v>373</v>
      </c>
      <c r="E14" s="74">
        <v>42142</v>
      </c>
      <c r="F14" s="55" t="s">
        <v>344</v>
      </c>
      <c r="G14" s="55" t="s">
        <v>360</v>
      </c>
      <c r="H14" s="55" t="s">
        <v>360</v>
      </c>
      <c r="I14" s="55" t="s">
        <v>360</v>
      </c>
      <c r="J14" s="55" t="s">
        <v>360</v>
      </c>
      <c r="K14" s="55" t="s">
        <v>360</v>
      </c>
      <c r="L14" s="55" t="s">
        <v>360</v>
      </c>
      <c r="M14" s="55" t="s">
        <v>378</v>
      </c>
      <c r="N14" s="55" t="s">
        <v>170</v>
      </c>
      <c r="O14" s="55" t="s">
        <v>233</v>
      </c>
      <c r="P14" s="55" t="s">
        <v>379</v>
      </c>
      <c r="Q14" s="55" t="s">
        <v>380</v>
      </c>
      <c r="R14" s="55">
        <v>3</v>
      </c>
      <c r="S14" s="55"/>
      <c r="T14" s="55" t="s">
        <v>381</v>
      </c>
    </row>
    <row r="15" spans="1:20" ht="13" x14ac:dyDescent="0.15">
      <c r="A15" s="72" t="str">
        <f t="shared" si="0"/>
        <v>Ofsted Social Care Provider Webpage</v>
      </c>
      <c r="B15" s="55">
        <v>1155761</v>
      </c>
      <c r="D15" s="55" t="s">
        <v>373</v>
      </c>
      <c r="E15" s="74">
        <v>42285</v>
      </c>
      <c r="F15" s="55" t="s">
        <v>344</v>
      </c>
      <c r="G15" s="55" t="s">
        <v>360</v>
      </c>
      <c r="H15" s="55" t="s">
        <v>360</v>
      </c>
      <c r="I15" s="55" t="s">
        <v>360</v>
      </c>
      <c r="J15" s="55" t="s">
        <v>360</v>
      </c>
      <c r="K15" s="55" t="s">
        <v>360</v>
      </c>
      <c r="L15" s="55" t="s">
        <v>360</v>
      </c>
      <c r="M15" s="55" t="s">
        <v>136</v>
      </c>
      <c r="N15" s="55" t="s">
        <v>136</v>
      </c>
      <c r="O15" s="55" t="s">
        <v>185</v>
      </c>
      <c r="P15" s="55" t="s">
        <v>382</v>
      </c>
      <c r="Q15" s="55" t="s">
        <v>350</v>
      </c>
      <c r="R15" s="55">
        <v>3</v>
      </c>
      <c r="S15" s="55"/>
      <c r="T15" s="55" t="s">
        <v>383</v>
      </c>
    </row>
    <row r="16" spans="1:20" ht="13" x14ac:dyDescent="0.15">
      <c r="A16" s="72" t="str">
        <f t="shared" si="0"/>
        <v>Ofsted Social Care Provider Webpage</v>
      </c>
      <c r="B16" s="55">
        <v>1155775</v>
      </c>
      <c r="D16" s="55" t="s">
        <v>373</v>
      </c>
      <c r="E16" s="74">
        <v>42271</v>
      </c>
      <c r="F16" s="55" t="s">
        <v>344</v>
      </c>
      <c r="G16" s="55" t="s">
        <v>360</v>
      </c>
      <c r="H16" s="55" t="s">
        <v>360</v>
      </c>
      <c r="I16" s="55" t="s">
        <v>360</v>
      </c>
      <c r="J16" s="55" t="s">
        <v>360</v>
      </c>
      <c r="K16" s="55" t="s">
        <v>360</v>
      </c>
      <c r="L16" s="55" t="s">
        <v>360</v>
      </c>
      <c r="M16" s="55" t="s">
        <v>144</v>
      </c>
      <c r="N16" s="55" t="s">
        <v>144</v>
      </c>
      <c r="O16" s="55" t="s">
        <v>217</v>
      </c>
      <c r="P16" s="55" t="s">
        <v>384</v>
      </c>
      <c r="Q16" s="55" t="s">
        <v>350</v>
      </c>
      <c r="R16" s="55">
        <v>1</v>
      </c>
      <c r="S16" s="55"/>
      <c r="T16" s="55" t="s">
        <v>385</v>
      </c>
    </row>
    <row r="17" spans="1:20" ht="13" x14ac:dyDescent="0.15">
      <c r="A17" s="72" t="str">
        <f t="shared" si="0"/>
        <v>Ofsted Social Care Provider Webpage</v>
      </c>
      <c r="B17" s="55">
        <v>1155780</v>
      </c>
      <c r="D17" s="55" t="s">
        <v>373</v>
      </c>
      <c r="E17" s="74">
        <v>42324</v>
      </c>
      <c r="F17" s="55" t="s">
        <v>344</v>
      </c>
      <c r="G17" s="55" t="s">
        <v>360</v>
      </c>
      <c r="H17" s="55" t="s">
        <v>360</v>
      </c>
      <c r="I17" s="55" t="s">
        <v>360</v>
      </c>
      <c r="J17" s="55" t="s">
        <v>360</v>
      </c>
      <c r="K17" s="55" t="s">
        <v>360</v>
      </c>
      <c r="L17" s="55" t="s">
        <v>360</v>
      </c>
      <c r="M17" s="55" t="s">
        <v>142</v>
      </c>
      <c r="N17" s="55" t="s">
        <v>142</v>
      </c>
      <c r="O17" s="55" t="s">
        <v>252</v>
      </c>
      <c r="P17" s="55" t="s">
        <v>386</v>
      </c>
      <c r="Q17" s="55" t="s">
        <v>350</v>
      </c>
      <c r="R17" s="55">
        <v>4</v>
      </c>
      <c r="S17" s="55"/>
      <c r="T17" s="55" t="s">
        <v>385</v>
      </c>
    </row>
    <row r="18" spans="1:20" ht="13" x14ac:dyDescent="0.15">
      <c r="A18" s="72" t="str">
        <f t="shared" si="0"/>
        <v>Ofsted Social Care Provider Webpage</v>
      </c>
      <c r="B18" s="55">
        <v>1156098</v>
      </c>
      <c r="D18" s="55" t="s">
        <v>373</v>
      </c>
      <c r="E18" s="74">
        <v>42375</v>
      </c>
      <c r="F18" s="55" t="s">
        <v>344</v>
      </c>
      <c r="G18" s="55" t="s">
        <v>360</v>
      </c>
      <c r="H18" s="55" t="s">
        <v>360</v>
      </c>
      <c r="I18" s="55" t="s">
        <v>360</v>
      </c>
      <c r="J18" s="55" t="s">
        <v>360</v>
      </c>
      <c r="K18" s="55" t="s">
        <v>360</v>
      </c>
      <c r="L18" s="55" t="s">
        <v>360</v>
      </c>
      <c r="M18" s="55" t="s">
        <v>144</v>
      </c>
      <c r="N18" s="55" t="s">
        <v>144</v>
      </c>
      <c r="O18" s="55" t="s">
        <v>147</v>
      </c>
      <c r="P18" s="55" t="s">
        <v>387</v>
      </c>
      <c r="Q18" s="55" t="s">
        <v>350</v>
      </c>
      <c r="R18" s="55">
        <v>3</v>
      </c>
      <c r="S18" s="55"/>
      <c r="T18" s="55" t="s">
        <v>385</v>
      </c>
    </row>
    <row r="19" spans="1:20" ht="13" x14ac:dyDescent="0.15">
      <c r="A19" s="72" t="str">
        <f t="shared" si="0"/>
        <v>Ofsted Social Care Provider Webpage</v>
      </c>
      <c r="B19" s="55">
        <v>1156103</v>
      </c>
      <c r="D19" s="55" t="s">
        <v>373</v>
      </c>
      <c r="E19" s="74">
        <v>42390</v>
      </c>
      <c r="F19" s="55" t="s">
        <v>344</v>
      </c>
      <c r="G19" s="55" t="s">
        <v>360</v>
      </c>
      <c r="H19" s="55" t="s">
        <v>360</v>
      </c>
      <c r="I19" s="55" t="s">
        <v>360</v>
      </c>
      <c r="J19" s="55" t="s">
        <v>360</v>
      </c>
      <c r="K19" s="55" t="s">
        <v>360</v>
      </c>
      <c r="L19" s="55" t="s">
        <v>360</v>
      </c>
      <c r="M19" s="55" t="s">
        <v>142</v>
      </c>
      <c r="N19" s="55" t="s">
        <v>142</v>
      </c>
      <c r="O19" s="55" t="s">
        <v>252</v>
      </c>
      <c r="P19" s="55" t="s">
        <v>388</v>
      </c>
      <c r="Q19" s="55" t="s">
        <v>350</v>
      </c>
      <c r="R19" s="55">
        <v>4</v>
      </c>
      <c r="S19" s="55"/>
      <c r="T19" s="55" t="s">
        <v>385</v>
      </c>
    </row>
    <row r="20" spans="1:20" ht="13" x14ac:dyDescent="0.15">
      <c r="A20" s="72" t="str">
        <f t="shared" si="0"/>
        <v>Ofsted Social Care Provider Webpage</v>
      </c>
      <c r="B20" s="55">
        <v>1156149</v>
      </c>
      <c r="D20" s="55" t="s">
        <v>389</v>
      </c>
      <c r="E20" s="74">
        <v>42292</v>
      </c>
      <c r="F20" s="55" t="s">
        <v>344</v>
      </c>
      <c r="G20" s="55" t="s">
        <v>390</v>
      </c>
      <c r="H20" s="55" t="s">
        <v>391</v>
      </c>
      <c r="I20" s="55" t="s">
        <v>392</v>
      </c>
      <c r="J20" s="55" t="s">
        <v>393</v>
      </c>
      <c r="L20" s="55" t="s">
        <v>394</v>
      </c>
      <c r="M20" s="55" t="s">
        <v>150</v>
      </c>
      <c r="N20" s="55" t="s">
        <v>150</v>
      </c>
      <c r="O20" s="55" t="s">
        <v>268</v>
      </c>
      <c r="P20" s="55" t="s">
        <v>395</v>
      </c>
      <c r="Q20" s="55" t="s">
        <v>350</v>
      </c>
      <c r="R20" s="55"/>
      <c r="S20" s="55"/>
      <c r="T20" s="55" t="s">
        <v>396</v>
      </c>
    </row>
    <row r="21" spans="1:20" ht="13" x14ac:dyDescent="0.15">
      <c r="A21" s="72" t="str">
        <f t="shared" si="0"/>
        <v>Ofsted Social Care Provider Webpage</v>
      </c>
      <c r="B21" s="55">
        <v>1159258</v>
      </c>
      <c r="D21" s="55" t="s">
        <v>373</v>
      </c>
      <c r="E21" s="74">
        <v>42291</v>
      </c>
      <c r="F21" s="55" t="s">
        <v>344</v>
      </c>
      <c r="G21" s="55" t="s">
        <v>360</v>
      </c>
      <c r="H21" s="55" t="s">
        <v>360</v>
      </c>
      <c r="I21" s="55" t="s">
        <v>360</v>
      </c>
      <c r="J21" s="55" t="s">
        <v>360</v>
      </c>
      <c r="K21" s="55" t="s">
        <v>360</v>
      </c>
      <c r="L21" s="55" t="s">
        <v>360</v>
      </c>
      <c r="M21" s="55" t="s">
        <v>144</v>
      </c>
      <c r="N21" s="55" t="s">
        <v>144</v>
      </c>
      <c r="O21" s="55" t="s">
        <v>217</v>
      </c>
      <c r="P21" s="55" t="s">
        <v>397</v>
      </c>
      <c r="Q21" s="55" t="s">
        <v>350</v>
      </c>
      <c r="R21" s="55">
        <v>4</v>
      </c>
      <c r="S21" s="55"/>
      <c r="T21" s="55" t="s">
        <v>385</v>
      </c>
    </row>
    <row r="22" spans="1:20" ht="13" x14ac:dyDescent="0.15">
      <c r="A22" s="72" t="str">
        <f t="shared" si="0"/>
        <v>Ofsted Social Care Provider Webpage</v>
      </c>
      <c r="B22" s="55">
        <v>1159262</v>
      </c>
      <c r="C22" s="55">
        <v>138602</v>
      </c>
      <c r="D22" s="55" t="s">
        <v>398</v>
      </c>
      <c r="E22" s="74">
        <v>42248</v>
      </c>
      <c r="F22" s="55" t="s">
        <v>344</v>
      </c>
      <c r="G22" s="55" t="s">
        <v>399</v>
      </c>
      <c r="H22" s="55" t="s">
        <v>400</v>
      </c>
      <c r="I22" s="55" t="s">
        <v>401</v>
      </c>
      <c r="J22" s="55" t="s">
        <v>402</v>
      </c>
      <c r="K22" s="55" t="s">
        <v>237</v>
      </c>
      <c r="L22" s="55" t="s">
        <v>403</v>
      </c>
      <c r="M22" s="55" t="s">
        <v>150</v>
      </c>
      <c r="N22" s="55" t="s">
        <v>150</v>
      </c>
      <c r="O22" s="55" t="s">
        <v>237</v>
      </c>
      <c r="P22" s="55" t="s">
        <v>404</v>
      </c>
      <c r="Q22" s="55" t="s">
        <v>350</v>
      </c>
      <c r="R22" s="55">
        <v>171</v>
      </c>
      <c r="S22" s="55"/>
      <c r="T22" s="55" t="s">
        <v>405</v>
      </c>
    </row>
    <row r="23" spans="1:20" ht="13" x14ac:dyDescent="0.15">
      <c r="A23" s="72" t="str">
        <f t="shared" si="0"/>
        <v>Ofsted Social Care Provider Webpage</v>
      </c>
      <c r="B23" s="55">
        <v>1159264</v>
      </c>
      <c r="C23" s="55">
        <v>138384</v>
      </c>
      <c r="D23" s="55" t="s">
        <v>398</v>
      </c>
      <c r="E23" s="74">
        <v>42370</v>
      </c>
      <c r="F23" s="55" t="s">
        <v>344</v>
      </c>
      <c r="G23" s="55" t="s">
        <v>406</v>
      </c>
      <c r="H23" s="55" t="s">
        <v>407</v>
      </c>
      <c r="I23" s="55" t="s">
        <v>408</v>
      </c>
      <c r="J23" s="55" t="s">
        <v>129</v>
      </c>
      <c r="L23" s="55" t="s">
        <v>409</v>
      </c>
      <c r="M23" s="55" t="s">
        <v>129</v>
      </c>
      <c r="N23" s="55" t="s">
        <v>129</v>
      </c>
      <c r="O23" s="55" t="s">
        <v>155</v>
      </c>
      <c r="P23" s="55" t="s">
        <v>410</v>
      </c>
      <c r="Q23" s="55" t="s">
        <v>350</v>
      </c>
      <c r="R23" s="55">
        <v>352</v>
      </c>
      <c r="S23" s="55"/>
      <c r="T23" s="55" t="s">
        <v>411</v>
      </c>
    </row>
    <row r="24" spans="1:20" ht="13" x14ac:dyDescent="0.15">
      <c r="A24" s="72" t="str">
        <f t="shared" si="0"/>
        <v>Ofsted Social Care Provider Webpage</v>
      </c>
      <c r="B24" s="55">
        <v>1159272</v>
      </c>
      <c r="D24" s="55" t="s">
        <v>373</v>
      </c>
      <c r="E24" s="74">
        <v>42284</v>
      </c>
      <c r="F24" s="55" t="s">
        <v>344</v>
      </c>
      <c r="G24" s="55" t="s">
        <v>360</v>
      </c>
      <c r="H24" s="55" t="s">
        <v>360</v>
      </c>
      <c r="I24" s="55" t="s">
        <v>360</v>
      </c>
      <c r="J24" s="55" t="s">
        <v>360</v>
      </c>
      <c r="K24" s="55" t="s">
        <v>360</v>
      </c>
      <c r="L24" s="55" t="s">
        <v>360</v>
      </c>
      <c r="M24" s="55" t="s">
        <v>378</v>
      </c>
      <c r="N24" s="55" t="s">
        <v>134</v>
      </c>
      <c r="O24" s="55" t="s">
        <v>232</v>
      </c>
      <c r="P24" s="55" t="s">
        <v>412</v>
      </c>
      <c r="Q24" s="55" t="s">
        <v>350</v>
      </c>
      <c r="R24" s="55">
        <v>4</v>
      </c>
      <c r="S24" s="55"/>
      <c r="T24" s="55" t="s">
        <v>385</v>
      </c>
    </row>
    <row r="25" spans="1:20" ht="13" x14ac:dyDescent="0.15">
      <c r="A25" s="72" t="str">
        <f t="shared" si="0"/>
        <v>Ofsted Social Care Provider Webpage</v>
      </c>
      <c r="B25" s="55">
        <v>1159380</v>
      </c>
      <c r="C25" s="55">
        <v>141957</v>
      </c>
      <c r="D25" s="55" t="s">
        <v>413</v>
      </c>
      <c r="E25" s="74">
        <v>42125</v>
      </c>
      <c r="F25" s="55" t="s">
        <v>344</v>
      </c>
      <c r="G25" s="55" t="s">
        <v>414</v>
      </c>
      <c r="H25" s="55" t="s">
        <v>415</v>
      </c>
      <c r="I25" s="55" t="s">
        <v>416</v>
      </c>
      <c r="J25" s="55" t="s">
        <v>417</v>
      </c>
      <c r="K25" s="55" t="s">
        <v>203</v>
      </c>
      <c r="L25" s="55" t="s">
        <v>418</v>
      </c>
      <c r="M25" s="55" t="s">
        <v>150</v>
      </c>
      <c r="N25" s="55" t="s">
        <v>150</v>
      </c>
      <c r="O25" s="55" t="s">
        <v>203</v>
      </c>
      <c r="P25" s="55" t="s">
        <v>419</v>
      </c>
      <c r="Q25" s="55" t="s">
        <v>420</v>
      </c>
      <c r="R25" s="55">
        <v>18</v>
      </c>
      <c r="S25" s="55"/>
      <c r="T25" s="55" t="s">
        <v>421</v>
      </c>
    </row>
    <row r="26" spans="1:20" ht="13" x14ac:dyDescent="0.15">
      <c r="A26" s="72" t="str">
        <f t="shared" si="0"/>
        <v>Ofsted Social Care Provider Webpage</v>
      </c>
      <c r="B26" s="55">
        <v>1159385</v>
      </c>
      <c r="D26" s="55" t="s">
        <v>373</v>
      </c>
      <c r="E26" s="74">
        <v>42535</v>
      </c>
      <c r="F26" s="55" t="s">
        <v>344</v>
      </c>
      <c r="G26" s="55" t="s">
        <v>360</v>
      </c>
      <c r="H26" s="55" t="s">
        <v>360</v>
      </c>
      <c r="I26" s="55" t="s">
        <v>360</v>
      </c>
      <c r="J26" s="55" t="s">
        <v>360</v>
      </c>
      <c r="K26" s="55" t="s">
        <v>360</v>
      </c>
      <c r="L26" s="55" t="s">
        <v>360</v>
      </c>
      <c r="M26" s="55" t="s">
        <v>142</v>
      </c>
      <c r="N26" s="55" t="s">
        <v>142</v>
      </c>
      <c r="O26" s="55" t="s">
        <v>252</v>
      </c>
      <c r="P26" s="55" t="s">
        <v>386</v>
      </c>
      <c r="Q26" s="55" t="s">
        <v>350</v>
      </c>
      <c r="R26" s="55">
        <v>4</v>
      </c>
      <c r="S26" s="55"/>
      <c r="T26" s="55" t="s">
        <v>385</v>
      </c>
    </row>
    <row r="27" spans="1:20" ht="13" x14ac:dyDescent="0.15">
      <c r="A27" s="72" t="str">
        <f t="shared" si="0"/>
        <v>Ofsted Social Care Provider Webpage</v>
      </c>
      <c r="B27" s="55">
        <v>1159390</v>
      </c>
      <c r="D27" s="55" t="s">
        <v>358</v>
      </c>
      <c r="E27" s="74">
        <v>42305</v>
      </c>
      <c r="F27" s="55" t="s">
        <v>344</v>
      </c>
      <c r="G27" s="55" t="s">
        <v>422</v>
      </c>
      <c r="H27" s="55" t="s">
        <v>360</v>
      </c>
      <c r="I27" s="55" t="s">
        <v>360</v>
      </c>
      <c r="J27" s="55" t="s">
        <v>360</v>
      </c>
      <c r="K27" s="55" t="s">
        <v>360</v>
      </c>
      <c r="L27" s="55" t="s">
        <v>360</v>
      </c>
      <c r="M27" s="55" t="s">
        <v>172</v>
      </c>
      <c r="N27" s="55" t="s">
        <v>172</v>
      </c>
      <c r="O27" s="55" t="s">
        <v>228</v>
      </c>
      <c r="P27" s="55" t="s">
        <v>423</v>
      </c>
      <c r="Q27" s="55" t="s">
        <v>350</v>
      </c>
      <c r="R27" s="55"/>
      <c r="S27" s="55"/>
      <c r="T27" s="55" t="s">
        <v>424</v>
      </c>
    </row>
    <row r="28" spans="1:20" ht="13" x14ac:dyDescent="0.15">
      <c r="A28" s="72" t="str">
        <f t="shared" si="0"/>
        <v>Ofsted Social Care Provider Webpage</v>
      </c>
      <c r="B28" s="55">
        <v>1159395</v>
      </c>
      <c r="C28" s="55">
        <v>114640</v>
      </c>
      <c r="D28" s="55" t="s">
        <v>398</v>
      </c>
      <c r="E28" s="74">
        <v>42248</v>
      </c>
      <c r="F28" s="55" t="s">
        <v>344</v>
      </c>
      <c r="G28" s="55" t="s">
        <v>425</v>
      </c>
      <c r="H28" s="55" t="s">
        <v>425</v>
      </c>
      <c r="I28" s="55" t="s">
        <v>426</v>
      </c>
      <c r="J28" s="55" t="s">
        <v>427</v>
      </c>
      <c r="K28" s="55" t="s">
        <v>181</v>
      </c>
      <c r="L28" s="55" t="s">
        <v>428</v>
      </c>
      <c r="M28" s="55" t="s">
        <v>150</v>
      </c>
      <c r="N28" s="55" t="s">
        <v>150</v>
      </c>
      <c r="O28" s="55" t="s">
        <v>181</v>
      </c>
      <c r="P28" s="55" t="s">
        <v>429</v>
      </c>
      <c r="Q28" s="55" t="s">
        <v>350</v>
      </c>
      <c r="R28" s="55">
        <v>104</v>
      </c>
      <c r="S28" s="55"/>
      <c r="T28" s="55" t="s">
        <v>430</v>
      </c>
    </row>
    <row r="29" spans="1:20" ht="13" x14ac:dyDescent="0.15">
      <c r="A29" s="72" t="str">
        <f t="shared" si="0"/>
        <v>Ofsted Social Care Provider Webpage</v>
      </c>
      <c r="B29" s="55">
        <v>1159397</v>
      </c>
      <c r="D29" s="55" t="s">
        <v>373</v>
      </c>
      <c r="E29" s="74">
        <v>42464</v>
      </c>
      <c r="F29" s="55" t="s">
        <v>344</v>
      </c>
      <c r="G29" s="55" t="s">
        <v>360</v>
      </c>
      <c r="H29" s="55" t="s">
        <v>360</v>
      </c>
      <c r="I29" s="55" t="s">
        <v>360</v>
      </c>
      <c r="J29" s="55" t="s">
        <v>360</v>
      </c>
      <c r="K29" s="55" t="s">
        <v>360</v>
      </c>
      <c r="L29" s="55" t="s">
        <v>360</v>
      </c>
      <c r="M29" s="55" t="s">
        <v>378</v>
      </c>
      <c r="N29" s="55" t="s">
        <v>134</v>
      </c>
      <c r="O29" s="55" t="s">
        <v>232</v>
      </c>
      <c r="P29" s="55" t="s">
        <v>412</v>
      </c>
      <c r="Q29" s="55" t="s">
        <v>350</v>
      </c>
      <c r="R29" s="55">
        <v>4</v>
      </c>
      <c r="S29" s="55"/>
      <c r="T29" s="55" t="s">
        <v>385</v>
      </c>
    </row>
    <row r="30" spans="1:20" ht="13" x14ac:dyDescent="0.15">
      <c r="A30" s="72" t="str">
        <f t="shared" si="0"/>
        <v>Ofsted Social Care Provider Webpage</v>
      </c>
      <c r="B30" s="55">
        <v>1159682</v>
      </c>
      <c r="D30" s="55" t="s">
        <v>373</v>
      </c>
      <c r="E30" s="74">
        <v>42269</v>
      </c>
      <c r="F30" s="55" t="s">
        <v>344</v>
      </c>
      <c r="G30" s="55" t="s">
        <v>360</v>
      </c>
      <c r="H30" s="55" t="s">
        <v>360</v>
      </c>
      <c r="I30" s="55" t="s">
        <v>360</v>
      </c>
      <c r="J30" s="55" t="s">
        <v>360</v>
      </c>
      <c r="K30" s="55" t="s">
        <v>360</v>
      </c>
      <c r="L30" s="55" t="s">
        <v>360</v>
      </c>
      <c r="M30" s="55" t="s">
        <v>129</v>
      </c>
      <c r="N30" s="55" t="s">
        <v>129</v>
      </c>
      <c r="O30" s="55" t="s">
        <v>201</v>
      </c>
      <c r="P30" s="55" t="s">
        <v>431</v>
      </c>
      <c r="Q30" s="55" t="s">
        <v>362</v>
      </c>
      <c r="R30" s="55">
        <v>4</v>
      </c>
      <c r="S30" s="55"/>
      <c r="T30" s="55" t="s">
        <v>432</v>
      </c>
    </row>
    <row r="31" spans="1:20" ht="13" x14ac:dyDescent="0.15">
      <c r="A31" s="72" t="str">
        <f t="shared" si="0"/>
        <v>Ofsted Social Care Provider Webpage</v>
      </c>
      <c r="B31" s="55">
        <v>1159755</v>
      </c>
      <c r="D31" s="55" t="s">
        <v>373</v>
      </c>
      <c r="E31" s="74">
        <v>42279</v>
      </c>
      <c r="F31" s="55" t="s">
        <v>344</v>
      </c>
      <c r="G31" s="55" t="s">
        <v>360</v>
      </c>
      <c r="H31" s="55" t="s">
        <v>360</v>
      </c>
      <c r="I31" s="55" t="s">
        <v>360</v>
      </c>
      <c r="J31" s="55" t="s">
        <v>360</v>
      </c>
      <c r="K31" s="55" t="s">
        <v>360</v>
      </c>
      <c r="L31" s="55" t="s">
        <v>360</v>
      </c>
      <c r="M31" s="55" t="s">
        <v>129</v>
      </c>
      <c r="N31" s="55" t="s">
        <v>129</v>
      </c>
      <c r="O31" s="55" t="s">
        <v>179</v>
      </c>
      <c r="P31" s="55" t="s">
        <v>433</v>
      </c>
      <c r="Q31" s="55" t="s">
        <v>362</v>
      </c>
      <c r="R31" s="55">
        <v>4</v>
      </c>
      <c r="S31" s="55"/>
      <c r="T31" s="55" t="s">
        <v>432</v>
      </c>
    </row>
    <row r="32" spans="1:20" ht="13" x14ac:dyDescent="0.15">
      <c r="A32" s="72" t="str">
        <f t="shared" si="0"/>
        <v>Ofsted Social Care Provider Webpage</v>
      </c>
      <c r="B32" s="55">
        <v>1159763</v>
      </c>
      <c r="D32" s="55" t="s">
        <v>373</v>
      </c>
      <c r="E32" s="74">
        <v>42255</v>
      </c>
      <c r="F32" s="55" t="s">
        <v>344</v>
      </c>
      <c r="G32" s="55" t="s">
        <v>360</v>
      </c>
      <c r="H32" s="55" t="s">
        <v>360</v>
      </c>
      <c r="I32" s="55" t="s">
        <v>360</v>
      </c>
      <c r="J32" s="55" t="s">
        <v>360</v>
      </c>
      <c r="K32" s="55" t="s">
        <v>360</v>
      </c>
      <c r="L32" s="55" t="s">
        <v>360</v>
      </c>
      <c r="M32" s="55" t="s">
        <v>378</v>
      </c>
      <c r="N32" s="55" t="s">
        <v>170</v>
      </c>
      <c r="O32" s="55" t="s">
        <v>169</v>
      </c>
      <c r="P32" s="55" t="s">
        <v>434</v>
      </c>
      <c r="Q32" s="55" t="s">
        <v>350</v>
      </c>
      <c r="R32" s="55">
        <v>7</v>
      </c>
      <c r="S32" s="55"/>
      <c r="T32" s="55" t="s">
        <v>435</v>
      </c>
    </row>
    <row r="33" spans="1:20" ht="13" x14ac:dyDescent="0.15">
      <c r="A33" s="72" t="str">
        <f t="shared" si="0"/>
        <v>Ofsted Social Care Provider Webpage</v>
      </c>
      <c r="B33" s="55">
        <v>1159868</v>
      </c>
      <c r="D33" s="55" t="s">
        <v>373</v>
      </c>
      <c r="E33" s="74">
        <v>42306</v>
      </c>
      <c r="F33" s="55" t="s">
        <v>344</v>
      </c>
      <c r="G33" s="55" t="s">
        <v>360</v>
      </c>
      <c r="H33" s="55" t="s">
        <v>360</v>
      </c>
      <c r="I33" s="55" t="s">
        <v>360</v>
      </c>
      <c r="J33" s="55" t="s">
        <v>360</v>
      </c>
      <c r="K33" s="55" t="s">
        <v>360</v>
      </c>
      <c r="L33" s="55" t="s">
        <v>360</v>
      </c>
      <c r="M33" s="55" t="s">
        <v>136</v>
      </c>
      <c r="N33" s="55" t="s">
        <v>136</v>
      </c>
      <c r="O33" s="55" t="s">
        <v>176</v>
      </c>
      <c r="P33" s="55" t="s">
        <v>436</v>
      </c>
      <c r="Q33" s="55" t="s">
        <v>350</v>
      </c>
      <c r="R33" s="55">
        <v>3</v>
      </c>
      <c r="S33" s="55"/>
      <c r="T33" s="55" t="s">
        <v>385</v>
      </c>
    </row>
    <row r="34" spans="1:20" ht="13" x14ac:dyDescent="0.15">
      <c r="A34" s="72" t="str">
        <f t="shared" si="0"/>
        <v>Ofsted Social Care Provider Webpage</v>
      </c>
      <c r="B34" s="55">
        <v>1159884</v>
      </c>
      <c r="D34" s="55" t="s">
        <v>373</v>
      </c>
      <c r="E34" s="74">
        <v>42436</v>
      </c>
      <c r="F34" s="55" t="s">
        <v>344</v>
      </c>
      <c r="G34" s="55" t="s">
        <v>360</v>
      </c>
      <c r="H34" s="55" t="s">
        <v>360</v>
      </c>
      <c r="I34" s="55" t="s">
        <v>360</v>
      </c>
      <c r="J34" s="55" t="s">
        <v>360</v>
      </c>
      <c r="K34" s="55" t="s">
        <v>360</v>
      </c>
      <c r="L34" s="55" t="s">
        <v>360</v>
      </c>
      <c r="M34" s="55" t="s">
        <v>378</v>
      </c>
      <c r="N34" s="55" t="s">
        <v>170</v>
      </c>
      <c r="O34" s="55" t="s">
        <v>264</v>
      </c>
      <c r="P34" s="55" t="s">
        <v>437</v>
      </c>
      <c r="Q34" s="55" t="s">
        <v>350</v>
      </c>
      <c r="R34" s="55">
        <v>5</v>
      </c>
      <c r="S34" s="55"/>
      <c r="T34" s="55" t="s">
        <v>438</v>
      </c>
    </row>
    <row r="35" spans="1:20" ht="13" x14ac:dyDescent="0.15">
      <c r="A35" s="72" t="str">
        <f t="shared" si="0"/>
        <v>Ofsted Social Care Provider Webpage</v>
      </c>
      <c r="B35" s="55">
        <v>1159903</v>
      </c>
      <c r="D35" s="55" t="s">
        <v>373</v>
      </c>
      <c r="E35" s="74">
        <v>42285</v>
      </c>
      <c r="F35" s="55" t="s">
        <v>344</v>
      </c>
      <c r="G35" s="55" t="s">
        <v>360</v>
      </c>
      <c r="H35" s="55" t="s">
        <v>360</v>
      </c>
      <c r="I35" s="55" t="s">
        <v>360</v>
      </c>
      <c r="J35" s="55" t="s">
        <v>360</v>
      </c>
      <c r="K35" s="55" t="s">
        <v>360</v>
      </c>
      <c r="L35" s="55" t="s">
        <v>360</v>
      </c>
      <c r="M35" s="55" t="s">
        <v>144</v>
      </c>
      <c r="N35" s="55" t="s">
        <v>144</v>
      </c>
      <c r="O35" s="55" t="s">
        <v>248</v>
      </c>
      <c r="P35" s="55" t="s">
        <v>439</v>
      </c>
      <c r="Q35" s="55" t="s">
        <v>350</v>
      </c>
      <c r="R35" s="55">
        <v>5</v>
      </c>
      <c r="S35" s="55"/>
      <c r="T35" s="55" t="s">
        <v>440</v>
      </c>
    </row>
    <row r="36" spans="1:20" ht="13" x14ac:dyDescent="0.15">
      <c r="A36" s="72" t="str">
        <f t="shared" si="0"/>
        <v>Ofsted Social Care Provider Webpage</v>
      </c>
      <c r="B36" s="55">
        <v>1164089</v>
      </c>
      <c r="D36" s="55" t="s">
        <v>373</v>
      </c>
      <c r="E36" s="74">
        <v>42232</v>
      </c>
      <c r="F36" s="55" t="s">
        <v>344</v>
      </c>
      <c r="G36" s="55" t="s">
        <v>360</v>
      </c>
      <c r="H36" s="55" t="s">
        <v>360</v>
      </c>
      <c r="I36" s="55" t="s">
        <v>360</v>
      </c>
      <c r="J36" s="55" t="s">
        <v>360</v>
      </c>
      <c r="K36" s="55" t="s">
        <v>360</v>
      </c>
      <c r="L36" s="55" t="s">
        <v>360</v>
      </c>
      <c r="M36" s="55" t="s">
        <v>138</v>
      </c>
      <c r="N36" s="55" t="s">
        <v>138</v>
      </c>
      <c r="O36" s="55" t="s">
        <v>196</v>
      </c>
      <c r="P36" s="55" t="s">
        <v>441</v>
      </c>
      <c r="Q36" s="55" t="s">
        <v>350</v>
      </c>
      <c r="R36" s="55">
        <v>4</v>
      </c>
      <c r="S36" s="55"/>
      <c r="T36" s="55" t="s">
        <v>442</v>
      </c>
    </row>
    <row r="37" spans="1:20" ht="13" x14ac:dyDescent="0.15">
      <c r="A37" s="72" t="str">
        <f t="shared" si="0"/>
        <v>Ofsted Social Care Provider Webpage</v>
      </c>
      <c r="B37" s="55">
        <v>1166735</v>
      </c>
      <c r="D37" s="55" t="s">
        <v>443</v>
      </c>
      <c r="E37" s="74">
        <v>42278</v>
      </c>
      <c r="F37" s="55" t="s">
        <v>344</v>
      </c>
      <c r="G37" s="55" t="s">
        <v>444</v>
      </c>
      <c r="H37" s="55" t="s">
        <v>445</v>
      </c>
      <c r="I37" s="55" t="s">
        <v>354</v>
      </c>
      <c r="J37" s="55" t="s">
        <v>129</v>
      </c>
      <c r="L37" s="55" t="s">
        <v>446</v>
      </c>
      <c r="M37" s="55" t="s">
        <v>129</v>
      </c>
      <c r="N37" s="55" t="s">
        <v>129</v>
      </c>
      <c r="O37" s="55" t="s">
        <v>160</v>
      </c>
      <c r="P37" s="55" t="s">
        <v>447</v>
      </c>
      <c r="Q37" s="55" t="s">
        <v>362</v>
      </c>
      <c r="R37" s="55"/>
      <c r="S37" s="55"/>
      <c r="T37" s="55" t="s">
        <v>448</v>
      </c>
    </row>
    <row r="38" spans="1:20" ht="13" x14ac:dyDescent="0.15">
      <c r="A38" s="72" t="str">
        <f t="shared" si="0"/>
        <v>Ofsted Social Care Provider Webpage</v>
      </c>
      <c r="B38" s="55">
        <v>1183069</v>
      </c>
      <c r="D38" s="55" t="s">
        <v>373</v>
      </c>
      <c r="E38" s="74">
        <v>42278</v>
      </c>
      <c r="F38" s="55" t="s">
        <v>344</v>
      </c>
      <c r="G38" s="55" t="s">
        <v>360</v>
      </c>
      <c r="H38" s="55" t="s">
        <v>360</v>
      </c>
      <c r="I38" s="55" t="s">
        <v>360</v>
      </c>
      <c r="J38" s="55" t="s">
        <v>360</v>
      </c>
      <c r="K38" s="55" t="s">
        <v>360</v>
      </c>
      <c r="L38" s="55" t="s">
        <v>360</v>
      </c>
      <c r="M38" s="55" t="s">
        <v>138</v>
      </c>
      <c r="N38" s="55" t="s">
        <v>138</v>
      </c>
      <c r="O38" s="55" t="s">
        <v>266</v>
      </c>
      <c r="P38" s="55" t="s">
        <v>449</v>
      </c>
      <c r="Q38" s="55" t="s">
        <v>350</v>
      </c>
      <c r="R38" s="55">
        <v>6</v>
      </c>
      <c r="S38" s="55"/>
      <c r="T38" s="55" t="s">
        <v>450</v>
      </c>
    </row>
    <row r="39" spans="1:20" ht="13" x14ac:dyDescent="0.15">
      <c r="A39" s="72" t="str">
        <f t="shared" si="0"/>
        <v>Ofsted Social Care Provider Webpage</v>
      </c>
      <c r="B39" s="55">
        <v>1183134</v>
      </c>
      <c r="D39" s="55" t="s">
        <v>451</v>
      </c>
      <c r="E39" s="74">
        <v>42279</v>
      </c>
      <c r="F39" s="55" t="s">
        <v>344</v>
      </c>
      <c r="G39" s="55" t="s">
        <v>452</v>
      </c>
      <c r="H39" s="55" t="s">
        <v>453</v>
      </c>
      <c r="I39" s="55" t="s">
        <v>354</v>
      </c>
      <c r="J39" s="55" t="s">
        <v>258</v>
      </c>
      <c r="K39" s="55" t="s">
        <v>190</v>
      </c>
      <c r="L39" s="55" t="s">
        <v>454</v>
      </c>
      <c r="M39" s="55" t="s">
        <v>150</v>
      </c>
      <c r="N39" s="55" t="s">
        <v>150</v>
      </c>
      <c r="O39" s="55" t="s">
        <v>258</v>
      </c>
      <c r="P39" s="55" t="s">
        <v>455</v>
      </c>
      <c r="Q39" s="55" t="s">
        <v>350</v>
      </c>
      <c r="R39" s="55">
        <v>5</v>
      </c>
      <c r="S39" s="55"/>
      <c r="T39" s="55" t="s">
        <v>456</v>
      </c>
    </row>
    <row r="40" spans="1:20" ht="13" x14ac:dyDescent="0.15">
      <c r="A40" s="72" t="str">
        <f t="shared" si="0"/>
        <v>Ofsted Social Care Provider Webpage</v>
      </c>
      <c r="B40" s="55">
        <v>1183136</v>
      </c>
      <c r="D40" s="55" t="s">
        <v>373</v>
      </c>
      <c r="E40" s="74">
        <v>42256</v>
      </c>
      <c r="F40" s="55" t="s">
        <v>344</v>
      </c>
      <c r="G40" s="55" t="s">
        <v>360</v>
      </c>
      <c r="H40" s="55" t="s">
        <v>360</v>
      </c>
      <c r="I40" s="55" t="s">
        <v>360</v>
      </c>
      <c r="J40" s="55" t="s">
        <v>360</v>
      </c>
      <c r="K40" s="55" t="s">
        <v>360</v>
      </c>
      <c r="L40" s="55" t="s">
        <v>360</v>
      </c>
      <c r="M40" s="55" t="s">
        <v>172</v>
      </c>
      <c r="N40" s="55" t="s">
        <v>172</v>
      </c>
      <c r="O40" s="55" t="s">
        <v>234</v>
      </c>
      <c r="P40" s="55" t="s">
        <v>457</v>
      </c>
      <c r="Q40" s="55" t="s">
        <v>362</v>
      </c>
      <c r="R40" s="55">
        <v>2</v>
      </c>
      <c r="S40" s="55"/>
      <c r="T40" s="55" t="s">
        <v>458</v>
      </c>
    </row>
    <row r="41" spans="1:20" ht="13" x14ac:dyDescent="0.15">
      <c r="A41" s="72" t="str">
        <f t="shared" si="0"/>
        <v>Ofsted Social Care Provider Webpage</v>
      </c>
      <c r="B41" s="55">
        <v>1183173</v>
      </c>
      <c r="D41" s="55" t="s">
        <v>373</v>
      </c>
      <c r="E41" s="74">
        <v>42317</v>
      </c>
      <c r="F41" s="55" t="s">
        <v>344</v>
      </c>
      <c r="G41" s="55" t="s">
        <v>360</v>
      </c>
      <c r="H41" s="55" t="s">
        <v>360</v>
      </c>
      <c r="I41" s="55" t="s">
        <v>360</v>
      </c>
      <c r="J41" s="55" t="s">
        <v>360</v>
      </c>
      <c r="K41" s="55" t="s">
        <v>360</v>
      </c>
      <c r="L41" s="55" t="s">
        <v>360</v>
      </c>
      <c r="M41" s="55" t="s">
        <v>172</v>
      </c>
      <c r="N41" s="55" t="s">
        <v>172</v>
      </c>
      <c r="O41" s="55" t="s">
        <v>228</v>
      </c>
      <c r="P41" s="55" t="s">
        <v>459</v>
      </c>
      <c r="Q41" s="55" t="s">
        <v>350</v>
      </c>
      <c r="R41" s="55">
        <v>4</v>
      </c>
      <c r="S41" s="55"/>
      <c r="T41" s="55" t="s">
        <v>460</v>
      </c>
    </row>
    <row r="42" spans="1:20" ht="13" x14ac:dyDescent="0.15">
      <c r="A42" s="72" t="str">
        <f t="shared" si="0"/>
        <v>Ofsted Social Care Provider Webpage</v>
      </c>
      <c r="B42" s="55">
        <v>1183197</v>
      </c>
      <c r="D42" s="55" t="s">
        <v>373</v>
      </c>
      <c r="E42" s="74">
        <v>42293</v>
      </c>
      <c r="F42" s="55" t="s">
        <v>344</v>
      </c>
      <c r="G42" s="55" t="s">
        <v>360</v>
      </c>
      <c r="H42" s="55" t="s">
        <v>360</v>
      </c>
      <c r="I42" s="55" t="s">
        <v>360</v>
      </c>
      <c r="J42" s="55" t="s">
        <v>360</v>
      </c>
      <c r="K42" s="55" t="s">
        <v>360</v>
      </c>
      <c r="L42" s="55" t="s">
        <v>360</v>
      </c>
      <c r="M42" s="55" t="s">
        <v>378</v>
      </c>
      <c r="N42" s="55" t="s">
        <v>134</v>
      </c>
      <c r="O42" s="55" t="s">
        <v>277</v>
      </c>
      <c r="P42" s="55" t="s">
        <v>461</v>
      </c>
      <c r="Q42" s="55" t="s">
        <v>350</v>
      </c>
      <c r="R42" s="55">
        <v>4</v>
      </c>
      <c r="S42" s="55"/>
      <c r="T42" s="55" t="s">
        <v>462</v>
      </c>
    </row>
    <row r="43" spans="1:20" ht="13" x14ac:dyDescent="0.15">
      <c r="A43" s="72" t="str">
        <f t="shared" si="0"/>
        <v>Ofsted Social Care Provider Webpage</v>
      </c>
      <c r="B43" s="55">
        <v>1183479</v>
      </c>
      <c r="D43" s="55" t="s">
        <v>373</v>
      </c>
      <c r="E43" s="74">
        <v>42277</v>
      </c>
      <c r="F43" s="55" t="s">
        <v>344</v>
      </c>
      <c r="G43" s="55" t="s">
        <v>360</v>
      </c>
      <c r="H43" s="55" t="s">
        <v>360</v>
      </c>
      <c r="I43" s="55" t="s">
        <v>360</v>
      </c>
      <c r="J43" s="55" t="s">
        <v>360</v>
      </c>
      <c r="K43" s="55" t="s">
        <v>360</v>
      </c>
      <c r="L43" s="55" t="s">
        <v>360</v>
      </c>
      <c r="M43" s="55" t="s">
        <v>150</v>
      </c>
      <c r="N43" s="55" t="s">
        <v>150</v>
      </c>
      <c r="O43" s="55" t="s">
        <v>253</v>
      </c>
      <c r="P43" s="55" t="s">
        <v>253</v>
      </c>
      <c r="Q43" s="55" t="s">
        <v>362</v>
      </c>
      <c r="R43" s="55">
        <v>6</v>
      </c>
      <c r="S43" s="55" t="s">
        <v>332</v>
      </c>
      <c r="T43" s="55" t="s">
        <v>463</v>
      </c>
    </row>
    <row r="44" spans="1:20" ht="13" x14ac:dyDescent="0.15">
      <c r="A44" s="72" t="str">
        <f t="shared" si="0"/>
        <v>Ofsted Social Care Provider Webpage</v>
      </c>
      <c r="B44" s="55">
        <v>1183495</v>
      </c>
      <c r="D44" s="55" t="s">
        <v>389</v>
      </c>
      <c r="E44" s="74">
        <v>42277</v>
      </c>
      <c r="F44" s="55" t="s">
        <v>344</v>
      </c>
      <c r="G44" s="55" t="s">
        <v>464</v>
      </c>
      <c r="H44" s="55" t="s">
        <v>465</v>
      </c>
      <c r="I44" s="55" t="s">
        <v>466</v>
      </c>
      <c r="J44" s="55" t="s">
        <v>253</v>
      </c>
      <c r="L44" s="55" t="s">
        <v>467</v>
      </c>
      <c r="M44" s="55" t="s">
        <v>150</v>
      </c>
      <c r="N44" s="55" t="s">
        <v>150</v>
      </c>
      <c r="O44" s="55" t="s">
        <v>253</v>
      </c>
      <c r="P44" s="55" t="s">
        <v>253</v>
      </c>
      <c r="Q44" s="55" t="s">
        <v>362</v>
      </c>
      <c r="R44" s="55"/>
      <c r="S44" s="55"/>
      <c r="T44" s="55" t="s">
        <v>463</v>
      </c>
    </row>
    <row r="45" spans="1:20" ht="13" x14ac:dyDescent="0.15">
      <c r="A45" s="72" t="str">
        <f t="shared" si="0"/>
        <v>Ofsted Social Care Provider Webpage</v>
      </c>
      <c r="B45" s="55">
        <v>1183499</v>
      </c>
      <c r="D45" s="55" t="s">
        <v>468</v>
      </c>
      <c r="E45" s="74">
        <v>42277</v>
      </c>
      <c r="F45" s="55" t="s">
        <v>344</v>
      </c>
      <c r="G45" s="55" t="s">
        <v>469</v>
      </c>
      <c r="H45" s="55" t="s">
        <v>470</v>
      </c>
      <c r="I45" s="55" t="s">
        <v>471</v>
      </c>
      <c r="J45" s="55" t="s">
        <v>253</v>
      </c>
      <c r="L45" s="55" t="s">
        <v>467</v>
      </c>
      <c r="M45" s="55" t="s">
        <v>150</v>
      </c>
      <c r="N45" s="55" t="s">
        <v>150</v>
      </c>
      <c r="O45" s="55" t="s">
        <v>253</v>
      </c>
      <c r="P45" s="55" t="s">
        <v>253</v>
      </c>
      <c r="Q45" s="55" t="s">
        <v>362</v>
      </c>
      <c r="R45" s="55"/>
      <c r="S45" s="55"/>
      <c r="T45" s="55" t="s">
        <v>463</v>
      </c>
    </row>
    <row r="46" spans="1:20" ht="13" x14ac:dyDescent="0.15">
      <c r="A46" s="72" t="str">
        <f t="shared" si="0"/>
        <v>Ofsted Social Care Provider Webpage</v>
      </c>
      <c r="B46" s="55">
        <v>1183574</v>
      </c>
      <c r="D46" s="55" t="s">
        <v>373</v>
      </c>
      <c r="E46" s="74">
        <v>42379</v>
      </c>
      <c r="F46" s="55" t="s">
        <v>344</v>
      </c>
      <c r="G46" s="55" t="s">
        <v>360</v>
      </c>
      <c r="H46" s="55" t="s">
        <v>360</v>
      </c>
      <c r="I46" s="55" t="s">
        <v>360</v>
      </c>
      <c r="J46" s="55" t="s">
        <v>360</v>
      </c>
      <c r="K46" s="55" t="s">
        <v>360</v>
      </c>
      <c r="L46" s="55" t="s">
        <v>360</v>
      </c>
      <c r="M46" s="55" t="s">
        <v>144</v>
      </c>
      <c r="N46" s="55" t="s">
        <v>144</v>
      </c>
      <c r="O46" s="55" t="s">
        <v>163</v>
      </c>
      <c r="P46" s="55" t="s">
        <v>472</v>
      </c>
      <c r="Q46" s="55" t="s">
        <v>380</v>
      </c>
      <c r="R46" s="55">
        <v>4</v>
      </c>
      <c r="S46" s="55"/>
      <c r="T46" s="55" t="s">
        <v>473</v>
      </c>
    </row>
    <row r="47" spans="1:20" ht="13" x14ac:dyDescent="0.15">
      <c r="A47" s="72" t="str">
        <f t="shared" si="0"/>
        <v>Ofsted Social Care Provider Webpage</v>
      </c>
      <c r="B47" s="55">
        <v>1183605</v>
      </c>
      <c r="D47" s="55" t="s">
        <v>373</v>
      </c>
      <c r="E47" s="74">
        <v>42429</v>
      </c>
      <c r="F47" s="55" t="s">
        <v>344</v>
      </c>
      <c r="G47" s="55" t="s">
        <v>360</v>
      </c>
      <c r="H47" s="55" t="s">
        <v>360</v>
      </c>
      <c r="I47" s="55" t="s">
        <v>360</v>
      </c>
      <c r="J47" s="55" t="s">
        <v>360</v>
      </c>
      <c r="K47" s="55" t="s">
        <v>360</v>
      </c>
      <c r="L47" s="55" t="s">
        <v>360</v>
      </c>
      <c r="M47" s="55" t="s">
        <v>144</v>
      </c>
      <c r="N47" s="55" t="s">
        <v>144</v>
      </c>
      <c r="O47" s="55" t="s">
        <v>209</v>
      </c>
      <c r="P47" s="55" t="s">
        <v>474</v>
      </c>
      <c r="Q47" s="55" t="s">
        <v>350</v>
      </c>
      <c r="R47" s="55">
        <v>3</v>
      </c>
      <c r="S47" s="55"/>
      <c r="T47" s="55" t="s">
        <v>475</v>
      </c>
    </row>
    <row r="48" spans="1:20" ht="13" x14ac:dyDescent="0.15">
      <c r="A48" s="72" t="str">
        <f t="shared" si="0"/>
        <v>Ofsted Social Care Provider Webpage</v>
      </c>
      <c r="B48" s="55">
        <v>1183799</v>
      </c>
      <c r="D48" s="55" t="s">
        <v>373</v>
      </c>
      <c r="E48" s="74">
        <v>42333</v>
      </c>
      <c r="F48" s="55" t="s">
        <v>344</v>
      </c>
      <c r="G48" s="55" t="s">
        <v>360</v>
      </c>
      <c r="H48" s="55" t="s">
        <v>360</v>
      </c>
      <c r="I48" s="55" t="s">
        <v>360</v>
      </c>
      <c r="J48" s="55" t="s">
        <v>360</v>
      </c>
      <c r="K48" s="55" t="s">
        <v>360</v>
      </c>
      <c r="L48" s="55" t="s">
        <v>360</v>
      </c>
      <c r="M48" s="55" t="s">
        <v>150</v>
      </c>
      <c r="N48" s="55" t="s">
        <v>150</v>
      </c>
      <c r="O48" s="55" t="s">
        <v>253</v>
      </c>
      <c r="P48" s="55" t="s">
        <v>253</v>
      </c>
      <c r="Q48" s="55" t="s">
        <v>350</v>
      </c>
      <c r="R48" s="55">
        <v>4</v>
      </c>
      <c r="S48" s="55"/>
      <c r="T48" s="55" t="s">
        <v>476</v>
      </c>
    </row>
    <row r="49" spans="1:20" ht="13" x14ac:dyDescent="0.15">
      <c r="A49" s="72" t="str">
        <f t="shared" si="0"/>
        <v>Ofsted Social Care Provider Webpage</v>
      </c>
      <c r="B49" s="55">
        <v>1183826</v>
      </c>
      <c r="D49" s="55" t="s">
        <v>373</v>
      </c>
      <c r="E49" s="74">
        <v>42464</v>
      </c>
      <c r="F49" s="55" t="s">
        <v>344</v>
      </c>
      <c r="G49" s="55" t="s">
        <v>360</v>
      </c>
      <c r="H49" s="55" t="s">
        <v>360</v>
      </c>
      <c r="I49" s="55" t="s">
        <v>360</v>
      </c>
      <c r="J49" s="55" t="s">
        <v>360</v>
      </c>
      <c r="K49" s="55" t="s">
        <v>360</v>
      </c>
      <c r="L49" s="55" t="s">
        <v>360</v>
      </c>
      <c r="M49" s="55" t="s">
        <v>378</v>
      </c>
      <c r="N49" s="55" t="s">
        <v>170</v>
      </c>
      <c r="O49" s="55" t="s">
        <v>267</v>
      </c>
      <c r="P49" s="55" t="s">
        <v>477</v>
      </c>
      <c r="Q49" s="55" t="s">
        <v>350</v>
      </c>
      <c r="R49" s="55">
        <v>8</v>
      </c>
      <c r="S49" s="55" t="s">
        <v>332</v>
      </c>
      <c r="T49" s="55" t="s">
        <v>478</v>
      </c>
    </row>
    <row r="50" spans="1:20" ht="13" x14ac:dyDescent="0.15">
      <c r="A50" s="72" t="str">
        <f t="shared" si="0"/>
        <v>Ofsted Social Care Provider Webpage</v>
      </c>
      <c r="B50" s="55">
        <v>1183911</v>
      </c>
      <c r="D50" s="55" t="s">
        <v>479</v>
      </c>
      <c r="E50" s="74">
        <v>42313</v>
      </c>
      <c r="F50" s="55" t="s">
        <v>344</v>
      </c>
      <c r="G50" s="55" t="s">
        <v>360</v>
      </c>
      <c r="H50" s="55" t="s">
        <v>360</v>
      </c>
      <c r="I50" s="55" t="s">
        <v>360</v>
      </c>
      <c r="J50" s="55" t="s">
        <v>360</v>
      </c>
      <c r="K50" s="55" t="s">
        <v>360</v>
      </c>
      <c r="L50" s="55" t="s">
        <v>360</v>
      </c>
      <c r="M50" s="55" t="s">
        <v>378</v>
      </c>
      <c r="N50" s="55" t="s">
        <v>134</v>
      </c>
      <c r="O50" s="55" t="s">
        <v>158</v>
      </c>
      <c r="P50" s="55" t="s">
        <v>480</v>
      </c>
      <c r="Q50" s="55" t="s">
        <v>350</v>
      </c>
      <c r="R50" s="55">
        <v>12</v>
      </c>
      <c r="S50" s="55"/>
      <c r="T50" s="55" t="s">
        <v>481</v>
      </c>
    </row>
    <row r="51" spans="1:20" ht="13" x14ac:dyDescent="0.15">
      <c r="A51" s="72" t="str">
        <f t="shared" si="0"/>
        <v>Ofsted Social Care Provider Webpage</v>
      </c>
      <c r="B51" s="55">
        <v>1183936</v>
      </c>
      <c r="D51" s="55" t="s">
        <v>373</v>
      </c>
      <c r="E51" s="74">
        <v>42240</v>
      </c>
      <c r="F51" s="55" t="s">
        <v>344</v>
      </c>
      <c r="G51" s="55" t="s">
        <v>360</v>
      </c>
      <c r="H51" s="55" t="s">
        <v>360</v>
      </c>
      <c r="I51" s="55" t="s">
        <v>360</v>
      </c>
      <c r="J51" s="55" t="s">
        <v>360</v>
      </c>
      <c r="K51" s="55" t="s">
        <v>360</v>
      </c>
      <c r="L51" s="55" t="s">
        <v>360</v>
      </c>
      <c r="M51" s="55" t="s">
        <v>129</v>
      </c>
      <c r="N51" s="55" t="s">
        <v>129</v>
      </c>
      <c r="O51" s="55" t="s">
        <v>155</v>
      </c>
      <c r="P51" s="55" t="s">
        <v>482</v>
      </c>
      <c r="Q51" s="55" t="s">
        <v>350</v>
      </c>
      <c r="R51" s="55">
        <v>6</v>
      </c>
      <c r="S51" s="55"/>
      <c r="T51" s="55" t="s">
        <v>483</v>
      </c>
    </row>
    <row r="52" spans="1:20" ht="13" x14ac:dyDescent="0.15">
      <c r="A52" s="72" t="str">
        <f t="shared" si="0"/>
        <v>Ofsted Social Care Provider Webpage</v>
      </c>
      <c r="B52" s="55">
        <v>1184093</v>
      </c>
      <c r="D52" s="55" t="s">
        <v>373</v>
      </c>
      <c r="E52" s="74">
        <v>42360</v>
      </c>
      <c r="F52" s="55" t="s">
        <v>344</v>
      </c>
      <c r="G52" s="55" t="s">
        <v>360</v>
      </c>
      <c r="H52" s="55" t="s">
        <v>360</v>
      </c>
      <c r="I52" s="55" t="s">
        <v>360</v>
      </c>
      <c r="J52" s="55" t="s">
        <v>360</v>
      </c>
      <c r="K52" s="55" t="s">
        <v>360</v>
      </c>
      <c r="L52" s="55" t="s">
        <v>360</v>
      </c>
      <c r="M52" s="55" t="s">
        <v>144</v>
      </c>
      <c r="N52" s="55" t="s">
        <v>144</v>
      </c>
      <c r="O52" s="55" t="s">
        <v>145</v>
      </c>
      <c r="P52" s="55" t="s">
        <v>484</v>
      </c>
      <c r="Q52" s="55" t="s">
        <v>350</v>
      </c>
      <c r="R52" s="55">
        <v>3</v>
      </c>
      <c r="S52" s="55"/>
      <c r="T52" s="55" t="s">
        <v>485</v>
      </c>
    </row>
    <row r="53" spans="1:20" ht="13" x14ac:dyDescent="0.15">
      <c r="A53" s="72" t="str">
        <f t="shared" si="0"/>
        <v>Ofsted Social Care Provider Webpage</v>
      </c>
      <c r="B53" s="55">
        <v>1185488</v>
      </c>
      <c r="D53" s="55" t="s">
        <v>373</v>
      </c>
      <c r="E53" s="74">
        <v>42338</v>
      </c>
      <c r="F53" s="55" t="s">
        <v>344</v>
      </c>
      <c r="G53" s="55" t="s">
        <v>360</v>
      </c>
      <c r="H53" s="55" t="s">
        <v>360</v>
      </c>
      <c r="I53" s="55" t="s">
        <v>360</v>
      </c>
      <c r="J53" s="55" t="s">
        <v>360</v>
      </c>
      <c r="K53" s="55" t="s">
        <v>360</v>
      </c>
      <c r="L53" s="55" t="s">
        <v>360</v>
      </c>
      <c r="M53" s="55" t="s">
        <v>150</v>
      </c>
      <c r="N53" s="55" t="s">
        <v>150</v>
      </c>
      <c r="O53" s="55" t="s">
        <v>241</v>
      </c>
      <c r="P53" s="55" t="s">
        <v>486</v>
      </c>
      <c r="Q53" s="55" t="s">
        <v>350</v>
      </c>
      <c r="R53" s="55">
        <v>4</v>
      </c>
      <c r="S53" s="55"/>
      <c r="T53" s="55" t="s">
        <v>487</v>
      </c>
    </row>
    <row r="54" spans="1:20" ht="13" x14ac:dyDescent="0.15">
      <c r="A54" s="72" t="str">
        <f t="shared" si="0"/>
        <v>Ofsted Social Care Provider Webpage</v>
      </c>
      <c r="B54" s="55">
        <v>1185765</v>
      </c>
      <c r="D54" s="55" t="s">
        <v>373</v>
      </c>
      <c r="E54" s="74">
        <v>42347</v>
      </c>
      <c r="F54" s="55" t="s">
        <v>344</v>
      </c>
      <c r="G54" s="55" t="s">
        <v>360</v>
      </c>
      <c r="H54" s="55" t="s">
        <v>360</v>
      </c>
      <c r="I54" s="55" t="s">
        <v>360</v>
      </c>
      <c r="J54" s="55" t="s">
        <v>360</v>
      </c>
      <c r="K54" s="55" t="s">
        <v>360</v>
      </c>
      <c r="L54" s="55" t="s">
        <v>360</v>
      </c>
      <c r="M54" s="55" t="s">
        <v>142</v>
      </c>
      <c r="N54" s="55" t="s">
        <v>142</v>
      </c>
      <c r="O54" s="55" t="s">
        <v>262</v>
      </c>
      <c r="P54" s="55" t="s">
        <v>488</v>
      </c>
      <c r="Q54" s="55" t="s">
        <v>350</v>
      </c>
      <c r="R54" s="55">
        <v>4</v>
      </c>
      <c r="S54" s="55"/>
      <c r="T54" s="55" t="s">
        <v>489</v>
      </c>
    </row>
    <row r="55" spans="1:20" ht="13" x14ac:dyDescent="0.15">
      <c r="A55" s="72" t="str">
        <f t="shared" si="0"/>
        <v>Ofsted Social Care Provider Webpage</v>
      </c>
      <c r="B55" s="55">
        <v>1185828</v>
      </c>
      <c r="D55" s="55" t="s">
        <v>373</v>
      </c>
      <c r="E55" s="74">
        <v>42408</v>
      </c>
      <c r="F55" s="55" t="s">
        <v>344</v>
      </c>
      <c r="G55" s="55" t="s">
        <v>360</v>
      </c>
      <c r="H55" s="55" t="s">
        <v>360</v>
      </c>
      <c r="I55" s="55" t="s">
        <v>360</v>
      </c>
      <c r="J55" s="55" t="s">
        <v>360</v>
      </c>
      <c r="K55" s="55" t="s">
        <v>360</v>
      </c>
      <c r="L55" s="55" t="s">
        <v>360</v>
      </c>
      <c r="M55" s="55" t="s">
        <v>144</v>
      </c>
      <c r="N55" s="55" t="s">
        <v>144</v>
      </c>
      <c r="O55" s="55" t="s">
        <v>287</v>
      </c>
      <c r="P55" s="55" t="s">
        <v>287</v>
      </c>
      <c r="Q55" s="55" t="s">
        <v>350</v>
      </c>
      <c r="R55" s="55">
        <v>4</v>
      </c>
      <c r="S55" s="55"/>
      <c r="T55" s="55" t="s">
        <v>490</v>
      </c>
    </row>
    <row r="56" spans="1:20" ht="13" x14ac:dyDescent="0.15">
      <c r="A56" s="72" t="str">
        <f t="shared" si="0"/>
        <v>Ofsted Social Care Provider Webpage</v>
      </c>
      <c r="B56" s="55">
        <v>1211772</v>
      </c>
      <c r="D56" s="55" t="s">
        <v>373</v>
      </c>
      <c r="E56" s="74">
        <v>42355</v>
      </c>
      <c r="F56" s="55" t="s">
        <v>344</v>
      </c>
      <c r="G56" s="55" t="s">
        <v>360</v>
      </c>
      <c r="H56" s="55" t="s">
        <v>360</v>
      </c>
      <c r="I56" s="55" t="s">
        <v>360</v>
      </c>
      <c r="J56" s="55" t="s">
        <v>360</v>
      </c>
      <c r="K56" s="55" t="s">
        <v>360</v>
      </c>
      <c r="L56" s="55" t="s">
        <v>360</v>
      </c>
      <c r="M56" s="55" t="s">
        <v>378</v>
      </c>
      <c r="N56" s="55" t="s">
        <v>134</v>
      </c>
      <c r="O56" s="55" t="s">
        <v>232</v>
      </c>
      <c r="P56" s="55" t="s">
        <v>491</v>
      </c>
      <c r="Q56" s="55" t="s">
        <v>350</v>
      </c>
      <c r="R56" s="55">
        <v>6</v>
      </c>
      <c r="S56" s="55"/>
      <c r="T56" s="55" t="s">
        <v>450</v>
      </c>
    </row>
    <row r="57" spans="1:20" ht="13" x14ac:dyDescent="0.15">
      <c r="A57" s="72" t="str">
        <f t="shared" si="0"/>
        <v>Ofsted Social Care Provider Webpage</v>
      </c>
      <c r="B57" s="55">
        <v>1212094</v>
      </c>
      <c r="D57" s="55" t="s">
        <v>373</v>
      </c>
      <c r="E57" s="74">
        <v>42409</v>
      </c>
      <c r="F57" s="55" t="s">
        <v>344</v>
      </c>
      <c r="G57" s="55" t="s">
        <v>360</v>
      </c>
      <c r="H57" s="55" t="s">
        <v>360</v>
      </c>
      <c r="I57" s="55" t="s">
        <v>360</v>
      </c>
      <c r="J57" s="55" t="s">
        <v>360</v>
      </c>
      <c r="K57" s="55" t="s">
        <v>360</v>
      </c>
      <c r="L57" s="55" t="s">
        <v>360</v>
      </c>
      <c r="M57" s="55" t="s">
        <v>144</v>
      </c>
      <c r="N57" s="55" t="s">
        <v>144</v>
      </c>
      <c r="O57" s="55" t="s">
        <v>248</v>
      </c>
      <c r="P57" s="55" t="s">
        <v>492</v>
      </c>
      <c r="Q57" s="55" t="s">
        <v>350</v>
      </c>
      <c r="R57" s="55">
        <v>4</v>
      </c>
      <c r="S57" s="55"/>
      <c r="T57" s="55" t="s">
        <v>493</v>
      </c>
    </row>
    <row r="58" spans="1:20" ht="13" x14ac:dyDescent="0.15">
      <c r="A58" s="72" t="str">
        <f t="shared" si="0"/>
        <v>Ofsted Social Care Provider Webpage</v>
      </c>
      <c r="B58" s="55">
        <v>1212117</v>
      </c>
      <c r="D58" s="55" t="s">
        <v>373</v>
      </c>
      <c r="E58" s="74">
        <v>42339</v>
      </c>
      <c r="F58" s="55" t="s">
        <v>344</v>
      </c>
      <c r="G58" s="55" t="s">
        <v>360</v>
      </c>
      <c r="H58" s="55" t="s">
        <v>360</v>
      </c>
      <c r="I58" s="55" t="s">
        <v>360</v>
      </c>
      <c r="J58" s="55" t="s">
        <v>360</v>
      </c>
      <c r="K58" s="55" t="s">
        <v>360</v>
      </c>
      <c r="L58" s="55" t="s">
        <v>360</v>
      </c>
      <c r="M58" s="55" t="s">
        <v>172</v>
      </c>
      <c r="N58" s="55" t="s">
        <v>172</v>
      </c>
      <c r="O58" s="55" t="s">
        <v>235</v>
      </c>
      <c r="P58" s="55" t="s">
        <v>494</v>
      </c>
      <c r="Q58" s="55" t="s">
        <v>350</v>
      </c>
      <c r="R58" s="55">
        <v>3</v>
      </c>
      <c r="S58" s="55"/>
      <c r="T58" s="55" t="s">
        <v>495</v>
      </c>
    </row>
    <row r="59" spans="1:20" ht="13" x14ac:dyDescent="0.15">
      <c r="A59" s="72" t="str">
        <f t="shared" si="0"/>
        <v>Ofsted Social Care Provider Webpage</v>
      </c>
      <c r="B59" s="55">
        <v>1212704</v>
      </c>
      <c r="D59" s="55" t="s">
        <v>373</v>
      </c>
      <c r="E59" s="74">
        <v>42628</v>
      </c>
      <c r="F59" s="55" t="s">
        <v>344</v>
      </c>
      <c r="G59" s="55" t="s">
        <v>360</v>
      </c>
      <c r="H59" s="55" t="s">
        <v>360</v>
      </c>
      <c r="I59" s="55" t="s">
        <v>360</v>
      </c>
      <c r="J59" s="55" t="s">
        <v>360</v>
      </c>
      <c r="K59" s="55" t="s">
        <v>360</v>
      </c>
      <c r="L59" s="55" t="s">
        <v>360</v>
      </c>
      <c r="M59" s="55" t="s">
        <v>378</v>
      </c>
      <c r="N59" s="55" t="s">
        <v>134</v>
      </c>
      <c r="O59" s="55" t="s">
        <v>232</v>
      </c>
      <c r="P59" s="55" t="s">
        <v>496</v>
      </c>
      <c r="Q59" s="55" t="s">
        <v>350</v>
      </c>
      <c r="R59" s="55">
        <v>3</v>
      </c>
      <c r="S59" s="55"/>
      <c r="T59" s="55" t="s">
        <v>493</v>
      </c>
    </row>
    <row r="60" spans="1:20" ht="13" x14ac:dyDescent="0.15">
      <c r="A60" s="72" t="str">
        <f t="shared" si="0"/>
        <v>Ofsted Social Care Provider Webpage</v>
      </c>
      <c r="B60" s="55">
        <v>1212708</v>
      </c>
      <c r="D60" s="55" t="s">
        <v>373</v>
      </c>
      <c r="E60" s="74">
        <v>42347</v>
      </c>
      <c r="F60" s="55" t="s">
        <v>344</v>
      </c>
      <c r="G60" s="55" t="s">
        <v>360</v>
      </c>
      <c r="H60" s="55" t="s">
        <v>360</v>
      </c>
      <c r="I60" s="55" t="s">
        <v>360</v>
      </c>
      <c r="J60" s="55" t="s">
        <v>360</v>
      </c>
      <c r="K60" s="55" t="s">
        <v>360</v>
      </c>
      <c r="L60" s="55" t="s">
        <v>360</v>
      </c>
      <c r="M60" s="55" t="s">
        <v>172</v>
      </c>
      <c r="N60" s="55" t="s">
        <v>172</v>
      </c>
      <c r="O60" s="55" t="s">
        <v>234</v>
      </c>
      <c r="P60" s="55" t="s">
        <v>457</v>
      </c>
      <c r="Q60" s="55" t="s">
        <v>350</v>
      </c>
      <c r="R60" s="55">
        <v>3</v>
      </c>
      <c r="S60" s="55"/>
      <c r="T60" s="55" t="s">
        <v>495</v>
      </c>
    </row>
    <row r="61" spans="1:20" ht="13" x14ac:dyDescent="0.15">
      <c r="A61" s="72" t="str">
        <f t="shared" si="0"/>
        <v>Ofsted Social Care Provider Webpage</v>
      </c>
      <c r="B61" s="55">
        <v>1212899</v>
      </c>
      <c r="D61" s="55" t="s">
        <v>389</v>
      </c>
      <c r="E61" s="74">
        <v>42522</v>
      </c>
      <c r="F61" s="55" t="s">
        <v>344</v>
      </c>
      <c r="G61" s="55" t="s">
        <v>497</v>
      </c>
      <c r="H61" s="55" t="s">
        <v>498</v>
      </c>
      <c r="I61" s="55" t="s">
        <v>499</v>
      </c>
      <c r="J61" s="55" t="s">
        <v>500</v>
      </c>
      <c r="K61" s="55" t="s">
        <v>190</v>
      </c>
      <c r="L61" s="55" t="s">
        <v>501</v>
      </c>
      <c r="M61" s="55" t="s">
        <v>150</v>
      </c>
      <c r="N61" s="55" t="s">
        <v>150</v>
      </c>
      <c r="O61" s="55" t="s">
        <v>190</v>
      </c>
      <c r="P61" s="55" t="s">
        <v>500</v>
      </c>
      <c r="Q61" s="55" t="s">
        <v>350</v>
      </c>
      <c r="R61" s="55"/>
      <c r="S61" s="55"/>
      <c r="T61" s="55" t="s">
        <v>502</v>
      </c>
    </row>
    <row r="62" spans="1:20" ht="13" x14ac:dyDescent="0.15">
      <c r="A62" s="72" t="str">
        <f t="shared" si="0"/>
        <v>Ofsted Social Care Provider Webpage</v>
      </c>
      <c r="B62" s="55">
        <v>1213416</v>
      </c>
      <c r="D62" s="55" t="s">
        <v>373</v>
      </c>
      <c r="E62" s="74">
        <v>42332</v>
      </c>
      <c r="F62" s="55" t="s">
        <v>344</v>
      </c>
      <c r="G62" s="55" t="s">
        <v>360</v>
      </c>
      <c r="H62" s="55" t="s">
        <v>360</v>
      </c>
      <c r="I62" s="55" t="s">
        <v>360</v>
      </c>
      <c r="J62" s="55" t="s">
        <v>360</v>
      </c>
      <c r="K62" s="55" t="s">
        <v>360</v>
      </c>
      <c r="L62" s="55" t="s">
        <v>360</v>
      </c>
      <c r="M62" s="55" t="s">
        <v>142</v>
      </c>
      <c r="N62" s="55" t="s">
        <v>142</v>
      </c>
      <c r="O62" s="55" t="s">
        <v>252</v>
      </c>
      <c r="P62" s="55" t="s">
        <v>503</v>
      </c>
      <c r="Q62" s="55" t="s">
        <v>350</v>
      </c>
      <c r="R62" s="55">
        <v>2</v>
      </c>
      <c r="S62" s="55"/>
      <c r="T62" s="55" t="s">
        <v>504</v>
      </c>
    </row>
    <row r="63" spans="1:20" ht="13" x14ac:dyDescent="0.15">
      <c r="A63" s="72" t="str">
        <f t="shared" si="0"/>
        <v>Ofsted Social Care Provider Webpage</v>
      </c>
      <c r="B63" s="55">
        <v>1213822</v>
      </c>
      <c r="C63" s="55">
        <v>141512</v>
      </c>
      <c r="D63" s="55" t="s">
        <v>413</v>
      </c>
      <c r="E63" s="74">
        <v>42095</v>
      </c>
      <c r="F63" s="55" t="s">
        <v>344</v>
      </c>
      <c r="G63" s="55" t="s">
        <v>505</v>
      </c>
      <c r="H63" s="55" t="s">
        <v>506</v>
      </c>
      <c r="I63" s="55" t="s">
        <v>507</v>
      </c>
      <c r="J63" s="55" t="s">
        <v>508</v>
      </c>
      <c r="K63" s="55" t="s">
        <v>183</v>
      </c>
      <c r="L63" s="55" t="s">
        <v>509</v>
      </c>
      <c r="M63" s="55" t="s">
        <v>138</v>
      </c>
      <c r="N63" s="55" t="s">
        <v>138</v>
      </c>
      <c r="O63" s="55" t="s">
        <v>183</v>
      </c>
      <c r="P63" s="55" t="s">
        <v>510</v>
      </c>
      <c r="Q63" s="55" t="s">
        <v>420</v>
      </c>
      <c r="R63" s="55">
        <v>28</v>
      </c>
      <c r="S63" s="55"/>
      <c r="T63" s="55" t="s">
        <v>511</v>
      </c>
    </row>
    <row r="64" spans="1:20" ht="13" x14ac:dyDescent="0.15">
      <c r="A64" s="72" t="str">
        <f t="shared" si="0"/>
        <v>Ofsted Social Care Provider Webpage</v>
      </c>
      <c r="B64" s="55">
        <v>1213828</v>
      </c>
      <c r="D64" s="55" t="s">
        <v>373</v>
      </c>
      <c r="E64" s="74">
        <v>42276</v>
      </c>
      <c r="F64" s="55" t="s">
        <v>344</v>
      </c>
      <c r="G64" s="55" t="s">
        <v>360</v>
      </c>
      <c r="H64" s="55" t="s">
        <v>360</v>
      </c>
      <c r="I64" s="55" t="s">
        <v>360</v>
      </c>
      <c r="J64" s="55" t="s">
        <v>360</v>
      </c>
      <c r="K64" s="55" t="s">
        <v>360</v>
      </c>
      <c r="L64" s="55" t="s">
        <v>360</v>
      </c>
      <c r="M64" s="55" t="s">
        <v>144</v>
      </c>
      <c r="N64" s="55" t="s">
        <v>144</v>
      </c>
      <c r="O64" s="55" t="s">
        <v>261</v>
      </c>
      <c r="P64" s="55" t="s">
        <v>512</v>
      </c>
      <c r="Q64" s="55" t="s">
        <v>350</v>
      </c>
      <c r="R64" s="55">
        <v>2</v>
      </c>
      <c r="S64" s="55"/>
      <c r="T64" s="55" t="s">
        <v>513</v>
      </c>
    </row>
    <row r="65" spans="1:20" ht="13" x14ac:dyDescent="0.15">
      <c r="A65" s="72" t="str">
        <f t="shared" si="0"/>
        <v>Ofsted Social Care Provider Webpage</v>
      </c>
      <c r="B65" s="55">
        <v>1214266</v>
      </c>
      <c r="D65" s="55" t="s">
        <v>373</v>
      </c>
      <c r="E65" s="74">
        <v>42318</v>
      </c>
      <c r="F65" s="55" t="s">
        <v>344</v>
      </c>
      <c r="G65" s="55" t="s">
        <v>360</v>
      </c>
      <c r="H65" s="55" t="s">
        <v>360</v>
      </c>
      <c r="I65" s="55" t="s">
        <v>360</v>
      </c>
      <c r="J65" s="55" t="s">
        <v>360</v>
      </c>
      <c r="K65" s="55" t="s">
        <v>360</v>
      </c>
      <c r="L65" s="55" t="s">
        <v>360</v>
      </c>
      <c r="M65" s="55" t="s">
        <v>172</v>
      </c>
      <c r="N65" s="55" t="s">
        <v>172</v>
      </c>
      <c r="O65" s="55" t="s">
        <v>212</v>
      </c>
      <c r="P65" s="55" t="s">
        <v>514</v>
      </c>
      <c r="Q65" s="55" t="s">
        <v>350</v>
      </c>
      <c r="R65" s="55">
        <v>4</v>
      </c>
      <c r="S65" s="55"/>
      <c r="T65" s="55" t="s">
        <v>515</v>
      </c>
    </row>
    <row r="66" spans="1:20" ht="13" x14ac:dyDescent="0.15">
      <c r="A66" s="72" t="str">
        <f t="shared" si="0"/>
        <v>Ofsted Social Care Provider Webpage</v>
      </c>
      <c r="B66" s="55">
        <v>1214270</v>
      </c>
      <c r="D66" s="55" t="s">
        <v>373</v>
      </c>
      <c r="E66" s="74">
        <v>42356</v>
      </c>
      <c r="F66" s="55" t="s">
        <v>344</v>
      </c>
      <c r="G66" s="55" t="s">
        <v>360</v>
      </c>
      <c r="H66" s="55" t="s">
        <v>360</v>
      </c>
      <c r="I66" s="55" t="s">
        <v>360</v>
      </c>
      <c r="J66" s="55" t="s">
        <v>360</v>
      </c>
      <c r="K66" s="55" t="s">
        <v>360</v>
      </c>
      <c r="L66" s="55" t="s">
        <v>360</v>
      </c>
      <c r="M66" s="55" t="s">
        <v>144</v>
      </c>
      <c r="N66" s="55" t="s">
        <v>144</v>
      </c>
      <c r="O66" s="55" t="s">
        <v>162</v>
      </c>
      <c r="P66" s="55" t="s">
        <v>516</v>
      </c>
      <c r="Q66" s="55" t="s">
        <v>350</v>
      </c>
      <c r="R66" s="55">
        <v>1</v>
      </c>
      <c r="S66" s="55"/>
      <c r="T66" s="55" t="s">
        <v>517</v>
      </c>
    </row>
    <row r="67" spans="1:20" ht="13" x14ac:dyDescent="0.15">
      <c r="A67" s="72" t="str">
        <f t="shared" si="0"/>
        <v>Ofsted Social Care Provider Webpage</v>
      </c>
      <c r="B67" s="55">
        <v>1214396</v>
      </c>
      <c r="D67" s="55" t="s">
        <v>373</v>
      </c>
      <c r="E67" s="74">
        <v>42382</v>
      </c>
      <c r="F67" s="55" t="s">
        <v>344</v>
      </c>
      <c r="G67" s="55" t="s">
        <v>360</v>
      </c>
      <c r="H67" s="55" t="s">
        <v>360</v>
      </c>
      <c r="I67" s="55" t="s">
        <v>360</v>
      </c>
      <c r="J67" s="55" t="s">
        <v>360</v>
      </c>
      <c r="K67" s="55" t="s">
        <v>360</v>
      </c>
      <c r="L67" s="55" t="s">
        <v>360</v>
      </c>
      <c r="M67" s="55" t="s">
        <v>142</v>
      </c>
      <c r="N67" s="55" t="s">
        <v>142</v>
      </c>
      <c r="O67" s="55" t="s">
        <v>195</v>
      </c>
      <c r="P67" s="55" t="s">
        <v>518</v>
      </c>
      <c r="Q67" s="55" t="s">
        <v>350</v>
      </c>
      <c r="R67" s="55">
        <v>2</v>
      </c>
      <c r="S67" s="55"/>
      <c r="T67" s="55" t="s">
        <v>519</v>
      </c>
    </row>
    <row r="68" spans="1:20" ht="13" x14ac:dyDescent="0.15">
      <c r="A68" s="72" t="str">
        <f t="shared" si="0"/>
        <v>Ofsted Social Care Provider Webpage</v>
      </c>
      <c r="B68" s="55">
        <v>1215521</v>
      </c>
      <c r="D68" s="55" t="s">
        <v>373</v>
      </c>
      <c r="E68" s="74">
        <v>42345</v>
      </c>
      <c r="F68" s="55" t="s">
        <v>344</v>
      </c>
      <c r="G68" s="55" t="s">
        <v>360</v>
      </c>
      <c r="H68" s="55" t="s">
        <v>360</v>
      </c>
      <c r="I68" s="55" t="s">
        <v>360</v>
      </c>
      <c r="J68" s="55" t="s">
        <v>360</v>
      </c>
      <c r="K68" s="55" t="s">
        <v>360</v>
      </c>
      <c r="L68" s="55" t="s">
        <v>360</v>
      </c>
      <c r="M68" s="55" t="s">
        <v>172</v>
      </c>
      <c r="N68" s="55" t="s">
        <v>172</v>
      </c>
      <c r="O68" s="55" t="s">
        <v>234</v>
      </c>
      <c r="P68" s="55" t="s">
        <v>369</v>
      </c>
      <c r="Q68" s="55" t="s">
        <v>350</v>
      </c>
      <c r="R68" s="55">
        <v>3</v>
      </c>
      <c r="S68" s="55"/>
      <c r="T68" s="55" t="s">
        <v>520</v>
      </c>
    </row>
    <row r="69" spans="1:20" ht="13" x14ac:dyDescent="0.15">
      <c r="A69" s="72" t="str">
        <f t="shared" ref="A69:A132" si="1">HYPERLINK(_xlfn.CONCAT("http://reports.ofsted.gov.uk/inspection-reports/find-inspection-report/provider/CARE/",B69),"Ofsted Social Care Provider Webpage")</f>
        <v>Ofsted Social Care Provider Webpage</v>
      </c>
      <c r="B69" s="55">
        <v>1216505</v>
      </c>
      <c r="D69" s="55" t="s">
        <v>373</v>
      </c>
      <c r="E69" s="74">
        <v>42403</v>
      </c>
      <c r="F69" s="55" t="s">
        <v>344</v>
      </c>
      <c r="G69" s="55" t="s">
        <v>360</v>
      </c>
      <c r="H69" s="55" t="s">
        <v>360</v>
      </c>
      <c r="I69" s="55" t="s">
        <v>360</v>
      </c>
      <c r="J69" s="55" t="s">
        <v>360</v>
      </c>
      <c r="K69" s="55" t="s">
        <v>360</v>
      </c>
      <c r="L69" s="55" t="s">
        <v>360</v>
      </c>
      <c r="M69" s="55" t="s">
        <v>378</v>
      </c>
      <c r="N69" s="55" t="s">
        <v>170</v>
      </c>
      <c r="O69" s="55" t="s">
        <v>222</v>
      </c>
      <c r="P69" s="55" t="s">
        <v>521</v>
      </c>
      <c r="Q69" s="55" t="s">
        <v>350</v>
      </c>
      <c r="R69" s="55">
        <v>5</v>
      </c>
      <c r="S69" s="55"/>
      <c r="T69" s="55" t="s">
        <v>522</v>
      </c>
    </row>
    <row r="70" spans="1:20" ht="13" x14ac:dyDescent="0.15">
      <c r="A70" s="72" t="str">
        <f t="shared" si="1"/>
        <v>Ofsted Social Care Provider Webpage</v>
      </c>
      <c r="B70" s="55">
        <v>1220887</v>
      </c>
      <c r="D70" s="55" t="s">
        <v>373</v>
      </c>
      <c r="E70" s="74">
        <v>42337</v>
      </c>
      <c r="F70" s="55" t="s">
        <v>344</v>
      </c>
      <c r="G70" s="55" t="s">
        <v>360</v>
      </c>
      <c r="H70" s="55" t="s">
        <v>360</v>
      </c>
      <c r="I70" s="55" t="s">
        <v>360</v>
      </c>
      <c r="J70" s="55" t="s">
        <v>360</v>
      </c>
      <c r="K70" s="55" t="s">
        <v>360</v>
      </c>
      <c r="L70" s="55" t="s">
        <v>360</v>
      </c>
      <c r="M70" s="55" t="s">
        <v>142</v>
      </c>
      <c r="N70" s="55" t="s">
        <v>142</v>
      </c>
      <c r="O70" s="55" t="s">
        <v>262</v>
      </c>
      <c r="P70" s="55" t="s">
        <v>523</v>
      </c>
      <c r="Q70" s="55" t="s">
        <v>350</v>
      </c>
      <c r="R70" s="55">
        <v>3</v>
      </c>
      <c r="S70" s="55"/>
      <c r="T70" s="55" t="s">
        <v>524</v>
      </c>
    </row>
    <row r="71" spans="1:20" ht="13" x14ac:dyDescent="0.15">
      <c r="A71" s="72" t="str">
        <f t="shared" si="1"/>
        <v>Ofsted Social Care Provider Webpage</v>
      </c>
      <c r="B71" s="55">
        <v>1221357</v>
      </c>
      <c r="D71" s="55" t="s">
        <v>373</v>
      </c>
      <c r="E71" s="74">
        <v>42530</v>
      </c>
      <c r="F71" s="55" t="s">
        <v>344</v>
      </c>
      <c r="G71" s="55" t="s">
        <v>360</v>
      </c>
      <c r="H71" s="55" t="s">
        <v>360</v>
      </c>
      <c r="I71" s="55" t="s">
        <v>360</v>
      </c>
      <c r="J71" s="55" t="s">
        <v>360</v>
      </c>
      <c r="K71" s="55" t="s">
        <v>360</v>
      </c>
      <c r="L71" s="55" t="s">
        <v>360</v>
      </c>
      <c r="M71" s="55" t="s">
        <v>144</v>
      </c>
      <c r="N71" s="55" t="s">
        <v>144</v>
      </c>
      <c r="O71" s="55" t="s">
        <v>145</v>
      </c>
      <c r="P71" s="55" t="s">
        <v>525</v>
      </c>
      <c r="Q71" s="55" t="s">
        <v>350</v>
      </c>
      <c r="R71" s="55">
        <v>4</v>
      </c>
      <c r="S71" s="55"/>
      <c r="T71" s="55" t="s">
        <v>493</v>
      </c>
    </row>
    <row r="72" spans="1:20" ht="13" x14ac:dyDescent="0.15">
      <c r="A72" s="72" t="str">
        <f t="shared" si="1"/>
        <v>Ofsted Social Care Provider Webpage</v>
      </c>
      <c r="B72" s="55">
        <v>1221437</v>
      </c>
      <c r="D72" s="55" t="s">
        <v>373</v>
      </c>
      <c r="E72" s="74">
        <v>42444</v>
      </c>
      <c r="F72" s="55" t="s">
        <v>344</v>
      </c>
      <c r="G72" s="55" t="s">
        <v>360</v>
      </c>
      <c r="H72" s="55" t="s">
        <v>360</v>
      </c>
      <c r="I72" s="55" t="s">
        <v>360</v>
      </c>
      <c r="J72" s="55" t="s">
        <v>360</v>
      </c>
      <c r="K72" s="55" t="s">
        <v>360</v>
      </c>
      <c r="L72" s="55" t="s">
        <v>360</v>
      </c>
      <c r="M72" s="55" t="s">
        <v>136</v>
      </c>
      <c r="N72" s="55" t="s">
        <v>136</v>
      </c>
      <c r="O72" s="55" t="s">
        <v>176</v>
      </c>
      <c r="P72" s="55" t="s">
        <v>526</v>
      </c>
      <c r="Q72" s="55" t="s">
        <v>350</v>
      </c>
      <c r="R72" s="55">
        <v>5</v>
      </c>
      <c r="S72" s="55" t="s">
        <v>332</v>
      </c>
      <c r="T72" s="55" t="s">
        <v>527</v>
      </c>
    </row>
    <row r="73" spans="1:20" ht="13" x14ac:dyDescent="0.15">
      <c r="A73" s="72" t="str">
        <f t="shared" si="1"/>
        <v>Ofsted Social Care Provider Webpage</v>
      </c>
      <c r="B73" s="55">
        <v>1221446</v>
      </c>
      <c r="D73" s="55" t="s">
        <v>389</v>
      </c>
      <c r="E73" s="74">
        <v>42573</v>
      </c>
      <c r="F73" s="55" t="s">
        <v>344</v>
      </c>
      <c r="G73" s="55" t="s">
        <v>528</v>
      </c>
      <c r="H73" s="55" t="s">
        <v>529</v>
      </c>
      <c r="I73" s="55" t="s">
        <v>530</v>
      </c>
      <c r="J73" s="55" t="s">
        <v>129</v>
      </c>
      <c r="L73" s="55" t="s">
        <v>531</v>
      </c>
      <c r="M73" s="55" t="s">
        <v>129</v>
      </c>
      <c r="N73" s="55" t="s">
        <v>129</v>
      </c>
      <c r="O73" s="55" t="s">
        <v>197</v>
      </c>
      <c r="P73" s="55" t="s">
        <v>532</v>
      </c>
      <c r="Q73" s="55" t="s">
        <v>350</v>
      </c>
      <c r="R73" s="55"/>
      <c r="S73" s="55"/>
      <c r="T73" s="55" t="s">
        <v>533</v>
      </c>
    </row>
    <row r="74" spans="1:20" ht="13" x14ac:dyDescent="0.15">
      <c r="A74" s="72" t="str">
        <f t="shared" si="1"/>
        <v>Ofsted Social Care Provider Webpage</v>
      </c>
      <c r="B74" s="55">
        <v>1221700</v>
      </c>
      <c r="D74" s="55" t="s">
        <v>373</v>
      </c>
      <c r="E74" s="74">
        <v>42402</v>
      </c>
      <c r="F74" s="55" t="s">
        <v>344</v>
      </c>
      <c r="G74" s="55" t="s">
        <v>360</v>
      </c>
      <c r="H74" s="55" t="s">
        <v>360</v>
      </c>
      <c r="I74" s="55" t="s">
        <v>360</v>
      </c>
      <c r="J74" s="55" t="s">
        <v>360</v>
      </c>
      <c r="K74" s="55" t="s">
        <v>360</v>
      </c>
      <c r="L74" s="55" t="s">
        <v>360</v>
      </c>
      <c r="M74" s="55" t="s">
        <v>144</v>
      </c>
      <c r="N74" s="55" t="s">
        <v>144</v>
      </c>
      <c r="O74" s="55" t="s">
        <v>209</v>
      </c>
      <c r="P74" s="55" t="s">
        <v>534</v>
      </c>
      <c r="Q74" s="55" t="s">
        <v>350</v>
      </c>
      <c r="R74" s="55">
        <v>5</v>
      </c>
      <c r="S74" s="55"/>
      <c r="T74" s="55" t="s">
        <v>493</v>
      </c>
    </row>
    <row r="75" spans="1:20" ht="13" x14ac:dyDescent="0.15">
      <c r="A75" s="72" t="str">
        <f t="shared" si="1"/>
        <v>Ofsted Social Care Provider Webpage</v>
      </c>
      <c r="B75" s="55">
        <v>1222039</v>
      </c>
      <c r="D75" s="55" t="s">
        <v>389</v>
      </c>
      <c r="E75" s="74">
        <v>42653</v>
      </c>
      <c r="F75" s="55" t="s">
        <v>344</v>
      </c>
      <c r="G75" s="55" t="s">
        <v>535</v>
      </c>
      <c r="H75" s="55" t="s">
        <v>536</v>
      </c>
      <c r="I75" s="55" t="s">
        <v>537</v>
      </c>
      <c r="J75" s="55" t="s">
        <v>155</v>
      </c>
      <c r="L75" s="55" t="s">
        <v>538</v>
      </c>
      <c r="M75" s="55" t="s">
        <v>129</v>
      </c>
      <c r="N75" s="55" t="s">
        <v>129</v>
      </c>
      <c r="O75" s="55" t="s">
        <v>155</v>
      </c>
      <c r="P75" s="55" t="s">
        <v>410</v>
      </c>
      <c r="Q75" s="55" t="s">
        <v>350</v>
      </c>
      <c r="R75" s="55"/>
      <c r="S75" s="55"/>
      <c r="T75" s="55" t="s">
        <v>539</v>
      </c>
    </row>
    <row r="76" spans="1:20" ht="13" x14ac:dyDescent="0.15">
      <c r="A76" s="72" t="str">
        <f t="shared" si="1"/>
        <v>Ofsted Social Care Provider Webpage</v>
      </c>
      <c r="B76" s="55">
        <v>1222089</v>
      </c>
      <c r="D76" s="55" t="s">
        <v>373</v>
      </c>
      <c r="E76" s="74">
        <v>42417</v>
      </c>
      <c r="F76" s="55" t="s">
        <v>344</v>
      </c>
      <c r="G76" s="55" t="s">
        <v>360</v>
      </c>
      <c r="H76" s="55" t="s">
        <v>360</v>
      </c>
      <c r="I76" s="55" t="s">
        <v>360</v>
      </c>
      <c r="J76" s="55" t="s">
        <v>360</v>
      </c>
      <c r="K76" s="55" t="s">
        <v>360</v>
      </c>
      <c r="L76" s="55" t="s">
        <v>360</v>
      </c>
      <c r="M76" s="55" t="s">
        <v>142</v>
      </c>
      <c r="N76" s="55" t="s">
        <v>142</v>
      </c>
      <c r="O76" s="55" t="s">
        <v>265</v>
      </c>
      <c r="P76" s="55" t="s">
        <v>540</v>
      </c>
      <c r="Q76" s="55" t="s">
        <v>350</v>
      </c>
      <c r="R76" s="55">
        <v>4</v>
      </c>
      <c r="S76" s="55"/>
      <c r="T76" s="55" t="s">
        <v>541</v>
      </c>
    </row>
    <row r="77" spans="1:20" ht="13" x14ac:dyDescent="0.15">
      <c r="A77" s="72" t="str">
        <f t="shared" si="1"/>
        <v>Ofsted Social Care Provider Webpage</v>
      </c>
      <c r="B77" s="55">
        <v>1223201</v>
      </c>
      <c r="D77" s="55" t="s">
        <v>373</v>
      </c>
      <c r="E77" s="74">
        <v>42348</v>
      </c>
      <c r="F77" s="55" t="s">
        <v>344</v>
      </c>
      <c r="G77" s="55" t="s">
        <v>360</v>
      </c>
      <c r="H77" s="55" t="s">
        <v>360</v>
      </c>
      <c r="I77" s="55" t="s">
        <v>360</v>
      </c>
      <c r="J77" s="55" t="s">
        <v>360</v>
      </c>
      <c r="K77" s="55" t="s">
        <v>360</v>
      </c>
      <c r="L77" s="55" t="s">
        <v>360</v>
      </c>
      <c r="M77" s="55" t="s">
        <v>378</v>
      </c>
      <c r="N77" s="55" t="s">
        <v>134</v>
      </c>
      <c r="O77" s="55" t="s">
        <v>210</v>
      </c>
      <c r="P77" s="55" t="s">
        <v>542</v>
      </c>
      <c r="Q77" s="55" t="s">
        <v>380</v>
      </c>
      <c r="R77" s="55">
        <v>4</v>
      </c>
      <c r="S77" s="55"/>
      <c r="T77" s="55" t="s">
        <v>543</v>
      </c>
    </row>
    <row r="78" spans="1:20" ht="13" x14ac:dyDescent="0.15">
      <c r="A78" s="72" t="str">
        <f t="shared" si="1"/>
        <v>Ofsted Social Care Provider Webpage</v>
      </c>
      <c r="B78" s="55">
        <v>1223501</v>
      </c>
      <c r="D78" s="55" t="s">
        <v>373</v>
      </c>
      <c r="E78" s="74">
        <v>42404</v>
      </c>
      <c r="F78" s="55" t="s">
        <v>344</v>
      </c>
      <c r="G78" s="55" t="s">
        <v>360</v>
      </c>
      <c r="H78" s="55" t="s">
        <v>360</v>
      </c>
      <c r="I78" s="55" t="s">
        <v>360</v>
      </c>
      <c r="J78" s="55" t="s">
        <v>360</v>
      </c>
      <c r="K78" s="55" t="s">
        <v>360</v>
      </c>
      <c r="L78" s="55" t="s">
        <v>360</v>
      </c>
      <c r="M78" s="55" t="s">
        <v>144</v>
      </c>
      <c r="N78" s="55" t="s">
        <v>144</v>
      </c>
      <c r="O78" s="55" t="s">
        <v>209</v>
      </c>
      <c r="P78" s="55" t="s">
        <v>544</v>
      </c>
      <c r="Q78" s="55" t="s">
        <v>350</v>
      </c>
      <c r="R78" s="55">
        <v>4</v>
      </c>
      <c r="S78" s="55"/>
      <c r="T78" s="55" t="s">
        <v>493</v>
      </c>
    </row>
    <row r="79" spans="1:20" ht="13" x14ac:dyDescent="0.15">
      <c r="A79" s="72" t="str">
        <f t="shared" si="1"/>
        <v>Ofsted Social Care Provider Webpage</v>
      </c>
      <c r="B79" s="55">
        <v>1223681</v>
      </c>
      <c r="D79" s="55" t="s">
        <v>373</v>
      </c>
      <c r="E79" s="74">
        <v>42474</v>
      </c>
      <c r="F79" s="55" t="s">
        <v>344</v>
      </c>
      <c r="G79" s="55" t="s">
        <v>360</v>
      </c>
      <c r="H79" s="55" t="s">
        <v>360</v>
      </c>
      <c r="I79" s="55" t="s">
        <v>360</v>
      </c>
      <c r="J79" s="55" t="s">
        <v>360</v>
      </c>
      <c r="K79" s="55" t="s">
        <v>360</v>
      </c>
      <c r="L79" s="55" t="s">
        <v>360</v>
      </c>
      <c r="M79" s="55" t="s">
        <v>144</v>
      </c>
      <c r="N79" s="55" t="s">
        <v>144</v>
      </c>
      <c r="O79" s="55" t="s">
        <v>209</v>
      </c>
      <c r="P79" s="55" t="s">
        <v>545</v>
      </c>
      <c r="Q79" s="55" t="s">
        <v>350</v>
      </c>
      <c r="R79" s="55">
        <v>3</v>
      </c>
      <c r="S79" s="55"/>
      <c r="T79" s="55" t="s">
        <v>485</v>
      </c>
    </row>
    <row r="80" spans="1:20" ht="13" x14ac:dyDescent="0.15">
      <c r="A80" s="72" t="str">
        <f t="shared" si="1"/>
        <v>Ofsted Social Care Provider Webpage</v>
      </c>
      <c r="B80" s="55">
        <v>1224093</v>
      </c>
      <c r="D80" s="55" t="s">
        <v>373</v>
      </c>
      <c r="E80" s="74">
        <v>42312</v>
      </c>
      <c r="F80" s="55" t="s">
        <v>344</v>
      </c>
      <c r="G80" s="55" t="s">
        <v>360</v>
      </c>
      <c r="H80" s="55" t="s">
        <v>360</v>
      </c>
      <c r="I80" s="55" t="s">
        <v>360</v>
      </c>
      <c r="J80" s="55" t="s">
        <v>360</v>
      </c>
      <c r="K80" s="55" t="s">
        <v>360</v>
      </c>
      <c r="L80" s="55" t="s">
        <v>360</v>
      </c>
      <c r="M80" s="55" t="s">
        <v>138</v>
      </c>
      <c r="N80" s="55" t="s">
        <v>138</v>
      </c>
      <c r="O80" s="55" t="s">
        <v>196</v>
      </c>
      <c r="P80" s="55" t="s">
        <v>546</v>
      </c>
      <c r="Q80" s="55" t="s">
        <v>350</v>
      </c>
      <c r="R80" s="55">
        <v>4</v>
      </c>
      <c r="S80" s="55"/>
      <c r="T80" s="55" t="s">
        <v>442</v>
      </c>
    </row>
    <row r="81" spans="1:20" ht="13" x14ac:dyDescent="0.15">
      <c r="A81" s="72" t="str">
        <f t="shared" si="1"/>
        <v>Ofsted Social Care Provider Webpage</v>
      </c>
      <c r="B81" s="55">
        <v>1224663</v>
      </c>
      <c r="D81" s="55" t="s">
        <v>373</v>
      </c>
      <c r="E81" s="74">
        <v>42368</v>
      </c>
      <c r="F81" s="55" t="s">
        <v>344</v>
      </c>
      <c r="G81" s="55" t="s">
        <v>360</v>
      </c>
      <c r="H81" s="55" t="s">
        <v>360</v>
      </c>
      <c r="I81" s="55" t="s">
        <v>360</v>
      </c>
      <c r="J81" s="55" t="s">
        <v>360</v>
      </c>
      <c r="K81" s="55" t="s">
        <v>360</v>
      </c>
      <c r="L81" s="55" t="s">
        <v>360</v>
      </c>
      <c r="M81" s="55" t="s">
        <v>172</v>
      </c>
      <c r="N81" s="55" t="s">
        <v>172</v>
      </c>
      <c r="O81" s="55" t="s">
        <v>212</v>
      </c>
      <c r="P81" s="55" t="s">
        <v>547</v>
      </c>
      <c r="Q81" s="55" t="s">
        <v>350</v>
      </c>
      <c r="R81" s="55">
        <v>3</v>
      </c>
      <c r="S81" s="55"/>
      <c r="T81" s="55" t="s">
        <v>489</v>
      </c>
    </row>
    <row r="82" spans="1:20" ht="13" x14ac:dyDescent="0.15">
      <c r="A82" s="72" t="str">
        <f t="shared" si="1"/>
        <v>Ofsted Social Care Provider Webpage</v>
      </c>
      <c r="B82" s="55">
        <v>1224685</v>
      </c>
      <c r="D82" s="55" t="s">
        <v>389</v>
      </c>
      <c r="E82" s="74">
        <v>42438</v>
      </c>
      <c r="F82" s="55" t="s">
        <v>344</v>
      </c>
      <c r="G82" s="55" t="s">
        <v>548</v>
      </c>
      <c r="H82" s="55" t="s">
        <v>549</v>
      </c>
      <c r="I82" s="55" t="s">
        <v>550</v>
      </c>
      <c r="J82" s="55" t="s">
        <v>551</v>
      </c>
      <c r="L82" s="55" t="s">
        <v>552</v>
      </c>
      <c r="M82" s="55" t="s">
        <v>129</v>
      </c>
      <c r="N82" s="55" t="s">
        <v>129</v>
      </c>
      <c r="O82" s="55" t="s">
        <v>167</v>
      </c>
      <c r="P82" s="55" t="s">
        <v>553</v>
      </c>
      <c r="Q82" s="55" t="s">
        <v>350</v>
      </c>
      <c r="R82" s="55"/>
      <c r="S82" s="55"/>
      <c r="T82" s="55" t="s">
        <v>554</v>
      </c>
    </row>
    <row r="83" spans="1:20" ht="13" x14ac:dyDescent="0.15">
      <c r="A83" s="72" t="str">
        <f t="shared" si="1"/>
        <v>Ofsted Social Care Provider Webpage</v>
      </c>
      <c r="B83" s="55">
        <v>1225136</v>
      </c>
      <c r="D83" s="55" t="s">
        <v>373</v>
      </c>
      <c r="E83" s="74">
        <v>42508</v>
      </c>
      <c r="F83" s="55" t="s">
        <v>344</v>
      </c>
      <c r="G83" s="55" t="s">
        <v>360</v>
      </c>
      <c r="H83" s="55" t="s">
        <v>360</v>
      </c>
      <c r="I83" s="55" t="s">
        <v>360</v>
      </c>
      <c r="J83" s="55" t="s">
        <v>360</v>
      </c>
      <c r="K83" s="55" t="s">
        <v>360</v>
      </c>
      <c r="L83" s="55" t="s">
        <v>360</v>
      </c>
      <c r="M83" s="55" t="s">
        <v>144</v>
      </c>
      <c r="N83" s="55" t="s">
        <v>144</v>
      </c>
      <c r="O83" s="55" t="s">
        <v>209</v>
      </c>
      <c r="P83" s="55" t="s">
        <v>555</v>
      </c>
      <c r="Q83" s="55" t="s">
        <v>350</v>
      </c>
      <c r="R83" s="55">
        <v>4</v>
      </c>
      <c r="S83" s="55"/>
      <c r="T83" s="55" t="s">
        <v>385</v>
      </c>
    </row>
    <row r="84" spans="1:20" ht="13" x14ac:dyDescent="0.15">
      <c r="A84" s="72" t="str">
        <f t="shared" si="1"/>
        <v>Ofsted Social Care Provider Webpage</v>
      </c>
      <c r="B84" s="55">
        <v>1225371</v>
      </c>
      <c r="D84" s="55" t="s">
        <v>373</v>
      </c>
      <c r="E84" s="74">
        <v>42487</v>
      </c>
      <c r="F84" s="55" t="s">
        <v>344</v>
      </c>
      <c r="G84" s="55" t="s">
        <v>360</v>
      </c>
      <c r="H84" s="55" t="s">
        <v>360</v>
      </c>
      <c r="I84" s="55" t="s">
        <v>360</v>
      </c>
      <c r="J84" s="55" t="s">
        <v>360</v>
      </c>
      <c r="K84" s="55" t="s">
        <v>360</v>
      </c>
      <c r="L84" s="55" t="s">
        <v>360</v>
      </c>
      <c r="M84" s="55" t="s">
        <v>144</v>
      </c>
      <c r="N84" s="55" t="s">
        <v>144</v>
      </c>
      <c r="O84" s="55" t="s">
        <v>281</v>
      </c>
      <c r="P84" s="55" t="s">
        <v>556</v>
      </c>
      <c r="Q84" s="55" t="s">
        <v>350</v>
      </c>
      <c r="R84" s="55">
        <v>2</v>
      </c>
      <c r="S84" s="55"/>
      <c r="T84" s="55" t="s">
        <v>557</v>
      </c>
    </row>
    <row r="85" spans="1:20" ht="13" x14ac:dyDescent="0.15">
      <c r="A85" s="72" t="str">
        <f t="shared" si="1"/>
        <v>Ofsted Social Care Provider Webpage</v>
      </c>
      <c r="B85" s="55">
        <v>1225624</v>
      </c>
      <c r="D85" s="55" t="s">
        <v>389</v>
      </c>
      <c r="E85" s="74">
        <v>42600</v>
      </c>
      <c r="F85" s="55" t="s">
        <v>344</v>
      </c>
      <c r="G85" s="55" t="s">
        <v>558</v>
      </c>
      <c r="H85" s="55" t="s">
        <v>559</v>
      </c>
      <c r="I85" s="55" t="s">
        <v>560</v>
      </c>
      <c r="J85" s="55" t="s">
        <v>561</v>
      </c>
      <c r="K85" s="55" t="s">
        <v>209</v>
      </c>
      <c r="L85" s="55" t="s">
        <v>562</v>
      </c>
      <c r="M85" s="55" t="s">
        <v>144</v>
      </c>
      <c r="N85" s="55" t="s">
        <v>144</v>
      </c>
      <c r="O85" s="55" t="s">
        <v>209</v>
      </c>
      <c r="P85" s="55" t="s">
        <v>561</v>
      </c>
      <c r="Q85" s="55" t="s">
        <v>350</v>
      </c>
      <c r="R85" s="55"/>
      <c r="S85" s="55"/>
      <c r="T85" s="55" t="s">
        <v>502</v>
      </c>
    </row>
    <row r="86" spans="1:20" ht="13" x14ac:dyDescent="0.15">
      <c r="A86" s="72" t="str">
        <f t="shared" si="1"/>
        <v>Ofsted Social Care Provider Webpage</v>
      </c>
      <c r="B86" s="55">
        <v>1225887</v>
      </c>
      <c r="D86" s="55" t="s">
        <v>373</v>
      </c>
      <c r="E86" s="74">
        <v>42384</v>
      </c>
      <c r="F86" s="55" t="s">
        <v>344</v>
      </c>
      <c r="G86" s="55" t="s">
        <v>360</v>
      </c>
      <c r="H86" s="55" t="s">
        <v>360</v>
      </c>
      <c r="I86" s="55" t="s">
        <v>360</v>
      </c>
      <c r="J86" s="55" t="s">
        <v>360</v>
      </c>
      <c r="K86" s="55" t="s">
        <v>360</v>
      </c>
      <c r="L86" s="55" t="s">
        <v>360</v>
      </c>
      <c r="M86" s="55" t="s">
        <v>150</v>
      </c>
      <c r="N86" s="55" t="s">
        <v>150</v>
      </c>
      <c r="O86" s="55" t="s">
        <v>203</v>
      </c>
      <c r="P86" s="55" t="s">
        <v>563</v>
      </c>
      <c r="Q86" s="55" t="s">
        <v>350</v>
      </c>
      <c r="R86" s="55">
        <v>2</v>
      </c>
      <c r="S86" s="55"/>
      <c r="T86" s="55" t="s">
        <v>564</v>
      </c>
    </row>
    <row r="87" spans="1:20" ht="13" x14ac:dyDescent="0.15">
      <c r="A87" s="72" t="str">
        <f t="shared" si="1"/>
        <v>Ofsted Social Care Provider Webpage</v>
      </c>
      <c r="B87" s="55">
        <v>1226266</v>
      </c>
      <c r="D87" s="55" t="s">
        <v>373</v>
      </c>
      <c r="E87" s="74">
        <v>42380</v>
      </c>
      <c r="F87" s="55" t="s">
        <v>344</v>
      </c>
      <c r="G87" s="55" t="s">
        <v>360</v>
      </c>
      <c r="H87" s="55" t="s">
        <v>360</v>
      </c>
      <c r="I87" s="55" t="s">
        <v>360</v>
      </c>
      <c r="J87" s="55" t="s">
        <v>360</v>
      </c>
      <c r="K87" s="55" t="s">
        <v>360</v>
      </c>
      <c r="L87" s="55" t="s">
        <v>360</v>
      </c>
      <c r="M87" s="55" t="s">
        <v>150</v>
      </c>
      <c r="N87" s="55" t="s">
        <v>150</v>
      </c>
      <c r="O87" s="55" t="s">
        <v>285</v>
      </c>
      <c r="P87" s="55" t="s">
        <v>565</v>
      </c>
      <c r="Q87" s="55" t="s">
        <v>350</v>
      </c>
      <c r="R87" s="55">
        <v>6</v>
      </c>
      <c r="S87" s="55"/>
      <c r="T87" s="55" t="s">
        <v>566</v>
      </c>
    </row>
    <row r="88" spans="1:20" ht="13" x14ac:dyDescent="0.15">
      <c r="A88" s="72" t="str">
        <f t="shared" si="1"/>
        <v>Ofsted Social Care Provider Webpage</v>
      </c>
      <c r="B88" s="55">
        <v>1226271</v>
      </c>
      <c r="D88" s="55" t="s">
        <v>443</v>
      </c>
      <c r="E88" s="74">
        <v>42332</v>
      </c>
      <c r="F88" s="55" t="s">
        <v>344</v>
      </c>
      <c r="G88" s="55" t="s">
        <v>567</v>
      </c>
      <c r="H88" s="55" t="s">
        <v>568</v>
      </c>
      <c r="I88" s="55" t="s">
        <v>569</v>
      </c>
      <c r="J88" s="55" t="s">
        <v>570</v>
      </c>
      <c r="L88" s="55" t="s">
        <v>571</v>
      </c>
      <c r="M88" s="55" t="s">
        <v>136</v>
      </c>
      <c r="N88" s="55" t="s">
        <v>136</v>
      </c>
      <c r="O88" s="55" t="s">
        <v>174</v>
      </c>
      <c r="P88" s="55" t="s">
        <v>572</v>
      </c>
      <c r="Q88" s="55" t="s">
        <v>350</v>
      </c>
      <c r="R88" s="55"/>
      <c r="S88" s="55"/>
      <c r="T88" s="55" t="s">
        <v>567</v>
      </c>
    </row>
    <row r="89" spans="1:20" ht="13" x14ac:dyDescent="0.15">
      <c r="A89" s="72" t="str">
        <f t="shared" si="1"/>
        <v>Ofsted Social Care Provider Webpage</v>
      </c>
      <c r="B89" s="55">
        <v>1226397</v>
      </c>
      <c r="D89" s="55" t="s">
        <v>373</v>
      </c>
      <c r="E89" s="74">
        <v>42672</v>
      </c>
      <c r="F89" s="55" t="s">
        <v>344</v>
      </c>
      <c r="G89" s="55" t="s">
        <v>360</v>
      </c>
      <c r="H89" s="55" t="s">
        <v>360</v>
      </c>
      <c r="I89" s="55" t="s">
        <v>360</v>
      </c>
      <c r="J89" s="55" t="s">
        <v>360</v>
      </c>
      <c r="K89" s="55" t="s">
        <v>360</v>
      </c>
      <c r="L89" s="55" t="s">
        <v>360</v>
      </c>
      <c r="M89" s="55" t="s">
        <v>142</v>
      </c>
      <c r="N89" s="55" t="s">
        <v>142</v>
      </c>
      <c r="O89" s="55" t="s">
        <v>141</v>
      </c>
      <c r="P89" s="55" t="s">
        <v>573</v>
      </c>
      <c r="Q89" s="55" t="s">
        <v>350</v>
      </c>
      <c r="R89" s="55">
        <v>4</v>
      </c>
      <c r="S89" s="55"/>
      <c r="T89" s="55" t="s">
        <v>574</v>
      </c>
    </row>
    <row r="90" spans="1:20" ht="13" x14ac:dyDescent="0.15">
      <c r="A90" s="72" t="str">
        <f t="shared" si="1"/>
        <v>Ofsted Social Care Provider Webpage</v>
      </c>
      <c r="B90" s="55">
        <v>1226495</v>
      </c>
      <c r="D90" s="55" t="s">
        <v>373</v>
      </c>
      <c r="E90" s="74">
        <v>42376</v>
      </c>
      <c r="F90" s="55" t="s">
        <v>344</v>
      </c>
      <c r="G90" s="55" t="s">
        <v>360</v>
      </c>
      <c r="H90" s="55" t="s">
        <v>360</v>
      </c>
      <c r="I90" s="55" t="s">
        <v>360</v>
      </c>
      <c r="J90" s="55" t="s">
        <v>360</v>
      </c>
      <c r="K90" s="55" t="s">
        <v>360</v>
      </c>
      <c r="L90" s="55" t="s">
        <v>360</v>
      </c>
      <c r="M90" s="55" t="s">
        <v>150</v>
      </c>
      <c r="N90" s="55" t="s">
        <v>150</v>
      </c>
      <c r="O90" s="55" t="s">
        <v>285</v>
      </c>
      <c r="P90" s="55" t="s">
        <v>575</v>
      </c>
      <c r="Q90" s="55" t="s">
        <v>350</v>
      </c>
      <c r="R90" s="55">
        <v>5</v>
      </c>
      <c r="S90" s="55"/>
      <c r="T90" s="55" t="s">
        <v>566</v>
      </c>
    </row>
    <row r="91" spans="1:20" ht="13" x14ac:dyDescent="0.15">
      <c r="A91" s="72" t="str">
        <f t="shared" si="1"/>
        <v>Ofsted Social Care Provider Webpage</v>
      </c>
      <c r="B91" s="55">
        <v>1226612</v>
      </c>
      <c r="D91" s="55" t="s">
        <v>373</v>
      </c>
      <c r="E91" s="74">
        <v>42566</v>
      </c>
      <c r="F91" s="55" t="s">
        <v>344</v>
      </c>
      <c r="G91" s="55" t="s">
        <v>360</v>
      </c>
      <c r="H91" s="55" t="s">
        <v>360</v>
      </c>
      <c r="I91" s="55" t="s">
        <v>360</v>
      </c>
      <c r="J91" s="55" t="s">
        <v>360</v>
      </c>
      <c r="K91" s="55" t="s">
        <v>360</v>
      </c>
      <c r="L91" s="55" t="s">
        <v>360</v>
      </c>
      <c r="M91" s="55" t="s">
        <v>138</v>
      </c>
      <c r="N91" s="55" t="s">
        <v>138</v>
      </c>
      <c r="O91" s="55" t="s">
        <v>183</v>
      </c>
      <c r="P91" s="55" t="s">
        <v>576</v>
      </c>
      <c r="Q91" s="55" t="s">
        <v>350</v>
      </c>
      <c r="R91" s="55">
        <v>4</v>
      </c>
      <c r="S91" s="55"/>
      <c r="T91" s="55" t="s">
        <v>577</v>
      </c>
    </row>
    <row r="92" spans="1:20" ht="13" x14ac:dyDescent="0.15">
      <c r="A92" s="72" t="str">
        <f t="shared" si="1"/>
        <v>Ofsted Social Care Provider Webpage</v>
      </c>
      <c r="B92" s="55">
        <v>1226630</v>
      </c>
      <c r="D92" s="55" t="s">
        <v>389</v>
      </c>
      <c r="E92" s="74">
        <v>42429</v>
      </c>
      <c r="F92" s="55" t="s">
        <v>344</v>
      </c>
      <c r="G92" s="55" t="s">
        <v>578</v>
      </c>
      <c r="H92" s="55" t="s">
        <v>579</v>
      </c>
      <c r="I92" s="55" t="s">
        <v>580</v>
      </c>
      <c r="J92" s="55" t="s">
        <v>581</v>
      </c>
      <c r="L92" s="55" t="s">
        <v>582</v>
      </c>
      <c r="M92" s="55" t="s">
        <v>136</v>
      </c>
      <c r="N92" s="55" t="s">
        <v>136</v>
      </c>
      <c r="O92" s="55" t="s">
        <v>255</v>
      </c>
      <c r="P92" s="55" t="s">
        <v>583</v>
      </c>
      <c r="Q92" s="55" t="s">
        <v>350</v>
      </c>
      <c r="R92" s="55"/>
      <c r="S92" s="55"/>
      <c r="T92" s="55" t="s">
        <v>502</v>
      </c>
    </row>
    <row r="93" spans="1:20" ht="13" x14ac:dyDescent="0.15">
      <c r="A93" s="72" t="str">
        <f t="shared" si="1"/>
        <v>Ofsted Social Care Provider Webpage</v>
      </c>
      <c r="B93" s="55">
        <v>1226757</v>
      </c>
      <c r="D93" s="55" t="s">
        <v>373</v>
      </c>
      <c r="E93" s="74">
        <v>42446</v>
      </c>
      <c r="F93" s="55" t="s">
        <v>344</v>
      </c>
      <c r="G93" s="55" t="s">
        <v>360</v>
      </c>
      <c r="H93" s="55" t="s">
        <v>360</v>
      </c>
      <c r="I93" s="55" t="s">
        <v>360</v>
      </c>
      <c r="J93" s="55" t="s">
        <v>360</v>
      </c>
      <c r="K93" s="55" t="s">
        <v>360</v>
      </c>
      <c r="L93" s="55" t="s">
        <v>360</v>
      </c>
      <c r="M93" s="55" t="s">
        <v>138</v>
      </c>
      <c r="N93" s="55" t="s">
        <v>138</v>
      </c>
      <c r="O93" s="55" t="s">
        <v>273</v>
      </c>
      <c r="P93" s="55" t="s">
        <v>584</v>
      </c>
      <c r="Q93" s="55" t="s">
        <v>350</v>
      </c>
      <c r="R93" s="55">
        <v>3</v>
      </c>
      <c r="S93" s="55"/>
      <c r="T93" s="55" t="s">
        <v>585</v>
      </c>
    </row>
    <row r="94" spans="1:20" ht="13" x14ac:dyDescent="0.15">
      <c r="A94" s="72" t="str">
        <f t="shared" si="1"/>
        <v>Ofsted Social Care Provider Webpage</v>
      </c>
      <c r="B94" s="55">
        <v>1226858</v>
      </c>
      <c r="D94" s="55" t="s">
        <v>389</v>
      </c>
      <c r="E94" s="74">
        <v>42591</v>
      </c>
      <c r="F94" s="55" t="s">
        <v>344</v>
      </c>
      <c r="G94" s="55" t="s">
        <v>586</v>
      </c>
      <c r="H94" s="55" t="s">
        <v>587</v>
      </c>
      <c r="I94" s="55" t="s">
        <v>588</v>
      </c>
      <c r="J94" s="55" t="s">
        <v>248</v>
      </c>
      <c r="L94" s="55" t="s">
        <v>589</v>
      </c>
      <c r="M94" s="55" t="s">
        <v>144</v>
      </c>
      <c r="N94" s="55" t="s">
        <v>144</v>
      </c>
      <c r="O94" s="55" t="s">
        <v>248</v>
      </c>
      <c r="P94" s="55" t="s">
        <v>439</v>
      </c>
      <c r="Q94" s="55" t="s">
        <v>362</v>
      </c>
      <c r="R94" s="55"/>
      <c r="S94" s="55"/>
      <c r="T94" s="55" t="s">
        <v>367</v>
      </c>
    </row>
    <row r="95" spans="1:20" ht="13" x14ac:dyDescent="0.15">
      <c r="A95" s="72" t="str">
        <f t="shared" si="1"/>
        <v>Ofsted Social Care Provider Webpage</v>
      </c>
      <c r="B95" s="55">
        <v>1226971</v>
      </c>
      <c r="D95" s="55" t="s">
        <v>479</v>
      </c>
      <c r="E95" s="74">
        <v>42466</v>
      </c>
      <c r="F95" s="55" t="s">
        <v>344</v>
      </c>
      <c r="G95" s="55" t="s">
        <v>360</v>
      </c>
      <c r="H95" s="55" t="s">
        <v>360</v>
      </c>
      <c r="I95" s="55" t="s">
        <v>360</v>
      </c>
      <c r="J95" s="55" t="s">
        <v>360</v>
      </c>
      <c r="K95" s="55" t="s">
        <v>360</v>
      </c>
      <c r="L95" s="55" t="s">
        <v>360</v>
      </c>
      <c r="M95" s="55" t="s">
        <v>136</v>
      </c>
      <c r="N95" s="55" t="s">
        <v>136</v>
      </c>
      <c r="O95" s="55" t="s">
        <v>256</v>
      </c>
      <c r="P95" s="55" t="s">
        <v>590</v>
      </c>
      <c r="Q95" s="55" t="s">
        <v>362</v>
      </c>
      <c r="R95" s="55">
        <v>12</v>
      </c>
      <c r="S95" s="55"/>
      <c r="T95" s="55" t="s">
        <v>591</v>
      </c>
    </row>
    <row r="96" spans="1:20" ht="13" x14ac:dyDescent="0.15">
      <c r="A96" s="72" t="str">
        <f t="shared" si="1"/>
        <v>Ofsted Social Care Provider Webpage</v>
      </c>
      <c r="B96" s="55">
        <v>1226975</v>
      </c>
      <c r="D96" s="55" t="s">
        <v>373</v>
      </c>
      <c r="E96" s="74">
        <v>42397</v>
      </c>
      <c r="F96" s="55" t="s">
        <v>344</v>
      </c>
      <c r="G96" s="55" t="s">
        <v>360</v>
      </c>
      <c r="H96" s="55" t="s">
        <v>360</v>
      </c>
      <c r="I96" s="55" t="s">
        <v>360</v>
      </c>
      <c r="J96" s="55" t="s">
        <v>360</v>
      </c>
      <c r="K96" s="55" t="s">
        <v>360</v>
      </c>
      <c r="L96" s="55" t="s">
        <v>360</v>
      </c>
      <c r="M96" s="55" t="s">
        <v>172</v>
      </c>
      <c r="N96" s="55" t="s">
        <v>172</v>
      </c>
      <c r="O96" s="55" t="s">
        <v>212</v>
      </c>
      <c r="P96" s="55" t="s">
        <v>592</v>
      </c>
      <c r="Q96" s="55" t="s">
        <v>350</v>
      </c>
      <c r="R96" s="55">
        <v>3</v>
      </c>
      <c r="S96" s="55"/>
      <c r="T96" s="55" t="s">
        <v>489</v>
      </c>
    </row>
    <row r="97" spans="1:20" ht="13" x14ac:dyDescent="0.15">
      <c r="A97" s="72" t="str">
        <f t="shared" si="1"/>
        <v>Ofsted Social Care Provider Webpage</v>
      </c>
      <c r="B97" s="55">
        <v>1226977</v>
      </c>
      <c r="D97" s="55" t="s">
        <v>373</v>
      </c>
      <c r="E97" s="74">
        <v>42472</v>
      </c>
      <c r="F97" s="55" t="s">
        <v>344</v>
      </c>
      <c r="G97" s="55" t="s">
        <v>360</v>
      </c>
      <c r="H97" s="55" t="s">
        <v>360</v>
      </c>
      <c r="I97" s="55" t="s">
        <v>360</v>
      </c>
      <c r="J97" s="55" t="s">
        <v>360</v>
      </c>
      <c r="K97" s="55" t="s">
        <v>360</v>
      </c>
      <c r="L97" s="55" t="s">
        <v>360</v>
      </c>
      <c r="M97" s="55" t="s">
        <v>150</v>
      </c>
      <c r="N97" s="55" t="s">
        <v>150</v>
      </c>
      <c r="O97" s="55" t="s">
        <v>203</v>
      </c>
      <c r="P97" s="55" t="s">
        <v>593</v>
      </c>
      <c r="Q97" s="55" t="s">
        <v>350</v>
      </c>
      <c r="R97" s="55">
        <v>2</v>
      </c>
      <c r="S97" s="55"/>
      <c r="T97" s="55" t="s">
        <v>594</v>
      </c>
    </row>
    <row r="98" spans="1:20" ht="13" x14ac:dyDescent="0.15">
      <c r="A98" s="72" t="str">
        <f t="shared" si="1"/>
        <v>Ofsted Social Care Provider Webpage</v>
      </c>
      <c r="B98" s="55">
        <v>1226978</v>
      </c>
      <c r="D98" s="55" t="s">
        <v>373</v>
      </c>
      <c r="E98" s="74">
        <v>42516</v>
      </c>
      <c r="F98" s="55" t="s">
        <v>344</v>
      </c>
      <c r="G98" s="55" t="s">
        <v>360</v>
      </c>
      <c r="H98" s="55" t="s">
        <v>360</v>
      </c>
      <c r="I98" s="55" t="s">
        <v>360</v>
      </c>
      <c r="J98" s="55" t="s">
        <v>360</v>
      </c>
      <c r="K98" s="55" t="s">
        <v>360</v>
      </c>
      <c r="L98" s="55" t="s">
        <v>360</v>
      </c>
      <c r="M98" s="55" t="s">
        <v>378</v>
      </c>
      <c r="N98" s="55" t="s">
        <v>134</v>
      </c>
      <c r="O98" s="55" t="s">
        <v>232</v>
      </c>
      <c r="P98" s="55" t="s">
        <v>595</v>
      </c>
      <c r="Q98" s="55" t="s">
        <v>350</v>
      </c>
      <c r="R98" s="55">
        <v>2</v>
      </c>
      <c r="S98" s="55"/>
      <c r="T98" s="55" t="s">
        <v>385</v>
      </c>
    </row>
    <row r="99" spans="1:20" ht="13" x14ac:dyDescent="0.15">
      <c r="A99" s="72" t="str">
        <f t="shared" si="1"/>
        <v>Ofsted Social Care Provider Webpage</v>
      </c>
      <c r="B99" s="55">
        <v>1227060</v>
      </c>
      <c r="D99" s="55" t="s">
        <v>479</v>
      </c>
      <c r="E99" s="74">
        <v>42347</v>
      </c>
      <c r="F99" s="55" t="s">
        <v>344</v>
      </c>
      <c r="G99" s="55" t="s">
        <v>360</v>
      </c>
      <c r="H99" s="55" t="s">
        <v>360</v>
      </c>
      <c r="I99" s="55" t="s">
        <v>360</v>
      </c>
      <c r="J99" s="55" t="s">
        <v>360</v>
      </c>
      <c r="K99" s="55" t="s">
        <v>360</v>
      </c>
      <c r="L99" s="55" t="s">
        <v>360</v>
      </c>
      <c r="M99" s="55" t="s">
        <v>378</v>
      </c>
      <c r="N99" s="55" t="s">
        <v>134</v>
      </c>
      <c r="O99" s="55" t="s">
        <v>232</v>
      </c>
      <c r="P99" s="55" t="s">
        <v>496</v>
      </c>
      <c r="Q99" s="55" t="s">
        <v>350</v>
      </c>
      <c r="R99" s="55">
        <v>6</v>
      </c>
      <c r="S99" s="55"/>
      <c r="T99" s="55" t="s">
        <v>596</v>
      </c>
    </row>
    <row r="100" spans="1:20" ht="13" x14ac:dyDescent="0.15">
      <c r="A100" s="72" t="str">
        <f t="shared" si="1"/>
        <v>Ofsted Social Care Provider Webpage</v>
      </c>
      <c r="B100" s="55">
        <v>1227335</v>
      </c>
      <c r="D100" s="55" t="s">
        <v>373</v>
      </c>
      <c r="E100" s="74">
        <v>42517</v>
      </c>
      <c r="F100" s="55" t="s">
        <v>344</v>
      </c>
      <c r="G100" s="55" t="s">
        <v>360</v>
      </c>
      <c r="H100" s="55" t="s">
        <v>360</v>
      </c>
      <c r="I100" s="55" t="s">
        <v>360</v>
      </c>
      <c r="J100" s="55" t="s">
        <v>360</v>
      </c>
      <c r="K100" s="55" t="s">
        <v>360</v>
      </c>
      <c r="L100" s="55" t="s">
        <v>360</v>
      </c>
      <c r="M100" s="55" t="s">
        <v>144</v>
      </c>
      <c r="N100" s="55" t="s">
        <v>144</v>
      </c>
      <c r="O100" s="55" t="s">
        <v>209</v>
      </c>
      <c r="P100" s="55" t="s">
        <v>597</v>
      </c>
      <c r="Q100" s="55" t="s">
        <v>350</v>
      </c>
      <c r="R100" s="55">
        <v>3</v>
      </c>
      <c r="S100" s="55"/>
      <c r="T100" s="55" t="s">
        <v>598</v>
      </c>
    </row>
    <row r="101" spans="1:20" ht="13" x14ac:dyDescent="0.15">
      <c r="A101" s="72" t="str">
        <f t="shared" si="1"/>
        <v>Ofsted Social Care Provider Webpage</v>
      </c>
      <c r="B101" s="55">
        <v>1227596</v>
      </c>
      <c r="D101" s="55" t="s">
        <v>373</v>
      </c>
      <c r="E101" s="74">
        <v>42423</v>
      </c>
      <c r="F101" s="55" t="s">
        <v>344</v>
      </c>
      <c r="G101" s="55" t="s">
        <v>360</v>
      </c>
      <c r="H101" s="55" t="s">
        <v>360</v>
      </c>
      <c r="I101" s="55" t="s">
        <v>360</v>
      </c>
      <c r="J101" s="55" t="s">
        <v>360</v>
      </c>
      <c r="K101" s="55" t="s">
        <v>360</v>
      </c>
      <c r="L101" s="55" t="s">
        <v>360</v>
      </c>
      <c r="M101" s="55" t="s">
        <v>142</v>
      </c>
      <c r="N101" s="55" t="s">
        <v>142</v>
      </c>
      <c r="O101" s="55" t="s">
        <v>262</v>
      </c>
      <c r="P101" s="55" t="s">
        <v>523</v>
      </c>
      <c r="Q101" s="55" t="s">
        <v>350</v>
      </c>
      <c r="R101" s="55">
        <v>3</v>
      </c>
      <c r="S101" s="55"/>
      <c r="T101" s="55" t="s">
        <v>504</v>
      </c>
    </row>
    <row r="102" spans="1:20" ht="13" x14ac:dyDescent="0.15">
      <c r="A102" s="72" t="str">
        <f t="shared" si="1"/>
        <v>Ofsted Social Care Provider Webpage</v>
      </c>
      <c r="B102" s="55">
        <v>1227599</v>
      </c>
      <c r="D102" s="55" t="s">
        <v>451</v>
      </c>
      <c r="E102" s="74">
        <v>42535</v>
      </c>
      <c r="F102" s="55" t="s">
        <v>344</v>
      </c>
      <c r="G102" s="55" t="s">
        <v>599</v>
      </c>
      <c r="H102" s="55" t="s">
        <v>600</v>
      </c>
      <c r="I102" s="55" t="s">
        <v>601</v>
      </c>
      <c r="J102" s="55" t="s">
        <v>290</v>
      </c>
      <c r="L102" s="55" t="s">
        <v>602</v>
      </c>
      <c r="M102" s="55" t="s">
        <v>144</v>
      </c>
      <c r="N102" s="55" t="s">
        <v>144</v>
      </c>
      <c r="O102" s="55" t="s">
        <v>290</v>
      </c>
      <c r="P102" s="55" t="s">
        <v>603</v>
      </c>
      <c r="Q102" s="55" t="s">
        <v>350</v>
      </c>
      <c r="R102" s="55">
        <v>4</v>
      </c>
      <c r="S102" s="55"/>
      <c r="T102" s="55" t="s">
        <v>599</v>
      </c>
    </row>
    <row r="103" spans="1:20" ht="13" x14ac:dyDescent="0.15">
      <c r="A103" s="72" t="str">
        <f t="shared" si="1"/>
        <v>Ofsted Social Care Provider Webpage</v>
      </c>
      <c r="B103" s="55">
        <v>1227778</v>
      </c>
      <c r="D103" s="55" t="s">
        <v>389</v>
      </c>
      <c r="E103" s="74">
        <v>42458</v>
      </c>
      <c r="F103" s="55" t="s">
        <v>344</v>
      </c>
      <c r="G103" s="55" t="s">
        <v>604</v>
      </c>
      <c r="H103" s="55" t="s">
        <v>605</v>
      </c>
      <c r="I103" s="55" t="s">
        <v>354</v>
      </c>
      <c r="J103" s="55" t="s">
        <v>606</v>
      </c>
      <c r="K103" s="55" t="s">
        <v>183</v>
      </c>
      <c r="L103" s="55" t="s">
        <v>607</v>
      </c>
      <c r="M103" s="55" t="s">
        <v>138</v>
      </c>
      <c r="N103" s="55" t="s">
        <v>138</v>
      </c>
      <c r="O103" s="55" t="s">
        <v>183</v>
      </c>
      <c r="P103" s="55" t="s">
        <v>608</v>
      </c>
      <c r="Q103" s="55" t="s">
        <v>350</v>
      </c>
      <c r="R103" s="55"/>
      <c r="S103" s="55"/>
      <c r="T103" s="55" t="s">
        <v>604</v>
      </c>
    </row>
    <row r="104" spans="1:20" ht="13" x14ac:dyDescent="0.15">
      <c r="A104" s="72" t="str">
        <f t="shared" si="1"/>
        <v>Ofsted Social Care Provider Webpage</v>
      </c>
      <c r="B104" s="55">
        <v>1227788</v>
      </c>
      <c r="D104" s="55" t="s">
        <v>373</v>
      </c>
      <c r="E104" s="74">
        <v>42426</v>
      </c>
      <c r="F104" s="55" t="s">
        <v>344</v>
      </c>
      <c r="G104" s="55" t="s">
        <v>360</v>
      </c>
      <c r="H104" s="55" t="s">
        <v>360</v>
      </c>
      <c r="I104" s="55" t="s">
        <v>360</v>
      </c>
      <c r="J104" s="55" t="s">
        <v>360</v>
      </c>
      <c r="K104" s="55" t="s">
        <v>360</v>
      </c>
      <c r="L104" s="55" t="s">
        <v>360</v>
      </c>
      <c r="M104" s="55" t="s">
        <v>136</v>
      </c>
      <c r="N104" s="55" t="s">
        <v>136</v>
      </c>
      <c r="O104" s="55" t="s">
        <v>255</v>
      </c>
      <c r="P104" s="55" t="s">
        <v>609</v>
      </c>
      <c r="Q104" s="55" t="s">
        <v>350</v>
      </c>
      <c r="R104" s="55">
        <v>2</v>
      </c>
      <c r="S104" s="55"/>
      <c r="T104" s="55" t="s">
        <v>610</v>
      </c>
    </row>
    <row r="105" spans="1:20" ht="13" x14ac:dyDescent="0.15">
      <c r="A105" s="72" t="str">
        <f t="shared" si="1"/>
        <v>Ofsted Social Care Provider Webpage</v>
      </c>
      <c r="B105" s="55">
        <v>1227869</v>
      </c>
      <c r="D105" s="55" t="s">
        <v>373</v>
      </c>
      <c r="E105" s="74">
        <v>42660</v>
      </c>
      <c r="F105" s="55" t="s">
        <v>344</v>
      </c>
      <c r="G105" s="55" t="s">
        <v>360</v>
      </c>
      <c r="H105" s="55" t="s">
        <v>360</v>
      </c>
      <c r="I105" s="55" t="s">
        <v>360</v>
      </c>
      <c r="J105" s="55" t="s">
        <v>360</v>
      </c>
      <c r="K105" s="55" t="s">
        <v>360</v>
      </c>
      <c r="L105" s="55" t="s">
        <v>360</v>
      </c>
      <c r="M105" s="55" t="s">
        <v>142</v>
      </c>
      <c r="N105" s="55" t="s">
        <v>142</v>
      </c>
      <c r="O105" s="55" t="s">
        <v>278</v>
      </c>
      <c r="P105" s="55" t="s">
        <v>611</v>
      </c>
      <c r="Q105" s="55" t="s">
        <v>350</v>
      </c>
      <c r="R105" s="55">
        <v>5</v>
      </c>
      <c r="S105" s="55"/>
      <c r="T105" s="55" t="s">
        <v>574</v>
      </c>
    </row>
    <row r="106" spans="1:20" ht="13" x14ac:dyDescent="0.15">
      <c r="A106" s="72" t="str">
        <f t="shared" si="1"/>
        <v>Ofsted Social Care Provider Webpage</v>
      </c>
      <c r="B106" s="55">
        <v>1228090</v>
      </c>
      <c r="D106" s="55" t="s">
        <v>373</v>
      </c>
      <c r="E106" s="74">
        <v>42487</v>
      </c>
      <c r="F106" s="55" t="s">
        <v>344</v>
      </c>
      <c r="G106" s="55" t="s">
        <v>360</v>
      </c>
      <c r="H106" s="55" t="s">
        <v>360</v>
      </c>
      <c r="I106" s="55" t="s">
        <v>360</v>
      </c>
      <c r="J106" s="55" t="s">
        <v>360</v>
      </c>
      <c r="K106" s="55" t="s">
        <v>360</v>
      </c>
      <c r="L106" s="55" t="s">
        <v>360</v>
      </c>
      <c r="M106" s="55" t="s">
        <v>142</v>
      </c>
      <c r="N106" s="55" t="s">
        <v>142</v>
      </c>
      <c r="O106" s="55" t="s">
        <v>141</v>
      </c>
      <c r="P106" s="55" t="s">
        <v>612</v>
      </c>
      <c r="Q106" s="55" t="s">
        <v>350</v>
      </c>
      <c r="R106" s="55">
        <v>4</v>
      </c>
      <c r="S106" s="55"/>
      <c r="T106" s="55" t="s">
        <v>613</v>
      </c>
    </row>
    <row r="107" spans="1:20" ht="13" x14ac:dyDescent="0.15">
      <c r="A107" s="72" t="str">
        <f t="shared" si="1"/>
        <v>Ofsted Social Care Provider Webpage</v>
      </c>
      <c r="B107" s="55">
        <v>1228091</v>
      </c>
      <c r="D107" s="55" t="s">
        <v>373</v>
      </c>
      <c r="E107" s="74">
        <v>42548</v>
      </c>
      <c r="F107" s="55" t="s">
        <v>344</v>
      </c>
      <c r="G107" s="55" t="s">
        <v>360</v>
      </c>
      <c r="H107" s="55" t="s">
        <v>360</v>
      </c>
      <c r="I107" s="55" t="s">
        <v>360</v>
      </c>
      <c r="J107" s="55" t="s">
        <v>360</v>
      </c>
      <c r="K107" s="55" t="s">
        <v>360</v>
      </c>
      <c r="L107" s="55" t="s">
        <v>360</v>
      </c>
      <c r="M107" s="55" t="s">
        <v>144</v>
      </c>
      <c r="N107" s="55" t="s">
        <v>144</v>
      </c>
      <c r="O107" s="55" t="s">
        <v>163</v>
      </c>
      <c r="P107" s="55" t="s">
        <v>614</v>
      </c>
      <c r="Q107" s="55" t="s">
        <v>350</v>
      </c>
      <c r="R107" s="55">
        <v>3</v>
      </c>
      <c r="S107" s="55"/>
      <c r="T107" s="55" t="s">
        <v>615</v>
      </c>
    </row>
    <row r="108" spans="1:20" ht="13" x14ac:dyDescent="0.15">
      <c r="A108" s="72" t="str">
        <f t="shared" si="1"/>
        <v>Ofsted Social Care Provider Webpage</v>
      </c>
      <c r="B108" s="55">
        <v>1228092</v>
      </c>
      <c r="D108" s="55" t="s">
        <v>373</v>
      </c>
      <c r="E108" s="74">
        <v>42480</v>
      </c>
      <c r="F108" s="55" t="s">
        <v>344</v>
      </c>
      <c r="G108" s="55" t="s">
        <v>360</v>
      </c>
      <c r="H108" s="55" t="s">
        <v>360</v>
      </c>
      <c r="I108" s="55" t="s">
        <v>360</v>
      </c>
      <c r="J108" s="55" t="s">
        <v>360</v>
      </c>
      <c r="K108" s="55" t="s">
        <v>360</v>
      </c>
      <c r="L108" s="55" t="s">
        <v>360</v>
      </c>
      <c r="M108" s="55" t="s">
        <v>138</v>
      </c>
      <c r="N108" s="55" t="s">
        <v>138</v>
      </c>
      <c r="O108" s="55" t="s">
        <v>183</v>
      </c>
      <c r="P108" s="55" t="s">
        <v>616</v>
      </c>
      <c r="Q108" s="55" t="s">
        <v>350</v>
      </c>
      <c r="R108" s="55">
        <v>4</v>
      </c>
      <c r="S108" s="55"/>
      <c r="T108" s="55" t="s">
        <v>617</v>
      </c>
    </row>
    <row r="109" spans="1:20" ht="13" x14ac:dyDescent="0.15">
      <c r="A109" s="72" t="str">
        <f t="shared" si="1"/>
        <v>Ofsted Social Care Provider Webpage</v>
      </c>
      <c r="B109" s="55">
        <v>1228191</v>
      </c>
      <c r="D109" s="55" t="s">
        <v>373</v>
      </c>
      <c r="E109" s="74">
        <v>42489</v>
      </c>
      <c r="F109" s="55" t="s">
        <v>344</v>
      </c>
      <c r="G109" s="55" t="s">
        <v>360</v>
      </c>
      <c r="H109" s="55" t="s">
        <v>360</v>
      </c>
      <c r="I109" s="55" t="s">
        <v>360</v>
      </c>
      <c r="J109" s="55" t="s">
        <v>360</v>
      </c>
      <c r="K109" s="55" t="s">
        <v>360</v>
      </c>
      <c r="L109" s="55" t="s">
        <v>360</v>
      </c>
      <c r="M109" s="55" t="s">
        <v>142</v>
      </c>
      <c r="N109" s="55" t="s">
        <v>142</v>
      </c>
      <c r="O109" s="55" t="s">
        <v>262</v>
      </c>
      <c r="P109" s="55" t="s">
        <v>618</v>
      </c>
      <c r="Q109" s="55" t="s">
        <v>350</v>
      </c>
      <c r="R109" s="55">
        <v>2</v>
      </c>
      <c r="S109" s="55"/>
      <c r="T109" s="55" t="s">
        <v>619</v>
      </c>
    </row>
    <row r="110" spans="1:20" ht="13" x14ac:dyDescent="0.15">
      <c r="A110" s="72" t="str">
        <f t="shared" si="1"/>
        <v>Ofsted Social Care Provider Webpage</v>
      </c>
      <c r="B110" s="55">
        <v>1228523</v>
      </c>
      <c r="D110" s="55" t="s">
        <v>389</v>
      </c>
      <c r="E110" s="74">
        <v>42528</v>
      </c>
      <c r="F110" s="55" t="s">
        <v>344</v>
      </c>
      <c r="G110" s="55" t="s">
        <v>620</v>
      </c>
      <c r="H110" s="55" t="s">
        <v>621</v>
      </c>
      <c r="I110" s="55" t="s">
        <v>622</v>
      </c>
      <c r="J110" s="55" t="s">
        <v>210</v>
      </c>
      <c r="L110" s="55" t="s">
        <v>623</v>
      </c>
      <c r="M110" s="55" t="s">
        <v>378</v>
      </c>
      <c r="N110" s="55" t="s">
        <v>134</v>
      </c>
      <c r="O110" s="55" t="s">
        <v>210</v>
      </c>
      <c r="P110" s="55" t="s">
        <v>624</v>
      </c>
      <c r="Q110" s="55" t="s">
        <v>350</v>
      </c>
      <c r="R110" s="55"/>
      <c r="S110" s="55"/>
      <c r="T110" s="55" t="s">
        <v>625</v>
      </c>
    </row>
    <row r="111" spans="1:20" ht="13" x14ac:dyDescent="0.15">
      <c r="A111" s="72" t="str">
        <f t="shared" si="1"/>
        <v>Ofsted Social Care Provider Webpage</v>
      </c>
      <c r="B111" s="55">
        <v>1228919</v>
      </c>
      <c r="D111" s="55" t="s">
        <v>373</v>
      </c>
      <c r="E111" s="74">
        <v>42458</v>
      </c>
      <c r="F111" s="55" t="s">
        <v>344</v>
      </c>
      <c r="G111" s="55" t="s">
        <v>360</v>
      </c>
      <c r="H111" s="55" t="s">
        <v>360</v>
      </c>
      <c r="I111" s="55" t="s">
        <v>360</v>
      </c>
      <c r="J111" s="55" t="s">
        <v>360</v>
      </c>
      <c r="K111" s="55" t="s">
        <v>360</v>
      </c>
      <c r="L111" s="55" t="s">
        <v>360</v>
      </c>
      <c r="M111" s="55" t="s">
        <v>150</v>
      </c>
      <c r="N111" s="55" t="s">
        <v>150</v>
      </c>
      <c r="O111" s="55" t="s">
        <v>181</v>
      </c>
      <c r="P111" s="55" t="s">
        <v>626</v>
      </c>
      <c r="Q111" s="55" t="s">
        <v>350</v>
      </c>
      <c r="R111" s="55">
        <v>2</v>
      </c>
      <c r="S111" s="55"/>
      <c r="T111" s="55" t="s">
        <v>627</v>
      </c>
    </row>
    <row r="112" spans="1:20" ht="13" x14ac:dyDescent="0.15">
      <c r="A112" s="72" t="str">
        <f t="shared" si="1"/>
        <v>Ofsted Social Care Provider Webpage</v>
      </c>
      <c r="B112" s="55">
        <v>1229229</v>
      </c>
      <c r="D112" s="55" t="s">
        <v>373</v>
      </c>
      <c r="E112" s="74">
        <v>42461</v>
      </c>
      <c r="F112" s="55" t="s">
        <v>344</v>
      </c>
      <c r="G112" s="55" t="s">
        <v>360</v>
      </c>
      <c r="H112" s="55" t="s">
        <v>360</v>
      </c>
      <c r="I112" s="55" t="s">
        <v>360</v>
      </c>
      <c r="J112" s="55" t="s">
        <v>360</v>
      </c>
      <c r="K112" s="55" t="s">
        <v>360</v>
      </c>
      <c r="L112" s="55" t="s">
        <v>360</v>
      </c>
      <c r="M112" s="55" t="s">
        <v>172</v>
      </c>
      <c r="N112" s="55" t="s">
        <v>172</v>
      </c>
      <c r="O112" s="55" t="s">
        <v>235</v>
      </c>
      <c r="P112" s="55" t="s">
        <v>628</v>
      </c>
      <c r="Q112" s="55" t="s">
        <v>350</v>
      </c>
      <c r="R112" s="55">
        <v>2</v>
      </c>
      <c r="S112" s="55"/>
      <c r="T112" s="55" t="s">
        <v>517</v>
      </c>
    </row>
    <row r="113" spans="1:20" ht="13" x14ac:dyDescent="0.15">
      <c r="A113" s="72" t="str">
        <f t="shared" si="1"/>
        <v>Ofsted Social Care Provider Webpage</v>
      </c>
      <c r="B113" s="55">
        <v>1229417</v>
      </c>
      <c r="D113" s="55" t="s">
        <v>373</v>
      </c>
      <c r="E113" s="74">
        <v>42465</v>
      </c>
      <c r="F113" s="55" t="s">
        <v>344</v>
      </c>
      <c r="G113" s="55" t="s">
        <v>360</v>
      </c>
      <c r="H113" s="55" t="s">
        <v>360</v>
      </c>
      <c r="I113" s="55" t="s">
        <v>360</v>
      </c>
      <c r="J113" s="55" t="s">
        <v>360</v>
      </c>
      <c r="K113" s="55" t="s">
        <v>360</v>
      </c>
      <c r="L113" s="55" t="s">
        <v>360</v>
      </c>
      <c r="M113" s="55" t="s">
        <v>378</v>
      </c>
      <c r="N113" s="55" t="s">
        <v>170</v>
      </c>
      <c r="O113" s="55" t="s">
        <v>220</v>
      </c>
      <c r="P113" s="55" t="s">
        <v>220</v>
      </c>
      <c r="Q113" s="55" t="s">
        <v>350</v>
      </c>
      <c r="R113" s="55">
        <v>1</v>
      </c>
      <c r="S113" s="55"/>
      <c r="T113" s="55" t="s">
        <v>385</v>
      </c>
    </row>
    <row r="114" spans="1:20" ht="13" x14ac:dyDescent="0.15">
      <c r="A114" s="72" t="str">
        <f t="shared" si="1"/>
        <v>Ofsted Social Care Provider Webpage</v>
      </c>
      <c r="B114" s="55">
        <v>1229534</v>
      </c>
      <c r="D114" s="55" t="s">
        <v>373</v>
      </c>
      <c r="E114" s="74">
        <v>42487</v>
      </c>
      <c r="F114" s="55" t="s">
        <v>344</v>
      </c>
      <c r="G114" s="55" t="s">
        <v>360</v>
      </c>
      <c r="H114" s="55" t="s">
        <v>360</v>
      </c>
      <c r="I114" s="55" t="s">
        <v>360</v>
      </c>
      <c r="J114" s="55" t="s">
        <v>360</v>
      </c>
      <c r="K114" s="55" t="s">
        <v>360</v>
      </c>
      <c r="L114" s="55" t="s">
        <v>360</v>
      </c>
      <c r="M114" s="55" t="s">
        <v>144</v>
      </c>
      <c r="N114" s="55" t="s">
        <v>144</v>
      </c>
      <c r="O114" s="55" t="s">
        <v>209</v>
      </c>
      <c r="P114" s="55" t="s">
        <v>629</v>
      </c>
      <c r="Q114" s="55" t="s">
        <v>350</v>
      </c>
      <c r="R114" s="55">
        <v>8</v>
      </c>
      <c r="S114" s="55"/>
      <c r="T114" s="55" t="s">
        <v>630</v>
      </c>
    </row>
    <row r="115" spans="1:20" ht="13" x14ac:dyDescent="0.15">
      <c r="A115" s="72" t="str">
        <f t="shared" si="1"/>
        <v>Ofsted Social Care Provider Webpage</v>
      </c>
      <c r="B115" s="55">
        <v>1229762</v>
      </c>
      <c r="D115" s="55" t="s">
        <v>373</v>
      </c>
      <c r="E115" s="74">
        <v>42429</v>
      </c>
      <c r="F115" s="55" t="s">
        <v>344</v>
      </c>
      <c r="G115" s="55" t="s">
        <v>360</v>
      </c>
      <c r="H115" s="55" t="s">
        <v>360</v>
      </c>
      <c r="I115" s="55" t="s">
        <v>360</v>
      </c>
      <c r="J115" s="55" t="s">
        <v>360</v>
      </c>
      <c r="K115" s="55" t="s">
        <v>360</v>
      </c>
      <c r="L115" s="55" t="s">
        <v>360</v>
      </c>
      <c r="M115" s="55" t="s">
        <v>172</v>
      </c>
      <c r="N115" s="55" t="s">
        <v>172</v>
      </c>
      <c r="O115" s="55" t="s">
        <v>212</v>
      </c>
      <c r="P115" s="55" t="s">
        <v>547</v>
      </c>
      <c r="Q115" s="55" t="s">
        <v>350</v>
      </c>
      <c r="R115" s="55">
        <v>3</v>
      </c>
      <c r="S115" s="55"/>
      <c r="T115" s="55" t="s">
        <v>489</v>
      </c>
    </row>
    <row r="116" spans="1:20" ht="13" x14ac:dyDescent="0.15">
      <c r="A116" s="72" t="str">
        <f t="shared" si="1"/>
        <v>Ofsted Social Care Provider Webpage</v>
      </c>
      <c r="B116" s="55">
        <v>1229765</v>
      </c>
      <c r="D116" s="55" t="s">
        <v>358</v>
      </c>
      <c r="E116" s="74">
        <v>42440</v>
      </c>
      <c r="F116" s="55" t="s">
        <v>344</v>
      </c>
      <c r="G116" s="55" t="s">
        <v>631</v>
      </c>
      <c r="H116" s="55" t="s">
        <v>360</v>
      </c>
      <c r="I116" s="55" t="s">
        <v>360</v>
      </c>
      <c r="J116" s="55" t="s">
        <v>360</v>
      </c>
      <c r="K116" s="55" t="s">
        <v>360</v>
      </c>
      <c r="L116" s="55" t="s">
        <v>360</v>
      </c>
      <c r="M116" s="55" t="s">
        <v>150</v>
      </c>
      <c r="N116" s="55" t="s">
        <v>150</v>
      </c>
      <c r="O116" s="55" t="s">
        <v>203</v>
      </c>
      <c r="P116" s="55" t="s">
        <v>632</v>
      </c>
      <c r="Q116" s="55" t="s">
        <v>350</v>
      </c>
      <c r="R116" s="55"/>
      <c r="S116" s="55"/>
      <c r="T116" s="55" t="s">
        <v>631</v>
      </c>
    </row>
    <row r="117" spans="1:20" ht="13" x14ac:dyDescent="0.15">
      <c r="A117" s="72" t="str">
        <f t="shared" si="1"/>
        <v>Ofsted Social Care Provider Webpage</v>
      </c>
      <c r="B117" s="55">
        <v>1229766</v>
      </c>
      <c r="D117" s="55" t="s">
        <v>479</v>
      </c>
      <c r="E117" s="74">
        <v>42383</v>
      </c>
      <c r="F117" s="55" t="s">
        <v>344</v>
      </c>
      <c r="G117" s="55" t="s">
        <v>360</v>
      </c>
      <c r="H117" s="55" t="s">
        <v>360</v>
      </c>
      <c r="I117" s="55" t="s">
        <v>360</v>
      </c>
      <c r="J117" s="55" t="s">
        <v>360</v>
      </c>
      <c r="K117" s="55" t="s">
        <v>360</v>
      </c>
      <c r="L117" s="55" t="s">
        <v>360</v>
      </c>
      <c r="M117" s="55" t="s">
        <v>138</v>
      </c>
      <c r="N117" s="55" t="s">
        <v>138</v>
      </c>
      <c r="O117" s="55" t="s">
        <v>159</v>
      </c>
      <c r="P117" s="55" t="s">
        <v>633</v>
      </c>
      <c r="Q117" s="55" t="s">
        <v>350</v>
      </c>
      <c r="R117" s="55">
        <v>29</v>
      </c>
      <c r="S117" s="55"/>
      <c r="T117" s="55" t="s">
        <v>634</v>
      </c>
    </row>
    <row r="118" spans="1:20" ht="13" x14ac:dyDescent="0.15">
      <c r="A118" s="72" t="str">
        <f t="shared" si="1"/>
        <v>Ofsted Social Care Provider Webpage</v>
      </c>
      <c r="B118" s="55">
        <v>1229977</v>
      </c>
      <c r="D118" s="55" t="s">
        <v>373</v>
      </c>
      <c r="E118" s="74">
        <v>42618</v>
      </c>
      <c r="F118" s="55" t="s">
        <v>344</v>
      </c>
      <c r="G118" s="55" t="s">
        <v>360</v>
      </c>
      <c r="H118" s="55" t="s">
        <v>360</v>
      </c>
      <c r="I118" s="55" t="s">
        <v>360</v>
      </c>
      <c r="J118" s="55" t="s">
        <v>360</v>
      </c>
      <c r="K118" s="55" t="s">
        <v>360</v>
      </c>
      <c r="L118" s="55" t="s">
        <v>360</v>
      </c>
      <c r="M118" s="55" t="s">
        <v>150</v>
      </c>
      <c r="N118" s="55" t="s">
        <v>150</v>
      </c>
      <c r="O118" s="55" t="s">
        <v>237</v>
      </c>
      <c r="P118" s="55" t="s">
        <v>635</v>
      </c>
      <c r="Q118" s="55" t="s">
        <v>380</v>
      </c>
      <c r="R118" s="55">
        <v>6</v>
      </c>
      <c r="S118" s="55"/>
      <c r="T118" s="55" t="s">
        <v>636</v>
      </c>
    </row>
    <row r="119" spans="1:20" ht="13" x14ac:dyDescent="0.15">
      <c r="A119" s="72" t="str">
        <f t="shared" si="1"/>
        <v>Ofsted Social Care Provider Webpage</v>
      </c>
      <c r="B119" s="55">
        <v>1230268</v>
      </c>
      <c r="D119" s="55" t="s">
        <v>373</v>
      </c>
      <c r="E119" s="74">
        <v>42495</v>
      </c>
      <c r="F119" s="55" t="s">
        <v>344</v>
      </c>
      <c r="G119" s="55" t="s">
        <v>360</v>
      </c>
      <c r="H119" s="55" t="s">
        <v>360</v>
      </c>
      <c r="I119" s="55" t="s">
        <v>360</v>
      </c>
      <c r="J119" s="55" t="s">
        <v>360</v>
      </c>
      <c r="K119" s="55" t="s">
        <v>360</v>
      </c>
      <c r="L119" s="55" t="s">
        <v>360</v>
      </c>
      <c r="M119" s="55" t="s">
        <v>138</v>
      </c>
      <c r="N119" s="55" t="s">
        <v>138</v>
      </c>
      <c r="O119" s="55" t="s">
        <v>259</v>
      </c>
      <c r="P119" s="55" t="s">
        <v>637</v>
      </c>
      <c r="Q119" s="55" t="s">
        <v>350</v>
      </c>
      <c r="R119" s="55">
        <v>5</v>
      </c>
      <c r="S119" s="55"/>
      <c r="T119" s="55" t="s">
        <v>638</v>
      </c>
    </row>
    <row r="120" spans="1:20" ht="13" x14ac:dyDescent="0.15">
      <c r="A120" s="72" t="str">
        <f t="shared" si="1"/>
        <v>Ofsted Social Care Provider Webpage</v>
      </c>
      <c r="B120" s="55">
        <v>1230411</v>
      </c>
      <c r="D120" s="55" t="s">
        <v>373</v>
      </c>
      <c r="E120" s="74">
        <v>42486</v>
      </c>
      <c r="F120" s="55" t="s">
        <v>344</v>
      </c>
      <c r="G120" s="55" t="s">
        <v>360</v>
      </c>
      <c r="H120" s="55" t="s">
        <v>360</v>
      </c>
      <c r="I120" s="55" t="s">
        <v>360</v>
      </c>
      <c r="J120" s="55" t="s">
        <v>360</v>
      </c>
      <c r="K120" s="55" t="s">
        <v>360</v>
      </c>
      <c r="L120" s="55" t="s">
        <v>360</v>
      </c>
      <c r="M120" s="55" t="s">
        <v>150</v>
      </c>
      <c r="N120" s="55" t="s">
        <v>150</v>
      </c>
      <c r="O120" s="55" t="s">
        <v>268</v>
      </c>
      <c r="P120" s="55" t="s">
        <v>639</v>
      </c>
      <c r="Q120" s="55" t="s">
        <v>380</v>
      </c>
      <c r="R120" s="55">
        <v>2</v>
      </c>
      <c r="S120" s="55"/>
      <c r="T120" s="55" t="s">
        <v>640</v>
      </c>
    </row>
    <row r="121" spans="1:20" ht="13" x14ac:dyDescent="0.15">
      <c r="A121" s="72" t="str">
        <f t="shared" si="1"/>
        <v>Ofsted Social Care Provider Webpage</v>
      </c>
      <c r="B121" s="55">
        <v>1230415</v>
      </c>
      <c r="D121" s="55" t="s">
        <v>373</v>
      </c>
      <c r="E121" s="74">
        <v>42556</v>
      </c>
      <c r="F121" s="55" t="s">
        <v>344</v>
      </c>
      <c r="G121" s="55" t="s">
        <v>360</v>
      </c>
      <c r="H121" s="55" t="s">
        <v>360</v>
      </c>
      <c r="I121" s="55" t="s">
        <v>360</v>
      </c>
      <c r="J121" s="55" t="s">
        <v>360</v>
      </c>
      <c r="K121" s="55" t="s">
        <v>360</v>
      </c>
      <c r="L121" s="55" t="s">
        <v>360</v>
      </c>
      <c r="M121" s="55" t="s">
        <v>142</v>
      </c>
      <c r="N121" s="55" t="s">
        <v>142</v>
      </c>
      <c r="O121" s="55" t="s">
        <v>141</v>
      </c>
      <c r="P121" s="55" t="s">
        <v>641</v>
      </c>
      <c r="Q121" s="55" t="s">
        <v>350</v>
      </c>
      <c r="R121" s="55">
        <v>4</v>
      </c>
      <c r="S121" s="55"/>
      <c r="T121" s="55" t="s">
        <v>642</v>
      </c>
    </row>
    <row r="122" spans="1:20" ht="13" x14ac:dyDescent="0.15">
      <c r="A122" s="72" t="str">
        <f t="shared" si="1"/>
        <v>Ofsted Social Care Provider Webpage</v>
      </c>
      <c r="B122" s="55">
        <v>1230416</v>
      </c>
      <c r="D122" s="55" t="s">
        <v>373</v>
      </c>
      <c r="E122" s="74">
        <v>42499</v>
      </c>
      <c r="F122" s="55" t="s">
        <v>344</v>
      </c>
      <c r="G122" s="55" t="s">
        <v>360</v>
      </c>
      <c r="H122" s="55" t="s">
        <v>360</v>
      </c>
      <c r="I122" s="55" t="s">
        <v>360</v>
      </c>
      <c r="J122" s="55" t="s">
        <v>360</v>
      </c>
      <c r="K122" s="55" t="s">
        <v>360</v>
      </c>
      <c r="L122" s="55" t="s">
        <v>360</v>
      </c>
      <c r="M122" s="55" t="s">
        <v>138</v>
      </c>
      <c r="N122" s="55" t="s">
        <v>138</v>
      </c>
      <c r="O122" s="55" t="s">
        <v>137</v>
      </c>
      <c r="P122" s="55" t="s">
        <v>643</v>
      </c>
      <c r="Q122" s="55" t="s">
        <v>350</v>
      </c>
      <c r="R122" s="55">
        <v>4</v>
      </c>
      <c r="S122" s="55"/>
      <c r="T122" s="55" t="s">
        <v>385</v>
      </c>
    </row>
    <row r="123" spans="1:20" ht="13" x14ac:dyDescent="0.15">
      <c r="A123" s="72" t="str">
        <f t="shared" si="1"/>
        <v>Ofsted Social Care Provider Webpage</v>
      </c>
      <c r="B123" s="55">
        <v>1230725</v>
      </c>
      <c r="D123" s="55" t="s">
        <v>373</v>
      </c>
      <c r="E123" s="74">
        <v>42528</v>
      </c>
      <c r="F123" s="55" t="s">
        <v>344</v>
      </c>
      <c r="G123" s="55" t="s">
        <v>360</v>
      </c>
      <c r="H123" s="55" t="s">
        <v>360</v>
      </c>
      <c r="I123" s="55" t="s">
        <v>360</v>
      </c>
      <c r="J123" s="55" t="s">
        <v>360</v>
      </c>
      <c r="K123" s="55" t="s">
        <v>360</v>
      </c>
      <c r="L123" s="55" t="s">
        <v>360</v>
      </c>
      <c r="M123" s="55" t="s">
        <v>138</v>
      </c>
      <c r="N123" s="55" t="s">
        <v>138</v>
      </c>
      <c r="O123" s="55" t="s">
        <v>183</v>
      </c>
      <c r="P123" s="55" t="s">
        <v>510</v>
      </c>
      <c r="Q123" s="55" t="s">
        <v>350</v>
      </c>
      <c r="R123" s="55">
        <v>6</v>
      </c>
      <c r="S123" s="55"/>
      <c r="T123" s="55" t="s">
        <v>644</v>
      </c>
    </row>
    <row r="124" spans="1:20" ht="13" x14ac:dyDescent="0.15">
      <c r="A124" s="72" t="str">
        <f t="shared" si="1"/>
        <v>Ofsted Social Care Provider Webpage</v>
      </c>
      <c r="B124" s="55">
        <v>1230838</v>
      </c>
      <c r="D124" s="55" t="s">
        <v>389</v>
      </c>
      <c r="E124" s="74">
        <v>42604</v>
      </c>
      <c r="F124" s="55" t="s">
        <v>344</v>
      </c>
      <c r="G124" s="55" t="s">
        <v>645</v>
      </c>
      <c r="H124" s="55" t="s">
        <v>646</v>
      </c>
      <c r="I124" s="55" t="s">
        <v>647</v>
      </c>
      <c r="J124" s="55" t="s">
        <v>648</v>
      </c>
      <c r="K124" s="55" t="s">
        <v>209</v>
      </c>
      <c r="L124" s="55" t="s">
        <v>649</v>
      </c>
      <c r="M124" s="55" t="s">
        <v>144</v>
      </c>
      <c r="N124" s="55" t="s">
        <v>144</v>
      </c>
      <c r="O124" s="55" t="s">
        <v>209</v>
      </c>
      <c r="P124" s="55" t="s">
        <v>650</v>
      </c>
      <c r="Q124" s="55" t="s">
        <v>350</v>
      </c>
      <c r="R124" s="55"/>
      <c r="S124" s="55"/>
      <c r="T124" s="55" t="s">
        <v>645</v>
      </c>
    </row>
    <row r="125" spans="1:20" ht="13" x14ac:dyDescent="0.15">
      <c r="A125" s="72" t="str">
        <f t="shared" si="1"/>
        <v>Ofsted Social Care Provider Webpage</v>
      </c>
      <c r="B125" s="55">
        <v>1231067</v>
      </c>
      <c r="D125" s="55" t="s">
        <v>373</v>
      </c>
      <c r="E125" s="74">
        <v>42437</v>
      </c>
      <c r="F125" s="55" t="s">
        <v>344</v>
      </c>
      <c r="G125" s="55" t="s">
        <v>360</v>
      </c>
      <c r="H125" s="55" t="s">
        <v>360</v>
      </c>
      <c r="I125" s="55" t="s">
        <v>360</v>
      </c>
      <c r="J125" s="55" t="s">
        <v>360</v>
      </c>
      <c r="K125" s="55" t="s">
        <v>360</v>
      </c>
      <c r="L125" s="55" t="s">
        <v>360</v>
      </c>
      <c r="M125" s="55" t="s">
        <v>136</v>
      </c>
      <c r="N125" s="55" t="s">
        <v>136</v>
      </c>
      <c r="O125" s="55" t="s">
        <v>174</v>
      </c>
      <c r="P125" s="55" t="s">
        <v>651</v>
      </c>
      <c r="Q125" s="55" t="s">
        <v>350</v>
      </c>
      <c r="R125" s="55">
        <v>1</v>
      </c>
      <c r="S125" s="55"/>
      <c r="T125" s="55" t="s">
        <v>652</v>
      </c>
    </row>
    <row r="126" spans="1:20" ht="13" x14ac:dyDescent="0.15">
      <c r="A126" s="72" t="str">
        <f t="shared" si="1"/>
        <v>Ofsted Social Care Provider Webpage</v>
      </c>
      <c r="B126" s="55">
        <v>1231311</v>
      </c>
      <c r="D126" s="55" t="s">
        <v>373</v>
      </c>
      <c r="E126" s="74">
        <v>42590</v>
      </c>
      <c r="F126" s="55" t="s">
        <v>344</v>
      </c>
      <c r="G126" s="55" t="s">
        <v>360</v>
      </c>
      <c r="H126" s="55" t="s">
        <v>360</v>
      </c>
      <c r="I126" s="55" t="s">
        <v>360</v>
      </c>
      <c r="J126" s="55" t="s">
        <v>360</v>
      </c>
      <c r="K126" s="55" t="s">
        <v>360</v>
      </c>
      <c r="L126" s="55" t="s">
        <v>360</v>
      </c>
      <c r="M126" s="55" t="s">
        <v>142</v>
      </c>
      <c r="N126" s="55" t="s">
        <v>142</v>
      </c>
      <c r="O126" s="55" t="s">
        <v>272</v>
      </c>
      <c r="P126" s="55" t="s">
        <v>653</v>
      </c>
      <c r="Q126" s="55" t="s">
        <v>350</v>
      </c>
      <c r="R126" s="55">
        <v>3</v>
      </c>
      <c r="S126" s="55"/>
      <c r="T126" s="55" t="s">
        <v>654</v>
      </c>
    </row>
    <row r="127" spans="1:20" ht="13" x14ac:dyDescent="0.15">
      <c r="A127" s="72" t="str">
        <f t="shared" si="1"/>
        <v>Ofsted Social Care Provider Webpage</v>
      </c>
      <c r="B127" s="55">
        <v>1231399</v>
      </c>
      <c r="D127" s="55" t="s">
        <v>373</v>
      </c>
      <c r="E127" s="74">
        <v>42551</v>
      </c>
      <c r="F127" s="55" t="s">
        <v>344</v>
      </c>
      <c r="G127" s="55" t="s">
        <v>360</v>
      </c>
      <c r="H127" s="55" t="s">
        <v>360</v>
      </c>
      <c r="I127" s="55" t="s">
        <v>360</v>
      </c>
      <c r="J127" s="55" t="s">
        <v>360</v>
      </c>
      <c r="K127" s="55" t="s">
        <v>360</v>
      </c>
      <c r="L127" s="55" t="s">
        <v>360</v>
      </c>
      <c r="M127" s="55" t="s">
        <v>144</v>
      </c>
      <c r="N127" s="55" t="s">
        <v>144</v>
      </c>
      <c r="O127" s="55" t="s">
        <v>145</v>
      </c>
      <c r="P127" s="55" t="s">
        <v>484</v>
      </c>
      <c r="Q127" s="55" t="s">
        <v>350</v>
      </c>
      <c r="R127" s="55">
        <v>4</v>
      </c>
      <c r="S127" s="55"/>
      <c r="T127" s="55" t="s">
        <v>485</v>
      </c>
    </row>
    <row r="128" spans="1:20" ht="13" x14ac:dyDescent="0.15">
      <c r="A128" s="72" t="str">
        <f t="shared" si="1"/>
        <v>Ofsted Social Care Provider Webpage</v>
      </c>
      <c r="B128" s="55">
        <v>1231404</v>
      </c>
      <c r="D128" s="55" t="s">
        <v>373</v>
      </c>
      <c r="E128" s="74">
        <v>42754</v>
      </c>
      <c r="F128" s="55" t="s">
        <v>344</v>
      </c>
      <c r="G128" s="55" t="s">
        <v>360</v>
      </c>
      <c r="H128" s="55" t="s">
        <v>360</v>
      </c>
      <c r="I128" s="55" t="s">
        <v>360</v>
      </c>
      <c r="J128" s="55" t="s">
        <v>360</v>
      </c>
      <c r="K128" s="55" t="s">
        <v>360</v>
      </c>
      <c r="L128" s="55" t="s">
        <v>360</v>
      </c>
      <c r="M128" s="55" t="s">
        <v>144</v>
      </c>
      <c r="N128" s="55" t="s">
        <v>144</v>
      </c>
      <c r="O128" s="55" t="s">
        <v>215</v>
      </c>
      <c r="P128" s="55" t="s">
        <v>655</v>
      </c>
      <c r="Q128" s="55" t="s">
        <v>350</v>
      </c>
      <c r="R128" s="55">
        <v>5</v>
      </c>
      <c r="S128" s="55"/>
      <c r="T128" s="55" t="s">
        <v>656</v>
      </c>
    </row>
    <row r="129" spans="1:20" ht="13" x14ac:dyDescent="0.15">
      <c r="A129" s="72" t="str">
        <f t="shared" si="1"/>
        <v>Ofsted Social Care Provider Webpage</v>
      </c>
      <c r="B129" s="55">
        <v>1231405</v>
      </c>
      <c r="D129" s="55" t="s">
        <v>373</v>
      </c>
      <c r="E129" s="74">
        <v>42404</v>
      </c>
      <c r="F129" s="55" t="s">
        <v>344</v>
      </c>
      <c r="G129" s="55" t="s">
        <v>360</v>
      </c>
      <c r="H129" s="55" t="s">
        <v>360</v>
      </c>
      <c r="I129" s="55" t="s">
        <v>360</v>
      </c>
      <c r="J129" s="55" t="s">
        <v>360</v>
      </c>
      <c r="K129" s="55" t="s">
        <v>360</v>
      </c>
      <c r="L129" s="55" t="s">
        <v>360</v>
      </c>
      <c r="M129" s="55" t="s">
        <v>144</v>
      </c>
      <c r="N129" s="55" t="s">
        <v>144</v>
      </c>
      <c r="O129" s="55" t="s">
        <v>209</v>
      </c>
      <c r="P129" s="55" t="s">
        <v>534</v>
      </c>
      <c r="Q129" s="55" t="s">
        <v>380</v>
      </c>
      <c r="R129" s="55">
        <v>6</v>
      </c>
      <c r="S129" s="55" t="s">
        <v>332</v>
      </c>
      <c r="T129" s="55" t="s">
        <v>657</v>
      </c>
    </row>
    <row r="130" spans="1:20" ht="13" x14ac:dyDescent="0.15">
      <c r="A130" s="72" t="str">
        <f t="shared" si="1"/>
        <v>Ofsted Social Care Provider Webpage</v>
      </c>
      <c r="B130" s="55">
        <v>1231454</v>
      </c>
      <c r="D130" s="55" t="s">
        <v>358</v>
      </c>
      <c r="E130" s="74">
        <v>42657</v>
      </c>
      <c r="F130" s="55" t="s">
        <v>344</v>
      </c>
      <c r="G130" s="55" t="s">
        <v>658</v>
      </c>
      <c r="H130" s="55" t="s">
        <v>360</v>
      </c>
      <c r="I130" s="55" t="s">
        <v>360</v>
      </c>
      <c r="J130" s="55" t="s">
        <v>360</v>
      </c>
      <c r="K130" s="55" t="s">
        <v>360</v>
      </c>
      <c r="L130" s="55" t="s">
        <v>360</v>
      </c>
      <c r="M130" s="55" t="s">
        <v>129</v>
      </c>
      <c r="N130" s="55" t="s">
        <v>129</v>
      </c>
      <c r="O130" s="55" t="s">
        <v>201</v>
      </c>
      <c r="P130" s="55" t="s">
        <v>431</v>
      </c>
      <c r="Q130" s="55" t="s">
        <v>362</v>
      </c>
      <c r="R130" s="55"/>
      <c r="S130" s="55"/>
      <c r="T130" s="55" t="s">
        <v>659</v>
      </c>
    </row>
    <row r="131" spans="1:20" ht="13" x14ac:dyDescent="0.15">
      <c r="A131" s="72" t="str">
        <f t="shared" si="1"/>
        <v>Ofsted Social Care Provider Webpage</v>
      </c>
      <c r="B131" s="55">
        <v>1231458</v>
      </c>
      <c r="D131" s="55" t="s">
        <v>373</v>
      </c>
      <c r="E131" s="74">
        <v>42503</v>
      </c>
      <c r="F131" s="55" t="s">
        <v>344</v>
      </c>
      <c r="G131" s="55" t="s">
        <v>360</v>
      </c>
      <c r="H131" s="55" t="s">
        <v>360</v>
      </c>
      <c r="I131" s="55" t="s">
        <v>360</v>
      </c>
      <c r="J131" s="55" t="s">
        <v>360</v>
      </c>
      <c r="K131" s="55" t="s">
        <v>360</v>
      </c>
      <c r="L131" s="55" t="s">
        <v>360</v>
      </c>
      <c r="M131" s="55" t="s">
        <v>142</v>
      </c>
      <c r="N131" s="55" t="s">
        <v>142</v>
      </c>
      <c r="O131" s="55" t="s">
        <v>141</v>
      </c>
      <c r="P131" s="55" t="s">
        <v>660</v>
      </c>
      <c r="Q131" s="55" t="s">
        <v>350</v>
      </c>
      <c r="R131" s="55">
        <v>4</v>
      </c>
      <c r="S131" s="55"/>
      <c r="T131" s="55" t="s">
        <v>661</v>
      </c>
    </row>
    <row r="132" spans="1:20" ht="13" x14ac:dyDescent="0.15">
      <c r="A132" s="72" t="str">
        <f t="shared" si="1"/>
        <v>Ofsted Social Care Provider Webpage</v>
      </c>
      <c r="B132" s="55">
        <v>1231525</v>
      </c>
      <c r="D132" s="55" t="s">
        <v>373</v>
      </c>
      <c r="E132" s="74">
        <v>42474</v>
      </c>
      <c r="F132" s="55" t="s">
        <v>344</v>
      </c>
      <c r="G132" s="55" t="s">
        <v>360</v>
      </c>
      <c r="H132" s="55" t="s">
        <v>360</v>
      </c>
      <c r="I132" s="55" t="s">
        <v>360</v>
      </c>
      <c r="J132" s="55" t="s">
        <v>360</v>
      </c>
      <c r="K132" s="55" t="s">
        <v>360</v>
      </c>
      <c r="L132" s="55" t="s">
        <v>360</v>
      </c>
      <c r="M132" s="55" t="s">
        <v>378</v>
      </c>
      <c r="N132" s="55" t="s">
        <v>134</v>
      </c>
      <c r="O132" s="55" t="s">
        <v>180</v>
      </c>
      <c r="P132" s="55" t="s">
        <v>662</v>
      </c>
      <c r="Q132" s="55" t="s">
        <v>350</v>
      </c>
      <c r="R132" s="55">
        <v>1</v>
      </c>
      <c r="S132" s="55"/>
      <c r="T132" s="55" t="s">
        <v>385</v>
      </c>
    </row>
    <row r="133" spans="1:20" ht="13" x14ac:dyDescent="0.15">
      <c r="A133" s="72" t="str">
        <f t="shared" ref="A133:A196" si="2">HYPERLINK(_xlfn.CONCAT("http://reports.ofsted.gov.uk/inspection-reports/find-inspection-report/provider/CARE/",B133),"Ofsted Social Care Provider Webpage")</f>
        <v>Ofsted Social Care Provider Webpage</v>
      </c>
      <c r="B133" s="55">
        <v>1231812</v>
      </c>
      <c r="D133" s="55" t="s">
        <v>373</v>
      </c>
      <c r="E133" s="74">
        <v>42622</v>
      </c>
      <c r="F133" s="55" t="s">
        <v>344</v>
      </c>
      <c r="G133" s="55" t="s">
        <v>360</v>
      </c>
      <c r="H133" s="55" t="s">
        <v>360</v>
      </c>
      <c r="I133" s="55" t="s">
        <v>360</v>
      </c>
      <c r="J133" s="55" t="s">
        <v>360</v>
      </c>
      <c r="K133" s="55" t="s">
        <v>360</v>
      </c>
      <c r="L133" s="55" t="s">
        <v>360</v>
      </c>
      <c r="M133" s="55" t="s">
        <v>142</v>
      </c>
      <c r="N133" s="55" t="s">
        <v>142</v>
      </c>
      <c r="O133" s="55" t="s">
        <v>141</v>
      </c>
      <c r="P133" s="55" t="s">
        <v>641</v>
      </c>
      <c r="Q133" s="55" t="s">
        <v>350</v>
      </c>
      <c r="R133" s="55">
        <v>4</v>
      </c>
      <c r="S133" s="55"/>
      <c r="T133" s="55" t="s">
        <v>613</v>
      </c>
    </row>
    <row r="134" spans="1:20" ht="13" x14ac:dyDescent="0.15">
      <c r="A134" s="72" t="str">
        <f t="shared" si="2"/>
        <v>Ofsted Social Care Provider Webpage</v>
      </c>
      <c r="B134" s="55">
        <v>1231957</v>
      </c>
      <c r="D134" s="55" t="s">
        <v>358</v>
      </c>
      <c r="E134" s="74">
        <v>42548</v>
      </c>
      <c r="F134" s="55" t="s">
        <v>344</v>
      </c>
      <c r="G134" s="55" t="s">
        <v>663</v>
      </c>
      <c r="H134" s="55" t="s">
        <v>360</v>
      </c>
      <c r="I134" s="55" t="s">
        <v>360</v>
      </c>
      <c r="J134" s="55" t="s">
        <v>360</v>
      </c>
      <c r="K134" s="55" t="s">
        <v>360</v>
      </c>
      <c r="L134" s="55" t="s">
        <v>360</v>
      </c>
      <c r="M134" s="55" t="s">
        <v>138</v>
      </c>
      <c r="N134" s="55" t="s">
        <v>138</v>
      </c>
      <c r="O134" s="55" t="s">
        <v>183</v>
      </c>
      <c r="P134" s="55" t="s">
        <v>664</v>
      </c>
      <c r="Q134" s="55" t="s">
        <v>350</v>
      </c>
      <c r="R134" s="55"/>
      <c r="S134" s="55"/>
      <c r="T134" s="55" t="s">
        <v>665</v>
      </c>
    </row>
    <row r="135" spans="1:20" ht="13" x14ac:dyDescent="0.15">
      <c r="A135" s="72" t="str">
        <f t="shared" si="2"/>
        <v>Ofsted Social Care Provider Webpage</v>
      </c>
      <c r="B135" s="55">
        <v>1232171</v>
      </c>
      <c r="D135" s="55" t="s">
        <v>373</v>
      </c>
      <c r="E135" s="74">
        <v>42508</v>
      </c>
      <c r="F135" s="55" t="s">
        <v>344</v>
      </c>
      <c r="G135" s="55" t="s">
        <v>360</v>
      </c>
      <c r="H135" s="55" t="s">
        <v>360</v>
      </c>
      <c r="I135" s="55" t="s">
        <v>360</v>
      </c>
      <c r="J135" s="55" t="s">
        <v>360</v>
      </c>
      <c r="K135" s="55" t="s">
        <v>360</v>
      </c>
      <c r="L135" s="55" t="s">
        <v>360</v>
      </c>
      <c r="M135" s="55" t="s">
        <v>378</v>
      </c>
      <c r="N135" s="55" t="s">
        <v>134</v>
      </c>
      <c r="O135" s="55" t="s">
        <v>175</v>
      </c>
      <c r="P135" s="55" t="s">
        <v>666</v>
      </c>
      <c r="Q135" s="55" t="s">
        <v>350</v>
      </c>
      <c r="R135" s="55">
        <v>3</v>
      </c>
      <c r="S135" s="55"/>
      <c r="T135" s="55" t="s">
        <v>667</v>
      </c>
    </row>
    <row r="136" spans="1:20" ht="13" x14ac:dyDescent="0.15">
      <c r="A136" s="72" t="str">
        <f t="shared" si="2"/>
        <v>Ofsted Social Care Provider Webpage</v>
      </c>
      <c r="B136" s="55">
        <v>1232200</v>
      </c>
      <c r="D136" s="55" t="s">
        <v>373</v>
      </c>
      <c r="E136" s="74">
        <v>42529</v>
      </c>
      <c r="F136" s="55" t="s">
        <v>344</v>
      </c>
      <c r="G136" s="55" t="s">
        <v>360</v>
      </c>
      <c r="H136" s="55" t="s">
        <v>360</v>
      </c>
      <c r="I136" s="55" t="s">
        <v>360</v>
      </c>
      <c r="J136" s="55" t="s">
        <v>360</v>
      </c>
      <c r="K136" s="55" t="s">
        <v>360</v>
      </c>
      <c r="L136" s="55" t="s">
        <v>360</v>
      </c>
      <c r="M136" s="55" t="s">
        <v>172</v>
      </c>
      <c r="N136" s="55" t="s">
        <v>172</v>
      </c>
      <c r="O136" s="55" t="s">
        <v>228</v>
      </c>
      <c r="P136" s="55" t="s">
        <v>459</v>
      </c>
      <c r="Q136" s="55" t="s">
        <v>350</v>
      </c>
      <c r="R136" s="55">
        <v>3</v>
      </c>
      <c r="S136" s="55"/>
      <c r="T136" s="55" t="s">
        <v>668</v>
      </c>
    </row>
    <row r="137" spans="1:20" ht="13" x14ac:dyDescent="0.15">
      <c r="A137" s="72" t="str">
        <f t="shared" si="2"/>
        <v>Ofsted Social Care Provider Webpage</v>
      </c>
      <c r="B137" s="55">
        <v>1232379</v>
      </c>
      <c r="D137" s="55" t="s">
        <v>389</v>
      </c>
      <c r="E137" s="74">
        <v>42866</v>
      </c>
      <c r="F137" s="55" t="s">
        <v>344</v>
      </c>
      <c r="G137" s="55" t="s">
        <v>669</v>
      </c>
      <c r="H137" s="55" t="s">
        <v>670</v>
      </c>
      <c r="I137" s="55" t="s">
        <v>671</v>
      </c>
      <c r="J137" s="55" t="s">
        <v>672</v>
      </c>
      <c r="L137" s="55" t="s">
        <v>673</v>
      </c>
      <c r="M137" s="55" t="s">
        <v>378</v>
      </c>
      <c r="N137" s="55" t="s">
        <v>170</v>
      </c>
      <c r="O137" s="55" t="s">
        <v>178</v>
      </c>
      <c r="P137" s="55" t="s">
        <v>434</v>
      </c>
      <c r="Q137" s="55" t="s">
        <v>350</v>
      </c>
      <c r="R137" s="55"/>
      <c r="S137" s="55"/>
    </row>
    <row r="138" spans="1:20" ht="13" x14ac:dyDescent="0.15">
      <c r="A138" s="72" t="str">
        <f t="shared" si="2"/>
        <v>Ofsted Social Care Provider Webpage</v>
      </c>
      <c r="B138" s="55">
        <v>1232380</v>
      </c>
      <c r="D138" s="55" t="s">
        <v>373</v>
      </c>
      <c r="E138" s="74">
        <v>42446</v>
      </c>
      <c r="F138" s="55" t="s">
        <v>344</v>
      </c>
      <c r="G138" s="55" t="s">
        <v>360</v>
      </c>
      <c r="H138" s="55" t="s">
        <v>360</v>
      </c>
      <c r="I138" s="55" t="s">
        <v>360</v>
      </c>
      <c r="J138" s="55" t="s">
        <v>360</v>
      </c>
      <c r="K138" s="55" t="s">
        <v>360</v>
      </c>
      <c r="L138" s="55" t="s">
        <v>360</v>
      </c>
      <c r="M138" s="55" t="s">
        <v>144</v>
      </c>
      <c r="N138" s="55" t="s">
        <v>144</v>
      </c>
      <c r="O138" s="55" t="s">
        <v>147</v>
      </c>
      <c r="P138" s="55" t="s">
        <v>674</v>
      </c>
      <c r="Q138" s="55" t="s">
        <v>362</v>
      </c>
      <c r="R138" s="55">
        <v>6</v>
      </c>
      <c r="S138" s="55" t="s">
        <v>332</v>
      </c>
      <c r="T138" s="55" t="s">
        <v>675</v>
      </c>
    </row>
    <row r="139" spans="1:20" ht="13" x14ac:dyDescent="0.15">
      <c r="A139" s="72" t="str">
        <f t="shared" si="2"/>
        <v>Ofsted Social Care Provider Webpage</v>
      </c>
      <c r="B139" s="55">
        <v>1232649</v>
      </c>
      <c r="D139" s="55" t="s">
        <v>373</v>
      </c>
      <c r="E139" s="74">
        <v>42559</v>
      </c>
      <c r="F139" s="55" t="s">
        <v>344</v>
      </c>
      <c r="G139" s="55" t="s">
        <v>360</v>
      </c>
      <c r="H139" s="55" t="s">
        <v>360</v>
      </c>
      <c r="I139" s="55" t="s">
        <v>360</v>
      </c>
      <c r="J139" s="55" t="s">
        <v>360</v>
      </c>
      <c r="K139" s="55" t="s">
        <v>360</v>
      </c>
      <c r="L139" s="55" t="s">
        <v>360</v>
      </c>
      <c r="M139" s="55" t="s">
        <v>378</v>
      </c>
      <c r="N139" s="55" t="s">
        <v>170</v>
      </c>
      <c r="O139" s="55" t="s">
        <v>184</v>
      </c>
      <c r="P139" s="55" t="s">
        <v>676</v>
      </c>
      <c r="Q139" s="55" t="s">
        <v>350</v>
      </c>
      <c r="R139" s="55">
        <v>5</v>
      </c>
      <c r="S139" s="55"/>
      <c r="T139" s="55" t="s">
        <v>677</v>
      </c>
    </row>
    <row r="140" spans="1:20" ht="13" x14ac:dyDescent="0.15">
      <c r="A140" s="72" t="str">
        <f t="shared" si="2"/>
        <v>Ofsted Social Care Provider Webpage</v>
      </c>
      <c r="B140" s="55">
        <v>1232650</v>
      </c>
      <c r="D140" s="55" t="s">
        <v>373</v>
      </c>
      <c r="E140" s="74">
        <v>42572</v>
      </c>
      <c r="F140" s="55" t="s">
        <v>344</v>
      </c>
      <c r="G140" s="55" t="s">
        <v>360</v>
      </c>
      <c r="H140" s="55" t="s">
        <v>360</v>
      </c>
      <c r="I140" s="55" t="s">
        <v>360</v>
      </c>
      <c r="J140" s="55" t="s">
        <v>360</v>
      </c>
      <c r="K140" s="55" t="s">
        <v>360</v>
      </c>
      <c r="L140" s="55" t="s">
        <v>360</v>
      </c>
      <c r="M140" s="55" t="s">
        <v>378</v>
      </c>
      <c r="N140" s="55" t="s">
        <v>134</v>
      </c>
      <c r="O140" s="55" t="s">
        <v>175</v>
      </c>
      <c r="P140" s="55" t="s">
        <v>678</v>
      </c>
      <c r="Q140" s="55" t="s">
        <v>350</v>
      </c>
      <c r="R140" s="55">
        <v>3</v>
      </c>
      <c r="S140" s="55"/>
      <c r="T140" s="55" t="s">
        <v>679</v>
      </c>
    </row>
    <row r="141" spans="1:20" ht="13" x14ac:dyDescent="0.15">
      <c r="A141" s="72" t="str">
        <f t="shared" si="2"/>
        <v>Ofsted Social Care Provider Webpage</v>
      </c>
      <c r="B141" s="55">
        <v>1232651</v>
      </c>
      <c r="D141" s="55" t="s">
        <v>389</v>
      </c>
      <c r="E141" s="74">
        <v>42503</v>
      </c>
      <c r="F141" s="55" t="s">
        <v>344</v>
      </c>
      <c r="G141" s="55" t="s">
        <v>680</v>
      </c>
      <c r="H141" s="55" t="s">
        <v>681</v>
      </c>
      <c r="I141" s="55" t="s">
        <v>682</v>
      </c>
      <c r="J141" s="55" t="s">
        <v>246</v>
      </c>
      <c r="K141" s="55" t="s">
        <v>683</v>
      </c>
      <c r="L141" s="55" t="s">
        <v>684</v>
      </c>
      <c r="M141" s="55" t="s">
        <v>378</v>
      </c>
      <c r="N141" s="55" t="s">
        <v>134</v>
      </c>
      <c r="O141" s="55" t="s">
        <v>246</v>
      </c>
      <c r="P141" s="55" t="s">
        <v>685</v>
      </c>
      <c r="Q141" s="55" t="s">
        <v>350</v>
      </c>
      <c r="R141" s="55"/>
      <c r="S141" s="55"/>
      <c r="T141" s="55" t="s">
        <v>680</v>
      </c>
    </row>
    <row r="142" spans="1:20" ht="13" x14ac:dyDescent="0.15">
      <c r="A142" s="72" t="str">
        <f t="shared" si="2"/>
        <v>Ofsted Social Care Provider Webpage</v>
      </c>
      <c r="B142" s="55">
        <v>1232657</v>
      </c>
      <c r="D142" s="55" t="s">
        <v>373</v>
      </c>
      <c r="E142" s="74">
        <v>42777</v>
      </c>
      <c r="F142" s="55" t="s">
        <v>344</v>
      </c>
      <c r="G142" s="55" t="s">
        <v>360</v>
      </c>
      <c r="H142" s="55" t="s">
        <v>360</v>
      </c>
      <c r="I142" s="55" t="s">
        <v>360</v>
      </c>
      <c r="J142" s="55" t="s">
        <v>360</v>
      </c>
      <c r="K142" s="55" t="s">
        <v>360</v>
      </c>
      <c r="L142" s="55" t="s">
        <v>360</v>
      </c>
      <c r="M142" s="55" t="s">
        <v>142</v>
      </c>
      <c r="N142" s="55" t="s">
        <v>142</v>
      </c>
      <c r="O142" s="55" t="s">
        <v>254</v>
      </c>
      <c r="P142" s="55" t="s">
        <v>254</v>
      </c>
      <c r="Q142" s="55" t="s">
        <v>350</v>
      </c>
      <c r="R142" s="55">
        <v>4</v>
      </c>
      <c r="S142" s="55"/>
      <c r="T142" s="55" t="s">
        <v>574</v>
      </c>
    </row>
    <row r="143" spans="1:20" ht="13" x14ac:dyDescent="0.15">
      <c r="A143" s="72" t="str">
        <f t="shared" si="2"/>
        <v>Ofsted Social Care Provider Webpage</v>
      </c>
      <c r="B143" s="55">
        <v>1232658</v>
      </c>
      <c r="D143" s="55" t="s">
        <v>373</v>
      </c>
      <c r="E143" s="74">
        <v>42660</v>
      </c>
      <c r="F143" s="55" t="s">
        <v>344</v>
      </c>
      <c r="G143" s="55" t="s">
        <v>360</v>
      </c>
      <c r="H143" s="55" t="s">
        <v>360</v>
      </c>
      <c r="I143" s="55" t="s">
        <v>360</v>
      </c>
      <c r="J143" s="55" t="s">
        <v>360</v>
      </c>
      <c r="K143" s="55" t="s">
        <v>360</v>
      </c>
      <c r="L143" s="55" t="s">
        <v>360</v>
      </c>
      <c r="M143" s="55" t="s">
        <v>144</v>
      </c>
      <c r="N143" s="55" t="s">
        <v>144</v>
      </c>
      <c r="O143" s="55" t="s">
        <v>162</v>
      </c>
      <c r="P143" s="55" t="s">
        <v>686</v>
      </c>
      <c r="Q143" s="55" t="s">
        <v>350</v>
      </c>
      <c r="R143" s="55">
        <v>5</v>
      </c>
      <c r="S143" s="55"/>
      <c r="T143" s="55" t="s">
        <v>574</v>
      </c>
    </row>
    <row r="144" spans="1:20" ht="13" x14ac:dyDescent="0.15">
      <c r="A144" s="72" t="str">
        <f t="shared" si="2"/>
        <v>Ofsted Social Care Provider Webpage</v>
      </c>
      <c r="B144" s="55">
        <v>1233307</v>
      </c>
      <c r="D144" s="55" t="s">
        <v>373</v>
      </c>
      <c r="E144" s="74">
        <v>42702</v>
      </c>
      <c r="F144" s="55" t="s">
        <v>344</v>
      </c>
      <c r="G144" s="55" t="s">
        <v>360</v>
      </c>
      <c r="H144" s="55" t="s">
        <v>360</v>
      </c>
      <c r="I144" s="55" t="s">
        <v>360</v>
      </c>
      <c r="J144" s="55" t="s">
        <v>360</v>
      </c>
      <c r="K144" s="55" t="s">
        <v>360</v>
      </c>
      <c r="L144" s="55" t="s">
        <v>360</v>
      </c>
      <c r="M144" s="55" t="s">
        <v>378</v>
      </c>
      <c r="N144" s="55" t="s">
        <v>170</v>
      </c>
      <c r="O144" s="55" t="s">
        <v>222</v>
      </c>
      <c r="P144" s="55" t="s">
        <v>521</v>
      </c>
      <c r="Q144" s="55" t="s">
        <v>380</v>
      </c>
      <c r="R144" s="55">
        <v>6</v>
      </c>
      <c r="S144" s="55"/>
      <c r="T144" s="55" t="s">
        <v>687</v>
      </c>
    </row>
    <row r="145" spans="1:20" ht="13" x14ac:dyDescent="0.15">
      <c r="A145" s="72" t="str">
        <f t="shared" si="2"/>
        <v>Ofsted Social Care Provider Webpage</v>
      </c>
      <c r="B145" s="55">
        <v>1233309</v>
      </c>
      <c r="D145" s="55" t="s">
        <v>389</v>
      </c>
      <c r="E145" s="74">
        <v>42957</v>
      </c>
      <c r="F145" s="55" t="s">
        <v>344</v>
      </c>
      <c r="G145" s="55" t="s">
        <v>688</v>
      </c>
      <c r="H145" s="55" t="s">
        <v>689</v>
      </c>
      <c r="I145" s="55" t="s">
        <v>690</v>
      </c>
      <c r="J145" s="55" t="s">
        <v>292</v>
      </c>
      <c r="L145" s="55" t="s">
        <v>691</v>
      </c>
      <c r="M145" s="55" t="s">
        <v>142</v>
      </c>
      <c r="N145" s="55" t="s">
        <v>142</v>
      </c>
      <c r="O145" s="55" t="s">
        <v>262</v>
      </c>
      <c r="P145" s="55" t="s">
        <v>692</v>
      </c>
      <c r="Q145" s="55" t="s">
        <v>350</v>
      </c>
      <c r="R145" s="55"/>
      <c r="S145" s="55"/>
      <c r="T145" s="55" t="s">
        <v>502</v>
      </c>
    </row>
    <row r="146" spans="1:20" ht="13" x14ac:dyDescent="0.15">
      <c r="A146" s="72" t="str">
        <f t="shared" si="2"/>
        <v>Ofsted Social Care Provider Webpage</v>
      </c>
      <c r="B146" s="55">
        <v>1233310</v>
      </c>
      <c r="D146" s="55" t="s">
        <v>373</v>
      </c>
      <c r="E146" s="74">
        <v>42590</v>
      </c>
      <c r="F146" s="55" t="s">
        <v>344</v>
      </c>
      <c r="G146" s="55" t="s">
        <v>360</v>
      </c>
      <c r="H146" s="55" t="s">
        <v>360</v>
      </c>
      <c r="I146" s="55" t="s">
        <v>360</v>
      </c>
      <c r="J146" s="55" t="s">
        <v>360</v>
      </c>
      <c r="K146" s="55" t="s">
        <v>360</v>
      </c>
      <c r="L146" s="55" t="s">
        <v>360</v>
      </c>
      <c r="M146" s="55" t="s">
        <v>144</v>
      </c>
      <c r="N146" s="55" t="s">
        <v>144</v>
      </c>
      <c r="O146" s="55" t="s">
        <v>147</v>
      </c>
      <c r="P146" s="55" t="s">
        <v>674</v>
      </c>
      <c r="Q146" s="55" t="s">
        <v>362</v>
      </c>
      <c r="R146" s="55">
        <v>3</v>
      </c>
      <c r="S146" s="55"/>
      <c r="T146" s="55" t="s">
        <v>675</v>
      </c>
    </row>
    <row r="147" spans="1:20" ht="13" x14ac:dyDescent="0.15">
      <c r="A147" s="72" t="str">
        <f t="shared" si="2"/>
        <v>Ofsted Social Care Provider Webpage</v>
      </c>
      <c r="B147" s="55">
        <v>1233463</v>
      </c>
      <c r="C147" s="55">
        <v>130627</v>
      </c>
      <c r="D147" s="55" t="s">
        <v>693</v>
      </c>
      <c r="E147" s="74">
        <v>42438</v>
      </c>
      <c r="F147" s="55" t="s">
        <v>344</v>
      </c>
      <c r="G147" s="55" t="s">
        <v>694</v>
      </c>
      <c r="H147" s="55" t="s">
        <v>695</v>
      </c>
      <c r="I147" s="55" t="s">
        <v>696</v>
      </c>
      <c r="J147" s="55" t="s">
        <v>697</v>
      </c>
      <c r="K147" s="55" t="s">
        <v>165</v>
      </c>
      <c r="L147" s="55" t="s">
        <v>698</v>
      </c>
      <c r="M147" s="55" t="s">
        <v>136</v>
      </c>
      <c r="N147" s="55" t="s">
        <v>136</v>
      </c>
      <c r="O147" s="55" t="s">
        <v>165</v>
      </c>
      <c r="P147" s="55" t="s">
        <v>699</v>
      </c>
      <c r="Q147" s="55" t="s">
        <v>350</v>
      </c>
      <c r="R147" s="55">
        <v>278</v>
      </c>
      <c r="S147" s="55"/>
      <c r="T147" s="55" t="s">
        <v>700</v>
      </c>
    </row>
    <row r="148" spans="1:20" ht="13" x14ac:dyDescent="0.15">
      <c r="A148" s="72" t="str">
        <f t="shared" si="2"/>
        <v>Ofsted Social Care Provider Webpage</v>
      </c>
      <c r="B148" s="55">
        <v>1233894</v>
      </c>
      <c r="C148" s="55">
        <v>138333</v>
      </c>
      <c r="D148" s="55" t="s">
        <v>398</v>
      </c>
      <c r="E148" s="74">
        <v>42445</v>
      </c>
      <c r="F148" s="55" t="s">
        <v>344</v>
      </c>
      <c r="G148" s="55" t="s">
        <v>701</v>
      </c>
      <c r="H148" s="55" t="s">
        <v>702</v>
      </c>
      <c r="I148" s="55" t="s">
        <v>354</v>
      </c>
      <c r="J148" s="55" t="s">
        <v>703</v>
      </c>
      <c r="K148" s="55" t="s">
        <v>176</v>
      </c>
      <c r="L148" s="55" t="s">
        <v>704</v>
      </c>
      <c r="M148" s="55" t="s">
        <v>136</v>
      </c>
      <c r="N148" s="55" t="s">
        <v>136</v>
      </c>
      <c r="O148" s="55" t="s">
        <v>705</v>
      </c>
      <c r="P148" s="55" t="s">
        <v>706</v>
      </c>
      <c r="Q148" s="55" t="s">
        <v>350</v>
      </c>
      <c r="R148" s="55">
        <v>60</v>
      </c>
      <c r="S148" s="55"/>
      <c r="T148" s="55" t="s">
        <v>707</v>
      </c>
    </row>
    <row r="149" spans="1:20" ht="13" x14ac:dyDescent="0.15">
      <c r="A149" s="72" t="str">
        <f t="shared" si="2"/>
        <v>Ofsted Social Care Provider Webpage</v>
      </c>
      <c r="B149" s="55">
        <v>1233899</v>
      </c>
      <c r="D149" s="55" t="s">
        <v>373</v>
      </c>
      <c r="E149" s="74">
        <v>42654</v>
      </c>
      <c r="F149" s="55" t="s">
        <v>344</v>
      </c>
      <c r="G149" s="55" t="s">
        <v>360</v>
      </c>
      <c r="H149" s="55" t="s">
        <v>360</v>
      </c>
      <c r="I149" s="55" t="s">
        <v>360</v>
      </c>
      <c r="J149" s="55" t="s">
        <v>360</v>
      </c>
      <c r="K149" s="55" t="s">
        <v>360</v>
      </c>
      <c r="L149" s="55" t="s">
        <v>360</v>
      </c>
      <c r="M149" s="55" t="s">
        <v>144</v>
      </c>
      <c r="N149" s="55" t="s">
        <v>144</v>
      </c>
      <c r="O149" s="55" t="s">
        <v>168</v>
      </c>
      <c r="P149" s="55" t="s">
        <v>708</v>
      </c>
      <c r="Q149" s="55" t="s">
        <v>350</v>
      </c>
      <c r="R149" s="55">
        <v>2</v>
      </c>
      <c r="S149" s="55"/>
      <c r="T149" s="55" t="s">
        <v>709</v>
      </c>
    </row>
    <row r="150" spans="1:20" ht="13" x14ac:dyDescent="0.15">
      <c r="A150" s="72" t="str">
        <f t="shared" si="2"/>
        <v>Ofsted Social Care Provider Webpage</v>
      </c>
      <c r="B150" s="55">
        <v>1233981</v>
      </c>
      <c r="D150" s="55" t="s">
        <v>373</v>
      </c>
      <c r="E150" s="74">
        <v>42599</v>
      </c>
      <c r="F150" s="55" t="s">
        <v>344</v>
      </c>
      <c r="G150" s="55" t="s">
        <v>360</v>
      </c>
      <c r="H150" s="55" t="s">
        <v>360</v>
      </c>
      <c r="I150" s="55" t="s">
        <v>360</v>
      </c>
      <c r="J150" s="55" t="s">
        <v>360</v>
      </c>
      <c r="K150" s="55" t="s">
        <v>360</v>
      </c>
      <c r="L150" s="55" t="s">
        <v>360</v>
      </c>
      <c r="M150" s="55" t="s">
        <v>378</v>
      </c>
      <c r="N150" s="55" t="s">
        <v>134</v>
      </c>
      <c r="O150" s="55" t="s">
        <v>206</v>
      </c>
      <c r="P150" s="55" t="s">
        <v>710</v>
      </c>
      <c r="Q150" s="55" t="s">
        <v>350</v>
      </c>
      <c r="R150" s="55">
        <v>2</v>
      </c>
      <c r="S150" s="55"/>
      <c r="T150" s="55" t="s">
        <v>711</v>
      </c>
    </row>
    <row r="151" spans="1:20" ht="13" x14ac:dyDescent="0.15">
      <c r="A151" s="72" t="str">
        <f t="shared" si="2"/>
        <v>Ofsted Social Care Provider Webpage</v>
      </c>
      <c r="B151" s="55">
        <v>1234166</v>
      </c>
      <c r="D151" s="55" t="s">
        <v>373</v>
      </c>
      <c r="E151" s="74">
        <v>42633</v>
      </c>
      <c r="F151" s="55" t="s">
        <v>344</v>
      </c>
      <c r="G151" s="55" t="s">
        <v>360</v>
      </c>
      <c r="H151" s="55" t="s">
        <v>360</v>
      </c>
      <c r="I151" s="55" t="s">
        <v>360</v>
      </c>
      <c r="J151" s="55" t="s">
        <v>360</v>
      </c>
      <c r="K151" s="55" t="s">
        <v>360</v>
      </c>
      <c r="L151" s="55" t="s">
        <v>360</v>
      </c>
      <c r="M151" s="55" t="s">
        <v>129</v>
      </c>
      <c r="N151" s="55" t="s">
        <v>129</v>
      </c>
      <c r="O151" s="55" t="s">
        <v>223</v>
      </c>
      <c r="P151" s="55" t="s">
        <v>712</v>
      </c>
      <c r="Q151" s="55" t="s">
        <v>350</v>
      </c>
      <c r="R151" s="55">
        <v>3</v>
      </c>
      <c r="S151" s="55"/>
      <c r="T151" s="55" t="s">
        <v>713</v>
      </c>
    </row>
    <row r="152" spans="1:20" ht="13" x14ac:dyDescent="0.15">
      <c r="A152" s="72" t="str">
        <f t="shared" si="2"/>
        <v>Ofsted Social Care Provider Webpage</v>
      </c>
      <c r="B152" s="55">
        <v>1234243</v>
      </c>
      <c r="D152" s="55" t="s">
        <v>373</v>
      </c>
      <c r="E152" s="74">
        <v>42517</v>
      </c>
      <c r="F152" s="55" t="s">
        <v>344</v>
      </c>
      <c r="G152" s="55" t="s">
        <v>360</v>
      </c>
      <c r="H152" s="55" t="s">
        <v>360</v>
      </c>
      <c r="I152" s="55" t="s">
        <v>360</v>
      </c>
      <c r="J152" s="55" t="s">
        <v>360</v>
      </c>
      <c r="K152" s="55" t="s">
        <v>360</v>
      </c>
      <c r="L152" s="55" t="s">
        <v>360</v>
      </c>
      <c r="M152" s="55" t="s">
        <v>172</v>
      </c>
      <c r="N152" s="55" t="s">
        <v>172</v>
      </c>
      <c r="O152" s="55" t="s">
        <v>212</v>
      </c>
      <c r="P152" s="55" t="s">
        <v>547</v>
      </c>
      <c r="Q152" s="55" t="s">
        <v>350</v>
      </c>
      <c r="R152" s="55">
        <v>3</v>
      </c>
      <c r="S152" s="55"/>
      <c r="T152" s="55" t="s">
        <v>489</v>
      </c>
    </row>
    <row r="153" spans="1:20" ht="13" x14ac:dyDescent="0.15">
      <c r="A153" s="72" t="str">
        <f t="shared" si="2"/>
        <v>Ofsted Social Care Provider Webpage</v>
      </c>
      <c r="B153" s="55">
        <v>1234244</v>
      </c>
      <c r="D153" s="55" t="s">
        <v>373</v>
      </c>
      <c r="E153" s="74">
        <v>42502</v>
      </c>
      <c r="F153" s="55" t="s">
        <v>344</v>
      </c>
      <c r="G153" s="55" t="s">
        <v>360</v>
      </c>
      <c r="H153" s="55" t="s">
        <v>360</v>
      </c>
      <c r="I153" s="55" t="s">
        <v>360</v>
      </c>
      <c r="J153" s="55" t="s">
        <v>360</v>
      </c>
      <c r="K153" s="55" t="s">
        <v>360</v>
      </c>
      <c r="L153" s="55" t="s">
        <v>360</v>
      </c>
      <c r="M153" s="55" t="s">
        <v>172</v>
      </c>
      <c r="N153" s="55" t="s">
        <v>172</v>
      </c>
      <c r="O153" s="55" t="s">
        <v>212</v>
      </c>
      <c r="P153" s="55" t="s">
        <v>714</v>
      </c>
      <c r="Q153" s="55" t="s">
        <v>350</v>
      </c>
      <c r="R153" s="55">
        <v>3</v>
      </c>
      <c r="S153" s="55"/>
      <c r="T153" s="55" t="s">
        <v>489</v>
      </c>
    </row>
    <row r="154" spans="1:20" ht="13" x14ac:dyDescent="0.15">
      <c r="A154" s="72" t="str">
        <f t="shared" si="2"/>
        <v>Ofsted Social Care Provider Webpage</v>
      </c>
      <c r="B154" s="55">
        <v>1234317</v>
      </c>
      <c r="D154" s="55" t="s">
        <v>373</v>
      </c>
      <c r="E154" s="74">
        <v>42586</v>
      </c>
      <c r="F154" s="55" t="s">
        <v>344</v>
      </c>
      <c r="G154" s="55" t="s">
        <v>360</v>
      </c>
      <c r="H154" s="55" t="s">
        <v>360</v>
      </c>
      <c r="I154" s="55" t="s">
        <v>360</v>
      </c>
      <c r="J154" s="55" t="s">
        <v>360</v>
      </c>
      <c r="K154" s="55" t="s">
        <v>360</v>
      </c>
      <c r="L154" s="55" t="s">
        <v>360</v>
      </c>
      <c r="M154" s="55" t="s">
        <v>378</v>
      </c>
      <c r="N154" s="55" t="s">
        <v>134</v>
      </c>
      <c r="O154" s="55" t="s">
        <v>158</v>
      </c>
      <c r="P154" s="55" t="s">
        <v>480</v>
      </c>
      <c r="Q154" s="55" t="s">
        <v>350</v>
      </c>
      <c r="R154" s="55">
        <v>6</v>
      </c>
      <c r="S154" s="55"/>
      <c r="T154" s="55" t="s">
        <v>377</v>
      </c>
    </row>
    <row r="155" spans="1:20" ht="13" x14ac:dyDescent="0.15">
      <c r="A155" s="72" t="str">
        <f t="shared" si="2"/>
        <v>Ofsted Social Care Provider Webpage</v>
      </c>
      <c r="B155" s="55">
        <v>1234324</v>
      </c>
      <c r="D155" s="55" t="s">
        <v>451</v>
      </c>
      <c r="E155" s="74">
        <v>42551</v>
      </c>
      <c r="F155" s="55" t="s">
        <v>344</v>
      </c>
      <c r="G155" s="55" t="s">
        <v>715</v>
      </c>
      <c r="H155" s="55" t="s">
        <v>716</v>
      </c>
      <c r="I155" s="55" t="s">
        <v>354</v>
      </c>
      <c r="J155" s="55" t="s">
        <v>192</v>
      </c>
      <c r="L155" s="55" t="s">
        <v>717</v>
      </c>
      <c r="M155" s="55" t="s">
        <v>129</v>
      </c>
      <c r="N155" s="55" t="s">
        <v>129</v>
      </c>
      <c r="O155" s="55" t="s">
        <v>192</v>
      </c>
      <c r="P155" s="55" t="s">
        <v>718</v>
      </c>
      <c r="Q155" s="55" t="s">
        <v>350</v>
      </c>
      <c r="R155" s="55">
        <v>3</v>
      </c>
      <c r="S155" s="55"/>
      <c r="T155" s="55" t="s">
        <v>719</v>
      </c>
    </row>
    <row r="156" spans="1:20" ht="13" x14ac:dyDescent="0.15">
      <c r="A156" s="72" t="str">
        <f t="shared" si="2"/>
        <v>Ofsted Social Care Provider Webpage</v>
      </c>
      <c r="B156" s="55">
        <v>1234374</v>
      </c>
      <c r="D156" s="55" t="s">
        <v>373</v>
      </c>
      <c r="E156" s="74">
        <v>42502</v>
      </c>
      <c r="F156" s="55" t="s">
        <v>344</v>
      </c>
      <c r="G156" s="55" t="s">
        <v>360</v>
      </c>
      <c r="H156" s="55" t="s">
        <v>360</v>
      </c>
      <c r="I156" s="55" t="s">
        <v>360</v>
      </c>
      <c r="J156" s="55" t="s">
        <v>360</v>
      </c>
      <c r="K156" s="55" t="s">
        <v>360</v>
      </c>
      <c r="L156" s="55" t="s">
        <v>360</v>
      </c>
      <c r="M156" s="55" t="s">
        <v>136</v>
      </c>
      <c r="N156" s="55" t="s">
        <v>136</v>
      </c>
      <c r="O156" s="55" t="s">
        <v>165</v>
      </c>
      <c r="P156" s="55" t="s">
        <v>720</v>
      </c>
      <c r="Q156" s="55" t="s">
        <v>350</v>
      </c>
      <c r="R156" s="55">
        <v>2</v>
      </c>
      <c r="S156" s="55"/>
      <c r="T156" s="55" t="s">
        <v>721</v>
      </c>
    </row>
    <row r="157" spans="1:20" ht="13" x14ac:dyDescent="0.15">
      <c r="A157" s="72" t="str">
        <f t="shared" si="2"/>
        <v>Ofsted Social Care Provider Webpage</v>
      </c>
      <c r="B157" s="55">
        <v>1234377</v>
      </c>
      <c r="D157" s="55" t="s">
        <v>389</v>
      </c>
      <c r="E157" s="74">
        <v>42578</v>
      </c>
      <c r="F157" s="55" t="s">
        <v>344</v>
      </c>
      <c r="G157" s="55" t="s">
        <v>722</v>
      </c>
      <c r="H157" s="55" t="s">
        <v>723</v>
      </c>
      <c r="I157" s="55" t="s">
        <v>354</v>
      </c>
      <c r="J157" s="55" t="s">
        <v>281</v>
      </c>
      <c r="L157" s="55" t="s">
        <v>724</v>
      </c>
      <c r="M157" s="55" t="s">
        <v>144</v>
      </c>
      <c r="N157" s="55" t="s">
        <v>144</v>
      </c>
      <c r="O157" s="55" t="s">
        <v>281</v>
      </c>
      <c r="P157" s="55" t="s">
        <v>725</v>
      </c>
      <c r="Q157" s="55" t="s">
        <v>350</v>
      </c>
      <c r="R157" s="55"/>
      <c r="S157" s="55"/>
      <c r="T157" s="55" t="s">
        <v>726</v>
      </c>
    </row>
    <row r="158" spans="1:20" ht="13" x14ac:dyDescent="0.15">
      <c r="A158" s="72" t="str">
        <f t="shared" si="2"/>
        <v>Ofsted Social Care Provider Webpage</v>
      </c>
      <c r="B158" s="55">
        <v>1234430</v>
      </c>
      <c r="D158" s="55" t="s">
        <v>373</v>
      </c>
      <c r="E158" s="74">
        <v>42579</v>
      </c>
      <c r="F158" s="55" t="s">
        <v>344</v>
      </c>
      <c r="G158" s="55" t="s">
        <v>360</v>
      </c>
      <c r="H158" s="55" t="s">
        <v>360</v>
      </c>
      <c r="I158" s="55" t="s">
        <v>360</v>
      </c>
      <c r="J158" s="55" t="s">
        <v>360</v>
      </c>
      <c r="K158" s="55" t="s">
        <v>360</v>
      </c>
      <c r="L158" s="55" t="s">
        <v>360</v>
      </c>
      <c r="M158" s="55" t="s">
        <v>142</v>
      </c>
      <c r="N158" s="55" t="s">
        <v>142</v>
      </c>
      <c r="O158" s="55" t="s">
        <v>141</v>
      </c>
      <c r="P158" s="55" t="s">
        <v>573</v>
      </c>
      <c r="Q158" s="55" t="s">
        <v>350</v>
      </c>
      <c r="R158" s="55">
        <v>3</v>
      </c>
      <c r="S158" s="55"/>
      <c r="T158" s="55" t="s">
        <v>727</v>
      </c>
    </row>
    <row r="159" spans="1:20" ht="13" x14ac:dyDescent="0.15">
      <c r="A159" s="72" t="str">
        <f t="shared" si="2"/>
        <v>Ofsted Social Care Provider Webpage</v>
      </c>
      <c r="B159" s="55">
        <v>1234432</v>
      </c>
      <c r="D159" s="55" t="s">
        <v>373</v>
      </c>
      <c r="E159" s="74">
        <v>42524</v>
      </c>
      <c r="F159" s="55" t="s">
        <v>728</v>
      </c>
      <c r="G159" s="55" t="s">
        <v>360</v>
      </c>
      <c r="H159" s="55" t="s">
        <v>360</v>
      </c>
      <c r="I159" s="55" t="s">
        <v>360</v>
      </c>
      <c r="J159" s="55" t="s">
        <v>360</v>
      </c>
      <c r="K159" s="55" t="s">
        <v>360</v>
      </c>
      <c r="L159" s="55" t="s">
        <v>360</v>
      </c>
      <c r="M159" s="55" t="s">
        <v>144</v>
      </c>
      <c r="N159" s="55" t="s">
        <v>144</v>
      </c>
      <c r="O159" s="55" t="s">
        <v>207</v>
      </c>
      <c r="P159" s="55" t="s">
        <v>207</v>
      </c>
      <c r="Q159" s="55" t="s">
        <v>350</v>
      </c>
      <c r="R159" s="55">
        <v>2</v>
      </c>
      <c r="S159" s="55"/>
      <c r="T159" s="55" t="s">
        <v>729</v>
      </c>
    </row>
    <row r="160" spans="1:20" ht="13" x14ac:dyDescent="0.15">
      <c r="A160" s="72" t="str">
        <f t="shared" si="2"/>
        <v>Ofsted Social Care Provider Webpage</v>
      </c>
      <c r="B160" s="55">
        <v>1234621</v>
      </c>
      <c r="D160" s="55" t="s">
        <v>373</v>
      </c>
      <c r="E160" s="74">
        <v>42570</v>
      </c>
      <c r="F160" s="55" t="s">
        <v>344</v>
      </c>
      <c r="G160" s="55" t="s">
        <v>360</v>
      </c>
      <c r="H160" s="55" t="s">
        <v>360</v>
      </c>
      <c r="I160" s="55" t="s">
        <v>360</v>
      </c>
      <c r="J160" s="55" t="s">
        <v>360</v>
      </c>
      <c r="K160" s="55" t="s">
        <v>360</v>
      </c>
      <c r="L160" s="55" t="s">
        <v>360</v>
      </c>
      <c r="M160" s="55" t="s">
        <v>138</v>
      </c>
      <c r="N160" s="55" t="s">
        <v>138</v>
      </c>
      <c r="O160" s="55" t="s">
        <v>183</v>
      </c>
      <c r="P160" s="55" t="s">
        <v>730</v>
      </c>
      <c r="Q160" s="55" t="s">
        <v>350</v>
      </c>
      <c r="R160" s="55">
        <v>5</v>
      </c>
      <c r="S160" s="55"/>
      <c r="T160" s="55" t="s">
        <v>450</v>
      </c>
    </row>
    <row r="161" spans="1:20" ht="13" x14ac:dyDescent="0.15">
      <c r="A161" s="72" t="str">
        <f t="shared" si="2"/>
        <v>Ofsted Social Care Provider Webpage</v>
      </c>
      <c r="B161" s="55">
        <v>1234851</v>
      </c>
      <c r="D161" s="55" t="s">
        <v>443</v>
      </c>
      <c r="E161" s="74">
        <v>42608</v>
      </c>
      <c r="F161" s="55" t="s">
        <v>344</v>
      </c>
      <c r="G161" s="55" t="s">
        <v>731</v>
      </c>
      <c r="H161" s="55" t="s">
        <v>732</v>
      </c>
      <c r="I161" s="55" t="s">
        <v>354</v>
      </c>
      <c r="J161" s="55" t="s">
        <v>733</v>
      </c>
      <c r="K161" s="55" t="s">
        <v>190</v>
      </c>
      <c r="L161" s="55" t="s">
        <v>734</v>
      </c>
      <c r="M161" s="55" t="s">
        <v>150</v>
      </c>
      <c r="N161" s="55" t="s">
        <v>150</v>
      </c>
      <c r="O161" s="55" t="s">
        <v>190</v>
      </c>
      <c r="P161" s="55" t="s">
        <v>500</v>
      </c>
      <c r="Q161" s="55" t="s">
        <v>350</v>
      </c>
      <c r="R161" s="55"/>
      <c r="S161" s="55"/>
      <c r="T161" s="55" t="s">
        <v>735</v>
      </c>
    </row>
    <row r="162" spans="1:20" ht="13" x14ac:dyDescent="0.15">
      <c r="A162" s="72" t="str">
        <f t="shared" si="2"/>
        <v>Ofsted Social Care Provider Webpage</v>
      </c>
      <c r="B162" s="55">
        <v>1235384</v>
      </c>
      <c r="D162" s="55" t="s">
        <v>373</v>
      </c>
      <c r="E162" s="74">
        <v>42594</v>
      </c>
      <c r="F162" s="55" t="s">
        <v>344</v>
      </c>
      <c r="G162" s="55" t="s">
        <v>360</v>
      </c>
      <c r="H162" s="55" t="s">
        <v>360</v>
      </c>
      <c r="I162" s="55" t="s">
        <v>360</v>
      </c>
      <c r="J162" s="55" t="s">
        <v>360</v>
      </c>
      <c r="K162" s="55" t="s">
        <v>360</v>
      </c>
      <c r="L162" s="55" t="s">
        <v>360</v>
      </c>
      <c r="M162" s="55" t="s">
        <v>144</v>
      </c>
      <c r="N162" s="55" t="s">
        <v>144</v>
      </c>
      <c r="O162" s="55" t="s">
        <v>209</v>
      </c>
      <c r="P162" s="55" t="s">
        <v>736</v>
      </c>
      <c r="Q162" s="55" t="s">
        <v>350</v>
      </c>
      <c r="R162" s="55">
        <v>2</v>
      </c>
      <c r="S162" s="55"/>
      <c r="T162" s="55" t="s">
        <v>737</v>
      </c>
    </row>
    <row r="163" spans="1:20" ht="13" x14ac:dyDescent="0.15">
      <c r="A163" s="72" t="str">
        <f t="shared" si="2"/>
        <v>Ofsted Social Care Provider Webpage</v>
      </c>
      <c r="B163" s="55">
        <v>1235576</v>
      </c>
      <c r="D163" s="55" t="s">
        <v>373</v>
      </c>
      <c r="E163" s="74">
        <v>42537</v>
      </c>
      <c r="F163" s="55" t="s">
        <v>344</v>
      </c>
      <c r="G163" s="55" t="s">
        <v>360</v>
      </c>
      <c r="H163" s="55" t="s">
        <v>360</v>
      </c>
      <c r="I163" s="55" t="s">
        <v>360</v>
      </c>
      <c r="J163" s="55" t="s">
        <v>360</v>
      </c>
      <c r="K163" s="55" t="s">
        <v>360</v>
      </c>
      <c r="L163" s="55" t="s">
        <v>360</v>
      </c>
      <c r="M163" s="55" t="s">
        <v>136</v>
      </c>
      <c r="N163" s="55" t="s">
        <v>136</v>
      </c>
      <c r="O163" s="55" t="s">
        <v>239</v>
      </c>
      <c r="P163" s="55" t="s">
        <v>738</v>
      </c>
      <c r="Q163" s="55" t="s">
        <v>350</v>
      </c>
      <c r="R163" s="55">
        <v>2</v>
      </c>
      <c r="S163" s="55"/>
      <c r="T163" s="55" t="s">
        <v>739</v>
      </c>
    </row>
    <row r="164" spans="1:20" ht="13" x14ac:dyDescent="0.15">
      <c r="A164" s="72" t="str">
        <f t="shared" si="2"/>
        <v>Ofsted Social Care Provider Webpage</v>
      </c>
      <c r="B164" s="55">
        <v>1235653</v>
      </c>
      <c r="D164" s="55" t="s">
        <v>373</v>
      </c>
      <c r="E164" s="74">
        <v>42472</v>
      </c>
      <c r="F164" s="55" t="s">
        <v>344</v>
      </c>
      <c r="G164" s="55" t="s">
        <v>360</v>
      </c>
      <c r="H164" s="55" t="s">
        <v>360</v>
      </c>
      <c r="I164" s="55" t="s">
        <v>360</v>
      </c>
      <c r="J164" s="55" t="s">
        <v>360</v>
      </c>
      <c r="K164" s="55" t="s">
        <v>360</v>
      </c>
      <c r="L164" s="55" t="s">
        <v>360</v>
      </c>
      <c r="M164" s="55" t="s">
        <v>129</v>
      </c>
      <c r="N164" s="55" t="s">
        <v>129</v>
      </c>
      <c r="O164" s="55" t="s">
        <v>219</v>
      </c>
      <c r="P164" s="55" t="s">
        <v>740</v>
      </c>
      <c r="Q164" s="55" t="s">
        <v>350</v>
      </c>
      <c r="R164" s="55">
        <v>4</v>
      </c>
      <c r="S164" s="55"/>
      <c r="T164" s="55" t="s">
        <v>741</v>
      </c>
    </row>
    <row r="165" spans="1:20" ht="13" x14ac:dyDescent="0.15">
      <c r="A165" s="72" t="str">
        <f t="shared" si="2"/>
        <v>Ofsted Social Care Provider Webpage</v>
      </c>
      <c r="B165" s="55">
        <v>1235654</v>
      </c>
      <c r="D165" s="55" t="s">
        <v>373</v>
      </c>
      <c r="E165" s="74">
        <v>42566</v>
      </c>
      <c r="F165" s="55" t="s">
        <v>344</v>
      </c>
      <c r="G165" s="55" t="s">
        <v>360</v>
      </c>
      <c r="H165" s="55" t="s">
        <v>360</v>
      </c>
      <c r="I165" s="55" t="s">
        <v>360</v>
      </c>
      <c r="J165" s="55" t="s">
        <v>360</v>
      </c>
      <c r="K165" s="55" t="s">
        <v>360</v>
      </c>
      <c r="L165" s="55" t="s">
        <v>360</v>
      </c>
      <c r="M165" s="55" t="s">
        <v>172</v>
      </c>
      <c r="N165" s="55" t="s">
        <v>172</v>
      </c>
      <c r="O165" s="55" t="s">
        <v>212</v>
      </c>
      <c r="P165" s="55" t="s">
        <v>547</v>
      </c>
      <c r="Q165" s="55" t="s">
        <v>350</v>
      </c>
      <c r="R165" s="55">
        <v>4</v>
      </c>
      <c r="S165" s="55"/>
      <c r="T165" s="55" t="s">
        <v>489</v>
      </c>
    </row>
    <row r="166" spans="1:20" ht="13" x14ac:dyDescent="0.15">
      <c r="A166" s="72" t="str">
        <f t="shared" si="2"/>
        <v>Ofsted Social Care Provider Webpage</v>
      </c>
      <c r="B166" s="55">
        <v>1235818</v>
      </c>
      <c r="D166" s="55" t="s">
        <v>373</v>
      </c>
      <c r="E166" s="74">
        <v>42530</v>
      </c>
      <c r="F166" s="55" t="s">
        <v>344</v>
      </c>
      <c r="G166" s="55" t="s">
        <v>360</v>
      </c>
      <c r="H166" s="55" t="s">
        <v>360</v>
      </c>
      <c r="I166" s="55" t="s">
        <v>360</v>
      </c>
      <c r="J166" s="55" t="s">
        <v>360</v>
      </c>
      <c r="K166" s="55" t="s">
        <v>360</v>
      </c>
      <c r="L166" s="55" t="s">
        <v>360</v>
      </c>
      <c r="M166" s="55" t="s">
        <v>378</v>
      </c>
      <c r="N166" s="55" t="s">
        <v>134</v>
      </c>
      <c r="O166" s="55" t="s">
        <v>232</v>
      </c>
      <c r="P166" s="55" t="s">
        <v>412</v>
      </c>
      <c r="Q166" s="55" t="s">
        <v>350</v>
      </c>
      <c r="R166" s="55">
        <v>4</v>
      </c>
      <c r="S166" s="55"/>
      <c r="T166" s="55" t="s">
        <v>385</v>
      </c>
    </row>
    <row r="167" spans="1:20" ht="13" x14ac:dyDescent="0.15">
      <c r="A167" s="72" t="str">
        <f t="shared" si="2"/>
        <v>Ofsted Social Care Provider Webpage</v>
      </c>
      <c r="B167" s="55">
        <v>1236026</v>
      </c>
      <c r="D167" s="55" t="s">
        <v>373</v>
      </c>
      <c r="E167" s="74">
        <v>42497</v>
      </c>
      <c r="F167" s="55" t="s">
        <v>344</v>
      </c>
      <c r="G167" s="55" t="s">
        <v>360</v>
      </c>
      <c r="H167" s="55" t="s">
        <v>360</v>
      </c>
      <c r="I167" s="55" t="s">
        <v>360</v>
      </c>
      <c r="J167" s="55" t="s">
        <v>360</v>
      </c>
      <c r="K167" s="55" t="s">
        <v>360</v>
      </c>
      <c r="L167" s="55" t="s">
        <v>360</v>
      </c>
      <c r="M167" s="55" t="s">
        <v>378</v>
      </c>
      <c r="N167" s="55" t="s">
        <v>170</v>
      </c>
      <c r="O167" s="55" t="s">
        <v>178</v>
      </c>
      <c r="P167" s="55" t="s">
        <v>434</v>
      </c>
      <c r="Q167" s="55" t="s">
        <v>350</v>
      </c>
      <c r="R167" s="55">
        <v>4</v>
      </c>
      <c r="S167" s="55"/>
      <c r="T167" s="55" t="s">
        <v>385</v>
      </c>
    </row>
    <row r="168" spans="1:20" ht="13" x14ac:dyDescent="0.15">
      <c r="A168" s="72" t="str">
        <f t="shared" si="2"/>
        <v>Ofsted Social Care Provider Webpage</v>
      </c>
      <c r="B168" s="55">
        <v>1236131</v>
      </c>
      <c r="D168" s="55" t="s">
        <v>389</v>
      </c>
      <c r="E168" s="74">
        <v>42674</v>
      </c>
      <c r="F168" s="55" t="s">
        <v>344</v>
      </c>
      <c r="G168" s="55" t="s">
        <v>742</v>
      </c>
      <c r="H168" s="55" t="s">
        <v>743</v>
      </c>
      <c r="I168" s="55" t="s">
        <v>744</v>
      </c>
      <c r="J168" s="55" t="s">
        <v>745</v>
      </c>
      <c r="L168" s="55" t="s">
        <v>746</v>
      </c>
      <c r="M168" s="55" t="s">
        <v>142</v>
      </c>
      <c r="N168" s="55" t="s">
        <v>142</v>
      </c>
      <c r="O168" s="55" t="s">
        <v>195</v>
      </c>
      <c r="P168" s="55" t="s">
        <v>747</v>
      </c>
      <c r="Q168" s="55" t="s">
        <v>350</v>
      </c>
      <c r="R168" s="55"/>
      <c r="S168" s="55"/>
      <c r="T168" s="55" t="s">
        <v>742</v>
      </c>
    </row>
    <row r="169" spans="1:20" ht="13" x14ac:dyDescent="0.15">
      <c r="A169" s="72" t="str">
        <f t="shared" si="2"/>
        <v>Ofsted Social Care Provider Webpage</v>
      </c>
      <c r="B169" s="55">
        <v>1236278</v>
      </c>
      <c r="D169" s="55" t="s">
        <v>373</v>
      </c>
      <c r="E169" s="74">
        <v>42527</v>
      </c>
      <c r="F169" s="55" t="s">
        <v>344</v>
      </c>
      <c r="G169" s="55" t="s">
        <v>360</v>
      </c>
      <c r="H169" s="55" t="s">
        <v>360</v>
      </c>
      <c r="I169" s="55" t="s">
        <v>360</v>
      </c>
      <c r="J169" s="55" t="s">
        <v>360</v>
      </c>
      <c r="K169" s="55" t="s">
        <v>360</v>
      </c>
      <c r="L169" s="55" t="s">
        <v>360</v>
      </c>
      <c r="M169" s="55" t="s">
        <v>136</v>
      </c>
      <c r="N169" s="55" t="s">
        <v>136</v>
      </c>
      <c r="O169" s="55" t="s">
        <v>165</v>
      </c>
      <c r="P169" s="55" t="s">
        <v>748</v>
      </c>
      <c r="Q169" s="55" t="s">
        <v>350</v>
      </c>
      <c r="R169" s="55">
        <v>3</v>
      </c>
      <c r="S169" s="55"/>
      <c r="T169" s="55" t="s">
        <v>450</v>
      </c>
    </row>
    <row r="170" spans="1:20" ht="13" x14ac:dyDescent="0.15">
      <c r="A170" s="72" t="str">
        <f t="shared" si="2"/>
        <v>Ofsted Social Care Provider Webpage</v>
      </c>
      <c r="B170" s="55">
        <v>1236387</v>
      </c>
      <c r="D170" s="55" t="s">
        <v>373</v>
      </c>
      <c r="E170" s="74">
        <v>42509</v>
      </c>
      <c r="F170" s="55" t="s">
        <v>344</v>
      </c>
      <c r="G170" s="55" t="s">
        <v>360</v>
      </c>
      <c r="H170" s="55" t="s">
        <v>360</v>
      </c>
      <c r="I170" s="55" t="s">
        <v>360</v>
      </c>
      <c r="J170" s="55" t="s">
        <v>360</v>
      </c>
      <c r="K170" s="55" t="s">
        <v>360</v>
      </c>
      <c r="L170" s="55" t="s">
        <v>360</v>
      </c>
      <c r="M170" s="55" t="s">
        <v>150</v>
      </c>
      <c r="N170" s="55" t="s">
        <v>150</v>
      </c>
      <c r="O170" s="55" t="s">
        <v>190</v>
      </c>
      <c r="P170" s="55" t="s">
        <v>749</v>
      </c>
      <c r="Q170" s="55" t="s">
        <v>350</v>
      </c>
      <c r="R170" s="55">
        <v>4</v>
      </c>
      <c r="S170" s="55"/>
      <c r="T170" s="55" t="s">
        <v>450</v>
      </c>
    </row>
    <row r="171" spans="1:20" ht="13" x14ac:dyDescent="0.15">
      <c r="A171" s="72" t="str">
        <f t="shared" si="2"/>
        <v>Ofsted Social Care Provider Webpage</v>
      </c>
      <c r="B171" s="55">
        <v>1236450</v>
      </c>
      <c r="D171" s="55" t="s">
        <v>373</v>
      </c>
      <c r="E171" s="74">
        <v>42598</v>
      </c>
      <c r="F171" s="55" t="s">
        <v>344</v>
      </c>
      <c r="G171" s="55" t="s">
        <v>360</v>
      </c>
      <c r="H171" s="55" t="s">
        <v>360</v>
      </c>
      <c r="I171" s="55" t="s">
        <v>360</v>
      </c>
      <c r="J171" s="55" t="s">
        <v>360</v>
      </c>
      <c r="K171" s="55" t="s">
        <v>360</v>
      </c>
      <c r="L171" s="55" t="s">
        <v>360</v>
      </c>
      <c r="M171" s="55" t="s">
        <v>378</v>
      </c>
      <c r="N171" s="55" t="s">
        <v>134</v>
      </c>
      <c r="O171" s="55" t="s">
        <v>206</v>
      </c>
      <c r="P171" s="55" t="s">
        <v>750</v>
      </c>
      <c r="Q171" s="55" t="s">
        <v>350</v>
      </c>
      <c r="R171" s="55">
        <v>5</v>
      </c>
      <c r="S171" s="55"/>
      <c r="T171" s="55" t="s">
        <v>751</v>
      </c>
    </row>
    <row r="172" spans="1:20" ht="13" x14ac:dyDescent="0.15">
      <c r="A172" s="72" t="str">
        <f t="shared" si="2"/>
        <v>Ofsted Social Care Provider Webpage</v>
      </c>
      <c r="B172" s="55">
        <v>1236453</v>
      </c>
      <c r="D172" s="55" t="s">
        <v>358</v>
      </c>
      <c r="E172" s="74">
        <v>42566</v>
      </c>
      <c r="F172" s="55" t="s">
        <v>344</v>
      </c>
      <c r="G172" s="55" t="s">
        <v>752</v>
      </c>
      <c r="H172" s="55" t="s">
        <v>360</v>
      </c>
      <c r="I172" s="55" t="s">
        <v>360</v>
      </c>
      <c r="J172" s="55" t="s">
        <v>360</v>
      </c>
      <c r="K172" s="55" t="s">
        <v>360</v>
      </c>
      <c r="L172" s="55" t="s">
        <v>360</v>
      </c>
      <c r="M172" s="55" t="s">
        <v>129</v>
      </c>
      <c r="N172" s="55" t="s">
        <v>129</v>
      </c>
      <c r="O172" s="55" t="s">
        <v>260</v>
      </c>
      <c r="P172" s="55" t="s">
        <v>753</v>
      </c>
      <c r="Q172" s="55" t="s">
        <v>350</v>
      </c>
      <c r="R172" s="55"/>
      <c r="S172" s="55"/>
      <c r="T172" s="55" t="s">
        <v>754</v>
      </c>
    </row>
    <row r="173" spans="1:20" ht="13" x14ac:dyDescent="0.15">
      <c r="A173" s="72" t="str">
        <f t="shared" si="2"/>
        <v>Ofsted Social Care Provider Webpage</v>
      </c>
      <c r="B173" s="55">
        <v>1236532</v>
      </c>
      <c r="D173" s="55" t="s">
        <v>373</v>
      </c>
      <c r="E173" s="74">
        <v>42565</v>
      </c>
      <c r="F173" s="55" t="s">
        <v>344</v>
      </c>
      <c r="G173" s="55" t="s">
        <v>360</v>
      </c>
      <c r="H173" s="55" t="s">
        <v>360</v>
      </c>
      <c r="I173" s="55" t="s">
        <v>360</v>
      </c>
      <c r="J173" s="55" t="s">
        <v>360</v>
      </c>
      <c r="K173" s="55" t="s">
        <v>360</v>
      </c>
      <c r="L173" s="55" t="s">
        <v>360</v>
      </c>
      <c r="M173" s="55" t="s">
        <v>150</v>
      </c>
      <c r="N173" s="55" t="s">
        <v>150</v>
      </c>
      <c r="O173" s="55" t="s">
        <v>237</v>
      </c>
      <c r="P173" s="55" t="s">
        <v>635</v>
      </c>
      <c r="Q173" s="55" t="s">
        <v>350</v>
      </c>
      <c r="R173" s="55">
        <v>5</v>
      </c>
      <c r="S173" s="55"/>
      <c r="T173" s="55" t="s">
        <v>755</v>
      </c>
    </row>
    <row r="174" spans="1:20" ht="13" x14ac:dyDescent="0.15">
      <c r="A174" s="72" t="str">
        <f t="shared" si="2"/>
        <v>Ofsted Social Care Provider Webpage</v>
      </c>
      <c r="B174" s="55">
        <v>1236540</v>
      </c>
      <c r="D174" s="55" t="s">
        <v>373</v>
      </c>
      <c r="E174" s="74">
        <v>42535</v>
      </c>
      <c r="F174" s="55" t="s">
        <v>344</v>
      </c>
      <c r="G174" s="55" t="s">
        <v>360</v>
      </c>
      <c r="H174" s="55" t="s">
        <v>360</v>
      </c>
      <c r="I174" s="55" t="s">
        <v>360</v>
      </c>
      <c r="J174" s="55" t="s">
        <v>360</v>
      </c>
      <c r="K174" s="55" t="s">
        <v>360</v>
      </c>
      <c r="L174" s="55" t="s">
        <v>360</v>
      </c>
      <c r="M174" s="55" t="s">
        <v>378</v>
      </c>
      <c r="N174" s="55" t="s">
        <v>134</v>
      </c>
      <c r="O174" s="55" t="s">
        <v>158</v>
      </c>
      <c r="P174" s="55" t="s">
        <v>480</v>
      </c>
      <c r="Q174" s="55" t="s">
        <v>380</v>
      </c>
      <c r="R174" s="55">
        <v>3</v>
      </c>
      <c r="S174" s="55"/>
      <c r="T174" s="55" t="s">
        <v>756</v>
      </c>
    </row>
    <row r="175" spans="1:20" ht="13" x14ac:dyDescent="0.15">
      <c r="A175" s="72" t="str">
        <f t="shared" si="2"/>
        <v>Ofsted Social Care Provider Webpage</v>
      </c>
      <c r="B175" s="55">
        <v>1236620</v>
      </c>
      <c r="D175" s="55" t="s">
        <v>373</v>
      </c>
      <c r="E175" s="74">
        <v>42569</v>
      </c>
      <c r="F175" s="55" t="s">
        <v>344</v>
      </c>
      <c r="G175" s="55" t="s">
        <v>360</v>
      </c>
      <c r="H175" s="55" t="s">
        <v>360</v>
      </c>
      <c r="I175" s="55" t="s">
        <v>360</v>
      </c>
      <c r="J175" s="55" t="s">
        <v>360</v>
      </c>
      <c r="K175" s="55" t="s">
        <v>360</v>
      </c>
      <c r="L175" s="55" t="s">
        <v>360</v>
      </c>
      <c r="M175" s="55" t="s">
        <v>136</v>
      </c>
      <c r="N175" s="55" t="s">
        <v>136</v>
      </c>
      <c r="O175" s="55" t="s">
        <v>255</v>
      </c>
      <c r="P175" s="55" t="s">
        <v>757</v>
      </c>
      <c r="Q175" s="55" t="s">
        <v>350</v>
      </c>
      <c r="R175" s="55">
        <v>4</v>
      </c>
      <c r="S175" s="55"/>
      <c r="T175" s="55" t="s">
        <v>385</v>
      </c>
    </row>
    <row r="176" spans="1:20" ht="13" x14ac:dyDescent="0.15">
      <c r="A176" s="72" t="str">
        <f t="shared" si="2"/>
        <v>Ofsted Social Care Provider Webpage</v>
      </c>
      <c r="B176" s="55">
        <v>1236625</v>
      </c>
      <c r="D176" s="55" t="s">
        <v>373</v>
      </c>
      <c r="E176" s="74">
        <v>42572</v>
      </c>
      <c r="F176" s="55" t="s">
        <v>344</v>
      </c>
      <c r="G176" s="55" t="s">
        <v>360</v>
      </c>
      <c r="H176" s="55" t="s">
        <v>360</v>
      </c>
      <c r="I176" s="55" t="s">
        <v>360</v>
      </c>
      <c r="J176" s="55" t="s">
        <v>360</v>
      </c>
      <c r="K176" s="55" t="s">
        <v>360</v>
      </c>
      <c r="L176" s="55" t="s">
        <v>360</v>
      </c>
      <c r="M176" s="55" t="s">
        <v>172</v>
      </c>
      <c r="N176" s="55" t="s">
        <v>172</v>
      </c>
      <c r="O176" s="55" t="s">
        <v>212</v>
      </c>
      <c r="P176" s="55" t="s">
        <v>547</v>
      </c>
      <c r="Q176" s="55" t="s">
        <v>350</v>
      </c>
      <c r="R176" s="55">
        <v>3</v>
      </c>
      <c r="S176" s="55"/>
      <c r="T176" s="55" t="s">
        <v>758</v>
      </c>
    </row>
    <row r="177" spans="1:20" ht="13" x14ac:dyDescent="0.15">
      <c r="A177" s="72" t="str">
        <f t="shared" si="2"/>
        <v>Ofsted Social Care Provider Webpage</v>
      </c>
      <c r="B177" s="55">
        <v>1236771</v>
      </c>
      <c r="D177" s="55" t="s">
        <v>373</v>
      </c>
      <c r="E177" s="74">
        <v>42622</v>
      </c>
      <c r="F177" s="55" t="s">
        <v>344</v>
      </c>
      <c r="G177" s="55" t="s">
        <v>360</v>
      </c>
      <c r="H177" s="55" t="s">
        <v>360</v>
      </c>
      <c r="I177" s="55" t="s">
        <v>360</v>
      </c>
      <c r="J177" s="55" t="s">
        <v>360</v>
      </c>
      <c r="K177" s="55" t="s">
        <v>360</v>
      </c>
      <c r="L177" s="55" t="s">
        <v>360</v>
      </c>
      <c r="M177" s="55" t="s">
        <v>144</v>
      </c>
      <c r="N177" s="55" t="s">
        <v>144</v>
      </c>
      <c r="O177" s="55" t="s">
        <v>250</v>
      </c>
      <c r="P177" s="55" t="s">
        <v>759</v>
      </c>
      <c r="Q177" s="55" t="s">
        <v>350</v>
      </c>
      <c r="R177" s="55">
        <v>4</v>
      </c>
      <c r="S177" s="55"/>
      <c r="T177" s="55" t="s">
        <v>493</v>
      </c>
    </row>
    <row r="178" spans="1:20" ht="13" x14ac:dyDescent="0.15">
      <c r="A178" s="72" t="str">
        <f t="shared" si="2"/>
        <v>Ofsted Social Care Provider Webpage</v>
      </c>
      <c r="B178" s="55">
        <v>1236773</v>
      </c>
      <c r="D178" s="55" t="s">
        <v>373</v>
      </c>
      <c r="E178" s="74">
        <v>42718</v>
      </c>
      <c r="F178" s="55" t="s">
        <v>344</v>
      </c>
      <c r="G178" s="55" t="s">
        <v>360</v>
      </c>
      <c r="H178" s="55" t="s">
        <v>360</v>
      </c>
      <c r="I178" s="55" t="s">
        <v>360</v>
      </c>
      <c r="J178" s="55" t="s">
        <v>360</v>
      </c>
      <c r="K178" s="55" t="s">
        <v>360</v>
      </c>
      <c r="L178" s="55" t="s">
        <v>360</v>
      </c>
      <c r="M178" s="55" t="s">
        <v>378</v>
      </c>
      <c r="N178" s="55" t="s">
        <v>134</v>
      </c>
      <c r="O178" s="55" t="s">
        <v>206</v>
      </c>
      <c r="P178" s="55" t="s">
        <v>760</v>
      </c>
      <c r="Q178" s="55" t="s">
        <v>350</v>
      </c>
      <c r="R178" s="55">
        <v>1</v>
      </c>
      <c r="S178" s="55"/>
      <c r="T178" s="55" t="s">
        <v>385</v>
      </c>
    </row>
    <row r="179" spans="1:20" ht="13" x14ac:dyDescent="0.15">
      <c r="A179" s="72" t="str">
        <f t="shared" si="2"/>
        <v>Ofsted Social Care Provider Webpage</v>
      </c>
      <c r="B179" s="55">
        <v>1236832</v>
      </c>
      <c r="D179" s="55" t="s">
        <v>373</v>
      </c>
      <c r="E179" s="74">
        <v>42559</v>
      </c>
      <c r="F179" s="55" t="s">
        <v>344</v>
      </c>
      <c r="G179" s="55" t="s">
        <v>360</v>
      </c>
      <c r="H179" s="55" t="s">
        <v>360</v>
      </c>
      <c r="I179" s="55" t="s">
        <v>360</v>
      </c>
      <c r="J179" s="55" t="s">
        <v>360</v>
      </c>
      <c r="K179" s="55" t="s">
        <v>360</v>
      </c>
      <c r="L179" s="55" t="s">
        <v>360</v>
      </c>
      <c r="M179" s="55" t="s">
        <v>138</v>
      </c>
      <c r="N179" s="55" t="s">
        <v>138</v>
      </c>
      <c r="O179" s="55" t="s">
        <v>161</v>
      </c>
      <c r="P179" s="55" t="s">
        <v>761</v>
      </c>
      <c r="Q179" s="55" t="s">
        <v>350</v>
      </c>
      <c r="R179" s="55">
        <v>4</v>
      </c>
      <c r="S179" s="55"/>
      <c r="T179" s="55" t="s">
        <v>762</v>
      </c>
    </row>
    <row r="180" spans="1:20" ht="13" x14ac:dyDescent="0.15">
      <c r="A180" s="72" t="str">
        <f t="shared" si="2"/>
        <v>Ofsted Social Care Provider Webpage</v>
      </c>
      <c r="B180" s="55">
        <v>1236901</v>
      </c>
      <c r="D180" s="55" t="s">
        <v>389</v>
      </c>
      <c r="E180" s="74">
        <v>42564</v>
      </c>
      <c r="F180" s="55" t="s">
        <v>344</v>
      </c>
      <c r="G180" s="55" t="s">
        <v>763</v>
      </c>
      <c r="H180" s="55" t="s">
        <v>764</v>
      </c>
      <c r="I180" s="55" t="s">
        <v>765</v>
      </c>
      <c r="J180" s="55" t="s">
        <v>555</v>
      </c>
      <c r="K180" s="55" t="s">
        <v>209</v>
      </c>
      <c r="L180" s="55" t="s">
        <v>766</v>
      </c>
      <c r="M180" s="55" t="s">
        <v>144</v>
      </c>
      <c r="N180" s="55" t="s">
        <v>144</v>
      </c>
      <c r="O180" s="55" t="s">
        <v>209</v>
      </c>
      <c r="P180" s="55" t="s">
        <v>555</v>
      </c>
      <c r="Q180" s="55" t="s">
        <v>350</v>
      </c>
      <c r="R180" s="55"/>
      <c r="S180" s="55"/>
      <c r="T180" s="55" t="s">
        <v>763</v>
      </c>
    </row>
    <row r="181" spans="1:20" ht="13" x14ac:dyDescent="0.15">
      <c r="A181" s="72" t="str">
        <f t="shared" si="2"/>
        <v>Ofsted Social Care Provider Webpage</v>
      </c>
      <c r="B181" s="55">
        <v>1236916</v>
      </c>
      <c r="D181" s="55" t="s">
        <v>373</v>
      </c>
      <c r="E181" s="74">
        <v>42544</v>
      </c>
      <c r="F181" s="55" t="s">
        <v>344</v>
      </c>
      <c r="G181" s="55" t="s">
        <v>360</v>
      </c>
      <c r="H181" s="55" t="s">
        <v>360</v>
      </c>
      <c r="I181" s="55" t="s">
        <v>360</v>
      </c>
      <c r="J181" s="55" t="s">
        <v>360</v>
      </c>
      <c r="K181" s="55" t="s">
        <v>360</v>
      </c>
      <c r="L181" s="55" t="s">
        <v>360</v>
      </c>
      <c r="M181" s="55" t="s">
        <v>136</v>
      </c>
      <c r="N181" s="55" t="s">
        <v>136</v>
      </c>
      <c r="O181" s="55" t="s">
        <v>230</v>
      </c>
      <c r="P181" s="55" t="s">
        <v>767</v>
      </c>
      <c r="Q181" s="55" t="s">
        <v>350</v>
      </c>
      <c r="R181" s="55">
        <v>3</v>
      </c>
      <c r="S181" s="55"/>
      <c r="T181" s="55" t="s">
        <v>768</v>
      </c>
    </row>
    <row r="182" spans="1:20" ht="13" x14ac:dyDescent="0.15">
      <c r="A182" s="72" t="str">
        <f t="shared" si="2"/>
        <v>Ofsted Social Care Provider Webpage</v>
      </c>
      <c r="B182" s="55">
        <v>1237027</v>
      </c>
      <c r="D182" s="55" t="s">
        <v>373</v>
      </c>
      <c r="E182" s="74">
        <v>42550</v>
      </c>
      <c r="F182" s="55" t="s">
        <v>344</v>
      </c>
      <c r="G182" s="55" t="s">
        <v>360</v>
      </c>
      <c r="H182" s="55" t="s">
        <v>360</v>
      </c>
      <c r="I182" s="55" t="s">
        <v>360</v>
      </c>
      <c r="J182" s="55" t="s">
        <v>360</v>
      </c>
      <c r="K182" s="55" t="s">
        <v>360</v>
      </c>
      <c r="L182" s="55" t="s">
        <v>360</v>
      </c>
      <c r="M182" s="55" t="s">
        <v>129</v>
      </c>
      <c r="N182" s="55" t="s">
        <v>129</v>
      </c>
      <c r="O182" s="55" t="s">
        <v>186</v>
      </c>
      <c r="P182" s="55" t="s">
        <v>769</v>
      </c>
      <c r="Q182" s="55" t="s">
        <v>350</v>
      </c>
      <c r="R182" s="55">
        <v>3</v>
      </c>
      <c r="S182" s="55"/>
      <c r="T182" s="55" t="s">
        <v>713</v>
      </c>
    </row>
    <row r="183" spans="1:20" ht="13" x14ac:dyDescent="0.15">
      <c r="A183" s="72" t="str">
        <f t="shared" si="2"/>
        <v>Ofsted Social Care Provider Webpage</v>
      </c>
      <c r="B183" s="55">
        <v>1237336</v>
      </c>
      <c r="D183" s="55" t="s">
        <v>389</v>
      </c>
      <c r="E183" s="74">
        <v>42657</v>
      </c>
      <c r="F183" s="55" t="s">
        <v>344</v>
      </c>
      <c r="G183" s="55" t="s">
        <v>770</v>
      </c>
      <c r="H183" s="55" t="s">
        <v>771</v>
      </c>
      <c r="I183" s="55" t="s">
        <v>772</v>
      </c>
      <c r="J183" s="55" t="s">
        <v>141</v>
      </c>
      <c r="K183" s="55" t="s">
        <v>142</v>
      </c>
      <c r="L183" s="55" t="s">
        <v>773</v>
      </c>
      <c r="M183" s="55" t="s">
        <v>142</v>
      </c>
      <c r="N183" s="55" t="s">
        <v>142</v>
      </c>
      <c r="O183" s="55" t="s">
        <v>141</v>
      </c>
      <c r="P183" s="55" t="s">
        <v>774</v>
      </c>
      <c r="Q183" s="55" t="s">
        <v>350</v>
      </c>
      <c r="R183" s="55"/>
      <c r="S183" s="55"/>
      <c r="T183" s="55" t="s">
        <v>775</v>
      </c>
    </row>
    <row r="184" spans="1:20" ht="13" x14ac:dyDescent="0.15">
      <c r="A184" s="72" t="str">
        <f t="shared" si="2"/>
        <v>Ofsted Social Care Provider Webpage</v>
      </c>
      <c r="B184" s="55">
        <v>1237582</v>
      </c>
      <c r="D184" s="55" t="s">
        <v>373</v>
      </c>
      <c r="E184" s="74">
        <v>42506</v>
      </c>
      <c r="F184" s="55" t="s">
        <v>344</v>
      </c>
      <c r="G184" s="55" t="s">
        <v>360</v>
      </c>
      <c r="H184" s="55" t="s">
        <v>360</v>
      </c>
      <c r="I184" s="55" t="s">
        <v>360</v>
      </c>
      <c r="J184" s="55" t="s">
        <v>360</v>
      </c>
      <c r="K184" s="55" t="s">
        <v>360</v>
      </c>
      <c r="L184" s="55" t="s">
        <v>360</v>
      </c>
      <c r="M184" s="55" t="s">
        <v>144</v>
      </c>
      <c r="N184" s="55" t="s">
        <v>144</v>
      </c>
      <c r="O184" s="55" t="s">
        <v>245</v>
      </c>
      <c r="P184" s="55" t="s">
        <v>245</v>
      </c>
      <c r="Q184" s="55" t="s">
        <v>380</v>
      </c>
      <c r="R184" s="55">
        <v>5</v>
      </c>
      <c r="S184" s="55"/>
      <c r="T184" s="55" t="s">
        <v>776</v>
      </c>
    </row>
    <row r="185" spans="1:20" ht="13" x14ac:dyDescent="0.15">
      <c r="A185" s="72" t="str">
        <f t="shared" si="2"/>
        <v>Ofsted Social Care Provider Webpage</v>
      </c>
      <c r="B185" s="55">
        <v>1238043</v>
      </c>
      <c r="D185" s="55" t="s">
        <v>373</v>
      </c>
      <c r="E185" s="74">
        <v>42552</v>
      </c>
      <c r="F185" s="55" t="s">
        <v>344</v>
      </c>
      <c r="G185" s="55" t="s">
        <v>360</v>
      </c>
      <c r="H185" s="55" t="s">
        <v>360</v>
      </c>
      <c r="I185" s="55" t="s">
        <v>360</v>
      </c>
      <c r="J185" s="55" t="s">
        <v>360</v>
      </c>
      <c r="K185" s="55" t="s">
        <v>360</v>
      </c>
      <c r="L185" s="55" t="s">
        <v>360</v>
      </c>
      <c r="M185" s="55" t="s">
        <v>144</v>
      </c>
      <c r="N185" s="55" t="s">
        <v>144</v>
      </c>
      <c r="O185" s="55" t="s">
        <v>209</v>
      </c>
      <c r="P185" s="55" t="s">
        <v>777</v>
      </c>
      <c r="Q185" s="55" t="s">
        <v>350</v>
      </c>
      <c r="R185" s="55">
        <v>5</v>
      </c>
      <c r="S185" s="55"/>
      <c r="T185" s="55" t="s">
        <v>778</v>
      </c>
    </row>
    <row r="186" spans="1:20" ht="13" x14ac:dyDescent="0.15">
      <c r="A186" s="72" t="str">
        <f t="shared" si="2"/>
        <v>Ofsted Social Care Provider Webpage</v>
      </c>
      <c r="B186" s="55">
        <v>1238047</v>
      </c>
      <c r="C186" s="55">
        <v>140971</v>
      </c>
      <c r="D186" s="55" t="s">
        <v>693</v>
      </c>
      <c r="E186" s="74">
        <v>42504</v>
      </c>
      <c r="F186" s="55" t="s">
        <v>344</v>
      </c>
      <c r="G186" s="55" t="s">
        <v>779</v>
      </c>
      <c r="H186" s="55" t="s">
        <v>780</v>
      </c>
      <c r="I186" s="55" t="s">
        <v>781</v>
      </c>
      <c r="J186" s="55" t="s">
        <v>570</v>
      </c>
      <c r="K186" s="55" t="s">
        <v>174</v>
      </c>
      <c r="L186" s="55" t="s">
        <v>782</v>
      </c>
      <c r="M186" s="55" t="s">
        <v>136</v>
      </c>
      <c r="N186" s="55" t="s">
        <v>136</v>
      </c>
      <c r="O186" s="55" t="s">
        <v>174</v>
      </c>
      <c r="P186" s="55" t="s">
        <v>570</v>
      </c>
      <c r="Q186" s="55" t="s">
        <v>420</v>
      </c>
      <c r="R186" s="55">
        <v>37</v>
      </c>
      <c r="S186" s="55"/>
      <c r="T186" s="55" t="s">
        <v>779</v>
      </c>
    </row>
    <row r="187" spans="1:20" ht="13" x14ac:dyDescent="0.15">
      <c r="A187" s="72" t="str">
        <f t="shared" si="2"/>
        <v>Ofsted Social Care Provider Webpage</v>
      </c>
      <c r="B187" s="55">
        <v>1239886</v>
      </c>
      <c r="D187" s="55" t="s">
        <v>451</v>
      </c>
      <c r="E187" s="74">
        <v>42639</v>
      </c>
      <c r="F187" s="55" t="s">
        <v>344</v>
      </c>
      <c r="G187" s="55" t="s">
        <v>783</v>
      </c>
      <c r="H187" s="55" t="s">
        <v>784</v>
      </c>
      <c r="I187" s="55" t="s">
        <v>354</v>
      </c>
      <c r="J187" s="55" t="s">
        <v>759</v>
      </c>
      <c r="L187" s="55" t="s">
        <v>785</v>
      </c>
      <c r="M187" s="55" t="s">
        <v>144</v>
      </c>
      <c r="N187" s="55" t="s">
        <v>144</v>
      </c>
      <c r="O187" s="55" t="s">
        <v>250</v>
      </c>
      <c r="P187" s="55" t="s">
        <v>759</v>
      </c>
      <c r="Q187" s="55" t="s">
        <v>350</v>
      </c>
      <c r="R187" s="55">
        <v>4</v>
      </c>
      <c r="S187" s="55"/>
      <c r="T187" s="55" t="s">
        <v>786</v>
      </c>
    </row>
    <row r="188" spans="1:20" ht="13" x14ac:dyDescent="0.15">
      <c r="A188" s="72" t="str">
        <f t="shared" si="2"/>
        <v>Ofsted Social Care Provider Webpage</v>
      </c>
      <c r="B188" s="55">
        <v>1239948</v>
      </c>
      <c r="D188" s="55" t="s">
        <v>373</v>
      </c>
      <c r="E188" s="74">
        <v>42515</v>
      </c>
      <c r="F188" s="55" t="s">
        <v>344</v>
      </c>
      <c r="G188" s="55" t="s">
        <v>360</v>
      </c>
      <c r="H188" s="55" t="s">
        <v>360</v>
      </c>
      <c r="I188" s="55" t="s">
        <v>360</v>
      </c>
      <c r="J188" s="55" t="s">
        <v>360</v>
      </c>
      <c r="K188" s="55" t="s">
        <v>360</v>
      </c>
      <c r="L188" s="55" t="s">
        <v>360</v>
      </c>
      <c r="M188" s="55" t="s">
        <v>150</v>
      </c>
      <c r="N188" s="55" t="s">
        <v>150</v>
      </c>
      <c r="O188" s="55" t="s">
        <v>240</v>
      </c>
      <c r="P188" s="55" t="s">
        <v>787</v>
      </c>
      <c r="Q188" s="55" t="s">
        <v>380</v>
      </c>
      <c r="R188" s="55">
        <v>3</v>
      </c>
      <c r="S188" s="55"/>
      <c r="T188" s="55" t="s">
        <v>788</v>
      </c>
    </row>
    <row r="189" spans="1:20" ht="13" x14ac:dyDescent="0.15">
      <c r="A189" s="72" t="str">
        <f t="shared" si="2"/>
        <v>Ofsted Social Care Provider Webpage</v>
      </c>
      <c r="B189" s="55">
        <v>1239953</v>
      </c>
      <c r="D189" s="55" t="s">
        <v>373</v>
      </c>
      <c r="E189" s="74">
        <v>42557</v>
      </c>
      <c r="F189" s="55" t="s">
        <v>344</v>
      </c>
      <c r="G189" s="55" t="s">
        <v>360</v>
      </c>
      <c r="H189" s="55" t="s">
        <v>360</v>
      </c>
      <c r="I189" s="55" t="s">
        <v>360</v>
      </c>
      <c r="J189" s="55" t="s">
        <v>360</v>
      </c>
      <c r="K189" s="55" t="s">
        <v>360</v>
      </c>
      <c r="L189" s="55" t="s">
        <v>360</v>
      </c>
      <c r="M189" s="55" t="s">
        <v>136</v>
      </c>
      <c r="N189" s="55" t="s">
        <v>136</v>
      </c>
      <c r="O189" s="55" t="s">
        <v>255</v>
      </c>
      <c r="P189" s="55" t="s">
        <v>583</v>
      </c>
      <c r="Q189" s="55" t="s">
        <v>350</v>
      </c>
      <c r="R189" s="55">
        <v>4</v>
      </c>
      <c r="S189" s="55"/>
      <c r="T189" s="55" t="s">
        <v>789</v>
      </c>
    </row>
    <row r="190" spans="1:20" ht="13" x14ac:dyDescent="0.15">
      <c r="A190" s="72" t="str">
        <f t="shared" si="2"/>
        <v>Ofsted Social Care Provider Webpage</v>
      </c>
      <c r="B190" s="55">
        <v>1240397</v>
      </c>
      <c r="D190" s="55" t="s">
        <v>373</v>
      </c>
      <c r="E190" s="74">
        <v>42585</v>
      </c>
      <c r="F190" s="55" t="s">
        <v>344</v>
      </c>
      <c r="G190" s="55" t="s">
        <v>360</v>
      </c>
      <c r="H190" s="55" t="s">
        <v>360</v>
      </c>
      <c r="I190" s="55" t="s">
        <v>360</v>
      </c>
      <c r="J190" s="55" t="s">
        <v>360</v>
      </c>
      <c r="K190" s="55" t="s">
        <v>360</v>
      </c>
      <c r="L190" s="55" t="s">
        <v>360</v>
      </c>
      <c r="M190" s="55" t="s">
        <v>172</v>
      </c>
      <c r="N190" s="55" t="s">
        <v>172</v>
      </c>
      <c r="O190" s="55" t="s">
        <v>214</v>
      </c>
      <c r="P190" s="55" t="s">
        <v>790</v>
      </c>
      <c r="Q190" s="55" t="s">
        <v>350</v>
      </c>
      <c r="R190" s="55">
        <v>5</v>
      </c>
      <c r="S190" s="55"/>
      <c r="T190" s="55" t="s">
        <v>791</v>
      </c>
    </row>
    <row r="191" spans="1:20" ht="13" x14ac:dyDescent="0.15">
      <c r="A191" s="72" t="str">
        <f t="shared" si="2"/>
        <v>Ofsted Social Care Provider Webpage</v>
      </c>
      <c r="B191" s="55">
        <v>1240433</v>
      </c>
      <c r="D191" s="55" t="s">
        <v>373</v>
      </c>
      <c r="E191" s="74">
        <v>42601</v>
      </c>
      <c r="F191" s="55" t="s">
        <v>344</v>
      </c>
      <c r="G191" s="55" t="s">
        <v>360</v>
      </c>
      <c r="H191" s="55" t="s">
        <v>360</v>
      </c>
      <c r="I191" s="55" t="s">
        <v>360</v>
      </c>
      <c r="J191" s="55" t="s">
        <v>360</v>
      </c>
      <c r="K191" s="55" t="s">
        <v>360</v>
      </c>
      <c r="L191" s="55" t="s">
        <v>360</v>
      </c>
      <c r="M191" s="55" t="s">
        <v>378</v>
      </c>
      <c r="N191" s="55" t="s">
        <v>134</v>
      </c>
      <c r="O191" s="55" t="s">
        <v>226</v>
      </c>
      <c r="P191" s="55" t="s">
        <v>662</v>
      </c>
      <c r="Q191" s="55" t="s">
        <v>350</v>
      </c>
      <c r="R191" s="55">
        <v>3</v>
      </c>
      <c r="S191" s="55"/>
      <c r="T191" s="55" t="s">
        <v>517</v>
      </c>
    </row>
    <row r="192" spans="1:20" ht="13" x14ac:dyDescent="0.15">
      <c r="A192" s="72" t="str">
        <f t="shared" si="2"/>
        <v>Ofsted Social Care Provider Webpage</v>
      </c>
      <c r="B192" s="55">
        <v>1240449</v>
      </c>
      <c r="D192" s="55" t="s">
        <v>373</v>
      </c>
      <c r="E192" s="74">
        <v>42529</v>
      </c>
      <c r="F192" s="55" t="s">
        <v>344</v>
      </c>
      <c r="G192" s="55" t="s">
        <v>360</v>
      </c>
      <c r="H192" s="55" t="s">
        <v>360</v>
      </c>
      <c r="I192" s="55" t="s">
        <v>360</v>
      </c>
      <c r="J192" s="55" t="s">
        <v>360</v>
      </c>
      <c r="K192" s="55" t="s">
        <v>360</v>
      </c>
      <c r="L192" s="55" t="s">
        <v>360</v>
      </c>
      <c r="M192" s="55" t="s">
        <v>144</v>
      </c>
      <c r="N192" s="55" t="s">
        <v>144</v>
      </c>
      <c r="O192" s="55" t="s">
        <v>207</v>
      </c>
      <c r="P192" s="55" t="s">
        <v>792</v>
      </c>
      <c r="Q192" s="55" t="s">
        <v>350</v>
      </c>
      <c r="R192" s="55">
        <v>3</v>
      </c>
      <c r="S192" s="55"/>
      <c r="T192" s="55" t="s">
        <v>793</v>
      </c>
    </row>
    <row r="193" spans="1:20" ht="13" x14ac:dyDescent="0.15">
      <c r="A193" s="72" t="str">
        <f t="shared" si="2"/>
        <v>Ofsted Social Care Provider Webpage</v>
      </c>
      <c r="B193" s="55">
        <v>1240572</v>
      </c>
      <c r="D193" s="55" t="s">
        <v>373</v>
      </c>
      <c r="E193" s="74">
        <v>42702</v>
      </c>
      <c r="F193" s="55" t="s">
        <v>344</v>
      </c>
      <c r="G193" s="55" t="s">
        <v>360</v>
      </c>
      <c r="H193" s="55" t="s">
        <v>360</v>
      </c>
      <c r="I193" s="55" t="s">
        <v>360</v>
      </c>
      <c r="J193" s="55" t="s">
        <v>360</v>
      </c>
      <c r="K193" s="55" t="s">
        <v>360</v>
      </c>
      <c r="L193" s="55" t="s">
        <v>360</v>
      </c>
      <c r="M193" s="55" t="s">
        <v>144</v>
      </c>
      <c r="N193" s="55" t="s">
        <v>144</v>
      </c>
      <c r="O193" s="55" t="s">
        <v>209</v>
      </c>
      <c r="P193" s="55" t="s">
        <v>555</v>
      </c>
      <c r="Q193" s="55" t="s">
        <v>350</v>
      </c>
      <c r="R193" s="55">
        <v>4</v>
      </c>
      <c r="S193" s="55"/>
      <c r="T193" s="55" t="s">
        <v>485</v>
      </c>
    </row>
    <row r="194" spans="1:20" ht="13" x14ac:dyDescent="0.15">
      <c r="A194" s="72" t="str">
        <f t="shared" si="2"/>
        <v>Ofsted Social Care Provider Webpage</v>
      </c>
      <c r="B194" s="55">
        <v>1240573</v>
      </c>
      <c r="D194" s="55" t="s">
        <v>373</v>
      </c>
      <c r="E194" s="74">
        <v>42705</v>
      </c>
      <c r="F194" s="55" t="s">
        <v>344</v>
      </c>
      <c r="G194" s="55" t="s">
        <v>360</v>
      </c>
      <c r="H194" s="55" t="s">
        <v>360</v>
      </c>
      <c r="I194" s="55" t="s">
        <v>360</v>
      </c>
      <c r="J194" s="55" t="s">
        <v>360</v>
      </c>
      <c r="K194" s="55" t="s">
        <v>360</v>
      </c>
      <c r="L194" s="55" t="s">
        <v>360</v>
      </c>
      <c r="M194" s="55" t="s">
        <v>144</v>
      </c>
      <c r="N194" s="55" t="s">
        <v>144</v>
      </c>
      <c r="O194" s="55" t="s">
        <v>209</v>
      </c>
      <c r="P194" s="55" t="s">
        <v>364</v>
      </c>
      <c r="Q194" s="55" t="s">
        <v>350</v>
      </c>
      <c r="R194" s="55">
        <v>4</v>
      </c>
      <c r="S194" s="55"/>
      <c r="T194" s="55" t="s">
        <v>485</v>
      </c>
    </row>
    <row r="195" spans="1:20" ht="13" x14ac:dyDescent="0.15">
      <c r="A195" s="72" t="str">
        <f t="shared" si="2"/>
        <v>Ofsted Social Care Provider Webpage</v>
      </c>
      <c r="B195" s="55">
        <v>1240753</v>
      </c>
      <c r="D195" s="55" t="s">
        <v>373</v>
      </c>
      <c r="E195" s="74">
        <v>42599</v>
      </c>
      <c r="F195" s="55" t="s">
        <v>344</v>
      </c>
      <c r="G195" s="55" t="s">
        <v>360</v>
      </c>
      <c r="H195" s="55" t="s">
        <v>360</v>
      </c>
      <c r="I195" s="55" t="s">
        <v>360</v>
      </c>
      <c r="J195" s="55" t="s">
        <v>360</v>
      </c>
      <c r="K195" s="55" t="s">
        <v>360</v>
      </c>
      <c r="L195" s="55" t="s">
        <v>360</v>
      </c>
      <c r="M195" s="55" t="s">
        <v>144</v>
      </c>
      <c r="N195" s="55" t="s">
        <v>144</v>
      </c>
      <c r="O195" s="55" t="s">
        <v>209</v>
      </c>
      <c r="P195" s="55" t="s">
        <v>777</v>
      </c>
      <c r="Q195" s="55" t="s">
        <v>350</v>
      </c>
      <c r="R195" s="55">
        <v>4</v>
      </c>
      <c r="S195" s="55"/>
      <c r="T195" s="55" t="s">
        <v>794</v>
      </c>
    </row>
    <row r="196" spans="1:20" ht="13" x14ac:dyDescent="0.15">
      <c r="A196" s="72" t="str">
        <f t="shared" si="2"/>
        <v>Ofsted Social Care Provider Webpage</v>
      </c>
      <c r="B196" s="55">
        <v>1240801</v>
      </c>
      <c r="D196" s="55" t="s">
        <v>373</v>
      </c>
      <c r="E196" s="74">
        <v>42548</v>
      </c>
      <c r="F196" s="55" t="s">
        <v>344</v>
      </c>
      <c r="G196" s="55" t="s">
        <v>360</v>
      </c>
      <c r="H196" s="55" t="s">
        <v>360</v>
      </c>
      <c r="I196" s="55" t="s">
        <v>360</v>
      </c>
      <c r="J196" s="55" t="s">
        <v>360</v>
      </c>
      <c r="K196" s="55" t="s">
        <v>360</v>
      </c>
      <c r="L196" s="55" t="s">
        <v>360</v>
      </c>
      <c r="M196" s="55" t="s">
        <v>144</v>
      </c>
      <c r="N196" s="55" t="s">
        <v>144</v>
      </c>
      <c r="O196" s="55" t="s">
        <v>287</v>
      </c>
      <c r="P196" s="55" t="s">
        <v>287</v>
      </c>
      <c r="Q196" s="55" t="s">
        <v>350</v>
      </c>
      <c r="R196" s="55">
        <v>3</v>
      </c>
      <c r="S196" s="55"/>
      <c r="T196" s="55" t="s">
        <v>513</v>
      </c>
    </row>
    <row r="197" spans="1:20" ht="13" x14ac:dyDescent="0.15">
      <c r="A197" s="72" t="str">
        <f t="shared" ref="A197:A260" si="3">HYPERLINK(_xlfn.CONCAT("http://reports.ofsted.gov.uk/inspection-reports/find-inspection-report/provider/CARE/",B197),"Ofsted Social Care Provider Webpage")</f>
        <v>Ofsted Social Care Provider Webpage</v>
      </c>
      <c r="B197" s="55">
        <v>1240802</v>
      </c>
      <c r="D197" s="55" t="s">
        <v>373</v>
      </c>
      <c r="E197" s="74">
        <v>42564</v>
      </c>
      <c r="F197" s="55" t="s">
        <v>344</v>
      </c>
      <c r="G197" s="55" t="s">
        <v>360</v>
      </c>
      <c r="H197" s="55" t="s">
        <v>360</v>
      </c>
      <c r="I197" s="55" t="s">
        <v>360</v>
      </c>
      <c r="J197" s="55" t="s">
        <v>360</v>
      </c>
      <c r="K197" s="55" t="s">
        <v>360</v>
      </c>
      <c r="L197" s="55" t="s">
        <v>360</v>
      </c>
      <c r="M197" s="55" t="s">
        <v>136</v>
      </c>
      <c r="N197" s="55" t="s">
        <v>136</v>
      </c>
      <c r="O197" s="55" t="s">
        <v>255</v>
      </c>
      <c r="P197" s="55" t="s">
        <v>583</v>
      </c>
      <c r="Q197" s="55" t="s">
        <v>350</v>
      </c>
      <c r="R197" s="55">
        <v>4</v>
      </c>
      <c r="S197" s="55"/>
      <c r="T197" s="55" t="s">
        <v>385</v>
      </c>
    </row>
    <row r="198" spans="1:20" ht="13" x14ac:dyDescent="0.15">
      <c r="A198" s="72" t="str">
        <f t="shared" si="3"/>
        <v>Ofsted Social Care Provider Webpage</v>
      </c>
      <c r="B198" s="55">
        <v>1240843</v>
      </c>
      <c r="D198" s="55" t="s">
        <v>373</v>
      </c>
      <c r="E198" s="74">
        <v>43031</v>
      </c>
      <c r="F198" s="55" t="s">
        <v>344</v>
      </c>
      <c r="G198" s="55" t="s">
        <v>360</v>
      </c>
      <c r="H198" s="55" t="s">
        <v>360</v>
      </c>
      <c r="I198" s="55" t="s">
        <v>360</v>
      </c>
      <c r="J198" s="55" t="s">
        <v>360</v>
      </c>
      <c r="K198" s="55" t="s">
        <v>360</v>
      </c>
      <c r="L198" s="55" t="s">
        <v>360</v>
      </c>
      <c r="M198" s="55" t="s">
        <v>144</v>
      </c>
      <c r="N198" s="55" t="s">
        <v>144</v>
      </c>
      <c r="O198" s="55" t="s">
        <v>145</v>
      </c>
      <c r="P198" s="55" t="s">
        <v>525</v>
      </c>
      <c r="Q198" s="55" t="s">
        <v>350</v>
      </c>
      <c r="R198" s="55">
        <v>2</v>
      </c>
      <c r="S198" s="55"/>
      <c r="T198" s="55" t="s">
        <v>794</v>
      </c>
    </row>
    <row r="199" spans="1:20" ht="13" x14ac:dyDescent="0.15">
      <c r="A199" s="72" t="str">
        <f t="shared" si="3"/>
        <v>Ofsted Social Care Provider Webpage</v>
      </c>
      <c r="B199" s="55">
        <v>1240844</v>
      </c>
      <c r="D199" s="55" t="s">
        <v>373</v>
      </c>
      <c r="E199" s="74">
        <v>42782</v>
      </c>
      <c r="F199" s="55" t="s">
        <v>344</v>
      </c>
      <c r="G199" s="55" t="s">
        <v>360</v>
      </c>
      <c r="H199" s="55" t="s">
        <v>360</v>
      </c>
      <c r="I199" s="55" t="s">
        <v>360</v>
      </c>
      <c r="J199" s="55" t="s">
        <v>360</v>
      </c>
      <c r="K199" s="55" t="s">
        <v>360</v>
      </c>
      <c r="L199" s="55" t="s">
        <v>360</v>
      </c>
      <c r="M199" s="55" t="s">
        <v>144</v>
      </c>
      <c r="N199" s="55" t="s">
        <v>144</v>
      </c>
      <c r="O199" s="55" t="s">
        <v>209</v>
      </c>
      <c r="P199" s="55" t="s">
        <v>777</v>
      </c>
      <c r="Q199" s="55" t="s">
        <v>350</v>
      </c>
      <c r="R199" s="55">
        <v>2</v>
      </c>
      <c r="S199" s="55"/>
      <c r="T199" s="55" t="s">
        <v>794</v>
      </c>
    </row>
    <row r="200" spans="1:20" ht="13" x14ac:dyDescent="0.15">
      <c r="A200" s="72" t="str">
        <f t="shared" si="3"/>
        <v>Ofsted Social Care Provider Webpage</v>
      </c>
      <c r="B200" s="55">
        <v>1240883</v>
      </c>
      <c r="D200" s="55" t="s">
        <v>373</v>
      </c>
      <c r="E200" s="74">
        <v>42600</v>
      </c>
      <c r="F200" s="55" t="s">
        <v>344</v>
      </c>
      <c r="G200" s="55" t="s">
        <v>360</v>
      </c>
      <c r="H200" s="55" t="s">
        <v>360</v>
      </c>
      <c r="I200" s="55" t="s">
        <v>360</v>
      </c>
      <c r="J200" s="55" t="s">
        <v>360</v>
      </c>
      <c r="K200" s="55" t="s">
        <v>360</v>
      </c>
      <c r="L200" s="55" t="s">
        <v>360</v>
      </c>
      <c r="M200" s="55" t="s">
        <v>144</v>
      </c>
      <c r="N200" s="55" t="s">
        <v>144</v>
      </c>
      <c r="O200" s="55" t="s">
        <v>209</v>
      </c>
      <c r="P200" s="55" t="s">
        <v>561</v>
      </c>
      <c r="Q200" s="55" t="s">
        <v>350</v>
      </c>
      <c r="R200" s="55">
        <v>3</v>
      </c>
      <c r="S200" s="55"/>
      <c r="T200" s="55" t="s">
        <v>794</v>
      </c>
    </row>
    <row r="201" spans="1:20" ht="13" x14ac:dyDescent="0.15">
      <c r="A201" s="72" t="str">
        <f t="shared" si="3"/>
        <v>Ofsted Social Care Provider Webpage</v>
      </c>
      <c r="B201" s="55">
        <v>1240884</v>
      </c>
      <c r="D201" s="55" t="s">
        <v>373</v>
      </c>
      <c r="E201" s="74">
        <v>42667</v>
      </c>
      <c r="F201" s="55" t="s">
        <v>344</v>
      </c>
      <c r="G201" s="55" t="s">
        <v>360</v>
      </c>
      <c r="H201" s="55" t="s">
        <v>360</v>
      </c>
      <c r="I201" s="55" t="s">
        <v>360</v>
      </c>
      <c r="J201" s="55" t="s">
        <v>360</v>
      </c>
      <c r="K201" s="55" t="s">
        <v>360</v>
      </c>
      <c r="L201" s="55" t="s">
        <v>360</v>
      </c>
      <c r="M201" s="55" t="s">
        <v>144</v>
      </c>
      <c r="N201" s="55" t="s">
        <v>144</v>
      </c>
      <c r="O201" s="55" t="s">
        <v>209</v>
      </c>
      <c r="P201" s="55" t="s">
        <v>544</v>
      </c>
      <c r="Q201" s="55" t="s">
        <v>350</v>
      </c>
      <c r="R201" s="55">
        <v>2</v>
      </c>
      <c r="S201" s="55"/>
      <c r="T201" s="55" t="s">
        <v>794</v>
      </c>
    </row>
    <row r="202" spans="1:20" ht="13" x14ac:dyDescent="0.15">
      <c r="A202" s="72" t="str">
        <f t="shared" si="3"/>
        <v>Ofsted Social Care Provider Webpage</v>
      </c>
      <c r="B202" s="55">
        <v>1240936</v>
      </c>
      <c r="D202" s="55" t="s">
        <v>373</v>
      </c>
      <c r="E202" s="74">
        <v>42688</v>
      </c>
      <c r="F202" s="55" t="s">
        <v>344</v>
      </c>
      <c r="G202" s="55" t="s">
        <v>360</v>
      </c>
      <c r="H202" s="55" t="s">
        <v>360</v>
      </c>
      <c r="I202" s="55" t="s">
        <v>360</v>
      </c>
      <c r="J202" s="55" t="s">
        <v>360</v>
      </c>
      <c r="K202" s="55" t="s">
        <v>360</v>
      </c>
      <c r="L202" s="55" t="s">
        <v>360</v>
      </c>
      <c r="M202" s="55" t="s">
        <v>142</v>
      </c>
      <c r="N202" s="55" t="s">
        <v>142</v>
      </c>
      <c r="O202" s="55" t="s">
        <v>141</v>
      </c>
      <c r="P202" s="55" t="s">
        <v>795</v>
      </c>
      <c r="Q202" s="55" t="s">
        <v>350</v>
      </c>
      <c r="R202" s="55">
        <v>3</v>
      </c>
      <c r="S202" s="55"/>
      <c r="T202" s="55" t="s">
        <v>613</v>
      </c>
    </row>
    <row r="203" spans="1:20" ht="13" x14ac:dyDescent="0.15">
      <c r="A203" s="72" t="str">
        <f t="shared" si="3"/>
        <v>Ofsted Social Care Provider Webpage</v>
      </c>
      <c r="B203" s="55">
        <v>1241023</v>
      </c>
      <c r="D203" s="55" t="s">
        <v>373</v>
      </c>
      <c r="E203" s="74">
        <v>42600</v>
      </c>
      <c r="F203" s="55" t="s">
        <v>344</v>
      </c>
      <c r="G203" s="55" t="s">
        <v>360</v>
      </c>
      <c r="H203" s="55" t="s">
        <v>360</v>
      </c>
      <c r="I203" s="55" t="s">
        <v>360</v>
      </c>
      <c r="J203" s="55" t="s">
        <v>360</v>
      </c>
      <c r="K203" s="55" t="s">
        <v>360</v>
      </c>
      <c r="L203" s="55" t="s">
        <v>360</v>
      </c>
      <c r="M203" s="55" t="s">
        <v>150</v>
      </c>
      <c r="N203" s="55" t="s">
        <v>150</v>
      </c>
      <c r="O203" s="55" t="s">
        <v>285</v>
      </c>
      <c r="P203" s="55" t="s">
        <v>796</v>
      </c>
      <c r="Q203" s="55" t="s">
        <v>350</v>
      </c>
      <c r="R203" s="55">
        <v>8</v>
      </c>
      <c r="S203" s="55"/>
      <c r="T203" s="55" t="s">
        <v>797</v>
      </c>
    </row>
    <row r="204" spans="1:20" ht="13" x14ac:dyDescent="0.15">
      <c r="A204" s="72" t="str">
        <f t="shared" si="3"/>
        <v>Ofsted Social Care Provider Webpage</v>
      </c>
      <c r="B204" s="55">
        <v>1241261</v>
      </c>
      <c r="D204" s="55" t="s">
        <v>373</v>
      </c>
      <c r="E204" s="74">
        <v>42650</v>
      </c>
      <c r="F204" s="55" t="s">
        <v>344</v>
      </c>
      <c r="G204" s="55" t="s">
        <v>360</v>
      </c>
      <c r="H204" s="55" t="s">
        <v>360</v>
      </c>
      <c r="I204" s="55" t="s">
        <v>360</v>
      </c>
      <c r="J204" s="55" t="s">
        <v>360</v>
      </c>
      <c r="K204" s="55" t="s">
        <v>360</v>
      </c>
      <c r="L204" s="55" t="s">
        <v>360</v>
      </c>
      <c r="M204" s="55" t="s">
        <v>172</v>
      </c>
      <c r="N204" s="55" t="s">
        <v>172</v>
      </c>
      <c r="O204" s="55" t="s">
        <v>212</v>
      </c>
      <c r="P204" s="55" t="s">
        <v>798</v>
      </c>
      <c r="Q204" s="55" t="s">
        <v>350</v>
      </c>
      <c r="R204" s="55">
        <v>2</v>
      </c>
      <c r="S204" s="55"/>
      <c r="T204" s="55" t="s">
        <v>799</v>
      </c>
    </row>
    <row r="205" spans="1:20" ht="13" x14ac:dyDescent="0.15">
      <c r="A205" s="72" t="str">
        <f t="shared" si="3"/>
        <v>Ofsted Social Care Provider Webpage</v>
      </c>
      <c r="B205" s="55">
        <v>1241263</v>
      </c>
      <c r="D205" s="55" t="s">
        <v>373</v>
      </c>
      <c r="E205" s="74">
        <v>42669</v>
      </c>
      <c r="F205" s="55" t="s">
        <v>344</v>
      </c>
      <c r="G205" s="55" t="s">
        <v>360</v>
      </c>
      <c r="H205" s="55" t="s">
        <v>360</v>
      </c>
      <c r="I205" s="55" t="s">
        <v>360</v>
      </c>
      <c r="J205" s="55" t="s">
        <v>360</v>
      </c>
      <c r="K205" s="55" t="s">
        <v>360</v>
      </c>
      <c r="L205" s="55" t="s">
        <v>360</v>
      </c>
      <c r="M205" s="55" t="s">
        <v>150</v>
      </c>
      <c r="N205" s="55" t="s">
        <v>150</v>
      </c>
      <c r="O205" s="55" t="s">
        <v>203</v>
      </c>
      <c r="P205" s="55" t="s">
        <v>800</v>
      </c>
      <c r="Q205" s="55" t="s">
        <v>350</v>
      </c>
      <c r="R205" s="55">
        <v>6</v>
      </c>
      <c r="S205" s="55"/>
      <c r="T205" s="55" t="s">
        <v>801</v>
      </c>
    </row>
    <row r="206" spans="1:20" ht="13" x14ac:dyDescent="0.15">
      <c r="A206" s="72" t="str">
        <f t="shared" si="3"/>
        <v>Ofsted Social Care Provider Webpage</v>
      </c>
      <c r="B206" s="55">
        <v>1241412</v>
      </c>
      <c r="D206" s="55" t="s">
        <v>389</v>
      </c>
      <c r="E206" s="74">
        <v>42632</v>
      </c>
      <c r="F206" s="55" t="s">
        <v>344</v>
      </c>
      <c r="G206" s="55" t="s">
        <v>802</v>
      </c>
      <c r="H206" s="55" t="s">
        <v>803</v>
      </c>
      <c r="I206" s="55" t="s">
        <v>804</v>
      </c>
      <c r="J206" s="55" t="s">
        <v>805</v>
      </c>
      <c r="K206" s="55" t="s">
        <v>147</v>
      </c>
      <c r="L206" s="55" t="s">
        <v>806</v>
      </c>
      <c r="M206" s="55" t="s">
        <v>144</v>
      </c>
      <c r="N206" s="55" t="s">
        <v>144</v>
      </c>
      <c r="O206" s="55" t="s">
        <v>147</v>
      </c>
      <c r="P206" s="55" t="s">
        <v>807</v>
      </c>
      <c r="Q206" s="55" t="s">
        <v>350</v>
      </c>
      <c r="R206" s="55"/>
      <c r="S206" s="55"/>
      <c r="T206" s="55" t="s">
        <v>802</v>
      </c>
    </row>
    <row r="207" spans="1:20" ht="13" x14ac:dyDescent="0.15">
      <c r="A207" s="72" t="str">
        <f t="shared" si="3"/>
        <v>Ofsted Social Care Provider Webpage</v>
      </c>
      <c r="B207" s="55">
        <v>1241499</v>
      </c>
      <c r="D207" s="55" t="s">
        <v>389</v>
      </c>
      <c r="E207" s="74">
        <v>42650</v>
      </c>
      <c r="F207" s="55" t="s">
        <v>344</v>
      </c>
      <c r="G207" s="55" t="s">
        <v>808</v>
      </c>
      <c r="H207" s="55" t="s">
        <v>809</v>
      </c>
      <c r="I207" s="55" t="s">
        <v>810</v>
      </c>
      <c r="J207" s="55" t="s">
        <v>811</v>
      </c>
      <c r="L207" s="55" t="s">
        <v>812</v>
      </c>
      <c r="M207" s="55" t="s">
        <v>138</v>
      </c>
      <c r="N207" s="55" t="s">
        <v>138</v>
      </c>
      <c r="O207" s="55" t="s">
        <v>183</v>
      </c>
      <c r="P207" s="55" t="s">
        <v>813</v>
      </c>
      <c r="Q207" s="55" t="s">
        <v>350</v>
      </c>
      <c r="R207" s="55"/>
      <c r="S207" s="55"/>
      <c r="T207" s="55" t="s">
        <v>814</v>
      </c>
    </row>
    <row r="208" spans="1:20" ht="13" x14ac:dyDescent="0.15">
      <c r="A208" s="72" t="str">
        <f t="shared" si="3"/>
        <v>Ofsted Social Care Provider Webpage</v>
      </c>
      <c r="B208" s="55">
        <v>1241634</v>
      </c>
      <c r="D208" s="55" t="s">
        <v>373</v>
      </c>
      <c r="E208" s="74">
        <v>42604</v>
      </c>
      <c r="F208" s="55" t="s">
        <v>344</v>
      </c>
      <c r="G208" s="55" t="s">
        <v>360</v>
      </c>
      <c r="H208" s="55" t="s">
        <v>360</v>
      </c>
      <c r="I208" s="55" t="s">
        <v>360</v>
      </c>
      <c r="J208" s="55" t="s">
        <v>360</v>
      </c>
      <c r="K208" s="55" t="s">
        <v>360</v>
      </c>
      <c r="L208" s="55" t="s">
        <v>360</v>
      </c>
      <c r="M208" s="55" t="s">
        <v>144</v>
      </c>
      <c r="N208" s="55" t="s">
        <v>144</v>
      </c>
      <c r="O208" s="55" t="s">
        <v>287</v>
      </c>
      <c r="P208" s="55" t="s">
        <v>815</v>
      </c>
      <c r="Q208" s="55" t="s">
        <v>350</v>
      </c>
      <c r="R208" s="55">
        <v>2</v>
      </c>
      <c r="S208" s="55"/>
      <c r="T208" s="55" t="s">
        <v>816</v>
      </c>
    </row>
    <row r="209" spans="1:20" ht="13" x14ac:dyDescent="0.15">
      <c r="A209" s="72" t="str">
        <f t="shared" si="3"/>
        <v>Ofsted Social Care Provider Webpage</v>
      </c>
      <c r="B209" s="55">
        <v>1241664</v>
      </c>
      <c r="D209" s="55" t="s">
        <v>389</v>
      </c>
      <c r="E209" s="74">
        <v>42759</v>
      </c>
      <c r="F209" s="55" t="s">
        <v>344</v>
      </c>
      <c r="G209" s="55" t="s">
        <v>817</v>
      </c>
      <c r="H209" s="55" t="s">
        <v>818</v>
      </c>
      <c r="I209" s="55" t="s">
        <v>354</v>
      </c>
      <c r="J209" s="55" t="s">
        <v>819</v>
      </c>
      <c r="K209" s="55" t="s">
        <v>820</v>
      </c>
      <c r="L209" s="55" t="s">
        <v>821</v>
      </c>
      <c r="M209" s="55" t="s">
        <v>138</v>
      </c>
      <c r="N209" s="55" t="s">
        <v>138</v>
      </c>
      <c r="O209" s="55" t="s">
        <v>161</v>
      </c>
      <c r="P209" s="55" t="s">
        <v>822</v>
      </c>
      <c r="Q209" s="55" t="s">
        <v>350</v>
      </c>
      <c r="R209" s="55"/>
      <c r="S209" s="55"/>
      <c r="T209" s="55" t="s">
        <v>823</v>
      </c>
    </row>
    <row r="210" spans="1:20" ht="13" x14ac:dyDescent="0.15">
      <c r="A210" s="72" t="str">
        <f t="shared" si="3"/>
        <v>Ofsted Social Care Provider Webpage</v>
      </c>
      <c r="B210" s="55">
        <v>1241752</v>
      </c>
      <c r="D210" s="55" t="s">
        <v>373</v>
      </c>
      <c r="E210" s="74">
        <v>42709</v>
      </c>
      <c r="F210" s="55" t="s">
        <v>344</v>
      </c>
      <c r="G210" s="55" t="s">
        <v>360</v>
      </c>
      <c r="H210" s="55" t="s">
        <v>360</v>
      </c>
      <c r="I210" s="55" t="s">
        <v>360</v>
      </c>
      <c r="J210" s="55" t="s">
        <v>360</v>
      </c>
      <c r="K210" s="55" t="s">
        <v>360</v>
      </c>
      <c r="L210" s="55" t="s">
        <v>360</v>
      </c>
      <c r="M210" s="55" t="s">
        <v>172</v>
      </c>
      <c r="N210" s="55" t="s">
        <v>172</v>
      </c>
      <c r="O210" s="55" t="s">
        <v>235</v>
      </c>
      <c r="P210" s="55" t="s">
        <v>628</v>
      </c>
      <c r="Q210" s="55" t="s">
        <v>362</v>
      </c>
      <c r="R210" s="55">
        <v>2</v>
      </c>
      <c r="S210" s="55"/>
      <c r="T210" s="55" t="s">
        <v>824</v>
      </c>
    </row>
    <row r="211" spans="1:20" ht="13" x14ac:dyDescent="0.15">
      <c r="A211" s="72" t="str">
        <f t="shared" si="3"/>
        <v>Ofsted Social Care Provider Webpage</v>
      </c>
      <c r="B211" s="55">
        <v>1241757</v>
      </c>
      <c r="D211" s="55" t="s">
        <v>373</v>
      </c>
      <c r="E211" s="74">
        <v>42591</v>
      </c>
      <c r="F211" s="55" t="s">
        <v>344</v>
      </c>
      <c r="G211" s="55" t="s">
        <v>360</v>
      </c>
      <c r="H211" s="55" t="s">
        <v>360</v>
      </c>
      <c r="I211" s="55" t="s">
        <v>360</v>
      </c>
      <c r="J211" s="55" t="s">
        <v>360</v>
      </c>
      <c r="K211" s="55" t="s">
        <v>360</v>
      </c>
      <c r="L211" s="55" t="s">
        <v>360</v>
      </c>
      <c r="M211" s="55" t="s">
        <v>144</v>
      </c>
      <c r="N211" s="55" t="s">
        <v>144</v>
      </c>
      <c r="O211" s="55" t="s">
        <v>287</v>
      </c>
      <c r="P211" s="55" t="s">
        <v>287</v>
      </c>
      <c r="Q211" s="55" t="s">
        <v>350</v>
      </c>
      <c r="R211" s="55">
        <v>3</v>
      </c>
      <c r="S211" s="55"/>
      <c r="T211" s="55" t="s">
        <v>513</v>
      </c>
    </row>
    <row r="212" spans="1:20" ht="13" x14ac:dyDescent="0.15">
      <c r="A212" s="72" t="str">
        <f t="shared" si="3"/>
        <v>Ofsted Social Care Provider Webpage</v>
      </c>
      <c r="B212" s="55">
        <v>1241776</v>
      </c>
      <c r="D212" s="55" t="s">
        <v>373</v>
      </c>
      <c r="E212" s="74">
        <v>42782</v>
      </c>
      <c r="F212" s="55" t="s">
        <v>344</v>
      </c>
      <c r="G212" s="55" t="s">
        <v>360</v>
      </c>
      <c r="H212" s="55" t="s">
        <v>360</v>
      </c>
      <c r="I212" s="55" t="s">
        <v>360</v>
      </c>
      <c r="J212" s="55" t="s">
        <v>360</v>
      </c>
      <c r="K212" s="55" t="s">
        <v>360</v>
      </c>
      <c r="L212" s="55" t="s">
        <v>360</v>
      </c>
      <c r="M212" s="55" t="s">
        <v>142</v>
      </c>
      <c r="N212" s="55" t="s">
        <v>142</v>
      </c>
      <c r="O212" s="55" t="s">
        <v>282</v>
      </c>
      <c r="P212" s="55" t="s">
        <v>355</v>
      </c>
      <c r="Q212" s="55" t="s">
        <v>350</v>
      </c>
      <c r="R212" s="55">
        <v>4</v>
      </c>
      <c r="S212" s="55"/>
      <c r="T212" s="55" t="s">
        <v>493</v>
      </c>
    </row>
    <row r="213" spans="1:20" ht="13" x14ac:dyDescent="0.15">
      <c r="A213" s="72" t="str">
        <f t="shared" si="3"/>
        <v>Ofsted Social Care Provider Webpage</v>
      </c>
      <c r="B213" s="55">
        <v>1241781</v>
      </c>
      <c r="C213" s="55">
        <v>143046</v>
      </c>
      <c r="D213" s="55" t="s">
        <v>398</v>
      </c>
      <c r="E213" s="74">
        <v>42795</v>
      </c>
      <c r="F213" s="55" t="s">
        <v>344</v>
      </c>
      <c r="G213" s="55" t="s">
        <v>825</v>
      </c>
      <c r="H213" s="55" t="s">
        <v>826</v>
      </c>
      <c r="I213" s="55" t="s">
        <v>354</v>
      </c>
      <c r="J213" s="55" t="s">
        <v>827</v>
      </c>
      <c r="L213" s="55" t="s">
        <v>828</v>
      </c>
      <c r="M213" s="55" t="s">
        <v>150</v>
      </c>
      <c r="N213" s="55" t="s">
        <v>150</v>
      </c>
      <c r="O213" s="55" t="s">
        <v>153</v>
      </c>
      <c r="P213" s="55" t="s">
        <v>829</v>
      </c>
      <c r="Q213" s="55" t="s">
        <v>350</v>
      </c>
      <c r="R213" s="55">
        <v>83</v>
      </c>
      <c r="S213" s="55"/>
    </row>
    <row r="214" spans="1:20" ht="13" x14ac:dyDescent="0.15">
      <c r="A214" s="72" t="str">
        <f t="shared" si="3"/>
        <v>Ofsted Social Care Provider Webpage</v>
      </c>
      <c r="B214" s="55">
        <v>1241782</v>
      </c>
      <c r="D214" s="55" t="s">
        <v>373</v>
      </c>
      <c r="E214" s="74">
        <v>42718</v>
      </c>
      <c r="F214" s="55" t="s">
        <v>344</v>
      </c>
      <c r="G214" s="55" t="s">
        <v>360</v>
      </c>
      <c r="H214" s="55" t="s">
        <v>360</v>
      </c>
      <c r="I214" s="55" t="s">
        <v>360</v>
      </c>
      <c r="J214" s="55" t="s">
        <v>360</v>
      </c>
      <c r="K214" s="55" t="s">
        <v>360</v>
      </c>
      <c r="L214" s="55" t="s">
        <v>360</v>
      </c>
      <c r="M214" s="55" t="s">
        <v>144</v>
      </c>
      <c r="N214" s="55" t="s">
        <v>144</v>
      </c>
      <c r="O214" s="55" t="s">
        <v>209</v>
      </c>
      <c r="P214" s="55" t="s">
        <v>474</v>
      </c>
      <c r="Q214" s="55" t="s">
        <v>380</v>
      </c>
      <c r="R214" s="55">
        <v>6</v>
      </c>
      <c r="S214" s="55"/>
      <c r="T214" s="55" t="s">
        <v>657</v>
      </c>
    </row>
    <row r="215" spans="1:20" ht="13" x14ac:dyDescent="0.15">
      <c r="A215" s="72" t="str">
        <f t="shared" si="3"/>
        <v>Ofsted Social Care Provider Webpage</v>
      </c>
      <c r="B215" s="55">
        <v>1241785</v>
      </c>
      <c r="D215" s="55" t="s">
        <v>373</v>
      </c>
      <c r="E215" s="74">
        <v>42759</v>
      </c>
      <c r="F215" s="55" t="s">
        <v>344</v>
      </c>
      <c r="G215" s="55" t="s">
        <v>360</v>
      </c>
      <c r="H215" s="55" t="s">
        <v>360</v>
      </c>
      <c r="I215" s="55" t="s">
        <v>360</v>
      </c>
      <c r="J215" s="55" t="s">
        <v>360</v>
      </c>
      <c r="K215" s="55" t="s">
        <v>360</v>
      </c>
      <c r="L215" s="55" t="s">
        <v>360</v>
      </c>
      <c r="M215" s="55" t="s">
        <v>150</v>
      </c>
      <c r="N215" s="55" t="s">
        <v>150</v>
      </c>
      <c r="O215" s="55" t="s">
        <v>190</v>
      </c>
      <c r="P215" s="55" t="s">
        <v>830</v>
      </c>
      <c r="Q215" s="55" t="s">
        <v>350</v>
      </c>
      <c r="R215" s="55">
        <v>9</v>
      </c>
      <c r="S215" s="55"/>
      <c r="T215" s="55" t="s">
        <v>450</v>
      </c>
    </row>
    <row r="216" spans="1:20" ht="13" x14ac:dyDescent="0.15">
      <c r="A216" s="72" t="str">
        <f t="shared" si="3"/>
        <v>Ofsted Social Care Provider Webpage</v>
      </c>
      <c r="B216" s="55">
        <v>1241789</v>
      </c>
      <c r="D216" s="55" t="s">
        <v>373</v>
      </c>
      <c r="E216" s="74">
        <v>42605</v>
      </c>
      <c r="F216" s="55" t="s">
        <v>344</v>
      </c>
      <c r="G216" s="55" t="s">
        <v>360</v>
      </c>
      <c r="H216" s="55" t="s">
        <v>360</v>
      </c>
      <c r="I216" s="55" t="s">
        <v>360</v>
      </c>
      <c r="J216" s="55" t="s">
        <v>360</v>
      </c>
      <c r="K216" s="55" t="s">
        <v>360</v>
      </c>
      <c r="L216" s="55" t="s">
        <v>360</v>
      </c>
      <c r="M216" s="55" t="s">
        <v>172</v>
      </c>
      <c r="N216" s="55" t="s">
        <v>172</v>
      </c>
      <c r="O216" s="55" t="s">
        <v>212</v>
      </c>
      <c r="P216" s="55" t="s">
        <v>592</v>
      </c>
      <c r="Q216" s="55" t="s">
        <v>350</v>
      </c>
      <c r="R216" s="55">
        <v>3</v>
      </c>
      <c r="S216" s="55"/>
      <c r="T216" s="55" t="s">
        <v>489</v>
      </c>
    </row>
    <row r="217" spans="1:20" ht="13" x14ac:dyDescent="0.15">
      <c r="A217" s="72" t="str">
        <f t="shared" si="3"/>
        <v>Ofsted Social Care Provider Webpage</v>
      </c>
      <c r="B217" s="55">
        <v>1241836</v>
      </c>
      <c r="D217" s="55" t="s">
        <v>373</v>
      </c>
      <c r="E217" s="74">
        <v>42759</v>
      </c>
      <c r="F217" s="55" t="s">
        <v>344</v>
      </c>
      <c r="G217" s="55" t="s">
        <v>360</v>
      </c>
      <c r="H217" s="55" t="s">
        <v>360</v>
      </c>
      <c r="I217" s="55" t="s">
        <v>360</v>
      </c>
      <c r="J217" s="55" t="s">
        <v>360</v>
      </c>
      <c r="K217" s="55" t="s">
        <v>360</v>
      </c>
      <c r="L217" s="55" t="s">
        <v>360</v>
      </c>
      <c r="M217" s="55" t="s">
        <v>150</v>
      </c>
      <c r="N217" s="55" t="s">
        <v>150</v>
      </c>
      <c r="O217" s="55" t="s">
        <v>190</v>
      </c>
      <c r="P217" s="55" t="s">
        <v>830</v>
      </c>
      <c r="Q217" s="55" t="s">
        <v>350</v>
      </c>
      <c r="R217" s="55">
        <v>7</v>
      </c>
      <c r="S217" s="55"/>
      <c r="T217" s="55" t="s">
        <v>450</v>
      </c>
    </row>
    <row r="218" spans="1:20" ht="13" x14ac:dyDescent="0.15">
      <c r="A218" s="72" t="str">
        <f t="shared" si="3"/>
        <v>Ofsted Social Care Provider Webpage</v>
      </c>
      <c r="B218" s="55">
        <v>1241840</v>
      </c>
      <c r="D218" s="55" t="s">
        <v>373</v>
      </c>
      <c r="E218" s="74">
        <v>42612</v>
      </c>
      <c r="F218" s="55" t="s">
        <v>344</v>
      </c>
      <c r="G218" s="55" t="s">
        <v>360</v>
      </c>
      <c r="H218" s="55" t="s">
        <v>360</v>
      </c>
      <c r="I218" s="55" t="s">
        <v>360</v>
      </c>
      <c r="J218" s="55" t="s">
        <v>360</v>
      </c>
      <c r="K218" s="55" t="s">
        <v>360</v>
      </c>
      <c r="L218" s="55" t="s">
        <v>360</v>
      </c>
      <c r="M218" s="55" t="s">
        <v>136</v>
      </c>
      <c r="N218" s="55" t="s">
        <v>136</v>
      </c>
      <c r="O218" s="55" t="s">
        <v>135</v>
      </c>
      <c r="P218" s="55" t="s">
        <v>831</v>
      </c>
      <c r="Q218" s="55" t="s">
        <v>350</v>
      </c>
      <c r="R218" s="55">
        <v>4</v>
      </c>
      <c r="S218" s="55"/>
      <c r="T218" s="55" t="s">
        <v>832</v>
      </c>
    </row>
    <row r="219" spans="1:20" ht="13" x14ac:dyDescent="0.15">
      <c r="A219" s="72" t="str">
        <f t="shared" si="3"/>
        <v>Ofsted Social Care Provider Webpage</v>
      </c>
      <c r="B219" s="55">
        <v>1241855</v>
      </c>
      <c r="D219" s="55" t="s">
        <v>373</v>
      </c>
      <c r="E219" s="74">
        <v>42762</v>
      </c>
      <c r="F219" s="55" t="s">
        <v>344</v>
      </c>
      <c r="G219" s="55" t="s">
        <v>360</v>
      </c>
      <c r="H219" s="55" t="s">
        <v>360</v>
      </c>
      <c r="I219" s="55" t="s">
        <v>360</v>
      </c>
      <c r="J219" s="55" t="s">
        <v>360</v>
      </c>
      <c r="K219" s="55" t="s">
        <v>360</v>
      </c>
      <c r="L219" s="55" t="s">
        <v>360</v>
      </c>
      <c r="M219" s="55" t="s">
        <v>142</v>
      </c>
      <c r="N219" s="55" t="s">
        <v>142</v>
      </c>
      <c r="O219" s="55" t="s">
        <v>141</v>
      </c>
      <c r="P219" s="55" t="s">
        <v>774</v>
      </c>
      <c r="Q219" s="55" t="s">
        <v>350</v>
      </c>
      <c r="R219" s="55">
        <v>4</v>
      </c>
      <c r="S219" s="55"/>
      <c r="T219" s="55" t="s">
        <v>613</v>
      </c>
    </row>
    <row r="220" spans="1:20" ht="13" x14ac:dyDescent="0.15">
      <c r="A220" s="72" t="str">
        <f t="shared" si="3"/>
        <v>Ofsted Social Care Provider Webpage</v>
      </c>
      <c r="B220" s="55">
        <v>1241897</v>
      </c>
      <c r="D220" s="55" t="s">
        <v>373</v>
      </c>
      <c r="E220" s="74">
        <v>42703</v>
      </c>
      <c r="F220" s="55" t="s">
        <v>344</v>
      </c>
      <c r="G220" s="55" t="s">
        <v>360</v>
      </c>
      <c r="H220" s="55" t="s">
        <v>360</v>
      </c>
      <c r="I220" s="55" t="s">
        <v>360</v>
      </c>
      <c r="J220" s="55" t="s">
        <v>360</v>
      </c>
      <c r="K220" s="55" t="s">
        <v>360</v>
      </c>
      <c r="L220" s="55" t="s">
        <v>360</v>
      </c>
      <c r="M220" s="55" t="s">
        <v>138</v>
      </c>
      <c r="N220" s="55" t="s">
        <v>138</v>
      </c>
      <c r="O220" s="55" t="s">
        <v>183</v>
      </c>
      <c r="P220" s="55" t="s">
        <v>510</v>
      </c>
      <c r="Q220" s="55" t="s">
        <v>350</v>
      </c>
      <c r="R220" s="55">
        <v>8</v>
      </c>
      <c r="S220" s="55"/>
      <c r="T220" s="55" t="s">
        <v>644</v>
      </c>
    </row>
    <row r="221" spans="1:20" ht="13" x14ac:dyDescent="0.15">
      <c r="A221" s="72" t="str">
        <f t="shared" si="3"/>
        <v>Ofsted Social Care Provider Webpage</v>
      </c>
      <c r="B221" s="55">
        <v>1241939</v>
      </c>
      <c r="D221" s="55" t="s">
        <v>373</v>
      </c>
      <c r="E221" s="74">
        <v>42704</v>
      </c>
      <c r="F221" s="55" t="s">
        <v>344</v>
      </c>
      <c r="G221" s="55" t="s">
        <v>360</v>
      </c>
      <c r="H221" s="55" t="s">
        <v>360</v>
      </c>
      <c r="I221" s="55" t="s">
        <v>360</v>
      </c>
      <c r="J221" s="55" t="s">
        <v>360</v>
      </c>
      <c r="K221" s="55" t="s">
        <v>360</v>
      </c>
      <c r="L221" s="55" t="s">
        <v>360</v>
      </c>
      <c r="M221" s="55" t="s">
        <v>150</v>
      </c>
      <c r="N221" s="55" t="s">
        <v>150</v>
      </c>
      <c r="O221" s="55" t="s">
        <v>199</v>
      </c>
      <c r="P221" s="55" t="s">
        <v>199</v>
      </c>
      <c r="Q221" s="55" t="s">
        <v>350</v>
      </c>
      <c r="R221" s="55">
        <v>3</v>
      </c>
      <c r="S221" s="55"/>
      <c r="T221" s="55" t="s">
        <v>833</v>
      </c>
    </row>
    <row r="222" spans="1:20" ht="13" x14ac:dyDescent="0.15">
      <c r="A222" s="72" t="str">
        <f t="shared" si="3"/>
        <v>Ofsted Social Care Provider Webpage</v>
      </c>
      <c r="B222" s="55">
        <v>1241970</v>
      </c>
      <c r="D222" s="55" t="s">
        <v>373</v>
      </c>
      <c r="E222" s="74">
        <v>42744</v>
      </c>
      <c r="F222" s="55" t="s">
        <v>344</v>
      </c>
      <c r="G222" s="55" t="s">
        <v>360</v>
      </c>
      <c r="H222" s="55" t="s">
        <v>360</v>
      </c>
      <c r="I222" s="55" t="s">
        <v>360</v>
      </c>
      <c r="J222" s="55" t="s">
        <v>360</v>
      </c>
      <c r="K222" s="55" t="s">
        <v>360</v>
      </c>
      <c r="L222" s="55" t="s">
        <v>360</v>
      </c>
      <c r="M222" s="55" t="s">
        <v>144</v>
      </c>
      <c r="N222" s="55" t="s">
        <v>144</v>
      </c>
      <c r="O222" s="55" t="s">
        <v>168</v>
      </c>
      <c r="P222" s="55" t="s">
        <v>834</v>
      </c>
      <c r="Q222" s="55" t="s">
        <v>350</v>
      </c>
      <c r="R222" s="55">
        <v>2</v>
      </c>
      <c r="S222" s="55"/>
      <c r="T222" s="55" t="s">
        <v>485</v>
      </c>
    </row>
    <row r="223" spans="1:20" ht="13" x14ac:dyDescent="0.15">
      <c r="A223" s="72" t="str">
        <f t="shared" si="3"/>
        <v>Ofsted Social Care Provider Webpage</v>
      </c>
      <c r="B223" s="55">
        <v>1241975</v>
      </c>
      <c r="D223" s="55" t="s">
        <v>373</v>
      </c>
      <c r="E223" s="74">
        <v>42806</v>
      </c>
      <c r="F223" s="55" t="s">
        <v>344</v>
      </c>
      <c r="G223" s="55" t="s">
        <v>360</v>
      </c>
      <c r="H223" s="55" t="s">
        <v>360</v>
      </c>
      <c r="I223" s="55" t="s">
        <v>360</v>
      </c>
      <c r="J223" s="55" t="s">
        <v>360</v>
      </c>
      <c r="K223" s="55" t="s">
        <v>360</v>
      </c>
      <c r="L223" s="55" t="s">
        <v>360</v>
      </c>
      <c r="M223" s="55" t="s">
        <v>142</v>
      </c>
      <c r="N223" s="55" t="s">
        <v>142</v>
      </c>
      <c r="O223" s="55" t="s">
        <v>177</v>
      </c>
      <c r="P223" s="55" t="s">
        <v>835</v>
      </c>
      <c r="Q223" s="55" t="s">
        <v>350</v>
      </c>
      <c r="R223" s="55">
        <v>4</v>
      </c>
      <c r="S223" s="55"/>
      <c r="T223" s="55" t="s">
        <v>489</v>
      </c>
    </row>
    <row r="224" spans="1:20" ht="13" x14ac:dyDescent="0.15">
      <c r="A224" s="72" t="str">
        <f t="shared" si="3"/>
        <v>Ofsted Social Care Provider Webpage</v>
      </c>
      <c r="B224" s="55">
        <v>1242101</v>
      </c>
      <c r="D224" s="55" t="s">
        <v>389</v>
      </c>
      <c r="E224" s="74">
        <v>42751</v>
      </c>
      <c r="F224" s="55" t="s">
        <v>344</v>
      </c>
      <c r="G224" s="55" t="s">
        <v>836</v>
      </c>
      <c r="H224" s="55" t="s">
        <v>837</v>
      </c>
      <c r="I224" s="55" t="s">
        <v>838</v>
      </c>
      <c r="J224" s="55" t="s">
        <v>839</v>
      </c>
      <c r="K224" s="55" t="s">
        <v>183</v>
      </c>
      <c r="L224" s="55" t="s">
        <v>840</v>
      </c>
      <c r="M224" s="55" t="s">
        <v>138</v>
      </c>
      <c r="N224" s="55" t="s">
        <v>138</v>
      </c>
      <c r="O224" s="55" t="s">
        <v>259</v>
      </c>
      <c r="P224" s="55" t="s">
        <v>637</v>
      </c>
      <c r="Q224" s="55" t="s">
        <v>350</v>
      </c>
      <c r="R224" s="55"/>
      <c r="S224" s="55"/>
      <c r="T224" s="55" t="s">
        <v>836</v>
      </c>
    </row>
    <row r="225" spans="1:20" ht="13" x14ac:dyDescent="0.15">
      <c r="A225" s="72" t="str">
        <f t="shared" si="3"/>
        <v>Ofsted Social Care Provider Webpage</v>
      </c>
      <c r="B225" s="55">
        <v>1242116</v>
      </c>
      <c r="D225" s="55" t="s">
        <v>373</v>
      </c>
      <c r="E225" s="74">
        <v>42674</v>
      </c>
      <c r="F225" s="55" t="s">
        <v>344</v>
      </c>
      <c r="G225" s="55" t="s">
        <v>360</v>
      </c>
      <c r="H225" s="55" t="s">
        <v>360</v>
      </c>
      <c r="I225" s="55" t="s">
        <v>360</v>
      </c>
      <c r="J225" s="55" t="s">
        <v>360</v>
      </c>
      <c r="K225" s="55" t="s">
        <v>360</v>
      </c>
      <c r="L225" s="55" t="s">
        <v>360</v>
      </c>
      <c r="M225" s="55" t="s">
        <v>144</v>
      </c>
      <c r="N225" s="55" t="s">
        <v>144</v>
      </c>
      <c r="O225" s="55" t="s">
        <v>207</v>
      </c>
      <c r="P225" s="55" t="s">
        <v>207</v>
      </c>
      <c r="Q225" s="55" t="s">
        <v>380</v>
      </c>
      <c r="R225" s="55">
        <v>4</v>
      </c>
      <c r="S225" s="55"/>
      <c r="T225" s="55" t="s">
        <v>841</v>
      </c>
    </row>
    <row r="226" spans="1:20" ht="13" x14ac:dyDescent="0.15">
      <c r="A226" s="72" t="str">
        <f t="shared" si="3"/>
        <v>Ofsted Social Care Provider Webpage</v>
      </c>
      <c r="B226" s="55">
        <v>1242216</v>
      </c>
      <c r="D226" s="55" t="s">
        <v>373</v>
      </c>
      <c r="E226" s="74">
        <v>42635</v>
      </c>
      <c r="F226" s="55" t="s">
        <v>344</v>
      </c>
      <c r="G226" s="55" t="s">
        <v>360</v>
      </c>
      <c r="H226" s="55" t="s">
        <v>360</v>
      </c>
      <c r="I226" s="55" t="s">
        <v>360</v>
      </c>
      <c r="J226" s="55" t="s">
        <v>360</v>
      </c>
      <c r="K226" s="55" t="s">
        <v>360</v>
      </c>
      <c r="L226" s="55" t="s">
        <v>360</v>
      </c>
      <c r="M226" s="55" t="s">
        <v>172</v>
      </c>
      <c r="N226" s="55" t="s">
        <v>172</v>
      </c>
      <c r="O226" s="55" t="s">
        <v>212</v>
      </c>
      <c r="P226" s="55" t="s">
        <v>842</v>
      </c>
      <c r="Q226" s="55" t="s">
        <v>350</v>
      </c>
      <c r="R226" s="55">
        <v>4</v>
      </c>
      <c r="S226" s="55"/>
      <c r="T226" s="55" t="s">
        <v>843</v>
      </c>
    </row>
    <row r="227" spans="1:20" ht="13" x14ac:dyDescent="0.15">
      <c r="A227" s="72" t="str">
        <f t="shared" si="3"/>
        <v>Ofsted Social Care Provider Webpage</v>
      </c>
      <c r="B227" s="55">
        <v>1243868</v>
      </c>
      <c r="D227" s="55" t="s">
        <v>389</v>
      </c>
      <c r="E227" s="74">
        <v>42712</v>
      </c>
      <c r="F227" s="55" t="s">
        <v>344</v>
      </c>
      <c r="G227" s="55" t="s">
        <v>844</v>
      </c>
      <c r="H227" s="55" t="s">
        <v>845</v>
      </c>
      <c r="I227" s="55" t="s">
        <v>354</v>
      </c>
      <c r="J227" s="55" t="s">
        <v>846</v>
      </c>
      <c r="L227" s="55" t="s">
        <v>847</v>
      </c>
      <c r="M227" s="55" t="s">
        <v>138</v>
      </c>
      <c r="N227" s="55" t="s">
        <v>138</v>
      </c>
      <c r="O227" s="55" t="s">
        <v>196</v>
      </c>
      <c r="P227" s="55" t="s">
        <v>848</v>
      </c>
      <c r="Q227" s="55" t="s">
        <v>350</v>
      </c>
      <c r="R227" s="55"/>
      <c r="S227" s="55"/>
      <c r="T227" s="55" t="s">
        <v>849</v>
      </c>
    </row>
    <row r="228" spans="1:20" ht="13" x14ac:dyDescent="0.15">
      <c r="A228" s="72" t="str">
        <f t="shared" si="3"/>
        <v>Ofsted Social Care Provider Webpage</v>
      </c>
      <c r="B228" s="55">
        <v>1243962</v>
      </c>
      <c r="D228" s="55" t="s">
        <v>373</v>
      </c>
      <c r="E228" s="74">
        <v>43052</v>
      </c>
      <c r="F228" s="55" t="s">
        <v>344</v>
      </c>
      <c r="G228" s="55" t="s">
        <v>360</v>
      </c>
      <c r="H228" s="55" t="s">
        <v>360</v>
      </c>
      <c r="I228" s="55" t="s">
        <v>360</v>
      </c>
      <c r="J228" s="55" t="s">
        <v>360</v>
      </c>
      <c r="K228" s="55" t="s">
        <v>360</v>
      </c>
      <c r="L228" s="55" t="s">
        <v>360</v>
      </c>
      <c r="M228" s="55" t="s">
        <v>142</v>
      </c>
      <c r="N228" s="55" t="s">
        <v>142</v>
      </c>
      <c r="O228" s="55" t="s">
        <v>262</v>
      </c>
      <c r="P228" s="55" t="s">
        <v>850</v>
      </c>
      <c r="Q228" s="55" t="s">
        <v>851</v>
      </c>
      <c r="R228" s="55">
        <v>6</v>
      </c>
      <c r="S228" s="55" t="s">
        <v>332</v>
      </c>
      <c r="T228" s="55" t="s">
        <v>852</v>
      </c>
    </row>
    <row r="229" spans="1:20" ht="13" x14ac:dyDescent="0.15">
      <c r="A229" s="72" t="str">
        <f t="shared" si="3"/>
        <v>Ofsted Social Care Provider Webpage</v>
      </c>
      <c r="B229" s="55">
        <v>1244000</v>
      </c>
      <c r="D229" s="55" t="s">
        <v>373</v>
      </c>
      <c r="E229" s="74">
        <v>42643</v>
      </c>
      <c r="F229" s="55" t="s">
        <v>344</v>
      </c>
      <c r="G229" s="55" t="s">
        <v>360</v>
      </c>
      <c r="H229" s="55" t="s">
        <v>360</v>
      </c>
      <c r="I229" s="55" t="s">
        <v>360</v>
      </c>
      <c r="J229" s="55" t="s">
        <v>360</v>
      </c>
      <c r="K229" s="55" t="s">
        <v>360</v>
      </c>
      <c r="L229" s="55" t="s">
        <v>360</v>
      </c>
      <c r="M229" s="55" t="s">
        <v>142</v>
      </c>
      <c r="N229" s="55" t="s">
        <v>142</v>
      </c>
      <c r="O229" s="55" t="s">
        <v>272</v>
      </c>
      <c r="P229" s="55" t="s">
        <v>653</v>
      </c>
      <c r="Q229" s="55" t="s">
        <v>350</v>
      </c>
      <c r="R229" s="55">
        <v>5</v>
      </c>
      <c r="S229" s="55" t="s">
        <v>332</v>
      </c>
      <c r="T229" s="55" t="s">
        <v>751</v>
      </c>
    </row>
    <row r="230" spans="1:20" ht="13" x14ac:dyDescent="0.15">
      <c r="A230" s="72" t="str">
        <f t="shared" si="3"/>
        <v>Ofsted Social Care Provider Webpage</v>
      </c>
      <c r="B230" s="55">
        <v>1244108</v>
      </c>
      <c r="D230" s="55" t="s">
        <v>373</v>
      </c>
      <c r="E230" s="74">
        <v>42906</v>
      </c>
      <c r="F230" s="55" t="s">
        <v>344</v>
      </c>
      <c r="G230" s="55" t="s">
        <v>360</v>
      </c>
      <c r="H230" s="55" t="s">
        <v>360</v>
      </c>
      <c r="I230" s="55" t="s">
        <v>360</v>
      </c>
      <c r="J230" s="55" t="s">
        <v>360</v>
      </c>
      <c r="K230" s="55" t="s">
        <v>360</v>
      </c>
      <c r="L230" s="55" t="s">
        <v>360</v>
      </c>
      <c r="M230" s="55" t="s">
        <v>150</v>
      </c>
      <c r="N230" s="55" t="s">
        <v>150</v>
      </c>
      <c r="O230" s="55" t="s">
        <v>203</v>
      </c>
      <c r="P230" s="55" t="s">
        <v>853</v>
      </c>
      <c r="Q230" s="55" t="s">
        <v>350</v>
      </c>
      <c r="R230" s="55">
        <v>3</v>
      </c>
      <c r="S230" s="55"/>
      <c r="T230" s="55" t="s">
        <v>854</v>
      </c>
    </row>
    <row r="231" spans="1:20" ht="13" x14ac:dyDescent="0.15">
      <c r="A231" s="72" t="str">
        <f t="shared" si="3"/>
        <v>Ofsted Social Care Provider Webpage</v>
      </c>
      <c r="B231" s="55">
        <v>1244117</v>
      </c>
      <c r="D231" s="55" t="s">
        <v>373</v>
      </c>
      <c r="E231" s="74">
        <v>42705</v>
      </c>
      <c r="F231" s="55" t="s">
        <v>344</v>
      </c>
      <c r="G231" s="55" t="s">
        <v>360</v>
      </c>
      <c r="H231" s="55" t="s">
        <v>360</v>
      </c>
      <c r="I231" s="55" t="s">
        <v>360</v>
      </c>
      <c r="J231" s="55" t="s">
        <v>360</v>
      </c>
      <c r="K231" s="55" t="s">
        <v>360</v>
      </c>
      <c r="L231" s="55" t="s">
        <v>360</v>
      </c>
      <c r="M231" s="55" t="s">
        <v>172</v>
      </c>
      <c r="N231" s="55" t="s">
        <v>172</v>
      </c>
      <c r="O231" s="55" t="s">
        <v>235</v>
      </c>
      <c r="P231" s="55" t="s">
        <v>855</v>
      </c>
      <c r="Q231" s="55" t="s">
        <v>362</v>
      </c>
      <c r="R231" s="55">
        <v>5</v>
      </c>
      <c r="S231" s="55"/>
      <c r="T231" s="55" t="s">
        <v>856</v>
      </c>
    </row>
    <row r="232" spans="1:20" ht="13" x14ac:dyDescent="0.15">
      <c r="A232" s="72" t="str">
        <f t="shared" si="3"/>
        <v>Ofsted Social Care Provider Webpage</v>
      </c>
      <c r="B232" s="55">
        <v>1244137</v>
      </c>
      <c r="D232" s="55" t="s">
        <v>373</v>
      </c>
      <c r="E232" s="74">
        <v>42668</v>
      </c>
      <c r="F232" s="55" t="s">
        <v>344</v>
      </c>
      <c r="G232" s="55" t="s">
        <v>360</v>
      </c>
      <c r="H232" s="55" t="s">
        <v>360</v>
      </c>
      <c r="I232" s="55" t="s">
        <v>360</v>
      </c>
      <c r="J232" s="55" t="s">
        <v>360</v>
      </c>
      <c r="K232" s="55" t="s">
        <v>360</v>
      </c>
      <c r="L232" s="55" t="s">
        <v>360</v>
      </c>
      <c r="M232" s="55" t="s">
        <v>136</v>
      </c>
      <c r="N232" s="55" t="s">
        <v>136</v>
      </c>
      <c r="O232" s="55" t="s">
        <v>174</v>
      </c>
      <c r="P232" s="55" t="s">
        <v>857</v>
      </c>
      <c r="Q232" s="55" t="s">
        <v>350</v>
      </c>
      <c r="R232" s="55">
        <v>2</v>
      </c>
      <c r="S232" s="55"/>
      <c r="T232" s="55" t="s">
        <v>858</v>
      </c>
    </row>
    <row r="233" spans="1:20" ht="13" x14ac:dyDescent="0.15">
      <c r="A233" s="72" t="str">
        <f t="shared" si="3"/>
        <v>Ofsted Social Care Provider Webpage</v>
      </c>
      <c r="B233" s="55">
        <v>1244160</v>
      </c>
      <c r="D233" s="55" t="s">
        <v>373</v>
      </c>
      <c r="E233" s="74">
        <v>42661</v>
      </c>
      <c r="F233" s="55" t="s">
        <v>344</v>
      </c>
      <c r="G233" s="55" t="s">
        <v>360</v>
      </c>
      <c r="H233" s="55" t="s">
        <v>360</v>
      </c>
      <c r="I233" s="55" t="s">
        <v>360</v>
      </c>
      <c r="J233" s="55" t="s">
        <v>360</v>
      </c>
      <c r="K233" s="55" t="s">
        <v>360</v>
      </c>
      <c r="L233" s="55" t="s">
        <v>360</v>
      </c>
      <c r="M233" s="55" t="s">
        <v>150</v>
      </c>
      <c r="N233" s="55" t="s">
        <v>150</v>
      </c>
      <c r="O233" s="55" t="s">
        <v>237</v>
      </c>
      <c r="P233" s="55" t="s">
        <v>859</v>
      </c>
      <c r="Q233" s="55" t="s">
        <v>350</v>
      </c>
      <c r="R233" s="55">
        <v>8</v>
      </c>
      <c r="S233" s="55"/>
      <c r="T233" s="55" t="s">
        <v>435</v>
      </c>
    </row>
    <row r="234" spans="1:20" ht="13" x14ac:dyDescent="0.15">
      <c r="A234" s="72" t="str">
        <f t="shared" si="3"/>
        <v>Ofsted Social Care Provider Webpage</v>
      </c>
      <c r="B234" s="55">
        <v>1244161</v>
      </c>
      <c r="D234" s="55" t="s">
        <v>373</v>
      </c>
      <c r="E234" s="74">
        <v>42632</v>
      </c>
      <c r="F234" s="55" t="s">
        <v>344</v>
      </c>
      <c r="G234" s="55" t="s">
        <v>360</v>
      </c>
      <c r="H234" s="55" t="s">
        <v>360</v>
      </c>
      <c r="I234" s="55" t="s">
        <v>360</v>
      </c>
      <c r="J234" s="55" t="s">
        <v>360</v>
      </c>
      <c r="K234" s="55" t="s">
        <v>360</v>
      </c>
      <c r="L234" s="55" t="s">
        <v>360</v>
      </c>
      <c r="M234" s="55" t="s">
        <v>172</v>
      </c>
      <c r="N234" s="55" t="s">
        <v>172</v>
      </c>
      <c r="O234" s="55" t="s">
        <v>173</v>
      </c>
      <c r="P234" s="55" t="s">
        <v>860</v>
      </c>
      <c r="Q234" s="55" t="s">
        <v>350</v>
      </c>
      <c r="R234" s="55">
        <v>1</v>
      </c>
      <c r="S234" s="55"/>
      <c r="T234" s="55" t="s">
        <v>861</v>
      </c>
    </row>
    <row r="235" spans="1:20" ht="13" x14ac:dyDescent="0.15">
      <c r="A235" s="72" t="str">
        <f t="shared" si="3"/>
        <v>Ofsted Social Care Provider Webpage</v>
      </c>
      <c r="B235" s="55">
        <v>1244280</v>
      </c>
      <c r="D235" s="55" t="s">
        <v>373</v>
      </c>
      <c r="E235" s="74">
        <v>42681</v>
      </c>
      <c r="F235" s="55" t="s">
        <v>344</v>
      </c>
      <c r="G235" s="55" t="s">
        <v>360</v>
      </c>
      <c r="H235" s="55" t="s">
        <v>360</v>
      </c>
      <c r="I235" s="55" t="s">
        <v>360</v>
      </c>
      <c r="J235" s="55" t="s">
        <v>360</v>
      </c>
      <c r="K235" s="55" t="s">
        <v>360</v>
      </c>
      <c r="L235" s="55" t="s">
        <v>360</v>
      </c>
      <c r="M235" s="55" t="s">
        <v>378</v>
      </c>
      <c r="N235" s="55" t="s">
        <v>134</v>
      </c>
      <c r="O235" s="55" t="s">
        <v>151</v>
      </c>
      <c r="P235" s="55" t="s">
        <v>862</v>
      </c>
      <c r="Q235" s="55" t="s">
        <v>350</v>
      </c>
      <c r="R235" s="55">
        <v>7</v>
      </c>
      <c r="S235" s="55"/>
      <c r="T235" s="55" t="s">
        <v>435</v>
      </c>
    </row>
    <row r="236" spans="1:20" ht="13" x14ac:dyDescent="0.15">
      <c r="A236" s="72" t="str">
        <f t="shared" si="3"/>
        <v>Ofsted Social Care Provider Webpage</v>
      </c>
      <c r="B236" s="55">
        <v>1244283</v>
      </c>
      <c r="D236" s="55" t="s">
        <v>373</v>
      </c>
      <c r="E236" s="74">
        <v>42744</v>
      </c>
      <c r="F236" s="55" t="s">
        <v>344</v>
      </c>
      <c r="G236" s="55" t="s">
        <v>360</v>
      </c>
      <c r="H236" s="55" t="s">
        <v>360</v>
      </c>
      <c r="I236" s="55" t="s">
        <v>360</v>
      </c>
      <c r="J236" s="55" t="s">
        <v>360</v>
      </c>
      <c r="K236" s="55" t="s">
        <v>360</v>
      </c>
      <c r="L236" s="55" t="s">
        <v>360</v>
      </c>
      <c r="M236" s="55" t="s">
        <v>144</v>
      </c>
      <c r="N236" s="55" t="s">
        <v>144</v>
      </c>
      <c r="O236" s="55" t="s">
        <v>209</v>
      </c>
      <c r="P236" s="55" t="s">
        <v>561</v>
      </c>
      <c r="Q236" s="55" t="s">
        <v>350</v>
      </c>
      <c r="R236" s="55">
        <v>3</v>
      </c>
      <c r="S236" s="55"/>
      <c r="T236" s="55" t="s">
        <v>485</v>
      </c>
    </row>
    <row r="237" spans="1:20" ht="13" x14ac:dyDescent="0.15">
      <c r="A237" s="72" t="str">
        <f t="shared" si="3"/>
        <v>Ofsted Social Care Provider Webpage</v>
      </c>
      <c r="B237" s="55">
        <v>1244287</v>
      </c>
      <c r="D237" s="55" t="s">
        <v>373</v>
      </c>
      <c r="E237" s="74">
        <v>42654</v>
      </c>
      <c r="F237" s="55" t="s">
        <v>344</v>
      </c>
      <c r="G237" s="55" t="s">
        <v>360</v>
      </c>
      <c r="H237" s="55" t="s">
        <v>360</v>
      </c>
      <c r="I237" s="55" t="s">
        <v>360</v>
      </c>
      <c r="J237" s="55" t="s">
        <v>360</v>
      </c>
      <c r="K237" s="55" t="s">
        <v>360</v>
      </c>
      <c r="L237" s="55" t="s">
        <v>360</v>
      </c>
      <c r="M237" s="55" t="s">
        <v>144</v>
      </c>
      <c r="N237" s="55" t="s">
        <v>144</v>
      </c>
      <c r="O237" s="55" t="s">
        <v>209</v>
      </c>
      <c r="P237" s="55" t="s">
        <v>650</v>
      </c>
      <c r="Q237" s="55" t="s">
        <v>350</v>
      </c>
      <c r="R237" s="55">
        <v>5</v>
      </c>
      <c r="S237" s="55"/>
      <c r="T237" s="55" t="s">
        <v>863</v>
      </c>
    </row>
    <row r="238" spans="1:20" ht="13" x14ac:dyDescent="0.15">
      <c r="A238" s="72" t="str">
        <f t="shared" si="3"/>
        <v>Ofsted Social Care Provider Webpage</v>
      </c>
      <c r="B238" s="55">
        <v>1244350</v>
      </c>
      <c r="D238" s="55" t="s">
        <v>373</v>
      </c>
      <c r="E238" s="74">
        <v>42698</v>
      </c>
      <c r="F238" s="55" t="s">
        <v>344</v>
      </c>
      <c r="G238" s="55" t="s">
        <v>360</v>
      </c>
      <c r="H238" s="55" t="s">
        <v>360</v>
      </c>
      <c r="I238" s="55" t="s">
        <v>360</v>
      </c>
      <c r="J238" s="55" t="s">
        <v>360</v>
      </c>
      <c r="K238" s="55" t="s">
        <v>360</v>
      </c>
      <c r="L238" s="55" t="s">
        <v>360</v>
      </c>
      <c r="M238" s="55" t="s">
        <v>142</v>
      </c>
      <c r="N238" s="55" t="s">
        <v>142</v>
      </c>
      <c r="O238" s="55" t="s">
        <v>141</v>
      </c>
      <c r="P238" s="55" t="s">
        <v>864</v>
      </c>
      <c r="Q238" s="55" t="s">
        <v>350</v>
      </c>
      <c r="R238" s="55">
        <v>3</v>
      </c>
      <c r="S238" s="55"/>
      <c r="T238" s="55" t="s">
        <v>865</v>
      </c>
    </row>
    <row r="239" spans="1:20" ht="13" x14ac:dyDescent="0.15">
      <c r="A239" s="72" t="str">
        <f t="shared" si="3"/>
        <v>Ofsted Social Care Provider Webpage</v>
      </c>
      <c r="B239" s="55">
        <v>1244386</v>
      </c>
      <c r="D239" s="55" t="s">
        <v>373</v>
      </c>
      <c r="E239" s="74">
        <v>42894</v>
      </c>
      <c r="F239" s="55" t="s">
        <v>344</v>
      </c>
      <c r="G239" s="55" t="s">
        <v>360</v>
      </c>
      <c r="H239" s="55" t="s">
        <v>360</v>
      </c>
      <c r="I239" s="55" t="s">
        <v>360</v>
      </c>
      <c r="J239" s="55" t="s">
        <v>360</v>
      </c>
      <c r="K239" s="55" t="s">
        <v>360</v>
      </c>
      <c r="L239" s="55" t="s">
        <v>360</v>
      </c>
      <c r="M239" s="55" t="s">
        <v>129</v>
      </c>
      <c r="N239" s="55" t="s">
        <v>129</v>
      </c>
      <c r="O239" s="55" t="s">
        <v>167</v>
      </c>
      <c r="P239" s="55" t="s">
        <v>866</v>
      </c>
      <c r="Q239" s="55" t="s">
        <v>350</v>
      </c>
      <c r="R239" s="55">
        <v>9</v>
      </c>
      <c r="S239" s="55"/>
      <c r="T239" s="55" t="s">
        <v>867</v>
      </c>
    </row>
    <row r="240" spans="1:20" ht="13" x14ac:dyDescent="0.15">
      <c r="A240" s="72" t="str">
        <f t="shared" si="3"/>
        <v>Ofsted Social Care Provider Webpage</v>
      </c>
      <c r="B240" s="55">
        <v>1244413</v>
      </c>
      <c r="D240" s="55" t="s">
        <v>373</v>
      </c>
      <c r="E240" s="74">
        <v>42769</v>
      </c>
      <c r="F240" s="55" t="s">
        <v>344</v>
      </c>
      <c r="G240" s="55" t="s">
        <v>360</v>
      </c>
      <c r="H240" s="55" t="s">
        <v>360</v>
      </c>
      <c r="I240" s="55" t="s">
        <v>360</v>
      </c>
      <c r="J240" s="55" t="s">
        <v>360</v>
      </c>
      <c r="K240" s="55" t="s">
        <v>360</v>
      </c>
      <c r="L240" s="55" t="s">
        <v>360</v>
      </c>
      <c r="M240" s="55" t="s">
        <v>378</v>
      </c>
      <c r="N240" s="55" t="s">
        <v>170</v>
      </c>
      <c r="O240" s="55" t="s">
        <v>264</v>
      </c>
      <c r="P240" s="55" t="s">
        <v>437</v>
      </c>
      <c r="Q240" s="55" t="s">
        <v>350</v>
      </c>
      <c r="R240" s="55">
        <v>3</v>
      </c>
      <c r="S240" s="55"/>
      <c r="T240" s="55" t="s">
        <v>868</v>
      </c>
    </row>
    <row r="241" spans="1:20" ht="13" x14ac:dyDescent="0.15">
      <c r="A241" s="72" t="str">
        <f t="shared" si="3"/>
        <v>Ofsted Social Care Provider Webpage</v>
      </c>
      <c r="B241" s="55">
        <v>1244426</v>
      </c>
      <c r="D241" s="55" t="s">
        <v>373</v>
      </c>
      <c r="E241" s="74">
        <v>42789</v>
      </c>
      <c r="F241" s="55" t="s">
        <v>344</v>
      </c>
      <c r="G241" s="55" t="s">
        <v>360</v>
      </c>
      <c r="H241" s="55" t="s">
        <v>360</v>
      </c>
      <c r="I241" s="55" t="s">
        <v>360</v>
      </c>
      <c r="J241" s="55" t="s">
        <v>360</v>
      </c>
      <c r="K241" s="55" t="s">
        <v>360</v>
      </c>
      <c r="L241" s="55" t="s">
        <v>360</v>
      </c>
      <c r="M241" s="55" t="s">
        <v>150</v>
      </c>
      <c r="N241" s="55" t="s">
        <v>150</v>
      </c>
      <c r="O241" s="55" t="s">
        <v>237</v>
      </c>
      <c r="P241" s="55" t="s">
        <v>869</v>
      </c>
      <c r="Q241" s="55" t="s">
        <v>380</v>
      </c>
      <c r="R241" s="55">
        <v>6</v>
      </c>
      <c r="S241" s="55"/>
      <c r="T241" s="55" t="s">
        <v>636</v>
      </c>
    </row>
    <row r="242" spans="1:20" ht="13" x14ac:dyDescent="0.15">
      <c r="A242" s="72" t="str">
        <f t="shared" si="3"/>
        <v>Ofsted Social Care Provider Webpage</v>
      </c>
      <c r="B242" s="55">
        <v>1244460</v>
      </c>
      <c r="D242" s="55" t="s">
        <v>373</v>
      </c>
      <c r="E242" s="74">
        <v>42689</v>
      </c>
      <c r="F242" s="55" t="s">
        <v>344</v>
      </c>
      <c r="G242" s="55" t="s">
        <v>360</v>
      </c>
      <c r="H242" s="55" t="s">
        <v>360</v>
      </c>
      <c r="I242" s="55" t="s">
        <v>360</v>
      </c>
      <c r="J242" s="55" t="s">
        <v>360</v>
      </c>
      <c r="K242" s="55" t="s">
        <v>360</v>
      </c>
      <c r="L242" s="55" t="s">
        <v>360</v>
      </c>
      <c r="M242" s="55" t="s">
        <v>144</v>
      </c>
      <c r="N242" s="55" t="s">
        <v>144</v>
      </c>
      <c r="O242" s="55" t="s">
        <v>209</v>
      </c>
      <c r="P242" s="55" t="s">
        <v>561</v>
      </c>
      <c r="Q242" s="55" t="s">
        <v>350</v>
      </c>
      <c r="R242" s="55">
        <v>5</v>
      </c>
      <c r="S242" s="55"/>
      <c r="T242" s="55" t="s">
        <v>440</v>
      </c>
    </row>
    <row r="243" spans="1:20" ht="13" x14ac:dyDescent="0.15">
      <c r="A243" s="72" t="str">
        <f t="shared" si="3"/>
        <v>Ofsted Social Care Provider Webpage</v>
      </c>
      <c r="B243" s="55">
        <v>1244493</v>
      </c>
      <c r="D243" s="55" t="s">
        <v>373</v>
      </c>
      <c r="E243" s="74">
        <v>42776</v>
      </c>
      <c r="F243" s="55" t="s">
        <v>344</v>
      </c>
      <c r="G243" s="55" t="s">
        <v>360</v>
      </c>
      <c r="H243" s="55" t="s">
        <v>360</v>
      </c>
      <c r="I243" s="55" t="s">
        <v>360</v>
      </c>
      <c r="J243" s="55" t="s">
        <v>360</v>
      </c>
      <c r="K243" s="55" t="s">
        <v>360</v>
      </c>
      <c r="L243" s="55" t="s">
        <v>360</v>
      </c>
      <c r="M243" s="55" t="s">
        <v>144</v>
      </c>
      <c r="N243" s="55" t="s">
        <v>144</v>
      </c>
      <c r="O243" s="55" t="s">
        <v>271</v>
      </c>
      <c r="P243" s="55" t="s">
        <v>870</v>
      </c>
      <c r="Q243" s="55" t="s">
        <v>350</v>
      </c>
      <c r="R243" s="55">
        <v>4</v>
      </c>
      <c r="S243" s="55"/>
      <c r="T243" s="55" t="s">
        <v>871</v>
      </c>
    </row>
    <row r="244" spans="1:20" ht="13" x14ac:dyDescent="0.15">
      <c r="A244" s="72" t="str">
        <f t="shared" si="3"/>
        <v>Ofsted Social Care Provider Webpage</v>
      </c>
      <c r="B244" s="55">
        <v>1244533</v>
      </c>
      <c r="D244" s="55" t="s">
        <v>389</v>
      </c>
      <c r="E244" s="74">
        <v>42636</v>
      </c>
      <c r="F244" s="55" t="s">
        <v>344</v>
      </c>
      <c r="G244" s="55" t="s">
        <v>872</v>
      </c>
      <c r="H244" s="55" t="s">
        <v>873</v>
      </c>
      <c r="I244" s="55" t="s">
        <v>874</v>
      </c>
      <c r="J244" s="55" t="s">
        <v>263</v>
      </c>
      <c r="L244" s="55" t="s">
        <v>875</v>
      </c>
      <c r="M244" s="55" t="s">
        <v>144</v>
      </c>
      <c r="N244" s="55" t="s">
        <v>144</v>
      </c>
      <c r="O244" s="55" t="s">
        <v>263</v>
      </c>
      <c r="P244" s="55" t="s">
        <v>876</v>
      </c>
      <c r="Q244" s="55" t="s">
        <v>350</v>
      </c>
      <c r="R244" s="55"/>
      <c r="S244" s="55"/>
      <c r="T244" s="55" t="s">
        <v>377</v>
      </c>
    </row>
    <row r="245" spans="1:20" ht="13" x14ac:dyDescent="0.15">
      <c r="A245" s="72" t="str">
        <f t="shared" si="3"/>
        <v>Ofsted Social Care Provider Webpage</v>
      </c>
      <c r="B245" s="55">
        <v>1244627</v>
      </c>
      <c r="D245" s="55" t="s">
        <v>389</v>
      </c>
      <c r="E245" s="74">
        <v>42689</v>
      </c>
      <c r="F245" s="55" t="s">
        <v>344</v>
      </c>
      <c r="G245" s="55" t="s">
        <v>877</v>
      </c>
      <c r="H245" s="55" t="s">
        <v>878</v>
      </c>
      <c r="I245" s="55" t="s">
        <v>879</v>
      </c>
      <c r="J245" s="55" t="s">
        <v>238</v>
      </c>
      <c r="L245" s="55" t="s">
        <v>880</v>
      </c>
      <c r="M245" s="55" t="s">
        <v>172</v>
      </c>
      <c r="N245" s="55" t="s">
        <v>172</v>
      </c>
      <c r="O245" s="55" t="s">
        <v>228</v>
      </c>
      <c r="P245" s="55" t="s">
        <v>423</v>
      </c>
      <c r="Q245" s="55" t="s">
        <v>350</v>
      </c>
      <c r="R245" s="55"/>
      <c r="S245" s="55"/>
      <c r="T245" s="55" t="s">
        <v>881</v>
      </c>
    </row>
    <row r="246" spans="1:20" ht="13" x14ac:dyDescent="0.15">
      <c r="A246" s="72" t="str">
        <f t="shared" si="3"/>
        <v>Ofsted Social Care Provider Webpage</v>
      </c>
      <c r="B246" s="55">
        <v>1244881</v>
      </c>
      <c r="D246" s="55" t="s">
        <v>373</v>
      </c>
      <c r="E246" s="74">
        <v>42626</v>
      </c>
      <c r="F246" s="55" t="s">
        <v>344</v>
      </c>
      <c r="G246" s="55" t="s">
        <v>360</v>
      </c>
      <c r="H246" s="55" t="s">
        <v>360</v>
      </c>
      <c r="I246" s="55" t="s">
        <v>360</v>
      </c>
      <c r="J246" s="55" t="s">
        <v>360</v>
      </c>
      <c r="K246" s="55" t="s">
        <v>360</v>
      </c>
      <c r="L246" s="55" t="s">
        <v>360</v>
      </c>
      <c r="M246" s="55" t="s">
        <v>144</v>
      </c>
      <c r="N246" s="55" t="s">
        <v>144</v>
      </c>
      <c r="O246" s="55" t="s">
        <v>245</v>
      </c>
      <c r="P246" s="55" t="s">
        <v>245</v>
      </c>
      <c r="Q246" s="55" t="s">
        <v>350</v>
      </c>
      <c r="R246" s="55">
        <v>2</v>
      </c>
      <c r="S246" s="55"/>
      <c r="T246" s="55" t="s">
        <v>711</v>
      </c>
    </row>
    <row r="247" spans="1:20" ht="13" x14ac:dyDescent="0.15">
      <c r="A247" s="72" t="str">
        <f t="shared" si="3"/>
        <v>Ofsted Social Care Provider Webpage</v>
      </c>
      <c r="B247" s="55">
        <v>1244946</v>
      </c>
      <c r="D247" s="55" t="s">
        <v>373</v>
      </c>
      <c r="E247" s="74">
        <v>42647</v>
      </c>
      <c r="F247" s="55" t="s">
        <v>344</v>
      </c>
      <c r="G247" s="55" t="s">
        <v>360</v>
      </c>
      <c r="H247" s="55" t="s">
        <v>360</v>
      </c>
      <c r="I247" s="55" t="s">
        <v>360</v>
      </c>
      <c r="J247" s="55" t="s">
        <v>360</v>
      </c>
      <c r="K247" s="55" t="s">
        <v>360</v>
      </c>
      <c r="L247" s="55" t="s">
        <v>360</v>
      </c>
      <c r="M247" s="55" t="s">
        <v>144</v>
      </c>
      <c r="N247" s="55" t="s">
        <v>144</v>
      </c>
      <c r="O247" s="55" t="s">
        <v>287</v>
      </c>
      <c r="P247" s="55" t="s">
        <v>287</v>
      </c>
      <c r="Q247" s="55" t="s">
        <v>380</v>
      </c>
      <c r="R247" s="55">
        <v>2</v>
      </c>
      <c r="S247" s="55"/>
      <c r="T247" s="55" t="s">
        <v>882</v>
      </c>
    </row>
    <row r="248" spans="1:20" ht="13" x14ac:dyDescent="0.15">
      <c r="A248" s="72" t="str">
        <f t="shared" si="3"/>
        <v>Ofsted Social Care Provider Webpage</v>
      </c>
      <c r="B248" s="55">
        <v>1245565</v>
      </c>
      <c r="D248" s="55" t="s">
        <v>373</v>
      </c>
      <c r="E248" s="74">
        <v>42690</v>
      </c>
      <c r="F248" s="55" t="s">
        <v>344</v>
      </c>
      <c r="G248" s="55" t="s">
        <v>360</v>
      </c>
      <c r="H248" s="55" t="s">
        <v>360</v>
      </c>
      <c r="I248" s="55" t="s">
        <v>360</v>
      </c>
      <c r="J248" s="55" t="s">
        <v>360</v>
      </c>
      <c r="K248" s="55" t="s">
        <v>360</v>
      </c>
      <c r="L248" s="55" t="s">
        <v>360</v>
      </c>
      <c r="M248" s="55" t="s">
        <v>172</v>
      </c>
      <c r="N248" s="55" t="s">
        <v>172</v>
      </c>
      <c r="O248" s="55" t="s">
        <v>212</v>
      </c>
      <c r="P248" s="55" t="s">
        <v>883</v>
      </c>
      <c r="Q248" s="55" t="s">
        <v>350</v>
      </c>
      <c r="R248" s="55">
        <v>3</v>
      </c>
      <c r="S248" s="55"/>
      <c r="T248" s="55" t="s">
        <v>517</v>
      </c>
    </row>
    <row r="249" spans="1:20" ht="13" x14ac:dyDescent="0.15">
      <c r="A249" s="72" t="str">
        <f t="shared" si="3"/>
        <v>Ofsted Social Care Provider Webpage</v>
      </c>
      <c r="B249" s="55">
        <v>1245572</v>
      </c>
      <c r="D249" s="55" t="s">
        <v>373</v>
      </c>
      <c r="E249" s="74">
        <v>42780</v>
      </c>
      <c r="F249" s="55" t="s">
        <v>344</v>
      </c>
      <c r="G249" s="55" t="s">
        <v>360</v>
      </c>
      <c r="H249" s="55" t="s">
        <v>360</v>
      </c>
      <c r="I249" s="55" t="s">
        <v>360</v>
      </c>
      <c r="J249" s="55" t="s">
        <v>360</v>
      </c>
      <c r="K249" s="55" t="s">
        <v>360</v>
      </c>
      <c r="L249" s="55" t="s">
        <v>360</v>
      </c>
      <c r="M249" s="55" t="s">
        <v>378</v>
      </c>
      <c r="N249" s="55" t="s">
        <v>134</v>
      </c>
      <c r="O249" s="55" t="s">
        <v>151</v>
      </c>
      <c r="P249" s="55" t="s">
        <v>884</v>
      </c>
      <c r="Q249" s="55" t="s">
        <v>350</v>
      </c>
      <c r="R249" s="55">
        <v>4</v>
      </c>
      <c r="S249" s="55"/>
      <c r="T249" s="55" t="s">
        <v>489</v>
      </c>
    </row>
    <row r="250" spans="1:20" ht="13" x14ac:dyDescent="0.15">
      <c r="A250" s="72" t="str">
        <f t="shared" si="3"/>
        <v>Ofsted Social Care Provider Webpage</v>
      </c>
      <c r="B250" s="55">
        <v>1245823</v>
      </c>
      <c r="D250" s="55" t="s">
        <v>373</v>
      </c>
      <c r="E250" s="74">
        <v>42683</v>
      </c>
      <c r="F250" s="55" t="s">
        <v>344</v>
      </c>
      <c r="G250" s="55" t="s">
        <v>360</v>
      </c>
      <c r="H250" s="55" t="s">
        <v>360</v>
      </c>
      <c r="I250" s="55" t="s">
        <v>360</v>
      </c>
      <c r="J250" s="55" t="s">
        <v>360</v>
      </c>
      <c r="K250" s="55" t="s">
        <v>360</v>
      </c>
      <c r="L250" s="55" t="s">
        <v>360</v>
      </c>
      <c r="M250" s="55" t="s">
        <v>142</v>
      </c>
      <c r="N250" s="55" t="s">
        <v>142</v>
      </c>
      <c r="O250" s="55" t="s">
        <v>177</v>
      </c>
      <c r="P250" s="55" t="s">
        <v>885</v>
      </c>
      <c r="Q250" s="55" t="s">
        <v>350</v>
      </c>
      <c r="R250" s="55">
        <v>6</v>
      </c>
      <c r="S250" s="55"/>
      <c r="T250" s="55" t="s">
        <v>751</v>
      </c>
    </row>
    <row r="251" spans="1:20" ht="13" x14ac:dyDescent="0.15">
      <c r="A251" s="72" t="str">
        <f t="shared" si="3"/>
        <v>Ofsted Social Care Provider Webpage</v>
      </c>
      <c r="B251" s="55">
        <v>1245829</v>
      </c>
      <c r="D251" s="55" t="s">
        <v>373</v>
      </c>
      <c r="E251" s="74">
        <v>42705</v>
      </c>
      <c r="F251" s="55" t="s">
        <v>344</v>
      </c>
      <c r="G251" s="55" t="s">
        <v>360</v>
      </c>
      <c r="H251" s="55" t="s">
        <v>360</v>
      </c>
      <c r="I251" s="55" t="s">
        <v>360</v>
      </c>
      <c r="J251" s="55" t="s">
        <v>360</v>
      </c>
      <c r="K251" s="55" t="s">
        <v>360</v>
      </c>
      <c r="L251" s="55" t="s">
        <v>360</v>
      </c>
      <c r="M251" s="55" t="s">
        <v>172</v>
      </c>
      <c r="N251" s="55" t="s">
        <v>172</v>
      </c>
      <c r="O251" s="55" t="s">
        <v>212</v>
      </c>
      <c r="P251" s="55" t="s">
        <v>714</v>
      </c>
      <c r="Q251" s="55" t="s">
        <v>350</v>
      </c>
      <c r="R251" s="55">
        <v>3</v>
      </c>
      <c r="S251" s="55"/>
      <c r="T251" s="55" t="s">
        <v>520</v>
      </c>
    </row>
    <row r="252" spans="1:20" ht="13" x14ac:dyDescent="0.15">
      <c r="A252" s="72" t="str">
        <f t="shared" si="3"/>
        <v>Ofsted Social Care Provider Webpage</v>
      </c>
      <c r="B252" s="55">
        <v>1246331</v>
      </c>
      <c r="D252" s="55" t="s">
        <v>373</v>
      </c>
      <c r="E252" s="74">
        <v>42765</v>
      </c>
      <c r="F252" s="55" t="s">
        <v>344</v>
      </c>
      <c r="G252" s="55" t="s">
        <v>360</v>
      </c>
      <c r="H252" s="55" t="s">
        <v>360</v>
      </c>
      <c r="I252" s="55" t="s">
        <v>360</v>
      </c>
      <c r="J252" s="55" t="s">
        <v>360</v>
      </c>
      <c r="K252" s="55" t="s">
        <v>360</v>
      </c>
      <c r="L252" s="55" t="s">
        <v>360</v>
      </c>
      <c r="M252" s="55" t="s">
        <v>144</v>
      </c>
      <c r="N252" s="55" t="s">
        <v>144</v>
      </c>
      <c r="O252" s="55" t="s">
        <v>209</v>
      </c>
      <c r="P252" s="55" t="s">
        <v>597</v>
      </c>
      <c r="Q252" s="55" t="s">
        <v>350</v>
      </c>
      <c r="R252" s="55">
        <v>4</v>
      </c>
      <c r="S252" s="55"/>
      <c r="T252" s="55" t="s">
        <v>886</v>
      </c>
    </row>
    <row r="253" spans="1:20" ht="13" x14ac:dyDescent="0.15">
      <c r="A253" s="72" t="str">
        <f t="shared" si="3"/>
        <v>Ofsted Social Care Provider Webpage</v>
      </c>
      <c r="B253" s="55">
        <v>1246449</v>
      </c>
      <c r="D253" s="55" t="s">
        <v>373</v>
      </c>
      <c r="E253" s="74">
        <v>42775</v>
      </c>
      <c r="F253" s="55" t="s">
        <v>344</v>
      </c>
      <c r="G253" s="55" t="s">
        <v>360</v>
      </c>
      <c r="H253" s="55" t="s">
        <v>360</v>
      </c>
      <c r="I253" s="55" t="s">
        <v>360</v>
      </c>
      <c r="J253" s="55" t="s">
        <v>360</v>
      </c>
      <c r="K253" s="55" t="s">
        <v>360</v>
      </c>
      <c r="L253" s="55" t="s">
        <v>360</v>
      </c>
      <c r="M253" s="55" t="s">
        <v>150</v>
      </c>
      <c r="N253" s="55" t="s">
        <v>150</v>
      </c>
      <c r="O253" s="55" t="s">
        <v>190</v>
      </c>
      <c r="P253" s="55" t="s">
        <v>887</v>
      </c>
      <c r="Q253" s="55" t="s">
        <v>350</v>
      </c>
      <c r="R253" s="55">
        <v>5</v>
      </c>
      <c r="S253" s="55"/>
      <c r="T253" s="55" t="s">
        <v>888</v>
      </c>
    </row>
    <row r="254" spans="1:20" ht="13" x14ac:dyDescent="0.15">
      <c r="A254" s="72" t="str">
        <f t="shared" si="3"/>
        <v>Ofsted Social Care Provider Webpage</v>
      </c>
      <c r="B254" s="55">
        <v>1246521</v>
      </c>
      <c r="D254" s="55" t="s">
        <v>373</v>
      </c>
      <c r="E254" s="74">
        <v>42696</v>
      </c>
      <c r="F254" s="55" t="s">
        <v>344</v>
      </c>
      <c r="G254" s="55" t="s">
        <v>360</v>
      </c>
      <c r="H254" s="55" t="s">
        <v>360</v>
      </c>
      <c r="I254" s="55" t="s">
        <v>360</v>
      </c>
      <c r="J254" s="55" t="s">
        <v>360</v>
      </c>
      <c r="K254" s="55" t="s">
        <v>360</v>
      </c>
      <c r="L254" s="55" t="s">
        <v>360</v>
      </c>
      <c r="M254" s="55" t="s">
        <v>150</v>
      </c>
      <c r="N254" s="55" t="s">
        <v>150</v>
      </c>
      <c r="O254" s="55" t="s">
        <v>190</v>
      </c>
      <c r="P254" s="55" t="s">
        <v>889</v>
      </c>
      <c r="Q254" s="55" t="s">
        <v>350</v>
      </c>
      <c r="R254" s="55">
        <v>14</v>
      </c>
      <c r="S254" s="55"/>
      <c r="T254" s="55" t="s">
        <v>890</v>
      </c>
    </row>
    <row r="255" spans="1:20" ht="13" x14ac:dyDescent="0.15">
      <c r="A255" s="72" t="str">
        <f t="shared" si="3"/>
        <v>Ofsted Social Care Provider Webpage</v>
      </c>
      <c r="B255" s="55">
        <v>1246831</v>
      </c>
      <c r="D255" s="55" t="s">
        <v>373</v>
      </c>
      <c r="E255" s="74">
        <v>42716</v>
      </c>
      <c r="F255" s="55" t="s">
        <v>344</v>
      </c>
      <c r="G255" s="55" t="s">
        <v>360</v>
      </c>
      <c r="H255" s="55" t="s">
        <v>360</v>
      </c>
      <c r="I255" s="55" t="s">
        <v>360</v>
      </c>
      <c r="J255" s="55" t="s">
        <v>360</v>
      </c>
      <c r="K255" s="55" t="s">
        <v>360</v>
      </c>
      <c r="L255" s="55" t="s">
        <v>360</v>
      </c>
      <c r="M255" s="55" t="s">
        <v>136</v>
      </c>
      <c r="N255" s="55" t="s">
        <v>136</v>
      </c>
      <c r="O255" s="55" t="s">
        <v>705</v>
      </c>
      <c r="P255" s="55" t="s">
        <v>891</v>
      </c>
      <c r="Q255" s="55" t="s">
        <v>350</v>
      </c>
      <c r="R255" s="55">
        <v>3</v>
      </c>
      <c r="S255" s="55"/>
      <c r="T255" s="55" t="s">
        <v>892</v>
      </c>
    </row>
    <row r="256" spans="1:20" ht="13" x14ac:dyDescent="0.15">
      <c r="A256" s="72" t="str">
        <f t="shared" si="3"/>
        <v>Ofsted Social Care Provider Webpage</v>
      </c>
      <c r="B256" s="55">
        <v>1246834</v>
      </c>
      <c r="D256" s="55" t="s">
        <v>373</v>
      </c>
      <c r="E256" s="74">
        <v>42668</v>
      </c>
      <c r="F256" s="55" t="s">
        <v>344</v>
      </c>
      <c r="G256" s="55" t="s">
        <v>360</v>
      </c>
      <c r="H256" s="55" t="s">
        <v>360</v>
      </c>
      <c r="I256" s="55" t="s">
        <v>360</v>
      </c>
      <c r="J256" s="55" t="s">
        <v>360</v>
      </c>
      <c r="K256" s="55" t="s">
        <v>360</v>
      </c>
      <c r="L256" s="55" t="s">
        <v>360</v>
      </c>
      <c r="M256" s="55" t="s">
        <v>150</v>
      </c>
      <c r="N256" s="55" t="s">
        <v>150</v>
      </c>
      <c r="O256" s="55" t="s">
        <v>285</v>
      </c>
      <c r="P256" s="55" t="s">
        <v>893</v>
      </c>
      <c r="Q256" s="55" t="s">
        <v>350</v>
      </c>
      <c r="R256" s="55">
        <v>5</v>
      </c>
      <c r="S256" s="55"/>
      <c r="T256" s="55" t="s">
        <v>894</v>
      </c>
    </row>
    <row r="257" spans="1:20" ht="13" x14ac:dyDescent="0.15">
      <c r="A257" s="72" t="str">
        <f t="shared" si="3"/>
        <v>Ofsted Social Care Provider Webpage</v>
      </c>
      <c r="B257" s="55">
        <v>1247144</v>
      </c>
      <c r="D257" s="55" t="s">
        <v>373</v>
      </c>
      <c r="E257" s="74">
        <v>42702</v>
      </c>
      <c r="F257" s="55" t="s">
        <v>344</v>
      </c>
      <c r="G257" s="55" t="s">
        <v>360</v>
      </c>
      <c r="H257" s="55" t="s">
        <v>360</v>
      </c>
      <c r="I257" s="55" t="s">
        <v>360</v>
      </c>
      <c r="J257" s="55" t="s">
        <v>360</v>
      </c>
      <c r="K257" s="55" t="s">
        <v>360</v>
      </c>
      <c r="L257" s="55" t="s">
        <v>360</v>
      </c>
      <c r="M257" s="55" t="s">
        <v>172</v>
      </c>
      <c r="N257" s="55" t="s">
        <v>172</v>
      </c>
      <c r="O257" s="55" t="s">
        <v>171</v>
      </c>
      <c r="P257" s="55" t="s">
        <v>895</v>
      </c>
      <c r="Q257" s="55" t="s">
        <v>350</v>
      </c>
      <c r="R257" s="55">
        <v>4</v>
      </c>
      <c r="S257" s="55"/>
      <c r="T257" s="55" t="s">
        <v>865</v>
      </c>
    </row>
    <row r="258" spans="1:20" ht="13" x14ac:dyDescent="0.15">
      <c r="A258" s="72" t="str">
        <f t="shared" si="3"/>
        <v>Ofsted Social Care Provider Webpage</v>
      </c>
      <c r="B258" s="55">
        <v>1247212</v>
      </c>
      <c r="D258" s="55" t="s">
        <v>373</v>
      </c>
      <c r="E258" s="74">
        <v>42773</v>
      </c>
      <c r="F258" s="55" t="s">
        <v>344</v>
      </c>
      <c r="G258" s="55" t="s">
        <v>360</v>
      </c>
      <c r="H258" s="55" t="s">
        <v>360</v>
      </c>
      <c r="I258" s="55" t="s">
        <v>360</v>
      </c>
      <c r="J258" s="55" t="s">
        <v>360</v>
      </c>
      <c r="K258" s="55" t="s">
        <v>360</v>
      </c>
      <c r="L258" s="55" t="s">
        <v>360</v>
      </c>
      <c r="M258" s="55" t="s">
        <v>144</v>
      </c>
      <c r="N258" s="55" t="s">
        <v>144</v>
      </c>
      <c r="O258" s="55" t="s">
        <v>261</v>
      </c>
      <c r="P258" s="55" t="s">
        <v>512</v>
      </c>
      <c r="Q258" s="55" t="s">
        <v>350</v>
      </c>
      <c r="R258" s="55">
        <v>4</v>
      </c>
      <c r="S258" s="55"/>
      <c r="T258" s="55" t="s">
        <v>598</v>
      </c>
    </row>
    <row r="259" spans="1:20" ht="13" x14ac:dyDescent="0.15">
      <c r="A259" s="72" t="str">
        <f t="shared" si="3"/>
        <v>Ofsted Social Care Provider Webpage</v>
      </c>
      <c r="B259" s="55">
        <v>1247244</v>
      </c>
      <c r="D259" s="55" t="s">
        <v>373</v>
      </c>
      <c r="E259" s="74">
        <v>42857</v>
      </c>
      <c r="F259" s="55" t="s">
        <v>344</v>
      </c>
      <c r="G259" s="55" t="s">
        <v>360</v>
      </c>
      <c r="H259" s="55" t="s">
        <v>360</v>
      </c>
      <c r="I259" s="55" t="s">
        <v>360</v>
      </c>
      <c r="J259" s="55" t="s">
        <v>360</v>
      </c>
      <c r="K259" s="55" t="s">
        <v>360</v>
      </c>
      <c r="L259" s="55" t="s">
        <v>360</v>
      </c>
      <c r="M259" s="55" t="s">
        <v>172</v>
      </c>
      <c r="N259" s="55" t="s">
        <v>172</v>
      </c>
      <c r="O259" s="55" t="s">
        <v>284</v>
      </c>
      <c r="P259" s="55" t="s">
        <v>357</v>
      </c>
      <c r="Q259" s="55" t="s">
        <v>350</v>
      </c>
      <c r="R259" s="55">
        <v>3</v>
      </c>
      <c r="S259" s="55"/>
      <c r="T259" s="55" t="s">
        <v>896</v>
      </c>
    </row>
    <row r="260" spans="1:20" ht="13" x14ac:dyDescent="0.15">
      <c r="A260" s="72" t="str">
        <f t="shared" si="3"/>
        <v>Ofsted Social Care Provider Webpage</v>
      </c>
      <c r="B260" s="55">
        <v>1247384</v>
      </c>
      <c r="D260" s="55" t="s">
        <v>373</v>
      </c>
      <c r="E260" s="74">
        <v>42649</v>
      </c>
      <c r="F260" s="55" t="s">
        <v>344</v>
      </c>
      <c r="G260" s="55" t="s">
        <v>360</v>
      </c>
      <c r="H260" s="55" t="s">
        <v>360</v>
      </c>
      <c r="I260" s="55" t="s">
        <v>360</v>
      </c>
      <c r="J260" s="55" t="s">
        <v>360</v>
      </c>
      <c r="K260" s="55" t="s">
        <v>360</v>
      </c>
      <c r="L260" s="55" t="s">
        <v>360</v>
      </c>
      <c r="M260" s="55" t="s">
        <v>150</v>
      </c>
      <c r="N260" s="55" t="s">
        <v>150</v>
      </c>
      <c r="O260" s="55" t="s">
        <v>190</v>
      </c>
      <c r="P260" s="55" t="s">
        <v>897</v>
      </c>
      <c r="Q260" s="55" t="s">
        <v>350</v>
      </c>
      <c r="R260" s="55">
        <v>2</v>
      </c>
      <c r="S260" s="55"/>
      <c r="T260" s="55" t="s">
        <v>610</v>
      </c>
    </row>
    <row r="261" spans="1:20" ht="13" x14ac:dyDescent="0.15">
      <c r="A261" s="72" t="str">
        <f t="shared" ref="A261:A324" si="4">HYPERLINK(_xlfn.CONCAT("http://reports.ofsted.gov.uk/inspection-reports/find-inspection-report/provider/CARE/",B261),"Ofsted Social Care Provider Webpage")</f>
        <v>Ofsted Social Care Provider Webpage</v>
      </c>
      <c r="B261" s="55">
        <v>1247390</v>
      </c>
      <c r="D261" s="55" t="s">
        <v>373</v>
      </c>
      <c r="E261" s="74">
        <v>42726</v>
      </c>
      <c r="F261" s="55" t="s">
        <v>344</v>
      </c>
      <c r="G261" s="55" t="s">
        <v>360</v>
      </c>
      <c r="H261" s="55" t="s">
        <v>360</v>
      </c>
      <c r="I261" s="55" t="s">
        <v>360</v>
      </c>
      <c r="J261" s="55" t="s">
        <v>360</v>
      </c>
      <c r="K261" s="55" t="s">
        <v>360</v>
      </c>
      <c r="L261" s="55" t="s">
        <v>360</v>
      </c>
      <c r="M261" s="55" t="s">
        <v>136</v>
      </c>
      <c r="N261" s="55" t="s">
        <v>136</v>
      </c>
      <c r="O261" s="55" t="s">
        <v>185</v>
      </c>
      <c r="P261" s="55" t="s">
        <v>898</v>
      </c>
      <c r="Q261" s="55" t="s">
        <v>350</v>
      </c>
      <c r="R261" s="55">
        <v>8</v>
      </c>
      <c r="S261" s="55"/>
      <c r="T261" s="55" t="s">
        <v>899</v>
      </c>
    </row>
    <row r="262" spans="1:20" ht="13" x14ac:dyDescent="0.15">
      <c r="A262" s="72" t="str">
        <f t="shared" si="4"/>
        <v>Ofsted Social Care Provider Webpage</v>
      </c>
      <c r="B262" s="55">
        <v>1247491</v>
      </c>
      <c r="D262" s="55" t="s">
        <v>373</v>
      </c>
      <c r="E262" s="74">
        <v>42705</v>
      </c>
      <c r="F262" s="55" t="s">
        <v>344</v>
      </c>
      <c r="G262" s="55" t="s">
        <v>360</v>
      </c>
      <c r="H262" s="55" t="s">
        <v>360</v>
      </c>
      <c r="I262" s="55" t="s">
        <v>360</v>
      </c>
      <c r="J262" s="55" t="s">
        <v>360</v>
      </c>
      <c r="K262" s="55" t="s">
        <v>360</v>
      </c>
      <c r="L262" s="55" t="s">
        <v>360</v>
      </c>
      <c r="M262" s="55" t="s">
        <v>144</v>
      </c>
      <c r="N262" s="55" t="s">
        <v>144</v>
      </c>
      <c r="O262" s="55" t="s">
        <v>215</v>
      </c>
      <c r="P262" s="55" t="s">
        <v>655</v>
      </c>
      <c r="Q262" s="55" t="s">
        <v>350</v>
      </c>
      <c r="R262" s="55">
        <v>4</v>
      </c>
      <c r="S262" s="55"/>
      <c r="T262" s="55" t="s">
        <v>900</v>
      </c>
    </row>
    <row r="263" spans="1:20" ht="13" x14ac:dyDescent="0.15">
      <c r="A263" s="72" t="str">
        <f t="shared" si="4"/>
        <v>Ofsted Social Care Provider Webpage</v>
      </c>
      <c r="B263" s="55">
        <v>1247559</v>
      </c>
      <c r="D263" s="55" t="s">
        <v>373</v>
      </c>
      <c r="E263" s="74">
        <v>42787</v>
      </c>
      <c r="F263" s="55" t="s">
        <v>344</v>
      </c>
      <c r="G263" s="55" t="s">
        <v>360</v>
      </c>
      <c r="H263" s="55" t="s">
        <v>360</v>
      </c>
      <c r="I263" s="55" t="s">
        <v>360</v>
      </c>
      <c r="J263" s="55" t="s">
        <v>360</v>
      </c>
      <c r="K263" s="55" t="s">
        <v>360</v>
      </c>
      <c r="L263" s="55" t="s">
        <v>360</v>
      </c>
      <c r="M263" s="55" t="s">
        <v>144</v>
      </c>
      <c r="N263" s="55" t="s">
        <v>144</v>
      </c>
      <c r="O263" s="55" t="s">
        <v>209</v>
      </c>
      <c r="P263" s="55" t="s">
        <v>364</v>
      </c>
      <c r="Q263" s="55" t="s">
        <v>350</v>
      </c>
      <c r="R263" s="55">
        <v>5</v>
      </c>
      <c r="S263" s="55"/>
      <c r="T263" s="55" t="s">
        <v>435</v>
      </c>
    </row>
    <row r="264" spans="1:20" ht="13" x14ac:dyDescent="0.15">
      <c r="A264" s="72" t="str">
        <f t="shared" si="4"/>
        <v>Ofsted Social Care Provider Webpage</v>
      </c>
      <c r="B264" s="55">
        <v>1247560</v>
      </c>
      <c r="D264" s="55" t="s">
        <v>373</v>
      </c>
      <c r="E264" s="74">
        <v>42803</v>
      </c>
      <c r="F264" s="55" t="s">
        <v>344</v>
      </c>
      <c r="G264" s="55" t="s">
        <v>360</v>
      </c>
      <c r="H264" s="55" t="s">
        <v>360</v>
      </c>
      <c r="I264" s="55" t="s">
        <v>360</v>
      </c>
      <c r="J264" s="55" t="s">
        <v>360</v>
      </c>
      <c r="K264" s="55" t="s">
        <v>360</v>
      </c>
      <c r="L264" s="55" t="s">
        <v>360</v>
      </c>
      <c r="M264" s="55" t="s">
        <v>144</v>
      </c>
      <c r="N264" s="55" t="s">
        <v>144</v>
      </c>
      <c r="O264" s="55" t="s">
        <v>168</v>
      </c>
      <c r="P264" s="55" t="s">
        <v>834</v>
      </c>
      <c r="Q264" s="55" t="s">
        <v>350</v>
      </c>
      <c r="R264" s="55">
        <v>4</v>
      </c>
      <c r="S264" s="55"/>
      <c r="T264" s="55" t="s">
        <v>435</v>
      </c>
    </row>
    <row r="265" spans="1:20" ht="13" x14ac:dyDescent="0.15">
      <c r="A265" s="72" t="str">
        <f t="shared" si="4"/>
        <v>Ofsted Social Care Provider Webpage</v>
      </c>
      <c r="B265" s="55">
        <v>1247670</v>
      </c>
      <c r="D265" s="55" t="s">
        <v>373</v>
      </c>
      <c r="E265" s="74">
        <v>42724</v>
      </c>
      <c r="F265" s="55" t="s">
        <v>344</v>
      </c>
      <c r="G265" s="55" t="s">
        <v>360</v>
      </c>
      <c r="H265" s="55" t="s">
        <v>360</v>
      </c>
      <c r="I265" s="55" t="s">
        <v>360</v>
      </c>
      <c r="J265" s="55" t="s">
        <v>360</v>
      </c>
      <c r="K265" s="55" t="s">
        <v>360</v>
      </c>
      <c r="L265" s="55" t="s">
        <v>360</v>
      </c>
      <c r="M265" s="55" t="s">
        <v>144</v>
      </c>
      <c r="N265" s="55" t="s">
        <v>144</v>
      </c>
      <c r="O265" s="55" t="s">
        <v>168</v>
      </c>
      <c r="P265" s="55" t="s">
        <v>901</v>
      </c>
      <c r="Q265" s="55" t="s">
        <v>350</v>
      </c>
      <c r="R265" s="55">
        <v>5</v>
      </c>
      <c r="S265" s="55" t="s">
        <v>332</v>
      </c>
      <c r="T265" s="55" t="s">
        <v>902</v>
      </c>
    </row>
    <row r="266" spans="1:20" ht="13" x14ac:dyDescent="0.15">
      <c r="A266" s="72" t="str">
        <f t="shared" si="4"/>
        <v>Ofsted Social Care Provider Webpage</v>
      </c>
      <c r="B266" s="55">
        <v>1247764</v>
      </c>
      <c r="D266" s="55" t="s">
        <v>373</v>
      </c>
      <c r="E266" s="74">
        <v>42797</v>
      </c>
      <c r="F266" s="55" t="s">
        <v>344</v>
      </c>
      <c r="G266" s="55" t="s">
        <v>360</v>
      </c>
      <c r="H266" s="55" t="s">
        <v>360</v>
      </c>
      <c r="I266" s="55" t="s">
        <v>360</v>
      </c>
      <c r="J266" s="55" t="s">
        <v>360</v>
      </c>
      <c r="K266" s="55" t="s">
        <v>360</v>
      </c>
      <c r="L266" s="55" t="s">
        <v>360</v>
      </c>
      <c r="M266" s="55" t="s">
        <v>142</v>
      </c>
      <c r="N266" s="55" t="s">
        <v>142</v>
      </c>
      <c r="O266" s="55" t="s">
        <v>195</v>
      </c>
      <c r="P266" s="55" t="s">
        <v>518</v>
      </c>
      <c r="Q266" s="55" t="s">
        <v>350</v>
      </c>
      <c r="R266" s="55">
        <v>5</v>
      </c>
      <c r="S266" s="55"/>
      <c r="T266" s="55" t="s">
        <v>574</v>
      </c>
    </row>
    <row r="267" spans="1:20" ht="13" x14ac:dyDescent="0.15">
      <c r="A267" s="72" t="str">
        <f t="shared" si="4"/>
        <v>Ofsted Social Care Provider Webpage</v>
      </c>
      <c r="B267" s="55">
        <v>1247773</v>
      </c>
      <c r="D267" s="55" t="s">
        <v>373</v>
      </c>
      <c r="E267" s="74">
        <v>42704</v>
      </c>
      <c r="F267" s="55" t="s">
        <v>344</v>
      </c>
      <c r="G267" s="55" t="s">
        <v>360</v>
      </c>
      <c r="H267" s="55" t="s">
        <v>360</v>
      </c>
      <c r="I267" s="55" t="s">
        <v>360</v>
      </c>
      <c r="J267" s="55" t="s">
        <v>360</v>
      </c>
      <c r="K267" s="55" t="s">
        <v>360</v>
      </c>
      <c r="L267" s="55" t="s">
        <v>360</v>
      </c>
      <c r="M267" s="55" t="s">
        <v>144</v>
      </c>
      <c r="N267" s="55" t="s">
        <v>144</v>
      </c>
      <c r="O267" s="55" t="s">
        <v>217</v>
      </c>
      <c r="P267" s="55" t="s">
        <v>903</v>
      </c>
      <c r="Q267" s="55" t="s">
        <v>350</v>
      </c>
      <c r="R267" s="55">
        <v>5</v>
      </c>
      <c r="S267" s="55"/>
      <c r="T267" s="55" t="s">
        <v>900</v>
      </c>
    </row>
    <row r="268" spans="1:20" ht="13" x14ac:dyDescent="0.15">
      <c r="A268" s="72" t="str">
        <f t="shared" si="4"/>
        <v>Ofsted Social Care Provider Webpage</v>
      </c>
      <c r="B268" s="55">
        <v>1247776</v>
      </c>
      <c r="D268" s="55" t="s">
        <v>373</v>
      </c>
      <c r="E268" s="74">
        <v>42705</v>
      </c>
      <c r="F268" s="55" t="s">
        <v>344</v>
      </c>
      <c r="G268" s="55" t="s">
        <v>360</v>
      </c>
      <c r="H268" s="55" t="s">
        <v>360</v>
      </c>
      <c r="I268" s="55" t="s">
        <v>360</v>
      </c>
      <c r="J268" s="55" t="s">
        <v>360</v>
      </c>
      <c r="K268" s="55" t="s">
        <v>360</v>
      </c>
      <c r="L268" s="55" t="s">
        <v>360</v>
      </c>
      <c r="M268" s="55" t="s">
        <v>144</v>
      </c>
      <c r="N268" s="55" t="s">
        <v>144</v>
      </c>
      <c r="O268" s="55" t="s">
        <v>215</v>
      </c>
      <c r="P268" s="55" t="s">
        <v>655</v>
      </c>
      <c r="Q268" s="55" t="s">
        <v>350</v>
      </c>
      <c r="R268" s="55">
        <v>3</v>
      </c>
      <c r="S268" s="55"/>
      <c r="T268" s="55" t="s">
        <v>900</v>
      </c>
    </row>
    <row r="269" spans="1:20" ht="13" x14ac:dyDescent="0.15">
      <c r="A269" s="72" t="str">
        <f t="shared" si="4"/>
        <v>Ofsted Social Care Provider Webpage</v>
      </c>
      <c r="B269" s="55">
        <v>1248043</v>
      </c>
      <c r="D269" s="55" t="s">
        <v>373</v>
      </c>
      <c r="E269" s="74">
        <v>42706</v>
      </c>
      <c r="F269" s="55" t="s">
        <v>344</v>
      </c>
      <c r="G269" s="55" t="s">
        <v>360</v>
      </c>
      <c r="H269" s="55" t="s">
        <v>360</v>
      </c>
      <c r="I269" s="55" t="s">
        <v>360</v>
      </c>
      <c r="J269" s="55" t="s">
        <v>360</v>
      </c>
      <c r="K269" s="55" t="s">
        <v>360</v>
      </c>
      <c r="L269" s="55" t="s">
        <v>360</v>
      </c>
      <c r="M269" s="55" t="s">
        <v>144</v>
      </c>
      <c r="N269" s="55" t="s">
        <v>144</v>
      </c>
      <c r="O269" s="55" t="s">
        <v>215</v>
      </c>
      <c r="P269" s="55" t="s">
        <v>655</v>
      </c>
      <c r="Q269" s="55" t="s">
        <v>350</v>
      </c>
      <c r="R269" s="55">
        <v>2</v>
      </c>
      <c r="S269" s="55"/>
      <c r="T269" s="55" t="s">
        <v>900</v>
      </c>
    </row>
    <row r="270" spans="1:20" ht="13" x14ac:dyDescent="0.15">
      <c r="A270" s="72" t="str">
        <f t="shared" si="4"/>
        <v>Ofsted Social Care Provider Webpage</v>
      </c>
      <c r="B270" s="55">
        <v>1248071</v>
      </c>
      <c r="D270" s="55" t="s">
        <v>373</v>
      </c>
      <c r="E270" s="74">
        <v>42738</v>
      </c>
      <c r="F270" s="55" t="s">
        <v>344</v>
      </c>
      <c r="G270" s="55" t="s">
        <v>360</v>
      </c>
      <c r="H270" s="55" t="s">
        <v>360</v>
      </c>
      <c r="I270" s="55" t="s">
        <v>360</v>
      </c>
      <c r="J270" s="55" t="s">
        <v>360</v>
      </c>
      <c r="K270" s="55" t="s">
        <v>360</v>
      </c>
      <c r="L270" s="55" t="s">
        <v>360</v>
      </c>
      <c r="M270" s="55" t="s">
        <v>136</v>
      </c>
      <c r="N270" s="55" t="s">
        <v>136</v>
      </c>
      <c r="O270" s="55" t="s">
        <v>239</v>
      </c>
      <c r="P270" s="55" t="s">
        <v>738</v>
      </c>
      <c r="Q270" s="55" t="s">
        <v>350</v>
      </c>
      <c r="R270" s="55">
        <v>2</v>
      </c>
      <c r="S270" s="55"/>
      <c r="T270" s="55" t="s">
        <v>739</v>
      </c>
    </row>
    <row r="271" spans="1:20" ht="13" x14ac:dyDescent="0.15">
      <c r="A271" s="72" t="str">
        <f t="shared" si="4"/>
        <v>Ofsted Social Care Provider Webpage</v>
      </c>
      <c r="B271" s="55">
        <v>1248509</v>
      </c>
      <c r="D271" s="55" t="s">
        <v>373</v>
      </c>
      <c r="E271" s="74">
        <v>42849</v>
      </c>
      <c r="F271" s="55" t="s">
        <v>344</v>
      </c>
      <c r="G271" s="55" t="s">
        <v>360</v>
      </c>
      <c r="H271" s="55" t="s">
        <v>360</v>
      </c>
      <c r="I271" s="55" t="s">
        <v>360</v>
      </c>
      <c r="J271" s="55" t="s">
        <v>360</v>
      </c>
      <c r="K271" s="55" t="s">
        <v>360</v>
      </c>
      <c r="L271" s="55" t="s">
        <v>360</v>
      </c>
      <c r="M271" s="55" t="s">
        <v>172</v>
      </c>
      <c r="N271" s="55" t="s">
        <v>172</v>
      </c>
      <c r="O271" s="55" t="s">
        <v>228</v>
      </c>
      <c r="P271" s="55" t="s">
        <v>459</v>
      </c>
      <c r="Q271" s="55" t="s">
        <v>350</v>
      </c>
      <c r="R271" s="55">
        <v>2</v>
      </c>
      <c r="S271" s="55"/>
      <c r="T271" s="55" t="s">
        <v>904</v>
      </c>
    </row>
    <row r="272" spans="1:20" ht="13" x14ac:dyDescent="0.15">
      <c r="A272" s="72" t="str">
        <f t="shared" si="4"/>
        <v>Ofsted Social Care Provider Webpage</v>
      </c>
      <c r="B272" s="55">
        <v>1248773</v>
      </c>
      <c r="D272" s="55" t="s">
        <v>373</v>
      </c>
      <c r="E272" s="74">
        <v>42789</v>
      </c>
      <c r="F272" s="55" t="s">
        <v>344</v>
      </c>
      <c r="G272" s="55" t="s">
        <v>360</v>
      </c>
      <c r="H272" s="55" t="s">
        <v>360</v>
      </c>
      <c r="I272" s="55" t="s">
        <v>360</v>
      </c>
      <c r="J272" s="55" t="s">
        <v>360</v>
      </c>
      <c r="K272" s="55" t="s">
        <v>360</v>
      </c>
      <c r="L272" s="55" t="s">
        <v>360</v>
      </c>
      <c r="M272" s="55" t="s">
        <v>378</v>
      </c>
      <c r="N272" s="55" t="s">
        <v>170</v>
      </c>
      <c r="O272" s="55" t="s">
        <v>178</v>
      </c>
      <c r="P272" s="55" t="s">
        <v>905</v>
      </c>
      <c r="Q272" s="55" t="s">
        <v>350</v>
      </c>
      <c r="R272" s="55">
        <v>5</v>
      </c>
      <c r="S272" s="55"/>
      <c r="T272" s="55" t="s">
        <v>906</v>
      </c>
    </row>
    <row r="273" spans="1:20" ht="13" x14ac:dyDescent="0.15">
      <c r="A273" s="72" t="str">
        <f t="shared" si="4"/>
        <v>Ofsted Social Care Provider Webpage</v>
      </c>
      <c r="B273" s="55">
        <v>1248979</v>
      </c>
      <c r="D273" s="55" t="s">
        <v>373</v>
      </c>
      <c r="E273" s="74">
        <v>42794</v>
      </c>
      <c r="F273" s="55" t="s">
        <v>344</v>
      </c>
      <c r="G273" s="55" t="s">
        <v>360</v>
      </c>
      <c r="H273" s="55" t="s">
        <v>360</v>
      </c>
      <c r="I273" s="55" t="s">
        <v>360</v>
      </c>
      <c r="J273" s="55" t="s">
        <v>360</v>
      </c>
      <c r="K273" s="55" t="s">
        <v>360</v>
      </c>
      <c r="L273" s="55" t="s">
        <v>360</v>
      </c>
      <c r="M273" s="55" t="s">
        <v>138</v>
      </c>
      <c r="N273" s="55" t="s">
        <v>138</v>
      </c>
      <c r="O273" s="55" t="s">
        <v>183</v>
      </c>
      <c r="P273" s="55" t="s">
        <v>907</v>
      </c>
      <c r="Q273" s="55" t="s">
        <v>350</v>
      </c>
      <c r="R273" s="55">
        <v>7</v>
      </c>
      <c r="S273" s="55"/>
      <c r="T273" s="55" t="s">
        <v>908</v>
      </c>
    </row>
    <row r="274" spans="1:20" ht="13" x14ac:dyDescent="0.15">
      <c r="A274" s="72" t="str">
        <f t="shared" si="4"/>
        <v>Ofsted Social Care Provider Webpage</v>
      </c>
      <c r="B274" s="55">
        <v>1249031</v>
      </c>
      <c r="D274" s="55" t="s">
        <v>373</v>
      </c>
      <c r="E274" s="74">
        <v>42706</v>
      </c>
      <c r="F274" s="55" t="s">
        <v>344</v>
      </c>
      <c r="G274" s="55" t="s">
        <v>360</v>
      </c>
      <c r="H274" s="55" t="s">
        <v>360</v>
      </c>
      <c r="I274" s="55" t="s">
        <v>360</v>
      </c>
      <c r="J274" s="55" t="s">
        <v>360</v>
      </c>
      <c r="K274" s="55" t="s">
        <v>360</v>
      </c>
      <c r="L274" s="55" t="s">
        <v>360</v>
      </c>
      <c r="M274" s="55" t="s">
        <v>144</v>
      </c>
      <c r="N274" s="55" t="s">
        <v>144</v>
      </c>
      <c r="O274" s="55" t="s">
        <v>290</v>
      </c>
      <c r="P274" s="55" t="s">
        <v>909</v>
      </c>
      <c r="Q274" s="55" t="s">
        <v>350</v>
      </c>
      <c r="R274" s="55">
        <v>3</v>
      </c>
      <c r="S274" s="55"/>
      <c r="T274" s="55" t="s">
        <v>900</v>
      </c>
    </row>
    <row r="275" spans="1:20" ht="13" x14ac:dyDescent="0.15">
      <c r="A275" s="72" t="str">
        <f t="shared" si="4"/>
        <v>Ofsted Social Care Provider Webpage</v>
      </c>
      <c r="B275" s="55">
        <v>1249034</v>
      </c>
      <c r="D275" s="55" t="s">
        <v>373</v>
      </c>
      <c r="E275" s="74">
        <v>42958</v>
      </c>
      <c r="F275" s="55" t="s">
        <v>344</v>
      </c>
      <c r="G275" s="55" t="s">
        <v>360</v>
      </c>
      <c r="H275" s="55" t="s">
        <v>360</v>
      </c>
      <c r="I275" s="55" t="s">
        <v>360</v>
      </c>
      <c r="J275" s="55" t="s">
        <v>360</v>
      </c>
      <c r="K275" s="55" t="s">
        <v>360</v>
      </c>
      <c r="L275" s="55" t="s">
        <v>360</v>
      </c>
      <c r="M275" s="55" t="s">
        <v>142</v>
      </c>
      <c r="N275" s="55" t="s">
        <v>142</v>
      </c>
      <c r="O275" s="55" t="s">
        <v>262</v>
      </c>
      <c r="P275" s="55" t="s">
        <v>850</v>
      </c>
      <c r="Q275" s="55" t="s">
        <v>350</v>
      </c>
      <c r="R275" s="55">
        <v>1</v>
      </c>
      <c r="S275" s="55"/>
      <c r="T275" s="55" t="s">
        <v>910</v>
      </c>
    </row>
    <row r="276" spans="1:20" ht="13" x14ac:dyDescent="0.15">
      <c r="A276" s="72" t="str">
        <f t="shared" si="4"/>
        <v>Ofsted Social Care Provider Webpage</v>
      </c>
      <c r="B276" s="55">
        <v>1249035</v>
      </c>
      <c r="D276" s="55" t="s">
        <v>373</v>
      </c>
      <c r="E276" s="74">
        <v>42815</v>
      </c>
      <c r="F276" s="55" t="s">
        <v>344</v>
      </c>
      <c r="G276" s="55" t="s">
        <v>360</v>
      </c>
      <c r="H276" s="55" t="s">
        <v>360</v>
      </c>
      <c r="I276" s="55" t="s">
        <v>360</v>
      </c>
      <c r="J276" s="55" t="s">
        <v>360</v>
      </c>
      <c r="K276" s="55" t="s">
        <v>360</v>
      </c>
      <c r="L276" s="55" t="s">
        <v>360</v>
      </c>
      <c r="M276" s="55" t="s">
        <v>144</v>
      </c>
      <c r="N276" s="55" t="s">
        <v>144</v>
      </c>
      <c r="O276" s="55" t="s">
        <v>209</v>
      </c>
      <c r="P276" s="55" t="s">
        <v>545</v>
      </c>
      <c r="Q276" s="55" t="s">
        <v>350</v>
      </c>
      <c r="R276" s="55">
        <v>6</v>
      </c>
      <c r="S276" s="55"/>
      <c r="T276" s="55" t="s">
        <v>377</v>
      </c>
    </row>
    <row r="277" spans="1:20" ht="13" x14ac:dyDescent="0.15">
      <c r="A277" s="72" t="str">
        <f t="shared" si="4"/>
        <v>Ofsted Social Care Provider Webpage</v>
      </c>
      <c r="B277" s="55">
        <v>1249111</v>
      </c>
      <c r="D277" s="55" t="s">
        <v>373</v>
      </c>
      <c r="E277" s="74">
        <v>42718</v>
      </c>
      <c r="F277" s="55" t="s">
        <v>344</v>
      </c>
      <c r="G277" s="55" t="s">
        <v>360</v>
      </c>
      <c r="H277" s="55" t="s">
        <v>360</v>
      </c>
      <c r="I277" s="55" t="s">
        <v>360</v>
      </c>
      <c r="J277" s="55" t="s">
        <v>360</v>
      </c>
      <c r="K277" s="55" t="s">
        <v>360</v>
      </c>
      <c r="L277" s="55" t="s">
        <v>360</v>
      </c>
      <c r="M277" s="55" t="s">
        <v>150</v>
      </c>
      <c r="N277" s="55" t="s">
        <v>150</v>
      </c>
      <c r="O277" s="55" t="s">
        <v>190</v>
      </c>
      <c r="P277" s="55" t="s">
        <v>897</v>
      </c>
      <c r="Q277" s="55" t="s">
        <v>350</v>
      </c>
      <c r="R277" s="55">
        <v>2</v>
      </c>
      <c r="S277" s="55"/>
      <c r="T277" s="55" t="s">
        <v>911</v>
      </c>
    </row>
    <row r="278" spans="1:20" ht="13" x14ac:dyDescent="0.15">
      <c r="A278" s="72" t="str">
        <f t="shared" si="4"/>
        <v>Ofsted Social Care Provider Webpage</v>
      </c>
      <c r="B278" s="55">
        <v>1249115</v>
      </c>
      <c r="D278" s="55" t="s">
        <v>373</v>
      </c>
      <c r="E278" s="74">
        <v>42806</v>
      </c>
      <c r="F278" s="55" t="s">
        <v>344</v>
      </c>
      <c r="G278" s="55" t="s">
        <v>360</v>
      </c>
      <c r="H278" s="55" t="s">
        <v>360</v>
      </c>
      <c r="I278" s="55" t="s">
        <v>360</v>
      </c>
      <c r="J278" s="55" t="s">
        <v>360</v>
      </c>
      <c r="K278" s="55" t="s">
        <v>360</v>
      </c>
      <c r="L278" s="55" t="s">
        <v>360</v>
      </c>
      <c r="M278" s="55" t="s">
        <v>378</v>
      </c>
      <c r="N278" s="55" t="s">
        <v>134</v>
      </c>
      <c r="O278" s="55" t="s">
        <v>158</v>
      </c>
      <c r="P278" s="55" t="s">
        <v>912</v>
      </c>
      <c r="Q278" s="55" t="s">
        <v>350</v>
      </c>
      <c r="R278" s="55">
        <v>4</v>
      </c>
      <c r="S278" s="55"/>
      <c r="T278" s="55" t="s">
        <v>377</v>
      </c>
    </row>
    <row r="279" spans="1:20" ht="13" x14ac:dyDescent="0.15">
      <c r="A279" s="72" t="str">
        <f t="shared" si="4"/>
        <v>Ofsted Social Care Provider Webpage</v>
      </c>
      <c r="B279" s="55">
        <v>1249117</v>
      </c>
      <c r="D279" s="55" t="s">
        <v>373</v>
      </c>
      <c r="E279" s="74">
        <v>43283</v>
      </c>
      <c r="F279" s="55" t="s">
        <v>344</v>
      </c>
      <c r="G279" s="55" t="s">
        <v>360</v>
      </c>
      <c r="H279" s="55" t="s">
        <v>360</v>
      </c>
      <c r="I279" s="55" t="s">
        <v>360</v>
      </c>
      <c r="J279" s="55" t="s">
        <v>360</v>
      </c>
      <c r="K279" s="55" t="s">
        <v>360</v>
      </c>
      <c r="L279" s="55" t="s">
        <v>360</v>
      </c>
      <c r="M279" s="55" t="s">
        <v>142</v>
      </c>
      <c r="N279" s="55" t="s">
        <v>142</v>
      </c>
      <c r="O279" s="55" t="s">
        <v>262</v>
      </c>
      <c r="P279" s="55" t="s">
        <v>850</v>
      </c>
      <c r="Q279" s="55" t="s">
        <v>350</v>
      </c>
      <c r="R279" s="55">
        <v>1</v>
      </c>
      <c r="S279" s="55"/>
      <c r="T279" s="55" t="s">
        <v>910</v>
      </c>
    </row>
    <row r="280" spans="1:20" ht="13" x14ac:dyDescent="0.15">
      <c r="A280" s="72" t="str">
        <f t="shared" si="4"/>
        <v>Ofsted Social Care Provider Webpage</v>
      </c>
      <c r="B280" s="55">
        <v>1249123</v>
      </c>
      <c r="D280" s="55" t="s">
        <v>373</v>
      </c>
      <c r="E280" s="74">
        <v>42870</v>
      </c>
      <c r="F280" s="55" t="s">
        <v>344</v>
      </c>
      <c r="G280" s="55" t="s">
        <v>360</v>
      </c>
      <c r="H280" s="55" t="s">
        <v>360</v>
      </c>
      <c r="I280" s="55" t="s">
        <v>360</v>
      </c>
      <c r="J280" s="55" t="s">
        <v>360</v>
      </c>
      <c r="K280" s="55" t="s">
        <v>360</v>
      </c>
      <c r="L280" s="55" t="s">
        <v>360</v>
      </c>
      <c r="M280" s="55" t="s">
        <v>144</v>
      </c>
      <c r="N280" s="55" t="s">
        <v>144</v>
      </c>
      <c r="O280" s="55" t="s">
        <v>168</v>
      </c>
      <c r="P280" s="55" t="s">
        <v>913</v>
      </c>
      <c r="Q280" s="55" t="s">
        <v>350</v>
      </c>
      <c r="R280" s="55">
        <v>6</v>
      </c>
      <c r="S280" s="55"/>
      <c r="T280" s="55" t="s">
        <v>504</v>
      </c>
    </row>
    <row r="281" spans="1:20" ht="13" x14ac:dyDescent="0.15">
      <c r="A281" s="72" t="str">
        <f t="shared" si="4"/>
        <v>Ofsted Social Care Provider Webpage</v>
      </c>
      <c r="B281" s="55">
        <v>1249183</v>
      </c>
      <c r="D281" s="55" t="s">
        <v>373</v>
      </c>
      <c r="E281" s="74">
        <v>42849</v>
      </c>
      <c r="F281" s="55" t="s">
        <v>344</v>
      </c>
      <c r="G281" s="55" t="s">
        <v>360</v>
      </c>
      <c r="H281" s="55" t="s">
        <v>360</v>
      </c>
      <c r="I281" s="55" t="s">
        <v>360</v>
      </c>
      <c r="J281" s="55" t="s">
        <v>360</v>
      </c>
      <c r="K281" s="55" t="s">
        <v>360</v>
      </c>
      <c r="L281" s="55" t="s">
        <v>360</v>
      </c>
      <c r="M281" s="55" t="s">
        <v>378</v>
      </c>
      <c r="N281" s="55" t="s">
        <v>134</v>
      </c>
      <c r="O281" s="55" t="s">
        <v>151</v>
      </c>
      <c r="P281" s="55" t="s">
        <v>862</v>
      </c>
      <c r="Q281" s="55" t="s">
        <v>350</v>
      </c>
      <c r="R281" s="55">
        <v>4</v>
      </c>
      <c r="S281" s="55"/>
      <c r="T281" s="55" t="s">
        <v>489</v>
      </c>
    </row>
    <row r="282" spans="1:20" ht="13" x14ac:dyDescent="0.15">
      <c r="A282" s="72" t="str">
        <f t="shared" si="4"/>
        <v>Ofsted Social Care Provider Webpage</v>
      </c>
      <c r="B282" s="55">
        <v>1249196</v>
      </c>
      <c r="D282" s="55" t="s">
        <v>373</v>
      </c>
      <c r="E282" s="74">
        <v>42758</v>
      </c>
      <c r="F282" s="55" t="s">
        <v>344</v>
      </c>
      <c r="G282" s="55" t="s">
        <v>360</v>
      </c>
      <c r="H282" s="55" t="s">
        <v>360</v>
      </c>
      <c r="I282" s="55" t="s">
        <v>360</v>
      </c>
      <c r="J282" s="55" t="s">
        <v>360</v>
      </c>
      <c r="K282" s="55" t="s">
        <v>360</v>
      </c>
      <c r="L282" s="55" t="s">
        <v>360</v>
      </c>
      <c r="M282" s="55" t="s">
        <v>136</v>
      </c>
      <c r="N282" s="55" t="s">
        <v>136</v>
      </c>
      <c r="O282" s="55" t="s">
        <v>255</v>
      </c>
      <c r="P282" s="55" t="s">
        <v>757</v>
      </c>
      <c r="Q282" s="55" t="s">
        <v>350</v>
      </c>
      <c r="R282" s="55">
        <v>4</v>
      </c>
      <c r="S282" s="55"/>
      <c r="T282" s="55" t="s">
        <v>914</v>
      </c>
    </row>
    <row r="283" spans="1:20" ht="13" x14ac:dyDescent="0.15">
      <c r="A283" s="72" t="str">
        <f t="shared" si="4"/>
        <v>Ofsted Social Care Provider Webpage</v>
      </c>
      <c r="B283" s="55">
        <v>1249259</v>
      </c>
      <c r="D283" s="55" t="s">
        <v>373</v>
      </c>
      <c r="E283" s="74">
        <v>42797</v>
      </c>
      <c r="F283" s="55" t="s">
        <v>344</v>
      </c>
      <c r="G283" s="55" t="s">
        <v>360</v>
      </c>
      <c r="H283" s="55" t="s">
        <v>360</v>
      </c>
      <c r="I283" s="55" t="s">
        <v>360</v>
      </c>
      <c r="J283" s="55" t="s">
        <v>360</v>
      </c>
      <c r="K283" s="55" t="s">
        <v>360</v>
      </c>
      <c r="L283" s="55" t="s">
        <v>360</v>
      </c>
      <c r="M283" s="55" t="s">
        <v>150</v>
      </c>
      <c r="N283" s="55" t="s">
        <v>150</v>
      </c>
      <c r="O283" s="55" t="s">
        <v>190</v>
      </c>
      <c r="P283" s="55" t="s">
        <v>830</v>
      </c>
      <c r="Q283" s="55" t="s">
        <v>350</v>
      </c>
      <c r="R283" s="55">
        <v>4</v>
      </c>
      <c r="S283" s="55"/>
      <c r="T283" s="55" t="s">
        <v>450</v>
      </c>
    </row>
    <row r="284" spans="1:20" ht="13" x14ac:dyDescent="0.15">
      <c r="A284" s="72" t="str">
        <f t="shared" si="4"/>
        <v>Ofsted Social Care Provider Webpage</v>
      </c>
      <c r="B284" s="55">
        <v>1249264</v>
      </c>
      <c r="D284" s="55" t="s">
        <v>373</v>
      </c>
      <c r="E284" s="74">
        <v>42781</v>
      </c>
      <c r="F284" s="55" t="s">
        <v>344</v>
      </c>
      <c r="G284" s="55" t="s">
        <v>360</v>
      </c>
      <c r="H284" s="55" t="s">
        <v>360</v>
      </c>
      <c r="I284" s="55" t="s">
        <v>360</v>
      </c>
      <c r="J284" s="55" t="s">
        <v>360</v>
      </c>
      <c r="K284" s="55" t="s">
        <v>360</v>
      </c>
      <c r="L284" s="55" t="s">
        <v>360</v>
      </c>
      <c r="M284" s="55" t="s">
        <v>144</v>
      </c>
      <c r="N284" s="55" t="s">
        <v>144</v>
      </c>
      <c r="O284" s="55" t="s">
        <v>168</v>
      </c>
      <c r="P284" s="55" t="s">
        <v>913</v>
      </c>
      <c r="Q284" s="55" t="s">
        <v>350</v>
      </c>
      <c r="R284" s="55">
        <v>4</v>
      </c>
      <c r="S284" s="55"/>
      <c r="T284" s="55" t="s">
        <v>915</v>
      </c>
    </row>
    <row r="285" spans="1:20" ht="13" x14ac:dyDescent="0.15">
      <c r="A285" s="72" t="str">
        <f t="shared" si="4"/>
        <v>Ofsted Social Care Provider Webpage</v>
      </c>
      <c r="B285" s="55">
        <v>1249326</v>
      </c>
      <c r="D285" s="55" t="s">
        <v>373</v>
      </c>
      <c r="E285" s="74">
        <v>42802</v>
      </c>
      <c r="F285" s="55" t="s">
        <v>344</v>
      </c>
      <c r="G285" s="55" t="s">
        <v>360</v>
      </c>
      <c r="H285" s="55" t="s">
        <v>360</v>
      </c>
      <c r="I285" s="55" t="s">
        <v>360</v>
      </c>
      <c r="J285" s="55" t="s">
        <v>360</v>
      </c>
      <c r="K285" s="55" t="s">
        <v>360</v>
      </c>
      <c r="L285" s="55" t="s">
        <v>360</v>
      </c>
      <c r="M285" s="55" t="s">
        <v>142</v>
      </c>
      <c r="N285" s="55" t="s">
        <v>142</v>
      </c>
      <c r="O285" s="55" t="s">
        <v>262</v>
      </c>
      <c r="P285" s="55" t="s">
        <v>916</v>
      </c>
      <c r="Q285" s="55" t="s">
        <v>350</v>
      </c>
      <c r="R285" s="55">
        <v>4</v>
      </c>
      <c r="S285" s="55"/>
      <c r="T285" s="55" t="s">
        <v>917</v>
      </c>
    </row>
    <row r="286" spans="1:20" ht="13" x14ac:dyDescent="0.15">
      <c r="A286" s="72" t="str">
        <f t="shared" si="4"/>
        <v>Ofsted Social Care Provider Webpage</v>
      </c>
      <c r="B286" s="55">
        <v>1249715</v>
      </c>
      <c r="D286" s="55" t="s">
        <v>373</v>
      </c>
      <c r="E286" s="74">
        <v>42836</v>
      </c>
      <c r="F286" s="55" t="s">
        <v>344</v>
      </c>
      <c r="G286" s="55" t="s">
        <v>360</v>
      </c>
      <c r="H286" s="55" t="s">
        <v>360</v>
      </c>
      <c r="I286" s="55" t="s">
        <v>360</v>
      </c>
      <c r="J286" s="55" t="s">
        <v>360</v>
      </c>
      <c r="K286" s="55" t="s">
        <v>360</v>
      </c>
      <c r="L286" s="55" t="s">
        <v>360</v>
      </c>
      <c r="M286" s="55" t="s">
        <v>150</v>
      </c>
      <c r="N286" s="55" t="s">
        <v>150</v>
      </c>
      <c r="O286" s="55" t="s">
        <v>190</v>
      </c>
      <c r="P286" s="55" t="s">
        <v>749</v>
      </c>
      <c r="Q286" s="55" t="s">
        <v>350</v>
      </c>
      <c r="R286" s="55">
        <v>4</v>
      </c>
      <c r="S286" s="55"/>
      <c r="T286" s="55" t="s">
        <v>450</v>
      </c>
    </row>
    <row r="287" spans="1:20" ht="13" x14ac:dyDescent="0.15">
      <c r="A287" s="72" t="str">
        <f t="shared" si="4"/>
        <v>Ofsted Social Care Provider Webpage</v>
      </c>
      <c r="B287" s="55">
        <v>1249787</v>
      </c>
      <c r="D287" s="55" t="s">
        <v>373</v>
      </c>
      <c r="E287" s="74">
        <v>42720</v>
      </c>
      <c r="F287" s="55" t="s">
        <v>344</v>
      </c>
      <c r="G287" s="55" t="s">
        <v>360</v>
      </c>
      <c r="H287" s="55" t="s">
        <v>360</v>
      </c>
      <c r="I287" s="55" t="s">
        <v>360</v>
      </c>
      <c r="J287" s="55" t="s">
        <v>360</v>
      </c>
      <c r="K287" s="55" t="s">
        <v>360</v>
      </c>
      <c r="L287" s="55" t="s">
        <v>360</v>
      </c>
      <c r="M287" s="55" t="s">
        <v>136</v>
      </c>
      <c r="N287" s="55" t="s">
        <v>136</v>
      </c>
      <c r="O287" s="55" t="s">
        <v>174</v>
      </c>
      <c r="P287" s="55" t="s">
        <v>651</v>
      </c>
      <c r="Q287" s="55" t="s">
        <v>350</v>
      </c>
      <c r="R287" s="55">
        <v>1</v>
      </c>
      <c r="S287" s="55"/>
      <c r="T287" s="55" t="s">
        <v>652</v>
      </c>
    </row>
    <row r="288" spans="1:20" ht="13" x14ac:dyDescent="0.15">
      <c r="A288" s="72" t="str">
        <f t="shared" si="4"/>
        <v>Ofsted Social Care Provider Webpage</v>
      </c>
      <c r="B288" s="55">
        <v>1249881</v>
      </c>
      <c r="D288" s="55" t="s">
        <v>389</v>
      </c>
      <c r="E288" s="74">
        <v>42954</v>
      </c>
      <c r="F288" s="55" t="s">
        <v>344</v>
      </c>
      <c r="G288" s="55" t="s">
        <v>918</v>
      </c>
      <c r="H288" s="55" t="s">
        <v>918</v>
      </c>
      <c r="I288" s="55" t="s">
        <v>919</v>
      </c>
      <c r="J288" s="55" t="s">
        <v>920</v>
      </c>
      <c r="L288" s="55" t="s">
        <v>921</v>
      </c>
      <c r="M288" s="55" t="s">
        <v>142</v>
      </c>
      <c r="N288" s="55" t="s">
        <v>142</v>
      </c>
      <c r="O288" s="55" t="s">
        <v>282</v>
      </c>
      <c r="P288" s="55" t="s">
        <v>922</v>
      </c>
      <c r="Q288" s="55" t="s">
        <v>350</v>
      </c>
      <c r="R288" s="55"/>
      <c r="S288" s="55"/>
      <c r="T288" s="55" t="s">
        <v>918</v>
      </c>
    </row>
    <row r="289" spans="1:20" ht="13" x14ac:dyDescent="0.15">
      <c r="A289" s="72" t="str">
        <f t="shared" si="4"/>
        <v>Ofsted Social Care Provider Webpage</v>
      </c>
      <c r="B289" s="55">
        <v>1250035</v>
      </c>
      <c r="D289" s="55" t="s">
        <v>373</v>
      </c>
      <c r="E289" s="74">
        <v>42774</v>
      </c>
      <c r="F289" s="55" t="s">
        <v>344</v>
      </c>
      <c r="G289" s="55" t="s">
        <v>360</v>
      </c>
      <c r="H289" s="55" t="s">
        <v>360</v>
      </c>
      <c r="I289" s="55" t="s">
        <v>360</v>
      </c>
      <c r="J289" s="55" t="s">
        <v>360</v>
      </c>
      <c r="K289" s="55" t="s">
        <v>360</v>
      </c>
      <c r="L289" s="55" t="s">
        <v>360</v>
      </c>
      <c r="M289" s="55" t="s">
        <v>144</v>
      </c>
      <c r="N289" s="55" t="s">
        <v>144</v>
      </c>
      <c r="O289" s="55" t="s">
        <v>261</v>
      </c>
      <c r="P289" s="55" t="s">
        <v>512</v>
      </c>
      <c r="Q289" s="55" t="s">
        <v>350</v>
      </c>
      <c r="R289" s="55">
        <v>4</v>
      </c>
      <c r="S289" s="55"/>
      <c r="T289" s="55" t="s">
        <v>923</v>
      </c>
    </row>
    <row r="290" spans="1:20" ht="13" x14ac:dyDescent="0.15">
      <c r="A290" s="72" t="str">
        <f t="shared" si="4"/>
        <v>Ofsted Social Care Provider Webpage</v>
      </c>
      <c r="B290" s="55">
        <v>1250039</v>
      </c>
      <c r="D290" s="55" t="s">
        <v>373</v>
      </c>
      <c r="E290" s="74">
        <v>42796</v>
      </c>
      <c r="F290" s="55" t="s">
        <v>344</v>
      </c>
      <c r="G290" s="55" t="s">
        <v>360</v>
      </c>
      <c r="H290" s="55" t="s">
        <v>360</v>
      </c>
      <c r="I290" s="55" t="s">
        <v>360</v>
      </c>
      <c r="J290" s="55" t="s">
        <v>360</v>
      </c>
      <c r="K290" s="55" t="s">
        <v>360</v>
      </c>
      <c r="L290" s="55" t="s">
        <v>360</v>
      </c>
      <c r="M290" s="55" t="s">
        <v>172</v>
      </c>
      <c r="N290" s="55" t="s">
        <v>172</v>
      </c>
      <c r="O290" s="55" t="s">
        <v>212</v>
      </c>
      <c r="P290" s="55" t="s">
        <v>798</v>
      </c>
      <c r="Q290" s="55" t="s">
        <v>350</v>
      </c>
      <c r="R290" s="55">
        <v>4</v>
      </c>
      <c r="S290" s="55"/>
      <c r="T290" s="55" t="s">
        <v>799</v>
      </c>
    </row>
    <row r="291" spans="1:20" ht="13" x14ac:dyDescent="0.15">
      <c r="A291" s="72" t="str">
        <f t="shared" si="4"/>
        <v>Ofsted Social Care Provider Webpage</v>
      </c>
      <c r="B291" s="55">
        <v>1250134</v>
      </c>
      <c r="D291" s="55" t="s">
        <v>443</v>
      </c>
      <c r="E291" s="74">
        <v>43124</v>
      </c>
      <c r="F291" s="55" t="s">
        <v>344</v>
      </c>
      <c r="G291" s="55" t="s">
        <v>924</v>
      </c>
      <c r="H291" s="55" t="s">
        <v>925</v>
      </c>
      <c r="I291" s="55" t="s">
        <v>926</v>
      </c>
      <c r="J291" s="55" t="s">
        <v>927</v>
      </c>
      <c r="L291" s="55" t="s">
        <v>928</v>
      </c>
      <c r="M291" s="55" t="s">
        <v>378</v>
      </c>
      <c r="N291" s="55" t="s">
        <v>134</v>
      </c>
      <c r="O291" s="55" t="s">
        <v>204</v>
      </c>
      <c r="P291" s="55" t="s">
        <v>929</v>
      </c>
      <c r="Q291" s="55" t="s">
        <v>350</v>
      </c>
      <c r="R291" s="55"/>
      <c r="S291" s="55"/>
      <c r="T291" s="55" t="s">
        <v>930</v>
      </c>
    </row>
    <row r="292" spans="1:20" ht="13" x14ac:dyDescent="0.15">
      <c r="A292" s="72" t="str">
        <f t="shared" si="4"/>
        <v>Ofsted Social Care Provider Webpage</v>
      </c>
      <c r="B292" s="55">
        <v>1250186</v>
      </c>
      <c r="D292" s="55" t="s">
        <v>373</v>
      </c>
      <c r="E292" s="74">
        <v>42872</v>
      </c>
      <c r="F292" s="55" t="s">
        <v>344</v>
      </c>
      <c r="G292" s="55" t="s">
        <v>360</v>
      </c>
      <c r="H292" s="55" t="s">
        <v>360</v>
      </c>
      <c r="I292" s="55" t="s">
        <v>360</v>
      </c>
      <c r="J292" s="55" t="s">
        <v>360</v>
      </c>
      <c r="K292" s="55" t="s">
        <v>360</v>
      </c>
      <c r="L292" s="55" t="s">
        <v>360</v>
      </c>
      <c r="M292" s="55" t="s">
        <v>142</v>
      </c>
      <c r="N292" s="55" t="s">
        <v>142</v>
      </c>
      <c r="O292" s="55" t="s">
        <v>272</v>
      </c>
      <c r="P292" s="55" t="s">
        <v>653</v>
      </c>
      <c r="Q292" s="55" t="s">
        <v>350</v>
      </c>
      <c r="R292" s="55">
        <v>4</v>
      </c>
      <c r="S292" s="55"/>
      <c r="T292" s="55" t="s">
        <v>377</v>
      </c>
    </row>
    <row r="293" spans="1:20" ht="13" x14ac:dyDescent="0.15">
      <c r="A293" s="72" t="str">
        <f t="shared" si="4"/>
        <v>Ofsted Social Care Provider Webpage</v>
      </c>
      <c r="B293" s="55">
        <v>1250194</v>
      </c>
      <c r="D293" s="55" t="s">
        <v>373</v>
      </c>
      <c r="E293" s="74">
        <v>42921</v>
      </c>
      <c r="F293" s="55" t="s">
        <v>344</v>
      </c>
      <c r="G293" s="55" t="s">
        <v>360</v>
      </c>
      <c r="H293" s="55" t="s">
        <v>360</v>
      </c>
      <c r="I293" s="55" t="s">
        <v>360</v>
      </c>
      <c r="J293" s="55" t="s">
        <v>360</v>
      </c>
      <c r="K293" s="55" t="s">
        <v>360</v>
      </c>
      <c r="L293" s="55" t="s">
        <v>360</v>
      </c>
      <c r="M293" s="55" t="s">
        <v>150</v>
      </c>
      <c r="N293" s="55" t="s">
        <v>150</v>
      </c>
      <c r="O293" s="55" t="s">
        <v>285</v>
      </c>
      <c r="P293" s="55" t="s">
        <v>893</v>
      </c>
      <c r="Q293" s="55" t="s">
        <v>350</v>
      </c>
      <c r="R293" s="55">
        <v>4</v>
      </c>
      <c r="S293" s="55"/>
      <c r="T293" s="55" t="s">
        <v>931</v>
      </c>
    </row>
    <row r="294" spans="1:20" ht="13" x14ac:dyDescent="0.15">
      <c r="A294" s="72" t="str">
        <f t="shared" si="4"/>
        <v>Ofsted Social Care Provider Webpage</v>
      </c>
      <c r="B294" s="55">
        <v>1250196</v>
      </c>
      <c r="D294" s="55" t="s">
        <v>373</v>
      </c>
      <c r="E294" s="74">
        <v>42859</v>
      </c>
      <c r="F294" s="55" t="s">
        <v>344</v>
      </c>
      <c r="G294" s="55" t="s">
        <v>360</v>
      </c>
      <c r="H294" s="55" t="s">
        <v>360</v>
      </c>
      <c r="I294" s="55" t="s">
        <v>360</v>
      </c>
      <c r="J294" s="55" t="s">
        <v>360</v>
      </c>
      <c r="K294" s="55" t="s">
        <v>360</v>
      </c>
      <c r="L294" s="55" t="s">
        <v>360</v>
      </c>
      <c r="M294" s="55" t="s">
        <v>378</v>
      </c>
      <c r="N294" s="55" t="s">
        <v>134</v>
      </c>
      <c r="O294" s="55" t="s">
        <v>175</v>
      </c>
      <c r="P294" s="55" t="s">
        <v>932</v>
      </c>
      <c r="Q294" s="55" t="s">
        <v>350</v>
      </c>
      <c r="R294" s="55">
        <v>2</v>
      </c>
      <c r="S294" s="55"/>
      <c r="T294" s="55" t="s">
        <v>933</v>
      </c>
    </row>
    <row r="295" spans="1:20" ht="13" x14ac:dyDescent="0.15">
      <c r="A295" s="72" t="str">
        <f t="shared" si="4"/>
        <v>Ofsted Social Care Provider Webpage</v>
      </c>
      <c r="B295" s="55">
        <v>1250253</v>
      </c>
      <c r="D295" s="55" t="s">
        <v>373</v>
      </c>
      <c r="E295" s="74">
        <v>42733</v>
      </c>
      <c r="F295" s="55" t="s">
        <v>344</v>
      </c>
      <c r="G295" s="55" t="s">
        <v>360</v>
      </c>
      <c r="H295" s="55" t="s">
        <v>360</v>
      </c>
      <c r="I295" s="55" t="s">
        <v>360</v>
      </c>
      <c r="J295" s="55" t="s">
        <v>360</v>
      </c>
      <c r="K295" s="55" t="s">
        <v>360</v>
      </c>
      <c r="L295" s="55" t="s">
        <v>360</v>
      </c>
      <c r="M295" s="55" t="s">
        <v>138</v>
      </c>
      <c r="N295" s="55" t="s">
        <v>138</v>
      </c>
      <c r="O295" s="55" t="s">
        <v>266</v>
      </c>
      <c r="P295" s="55" t="s">
        <v>934</v>
      </c>
      <c r="Q295" s="55" t="s">
        <v>350</v>
      </c>
      <c r="R295" s="55">
        <v>4</v>
      </c>
      <c r="S295" s="55" t="s">
        <v>332</v>
      </c>
      <c r="T295" s="55" t="s">
        <v>935</v>
      </c>
    </row>
    <row r="296" spans="1:20" ht="13" x14ac:dyDescent="0.15">
      <c r="A296" s="72" t="str">
        <f t="shared" si="4"/>
        <v>Ofsted Social Care Provider Webpage</v>
      </c>
      <c r="B296" s="55">
        <v>1250521</v>
      </c>
      <c r="D296" s="55" t="s">
        <v>373</v>
      </c>
      <c r="E296" s="74">
        <v>42864</v>
      </c>
      <c r="F296" s="55" t="s">
        <v>344</v>
      </c>
      <c r="G296" s="55" t="s">
        <v>360</v>
      </c>
      <c r="H296" s="55" t="s">
        <v>360</v>
      </c>
      <c r="I296" s="55" t="s">
        <v>360</v>
      </c>
      <c r="J296" s="55" t="s">
        <v>360</v>
      </c>
      <c r="K296" s="55" t="s">
        <v>360</v>
      </c>
      <c r="L296" s="55" t="s">
        <v>360</v>
      </c>
      <c r="M296" s="55" t="s">
        <v>150</v>
      </c>
      <c r="N296" s="55" t="s">
        <v>150</v>
      </c>
      <c r="O296" s="55" t="s">
        <v>203</v>
      </c>
      <c r="P296" s="55" t="s">
        <v>800</v>
      </c>
      <c r="Q296" s="55" t="s">
        <v>350</v>
      </c>
      <c r="R296" s="55">
        <v>4</v>
      </c>
      <c r="S296" s="55"/>
      <c r="T296" s="55" t="s">
        <v>483</v>
      </c>
    </row>
    <row r="297" spans="1:20" ht="13" x14ac:dyDescent="0.15">
      <c r="A297" s="72" t="str">
        <f t="shared" si="4"/>
        <v>Ofsted Social Care Provider Webpage</v>
      </c>
      <c r="B297" s="55">
        <v>1250902</v>
      </c>
      <c r="D297" s="55" t="s">
        <v>373</v>
      </c>
      <c r="E297" s="74">
        <v>42775</v>
      </c>
      <c r="F297" s="55" t="s">
        <v>344</v>
      </c>
      <c r="G297" s="55" t="s">
        <v>360</v>
      </c>
      <c r="H297" s="55" t="s">
        <v>360</v>
      </c>
      <c r="I297" s="55" t="s">
        <v>360</v>
      </c>
      <c r="J297" s="55" t="s">
        <v>360</v>
      </c>
      <c r="K297" s="55" t="s">
        <v>360</v>
      </c>
      <c r="L297" s="55" t="s">
        <v>360</v>
      </c>
      <c r="M297" s="55" t="s">
        <v>150</v>
      </c>
      <c r="N297" s="55" t="s">
        <v>150</v>
      </c>
      <c r="O297" s="55" t="s">
        <v>190</v>
      </c>
      <c r="P297" s="55" t="s">
        <v>936</v>
      </c>
      <c r="Q297" s="55" t="s">
        <v>350</v>
      </c>
      <c r="R297" s="55">
        <v>4</v>
      </c>
      <c r="S297" s="55"/>
      <c r="T297" s="55" t="s">
        <v>755</v>
      </c>
    </row>
    <row r="298" spans="1:20" ht="13" x14ac:dyDescent="0.15">
      <c r="A298" s="72" t="str">
        <f t="shared" si="4"/>
        <v>Ofsted Social Care Provider Webpage</v>
      </c>
      <c r="B298" s="55">
        <v>1250915</v>
      </c>
      <c r="D298" s="55" t="s">
        <v>373</v>
      </c>
      <c r="E298" s="74">
        <v>42810</v>
      </c>
      <c r="F298" s="55" t="s">
        <v>344</v>
      </c>
      <c r="G298" s="55" t="s">
        <v>360</v>
      </c>
      <c r="H298" s="55" t="s">
        <v>360</v>
      </c>
      <c r="I298" s="55" t="s">
        <v>360</v>
      </c>
      <c r="J298" s="55" t="s">
        <v>360</v>
      </c>
      <c r="K298" s="55" t="s">
        <v>360</v>
      </c>
      <c r="L298" s="55" t="s">
        <v>360</v>
      </c>
      <c r="M298" s="55" t="s">
        <v>144</v>
      </c>
      <c r="N298" s="55" t="s">
        <v>144</v>
      </c>
      <c r="O298" s="55" t="s">
        <v>245</v>
      </c>
      <c r="P298" s="55" t="s">
        <v>245</v>
      </c>
      <c r="Q298" s="55" t="s">
        <v>350</v>
      </c>
      <c r="R298" s="55">
        <v>3</v>
      </c>
      <c r="S298" s="55"/>
      <c r="T298" s="55" t="s">
        <v>613</v>
      </c>
    </row>
    <row r="299" spans="1:20" ht="13" x14ac:dyDescent="0.15">
      <c r="A299" s="72" t="str">
        <f t="shared" si="4"/>
        <v>Ofsted Social Care Provider Webpage</v>
      </c>
      <c r="B299" s="55">
        <v>1250931</v>
      </c>
      <c r="D299" s="55" t="s">
        <v>373</v>
      </c>
      <c r="E299" s="74">
        <v>42788</v>
      </c>
      <c r="F299" s="55" t="s">
        <v>344</v>
      </c>
      <c r="G299" s="55" t="s">
        <v>360</v>
      </c>
      <c r="H299" s="55" t="s">
        <v>360</v>
      </c>
      <c r="I299" s="55" t="s">
        <v>360</v>
      </c>
      <c r="J299" s="55" t="s">
        <v>360</v>
      </c>
      <c r="K299" s="55" t="s">
        <v>360</v>
      </c>
      <c r="L299" s="55" t="s">
        <v>360</v>
      </c>
      <c r="M299" s="55" t="s">
        <v>150</v>
      </c>
      <c r="N299" s="55" t="s">
        <v>150</v>
      </c>
      <c r="O299" s="55" t="s">
        <v>181</v>
      </c>
      <c r="P299" s="55" t="s">
        <v>937</v>
      </c>
      <c r="Q299" s="55" t="s">
        <v>350</v>
      </c>
      <c r="R299" s="55">
        <v>6</v>
      </c>
      <c r="S299" s="55"/>
      <c r="T299" s="55" t="s">
        <v>574</v>
      </c>
    </row>
    <row r="300" spans="1:20" ht="13" x14ac:dyDescent="0.15">
      <c r="A300" s="72" t="str">
        <f t="shared" si="4"/>
        <v>Ofsted Social Care Provider Webpage</v>
      </c>
      <c r="B300" s="55">
        <v>1251073</v>
      </c>
      <c r="D300" s="55" t="s">
        <v>373</v>
      </c>
      <c r="E300" s="74">
        <v>42790</v>
      </c>
      <c r="F300" s="55" t="s">
        <v>344</v>
      </c>
      <c r="G300" s="55" t="s">
        <v>360</v>
      </c>
      <c r="H300" s="55" t="s">
        <v>360</v>
      </c>
      <c r="I300" s="55" t="s">
        <v>360</v>
      </c>
      <c r="J300" s="55" t="s">
        <v>360</v>
      </c>
      <c r="K300" s="55" t="s">
        <v>360</v>
      </c>
      <c r="L300" s="55" t="s">
        <v>360</v>
      </c>
      <c r="M300" s="55" t="s">
        <v>144</v>
      </c>
      <c r="N300" s="55" t="s">
        <v>144</v>
      </c>
      <c r="O300" s="55" t="s">
        <v>217</v>
      </c>
      <c r="P300" s="55" t="s">
        <v>903</v>
      </c>
      <c r="Q300" s="55" t="s">
        <v>380</v>
      </c>
      <c r="R300" s="55">
        <v>5</v>
      </c>
      <c r="S300" s="55"/>
      <c r="T300" s="55" t="s">
        <v>938</v>
      </c>
    </row>
    <row r="301" spans="1:20" ht="13" x14ac:dyDescent="0.15">
      <c r="A301" s="72" t="str">
        <f t="shared" si="4"/>
        <v>Ofsted Social Care Provider Webpage</v>
      </c>
      <c r="B301" s="55">
        <v>1251076</v>
      </c>
      <c r="D301" s="55" t="s">
        <v>373</v>
      </c>
      <c r="E301" s="74">
        <v>42747</v>
      </c>
      <c r="F301" s="55" t="s">
        <v>344</v>
      </c>
      <c r="G301" s="55" t="s">
        <v>360</v>
      </c>
      <c r="H301" s="55" t="s">
        <v>360</v>
      </c>
      <c r="I301" s="55" t="s">
        <v>360</v>
      </c>
      <c r="J301" s="55" t="s">
        <v>360</v>
      </c>
      <c r="K301" s="55" t="s">
        <v>360</v>
      </c>
      <c r="L301" s="55" t="s">
        <v>360</v>
      </c>
      <c r="M301" s="55" t="s">
        <v>172</v>
      </c>
      <c r="N301" s="55" t="s">
        <v>172</v>
      </c>
      <c r="O301" s="55" t="s">
        <v>212</v>
      </c>
      <c r="P301" s="55" t="s">
        <v>547</v>
      </c>
      <c r="Q301" s="55" t="s">
        <v>350</v>
      </c>
      <c r="R301" s="55">
        <v>4</v>
      </c>
      <c r="S301" s="55"/>
      <c r="T301" s="55" t="s">
        <v>489</v>
      </c>
    </row>
    <row r="302" spans="1:20" ht="13" x14ac:dyDescent="0.15">
      <c r="A302" s="72" t="str">
        <f t="shared" si="4"/>
        <v>Ofsted Social Care Provider Webpage</v>
      </c>
      <c r="B302" s="55">
        <v>1251364</v>
      </c>
      <c r="D302" s="55" t="s">
        <v>373</v>
      </c>
      <c r="E302" s="74">
        <v>42881</v>
      </c>
      <c r="F302" s="55" t="s">
        <v>344</v>
      </c>
      <c r="G302" s="55" t="s">
        <v>360</v>
      </c>
      <c r="H302" s="55" t="s">
        <v>360</v>
      </c>
      <c r="I302" s="55" t="s">
        <v>360</v>
      </c>
      <c r="J302" s="55" t="s">
        <v>360</v>
      </c>
      <c r="K302" s="55" t="s">
        <v>360</v>
      </c>
      <c r="L302" s="55" t="s">
        <v>360</v>
      </c>
      <c r="M302" s="55" t="s">
        <v>129</v>
      </c>
      <c r="N302" s="55" t="s">
        <v>129</v>
      </c>
      <c r="O302" s="55" t="s">
        <v>160</v>
      </c>
      <c r="P302" s="55" t="s">
        <v>447</v>
      </c>
      <c r="Q302" s="55" t="s">
        <v>350</v>
      </c>
      <c r="R302" s="55">
        <v>6</v>
      </c>
      <c r="S302" s="55"/>
      <c r="T302" s="55" t="s">
        <v>939</v>
      </c>
    </row>
    <row r="303" spans="1:20" ht="13" x14ac:dyDescent="0.15">
      <c r="A303" s="72" t="str">
        <f t="shared" si="4"/>
        <v>Ofsted Social Care Provider Webpage</v>
      </c>
      <c r="B303" s="55">
        <v>1251708</v>
      </c>
      <c r="C303" s="55">
        <v>130690</v>
      </c>
      <c r="D303" s="55" t="s">
        <v>693</v>
      </c>
      <c r="E303" s="74">
        <v>42713</v>
      </c>
      <c r="F303" s="55" t="s">
        <v>344</v>
      </c>
      <c r="G303" s="55" t="s">
        <v>940</v>
      </c>
      <c r="H303" s="55" t="s">
        <v>941</v>
      </c>
      <c r="I303" s="55" t="s">
        <v>354</v>
      </c>
      <c r="J303" s="55" t="s">
        <v>942</v>
      </c>
      <c r="K303" s="55" t="s">
        <v>190</v>
      </c>
      <c r="L303" s="55" t="s">
        <v>943</v>
      </c>
      <c r="M303" s="55" t="s">
        <v>150</v>
      </c>
      <c r="N303" s="55" t="s">
        <v>150</v>
      </c>
      <c r="O303" s="55" t="s">
        <v>190</v>
      </c>
      <c r="P303" s="55" t="s">
        <v>749</v>
      </c>
      <c r="Q303" s="55" t="s">
        <v>350</v>
      </c>
      <c r="R303" s="55">
        <v>54</v>
      </c>
      <c r="S303" s="55"/>
      <c r="T303" s="55" t="s">
        <v>940</v>
      </c>
    </row>
    <row r="304" spans="1:20" ht="13" x14ac:dyDescent="0.15">
      <c r="A304" s="72" t="str">
        <f t="shared" si="4"/>
        <v>Ofsted Social Care Provider Webpage</v>
      </c>
      <c r="B304" s="55">
        <v>1251774</v>
      </c>
      <c r="C304" s="55">
        <v>130776</v>
      </c>
      <c r="D304" s="55" t="s">
        <v>693</v>
      </c>
      <c r="E304" s="74">
        <v>42738</v>
      </c>
      <c r="F304" s="55" t="s">
        <v>344</v>
      </c>
      <c r="G304" s="55" t="s">
        <v>944</v>
      </c>
      <c r="H304" s="55" t="s">
        <v>945</v>
      </c>
      <c r="I304" s="55" t="s">
        <v>354</v>
      </c>
      <c r="J304" s="55" t="s">
        <v>946</v>
      </c>
      <c r="L304" s="55" t="s">
        <v>947</v>
      </c>
      <c r="M304" s="55" t="s">
        <v>172</v>
      </c>
      <c r="N304" s="55" t="s">
        <v>172</v>
      </c>
      <c r="O304" s="55" t="s">
        <v>235</v>
      </c>
      <c r="P304" s="55" t="s">
        <v>948</v>
      </c>
      <c r="Q304" s="55" t="s">
        <v>350</v>
      </c>
      <c r="R304" s="55">
        <v>102</v>
      </c>
      <c r="S304" s="55"/>
      <c r="T304" s="55" t="s">
        <v>944</v>
      </c>
    </row>
    <row r="305" spans="1:20" ht="13" x14ac:dyDescent="0.15">
      <c r="A305" s="72" t="str">
        <f t="shared" si="4"/>
        <v>Ofsted Social Care Provider Webpage</v>
      </c>
      <c r="B305" s="55">
        <v>1251947</v>
      </c>
      <c r="D305" s="55" t="s">
        <v>373</v>
      </c>
      <c r="E305" s="74">
        <v>42835</v>
      </c>
      <c r="F305" s="55" t="s">
        <v>344</v>
      </c>
      <c r="G305" s="55" t="s">
        <v>360</v>
      </c>
      <c r="H305" s="55" t="s">
        <v>360</v>
      </c>
      <c r="I305" s="55" t="s">
        <v>360</v>
      </c>
      <c r="J305" s="55" t="s">
        <v>360</v>
      </c>
      <c r="K305" s="55" t="s">
        <v>360</v>
      </c>
      <c r="L305" s="55" t="s">
        <v>360</v>
      </c>
      <c r="M305" s="55" t="s">
        <v>142</v>
      </c>
      <c r="N305" s="55" t="s">
        <v>142</v>
      </c>
      <c r="O305" s="55" t="s">
        <v>262</v>
      </c>
      <c r="P305" s="55" t="s">
        <v>949</v>
      </c>
      <c r="Q305" s="55" t="s">
        <v>350</v>
      </c>
      <c r="R305" s="55">
        <v>4</v>
      </c>
      <c r="S305" s="55"/>
      <c r="T305" s="55" t="s">
        <v>865</v>
      </c>
    </row>
    <row r="306" spans="1:20" ht="13" x14ac:dyDescent="0.15">
      <c r="A306" s="72" t="str">
        <f t="shared" si="4"/>
        <v>Ofsted Social Care Provider Webpage</v>
      </c>
      <c r="B306" s="55">
        <v>1252023</v>
      </c>
      <c r="D306" s="55" t="s">
        <v>373</v>
      </c>
      <c r="E306" s="74">
        <v>42893</v>
      </c>
      <c r="F306" s="55" t="s">
        <v>344</v>
      </c>
      <c r="G306" s="55" t="s">
        <v>360</v>
      </c>
      <c r="H306" s="55" t="s">
        <v>360</v>
      </c>
      <c r="I306" s="55" t="s">
        <v>360</v>
      </c>
      <c r="J306" s="55" t="s">
        <v>360</v>
      </c>
      <c r="K306" s="55" t="s">
        <v>360</v>
      </c>
      <c r="L306" s="55" t="s">
        <v>360</v>
      </c>
      <c r="M306" s="55" t="s">
        <v>172</v>
      </c>
      <c r="N306" s="55" t="s">
        <v>172</v>
      </c>
      <c r="O306" s="55" t="s">
        <v>212</v>
      </c>
      <c r="P306" s="55" t="s">
        <v>547</v>
      </c>
      <c r="Q306" s="55" t="s">
        <v>350</v>
      </c>
      <c r="R306" s="55">
        <v>3</v>
      </c>
      <c r="S306" s="55"/>
      <c r="T306" s="55" t="s">
        <v>950</v>
      </c>
    </row>
    <row r="307" spans="1:20" ht="13" x14ac:dyDescent="0.15">
      <c r="A307" s="72" t="str">
        <f t="shared" si="4"/>
        <v>Ofsted Social Care Provider Webpage</v>
      </c>
      <c r="B307" s="55">
        <v>1252095</v>
      </c>
      <c r="D307" s="55" t="s">
        <v>373</v>
      </c>
      <c r="E307" s="74">
        <v>42794</v>
      </c>
      <c r="F307" s="55" t="s">
        <v>344</v>
      </c>
      <c r="G307" s="55" t="s">
        <v>360</v>
      </c>
      <c r="H307" s="55" t="s">
        <v>360</v>
      </c>
      <c r="I307" s="55" t="s">
        <v>360</v>
      </c>
      <c r="J307" s="55" t="s">
        <v>360</v>
      </c>
      <c r="K307" s="55" t="s">
        <v>360</v>
      </c>
      <c r="L307" s="55" t="s">
        <v>360</v>
      </c>
      <c r="M307" s="55" t="s">
        <v>378</v>
      </c>
      <c r="N307" s="55" t="s">
        <v>134</v>
      </c>
      <c r="O307" s="55" t="s">
        <v>158</v>
      </c>
      <c r="P307" s="55" t="s">
        <v>480</v>
      </c>
      <c r="Q307" s="55" t="s">
        <v>350</v>
      </c>
      <c r="R307" s="55">
        <v>2</v>
      </c>
      <c r="S307" s="55"/>
      <c r="T307" s="55" t="s">
        <v>951</v>
      </c>
    </row>
    <row r="308" spans="1:20" ht="13" x14ac:dyDescent="0.15">
      <c r="A308" s="72" t="str">
        <f t="shared" si="4"/>
        <v>Ofsted Social Care Provider Webpage</v>
      </c>
      <c r="B308" s="55">
        <v>1252120</v>
      </c>
      <c r="D308" s="55" t="s">
        <v>373</v>
      </c>
      <c r="E308" s="74">
        <v>42874</v>
      </c>
      <c r="F308" s="55" t="s">
        <v>344</v>
      </c>
      <c r="G308" s="55" t="s">
        <v>360</v>
      </c>
      <c r="H308" s="55" t="s">
        <v>360</v>
      </c>
      <c r="I308" s="55" t="s">
        <v>360</v>
      </c>
      <c r="J308" s="55" t="s">
        <v>360</v>
      </c>
      <c r="K308" s="55" t="s">
        <v>360</v>
      </c>
      <c r="L308" s="55" t="s">
        <v>360</v>
      </c>
      <c r="M308" s="55" t="s">
        <v>378</v>
      </c>
      <c r="N308" s="55" t="s">
        <v>170</v>
      </c>
      <c r="O308" s="55" t="s">
        <v>178</v>
      </c>
      <c r="P308" s="55" t="s">
        <v>952</v>
      </c>
      <c r="Q308" s="55" t="s">
        <v>350</v>
      </c>
      <c r="R308" s="55">
        <v>6</v>
      </c>
      <c r="S308" s="55"/>
      <c r="T308" s="55" t="s">
        <v>953</v>
      </c>
    </row>
    <row r="309" spans="1:20" ht="13" x14ac:dyDescent="0.15">
      <c r="A309" s="72" t="str">
        <f t="shared" si="4"/>
        <v>Ofsted Social Care Provider Webpage</v>
      </c>
      <c r="B309" s="55">
        <v>1252937</v>
      </c>
      <c r="D309" s="55" t="s">
        <v>373</v>
      </c>
      <c r="E309" s="74">
        <v>42796</v>
      </c>
      <c r="F309" s="55" t="s">
        <v>344</v>
      </c>
      <c r="G309" s="55" t="s">
        <v>360</v>
      </c>
      <c r="H309" s="55" t="s">
        <v>360</v>
      </c>
      <c r="I309" s="55" t="s">
        <v>360</v>
      </c>
      <c r="J309" s="55" t="s">
        <v>360</v>
      </c>
      <c r="K309" s="55" t="s">
        <v>360</v>
      </c>
      <c r="L309" s="55" t="s">
        <v>360</v>
      </c>
      <c r="M309" s="55" t="s">
        <v>150</v>
      </c>
      <c r="N309" s="55" t="s">
        <v>150</v>
      </c>
      <c r="O309" s="55" t="s">
        <v>285</v>
      </c>
      <c r="P309" s="55" t="s">
        <v>565</v>
      </c>
      <c r="Q309" s="55" t="s">
        <v>350</v>
      </c>
      <c r="R309" s="55">
        <v>4</v>
      </c>
      <c r="S309" s="55"/>
      <c r="T309" s="55" t="s">
        <v>574</v>
      </c>
    </row>
    <row r="310" spans="1:20" ht="13" x14ac:dyDescent="0.15">
      <c r="A310" s="72" t="str">
        <f t="shared" si="4"/>
        <v>Ofsted Social Care Provider Webpage</v>
      </c>
      <c r="B310" s="55">
        <v>1253008</v>
      </c>
      <c r="D310" s="55" t="s">
        <v>373</v>
      </c>
      <c r="E310" s="74">
        <v>42894</v>
      </c>
      <c r="F310" s="55" t="s">
        <v>344</v>
      </c>
      <c r="G310" s="55" t="s">
        <v>360</v>
      </c>
      <c r="H310" s="55" t="s">
        <v>360</v>
      </c>
      <c r="I310" s="55" t="s">
        <v>360</v>
      </c>
      <c r="J310" s="55" t="s">
        <v>360</v>
      </c>
      <c r="K310" s="55" t="s">
        <v>360</v>
      </c>
      <c r="L310" s="55" t="s">
        <v>360</v>
      </c>
      <c r="M310" s="55" t="s">
        <v>378</v>
      </c>
      <c r="N310" s="55" t="s">
        <v>134</v>
      </c>
      <c r="O310" s="55" t="s">
        <v>175</v>
      </c>
      <c r="P310" s="55" t="s">
        <v>678</v>
      </c>
      <c r="Q310" s="55" t="s">
        <v>350</v>
      </c>
      <c r="R310" s="55">
        <v>2</v>
      </c>
      <c r="S310" s="55"/>
      <c r="T310" s="55" t="s">
        <v>517</v>
      </c>
    </row>
    <row r="311" spans="1:20" ht="13" x14ac:dyDescent="0.15">
      <c r="A311" s="72" t="str">
        <f t="shared" si="4"/>
        <v>Ofsted Social Care Provider Webpage</v>
      </c>
      <c r="B311" s="55">
        <v>1253501</v>
      </c>
      <c r="D311" s="55" t="s">
        <v>373</v>
      </c>
      <c r="E311" s="74">
        <v>42765</v>
      </c>
      <c r="F311" s="55" t="s">
        <v>344</v>
      </c>
      <c r="G311" s="55" t="s">
        <v>360</v>
      </c>
      <c r="H311" s="55" t="s">
        <v>360</v>
      </c>
      <c r="I311" s="55" t="s">
        <v>360</v>
      </c>
      <c r="J311" s="55" t="s">
        <v>360</v>
      </c>
      <c r="K311" s="55" t="s">
        <v>360</v>
      </c>
      <c r="L311" s="55" t="s">
        <v>360</v>
      </c>
      <c r="M311" s="55" t="s">
        <v>172</v>
      </c>
      <c r="N311" s="55" t="s">
        <v>172</v>
      </c>
      <c r="O311" s="55" t="s">
        <v>212</v>
      </c>
      <c r="P311" s="55" t="s">
        <v>547</v>
      </c>
      <c r="Q311" s="55" t="s">
        <v>350</v>
      </c>
      <c r="R311" s="55">
        <v>3</v>
      </c>
      <c r="S311" s="55"/>
      <c r="T311" s="55" t="s">
        <v>489</v>
      </c>
    </row>
    <row r="312" spans="1:20" ht="13" x14ac:dyDescent="0.15">
      <c r="A312" s="72" t="str">
        <f t="shared" si="4"/>
        <v>Ofsted Social Care Provider Webpage</v>
      </c>
      <c r="B312" s="55">
        <v>1253623</v>
      </c>
      <c r="D312" s="55" t="s">
        <v>373</v>
      </c>
      <c r="E312" s="74">
        <v>42923</v>
      </c>
      <c r="F312" s="55" t="s">
        <v>344</v>
      </c>
      <c r="G312" s="55" t="s">
        <v>360</v>
      </c>
      <c r="H312" s="55" t="s">
        <v>360</v>
      </c>
      <c r="I312" s="55" t="s">
        <v>360</v>
      </c>
      <c r="J312" s="55" t="s">
        <v>360</v>
      </c>
      <c r="K312" s="55" t="s">
        <v>360</v>
      </c>
      <c r="L312" s="55" t="s">
        <v>360</v>
      </c>
      <c r="M312" s="55" t="s">
        <v>142</v>
      </c>
      <c r="N312" s="55" t="s">
        <v>142</v>
      </c>
      <c r="O312" s="55" t="s">
        <v>141</v>
      </c>
      <c r="P312" s="55" t="s">
        <v>795</v>
      </c>
      <c r="Q312" s="55" t="s">
        <v>350</v>
      </c>
      <c r="R312" s="55">
        <v>2</v>
      </c>
      <c r="S312" s="55"/>
      <c r="T312" s="55" t="s">
        <v>954</v>
      </c>
    </row>
    <row r="313" spans="1:20" ht="13" x14ac:dyDescent="0.15">
      <c r="A313" s="72" t="str">
        <f t="shared" si="4"/>
        <v>Ofsted Social Care Provider Webpage</v>
      </c>
      <c r="B313" s="55">
        <v>1253711</v>
      </c>
      <c r="D313" s="55" t="s">
        <v>373</v>
      </c>
      <c r="E313" s="74">
        <v>42926</v>
      </c>
      <c r="F313" s="55" t="s">
        <v>344</v>
      </c>
      <c r="G313" s="55" t="s">
        <v>360</v>
      </c>
      <c r="H313" s="55" t="s">
        <v>360</v>
      </c>
      <c r="I313" s="55" t="s">
        <v>360</v>
      </c>
      <c r="J313" s="55" t="s">
        <v>360</v>
      </c>
      <c r="K313" s="55" t="s">
        <v>360</v>
      </c>
      <c r="L313" s="55" t="s">
        <v>360</v>
      </c>
      <c r="M313" s="55" t="s">
        <v>142</v>
      </c>
      <c r="N313" s="55" t="s">
        <v>142</v>
      </c>
      <c r="O313" s="55" t="s">
        <v>141</v>
      </c>
      <c r="P313" s="55" t="s">
        <v>660</v>
      </c>
      <c r="Q313" s="55" t="s">
        <v>350</v>
      </c>
      <c r="R313" s="55">
        <v>3</v>
      </c>
      <c r="S313" s="55"/>
      <c r="T313" s="55" t="s">
        <v>642</v>
      </c>
    </row>
    <row r="314" spans="1:20" ht="13" x14ac:dyDescent="0.15">
      <c r="A314" s="72" t="str">
        <f t="shared" si="4"/>
        <v>Ofsted Social Care Provider Webpage</v>
      </c>
      <c r="B314" s="55">
        <v>1253716</v>
      </c>
      <c r="D314" s="55" t="s">
        <v>373</v>
      </c>
      <c r="E314" s="74">
        <v>42788</v>
      </c>
      <c r="F314" s="55" t="s">
        <v>344</v>
      </c>
      <c r="G314" s="55" t="s">
        <v>360</v>
      </c>
      <c r="H314" s="55" t="s">
        <v>360</v>
      </c>
      <c r="I314" s="55" t="s">
        <v>360</v>
      </c>
      <c r="J314" s="55" t="s">
        <v>360</v>
      </c>
      <c r="K314" s="55" t="s">
        <v>360</v>
      </c>
      <c r="L314" s="55" t="s">
        <v>360</v>
      </c>
      <c r="M314" s="55" t="s">
        <v>150</v>
      </c>
      <c r="N314" s="55" t="s">
        <v>150</v>
      </c>
      <c r="O314" s="55" t="s">
        <v>285</v>
      </c>
      <c r="P314" s="55" t="s">
        <v>575</v>
      </c>
      <c r="Q314" s="55" t="s">
        <v>350</v>
      </c>
      <c r="R314" s="55">
        <v>4</v>
      </c>
      <c r="S314" s="55"/>
      <c r="T314" s="55" t="s">
        <v>574</v>
      </c>
    </row>
    <row r="315" spans="1:20" ht="13" x14ac:dyDescent="0.15">
      <c r="A315" s="72" t="str">
        <f t="shared" si="4"/>
        <v>Ofsted Social Care Provider Webpage</v>
      </c>
      <c r="B315" s="55">
        <v>1253975</v>
      </c>
      <c r="D315" s="55" t="s">
        <v>373</v>
      </c>
      <c r="E315" s="74">
        <v>42912</v>
      </c>
      <c r="F315" s="55" t="s">
        <v>344</v>
      </c>
      <c r="G315" s="55" t="s">
        <v>360</v>
      </c>
      <c r="H315" s="55" t="s">
        <v>360</v>
      </c>
      <c r="I315" s="55" t="s">
        <v>360</v>
      </c>
      <c r="J315" s="55" t="s">
        <v>360</v>
      </c>
      <c r="K315" s="55" t="s">
        <v>360</v>
      </c>
      <c r="L315" s="55" t="s">
        <v>360</v>
      </c>
      <c r="M315" s="55" t="s">
        <v>144</v>
      </c>
      <c r="N315" s="55" t="s">
        <v>144</v>
      </c>
      <c r="O315" s="55" t="s">
        <v>209</v>
      </c>
      <c r="P315" s="55" t="s">
        <v>484</v>
      </c>
      <c r="Q315" s="55" t="s">
        <v>350</v>
      </c>
      <c r="R315" s="55">
        <v>2</v>
      </c>
      <c r="S315" s="55"/>
      <c r="T315" s="55" t="s">
        <v>955</v>
      </c>
    </row>
    <row r="316" spans="1:20" ht="13" x14ac:dyDescent="0.15">
      <c r="A316" s="72" t="str">
        <f t="shared" si="4"/>
        <v>Ofsted Social Care Provider Webpage</v>
      </c>
      <c r="B316" s="55">
        <v>1254055</v>
      </c>
      <c r="D316" s="55" t="s">
        <v>373</v>
      </c>
      <c r="E316" s="74">
        <v>42968</v>
      </c>
      <c r="F316" s="55" t="s">
        <v>344</v>
      </c>
      <c r="G316" s="55" t="s">
        <v>360</v>
      </c>
      <c r="H316" s="55" t="s">
        <v>360</v>
      </c>
      <c r="I316" s="55" t="s">
        <v>360</v>
      </c>
      <c r="J316" s="55" t="s">
        <v>360</v>
      </c>
      <c r="K316" s="55" t="s">
        <v>360</v>
      </c>
      <c r="L316" s="55" t="s">
        <v>360</v>
      </c>
      <c r="M316" s="55" t="s">
        <v>144</v>
      </c>
      <c r="N316" s="55" t="s">
        <v>144</v>
      </c>
      <c r="O316" s="55" t="s">
        <v>145</v>
      </c>
      <c r="P316" s="55" t="s">
        <v>525</v>
      </c>
      <c r="Q316" s="55" t="s">
        <v>350</v>
      </c>
      <c r="R316" s="55">
        <v>4</v>
      </c>
      <c r="S316" s="55"/>
      <c r="T316" s="55" t="s">
        <v>485</v>
      </c>
    </row>
    <row r="317" spans="1:20" ht="13" x14ac:dyDescent="0.15">
      <c r="A317" s="72" t="str">
        <f t="shared" si="4"/>
        <v>Ofsted Social Care Provider Webpage</v>
      </c>
      <c r="B317" s="55">
        <v>1254088</v>
      </c>
      <c r="D317" s="55" t="s">
        <v>389</v>
      </c>
      <c r="E317" s="74">
        <v>43056</v>
      </c>
      <c r="F317" s="55" t="s">
        <v>344</v>
      </c>
      <c r="G317" s="55" t="s">
        <v>956</v>
      </c>
      <c r="H317" s="55" t="s">
        <v>957</v>
      </c>
      <c r="I317" s="55" t="s">
        <v>958</v>
      </c>
      <c r="J317" s="55" t="s">
        <v>612</v>
      </c>
      <c r="L317" s="55" t="s">
        <v>959</v>
      </c>
      <c r="M317" s="55" t="s">
        <v>142</v>
      </c>
      <c r="N317" s="55" t="s">
        <v>142</v>
      </c>
      <c r="O317" s="55" t="s">
        <v>278</v>
      </c>
      <c r="P317" s="55" t="s">
        <v>611</v>
      </c>
      <c r="Q317" s="55" t="s">
        <v>350</v>
      </c>
      <c r="R317" s="55"/>
      <c r="S317" s="55"/>
      <c r="T317" s="55" t="s">
        <v>960</v>
      </c>
    </row>
    <row r="318" spans="1:20" ht="13" x14ac:dyDescent="0.15">
      <c r="A318" s="72" t="str">
        <f t="shared" si="4"/>
        <v>Ofsted Social Care Provider Webpage</v>
      </c>
      <c r="B318" s="55">
        <v>1254258</v>
      </c>
      <c r="D318" s="55" t="s">
        <v>373</v>
      </c>
      <c r="E318" s="74">
        <v>42871</v>
      </c>
      <c r="F318" s="55" t="s">
        <v>344</v>
      </c>
      <c r="G318" s="55" t="s">
        <v>360</v>
      </c>
      <c r="H318" s="55" t="s">
        <v>360</v>
      </c>
      <c r="I318" s="55" t="s">
        <v>360</v>
      </c>
      <c r="J318" s="55" t="s">
        <v>360</v>
      </c>
      <c r="K318" s="55" t="s">
        <v>360</v>
      </c>
      <c r="L318" s="55" t="s">
        <v>360</v>
      </c>
      <c r="M318" s="55" t="s">
        <v>144</v>
      </c>
      <c r="N318" s="55" t="s">
        <v>144</v>
      </c>
      <c r="O318" s="55" t="s">
        <v>168</v>
      </c>
      <c r="P318" s="55" t="s">
        <v>834</v>
      </c>
      <c r="Q318" s="55" t="s">
        <v>350</v>
      </c>
      <c r="R318" s="55">
        <v>4</v>
      </c>
      <c r="S318" s="55"/>
      <c r="T318" s="55" t="s">
        <v>435</v>
      </c>
    </row>
    <row r="319" spans="1:20" ht="13" x14ac:dyDescent="0.15">
      <c r="A319" s="72" t="str">
        <f t="shared" si="4"/>
        <v>Ofsted Social Care Provider Webpage</v>
      </c>
      <c r="B319" s="55">
        <v>1254308</v>
      </c>
      <c r="D319" s="55" t="s">
        <v>373</v>
      </c>
      <c r="E319" s="74">
        <v>42879</v>
      </c>
      <c r="F319" s="55" t="s">
        <v>344</v>
      </c>
      <c r="G319" s="55" t="s">
        <v>360</v>
      </c>
      <c r="H319" s="55" t="s">
        <v>360</v>
      </c>
      <c r="I319" s="55" t="s">
        <v>360</v>
      </c>
      <c r="J319" s="55" t="s">
        <v>360</v>
      </c>
      <c r="K319" s="55" t="s">
        <v>360</v>
      </c>
      <c r="L319" s="55" t="s">
        <v>360</v>
      </c>
      <c r="M319" s="55" t="s">
        <v>172</v>
      </c>
      <c r="N319" s="55" t="s">
        <v>172</v>
      </c>
      <c r="O319" s="55" t="s">
        <v>173</v>
      </c>
      <c r="P319" s="55" t="s">
        <v>961</v>
      </c>
      <c r="Q319" s="55" t="s">
        <v>350</v>
      </c>
      <c r="R319" s="55">
        <v>5</v>
      </c>
      <c r="S319" s="55"/>
      <c r="T319" s="55" t="s">
        <v>962</v>
      </c>
    </row>
    <row r="320" spans="1:20" ht="13" x14ac:dyDescent="0.15">
      <c r="A320" s="72" t="str">
        <f t="shared" si="4"/>
        <v>Ofsted Social Care Provider Webpage</v>
      </c>
      <c r="B320" s="55">
        <v>1254316</v>
      </c>
      <c r="D320" s="55" t="s">
        <v>373</v>
      </c>
      <c r="E320" s="74">
        <v>42984</v>
      </c>
      <c r="F320" s="55" t="s">
        <v>344</v>
      </c>
      <c r="G320" s="55" t="s">
        <v>360</v>
      </c>
      <c r="H320" s="55" t="s">
        <v>360</v>
      </c>
      <c r="I320" s="55" t="s">
        <v>360</v>
      </c>
      <c r="J320" s="55" t="s">
        <v>360</v>
      </c>
      <c r="K320" s="55" t="s">
        <v>360</v>
      </c>
      <c r="L320" s="55" t="s">
        <v>360</v>
      </c>
      <c r="M320" s="55" t="s">
        <v>378</v>
      </c>
      <c r="N320" s="55" t="s">
        <v>134</v>
      </c>
      <c r="O320" s="55" t="s">
        <v>204</v>
      </c>
      <c r="P320" s="55" t="s">
        <v>929</v>
      </c>
      <c r="Q320" s="55" t="s">
        <v>350</v>
      </c>
      <c r="R320" s="55">
        <v>4</v>
      </c>
      <c r="S320" s="55"/>
      <c r="T320" s="55" t="s">
        <v>963</v>
      </c>
    </row>
    <row r="321" spans="1:20" ht="13" x14ac:dyDescent="0.15">
      <c r="A321" s="72" t="str">
        <f t="shared" si="4"/>
        <v>Ofsted Social Care Provider Webpage</v>
      </c>
      <c r="B321" s="55">
        <v>1254555</v>
      </c>
      <c r="D321" s="55" t="s">
        <v>373</v>
      </c>
      <c r="E321" s="74">
        <v>42835</v>
      </c>
      <c r="F321" s="55" t="s">
        <v>344</v>
      </c>
      <c r="G321" s="55" t="s">
        <v>360</v>
      </c>
      <c r="H321" s="55" t="s">
        <v>360</v>
      </c>
      <c r="I321" s="55" t="s">
        <v>360</v>
      </c>
      <c r="J321" s="55" t="s">
        <v>360</v>
      </c>
      <c r="K321" s="55" t="s">
        <v>360</v>
      </c>
      <c r="L321" s="55" t="s">
        <v>360</v>
      </c>
      <c r="M321" s="55" t="s">
        <v>144</v>
      </c>
      <c r="N321" s="55" t="s">
        <v>144</v>
      </c>
      <c r="O321" s="55" t="s">
        <v>209</v>
      </c>
      <c r="P321" s="55" t="s">
        <v>561</v>
      </c>
      <c r="Q321" s="55" t="s">
        <v>350</v>
      </c>
      <c r="R321" s="55">
        <v>2</v>
      </c>
      <c r="S321" s="55"/>
      <c r="T321" s="55" t="s">
        <v>490</v>
      </c>
    </row>
    <row r="322" spans="1:20" ht="13" x14ac:dyDescent="0.15">
      <c r="A322" s="72" t="str">
        <f t="shared" si="4"/>
        <v>Ofsted Social Care Provider Webpage</v>
      </c>
      <c r="B322" s="55">
        <v>1254740</v>
      </c>
      <c r="D322" s="55" t="s">
        <v>373</v>
      </c>
      <c r="E322" s="74">
        <v>42832</v>
      </c>
      <c r="F322" s="55" t="s">
        <v>344</v>
      </c>
      <c r="G322" s="55" t="s">
        <v>360</v>
      </c>
      <c r="H322" s="55" t="s">
        <v>360</v>
      </c>
      <c r="I322" s="55" t="s">
        <v>360</v>
      </c>
      <c r="J322" s="55" t="s">
        <v>360</v>
      </c>
      <c r="K322" s="55" t="s">
        <v>360</v>
      </c>
      <c r="L322" s="55" t="s">
        <v>360</v>
      </c>
      <c r="M322" s="55" t="s">
        <v>136</v>
      </c>
      <c r="N322" s="55" t="s">
        <v>136</v>
      </c>
      <c r="O322" s="55" t="s">
        <v>239</v>
      </c>
      <c r="P322" s="55" t="s">
        <v>964</v>
      </c>
      <c r="Q322" s="55" t="s">
        <v>350</v>
      </c>
      <c r="R322" s="55">
        <v>2</v>
      </c>
      <c r="S322" s="55"/>
      <c r="T322" s="55" t="s">
        <v>739</v>
      </c>
    </row>
    <row r="323" spans="1:20" ht="13" x14ac:dyDescent="0.15">
      <c r="A323" s="72" t="str">
        <f t="shared" si="4"/>
        <v>Ofsted Social Care Provider Webpage</v>
      </c>
      <c r="B323" s="55">
        <v>1254745</v>
      </c>
      <c r="D323" s="55" t="s">
        <v>373</v>
      </c>
      <c r="E323" s="74">
        <v>42879</v>
      </c>
      <c r="F323" s="55" t="s">
        <v>344</v>
      </c>
      <c r="G323" s="55" t="s">
        <v>360</v>
      </c>
      <c r="H323" s="55" t="s">
        <v>360</v>
      </c>
      <c r="I323" s="55" t="s">
        <v>360</v>
      </c>
      <c r="J323" s="55" t="s">
        <v>360</v>
      </c>
      <c r="K323" s="55" t="s">
        <v>360</v>
      </c>
      <c r="L323" s="55" t="s">
        <v>360</v>
      </c>
      <c r="M323" s="55" t="s">
        <v>172</v>
      </c>
      <c r="N323" s="55" t="s">
        <v>172</v>
      </c>
      <c r="O323" s="55" t="s">
        <v>234</v>
      </c>
      <c r="P323" s="55" t="s">
        <v>965</v>
      </c>
      <c r="Q323" s="55" t="s">
        <v>350</v>
      </c>
      <c r="R323" s="55">
        <v>5</v>
      </c>
      <c r="S323" s="55"/>
      <c r="T323" s="55" t="s">
        <v>962</v>
      </c>
    </row>
    <row r="324" spans="1:20" ht="13" x14ac:dyDescent="0.15">
      <c r="A324" s="72" t="str">
        <f t="shared" si="4"/>
        <v>Ofsted Social Care Provider Webpage</v>
      </c>
      <c r="B324" s="55">
        <v>1254782</v>
      </c>
      <c r="D324" s="55" t="s">
        <v>373</v>
      </c>
      <c r="E324" s="74">
        <v>42895</v>
      </c>
      <c r="F324" s="55" t="s">
        <v>344</v>
      </c>
      <c r="G324" s="55" t="s">
        <v>360</v>
      </c>
      <c r="H324" s="55" t="s">
        <v>360</v>
      </c>
      <c r="I324" s="55" t="s">
        <v>360</v>
      </c>
      <c r="J324" s="55" t="s">
        <v>360</v>
      </c>
      <c r="K324" s="55" t="s">
        <v>360</v>
      </c>
      <c r="L324" s="55" t="s">
        <v>360</v>
      </c>
      <c r="M324" s="55" t="s">
        <v>150</v>
      </c>
      <c r="N324" s="55" t="s">
        <v>150</v>
      </c>
      <c r="O324" s="55" t="s">
        <v>190</v>
      </c>
      <c r="P324" s="55" t="s">
        <v>966</v>
      </c>
      <c r="Q324" s="55" t="s">
        <v>380</v>
      </c>
      <c r="R324" s="55">
        <v>4</v>
      </c>
      <c r="S324" s="55"/>
      <c r="T324" s="55" t="s">
        <v>967</v>
      </c>
    </row>
    <row r="325" spans="1:20" ht="13" x14ac:dyDescent="0.15">
      <c r="A325" s="72" t="str">
        <f t="shared" ref="A325:A388" si="5">HYPERLINK(_xlfn.CONCAT("http://reports.ofsted.gov.uk/inspection-reports/find-inspection-report/provider/CARE/",B325),"Ofsted Social Care Provider Webpage")</f>
        <v>Ofsted Social Care Provider Webpage</v>
      </c>
      <c r="B325" s="55">
        <v>1254786</v>
      </c>
      <c r="D325" s="55" t="s">
        <v>389</v>
      </c>
      <c r="E325" s="74">
        <v>42825</v>
      </c>
      <c r="F325" s="55" t="s">
        <v>344</v>
      </c>
      <c r="G325" s="55" t="s">
        <v>968</v>
      </c>
      <c r="H325" s="55" t="s">
        <v>969</v>
      </c>
      <c r="I325" s="55" t="s">
        <v>970</v>
      </c>
      <c r="J325" s="55" t="s">
        <v>267</v>
      </c>
      <c r="L325" s="55" t="s">
        <v>971</v>
      </c>
      <c r="M325" s="55" t="s">
        <v>378</v>
      </c>
      <c r="N325" s="55" t="s">
        <v>170</v>
      </c>
      <c r="O325" s="55" t="s">
        <v>267</v>
      </c>
      <c r="P325" s="55" t="s">
        <v>972</v>
      </c>
      <c r="Q325" s="55" t="s">
        <v>362</v>
      </c>
      <c r="R325" s="55"/>
      <c r="S325" s="55"/>
      <c r="T325" s="55" t="s">
        <v>973</v>
      </c>
    </row>
    <row r="326" spans="1:20" ht="13" x14ac:dyDescent="0.15">
      <c r="A326" s="72" t="str">
        <f t="shared" si="5"/>
        <v>Ofsted Social Care Provider Webpage</v>
      </c>
      <c r="B326" s="55">
        <v>1254834</v>
      </c>
      <c r="D326" s="55" t="s">
        <v>468</v>
      </c>
      <c r="E326" s="74">
        <v>42825</v>
      </c>
      <c r="F326" s="55" t="s">
        <v>344</v>
      </c>
      <c r="G326" s="55" t="s">
        <v>974</v>
      </c>
      <c r="H326" s="55" t="s">
        <v>969</v>
      </c>
      <c r="I326" s="55" t="s">
        <v>970</v>
      </c>
      <c r="J326" s="55" t="s">
        <v>267</v>
      </c>
      <c r="L326" s="55" t="s">
        <v>971</v>
      </c>
      <c r="M326" s="55" t="s">
        <v>378</v>
      </c>
      <c r="N326" s="55" t="s">
        <v>170</v>
      </c>
      <c r="O326" s="55" t="s">
        <v>267</v>
      </c>
      <c r="P326" s="55" t="s">
        <v>972</v>
      </c>
      <c r="Q326" s="55" t="s">
        <v>362</v>
      </c>
      <c r="R326" s="55"/>
      <c r="S326" s="55"/>
      <c r="T326" s="55" t="s">
        <v>973</v>
      </c>
    </row>
    <row r="327" spans="1:20" ht="13" x14ac:dyDescent="0.15">
      <c r="A327" s="72" t="str">
        <f t="shared" si="5"/>
        <v>Ofsted Social Care Provider Webpage</v>
      </c>
      <c r="B327" s="55">
        <v>1254835</v>
      </c>
      <c r="D327" s="55" t="s">
        <v>373</v>
      </c>
      <c r="E327" s="74">
        <v>42825</v>
      </c>
      <c r="F327" s="55" t="s">
        <v>344</v>
      </c>
      <c r="G327" s="55" t="s">
        <v>360</v>
      </c>
      <c r="H327" s="55" t="s">
        <v>360</v>
      </c>
      <c r="I327" s="55" t="s">
        <v>360</v>
      </c>
      <c r="J327" s="55" t="s">
        <v>360</v>
      </c>
      <c r="K327" s="55" t="s">
        <v>360</v>
      </c>
      <c r="L327" s="55" t="s">
        <v>360</v>
      </c>
      <c r="M327" s="55" t="s">
        <v>378</v>
      </c>
      <c r="N327" s="55" t="s">
        <v>170</v>
      </c>
      <c r="O327" s="55" t="s">
        <v>267</v>
      </c>
      <c r="P327" s="55" t="s">
        <v>975</v>
      </c>
      <c r="Q327" s="55" t="s">
        <v>362</v>
      </c>
      <c r="R327" s="55">
        <v>6</v>
      </c>
      <c r="S327" s="55"/>
      <c r="T327" s="55" t="s">
        <v>973</v>
      </c>
    </row>
    <row r="328" spans="1:20" ht="13" x14ac:dyDescent="0.15">
      <c r="A328" s="72" t="str">
        <f t="shared" si="5"/>
        <v>Ofsted Social Care Provider Webpage</v>
      </c>
      <c r="B328" s="55">
        <v>1254837</v>
      </c>
      <c r="D328" s="55" t="s">
        <v>373</v>
      </c>
      <c r="E328" s="74">
        <v>42825</v>
      </c>
      <c r="F328" s="55" t="s">
        <v>344</v>
      </c>
      <c r="G328" s="55" t="s">
        <v>360</v>
      </c>
      <c r="H328" s="55" t="s">
        <v>360</v>
      </c>
      <c r="I328" s="55" t="s">
        <v>360</v>
      </c>
      <c r="J328" s="55" t="s">
        <v>360</v>
      </c>
      <c r="K328" s="55" t="s">
        <v>360</v>
      </c>
      <c r="L328" s="55" t="s">
        <v>360</v>
      </c>
      <c r="M328" s="55" t="s">
        <v>378</v>
      </c>
      <c r="N328" s="55" t="s">
        <v>170</v>
      </c>
      <c r="O328" s="55" t="s">
        <v>267</v>
      </c>
      <c r="P328" s="55" t="s">
        <v>972</v>
      </c>
      <c r="Q328" s="55" t="s">
        <v>362</v>
      </c>
      <c r="R328" s="55">
        <v>6</v>
      </c>
      <c r="S328" s="55"/>
      <c r="T328" s="55" t="s">
        <v>973</v>
      </c>
    </row>
    <row r="329" spans="1:20" ht="13" x14ac:dyDescent="0.15">
      <c r="A329" s="72" t="str">
        <f t="shared" si="5"/>
        <v>Ofsted Social Care Provider Webpage</v>
      </c>
      <c r="B329" s="55">
        <v>1254840</v>
      </c>
      <c r="D329" s="55" t="s">
        <v>373</v>
      </c>
      <c r="E329" s="74">
        <v>43105</v>
      </c>
      <c r="F329" s="55" t="s">
        <v>344</v>
      </c>
      <c r="G329" s="55" t="s">
        <v>360</v>
      </c>
      <c r="H329" s="55" t="s">
        <v>360</v>
      </c>
      <c r="I329" s="55" t="s">
        <v>360</v>
      </c>
      <c r="J329" s="55" t="s">
        <v>360</v>
      </c>
      <c r="K329" s="55" t="s">
        <v>360</v>
      </c>
      <c r="L329" s="55" t="s">
        <v>360</v>
      </c>
      <c r="M329" s="55" t="s">
        <v>142</v>
      </c>
      <c r="N329" s="55" t="s">
        <v>142</v>
      </c>
      <c r="O329" s="55" t="s">
        <v>292</v>
      </c>
      <c r="P329" s="55" t="s">
        <v>976</v>
      </c>
      <c r="Q329" s="55" t="s">
        <v>350</v>
      </c>
      <c r="R329" s="55">
        <v>3</v>
      </c>
      <c r="S329" s="55"/>
      <c r="T329" s="55" t="s">
        <v>574</v>
      </c>
    </row>
    <row r="330" spans="1:20" ht="13" x14ac:dyDescent="0.15">
      <c r="A330" s="72" t="str">
        <f t="shared" si="5"/>
        <v>Ofsted Social Care Provider Webpage</v>
      </c>
      <c r="B330" s="55">
        <v>1254841</v>
      </c>
      <c r="D330" s="55" t="s">
        <v>373</v>
      </c>
      <c r="E330" s="74">
        <v>42825</v>
      </c>
      <c r="F330" s="55" t="s">
        <v>344</v>
      </c>
      <c r="G330" s="55" t="s">
        <v>360</v>
      </c>
      <c r="H330" s="55" t="s">
        <v>360</v>
      </c>
      <c r="I330" s="55" t="s">
        <v>360</v>
      </c>
      <c r="J330" s="55" t="s">
        <v>360</v>
      </c>
      <c r="K330" s="55" t="s">
        <v>360</v>
      </c>
      <c r="L330" s="55" t="s">
        <v>360</v>
      </c>
      <c r="M330" s="55" t="s">
        <v>378</v>
      </c>
      <c r="N330" s="55" t="s">
        <v>170</v>
      </c>
      <c r="O330" s="55" t="s">
        <v>267</v>
      </c>
      <c r="P330" s="55" t="s">
        <v>975</v>
      </c>
      <c r="Q330" s="55" t="s">
        <v>362</v>
      </c>
      <c r="R330" s="55">
        <v>6</v>
      </c>
      <c r="S330" s="55"/>
      <c r="T330" s="55" t="s">
        <v>973</v>
      </c>
    </row>
    <row r="331" spans="1:20" ht="13" x14ac:dyDescent="0.15">
      <c r="A331" s="72" t="str">
        <f t="shared" si="5"/>
        <v>Ofsted Social Care Provider Webpage</v>
      </c>
      <c r="B331" s="55">
        <v>1254843</v>
      </c>
      <c r="D331" s="55" t="s">
        <v>373</v>
      </c>
      <c r="E331" s="74">
        <v>42825</v>
      </c>
      <c r="F331" s="55" t="s">
        <v>344</v>
      </c>
      <c r="G331" s="55" t="s">
        <v>360</v>
      </c>
      <c r="H331" s="55" t="s">
        <v>360</v>
      </c>
      <c r="I331" s="55" t="s">
        <v>360</v>
      </c>
      <c r="J331" s="55" t="s">
        <v>360</v>
      </c>
      <c r="K331" s="55" t="s">
        <v>360</v>
      </c>
      <c r="L331" s="55" t="s">
        <v>360</v>
      </c>
      <c r="M331" s="55" t="s">
        <v>378</v>
      </c>
      <c r="N331" s="55" t="s">
        <v>170</v>
      </c>
      <c r="O331" s="55" t="s">
        <v>267</v>
      </c>
      <c r="P331" s="55" t="s">
        <v>972</v>
      </c>
      <c r="Q331" s="55" t="s">
        <v>362</v>
      </c>
      <c r="R331" s="55">
        <v>6</v>
      </c>
      <c r="S331" s="55"/>
      <c r="T331" s="55" t="s">
        <v>973</v>
      </c>
    </row>
    <row r="332" spans="1:20" ht="13" x14ac:dyDescent="0.15">
      <c r="A332" s="72" t="str">
        <f t="shared" si="5"/>
        <v>Ofsted Social Care Provider Webpage</v>
      </c>
      <c r="B332" s="55">
        <v>1254864</v>
      </c>
      <c r="D332" s="55" t="s">
        <v>373</v>
      </c>
      <c r="E332" s="74">
        <v>42879</v>
      </c>
      <c r="F332" s="55" t="s">
        <v>344</v>
      </c>
      <c r="G332" s="55" t="s">
        <v>360</v>
      </c>
      <c r="H332" s="55" t="s">
        <v>360</v>
      </c>
      <c r="I332" s="55" t="s">
        <v>360</v>
      </c>
      <c r="J332" s="55" t="s">
        <v>360</v>
      </c>
      <c r="K332" s="55" t="s">
        <v>360</v>
      </c>
      <c r="L332" s="55" t="s">
        <v>360</v>
      </c>
      <c r="M332" s="55" t="s">
        <v>172</v>
      </c>
      <c r="N332" s="55" t="s">
        <v>172</v>
      </c>
      <c r="O332" s="55" t="s">
        <v>235</v>
      </c>
      <c r="P332" s="55" t="s">
        <v>948</v>
      </c>
      <c r="Q332" s="55" t="s">
        <v>350</v>
      </c>
      <c r="R332" s="55">
        <v>3</v>
      </c>
      <c r="S332" s="55"/>
      <c r="T332" s="55" t="s">
        <v>962</v>
      </c>
    </row>
    <row r="333" spans="1:20" ht="13" x14ac:dyDescent="0.15">
      <c r="A333" s="72" t="str">
        <f t="shared" si="5"/>
        <v>Ofsted Social Care Provider Webpage</v>
      </c>
      <c r="B333" s="55">
        <v>1255139</v>
      </c>
      <c r="D333" s="55" t="s">
        <v>373</v>
      </c>
      <c r="E333" s="74">
        <v>42879</v>
      </c>
      <c r="F333" s="55" t="s">
        <v>344</v>
      </c>
      <c r="G333" s="55" t="s">
        <v>360</v>
      </c>
      <c r="H333" s="55" t="s">
        <v>360</v>
      </c>
      <c r="I333" s="55" t="s">
        <v>360</v>
      </c>
      <c r="J333" s="55" t="s">
        <v>360</v>
      </c>
      <c r="K333" s="55" t="s">
        <v>360</v>
      </c>
      <c r="L333" s="55" t="s">
        <v>360</v>
      </c>
      <c r="M333" s="55" t="s">
        <v>172</v>
      </c>
      <c r="N333" s="55" t="s">
        <v>172</v>
      </c>
      <c r="O333" s="55" t="s">
        <v>234</v>
      </c>
      <c r="P333" s="55" t="s">
        <v>965</v>
      </c>
      <c r="Q333" s="55" t="s">
        <v>350</v>
      </c>
      <c r="R333" s="55">
        <v>6</v>
      </c>
      <c r="S333" s="55"/>
      <c r="T333" s="55" t="s">
        <v>962</v>
      </c>
    </row>
    <row r="334" spans="1:20" ht="13" x14ac:dyDescent="0.15">
      <c r="A334" s="72" t="str">
        <f t="shared" si="5"/>
        <v>Ofsted Social Care Provider Webpage</v>
      </c>
      <c r="B334" s="55">
        <v>1255143</v>
      </c>
      <c r="D334" s="55" t="s">
        <v>389</v>
      </c>
      <c r="E334" s="74">
        <v>42897</v>
      </c>
      <c r="F334" s="55" t="s">
        <v>344</v>
      </c>
      <c r="G334" s="55" t="s">
        <v>977</v>
      </c>
      <c r="H334" s="55" t="s">
        <v>978</v>
      </c>
      <c r="I334" s="55" t="s">
        <v>979</v>
      </c>
      <c r="J334" s="55" t="s">
        <v>419</v>
      </c>
      <c r="L334" s="55" t="s">
        <v>980</v>
      </c>
      <c r="M334" s="55" t="s">
        <v>150</v>
      </c>
      <c r="N334" s="55" t="s">
        <v>150</v>
      </c>
      <c r="O334" s="55" t="s">
        <v>203</v>
      </c>
      <c r="P334" s="55" t="s">
        <v>419</v>
      </c>
      <c r="Q334" s="55" t="s">
        <v>350</v>
      </c>
      <c r="R334" s="55"/>
      <c r="S334" s="55"/>
      <c r="T334" s="55" t="s">
        <v>981</v>
      </c>
    </row>
    <row r="335" spans="1:20" ht="13" x14ac:dyDescent="0.15">
      <c r="A335" s="72" t="str">
        <f t="shared" si="5"/>
        <v>Ofsted Social Care Provider Webpage</v>
      </c>
      <c r="B335" s="55">
        <v>1255407</v>
      </c>
      <c r="D335" s="55" t="s">
        <v>373</v>
      </c>
      <c r="E335" s="74">
        <v>42996</v>
      </c>
      <c r="F335" s="55" t="s">
        <v>344</v>
      </c>
      <c r="G335" s="55" t="s">
        <v>360</v>
      </c>
      <c r="H335" s="55" t="s">
        <v>360</v>
      </c>
      <c r="I335" s="55" t="s">
        <v>360</v>
      </c>
      <c r="J335" s="55" t="s">
        <v>360</v>
      </c>
      <c r="K335" s="55" t="s">
        <v>360</v>
      </c>
      <c r="L335" s="55" t="s">
        <v>360</v>
      </c>
      <c r="M335" s="55" t="s">
        <v>136</v>
      </c>
      <c r="N335" s="55" t="s">
        <v>136</v>
      </c>
      <c r="O335" s="55" t="s">
        <v>174</v>
      </c>
      <c r="P335" s="55" t="s">
        <v>982</v>
      </c>
      <c r="Q335" s="55" t="s">
        <v>350</v>
      </c>
      <c r="R335" s="55">
        <v>4</v>
      </c>
      <c r="S335" s="55"/>
      <c r="T335" s="55" t="s">
        <v>858</v>
      </c>
    </row>
    <row r="336" spans="1:20" ht="13" x14ac:dyDescent="0.15">
      <c r="A336" s="72" t="str">
        <f t="shared" si="5"/>
        <v>Ofsted Social Care Provider Webpage</v>
      </c>
      <c r="B336" s="55">
        <v>1255520</v>
      </c>
      <c r="D336" s="55" t="s">
        <v>373</v>
      </c>
      <c r="E336" s="74">
        <v>42926</v>
      </c>
      <c r="F336" s="55" t="s">
        <v>344</v>
      </c>
      <c r="G336" s="55" t="s">
        <v>360</v>
      </c>
      <c r="H336" s="55" t="s">
        <v>360</v>
      </c>
      <c r="I336" s="55" t="s">
        <v>360</v>
      </c>
      <c r="J336" s="55" t="s">
        <v>360</v>
      </c>
      <c r="K336" s="55" t="s">
        <v>360</v>
      </c>
      <c r="L336" s="55" t="s">
        <v>360</v>
      </c>
      <c r="M336" s="55" t="s">
        <v>144</v>
      </c>
      <c r="N336" s="55" t="s">
        <v>144</v>
      </c>
      <c r="O336" s="55" t="s">
        <v>209</v>
      </c>
      <c r="P336" s="55" t="s">
        <v>364</v>
      </c>
      <c r="Q336" s="55" t="s">
        <v>350</v>
      </c>
      <c r="R336" s="55">
        <v>3</v>
      </c>
      <c r="S336" s="55"/>
      <c r="T336" s="55" t="s">
        <v>485</v>
      </c>
    </row>
    <row r="337" spans="1:20" ht="13" x14ac:dyDescent="0.15">
      <c r="A337" s="72" t="str">
        <f t="shared" si="5"/>
        <v>Ofsted Social Care Provider Webpage</v>
      </c>
      <c r="B337" s="55">
        <v>1255743</v>
      </c>
      <c r="D337" s="55" t="s">
        <v>373</v>
      </c>
      <c r="E337" s="74">
        <v>42879</v>
      </c>
      <c r="F337" s="55" t="s">
        <v>344</v>
      </c>
      <c r="G337" s="55" t="s">
        <v>360</v>
      </c>
      <c r="H337" s="55" t="s">
        <v>360</v>
      </c>
      <c r="I337" s="55" t="s">
        <v>360</v>
      </c>
      <c r="J337" s="55" t="s">
        <v>360</v>
      </c>
      <c r="K337" s="55" t="s">
        <v>360</v>
      </c>
      <c r="L337" s="55" t="s">
        <v>360</v>
      </c>
      <c r="M337" s="55" t="s">
        <v>172</v>
      </c>
      <c r="N337" s="55" t="s">
        <v>172</v>
      </c>
      <c r="O337" s="55" t="s">
        <v>171</v>
      </c>
      <c r="P337" s="55" t="s">
        <v>983</v>
      </c>
      <c r="Q337" s="55" t="s">
        <v>350</v>
      </c>
      <c r="R337" s="55">
        <v>5</v>
      </c>
      <c r="S337" s="55"/>
      <c r="T337" s="55" t="s">
        <v>962</v>
      </c>
    </row>
    <row r="338" spans="1:20" ht="13" x14ac:dyDescent="0.15">
      <c r="A338" s="72" t="str">
        <f t="shared" si="5"/>
        <v>Ofsted Social Care Provider Webpage</v>
      </c>
      <c r="B338" s="55">
        <v>1255744</v>
      </c>
      <c r="D338" s="55" t="s">
        <v>373</v>
      </c>
      <c r="E338" s="74">
        <v>42879</v>
      </c>
      <c r="F338" s="55" t="s">
        <v>344</v>
      </c>
      <c r="G338" s="55" t="s">
        <v>360</v>
      </c>
      <c r="H338" s="55" t="s">
        <v>360</v>
      </c>
      <c r="I338" s="55" t="s">
        <v>360</v>
      </c>
      <c r="J338" s="55" t="s">
        <v>360</v>
      </c>
      <c r="K338" s="55" t="s">
        <v>360</v>
      </c>
      <c r="L338" s="55" t="s">
        <v>360</v>
      </c>
      <c r="M338" s="55" t="s">
        <v>142</v>
      </c>
      <c r="N338" s="55" t="s">
        <v>142</v>
      </c>
      <c r="O338" s="55" t="s">
        <v>293</v>
      </c>
      <c r="P338" s="55" t="s">
        <v>984</v>
      </c>
      <c r="Q338" s="55" t="s">
        <v>350</v>
      </c>
      <c r="R338" s="55">
        <v>3</v>
      </c>
      <c r="S338" s="55"/>
      <c r="T338" s="55" t="s">
        <v>962</v>
      </c>
    </row>
    <row r="339" spans="1:20" ht="13" x14ac:dyDescent="0.15">
      <c r="A339" s="72" t="str">
        <f t="shared" si="5"/>
        <v>Ofsted Social Care Provider Webpage</v>
      </c>
      <c r="B339" s="55">
        <v>1255745</v>
      </c>
      <c r="D339" s="55" t="s">
        <v>373</v>
      </c>
      <c r="E339" s="74">
        <v>42879</v>
      </c>
      <c r="F339" s="55" t="s">
        <v>344</v>
      </c>
      <c r="G339" s="55" t="s">
        <v>360</v>
      </c>
      <c r="H339" s="55" t="s">
        <v>360</v>
      </c>
      <c r="I339" s="55" t="s">
        <v>360</v>
      </c>
      <c r="J339" s="55" t="s">
        <v>360</v>
      </c>
      <c r="K339" s="55" t="s">
        <v>360</v>
      </c>
      <c r="L339" s="55" t="s">
        <v>360</v>
      </c>
      <c r="M339" s="55" t="s">
        <v>172</v>
      </c>
      <c r="N339" s="55" t="s">
        <v>172</v>
      </c>
      <c r="O339" s="55" t="s">
        <v>284</v>
      </c>
      <c r="P339" s="55" t="s">
        <v>985</v>
      </c>
      <c r="Q339" s="55" t="s">
        <v>350</v>
      </c>
      <c r="R339" s="55">
        <v>5</v>
      </c>
      <c r="S339" s="55"/>
      <c r="T339" s="55" t="s">
        <v>962</v>
      </c>
    </row>
    <row r="340" spans="1:20" ht="13" x14ac:dyDescent="0.15">
      <c r="A340" s="72" t="str">
        <f t="shared" si="5"/>
        <v>Ofsted Social Care Provider Webpage</v>
      </c>
      <c r="B340" s="55">
        <v>1255746</v>
      </c>
      <c r="D340" s="55" t="s">
        <v>373</v>
      </c>
      <c r="E340" s="74">
        <v>42879</v>
      </c>
      <c r="F340" s="55" t="s">
        <v>344</v>
      </c>
      <c r="G340" s="55" t="s">
        <v>360</v>
      </c>
      <c r="H340" s="55" t="s">
        <v>360</v>
      </c>
      <c r="I340" s="55" t="s">
        <v>360</v>
      </c>
      <c r="J340" s="55" t="s">
        <v>360</v>
      </c>
      <c r="K340" s="55" t="s">
        <v>360</v>
      </c>
      <c r="L340" s="55" t="s">
        <v>360</v>
      </c>
      <c r="M340" s="55" t="s">
        <v>138</v>
      </c>
      <c r="N340" s="55" t="s">
        <v>138</v>
      </c>
      <c r="O340" s="55" t="s">
        <v>137</v>
      </c>
      <c r="P340" s="55" t="s">
        <v>137</v>
      </c>
      <c r="Q340" s="55" t="s">
        <v>350</v>
      </c>
      <c r="R340" s="55">
        <v>5</v>
      </c>
      <c r="S340" s="55"/>
      <c r="T340" s="55" t="s">
        <v>962</v>
      </c>
    </row>
    <row r="341" spans="1:20" ht="13" x14ac:dyDescent="0.15">
      <c r="A341" s="72" t="str">
        <f t="shared" si="5"/>
        <v>Ofsted Social Care Provider Webpage</v>
      </c>
      <c r="B341" s="55">
        <v>1255747</v>
      </c>
      <c r="D341" s="55" t="s">
        <v>373</v>
      </c>
      <c r="E341" s="74">
        <v>42879</v>
      </c>
      <c r="F341" s="55" t="s">
        <v>344</v>
      </c>
      <c r="G341" s="55" t="s">
        <v>360</v>
      </c>
      <c r="H341" s="55" t="s">
        <v>360</v>
      </c>
      <c r="I341" s="55" t="s">
        <v>360</v>
      </c>
      <c r="J341" s="55" t="s">
        <v>360</v>
      </c>
      <c r="K341" s="55" t="s">
        <v>360</v>
      </c>
      <c r="L341" s="55" t="s">
        <v>360</v>
      </c>
      <c r="M341" s="55" t="s">
        <v>172</v>
      </c>
      <c r="N341" s="55" t="s">
        <v>172</v>
      </c>
      <c r="O341" s="55" t="s">
        <v>284</v>
      </c>
      <c r="P341" s="55" t="s">
        <v>986</v>
      </c>
      <c r="Q341" s="55" t="s">
        <v>350</v>
      </c>
      <c r="R341" s="55">
        <v>5</v>
      </c>
      <c r="S341" s="55"/>
      <c r="T341" s="55" t="s">
        <v>962</v>
      </c>
    </row>
    <row r="342" spans="1:20" ht="13" x14ac:dyDescent="0.15">
      <c r="A342" s="72" t="str">
        <f t="shared" si="5"/>
        <v>Ofsted Social Care Provider Webpage</v>
      </c>
      <c r="B342" s="55">
        <v>1255748</v>
      </c>
      <c r="D342" s="55" t="s">
        <v>373</v>
      </c>
      <c r="E342" s="74">
        <v>42879</v>
      </c>
      <c r="F342" s="55" t="s">
        <v>344</v>
      </c>
      <c r="G342" s="55" t="s">
        <v>360</v>
      </c>
      <c r="H342" s="55" t="s">
        <v>360</v>
      </c>
      <c r="I342" s="55" t="s">
        <v>360</v>
      </c>
      <c r="J342" s="55" t="s">
        <v>360</v>
      </c>
      <c r="K342" s="55" t="s">
        <v>360</v>
      </c>
      <c r="L342" s="55" t="s">
        <v>360</v>
      </c>
      <c r="M342" s="55" t="s">
        <v>172</v>
      </c>
      <c r="N342" s="55" t="s">
        <v>172</v>
      </c>
      <c r="O342" s="55" t="s">
        <v>234</v>
      </c>
      <c r="P342" s="55" t="s">
        <v>369</v>
      </c>
      <c r="Q342" s="55" t="s">
        <v>350</v>
      </c>
      <c r="R342" s="55">
        <v>5</v>
      </c>
      <c r="S342" s="55"/>
      <c r="T342" s="55" t="s">
        <v>962</v>
      </c>
    </row>
    <row r="343" spans="1:20" ht="13" x14ac:dyDescent="0.15">
      <c r="A343" s="72" t="str">
        <f t="shared" si="5"/>
        <v>Ofsted Social Care Provider Webpage</v>
      </c>
      <c r="B343" s="55">
        <v>1255753</v>
      </c>
      <c r="D343" s="55" t="s">
        <v>389</v>
      </c>
      <c r="E343" s="74">
        <v>42955</v>
      </c>
      <c r="F343" s="55" t="s">
        <v>344</v>
      </c>
      <c r="G343" s="55" t="s">
        <v>987</v>
      </c>
      <c r="H343" s="55" t="s">
        <v>988</v>
      </c>
      <c r="I343" s="55" t="s">
        <v>989</v>
      </c>
      <c r="J343" s="55" t="s">
        <v>292</v>
      </c>
      <c r="L343" s="55" t="s">
        <v>691</v>
      </c>
      <c r="M343" s="55" t="s">
        <v>142</v>
      </c>
      <c r="N343" s="55" t="s">
        <v>142</v>
      </c>
      <c r="O343" s="55" t="s">
        <v>262</v>
      </c>
      <c r="P343" s="55" t="s">
        <v>692</v>
      </c>
      <c r="Q343" s="55" t="s">
        <v>350</v>
      </c>
      <c r="R343" s="55"/>
      <c r="S343" s="55"/>
      <c r="T343" s="55" t="s">
        <v>502</v>
      </c>
    </row>
    <row r="344" spans="1:20" ht="13" x14ac:dyDescent="0.15">
      <c r="A344" s="72" t="str">
        <f t="shared" si="5"/>
        <v>Ofsted Social Care Provider Webpage</v>
      </c>
      <c r="B344" s="55">
        <v>1255823</v>
      </c>
      <c r="D344" s="55" t="s">
        <v>373</v>
      </c>
      <c r="E344" s="74">
        <v>42906</v>
      </c>
      <c r="F344" s="55" t="s">
        <v>344</v>
      </c>
      <c r="G344" s="55" t="s">
        <v>360</v>
      </c>
      <c r="H344" s="55" t="s">
        <v>360</v>
      </c>
      <c r="I344" s="55" t="s">
        <v>360</v>
      </c>
      <c r="J344" s="55" t="s">
        <v>360</v>
      </c>
      <c r="K344" s="55" t="s">
        <v>360</v>
      </c>
      <c r="L344" s="55" t="s">
        <v>360</v>
      </c>
      <c r="M344" s="55" t="s">
        <v>150</v>
      </c>
      <c r="N344" s="55" t="s">
        <v>150</v>
      </c>
      <c r="O344" s="55" t="s">
        <v>190</v>
      </c>
      <c r="P344" s="55" t="s">
        <v>749</v>
      </c>
      <c r="Q344" s="55" t="s">
        <v>380</v>
      </c>
      <c r="R344" s="55">
        <v>5</v>
      </c>
      <c r="S344" s="55"/>
      <c r="T344" s="55" t="s">
        <v>967</v>
      </c>
    </row>
    <row r="345" spans="1:20" ht="13" x14ac:dyDescent="0.15">
      <c r="A345" s="72" t="str">
        <f t="shared" si="5"/>
        <v>Ofsted Social Care Provider Webpage</v>
      </c>
      <c r="B345" s="55">
        <v>1256058</v>
      </c>
      <c r="D345" s="55" t="s">
        <v>373</v>
      </c>
      <c r="E345" s="74">
        <v>42879</v>
      </c>
      <c r="F345" s="55" t="s">
        <v>728</v>
      </c>
      <c r="G345" s="55" t="s">
        <v>360</v>
      </c>
      <c r="H345" s="55" t="s">
        <v>360</v>
      </c>
      <c r="I345" s="55" t="s">
        <v>360</v>
      </c>
      <c r="J345" s="55" t="s">
        <v>360</v>
      </c>
      <c r="K345" s="55" t="s">
        <v>360</v>
      </c>
      <c r="L345" s="55" t="s">
        <v>360</v>
      </c>
      <c r="M345" s="55" t="s">
        <v>150</v>
      </c>
      <c r="N345" s="55" t="s">
        <v>150</v>
      </c>
      <c r="O345" s="55" t="s">
        <v>237</v>
      </c>
      <c r="P345" s="55" t="s">
        <v>990</v>
      </c>
      <c r="Q345" s="55" t="s">
        <v>350</v>
      </c>
      <c r="R345" s="55">
        <v>5</v>
      </c>
      <c r="S345" s="55"/>
      <c r="T345" s="55" t="s">
        <v>962</v>
      </c>
    </row>
    <row r="346" spans="1:20" ht="13" x14ac:dyDescent="0.15">
      <c r="A346" s="72" t="str">
        <f t="shared" si="5"/>
        <v>Ofsted Social Care Provider Webpage</v>
      </c>
      <c r="B346" s="55">
        <v>1256059</v>
      </c>
      <c r="D346" s="55" t="s">
        <v>373</v>
      </c>
      <c r="E346" s="74">
        <v>42879</v>
      </c>
      <c r="F346" s="55" t="s">
        <v>344</v>
      </c>
      <c r="G346" s="55" t="s">
        <v>360</v>
      </c>
      <c r="H346" s="55" t="s">
        <v>360</v>
      </c>
      <c r="I346" s="55" t="s">
        <v>360</v>
      </c>
      <c r="J346" s="55" t="s">
        <v>360</v>
      </c>
      <c r="K346" s="55" t="s">
        <v>360</v>
      </c>
      <c r="L346" s="55" t="s">
        <v>360</v>
      </c>
      <c r="M346" s="55" t="s">
        <v>172</v>
      </c>
      <c r="N346" s="55" t="s">
        <v>172</v>
      </c>
      <c r="O346" s="55" t="s">
        <v>228</v>
      </c>
      <c r="P346" s="55" t="s">
        <v>991</v>
      </c>
      <c r="Q346" s="55" t="s">
        <v>350</v>
      </c>
      <c r="R346" s="55">
        <v>5</v>
      </c>
      <c r="S346" s="55"/>
      <c r="T346" s="55" t="s">
        <v>962</v>
      </c>
    </row>
    <row r="347" spans="1:20" ht="13" x14ac:dyDescent="0.15">
      <c r="A347" s="72" t="str">
        <f t="shared" si="5"/>
        <v>Ofsted Social Care Provider Webpage</v>
      </c>
      <c r="B347" s="55">
        <v>1256060</v>
      </c>
      <c r="D347" s="55" t="s">
        <v>373</v>
      </c>
      <c r="E347" s="74">
        <v>42879</v>
      </c>
      <c r="F347" s="55" t="s">
        <v>344</v>
      </c>
      <c r="G347" s="55" t="s">
        <v>360</v>
      </c>
      <c r="H347" s="55" t="s">
        <v>360</v>
      </c>
      <c r="I347" s="55" t="s">
        <v>360</v>
      </c>
      <c r="J347" s="55" t="s">
        <v>360</v>
      </c>
      <c r="K347" s="55" t="s">
        <v>360</v>
      </c>
      <c r="L347" s="55" t="s">
        <v>360</v>
      </c>
      <c r="M347" s="55" t="s">
        <v>172</v>
      </c>
      <c r="N347" s="55" t="s">
        <v>172</v>
      </c>
      <c r="O347" s="55" t="s">
        <v>284</v>
      </c>
      <c r="P347" s="55" t="s">
        <v>357</v>
      </c>
      <c r="Q347" s="55" t="s">
        <v>350</v>
      </c>
      <c r="R347" s="55">
        <v>5</v>
      </c>
      <c r="S347" s="55"/>
      <c r="T347" s="55" t="s">
        <v>962</v>
      </c>
    </row>
    <row r="348" spans="1:20" ht="13" x14ac:dyDescent="0.15">
      <c r="A348" s="72" t="str">
        <f t="shared" si="5"/>
        <v>Ofsted Social Care Provider Webpage</v>
      </c>
      <c r="B348" s="55">
        <v>1256061</v>
      </c>
      <c r="D348" s="55" t="s">
        <v>373</v>
      </c>
      <c r="E348" s="74">
        <v>42879</v>
      </c>
      <c r="F348" s="55" t="s">
        <v>344</v>
      </c>
      <c r="G348" s="55" t="s">
        <v>360</v>
      </c>
      <c r="H348" s="55" t="s">
        <v>360</v>
      </c>
      <c r="I348" s="55" t="s">
        <v>360</v>
      </c>
      <c r="J348" s="55" t="s">
        <v>360</v>
      </c>
      <c r="K348" s="55" t="s">
        <v>360</v>
      </c>
      <c r="L348" s="55" t="s">
        <v>360</v>
      </c>
      <c r="M348" s="55" t="s">
        <v>172</v>
      </c>
      <c r="N348" s="55" t="s">
        <v>172</v>
      </c>
      <c r="O348" s="55" t="s">
        <v>228</v>
      </c>
      <c r="P348" s="55" t="s">
        <v>459</v>
      </c>
      <c r="Q348" s="55" t="s">
        <v>350</v>
      </c>
      <c r="R348" s="55">
        <v>5</v>
      </c>
      <c r="S348" s="55"/>
      <c r="T348" s="55" t="s">
        <v>962</v>
      </c>
    </row>
    <row r="349" spans="1:20" ht="13" x14ac:dyDescent="0.15">
      <c r="A349" s="72" t="str">
        <f t="shared" si="5"/>
        <v>Ofsted Social Care Provider Webpage</v>
      </c>
      <c r="B349" s="55">
        <v>1256064</v>
      </c>
      <c r="D349" s="55" t="s">
        <v>693</v>
      </c>
      <c r="E349" s="74">
        <v>42816</v>
      </c>
      <c r="F349" s="55" t="s">
        <v>344</v>
      </c>
      <c r="G349" s="55" t="s">
        <v>992</v>
      </c>
      <c r="H349" s="55" t="s">
        <v>993</v>
      </c>
      <c r="I349" s="55" t="s">
        <v>354</v>
      </c>
      <c r="J349" s="55" t="s">
        <v>994</v>
      </c>
      <c r="K349" s="55" t="s">
        <v>255</v>
      </c>
      <c r="L349" s="55" t="s">
        <v>995</v>
      </c>
      <c r="M349" s="55" t="s">
        <v>136</v>
      </c>
      <c r="N349" s="55" t="s">
        <v>136</v>
      </c>
      <c r="O349" s="55" t="s">
        <v>255</v>
      </c>
      <c r="P349" s="55" t="s">
        <v>583</v>
      </c>
      <c r="Q349" s="55" t="s">
        <v>350</v>
      </c>
      <c r="R349" s="55">
        <v>66</v>
      </c>
      <c r="S349" s="55"/>
      <c r="T349" s="55" t="s">
        <v>992</v>
      </c>
    </row>
    <row r="350" spans="1:20" ht="13" x14ac:dyDescent="0.15">
      <c r="A350" s="72" t="str">
        <f t="shared" si="5"/>
        <v>Ofsted Social Care Provider Webpage</v>
      </c>
      <c r="B350" s="55">
        <v>1256134</v>
      </c>
      <c r="D350" s="55" t="s">
        <v>373</v>
      </c>
      <c r="E350" s="74">
        <v>42893</v>
      </c>
      <c r="F350" s="55" t="s">
        <v>344</v>
      </c>
      <c r="G350" s="55" t="s">
        <v>360</v>
      </c>
      <c r="H350" s="55" t="s">
        <v>360</v>
      </c>
      <c r="I350" s="55" t="s">
        <v>360</v>
      </c>
      <c r="J350" s="55" t="s">
        <v>360</v>
      </c>
      <c r="K350" s="55" t="s">
        <v>360</v>
      </c>
      <c r="L350" s="55" t="s">
        <v>360</v>
      </c>
      <c r="M350" s="55" t="s">
        <v>144</v>
      </c>
      <c r="N350" s="55" t="s">
        <v>144</v>
      </c>
      <c r="O350" s="55" t="s">
        <v>236</v>
      </c>
      <c r="P350" s="55" t="s">
        <v>996</v>
      </c>
      <c r="Q350" s="55" t="s">
        <v>350</v>
      </c>
      <c r="R350" s="55">
        <v>4</v>
      </c>
      <c r="S350" s="55"/>
      <c r="T350" s="55" t="s">
        <v>863</v>
      </c>
    </row>
    <row r="351" spans="1:20" ht="13" x14ac:dyDescent="0.15">
      <c r="A351" s="72" t="str">
        <f t="shared" si="5"/>
        <v>Ofsted Social Care Provider Webpage</v>
      </c>
      <c r="B351" s="55">
        <v>1256135</v>
      </c>
      <c r="D351" s="55" t="s">
        <v>373</v>
      </c>
      <c r="E351" s="74">
        <v>42879</v>
      </c>
      <c r="F351" s="55" t="s">
        <v>344</v>
      </c>
      <c r="G351" s="55" t="s">
        <v>360</v>
      </c>
      <c r="H351" s="55" t="s">
        <v>360</v>
      </c>
      <c r="I351" s="55" t="s">
        <v>360</v>
      </c>
      <c r="J351" s="55" t="s">
        <v>360</v>
      </c>
      <c r="K351" s="55" t="s">
        <v>360</v>
      </c>
      <c r="L351" s="55" t="s">
        <v>360</v>
      </c>
      <c r="M351" s="55" t="s">
        <v>142</v>
      </c>
      <c r="N351" s="55" t="s">
        <v>142</v>
      </c>
      <c r="O351" s="55" t="s">
        <v>262</v>
      </c>
      <c r="P351" s="55" t="s">
        <v>949</v>
      </c>
      <c r="Q351" s="55" t="s">
        <v>350</v>
      </c>
      <c r="R351" s="55">
        <v>3</v>
      </c>
      <c r="S351" s="55"/>
      <c r="T351" s="55" t="s">
        <v>962</v>
      </c>
    </row>
    <row r="352" spans="1:20" ht="13" x14ac:dyDescent="0.15">
      <c r="A352" s="72" t="str">
        <f t="shared" si="5"/>
        <v>Ofsted Social Care Provider Webpage</v>
      </c>
      <c r="B352" s="55">
        <v>1256367</v>
      </c>
      <c r="D352" s="55" t="s">
        <v>373</v>
      </c>
      <c r="E352" s="74">
        <v>42879</v>
      </c>
      <c r="F352" s="55" t="s">
        <v>344</v>
      </c>
      <c r="G352" s="55" t="s">
        <v>360</v>
      </c>
      <c r="H352" s="55" t="s">
        <v>360</v>
      </c>
      <c r="I352" s="55" t="s">
        <v>360</v>
      </c>
      <c r="J352" s="55" t="s">
        <v>360</v>
      </c>
      <c r="K352" s="55" t="s">
        <v>360</v>
      </c>
      <c r="L352" s="55" t="s">
        <v>360</v>
      </c>
      <c r="M352" s="55" t="s">
        <v>172</v>
      </c>
      <c r="N352" s="55" t="s">
        <v>172</v>
      </c>
      <c r="O352" s="55" t="s">
        <v>284</v>
      </c>
      <c r="P352" s="55" t="s">
        <v>985</v>
      </c>
      <c r="Q352" s="55" t="s">
        <v>350</v>
      </c>
      <c r="R352" s="55">
        <v>5</v>
      </c>
      <c r="S352" s="55"/>
      <c r="T352" s="55" t="s">
        <v>962</v>
      </c>
    </row>
    <row r="353" spans="1:20" ht="13" x14ac:dyDescent="0.15">
      <c r="A353" s="72" t="str">
        <f t="shared" si="5"/>
        <v>Ofsted Social Care Provider Webpage</v>
      </c>
      <c r="B353" s="55">
        <v>1256404</v>
      </c>
      <c r="D353" s="55" t="s">
        <v>373</v>
      </c>
      <c r="E353" s="74">
        <v>42879</v>
      </c>
      <c r="F353" s="55" t="s">
        <v>344</v>
      </c>
      <c r="G353" s="55" t="s">
        <v>360</v>
      </c>
      <c r="H353" s="55" t="s">
        <v>360</v>
      </c>
      <c r="I353" s="55" t="s">
        <v>360</v>
      </c>
      <c r="J353" s="55" t="s">
        <v>360</v>
      </c>
      <c r="K353" s="55" t="s">
        <v>360</v>
      </c>
      <c r="L353" s="55" t="s">
        <v>360</v>
      </c>
      <c r="M353" s="55" t="s">
        <v>172</v>
      </c>
      <c r="N353" s="55" t="s">
        <v>172</v>
      </c>
      <c r="O353" s="55" t="s">
        <v>235</v>
      </c>
      <c r="P353" s="55" t="s">
        <v>855</v>
      </c>
      <c r="Q353" s="55" t="s">
        <v>350</v>
      </c>
      <c r="R353" s="55">
        <v>5</v>
      </c>
      <c r="S353" s="55"/>
      <c r="T353" s="55" t="s">
        <v>962</v>
      </c>
    </row>
    <row r="354" spans="1:20" ht="13" x14ac:dyDescent="0.15">
      <c r="A354" s="72" t="str">
        <f t="shared" si="5"/>
        <v>Ofsted Social Care Provider Webpage</v>
      </c>
      <c r="B354" s="55">
        <v>1256417</v>
      </c>
      <c r="D354" s="55" t="s">
        <v>373</v>
      </c>
      <c r="E354" s="74">
        <v>42951</v>
      </c>
      <c r="F354" s="55" t="s">
        <v>344</v>
      </c>
      <c r="G354" s="55" t="s">
        <v>360</v>
      </c>
      <c r="H354" s="55" t="s">
        <v>360</v>
      </c>
      <c r="I354" s="55" t="s">
        <v>360</v>
      </c>
      <c r="J354" s="55" t="s">
        <v>360</v>
      </c>
      <c r="K354" s="55" t="s">
        <v>360</v>
      </c>
      <c r="L354" s="55" t="s">
        <v>360</v>
      </c>
      <c r="M354" s="55" t="s">
        <v>150</v>
      </c>
      <c r="N354" s="55" t="s">
        <v>150</v>
      </c>
      <c r="O354" s="55" t="s">
        <v>203</v>
      </c>
      <c r="P354" s="55" t="s">
        <v>800</v>
      </c>
      <c r="Q354" s="55" t="s">
        <v>350</v>
      </c>
      <c r="R354" s="55">
        <v>7</v>
      </c>
      <c r="S354" s="55"/>
      <c r="T354" s="55" t="s">
        <v>483</v>
      </c>
    </row>
    <row r="355" spans="1:20" ht="13" x14ac:dyDescent="0.15">
      <c r="A355" s="72" t="str">
        <f t="shared" si="5"/>
        <v>Ofsted Social Care Provider Webpage</v>
      </c>
      <c r="B355" s="55">
        <v>1256452</v>
      </c>
      <c r="D355" s="55" t="s">
        <v>373</v>
      </c>
      <c r="E355" s="74">
        <v>42929</v>
      </c>
      <c r="F355" s="55" t="s">
        <v>344</v>
      </c>
      <c r="G355" s="55" t="s">
        <v>360</v>
      </c>
      <c r="H355" s="55" t="s">
        <v>360</v>
      </c>
      <c r="I355" s="55" t="s">
        <v>360</v>
      </c>
      <c r="J355" s="55" t="s">
        <v>360</v>
      </c>
      <c r="K355" s="55" t="s">
        <v>360</v>
      </c>
      <c r="L355" s="55" t="s">
        <v>360</v>
      </c>
      <c r="M355" s="55" t="s">
        <v>138</v>
      </c>
      <c r="N355" s="55" t="s">
        <v>138</v>
      </c>
      <c r="O355" s="55" t="s">
        <v>183</v>
      </c>
      <c r="P355" s="55" t="s">
        <v>907</v>
      </c>
      <c r="Q355" s="55" t="s">
        <v>350</v>
      </c>
      <c r="R355" s="55">
        <v>5</v>
      </c>
      <c r="S355" s="55"/>
      <c r="T355" s="55" t="s">
        <v>997</v>
      </c>
    </row>
    <row r="356" spans="1:20" ht="13" x14ac:dyDescent="0.15">
      <c r="A356" s="72" t="str">
        <f t="shared" si="5"/>
        <v>Ofsted Social Care Provider Webpage</v>
      </c>
      <c r="B356" s="55">
        <v>1256500</v>
      </c>
      <c r="D356" s="55" t="s">
        <v>373</v>
      </c>
      <c r="E356" s="74">
        <v>42897</v>
      </c>
      <c r="F356" s="55" t="s">
        <v>344</v>
      </c>
      <c r="G356" s="55" t="s">
        <v>360</v>
      </c>
      <c r="H356" s="55" t="s">
        <v>360</v>
      </c>
      <c r="I356" s="55" t="s">
        <v>360</v>
      </c>
      <c r="J356" s="55" t="s">
        <v>360</v>
      </c>
      <c r="K356" s="55" t="s">
        <v>360</v>
      </c>
      <c r="L356" s="55" t="s">
        <v>360</v>
      </c>
      <c r="M356" s="55" t="s">
        <v>378</v>
      </c>
      <c r="N356" s="55" t="s">
        <v>134</v>
      </c>
      <c r="O356" s="55" t="s">
        <v>232</v>
      </c>
      <c r="P356" s="55" t="s">
        <v>595</v>
      </c>
      <c r="Q356" s="55" t="s">
        <v>380</v>
      </c>
      <c r="R356" s="55">
        <v>6</v>
      </c>
      <c r="S356" s="55" t="s">
        <v>332</v>
      </c>
      <c r="T356" s="55" t="s">
        <v>998</v>
      </c>
    </row>
    <row r="357" spans="1:20" ht="13" x14ac:dyDescent="0.15">
      <c r="A357" s="72" t="str">
        <f t="shared" si="5"/>
        <v>Ofsted Social Care Provider Webpage</v>
      </c>
      <c r="B357" s="55">
        <v>1256563</v>
      </c>
      <c r="D357" s="55" t="s">
        <v>389</v>
      </c>
      <c r="E357" s="74">
        <v>42985</v>
      </c>
      <c r="F357" s="55" t="s">
        <v>344</v>
      </c>
      <c r="G357" s="55" t="s">
        <v>999</v>
      </c>
      <c r="H357" s="55" t="s">
        <v>1000</v>
      </c>
      <c r="I357" s="55" t="s">
        <v>1001</v>
      </c>
      <c r="J357" s="55" t="s">
        <v>1002</v>
      </c>
      <c r="L357" s="55" t="s">
        <v>1003</v>
      </c>
      <c r="M357" s="55" t="s">
        <v>150</v>
      </c>
      <c r="N357" s="55" t="s">
        <v>150</v>
      </c>
      <c r="O357" s="55" t="s">
        <v>203</v>
      </c>
      <c r="P357" s="55" t="s">
        <v>563</v>
      </c>
      <c r="Q357" s="55" t="s">
        <v>350</v>
      </c>
      <c r="R357" s="55"/>
      <c r="S357" s="55"/>
      <c r="T357" s="55" t="s">
        <v>1004</v>
      </c>
    </row>
    <row r="358" spans="1:20" ht="13" x14ac:dyDescent="0.15">
      <c r="A358" s="72" t="str">
        <f t="shared" si="5"/>
        <v>Ofsted Social Care Provider Webpage</v>
      </c>
      <c r="B358" s="55">
        <v>1256608</v>
      </c>
      <c r="D358" s="55" t="s">
        <v>373</v>
      </c>
      <c r="E358" s="74">
        <v>42920</v>
      </c>
      <c r="F358" s="55" t="s">
        <v>344</v>
      </c>
      <c r="G358" s="55" t="s">
        <v>360</v>
      </c>
      <c r="H358" s="55" t="s">
        <v>360</v>
      </c>
      <c r="I358" s="55" t="s">
        <v>360</v>
      </c>
      <c r="J358" s="55" t="s">
        <v>360</v>
      </c>
      <c r="K358" s="55" t="s">
        <v>360</v>
      </c>
      <c r="L358" s="55" t="s">
        <v>360</v>
      </c>
      <c r="M358" s="55" t="s">
        <v>378</v>
      </c>
      <c r="N358" s="55" t="s">
        <v>134</v>
      </c>
      <c r="O358" s="55" t="s">
        <v>175</v>
      </c>
      <c r="P358" s="55" t="s">
        <v>932</v>
      </c>
      <c r="Q358" s="55" t="s">
        <v>350</v>
      </c>
      <c r="R358" s="55">
        <v>3</v>
      </c>
      <c r="S358" s="55"/>
      <c r="T358" s="55" t="s">
        <v>933</v>
      </c>
    </row>
    <row r="359" spans="1:20" ht="13" x14ac:dyDescent="0.15">
      <c r="A359" s="72" t="str">
        <f t="shared" si="5"/>
        <v>Ofsted Social Care Provider Webpage</v>
      </c>
      <c r="B359" s="55">
        <v>1256610</v>
      </c>
      <c r="D359" s="55" t="s">
        <v>373</v>
      </c>
      <c r="E359" s="74">
        <v>42879</v>
      </c>
      <c r="F359" s="55" t="s">
        <v>344</v>
      </c>
      <c r="G359" s="55" t="s">
        <v>360</v>
      </c>
      <c r="H359" s="55" t="s">
        <v>360</v>
      </c>
      <c r="I359" s="55" t="s">
        <v>360</v>
      </c>
      <c r="J359" s="55" t="s">
        <v>360</v>
      </c>
      <c r="K359" s="55" t="s">
        <v>360</v>
      </c>
      <c r="L359" s="55" t="s">
        <v>360</v>
      </c>
      <c r="M359" s="55" t="s">
        <v>172</v>
      </c>
      <c r="N359" s="55" t="s">
        <v>172</v>
      </c>
      <c r="O359" s="55" t="s">
        <v>234</v>
      </c>
      <c r="P359" s="55" t="s">
        <v>965</v>
      </c>
      <c r="Q359" s="55" t="s">
        <v>350</v>
      </c>
      <c r="R359" s="55">
        <v>3</v>
      </c>
      <c r="S359" s="55"/>
      <c r="T359" s="55" t="s">
        <v>962</v>
      </c>
    </row>
    <row r="360" spans="1:20" ht="13" x14ac:dyDescent="0.15">
      <c r="A360" s="72" t="str">
        <f t="shared" si="5"/>
        <v>Ofsted Social Care Provider Webpage</v>
      </c>
      <c r="B360" s="55">
        <v>1256638</v>
      </c>
      <c r="D360" s="55" t="s">
        <v>373</v>
      </c>
      <c r="E360" s="74">
        <v>43032</v>
      </c>
      <c r="F360" s="55" t="s">
        <v>344</v>
      </c>
      <c r="G360" s="55" t="s">
        <v>360</v>
      </c>
      <c r="H360" s="55" t="s">
        <v>360</v>
      </c>
      <c r="I360" s="55" t="s">
        <v>360</v>
      </c>
      <c r="J360" s="55" t="s">
        <v>360</v>
      </c>
      <c r="K360" s="55" t="s">
        <v>360</v>
      </c>
      <c r="L360" s="55" t="s">
        <v>360</v>
      </c>
      <c r="M360" s="55" t="s">
        <v>142</v>
      </c>
      <c r="N360" s="55" t="s">
        <v>142</v>
      </c>
      <c r="O360" s="55" t="s">
        <v>262</v>
      </c>
      <c r="P360" s="55" t="s">
        <v>916</v>
      </c>
      <c r="Q360" s="55" t="s">
        <v>350</v>
      </c>
      <c r="R360" s="55">
        <v>3</v>
      </c>
      <c r="S360" s="55"/>
      <c r="T360" s="55" t="s">
        <v>504</v>
      </c>
    </row>
    <row r="361" spans="1:20" ht="13" x14ac:dyDescent="0.15">
      <c r="A361" s="72" t="str">
        <f t="shared" si="5"/>
        <v>Ofsted Social Care Provider Webpage</v>
      </c>
      <c r="B361" s="55">
        <v>1256639</v>
      </c>
      <c r="D361" s="55" t="s">
        <v>373</v>
      </c>
      <c r="E361" s="74">
        <v>42950</v>
      </c>
      <c r="F361" s="55" t="s">
        <v>344</v>
      </c>
      <c r="G361" s="55" t="s">
        <v>360</v>
      </c>
      <c r="H361" s="55" t="s">
        <v>360</v>
      </c>
      <c r="I361" s="55" t="s">
        <v>360</v>
      </c>
      <c r="J361" s="55" t="s">
        <v>360</v>
      </c>
      <c r="K361" s="55" t="s">
        <v>360</v>
      </c>
      <c r="L361" s="55" t="s">
        <v>360</v>
      </c>
      <c r="M361" s="55" t="s">
        <v>136</v>
      </c>
      <c r="N361" s="55" t="s">
        <v>136</v>
      </c>
      <c r="O361" s="55" t="s">
        <v>185</v>
      </c>
      <c r="P361" s="55" t="s">
        <v>898</v>
      </c>
      <c r="Q361" s="55" t="s">
        <v>350</v>
      </c>
      <c r="R361" s="55">
        <v>4</v>
      </c>
      <c r="S361" s="55"/>
      <c r="T361" s="55" t="s">
        <v>768</v>
      </c>
    </row>
    <row r="362" spans="1:20" ht="13" x14ac:dyDescent="0.15">
      <c r="A362" s="72" t="str">
        <f t="shared" si="5"/>
        <v>Ofsted Social Care Provider Webpage</v>
      </c>
      <c r="B362" s="55">
        <v>1256658</v>
      </c>
      <c r="D362" s="55" t="s">
        <v>373</v>
      </c>
      <c r="E362" s="74">
        <v>42920</v>
      </c>
      <c r="F362" s="55" t="s">
        <v>344</v>
      </c>
      <c r="G362" s="55" t="s">
        <v>360</v>
      </c>
      <c r="H362" s="55" t="s">
        <v>360</v>
      </c>
      <c r="I362" s="55" t="s">
        <v>360</v>
      </c>
      <c r="J362" s="55" t="s">
        <v>360</v>
      </c>
      <c r="K362" s="55" t="s">
        <v>360</v>
      </c>
      <c r="L362" s="55" t="s">
        <v>360</v>
      </c>
      <c r="M362" s="55" t="s">
        <v>144</v>
      </c>
      <c r="N362" s="55" t="s">
        <v>144</v>
      </c>
      <c r="O362" s="55" t="s">
        <v>188</v>
      </c>
      <c r="P362" s="55" t="s">
        <v>188</v>
      </c>
      <c r="Q362" s="55" t="s">
        <v>350</v>
      </c>
      <c r="R362" s="55">
        <v>2</v>
      </c>
      <c r="S362" s="55"/>
      <c r="T362" s="55" t="s">
        <v>729</v>
      </c>
    </row>
    <row r="363" spans="1:20" ht="13" x14ac:dyDescent="0.15">
      <c r="A363" s="72" t="str">
        <f t="shared" si="5"/>
        <v>Ofsted Social Care Provider Webpage</v>
      </c>
      <c r="B363" s="55">
        <v>1256660</v>
      </c>
      <c r="D363" s="55" t="s">
        <v>373</v>
      </c>
      <c r="E363" s="74">
        <v>43258</v>
      </c>
      <c r="F363" s="55" t="s">
        <v>344</v>
      </c>
      <c r="G363" s="55" t="s">
        <v>360</v>
      </c>
      <c r="H363" s="55" t="s">
        <v>360</v>
      </c>
      <c r="I363" s="55" t="s">
        <v>360</v>
      </c>
      <c r="J363" s="55" t="s">
        <v>360</v>
      </c>
      <c r="K363" s="55" t="s">
        <v>360</v>
      </c>
      <c r="L363" s="55" t="s">
        <v>360</v>
      </c>
      <c r="M363" s="55" t="s">
        <v>138</v>
      </c>
      <c r="N363" s="55" t="s">
        <v>138</v>
      </c>
      <c r="O363" s="55" t="s">
        <v>259</v>
      </c>
      <c r="P363" s="55" t="s">
        <v>637</v>
      </c>
      <c r="Q363" s="55" t="s">
        <v>350</v>
      </c>
      <c r="R363" s="55">
        <v>5</v>
      </c>
      <c r="S363" s="55"/>
      <c r="T363" s="55" t="s">
        <v>644</v>
      </c>
    </row>
    <row r="364" spans="1:20" ht="13" x14ac:dyDescent="0.15">
      <c r="A364" s="72" t="str">
        <f t="shared" si="5"/>
        <v>Ofsted Social Care Provider Webpage</v>
      </c>
      <c r="B364" s="55">
        <v>1256770</v>
      </c>
      <c r="D364" s="55" t="s">
        <v>451</v>
      </c>
      <c r="E364" s="74">
        <v>43185</v>
      </c>
      <c r="F364" s="55" t="s">
        <v>344</v>
      </c>
      <c r="G364" s="55" t="s">
        <v>1005</v>
      </c>
      <c r="H364" s="55" t="s">
        <v>1006</v>
      </c>
      <c r="I364" s="55" t="s">
        <v>354</v>
      </c>
      <c r="J364" s="55" t="s">
        <v>215</v>
      </c>
      <c r="L364" s="55" t="s">
        <v>1007</v>
      </c>
      <c r="M364" s="55" t="s">
        <v>144</v>
      </c>
      <c r="N364" s="55" t="s">
        <v>144</v>
      </c>
      <c r="O364" s="55" t="s">
        <v>215</v>
      </c>
      <c r="P364" s="55" t="s">
        <v>1008</v>
      </c>
      <c r="Q364" s="55" t="s">
        <v>350</v>
      </c>
      <c r="R364" s="55">
        <v>3</v>
      </c>
      <c r="S364" s="55"/>
      <c r="T364" s="55" t="s">
        <v>1009</v>
      </c>
    </row>
    <row r="365" spans="1:20" ht="13" x14ac:dyDescent="0.15">
      <c r="A365" s="72" t="str">
        <f t="shared" si="5"/>
        <v>Ofsted Social Care Provider Webpage</v>
      </c>
      <c r="B365" s="55">
        <v>1256771</v>
      </c>
      <c r="D365" s="55" t="s">
        <v>373</v>
      </c>
      <c r="E365" s="74">
        <v>42909</v>
      </c>
      <c r="F365" s="55" t="s">
        <v>344</v>
      </c>
      <c r="G365" s="55" t="s">
        <v>360</v>
      </c>
      <c r="H365" s="55" t="s">
        <v>360</v>
      </c>
      <c r="I365" s="55" t="s">
        <v>360</v>
      </c>
      <c r="J365" s="55" t="s">
        <v>360</v>
      </c>
      <c r="K365" s="55" t="s">
        <v>360</v>
      </c>
      <c r="L365" s="55" t="s">
        <v>360</v>
      </c>
      <c r="M365" s="55" t="s">
        <v>136</v>
      </c>
      <c r="N365" s="55" t="s">
        <v>136</v>
      </c>
      <c r="O365" s="55" t="s">
        <v>174</v>
      </c>
      <c r="P365" s="55" t="s">
        <v>1010</v>
      </c>
      <c r="Q365" s="55" t="s">
        <v>350</v>
      </c>
      <c r="R365" s="55">
        <v>3</v>
      </c>
      <c r="S365" s="55"/>
      <c r="T365" s="55" t="s">
        <v>858</v>
      </c>
    </row>
    <row r="366" spans="1:20" ht="13" x14ac:dyDescent="0.15">
      <c r="A366" s="72" t="str">
        <f t="shared" si="5"/>
        <v>Ofsted Social Care Provider Webpage</v>
      </c>
      <c r="B366" s="55">
        <v>1256795</v>
      </c>
      <c r="D366" s="55" t="s">
        <v>373</v>
      </c>
      <c r="E366" s="74">
        <v>42916</v>
      </c>
      <c r="F366" s="55" t="s">
        <v>344</v>
      </c>
      <c r="G366" s="55" t="s">
        <v>360</v>
      </c>
      <c r="H366" s="55" t="s">
        <v>360</v>
      </c>
      <c r="I366" s="55" t="s">
        <v>360</v>
      </c>
      <c r="J366" s="55" t="s">
        <v>360</v>
      </c>
      <c r="K366" s="55" t="s">
        <v>360</v>
      </c>
      <c r="L366" s="55" t="s">
        <v>360</v>
      </c>
      <c r="M366" s="55" t="s">
        <v>378</v>
      </c>
      <c r="N366" s="55" t="s">
        <v>134</v>
      </c>
      <c r="O366" s="55" t="s">
        <v>206</v>
      </c>
      <c r="P366" s="55" t="s">
        <v>760</v>
      </c>
      <c r="Q366" s="55" t="s">
        <v>350</v>
      </c>
      <c r="R366" s="55">
        <v>4</v>
      </c>
      <c r="S366" s="55"/>
      <c r="T366" s="55" t="s">
        <v>489</v>
      </c>
    </row>
    <row r="367" spans="1:20" ht="13" x14ac:dyDescent="0.15">
      <c r="A367" s="72" t="str">
        <f t="shared" si="5"/>
        <v>Ofsted Social Care Provider Webpage</v>
      </c>
      <c r="B367" s="55">
        <v>1256904</v>
      </c>
      <c r="D367" s="55" t="s">
        <v>373</v>
      </c>
      <c r="E367" s="74">
        <v>42848</v>
      </c>
      <c r="F367" s="55" t="s">
        <v>344</v>
      </c>
      <c r="G367" s="55" t="s">
        <v>360</v>
      </c>
      <c r="H367" s="55" t="s">
        <v>360</v>
      </c>
      <c r="I367" s="55" t="s">
        <v>360</v>
      </c>
      <c r="J367" s="55" t="s">
        <v>360</v>
      </c>
      <c r="K367" s="55" t="s">
        <v>360</v>
      </c>
      <c r="L367" s="55" t="s">
        <v>360</v>
      </c>
      <c r="M367" s="55" t="s">
        <v>144</v>
      </c>
      <c r="N367" s="55" t="s">
        <v>144</v>
      </c>
      <c r="O367" s="55" t="s">
        <v>209</v>
      </c>
      <c r="P367" s="55" t="s">
        <v>561</v>
      </c>
      <c r="Q367" s="55" t="s">
        <v>350</v>
      </c>
      <c r="R367" s="55">
        <v>3</v>
      </c>
      <c r="S367" s="55"/>
      <c r="T367" s="55" t="s">
        <v>490</v>
      </c>
    </row>
    <row r="368" spans="1:20" ht="13" x14ac:dyDescent="0.15">
      <c r="A368" s="72" t="str">
        <f t="shared" si="5"/>
        <v>Ofsted Social Care Provider Webpage</v>
      </c>
      <c r="B368" s="55">
        <v>1256973</v>
      </c>
      <c r="D368" s="55" t="s">
        <v>373</v>
      </c>
      <c r="E368" s="74">
        <v>42951</v>
      </c>
      <c r="F368" s="55" t="s">
        <v>344</v>
      </c>
      <c r="G368" s="55" t="s">
        <v>360</v>
      </c>
      <c r="H368" s="55" t="s">
        <v>360</v>
      </c>
      <c r="I368" s="55" t="s">
        <v>360</v>
      </c>
      <c r="J368" s="55" t="s">
        <v>360</v>
      </c>
      <c r="K368" s="55" t="s">
        <v>360</v>
      </c>
      <c r="L368" s="55" t="s">
        <v>360</v>
      </c>
      <c r="M368" s="55" t="s">
        <v>150</v>
      </c>
      <c r="N368" s="55" t="s">
        <v>150</v>
      </c>
      <c r="O368" s="55" t="s">
        <v>268</v>
      </c>
      <c r="P368" s="55" t="s">
        <v>395</v>
      </c>
      <c r="Q368" s="55" t="s">
        <v>350</v>
      </c>
      <c r="R368" s="55">
        <v>6</v>
      </c>
      <c r="S368" s="55"/>
      <c r="T368" s="55" t="s">
        <v>1011</v>
      </c>
    </row>
    <row r="369" spans="1:20" ht="13" x14ac:dyDescent="0.15">
      <c r="A369" s="72" t="str">
        <f t="shared" si="5"/>
        <v>Ofsted Social Care Provider Webpage</v>
      </c>
      <c r="B369" s="55">
        <v>1257013</v>
      </c>
      <c r="D369" s="55" t="s">
        <v>373</v>
      </c>
      <c r="E369" s="74">
        <v>42936</v>
      </c>
      <c r="F369" s="55" t="s">
        <v>344</v>
      </c>
      <c r="G369" s="55" t="s">
        <v>360</v>
      </c>
      <c r="H369" s="55" t="s">
        <v>360</v>
      </c>
      <c r="I369" s="55" t="s">
        <v>360</v>
      </c>
      <c r="J369" s="55" t="s">
        <v>360</v>
      </c>
      <c r="K369" s="55" t="s">
        <v>360</v>
      </c>
      <c r="L369" s="55" t="s">
        <v>360</v>
      </c>
      <c r="M369" s="55" t="s">
        <v>172</v>
      </c>
      <c r="N369" s="55" t="s">
        <v>172</v>
      </c>
      <c r="O369" s="55" t="s">
        <v>234</v>
      </c>
      <c r="P369" s="55" t="s">
        <v>965</v>
      </c>
      <c r="Q369" s="55" t="s">
        <v>350</v>
      </c>
      <c r="R369" s="55">
        <v>6</v>
      </c>
      <c r="S369" s="55"/>
      <c r="T369" s="55" t="s">
        <v>517</v>
      </c>
    </row>
    <row r="370" spans="1:20" ht="13" x14ac:dyDescent="0.15">
      <c r="A370" s="72" t="str">
        <f t="shared" si="5"/>
        <v>Ofsted Social Care Provider Webpage</v>
      </c>
      <c r="B370" s="55">
        <v>1257022</v>
      </c>
      <c r="D370" s="55" t="s">
        <v>373</v>
      </c>
      <c r="E370" s="74">
        <v>42941</v>
      </c>
      <c r="F370" s="55" t="s">
        <v>344</v>
      </c>
      <c r="G370" s="55" t="s">
        <v>360</v>
      </c>
      <c r="H370" s="55" t="s">
        <v>360</v>
      </c>
      <c r="I370" s="55" t="s">
        <v>360</v>
      </c>
      <c r="J370" s="55" t="s">
        <v>360</v>
      </c>
      <c r="K370" s="55" t="s">
        <v>360</v>
      </c>
      <c r="L370" s="55" t="s">
        <v>360</v>
      </c>
      <c r="M370" s="55" t="s">
        <v>129</v>
      </c>
      <c r="N370" s="55" t="s">
        <v>129</v>
      </c>
      <c r="O370" s="55" t="s">
        <v>194</v>
      </c>
      <c r="P370" s="55" t="s">
        <v>1012</v>
      </c>
      <c r="Q370" s="55" t="s">
        <v>350</v>
      </c>
      <c r="R370" s="55">
        <v>6</v>
      </c>
      <c r="S370" s="55"/>
      <c r="T370" s="55" t="s">
        <v>1013</v>
      </c>
    </row>
    <row r="371" spans="1:20" ht="13" x14ac:dyDescent="0.15">
      <c r="A371" s="72" t="str">
        <f t="shared" si="5"/>
        <v>Ofsted Social Care Provider Webpage</v>
      </c>
      <c r="B371" s="55">
        <v>1257065</v>
      </c>
      <c r="D371" s="55" t="s">
        <v>373</v>
      </c>
      <c r="E371" s="74">
        <v>42908</v>
      </c>
      <c r="F371" s="55" t="s">
        <v>344</v>
      </c>
      <c r="G371" s="55" t="s">
        <v>360</v>
      </c>
      <c r="H371" s="55" t="s">
        <v>360</v>
      </c>
      <c r="I371" s="55" t="s">
        <v>360</v>
      </c>
      <c r="J371" s="55" t="s">
        <v>360</v>
      </c>
      <c r="K371" s="55" t="s">
        <v>360</v>
      </c>
      <c r="L371" s="55" t="s">
        <v>360</v>
      </c>
      <c r="M371" s="55" t="s">
        <v>150</v>
      </c>
      <c r="N371" s="55" t="s">
        <v>150</v>
      </c>
      <c r="O371" s="55" t="s">
        <v>190</v>
      </c>
      <c r="P371" s="55" t="s">
        <v>371</v>
      </c>
      <c r="Q371" s="55" t="s">
        <v>380</v>
      </c>
      <c r="R371" s="55">
        <v>4</v>
      </c>
      <c r="S371" s="55"/>
      <c r="T371" s="55" t="s">
        <v>967</v>
      </c>
    </row>
    <row r="372" spans="1:20" ht="13" x14ac:dyDescent="0.15">
      <c r="A372" s="72" t="str">
        <f t="shared" si="5"/>
        <v>Ofsted Social Care Provider Webpage</v>
      </c>
      <c r="B372" s="55">
        <v>1257073</v>
      </c>
      <c r="D372" s="55" t="s">
        <v>373</v>
      </c>
      <c r="E372" s="74">
        <v>43291</v>
      </c>
      <c r="F372" s="55" t="s">
        <v>344</v>
      </c>
      <c r="G372" s="55" t="s">
        <v>360</v>
      </c>
      <c r="H372" s="55" t="s">
        <v>360</v>
      </c>
      <c r="I372" s="55" t="s">
        <v>360</v>
      </c>
      <c r="J372" s="55" t="s">
        <v>360</v>
      </c>
      <c r="K372" s="55" t="s">
        <v>360</v>
      </c>
      <c r="L372" s="55" t="s">
        <v>360</v>
      </c>
      <c r="M372" s="55" t="s">
        <v>378</v>
      </c>
      <c r="N372" s="55" t="s">
        <v>134</v>
      </c>
      <c r="O372" s="55" t="s">
        <v>206</v>
      </c>
      <c r="P372" s="55" t="s">
        <v>760</v>
      </c>
      <c r="Q372" s="55" t="s">
        <v>350</v>
      </c>
      <c r="R372" s="55">
        <v>3</v>
      </c>
      <c r="S372" s="55"/>
      <c r="T372" s="55" t="s">
        <v>489</v>
      </c>
    </row>
    <row r="373" spans="1:20" ht="13" x14ac:dyDescent="0.15">
      <c r="A373" s="72" t="str">
        <f t="shared" si="5"/>
        <v>Ofsted Social Care Provider Webpage</v>
      </c>
      <c r="B373" s="55">
        <v>1257074</v>
      </c>
      <c r="D373" s="55" t="s">
        <v>373</v>
      </c>
      <c r="E373" s="74">
        <v>43018</v>
      </c>
      <c r="F373" s="55" t="s">
        <v>344</v>
      </c>
      <c r="G373" s="55" t="s">
        <v>360</v>
      </c>
      <c r="H373" s="55" t="s">
        <v>360</v>
      </c>
      <c r="I373" s="55" t="s">
        <v>360</v>
      </c>
      <c r="J373" s="55" t="s">
        <v>360</v>
      </c>
      <c r="K373" s="55" t="s">
        <v>360</v>
      </c>
      <c r="L373" s="55" t="s">
        <v>360</v>
      </c>
      <c r="M373" s="55" t="s">
        <v>142</v>
      </c>
      <c r="N373" s="55" t="s">
        <v>142</v>
      </c>
      <c r="O373" s="55" t="s">
        <v>195</v>
      </c>
      <c r="P373" s="55" t="s">
        <v>518</v>
      </c>
      <c r="Q373" s="55" t="s">
        <v>350</v>
      </c>
      <c r="R373" s="55">
        <v>8</v>
      </c>
      <c r="S373" s="55"/>
      <c r="T373" s="55" t="s">
        <v>1014</v>
      </c>
    </row>
    <row r="374" spans="1:20" ht="13" x14ac:dyDescent="0.15">
      <c r="A374" s="72" t="str">
        <f t="shared" si="5"/>
        <v>Ofsted Social Care Provider Webpage</v>
      </c>
      <c r="B374" s="55">
        <v>1257101</v>
      </c>
      <c r="D374" s="55" t="s">
        <v>373</v>
      </c>
      <c r="E374" s="74">
        <v>42948</v>
      </c>
      <c r="F374" s="55" t="s">
        <v>344</v>
      </c>
      <c r="G374" s="55" t="s">
        <v>360</v>
      </c>
      <c r="H374" s="55" t="s">
        <v>360</v>
      </c>
      <c r="I374" s="55" t="s">
        <v>360</v>
      </c>
      <c r="J374" s="55" t="s">
        <v>360</v>
      </c>
      <c r="K374" s="55" t="s">
        <v>360</v>
      </c>
      <c r="L374" s="55" t="s">
        <v>360</v>
      </c>
      <c r="M374" s="55" t="s">
        <v>129</v>
      </c>
      <c r="N374" s="55" t="s">
        <v>129</v>
      </c>
      <c r="O374" s="55" t="s">
        <v>139</v>
      </c>
      <c r="P374" s="55" t="s">
        <v>1015</v>
      </c>
      <c r="Q374" s="55" t="s">
        <v>350</v>
      </c>
      <c r="R374" s="55">
        <v>3</v>
      </c>
      <c r="S374" s="55"/>
      <c r="T374" s="55" t="s">
        <v>1016</v>
      </c>
    </row>
    <row r="375" spans="1:20" ht="13" x14ac:dyDescent="0.15">
      <c r="A375" s="72" t="str">
        <f t="shared" si="5"/>
        <v>Ofsted Social Care Provider Webpage</v>
      </c>
      <c r="B375" s="55">
        <v>1257182</v>
      </c>
      <c r="D375" s="55" t="s">
        <v>373</v>
      </c>
      <c r="E375" s="74">
        <v>42971</v>
      </c>
      <c r="F375" s="55" t="s">
        <v>344</v>
      </c>
      <c r="G375" s="55" t="s">
        <v>360</v>
      </c>
      <c r="H375" s="55" t="s">
        <v>360</v>
      </c>
      <c r="I375" s="55" t="s">
        <v>360</v>
      </c>
      <c r="J375" s="55" t="s">
        <v>360</v>
      </c>
      <c r="K375" s="55" t="s">
        <v>360</v>
      </c>
      <c r="L375" s="55" t="s">
        <v>360</v>
      </c>
      <c r="M375" s="55" t="s">
        <v>129</v>
      </c>
      <c r="N375" s="55" t="s">
        <v>129</v>
      </c>
      <c r="O375" s="55" t="s">
        <v>131</v>
      </c>
      <c r="P375" s="55" t="s">
        <v>1017</v>
      </c>
      <c r="Q375" s="55" t="s">
        <v>350</v>
      </c>
      <c r="R375" s="55">
        <v>2</v>
      </c>
      <c r="S375" s="55"/>
      <c r="T375" s="55" t="s">
        <v>1018</v>
      </c>
    </row>
    <row r="376" spans="1:20" ht="13" x14ac:dyDescent="0.15">
      <c r="A376" s="72" t="str">
        <f t="shared" si="5"/>
        <v>Ofsted Social Care Provider Webpage</v>
      </c>
      <c r="B376" s="55">
        <v>1257202</v>
      </c>
      <c r="D376" s="55" t="s">
        <v>373</v>
      </c>
      <c r="E376" s="74">
        <v>43088</v>
      </c>
      <c r="F376" s="55" t="s">
        <v>344</v>
      </c>
      <c r="G376" s="55" t="s">
        <v>360</v>
      </c>
      <c r="H376" s="55" t="s">
        <v>360</v>
      </c>
      <c r="I376" s="55" t="s">
        <v>360</v>
      </c>
      <c r="J376" s="55" t="s">
        <v>360</v>
      </c>
      <c r="K376" s="55" t="s">
        <v>360</v>
      </c>
      <c r="L376" s="55" t="s">
        <v>360</v>
      </c>
      <c r="M376" s="55" t="s">
        <v>142</v>
      </c>
      <c r="N376" s="55" t="s">
        <v>142</v>
      </c>
      <c r="O376" s="55" t="s">
        <v>262</v>
      </c>
      <c r="P376" s="55" t="s">
        <v>692</v>
      </c>
      <c r="Q376" s="55" t="s">
        <v>350</v>
      </c>
      <c r="R376" s="55">
        <v>4</v>
      </c>
      <c r="S376" s="55"/>
      <c r="T376" s="55" t="s">
        <v>1019</v>
      </c>
    </row>
    <row r="377" spans="1:20" ht="13" x14ac:dyDescent="0.15">
      <c r="A377" s="72" t="str">
        <f t="shared" si="5"/>
        <v>Ofsted Social Care Provider Webpage</v>
      </c>
      <c r="B377" s="55">
        <v>1257289</v>
      </c>
      <c r="D377" s="55" t="s">
        <v>373</v>
      </c>
      <c r="E377" s="74">
        <v>42943</v>
      </c>
      <c r="F377" s="55" t="s">
        <v>344</v>
      </c>
      <c r="G377" s="55" t="s">
        <v>360</v>
      </c>
      <c r="H377" s="55" t="s">
        <v>360</v>
      </c>
      <c r="I377" s="55" t="s">
        <v>360</v>
      </c>
      <c r="J377" s="55" t="s">
        <v>360</v>
      </c>
      <c r="K377" s="55" t="s">
        <v>360</v>
      </c>
      <c r="L377" s="55" t="s">
        <v>360</v>
      </c>
      <c r="M377" s="55" t="s">
        <v>129</v>
      </c>
      <c r="N377" s="55" t="s">
        <v>129</v>
      </c>
      <c r="O377" s="55" t="s">
        <v>213</v>
      </c>
      <c r="P377" s="55" t="s">
        <v>1020</v>
      </c>
      <c r="Q377" s="55" t="s">
        <v>362</v>
      </c>
      <c r="R377" s="55">
        <v>5</v>
      </c>
      <c r="S377" s="55" t="s">
        <v>332</v>
      </c>
      <c r="T377" s="55" t="s">
        <v>1021</v>
      </c>
    </row>
    <row r="378" spans="1:20" ht="13" x14ac:dyDescent="0.15">
      <c r="A378" s="72" t="str">
        <f t="shared" si="5"/>
        <v>Ofsted Social Care Provider Webpage</v>
      </c>
      <c r="B378" s="55">
        <v>1257501</v>
      </c>
      <c r="D378" s="55" t="s">
        <v>451</v>
      </c>
      <c r="E378" s="74">
        <v>42992</v>
      </c>
      <c r="F378" s="55" t="s">
        <v>344</v>
      </c>
      <c r="G378" s="55" t="s">
        <v>360</v>
      </c>
      <c r="H378" s="55" t="s">
        <v>360</v>
      </c>
      <c r="I378" s="55" t="s">
        <v>360</v>
      </c>
      <c r="J378" s="55" t="s">
        <v>360</v>
      </c>
      <c r="K378" s="55" t="s">
        <v>360</v>
      </c>
      <c r="L378" s="55" t="s">
        <v>360</v>
      </c>
      <c r="M378" s="55" t="s">
        <v>129</v>
      </c>
      <c r="N378" s="55" t="s">
        <v>129</v>
      </c>
      <c r="O378" s="55" t="s">
        <v>223</v>
      </c>
      <c r="P378" s="55" t="s">
        <v>712</v>
      </c>
      <c r="Q378" s="55" t="s">
        <v>350</v>
      </c>
      <c r="R378" s="55">
        <v>6</v>
      </c>
      <c r="S378" s="55"/>
      <c r="T378" s="55" t="s">
        <v>1022</v>
      </c>
    </row>
    <row r="379" spans="1:20" ht="13" x14ac:dyDescent="0.15">
      <c r="A379" s="72" t="str">
        <f t="shared" si="5"/>
        <v>Ofsted Social Care Provider Webpage</v>
      </c>
      <c r="B379" s="55">
        <v>1257573</v>
      </c>
      <c r="D379" s="55" t="s">
        <v>373</v>
      </c>
      <c r="E379" s="74">
        <v>42908</v>
      </c>
      <c r="F379" s="55" t="s">
        <v>344</v>
      </c>
      <c r="G379" s="55" t="s">
        <v>360</v>
      </c>
      <c r="H379" s="55" t="s">
        <v>360</v>
      </c>
      <c r="I379" s="55" t="s">
        <v>360</v>
      </c>
      <c r="J379" s="55" t="s">
        <v>360</v>
      </c>
      <c r="K379" s="55" t="s">
        <v>360</v>
      </c>
      <c r="L379" s="55" t="s">
        <v>360</v>
      </c>
      <c r="M379" s="55" t="s">
        <v>150</v>
      </c>
      <c r="N379" s="55" t="s">
        <v>150</v>
      </c>
      <c r="O379" s="55" t="s">
        <v>190</v>
      </c>
      <c r="P379" s="55" t="s">
        <v>500</v>
      </c>
      <c r="Q379" s="55" t="s">
        <v>380</v>
      </c>
      <c r="R379" s="55">
        <v>5</v>
      </c>
      <c r="S379" s="55"/>
      <c r="T379" s="55" t="s">
        <v>967</v>
      </c>
    </row>
    <row r="380" spans="1:20" ht="13" x14ac:dyDescent="0.15">
      <c r="A380" s="72" t="str">
        <f t="shared" si="5"/>
        <v>Ofsted Social Care Provider Webpage</v>
      </c>
      <c r="B380" s="55">
        <v>1257706</v>
      </c>
      <c r="D380" s="55" t="s">
        <v>373</v>
      </c>
      <c r="E380" s="74">
        <v>43263</v>
      </c>
      <c r="F380" s="55" t="s">
        <v>344</v>
      </c>
      <c r="G380" s="55" t="s">
        <v>360</v>
      </c>
      <c r="H380" s="55" t="s">
        <v>360</v>
      </c>
      <c r="I380" s="55" t="s">
        <v>360</v>
      </c>
      <c r="J380" s="55" t="s">
        <v>360</v>
      </c>
      <c r="K380" s="55" t="s">
        <v>360</v>
      </c>
      <c r="L380" s="55" t="s">
        <v>360</v>
      </c>
      <c r="M380" s="55" t="s">
        <v>378</v>
      </c>
      <c r="N380" s="55" t="s">
        <v>134</v>
      </c>
      <c r="O380" s="55" t="s">
        <v>158</v>
      </c>
      <c r="P380" s="55" t="s">
        <v>912</v>
      </c>
      <c r="Q380" s="55" t="s">
        <v>350</v>
      </c>
      <c r="R380" s="55">
        <v>2</v>
      </c>
      <c r="S380" s="55"/>
      <c r="T380" s="55" t="s">
        <v>1023</v>
      </c>
    </row>
    <row r="381" spans="1:20" ht="13" x14ac:dyDescent="0.15">
      <c r="A381" s="72" t="str">
        <f t="shared" si="5"/>
        <v>Ofsted Social Care Provider Webpage</v>
      </c>
      <c r="B381" s="55">
        <v>1257739</v>
      </c>
      <c r="D381" s="55" t="s">
        <v>373</v>
      </c>
      <c r="E381" s="74">
        <v>42957</v>
      </c>
      <c r="F381" s="55" t="s">
        <v>344</v>
      </c>
      <c r="G381" s="55" t="s">
        <v>360</v>
      </c>
      <c r="H381" s="55" t="s">
        <v>360</v>
      </c>
      <c r="I381" s="55" t="s">
        <v>360</v>
      </c>
      <c r="J381" s="55" t="s">
        <v>360</v>
      </c>
      <c r="K381" s="55" t="s">
        <v>360</v>
      </c>
      <c r="L381" s="55" t="s">
        <v>360</v>
      </c>
      <c r="M381" s="55" t="s">
        <v>144</v>
      </c>
      <c r="N381" s="55" t="s">
        <v>144</v>
      </c>
      <c r="O381" s="55" t="s">
        <v>209</v>
      </c>
      <c r="P381" s="55" t="s">
        <v>650</v>
      </c>
      <c r="Q381" s="55" t="s">
        <v>350</v>
      </c>
      <c r="R381" s="55">
        <v>3</v>
      </c>
      <c r="S381" s="55"/>
      <c r="T381" s="55" t="s">
        <v>377</v>
      </c>
    </row>
    <row r="382" spans="1:20" ht="13" x14ac:dyDescent="0.15">
      <c r="A382" s="72" t="str">
        <f t="shared" si="5"/>
        <v>Ofsted Social Care Provider Webpage</v>
      </c>
      <c r="B382" s="55">
        <v>1257740</v>
      </c>
      <c r="D382" s="55" t="s">
        <v>373</v>
      </c>
      <c r="E382" s="74">
        <v>42947</v>
      </c>
      <c r="F382" s="55" t="s">
        <v>344</v>
      </c>
      <c r="G382" s="55" t="s">
        <v>360</v>
      </c>
      <c r="H382" s="55" t="s">
        <v>360</v>
      </c>
      <c r="I382" s="55" t="s">
        <v>360</v>
      </c>
      <c r="J382" s="55" t="s">
        <v>360</v>
      </c>
      <c r="K382" s="55" t="s">
        <v>360</v>
      </c>
      <c r="L382" s="55" t="s">
        <v>360</v>
      </c>
      <c r="M382" s="55" t="s">
        <v>142</v>
      </c>
      <c r="N382" s="55" t="s">
        <v>142</v>
      </c>
      <c r="O382" s="55" t="s">
        <v>262</v>
      </c>
      <c r="P382" s="55" t="s">
        <v>949</v>
      </c>
      <c r="Q382" s="55" t="s">
        <v>350</v>
      </c>
      <c r="R382" s="55">
        <v>4</v>
      </c>
      <c r="S382" s="55"/>
      <c r="T382" s="55" t="s">
        <v>1024</v>
      </c>
    </row>
    <row r="383" spans="1:20" ht="13" x14ac:dyDescent="0.15">
      <c r="A383" s="72" t="str">
        <f t="shared" si="5"/>
        <v>Ofsted Social Care Provider Webpage</v>
      </c>
      <c r="B383" s="55">
        <v>1257796</v>
      </c>
      <c r="D383" s="55" t="s">
        <v>373</v>
      </c>
      <c r="E383" s="74">
        <v>42886</v>
      </c>
      <c r="F383" s="55" t="s">
        <v>344</v>
      </c>
      <c r="G383" s="55" t="s">
        <v>360</v>
      </c>
      <c r="H383" s="55" t="s">
        <v>360</v>
      </c>
      <c r="I383" s="55" t="s">
        <v>360</v>
      </c>
      <c r="J383" s="55" t="s">
        <v>360</v>
      </c>
      <c r="K383" s="55" t="s">
        <v>360</v>
      </c>
      <c r="L383" s="55" t="s">
        <v>360</v>
      </c>
      <c r="M383" s="55" t="s">
        <v>138</v>
      </c>
      <c r="N383" s="55" t="s">
        <v>138</v>
      </c>
      <c r="O383" s="55" t="s">
        <v>159</v>
      </c>
      <c r="P383" s="55" t="s">
        <v>1025</v>
      </c>
      <c r="Q383" s="55" t="s">
        <v>350</v>
      </c>
      <c r="R383" s="55">
        <v>12</v>
      </c>
      <c r="S383" s="55"/>
      <c r="T383" s="55" t="s">
        <v>385</v>
      </c>
    </row>
    <row r="384" spans="1:20" ht="13" x14ac:dyDescent="0.15">
      <c r="A384" s="72" t="str">
        <f t="shared" si="5"/>
        <v>Ofsted Social Care Provider Webpage</v>
      </c>
      <c r="B384" s="55">
        <v>1257929</v>
      </c>
      <c r="C384" s="55">
        <v>146516</v>
      </c>
      <c r="D384" s="55" t="s">
        <v>398</v>
      </c>
      <c r="E384" s="74">
        <v>43626</v>
      </c>
      <c r="F384" s="55" t="s">
        <v>344</v>
      </c>
      <c r="G384" s="55" t="s">
        <v>1026</v>
      </c>
      <c r="H384" s="55" t="s">
        <v>1027</v>
      </c>
      <c r="I384" s="55" t="s">
        <v>1028</v>
      </c>
      <c r="J384" s="55" t="s">
        <v>402</v>
      </c>
      <c r="L384" s="55" t="s">
        <v>1029</v>
      </c>
      <c r="M384" s="55" t="s">
        <v>150</v>
      </c>
      <c r="N384" s="55" t="s">
        <v>150</v>
      </c>
      <c r="O384" s="55" t="s">
        <v>237</v>
      </c>
      <c r="P384" s="55" t="s">
        <v>404</v>
      </c>
      <c r="Q384" s="55" t="s">
        <v>350</v>
      </c>
      <c r="R384" s="55">
        <v>300</v>
      </c>
      <c r="S384" s="55"/>
      <c r="T384" s="55" t="s">
        <v>1030</v>
      </c>
    </row>
    <row r="385" spans="1:20" ht="13" x14ac:dyDescent="0.15">
      <c r="A385" s="72" t="str">
        <f t="shared" si="5"/>
        <v>Ofsted Social Care Provider Webpage</v>
      </c>
      <c r="B385" s="55">
        <v>1258033</v>
      </c>
      <c r="D385" s="55" t="s">
        <v>451</v>
      </c>
      <c r="E385" s="74">
        <v>43159</v>
      </c>
      <c r="F385" s="55" t="s">
        <v>344</v>
      </c>
      <c r="G385" s="55" t="s">
        <v>1031</v>
      </c>
      <c r="H385" s="55" t="s">
        <v>1032</v>
      </c>
      <c r="I385" s="55" t="s">
        <v>354</v>
      </c>
      <c r="J385" s="55" t="s">
        <v>576</v>
      </c>
      <c r="K385" s="55" t="s">
        <v>183</v>
      </c>
      <c r="L385" s="55" t="s">
        <v>1033</v>
      </c>
      <c r="M385" s="55" t="s">
        <v>138</v>
      </c>
      <c r="N385" s="55" t="s">
        <v>138</v>
      </c>
      <c r="O385" s="55" t="s">
        <v>183</v>
      </c>
      <c r="P385" s="55" t="s">
        <v>576</v>
      </c>
      <c r="Q385" s="55" t="s">
        <v>350</v>
      </c>
      <c r="R385" s="55">
        <v>4</v>
      </c>
      <c r="S385" s="55"/>
      <c r="T385" s="55" t="s">
        <v>1031</v>
      </c>
    </row>
    <row r="386" spans="1:20" ht="13" x14ac:dyDescent="0.15">
      <c r="A386" s="72" t="str">
        <f t="shared" si="5"/>
        <v>Ofsted Social Care Provider Webpage</v>
      </c>
      <c r="B386" s="55">
        <v>1258089</v>
      </c>
      <c r="D386" s="55" t="s">
        <v>373</v>
      </c>
      <c r="E386" s="74">
        <v>43133</v>
      </c>
      <c r="F386" s="55" t="s">
        <v>344</v>
      </c>
      <c r="G386" s="55" t="s">
        <v>360</v>
      </c>
      <c r="H386" s="55" t="s">
        <v>360</v>
      </c>
      <c r="I386" s="55" t="s">
        <v>360</v>
      </c>
      <c r="J386" s="55" t="s">
        <v>360</v>
      </c>
      <c r="K386" s="55" t="s">
        <v>360</v>
      </c>
      <c r="L386" s="55" t="s">
        <v>360</v>
      </c>
      <c r="M386" s="55" t="s">
        <v>378</v>
      </c>
      <c r="N386" s="55" t="s">
        <v>134</v>
      </c>
      <c r="O386" s="55" t="s">
        <v>277</v>
      </c>
      <c r="P386" s="55" t="s">
        <v>1034</v>
      </c>
      <c r="Q386" s="55" t="s">
        <v>350</v>
      </c>
      <c r="R386" s="55">
        <v>4</v>
      </c>
      <c r="S386" s="55"/>
      <c r="T386" s="55" t="s">
        <v>489</v>
      </c>
    </row>
    <row r="387" spans="1:20" ht="13" x14ac:dyDescent="0.15">
      <c r="A387" s="72" t="str">
        <f t="shared" si="5"/>
        <v>Ofsted Social Care Provider Webpage</v>
      </c>
      <c r="B387" s="55">
        <v>1258091</v>
      </c>
      <c r="D387" s="55" t="s">
        <v>373</v>
      </c>
      <c r="E387" s="74">
        <v>42967</v>
      </c>
      <c r="F387" s="55" t="s">
        <v>344</v>
      </c>
      <c r="G387" s="55" t="s">
        <v>360</v>
      </c>
      <c r="H387" s="55" t="s">
        <v>360</v>
      </c>
      <c r="I387" s="55" t="s">
        <v>360</v>
      </c>
      <c r="J387" s="55" t="s">
        <v>360</v>
      </c>
      <c r="K387" s="55" t="s">
        <v>360</v>
      </c>
      <c r="L387" s="55" t="s">
        <v>360</v>
      </c>
      <c r="M387" s="55" t="s">
        <v>142</v>
      </c>
      <c r="N387" s="55" t="s">
        <v>142</v>
      </c>
      <c r="O387" s="55" t="s">
        <v>262</v>
      </c>
      <c r="P387" s="55" t="s">
        <v>1035</v>
      </c>
      <c r="Q387" s="55" t="s">
        <v>350</v>
      </c>
      <c r="R387" s="55">
        <v>5</v>
      </c>
      <c r="S387" s="55"/>
      <c r="T387" s="55" t="s">
        <v>385</v>
      </c>
    </row>
    <row r="388" spans="1:20" ht="13" x14ac:dyDescent="0.15">
      <c r="A388" s="72" t="str">
        <f t="shared" si="5"/>
        <v>Ofsted Social Care Provider Webpage</v>
      </c>
      <c r="B388" s="55">
        <v>1258092</v>
      </c>
      <c r="D388" s="55" t="s">
        <v>373</v>
      </c>
      <c r="E388" s="74">
        <v>42977</v>
      </c>
      <c r="F388" s="55" t="s">
        <v>344</v>
      </c>
      <c r="G388" s="55" t="s">
        <v>360</v>
      </c>
      <c r="H388" s="55" t="s">
        <v>360</v>
      </c>
      <c r="I388" s="55" t="s">
        <v>360</v>
      </c>
      <c r="J388" s="55" t="s">
        <v>360</v>
      </c>
      <c r="K388" s="55" t="s">
        <v>360</v>
      </c>
      <c r="L388" s="55" t="s">
        <v>360</v>
      </c>
      <c r="M388" s="55" t="s">
        <v>138</v>
      </c>
      <c r="N388" s="55" t="s">
        <v>138</v>
      </c>
      <c r="O388" s="55" t="s">
        <v>183</v>
      </c>
      <c r="P388" s="55" t="s">
        <v>508</v>
      </c>
      <c r="Q388" s="55" t="s">
        <v>350</v>
      </c>
      <c r="R388" s="55">
        <v>4</v>
      </c>
      <c r="S388" s="55"/>
      <c r="T388" s="55" t="s">
        <v>385</v>
      </c>
    </row>
    <row r="389" spans="1:20" ht="13" x14ac:dyDescent="0.15">
      <c r="A389" s="72" t="str">
        <f t="shared" ref="A389:A452" si="6">HYPERLINK(_xlfn.CONCAT("http://reports.ofsted.gov.uk/inspection-reports/find-inspection-report/provider/CARE/",B389),"Ofsted Social Care Provider Webpage")</f>
        <v>Ofsted Social Care Provider Webpage</v>
      </c>
      <c r="B389" s="55">
        <v>1258134</v>
      </c>
      <c r="D389" s="55" t="s">
        <v>373</v>
      </c>
      <c r="E389" s="74">
        <v>42961</v>
      </c>
      <c r="F389" s="55" t="s">
        <v>344</v>
      </c>
      <c r="G389" s="55" t="s">
        <v>360</v>
      </c>
      <c r="H389" s="55" t="s">
        <v>360</v>
      </c>
      <c r="I389" s="55" t="s">
        <v>360</v>
      </c>
      <c r="J389" s="55" t="s">
        <v>360</v>
      </c>
      <c r="K389" s="55" t="s">
        <v>360</v>
      </c>
      <c r="L389" s="55" t="s">
        <v>360</v>
      </c>
      <c r="M389" s="55" t="s">
        <v>172</v>
      </c>
      <c r="N389" s="55" t="s">
        <v>172</v>
      </c>
      <c r="O389" s="55" t="s">
        <v>235</v>
      </c>
      <c r="P389" s="55" t="s">
        <v>1036</v>
      </c>
      <c r="Q389" s="55" t="s">
        <v>350</v>
      </c>
      <c r="R389" s="55">
        <v>5</v>
      </c>
      <c r="S389" s="55"/>
      <c r="T389" s="55" t="s">
        <v>962</v>
      </c>
    </row>
    <row r="390" spans="1:20" ht="13" x14ac:dyDescent="0.15">
      <c r="A390" s="72" t="str">
        <f t="shared" si="6"/>
        <v>Ofsted Social Care Provider Webpage</v>
      </c>
      <c r="B390" s="55">
        <v>1258276</v>
      </c>
      <c r="D390" s="55" t="s">
        <v>373</v>
      </c>
      <c r="E390" s="74">
        <v>42887</v>
      </c>
      <c r="F390" s="55" t="s">
        <v>344</v>
      </c>
      <c r="G390" s="55" t="s">
        <v>360</v>
      </c>
      <c r="H390" s="55" t="s">
        <v>360</v>
      </c>
      <c r="I390" s="55" t="s">
        <v>360</v>
      </c>
      <c r="J390" s="55" t="s">
        <v>360</v>
      </c>
      <c r="K390" s="55" t="s">
        <v>360</v>
      </c>
      <c r="L390" s="55" t="s">
        <v>360</v>
      </c>
      <c r="M390" s="55" t="s">
        <v>138</v>
      </c>
      <c r="N390" s="55" t="s">
        <v>138</v>
      </c>
      <c r="O390" s="55" t="s">
        <v>266</v>
      </c>
      <c r="P390" s="55" t="s">
        <v>934</v>
      </c>
      <c r="Q390" s="55" t="s">
        <v>350</v>
      </c>
      <c r="R390" s="55">
        <v>6</v>
      </c>
      <c r="S390" s="55" t="s">
        <v>332</v>
      </c>
      <c r="T390" s="55" t="s">
        <v>935</v>
      </c>
    </row>
    <row r="391" spans="1:20" ht="13" x14ac:dyDescent="0.15">
      <c r="A391" s="72" t="str">
        <f t="shared" si="6"/>
        <v>Ofsted Social Care Provider Webpage</v>
      </c>
      <c r="B391" s="55">
        <v>1258343</v>
      </c>
      <c r="D391" s="55" t="s">
        <v>373</v>
      </c>
      <c r="E391" s="74">
        <v>42997</v>
      </c>
      <c r="F391" s="55" t="s">
        <v>344</v>
      </c>
      <c r="G391" s="55" t="s">
        <v>360</v>
      </c>
      <c r="H391" s="55" t="s">
        <v>360</v>
      </c>
      <c r="I391" s="55" t="s">
        <v>360</v>
      </c>
      <c r="J391" s="55" t="s">
        <v>360</v>
      </c>
      <c r="K391" s="55" t="s">
        <v>360</v>
      </c>
      <c r="L391" s="55" t="s">
        <v>360</v>
      </c>
      <c r="M391" s="55" t="s">
        <v>136</v>
      </c>
      <c r="N391" s="55" t="s">
        <v>136</v>
      </c>
      <c r="O391" s="55" t="s">
        <v>288</v>
      </c>
      <c r="P391" s="55" t="s">
        <v>1037</v>
      </c>
      <c r="Q391" s="55" t="s">
        <v>350</v>
      </c>
      <c r="R391" s="55">
        <v>4</v>
      </c>
      <c r="S391" s="55"/>
      <c r="T391" s="55" t="s">
        <v>888</v>
      </c>
    </row>
    <row r="392" spans="1:20" ht="13" x14ac:dyDescent="0.15">
      <c r="A392" s="72" t="str">
        <f t="shared" si="6"/>
        <v>Ofsted Social Care Provider Webpage</v>
      </c>
      <c r="B392" s="55">
        <v>1258386</v>
      </c>
      <c r="D392" s="55" t="s">
        <v>373</v>
      </c>
      <c r="E392" s="74">
        <v>42982</v>
      </c>
      <c r="F392" s="55" t="s">
        <v>344</v>
      </c>
      <c r="G392" s="55" t="s">
        <v>360</v>
      </c>
      <c r="H392" s="55" t="s">
        <v>360</v>
      </c>
      <c r="I392" s="55" t="s">
        <v>360</v>
      </c>
      <c r="J392" s="55" t="s">
        <v>360</v>
      </c>
      <c r="K392" s="55" t="s">
        <v>360</v>
      </c>
      <c r="L392" s="55" t="s">
        <v>360</v>
      </c>
      <c r="M392" s="55" t="s">
        <v>150</v>
      </c>
      <c r="N392" s="55" t="s">
        <v>150</v>
      </c>
      <c r="O392" s="55" t="s">
        <v>203</v>
      </c>
      <c r="P392" s="55" t="s">
        <v>1038</v>
      </c>
      <c r="Q392" s="55" t="s">
        <v>350</v>
      </c>
      <c r="R392" s="55">
        <v>3</v>
      </c>
      <c r="S392" s="55"/>
      <c r="T392" s="55" t="s">
        <v>1039</v>
      </c>
    </row>
    <row r="393" spans="1:20" ht="13" x14ac:dyDescent="0.15">
      <c r="A393" s="72" t="str">
        <f t="shared" si="6"/>
        <v>Ofsted Social Care Provider Webpage</v>
      </c>
      <c r="B393" s="55">
        <v>1258388</v>
      </c>
      <c r="D393" s="55" t="s">
        <v>358</v>
      </c>
      <c r="E393" s="74">
        <v>42929</v>
      </c>
      <c r="F393" s="55" t="s">
        <v>344</v>
      </c>
      <c r="G393" s="55" t="s">
        <v>1040</v>
      </c>
      <c r="H393" s="55" t="s">
        <v>360</v>
      </c>
      <c r="I393" s="55" t="s">
        <v>360</v>
      </c>
      <c r="J393" s="55" t="s">
        <v>360</v>
      </c>
      <c r="K393" s="55" t="s">
        <v>360</v>
      </c>
      <c r="L393" s="55" t="s">
        <v>360</v>
      </c>
      <c r="M393" s="55" t="s">
        <v>129</v>
      </c>
      <c r="N393" s="55" t="s">
        <v>129</v>
      </c>
      <c r="O393" s="55" t="s">
        <v>201</v>
      </c>
      <c r="P393" s="55" t="s">
        <v>431</v>
      </c>
      <c r="Q393" s="55" t="s">
        <v>362</v>
      </c>
      <c r="R393" s="55"/>
      <c r="S393" s="55"/>
      <c r="T393" s="55" t="s">
        <v>1041</v>
      </c>
    </row>
    <row r="394" spans="1:20" ht="13" x14ac:dyDescent="0.15">
      <c r="A394" s="72" t="str">
        <f t="shared" si="6"/>
        <v>Ofsted Social Care Provider Webpage</v>
      </c>
      <c r="B394" s="55">
        <v>1258434</v>
      </c>
      <c r="D394" s="55" t="s">
        <v>373</v>
      </c>
      <c r="E394" s="74">
        <v>43089</v>
      </c>
      <c r="F394" s="55" t="s">
        <v>344</v>
      </c>
      <c r="G394" s="55" t="s">
        <v>360</v>
      </c>
      <c r="H394" s="55" t="s">
        <v>360</v>
      </c>
      <c r="I394" s="55" t="s">
        <v>360</v>
      </c>
      <c r="J394" s="55" t="s">
        <v>360</v>
      </c>
      <c r="K394" s="55" t="s">
        <v>360</v>
      </c>
      <c r="L394" s="55" t="s">
        <v>360</v>
      </c>
      <c r="M394" s="55" t="s">
        <v>142</v>
      </c>
      <c r="N394" s="55" t="s">
        <v>142</v>
      </c>
      <c r="O394" s="55" t="s">
        <v>278</v>
      </c>
      <c r="P394" s="55" t="s">
        <v>1042</v>
      </c>
      <c r="Q394" s="55" t="s">
        <v>350</v>
      </c>
      <c r="R394" s="55">
        <v>4</v>
      </c>
      <c r="S394" s="55"/>
      <c r="T394" s="55" t="s">
        <v>489</v>
      </c>
    </row>
    <row r="395" spans="1:20" ht="13" x14ac:dyDescent="0.15">
      <c r="A395" s="72" t="str">
        <f t="shared" si="6"/>
        <v>Ofsted Social Care Provider Webpage</v>
      </c>
      <c r="B395" s="55">
        <v>1258436</v>
      </c>
      <c r="D395" s="55" t="s">
        <v>389</v>
      </c>
      <c r="E395" s="74">
        <v>42989</v>
      </c>
      <c r="F395" s="55" t="s">
        <v>344</v>
      </c>
      <c r="G395" s="55" t="s">
        <v>1043</v>
      </c>
      <c r="H395" s="55" t="s">
        <v>1044</v>
      </c>
      <c r="I395" s="55" t="s">
        <v>1045</v>
      </c>
      <c r="J395" s="55" t="s">
        <v>1046</v>
      </c>
      <c r="K395" s="55" t="s">
        <v>142</v>
      </c>
      <c r="L395" s="55" t="s">
        <v>1047</v>
      </c>
      <c r="M395" s="55" t="s">
        <v>142</v>
      </c>
      <c r="N395" s="55" t="s">
        <v>142</v>
      </c>
      <c r="O395" s="55" t="s">
        <v>254</v>
      </c>
      <c r="P395" s="55" t="s">
        <v>1048</v>
      </c>
      <c r="Q395" s="55" t="s">
        <v>350</v>
      </c>
      <c r="R395" s="55"/>
      <c r="S395" s="55"/>
      <c r="T395" s="55" t="s">
        <v>1043</v>
      </c>
    </row>
    <row r="396" spans="1:20" ht="13" x14ac:dyDescent="0.15">
      <c r="A396" s="72" t="str">
        <f t="shared" si="6"/>
        <v>Ofsted Social Care Provider Webpage</v>
      </c>
      <c r="B396" s="55">
        <v>1258463</v>
      </c>
      <c r="D396" s="55" t="s">
        <v>373</v>
      </c>
      <c r="E396" s="74">
        <v>43039</v>
      </c>
      <c r="F396" s="55" t="s">
        <v>344</v>
      </c>
      <c r="G396" s="55" t="s">
        <v>360</v>
      </c>
      <c r="H396" s="55" t="s">
        <v>360</v>
      </c>
      <c r="I396" s="55" t="s">
        <v>360</v>
      </c>
      <c r="J396" s="55" t="s">
        <v>360</v>
      </c>
      <c r="K396" s="55" t="s">
        <v>360</v>
      </c>
      <c r="L396" s="55" t="s">
        <v>360</v>
      </c>
      <c r="M396" s="55" t="s">
        <v>150</v>
      </c>
      <c r="N396" s="55" t="s">
        <v>150</v>
      </c>
      <c r="O396" s="55" t="s">
        <v>203</v>
      </c>
      <c r="P396" s="55" t="s">
        <v>593</v>
      </c>
      <c r="Q396" s="55" t="s">
        <v>350</v>
      </c>
      <c r="R396" s="55">
        <v>1</v>
      </c>
      <c r="S396" s="55"/>
      <c r="T396" s="55" t="s">
        <v>594</v>
      </c>
    </row>
    <row r="397" spans="1:20" ht="13" x14ac:dyDescent="0.15">
      <c r="A397" s="72" t="str">
        <f t="shared" si="6"/>
        <v>Ofsted Social Care Provider Webpage</v>
      </c>
      <c r="B397" s="55">
        <v>1258627</v>
      </c>
      <c r="D397" s="55" t="s">
        <v>373</v>
      </c>
      <c r="E397" s="74">
        <v>42926</v>
      </c>
      <c r="F397" s="55" t="s">
        <v>344</v>
      </c>
      <c r="G397" s="55" t="s">
        <v>360</v>
      </c>
      <c r="H397" s="55" t="s">
        <v>360</v>
      </c>
      <c r="I397" s="55" t="s">
        <v>360</v>
      </c>
      <c r="J397" s="55" t="s">
        <v>360</v>
      </c>
      <c r="K397" s="55" t="s">
        <v>360</v>
      </c>
      <c r="L397" s="55" t="s">
        <v>360</v>
      </c>
      <c r="M397" s="55" t="s">
        <v>378</v>
      </c>
      <c r="N397" s="55" t="s">
        <v>134</v>
      </c>
      <c r="O397" s="55" t="s">
        <v>175</v>
      </c>
      <c r="P397" s="55" t="s">
        <v>932</v>
      </c>
      <c r="Q397" s="55" t="s">
        <v>362</v>
      </c>
      <c r="R397" s="55">
        <v>4</v>
      </c>
      <c r="S397" s="55"/>
      <c r="T397" s="55" t="s">
        <v>1049</v>
      </c>
    </row>
    <row r="398" spans="1:20" ht="13" x14ac:dyDescent="0.15">
      <c r="A398" s="72" t="str">
        <f t="shared" si="6"/>
        <v>Ofsted Social Care Provider Webpage</v>
      </c>
      <c r="B398" s="55">
        <v>1258658</v>
      </c>
      <c r="D398" s="55" t="s">
        <v>373</v>
      </c>
      <c r="E398" s="74">
        <v>42993</v>
      </c>
      <c r="F398" s="55" t="s">
        <v>344</v>
      </c>
      <c r="G398" s="55" t="s">
        <v>360</v>
      </c>
      <c r="H398" s="55" t="s">
        <v>360</v>
      </c>
      <c r="I398" s="55" t="s">
        <v>360</v>
      </c>
      <c r="J398" s="55" t="s">
        <v>360</v>
      </c>
      <c r="K398" s="55" t="s">
        <v>360</v>
      </c>
      <c r="L398" s="55" t="s">
        <v>360</v>
      </c>
      <c r="M398" s="55" t="s">
        <v>138</v>
      </c>
      <c r="N398" s="55" t="s">
        <v>138</v>
      </c>
      <c r="O398" s="55" t="s">
        <v>183</v>
      </c>
      <c r="P398" s="55" t="s">
        <v>1050</v>
      </c>
      <c r="Q398" s="55" t="s">
        <v>350</v>
      </c>
      <c r="R398" s="55">
        <v>4</v>
      </c>
      <c r="S398" s="55"/>
      <c r="T398" s="55" t="s">
        <v>617</v>
      </c>
    </row>
    <row r="399" spans="1:20" ht="13" x14ac:dyDescent="0.15">
      <c r="A399" s="72" t="str">
        <f t="shared" si="6"/>
        <v>Ofsted Social Care Provider Webpage</v>
      </c>
      <c r="B399" s="55">
        <v>1258831</v>
      </c>
      <c r="D399" s="55" t="s">
        <v>373</v>
      </c>
      <c r="E399" s="74">
        <v>42951</v>
      </c>
      <c r="F399" s="55" t="s">
        <v>344</v>
      </c>
      <c r="G399" s="55" t="s">
        <v>360</v>
      </c>
      <c r="H399" s="55" t="s">
        <v>360</v>
      </c>
      <c r="I399" s="55" t="s">
        <v>360</v>
      </c>
      <c r="J399" s="55" t="s">
        <v>360</v>
      </c>
      <c r="K399" s="55" t="s">
        <v>360</v>
      </c>
      <c r="L399" s="55" t="s">
        <v>360</v>
      </c>
      <c r="M399" s="55" t="s">
        <v>150</v>
      </c>
      <c r="N399" s="55" t="s">
        <v>150</v>
      </c>
      <c r="O399" s="55" t="s">
        <v>190</v>
      </c>
      <c r="P399" s="55" t="s">
        <v>830</v>
      </c>
      <c r="Q399" s="55" t="s">
        <v>350</v>
      </c>
      <c r="R399" s="55">
        <v>3</v>
      </c>
      <c r="S399" s="55"/>
      <c r="T399" s="55" t="s">
        <v>1051</v>
      </c>
    </row>
    <row r="400" spans="1:20" ht="13" x14ac:dyDescent="0.15">
      <c r="A400" s="72" t="str">
        <f t="shared" si="6"/>
        <v>Ofsted Social Care Provider Webpage</v>
      </c>
      <c r="B400" s="55">
        <v>1258887</v>
      </c>
      <c r="D400" s="55" t="s">
        <v>373</v>
      </c>
      <c r="E400" s="74">
        <v>43112</v>
      </c>
      <c r="F400" s="55" t="s">
        <v>344</v>
      </c>
      <c r="G400" s="55" t="s">
        <v>360</v>
      </c>
      <c r="H400" s="55" t="s">
        <v>360</v>
      </c>
      <c r="I400" s="55" t="s">
        <v>360</v>
      </c>
      <c r="J400" s="55" t="s">
        <v>360</v>
      </c>
      <c r="K400" s="55" t="s">
        <v>360</v>
      </c>
      <c r="L400" s="55" t="s">
        <v>360</v>
      </c>
      <c r="M400" s="55" t="s">
        <v>142</v>
      </c>
      <c r="N400" s="55" t="s">
        <v>142</v>
      </c>
      <c r="O400" s="55" t="s">
        <v>292</v>
      </c>
      <c r="P400" s="55" t="s">
        <v>1052</v>
      </c>
      <c r="Q400" s="55" t="s">
        <v>350</v>
      </c>
      <c r="R400" s="55">
        <v>4</v>
      </c>
      <c r="S400" s="55"/>
      <c r="T400" s="55" t="s">
        <v>1053</v>
      </c>
    </row>
    <row r="401" spans="1:20" ht="13" x14ac:dyDescent="0.15">
      <c r="A401" s="72" t="str">
        <f t="shared" si="6"/>
        <v>Ofsted Social Care Provider Webpage</v>
      </c>
      <c r="B401" s="55">
        <v>1258890</v>
      </c>
      <c r="D401" s="55" t="s">
        <v>389</v>
      </c>
      <c r="E401" s="74">
        <v>43045</v>
      </c>
      <c r="F401" s="55" t="s">
        <v>344</v>
      </c>
      <c r="G401" s="55" t="s">
        <v>1054</v>
      </c>
      <c r="H401" s="55" t="s">
        <v>1055</v>
      </c>
      <c r="I401" s="55" t="s">
        <v>1056</v>
      </c>
      <c r="J401" s="55" t="s">
        <v>1057</v>
      </c>
      <c r="L401" s="55" t="s">
        <v>1058</v>
      </c>
      <c r="M401" s="55" t="s">
        <v>138</v>
      </c>
      <c r="N401" s="55" t="s">
        <v>138</v>
      </c>
      <c r="O401" s="55" t="s">
        <v>196</v>
      </c>
      <c r="P401" s="55" t="s">
        <v>1059</v>
      </c>
      <c r="Q401" s="55" t="s">
        <v>350</v>
      </c>
      <c r="R401" s="55"/>
      <c r="S401" s="55"/>
      <c r="T401" s="55" t="s">
        <v>1054</v>
      </c>
    </row>
    <row r="402" spans="1:20" ht="13" x14ac:dyDescent="0.15">
      <c r="A402" s="72" t="str">
        <f t="shared" si="6"/>
        <v>Ofsted Social Care Provider Webpage</v>
      </c>
      <c r="B402" s="55">
        <v>1258893</v>
      </c>
      <c r="D402" s="55" t="s">
        <v>373</v>
      </c>
      <c r="E402" s="74">
        <v>42991</v>
      </c>
      <c r="F402" s="55" t="s">
        <v>344</v>
      </c>
      <c r="G402" s="55" t="s">
        <v>360</v>
      </c>
      <c r="H402" s="55" t="s">
        <v>360</v>
      </c>
      <c r="I402" s="55" t="s">
        <v>360</v>
      </c>
      <c r="J402" s="55" t="s">
        <v>360</v>
      </c>
      <c r="K402" s="55" t="s">
        <v>360</v>
      </c>
      <c r="L402" s="55" t="s">
        <v>360</v>
      </c>
      <c r="M402" s="55" t="s">
        <v>142</v>
      </c>
      <c r="N402" s="55" t="s">
        <v>142</v>
      </c>
      <c r="O402" s="55" t="s">
        <v>293</v>
      </c>
      <c r="P402" s="55" t="s">
        <v>1060</v>
      </c>
      <c r="Q402" s="55" t="s">
        <v>350</v>
      </c>
      <c r="R402" s="55">
        <v>2</v>
      </c>
      <c r="S402" s="55"/>
      <c r="T402" s="55" t="s">
        <v>1061</v>
      </c>
    </row>
    <row r="403" spans="1:20" ht="13" x14ac:dyDescent="0.15">
      <c r="A403" s="72" t="str">
        <f t="shared" si="6"/>
        <v>Ofsted Social Care Provider Webpage</v>
      </c>
      <c r="B403" s="55">
        <v>1258894</v>
      </c>
      <c r="D403" s="55" t="s">
        <v>373</v>
      </c>
      <c r="E403" s="74">
        <v>42950</v>
      </c>
      <c r="F403" s="55" t="s">
        <v>344</v>
      </c>
      <c r="G403" s="55" t="s">
        <v>360</v>
      </c>
      <c r="H403" s="55" t="s">
        <v>360</v>
      </c>
      <c r="I403" s="55" t="s">
        <v>360</v>
      </c>
      <c r="J403" s="55" t="s">
        <v>360</v>
      </c>
      <c r="K403" s="55" t="s">
        <v>360</v>
      </c>
      <c r="L403" s="55" t="s">
        <v>360</v>
      </c>
      <c r="M403" s="55" t="s">
        <v>172</v>
      </c>
      <c r="N403" s="55" t="s">
        <v>172</v>
      </c>
      <c r="O403" s="55" t="s">
        <v>211</v>
      </c>
      <c r="P403" s="55" t="s">
        <v>1062</v>
      </c>
      <c r="Q403" s="55" t="s">
        <v>350</v>
      </c>
      <c r="R403" s="55">
        <v>6</v>
      </c>
      <c r="S403" s="55"/>
      <c r="T403" s="55" t="s">
        <v>1063</v>
      </c>
    </row>
    <row r="404" spans="1:20" ht="13" x14ac:dyDescent="0.15">
      <c r="A404" s="72" t="str">
        <f t="shared" si="6"/>
        <v>Ofsted Social Care Provider Webpage</v>
      </c>
      <c r="B404" s="55">
        <v>1258975</v>
      </c>
      <c r="D404" s="55" t="s">
        <v>373</v>
      </c>
      <c r="E404" s="74">
        <v>43024</v>
      </c>
      <c r="F404" s="55" t="s">
        <v>344</v>
      </c>
      <c r="G404" s="55" t="s">
        <v>360</v>
      </c>
      <c r="H404" s="55" t="s">
        <v>360</v>
      </c>
      <c r="I404" s="55" t="s">
        <v>360</v>
      </c>
      <c r="J404" s="55" t="s">
        <v>360</v>
      </c>
      <c r="K404" s="55" t="s">
        <v>360</v>
      </c>
      <c r="L404" s="55" t="s">
        <v>360</v>
      </c>
      <c r="M404" s="55" t="s">
        <v>144</v>
      </c>
      <c r="N404" s="55" t="s">
        <v>144</v>
      </c>
      <c r="O404" s="55" t="s">
        <v>236</v>
      </c>
      <c r="P404" s="55" t="s">
        <v>996</v>
      </c>
      <c r="Q404" s="55" t="s">
        <v>350</v>
      </c>
      <c r="R404" s="55">
        <v>3</v>
      </c>
      <c r="S404" s="55"/>
      <c r="T404" s="55" t="s">
        <v>1064</v>
      </c>
    </row>
    <row r="405" spans="1:20" ht="13" x14ac:dyDescent="0.15">
      <c r="A405" s="72" t="str">
        <f t="shared" si="6"/>
        <v>Ofsted Social Care Provider Webpage</v>
      </c>
      <c r="B405" s="55">
        <v>1259061</v>
      </c>
      <c r="D405" s="55" t="s">
        <v>373</v>
      </c>
      <c r="E405" s="74">
        <v>42986</v>
      </c>
      <c r="F405" s="55" t="s">
        <v>344</v>
      </c>
      <c r="G405" s="55" t="s">
        <v>360</v>
      </c>
      <c r="H405" s="55" t="s">
        <v>360</v>
      </c>
      <c r="I405" s="55" t="s">
        <v>360</v>
      </c>
      <c r="J405" s="55" t="s">
        <v>360</v>
      </c>
      <c r="K405" s="55" t="s">
        <v>360</v>
      </c>
      <c r="L405" s="55" t="s">
        <v>360</v>
      </c>
      <c r="M405" s="55" t="s">
        <v>144</v>
      </c>
      <c r="N405" s="55" t="s">
        <v>144</v>
      </c>
      <c r="O405" s="55" t="s">
        <v>209</v>
      </c>
      <c r="P405" s="55" t="s">
        <v>484</v>
      </c>
      <c r="Q405" s="55" t="s">
        <v>350</v>
      </c>
      <c r="R405" s="55">
        <v>2</v>
      </c>
      <c r="S405" s="55"/>
      <c r="T405" s="55" t="s">
        <v>1065</v>
      </c>
    </row>
    <row r="406" spans="1:20" ht="13" x14ac:dyDescent="0.15">
      <c r="A406" s="72" t="str">
        <f t="shared" si="6"/>
        <v>Ofsted Social Care Provider Webpage</v>
      </c>
      <c r="B406" s="55">
        <v>1259114</v>
      </c>
      <c r="D406" s="55" t="s">
        <v>373</v>
      </c>
      <c r="E406" s="74">
        <v>43125</v>
      </c>
      <c r="F406" s="55" t="s">
        <v>344</v>
      </c>
      <c r="G406" s="55" t="s">
        <v>360</v>
      </c>
      <c r="H406" s="55" t="s">
        <v>360</v>
      </c>
      <c r="I406" s="55" t="s">
        <v>360</v>
      </c>
      <c r="J406" s="55" t="s">
        <v>360</v>
      </c>
      <c r="K406" s="55" t="s">
        <v>360</v>
      </c>
      <c r="L406" s="55" t="s">
        <v>360</v>
      </c>
      <c r="M406" s="55" t="s">
        <v>142</v>
      </c>
      <c r="N406" s="55" t="s">
        <v>142</v>
      </c>
      <c r="O406" s="55" t="s">
        <v>262</v>
      </c>
      <c r="P406" s="55" t="s">
        <v>916</v>
      </c>
      <c r="Q406" s="55" t="s">
        <v>350</v>
      </c>
      <c r="R406" s="55">
        <v>3</v>
      </c>
      <c r="S406" s="55"/>
      <c r="T406" s="55" t="s">
        <v>917</v>
      </c>
    </row>
    <row r="407" spans="1:20" ht="13" x14ac:dyDescent="0.15">
      <c r="A407" s="72" t="str">
        <f t="shared" si="6"/>
        <v>Ofsted Social Care Provider Webpage</v>
      </c>
      <c r="B407" s="55">
        <v>1259118</v>
      </c>
      <c r="D407" s="55" t="s">
        <v>373</v>
      </c>
      <c r="E407" s="74">
        <v>42901</v>
      </c>
      <c r="F407" s="55" t="s">
        <v>344</v>
      </c>
      <c r="G407" s="55" t="s">
        <v>360</v>
      </c>
      <c r="H407" s="55" t="s">
        <v>360</v>
      </c>
      <c r="I407" s="55" t="s">
        <v>360</v>
      </c>
      <c r="J407" s="55" t="s">
        <v>360</v>
      </c>
      <c r="K407" s="55" t="s">
        <v>360</v>
      </c>
      <c r="L407" s="55" t="s">
        <v>360</v>
      </c>
      <c r="M407" s="55" t="s">
        <v>142</v>
      </c>
      <c r="N407" s="55" t="s">
        <v>142</v>
      </c>
      <c r="O407" s="55" t="s">
        <v>265</v>
      </c>
      <c r="P407" s="55" t="s">
        <v>1066</v>
      </c>
      <c r="Q407" s="55" t="s">
        <v>380</v>
      </c>
      <c r="R407" s="55">
        <v>2</v>
      </c>
      <c r="S407" s="55"/>
      <c r="T407" s="55" t="s">
        <v>1067</v>
      </c>
    </row>
    <row r="408" spans="1:20" ht="13" x14ac:dyDescent="0.15">
      <c r="A408" s="72" t="str">
        <f t="shared" si="6"/>
        <v>Ofsted Social Care Provider Webpage</v>
      </c>
      <c r="B408" s="55">
        <v>1259178</v>
      </c>
      <c r="D408" s="55" t="s">
        <v>373</v>
      </c>
      <c r="E408" s="74">
        <v>43146</v>
      </c>
      <c r="F408" s="55" t="s">
        <v>344</v>
      </c>
      <c r="G408" s="55" t="s">
        <v>360</v>
      </c>
      <c r="H408" s="55" t="s">
        <v>360</v>
      </c>
      <c r="I408" s="55" t="s">
        <v>360</v>
      </c>
      <c r="J408" s="55" t="s">
        <v>360</v>
      </c>
      <c r="K408" s="55" t="s">
        <v>360</v>
      </c>
      <c r="L408" s="55" t="s">
        <v>360</v>
      </c>
      <c r="M408" s="55" t="s">
        <v>142</v>
      </c>
      <c r="N408" s="55" t="s">
        <v>142</v>
      </c>
      <c r="O408" s="55" t="s">
        <v>141</v>
      </c>
      <c r="P408" s="55" t="s">
        <v>573</v>
      </c>
      <c r="Q408" s="55" t="s">
        <v>350</v>
      </c>
      <c r="R408" s="55">
        <v>2</v>
      </c>
      <c r="S408" s="55"/>
      <c r="T408" s="55" t="s">
        <v>1068</v>
      </c>
    </row>
    <row r="409" spans="1:20" ht="13" x14ac:dyDescent="0.15">
      <c r="A409" s="72" t="str">
        <f t="shared" si="6"/>
        <v>Ofsted Social Care Provider Webpage</v>
      </c>
      <c r="B409" s="55">
        <v>1259184</v>
      </c>
      <c r="D409" s="55" t="s">
        <v>373</v>
      </c>
      <c r="E409" s="74">
        <v>43131</v>
      </c>
      <c r="F409" s="55" t="s">
        <v>344</v>
      </c>
      <c r="G409" s="55" t="s">
        <v>360</v>
      </c>
      <c r="H409" s="55" t="s">
        <v>360</v>
      </c>
      <c r="I409" s="55" t="s">
        <v>360</v>
      </c>
      <c r="J409" s="55" t="s">
        <v>360</v>
      </c>
      <c r="K409" s="55" t="s">
        <v>360</v>
      </c>
      <c r="L409" s="55" t="s">
        <v>360</v>
      </c>
      <c r="M409" s="55" t="s">
        <v>172</v>
      </c>
      <c r="N409" s="55" t="s">
        <v>172</v>
      </c>
      <c r="O409" s="55" t="s">
        <v>173</v>
      </c>
      <c r="P409" s="55" t="s">
        <v>1069</v>
      </c>
      <c r="Q409" s="55" t="s">
        <v>350</v>
      </c>
      <c r="R409" s="55">
        <v>4</v>
      </c>
      <c r="S409" s="55"/>
      <c r="T409" s="55" t="s">
        <v>1070</v>
      </c>
    </row>
    <row r="410" spans="1:20" ht="13" x14ac:dyDescent="0.15">
      <c r="A410" s="72" t="str">
        <f t="shared" si="6"/>
        <v>Ofsted Social Care Provider Webpage</v>
      </c>
      <c r="B410" s="55">
        <v>1259216</v>
      </c>
      <c r="D410" s="55" t="s">
        <v>373</v>
      </c>
      <c r="E410" s="74">
        <v>42935</v>
      </c>
      <c r="F410" s="55" t="s">
        <v>344</v>
      </c>
      <c r="G410" s="55" t="s">
        <v>360</v>
      </c>
      <c r="H410" s="55" t="s">
        <v>360</v>
      </c>
      <c r="I410" s="55" t="s">
        <v>360</v>
      </c>
      <c r="J410" s="55" t="s">
        <v>360</v>
      </c>
      <c r="K410" s="55" t="s">
        <v>360</v>
      </c>
      <c r="L410" s="55" t="s">
        <v>360</v>
      </c>
      <c r="M410" s="55" t="s">
        <v>136</v>
      </c>
      <c r="N410" s="55" t="s">
        <v>136</v>
      </c>
      <c r="O410" s="55" t="s">
        <v>174</v>
      </c>
      <c r="P410" s="55" t="s">
        <v>651</v>
      </c>
      <c r="Q410" s="55" t="s">
        <v>350</v>
      </c>
      <c r="R410" s="55">
        <v>1</v>
      </c>
      <c r="S410" s="55"/>
      <c r="T410" s="55" t="s">
        <v>652</v>
      </c>
    </row>
    <row r="411" spans="1:20" ht="13" x14ac:dyDescent="0.15">
      <c r="A411" s="72" t="str">
        <f t="shared" si="6"/>
        <v>Ofsted Social Care Provider Webpage</v>
      </c>
      <c r="B411" s="55">
        <v>1259274</v>
      </c>
      <c r="D411" s="55" t="s">
        <v>389</v>
      </c>
      <c r="E411" s="74">
        <v>42983</v>
      </c>
      <c r="F411" s="55" t="s">
        <v>344</v>
      </c>
      <c r="G411" s="55" t="s">
        <v>1071</v>
      </c>
      <c r="H411" s="55" t="s">
        <v>1071</v>
      </c>
      <c r="I411" s="55" t="s">
        <v>1072</v>
      </c>
      <c r="J411" s="55" t="s">
        <v>1073</v>
      </c>
      <c r="L411" s="55" t="s">
        <v>1074</v>
      </c>
      <c r="M411" s="55" t="s">
        <v>138</v>
      </c>
      <c r="N411" s="55" t="s">
        <v>138</v>
      </c>
      <c r="O411" s="55" t="s">
        <v>159</v>
      </c>
      <c r="P411" s="55" t="s">
        <v>1073</v>
      </c>
      <c r="Q411" s="55" t="s">
        <v>350</v>
      </c>
      <c r="R411" s="55"/>
      <c r="S411" s="55"/>
      <c r="T411" s="55" t="s">
        <v>1071</v>
      </c>
    </row>
    <row r="412" spans="1:20" ht="13" x14ac:dyDescent="0.15">
      <c r="A412" s="72" t="str">
        <f t="shared" si="6"/>
        <v>Ofsted Social Care Provider Webpage</v>
      </c>
      <c r="B412" s="55">
        <v>1259415</v>
      </c>
      <c r="D412" s="55" t="s">
        <v>451</v>
      </c>
      <c r="E412" s="74">
        <v>42992</v>
      </c>
      <c r="F412" s="55" t="s">
        <v>344</v>
      </c>
      <c r="G412" s="55" t="s">
        <v>1075</v>
      </c>
      <c r="H412" s="55" t="s">
        <v>1076</v>
      </c>
      <c r="I412" s="55" t="s">
        <v>354</v>
      </c>
      <c r="J412" s="55" t="s">
        <v>129</v>
      </c>
      <c r="L412" s="55" t="s">
        <v>1077</v>
      </c>
      <c r="M412" s="55" t="s">
        <v>129</v>
      </c>
      <c r="N412" s="55" t="s">
        <v>129</v>
      </c>
      <c r="O412" s="55" t="s">
        <v>242</v>
      </c>
      <c r="P412" s="55" t="s">
        <v>1078</v>
      </c>
      <c r="Q412" s="55" t="s">
        <v>350</v>
      </c>
      <c r="R412" s="55">
        <v>4</v>
      </c>
      <c r="S412" s="55"/>
      <c r="T412" s="55" t="s">
        <v>1022</v>
      </c>
    </row>
    <row r="413" spans="1:20" ht="13" x14ac:dyDescent="0.15">
      <c r="A413" s="72" t="str">
        <f t="shared" si="6"/>
        <v>Ofsted Social Care Provider Webpage</v>
      </c>
      <c r="B413" s="55">
        <v>1259419</v>
      </c>
      <c r="D413" s="55" t="s">
        <v>373</v>
      </c>
      <c r="E413" s="74">
        <v>43049</v>
      </c>
      <c r="F413" s="55" t="s">
        <v>344</v>
      </c>
      <c r="G413" s="55" t="s">
        <v>360</v>
      </c>
      <c r="H413" s="55" t="s">
        <v>360</v>
      </c>
      <c r="I413" s="55" t="s">
        <v>360</v>
      </c>
      <c r="J413" s="55" t="s">
        <v>360</v>
      </c>
      <c r="K413" s="55" t="s">
        <v>360</v>
      </c>
      <c r="L413" s="55" t="s">
        <v>360</v>
      </c>
      <c r="M413" s="55" t="s">
        <v>172</v>
      </c>
      <c r="N413" s="55" t="s">
        <v>172</v>
      </c>
      <c r="O413" s="55" t="s">
        <v>212</v>
      </c>
      <c r="P413" s="55" t="s">
        <v>714</v>
      </c>
      <c r="Q413" s="55" t="s">
        <v>350</v>
      </c>
      <c r="R413" s="55">
        <v>1</v>
      </c>
      <c r="S413" s="55"/>
      <c r="T413" s="55" t="s">
        <v>861</v>
      </c>
    </row>
    <row r="414" spans="1:20" ht="13" x14ac:dyDescent="0.15">
      <c r="A414" s="72" t="str">
        <f t="shared" si="6"/>
        <v>Ofsted Social Care Provider Webpage</v>
      </c>
      <c r="B414" s="55">
        <v>1259508</v>
      </c>
      <c r="D414" s="55" t="s">
        <v>373</v>
      </c>
      <c r="E414" s="74">
        <v>42999</v>
      </c>
      <c r="F414" s="55" t="s">
        <v>344</v>
      </c>
      <c r="G414" s="55" t="s">
        <v>360</v>
      </c>
      <c r="H414" s="55" t="s">
        <v>360</v>
      </c>
      <c r="I414" s="55" t="s">
        <v>360</v>
      </c>
      <c r="J414" s="55" t="s">
        <v>360</v>
      </c>
      <c r="K414" s="55" t="s">
        <v>360</v>
      </c>
      <c r="L414" s="55" t="s">
        <v>360</v>
      </c>
      <c r="M414" s="55" t="s">
        <v>150</v>
      </c>
      <c r="N414" s="55" t="s">
        <v>150</v>
      </c>
      <c r="O414" s="55" t="s">
        <v>237</v>
      </c>
      <c r="P414" s="55" t="s">
        <v>869</v>
      </c>
      <c r="Q414" s="55" t="s">
        <v>350</v>
      </c>
      <c r="R414" s="55">
        <v>8</v>
      </c>
      <c r="S414" s="55"/>
      <c r="T414" s="55" t="s">
        <v>890</v>
      </c>
    </row>
    <row r="415" spans="1:20" ht="13" x14ac:dyDescent="0.15">
      <c r="A415" s="72" t="str">
        <f t="shared" si="6"/>
        <v>Ofsted Social Care Provider Webpage</v>
      </c>
      <c r="B415" s="55">
        <v>1259547</v>
      </c>
      <c r="D415" s="55" t="s">
        <v>373</v>
      </c>
      <c r="E415" s="74">
        <v>43010</v>
      </c>
      <c r="F415" s="55" t="s">
        <v>344</v>
      </c>
      <c r="G415" s="55" t="s">
        <v>360</v>
      </c>
      <c r="H415" s="55" t="s">
        <v>360</v>
      </c>
      <c r="I415" s="55" t="s">
        <v>360</v>
      </c>
      <c r="J415" s="55" t="s">
        <v>360</v>
      </c>
      <c r="K415" s="55" t="s">
        <v>360</v>
      </c>
      <c r="L415" s="55" t="s">
        <v>360</v>
      </c>
      <c r="M415" s="55" t="s">
        <v>172</v>
      </c>
      <c r="N415" s="55" t="s">
        <v>172</v>
      </c>
      <c r="O415" s="55" t="s">
        <v>228</v>
      </c>
      <c r="P415" s="55" t="s">
        <v>991</v>
      </c>
      <c r="Q415" s="55" t="s">
        <v>350</v>
      </c>
      <c r="R415" s="55">
        <v>3</v>
      </c>
      <c r="S415" s="55"/>
      <c r="T415" s="55" t="s">
        <v>1079</v>
      </c>
    </row>
    <row r="416" spans="1:20" ht="13" x14ac:dyDescent="0.15">
      <c r="A416" s="72" t="str">
        <f t="shared" si="6"/>
        <v>Ofsted Social Care Provider Webpage</v>
      </c>
      <c r="B416" s="55">
        <v>1259551</v>
      </c>
      <c r="D416" s="55" t="s">
        <v>373</v>
      </c>
      <c r="E416" s="74">
        <v>42990</v>
      </c>
      <c r="F416" s="55" t="s">
        <v>344</v>
      </c>
      <c r="G416" s="55" t="s">
        <v>360</v>
      </c>
      <c r="H416" s="55" t="s">
        <v>360</v>
      </c>
      <c r="I416" s="55" t="s">
        <v>360</v>
      </c>
      <c r="J416" s="55" t="s">
        <v>360</v>
      </c>
      <c r="K416" s="55" t="s">
        <v>360</v>
      </c>
      <c r="L416" s="55" t="s">
        <v>360</v>
      </c>
      <c r="M416" s="55" t="s">
        <v>138</v>
      </c>
      <c r="N416" s="55" t="s">
        <v>138</v>
      </c>
      <c r="O416" s="55" t="s">
        <v>238</v>
      </c>
      <c r="P416" s="55" t="s">
        <v>1080</v>
      </c>
      <c r="Q416" s="55" t="s">
        <v>350</v>
      </c>
      <c r="R416" s="55">
        <v>5</v>
      </c>
      <c r="S416" s="55"/>
      <c r="T416" s="55" t="s">
        <v>1079</v>
      </c>
    </row>
    <row r="417" spans="1:20" ht="13" x14ac:dyDescent="0.15">
      <c r="A417" s="72" t="str">
        <f t="shared" si="6"/>
        <v>Ofsted Social Care Provider Webpage</v>
      </c>
      <c r="B417" s="55">
        <v>1259617</v>
      </c>
      <c r="D417" s="55" t="s">
        <v>389</v>
      </c>
      <c r="E417" s="74">
        <v>43012</v>
      </c>
      <c r="F417" s="55" t="s">
        <v>344</v>
      </c>
      <c r="G417" s="55" t="s">
        <v>1081</v>
      </c>
      <c r="H417" s="55" t="s">
        <v>1082</v>
      </c>
      <c r="I417" s="55" t="s">
        <v>1083</v>
      </c>
      <c r="J417" s="55" t="s">
        <v>1084</v>
      </c>
      <c r="K417" s="55" t="s">
        <v>203</v>
      </c>
      <c r="L417" s="55" t="s">
        <v>1085</v>
      </c>
      <c r="M417" s="55" t="s">
        <v>150</v>
      </c>
      <c r="N417" s="55" t="s">
        <v>150</v>
      </c>
      <c r="O417" s="55" t="s">
        <v>218</v>
      </c>
      <c r="P417" s="55" t="s">
        <v>1086</v>
      </c>
      <c r="Q417" s="55" t="s">
        <v>350</v>
      </c>
      <c r="R417" s="55"/>
      <c r="S417" s="55"/>
      <c r="T417" s="55" t="s">
        <v>1087</v>
      </c>
    </row>
    <row r="418" spans="1:20" ht="13" x14ac:dyDescent="0.15">
      <c r="A418" s="72" t="str">
        <f t="shared" si="6"/>
        <v>Ofsted Social Care Provider Webpage</v>
      </c>
      <c r="B418" s="55">
        <v>1259631</v>
      </c>
      <c r="D418" s="55" t="s">
        <v>373</v>
      </c>
      <c r="E418" s="74">
        <v>43021</v>
      </c>
      <c r="F418" s="55" t="s">
        <v>344</v>
      </c>
      <c r="G418" s="55" t="s">
        <v>360</v>
      </c>
      <c r="H418" s="55" t="s">
        <v>360</v>
      </c>
      <c r="I418" s="55" t="s">
        <v>360</v>
      </c>
      <c r="J418" s="55" t="s">
        <v>360</v>
      </c>
      <c r="K418" s="55" t="s">
        <v>360</v>
      </c>
      <c r="L418" s="55" t="s">
        <v>360</v>
      </c>
      <c r="M418" s="55" t="s">
        <v>378</v>
      </c>
      <c r="N418" s="55" t="s">
        <v>134</v>
      </c>
      <c r="O418" s="55" t="s">
        <v>151</v>
      </c>
      <c r="P418" s="55" t="s">
        <v>862</v>
      </c>
      <c r="Q418" s="55" t="s">
        <v>350</v>
      </c>
      <c r="R418" s="55">
        <v>7</v>
      </c>
      <c r="S418" s="55"/>
      <c r="T418" s="55" t="s">
        <v>435</v>
      </c>
    </row>
    <row r="419" spans="1:20" ht="13" x14ac:dyDescent="0.15">
      <c r="A419" s="72" t="str">
        <f t="shared" si="6"/>
        <v>Ofsted Social Care Provider Webpage</v>
      </c>
      <c r="B419" s="55">
        <v>1259729</v>
      </c>
      <c r="D419" s="55" t="s">
        <v>389</v>
      </c>
      <c r="E419" s="74">
        <v>43069</v>
      </c>
      <c r="F419" s="55" t="s">
        <v>344</v>
      </c>
      <c r="G419" s="55" t="s">
        <v>1088</v>
      </c>
      <c r="H419" s="55" t="s">
        <v>1089</v>
      </c>
      <c r="I419" s="55" t="s">
        <v>354</v>
      </c>
      <c r="J419" s="55" t="s">
        <v>277</v>
      </c>
      <c r="L419" s="55" t="s">
        <v>1090</v>
      </c>
      <c r="M419" s="55" t="s">
        <v>378</v>
      </c>
      <c r="N419" s="55" t="s">
        <v>134</v>
      </c>
      <c r="O419" s="55" t="s">
        <v>277</v>
      </c>
      <c r="P419" s="55" t="s">
        <v>1034</v>
      </c>
      <c r="Q419" s="55" t="s">
        <v>350</v>
      </c>
      <c r="R419" s="55"/>
      <c r="S419" s="55"/>
      <c r="T419" s="55" t="s">
        <v>962</v>
      </c>
    </row>
    <row r="420" spans="1:20" ht="13" x14ac:dyDescent="0.15">
      <c r="A420" s="72" t="str">
        <f t="shared" si="6"/>
        <v>Ofsted Social Care Provider Webpage</v>
      </c>
      <c r="B420" s="55">
        <v>1259734</v>
      </c>
      <c r="D420" s="55" t="s">
        <v>373</v>
      </c>
      <c r="E420" s="74">
        <v>42989</v>
      </c>
      <c r="F420" s="55" t="s">
        <v>344</v>
      </c>
      <c r="G420" s="55" t="s">
        <v>360</v>
      </c>
      <c r="H420" s="55" t="s">
        <v>360</v>
      </c>
      <c r="I420" s="55" t="s">
        <v>360</v>
      </c>
      <c r="J420" s="55" t="s">
        <v>360</v>
      </c>
      <c r="K420" s="55" t="s">
        <v>360</v>
      </c>
      <c r="L420" s="55" t="s">
        <v>360</v>
      </c>
      <c r="M420" s="55" t="s">
        <v>150</v>
      </c>
      <c r="N420" s="55" t="s">
        <v>150</v>
      </c>
      <c r="O420" s="55" t="s">
        <v>190</v>
      </c>
      <c r="P420" s="55" t="s">
        <v>830</v>
      </c>
      <c r="Q420" s="55" t="s">
        <v>380</v>
      </c>
      <c r="R420" s="55">
        <v>4</v>
      </c>
      <c r="S420" s="55"/>
      <c r="T420" s="55" t="s">
        <v>967</v>
      </c>
    </row>
    <row r="421" spans="1:20" ht="13" x14ac:dyDescent="0.15">
      <c r="A421" s="72" t="str">
        <f t="shared" si="6"/>
        <v>Ofsted Social Care Provider Webpage</v>
      </c>
      <c r="B421" s="55">
        <v>1260700</v>
      </c>
      <c r="D421" s="55" t="s">
        <v>373</v>
      </c>
      <c r="E421" s="74">
        <v>43018</v>
      </c>
      <c r="F421" s="55" t="s">
        <v>344</v>
      </c>
      <c r="G421" s="55" t="s">
        <v>360</v>
      </c>
      <c r="H421" s="55" t="s">
        <v>360</v>
      </c>
      <c r="I421" s="55" t="s">
        <v>360</v>
      </c>
      <c r="J421" s="55" t="s">
        <v>360</v>
      </c>
      <c r="K421" s="55" t="s">
        <v>360</v>
      </c>
      <c r="L421" s="55" t="s">
        <v>360</v>
      </c>
      <c r="M421" s="55" t="s">
        <v>172</v>
      </c>
      <c r="N421" s="55" t="s">
        <v>172</v>
      </c>
      <c r="O421" s="55" t="s">
        <v>212</v>
      </c>
      <c r="P421" s="55" t="s">
        <v>592</v>
      </c>
      <c r="Q421" s="55" t="s">
        <v>350</v>
      </c>
      <c r="R421" s="55">
        <v>4</v>
      </c>
      <c r="S421" s="55"/>
      <c r="T421" s="55" t="s">
        <v>1091</v>
      </c>
    </row>
    <row r="422" spans="1:20" ht="13" x14ac:dyDescent="0.15">
      <c r="A422" s="72" t="str">
        <f t="shared" si="6"/>
        <v>Ofsted Social Care Provider Webpage</v>
      </c>
      <c r="B422" s="55">
        <v>1261138</v>
      </c>
      <c r="D422" s="55" t="s">
        <v>373</v>
      </c>
      <c r="E422" s="74">
        <v>42976</v>
      </c>
      <c r="F422" s="55" t="s">
        <v>344</v>
      </c>
      <c r="G422" s="55" t="s">
        <v>360</v>
      </c>
      <c r="H422" s="55" t="s">
        <v>360</v>
      </c>
      <c r="I422" s="55" t="s">
        <v>360</v>
      </c>
      <c r="J422" s="55" t="s">
        <v>360</v>
      </c>
      <c r="K422" s="55" t="s">
        <v>360</v>
      </c>
      <c r="L422" s="55" t="s">
        <v>360</v>
      </c>
      <c r="M422" s="55" t="s">
        <v>144</v>
      </c>
      <c r="N422" s="55" t="s">
        <v>144</v>
      </c>
      <c r="O422" s="55" t="s">
        <v>157</v>
      </c>
      <c r="P422" s="55" t="s">
        <v>1092</v>
      </c>
      <c r="Q422" s="55" t="s">
        <v>350</v>
      </c>
      <c r="R422" s="55">
        <v>5</v>
      </c>
      <c r="S422" s="55"/>
      <c r="T422" s="55" t="s">
        <v>1093</v>
      </c>
    </row>
    <row r="423" spans="1:20" ht="13" x14ac:dyDescent="0.15">
      <c r="A423" s="72" t="str">
        <f t="shared" si="6"/>
        <v>Ofsted Social Care Provider Webpage</v>
      </c>
      <c r="B423" s="55">
        <v>1262657</v>
      </c>
      <c r="D423" s="55" t="s">
        <v>373</v>
      </c>
      <c r="E423" s="74">
        <v>42996</v>
      </c>
      <c r="F423" s="55" t="s">
        <v>344</v>
      </c>
      <c r="G423" s="55" t="s">
        <v>360</v>
      </c>
      <c r="H423" s="55" t="s">
        <v>360</v>
      </c>
      <c r="I423" s="55" t="s">
        <v>360</v>
      </c>
      <c r="J423" s="55" t="s">
        <v>360</v>
      </c>
      <c r="K423" s="55" t="s">
        <v>360</v>
      </c>
      <c r="L423" s="55" t="s">
        <v>360</v>
      </c>
      <c r="M423" s="55" t="s">
        <v>144</v>
      </c>
      <c r="N423" s="55" t="s">
        <v>144</v>
      </c>
      <c r="O423" s="55" t="s">
        <v>209</v>
      </c>
      <c r="P423" s="55" t="s">
        <v>544</v>
      </c>
      <c r="Q423" s="55" t="s">
        <v>350</v>
      </c>
      <c r="R423" s="55">
        <v>2</v>
      </c>
      <c r="S423" s="55"/>
      <c r="T423" s="55" t="s">
        <v>485</v>
      </c>
    </row>
    <row r="424" spans="1:20" ht="13" x14ac:dyDescent="0.15">
      <c r="A424" s="72" t="str">
        <f t="shared" si="6"/>
        <v>Ofsted Social Care Provider Webpage</v>
      </c>
      <c r="B424" s="55">
        <v>1262827</v>
      </c>
      <c r="D424" s="55" t="s">
        <v>451</v>
      </c>
      <c r="E424" s="74">
        <v>42989</v>
      </c>
      <c r="F424" s="55" t="s">
        <v>344</v>
      </c>
      <c r="G424" s="55" t="s">
        <v>1094</v>
      </c>
      <c r="H424" s="55" t="s">
        <v>1095</v>
      </c>
      <c r="I424" s="55" t="s">
        <v>354</v>
      </c>
      <c r="J424" s="55" t="s">
        <v>145</v>
      </c>
      <c r="L424" s="55" t="s">
        <v>1096</v>
      </c>
      <c r="M424" s="55" t="s">
        <v>144</v>
      </c>
      <c r="N424" s="55" t="s">
        <v>144</v>
      </c>
      <c r="O424" s="55" t="s">
        <v>145</v>
      </c>
      <c r="P424" s="55" t="s">
        <v>525</v>
      </c>
      <c r="Q424" s="55" t="s">
        <v>350</v>
      </c>
      <c r="R424" s="55">
        <v>5</v>
      </c>
      <c r="S424" s="55"/>
      <c r="T424" s="55" t="s">
        <v>1097</v>
      </c>
    </row>
    <row r="425" spans="1:20" ht="13" x14ac:dyDescent="0.15">
      <c r="A425" s="72" t="str">
        <f t="shared" si="6"/>
        <v>Ofsted Social Care Provider Webpage</v>
      </c>
      <c r="B425" s="55">
        <v>1262935</v>
      </c>
      <c r="D425" s="55" t="s">
        <v>373</v>
      </c>
      <c r="E425" s="74">
        <v>42965</v>
      </c>
      <c r="F425" s="55" t="s">
        <v>344</v>
      </c>
      <c r="G425" s="55" t="s">
        <v>360</v>
      </c>
      <c r="H425" s="55" t="s">
        <v>360</v>
      </c>
      <c r="I425" s="55" t="s">
        <v>360</v>
      </c>
      <c r="J425" s="55" t="s">
        <v>360</v>
      </c>
      <c r="K425" s="55" t="s">
        <v>360</v>
      </c>
      <c r="L425" s="55" t="s">
        <v>360</v>
      </c>
      <c r="M425" s="55" t="s">
        <v>144</v>
      </c>
      <c r="N425" s="55" t="s">
        <v>144</v>
      </c>
      <c r="O425" s="55" t="s">
        <v>168</v>
      </c>
      <c r="P425" s="55" t="s">
        <v>913</v>
      </c>
      <c r="Q425" s="55" t="s">
        <v>350</v>
      </c>
      <c r="R425" s="55">
        <v>6</v>
      </c>
      <c r="S425" s="55"/>
      <c r="T425" s="55" t="s">
        <v>1098</v>
      </c>
    </row>
    <row r="426" spans="1:20" ht="13" x14ac:dyDescent="0.15">
      <c r="A426" s="72" t="str">
        <f t="shared" si="6"/>
        <v>Ofsted Social Care Provider Webpage</v>
      </c>
      <c r="B426" s="55">
        <v>1263120</v>
      </c>
      <c r="D426" s="55" t="s">
        <v>373</v>
      </c>
      <c r="E426" s="74">
        <v>43000</v>
      </c>
      <c r="F426" s="55" t="s">
        <v>344</v>
      </c>
      <c r="G426" s="55" t="s">
        <v>360</v>
      </c>
      <c r="H426" s="55" t="s">
        <v>360</v>
      </c>
      <c r="I426" s="55" t="s">
        <v>360</v>
      </c>
      <c r="J426" s="55" t="s">
        <v>360</v>
      </c>
      <c r="K426" s="55" t="s">
        <v>360</v>
      </c>
      <c r="L426" s="55" t="s">
        <v>360</v>
      </c>
      <c r="M426" s="55" t="s">
        <v>144</v>
      </c>
      <c r="N426" s="55" t="s">
        <v>144</v>
      </c>
      <c r="O426" s="55" t="s">
        <v>290</v>
      </c>
      <c r="P426" s="55" t="s">
        <v>1099</v>
      </c>
      <c r="Q426" s="55" t="s">
        <v>350</v>
      </c>
      <c r="R426" s="55">
        <v>4</v>
      </c>
      <c r="S426" s="55"/>
      <c r="T426" s="55" t="s">
        <v>1100</v>
      </c>
    </row>
    <row r="427" spans="1:20" ht="13" x14ac:dyDescent="0.15">
      <c r="A427" s="72" t="str">
        <f t="shared" si="6"/>
        <v>Ofsted Social Care Provider Webpage</v>
      </c>
      <c r="B427" s="55">
        <v>1263124</v>
      </c>
      <c r="D427" s="55" t="s">
        <v>373</v>
      </c>
      <c r="E427" s="74">
        <v>43004</v>
      </c>
      <c r="F427" s="55" t="s">
        <v>344</v>
      </c>
      <c r="G427" s="55" t="s">
        <v>360</v>
      </c>
      <c r="H427" s="55" t="s">
        <v>360</v>
      </c>
      <c r="I427" s="55" t="s">
        <v>360</v>
      </c>
      <c r="J427" s="55" t="s">
        <v>360</v>
      </c>
      <c r="K427" s="55" t="s">
        <v>360</v>
      </c>
      <c r="L427" s="55" t="s">
        <v>360</v>
      </c>
      <c r="M427" s="55" t="s">
        <v>136</v>
      </c>
      <c r="N427" s="55" t="s">
        <v>136</v>
      </c>
      <c r="O427" s="55" t="s">
        <v>288</v>
      </c>
      <c r="P427" s="55" t="s">
        <v>1101</v>
      </c>
      <c r="Q427" s="55" t="s">
        <v>350</v>
      </c>
      <c r="R427" s="55">
        <v>5</v>
      </c>
      <c r="S427" s="55"/>
      <c r="T427" s="55" t="s">
        <v>1102</v>
      </c>
    </row>
    <row r="428" spans="1:20" ht="13" x14ac:dyDescent="0.15">
      <c r="A428" s="72" t="str">
        <f t="shared" si="6"/>
        <v>Ofsted Social Care Provider Webpage</v>
      </c>
      <c r="B428" s="55">
        <v>1263126</v>
      </c>
      <c r="D428" s="55" t="s">
        <v>373</v>
      </c>
      <c r="E428" s="74">
        <v>42951</v>
      </c>
      <c r="F428" s="55" t="s">
        <v>344</v>
      </c>
      <c r="G428" s="55" t="s">
        <v>360</v>
      </c>
      <c r="H428" s="55" t="s">
        <v>360</v>
      </c>
      <c r="I428" s="55" t="s">
        <v>360</v>
      </c>
      <c r="J428" s="55" t="s">
        <v>360</v>
      </c>
      <c r="K428" s="55" t="s">
        <v>360</v>
      </c>
      <c r="L428" s="55" t="s">
        <v>360</v>
      </c>
      <c r="M428" s="55" t="s">
        <v>144</v>
      </c>
      <c r="N428" s="55" t="s">
        <v>144</v>
      </c>
      <c r="O428" s="55" t="s">
        <v>168</v>
      </c>
      <c r="P428" s="55" t="s">
        <v>708</v>
      </c>
      <c r="Q428" s="55" t="s">
        <v>350</v>
      </c>
      <c r="R428" s="55">
        <v>2</v>
      </c>
      <c r="S428" s="55"/>
      <c r="T428" s="55" t="s">
        <v>709</v>
      </c>
    </row>
    <row r="429" spans="1:20" ht="13" x14ac:dyDescent="0.15">
      <c r="A429" s="72" t="str">
        <f t="shared" si="6"/>
        <v>Ofsted Social Care Provider Webpage</v>
      </c>
      <c r="B429" s="55">
        <v>1263129</v>
      </c>
      <c r="D429" s="55" t="s">
        <v>373</v>
      </c>
      <c r="E429" s="74">
        <v>43045</v>
      </c>
      <c r="F429" s="55" t="s">
        <v>344</v>
      </c>
      <c r="G429" s="55" t="s">
        <v>360</v>
      </c>
      <c r="H429" s="55" t="s">
        <v>360</v>
      </c>
      <c r="I429" s="55" t="s">
        <v>360</v>
      </c>
      <c r="J429" s="55" t="s">
        <v>360</v>
      </c>
      <c r="K429" s="55" t="s">
        <v>360</v>
      </c>
      <c r="L429" s="55" t="s">
        <v>360</v>
      </c>
      <c r="M429" s="55" t="s">
        <v>150</v>
      </c>
      <c r="N429" s="55" t="s">
        <v>150</v>
      </c>
      <c r="O429" s="55" t="s">
        <v>181</v>
      </c>
      <c r="P429" s="55" t="s">
        <v>937</v>
      </c>
      <c r="Q429" s="55" t="s">
        <v>350</v>
      </c>
      <c r="R429" s="55">
        <v>6</v>
      </c>
      <c r="S429" s="55"/>
      <c r="T429" s="55" t="s">
        <v>574</v>
      </c>
    </row>
    <row r="430" spans="1:20" ht="13" x14ac:dyDescent="0.15">
      <c r="A430" s="72" t="str">
        <f t="shared" si="6"/>
        <v>Ofsted Social Care Provider Webpage</v>
      </c>
      <c r="B430" s="55">
        <v>1263199</v>
      </c>
      <c r="D430" s="55" t="s">
        <v>373</v>
      </c>
      <c r="E430" s="74">
        <v>43006</v>
      </c>
      <c r="F430" s="55" t="s">
        <v>344</v>
      </c>
      <c r="G430" s="55" t="s">
        <v>360</v>
      </c>
      <c r="H430" s="55" t="s">
        <v>360</v>
      </c>
      <c r="I430" s="55" t="s">
        <v>360</v>
      </c>
      <c r="J430" s="55" t="s">
        <v>360</v>
      </c>
      <c r="K430" s="55" t="s">
        <v>360</v>
      </c>
      <c r="L430" s="55" t="s">
        <v>360</v>
      </c>
      <c r="M430" s="55" t="s">
        <v>144</v>
      </c>
      <c r="N430" s="55" t="s">
        <v>144</v>
      </c>
      <c r="O430" s="55" t="s">
        <v>287</v>
      </c>
      <c r="P430" s="55" t="s">
        <v>1103</v>
      </c>
      <c r="Q430" s="55" t="s">
        <v>350</v>
      </c>
      <c r="R430" s="55">
        <v>6</v>
      </c>
      <c r="S430" s="55"/>
      <c r="T430" s="55" t="s">
        <v>435</v>
      </c>
    </row>
    <row r="431" spans="1:20" ht="13" x14ac:dyDescent="0.15">
      <c r="A431" s="72" t="str">
        <f t="shared" si="6"/>
        <v>Ofsted Social Care Provider Webpage</v>
      </c>
      <c r="B431" s="55">
        <v>1263201</v>
      </c>
      <c r="D431" s="55" t="s">
        <v>373</v>
      </c>
      <c r="E431" s="74">
        <v>42982</v>
      </c>
      <c r="F431" s="55" t="s">
        <v>344</v>
      </c>
      <c r="G431" s="55" t="s">
        <v>360</v>
      </c>
      <c r="H431" s="55" t="s">
        <v>360</v>
      </c>
      <c r="I431" s="55" t="s">
        <v>360</v>
      </c>
      <c r="J431" s="55" t="s">
        <v>360</v>
      </c>
      <c r="K431" s="55" t="s">
        <v>360</v>
      </c>
      <c r="L431" s="55" t="s">
        <v>360</v>
      </c>
      <c r="M431" s="55" t="s">
        <v>378</v>
      </c>
      <c r="N431" s="55" t="s">
        <v>134</v>
      </c>
      <c r="O431" s="55" t="s">
        <v>246</v>
      </c>
      <c r="P431" s="55" t="s">
        <v>1104</v>
      </c>
      <c r="Q431" s="55" t="s">
        <v>350</v>
      </c>
      <c r="R431" s="55">
        <v>4</v>
      </c>
      <c r="S431" s="55"/>
      <c r="T431" s="55" t="s">
        <v>1105</v>
      </c>
    </row>
    <row r="432" spans="1:20" ht="13" x14ac:dyDescent="0.15">
      <c r="A432" s="72" t="str">
        <f t="shared" si="6"/>
        <v>Ofsted Social Care Provider Webpage</v>
      </c>
      <c r="B432" s="55">
        <v>1263270</v>
      </c>
      <c r="D432" s="55" t="s">
        <v>373</v>
      </c>
      <c r="E432" s="74">
        <v>42965</v>
      </c>
      <c r="F432" s="55" t="s">
        <v>344</v>
      </c>
      <c r="G432" s="55" t="s">
        <v>360</v>
      </c>
      <c r="H432" s="55" t="s">
        <v>360</v>
      </c>
      <c r="I432" s="55" t="s">
        <v>360</v>
      </c>
      <c r="J432" s="55" t="s">
        <v>360</v>
      </c>
      <c r="K432" s="55" t="s">
        <v>360</v>
      </c>
      <c r="L432" s="55" t="s">
        <v>360</v>
      </c>
      <c r="M432" s="55" t="s">
        <v>136</v>
      </c>
      <c r="N432" s="55" t="s">
        <v>136</v>
      </c>
      <c r="O432" s="55" t="s">
        <v>165</v>
      </c>
      <c r="P432" s="55" t="s">
        <v>748</v>
      </c>
      <c r="Q432" s="55" t="s">
        <v>350</v>
      </c>
      <c r="R432" s="55">
        <v>3</v>
      </c>
      <c r="S432" s="55"/>
      <c r="T432" s="55" t="s">
        <v>450</v>
      </c>
    </row>
    <row r="433" spans="1:20" ht="13" x14ac:dyDescent="0.15">
      <c r="A433" s="72" t="str">
        <f t="shared" si="6"/>
        <v>Ofsted Social Care Provider Webpage</v>
      </c>
      <c r="B433" s="55">
        <v>1263329</v>
      </c>
      <c r="D433" s="55" t="s">
        <v>373</v>
      </c>
      <c r="E433" s="74">
        <v>42991</v>
      </c>
      <c r="F433" s="55" t="s">
        <v>344</v>
      </c>
      <c r="G433" s="55" t="s">
        <v>360</v>
      </c>
      <c r="H433" s="55" t="s">
        <v>360</v>
      </c>
      <c r="I433" s="55" t="s">
        <v>360</v>
      </c>
      <c r="J433" s="55" t="s">
        <v>360</v>
      </c>
      <c r="K433" s="55" t="s">
        <v>360</v>
      </c>
      <c r="L433" s="55" t="s">
        <v>360</v>
      </c>
      <c r="M433" s="55" t="s">
        <v>142</v>
      </c>
      <c r="N433" s="55" t="s">
        <v>142</v>
      </c>
      <c r="O433" s="55" t="s">
        <v>262</v>
      </c>
      <c r="P433" s="55" t="s">
        <v>692</v>
      </c>
      <c r="Q433" s="55" t="s">
        <v>350</v>
      </c>
      <c r="R433" s="55">
        <v>1</v>
      </c>
      <c r="S433" s="55"/>
      <c r="T433" s="55" t="s">
        <v>1106</v>
      </c>
    </row>
    <row r="434" spans="1:20" ht="13" x14ac:dyDescent="0.15">
      <c r="A434" s="72" t="str">
        <f t="shared" si="6"/>
        <v>Ofsted Social Care Provider Webpage</v>
      </c>
      <c r="B434" s="55">
        <v>1263425</v>
      </c>
      <c r="D434" s="55" t="s">
        <v>373</v>
      </c>
      <c r="E434" s="74">
        <v>43368</v>
      </c>
      <c r="F434" s="55" t="s">
        <v>344</v>
      </c>
      <c r="G434" s="55" t="s">
        <v>360</v>
      </c>
      <c r="H434" s="55" t="s">
        <v>360</v>
      </c>
      <c r="I434" s="55" t="s">
        <v>360</v>
      </c>
      <c r="J434" s="55" t="s">
        <v>360</v>
      </c>
      <c r="K434" s="55" t="s">
        <v>360</v>
      </c>
      <c r="L434" s="55" t="s">
        <v>360</v>
      </c>
      <c r="M434" s="55" t="s">
        <v>144</v>
      </c>
      <c r="N434" s="55" t="s">
        <v>144</v>
      </c>
      <c r="O434" s="55" t="s">
        <v>263</v>
      </c>
      <c r="P434" s="55" t="s">
        <v>876</v>
      </c>
      <c r="Q434" s="55" t="s">
        <v>350</v>
      </c>
      <c r="R434" s="55">
        <v>2</v>
      </c>
      <c r="S434" s="55"/>
      <c r="T434" s="55" t="s">
        <v>1107</v>
      </c>
    </row>
    <row r="435" spans="1:20" ht="13" x14ac:dyDescent="0.15">
      <c r="A435" s="72" t="str">
        <f t="shared" si="6"/>
        <v>Ofsted Social Care Provider Webpage</v>
      </c>
      <c r="B435" s="55">
        <v>1263501</v>
      </c>
      <c r="D435" s="55" t="s">
        <v>389</v>
      </c>
      <c r="E435" s="74">
        <v>42990</v>
      </c>
      <c r="F435" s="55" t="s">
        <v>344</v>
      </c>
      <c r="G435" s="55" t="s">
        <v>1108</v>
      </c>
      <c r="H435" s="55" t="s">
        <v>1109</v>
      </c>
      <c r="I435" s="55" t="s">
        <v>1110</v>
      </c>
      <c r="J435" s="55" t="s">
        <v>1111</v>
      </c>
      <c r="L435" s="55" t="s">
        <v>1112</v>
      </c>
      <c r="M435" s="55" t="s">
        <v>150</v>
      </c>
      <c r="N435" s="55" t="s">
        <v>150</v>
      </c>
      <c r="O435" s="55" t="s">
        <v>218</v>
      </c>
      <c r="P435" s="55" t="s">
        <v>1113</v>
      </c>
      <c r="Q435" s="55" t="s">
        <v>350</v>
      </c>
      <c r="R435" s="55"/>
      <c r="S435" s="55"/>
      <c r="T435" s="55" t="s">
        <v>1004</v>
      </c>
    </row>
    <row r="436" spans="1:20" ht="13" x14ac:dyDescent="0.15">
      <c r="A436" s="72" t="str">
        <f t="shared" si="6"/>
        <v>Ofsted Social Care Provider Webpage</v>
      </c>
      <c r="B436" s="55">
        <v>1263505</v>
      </c>
      <c r="D436" s="55" t="s">
        <v>373</v>
      </c>
      <c r="E436" s="74">
        <v>43039</v>
      </c>
      <c r="F436" s="55" t="s">
        <v>344</v>
      </c>
      <c r="G436" s="55" t="s">
        <v>360</v>
      </c>
      <c r="H436" s="55" t="s">
        <v>360</v>
      </c>
      <c r="I436" s="55" t="s">
        <v>360</v>
      </c>
      <c r="J436" s="55" t="s">
        <v>360</v>
      </c>
      <c r="K436" s="55" t="s">
        <v>360</v>
      </c>
      <c r="L436" s="55" t="s">
        <v>360</v>
      </c>
      <c r="M436" s="55" t="s">
        <v>172</v>
      </c>
      <c r="N436" s="55" t="s">
        <v>172</v>
      </c>
      <c r="O436" s="55" t="s">
        <v>212</v>
      </c>
      <c r="P436" s="55" t="s">
        <v>514</v>
      </c>
      <c r="Q436" s="55" t="s">
        <v>350</v>
      </c>
      <c r="R436" s="55">
        <v>4</v>
      </c>
      <c r="S436" s="55"/>
      <c r="T436" s="55" t="s">
        <v>515</v>
      </c>
    </row>
    <row r="437" spans="1:20" ht="13" x14ac:dyDescent="0.15">
      <c r="A437" s="72" t="str">
        <f t="shared" si="6"/>
        <v>Ofsted Social Care Provider Webpage</v>
      </c>
      <c r="B437" s="55">
        <v>1263571</v>
      </c>
      <c r="D437" s="55" t="s">
        <v>373</v>
      </c>
      <c r="E437" s="74">
        <v>43025</v>
      </c>
      <c r="F437" s="55" t="s">
        <v>344</v>
      </c>
      <c r="G437" s="55" t="s">
        <v>360</v>
      </c>
      <c r="H437" s="55" t="s">
        <v>360</v>
      </c>
      <c r="I437" s="55" t="s">
        <v>360</v>
      </c>
      <c r="J437" s="55" t="s">
        <v>360</v>
      </c>
      <c r="K437" s="55" t="s">
        <v>360</v>
      </c>
      <c r="L437" s="55" t="s">
        <v>360</v>
      </c>
      <c r="M437" s="55" t="s">
        <v>136</v>
      </c>
      <c r="N437" s="55" t="s">
        <v>136</v>
      </c>
      <c r="O437" s="55" t="s">
        <v>185</v>
      </c>
      <c r="P437" s="55" t="s">
        <v>1114</v>
      </c>
      <c r="Q437" s="55" t="s">
        <v>350</v>
      </c>
      <c r="R437" s="55">
        <v>5</v>
      </c>
      <c r="S437" s="55"/>
      <c r="T437" s="55" t="s">
        <v>1115</v>
      </c>
    </row>
    <row r="438" spans="1:20" ht="13" x14ac:dyDescent="0.15">
      <c r="A438" s="72" t="str">
        <f t="shared" si="6"/>
        <v>Ofsted Social Care Provider Webpage</v>
      </c>
      <c r="B438" s="55">
        <v>1263673</v>
      </c>
      <c r="D438" s="55" t="s">
        <v>373</v>
      </c>
      <c r="E438" s="74">
        <v>42996</v>
      </c>
      <c r="F438" s="55" t="s">
        <v>344</v>
      </c>
      <c r="G438" s="55" t="s">
        <v>360</v>
      </c>
      <c r="H438" s="55" t="s">
        <v>360</v>
      </c>
      <c r="I438" s="55" t="s">
        <v>360</v>
      </c>
      <c r="J438" s="55" t="s">
        <v>360</v>
      </c>
      <c r="K438" s="55" t="s">
        <v>360</v>
      </c>
      <c r="L438" s="55" t="s">
        <v>360</v>
      </c>
      <c r="M438" s="55" t="s">
        <v>378</v>
      </c>
      <c r="N438" s="55" t="s">
        <v>134</v>
      </c>
      <c r="O438" s="55" t="s">
        <v>158</v>
      </c>
      <c r="P438" s="55" t="s">
        <v>480</v>
      </c>
      <c r="Q438" s="55" t="s">
        <v>350</v>
      </c>
      <c r="R438" s="55">
        <v>3</v>
      </c>
      <c r="S438" s="55"/>
      <c r="T438" s="55" t="s">
        <v>951</v>
      </c>
    </row>
    <row r="439" spans="1:20" ht="13" x14ac:dyDescent="0.15">
      <c r="A439" s="72" t="str">
        <f t="shared" si="6"/>
        <v>Ofsted Social Care Provider Webpage</v>
      </c>
      <c r="B439" s="55">
        <v>1263675</v>
      </c>
      <c r="D439" s="55" t="s">
        <v>389</v>
      </c>
      <c r="E439" s="74">
        <v>43026</v>
      </c>
      <c r="F439" s="55" t="s">
        <v>344</v>
      </c>
      <c r="G439" s="55" t="s">
        <v>1116</v>
      </c>
      <c r="H439" s="55" t="s">
        <v>1117</v>
      </c>
      <c r="I439" s="55" t="s">
        <v>354</v>
      </c>
      <c r="J439" s="55" t="s">
        <v>129</v>
      </c>
      <c r="L439" s="55" t="s">
        <v>1118</v>
      </c>
      <c r="M439" s="55" t="s">
        <v>129</v>
      </c>
      <c r="N439" s="55" t="s">
        <v>129</v>
      </c>
      <c r="O439" s="55" t="s">
        <v>260</v>
      </c>
      <c r="P439" s="55" t="s">
        <v>753</v>
      </c>
      <c r="Q439" s="55" t="s">
        <v>362</v>
      </c>
      <c r="R439" s="55"/>
      <c r="S439" s="55"/>
      <c r="T439" s="55" t="s">
        <v>1119</v>
      </c>
    </row>
    <row r="440" spans="1:20" ht="13" x14ac:dyDescent="0.15">
      <c r="A440" s="72" t="str">
        <f t="shared" si="6"/>
        <v>Ofsted Social Care Provider Webpage</v>
      </c>
      <c r="B440" s="55">
        <v>1263766</v>
      </c>
      <c r="D440" s="55" t="s">
        <v>373</v>
      </c>
      <c r="E440" s="74">
        <v>43031</v>
      </c>
      <c r="F440" s="55" t="s">
        <v>344</v>
      </c>
      <c r="G440" s="55" t="s">
        <v>360</v>
      </c>
      <c r="H440" s="55" t="s">
        <v>360</v>
      </c>
      <c r="I440" s="55" t="s">
        <v>360</v>
      </c>
      <c r="J440" s="55" t="s">
        <v>360</v>
      </c>
      <c r="K440" s="55" t="s">
        <v>360</v>
      </c>
      <c r="L440" s="55" t="s">
        <v>360</v>
      </c>
      <c r="M440" s="55" t="s">
        <v>144</v>
      </c>
      <c r="N440" s="55" t="s">
        <v>144</v>
      </c>
      <c r="O440" s="55" t="s">
        <v>271</v>
      </c>
      <c r="P440" s="55" t="s">
        <v>1120</v>
      </c>
      <c r="Q440" s="55" t="s">
        <v>380</v>
      </c>
      <c r="R440" s="55">
        <v>4</v>
      </c>
      <c r="S440" s="55"/>
      <c r="T440" s="55" t="s">
        <v>1121</v>
      </c>
    </row>
    <row r="441" spans="1:20" ht="13" x14ac:dyDescent="0.15">
      <c r="A441" s="72" t="str">
        <f t="shared" si="6"/>
        <v>Ofsted Social Care Provider Webpage</v>
      </c>
      <c r="B441" s="55">
        <v>1263768</v>
      </c>
      <c r="D441" s="55" t="s">
        <v>373</v>
      </c>
      <c r="E441" s="74">
        <v>43031</v>
      </c>
      <c r="F441" s="55" t="s">
        <v>344</v>
      </c>
      <c r="G441" s="55" t="s">
        <v>360</v>
      </c>
      <c r="H441" s="55" t="s">
        <v>360</v>
      </c>
      <c r="I441" s="55" t="s">
        <v>360</v>
      </c>
      <c r="J441" s="55" t="s">
        <v>360</v>
      </c>
      <c r="K441" s="55" t="s">
        <v>360</v>
      </c>
      <c r="L441" s="55" t="s">
        <v>360</v>
      </c>
      <c r="M441" s="55" t="s">
        <v>144</v>
      </c>
      <c r="N441" s="55" t="s">
        <v>144</v>
      </c>
      <c r="O441" s="55" t="s">
        <v>271</v>
      </c>
      <c r="P441" s="55" t="s">
        <v>1122</v>
      </c>
      <c r="Q441" s="55" t="s">
        <v>380</v>
      </c>
      <c r="R441" s="55">
        <v>3</v>
      </c>
      <c r="S441" s="55"/>
      <c r="T441" s="55" t="s">
        <v>1121</v>
      </c>
    </row>
    <row r="442" spans="1:20" ht="13" x14ac:dyDescent="0.15">
      <c r="A442" s="72" t="str">
        <f t="shared" si="6"/>
        <v>Ofsted Social Care Provider Webpage</v>
      </c>
      <c r="B442" s="55">
        <v>1263773</v>
      </c>
      <c r="D442" s="55" t="s">
        <v>373</v>
      </c>
      <c r="E442" s="74">
        <v>43070</v>
      </c>
      <c r="F442" s="55" t="s">
        <v>344</v>
      </c>
      <c r="G442" s="55" t="s">
        <v>360</v>
      </c>
      <c r="H442" s="55" t="s">
        <v>360</v>
      </c>
      <c r="I442" s="55" t="s">
        <v>360</v>
      </c>
      <c r="J442" s="55" t="s">
        <v>360</v>
      </c>
      <c r="K442" s="55" t="s">
        <v>360</v>
      </c>
      <c r="L442" s="55" t="s">
        <v>360</v>
      </c>
      <c r="M442" s="55" t="s">
        <v>172</v>
      </c>
      <c r="N442" s="55" t="s">
        <v>172</v>
      </c>
      <c r="O442" s="55" t="s">
        <v>212</v>
      </c>
      <c r="P442" s="55" t="s">
        <v>592</v>
      </c>
      <c r="Q442" s="55" t="s">
        <v>350</v>
      </c>
      <c r="R442" s="55">
        <v>4</v>
      </c>
      <c r="S442" s="55"/>
      <c r="T442" s="55" t="s">
        <v>515</v>
      </c>
    </row>
    <row r="443" spans="1:20" ht="13" x14ac:dyDescent="0.15">
      <c r="A443" s="72" t="str">
        <f t="shared" si="6"/>
        <v>Ofsted Social Care Provider Webpage</v>
      </c>
      <c r="B443" s="55">
        <v>1263776</v>
      </c>
      <c r="D443" s="55" t="s">
        <v>373</v>
      </c>
      <c r="E443" s="74">
        <v>42982</v>
      </c>
      <c r="F443" s="55" t="s">
        <v>344</v>
      </c>
      <c r="G443" s="55" t="s">
        <v>360</v>
      </c>
      <c r="H443" s="55" t="s">
        <v>360</v>
      </c>
      <c r="I443" s="55" t="s">
        <v>360</v>
      </c>
      <c r="J443" s="55" t="s">
        <v>360</v>
      </c>
      <c r="K443" s="55" t="s">
        <v>360</v>
      </c>
      <c r="L443" s="55" t="s">
        <v>360</v>
      </c>
      <c r="M443" s="55" t="s">
        <v>138</v>
      </c>
      <c r="N443" s="55" t="s">
        <v>138</v>
      </c>
      <c r="O443" s="55" t="s">
        <v>224</v>
      </c>
      <c r="P443" s="55" t="s">
        <v>1123</v>
      </c>
      <c r="Q443" s="55" t="s">
        <v>350</v>
      </c>
      <c r="R443" s="55">
        <v>2</v>
      </c>
      <c r="S443" s="55"/>
      <c r="T443" s="55" t="s">
        <v>1124</v>
      </c>
    </row>
    <row r="444" spans="1:20" ht="13" x14ac:dyDescent="0.15">
      <c r="A444" s="72" t="str">
        <f t="shared" si="6"/>
        <v>Ofsted Social Care Provider Webpage</v>
      </c>
      <c r="B444" s="55">
        <v>1263837</v>
      </c>
      <c r="D444" s="55" t="s">
        <v>373</v>
      </c>
      <c r="E444" s="74">
        <v>43012</v>
      </c>
      <c r="F444" s="55" t="s">
        <v>344</v>
      </c>
      <c r="G444" s="55" t="s">
        <v>360</v>
      </c>
      <c r="H444" s="55" t="s">
        <v>360</v>
      </c>
      <c r="I444" s="55" t="s">
        <v>360</v>
      </c>
      <c r="J444" s="55" t="s">
        <v>360</v>
      </c>
      <c r="K444" s="55" t="s">
        <v>360</v>
      </c>
      <c r="L444" s="55" t="s">
        <v>360</v>
      </c>
      <c r="M444" s="55" t="s">
        <v>172</v>
      </c>
      <c r="N444" s="55" t="s">
        <v>172</v>
      </c>
      <c r="O444" s="55" t="s">
        <v>171</v>
      </c>
      <c r="P444" s="55" t="s">
        <v>1125</v>
      </c>
      <c r="Q444" s="55" t="s">
        <v>350</v>
      </c>
      <c r="R444" s="55">
        <v>3</v>
      </c>
      <c r="S444" s="55"/>
      <c r="T444" s="55" t="s">
        <v>515</v>
      </c>
    </row>
    <row r="445" spans="1:20" ht="13" x14ac:dyDescent="0.15">
      <c r="A445" s="72" t="str">
        <f t="shared" si="6"/>
        <v>Ofsted Social Care Provider Webpage</v>
      </c>
      <c r="B445" s="55">
        <v>1263977</v>
      </c>
      <c r="D445" s="55" t="s">
        <v>373</v>
      </c>
      <c r="E445" s="74">
        <v>43075</v>
      </c>
      <c r="F445" s="55" t="s">
        <v>344</v>
      </c>
      <c r="G445" s="55" t="s">
        <v>360</v>
      </c>
      <c r="H445" s="55" t="s">
        <v>360</v>
      </c>
      <c r="I445" s="55" t="s">
        <v>360</v>
      </c>
      <c r="J445" s="55" t="s">
        <v>360</v>
      </c>
      <c r="K445" s="55" t="s">
        <v>360</v>
      </c>
      <c r="L445" s="55" t="s">
        <v>360</v>
      </c>
      <c r="M445" s="55" t="s">
        <v>142</v>
      </c>
      <c r="N445" s="55" t="s">
        <v>142</v>
      </c>
      <c r="O445" s="55" t="s">
        <v>278</v>
      </c>
      <c r="P445" s="55" t="s">
        <v>1126</v>
      </c>
      <c r="Q445" s="55" t="s">
        <v>350</v>
      </c>
      <c r="R445" s="55">
        <v>8</v>
      </c>
      <c r="S445" s="55"/>
      <c r="T445" s="55" t="s">
        <v>1127</v>
      </c>
    </row>
    <row r="446" spans="1:20" ht="13" x14ac:dyDescent="0.15">
      <c r="A446" s="72" t="str">
        <f t="shared" si="6"/>
        <v>Ofsted Social Care Provider Webpage</v>
      </c>
      <c r="B446" s="55">
        <v>1264016</v>
      </c>
      <c r="D446" s="55" t="s">
        <v>373</v>
      </c>
      <c r="E446" s="74">
        <v>42985</v>
      </c>
      <c r="F446" s="55" t="s">
        <v>344</v>
      </c>
      <c r="G446" s="55" t="s">
        <v>360</v>
      </c>
      <c r="H446" s="55" t="s">
        <v>360</v>
      </c>
      <c r="I446" s="55" t="s">
        <v>360</v>
      </c>
      <c r="J446" s="55" t="s">
        <v>360</v>
      </c>
      <c r="K446" s="55" t="s">
        <v>360</v>
      </c>
      <c r="L446" s="55" t="s">
        <v>360</v>
      </c>
      <c r="M446" s="55" t="s">
        <v>129</v>
      </c>
      <c r="N446" s="55" t="s">
        <v>129</v>
      </c>
      <c r="O446" s="55" t="s">
        <v>279</v>
      </c>
      <c r="P446" s="55" t="s">
        <v>1128</v>
      </c>
      <c r="Q446" s="55" t="s">
        <v>350</v>
      </c>
      <c r="R446" s="55">
        <v>6</v>
      </c>
      <c r="S446" s="55"/>
      <c r="T446" s="55" t="s">
        <v>1129</v>
      </c>
    </row>
    <row r="447" spans="1:20" ht="13" x14ac:dyDescent="0.15">
      <c r="A447" s="72" t="str">
        <f t="shared" si="6"/>
        <v>Ofsted Social Care Provider Webpage</v>
      </c>
      <c r="B447" s="55">
        <v>1264048</v>
      </c>
      <c r="D447" s="55" t="s">
        <v>373</v>
      </c>
      <c r="E447" s="74">
        <v>42990</v>
      </c>
      <c r="F447" s="55" t="s">
        <v>344</v>
      </c>
      <c r="G447" s="55" t="s">
        <v>360</v>
      </c>
      <c r="H447" s="55" t="s">
        <v>360</v>
      </c>
      <c r="I447" s="55" t="s">
        <v>360</v>
      </c>
      <c r="J447" s="55" t="s">
        <v>360</v>
      </c>
      <c r="K447" s="55" t="s">
        <v>360</v>
      </c>
      <c r="L447" s="55" t="s">
        <v>360</v>
      </c>
      <c r="M447" s="55" t="s">
        <v>129</v>
      </c>
      <c r="N447" s="55" t="s">
        <v>129</v>
      </c>
      <c r="O447" s="55" t="s">
        <v>152</v>
      </c>
      <c r="P447" s="55" t="s">
        <v>1130</v>
      </c>
      <c r="Q447" s="55" t="s">
        <v>350</v>
      </c>
      <c r="R447" s="55">
        <v>4</v>
      </c>
      <c r="S447" s="55"/>
      <c r="T447" s="55" t="s">
        <v>1131</v>
      </c>
    </row>
    <row r="448" spans="1:20" ht="13" x14ac:dyDescent="0.15">
      <c r="A448" s="72" t="str">
        <f t="shared" si="6"/>
        <v>Ofsted Social Care Provider Webpage</v>
      </c>
      <c r="B448" s="55">
        <v>1264286</v>
      </c>
      <c r="D448" s="55" t="s">
        <v>373</v>
      </c>
      <c r="E448" s="74">
        <v>43069</v>
      </c>
      <c r="F448" s="55" t="s">
        <v>344</v>
      </c>
      <c r="G448" s="55" t="s">
        <v>360</v>
      </c>
      <c r="H448" s="55" t="s">
        <v>360</v>
      </c>
      <c r="I448" s="55" t="s">
        <v>360</v>
      </c>
      <c r="J448" s="55" t="s">
        <v>360</v>
      </c>
      <c r="K448" s="55" t="s">
        <v>360</v>
      </c>
      <c r="L448" s="55" t="s">
        <v>360</v>
      </c>
      <c r="M448" s="55" t="s">
        <v>138</v>
      </c>
      <c r="N448" s="55" t="s">
        <v>138</v>
      </c>
      <c r="O448" s="55" t="s">
        <v>137</v>
      </c>
      <c r="P448" s="55" t="s">
        <v>137</v>
      </c>
      <c r="Q448" s="55" t="s">
        <v>350</v>
      </c>
      <c r="R448" s="55">
        <v>4</v>
      </c>
      <c r="S448" s="55"/>
      <c r="T448" s="55" t="s">
        <v>515</v>
      </c>
    </row>
    <row r="449" spans="1:20" ht="13" x14ac:dyDescent="0.15">
      <c r="A449" s="72" t="str">
        <f t="shared" si="6"/>
        <v>Ofsted Social Care Provider Webpage</v>
      </c>
      <c r="B449" s="55">
        <v>1264333</v>
      </c>
      <c r="D449" s="55" t="s">
        <v>373</v>
      </c>
      <c r="E449" s="74">
        <v>43216</v>
      </c>
      <c r="F449" s="55" t="s">
        <v>344</v>
      </c>
      <c r="G449" s="55" t="s">
        <v>360</v>
      </c>
      <c r="H449" s="55" t="s">
        <v>360</v>
      </c>
      <c r="I449" s="55" t="s">
        <v>360</v>
      </c>
      <c r="J449" s="55" t="s">
        <v>360</v>
      </c>
      <c r="K449" s="55" t="s">
        <v>360</v>
      </c>
      <c r="L449" s="55" t="s">
        <v>360</v>
      </c>
      <c r="M449" s="55" t="s">
        <v>144</v>
      </c>
      <c r="N449" s="55" t="s">
        <v>144</v>
      </c>
      <c r="O449" s="55" t="s">
        <v>209</v>
      </c>
      <c r="P449" s="55" t="s">
        <v>545</v>
      </c>
      <c r="Q449" s="55" t="s">
        <v>350</v>
      </c>
      <c r="R449" s="55">
        <v>3</v>
      </c>
      <c r="S449" s="55"/>
      <c r="T449" s="55" t="s">
        <v>493</v>
      </c>
    </row>
    <row r="450" spans="1:20" ht="13" x14ac:dyDescent="0.15">
      <c r="A450" s="72" t="str">
        <f t="shared" si="6"/>
        <v>Ofsted Social Care Provider Webpage</v>
      </c>
      <c r="B450" s="55">
        <v>1264335</v>
      </c>
      <c r="D450" s="55" t="s">
        <v>389</v>
      </c>
      <c r="E450" s="74">
        <v>43091</v>
      </c>
      <c r="F450" s="55" t="s">
        <v>344</v>
      </c>
      <c r="G450" s="55" t="s">
        <v>1132</v>
      </c>
      <c r="H450" s="55" t="s">
        <v>1133</v>
      </c>
      <c r="I450" s="55" t="s">
        <v>1134</v>
      </c>
      <c r="J450" s="55" t="s">
        <v>1060</v>
      </c>
      <c r="L450" s="55" t="s">
        <v>1135</v>
      </c>
      <c r="M450" s="55" t="s">
        <v>142</v>
      </c>
      <c r="N450" s="55" t="s">
        <v>142</v>
      </c>
      <c r="O450" s="55" t="s">
        <v>293</v>
      </c>
      <c r="P450" s="55" t="s">
        <v>1136</v>
      </c>
      <c r="Q450" s="55" t="s">
        <v>350</v>
      </c>
      <c r="R450" s="55"/>
      <c r="S450" s="55"/>
      <c r="T450" s="55" t="s">
        <v>1132</v>
      </c>
    </row>
    <row r="451" spans="1:20" ht="13" x14ac:dyDescent="0.15">
      <c r="A451" s="72" t="str">
        <f t="shared" si="6"/>
        <v>Ofsted Social Care Provider Webpage</v>
      </c>
      <c r="B451" s="55">
        <v>1264438</v>
      </c>
      <c r="D451" s="55" t="s">
        <v>373</v>
      </c>
      <c r="E451" s="74">
        <v>43082</v>
      </c>
      <c r="F451" s="55" t="s">
        <v>344</v>
      </c>
      <c r="G451" s="55" t="s">
        <v>360</v>
      </c>
      <c r="H451" s="55" t="s">
        <v>360</v>
      </c>
      <c r="I451" s="55" t="s">
        <v>360</v>
      </c>
      <c r="J451" s="55" t="s">
        <v>360</v>
      </c>
      <c r="K451" s="55" t="s">
        <v>360</v>
      </c>
      <c r="L451" s="55" t="s">
        <v>360</v>
      </c>
      <c r="M451" s="55" t="s">
        <v>378</v>
      </c>
      <c r="N451" s="55" t="s">
        <v>134</v>
      </c>
      <c r="O451" s="55" t="s">
        <v>175</v>
      </c>
      <c r="P451" s="55" t="s">
        <v>678</v>
      </c>
      <c r="Q451" s="55" t="s">
        <v>350</v>
      </c>
      <c r="R451" s="55">
        <v>4</v>
      </c>
      <c r="S451" s="55"/>
      <c r="T451" s="55" t="s">
        <v>861</v>
      </c>
    </row>
    <row r="452" spans="1:20" ht="13" x14ac:dyDescent="0.15">
      <c r="A452" s="72" t="str">
        <f t="shared" si="6"/>
        <v>Ofsted Social Care Provider Webpage</v>
      </c>
      <c r="B452" s="55">
        <v>1264537</v>
      </c>
      <c r="D452" s="55" t="s">
        <v>373</v>
      </c>
      <c r="E452" s="74">
        <v>43068</v>
      </c>
      <c r="F452" s="55" t="s">
        <v>344</v>
      </c>
      <c r="G452" s="55" t="s">
        <v>360</v>
      </c>
      <c r="H452" s="55" t="s">
        <v>360</v>
      </c>
      <c r="I452" s="55" t="s">
        <v>360</v>
      </c>
      <c r="J452" s="55" t="s">
        <v>360</v>
      </c>
      <c r="K452" s="55" t="s">
        <v>360</v>
      </c>
      <c r="L452" s="55" t="s">
        <v>360</v>
      </c>
      <c r="M452" s="55" t="s">
        <v>144</v>
      </c>
      <c r="N452" s="55" t="s">
        <v>144</v>
      </c>
      <c r="O452" s="55" t="s">
        <v>287</v>
      </c>
      <c r="P452" s="55" t="s">
        <v>287</v>
      </c>
      <c r="Q452" s="55" t="s">
        <v>350</v>
      </c>
      <c r="R452" s="55">
        <v>5</v>
      </c>
      <c r="S452" s="55"/>
      <c r="T452" s="55" t="s">
        <v>863</v>
      </c>
    </row>
    <row r="453" spans="1:20" ht="13" x14ac:dyDescent="0.15">
      <c r="A453" s="72" t="str">
        <f t="shared" ref="A453:A516" si="7">HYPERLINK(_xlfn.CONCAT("http://reports.ofsted.gov.uk/inspection-reports/find-inspection-report/provider/CARE/",B453),"Ofsted Social Care Provider Webpage")</f>
        <v>Ofsted Social Care Provider Webpage</v>
      </c>
      <c r="B453" s="55">
        <v>1264538</v>
      </c>
      <c r="D453" s="55" t="s">
        <v>373</v>
      </c>
      <c r="E453" s="74">
        <v>43025</v>
      </c>
      <c r="F453" s="55" t="s">
        <v>344</v>
      </c>
      <c r="G453" s="55" t="s">
        <v>360</v>
      </c>
      <c r="H453" s="55" t="s">
        <v>360</v>
      </c>
      <c r="I453" s="55" t="s">
        <v>360</v>
      </c>
      <c r="J453" s="55" t="s">
        <v>360</v>
      </c>
      <c r="K453" s="55" t="s">
        <v>360</v>
      </c>
      <c r="L453" s="55" t="s">
        <v>360</v>
      </c>
      <c r="M453" s="55" t="s">
        <v>144</v>
      </c>
      <c r="N453" s="55" t="s">
        <v>144</v>
      </c>
      <c r="O453" s="55" t="s">
        <v>209</v>
      </c>
      <c r="P453" s="55" t="s">
        <v>736</v>
      </c>
      <c r="Q453" s="55" t="s">
        <v>350</v>
      </c>
      <c r="R453" s="55">
        <v>3</v>
      </c>
      <c r="S453" s="55"/>
      <c r="T453" s="55" t="s">
        <v>737</v>
      </c>
    </row>
    <row r="454" spans="1:20" ht="13" x14ac:dyDescent="0.15">
      <c r="A454" s="72" t="str">
        <f t="shared" si="7"/>
        <v>Ofsted Social Care Provider Webpage</v>
      </c>
      <c r="B454" s="55">
        <v>1264592</v>
      </c>
      <c r="C454" s="55">
        <v>136947</v>
      </c>
      <c r="D454" s="55" t="s">
        <v>398</v>
      </c>
      <c r="E454" s="74">
        <v>42979</v>
      </c>
      <c r="F454" s="55" t="s">
        <v>344</v>
      </c>
      <c r="G454" s="55" t="s">
        <v>1137</v>
      </c>
      <c r="H454" s="55" t="s">
        <v>1138</v>
      </c>
      <c r="I454" s="55" t="s">
        <v>1139</v>
      </c>
      <c r="J454" s="55" t="s">
        <v>1140</v>
      </c>
      <c r="K454" s="55" t="s">
        <v>181</v>
      </c>
      <c r="L454" s="55" t="s">
        <v>1141</v>
      </c>
      <c r="M454" s="55" t="s">
        <v>150</v>
      </c>
      <c r="N454" s="55" t="s">
        <v>150</v>
      </c>
      <c r="O454" s="55" t="s">
        <v>181</v>
      </c>
      <c r="P454" s="55" t="s">
        <v>1142</v>
      </c>
      <c r="Q454" s="55" t="s">
        <v>350</v>
      </c>
      <c r="R454" s="55">
        <v>30</v>
      </c>
      <c r="S454" s="55"/>
      <c r="T454" s="55" t="s">
        <v>1143</v>
      </c>
    </row>
    <row r="455" spans="1:20" ht="13" x14ac:dyDescent="0.15">
      <c r="A455" s="72" t="str">
        <f t="shared" si="7"/>
        <v>Ofsted Social Care Provider Webpage</v>
      </c>
      <c r="B455" s="55">
        <v>1264707</v>
      </c>
      <c r="D455" s="55" t="s">
        <v>468</v>
      </c>
      <c r="E455" s="74">
        <v>43166</v>
      </c>
      <c r="F455" s="55" t="s">
        <v>344</v>
      </c>
      <c r="G455" s="55" t="s">
        <v>1144</v>
      </c>
      <c r="H455" s="55" t="s">
        <v>1145</v>
      </c>
      <c r="I455" s="55" t="s">
        <v>1146</v>
      </c>
      <c r="J455" s="55" t="s">
        <v>1147</v>
      </c>
      <c r="L455" s="55" t="s">
        <v>1148</v>
      </c>
      <c r="M455" s="55" t="s">
        <v>142</v>
      </c>
      <c r="N455" s="55" t="s">
        <v>142</v>
      </c>
      <c r="O455" s="55" t="s">
        <v>249</v>
      </c>
      <c r="P455" s="55" t="s">
        <v>1149</v>
      </c>
      <c r="Q455" s="55" t="s">
        <v>362</v>
      </c>
      <c r="R455" s="55"/>
      <c r="S455" s="55"/>
      <c r="T455" s="55" t="s">
        <v>1150</v>
      </c>
    </row>
    <row r="456" spans="1:20" ht="13" x14ac:dyDescent="0.15">
      <c r="A456" s="72" t="str">
        <f t="shared" si="7"/>
        <v>Ofsted Social Care Provider Webpage</v>
      </c>
      <c r="B456" s="55">
        <v>1264756</v>
      </c>
      <c r="D456" s="55" t="s">
        <v>373</v>
      </c>
      <c r="E456" s="74">
        <v>43029</v>
      </c>
      <c r="F456" s="55" t="s">
        <v>344</v>
      </c>
      <c r="G456" s="55" t="s">
        <v>360</v>
      </c>
      <c r="H456" s="55" t="s">
        <v>360</v>
      </c>
      <c r="I456" s="55" t="s">
        <v>360</v>
      </c>
      <c r="J456" s="55" t="s">
        <v>360</v>
      </c>
      <c r="K456" s="55" t="s">
        <v>360</v>
      </c>
      <c r="L456" s="55" t="s">
        <v>360</v>
      </c>
      <c r="M456" s="55" t="s">
        <v>136</v>
      </c>
      <c r="N456" s="55" t="s">
        <v>136</v>
      </c>
      <c r="O456" s="55" t="s">
        <v>174</v>
      </c>
      <c r="P456" s="55" t="s">
        <v>982</v>
      </c>
      <c r="Q456" s="55" t="s">
        <v>350</v>
      </c>
      <c r="R456" s="55">
        <v>2</v>
      </c>
      <c r="S456" s="55"/>
      <c r="T456" s="55" t="s">
        <v>1151</v>
      </c>
    </row>
    <row r="457" spans="1:20" ht="13" x14ac:dyDescent="0.15">
      <c r="A457" s="72" t="str">
        <f t="shared" si="7"/>
        <v>Ofsted Social Care Provider Webpage</v>
      </c>
      <c r="B457" s="55">
        <v>1264840</v>
      </c>
      <c r="D457" s="55" t="s">
        <v>373</v>
      </c>
      <c r="E457" s="74">
        <v>43073</v>
      </c>
      <c r="F457" s="55" t="s">
        <v>344</v>
      </c>
      <c r="G457" s="55" t="s">
        <v>360</v>
      </c>
      <c r="H457" s="55" t="s">
        <v>360</v>
      </c>
      <c r="I457" s="55" t="s">
        <v>360</v>
      </c>
      <c r="J457" s="55" t="s">
        <v>360</v>
      </c>
      <c r="K457" s="55" t="s">
        <v>360</v>
      </c>
      <c r="L457" s="55" t="s">
        <v>360</v>
      </c>
      <c r="M457" s="55" t="s">
        <v>142</v>
      </c>
      <c r="N457" s="55" t="s">
        <v>142</v>
      </c>
      <c r="O457" s="55" t="s">
        <v>166</v>
      </c>
      <c r="P457" s="55" t="s">
        <v>1152</v>
      </c>
      <c r="Q457" s="55" t="s">
        <v>350</v>
      </c>
      <c r="R457" s="55">
        <v>3</v>
      </c>
      <c r="S457" s="55"/>
      <c r="T457" s="55" t="s">
        <v>517</v>
      </c>
    </row>
    <row r="458" spans="1:20" ht="13" x14ac:dyDescent="0.15">
      <c r="A458" s="72" t="str">
        <f t="shared" si="7"/>
        <v>Ofsted Social Care Provider Webpage</v>
      </c>
      <c r="B458" s="55">
        <v>1264841</v>
      </c>
      <c r="D458" s="55" t="s">
        <v>373</v>
      </c>
      <c r="E458" s="74">
        <v>43087</v>
      </c>
      <c r="F458" s="55" t="s">
        <v>344</v>
      </c>
      <c r="G458" s="55" t="s">
        <v>360</v>
      </c>
      <c r="H458" s="55" t="s">
        <v>360</v>
      </c>
      <c r="I458" s="55" t="s">
        <v>360</v>
      </c>
      <c r="J458" s="55" t="s">
        <v>360</v>
      </c>
      <c r="K458" s="55" t="s">
        <v>360</v>
      </c>
      <c r="L458" s="55" t="s">
        <v>360</v>
      </c>
      <c r="M458" s="55" t="s">
        <v>129</v>
      </c>
      <c r="N458" s="55" t="s">
        <v>129</v>
      </c>
      <c r="O458" s="55" t="s">
        <v>139</v>
      </c>
      <c r="P458" s="55" t="s">
        <v>1153</v>
      </c>
      <c r="Q458" s="55" t="s">
        <v>362</v>
      </c>
      <c r="R458" s="55">
        <v>10</v>
      </c>
      <c r="S458" s="55" t="s">
        <v>332</v>
      </c>
      <c r="T458" s="55" t="s">
        <v>1154</v>
      </c>
    </row>
    <row r="459" spans="1:20" ht="13" x14ac:dyDescent="0.15">
      <c r="A459" s="72" t="str">
        <f t="shared" si="7"/>
        <v>Ofsted Social Care Provider Webpage</v>
      </c>
      <c r="B459" s="55">
        <v>1265010</v>
      </c>
      <c r="D459" s="55" t="s">
        <v>389</v>
      </c>
      <c r="E459" s="74">
        <v>43083</v>
      </c>
      <c r="F459" s="55" t="s">
        <v>344</v>
      </c>
      <c r="G459" s="55" t="s">
        <v>1155</v>
      </c>
      <c r="H459" s="55" t="s">
        <v>1156</v>
      </c>
      <c r="I459" s="55" t="s">
        <v>1157</v>
      </c>
      <c r="J459" s="55" t="s">
        <v>129</v>
      </c>
      <c r="K459" s="55" t="s">
        <v>1158</v>
      </c>
      <c r="L459" s="55" t="s">
        <v>1159</v>
      </c>
      <c r="M459" s="55" t="s">
        <v>129</v>
      </c>
      <c r="N459" s="55" t="s">
        <v>129</v>
      </c>
      <c r="O459" s="55" t="s">
        <v>213</v>
      </c>
      <c r="P459" s="55" t="s">
        <v>1160</v>
      </c>
      <c r="Q459" s="55" t="s">
        <v>350</v>
      </c>
      <c r="R459" s="55"/>
      <c r="S459" s="55"/>
      <c r="T459" s="55" t="s">
        <v>1155</v>
      </c>
    </row>
    <row r="460" spans="1:20" ht="13" x14ac:dyDescent="0.15">
      <c r="A460" s="72" t="str">
        <f t="shared" si="7"/>
        <v>Ofsted Social Care Provider Webpage</v>
      </c>
      <c r="B460" s="55">
        <v>1265092</v>
      </c>
      <c r="D460" s="55" t="s">
        <v>373</v>
      </c>
      <c r="E460" s="74">
        <v>43103</v>
      </c>
      <c r="F460" s="55" t="s">
        <v>344</v>
      </c>
      <c r="G460" s="55" t="s">
        <v>360</v>
      </c>
      <c r="H460" s="55" t="s">
        <v>360</v>
      </c>
      <c r="I460" s="55" t="s">
        <v>360</v>
      </c>
      <c r="J460" s="55" t="s">
        <v>360</v>
      </c>
      <c r="K460" s="55" t="s">
        <v>360</v>
      </c>
      <c r="L460" s="55" t="s">
        <v>360</v>
      </c>
      <c r="M460" s="55" t="s">
        <v>144</v>
      </c>
      <c r="N460" s="55" t="s">
        <v>144</v>
      </c>
      <c r="O460" s="55" t="s">
        <v>147</v>
      </c>
      <c r="P460" s="55" t="s">
        <v>674</v>
      </c>
      <c r="Q460" s="55" t="s">
        <v>350</v>
      </c>
      <c r="R460" s="55">
        <v>7</v>
      </c>
      <c r="S460" s="55"/>
      <c r="T460" s="55" t="s">
        <v>1161</v>
      </c>
    </row>
    <row r="461" spans="1:20" ht="13" x14ac:dyDescent="0.15">
      <c r="A461" s="72" t="str">
        <f t="shared" si="7"/>
        <v>Ofsted Social Care Provider Webpage</v>
      </c>
      <c r="B461" s="55">
        <v>1265096</v>
      </c>
      <c r="D461" s="55" t="s">
        <v>373</v>
      </c>
      <c r="E461" s="74">
        <v>43209</v>
      </c>
      <c r="F461" s="55" t="s">
        <v>344</v>
      </c>
      <c r="G461" s="55" t="s">
        <v>360</v>
      </c>
      <c r="H461" s="55" t="s">
        <v>360</v>
      </c>
      <c r="I461" s="55" t="s">
        <v>360</v>
      </c>
      <c r="J461" s="55" t="s">
        <v>360</v>
      </c>
      <c r="K461" s="55" t="s">
        <v>360</v>
      </c>
      <c r="L461" s="55" t="s">
        <v>360</v>
      </c>
      <c r="M461" s="55" t="s">
        <v>142</v>
      </c>
      <c r="N461" s="55" t="s">
        <v>142</v>
      </c>
      <c r="O461" s="55" t="s">
        <v>292</v>
      </c>
      <c r="P461" s="55" t="s">
        <v>1162</v>
      </c>
      <c r="Q461" s="55" t="s">
        <v>350</v>
      </c>
      <c r="R461" s="55">
        <v>2</v>
      </c>
      <c r="S461" s="55"/>
      <c r="T461" s="55" t="s">
        <v>1163</v>
      </c>
    </row>
    <row r="462" spans="1:20" ht="13" x14ac:dyDescent="0.15">
      <c r="A462" s="72" t="str">
        <f t="shared" si="7"/>
        <v>Ofsted Social Care Provider Webpage</v>
      </c>
      <c r="B462" s="55">
        <v>1265128</v>
      </c>
      <c r="D462" s="55" t="s">
        <v>373</v>
      </c>
      <c r="E462" s="74">
        <v>43053</v>
      </c>
      <c r="F462" s="55" t="s">
        <v>344</v>
      </c>
      <c r="G462" s="55" t="s">
        <v>360</v>
      </c>
      <c r="H462" s="55" t="s">
        <v>360</v>
      </c>
      <c r="I462" s="55" t="s">
        <v>360</v>
      </c>
      <c r="J462" s="55" t="s">
        <v>360</v>
      </c>
      <c r="K462" s="55" t="s">
        <v>360</v>
      </c>
      <c r="L462" s="55" t="s">
        <v>360</v>
      </c>
      <c r="M462" s="55" t="s">
        <v>144</v>
      </c>
      <c r="N462" s="55" t="s">
        <v>144</v>
      </c>
      <c r="O462" s="55" t="s">
        <v>209</v>
      </c>
      <c r="P462" s="55" t="s">
        <v>544</v>
      </c>
      <c r="Q462" s="55" t="s">
        <v>350</v>
      </c>
      <c r="R462" s="55">
        <v>2</v>
      </c>
      <c r="S462" s="55"/>
      <c r="T462" s="55" t="s">
        <v>485</v>
      </c>
    </row>
    <row r="463" spans="1:20" ht="13" x14ac:dyDescent="0.15">
      <c r="A463" s="72" t="str">
        <f t="shared" si="7"/>
        <v>Ofsted Social Care Provider Webpage</v>
      </c>
      <c r="B463" s="55">
        <v>1266267</v>
      </c>
      <c r="D463" s="55" t="s">
        <v>373</v>
      </c>
      <c r="E463" s="74">
        <v>43228</v>
      </c>
      <c r="F463" s="55" t="s">
        <v>344</v>
      </c>
      <c r="G463" s="55" t="s">
        <v>360</v>
      </c>
      <c r="H463" s="55" t="s">
        <v>360</v>
      </c>
      <c r="I463" s="55" t="s">
        <v>360</v>
      </c>
      <c r="J463" s="55" t="s">
        <v>360</v>
      </c>
      <c r="K463" s="55" t="s">
        <v>360</v>
      </c>
      <c r="L463" s="55" t="s">
        <v>360</v>
      </c>
      <c r="M463" s="55" t="s">
        <v>142</v>
      </c>
      <c r="N463" s="55" t="s">
        <v>142</v>
      </c>
      <c r="O463" s="55" t="s">
        <v>292</v>
      </c>
      <c r="P463" s="55" t="s">
        <v>976</v>
      </c>
      <c r="Q463" s="55" t="s">
        <v>350</v>
      </c>
      <c r="R463" s="55">
        <v>6</v>
      </c>
      <c r="S463" s="55" t="s">
        <v>332</v>
      </c>
      <c r="T463" s="55" t="s">
        <v>1164</v>
      </c>
    </row>
    <row r="464" spans="1:20" ht="13" x14ac:dyDescent="0.15">
      <c r="A464" s="72" t="str">
        <f t="shared" si="7"/>
        <v>Ofsted Social Care Provider Webpage</v>
      </c>
      <c r="B464" s="55">
        <v>1266835</v>
      </c>
      <c r="D464" s="55" t="s">
        <v>373</v>
      </c>
      <c r="E464" s="74">
        <v>43033</v>
      </c>
      <c r="F464" s="55" t="s">
        <v>344</v>
      </c>
      <c r="G464" s="55" t="s">
        <v>360</v>
      </c>
      <c r="H464" s="55" t="s">
        <v>360</v>
      </c>
      <c r="I464" s="55" t="s">
        <v>360</v>
      </c>
      <c r="J464" s="55" t="s">
        <v>360</v>
      </c>
      <c r="K464" s="55" t="s">
        <v>360</v>
      </c>
      <c r="L464" s="55" t="s">
        <v>360</v>
      </c>
      <c r="M464" s="55" t="s">
        <v>136</v>
      </c>
      <c r="N464" s="55" t="s">
        <v>136</v>
      </c>
      <c r="O464" s="55" t="s">
        <v>135</v>
      </c>
      <c r="P464" s="55" t="s">
        <v>1165</v>
      </c>
      <c r="Q464" s="55" t="s">
        <v>362</v>
      </c>
      <c r="R464" s="55">
        <v>5</v>
      </c>
      <c r="S464" s="55" t="s">
        <v>332</v>
      </c>
      <c r="T464" s="55" t="s">
        <v>367</v>
      </c>
    </row>
    <row r="465" spans="1:20" ht="13" x14ac:dyDescent="0.15">
      <c r="A465" s="72" t="str">
        <f t="shared" si="7"/>
        <v>Ofsted Social Care Provider Webpage</v>
      </c>
      <c r="B465" s="55">
        <v>1266836</v>
      </c>
      <c r="C465" s="55">
        <v>123331</v>
      </c>
      <c r="D465" s="55" t="s">
        <v>413</v>
      </c>
      <c r="E465" s="74">
        <v>42948</v>
      </c>
      <c r="F465" s="55" t="s">
        <v>344</v>
      </c>
      <c r="G465" s="55" t="s">
        <v>1166</v>
      </c>
      <c r="H465" s="55" t="s">
        <v>1167</v>
      </c>
      <c r="I465" s="55" t="s">
        <v>354</v>
      </c>
      <c r="J465" s="55" t="s">
        <v>990</v>
      </c>
      <c r="K465" s="55" t="s">
        <v>237</v>
      </c>
      <c r="L465" s="55" t="s">
        <v>1168</v>
      </c>
      <c r="M465" s="55" t="s">
        <v>150</v>
      </c>
      <c r="N465" s="55" t="s">
        <v>150</v>
      </c>
      <c r="O465" s="55" t="s">
        <v>237</v>
      </c>
      <c r="P465" s="55" t="s">
        <v>990</v>
      </c>
      <c r="Q465" s="55" t="s">
        <v>350</v>
      </c>
      <c r="R465" s="55">
        <v>31</v>
      </c>
      <c r="S465" s="55"/>
      <c r="T465" s="55" t="s">
        <v>1169</v>
      </c>
    </row>
    <row r="466" spans="1:20" ht="13" x14ac:dyDescent="0.15">
      <c r="A466" s="72" t="str">
        <f t="shared" si="7"/>
        <v>Ofsted Social Care Provider Webpage</v>
      </c>
      <c r="B466" s="55">
        <v>1266838</v>
      </c>
      <c r="D466" s="55" t="s">
        <v>373</v>
      </c>
      <c r="E466" s="74">
        <v>43061</v>
      </c>
      <c r="F466" s="55" t="s">
        <v>344</v>
      </c>
      <c r="G466" s="55" t="s">
        <v>360</v>
      </c>
      <c r="H466" s="55" t="s">
        <v>360</v>
      </c>
      <c r="I466" s="55" t="s">
        <v>360</v>
      </c>
      <c r="J466" s="55" t="s">
        <v>360</v>
      </c>
      <c r="K466" s="55" t="s">
        <v>360</v>
      </c>
      <c r="L466" s="55" t="s">
        <v>360</v>
      </c>
      <c r="M466" s="55" t="s">
        <v>144</v>
      </c>
      <c r="N466" s="55" t="s">
        <v>144</v>
      </c>
      <c r="O466" s="55" t="s">
        <v>168</v>
      </c>
      <c r="P466" s="55" t="s">
        <v>913</v>
      </c>
      <c r="Q466" s="55" t="s">
        <v>350</v>
      </c>
      <c r="R466" s="55">
        <v>3</v>
      </c>
      <c r="S466" s="55"/>
      <c r="T466" s="55" t="s">
        <v>709</v>
      </c>
    </row>
    <row r="467" spans="1:20" ht="13" x14ac:dyDescent="0.15">
      <c r="A467" s="72" t="str">
        <f t="shared" si="7"/>
        <v>Ofsted Social Care Provider Webpage</v>
      </c>
      <c r="B467" s="55">
        <v>1267025</v>
      </c>
      <c r="C467" s="55">
        <v>143101</v>
      </c>
      <c r="D467" s="55" t="s">
        <v>398</v>
      </c>
      <c r="E467" s="74">
        <v>42615</v>
      </c>
      <c r="F467" s="55" t="s">
        <v>344</v>
      </c>
      <c r="G467" s="55" t="s">
        <v>1170</v>
      </c>
      <c r="H467" s="55" t="s">
        <v>1171</v>
      </c>
      <c r="I467" s="55" t="s">
        <v>1172</v>
      </c>
      <c r="J467" s="55" t="s">
        <v>142</v>
      </c>
      <c r="L467" s="55" t="s">
        <v>1173</v>
      </c>
      <c r="M467" s="55" t="s">
        <v>142</v>
      </c>
      <c r="N467" s="55" t="s">
        <v>142</v>
      </c>
      <c r="O467" s="55" t="s">
        <v>292</v>
      </c>
      <c r="P467" s="55" t="s">
        <v>1052</v>
      </c>
      <c r="Q467" s="55" t="s">
        <v>420</v>
      </c>
      <c r="R467" s="55">
        <v>100</v>
      </c>
      <c r="S467" s="55"/>
      <c r="T467" s="55" t="s">
        <v>1174</v>
      </c>
    </row>
    <row r="468" spans="1:20" ht="13" x14ac:dyDescent="0.15">
      <c r="A468" s="72" t="str">
        <f t="shared" si="7"/>
        <v>Ofsted Social Care Provider Webpage</v>
      </c>
      <c r="B468" s="55">
        <v>1267324</v>
      </c>
      <c r="D468" s="55" t="s">
        <v>389</v>
      </c>
      <c r="E468" s="74">
        <v>43166</v>
      </c>
      <c r="F468" s="55" t="s">
        <v>344</v>
      </c>
      <c r="G468" s="55" t="s">
        <v>1175</v>
      </c>
      <c r="H468" s="55" t="s">
        <v>1145</v>
      </c>
      <c r="I468" s="55" t="s">
        <v>1146</v>
      </c>
      <c r="J468" s="55" t="s">
        <v>1147</v>
      </c>
      <c r="L468" s="55" t="s">
        <v>1148</v>
      </c>
      <c r="M468" s="55" t="s">
        <v>142</v>
      </c>
      <c r="N468" s="55" t="s">
        <v>142</v>
      </c>
      <c r="O468" s="55" t="s">
        <v>249</v>
      </c>
      <c r="P468" s="55" t="s">
        <v>1149</v>
      </c>
      <c r="Q468" s="55" t="s">
        <v>362</v>
      </c>
      <c r="R468" s="55"/>
      <c r="S468" s="55"/>
      <c r="T468" s="55" t="s">
        <v>1150</v>
      </c>
    </row>
    <row r="469" spans="1:20" ht="13" x14ac:dyDescent="0.15">
      <c r="A469" s="72" t="str">
        <f t="shared" si="7"/>
        <v>Ofsted Social Care Provider Webpage</v>
      </c>
      <c r="B469" s="55">
        <v>1267532</v>
      </c>
      <c r="C469" s="55">
        <v>135792</v>
      </c>
      <c r="D469" s="55" t="s">
        <v>398</v>
      </c>
      <c r="E469" s="74">
        <v>43054</v>
      </c>
      <c r="F469" s="55" t="s">
        <v>344</v>
      </c>
      <c r="G469" s="55" t="s">
        <v>1176</v>
      </c>
      <c r="H469" s="55" t="s">
        <v>1177</v>
      </c>
      <c r="I469" s="55" t="s">
        <v>1178</v>
      </c>
      <c r="J469" s="55" t="s">
        <v>1179</v>
      </c>
      <c r="L469" s="55" t="s">
        <v>1180</v>
      </c>
      <c r="M469" s="55" t="s">
        <v>142</v>
      </c>
      <c r="N469" s="55" t="s">
        <v>142</v>
      </c>
      <c r="O469" s="55" t="s">
        <v>249</v>
      </c>
      <c r="P469" s="55" t="s">
        <v>1181</v>
      </c>
      <c r="Q469" s="55" t="s">
        <v>350</v>
      </c>
      <c r="R469" s="55">
        <v>30</v>
      </c>
      <c r="S469" s="55"/>
      <c r="T469" s="55" t="s">
        <v>1176</v>
      </c>
    </row>
    <row r="470" spans="1:20" ht="13" x14ac:dyDescent="0.15">
      <c r="A470" s="72" t="str">
        <f t="shared" si="7"/>
        <v>Ofsted Social Care Provider Webpage</v>
      </c>
      <c r="B470" s="55">
        <v>1267537</v>
      </c>
      <c r="D470" s="55" t="s">
        <v>373</v>
      </c>
      <c r="E470" s="74">
        <v>43080</v>
      </c>
      <c r="F470" s="55" t="s">
        <v>344</v>
      </c>
      <c r="G470" s="55" t="s">
        <v>360</v>
      </c>
      <c r="H470" s="55" t="s">
        <v>360</v>
      </c>
      <c r="I470" s="55" t="s">
        <v>360</v>
      </c>
      <c r="J470" s="55" t="s">
        <v>360</v>
      </c>
      <c r="K470" s="55" t="s">
        <v>360</v>
      </c>
      <c r="L470" s="55" t="s">
        <v>360</v>
      </c>
      <c r="M470" s="55" t="s">
        <v>172</v>
      </c>
      <c r="N470" s="55" t="s">
        <v>172</v>
      </c>
      <c r="O470" s="55" t="s">
        <v>173</v>
      </c>
      <c r="P470" s="55" t="s">
        <v>860</v>
      </c>
      <c r="Q470" s="55" t="s">
        <v>350</v>
      </c>
      <c r="R470" s="55">
        <v>3</v>
      </c>
      <c r="S470" s="55"/>
      <c r="T470" s="55" t="s">
        <v>520</v>
      </c>
    </row>
    <row r="471" spans="1:20" ht="13" x14ac:dyDescent="0.15">
      <c r="A471" s="72" t="str">
        <f t="shared" si="7"/>
        <v>Ofsted Social Care Provider Webpage</v>
      </c>
      <c r="B471" s="55">
        <v>1267650</v>
      </c>
      <c r="D471" s="55" t="s">
        <v>373</v>
      </c>
      <c r="E471" s="74">
        <v>43108</v>
      </c>
      <c r="F471" s="55" t="s">
        <v>344</v>
      </c>
      <c r="G471" s="55" t="s">
        <v>360</v>
      </c>
      <c r="H471" s="55" t="s">
        <v>360</v>
      </c>
      <c r="I471" s="55" t="s">
        <v>360</v>
      </c>
      <c r="J471" s="55" t="s">
        <v>360</v>
      </c>
      <c r="K471" s="55" t="s">
        <v>360</v>
      </c>
      <c r="L471" s="55" t="s">
        <v>360</v>
      </c>
      <c r="M471" s="55" t="s">
        <v>378</v>
      </c>
      <c r="N471" s="55" t="s">
        <v>170</v>
      </c>
      <c r="O471" s="55" t="s">
        <v>233</v>
      </c>
      <c r="P471" s="55" t="s">
        <v>379</v>
      </c>
      <c r="Q471" s="55" t="s">
        <v>350</v>
      </c>
      <c r="R471" s="55">
        <v>3</v>
      </c>
      <c r="S471" s="55"/>
      <c r="T471" s="55" t="s">
        <v>1182</v>
      </c>
    </row>
    <row r="472" spans="1:20" ht="13" x14ac:dyDescent="0.15">
      <c r="A472" s="72" t="str">
        <f t="shared" si="7"/>
        <v>Ofsted Social Care Provider Webpage</v>
      </c>
      <c r="B472" s="55">
        <v>1268334</v>
      </c>
      <c r="D472" s="55" t="s">
        <v>373</v>
      </c>
      <c r="E472" s="74">
        <v>43019</v>
      </c>
      <c r="F472" s="55" t="s">
        <v>344</v>
      </c>
      <c r="G472" s="55" t="s">
        <v>360</v>
      </c>
      <c r="H472" s="55" t="s">
        <v>360</v>
      </c>
      <c r="I472" s="55" t="s">
        <v>360</v>
      </c>
      <c r="J472" s="55" t="s">
        <v>360</v>
      </c>
      <c r="K472" s="55" t="s">
        <v>360</v>
      </c>
      <c r="L472" s="55" t="s">
        <v>360</v>
      </c>
      <c r="M472" s="55" t="s">
        <v>378</v>
      </c>
      <c r="N472" s="55" t="s">
        <v>170</v>
      </c>
      <c r="O472" s="55" t="s">
        <v>257</v>
      </c>
      <c r="P472" s="55" t="s">
        <v>1183</v>
      </c>
      <c r="Q472" s="55" t="s">
        <v>380</v>
      </c>
      <c r="R472" s="55">
        <v>4</v>
      </c>
      <c r="S472" s="55" t="s">
        <v>332</v>
      </c>
      <c r="T472" s="55" t="s">
        <v>1184</v>
      </c>
    </row>
    <row r="473" spans="1:20" ht="13" x14ac:dyDescent="0.15">
      <c r="A473" s="72" t="str">
        <f t="shared" si="7"/>
        <v>Ofsted Social Care Provider Webpage</v>
      </c>
      <c r="B473" s="55">
        <v>1268518</v>
      </c>
      <c r="D473" s="55" t="s">
        <v>373</v>
      </c>
      <c r="E473" s="74">
        <v>43069</v>
      </c>
      <c r="F473" s="55" t="s">
        <v>344</v>
      </c>
      <c r="G473" s="55" t="s">
        <v>360</v>
      </c>
      <c r="H473" s="55" t="s">
        <v>360</v>
      </c>
      <c r="I473" s="55" t="s">
        <v>360</v>
      </c>
      <c r="J473" s="55" t="s">
        <v>360</v>
      </c>
      <c r="K473" s="55" t="s">
        <v>360</v>
      </c>
      <c r="L473" s="55" t="s">
        <v>360</v>
      </c>
      <c r="M473" s="55" t="s">
        <v>136</v>
      </c>
      <c r="N473" s="55" t="s">
        <v>136</v>
      </c>
      <c r="O473" s="55" t="s">
        <v>239</v>
      </c>
      <c r="P473" s="55" t="s">
        <v>738</v>
      </c>
      <c r="Q473" s="55" t="s">
        <v>350</v>
      </c>
      <c r="R473" s="55">
        <v>2</v>
      </c>
      <c r="S473" s="55"/>
      <c r="T473" s="55" t="s">
        <v>739</v>
      </c>
    </row>
    <row r="474" spans="1:20" ht="13" x14ac:dyDescent="0.15">
      <c r="A474" s="72" t="str">
        <f t="shared" si="7"/>
        <v>Ofsted Social Care Provider Webpage</v>
      </c>
      <c r="B474" s="55">
        <v>1268530</v>
      </c>
      <c r="D474" s="55" t="s">
        <v>373</v>
      </c>
      <c r="E474" s="74">
        <v>43075</v>
      </c>
      <c r="F474" s="55" t="s">
        <v>344</v>
      </c>
      <c r="G474" s="55" t="s">
        <v>360</v>
      </c>
      <c r="H474" s="55" t="s">
        <v>360</v>
      </c>
      <c r="I474" s="55" t="s">
        <v>360</v>
      </c>
      <c r="J474" s="55" t="s">
        <v>360</v>
      </c>
      <c r="K474" s="55" t="s">
        <v>360</v>
      </c>
      <c r="L474" s="55" t="s">
        <v>360</v>
      </c>
      <c r="M474" s="55" t="s">
        <v>172</v>
      </c>
      <c r="N474" s="55" t="s">
        <v>172</v>
      </c>
      <c r="O474" s="55" t="s">
        <v>284</v>
      </c>
      <c r="P474" s="55" t="s">
        <v>986</v>
      </c>
      <c r="Q474" s="55" t="s">
        <v>350</v>
      </c>
      <c r="R474" s="55">
        <v>3</v>
      </c>
      <c r="S474" s="55"/>
      <c r="T474" s="55" t="s">
        <v>668</v>
      </c>
    </row>
    <row r="475" spans="1:20" ht="13" x14ac:dyDescent="0.15">
      <c r="A475" s="72" t="str">
        <f t="shared" si="7"/>
        <v>Ofsted Social Care Provider Webpage</v>
      </c>
      <c r="B475" s="55">
        <v>1268535</v>
      </c>
      <c r="D475" s="55" t="s">
        <v>373</v>
      </c>
      <c r="E475" s="74">
        <v>43283</v>
      </c>
      <c r="F475" s="55" t="s">
        <v>344</v>
      </c>
      <c r="G475" s="55" t="s">
        <v>360</v>
      </c>
      <c r="H475" s="55" t="s">
        <v>360</v>
      </c>
      <c r="I475" s="55" t="s">
        <v>360</v>
      </c>
      <c r="J475" s="55" t="s">
        <v>360</v>
      </c>
      <c r="K475" s="55" t="s">
        <v>360</v>
      </c>
      <c r="L475" s="55" t="s">
        <v>360</v>
      </c>
      <c r="M475" s="55" t="s">
        <v>142</v>
      </c>
      <c r="N475" s="55" t="s">
        <v>142</v>
      </c>
      <c r="O475" s="55" t="s">
        <v>292</v>
      </c>
      <c r="P475" s="55" t="s">
        <v>1052</v>
      </c>
      <c r="Q475" s="55" t="s">
        <v>350</v>
      </c>
      <c r="R475" s="55">
        <v>3</v>
      </c>
      <c r="S475" s="55"/>
      <c r="T475" s="55" t="s">
        <v>1185</v>
      </c>
    </row>
    <row r="476" spans="1:20" ht="13" x14ac:dyDescent="0.15">
      <c r="A476" s="72" t="str">
        <f t="shared" si="7"/>
        <v>Ofsted Social Care Provider Webpage</v>
      </c>
      <c r="B476" s="55">
        <v>1268883</v>
      </c>
      <c r="D476" s="55" t="s">
        <v>389</v>
      </c>
      <c r="E476" s="74">
        <v>43090</v>
      </c>
      <c r="F476" s="55" t="s">
        <v>344</v>
      </c>
      <c r="G476" s="55" t="s">
        <v>1186</v>
      </c>
      <c r="H476" s="55" t="s">
        <v>1187</v>
      </c>
      <c r="I476" s="55" t="s">
        <v>1188</v>
      </c>
      <c r="J476" s="55" t="s">
        <v>1189</v>
      </c>
      <c r="L476" s="55" t="s">
        <v>1190</v>
      </c>
      <c r="M476" s="55" t="s">
        <v>129</v>
      </c>
      <c r="N476" s="55" t="s">
        <v>129</v>
      </c>
      <c r="O476" s="55" t="s">
        <v>192</v>
      </c>
      <c r="P476" s="55" t="s">
        <v>1191</v>
      </c>
      <c r="Q476" s="55" t="s">
        <v>350</v>
      </c>
      <c r="R476" s="55"/>
      <c r="S476" s="55"/>
      <c r="T476" s="55" t="s">
        <v>1186</v>
      </c>
    </row>
    <row r="477" spans="1:20" ht="13" x14ac:dyDescent="0.15">
      <c r="A477" s="72" t="str">
        <f t="shared" si="7"/>
        <v>Ofsted Social Care Provider Webpage</v>
      </c>
      <c r="B477" s="55">
        <v>1268886</v>
      </c>
      <c r="D477" s="55" t="s">
        <v>373</v>
      </c>
      <c r="E477" s="74">
        <v>43243</v>
      </c>
      <c r="F477" s="55" t="s">
        <v>344</v>
      </c>
      <c r="G477" s="55" t="s">
        <v>360</v>
      </c>
      <c r="H477" s="55" t="s">
        <v>360</v>
      </c>
      <c r="I477" s="55" t="s">
        <v>360</v>
      </c>
      <c r="J477" s="55" t="s">
        <v>360</v>
      </c>
      <c r="K477" s="55" t="s">
        <v>360</v>
      </c>
      <c r="L477" s="55" t="s">
        <v>360</v>
      </c>
      <c r="M477" s="55" t="s">
        <v>129</v>
      </c>
      <c r="N477" s="55" t="s">
        <v>129</v>
      </c>
      <c r="O477" s="55" t="s">
        <v>242</v>
      </c>
      <c r="P477" s="55" t="s">
        <v>1192</v>
      </c>
      <c r="Q477" s="55" t="s">
        <v>350</v>
      </c>
      <c r="R477" s="55">
        <v>6</v>
      </c>
      <c r="S477" s="55"/>
      <c r="T477" s="55" t="s">
        <v>1193</v>
      </c>
    </row>
    <row r="478" spans="1:20" ht="13" x14ac:dyDescent="0.15">
      <c r="A478" s="72" t="str">
        <f t="shared" si="7"/>
        <v>Ofsted Social Care Provider Webpage</v>
      </c>
      <c r="B478" s="55">
        <v>1268928</v>
      </c>
      <c r="D478" s="55" t="s">
        <v>389</v>
      </c>
      <c r="E478" s="74">
        <v>43024</v>
      </c>
      <c r="F478" s="55" t="s">
        <v>344</v>
      </c>
      <c r="G478" s="55" t="s">
        <v>1194</v>
      </c>
      <c r="H478" s="55" t="s">
        <v>1195</v>
      </c>
      <c r="I478" s="55" t="s">
        <v>354</v>
      </c>
      <c r="J478" s="55" t="s">
        <v>1196</v>
      </c>
      <c r="K478" s="55" t="s">
        <v>129</v>
      </c>
      <c r="L478" s="55" t="s">
        <v>1197</v>
      </c>
      <c r="M478" s="55" t="s">
        <v>129</v>
      </c>
      <c r="N478" s="55" t="s">
        <v>129</v>
      </c>
      <c r="O478" s="55" t="s">
        <v>213</v>
      </c>
      <c r="P478" s="55" t="s">
        <v>410</v>
      </c>
      <c r="Q478" s="55" t="s">
        <v>350</v>
      </c>
      <c r="R478" s="55"/>
      <c r="S478" s="55"/>
      <c r="T478" s="55" t="s">
        <v>1194</v>
      </c>
    </row>
    <row r="479" spans="1:20" ht="13" x14ac:dyDescent="0.15">
      <c r="A479" s="72" t="str">
        <f t="shared" si="7"/>
        <v>Ofsted Social Care Provider Webpage</v>
      </c>
      <c r="B479" s="55">
        <v>1269072</v>
      </c>
      <c r="D479" s="55" t="s">
        <v>373</v>
      </c>
      <c r="E479" s="74">
        <v>43105</v>
      </c>
      <c r="F479" s="55" t="s">
        <v>344</v>
      </c>
      <c r="G479" s="55" t="s">
        <v>360</v>
      </c>
      <c r="H479" s="55" t="s">
        <v>360</v>
      </c>
      <c r="I479" s="55" t="s">
        <v>360</v>
      </c>
      <c r="J479" s="55" t="s">
        <v>360</v>
      </c>
      <c r="K479" s="55" t="s">
        <v>360</v>
      </c>
      <c r="L479" s="55" t="s">
        <v>360</v>
      </c>
      <c r="M479" s="55" t="s">
        <v>142</v>
      </c>
      <c r="N479" s="55" t="s">
        <v>142</v>
      </c>
      <c r="O479" s="55" t="s">
        <v>293</v>
      </c>
      <c r="P479" s="55" t="s">
        <v>1136</v>
      </c>
      <c r="Q479" s="55" t="s">
        <v>350</v>
      </c>
      <c r="R479" s="55">
        <v>3</v>
      </c>
      <c r="S479" s="55"/>
      <c r="T479" s="55" t="s">
        <v>768</v>
      </c>
    </row>
    <row r="480" spans="1:20" ht="13" x14ac:dyDescent="0.15">
      <c r="A480" s="72" t="str">
        <f t="shared" si="7"/>
        <v>Ofsted Social Care Provider Webpage</v>
      </c>
      <c r="B480" s="55">
        <v>1269215</v>
      </c>
      <c r="D480" s="55" t="s">
        <v>373</v>
      </c>
      <c r="E480" s="74">
        <v>43133</v>
      </c>
      <c r="F480" s="55" t="s">
        <v>344</v>
      </c>
      <c r="G480" s="55" t="s">
        <v>360</v>
      </c>
      <c r="H480" s="55" t="s">
        <v>360</v>
      </c>
      <c r="I480" s="55" t="s">
        <v>360</v>
      </c>
      <c r="J480" s="55" t="s">
        <v>360</v>
      </c>
      <c r="K480" s="55" t="s">
        <v>360</v>
      </c>
      <c r="L480" s="55" t="s">
        <v>360</v>
      </c>
      <c r="M480" s="55" t="s">
        <v>144</v>
      </c>
      <c r="N480" s="55" t="s">
        <v>144</v>
      </c>
      <c r="O480" s="55" t="s">
        <v>168</v>
      </c>
      <c r="P480" s="55" t="s">
        <v>834</v>
      </c>
      <c r="Q480" s="55" t="s">
        <v>350</v>
      </c>
      <c r="R480" s="55">
        <v>3</v>
      </c>
      <c r="S480" s="55"/>
      <c r="T480" s="55" t="s">
        <v>493</v>
      </c>
    </row>
    <row r="481" spans="1:20" ht="13" x14ac:dyDescent="0.15">
      <c r="A481" s="72" t="str">
        <f t="shared" si="7"/>
        <v>Ofsted Social Care Provider Webpage</v>
      </c>
      <c r="B481" s="55">
        <v>1269421</v>
      </c>
      <c r="D481" s="55" t="s">
        <v>373</v>
      </c>
      <c r="E481" s="74">
        <v>43123</v>
      </c>
      <c r="F481" s="55" t="s">
        <v>344</v>
      </c>
      <c r="G481" s="55" t="s">
        <v>360</v>
      </c>
      <c r="H481" s="55" t="s">
        <v>360</v>
      </c>
      <c r="I481" s="55" t="s">
        <v>360</v>
      </c>
      <c r="J481" s="55" t="s">
        <v>360</v>
      </c>
      <c r="K481" s="55" t="s">
        <v>360</v>
      </c>
      <c r="L481" s="55" t="s">
        <v>360</v>
      </c>
      <c r="M481" s="55" t="s">
        <v>172</v>
      </c>
      <c r="N481" s="55" t="s">
        <v>172</v>
      </c>
      <c r="O481" s="55" t="s">
        <v>173</v>
      </c>
      <c r="P481" s="55" t="s">
        <v>1198</v>
      </c>
      <c r="Q481" s="55" t="s">
        <v>350</v>
      </c>
      <c r="R481" s="55">
        <v>3</v>
      </c>
      <c r="S481" s="55"/>
      <c r="T481" s="55" t="s">
        <v>450</v>
      </c>
    </row>
    <row r="482" spans="1:20" ht="13" x14ac:dyDescent="0.15">
      <c r="A482" s="72" t="str">
        <f t="shared" si="7"/>
        <v>Ofsted Social Care Provider Webpage</v>
      </c>
      <c r="B482" s="55">
        <v>1269505</v>
      </c>
      <c r="D482" s="55" t="s">
        <v>373</v>
      </c>
      <c r="E482" s="74">
        <v>43151</v>
      </c>
      <c r="F482" s="55" t="s">
        <v>344</v>
      </c>
      <c r="G482" s="55" t="s">
        <v>360</v>
      </c>
      <c r="H482" s="55" t="s">
        <v>360</v>
      </c>
      <c r="I482" s="55" t="s">
        <v>360</v>
      </c>
      <c r="J482" s="55" t="s">
        <v>360</v>
      </c>
      <c r="K482" s="55" t="s">
        <v>360</v>
      </c>
      <c r="L482" s="55" t="s">
        <v>360</v>
      </c>
      <c r="M482" s="55" t="s">
        <v>138</v>
      </c>
      <c r="N482" s="55" t="s">
        <v>138</v>
      </c>
      <c r="O482" s="55" t="s">
        <v>161</v>
      </c>
      <c r="P482" s="55" t="s">
        <v>761</v>
      </c>
      <c r="Q482" s="55" t="s">
        <v>350</v>
      </c>
      <c r="R482" s="55">
        <v>4</v>
      </c>
      <c r="S482" s="55"/>
      <c r="T482" s="55" t="s">
        <v>762</v>
      </c>
    </row>
    <row r="483" spans="1:20" ht="13" x14ac:dyDescent="0.15">
      <c r="A483" s="72" t="str">
        <f t="shared" si="7"/>
        <v>Ofsted Social Care Provider Webpage</v>
      </c>
      <c r="B483" s="55">
        <v>1269565</v>
      </c>
      <c r="D483" s="55" t="s">
        <v>373</v>
      </c>
      <c r="E483" s="74">
        <v>43124</v>
      </c>
      <c r="F483" s="55" t="s">
        <v>344</v>
      </c>
      <c r="G483" s="55" t="s">
        <v>360</v>
      </c>
      <c r="H483" s="55" t="s">
        <v>360</v>
      </c>
      <c r="I483" s="55" t="s">
        <v>360</v>
      </c>
      <c r="J483" s="55" t="s">
        <v>360</v>
      </c>
      <c r="K483" s="55" t="s">
        <v>360</v>
      </c>
      <c r="L483" s="55" t="s">
        <v>360</v>
      </c>
      <c r="M483" s="55" t="s">
        <v>129</v>
      </c>
      <c r="N483" s="55" t="s">
        <v>129</v>
      </c>
      <c r="O483" s="55" t="s">
        <v>189</v>
      </c>
      <c r="P483" s="55" t="s">
        <v>1199</v>
      </c>
      <c r="Q483" s="55" t="s">
        <v>362</v>
      </c>
      <c r="R483" s="55">
        <v>4</v>
      </c>
      <c r="S483" s="55"/>
      <c r="T483" s="55" t="s">
        <v>1200</v>
      </c>
    </row>
    <row r="484" spans="1:20" ht="13" x14ac:dyDescent="0.15">
      <c r="A484" s="72" t="str">
        <f t="shared" si="7"/>
        <v>Ofsted Social Care Provider Webpage</v>
      </c>
      <c r="B484" s="55">
        <v>1269966</v>
      </c>
      <c r="D484" s="55" t="s">
        <v>373</v>
      </c>
      <c r="E484" s="74">
        <v>43147</v>
      </c>
      <c r="F484" s="55" t="s">
        <v>344</v>
      </c>
      <c r="G484" s="55" t="s">
        <v>360</v>
      </c>
      <c r="H484" s="55" t="s">
        <v>360</v>
      </c>
      <c r="I484" s="55" t="s">
        <v>360</v>
      </c>
      <c r="J484" s="55" t="s">
        <v>360</v>
      </c>
      <c r="K484" s="55" t="s">
        <v>360</v>
      </c>
      <c r="L484" s="55" t="s">
        <v>360</v>
      </c>
      <c r="M484" s="55" t="s">
        <v>129</v>
      </c>
      <c r="N484" s="55" t="s">
        <v>129</v>
      </c>
      <c r="O484" s="55" t="s">
        <v>128</v>
      </c>
      <c r="P484" s="55" t="s">
        <v>1201</v>
      </c>
      <c r="Q484" s="55" t="s">
        <v>350</v>
      </c>
      <c r="R484" s="55">
        <v>5</v>
      </c>
      <c r="S484" s="55"/>
      <c r="T484" s="55" t="s">
        <v>1202</v>
      </c>
    </row>
    <row r="485" spans="1:20" ht="13" x14ac:dyDescent="0.15">
      <c r="A485" s="72" t="str">
        <f t="shared" si="7"/>
        <v>Ofsted Social Care Provider Webpage</v>
      </c>
      <c r="B485" s="55">
        <v>1270002</v>
      </c>
      <c r="D485" s="55" t="s">
        <v>373</v>
      </c>
      <c r="E485" s="74">
        <v>43242</v>
      </c>
      <c r="F485" s="55" t="s">
        <v>344</v>
      </c>
      <c r="G485" s="55" t="s">
        <v>360</v>
      </c>
      <c r="H485" s="55" t="s">
        <v>360</v>
      </c>
      <c r="I485" s="55" t="s">
        <v>360</v>
      </c>
      <c r="J485" s="55" t="s">
        <v>360</v>
      </c>
      <c r="K485" s="55" t="s">
        <v>360</v>
      </c>
      <c r="L485" s="55" t="s">
        <v>360</v>
      </c>
      <c r="M485" s="55" t="s">
        <v>144</v>
      </c>
      <c r="N485" s="55" t="s">
        <v>144</v>
      </c>
      <c r="O485" s="55" t="s">
        <v>215</v>
      </c>
      <c r="P485" s="55" t="s">
        <v>1203</v>
      </c>
      <c r="Q485" s="55" t="s">
        <v>350</v>
      </c>
      <c r="R485" s="55">
        <v>2</v>
      </c>
      <c r="S485" s="55"/>
      <c r="T485" s="55" t="s">
        <v>1204</v>
      </c>
    </row>
    <row r="486" spans="1:20" ht="13" x14ac:dyDescent="0.15">
      <c r="A486" s="72" t="str">
        <f t="shared" si="7"/>
        <v>Ofsted Social Care Provider Webpage</v>
      </c>
      <c r="B486" s="55">
        <v>1270297</v>
      </c>
      <c r="D486" s="55" t="s">
        <v>373</v>
      </c>
      <c r="E486" s="74">
        <v>43063</v>
      </c>
      <c r="F486" s="55" t="s">
        <v>344</v>
      </c>
      <c r="G486" s="55" t="s">
        <v>360</v>
      </c>
      <c r="H486" s="55" t="s">
        <v>360</v>
      </c>
      <c r="I486" s="55" t="s">
        <v>360</v>
      </c>
      <c r="J486" s="55" t="s">
        <v>360</v>
      </c>
      <c r="K486" s="55" t="s">
        <v>360</v>
      </c>
      <c r="L486" s="55" t="s">
        <v>360</v>
      </c>
      <c r="M486" s="55" t="s">
        <v>144</v>
      </c>
      <c r="N486" s="55" t="s">
        <v>144</v>
      </c>
      <c r="O486" s="55" t="s">
        <v>157</v>
      </c>
      <c r="P486" s="55" t="s">
        <v>1092</v>
      </c>
      <c r="Q486" s="55" t="s">
        <v>350</v>
      </c>
      <c r="R486" s="55">
        <v>3</v>
      </c>
      <c r="S486" s="55"/>
      <c r="T486" s="55" t="s">
        <v>490</v>
      </c>
    </row>
    <row r="487" spans="1:20" ht="13" x14ac:dyDescent="0.15">
      <c r="A487" s="72" t="str">
        <f t="shared" si="7"/>
        <v>Ofsted Social Care Provider Webpage</v>
      </c>
      <c r="B487" s="55">
        <v>1270298</v>
      </c>
      <c r="D487" s="55" t="s">
        <v>373</v>
      </c>
      <c r="E487" s="74">
        <v>43242</v>
      </c>
      <c r="F487" s="55" t="s">
        <v>344</v>
      </c>
      <c r="G487" s="55" t="s">
        <v>360</v>
      </c>
      <c r="H487" s="55" t="s">
        <v>360</v>
      </c>
      <c r="I487" s="55" t="s">
        <v>360</v>
      </c>
      <c r="J487" s="55" t="s">
        <v>360</v>
      </c>
      <c r="K487" s="55" t="s">
        <v>360</v>
      </c>
      <c r="L487" s="55" t="s">
        <v>360</v>
      </c>
      <c r="M487" s="55" t="s">
        <v>142</v>
      </c>
      <c r="N487" s="55" t="s">
        <v>142</v>
      </c>
      <c r="O487" s="55" t="s">
        <v>262</v>
      </c>
      <c r="P487" s="55" t="s">
        <v>692</v>
      </c>
      <c r="Q487" s="55" t="s">
        <v>350</v>
      </c>
      <c r="R487" s="55">
        <v>4</v>
      </c>
      <c r="S487" s="55"/>
      <c r="T487" s="55" t="s">
        <v>1205</v>
      </c>
    </row>
    <row r="488" spans="1:20" ht="13" x14ac:dyDescent="0.15">
      <c r="A488" s="72" t="str">
        <f t="shared" si="7"/>
        <v>Ofsted Social Care Provider Webpage</v>
      </c>
      <c r="B488" s="55">
        <v>1270301</v>
      </c>
      <c r="D488" s="55" t="s">
        <v>373</v>
      </c>
      <c r="E488" s="74">
        <v>43139</v>
      </c>
      <c r="F488" s="55" t="s">
        <v>344</v>
      </c>
      <c r="G488" s="55" t="s">
        <v>360</v>
      </c>
      <c r="H488" s="55" t="s">
        <v>360</v>
      </c>
      <c r="I488" s="55" t="s">
        <v>360</v>
      </c>
      <c r="J488" s="55" t="s">
        <v>360</v>
      </c>
      <c r="K488" s="55" t="s">
        <v>360</v>
      </c>
      <c r="L488" s="55" t="s">
        <v>360</v>
      </c>
      <c r="M488" s="55" t="s">
        <v>144</v>
      </c>
      <c r="N488" s="55" t="s">
        <v>144</v>
      </c>
      <c r="O488" s="55" t="s">
        <v>209</v>
      </c>
      <c r="P488" s="55" t="s">
        <v>544</v>
      </c>
      <c r="Q488" s="55" t="s">
        <v>350</v>
      </c>
      <c r="R488" s="55">
        <v>3</v>
      </c>
      <c r="S488" s="55"/>
      <c r="T488" s="55" t="s">
        <v>816</v>
      </c>
    </row>
    <row r="489" spans="1:20" ht="13" x14ac:dyDescent="0.15">
      <c r="A489" s="72" t="str">
        <f t="shared" si="7"/>
        <v>Ofsted Social Care Provider Webpage</v>
      </c>
      <c r="B489" s="55">
        <v>1270393</v>
      </c>
      <c r="D489" s="55" t="s">
        <v>373</v>
      </c>
      <c r="E489" s="74">
        <v>43169</v>
      </c>
      <c r="F489" s="55" t="s">
        <v>344</v>
      </c>
      <c r="G489" s="55" t="s">
        <v>360</v>
      </c>
      <c r="H489" s="55" t="s">
        <v>360</v>
      </c>
      <c r="I489" s="55" t="s">
        <v>360</v>
      </c>
      <c r="J489" s="55" t="s">
        <v>360</v>
      </c>
      <c r="K489" s="55" t="s">
        <v>360</v>
      </c>
      <c r="L489" s="55" t="s">
        <v>360</v>
      </c>
      <c r="M489" s="55" t="s">
        <v>378</v>
      </c>
      <c r="N489" s="55" t="s">
        <v>134</v>
      </c>
      <c r="O489" s="55" t="s">
        <v>246</v>
      </c>
      <c r="P489" s="55" t="s">
        <v>1104</v>
      </c>
      <c r="Q489" s="55" t="s">
        <v>350</v>
      </c>
      <c r="R489" s="55">
        <v>3</v>
      </c>
      <c r="S489" s="55"/>
      <c r="T489" s="55" t="s">
        <v>758</v>
      </c>
    </row>
    <row r="490" spans="1:20" ht="13" x14ac:dyDescent="0.15">
      <c r="A490" s="72" t="str">
        <f t="shared" si="7"/>
        <v>Ofsted Social Care Provider Webpage</v>
      </c>
      <c r="B490" s="55">
        <v>1270568</v>
      </c>
      <c r="D490" s="55" t="s">
        <v>373</v>
      </c>
      <c r="E490" s="74">
        <v>43237</v>
      </c>
      <c r="F490" s="55" t="s">
        <v>344</v>
      </c>
      <c r="G490" s="55" t="s">
        <v>360</v>
      </c>
      <c r="H490" s="55" t="s">
        <v>360</v>
      </c>
      <c r="I490" s="55" t="s">
        <v>360</v>
      </c>
      <c r="J490" s="55" t="s">
        <v>360</v>
      </c>
      <c r="K490" s="55" t="s">
        <v>360</v>
      </c>
      <c r="L490" s="55" t="s">
        <v>360</v>
      </c>
      <c r="M490" s="55" t="s">
        <v>378</v>
      </c>
      <c r="N490" s="55" t="s">
        <v>134</v>
      </c>
      <c r="O490" s="55" t="s">
        <v>277</v>
      </c>
      <c r="P490" s="55" t="s">
        <v>277</v>
      </c>
      <c r="Q490" s="55" t="s">
        <v>350</v>
      </c>
      <c r="R490" s="55">
        <v>4</v>
      </c>
      <c r="S490" s="55"/>
      <c r="T490" s="55" t="s">
        <v>1206</v>
      </c>
    </row>
    <row r="491" spans="1:20" ht="13" x14ac:dyDescent="0.15">
      <c r="A491" s="72" t="str">
        <f t="shared" si="7"/>
        <v>Ofsted Social Care Provider Webpage</v>
      </c>
      <c r="B491" s="55">
        <v>1270731</v>
      </c>
      <c r="D491" s="55" t="s">
        <v>373</v>
      </c>
      <c r="E491" s="74">
        <v>43200</v>
      </c>
      <c r="F491" s="55" t="s">
        <v>344</v>
      </c>
      <c r="G491" s="55" t="s">
        <v>360</v>
      </c>
      <c r="H491" s="55" t="s">
        <v>360</v>
      </c>
      <c r="I491" s="55" t="s">
        <v>360</v>
      </c>
      <c r="J491" s="55" t="s">
        <v>360</v>
      </c>
      <c r="K491" s="55" t="s">
        <v>360</v>
      </c>
      <c r="L491" s="55" t="s">
        <v>360</v>
      </c>
      <c r="M491" s="55" t="s">
        <v>144</v>
      </c>
      <c r="N491" s="55" t="s">
        <v>144</v>
      </c>
      <c r="O491" s="55" t="s">
        <v>215</v>
      </c>
      <c r="P491" s="55" t="s">
        <v>1207</v>
      </c>
      <c r="Q491" s="55" t="s">
        <v>350</v>
      </c>
      <c r="R491" s="55">
        <v>3</v>
      </c>
      <c r="S491" s="55"/>
      <c r="T491" s="55" t="s">
        <v>1208</v>
      </c>
    </row>
    <row r="492" spans="1:20" ht="13" x14ac:dyDescent="0.15">
      <c r="A492" s="72" t="str">
        <f t="shared" si="7"/>
        <v>Ofsted Social Care Provider Webpage</v>
      </c>
      <c r="B492" s="55">
        <v>1270744</v>
      </c>
      <c r="D492" s="55" t="s">
        <v>373</v>
      </c>
      <c r="E492" s="74">
        <v>43153</v>
      </c>
      <c r="F492" s="55" t="s">
        <v>344</v>
      </c>
      <c r="G492" s="55" t="s">
        <v>360</v>
      </c>
      <c r="H492" s="55" t="s">
        <v>360</v>
      </c>
      <c r="I492" s="55" t="s">
        <v>360</v>
      </c>
      <c r="J492" s="55" t="s">
        <v>360</v>
      </c>
      <c r="K492" s="55" t="s">
        <v>360</v>
      </c>
      <c r="L492" s="55" t="s">
        <v>360</v>
      </c>
      <c r="M492" s="55" t="s">
        <v>150</v>
      </c>
      <c r="N492" s="55" t="s">
        <v>150</v>
      </c>
      <c r="O492" s="55" t="s">
        <v>181</v>
      </c>
      <c r="P492" s="55" t="s">
        <v>1142</v>
      </c>
      <c r="Q492" s="55" t="s">
        <v>350</v>
      </c>
      <c r="R492" s="55">
        <v>4</v>
      </c>
      <c r="S492" s="55"/>
      <c r="T492" s="55" t="s">
        <v>1209</v>
      </c>
    </row>
    <row r="493" spans="1:20" ht="13" x14ac:dyDescent="0.15">
      <c r="A493" s="72" t="str">
        <f t="shared" si="7"/>
        <v>Ofsted Social Care Provider Webpage</v>
      </c>
      <c r="B493" s="55">
        <v>1270767</v>
      </c>
      <c r="D493" s="55" t="s">
        <v>373</v>
      </c>
      <c r="E493" s="74">
        <v>43147</v>
      </c>
      <c r="F493" s="55" t="s">
        <v>344</v>
      </c>
      <c r="G493" s="55" t="s">
        <v>360</v>
      </c>
      <c r="H493" s="55" t="s">
        <v>360</v>
      </c>
      <c r="I493" s="55" t="s">
        <v>360</v>
      </c>
      <c r="J493" s="55" t="s">
        <v>360</v>
      </c>
      <c r="K493" s="55" t="s">
        <v>360</v>
      </c>
      <c r="L493" s="55" t="s">
        <v>360</v>
      </c>
      <c r="M493" s="55" t="s">
        <v>172</v>
      </c>
      <c r="N493" s="55" t="s">
        <v>172</v>
      </c>
      <c r="O493" s="55" t="s">
        <v>235</v>
      </c>
      <c r="P493" s="55" t="s">
        <v>628</v>
      </c>
      <c r="Q493" s="55" t="s">
        <v>350</v>
      </c>
      <c r="R493" s="55">
        <v>4</v>
      </c>
      <c r="S493" s="55"/>
      <c r="T493" s="55" t="s">
        <v>1210</v>
      </c>
    </row>
    <row r="494" spans="1:20" ht="13" x14ac:dyDescent="0.15">
      <c r="A494" s="72" t="str">
        <f t="shared" si="7"/>
        <v>Ofsted Social Care Provider Webpage</v>
      </c>
      <c r="B494" s="55">
        <v>1270802</v>
      </c>
      <c r="D494" s="55" t="s">
        <v>373</v>
      </c>
      <c r="E494" s="74">
        <v>43122</v>
      </c>
      <c r="F494" s="55" t="s">
        <v>344</v>
      </c>
      <c r="G494" s="55" t="s">
        <v>360</v>
      </c>
      <c r="H494" s="55" t="s">
        <v>360</v>
      </c>
      <c r="I494" s="55" t="s">
        <v>360</v>
      </c>
      <c r="J494" s="55" t="s">
        <v>360</v>
      </c>
      <c r="K494" s="55" t="s">
        <v>360</v>
      </c>
      <c r="L494" s="55" t="s">
        <v>360</v>
      </c>
      <c r="M494" s="55" t="s">
        <v>144</v>
      </c>
      <c r="N494" s="55" t="s">
        <v>144</v>
      </c>
      <c r="O494" s="55" t="s">
        <v>209</v>
      </c>
      <c r="P494" s="55" t="s">
        <v>736</v>
      </c>
      <c r="Q494" s="55" t="s">
        <v>350</v>
      </c>
      <c r="R494" s="55">
        <v>3</v>
      </c>
      <c r="S494" s="55"/>
      <c r="T494" s="55" t="s">
        <v>737</v>
      </c>
    </row>
    <row r="495" spans="1:20" ht="13" x14ac:dyDescent="0.15">
      <c r="A495" s="72" t="str">
        <f t="shared" si="7"/>
        <v>Ofsted Social Care Provider Webpage</v>
      </c>
      <c r="B495" s="55">
        <v>1271135</v>
      </c>
      <c r="D495" s="55" t="s">
        <v>373</v>
      </c>
      <c r="E495" s="74">
        <v>43146</v>
      </c>
      <c r="F495" s="55" t="s">
        <v>344</v>
      </c>
      <c r="G495" s="55" t="s">
        <v>360</v>
      </c>
      <c r="H495" s="55" t="s">
        <v>360</v>
      </c>
      <c r="I495" s="55" t="s">
        <v>360</v>
      </c>
      <c r="J495" s="55" t="s">
        <v>360</v>
      </c>
      <c r="K495" s="55" t="s">
        <v>360</v>
      </c>
      <c r="L495" s="55" t="s">
        <v>360</v>
      </c>
      <c r="M495" s="55" t="s">
        <v>144</v>
      </c>
      <c r="N495" s="55" t="s">
        <v>144</v>
      </c>
      <c r="O495" s="55" t="s">
        <v>263</v>
      </c>
      <c r="P495" s="55" t="s">
        <v>1211</v>
      </c>
      <c r="Q495" s="55" t="s">
        <v>380</v>
      </c>
      <c r="R495" s="55">
        <v>7</v>
      </c>
      <c r="S495" s="55"/>
      <c r="T495" s="55" t="s">
        <v>1212</v>
      </c>
    </row>
    <row r="496" spans="1:20" ht="13" x14ac:dyDescent="0.15">
      <c r="A496" s="72" t="str">
        <f t="shared" si="7"/>
        <v>Ofsted Social Care Provider Webpage</v>
      </c>
      <c r="B496" s="55">
        <v>1271182</v>
      </c>
      <c r="D496" s="55" t="s">
        <v>373</v>
      </c>
      <c r="E496" s="74">
        <v>43258</v>
      </c>
      <c r="F496" s="55" t="s">
        <v>344</v>
      </c>
      <c r="G496" s="55" t="s">
        <v>360</v>
      </c>
      <c r="H496" s="55" t="s">
        <v>360</v>
      </c>
      <c r="I496" s="55" t="s">
        <v>360</v>
      </c>
      <c r="J496" s="55" t="s">
        <v>360</v>
      </c>
      <c r="K496" s="55" t="s">
        <v>360</v>
      </c>
      <c r="L496" s="55" t="s">
        <v>360</v>
      </c>
      <c r="M496" s="55" t="s">
        <v>138</v>
      </c>
      <c r="N496" s="55" t="s">
        <v>138</v>
      </c>
      <c r="O496" s="55" t="s">
        <v>183</v>
      </c>
      <c r="P496" s="55" t="s">
        <v>907</v>
      </c>
      <c r="Q496" s="55" t="s">
        <v>350</v>
      </c>
      <c r="R496" s="55">
        <v>5</v>
      </c>
      <c r="S496" s="55"/>
      <c r="T496" s="55" t="s">
        <v>1213</v>
      </c>
    </row>
    <row r="497" spans="1:20" ht="13" x14ac:dyDescent="0.15">
      <c r="A497" s="72" t="str">
        <f t="shared" si="7"/>
        <v>Ofsted Social Care Provider Webpage</v>
      </c>
      <c r="B497" s="55">
        <v>1271213</v>
      </c>
      <c r="D497" s="55" t="s">
        <v>373</v>
      </c>
      <c r="E497" s="74">
        <v>43238</v>
      </c>
      <c r="F497" s="55" t="s">
        <v>344</v>
      </c>
      <c r="G497" s="55" t="s">
        <v>360</v>
      </c>
      <c r="H497" s="55" t="s">
        <v>360</v>
      </c>
      <c r="I497" s="55" t="s">
        <v>360</v>
      </c>
      <c r="J497" s="55" t="s">
        <v>360</v>
      </c>
      <c r="K497" s="55" t="s">
        <v>360</v>
      </c>
      <c r="L497" s="55" t="s">
        <v>360</v>
      </c>
      <c r="M497" s="55" t="s">
        <v>144</v>
      </c>
      <c r="N497" s="55" t="s">
        <v>144</v>
      </c>
      <c r="O497" s="55" t="s">
        <v>209</v>
      </c>
      <c r="P497" s="55" t="s">
        <v>545</v>
      </c>
      <c r="Q497" s="55" t="s">
        <v>350</v>
      </c>
      <c r="R497" s="55">
        <v>4</v>
      </c>
      <c r="S497" s="55"/>
      <c r="T497" s="55" t="s">
        <v>377</v>
      </c>
    </row>
    <row r="498" spans="1:20" ht="13" x14ac:dyDescent="0.15">
      <c r="A498" s="72" t="str">
        <f t="shared" si="7"/>
        <v>Ofsted Social Care Provider Webpage</v>
      </c>
      <c r="B498" s="55">
        <v>1271222</v>
      </c>
      <c r="D498" s="55" t="s">
        <v>373</v>
      </c>
      <c r="E498" s="74">
        <v>43125</v>
      </c>
      <c r="F498" s="55" t="s">
        <v>344</v>
      </c>
      <c r="G498" s="55" t="s">
        <v>360</v>
      </c>
      <c r="H498" s="55" t="s">
        <v>360</v>
      </c>
      <c r="I498" s="55" t="s">
        <v>360</v>
      </c>
      <c r="J498" s="55" t="s">
        <v>360</v>
      </c>
      <c r="K498" s="55" t="s">
        <v>360</v>
      </c>
      <c r="L498" s="55" t="s">
        <v>360</v>
      </c>
      <c r="M498" s="55" t="s">
        <v>144</v>
      </c>
      <c r="N498" s="55" t="s">
        <v>144</v>
      </c>
      <c r="O498" s="55" t="s">
        <v>209</v>
      </c>
      <c r="P498" s="55" t="s">
        <v>629</v>
      </c>
      <c r="Q498" s="55" t="s">
        <v>350</v>
      </c>
      <c r="R498" s="55">
        <v>2</v>
      </c>
      <c r="S498" s="55"/>
      <c r="T498" s="55" t="s">
        <v>1214</v>
      </c>
    </row>
    <row r="499" spans="1:20" ht="13" x14ac:dyDescent="0.15">
      <c r="A499" s="72" t="str">
        <f t="shared" si="7"/>
        <v>Ofsted Social Care Provider Webpage</v>
      </c>
      <c r="B499" s="55">
        <v>1271234</v>
      </c>
      <c r="D499" s="55" t="s">
        <v>373</v>
      </c>
      <c r="E499" s="74">
        <v>43196</v>
      </c>
      <c r="F499" s="55" t="s">
        <v>344</v>
      </c>
      <c r="G499" s="55" t="s">
        <v>360</v>
      </c>
      <c r="H499" s="55" t="s">
        <v>360</v>
      </c>
      <c r="I499" s="55" t="s">
        <v>360</v>
      </c>
      <c r="J499" s="55" t="s">
        <v>360</v>
      </c>
      <c r="K499" s="55" t="s">
        <v>360</v>
      </c>
      <c r="L499" s="55" t="s">
        <v>360</v>
      </c>
      <c r="M499" s="55" t="s">
        <v>142</v>
      </c>
      <c r="N499" s="55" t="s">
        <v>142</v>
      </c>
      <c r="O499" s="55" t="s">
        <v>262</v>
      </c>
      <c r="P499" s="55" t="s">
        <v>1215</v>
      </c>
      <c r="Q499" s="55" t="s">
        <v>350</v>
      </c>
      <c r="R499" s="55">
        <v>3</v>
      </c>
      <c r="S499" s="55"/>
      <c r="T499" s="55" t="s">
        <v>1216</v>
      </c>
    </row>
    <row r="500" spans="1:20" ht="13" x14ac:dyDescent="0.15">
      <c r="A500" s="72" t="str">
        <f t="shared" si="7"/>
        <v>Ofsted Social Care Provider Webpage</v>
      </c>
      <c r="B500" s="55">
        <v>1271375</v>
      </c>
      <c r="D500" s="55" t="s">
        <v>373</v>
      </c>
      <c r="E500" s="74">
        <v>43171</v>
      </c>
      <c r="F500" s="55" t="s">
        <v>344</v>
      </c>
      <c r="G500" s="55" t="s">
        <v>360</v>
      </c>
      <c r="H500" s="55" t="s">
        <v>360</v>
      </c>
      <c r="I500" s="55" t="s">
        <v>360</v>
      </c>
      <c r="J500" s="55" t="s">
        <v>360</v>
      </c>
      <c r="K500" s="55" t="s">
        <v>360</v>
      </c>
      <c r="L500" s="55" t="s">
        <v>360</v>
      </c>
      <c r="M500" s="55" t="s">
        <v>144</v>
      </c>
      <c r="N500" s="55" t="s">
        <v>144</v>
      </c>
      <c r="O500" s="55" t="s">
        <v>209</v>
      </c>
      <c r="P500" s="55" t="s">
        <v>555</v>
      </c>
      <c r="Q500" s="55" t="s">
        <v>350</v>
      </c>
      <c r="R500" s="55">
        <v>3</v>
      </c>
      <c r="S500" s="55"/>
      <c r="T500" s="55" t="s">
        <v>485</v>
      </c>
    </row>
    <row r="501" spans="1:20" ht="13" x14ac:dyDescent="0.15">
      <c r="A501" s="72" t="str">
        <f t="shared" si="7"/>
        <v>Ofsted Social Care Provider Webpage</v>
      </c>
      <c r="B501" s="55">
        <v>1271380</v>
      </c>
      <c r="D501" s="55" t="s">
        <v>373</v>
      </c>
      <c r="E501" s="74">
        <v>43306</v>
      </c>
      <c r="F501" s="55" t="s">
        <v>344</v>
      </c>
      <c r="G501" s="55" t="s">
        <v>360</v>
      </c>
      <c r="H501" s="55" t="s">
        <v>360</v>
      </c>
      <c r="I501" s="55" t="s">
        <v>360</v>
      </c>
      <c r="J501" s="55" t="s">
        <v>360</v>
      </c>
      <c r="K501" s="55" t="s">
        <v>360</v>
      </c>
      <c r="L501" s="55" t="s">
        <v>360</v>
      </c>
      <c r="M501" s="55" t="s">
        <v>150</v>
      </c>
      <c r="N501" s="55" t="s">
        <v>150</v>
      </c>
      <c r="O501" s="55" t="s">
        <v>156</v>
      </c>
      <c r="P501" s="55" t="s">
        <v>1217</v>
      </c>
      <c r="Q501" s="55" t="s">
        <v>362</v>
      </c>
      <c r="R501" s="55">
        <v>6</v>
      </c>
      <c r="S501" s="55" t="s">
        <v>332</v>
      </c>
      <c r="T501" s="55" t="s">
        <v>367</v>
      </c>
    </row>
    <row r="502" spans="1:20" ht="13" x14ac:dyDescent="0.15">
      <c r="A502" s="72" t="str">
        <f t="shared" si="7"/>
        <v>Ofsted Social Care Provider Webpage</v>
      </c>
      <c r="B502" s="55">
        <v>1271383</v>
      </c>
      <c r="D502" s="55" t="s">
        <v>373</v>
      </c>
      <c r="E502" s="74">
        <v>43220</v>
      </c>
      <c r="F502" s="55" t="s">
        <v>344</v>
      </c>
      <c r="G502" s="55" t="s">
        <v>360</v>
      </c>
      <c r="H502" s="55" t="s">
        <v>360</v>
      </c>
      <c r="I502" s="55" t="s">
        <v>360</v>
      </c>
      <c r="J502" s="55" t="s">
        <v>360</v>
      </c>
      <c r="K502" s="55" t="s">
        <v>360</v>
      </c>
      <c r="L502" s="55" t="s">
        <v>360</v>
      </c>
      <c r="M502" s="55" t="s">
        <v>172</v>
      </c>
      <c r="N502" s="55" t="s">
        <v>172</v>
      </c>
      <c r="O502" s="55" t="s">
        <v>234</v>
      </c>
      <c r="P502" s="55" t="s">
        <v>457</v>
      </c>
      <c r="Q502" s="55" t="s">
        <v>362</v>
      </c>
      <c r="R502" s="55">
        <v>3</v>
      </c>
      <c r="S502" s="55"/>
      <c r="T502" s="55" t="s">
        <v>458</v>
      </c>
    </row>
    <row r="503" spans="1:20" ht="13" x14ac:dyDescent="0.15">
      <c r="A503" s="72" t="str">
        <f t="shared" si="7"/>
        <v>Ofsted Social Care Provider Webpage</v>
      </c>
      <c r="B503" s="55">
        <v>1271467</v>
      </c>
      <c r="D503" s="55" t="s">
        <v>373</v>
      </c>
      <c r="E503" s="74">
        <v>43173</v>
      </c>
      <c r="F503" s="55" t="s">
        <v>344</v>
      </c>
      <c r="G503" s="55" t="s">
        <v>360</v>
      </c>
      <c r="H503" s="55" t="s">
        <v>360</v>
      </c>
      <c r="I503" s="55" t="s">
        <v>360</v>
      </c>
      <c r="J503" s="55" t="s">
        <v>360</v>
      </c>
      <c r="K503" s="55" t="s">
        <v>360</v>
      </c>
      <c r="L503" s="55" t="s">
        <v>360</v>
      </c>
      <c r="M503" s="55" t="s">
        <v>136</v>
      </c>
      <c r="N503" s="55" t="s">
        <v>136</v>
      </c>
      <c r="O503" s="55" t="s">
        <v>174</v>
      </c>
      <c r="P503" s="55" t="s">
        <v>857</v>
      </c>
      <c r="Q503" s="55" t="s">
        <v>350</v>
      </c>
      <c r="R503" s="55">
        <v>3</v>
      </c>
      <c r="S503" s="55"/>
      <c r="T503" s="55" t="s">
        <v>450</v>
      </c>
    </row>
    <row r="504" spans="1:20" ht="13" x14ac:dyDescent="0.15">
      <c r="A504" s="72" t="str">
        <f t="shared" si="7"/>
        <v>Ofsted Social Care Provider Webpage</v>
      </c>
      <c r="B504" s="55">
        <v>1271519</v>
      </c>
      <c r="D504" s="55" t="s">
        <v>373</v>
      </c>
      <c r="E504" s="74">
        <v>43305</v>
      </c>
      <c r="F504" s="55" t="s">
        <v>344</v>
      </c>
      <c r="G504" s="55" t="s">
        <v>360</v>
      </c>
      <c r="H504" s="55" t="s">
        <v>360</v>
      </c>
      <c r="I504" s="55" t="s">
        <v>360</v>
      </c>
      <c r="J504" s="55" t="s">
        <v>360</v>
      </c>
      <c r="K504" s="55" t="s">
        <v>360</v>
      </c>
      <c r="L504" s="55" t="s">
        <v>360</v>
      </c>
      <c r="M504" s="55" t="s">
        <v>142</v>
      </c>
      <c r="N504" s="55" t="s">
        <v>142</v>
      </c>
      <c r="O504" s="55" t="s">
        <v>278</v>
      </c>
      <c r="P504" s="55" t="s">
        <v>1042</v>
      </c>
      <c r="Q504" s="55" t="s">
        <v>350</v>
      </c>
      <c r="R504" s="55">
        <v>3</v>
      </c>
      <c r="S504" s="55"/>
      <c r="T504" s="55" t="s">
        <v>954</v>
      </c>
    </row>
    <row r="505" spans="1:20" ht="13" x14ac:dyDescent="0.15">
      <c r="A505" s="72" t="str">
        <f t="shared" si="7"/>
        <v>Ofsted Social Care Provider Webpage</v>
      </c>
      <c r="B505" s="55">
        <v>1271581</v>
      </c>
      <c r="D505" s="55" t="s">
        <v>373</v>
      </c>
      <c r="E505" s="74">
        <v>43194</v>
      </c>
      <c r="F505" s="55" t="s">
        <v>344</v>
      </c>
      <c r="G505" s="55" t="s">
        <v>360</v>
      </c>
      <c r="H505" s="55" t="s">
        <v>360</v>
      </c>
      <c r="I505" s="55" t="s">
        <v>360</v>
      </c>
      <c r="J505" s="55" t="s">
        <v>360</v>
      </c>
      <c r="K505" s="55" t="s">
        <v>360</v>
      </c>
      <c r="L505" s="55" t="s">
        <v>360</v>
      </c>
      <c r="M505" s="55" t="s">
        <v>144</v>
      </c>
      <c r="N505" s="55" t="s">
        <v>144</v>
      </c>
      <c r="O505" s="55" t="s">
        <v>147</v>
      </c>
      <c r="P505" s="55" t="s">
        <v>387</v>
      </c>
      <c r="Q505" s="55" t="s">
        <v>350</v>
      </c>
      <c r="R505" s="55">
        <v>2</v>
      </c>
      <c r="S505" s="55"/>
      <c r="T505" s="55" t="s">
        <v>1218</v>
      </c>
    </row>
    <row r="506" spans="1:20" ht="13" x14ac:dyDescent="0.15">
      <c r="A506" s="72" t="str">
        <f t="shared" si="7"/>
        <v>Ofsted Social Care Provider Webpage</v>
      </c>
      <c r="B506" s="55">
        <v>1271587</v>
      </c>
      <c r="D506" s="55" t="s">
        <v>373</v>
      </c>
      <c r="E506" s="74">
        <v>43196</v>
      </c>
      <c r="F506" s="55" t="s">
        <v>344</v>
      </c>
      <c r="G506" s="55" t="s">
        <v>360</v>
      </c>
      <c r="H506" s="55" t="s">
        <v>360</v>
      </c>
      <c r="I506" s="55" t="s">
        <v>360</v>
      </c>
      <c r="J506" s="55" t="s">
        <v>360</v>
      </c>
      <c r="K506" s="55" t="s">
        <v>360</v>
      </c>
      <c r="L506" s="55" t="s">
        <v>360</v>
      </c>
      <c r="M506" s="55" t="s">
        <v>142</v>
      </c>
      <c r="N506" s="55" t="s">
        <v>142</v>
      </c>
      <c r="O506" s="55" t="s">
        <v>195</v>
      </c>
      <c r="P506" s="55" t="s">
        <v>747</v>
      </c>
      <c r="Q506" s="55" t="s">
        <v>350</v>
      </c>
      <c r="R506" s="55">
        <v>4</v>
      </c>
      <c r="S506" s="55"/>
      <c r="T506" s="55" t="s">
        <v>1219</v>
      </c>
    </row>
    <row r="507" spans="1:20" ht="13" x14ac:dyDescent="0.15">
      <c r="A507" s="72" t="str">
        <f t="shared" si="7"/>
        <v>Ofsted Social Care Provider Webpage</v>
      </c>
      <c r="B507" s="55">
        <v>1271666</v>
      </c>
      <c r="D507" s="55" t="s">
        <v>373</v>
      </c>
      <c r="E507" s="74">
        <v>43185</v>
      </c>
      <c r="F507" s="55" t="s">
        <v>344</v>
      </c>
      <c r="G507" s="55" t="s">
        <v>360</v>
      </c>
      <c r="H507" s="55" t="s">
        <v>360</v>
      </c>
      <c r="I507" s="55" t="s">
        <v>360</v>
      </c>
      <c r="J507" s="55" t="s">
        <v>360</v>
      </c>
      <c r="K507" s="55" t="s">
        <v>360</v>
      </c>
      <c r="L507" s="55" t="s">
        <v>360</v>
      </c>
      <c r="M507" s="55" t="s">
        <v>378</v>
      </c>
      <c r="N507" s="55" t="s">
        <v>134</v>
      </c>
      <c r="O507" s="55" t="s">
        <v>151</v>
      </c>
      <c r="P507" s="55" t="s">
        <v>862</v>
      </c>
      <c r="Q507" s="55" t="s">
        <v>380</v>
      </c>
      <c r="R507" s="55">
        <v>4</v>
      </c>
      <c r="S507" s="55"/>
      <c r="T507" s="55" t="s">
        <v>1220</v>
      </c>
    </row>
    <row r="508" spans="1:20" ht="13" x14ac:dyDescent="0.15">
      <c r="A508" s="72" t="str">
        <f t="shared" si="7"/>
        <v>Ofsted Social Care Provider Webpage</v>
      </c>
      <c r="B508" s="55">
        <v>1271979</v>
      </c>
      <c r="D508" s="55" t="s">
        <v>373</v>
      </c>
      <c r="E508" s="74">
        <v>43185</v>
      </c>
      <c r="F508" s="55" t="s">
        <v>344</v>
      </c>
      <c r="G508" s="55" t="s">
        <v>360</v>
      </c>
      <c r="H508" s="55" t="s">
        <v>360</v>
      </c>
      <c r="I508" s="55" t="s">
        <v>360</v>
      </c>
      <c r="J508" s="55" t="s">
        <v>360</v>
      </c>
      <c r="K508" s="55" t="s">
        <v>360</v>
      </c>
      <c r="L508" s="55" t="s">
        <v>360</v>
      </c>
      <c r="M508" s="55" t="s">
        <v>138</v>
      </c>
      <c r="N508" s="55" t="s">
        <v>138</v>
      </c>
      <c r="O508" s="55" t="s">
        <v>224</v>
      </c>
      <c r="P508" s="55" t="s">
        <v>374</v>
      </c>
      <c r="Q508" s="55" t="s">
        <v>350</v>
      </c>
      <c r="R508" s="55">
        <v>3</v>
      </c>
      <c r="S508" s="55"/>
      <c r="T508" s="55" t="s">
        <v>1221</v>
      </c>
    </row>
    <row r="509" spans="1:20" ht="13" x14ac:dyDescent="0.15">
      <c r="A509" s="72" t="str">
        <f t="shared" si="7"/>
        <v>Ofsted Social Care Provider Webpage</v>
      </c>
      <c r="B509" s="55">
        <v>1271998</v>
      </c>
      <c r="D509" s="55" t="s">
        <v>373</v>
      </c>
      <c r="E509" s="74">
        <v>43243</v>
      </c>
      <c r="F509" s="55" t="s">
        <v>344</v>
      </c>
      <c r="G509" s="55" t="s">
        <v>360</v>
      </c>
      <c r="H509" s="55" t="s">
        <v>360</v>
      </c>
      <c r="I509" s="55" t="s">
        <v>360</v>
      </c>
      <c r="J509" s="55" t="s">
        <v>360</v>
      </c>
      <c r="K509" s="55" t="s">
        <v>360</v>
      </c>
      <c r="L509" s="55" t="s">
        <v>360</v>
      </c>
      <c r="M509" s="55" t="s">
        <v>144</v>
      </c>
      <c r="N509" s="55" t="s">
        <v>144</v>
      </c>
      <c r="O509" s="55" t="s">
        <v>209</v>
      </c>
      <c r="P509" s="55" t="s">
        <v>555</v>
      </c>
      <c r="Q509" s="55" t="s">
        <v>350</v>
      </c>
      <c r="R509" s="55">
        <v>3</v>
      </c>
      <c r="S509" s="55"/>
      <c r="T509" s="55" t="s">
        <v>377</v>
      </c>
    </row>
    <row r="510" spans="1:20" ht="13" x14ac:dyDescent="0.15">
      <c r="A510" s="72" t="str">
        <f t="shared" si="7"/>
        <v>Ofsted Social Care Provider Webpage</v>
      </c>
      <c r="B510" s="55">
        <v>1272220</v>
      </c>
      <c r="D510" s="55" t="s">
        <v>373</v>
      </c>
      <c r="E510" s="74">
        <v>43229</v>
      </c>
      <c r="F510" s="55" t="s">
        <v>344</v>
      </c>
      <c r="G510" s="55" t="s">
        <v>360</v>
      </c>
      <c r="H510" s="55" t="s">
        <v>360</v>
      </c>
      <c r="I510" s="55" t="s">
        <v>360</v>
      </c>
      <c r="J510" s="55" t="s">
        <v>360</v>
      </c>
      <c r="K510" s="55" t="s">
        <v>360</v>
      </c>
      <c r="L510" s="55" t="s">
        <v>360</v>
      </c>
      <c r="M510" s="55" t="s">
        <v>378</v>
      </c>
      <c r="N510" s="55" t="s">
        <v>170</v>
      </c>
      <c r="O510" s="55" t="s">
        <v>243</v>
      </c>
      <c r="P510" s="55" t="s">
        <v>1222</v>
      </c>
      <c r="Q510" s="55" t="s">
        <v>350</v>
      </c>
      <c r="R510" s="55">
        <v>2</v>
      </c>
      <c r="S510" s="55"/>
      <c r="T510" s="55" t="s">
        <v>1223</v>
      </c>
    </row>
    <row r="511" spans="1:20" ht="13" x14ac:dyDescent="0.15">
      <c r="A511" s="72" t="str">
        <f t="shared" si="7"/>
        <v>Ofsted Social Care Provider Webpage</v>
      </c>
      <c r="B511" s="55">
        <v>1272461</v>
      </c>
      <c r="D511" s="55" t="s">
        <v>373</v>
      </c>
      <c r="E511" s="74">
        <v>43148</v>
      </c>
      <c r="F511" s="55" t="s">
        <v>344</v>
      </c>
      <c r="G511" s="55" t="s">
        <v>360</v>
      </c>
      <c r="H511" s="55" t="s">
        <v>360</v>
      </c>
      <c r="I511" s="55" t="s">
        <v>360</v>
      </c>
      <c r="J511" s="55" t="s">
        <v>360</v>
      </c>
      <c r="K511" s="55" t="s">
        <v>360</v>
      </c>
      <c r="L511" s="55" t="s">
        <v>360</v>
      </c>
      <c r="M511" s="55" t="s">
        <v>129</v>
      </c>
      <c r="N511" s="55" t="s">
        <v>129</v>
      </c>
      <c r="O511" s="55" t="s">
        <v>191</v>
      </c>
      <c r="P511" s="55" t="s">
        <v>1224</v>
      </c>
      <c r="Q511" s="55" t="s">
        <v>350</v>
      </c>
      <c r="R511" s="55">
        <v>4</v>
      </c>
      <c r="S511" s="55"/>
      <c r="T511" s="55" t="s">
        <v>939</v>
      </c>
    </row>
    <row r="512" spans="1:20" ht="13" x14ac:dyDescent="0.15">
      <c r="A512" s="72" t="str">
        <f t="shared" si="7"/>
        <v>Ofsted Social Care Provider Webpage</v>
      </c>
      <c r="B512" s="55">
        <v>1272657</v>
      </c>
      <c r="D512" s="55" t="s">
        <v>373</v>
      </c>
      <c r="E512" s="74">
        <v>43258</v>
      </c>
      <c r="F512" s="55" t="s">
        <v>344</v>
      </c>
      <c r="G512" s="55" t="s">
        <v>360</v>
      </c>
      <c r="H512" s="55" t="s">
        <v>360</v>
      </c>
      <c r="I512" s="55" t="s">
        <v>360</v>
      </c>
      <c r="J512" s="55" t="s">
        <v>360</v>
      </c>
      <c r="K512" s="55" t="s">
        <v>360</v>
      </c>
      <c r="L512" s="55" t="s">
        <v>360</v>
      </c>
      <c r="M512" s="55" t="s">
        <v>138</v>
      </c>
      <c r="N512" s="55" t="s">
        <v>138</v>
      </c>
      <c r="O512" s="55" t="s">
        <v>266</v>
      </c>
      <c r="P512" s="55" t="s">
        <v>449</v>
      </c>
      <c r="Q512" s="55" t="s">
        <v>350</v>
      </c>
      <c r="R512" s="55">
        <v>4</v>
      </c>
      <c r="S512" s="55"/>
      <c r="T512" s="55" t="s">
        <v>1225</v>
      </c>
    </row>
    <row r="513" spans="1:20" ht="13" x14ac:dyDescent="0.15">
      <c r="A513" s="72" t="str">
        <f t="shared" si="7"/>
        <v>Ofsted Social Care Provider Webpage</v>
      </c>
      <c r="B513" s="55">
        <v>1273485</v>
      </c>
      <c r="D513" s="55" t="s">
        <v>373</v>
      </c>
      <c r="E513" s="74">
        <v>43180</v>
      </c>
      <c r="F513" s="55" t="s">
        <v>344</v>
      </c>
      <c r="G513" s="55" t="s">
        <v>360</v>
      </c>
      <c r="H513" s="55" t="s">
        <v>360</v>
      </c>
      <c r="I513" s="55" t="s">
        <v>360</v>
      </c>
      <c r="J513" s="55" t="s">
        <v>360</v>
      </c>
      <c r="K513" s="55" t="s">
        <v>360</v>
      </c>
      <c r="L513" s="55" t="s">
        <v>360</v>
      </c>
      <c r="M513" s="55" t="s">
        <v>142</v>
      </c>
      <c r="N513" s="55" t="s">
        <v>142</v>
      </c>
      <c r="O513" s="55" t="s">
        <v>141</v>
      </c>
      <c r="P513" s="55" t="s">
        <v>1226</v>
      </c>
      <c r="Q513" s="55" t="s">
        <v>362</v>
      </c>
      <c r="R513" s="55">
        <v>7</v>
      </c>
      <c r="S513" s="55" t="s">
        <v>332</v>
      </c>
      <c r="T513" s="55" t="s">
        <v>1227</v>
      </c>
    </row>
    <row r="514" spans="1:20" ht="13" x14ac:dyDescent="0.15">
      <c r="A514" s="72" t="str">
        <f t="shared" si="7"/>
        <v>Ofsted Social Care Provider Webpage</v>
      </c>
      <c r="B514" s="55">
        <v>1273493</v>
      </c>
      <c r="D514" s="55" t="s">
        <v>468</v>
      </c>
      <c r="E514" s="74">
        <v>43178</v>
      </c>
      <c r="F514" s="55" t="s">
        <v>344</v>
      </c>
      <c r="G514" s="55" t="s">
        <v>1228</v>
      </c>
      <c r="H514" s="55" t="s">
        <v>1229</v>
      </c>
      <c r="I514" s="55" t="s">
        <v>354</v>
      </c>
      <c r="J514" s="55" t="s">
        <v>141</v>
      </c>
      <c r="K514" s="55" t="s">
        <v>142</v>
      </c>
      <c r="L514" s="55" t="s">
        <v>1230</v>
      </c>
      <c r="M514" s="55" t="s">
        <v>142</v>
      </c>
      <c r="N514" s="55" t="s">
        <v>142</v>
      </c>
      <c r="O514" s="55" t="s">
        <v>141</v>
      </c>
      <c r="P514" s="55" t="s">
        <v>1231</v>
      </c>
      <c r="Q514" s="55" t="s">
        <v>362</v>
      </c>
      <c r="R514" s="55"/>
      <c r="S514" s="55"/>
      <c r="T514" s="55" t="s">
        <v>1227</v>
      </c>
    </row>
    <row r="515" spans="1:20" ht="13" x14ac:dyDescent="0.15">
      <c r="A515" s="72" t="str">
        <f t="shared" si="7"/>
        <v>Ofsted Social Care Provider Webpage</v>
      </c>
      <c r="B515" s="55">
        <v>1273497</v>
      </c>
      <c r="D515" s="55" t="s">
        <v>373</v>
      </c>
      <c r="E515" s="74">
        <v>43179</v>
      </c>
      <c r="F515" s="55" t="s">
        <v>344</v>
      </c>
      <c r="G515" s="55" t="s">
        <v>360</v>
      </c>
      <c r="H515" s="55" t="s">
        <v>360</v>
      </c>
      <c r="I515" s="55" t="s">
        <v>360</v>
      </c>
      <c r="J515" s="55" t="s">
        <v>360</v>
      </c>
      <c r="K515" s="55" t="s">
        <v>360</v>
      </c>
      <c r="L515" s="55" t="s">
        <v>360</v>
      </c>
      <c r="M515" s="55" t="s">
        <v>142</v>
      </c>
      <c r="N515" s="55" t="s">
        <v>142</v>
      </c>
      <c r="O515" s="55" t="s">
        <v>141</v>
      </c>
      <c r="P515" s="55" t="s">
        <v>774</v>
      </c>
      <c r="Q515" s="55" t="s">
        <v>362</v>
      </c>
      <c r="R515" s="55">
        <v>3</v>
      </c>
      <c r="S515" s="55" t="s">
        <v>332</v>
      </c>
      <c r="T515" s="55" t="s">
        <v>1227</v>
      </c>
    </row>
    <row r="516" spans="1:20" ht="13" x14ac:dyDescent="0.15">
      <c r="A516" s="72" t="str">
        <f t="shared" si="7"/>
        <v>Ofsted Social Care Provider Webpage</v>
      </c>
      <c r="B516" s="55">
        <v>1273591</v>
      </c>
      <c r="D516" s="55" t="s">
        <v>389</v>
      </c>
      <c r="E516" s="74">
        <v>43178</v>
      </c>
      <c r="F516" s="55" t="s">
        <v>344</v>
      </c>
      <c r="G516" s="55" t="s">
        <v>1232</v>
      </c>
      <c r="H516" s="55" t="s">
        <v>1229</v>
      </c>
      <c r="I516" s="55" t="s">
        <v>354</v>
      </c>
      <c r="J516" s="55" t="s">
        <v>141</v>
      </c>
      <c r="K516" s="55" t="s">
        <v>142</v>
      </c>
      <c r="L516" s="55" t="s">
        <v>1230</v>
      </c>
      <c r="M516" s="55" t="s">
        <v>142</v>
      </c>
      <c r="N516" s="55" t="s">
        <v>142</v>
      </c>
      <c r="O516" s="55" t="s">
        <v>141</v>
      </c>
      <c r="P516" s="55" t="s">
        <v>1231</v>
      </c>
      <c r="Q516" s="55" t="s">
        <v>362</v>
      </c>
      <c r="R516" s="55"/>
      <c r="S516" s="55"/>
      <c r="T516" s="55" t="s">
        <v>1227</v>
      </c>
    </row>
    <row r="517" spans="1:20" ht="13" x14ac:dyDescent="0.15">
      <c r="A517" s="72" t="str">
        <f t="shared" ref="A517:A580" si="8">HYPERLINK(_xlfn.CONCAT("http://reports.ofsted.gov.uk/inspection-reports/find-inspection-report/provider/CARE/",B517),"Ofsted Social Care Provider Webpage")</f>
        <v>Ofsted Social Care Provider Webpage</v>
      </c>
      <c r="B517" s="55">
        <v>1273658</v>
      </c>
      <c r="D517" s="55" t="s">
        <v>373</v>
      </c>
      <c r="E517" s="74">
        <v>43179</v>
      </c>
      <c r="F517" s="55" t="s">
        <v>344</v>
      </c>
      <c r="G517" s="55" t="s">
        <v>360</v>
      </c>
      <c r="H517" s="55" t="s">
        <v>360</v>
      </c>
      <c r="I517" s="55" t="s">
        <v>360</v>
      </c>
      <c r="J517" s="55" t="s">
        <v>360</v>
      </c>
      <c r="K517" s="55" t="s">
        <v>360</v>
      </c>
      <c r="L517" s="55" t="s">
        <v>360</v>
      </c>
      <c r="M517" s="55" t="s">
        <v>142</v>
      </c>
      <c r="N517" s="55" t="s">
        <v>142</v>
      </c>
      <c r="O517" s="55" t="s">
        <v>141</v>
      </c>
      <c r="P517" s="55" t="s">
        <v>774</v>
      </c>
      <c r="Q517" s="55" t="s">
        <v>362</v>
      </c>
      <c r="R517" s="55">
        <v>16</v>
      </c>
      <c r="S517" s="55"/>
      <c r="T517" s="55" t="s">
        <v>1227</v>
      </c>
    </row>
    <row r="518" spans="1:20" ht="13" x14ac:dyDescent="0.15">
      <c r="A518" s="72" t="str">
        <f t="shared" si="8"/>
        <v>Ofsted Social Care Provider Webpage</v>
      </c>
      <c r="B518" s="55">
        <v>1273663</v>
      </c>
      <c r="D518" s="55" t="s">
        <v>373</v>
      </c>
      <c r="E518" s="74">
        <v>43179</v>
      </c>
      <c r="F518" s="55" t="s">
        <v>344</v>
      </c>
      <c r="G518" s="55" t="s">
        <v>360</v>
      </c>
      <c r="H518" s="55" t="s">
        <v>360</v>
      </c>
      <c r="I518" s="55" t="s">
        <v>360</v>
      </c>
      <c r="J518" s="55" t="s">
        <v>360</v>
      </c>
      <c r="K518" s="55" t="s">
        <v>360</v>
      </c>
      <c r="L518" s="55" t="s">
        <v>360</v>
      </c>
      <c r="M518" s="55" t="s">
        <v>142</v>
      </c>
      <c r="N518" s="55" t="s">
        <v>142</v>
      </c>
      <c r="O518" s="55" t="s">
        <v>141</v>
      </c>
      <c r="P518" s="55" t="s">
        <v>1231</v>
      </c>
      <c r="Q518" s="55" t="s">
        <v>362</v>
      </c>
      <c r="R518" s="55">
        <v>12</v>
      </c>
      <c r="S518" s="55"/>
      <c r="T518" s="55" t="s">
        <v>1227</v>
      </c>
    </row>
    <row r="519" spans="1:20" ht="13" x14ac:dyDescent="0.15">
      <c r="A519" s="72" t="str">
        <f t="shared" si="8"/>
        <v>Ofsted Social Care Provider Webpage</v>
      </c>
      <c r="B519" s="55">
        <v>1273719</v>
      </c>
      <c r="D519" s="55" t="s">
        <v>373</v>
      </c>
      <c r="E519" s="74">
        <v>43255</v>
      </c>
      <c r="F519" s="55" t="s">
        <v>344</v>
      </c>
      <c r="G519" s="55" t="s">
        <v>360</v>
      </c>
      <c r="H519" s="55" t="s">
        <v>360</v>
      </c>
      <c r="I519" s="55" t="s">
        <v>360</v>
      </c>
      <c r="J519" s="55" t="s">
        <v>360</v>
      </c>
      <c r="K519" s="55" t="s">
        <v>360</v>
      </c>
      <c r="L519" s="55" t="s">
        <v>360</v>
      </c>
      <c r="M519" s="55" t="s">
        <v>129</v>
      </c>
      <c r="N519" s="55" t="s">
        <v>129</v>
      </c>
      <c r="O519" s="55" t="s">
        <v>167</v>
      </c>
      <c r="P519" s="55" t="s">
        <v>866</v>
      </c>
      <c r="Q519" s="55" t="s">
        <v>350</v>
      </c>
      <c r="R519" s="55">
        <v>3</v>
      </c>
      <c r="S519" s="55"/>
      <c r="T519" s="55" t="s">
        <v>1233</v>
      </c>
    </row>
    <row r="520" spans="1:20" ht="13" x14ac:dyDescent="0.15">
      <c r="A520" s="72" t="str">
        <f t="shared" si="8"/>
        <v>Ofsted Social Care Provider Webpage</v>
      </c>
      <c r="B520" s="55">
        <v>1273769</v>
      </c>
      <c r="D520" s="55" t="s">
        <v>373</v>
      </c>
      <c r="E520" s="74">
        <v>43424</v>
      </c>
      <c r="F520" s="55" t="s">
        <v>344</v>
      </c>
      <c r="G520" s="55" t="s">
        <v>360</v>
      </c>
      <c r="H520" s="55" t="s">
        <v>360</v>
      </c>
      <c r="I520" s="55" t="s">
        <v>360</v>
      </c>
      <c r="J520" s="55" t="s">
        <v>360</v>
      </c>
      <c r="K520" s="55" t="s">
        <v>360</v>
      </c>
      <c r="L520" s="55" t="s">
        <v>360</v>
      </c>
      <c r="M520" s="55" t="s">
        <v>142</v>
      </c>
      <c r="N520" s="55" t="s">
        <v>142</v>
      </c>
      <c r="O520" s="55" t="s">
        <v>292</v>
      </c>
      <c r="P520" s="55" t="s">
        <v>1162</v>
      </c>
      <c r="Q520" s="55" t="s">
        <v>350</v>
      </c>
      <c r="R520" s="55">
        <v>3</v>
      </c>
      <c r="S520" s="55"/>
      <c r="T520" s="55" t="s">
        <v>1234</v>
      </c>
    </row>
    <row r="521" spans="1:20" ht="13" x14ac:dyDescent="0.15">
      <c r="A521" s="72" t="str">
        <f t="shared" si="8"/>
        <v>Ofsted Social Care Provider Webpage</v>
      </c>
      <c r="B521" s="55">
        <v>1274089</v>
      </c>
      <c r="D521" s="55" t="s">
        <v>373</v>
      </c>
      <c r="E521" s="74">
        <v>43224</v>
      </c>
      <c r="F521" s="55" t="s">
        <v>344</v>
      </c>
      <c r="G521" s="55" t="s">
        <v>360</v>
      </c>
      <c r="H521" s="55" t="s">
        <v>360</v>
      </c>
      <c r="I521" s="55" t="s">
        <v>360</v>
      </c>
      <c r="J521" s="55" t="s">
        <v>360</v>
      </c>
      <c r="K521" s="55" t="s">
        <v>360</v>
      </c>
      <c r="L521" s="55" t="s">
        <v>360</v>
      </c>
      <c r="M521" s="55" t="s">
        <v>144</v>
      </c>
      <c r="N521" s="55" t="s">
        <v>144</v>
      </c>
      <c r="O521" s="55" t="s">
        <v>209</v>
      </c>
      <c r="P521" s="55" t="s">
        <v>777</v>
      </c>
      <c r="Q521" s="55" t="s">
        <v>350</v>
      </c>
      <c r="R521" s="55">
        <v>4</v>
      </c>
      <c r="S521" s="55"/>
      <c r="T521" s="55" t="s">
        <v>475</v>
      </c>
    </row>
    <row r="522" spans="1:20" ht="13" x14ac:dyDescent="0.15">
      <c r="A522" s="72" t="str">
        <f t="shared" si="8"/>
        <v>Ofsted Social Care Provider Webpage</v>
      </c>
      <c r="B522" s="55">
        <v>1274093</v>
      </c>
      <c r="D522" s="55" t="s">
        <v>373</v>
      </c>
      <c r="E522" s="74">
        <v>43258</v>
      </c>
      <c r="F522" s="55" t="s">
        <v>344</v>
      </c>
      <c r="G522" s="55" t="s">
        <v>360</v>
      </c>
      <c r="H522" s="55" t="s">
        <v>360</v>
      </c>
      <c r="I522" s="55" t="s">
        <v>360</v>
      </c>
      <c r="J522" s="55" t="s">
        <v>360</v>
      </c>
      <c r="K522" s="55" t="s">
        <v>360</v>
      </c>
      <c r="L522" s="55" t="s">
        <v>360</v>
      </c>
      <c r="M522" s="55" t="s">
        <v>172</v>
      </c>
      <c r="N522" s="55" t="s">
        <v>172</v>
      </c>
      <c r="O522" s="55" t="s">
        <v>228</v>
      </c>
      <c r="P522" s="55" t="s">
        <v>991</v>
      </c>
      <c r="Q522" s="55" t="s">
        <v>350</v>
      </c>
      <c r="R522" s="55">
        <v>5</v>
      </c>
      <c r="S522" s="55"/>
      <c r="T522" s="55" t="s">
        <v>962</v>
      </c>
    </row>
    <row r="523" spans="1:20" ht="13" x14ac:dyDescent="0.15">
      <c r="A523" s="72" t="str">
        <f t="shared" si="8"/>
        <v>Ofsted Social Care Provider Webpage</v>
      </c>
      <c r="B523" s="55">
        <v>1274341</v>
      </c>
      <c r="D523" s="55" t="s">
        <v>373</v>
      </c>
      <c r="E523" s="74">
        <v>43213</v>
      </c>
      <c r="F523" s="55" t="s">
        <v>344</v>
      </c>
      <c r="G523" s="55" t="s">
        <v>360</v>
      </c>
      <c r="H523" s="55" t="s">
        <v>360</v>
      </c>
      <c r="I523" s="55" t="s">
        <v>360</v>
      </c>
      <c r="J523" s="55" t="s">
        <v>360</v>
      </c>
      <c r="K523" s="55" t="s">
        <v>360</v>
      </c>
      <c r="L523" s="55" t="s">
        <v>360</v>
      </c>
      <c r="M523" s="55" t="s">
        <v>136</v>
      </c>
      <c r="N523" s="55" t="s">
        <v>136</v>
      </c>
      <c r="O523" s="55" t="s">
        <v>288</v>
      </c>
      <c r="P523" s="55" t="s">
        <v>1235</v>
      </c>
      <c r="Q523" s="55" t="s">
        <v>350</v>
      </c>
      <c r="R523" s="55">
        <v>3</v>
      </c>
      <c r="S523" s="55"/>
      <c r="T523" s="55" t="s">
        <v>1236</v>
      </c>
    </row>
    <row r="524" spans="1:20" ht="13" x14ac:dyDescent="0.15">
      <c r="A524" s="72" t="str">
        <f t="shared" si="8"/>
        <v>Ofsted Social Care Provider Webpage</v>
      </c>
      <c r="B524" s="55">
        <v>1274670</v>
      </c>
      <c r="D524" s="55" t="s">
        <v>373</v>
      </c>
      <c r="E524" s="74">
        <v>43215</v>
      </c>
      <c r="F524" s="55" t="s">
        <v>344</v>
      </c>
      <c r="G524" s="55" t="s">
        <v>360</v>
      </c>
      <c r="H524" s="55" t="s">
        <v>360</v>
      </c>
      <c r="I524" s="55" t="s">
        <v>360</v>
      </c>
      <c r="J524" s="55" t="s">
        <v>360</v>
      </c>
      <c r="K524" s="55" t="s">
        <v>360</v>
      </c>
      <c r="L524" s="55" t="s">
        <v>360</v>
      </c>
      <c r="M524" s="55" t="s">
        <v>142</v>
      </c>
      <c r="N524" s="55" t="s">
        <v>142</v>
      </c>
      <c r="O524" s="55" t="s">
        <v>262</v>
      </c>
      <c r="P524" s="55" t="s">
        <v>523</v>
      </c>
      <c r="Q524" s="55" t="s">
        <v>350</v>
      </c>
      <c r="R524" s="55">
        <v>2</v>
      </c>
      <c r="S524" s="55"/>
      <c r="T524" s="55" t="s">
        <v>517</v>
      </c>
    </row>
    <row r="525" spans="1:20" ht="13" x14ac:dyDescent="0.15">
      <c r="A525" s="72" t="str">
        <f t="shared" si="8"/>
        <v>Ofsted Social Care Provider Webpage</v>
      </c>
      <c r="B525" s="55">
        <v>1274672</v>
      </c>
      <c r="D525" s="55" t="s">
        <v>373</v>
      </c>
      <c r="E525" s="74">
        <v>43444</v>
      </c>
      <c r="F525" s="55" t="s">
        <v>344</v>
      </c>
      <c r="G525" s="55" t="s">
        <v>360</v>
      </c>
      <c r="H525" s="55" t="s">
        <v>360</v>
      </c>
      <c r="I525" s="55" t="s">
        <v>360</v>
      </c>
      <c r="J525" s="55" t="s">
        <v>360</v>
      </c>
      <c r="K525" s="55" t="s">
        <v>360</v>
      </c>
      <c r="L525" s="55" t="s">
        <v>360</v>
      </c>
      <c r="M525" s="55" t="s">
        <v>378</v>
      </c>
      <c r="N525" s="55" t="s">
        <v>134</v>
      </c>
      <c r="O525" s="55" t="s">
        <v>206</v>
      </c>
      <c r="P525" s="55" t="s">
        <v>760</v>
      </c>
      <c r="Q525" s="55" t="s">
        <v>350</v>
      </c>
      <c r="R525" s="55">
        <v>2</v>
      </c>
      <c r="S525" s="55"/>
      <c r="T525" s="55" t="s">
        <v>1237</v>
      </c>
    </row>
    <row r="526" spans="1:20" ht="13" x14ac:dyDescent="0.15">
      <c r="A526" s="72" t="str">
        <f t="shared" si="8"/>
        <v>Ofsted Social Care Provider Webpage</v>
      </c>
      <c r="B526" s="55">
        <v>1274720</v>
      </c>
      <c r="D526" s="55" t="s">
        <v>451</v>
      </c>
      <c r="E526" s="74">
        <v>43329</v>
      </c>
      <c r="F526" s="55" t="s">
        <v>344</v>
      </c>
      <c r="G526" s="55" t="s">
        <v>1238</v>
      </c>
      <c r="H526" s="55" t="s">
        <v>1239</v>
      </c>
      <c r="I526" s="55" t="s">
        <v>354</v>
      </c>
      <c r="J526" s="55" t="s">
        <v>710</v>
      </c>
      <c r="K526" s="55" t="s">
        <v>1240</v>
      </c>
      <c r="L526" s="55" t="s">
        <v>1241</v>
      </c>
      <c r="M526" s="55" t="s">
        <v>378</v>
      </c>
      <c r="N526" s="55" t="s">
        <v>134</v>
      </c>
      <c r="O526" s="55" t="s">
        <v>206</v>
      </c>
      <c r="P526" s="55" t="s">
        <v>710</v>
      </c>
      <c r="Q526" s="55" t="s">
        <v>350</v>
      </c>
      <c r="R526" s="55">
        <v>3</v>
      </c>
      <c r="S526" s="55"/>
      <c r="T526" s="55" t="s">
        <v>1238</v>
      </c>
    </row>
    <row r="527" spans="1:20" ht="13" x14ac:dyDescent="0.15">
      <c r="A527" s="72" t="str">
        <f t="shared" si="8"/>
        <v>Ofsted Social Care Provider Webpage</v>
      </c>
      <c r="B527" s="55">
        <v>1274769</v>
      </c>
      <c r="C527" s="55">
        <v>130645</v>
      </c>
      <c r="D527" s="55" t="s">
        <v>693</v>
      </c>
      <c r="E527" s="74">
        <v>43374</v>
      </c>
      <c r="F527" s="55" t="s">
        <v>344</v>
      </c>
      <c r="G527" s="55" t="s">
        <v>1242</v>
      </c>
      <c r="H527" s="55" t="s">
        <v>1242</v>
      </c>
      <c r="I527" s="55" t="s">
        <v>1243</v>
      </c>
      <c r="J527" s="55" t="s">
        <v>570</v>
      </c>
      <c r="K527" s="55" t="s">
        <v>174</v>
      </c>
      <c r="L527" s="55" t="s">
        <v>1244</v>
      </c>
      <c r="M527" s="55" t="s">
        <v>136</v>
      </c>
      <c r="N527" s="55" t="s">
        <v>136</v>
      </c>
      <c r="O527" s="55" t="s">
        <v>174</v>
      </c>
      <c r="P527" s="55" t="s">
        <v>570</v>
      </c>
      <c r="Q527" s="55" t="s">
        <v>350</v>
      </c>
      <c r="R527" s="55">
        <v>22</v>
      </c>
      <c r="S527" s="55"/>
    </row>
    <row r="528" spans="1:20" ht="13" x14ac:dyDescent="0.15">
      <c r="A528" s="72" t="str">
        <f t="shared" si="8"/>
        <v>Ofsted Social Care Provider Webpage</v>
      </c>
      <c r="B528" s="55">
        <v>1274846</v>
      </c>
      <c r="D528" s="55" t="s">
        <v>373</v>
      </c>
      <c r="E528" s="74">
        <v>43279</v>
      </c>
      <c r="F528" s="55" t="s">
        <v>344</v>
      </c>
      <c r="G528" s="55" t="s">
        <v>360</v>
      </c>
      <c r="H528" s="55" t="s">
        <v>360</v>
      </c>
      <c r="I528" s="55" t="s">
        <v>360</v>
      </c>
      <c r="J528" s="55" t="s">
        <v>360</v>
      </c>
      <c r="K528" s="55" t="s">
        <v>360</v>
      </c>
      <c r="L528" s="55" t="s">
        <v>360</v>
      </c>
      <c r="M528" s="55" t="s">
        <v>138</v>
      </c>
      <c r="N528" s="55" t="s">
        <v>138</v>
      </c>
      <c r="O528" s="55" t="s">
        <v>159</v>
      </c>
      <c r="P528" s="55" t="s">
        <v>1025</v>
      </c>
      <c r="Q528" s="55" t="s">
        <v>350</v>
      </c>
      <c r="R528" s="55">
        <v>6</v>
      </c>
      <c r="S528" s="55"/>
      <c r="T528" s="55" t="s">
        <v>1039</v>
      </c>
    </row>
    <row r="529" spans="1:20" ht="13" x14ac:dyDescent="0.15">
      <c r="A529" s="72" t="str">
        <f t="shared" si="8"/>
        <v>Ofsted Social Care Provider Webpage</v>
      </c>
      <c r="B529" s="55">
        <v>1274892</v>
      </c>
      <c r="D529" s="55" t="s">
        <v>389</v>
      </c>
      <c r="E529" s="74">
        <v>43301</v>
      </c>
      <c r="F529" s="55" t="s">
        <v>344</v>
      </c>
      <c r="G529" s="55" t="s">
        <v>1245</v>
      </c>
      <c r="H529" s="55" t="s">
        <v>1246</v>
      </c>
      <c r="I529" s="55" t="s">
        <v>354</v>
      </c>
      <c r="J529" s="55" t="s">
        <v>1247</v>
      </c>
      <c r="L529" s="55" t="s">
        <v>1248</v>
      </c>
      <c r="M529" s="55" t="s">
        <v>378</v>
      </c>
      <c r="N529" s="55" t="s">
        <v>134</v>
      </c>
      <c r="O529" s="55" t="s">
        <v>180</v>
      </c>
      <c r="P529" s="55" t="s">
        <v>1249</v>
      </c>
      <c r="Q529" s="55" t="s">
        <v>350</v>
      </c>
      <c r="R529" s="55"/>
      <c r="S529" s="55"/>
      <c r="T529" s="55" t="s">
        <v>1245</v>
      </c>
    </row>
    <row r="530" spans="1:20" ht="13" x14ac:dyDescent="0.15">
      <c r="A530" s="72" t="str">
        <f t="shared" si="8"/>
        <v>Ofsted Social Care Provider Webpage</v>
      </c>
      <c r="B530" s="55">
        <v>1275188</v>
      </c>
      <c r="D530" s="55" t="s">
        <v>373</v>
      </c>
      <c r="E530" s="74">
        <v>43288</v>
      </c>
      <c r="F530" s="55" t="s">
        <v>344</v>
      </c>
      <c r="G530" s="55" t="s">
        <v>360</v>
      </c>
      <c r="H530" s="55" t="s">
        <v>360</v>
      </c>
      <c r="I530" s="55" t="s">
        <v>360</v>
      </c>
      <c r="J530" s="55" t="s">
        <v>360</v>
      </c>
      <c r="K530" s="55" t="s">
        <v>360</v>
      </c>
      <c r="L530" s="55" t="s">
        <v>360</v>
      </c>
      <c r="M530" s="55" t="s">
        <v>378</v>
      </c>
      <c r="N530" s="55" t="s">
        <v>134</v>
      </c>
      <c r="O530" s="55" t="s">
        <v>210</v>
      </c>
      <c r="P530" s="55" t="s">
        <v>1250</v>
      </c>
      <c r="Q530" s="55" t="s">
        <v>350</v>
      </c>
      <c r="R530" s="55">
        <v>1</v>
      </c>
      <c r="S530" s="55"/>
      <c r="T530" s="55" t="s">
        <v>1251</v>
      </c>
    </row>
    <row r="531" spans="1:20" ht="13" x14ac:dyDescent="0.15">
      <c r="A531" s="72" t="str">
        <f t="shared" si="8"/>
        <v>Ofsted Social Care Provider Webpage</v>
      </c>
      <c r="B531" s="55">
        <v>1275189</v>
      </c>
      <c r="D531" s="55" t="s">
        <v>373</v>
      </c>
      <c r="E531" s="74">
        <v>43288</v>
      </c>
      <c r="F531" s="55" t="s">
        <v>344</v>
      </c>
      <c r="G531" s="55" t="s">
        <v>360</v>
      </c>
      <c r="H531" s="55" t="s">
        <v>360</v>
      </c>
      <c r="I531" s="55" t="s">
        <v>360</v>
      </c>
      <c r="J531" s="55" t="s">
        <v>360</v>
      </c>
      <c r="K531" s="55" t="s">
        <v>360</v>
      </c>
      <c r="L531" s="55" t="s">
        <v>360</v>
      </c>
      <c r="M531" s="55" t="s">
        <v>378</v>
      </c>
      <c r="N531" s="55" t="s">
        <v>134</v>
      </c>
      <c r="O531" s="55" t="s">
        <v>210</v>
      </c>
      <c r="P531" s="55" t="s">
        <v>1250</v>
      </c>
      <c r="Q531" s="55" t="s">
        <v>350</v>
      </c>
      <c r="R531" s="55">
        <v>1</v>
      </c>
      <c r="S531" s="55"/>
      <c r="T531" s="55" t="s">
        <v>1251</v>
      </c>
    </row>
    <row r="532" spans="1:20" ht="13" x14ac:dyDescent="0.15">
      <c r="A532" s="72" t="str">
        <f t="shared" si="8"/>
        <v>Ofsted Social Care Provider Webpage</v>
      </c>
      <c r="B532" s="55">
        <v>1275228</v>
      </c>
      <c r="D532" s="55" t="s">
        <v>373</v>
      </c>
      <c r="E532" s="74">
        <v>43220</v>
      </c>
      <c r="F532" s="55" t="s">
        <v>344</v>
      </c>
      <c r="G532" s="55" t="s">
        <v>360</v>
      </c>
      <c r="H532" s="55" t="s">
        <v>360</v>
      </c>
      <c r="I532" s="55" t="s">
        <v>360</v>
      </c>
      <c r="J532" s="55" t="s">
        <v>360</v>
      </c>
      <c r="K532" s="55" t="s">
        <v>360</v>
      </c>
      <c r="L532" s="55" t="s">
        <v>360</v>
      </c>
      <c r="M532" s="55" t="s">
        <v>172</v>
      </c>
      <c r="N532" s="55" t="s">
        <v>172</v>
      </c>
      <c r="O532" s="55" t="s">
        <v>284</v>
      </c>
      <c r="P532" s="55" t="s">
        <v>357</v>
      </c>
      <c r="Q532" s="55" t="s">
        <v>350</v>
      </c>
      <c r="R532" s="55">
        <v>2</v>
      </c>
      <c r="S532" s="55"/>
      <c r="T532" s="55" t="s">
        <v>962</v>
      </c>
    </row>
    <row r="533" spans="1:20" ht="13" x14ac:dyDescent="0.15">
      <c r="A533" s="72" t="str">
        <f t="shared" si="8"/>
        <v>Ofsted Social Care Provider Webpage</v>
      </c>
      <c r="B533" s="55">
        <v>1275500</v>
      </c>
      <c r="D533" s="55" t="s">
        <v>373</v>
      </c>
      <c r="E533" s="74">
        <v>43347</v>
      </c>
      <c r="F533" s="55" t="s">
        <v>344</v>
      </c>
      <c r="G533" s="55" t="s">
        <v>360</v>
      </c>
      <c r="H533" s="55" t="s">
        <v>360</v>
      </c>
      <c r="I533" s="55" t="s">
        <v>360</v>
      </c>
      <c r="J533" s="55" t="s">
        <v>360</v>
      </c>
      <c r="K533" s="55" t="s">
        <v>360</v>
      </c>
      <c r="L533" s="55" t="s">
        <v>360</v>
      </c>
      <c r="M533" s="55" t="s">
        <v>150</v>
      </c>
      <c r="N533" s="55" t="s">
        <v>150</v>
      </c>
      <c r="O533" s="55" t="s">
        <v>181</v>
      </c>
      <c r="P533" s="55" t="s">
        <v>626</v>
      </c>
      <c r="Q533" s="55" t="s">
        <v>350</v>
      </c>
      <c r="R533" s="55">
        <v>2</v>
      </c>
      <c r="S533" s="55"/>
      <c r="T533" s="55" t="s">
        <v>1209</v>
      </c>
    </row>
    <row r="534" spans="1:20" ht="13" x14ac:dyDescent="0.15">
      <c r="A534" s="72" t="str">
        <f t="shared" si="8"/>
        <v>Ofsted Social Care Provider Webpage</v>
      </c>
      <c r="B534" s="55">
        <v>1275569</v>
      </c>
      <c r="D534" s="55" t="s">
        <v>479</v>
      </c>
      <c r="E534" s="74">
        <v>43269</v>
      </c>
      <c r="F534" s="55" t="s">
        <v>344</v>
      </c>
      <c r="G534" s="55" t="s">
        <v>360</v>
      </c>
      <c r="H534" s="55" t="s">
        <v>360</v>
      </c>
      <c r="I534" s="55" t="s">
        <v>360</v>
      </c>
      <c r="J534" s="55" t="s">
        <v>360</v>
      </c>
      <c r="K534" s="55" t="s">
        <v>360</v>
      </c>
      <c r="L534" s="55" t="s">
        <v>360</v>
      </c>
      <c r="M534" s="55" t="s">
        <v>150</v>
      </c>
      <c r="N534" s="55" t="s">
        <v>150</v>
      </c>
      <c r="O534" s="55" t="s">
        <v>237</v>
      </c>
      <c r="P534" s="55" t="s">
        <v>869</v>
      </c>
      <c r="Q534" s="55" t="s">
        <v>350</v>
      </c>
      <c r="R534" s="55">
        <v>31</v>
      </c>
      <c r="S534" s="55"/>
      <c r="T534" s="55" t="s">
        <v>1252</v>
      </c>
    </row>
    <row r="535" spans="1:20" ht="13" x14ac:dyDescent="0.15">
      <c r="A535" s="72" t="str">
        <f t="shared" si="8"/>
        <v>Ofsted Social Care Provider Webpage</v>
      </c>
      <c r="B535" s="55">
        <v>1275649</v>
      </c>
      <c r="D535" s="55" t="s">
        <v>373</v>
      </c>
      <c r="E535" s="74">
        <v>43237</v>
      </c>
      <c r="F535" s="55" t="s">
        <v>344</v>
      </c>
      <c r="G535" s="55" t="s">
        <v>360</v>
      </c>
      <c r="H535" s="55" t="s">
        <v>360</v>
      </c>
      <c r="I535" s="55" t="s">
        <v>360</v>
      </c>
      <c r="J535" s="55" t="s">
        <v>360</v>
      </c>
      <c r="K535" s="55" t="s">
        <v>360</v>
      </c>
      <c r="L535" s="55" t="s">
        <v>360</v>
      </c>
      <c r="M535" s="55" t="s">
        <v>144</v>
      </c>
      <c r="N535" s="55" t="s">
        <v>144</v>
      </c>
      <c r="O535" s="55" t="s">
        <v>168</v>
      </c>
      <c r="P535" s="55" t="s">
        <v>913</v>
      </c>
      <c r="Q535" s="55" t="s">
        <v>350</v>
      </c>
      <c r="R535" s="55">
        <v>6</v>
      </c>
      <c r="S535" s="55"/>
      <c r="T535" s="55" t="s">
        <v>1098</v>
      </c>
    </row>
    <row r="536" spans="1:20" ht="13" x14ac:dyDescent="0.15">
      <c r="A536" s="72" t="str">
        <f t="shared" si="8"/>
        <v>Ofsted Social Care Provider Webpage</v>
      </c>
      <c r="B536" s="55">
        <v>1275966</v>
      </c>
      <c r="D536" s="55" t="s">
        <v>373</v>
      </c>
      <c r="E536" s="74">
        <v>43301</v>
      </c>
      <c r="F536" s="55" t="s">
        <v>344</v>
      </c>
      <c r="G536" s="55" t="s">
        <v>360</v>
      </c>
      <c r="H536" s="55" t="s">
        <v>360</v>
      </c>
      <c r="I536" s="55" t="s">
        <v>360</v>
      </c>
      <c r="J536" s="55" t="s">
        <v>360</v>
      </c>
      <c r="K536" s="55" t="s">
        <v>360</v>
      </c>
      <c r="L536" s="55" t="s">
        <v>360</v>
      </c>
      <c r="M536" s="55" t="s">
        <v>142</v>
      </c>
      <c r="N536" s="55" t="s">
        <v>142</v>
      </c>
      <c r="O536" s="55" t="s">
        <v>262</v>
      </c>
      <c r="P536" s="55" t="s">
        <v>916</v>
      </c>
      <c r="Q536" s="55" t="s">
        <v>350</v>
      </c>
      <c r="R536" s="55">
        <v>6</v>
      </c>
      <c r="S536" s="55"/>
      <c r="T536" s="55" t="s">
        <v>1253</v>
      </c>
    </row>
    <row r="537" spans="1:20" ht="13" x14ac:dyDescent="0.15">
      <c r="A537" s="72" t="str">
        <f t="shared" si="8"/>
        <v>Ofsted Social Care Provider Webpage</v>
      </c>
      <c r="B537" s="55">
        <v>1276009</v>
      </c>
      <c r="D537" s="55" t="s">
        <v>451</v>
      </c>
      <c r="E537" s="74">
        <v>43299</v>
      </c>
      <c r="F537" s="55" t="s">
        <v>344</v>
      </c>
      <c r="G537" s="55" t="s">
        <v>1254</v>
      </c>
      <c r="H537" s="55" t="s">
        <v>1255</v>
      </c>
      <c r="I537" s="55" t="s">
        <v>354</v>
      </c>
      <c r="J537" s="55" t="s">
        <v>1256</v>
      </c>
      <c r="K537" s="55" t="s">
        <v>173</v>
      </c>
      <c r="L537" s="55" t="s">
        <v>1257</v>
      </c>
      <c r="M537" s="55" t="s">
        <v>172</v>
      </c>
      <c r="N537" s="55" t="s">
        <v>172</v>
      </c>
      <c r="O537" s="55" t="s">
        <v>173</v>
      </c>
      <c r="P537" s="55" t="s">
        <v>1258</v>
      </c>
      <c r="Q537" s="55" t="s">
        <v>350</v>
      </c>
      <c r="R537" s="55">
        <v>6</v>
      </c>
      <c r="S537" s="55"/>
      <c r="T537" s="55" t="s">
        <v>1259</v>
      </c>
    </row>
    <row r="538" spans="1:20" ht="13" x14ac:dyDescent="0.15">
      <c r="A538" s="72" t="str">
        <f t="shared" si="8"/>
        <v>Ofsted Social Care Provider Webpage</v>
      </c>
      <c r="B538" s="55">
        <v>1276010</v>
      </c>
      <c r="D538" s="55" t="s">
        <v>373</v>
      </c>
      <c r="E538" s="74">
        <v>43234</v>
      </c>
      <c r="F538" s="55" t="s">
        <v>344</v>
      </c>
      <c r="G538" s="55" t="s">
        <v>360</v>
      </c>
      <c r="H538" s="55" t="s">
        <v>360</v>
      </c>
      <c r="I538" s="55" t="s">
        <v>360</v>
      </c>
      <c r="J538" s="55" t="s">
        <v>360</v>
      </c>
      <c r="K538" s="55" t="s">
        <v>360</v>
      </c>
      <c r="L538" s="55" t="s">
        <v>360</v>
      </c>
      <c r="M538" s="55" t="s">
        <v>142</v>
      </c>
      <c r="N538" s="55" t="s">
        <v>142</v>
      </c>
      <c r="O538" s="55" t="s">
        <v>252</v>
      </c>
      <c r="P538" s="55" t="s">
        <v>388</v>
      </c>
      <c r="Q538" s="55" t="s">
        <v>350</v>
      </c>
      <c r="R538" s="55">
        <v>3</v>
      </c>
      <c r="S538" s="55"/>
      <c r="T538" s="55" t="s">
        <v>1260</v>
      </c>
    </row>
    <row r="539" spans="1:20" ht="13" x14ac:dyDescent="0.15">
      <c r="A539" s="72" t="str">
        <f t="shared" si="8"/>
        <v>Ofsted Social Care Provider Webpage</v>
      </c>
      <c r="B539" s="55">
        <v>1276111</v>
      </c>
      <c r="D539" s="55" t="s">
        <v>373</v>
      </c>
      <c r="E539" s="74">
        <v>43319</v>
      </c>
      <c r="F539" s="55" t="s">
        <v>344</v>
      </c>
      <c r="G539" s="55" t="s">
        <v>360</v>
      </c>
      <c r="H539" s="55" t="s">
        <v>360</v>
      </c>
      <c r="I539" s="55" t="s">
        <v>360</v>
      </c>
      <c r="J539" s="55" t="s">
        <v>360</v>
      </c>
      <c r="K539" s="55" t="s">
        <v>360</v>
      </c>
      <c r="L539" s="55" t="s">
        <v>360</v>
      </c>
      <c r="M539" s="55" t="s">
        <v>142</v>
      </c>
      <c r="N539" s="55" t="s">
        <v>142</v>
      </c>
      <c r="O539" s="55" t="s">
        <v>141</v>
      </c>
      <c r="P539" s="55" t="s">
        <v>774</v>
      </c>
      <c r="Q539" s="55" t="s">
        <v>350</v>
      </c>
      <c r="R539" s="55">
        <v>5</v>
      </c>
      <c r="S539" s="55"/>
      <c r="T539" s="55" t="s">
        <v>1261</v>
      </c>
    </row>
    <row r="540" spans="1:20" ht="13" x14ac:dyDescent="0.15">
      <c r="A540" s="72" t="str">
        <f t="shared" si="8"/>
        <v>Ofsted Social Care Provider Webpage</v>
      </c>
      <c r="B540" s="55">
        <v>1276216</v>
      </c>
      <c r="D540" s="55" t="s">
        <v>373</v>
      </c>
      <c r="E540" s="74">
        <v>43304</v>
      </c>
      <c r="F540" s="55" t="s">
        <v>344</v>
      </c>
      <c r="G540" s="55" t="s">
        <v>360</v>
      </c>
      <c r="H540" s="55" t="s">
        <v>360</v>
      </c>
      <c r="I540" s="55" t="s">
        <v>360</v>
      </c>
      <c r="J540" s="55" t="s">
        <v>360</v>
      </c>
      <c r="K540" s="55" t="s">
        <v>360</v>
      </c>
      <c r="L540" s="55" t="s">
        <v>360</v>
      </c>
      <c r="M540" s="55" t="s">
        <v>142</v>
      </c>
      <c r="N540" s="55" t="s">
        <v>142</v>
      </c>
      <c r="O540" s="55" t="s">
        <v>262</v>
      </c>
      <c r="P540" s="55" t="s">
        <v>916</v>
      </c>
      <c r="Q540" s="55" t="s">
        <v>350</v>
      </c>
      <c r="R540" s="55">
        <v>3</v>
      </c>
      <c r="S540" s="55"/>
      <c r="T540" s="55" t="s">
        <v>489</v>
      </c>
    </row>
    <row r="541" spans="1:20" ht="13" x14ac:dyDescent="0.15">
      <c r="A541" s="72" t="str">
        <f t="shared" si="8"/>
        <v>Ofsted Social Care Provider Webpage</v>
      </c>
      <c r="B541" s="55">
        <v>1276249</v>
      </c>
      <c r="D541" s="55" t="s">
        <v>373</v>
      </c>
      <c r="E541" s="74">
        <v>43249</v>
      </c>
      <c r="F541" s="55" t="s">
        <v>344</v>
      </c>
      <c r="G541" s="55" t="s">
        <v>360</v>
      </c>
      <c r="H541" s="55" t="s">
        <v>360</v>
      </c>
      <c r="I541" s="55" t="s">
        <v>360</v>
      </c>
      <c r="J541" s="55" t="s">
        <v>360</v>
      </c>
      <c r="K541" s="55" t="s">
        <v>360</v>
      </c>
      <c r="L541" s="55" t="s">
        <v>360</v>
      </c>
      <c r="M541" s="55" t="s">
        <v>172</v>
      </c>
      <c r="N541" s="55" t="s">
        <v>172</v>
      </c>
      <c r="O541" s="55" t="s">
        <v>212</v>
      </c>
      <c r="P541" s="55" t="s">
        <v>798</v>
      </c>
      <c r="Q541" s="55" t="s">
        <v>350</v>
      </c>
      <c r="R541" s="55">
        <v>3</v>
      </c>
      <c r="S541" s="55"/>
      <c r="T541" s="55" t="s">
        <v>517</v>
      </c>
    </row>
    <row r="542" spans="1:20" ht="13" x14ac:dyDescent="0.15">
      <c r="A542" s="72" t="str">
        <f t="shared" si="8"/>
        <v>Ofsted Social Care Provider Webpage</v>
      </c>
      <c r="B542" s="55">
        <v>1276421</v>
      </c>
      <c r="D542" s="55" t="s">
        <v>373</v>
      </c>
      <c r="E542" s="74">
        <v>43328</v>
      </c>
      <c r="F542" s="55" t="s">
        <v>344</v>
      </c>
      <c r="G542" s="55" t="s">
        <v>360</v>
      </c>
      <c r="H542" s="55" t="s">
        <v>360</v>
      </c>
      <c r="I542" s="55" t="s">
        <v>360</v>
      </c>
      <c r="J542" s="55" t="s">
        <v>360</v>
      </c>
      <c r="K542" s="55" t="s">
        <v>360</v>
      </c>
      <c r="L542" s="55" t="s">
        <v>360</v>
      </c>
      <c r="M542" s="55" t="s">
        <v>378</v>
      </c>
      <c r="N542" s="55" t="s">
        <v>170</v>
      </c>
      <c r="O542" s="55" t="s">
        <v>178</v>
      </c>
      <c r="P542" s="55" t="s">
        <v>952</v>
      </c>
      <c r="Q542" s="55" t="s">
        <v>350</v>
      </c>
      <c r="R542" s="55">
        <v>4</v>
      </c>
      <c r="S542" s="55"/>
      <c r="T542" s="55" t="s">
        <v>1262</v>
      </c>
    </row>
    <row r="543" spans="1:20" ht="13" x14ac:dyDescent="0.15">
      <c r="A543" s="72" t="str">
        <f t="shared" si="8"/>
        <v>Ofsted Social Care Provider Webpage</v>
      </c>
      <c r="B543" s="55">
        <v>1276442</v>
      </c>
      <c r="D543" s="55" t="s">
        <v>373</v>
      </c>
      <c r="E543" s="74">
        <v>43356</v>
      </c>
      <c r="F543" s="55" t="s">
        <v>344</v>
      </c>
      <c r="G543" s="55" t="s">
        <v>360</v>
      </c>
      <c r="H543" s="55" t="s">
        <v>360</v>
      </c>
      <c r="I543" s="55" t="s">
        <v>360</v>
      </c>
      <c r="J543" s="55" t="s">
        <v>360</v>
      </c>
      <c r="K543" s="55" t="s">
        <v>360</v>
      </c>
      <c r="L543" s="55" t="s">
        <v>360</v>
      </c>
      <c r="M543" s="55" t="s">
        <v>150</v>
      </c>
      <c r="N543" s="55" t="s">
        <v>150</v>
      </c>
      <c r="O543" s="55" t="s">
        <v>203</v>
      </c>
      <c r="P543" s="55" t="s">
        <v>1263</v>
      </c>
      <c r="Q543" s="55" t="s">
        <v>350</v>
      </c>
      <c r="R543" s="55">
        <v>3</v>
      </c>
      <c r="S543" s="55"/>
      <c r="T543" s="55" t="s">
        <v>489</v>
      </c>
    </row>
    <row r="544" spans="1:20" ht="13" x14ac:dyDescent="0.15">
      <c r="A544" s="72" t="str">
        <f t="shared" si="8"/>
        <v>Ofsted Social Care Provider Webpage</v>
      </c>
      <c r="B544" s="55">
        <v>1276600</v>
      </c>
      <c r="C544" s="55">
        <v>119027</v>
      </c>
      <c r="D544" s="55" t="s">
        <v>413</v>
      </c>
      <c r="E544" s="74">
        <v>43135</v>
      </c>
      <c r="F544" s="55" t="s">
        <v>344</v>
      </c>
      <c r="G544" s="55" t="s">
        <v>1264</v>
      </c>
      <c r="H544" s="55" t="s">
        <v>1265</v>
      </c>
      <c r="I544" s="55" t="s">
        <v>1266</v>
      </c>
      <c r="J544" s="55" t="s">
        <v>1038</v>
      </c>
      <c r="K544" s="55" t="s">
        <v>203</v>
      </c>
      <c r="L544" s="55" t="s">
        <v>1267</v>
      </c>
      <c r="M544" s="55" t="s">
        <v>150</v>
      </c>
      <c r="N544" s="55" t="s">
        <v>150</v>
      </c>
      <c r="O544" s="55" t="s">
        <v>203</v>
      </c>
      <c r="P544" s="55" t="s">
        <v>1268</v>
      </c>
      <c r="Q544" s="55" t="s">
        <v>362</v>
      </c>
      <c r="R544" s="55">
        <v>10</v>
      </c>
      <c r="S544" s="55"/>
      <c r="T544" s="55" t="s">
        <v>824</v>
      </c>
    </row>
    <row r="545" spans="1:20" ht="13" x14ac:dyDescent="0.15">
      <c r="A545" s="72" t="str">
        <f t="shared" si="8"/>
        <v>Ofsted Social Care Provider Webpage</v>
      </c>
      <c r="B545" s="55">
        <v>1276719</v>
      </c>
      <c r="D545" s="55" t="s">
        <v>373</v>
      </c>
      <c r="E545" s="74">
        <v>43236</v>
      </c>
      <c r="F545" s="55" t="s">
        <v>344</v>
      </c>
      <c r="G545" s="55" t="s">
        <v>360</v>
      </c>
      <c r="H545" s="55" t="s">
        <v>360</v>
      </c>
      <c r="I545" s="55" t="s">
        <v>360</v>
      </c>
      <c r="J545" s="55" t="s">
        <v>360</v>
      </c>
      <c r="K545" s="55" t="s">
        <v>360</v>
      </c>
      <c r="L545" s="55" t="s">
        <v>360</v>
      </c>
      <c r="M545" s="55" t="s">
        <v>136</v>
      </c>
      <c r="N545" s="55" t="s">
        <v>136</v>
      </c>
      <c r="O545" s="55" t="s">
        <v>165</v>
      </c>
      <c r="P545" s="55" t="s">
        <v>1269</v>
      </c>
      <c r="Q545" s="55" t="s">
        <v>350</v>
      </c>
      <c r="R545" s="55">
        <v>3</v>
      </c>
      <c r="S545" s="55"/>
      <c r="T545" s="55" t="s">
        <v>1270</v>
      </c>
    </row>
    <row r="546" spans="1:20" ht="13" x14ac:dyDescent="0.15">
      <c r="A546" s="72" t="str">
        <f t="shared" si="8"/>
        <v>Ofsted Social Care Provider Webpage</v>
      </c>
      <c r="B546" s="55">
        <v>1276911</v>
      </c>
      <c r="D546" s="55" t="s">
        <v>373</v>
      </c>
      <c r="E546" s="74">
        <v>43402</v>
      </c>
      <c r="F546" s="55" t="s">
        <v>344</v>
      </c>
      <c r="G546" s="55" t="s">
        <v>360</v>
      </c>
      <c r="H546" s="55" t="s">
        <v>360</v>
      </c>
      <c r="I546" s="55" t="s">
        <v>360</v>
      </c>
      <c r="J546" s="55" t="s">
        <v>360</v>
      </c>
      <c r="K546" s="55" t="s">
        <v>360</v>
      </c>
      <c r="L546" s="55" t="s">
        <v>360</v>
      </c>
      <c r="M546" s="55" t="s">
        <v>142</v>
      </c>
      <c r="N546" s="55" t="s">
        <v>142</v>
      </c>
      <c r="O546" s="55" t="s">
        <v>262</v>
      </c>
      <c r="P546" s="55" t="s">
        <v>850</v>
      </c>
      <c r="Q546" s="55" t="s">
        <v>350</v>
      </c>
      <c r="R546" s="55">
        <v>2</v>
      </c>
      <c r="S546" s="55"/>
      <c r="T546" s="55" t="s">
        <v>619</v>
      </c>
    </row>
    <row r="547" spans="1:20" ht="13" x14ac:dyDescent="0.15">
      <c r="A547" s="72" t="str">
        <f t="shared" si="8"/>
        <v>Ofsted Social Care Provider Webpage</v>
      </c>
      <c r="B547" s="55">
        <v>1277041</v>
      </c>
      <c r="D547" s="55" t="s">
        <v>373</v>
      </c>
      <c r="E547" s="74">
        <v>43263</v>
      </c>
      <c r="F547" s="55" t="s">
        <v>344</v>
      </c>
      <c r="G547" s="55" t="s">
        <v>360</v>
      </c>
      <c r="H547" s="55" t="s">
        <v>360</v>
      </c>
      <c r="I547" s="55" t="s">
        <v>360</v>
      </c>
      <c r="J547" s="55" t="s">
        <v>360</v>
      </c>
      <c r="K547" s="55" t="s">
        <v>360</v>
      </c>
      <c r="L547" s="55" t="s">
        <v>360</v>
      </c>
      <c r="M547" s="55" t="s">
        <v>172</v>
      </c>
      <c r="N547" s="55" t="s">
        <v>172</v>
      </c>
      <c r="O547" s="55" t="s">
        <v>234</v>
      </c>
      <c r="P547" s="55" t="s">
        <v>457</v>
      </c>
      <c r="Q547" s="55" t="s">
        <v>380</v>
      </c>
      <c r="R547" s="55">
        <v>2</v>
      </c>
      <c r="S547" s="55"/>
      <c r="T547" s="55" t="s">
        <v>1271</v>
      </c>
    </row>
    <row r="548" spans="1:20" ht="13" x14ac:dyDescent="0.15">
      <c r="A548" s="72" t="str">
        <f t="shared" si="8"/>
        <v>Ofsted Social Care Provider Webpage</v>
      </c>
      <c r="B548" s="55">
        <v>1277045</v>
      </c>
      <c r="D548" s="55" t="s">
        <v>373</v>
      </c>
      <c r="E548" s="74">
        <v>43315</v>
      </c>
      <c r="F548" s="55" t="s">
        <v>344</v>
      </c>
      <c r="G548" s="55" t="s">
        <v>360</v>
      </c>
      <c r="H548" s="55" t="s">
        <v>360</v>
      </c>
      <c r="I548" s="55" t="s">
        <v>360</v>
      </c>
      <c r="J548" s="55" t="s">
        <v>360</v>
      </c>
      <c r="K548" s="55" t="s">
        <v>360</v>
      </c>
      <c r="L548" s="55" t="s">
        <v>360</v>
      </c>
      <c r="M548" s="55" t="s">
        <v>136</v>
      </c>
      <c r="N548" s="55" t="s">
        <v>136</v>
      </c>
      <c r="O548" s="55" t="s">
        <v>165</v>
      </c>
      <c r="P548" s="55" t="s">
        <v>1269</v>
      </c>
      <c r="Q548" s="55" t="s">
        <v>350</v>
      </c>
      <c r="R548" s="55">
        <v>4</v>
      </c>
      <c r="S548" s="55"/>
      <c r="T548" s="55" t="s">
        <v>1105</v>
      </c>
    </row>
    <row r="549" spans="1:20" ht="13" x14ac:dyDescent="0.15">
      <c r="A549" s="72" t="str">
        <f t="shared" si="8"/>
        <v>Ofsted Social Care Provider Webpage</v>
      </c>
      <c r="B549" s="55">
        <v>1277049</v>
      </c>
      <c r="D549" s="55" t="s">
        <v>373</v>
      </c>
      <c r="E549" s="74">
        <v>43307</v>
      </c>
      <c r="F549" s="55" t="s">
        <v>344</v>
      </c>
      <c r="G549" s="55" t="s">
        <v>360</v>
      </c>
      <c r="H549" s="55" t="s">
        <v>360</v>
      </c>
      <c r="I549" s="55" t="s">
        <v>360</v>
      </c>
      <c r="J549" s="55" t="s">
        <v>360</v>
      </c>
      <c r="K549" s="55" t="s">
        <v>360</v>
      </c>
      <c r="L549" s="55" t="s">
        <v>360</v>
      </c>
      <c r="M549" s="55" t="s">
        <v>144</v>
      </c>
      <c r="N549" s="55" t="s">
        <v>144</v>
      </c>
      <c r="O549" s="55" t="s">
        <v>287</v>
      </c>
      <c r="P549" s="55" t="s">
        <v>815</v>
      </c>
      <c r="Q549" s="55" t="s">
        <v>350</v>
      </c>
      <c r="R549" s="55">
        <v>2</v>
      </c>
      <c r="S549" s="55"/>
      <c r="T549" s="55" t="s">
        <v>1272</v>
      </c>
    </row>
    <row r="550" spans="1:20" ht="13" x14ac:dyDescent="0.15">
      <c r="A550" s="72" t="str">
        <f t="shared" si="8"/>
        <v>Ofsted Social Care Provider Webpage</v>
      </c>
      <c r="B550" s="55">
        <v>1277076</v>
      </c>
      <c r="D550" s="55" t="s">
        <v>389</v>
      </c>
      <c r="E550" s="74">
        <v>43325</v>
      </c>
      <c r="F550" s="55" t="s">
        <v>344</v>
      </c>
      <c r="G550" s="55" t="s">
        <v>1273</v>
      </c>
      <c r="H550" s="55" t="s">
        <v>1274</v>
      </c>
      <c r="I550" s="55" t="s">
        <v>1275</v>
      </c>
      <c r="J550" s="55" t="s">
        <v>141</v>
      </c>
      <c r="L550" s="55" t="s">
        <v>1276</v>
      </c>
      <c r="M550" s="55" t="s">
        <v>142</v>
      </c>
      <c r="N550" s="55" t="s">
        <v>142</v>
      </c>
      <c r="O550" s="55" t="s">
        <v>141</v>
      </c>
      <c r="P550" s="55" t="s">
        <v>1226</v>
      </c>
      <c r="Q550" s="55" t="s">
        <v>350</v>
      </c>
      <c r="R550" s="55"/>
      <c r="S550" s="55"/>
      <c r="T550" s="55" t="s">
        <v>1273</v>
      </c>
    </row>
    <row r="551" spans="1:20" ht="13" x14ac:dyDescent="0.15">
      <c r="A551" s="72" t="str">
        <f t="shared" si="8"/>
        <v>Ofsted Social Care Provider Webpage</v>
      </c>
      <c r="B551" s="55">
        <v>1277079</v>
      </c>
      <c r="D551" s="55" t="s">
        <v>373</v>
      </c>
      <c r="E551" s="74">
        <v>43206</v>
      </c>
      <c r="F551" s="55" t="s">
        <v>344</v>
      </c>
      <c r="G551" s="55" t="s">
        <v>360</v>
      </c>
      <c r="H551" s="55" t="s">
        <v>360</v>
      </c>
      <c r="I551" s="55" t="s">
        <v>360</v>
      </c>
      <c r="J551" s="55" t="s">
        <v>360</v>
      </c>
      <c r="K551" s="55" t="s">
        <v>360</v>
      </c>
      <c r="L551" s="55" t="s">
        <v>360</v>
      </c>
      <c r="M551" s="55" t="s">
        <v>378</v>
      </c>
      <c r="N551" s="55" t="s">
        <v>134</v>
      </c>
      <c r="O551" s="55" t="s">
        <v>158</v>
      </c>
      <c r="P551" s="55" t="s">
        <v>912</v>
      </c>
      <c r="Q551" s="55" t="s">
        <v>350</v>
      </c>
      <c r="R551" s="55">
        <v>2</v>
      </c>
      <c r="S551" s="55"/>
      <c r="T551" s="55" t="s">
        <v>951</v>
      </c>
    </row>
    <row r="552" spans="1:20" ht="13" x14ac:dyDescent="0.15">
      <c r="A552" s="72" t="str">
        <f t="shared" si="8"/>
        <v>Ofsted Social Care Provider Webpage</v>
      </c>
      <c r="B552" s="55">
        <v>1277158</v>
      </c>
      <c r="D552" s="55" t="s">
        <v>373</v>
      </c>
      <c r="E552" s="74">
        <v>43279</v>
      </c>
      <c r="F552" s="55" t="s">
        <v>344</v>
      </c>
      <c r="G552" s="55" t="s">
        <v>360</v>
      </c>
      <c r="H552" s="55" t="s">
        <v>360</v>
      </c>
      <c r="I552" s="55" t="s">
        <v>360</v>
      </c>
      <c r="J552" s="55" t="s">
        <v>360</v>
      </c>
      <c r="K552" s="55" t="s">
        <v>360</v>
      </c>
      <c r="L552" s="55" t="s">
        <v>360</v>
      </c>
      <c r="M552" s="55" t="s">
        <v>144</v>
      </c>
      <c r="N552" s="55" t="s">
        <v>144</v>
      </c>
      <c r="O552" s="55" t="s">
        <v>145</v>
      </c>
      <c r="P552" s="55" t="s">
        <v>484</v>
      </c>
      <c r="Q552" s="55" t="s">
        <v>350</v>
      </c>
      <c r="R552" s="55">
        <v>2</v>
      </c>
      <c r="S552" s="55"/>
      <c r="T552" s="55" t="s">
        <v>955</v>
      </c>
    </row>
    <row r="553" spans="1:20" ht="13" x14ac:dyDescent="0.15">
      <c r="A553" s="72" t="str">
        <f t="shared" si="8"/>
        <v>Ofsted Social Care Provider Webpage</v>
      </c>
      <c r="B553" s="55">
        <v>1277304</v>
      </c>
      <c r="D553" s="55" t="s">
        <v>373</v>
      </c>
      <c r="E553" s="74">
        <v>43228</v>
      </c>
      <c r="F553" s="55" t="s">
        <v>344</v>
      </c>
      <c r="G553" s="55" t="s">
        <v>360</v>
      </c>
      <c r="H553" s="55" t="s">
        <v>360</v>
      </c>
      <c r="I553" s="55" t="s">
        <v>360</v>
      </c>
      <c r="J553" s="55" t="s">
        <v>360</v>
      </c>
      <c r="K553" s="55" t="s">
        <v>360</v>
      </c>
      <c r="L553" s="55" t="s">
        <v>360</v>
      </c>
      <c r="M553" s="55" t="s">
        <v>136</v>
      </c>
      <c r="N553" s="55" t="s">
        <v>136</v>
      </c>
      <c r="O553" s="55" t="s">
        <v>239</v>
      </c>
      <c r="P553" s="55" t="s">
        <v>738</v>
      </c>
      <c r="Q553" s="55" t="s">
        <v>350</v>
      </c>
      <c r="R553" s="55">
        <v>2</v>
      </c>
      <c r="S553" s="55"/>
      <c r="T553" s="55" t="s">
        <v>739</v>
      </c>
    </row>
    <row r="554" spans="1:20" ht="13" x14ac:dyDescent="0.15">
      <c r="A554" s="72" t="str">
        <f t="shared" si="8"/>
        <v>Ofsted Social Care Provider Webpage</v>
      </c>
      <c r="B554" s="55">
        <v>1277380</v>
      </c>
      <c r="D554" s="55" t="s">
        <v>373</v>
      </c>
      <c r="E554" s="74">
        <v>43273</v>
      </c>
      <c r="F554" s="55" t="s">
        <v>344</v>
      </c>
      <c r="G554" s="55" t="s">
        <v>360</v>
      </c>
      <c r="H554" s="55" t="s">
        <v>360</v>
      </c>
      <c r="I554" s="55" t="s">
        <v>360</v>
      </c>
      <c r="J554" s="55" t="s">
        <v>360</v>
      </c>
      <c r="K554" s="55" t="s">
        <v>360</v>
      </c>
      <c r="L554" s="55" t="s">
        <v>360</v>
      </c>
      <c r="M554" s="55" t="s">
        <v>378</v>
      </c>
      <c r="N554" s="55" t="s">
        <v>134</v>
      </c>
      <c r="O554" s="55" t="s">
        <v>232</v>
      </c>
      <c r="P554" s="55" t="s">
        <v>496</v>
      </c>
      <c r="Q554" s="55" t="s">
        <v>350</v>
      </c>
      <c r="R554" s="55">
        <v>5</v>
      </c>
      <c r="S554" s="55"/>
      <c r="T554" s="55" t="s">
        <v>863</v>
      </c>
    </row>
    <row r="555" spans="1:20" ht="13" x14ac:dyDescent="0.15">
      <c r="A555" s="72" t="str">
        <f t="shared" si="8"/>
        <v>Ofsted Social Care Provider Webpage</v>
      </c>
      <c r="B555" s="55">
        <v>1277453</v>
      </c>
      <c r="D555" s="55" t="s">
        <v>373</v>
      </c>
      <c r="E555" s="74">
        <v>43293</v>
      </c>
      <c r="F555" s="55" t="s">
        <v>344</v>
      </c>
      <c r="G555" s="55" t="s">
        <v>360</v>
      </c>
      <c r="H555" s="55" t="s">
        <v>360</v>
      </c>
      <c r="I555" s="55" t="s">
        <v>360</v>
      </c>
      <c r="J555" s="55" t="s">
        <v>360</v>
      </c>
      <c r="K555" s="55" t="s">
        <v>360</v>
      </c>
      <c r="L555" s="55" t="s">
        <v>360</v>
      </c>
      <c r="M555" s="55" t="s">
        <v>150</v>
      </c>
      <c r="N555" s="55" t="s">
        <v>150</v>
      </c>
      <c r="O555" s="55" t="s">
        <v>156</v>
      </c>
      <c r="P555" s="55" t="s">
        <v>1277</v>
      </c>
      <c r="Q555" s="55" t="s">
        <v>380</v>
      </c>
      <c r="R555" s="55">
        <v>5</v>
      </c>
      <c r="S555" s="55"/>
      <c r="T555" s="55" t="s">
        <v>1278</v>
      </c>
    </row>
    <row r="556" spans="1:20" ht="13" x14ac:dyDescent="0.15">
      <c r="A556" s="72" t="str">
        <f t="shared" si="8"/>
        <v>Ofsted Social Care Provider Webpage</v>
      </c>
      <c r="B556" s="55">
        <v>1277479</v>
      </c>
      <c r="D556" s="55" t="s">
        <v>373</v>
      </c>
      <c r="E556" s="74">
        <v>43285</v>
      </c>
      <c r="F556" s="55" t="s">
        <v>344</v>
      </c>
      <c r="G556" s="55" t="s">
        <v>360</v>
      </c>
      <c r="H556" s="55" t="s">
        <v>360</v>
      </c>
      <c r="I556" s="55" t="s">
        <v>360</v>
      </c>
      <c r="J556" s="55" t="s">
        <v>360</v>
      </c>
      <c r="K556" s="55" t="s">
        <v>360</v>
      </c>
      <c r="L556" s="55" t="s">
        <v>360</v>
      </c>
      <c r="M556" s="55" t="s">
        <v>172</v>
      </c>
      <c r="N556" s="55" t="s">
        <v>172</v>
      </c>
      <c r="O556" s="55" t="s">
        <v>228</v>
      </c>
      <c r="P556" s="55" t="s">
        <v>459</v>
      </c>
      <c r="Q556" s="55" t="s">
        <v>350</v>
      </c>
      <c r="R556" s="55">
        <v>2</v>
      </c>
      <c r="S556" s="55"/>
      <c r="T556" s="55" t="s">
        <v>904</v>
      </c>
    </row>
    <row r="557" spans="1:20" ht="13" x14ac:dyDescent="0.15">
      <c r="A557" s="72" t="str">
        <f t="shared" si="8"/>
        <v>Ofsted Social Care Provider Webpage</v>
      </c>
      <c r="B557" s="55">
        <v>1277497</v>
      </c>
      <c r="D557" s="55" t="s">
        <v>373</v>
      </c>
      <c r="E557" s="74">
        <v>43266</v>
      </c>
      <c r="F557" s="55" t="s">
        <v>344</v>
      </c>
      <c r="G557" s="55" t="s">
        <v>360</v>
      </c>
      <c r="H557" s="55" t="s">
        <v>360</v>
      </c>
      <c r="I557" s="55" t="s">
        <v>360</v>
      </c>
      <c r="J557" s="55" t="s">
        <v>360</v>
      </c>
      <c r="K557" s="55" t="s">
        <v>360</v>
      </c>
      <c r="L557" s="55" t="s">
        <v>360</v>
      </c>
      <c r="M557" s="55" t="s">
        <v>144</v>
      </c>
      <c r="N557" s="55" t="s">
        <v>144</v>
      </c>
      <c r="O557" s="55" t="s">
        <v>209</v>
      </c>
      <c r="P557" s="55" t="s">
        <v>364</v>
      </c>
      <c r="Q557" s="55" t="s">
        <v>350</v>
      </c>
      <c r="R557" s="55">
        <v>4</v>
      </c>
      <c r="S557" s="55"/>
      <c r="T557" s="55" t="s">
        <v>1279</v>
      </c>
    </row>
    <row r="558" spans="1:20" ht="13" x14ac:dyDescent="0.15">
      <c r="A558" s="72" t="str">
        <f t="shared" si="8"/>
        <v>Ofsted Social Care Provider Webpage</v>
      </c>
      <c r="B558" s="55">
        <v>1277552</v>
      </c>
      <c r="D558" s="55" t="s">
        <v>373</v>
      </c>
      <c r="E558" s="74">
        <v>43264</v>
      </c>
      <c r="F558" s="55" t="s">
        <v>344</v>
      </c>
      <c r="G558" s="55" t="s">
        <v>360</v>
      </c>
      <c r="H558" s="55" t="s">
        <v>360</v>
      </c>
      <c r="I558" s="55" t="s">
        <v>360</v>
      </c>
      <c r="J558" s="55" t="s">
        <v>360</v>
      </c>
      <c r="K558" s="55" t="s">
        <v>360</v>
      </c>
      <c r="L558" s="55" t="s">
        <v>360</v>
      </c>
      <c r="M558" s="55" t="s">
        <v>142</v>
      </c>
      <c r="N558" s="55" t="s">
        <v>142</v>
      </c>
      <c r="O558" s="55" t="s">
        <v>293</v>
      </c>
      <c r="P558" s="55" t="s">
        <v>1280</v>
      </c>
      <c r="Q558" s="55" t="s">
        <v>350</v>
      </c>
      <c r="R558" s="55">
        <v>2</v>
      </c>
      <c r="S558" s="55"/>
      <c r="T558" s="55" t="s">
        <v>1281</v>
      </c>
    </row>
    <row r="559" spans="1:20" ht="13" x14ac:dyDescent="0.15">
      <c r="A559" s="72" t="str">
        <f t="shared" si="8"/>
        <v>Ofsted Social Care Provider Webpage</v>
      </c>
      <c r="B559" s="55">
        <v>1277584</v>
      </c>
      <c r="D559" s="55" t="s">
        <v>373</v>
      </c>
      <c r="E559" s="74">
        <v>43241</v>
      </c>
      <c r="F559" s="55" t="s">
        <v>344</v>
      </c>
      <c r="G559" s="55" t="s">
        <v>360</v>
      </c>
      <c r="H559" s="55" t="s">
        <v>360</v>
      </c>
      <c r="I559" s="55" t="s">
        <v>360</v>
      </c>
      <c r="J559" s="55" t="s">
        <v>360</v>
      </c>
      <c r="K559" s="55" t="s">
        <v>360</v>
      </c>
      <c r="L559" s="55" t="s">
        <v>360</v>
      </c>
      <c r="M559" s="55" t="s">
        <v>136</v>
      </c>
      <c r="N559" s="55" t="s">
        <v>136</v>
      </c>
      <c r="O559" s="55" t="s">
        <v>255</v>
      </c>
      <c r="P559" s="55" t="s">
        <v>583</v>
      </c>
      <c r="Q559" s="55" t="s">
        <v>350</v>
      </c>
      <c r="R559" s="55">
        <v>3</v>
      </c>
      <c r="S559" s="55"/>
      <c r="T559" s="55" t="s">
        <v>1282</v>
      </c>
    </row>
    <row r="560" spans="1:20" ht="13" x14ac:dyDescent="0.15">
      <c r="A560" s="72" t="str">
        <f t="shared" si="8"/>
        <v>Ofsted Social Care Provider Webpage</v>
      </c>
      <c r="B560" s="55">
        <v>1277596</v>
      </c>
      <c r="D560" s="55" t="s">
        <v>389</v>
      </c>
      <c r="E560" s="74">
        <v>43385</v>
      </c>
      <c r="F560" s="55" t="s">
        <v>344</v>
      </c>
      <c r="G560" s="55" t="s">
        <v>1283</v>
      </c>
      <c r="H560" s="55" t="s">
        <v>1284</v>
      </c>
      <c r="I560" s="55" t="s">
        <v>1285</v>
      </c>
      <c r="J560" s="55" t="s">
        <v>198</v>
      </c>
      <c r="L560" s="55" t="s">
        <v>1286</v>
      </c>
      <c r="M560" s="55" t="s">
        <v>129</v>
      </c>
      <c r="N560" s="55" t="s">
        <v>129</v>
      </c>
      <c r="O560" s="55" t="s">
        <v>198</v>
      </c>
      <c r="P560" s="55" t="s">
        <v>1287</v>
      </c>
      <c r="Q560" s="55" t="s">
        <v>350</v>
      </c>
      <c r="R560" s="55"/>
      <c r="S560" s="55"/>
      <c r="T560" s="55" t="s">
        <v>1288</v>
      </c>
    </row>
    <row r="561" spans="1:20" ht="13" x14ac:dyDescent="0.15">
      <c r="A561" s="72" t="str">
        <f t="shared" si="8"/>
        <v>Ofsted Social Care Provider Webpage</v>
      </c>
      <c r="B561" s="55">
        <v>1277656</v>
      </c>
      <c r="D561" s="55" t="s">
        <v>373</v>
      </c>
      <c r="E561" s="74">
        <v>43360</v>
      </c>
      <c r="F561" s="55" t="s">
        <v>344</v>
      </c>
      <c r="G561" s="55" t="s">
        <v>360</v>
      </c>
      <c r="H561" s="55" t="s">
        <v>360</v>
      </c>
      <c r="I561" s="55" t="s">
        <v>360</v>
      </c>
      <c r="J561" s="55" t="s">
        <v>360</v>
      </c>
      <c r="K561" s="55" t="s">
        <v>360</v>
      </c>
      <c r="L561" s="55" t="s">
        <v>360</v>
      </c>
      <c r="M561" s="55" t="s">
        <v>144</v>
      </c>
      <c r="N561" s="55" t="s">
        <v>144</v>
      </c>
      <c r="O561" s="55" t="s">
        <v>261</v>
      </c>
      <c r="P561" s="55" t="s">
        <v>792</v>
      </c>
      <c r="Q561" s="55" t="s">
        <v>350</v>
      </c>
      <c r="R561" s="55">
        <v>3</v>
      </c>
      <c r="S561" s="55"/>
      <c r="T561" s="55" t="s">
        <v>1289</v>
      </c>
    </row>
    <row r="562" spans="1:20" ht="13" x14ac:dyDescent="0.15">
      <c r="A562" s="72" t="str">
        <f t="shared" si="8"/>
        <v>Ofsted Social Care Provider Webpage</v>
      </c>
      <c r="B562" s="55">
        <v>1277726</v>
      </c>
      <c r="D562" s="55" t="s">
        <v>373</v>
      </c>
      <c r="E562" s="74">
        <v>43276</v>
      </c>
      <c r="F562" s="55" t="s">
        <v>344</v>
      </c>
      <c r="G562" s="55" t="s">
        <v>360</v>
      </c>
      <c r="H562" s="55" t="s">
        <v>360</v>
      </c>
      <c r="I562" s="55" t="s">
        <v>360</v>
      </c>
      <c r="J562" s="55" t="s">
        <v>360</v>
      </c>
      <c r="K562" s="55" t="s">
        <v>360</v>
      </c>
      <c r="L562" s="55" t="s">
        <v>360</v>
      </c>
      <c r="M562" s="55" t="s">
        <v>172</v>
      </c>
      <c r="N562" s="55" t="s">
        <v>172</v>
      </c>
      <c r="O562" s="55" t="s">
        <v>235</v>
      </c>
      <c r="P562" s="55" t="s">
        <v>628</v>
      </c>
      <c r="Q562" s="55" t="s">
        <v>350</v>
      </c>
      <c r="R562" s="55">
        <v>6</v>
      </c>
      <c r="S562" s="55"/>
      <c r="T562" s="55" t="s">
        <v>1290</v>
      </c>
    </row>
    <row r="563" spans="1:20" ht="13" x14ac:dyDescent="0.15">
      <c r="A563" s="72" t="str">
        <f t="shared" si="8"/>
        <v>Ofsted Social Care Provider Webpage</v>
      </c>
      <c r="B563" s="55">
        <v>1277734</v>
      </c>
      <c r="D563" s="55" t="s">
        <v>373</v>
      </c>
      <c r="E563" s="74">
        <v>43626</v>
      </c>
      <c r="F563" s="55" t="s">
        <v>344</v>
      </c>
      <c r="G563" s="55" t="s">
        <v>360</v>
      </c>
      <c r="H563" s="55" t="s">
        <v>360</v>
      </c>
      <c r="I563" s="55" t="s">
        <v>360</v>
      </c>
      <c r="J563" s="55" t="s">
        <v>360</v>
      </c>
      <c r="K563" s="55" t="s">
        <v>360</v>
      </c>
      <c r="L563" s="55" t="s">
        <v>360</v>
      </c>
      <c r="M563" s="55" t="s">
        <v>142</v>
      </c>
      <c r="N563" s="55" t="s">
        <v>142</v>
      </c>
      <c r="O563" s="55" t="s">
        <v>272</v>
      </c>
      <c r="P563" s="55" t="s">
        <v>1291</v>
      </c>
      <c r="Q563" s="55" t="s">
        <v>350</v>
      </c>
      <c r="R563" s="55">
        <v>3</v>
      </c>
      <c r="S563" s="55"/>
      <c r="T563" s="55" t="s">
        <v>489</v>
      </c>
    </row>
    <row r="564" spans="1:20" ht="13" x14ac:dyDescent="0.15">
      <c r="A564" s="72" t="str">
        <f t="shared" si="8"/>
        <v>Ofsted Social Care Provider Webpage</v>
      </c>
      <c r="B564" s="55">
        <v>1277861</v>
      </c>
      <c r="D564" s="55" t="s">
        <v>373</v>
      </c>
      <c r="E564" s="74">
        <v>43257</v>
      </c>
      <c r="F564" s="55" t="s">
        <v>344</v>
      </c>
      <c r="G564" s="55" t="s">
        <v>360</v>
      </c>
      <c r="H564" s="55" t="s">
        <v>360</v>
      </c>
      <c r="I564" s="55" t="s">
        <v>360</v>
      </c>
      <c r="J564" s="55" t="s">
        <v>360</v>
      </c>
      <c r="K564" s="55" t="s">
        <v>360</v>
      </c>
      <c r="L564" s="55" t="s">
        <v>360</v>
      </c>
      <c r="M564" s="55" t="s">
        <v>136</v>
      </c>
      <c r="N564" s="55" t="s">
        <v>136</v>
      </c>
      <c r="O564" s="55" t="s">
        <v>185</v>
      </c>
      <c r="P564" s="55" t="s">
        <v>1292</v>
      </c>
      <c r="Q564" s="55" t="s">
        <v>350</v>
      </c>
      <c r="R564" s="55">
        <v>5</v>
      </c>
      <c r="S564" s="55"/>
      <c r="T564" s="55" t="s">
        <v>1293</v>
      </c>
    </row>
    <row r="565" spans="1:20" ht="13" x14ac:dyDescent="0.15">
      <c r="A565" s="72" t="str">
        <f t="shared" si="8"/>
        <v>Ofsted Social Care Provider Webpage</v>
      </c>
      <c r="B565" s="55">
        <v>1278017</v>
      </c>
      <c r="D565" s="55" t="s">
        <v>373</v>
      </c>
      <c r="E565" s="74">
        <v>43406</v>
      </c>
      <c r="F565" s="55" t="s">
        <v>344</v>
      </c>
      <c r="G565" s="55" t="s">
        <v>360</v>
      </c>
      <c r="H565" s="55" t="s">
        <v>360</v>
      </c>
      <c r="I565" s="55" t="s">
        <v>360</v>
      </c>
      <c r="J565" s="55" t="s">
        <v>360</v>
      </c>
      <c r="K565" s="55" t="s">
        <v>360</v>
      </c>
      <c r="L565" s="55" t="s">
        <v>360</v>
      </c>
      <c r="M565" s="55" t="s">
        <v>138</v>
      </c>
      <c r="N565" s="55" t="s">
        <v>138</v>
      </c>
      <c r="O565" s="55" t="s">
        <v>224</v>
      </c>
      <c r="P565" s="55" t="s">
        <v>1294</v>
      </c>
      <c r="Q565" s="55" t="s">
        <v>350</v>
      </c>
      <c r="R565" s="55">
        <v>8</v>
      </c>
      <c r="S565" s="55"/>
      <c r="T565" s="55" t="s">
        <v>450</v>
      </c>
    </row>
    <row r="566" spans="1:20" ht="13" x14ac:dyDescent="0.15">
      <c r="A566" s="72" t="str">
        <f t="shared" si="8"/>
        <v>Ofsted Social Care Provider Webpage</v>
      </c>
      <c r="B566" s="55">
        <v>1278020</v>
      </c>
      <c r="D566" s="55" t="s">
        <v>373</v>
      </c>
      <c r="E566" s="74">
        <v>43291</v>
      </c>
      <c r="F566" s="55" t="s">
        <v>344</v>
      </c>
      <c r="G566" s="55" t="s">
        <v>360</v>
      </c>
      <c r="H566" s="55" t="s">
        <v>360</v>
      </c>
      <c r="I566" s="55" t="s">
        <v>360</v>
      </c>
      <c r="J566" s="55" t="s">
        <v>360</v>
      </c>
      <c r="K566" s="55" t="s">
        <v>360</v>
      </c>
      <c r="L566" s="55" t="s">
        <v>360</v>
      </c>
      <c r="M566" s="55" t="s">
        <v>136</v>
      </c>
      <c r="N566" s="55" t="s">
        <v>136</v>
      </c>
      <c r="O566" s="55" t="s">
        <v>174</v>
      </c>
      <c r="P566" s="55" t="s">
        <v>1010</v>
      </c>
      <c r="Q566" s="55" t="s">
        <v>350</v>
      </c>
      <c r="R566" s="55">
        <v>3</v>
      </c>
      <c r="S566" s="55"/>
      <c r="T566" s="55" t="s">
        <v>1295</v>
      </c>
    </row>
    <row r="567" spans="1:20" ht="13" x14ac:dyDescent="0.15">
      <c r="A567" s="72" t="str">
        <f t="shared" si="8"/>
        <v>Ofsted Social Care Provider Webpage</v>
      </c>
      <c r="B567" s="55">
        <v>1278022</v>
      </c>
      <c r="D567" s="55" t="s">
        <v>373</v>
      </c>
      <c r="E567" s="74">
        <v>43238</v>
      </c>
      <c r="F567" s="55" t="s">
        <v>344</v>
      </c>
      <c r="G567" s="55" t="s">
        <v>360</v>
      </c>
      <c r="H567" s="55" t="s">
        <v>360</v>
      </c>
      <c r="I567" s="55" t="s">
        <v>360</v>
      </c>
      <c r="J567" s="55" t="s">
        <v>360</v>
      </c>
      <c r="K567" s="55" t="s">
        <v>360</v>
      </c>
      <c r="L567" s="55" t="s">
        <v>360</v>
      </c>
      <c r="M567" s="55" t="s">
        <v>144</v>
      </c>
      <c r="N567" s="55" t="s">
        <v>144</v>
      </c>
      <c r="O567" s="55" t="s">
        <v>250</v>
      </c>
      <c r="P567" s="55" t="s">
        <v>361</v>
      </c>
      <c r="Q567" s="55" t="s">
        <v>350</v>
      </c>
      <c r="R567" s="55">
        <v>2</v>
      </c>
      <c r="S567" s="55"/>
      <c r="T567" s="55" t="s">
        <v>1296</v>
      </c>
    </row>
    <row r="568" spans="1:20" ht="13" x14ac:dyDescent="0.15">
      <c r="A568" s="72" t="str">
        <f t="shared" si="8"/>
        <v>Ofsted Social Care Provider Webpage</v>
      </c>
      <c r="B568" s="55">
        <v>1278217</v>
      </c>
      <c r="D568" s="55" t="s">
        <v>373</v>
      </c>
      <c r="E568" s="74">
        <v>43453</v>
      </c>
      <c r="F568" s="55" t="s">
        <v>344</v>
      </c>
      <c r="G568" s="55" t="s">
        <v>360</v>
      </c>
      <c r="H568" s="55" t="s">
        <v>360</v>
      </c>
      <c r="I568" s="55" t="s">
        <v>360</v>
      </c>
      <c r="J568" s="55" t="s">
        <v>360</v>
      </c>
      <c r="K568" s="55" t="s">
        <v>360</v>
      </c>
      <c r="L568" s="55" t="s">
        <v>360</v>
      </c>
      <c r="M568" s="55" t="s">
        <v>378</v>
      </c>
      <c r="N568" s="55" t="s">
        <v>170</v>
      </c>
      <c r="O568" s="55" t="s">
        <v>193</v>
      </c>
      <c r="P568" s="55" t="s">
        <v>193</v>
      </c>
      <c r="Q568" s="55" t="s">
        <v>350</v>
      </c>
      <c r="R568" s="55">
        <v>2</v>
      </c>
      <c r="S568" s="55"/>
      <c r="T568" s="55" t="s">
        <v>1297</v>
      </c>
    </row>
    <row r="569" spans="1:20" ht="13" x14ac:dyDescent="0.15">
      <c r="A569" s="72" t="str">
        <f t="shared" si="8"/>
        <v>Ofsted Social Care Provider Webpage</v>
      </c>
      <c r="B569" s="55">
        <v>1278368</v>
      </c>
      <c r="D569" s="55" t="s">
        <v>451</v>
      </c>
      <c r="E569" s="74">
        <v>43313</v>
      </c>
      <c r="F569" s="55" t="s">
        <v>344</v>
      </c>
      <c r="G569" s="55" t="s">
        <v>1298</v>
      </c>
      <c r="H569" s="55" t="s">
        <v>1299</v>
      </c>
      <c r="I569" s="55" t="s">
        <v>354</v>
      </c>
      <c r="J569" s="55" t="s">
        <v>759</v>
      </c>
      <c r="K569" s="55" t="s">
        <v>209</v>
      </c>
      <c r="L569" s="55" t="s">
        <v>1300</v>
      </c>
      <c r="M569" s="55" t="s">
        <v>144</v>
      </c>
      <c r="N569" s="55" t="s">
        <v>144</v>
      </c>
      <c r="O569" s="55" t="s">
        <v>250</v>
      </c>
      <c r="P569" s="55" t="s">
        <v>759</v>
      </c>
      <c r="Q569" s="55" t="s">
        <v>350</v>
      </c>
      <c r="R569" s="55">
        <v>4</v>
      </c>
      <c r="S569" s="55"/>
      <c r="T569" s="55" t="s">
        <v>786</v>
      </c>
    </row>
    <row r="570" spans="1:20" ht="13" x14ac:dyDescent="0.15">
      <c r="A570" s="72" t="str">
        <f t="shared" si="8"/>
        <v>Ofsted Social Care Provider Webpage</v>
      </c>
      <c r="B570" s="55">
        <v>1278421</v>
      </c>
      <c r="D570" s="55" t="s">
        <v>373</v>
      </c>
      <c r="E570" s="74">
        <v>43349</v>
      </c>
      <c r="F570" s="55" t="s">
        <v>344</v>
      </c>
      <c r="G570" s="55" t="s">
        <v>360</v>
      </c>
      <c r="H570" s="55" t="s">
        <v>360</v>
      </c>
      <c r="I570" s="55" t="s">
        <v>360</v>
      </c>
      <c r="J570" s="55" t="s">
        <v>360</v>
      </c>
      <c r="K570" s="55" t="s">
        <v>360</v>
      </c>
      <c r="L570" s="55" t="s">
        <v>360</v>
      </c>
      <c r="M570" s="55" t="s">
        <v>142</v>
      </c>
      <c r="N570" s="55" t="s">
        <v>142</v>
      </c>
      <c r="O570" s="55" t="s">
        <v>141</v>
      </c>
      <c r="P570" s="55" t="s">
        <v>1231</v>
      </c>
      <c r="Q570" s="55" t="s">
        <v>350</v>
      </c>
      <c r="R570" s="55">
        <v>4</v>
      </c>
      <c r="S570" s="55"/>
      <c r="T570" s="55" t="s">
        <v>960</v>
      </c>
    </row>
    <row r="571" spans="1:20" ht="13" x14ac:dyDescent="0.15">
      <c r="A571" s="72" t="str">
        <f t="shared" si="8"/>
        <v>Ofsted Social Care Provider Webpage</v>
      </c>
      <c r="B571" s="55">
        <v>1278708</v>
      </c>
      <c r="D571" s="55" t="s">
        <v>373</v>
      </c>
      <c r="E571" s="74">
        <v>43308</v>
      </c>
      <c r="F571" s="55" t="s">
        <v>344</v>
      </c>
      <c r="G571" s="55" t="s">
        <v>360</v>
      </c>
      <c r="H571" s="55" t="s">
        <v>360</v>
      </c>
      <c r="I571" s="55" t="s">
        <v>360</v>
      </c>
      <c r="J571" s="55" t="s">
        <v>360</v>
      </c>
      <c r="K571" s="55" t="s">
        <v>360</v>
      </c>
      <c r="L571" s="55" t="s">
        <v>360</v>
      </c>
      <c r="M571" s="55" t="s">
        <v>172</v>
      </c>
      <c r="N571" s="55" t="s">
        <v>172</v>
      </c>
      <c r="O571" s="55" t="s">
        <v>228</v>
      </c>
      <c r="P571" s="55" t="s">
        <v>459</v>
      </c>
      <c r="Q571" s="55" t="s">
        <v>350</v>
      </c>
      <c r="R571" s="55">
        <v>1</v>
      </c>
      <c r="S571" s="55"/>
      <c r="T571" s="55" t="s">
        <v>962</v>
      </c>
    </row>
    <row r="572" spans="1:20" ht="13" x14ac:dyDescent="0.15">
      <c r="A572" s="72" t="str">
        <f t="shared" si="8"/>
        <v>Ofsted Social Care Provider Webpage</v>
      </c>
      <c r="B572" s="55">
        <v>1278753</v>
      </c>
      <c r="D572" s="55" t="s">
        <v>373</v>
      </c>
      <c r="E572" s="74">
        <v>43349</v>
      </c>
      <c r="F572" s="55" t="s">
        <v>344</v>
      </c>
      <c r="G572" s="55" t="s">
        <v>360</v>
      </c>
      <c r="H572" s="55" t="s">
        <v>360</v>
      </c>
      <c r="I572" s="55" t="s">
        <v>360</v>
      </c>
      <c r="J572" s="55" t="s">
        <v>360</v>
      </c>
      <c r="K572" s="55" t="s">
        <v>360</v>
      </c>
      <c r="L572" s="55" t="s">
        <v>360</v>
      </c>
      <c r="M572" s="55" t="s">
        <v>144</v>
      </c>
      <c r="N572" s="55" t="s">
        <v>144</v>
      </c>
      <c r="O572" s="55" t="s">
        <v>236</v>
      </c>
      <c r="P572" s="55" t="s">
        <v>996</v>
      </c>
      <c r="Q572" s="55" t="s">
        <v>350</v>
      </c>
      <c r="R572" s="55">
        <v>3</v>
      </c>
      <c r="S572" s="55"/>
      <c r="T572" s="55" t="s">
        <v>1064</v>
      </c>
    </row>
    <row r="573" spans="1:20" ht="13" x14ac:dyDescent="0.15">
      <c r="A573" s="72" t="str">
        <f t="shared" si="8"/>
        <v>Ofsted Social Care Provider Webpage</v>
      </c>
      <c r="B573" s="55">
        <v>1278806</v>
      </c>
      <c r="D573" s="55" t="s">
        <v>373</v>
      </c>
      <c r="E573" s="74">
        <v>43349</v>
      </c>
      <c r="F573" s="55" t="s">
        <v>344</v>
      </c>
      <c r="G573" s="55" t="s">
        <v>360</v>
      </c>
      <c r="H573" s="55" t="s">
        <v>360</v>
      </c>
      <c r="I573" s="55" t="s">
        <v>360</v>
      </c>
      <c r="J573" s="55" t="s">
        <v>360</v>
      </c>
      <c r="K573" s="55" t="s">
        <v>360</v>
      </c>
      <c r="L573" s="55" t="s">
        <v>360</v>
      </c>
      <c r="M573" s="55" t="s">
        <v>142</v>
      </c>
      <c r="N573" s="55" t="s">
        <v>142</v>
      </c>
      <c r="O573" s="55" t="s">
        <v>166</v>
      </c>
      <c r="P573" s="55" t="s">
        <v>1301</v>
      </c>
      <c r="Q573" s="55" t="s">
        <v>380</v>
      </c>
      <c r="R573" s="55">
        <v>4</v>
      </c>
      <c r="S573" s="55"/>
      <c r="T573" s="55" t="s">
        <v>1302</v>
      </c>
    </row>
    <row r="574" spans="1:20" ht="13" x14ac:dyDescent="0.15">
      <c r="A574" s="72" t="str">
        <f t="shared" si="8"/>
        <v>Ofsted Social Care Provider Webpage</v>
      </c>
      <c r="B574" s="55">
        <v>1278873</v>
      </c>
      <c r="D574" s="55" t="s">
        <v>373</v>
      </c>
      <c r="E574" s="74">
        <v>43367</v>
      </c>
      <c r="F574" s="55" t="s">
        <v>344</v>
      </c>
      <c r="G574" s="55" t="s">
        <v>360</v>
      </c>
      <c r="H574" s="55" t="s">
        <v>360</v>
      </c>
      <c r="I574" s="55" t="s">
        <v>360</v>
      </c>
      <c r="J574" s="55" t="s">
        <v>360</v>
      </c>
      <c r="K574" s="55" t="s">
        <v>360</v>
      </c>
      <c r="L574" s="55" t="s">
        <v>360</v>
      </c>
      <c r="M574" s="55" t="s">
        <v>138</v>
      </c>
      <c r="N574" s="55" t="s">
        <v>138</v>
      </c>
      <c r="O574" s="55" t="s">
        <v>183</v>
      </c>
      <c r="P574" s="55" t="s">
        <v>664</v>
      </c>
      <c r="Q574" s="55" t="s">
        <v>350</v>
      </c>
      <c r="R574" s="55">
        <v>6</v>
      </c>
      <c r="S574" s="55"/>
      <c r="T574" s="55" t="s">
        <v>1303</v>
      </c>
    </row>
    <row r="575" spans="1:20" ht="13" x14ac:dyDescent="0.15">
      <c r="A575" s="72" t="str">
        <f t="shared" si="8"/>
        <v>Ofsted Social Care Provider Webpage</v>
      </c>
      <c r="B575" s="55">
        <v>1278959</v>
      </c>
      <c r="D575" s="55" t="s">
        <v>373</v>
      </c>
      <c r="E575" s="74">
        <v>43235</v>
      </c>
      <c r="F575" s="55" t="s">
        <v>344</v>
      </c>
      <c r="G575" s="55" t="s">
        <v>360</v>
      </c>
      <c r="H575" s="55" t="s">
        <v>360</v>
      </c>
      <c r="I575" s="55" t="s">
        <v>360</v>
      </c>
      <c r="J575" s="55" t="s">
        <v>360</v>
      </c>
      <c r="K575" s="55" t="s">
        <v>360</v>
      </c>
      <c r="L575" s="55" t="s">
        <v>360</v>
      </c>
      <c r="M575" s="55" t="s">
        <v>129</v>
      </c>
      <c r="N575" s="55" t="s">
        <v>129</v>
      </c>
      <c r="O575" s="55" t="s">
        <v>152</v>
      </c>
      <c r="P575" s="55" t="s">
        <v>1130</v>
      </c>
      <c r="Q575" s="55" t="s">
        <v>350</v>
      </c>
      <c r="R575" s="55">
        <v>3</v>
      </c>
      <c r="S575" s="55"/>
      <c r="T575" s="55" t="s">
        <v>1304</v>
      </c>
    </row>
    <row r="576" spans="1:20" ht="13" x14ac:dyDescent="0.15">
      <c r="A576" s="72" t="str">
        <f t="shared" si="8"/>
        <v>Ofsted Social Care Provider Webpage</v>
      </c>
      <c r="B576" s="55">
        <v>1278966</v>
      </c>
      <c r="D576" s="55" t="s">
        <v>479</v>
      </c>
      <c r="E576" s="74">
        <v>43332</v>
      </c>
      <c r="F576" s="55" t="s">
        <v>344</v>
      </c>
      <c r="G576" s="55" t="s">
        <v>360</v>
      </c>
      <c r="H576" s="55" t="s">
        <v>360</v>
      </c>
      <c r="I576" s="55" t="s">
        <v>360</v>
      </c>
      <c r="J576" s="55" t="s">
        <v>360</v>
      </c>
      <c r="K576" s="55" t="s">
        <v>360</v>
      </c>
      <c r="L576" s="55" t="s">
        <v>360</v>
      </c>
      <c r="M576" s="55" t="s">
        <v>172</v>
      </c>
      <c r="N576" s="55" t="s">
        <v>172</v>
      </c>
      <c r="O576" s="55" t="s">
        <v>173</v>
      </c>
      <c r="P576" s="55" t="s">
        <v>1305</v>
      </c>
      <c r="Q576" s="55" t="s">
        <v>350</v>
      </c>
      <c r="R576" s="55">
        <v>6</v>
      </c>
      <c r="S576" s="55"/>
      <c r="T576" s="55" t="s">
        <v>1306</v>
      </c>
    </row>
    <row r="577" spans="1:20" ht="13" x14ac:dyDescent="0.15">
      <c r="A577" s="72" t="str">
        <f t="shared" si="8"/>
        <v>Ofsted Social Care Provider Webpage</v>
      </c>
      <c r="B577" s="55">
        <v>1278968</v>
      </c>
      <c r="D577" s="55" t="s">
        <v>373</v>
      </c>
      <c r="E577" s="74">
        <v>43322</v>
      </c>
      <c r="F577" s="55" t="s">
        <v>344</v>
      </c>
      <c r="G577" s="55" t="s">
        <v>360</v>
      </c>
      <c r="H577" s="55" t="s">
        <v>360</v>
      </c>
      <c r="I577" s="55" t="s">
        <v>360</v>
      </c>
      <c r="J577" s="55" t="s">
        <v>360</v>
      </c>
      <c r="K577" s="55" t="s">
        <v>360</v>
      </c>
      <c r="L577" s="55" t="s">
        <v>360</v>
      </c>
      <c r="M577" s="55" t="s">
        <v>144</v>
      </c>
      <c r="N577" s="55" t="s">
        <v>144</v>
      </c>
      <c r="O577" s="55" t="s">
        <v>209</v>
      </c>
      <c r="P577" s="55" t="s">
        <v>364</v>
      </c>
      <c r="Q577" s="55" t="s">
        <v>380</v>
      </c>
      <c r="R577" s="55">
        <v>4</v>
      </c>
      <c r="S577" s="55"/>
      <c r="T577" s="55" t="s">
        <v>657</v>
      </c>
    </row>
    <row r="578" spans="1:20" ht="13" x14ac:dyDescent="0.15">
      <c r="A578" s="72" t="str">
        <f t="shared" si="8"/>
        <v>Ofsted Social Care Provider Webpage</v>
      </c>
      <c r="B578" s="55">
        <v>1280210</v>
      </c>
      <c r="D578" s="55" t="s">
        <v>373</v>
      </c>
      <c r="E578" s="74">
        <v>43314</v>
      </c>
      <c r="F578" s="55" t="s">
        <v>344</v>
      </c>
      <c r="G578" s="55" t="s">
        <v>360</v>
      </c>
      <c r="H578" s="55" t="s">
        <v>360</v>
      </c>
      <c r="I578" s="55" t="s">
        <v>360</v>
      </c>
      <c r="J578" s="55" t="s">
        <v>360</v>
      </c>
      <c r="K578" s="55" t="s">
        <v>360</v>
      </c>
      <c r="L578" s="55" t="s">
        <v>360</v>
      </c>
      <c r="M578" s="55" t="s">
        <v>142</v>
      </c>
      <c r="N578" s="55" t="s">
        <v>142</v>
      </c>
      <c r="O578" s="55" t="s">
        <v>262</v>
      </c>
      <c r="P578" s="55" t="s">
        <v>488</v>
      </c>
      <c r="Q578" s="55" t="s">
        <v>350</v>
      </c>
      <c r="R578" s="55">
        <v>2</v>
      </c>
      <c r="S578" s="55"/>
      <c r="T578" s="55" t="s">
        <v>1307</v>
      </c>
    </row>
    <row r="579" spans="1:20" ht="13" x14ac:dyDescent="0.15">
      <c r="A579" s="72" t="str">
        <f t="shared" si="8"/>
        <v>Ofsted Social Care Provider Webpage</v>
      </c>
      <c r="B579" s="55">
        <v>1280297</v>
      </c>
      <c r="D579" s="55" t="s">
        <v>389</v>
      </c>
      <c r="E579" s="74">
        <v>43320</v>
      </c>
      <c r="F579" s="55" t="s">
        <v>344</v>
      </c>
      <c r="G579" s="55" t="s">
        <v>1308</v>
      </c>
      <c r="H579" s="55" t="s">
        <v>1308</v>
      </c>
      <c r="I579" s="55" t="s">
        <v>1309</v>
      </c>
      <c r="J579" s="55" t="s">
        <v>1310</v>
      </c>
      <c r="L579" s="55" t="s">
        <v>1311</v>
      </c>
      <c r="M579" s="55" t="s">
        <v>129</v>
      </c>
      <c r="N579" s="55" t="s">
        <v>129</v>
      </c>
      <c r="O579" s="55" t="s">
        <v>205</v>
      </c>
      <c r="P579" s="55" t="s">
        <v>1312</v>
      </c>
      <c r="Q579" s="55" t="s">
        <v>362</v>
      </c>
      <c r="R579" s="55"/>
      <c r="S579" s="55"/>
      <c r="T579" s="55" t="s">
        <v>1313</v>
      </c>
    </row>
    <row r="580" spans="1:20" ht="13" x14ac:dyDescent="0.15">
      <c r="A580" s="72" t="str">
        <f t="shared" si="8"/>
        <v>Ofsted Social Care Provider Webpage</v>
      </c>
      <c r="B580" s="55">
        <v>1280370</v>
      </c>
      <c r="D580" s="55" t="s">
        <v>373</v>
      </c>
      <c r="E580" s="74">
        <v>43297</v>
      </c>
      <c r="F580" s="55" t="s">
        <v>344</v>
      </c>
      <c r="G580" s="55" t="s">
        <v>360</v>
      </c>
      <c r="H580" s="55" t="s">
        <v>360</v>
      </c>
      <c r="I580" s="55" t="s">
        <v>360</v>
      </c>
      <c r="J580" s="55" t="s">
        <v>360</v>
      </c>
      <c r="K580" s="55" t="s">
        <v>360</v>
      </c>
      <c r="L580" s="55" t="s">
        <v>360</v>
      </c>
      <c r="M580" s="55" t="s">
        <v>144</v>
      </c>
      <c r="N580" s="55" t="s">
        <v>144</v>
      </c>
      <c r="O580" s="55" t="s">
        <v>236</v>
      </c>
      <c r="P580" s="55" t="s">
        <v>996</v>
      </c>
      <c r="Q580" s="55" t="s">
        <v>350</v>
      </c>
      <c r="R580" s="55">
        <v>2</v>
      </c>
      <c r="S580" s="55"/>
      <c r="T580" s="55" t="s">
        <v>711</v>
      </c>
    </row>
    <row r="581" spans="1:20" ht="13" x14ac:dyDescent="0.15">
      <c r="A581" s="72" t="str">
        <f t="shared" ref="A581:A644" si="9">HYPERLINK(_xlfn.CONCAT("http://reports.ofsted.gov.uk/inspection-reports/find-inspection-report/provider/CARE/",B581),"Ofsted Social Care Provider Webpage")</f>
        <v>Ofsted Social Care Provider Webpage</v>
      </c>
      <c r="B581" s="55">
        <v>1280371</v>
      </c>
      <c r="D581" s="55" t="s">
        <v>373</v>
      </c>
      <c r="E581" s="74">
        <v>43297</v>
      </c>
      <c r="F581" s="55" t="s">
        <v>344</v>
      </c>
      <c r="G581" s="55" t="s">
        <v>360</v>
      </c>
      <c r="H581" s="55" t="s">
        <v>360</v>
      </c>
      <c r="I581" s="55" t="s">
        <v>360</v>
      </c>
      <c r="J581" s="55" t="s">
        <v>360</v>
      </c>
      <c r="K581" s="55" t="s">
        <v>360</v>
      </c>
      <c r="L581" s="55" t="s">
        <v>360</v>
      </c>
      <c r="M581" s="55" t="s">
        <v>144</v>
      </c>
      <c r="N581" s="55" t="s">
        <v>144</v>
      </c>
      <c r="O581" s="55" t="s">
        <v>236</v>
      </c>
      <c r="P581" s="55" t="s">
        <v>996</v>
      </c>
      <c r="Q581" s="55" t="s">
        <v>350</v>
      </c>
      <c r="R581" s="55">
        <v>2</v>
      </c>
      <c r="S581" s="55"/>
      <c r="T581" s="55" t="s">
        <v>711</v>
      </c>
    </row>
    <row r="582" spans="1:20" ht="13" x14ac:dyDescent="0.15">
      <c r="A582" s="72" t="str">
        <f t="shared" si="9"/>
        <v>Ofsted Social Care Provider Webpage</v>
      </c>
      <c r="B582" s="55">
        <v>1280412</v>
      </c>
      <c r="D582" s="55" t="s">
        <v>373</v>
      </c>
      <c r="E582" s="74">
        <v>43276</v>
      </c>
      <c r="F582" s="55" t="s">
        <v>344</v>
      </c>
      <c r="G582" s="55" t="s">
        <v>360</v>
      </c>
      <c r="H582" s="55" t="s">
        <v>360</v>
      </c>
      <c r="I582" s="55" t="s">
        <v>360</v>
      </c>
      <c r="J582" s="55" t="s">
        <v>360</v>
      </c>
      <c r="K582" s="55" t="s">
        <v>360</v>
      </c>
      <c r="L582" s="55" t="s">
        <v>360</v>
      </c>
      <c r="M582" s="55" t="s">
        <v>144</v>
      </c>
      <c r="N582" s="55" t="s">
        <v>144</v>
      </c>
      <c r="O582" s="55" t="s">
        <v>287</v>
      </c>
      <c r="P582" s="55" t="s">
        <v>1103</v>
      </c>
      <c r="Q582" s="55" t="s">
        <v>350</v>
      </c>
      <c r="R582" s="55">
        <v>4</v>
      </c>
      <c r="S582" s="55"/>
      <c r="T582" s="55" t="s">
        <v>1100</v>
      </c>
    </row>
    <row r="583" spans="1:20" ht="13" x14ac:dyDescent="0.15">
      <c r="A583" s="72" t="str">
        <f t="shared" si="9"/>
        <v>Ofsted Social Care Provider Webpage</v>
      </c>
      <c r="B583" s="55">
        <v>1280478</v>
      </c>
      <c r="D583" s="55" t="s">
        <v>373</v>
      </c>
      <c r="E583" s="74">
        <v>43792</v>
      </c>
      <c r="F583" s="55" t="s">
        <v>344</v>
      </c>
      <c r="G583" s="55" t="s">
        <v>360</v>
      </c>
      <c r="H583" s="55" t="s">
        <v>360</v>
      </c>
      <c r="I583" s="55" t="s">
        <v>360</v>
      </c>
      <c r="J583" s="55" t="s">
        <v>360</v>
      </c>
      <c r="K583" s="55" t="s">
        <v>360</v>
      </c>
      <c r="L583" s="55" t="s">
        <v>360</v>
      </c>
      <c r="M583" s="55" t="s">
        <v>142</v>
      </c>
      <c r="N583" s="55" t="s">
        <v>142</v>
      </c>
      <c r="O583" s="55" t="s">
        <v>262</v>
      </c>
      <c r="P583" s="55" t="s">
        <v>850</v>
      </c>
      <c r="Q583" s="55" t="s">
        <v>350</v>
      </c>
      <c r="R583" s="55">
        <v>2</v>
      </c>
      <c r="S583" s="55"/>
      <c r="T583" s="55" t="s">
        <v>1216</v>
      </c>
    </row>
    <row r="584" spans="1:20" ht="13" x14ac:dyDescent="0.15">
      <c r="A584" s="72" t="str">
        <f t="shared" si="9"/>
        <v>Ofsted Social Care Provider Webpage</v>
      </c>
      <c r="B584" s="55">
        <v>1280530</v>
      </c>
      <c r="D584" s="55" t="s">
        <v>389</v>
      </c>
      <c r="E584" s="74">
        <v>43455</v>
      </c>
      <c r="F584" s="55" t="s">
        <v>344</v>
      </c>
      <c r="G584" s="55" t="s">
        <v>1314</v>
      </c>
      <c r="H584" s="55" t="s">
        <v>1315</v>
      </c>
      <c r="I584" s="55" t="s">
        <v>1316</v>
      </c>
      <c r="J584" s="55" t="s">
        <v>1147</v>
      </c>
      <c r="K584" s="55" t="s">
        <v>142</v>
      </c>
      <c r="L584" s="55" t="s">
        <v>1317</v>
      </c>
      <c r="M584" s="55" t="s">
        <v>142</v>
      </c>
      <c r="N584" s="55" t="s">
        <v>142</v>
      </c>
      <c r="O584" s="55" t="s">
        <v>249</v>
      </c>
      <c r="P584" s="55" t="s">
        <v>1318</v>
      </c>
      <c r="Q584" s="55" t="s">
        <v>350</v>
      </c>
      <c r="R584" s="55"/>
      <c r="S584" s="55"/>
      <c r="T584" s="55" t="s">
        <v>1314</v>
      </c>
    </row>
    <row r="585" spans="1:20" ht="13" x14ac:dyDescent="0.15">
      <c r="A585" s="72" t="str">
        <f t="shared" si="9"/>
        <v>Ofsted Social Care Provider Webpage</v>
      </c>
      <c r="B585" s="55">
        <v>1280578</v>
      </c>
      <c r="D585" s="55" t="s">
        <v>373</v>
      </c>
      <c r="E585" s="74">
        <v>43280</v>
      </c>
      <c r="F585" s="55" t="s">
        <v>344</v>
      </c>
      <c r="G585" s="55" t="s">
        <v>360</v>
      </c>
      <c r="H585" s="55" t="s">
        <v>360</v>
      </c>
      <c r="I585" s="55" t="s">
        <v>360</v>
      </c>
      <c r="J585" s="55" t="s">
        <v>360</v>
      </c>
      <c r="K585" s="55" t="s">
        <v>360</v>
      </c>
      <c r="L585" s="55" t="s">
        <v>360</v>
      </c>
      <c r="M585" s="55" t="s">
        <v>136</v>
      </c>
      <c r="N585" s="55" t="s">
        <v>136</v>
      </c>
      <c r="O585" s="55" t="s">
        <v>185</v>
      </c>
      <c r="P585" s="55" t="s">
        <v>898</v>
      </c>
      <c r="Q585" s="55" t="s">
        <v>350</v>
      </c>
      <c r="R585" s="55">
        <v>6</v>
      </c>
      <c r="S585" s="55"/>
      <c r="T585" s="55" t="s">
        <v>1319</v>
      </c>
    </row>
    <row r="586" spans="1:20" ht="13" x14ac:dyDescent="0.15">
      <c r="A586" s="72" t="str">
        <f t="shared" si="9"/>
        <v>Ofsted Social Care Provider Webpage</v>
      </c>
      <c r="B586" s="55">
        <v>1280623</v>
      </c>
      <c r="D586" s="55" t="s">
        <v>373</v>
      </c>
      <c r="E586" s="74">
        <v>43389</v>
      </c>
      <c r="F586" s="55" t="s">
        <v>344</v>
      </c>
      <c r="G586" s="55" t="s">
        <v>360</v>
      </c>
      <c r="H586" s="55" t="s">
        <v>360</v>
      </c>
      <c r="I586" s="55" t="s">
        <v>360</v>
      </c>
      <c r="J586" s="55" t="s">
        <v>360</v>
      </c>
      <c r="K586" s="55" t="s">
        <v>360</v>
      </c>
      <c r="L586" s="55" t="s">
        <v>360</v>
      </c>
      <c r="M586" s="55" t="s">
        <v>142</v>
      </c>
      <c r="N586" s="55" t="s">
        <v>142</v>
      </c>
      <c r="O586" s="55" t="s">
        <v>292</v>
      </c>
      <c r="P586" s="55" t="s">
        <v>976</v>
      </c>
      <c r="Q586" s="55" t="s">
        <v>350</v>
      </c>
      <c r="R586" s="55">
        <v>3</v>
      </c>
      <c r="S586" s="55"/>
      <c r="T586" s="55" t="s">
        <v>1320</v>
      </c>
    </row>
    <row r="587" spans="1:20" ht="13" x14ac:dyDescent="0.15">
      <c r="A587" s="72" t="str">
        <f t="shared" si="9"/>
        <v>Ofsted Social Care Provider Webpage</v>
      </c>
      <c r="B587" s="55">
        <v>1280629</v>
      </c>
      <c r="D587" s="55" t="s">
        <v>373</v>
      </c>
      <c r="E587" s="74">
        <v>43313</v>
      </c>
      <c r="F587" s="55" t="s">
        <v>344</v>
      </c>
      <c r="G587" s="55" t="s">
        <v>360</v>
      </c>
      <c r="H587" s="55" t="s">
        <v>360</v>
      </c>
      <c r="I587" s="55" t="s">
        <v>360</v>
      </c>
      <c r="J587" s="55" t="s">
        <v>360</v>
      </c>
      <c r="K587" s="55" t="s">
        <v>360</v>
      </c>
      <c r="L587" s="55" t="s">
        <v>360</v>
      </c>
      <c r="M587" s="55" t="s">
        <v>142</v>
      </c>
      <c r="N587" s="55" t="s">
        <v>142</v>
      </c>
      <c r="O587" s="55" t="s">
        <v>262</v>
      </c>
      <c r="P587" s="55" t="s">
        <v>618</v>
      </c>
      <c r="Q587" s="55" t="s">
        <v>350</v>
      </c>
      <c r="R587" s="55">
        <v>3</v>
      </c>
      <c r="S587" s="55"/>
      <c r="T587" s="55" t="s">
        <v>385</v>
      </c>
    </row>
    <row r="588" spans="1:20" ht="13" x14ac:dyDescent="0.15">
      <c r="A588" s="72" t="str">
        <f t="shared" si="9"/>
        <v>Ofsted Social Care Provider Webpage</v>
      </c>
      <c r="B588" s="55">
        <v>1378486</v>
      </c>
      <c r="D588" s="55" t="s">
        <v>389</v>
      </c>
      <c r="E588" s="74">
        <v>43255</v>
      </c>
      <c r="F588" s="55" t="s">
        <v>344</v>
      </c>
      <c r="G588" s="55" t="s">
        <v>1321</v>
      </c>
      <c r="H588" s="55" t="s">
        <v>1322</v>
      </c>
      <c r="I588" s="55" t="s">
        <v>354</v>
      </c>
      <c r="J588" s="55" t="s">
        <v>1323</v>
      </c>
      <c r="K588" s="55" t="s">
        <v>174</v>
      </c>
      <c r="L588" s="55" t="s">
        <v>1324</v>
      </c>
      <c r="M588" s="55" t="s">
        <v>136</v>
      </c>
      <c r="N588" s="55" t="s">
        <v>136</v>
      </c>
      <c r="O588" s="55" t="s">
        <v>174</v>
      </c>
      <c r="P588" s="55" t="s">
        <v>857</v>
      </c>
      <c r="Q588" s="55" t="s">
        <v>350</v>
      </c>
      <c r="R588" s="55"/>
      <c r="S588" s="55"/>
      <c r="T588" s="55" t="s">
        <v>1325</v>
      </c>
    </row>
    <row r="589" spans="1:20" ht="13" x14ac:dyDescent="0.15">
      <c r="A589" s="72" t="str">
        <f t="shared" si="9"/>
        <v>Ofsted Social Care Provider Webpage</v>
      </c>
      <c r="B589" s="55">
        <v>2483425</v>
      </c>
      <c r="D589" s="55" t="s">
        <v>451</v>
      </c>
      <c r="E589" s="74">
        <v>43342</v>
      </c>
      <c r="F589" s="55" t="s">
        <v>344</v>
      </c>
      <c r="G589" s="55" t="s">
        <v>1326</v>
      </c>
      <c r="H589" s="55" t="s">
        <v>1327</v>
      </c>
      <c r="I589" s="55" t="s">
        <v>1328</v>
      </c>
      <c r="J589" s="55" t="s">
        <v>1329</v>
      </c>
      <c r="K589" s="55" t="s">
        <v>209</v>
      </c>
      <c r="L589" s="55" t="s">
        <v>1330</v>
      </c>
      <c r="M589" s="55" t="s">
        <v>144</v>
      </c>
      <c r="N589" s="55" t="s">
        <v>144</v>
      </c>
      <c r="O589" s="55" t="s">
        <v>143</v>
      </c>
      <c r="P589" s="55" t="s">
        <v>650</v>
      </c>
      <c r="Q589" s="55" t="s">
        <v>350</v>
      </c>
      <c r="R589" s="55">
        <v>5</v>
      </c>
      <c r="S589" s="55"/>
      <c r="T589" s="55" t="s">
        <v>1326</v>
      </c>
    </row>
    <row r="590" spans="1:20" ht="13" x14ac:dyDescent="0.15">
      <c r="A590" s="72" t="str">
        <f t="shared" si="9"/>
        <v>Ofsted Social Care Provider Webpage</v>
      </c>
      <c r="B590" s="55">
        <v>2483691</v>
      </c>
      <c r="D590" s="55" t="s">
        <v>373</v>
      </c>
      <c r="E590" s="74">
        <v>43342</v>
      </c>
      <c r="F590" s="55" t="s">
        <v>344</v>
      </c>
      <c r="G590" s="55" t="s">
        <v>360</v>
      </c>
      <c r="H590" s="55" t="s">
        <v>360</v>
      </c>
      <c r="I590" s="55" t="s">
        <v>360</v>
      </c>
      <c r="J590" s="55" t="s">
        <v>360</v>
      </c>
      <c r="K590" s="55" t="s">
        <v>360</v>
      </c>
      <c r="L590" s="55" t="s">
        <v>360</v>
      </c>
      <c r="M590" s="55" t="s">
        <v>150</v>
      </c>
      <c r="N590" s="55" t="s">
        <v>150</v>
      </c>
      <c r="O590" s="55" t="s">
        <v>153</v>
      </c>
      <c r="P590" s="55" t="s">
        <v>1331</v>
      </c>
      <c r="Q590" s="55" t="s">
        <v>350</v>
      </c>
      <c r="R590" s="55">
        <v>6</v>
      </c>
      <c r="S590" s="55"/>
      <c r="T590" s="55" t="s">
        <v>1332</v>
      </c>
    </row>
    <row r="591" spans="1:20" ht="13" x14ac:dyDescent="0.15">
      <c r="A591" s="72" t="str">
        <f t="shared" si="9"/>
        <v>Ofsted Social Care Provider Webpage</v>
      </c>
      <c r="B591" s="55">
        <v>2483693</v>
      </c>
      <c r="D591" s="55" t="s">
        <v>373</v>
      </c>
      <c r="E591" s="74">
        <v>43303</v>
      </c>
      <c r="F591" s="55" t="s">
        <v>344</v>
      </c>
      <c r="G591" s="55" t="s">
        <v>360</v>
      </c>
      <c r="H591" s="55" t="s">
        <v>360</v>
      </c>
      <c r="I591" s="55" t="s">
        <v>360</v>
      </c>
      <c r="J591" s="55" t="s">
        <v>360</v>
      </c>
      <c r="K591" s="55" t="s">
        <v>360</v>
      </c>
      <c r="L591" s="55" t="s">
        <v>360</v>
      </c>
      <c r="M591" s="55" t="s">
        <v>172</v>
      </c>
      <c r="N591" s="55" t="s">
        <v>172</v>
      </c>
      <c r="O591" s="55" t="s">
        <v>212</v>
      </c>
      <c r="P591" s="55" t="s">
        <v>798</v>
      </c>
      <c r="Q591" s="55" t="s">
        <v>350</v>
      </c>
      <c r="R591" s="55">
        <v>3</v>
      </c>
      <c r="S591" s="55"/>
      <c r="T591" s="55" t="s">
        <v>517</v>
      </c>
    </row>
    <row r="592" spans="1:20" ht="13" x14ac:dyDescent="0.15">
      <c r="A592" s="72" t="str">
        <f t="shared" si="9"/>
        <v>Ofsted Social Care Provider Webpage</v>
      </c>
      <c r="B592" s="55">
        <v>2483715</v>
      </c>
      <c r="D592" s="55" t="s">
        <v>373</v>
      </c>
      <c r="E592" s="74">
        <v>43307</v>
      </c>
      <c r="F592" s="55" t="s">
        <v>344</v>
      </c>
      <c r="G592" s="55" t="s">
        <v>360</v>
      </c>
      <c r="H592" s="55" t="s">
        <v>360</v>
      </c>
      <c r="I592" s="55" t="s">
        <v>360</v>
      </c>
      <c r="J592" s="55" t="s">
        <v>360</v>
      </c>
      <c r="K592" s="55" t="s">
        <v>360</v>
      </c>
      <c r="L592" s="55" t="s">
        <v>360</v>
      </c>
      <c r="M592" s="55" t="s">
        <v>150</v>
      </c>
      <c r="N592" s="55" t="s">
        <v>150</v>
      </c>
      <c r="O592" s="55" t="s">
        <v>283</v>
      </c>
      <c r="P592" s="55" t="s">
        <v>1333</v>
      </c>
      <c r="Q592" s="55" t="s">
        <v>350</v>
      </c>
      <c r="R592" s="55">
        <v>5</v>
      </c>
      <c r="S592" s="55"/>
      <c r="T592" s="55" t="s">
        <v>890</v>
      </c>
    </row>
    <row r="593" spans="1:20" ht="13" x14ac:dyDescent="0.15">
      <c r="A593" s="72" t="str">
        <f t="shared" si="9"/>
        <v>Ofsted Social Care Provider Webpage</v>
      </c>
      <c r="B593" s="55">
        <v>2483718</v>
      </c>
      <c r="D593" s="55" t="s">
        <v>373</v>
      </c>
      <c r="E593" s="74">
        <v>43412</v>
      </c>
      <c r="F593" s="55" t="s">
        <v>344</v>
      </c>
      <c r="G593" s="55" t="s">
        <v>360</v>
      </c>
      <c r="H593" s="55" t="s">
        <v>360</v>
      </c>
      <c r="I593" s="55" t="s">
        <v>360</v>
      </c>
      <c r="J593" s="55" t="s">
        <v>360</v>
      </c>
      <c r="K593" s="55" t="s">
        <v>360</v>
      </c>
      <c r="L593" s="55" t="s">
        <v>360</v>
      </c>
      <c r="M593" s="55" t="s">
        <v>378</v>
      </c>
      <c r="N593" s="55" t="s">
        <v>170</v>
      </c>
      <c r="O593" s="55" t="s">
        <v>264</v>
      </c>
      <c r="P593" s="55" t="s">
        <v>1334</v>
      </c>
      <c r="Q593" s="55" t="s">
        <v>350</v>
      </c>
      <c r="R593" s="55">
        <v>5</v>
      </c>
      <c r="S593" s="55"/>
      <c r="T593" s="55" t="s">
        <v>1335</v>
      </c>
    </row>
    <row r="594" spans="1:20" ht="13" x14ac:dyDescent="0.15">
      <c r="A594" s="72" t="str">
        <f t="shared" si="9"/>
        <v>Ofsted Social Care Provider Webpage</v>
      </c>
      <c r="B594" s="55">
        <v>2483748</v>
      </c>
      <c r="D594" s="55" t="s">
        <v>451</v>
      </c>
      <c r="E594" s="74">
        <v>43504</v>
      </c>
      <c r="F594" s="55" t="s">
        <v>344</v>
      </c>
      <c r="G594" s="55" t="s">
        <v>1336</v>
      </c>
      <c r="H594" s="55" t="s">
        <v>1337</v>
      </c>
      <c r="I594" s="55" t="s">
        <v>354</v>
      </c>
      <c r="J594" s="55" t="s">
        <v>1338</v>
      </c>
      <c r="K594" s="55" t="s">
        <v>1339</v>
      </c>
      <c r="L594" s="55" t="s">
        <v>1340</v>
      </c>
      <c r="M594" s="55" t="s">
        <v>144</v>
      </c>
      <c r="N594" s="55" t="s">
        <v>144</v>
      </c>
      <c r="O594" s="55" t="s">
        <v>261</v>
      </c>
      <c r="P594" s="55" t="s">
        <v>512</v>
      </c>
      <c r="Q594" s="55" t="s">
        <v>350</v>
      </c>
      <c r="R594" s="55">
        <v>2</v>
      </c>
      <c r="S594" s="55"/>
      <c r="T594" s="55" t="s">
        <v>1341</v>
      </c>
    </row>
    <row r="595" spans="1:20" ht="13" x14ac:dyDescent="0.15">
      <c r="A595" s="72" t="str">
        <f t="shared" si="9"/>
        <v>Ofsted Social Care Provider Webpage</v>
      </c>
      <c r="B595" s="55">
        <v>2483789</v>
      </c>
      <c r="D595" s="55" t="s">
        <v>373</v>
      </c>
      <c r="E595" s="74">
        <v>43342</v>
      </c>
      <c r="F595" s="55" t="s">
        <v>344</v>
      </c>
      <c r="G595" s="55" t="s">
        <v>360</v>
      </c>
      <c r="H595" s="55" t="s">
        <v>360</v>
      </c>
      <c r="I595" s="55" t="s">
        <v>360</v>
      </c>
      <c r="J595" s="55" t="s">
        <v>360</v>
      </c>
      <c r="K595" s="55" t="s">
        <v>360</v>
      </c>
      <c r="L595" s="55" t="s">
        <v>360</v>
      </c>
      <c r="M595" s="55" t="s">
        <v>144</v>
      </c>
      <c r="N595" s="55" t="s">
        <v>144</v>
      </c>
      <c r="O595" s="55" t="s">
        <v>290</v>
      </c>
      <c r="P595" s="55" t="s">
        <v>909</v>
      </c>
      <c r="Q595" s="55" t="s">
        <v>350</v>
      </c>
      <c r="R595" s="55">
        <v>3</v>
      </c>
      <c r="S595" s="55"/>
      <c r="T595" s="55" t="s">
        <v>1342</v>
      </c>
    </row>
    <row r="596" spans="1:20" ht="13" x14ac:dyDescent="0.15">
      <c r="A596" s="72" t="str">
        <f t="shared" si="9"/>
        <v>Ofsted Social Care Provider Webpage</v>
      </c>
      <c r="B596" s="55">
        <v>2483823</v>
      </c>
      <c r="D596" s="55" t="s">
        <v>373</v>
      </c>
      <c r="E596" s="74">
        <v>43402</v>
      </c>
      <c r="F596" s="55" t="s">
        <v>344</v>
      </c>
      <c r="G596" s="55" t="s">
        <v>360</v>
      </c>
      <c r="H596" s="55" t="s">
        <v>360</v>
      </c>
      <c r="I596" s="55" t="s">
        <v>360</v>
      </c>
      <c r="J596" s="55" t="s">
        <v>360</v>
      </c>
      <c r="K596" s="55" t="s">
        <v>360</v>
      </c>
      <c r="L596" s="55" t="s">
        <v>360</v>
      </c>
      <c r="M596" s="55" t="s">
        <v>172</v>
      </c>
      <c r="N596" s="55" t="s">
        <v>172</v>
      </c>
      <c r="O596" s="55" t="s">
        <v>212</v>
      </c>
      <c r="P596" s="55" t="s">
        <v>798</v>
      </c>
      <c r="Q596" s="55" t="s">
        <v>350</v>
      </c>
      <c r="R596" s="55">
        <v>3</v>
      </c>
      <c r="S596" s="55"/>
      <c r="T596" s="55" t="s">
        <v>517</v>
      </c>
    </row>
    <row r="597" spans="1:20" ht="13" x14ac:dyDescent="0.15">
      <c r="A597" s="72" t="str">
        <f t="shared" si="9"/>
        <v>Ofsted Social Care Provider Webpage</v>
      </c>
      <c r="B597" s="55">
        <v>2483830</v>
      </c>
      <c r="D597" s="55" t="s">
        <v>373</v>
      </c>
      <c r="E597" s="74">
        <v>43390</v>
      </c>
      <c r="F597" s="55" t="s">
        <v>344</v>
      </c>
      <c r="G597" s="55" t="s">
        <v>360</v>
      </c>
      <c r="H597" s="55" t="s">
        <v>360</v>
      </c>
      <c r="I597" s="55" t="s">
        <v>360</v>
      </c>
      <c r="J597" s="55" t="s">
        <v>360</v>
      </c>
      <c r="K597" s="55" t="s">
        <v>360</v>
      </c>
      <c r="L597" s="55" t="s">
        <v>360</v>
      </c>
      <c r="M597" s="55" t="s">
        <v>378</v>
      </c>
      <c r="N597" s="55" t="s">
        <v>134</v>
      </c>
      <c r="O597" s="55" t="s">
        <v>277</v>
      </c>
      <c r="P597" s="55" t="s">
        <v>461</v>
      </c>
      <c r="Q597" s="55" t="s">
        <v>350</v>
      </c>
      <c r="R597" s="55">
        <v>3</v>
      </c>
      <c r="S597" s="55"/>
      <c r="T597" s="55" t="s">
        <v>462</v>
      </c>
    </row>
    <row r="598" spans="1:20" ht="13" x14ac:dyDescent="0.15">
      <c r="A598" s="72" t="str">
        <f t="shared" si="9"/>
        <v>Ofsted Social Care Provider Webpage</v>
      </c>
      <c r="B598" s="55">
        <v>2483881</v>
      </c>
      <c r="D598" s="55" t="s">
        <v>373</v>
      </c>
      <c r="E598" s="74">
        <v>43335</v>
      </c>
      <c r="F598" s="55" t="s">
        <v>344</v>
      </c>
      <c r="G598" s="55" t="s">
        <v>360</v>
      </c>
      <c r="H598" s="55" t="s">
        <v>360</v>
      </c>
      <c r="I598" s="55" t="s">
        <v>360</v>
      </c>
      <c r="J598" s="55" t="s">
        <v>360</v>
      </c>
      <c r="K598" s="55" t="s">
        <v>360</v>
      </c>
      <c r="L598" s="55" t="s">
        <v>360</v>
      </c>
      <c r="M598" s="55" t="s">
        <v>172</v>
      </c>
      <c r="N598" s="55" t="s">
        <v>172</v>
      </c>
      <c r="O598" s="55" t="s">
        <v>211</v>
      </c>
      <c r="P598" s="55" t="s">
        <v>1343</v>
      </c>
      <c r="Q598" s="55" t="s">
        <v>350</v>
      </c>
      <c r="R598" s="55">
        <v>4</v>
      </c>
      <c r="S598" s="55"/>
      <c r="T598" s="55" t="s">
        <v>1344</v>
      </c>
    </row>
    <row r="599" spans="1:20" ht="13" x14ac:dyDescent="0.15">
      <c r="A599" s="72" t="str">
        <f t="shared" si="9"/>
        <v>Ofsted Social Care Provider Webpage</v>
      </c>
      <c r="B599" s="55">
        <v>2484055</v>
      </c>
      <c r="D599" s="55" t="s">
        <v>373</v>
      </c>
      <c r="E599" s="74">
        <v>43333</v>
      </c>
      <c r="F599" s="55" t="s">
        <v>344</v>
      </c>
      <c r="G599" s="55" t="s">
        <v>360</v>
      </c>
      <c r="H599" s="55" t="s">
        <v>360</v>
      </c>
      <c r="I599" s="55" t="s">
        <v>360</v>
      </c>
      <c r="J599" s="55" t="s">
        <v>360</v>
      </c>
      <c r="K599" s="55" t="s">
        <v>360</v>
      </c>
      <c r="L599" s="55" t="s">
        <v>360</v>
      </c>
      <c r="M599" s="55" t="s">
        <v>172</v>
      </c>
      <c r="N599" s="55" t="s">
        <v>172</v>
      </c>
      <c r="O599" s="55" t="s">
        <v>214</v>
      </c>
      <c r="P599" s="55" t="s">
        <v>1345</v>
      </c>
      <c r="Q599" s="55" t="s">
        <v>350</v>
      </c>
      <c r="R599" s="55">
        <v>4</v>
      </c>
      <c r="S599" s="55"/>
      <c r="T599" s="55" t="s">
        <v>799</v>
      </c>
    </row>
    <row r="600" spans="1:20" ht="13" x14ac:dyDescent="0.15">
      <c r="A600" s="72" t="str">
        <f t="shared" si="9"/>
        <v>Ofsted Social Care Provider Webpage</v>
      </c>
      <c r="B600" s="55">
        <v>2484180</v>
      </c>
      <c r="D600" s="55" t="s">
        <v>373</v>
      </c>
      <c r="E600" s="74">
        <v>43392</v>
      </c>
      <c r="F600" s="55" t="s">
        <v>344</v>
      </c>
      <c r="G600" s="55" t="s">
        <v>360</v>
      </c>
      <c r="H600" s="55" t="s">
        <v>360</v>
      </c>
      <c r="I600" s="55" t="s">
        <v>360</v>
      </c>
      <c r="J600" s="55" t="s">
        <v>360</v>
      </c>
      <c r="K600" s="55" t="s">
        <v>360</v>
      </c>
      <c r="L600" s="55" t="s">
        <v>360</v>
      </c>
      <c r="M600" s="55" t="s">
        <v>142</v>
      </c>
      <c r="N600" s="55" t="s">
        <v>142</v>
      </c>
      <c r="O600" s="55" t="s">
        <v>272</v>
      </c>
      <c r="P600" s="55" t="s">
        <v>1291</v>
      </c>
      <c r="Q600" s="55" t="s">
        <v>350</v>
      </c>
      <c r="R600" s="55">
        <v>2</v>
      </c>
      <c r="S600" s="55"/>
      <c r="T600" s="55" t="s">
        <v>1260</v>
      </c>
    </row>
    <row r="601" spans="1:20" ht="13" x14ac:dyDescent="0.15">
      <c r="A601" s="72" t="str">
        <f t="shared" si="9"/>
        <v>Ofsted Social Care Provider Webpage</v>
      </c>
      <c r="B601" s="55">
        <v>2484185</v>
      </c>
      <c r="D601" s="55" t="s">
        <v>389</v>
      </c>
      <c r="E601" s="74">
        <v>43532</v>
      </c>
      <c r="F601" s="55" t="s">
        <v>344</v>
      </c>
      <c r="G601" s="55" t="s">
        <v>1346</v>
      </c>
      <c r="H601" s="55" t="s">
        <v>1347</v>
      </c>
      <c r="I601" s="55" t="s">
        <v>1348</v>
      </c>
      <c r="J601" s="55" t="s">
        <v>1349</v>
      </c>
      <c r="K601" s="55" t="s">
        <v>1350</v>
      </c>
      <c r="L601" s="55" t="s">
        <v>1351</v>
      </c>
      <c r="M601" s="55" t="s">
        <v>172</v>
      </c>
      <c r="N601" s="55" t="s">
        <v>172</v>
      </c>
      <c r="O601" s="55" t="s">
        <v>284</v>
      </c>
      <c r="P601" s="55" t="s">
        <v>985</v>
      </c>
      <c r="Q601" s="55" t="s">
        <v>350</v>
      </c>
      <c r="R601" s="55"/>
      <c r="S601" s="55"/>
      <c r="T601" s="55" t="s">
        <v>1352</v>
      </c>
    </row>
    <row r="602" spans="1:20" ht="13" x14ac:dyDescent="0.15">
      <c r="A602" s="72" t="str">
        <f t="shared" si="9"/>
        <v>Ofsted Social Care Provider Webpage</v>
      </c>
      <c r="B602" s="55">
        <v>2484441</v>
      </c>
      <c r="D602" s="55" t="s">
        <v>373</v>
      </c>
      <c r="E602" s="74">
        <v>43318</v>
      </c>
      <c r="F602" s="55" t="s">
        <v>344</v>
      </c>
      <c r="G602" s="55" t="s">
        <v>360</v>
      </c>
      <c r="H602" s="55" t="s">
        <v>360</v>
      </c>
      <c r="I602" s="55" t="s">
        <v>360</v>
      </c>
      <c r="J602" s="55" t="s">
        <v>360</v>
      </c>
      <c r="K602" s="55" t="s">
        <v>360</v>
      </c>
      <c r="L602" s="55" t="s">
        <v>360</v>
      </c>
      <c r="M602" s="55" t="s">
        <v>142</v>
      </c>
      <c r="N602" s="55" t="s">
        <v>142</v>
      </c>
      <c r="O602" s="55" t="s">
        <v>265</v>
      </c>
      <c r="P602" s="55" t="s">
        <v>1066</v>
      </c>
      <c r="Q602" s="55" t="s">
        <v>380</v>
      </c>
      <c r="R602" s="55">
        <v>2</v>
      </c>
      <c r="S602" s="55"/>
      <c r="T602" s="55" t="s">
        <v>1067</v>
      </c>
    </row>
    <row r="603" spans="1:20" ht="13" x14ac:dyDescent="0.15">
      <c r="A603" s="72" t="str">
        <f t="shared" si="9"/>
        <v>Ofsted Social Care Provider Webpage</v>
      </c>
      <c r="B603" s="55">
        <v>2484443</v>
      </c>
      <c r="D603" s="55" t="s">
        <v>373</v>
      </c>
      <c r="E603" s="74">
        <v>43332</v>
      </c>
      <c r="F603" s="55" t="s">
        <v>344</v>
      </c>
      <c r="G603" s="55" t="s">
        <v>360</v>
      </c>
      <c r="H603" s="55" t="s">
        <v>360</v>
      </c>
      <c r="I603" s="55" t="s">
        <v>360</v>
      </c>
      <c r="J603" s="55" t="s">
        <v>360</v>
      </c>
      <c r="K603" s="55" t="s">
        <v>360</v>
      </c>
      <c r="L603" s="55" t="s">
        <v>360</v>
      </c>
      <c r="M603" s="55" t="s">
        <v>136</v>
      </c>
      <c r="N603" s="55" t="s">
        <v>136</v>
      </c>
      <c r="O603" s="55" t="s">
        <v>255</v>
      </c>
      <c r="P603" s="55" t="s">
        <v>609</v>
      </c>
      <c r="Q603" s="55" t="s">
        <v>350</v>
      </c>
      <c r="R603" s="55">
        <v>3</v>
      </c>
      <c r="S603" s="55"/>
      <c r="T603" s="55" t="s">
        <v>1151</v>
      </c>
    </row>
    <row r="604" spans="1:20" ht="13" x14ac:dyDescent="0.15">
      <c r="A604" s="72" t="str">
        <f t="shared" si="9"/>
        <v>Ofsted Social Care Provider Webpage</v>
      </c>
      <c r="B604" s="55">
        <v>2484586</v>
      </c>
      <c r="D604" s="55" t="s">
        <v>373</v>
      </c>
      <c r="E604" s="74">
        <v>43318</v>
      </c>
      <c r="F604" s="55" t="s">
        <v>344</v>
      </c>
      <c r="G604" s="55" t="s">
        <v>360</v>
      </c>
      <c r="H604" s="55" t="s">
        <v>360</v>
      </c>
      <c r="I604" s="55" t="s">
        <v>360</v>
      </c>
      <c r="J604" s="55" t="s">
        <v>360</v>
      </c>
      <c r="K604" s="55" t="s">
        <v>360</v>
      </c>
      <c r="L604" s="55" t="s">
        <v>360</v>
      </c>
      <c r="M604" s="55" t="s">
        <v>142</v>
      </c>
      <c r="N604" s="55" t="s">
        <v>142</v>
      </c>
      <c r="O604" s="55" t="s">
        <v>265</v>
      </c>
      <c r="P604" s="55" t="s">
        <v>1066</v>
      </c>
      <c r="Q604" s="55" t="s">
        <v>380</v>
      </c>
      <c r="R604" s="55">
        <v>2</v>
      </c>
      <c r="S604" s="55"/>
      <c r="T604" s="55" t="s">
        <v>1067</v>
      </c>
    </row>
    <row r="605" spans="1:20" ht="13" x14ac:dyDescent="0.15">
      <c r="A605" s="72" t="str">
        <f t="shared" si="9"/>
        <v>Ofsted Social Care Provider Webpage</v>
      </c>
      <c r="B605" s="55">
        <v>2484682</v>
      </c>
      <c r="D605" s="55" t="s">
        <v>373</v>
      </c>
      <c r="E605" s="74">
        <v>43318</v>
      </c>
      <c r="F605" s="55" t="s">
        <v>344</v>
      </c>
      <c r="G605" s="55" t="s">
        <v>360</v>
      </c>
      <c r="H605" s="55" t="s">
        <v>360</v>
      </c>
      <c r="I605" s="55" t="s">
        <v>360</v>
      </c>
      <c r="J605" s="55" t="s">
        <v>360</v>
      </c>
      <c r="K605" s="55" t="s">
        <v>360</v>
      </c>
      <c r="L605" s="55" t="s">
        <v>360</v>
      </c>
      <c r="M605" s="55" t="s">
        <v>144</v>
      </c>
      <c r="N605" s="55" t="s">
        <v>144</v>
      </c>
      <c r="O605" s="55" t="s">
        <v>157</v>
      </c>
      <c r="P605" s="55" t="s">
        <v>1092</v>
      </c>
      <c r="Q605" s="55" t="s">
        <v>350</v>
      </c>
      <c r="R605" s="55">
        <v>3</v>
      </c>
      <c r="S605" s="55"/>
      <c r="T605" s="55" t="s">
        <v>490</v>
      </c>
    </row>
    <row r="606" spans="1:20" ht="13" x14ac:dyDescent="0.15">
      <c r="A606" s="72" t="str">
        <f t="shared" si="9"/>
        <v>Ofsted Social Care Provider Webpage</v>
      </c>
      <c r="B606" s="55">
        <v>2490729</v>
      </c>
      <c r="D606" s="55" t="s">
        <v>373</v>
      </c>
      <c r="E606" s="74">
        <v>43627</v>
      </c>
      <c r="F606" s="55" t="s">
        <v>344</v>
      </c>
      <c r="G606" s="55" t="s">
        <v>360</v>
      </c>
      <c r="H606" s="55" t="s">
        <v>360</v>
      </c>
      <c r="I606" s="55" t="s">
        <v>360</v>
      </c>
      <c r="J606" s="55" t="s">
        <v>360</v>
      </c>
      <c r="K606" s="55" t="s">
        <v>360</v>
      </c>
      <c r="L606" s="55" t="s">
        <v>360</v>
      </c>
      <c r="M606" s="55" t="s">
        <v>142</v>
      </c>
      <c r="N606" s="55" t="s">
        <v>142</v>
      </c>
      <c r="O606" s="55" t="s">
        <v>262</v>
      </c>
      <c r="P606" s="55" t="s">
        <v>916</v>
      </c>
      <c r="Q606" s="55" t="s">
        <v>350</v>
      </c>
      <c r="R606" s="55">
        <v>3</v>
      </c>
      <c r="S606" s="55"/>
      <c r="T606" s="55" t="s">
        <v>489</v>
      </c>
    </row>
    <row r="607" spans="1:20" ht="13" x14ac:dyDescent="0.15">
      <c r="A607" s="72" t="str">
        <f t="shared" si="9"/>
        <v>Ofsted Social Care Provider Webpage</v>
      </c>
      <c r="B607" s="55">
        <v>2490894</v>
      </c>
      <c r="D607" s="55" t="s">
        <v>373</v>
      </c>
      <c r="E607" s="74">
        <v>43543</v>
      </c>
      <c r="F607" s="55" t="s">
        <v>344</v>
      </c>
      <c r="G607" s="55" t="s">
        <v>360</v>
      </c>
      <c r="H607" s="55" t="s">
        <v>360</v>
      </c>
      <c r="I607" s="55" t="s">
        <v>360</v>
      </c>
      <c r="J607" s="55" t="s">
        <v>360</v>
      </c>
      <c r="K607" s="55" t="s">
        <v>360</v>
      </c>
      <c r="L607" s="55" t="s">
        <v>360</v>
      </c>
      <c r="M607" s="55" t="s">
        <v>378</v>
      </c>
      <c r="N607" s="55" t="s">
        <v>170</v>
      </c>
      <c r="O607" s="55" t="s">
        <v>193</v>
      </c>
      <c r="P607" s="55" t="s">
        <v>193</v>
      </c>
      <c r="Q607" s="55" t="s">
        <v>380</v>
      </c>
      <c r="R607" s="55">
        <v>2</v>
      </c>
      <c r="S607" s="55"/>
      <c r="T607" s="55" t="s">
        <v>1353</v>
      </c>
    </row>
    <row r="608" spans="1:20" ht="13" x14ac:dyDescent="0.15">
      <c r="A608" s="72" t="str">
        <f t="shared" si="9"/>
        <v>Ofsted Social Care Provider Webpage</v>
      </c>
      <c r="B608" s="55">
        <v>2490938</v>
      </c>
      <c r="D608" s="55" t="s">
        <v>373</v>
      </c>
      <c r="E608" s="74">
        <v>43319</v>
      </c>
      <c r="F608" s="55" t="s">
        <v>344</v>
      </c>
      <c r="G608" s="55" t="s">
        <v>360</v>
      </c>
      <c r="H608" s="55" t="s">
        <v>360</v>
      </c>
      <c r="I608" s="55" t="s">
        <v>360</v>
      </c>
      <c r="J608" s="55" t="s">
        <v>360</v>
      </c>
      <c r="K608" s="55" t="s">
        <v>360</v>
      </c>
      <c r="L608" s="55" t="s">
        <v>360</v>
      </c>
      <c r="M608" s="55" t="s">
        <v>129</v>
      </c>
      <c r="N608" s="55" t="s">
        <v>129</v>
      </c>
      <c r="O608" s="55" t="s">
        <v>197</v>
      </c>
      <c r="P608" s="55" t="s">
        <v>532</v>
      </c>
      <c r="Q608" s="55" t="s">
        <v>380</v>
      </c>
      <c r="R608" s="55">
        <v>5</v>
      </c>
      <c r="S608" s="55"/>
      <c r="T608" s="55" t="s">
        <v>1354</v>
      </c>
    </row>
    <row r="609" spans="1:20" ht="13" x14ac:dyDescent="0.15">
      <c r="A609" s="72" t="str">
        <f t="shared" si="9"/>
        <v>Ofsted Social Care Provider Webpage</v>
      </c>
      <c r="B609" s="55">
        <v>2490939</v>
      </c>
      <c r="D609" s="55" t="s">
        <v>373</v>
      </c>
      <c r="E609" s="74">
        <v>43657</v>
      </c>
      <c r="F609" s="55" t="s">
        <v>344</v>
      </c>
      <c r="G609" s="55" t="s">
        <v>360</v>
      </c>
      <c r="H609" s="55" t="s">
        <v>360</v>
      </c>
      <c r="I609" s="55" t="s">
        <v>360</v>
      </c>
      <c r="J609" s="55" t="s">
        <v>360</v>
      </c>
      <c r="K609" s="55" t="s">
        <v>360</v>
      </c>
      <c r="L609" s="55" t="s">
        <v>360</v>
      </c>
      <c r="M609" s="55" t="s">
        <v>142</v>
      </c>
      <c r="N609" s="55" t="s">
        <v>142</v>
      </c>
      <c r="O609" s="55" t="s">
        <v>262</v>
      </c>
      <c r="P609" s="55" t="s">
        <v>850</v>
      </c>
      <c r="Q609" s="55" t="s">
        <v>350</v>
      </c>
      <c r="R609" s="55">
        <v>1</v>
      </c>
      <c r="S609" s="55"/>
      <c r="T609" s="55" t="s">
        <v>910</v>
      </c>
    </row>
    <row r="610" spans="1:20" ht="13" x14ac:dyDescent="0.15">
      <c r="A610" s="72" t="str">
        <f t="shared" si="9"/>
        <v>Ofsted Social Care Provider Webpage</v>
      </c>
      <c r="B610" s="55">
        <v>2490994</v>
      </c>
      <c r="D610" s="55" t="s">
        <v>373</v>
      </c>
      <c r="E610" s="74">
        <v>43509</v>
      </c>
      <c r="F610" s="55" t="s">
        <v>344</v>
      </c>
      <c r="G610" s="55" t="s">
        <v>360</v>
      </c>
      <c r="H610" s="55" t="s">
        <v>360</v>
      </c>
      <c r="I610" s="55" t="s">
        <v>360</v>
      </c>
      <c r="J610" s="55" t="s">
        <v>360</v>
      </c>
      <c r="K610" s="55" t="s">
        <v>360</v>
      </c>
      <c r="L610" s="55" t="s">
        <v>360</v>
      </c>
      <c r="M610" s="55" t="s">
        <v>172</v>
      </c>
      <c r="N610" s="55" t="s">
        <v>172</v>
      </c>
      <c r="O610" s="55" t="s">
        <v>235</v>
      </c>
      <c r="P610" s="55" t="s">
        <v>1355</v>
      </c>
      <c r="Q610" s="55" t="s">
        <v>350</v>
      </c>
      <c r="R610" s="55">
        <v>3</v>
      </c>
      <c r="S610" s="55"/>
      <c r="T610" s="55" t="s">
        <v>1356</v>
      </c>
    </row>
    <row r="611" spans="1:20" ht="13" x14ac:dyDescent="0.15">
      <c r="A611" s="72" t="str">
        <f t="shared" si="9"/>
        <v>Ofsted Social Care Provider Webpage</v>
      </c>
      <c r="B611" s="55">
        <v>2490996</v>
      </c>
      <c r="D611" s="55" t="s">
        <v>373</v>
      </c>
      <c r="E611" s="74">
        <v>43382</v>
      </c>
      <c r="F611" s="55" t="s">
        <v>344</v>
      </c>
      <c r="G611" s="55" t="s">
        <v>360</v>
      </c>
      <c r="H611" s="55" t="s">
        <v>360</v>
      </c>
      <c r="I611" s="55" t="s">
        <v>360</v>
      </c>
      <c r="J611" s="55" t="s">
        <v>360</v>
      </c>
      <c r="K611" s="55" t="s">
        <v>360</v>
      </c>
      <c r="L611" s="55" t="s">
        <v>360</v>
      </c>
      <c r="M611" s="55" t="s">
        <v>378</v>
      </c>
      <c r="N611" s="55" t="s">
        <v>134</v>
      </c>
      <c r="O611" s="55" t="s">
        <v>206</v>
      </c>
      <c r="P611" s="55" t="s">
        <v>710</v>
      </c>
      <c r="Q611" s="55" t="s">
        <v>350</v>
      </c>
      <c r="R611" s="55">
        <v>3</v>
      </c>
      <c r="S611" s="55"/>
      <c r="T611" s="55" t="s">
        <v>489</v>
      </c>
    </row>
    <row r="612" spans="1:20" ht="13" x14ac:dyDescent="0.15">
      <c r="A612" s="72" t="str">
        <f t="shared" si="9"/>
        <v>Ofsted Social Care Provider Webpage</v>
      </c>
      <c r="B612" s="55">
        <v>2490998</v>
      </c>
      <c r="D612" s="55" t="s">
        <v>373</v>
      </c>
      <c r="E612" s="74">
        <v>43433</v>
      </c>
      <c r="F612" s="55" t="s">
        <v>344</v>
      </c>
      <c r="G612" s="55" t="s">
        <v>360</v>
      </c>
      <c r="H612" s="55" t="s">
        <v>360</v>
      </c>
      <c r="I612" s="55" t="s">
        <v>360</v>
      </c>
      <c r="J612" s="55" t="s">
        <v>360</v>
      </c>
      <c r="K612" s="55" t="s">
        <v>360</v>
      </c>
      <c r="L612" s="55" t="s">
        <v>360</v>
      </c>
      <c r="M612" s="55" t="s">
        <v>144</v>
      </c>
      <c r="N612" s="55" t="s">
        <v>144</v>
      </c>
      <c r="O612" s="55" t="s">
        <v>145</v>
      </c>
      <c r="P612" s="55" t="s">
        <v>484</v>
      </c>
      <c r="Q612" s="55" t="s">
        <v>350</v>
      </c>
      <c r="R612" s="55">
        <v>2</v>
      </c>
      <c r="S612" s="55"/>
      <c r="T612" s="55" t="s">
        <v>485</v>
      </c>
    </row>
    <row r="613" spans="1:20" ht="13" x14ac:dyDescent="0.15">
      <c r="A613" s="72" t="str">
        <f t="shared" si="9"/>
        <v>Ofsted Social Care Provider Webpage</v>
      </c>
      <c r="B613" s="55">
        <v>2490999</v>
      </c>
      <c r="D613" s="55" t="s">
        <v>373</v>
      </c>
      <c r="E613" s="74">
        <v>43377</v>
      </c>
      <c r="F613" s="55" t="s">
        <v>344</v>
      </c>
      <c r="G613" s="55" t="s">
        <v>360</v>
      </c>
      <c r="H613" s="55" t="s">
        <v>360</v>
      </c>
      <c r="I613" s="55" t="s">
        <v>360</v>
      </c>
      <c r="J613" s="55" t="s">
        <v>360</v>
      </c>
      <c r="K613" s="55" t="s">
        <v>360</v>
      </c>
      <c r="L613" s="55" t="s">
        <v>360</v>
      </c>
      <c r="M613" s="55" t="s">
        <v>172</v>
      </c>
      <c r="N613" s="55" t="s">
        <v>172</v>
      </c>
      <c r="O613" s="55" t="s">
        <v>212</v>
      </c>
      <c r="P613" s="55" t="s">
        <v>883</v>
      </c>
      <c r="Q613" s="55" t="s">
        <v>350</v>
      </c>
      <c r="R613" s="55">
        <v>3</v>
      </c>
      <c r="S613" s="55"/>
      <c r="T613" s="55" t="s">
        <v>1357</v>
      </c>
    </row>
    <row r="614" spans="1:20" ht="13" x14ac:dyDescent="0.15">
      <c r="A614" s="72" t="str">
        <f t="shared" si="9"/>
        <v>Ofsted Social Care Provider Webpage</v>
      </c>
      <c r="B614" s="55">
        <v>2491037</v>
      </c>
      <c r="D614" s="55" t="s">
        <v>373</v>
      </c>
      <c r="E614" s="74">
        <v>43437</v>
      </c>
      <c r="F614" s="55" t="s">
        <v>344</v>
      </c>
      <c r="G614" s="55" t="s">
        <v>360</v>
      </c>
      <c r="H614" s="55" t="s">
        <v>360</v>
      </c>
      <c r="I614" s="55" t="s">
        <v>360</v>
      </c>
      <c r="J614" s="55" t="s">
        <v>360</v>
      </c>
      <c r="K614" s="55" t="s">
        <v>360</v>
      </c>
      <c r="L614" s="55" t="s">
        <v>360</v>
      </c>
      <c r="M614" s="55" t="s">
        <v>172</v>
      </c>
      <c r="N614" s="55" t="s">
        <v>172</v>
      </c>
      <c r="O614" s="55" t="s">
        <v>234</v>
      </c>
      <c r="P614" s="55" t="s">
        <v>457</v>
      </c>
      <c r="Q614" s="55" t="s">
        <v>350</v>
      </c>
      <c r="R614" s="55">
        <v>3</v>
      </c>
      <c r="S614" s="55"/>
      <c r="T614" s="55" t="s">
        <v>1358</v>
      </c>
    </row>
    <row r="615" spans="1:20" ht="13" x14ac:dyDescent="0.15">
      <c r="A615" s="72" t="str">
        <f t="shared" si="9"/>
        <v>Ofsted Social Care Provider Webpage</v>
      </c>
      <c r="B615" s="55">
        <v>2491059</v>
      </c>
      <c r="D615" s="55" t="s">
        <v>373</v>
      </c>
      <c r="E615" s="74">
        <v>43388</v>
      </c>
      <c r="F615" s="55" t="s">
        <v>344</v>
      </c>
      <c r="G615" s="55" t="s">
        <v>360</v>
      </c>
      <c r="H615" s="55" t="s">
        <v>360</v>
      </c>
      <c r="I615" s="55" t="s">
        <v>360</v>
      </c>
      <c r="J615" s="55" t="s">
        <v>360</v>
      </c>
      <c r="K615" s="55" t="s">
        <v>360</v>
      </c>
      <c r="L615" s="55" t="s">
        <v>360</v>
      </c>
      <c r="M615" s="55" t="s">
        <v>136</v>
      </c>
      <c r="N615" s="55" t="s">
        <v>136</v>
      </c>
      <c r="O615" s="55" t="s">
        <v>255</v>
      </c>
      <c r="P615" s="55" t="s">
        <v>583</v>
      </c>
      <c r="Q615" s="55" t="s">
        <v>350</v>
      </c>
      <c r="R615" s="55">
        <v>3</v>
      </c>
      <c r="S615" s="55"/>
      <c r="T615" s="55" t="s">
        <v>1359</v>
      </c>
    </row>
    <row r="616" spans="1:20" ht="13" x14ac:dyDescent="0.15">
      <c r="A616" s="72" t="str">
        <f t="shared" si="9"/>
        <v>Ofsted Social Care Provider Webpage</v>
      </c>
      <c r="B616" s="55">
        <v>2491062</v>
      </c>
      <c r="D616" s="55" t="s">
        <v>373</v>
      </c>
      <c r="E616" s="74">
        <v>43398</v>
      </c>
      <c r="F616" s="55" t="s">
        <v>344</v>
      </c>
      <c r="G616" s="55" t="s">
        <v>360</v>
      </c>
      <c r="H616" s="55" t="s">
        <v>360</v>
      </c>
      <c r="I616" s="55" t="s">
        <v>360</v>
      </c>
      <c r="J616" s="55" t="s">
        <v>360</v>
      </c>
      <c r="K616" s="55" t="s">
        <v>360</v>
      </c>
      <c r="L616" s="55" t="s">
        <v>360</v>
      </c>
      <c r="M616" s="55" t="s">
        <v>138</v>
      </c>
      <c r="N616" s="55" t="s">
        <v>138</v>
      </c>
      <c r="O616" s="55" t="s">
        <v>196</v>
      </c>
      <c r="P616" s="55" t="s">
        <v>1360</v>
      </c>
      <c r="Q616" s="55" t="s">
        <v>350</v>
      </c>
      <c r="R616" s="55">
        <v>2</v>
      </c>
      <c r="S616" s="55"/>
      <c r="T616" s="55" t="s">
        <v>1361</v>
      </c>
    </row>
    <row r="617" spans="1:20" ht="13" x14ac:dyDescent="0.15">
      <c r="A617" s="72" t="str">
        <f t="shared" si="9"/>
        <v>Ofsted Social Care Provider Webpage</v>
      </c>
      <c r="B617" s="55">
        <v>2494551</v>
      </c>
      <c r="D617" s="55" t="s">
        <v>373</v>
      </c>
      <c r="E617" s="74">
        <v>43423</v>
      </c>
      <c r="F617" s="55" t="s">
        <v>344</v>
      </c>
      <c r="G617" s="55" t="s">
        <v>360</v>
      </c>
      <c r="H617" s="55" t="s">
        <v>360</v>
      </c>
      <c r="I617" s="55" t="s">
        <v>360</v>
      </c>
      <c r="J617" s="55" t="s">
        <v>360</v>
      </c>
      <c r="K617" s="55" t="s">
        <v>360</v>
      </c>
      <c r="L617" s="55" t="s">
        <v>360</v>
      </c>
      <c r="M617" s="55" t="s">
        <v>378</v>
      </c>
      <c r="N617" s="55" t="s">
        <v>134</v>
      </c>
      <c r="O617" s="55" t="s">
        <v>277</v>
      </c>
      <c r="P617" s="55" t="s">
        <v>1362</v>
      </c>
      <c r="Q617" s="55" t="s">
        <v>350</v>
      </c>
      <c r="R617" s="55">
        <v>7</v>
      </c>
      <c r="S617" s="55"/>
      <c r="T617" s="55" t="s">
        <v>435</v>
      </c>
    </row>
    <row r="618" spans="1:20" ht="13" x14ac:dyDescent="0.15">
      <c r="A618" s="72" t="str">
        <f t="shared" si="9"/>
        <v>Ofsted Social Care Provider Webpage</v>
      </c>
      <c r="B618" s="55">
        <v>2494662</v>
      </c>
      <c r="D618" s="55" t="s">
        <v>373</v>
      </c>
      <c r="E618" s="74">
        <v>43494</v>
      </c>
      <c r="F618" s="55" t="s">
        <v>344</v>
      </c>
      <c r="G618" s="55" t="s">
        <v>360</v>
      </c>
      <c r="H618" s="55" t="s">
        <v>360</v>
      </c>
      <c r="I618" s="55" t="s">
        <v>360</v>
      </c>
      <c r="J618" s="55" t="s">
        <v>360</v>
      </c>
      <c r="K618" s="55" t="s">
        <v>360</v>
      </c>
      <c r="L618" s="55" t="s">
        <v>360</v>
      </c>
      <c r="M618" s="55" t="s">
        <v>144</v>
      </c>
      <c r="N618" s="55" t="s">
        <v>144</v>
      </c>
      <c r="O618" s="55" t="s">
        <v>281</v>
      </c>
      <c r="P618" s="55" t="s">
        <v>556</v>
      </c>
      <c r="Q618" s="55" t="s">
        <v>350</v>
      </c>
      <c r="R618" s="55">
        <v>3</v>
      </c>
      <c r="S618" s="55"/>
      <c r="T618" s="55" t="s">
        <v>1363</v>
      </c>
    </row>
    <row r="619" spans="1:20" ht="13" x14ac:dyDescent="0.15">
      <c r="A619" s="72" t="str">
        <f t="shared" si="9"/>
        <v>Ofsted Social Care Provider Webpage</v>
      </c>
      <c r="B619" s="55">
        <v>2494873</v>
      </c>
      <c r="D619" s="55" t="s">
        <v>373</v>
      </c>
      <c r="E619" s="74">
        <v>43445</v>
      </c>
      <c r="F619" s="55" t="s">
        <v>344</v>
      </c>
      <c r="G619" s="55" t="s">
        <v>360</v>
      </c>
      <c r="H619" s="55" t="s">
        <v>360</v>
      </c>
      <c r="I619" s="55" t="s">
        <v>360</v>
      </c>
      <c r="J619" s="55" t="s">
        <v>360</v>
      </c>
      <c r="K619" s="55" t="s">
        <v>360</v>
      </c>
      <c r="L619" s="55" t="s">
        <v>360</v>
      </c>
      <c r="M619" s="55" t="s">
        <v>142</v>
      </c>
      <c r="N619" s="55" t="s">
        <v>142</v>
      </c>
      <c r="O619" s="55" t="s">
        <v>249</v>
      </c>
      <c r="P619" s="55" t="s">
        <v>1318</v>
      </c>
      <c r="Q619" s="55" t="s">
        <v>350</v>
      </c>
      <c r="R619" s="55">
        <v>3</v>
      </c>
      <c r="S619" s="55"/>
      <c r="T619" s="55" t="s">
        <v>1364</v>
      </c>
    </row>
    <row r="620" spans="1:20" ht="13" x14ac:dyDescent="0.15">
      <c r="A620" s="72" t="str">
        <f t="shared" si="9"/>
        <v>Ofsted Social Care Provider Webpage</v>
      </c>
      <c r="B620" s="55">
        <v>2494962</v>
      </c>
      <c r="D620" s="55" t="s">
        <v>373</v>
      </c>
      <c r="E620" s="74">
        <v>43474</v>
      </c>
      <c r="F620" s="55" t="s">
        <v>344</v>
      </c>
      <c r="G620" s="55" t="s">
        <v>360</v>
      </c>
      <c r="H620" s="55" t="s">
        <v>360</v>
      </c>
      <c r="I620" s="55" t="s">
        <v>360</v>
      </c>
      <c r="J620" s="55" t="s">
        <v>360</v>
      </c>
      <c r="K620" s="55" t="s">
        <v>360</v>
      </c>
      <c r="L620" s="55" t="s">
        <v>360</v>
      </c>
      <c r="M620" s="55" t="s">
        <v>378</v>
      </c>
      <c r="N620" s="55" t="s">
        <v>134</v>
      </c>
      <c r="O620" s="55" t="s">
        <v>206</v>
      </c>
      <c r="P620" s="55" t="s">
        <v>750</v>
      </c>
      <c r="Q620" s="55" t="s">
        <v>350</v>
      </c>
      <c r="R620" s="55">
        <v>4</v>
      </c>
      <c r="S620" s="55"/>
      <c r="T620" s="55" t="s">
        <v>489</v>
      </c>
    </row>
    <row r="621" spans="1:20" ht="13" x14ac:dyDescent="0.15">
      <c r="A621" s="72" t="str">
        <f t="shared" si="9"/>
        <v>Ofsted Social Care Provider Webpage</v>
      </c>
      <c r="B621" s="55">
        <v>2495335</v>
      </c>
      <c r="D621" s="55" t="s">
        <v>373</v>
      </c>
      <c r="E621" s="74">
        <v>43385</v>
      </c>
      <c r="F621" s="55" t="s">
        <v>344</v>
      </c>
      <c r="G621" s="55" t="s">
        <v>360</v>
      </c>
      <c r="H621" s="55" t="s">
        <v>360</v>
      </c>
      <c r="I621" s="55" t="s">
        <v>360</v>
      </c>
      <c r="J621" s="55" t="s">
        <v>360</v>
      </c>
      <c r="K621" s="55" t="s">
        <v>360</v>
      </c>
      <c r="L621" s="55" t="s">
        <v>360</v>
      </c>
      <c r="M621" s="55" t="s">
        <v>144</v>
      </c>
      <c r="N621" s="55" t="s">
        <v>144</v>
      </c>
      <c r="O621" s="55" t="s">
        <v>188</v>
      </c>
      <c r="P621" s="55" t="s">
        <v>188</v>
      </c>
      <c r="Q621" s="55" t="s">
        <v>350</v>
      </c>
      <c r="R621" s="55">
        <v>4</v>
      </c>
      <c r="S621" s="55"/>
      <c r="T621" s="55" t="s">
        <v>1365</v>
      </c>
    </row>
    <row r="622" spans="1:20" ht="13" x14ac:dyDescent="0.15">
      <c r="A622" s="72" t="str">
        <f t="shared" si="9"/>
        <v>Ofsted Social Care Provider Webpage</v>
      </c>
      <c r="B622" s="55">
        <v>2495371</v>
      </c>
      <c r="D622" s="55" t="s">
        <v>373</v>
      </c>
      <c r="E622" s="74">
        <v>43383</v>
      </c>
      <c r="F622" s="55" t="s">
        <v>344</v>
      </c>
      <c r="G622" s="55" t="s">
        <v>360</v>
      </c>
      <c r="H622" s="55" t="s">
        <v>360</v>
      </c>
      <c r="I622" s="55" t="s">
        <v>360</v>
      </c>
      <c r="J622" s="55" t="s">
        <v>360</v>
      </c>
      <c r="K622" s="55" t="s">
        <v>360</v>
      </c>
      <c r="L622" s="55" t="s">
        <v>360</v>
      </c>
      <c r="M622" s="55" t="s">
        <v>172</v>
      </c>
      <c r="N622" s="55" t="s">
        <v>172</v>
      </c>
      <c r="O622" s="55" t="s">
        <v>228</v>
      </c>
      <c r="P622" s="55" t="s">
        <v>423</v>
      </c>
      <c r="Q622" s="55" t="s">
        <v>350</v>
      </c>
      <c r="R622" s="55">
        <v>3</v>
      </c>
      <c r="S622" s="55"/>
      <c r="T622" s="55" t="s">
        <v>1366</v>
      </c>
    </row>
    <row r="623" spans="1:20" ht="13" x14ac:dyDescent="0.15">
      <c r="A623" s="72" t="str">
        <f t="shared" si="9"/>
        <v>Ofsted Social Care Provider Webpage</v>
      </c>
      <c r="B623" s="55">
        <v>2495375</v>
      </c>
      <c r="D623" s="55" t="s">
        <v>373</v>
      </c>
      <c r="E623" s="74">
        <v>43423</v>
      </c>
      <c r="F623" s="55" t="s">
        <v>344</v>
      </c>
      <c r="G623" s="55" t="s">
        <v>360</v>
      </c>
      <c r="H623" s="55" t="s">
        <v>360</v>
      </c>
      <c r="I623" s="55" t="s">
        <v>360</v>
      </c>
      <c r="J623" s="55" t="s">
        <v>360</v>
      </c>
      <c r="K623" s="55" t="s">
        <v>360</v>
      </c>
      <c r="L623" s="55" t="s">
        <v>360</v>
      </c>
      <c r="M623" s="55" t="s">
        <v>129</v>
      </c>
      <c r="N623" s="55" t="s">
        <v>129</v>
      </c>
      <c r="O623" s="55" t="s">
        <v>280</v>
      </c>
      <c r="P623" s="55" t="s">
        <v>1367</v>
      </c>
      <c r="Q623" s="55" t="s">
        <v>362</v>
      </c>
      <c r="R623" s="55">
        <v>9</v>
      </c>
      <c r="S623" s="55"/>
      <c r="T623" s="55" t="s">
        <v>432</v>
      </c>
    </row>
    <row r="624" spans="1:20" ht="13" x14ac:dyDescent="0.15">
      <c r="A624" s="72" t="str">
        <f t="shared" si="9"/>
        <v>Ofsted Social Care Provider Webpage</v>
      </c>
      <c r="B624" s="55">
        <v>2495377</v>
      </c>
      <c r="D624" s="55" t="s">
        <v>479</v>
      </c>
      <c r="E624" s="74">
        <v>43369</v>
      </c>
      <c r="F624" s="55" t="s">
        <v>344</v>
      </c>
      <c r="G624" s="55" t="s">
        <v>360</v>
      </c>
      <c r="H624" s="55" t="s">
        <v>360</v>
      </c>
      <c r="I624" s="55" t="s">
        <v>360</v>
      </c>
      <c r="J624" s="55" t="s">
        <v>360</v>
      </c>
      <c r="K624" s="55" t="s">
        <v>360</v>
      </c>
      <c r="L624" s="55" t="s">
        <v>360</v>
      </c>
      <c r="M624" s="55" t="s">
        <v>138</v>
      </c>
      <c r="N624" s="55" t="s">
        <v>138</v>
      </c>
      <c r="O624" s="55" t="s">
        <v>196</v>
      </c>
      <c r="P624" s="55" t="s">
        <v>1368</v>
      </c>
      <c r="Q624" s="55" t="s">
        <v>362</v>
      </c>
      <c r="R624" s="55">
        <v>58</v>
      </c>
      <c r="S624" s="55"/>
      <c r="T624" s="55" t="s">
        <v>1369</v>
      </c>
    </row>
    <row r="625" spans="1:20" ht="13" x14ac:dyDescent="0.15">
      <c r="A625" s="72" t="str">
        <f t="shared" si="9"/>
        <v>Ofsted Social Care Provider Webpage</v>
      </c>
      <c r="B625" s="55">
        <v>2495397</v>
      </c>
      <c r="D625" s="55" t="s">
        <v>373</v>
      </c>
      <c r="E625" s="74">
        <v>43376</v>
      </c>
      <c r="F625" s="55" t="s">
        <v>344</v>
      </c>
      <c r="G625" s="55" t="s">
        <v>360</v>
      </c>
      <c r="H625" s="55" t="s">
        <v>360</v>
      </c>
      <c r="I625" s="55" t="s">
        <v>360</v>
      </c>
      <c r="J625" s="55" t="s">
        <v>360</v>
      </c>
      <c r="K625" s="55" t="s">
        <v>360</v>
      </c>
      <c r="L625" s="55" t="s">
        <v>360</v>
      </c>
      <c r="M625" s="55" t="s">
        <v>144</v>
      </c>
      <c r="N625" s="55" t="s">
        <v>144</v>
      </c>
      <c r="O625" s="55" t="s">
        <v>209</v>
      </c>
      <c r="P625" s="55" t="s">
        <v>544</v>
      </c>
      <c r="Q625" s="55" t="s">
        <v>350</v>
      </c>
      <c r="R625" s="55">
        <v>2</v>
      </c>
      <c r="S625" s="55"/>
      <c r="T625" s="55" t="s">
        <v>816</v>
      </c>
    </row>
    <row r="626" spans="1:20" ht="13" x14ac:dyDescent="0.15">
      <c r="A626" s="72" t="str">
        <f t="shared" si="9"/>
        <v>Ofsted Social Care Provider Webpage</v>
      </c>
      <c r="B626" s="55">
        <v>2495504</v>
      </c>
      <c r="D626" s="55" t="s">
        <v>373</v>
      </c>
      <c r="E626" s="74">
        <v>43382</v>
      </c>
      <c r="F626" s="55" t="s">
        <v>344</v>
      </c>
      <c r="G626" s="55" t="s">
        <v>360</v>
      </c>
      <c r="H626" s="55" t="s">
        <v>360</v>
      </c>
      <c r="I626" s="55" t="s">
        <v>360</v>
      </c>
      <c r="J626" s="55" t="s">
        <v>360</v>
      </c>
      <c r="K626" s="55" t="s">
        <v>360</v>
      </c>
      <c r="L626" s="55" t="s">
        <v>360</v>
      </c>
      <c r="M626" s="55" t="s">
        <v>172</v>
      </c>
      <c r="N626" s="55" t="s">
        <v>172</v>
      </c>
      <c r="O626" s="55" t="s">
        <v>173</v>
      </c>
      <c r="P626" s="55" t="s">
        <v>1069</v>
      </c>
      <c r="Q626" s="55" t="s">
        <v>350</v>
      </c>
      <c r="R626" s="55">
        <v>1</v>
      </c>
      <c r="S626" s="55"/>
      <c r="T626" s="55" t="s">
        <v>1370</v>
      </c>
    </row>
    <row r="627" spans="1:20" ht="13" x14ac:dyDescent="0.15">
      <c r="A627" s="72" t="str">
        <f t="shared" si="9"/>
        <v>Ofsted Social Care Provider Webpage</v>
      </c>
      <c r="B627" s="55">
        <v>2495513</v>
      </c>
      <c r="D627" s="55" t="s">
        <v>373</v>
      </c>
      <c r="E627" s="74">
        <v>43452</v>
      </c>
      <c r="F627" s="55" t="s">
        <v>344</v>
      </c>
      <c r="G627" s="55" t="s">
        <v>360</v>
      </c>
      <c r="H627" s="55" t="s">
        <v>360</v>
      </c>
      <c r="I627" s="55" t="s">
        <v>360</v>
      </c>
      <c r="J627" s="55" t="s">
        <v>360</v>
      </c>
      <c r="K627" s="55" t="s">
        <v>360</v>
      </c>
      <c r="L627" s="55" t="s">
        <v>360</v>
      </c>
      <c r="M627" s="55" t="s">
        <v>144</v>
      </c>
      <c r="N627" s="55" t="s">
        <v>144</v>
      </c>
      <c r="O627" s="55" t="s">
        <v>145</v>
      </c>
      <c r="P627" s="55" t="s">
        <v>525</v>
      </c>
      <c r="Q627" s="55" t="s">
        <v>350</v>
      </c>
      <c r="R627" s="55">
        <v>2</v>
      </c>
      <c r="S627" s="55"/>
      <c r="T627" s="55" t="s">
        <v>485</v>
      </c>
    </row>
    <row r="628" spans="1:20" ht="13" x14ac:dyDescent="0.15">
      <c r="A628" s="72" t="str">
        <f t="shared" si="9"/>
        <v>Ofsted Social Care Provider Webpage</v>
      </c>
      <c r="B628" s="55">
        <v>2495951</v>
      </c>
      <c r="D628" s="55" t="s">
        <v>373</v>
      </c>
      <c r="E628" s="74">
        <v>43389</v>
      </c>
      <c r="F628" s="55" t="s">
        <v>344</v>
      </c>
      <c r="G628" s="55" t="s">
        <v>360</v>
      </c>
      <c r="H628" s="55" t="s">
        <v>360</v>
      </c>
      <c r="I628" s="55" t="s">
        <v>360</v>
      </c>
      <c r="J628" s="55" t="s">
        <v>360</v>
      </c>
      <c r="K628" s="55" t="s">
        <v>360</v>
      </c>
      <c r="L628" s="55" t="s">
        <v>360</v>
      </c>
      <c r="M628" s="55" t="s">
        <v>172</v>
      </c>
      <c r="N628" s="55" t="s">
        <v>172</v>
      </c>
      <c r="O628" s="55" t="s">
        <v>212</v>
      </c>
      <c r="P628" s="55" t="s">
        <v>842</v>
      </c>
      <c r="Q628" s="55" t="s">
        <v>350</v>
      </c>
      <c r="R628" s="55">
        <v>3</v>
      </c>
      <c r="S628" s="55"/>
      <c r="T628" s="55" t="s">
        <v>950</v>
      </c>
    </row>
    <row r="629" spans="1:20" ht="13" x14ac:dyDescent="0.15">
      <c r="A629" s="72" t="str">
        <f t="shared" si="9"/>
        <v>Ofsted Social Care Provider Webpage</v>
      </c>
      <c r="B629" s="55">
        <v>2495967</v>
      </c>
      <c r="D629" s="55" t="s">
        <v>373</v>
      </c>
      <c r="E629" s="74">
        <v>43535</v>
      </c>
      <c r="F629" s="55" t="s">
        <v>344</v>
      </c>
      <c r="G629" s="55" t="s">
        <v>360</v>
      </c>
      <c r="H629" s="55" t="s">
        <v>360</v>
      </c>
      <c r="I629" s="55" t="s">
        <v>360</v>
      </c>
      <c r="J629" s="55" t="s">
        <v>360</v>
      </c>
      <c r="K629" s="55" t="s">
        <v>360</v>
      </c>
      <c r="L629" s="55" t="s">
        <v>360</v>
      </c>
      <c r="M629" s="55" t="s">
        <v>142</v>
      </c>
      <c r="N629" s="55" t="s">
        <v>142</v>
      </c>
      <c r="O629" s="55" t="s">
        <v>262</v>
      </c>
      <c r="P629" s="55" t="s">
        <v>488</v>
      </c>
      <c r="Q629" s="55" t="s">
        <v>350</v>
      </c>
      <c r="R629" s="55">
        <v>3</v>
      </c>
      <c r="S629" s="55"/>
      <c r="T629" s="55" t="s">
        <v>1371</v>
      </c>
    </row>
    <row r="630" spans="1:20" ht="13" x14ac:dyDescent="0.15">
      <c r="A630" s="72" t="str">
        <f t="shared" si="9"/>
        <v>Ofsted Social Care Provider Webpage</v>
      </c>
      <c r="B630" s="55">
        <v>2496251</v>
      </c>
      <c r="D630" s="55" t="s">
        <v>373</v>
      </c>
      <c r="E630" s="74">
        <v>43409</v>
      </c>
      <c r="F630" s="55" t="s">
        <v>344</v>
      </c>
      <c r="G630" s="55" t="s">
        <v>360</v>
      </c>
      <c r="H630" s="55" t="s">
        <v>360</v>
      </c>
      <c r="I630" s="55" t="s">
        <v>360</v>
      </c>
      <c r="J630" s="55" t="s">
        <v>360</v>
      </c>
      <c r="K630" s="55" t="s">
        <v>360</v>
      </c>
      <c r="L630" s="55" t="s">
        <v>360</v>
      </c>
      <c r="M630" s="55" t="s">
        <v>144</v>
      </c>
      <c r="N630" s="55" t="s">
        <v>144</v>
      </c>
      <c r="O630" s="55" t="s">
        <v>250</v>
      </c>
      <c r="P630" s="55" t="s">
        <v>1372</v>
      </c>
      <c r="Q630" s="55" t="s">
        <v>350</v>
      </c>
      <c r="R630" s="55">
        <v>4</v>
      </c>
      <c r="S630" s="55"/>
      <c r="T630" s="55" t="s">
        <v>1373</v>
      </c>
    </row>
    <row r="631" spans="1:20" ht="13" x14ac:dyDescent="0.15">
      <c r="A631" s="72" t="str">
        <f t="shared" si="9"/>
        <v>Ofsted Social Care Provider Webpage</v>
      </c>
      <c r="B631" s="55">
        <v>2496625</v>
      </c>
      <c r="D631" s="55" t="s">
        <v>373</v>
      </c>
      <c r="E631" s="74">
        <v>43410</v>
      </c>
      <c r="F631" s="55" t="s">
        <v>344</v>
      </c>
      <c r="G631" s="55" t="s">
        <v>360</v>
      </c>
      <c r="H631" s="55" t="s">
        <v>360</v>
      </c>
      <c r="I631" s="55" t="s">
        <v>360</v>
      </c>
      <c r="J631" s="55" t="s">
        <v>360</v>
      </c>
      <c r="K631" s="55" t="s">
        <v>360</v>
      </c>
      <c r="L631" s="55" t="s">
        <v>360</v>
      </c>
      <c r="M631" s="55" t="s">
        <v>378</v>
      </c>
      <c r="N631" s="55" t="s">
        <v>170</v>
      </c>
      <c r="O631" s="55" t="s">
        <v>184</v>
      </c>
      <c r="P631" s="55" t="s">
        <v>184</v>
      </c>
      <c r="Q631" s="55" t="s">
        <v>350</v>
      </c>
      <c r="R631" s="55">
        <v>2</v>
      </c>
      <c r="S631" s="55"/>
      <c r="T631" s="55" t="s">
        <v>385</v>
      </c>
    </row>
    <row r="632" spans="1:20" ht="13" x14ac:dyDescent="0.15">
      <c r="A632" s="72" t="str">
        <f t="shared" si="9"/>
        <v>Ofsted Social Care Provider Webpage</v>
      </c>
      <c r="B632" s="55">
        <v>2496627</v>
      </c>
      <c r="D632" s="55" t="s">
        <v>373</v>
      </c>
      <c r="E632" s="74">
        <v>43402</v>
      </c>
      <c r="F632" s="55" t="s">
        <v>344</v>
      </c>
      <c r="G632" s="55" t="s">
        <v>360</v>
      </c>
      <c r="H632" s="55" t="s">
        <v>360</v>
      </c>
      <c r="I632" s="55" t="s">
        <v>360</v>
      </c>
      <c r="J632" s="55" t="s">
        <v>360</v>
      </c>
      <c r="K632" s="55" t="s">
        <v>360</v>
      </c>
      <c r="L632" s="55" t="s">
        <v>360</v>
      </c>
      <c r="M632" s="55" t="s">
        <v>378</v>
      </c>
      <c r="N632" s="55" t="s">
        <v>170</v>
      </c>
      <c r="O632" s="55" t="s">
        <v>178</v>
      </c>
      <c r="P632" s="55" t="s">
        <v>1374</v>
      </c>
      <c r="Q632" s="55" t="s">
        <v>350</v>
      </c>
      <c r="R632" s="55">
        <v>3</v>
      </c>
      <c r="S632" s="55"/>
      <c r="T632" s="55" t="s">
        <v>435</v>
      </c>
    </row>
    <row r="633" spans="1:20" ht="13" x14ac:dyDescent="0.15">
      <c r="A633" s="72" t="str">
        <f t="shared" si="9"/>
        <v>Ofsted Social Care Provider Webpage</v>
      </c>
      <c r="B633" s="55">
        <v>2496764</v>
      </c>
      <c r="D633" s="55" t="s">
        <v>373</v>
      </c>
      <c r="E633" s="74">
        <v>43432</v>
      </c>
      <c r="F633" s="55" t="s">
        <v>344</v>
      </c>
      <c r="G633" s="55" t="s">
        <v>360</v>
      </c>
      <c r="H633" s="55" t="s">
        <v>360</v>
      </c>
      <c r="I633" s="55" t="s">
        <v>360</v>
      </c>
      <c r="J633" s="55" t="s">
        <v>360</v>
      </c>
      <c r="K633" s="55" t="s">
        <v>360</v>
      </c>
      <c r="L633" s="55" t="s">
        <v>360</v>
      </c>
      <c r="M633" s="55" t="s">
        <v>172</v>
      </c>
      <c r="N633" s="55" t="s">
        <v>172</v>
      </c>
      <c r="O633" s="55" t="s">
        <v>234</v>
      </c>
      <c r="P633" s="55" t="s">
        <v>965</v>
      </c>
      <c r="Q633" s="55" t="s">
        <v>350</v>
      </c>
      <c r="R633" s="55">
        <v>4</v>
      </c>
      <c r="S633" s="55"/>
      <c r="T633" s="55" t="s">
        <v>1375</v>
      </c>
    </row>
    <row r="634" spans="1:20" ht="13" x14ac:dyDescent="0.15">
      <c r="A634" s="72" t="str">
        <f t="shared" si="9"/>
        <v>Ofsted Social Care Provider Webpage</v>
      </c>
      <c r="B634" s="55">
        <v>2496864</v>
      </c>
      <c r="D634" s="55" t="s">
        <v>373</v>
      </c>
      <c r="E634" s="74">
        <v>43349</v>
      </c>
      <c r="F634" s="55" t="s">
        <v>344</v>
      </c>
      <c r="G634" s="55" t="s">
        <v>360</v>
      </c>
      <c r="H634" s="55" t="s">
        <v>360</v>
      </c>
      <c r="I634" s="55" t="s">
        <v>360</v>
      </c>
      <c r="J634" s="55" t="s">
        <v>360</v>
      </c>
      <c r="K634" s="55" t="s">
        <v>360</v>
      </c>
      <c r="L634" s="55" t="s">
        <v>360</v>
      </c>
      <c r="M634" s="55" t="s">
        <v>378</v>
      </c>
      <c r="N634" s="55" t="s">
        <v>170</v>
      </c>
      <c r="O634" s="55" t="s">
        <v>233</v>
      </c>
      <c r="P634" s="55" t="s">
        <v>1376</v>
      </c>
      <c r="Q634" s="55" t="s">
        <v>350</v>
      </c>
      <c r="R634" s="55">
        <v>2</v>
      </c>
      <c r="S634" s="55"/>
      <c r="T634" s="55" t="s">
        <v>385</v>
      </c>
    </row>
    <row r="635" spans="1:20" ht="13" x14ac:dyDescent="0.15">
      <c r="A635" s="72" t="str">
        <f t="shared" si="9"/>
        <v>Ofsted Social Care Provider Webpage</v>
      </c>
      <c r="B635" s="55">
        <v>2497049</v>
      </c>
      <c r="D635" s="55" t="s">
        <v>373</v>
      </c>
      <c r="E635" s="74">
        <v>43558</v>
      </c>
      <c r="F635" s="55" t="s">
        <v>344</v>
      </c>
      <c r="G635" s="55" t="s">
        <v>360</v>
      </c>
      <c r="H635" s="55" t="s">
        <v>360</v>
      </c>
      <c r="I635" s="55" t="s">
        <v>360</v>
      </c>
      <c r="J635" s="55" t="s">
        <v>360</v>
      </c>
      <c r="K635" s="55" t="s">
        <v>360</v>
      </c>
      <c r="L635" s="55" t="s">
        <v>360</v>
      </c>
      <c r="M635" s="55" t="s">
        <v>142</v>
      </c>
      <c r="N635" s="55" t="s">
        <v>142</v>
      </c>
      <c r="O635" s="55" t="s">
        <v>141</v>
      </c>
      <c r="P635" s="55" t="s">
        <v>612</v>
      </c>
      <c r="Q635" s="55" t="s">
        <v>350</v>
      </c>
      <c r="R635" s="55">
        <v>2</v>
      </c>
      <c r="S635" s="55"/>
      <c r="T635" s="55" t="s">
        <v>1377</v>
      </c>
    </row>
    <row r="636" spans="1:20" ht="13" x14ac:dyDescent="0.15">
      <c r="A636" s="72" t="str">
        <f t="shared" si="9"/>
        <v>Ofsted Social Care Provider Webpage</v>
      </c>
      <c r="B636" s="55">
        <v>2497538</v>
      </c>
      <c r="D636" s="55" t="s">
        <v>373</v>
      </c>
      <c r="E636" s="74">
        <v>43511</v>
      </c>
      <c r="F636" s="55" t="s">
        <v>344</v>
      </c>
      <c r="G636" s="55" t="s">
        <v>360</v>
      </c>
      <c r="H636" s="55" t="s">
        <v>360</v>
      </c>
      <c r="I636" s="55" t="s">
        <v>360</v>
      </c>
      <c r="J636" s="55" t="s">
        <v>360</v>
      </c>
      <c r="K636" s="55" t="s">
        <v>360</v>
      </c>
      <c r="L636" s="55" t="s">
        <v>360</v>
      </c>
      <c r="M636" s="55" t="s">
        <v>138</v>
      </c>
      <c r="N636" s="55" t="s">
        <v>138</v>
      </c>
      <c r="O636" s="55" t="s">
        <v>159</v>
      </c>
      <c r="P636" s="55" t="s">
        <v>1025</v>
      </c>
      <c r="Q636" s="55" t="s">
        <v>350</v>
      </c>
      <c r="R636" s="55">
        <v>5</v>
      </c>
      <c r="S636" s="55"/>
      <c r="T636" s="55" t="s">
        <v>1378</v>
      </c>
    </row>
    <row r="637" spans="1:20" ht="13" x14ac:dyDescent="0.15">
      <c r="A637" s="72" t="str">
        <f t="shared" si="9"/>
        <v>Ofsted Social Care Provider Webpage</v>
      </c>
      <c r="B637" s="55">
        <v>2497676</v>
      </c>
      <c r="D637" s="55" t="s">
        <v>389</v>
      </c>
      <c r="E637" s="74">
        <v>43616</v>
      </c>
      <c r="F637" s="55" t="s">
        <v>344</v>
      </c>
      <c r="G637" s="55" t="s">
        <v>1379</v>
      </c>
      <c r="H637" s="55" t="s">
        <v>1380</v>
      </c>
      <c r="I637" s="55" t="s">
        <v>1381</v>
      </c>
      <c r="J637" s="55" t="s">
        <v>252</v>
      </c>
      <c r="L637" s="55" t="s">
        <v>1382</v>
      </c>
      <c r="M637" s="55" t="s">
        <v>142</v>
      </c>
      <c r="N637" s="55" t="s">
        <v>142</v>
      </c>
      <c r="O637" s="55" t="s">
        <v>252</v>
      </c>
      <c r="P637" s="55" t="s">
        <v>386</v>
      </c>
      <c r="Q637" s="55" t="s">
        <v>350</v>
      </c>
      <c r="R637" s="55"/>
      <c r="S637" s="55"/>
      <c r="T637" s="55" t="s">
        <v>1379</v>
      </c>
    </row>
    <row r="638" spans="1:20" ht="13" x14ac:dyDescent="0.15">
      <c r="A638" s="72" t="str">
        <f t="shared" si="9"/>
        <v>Ofsted Social Care Provider Webpage</v>
      </c>
      <c r="B638" s="55">
        <v>2499314</v>
      </c>
      <c r="D638" s="55" t="s">
        <v>468</v>
      </c>
      <c r="E638" s="74">
        <v>43378</v>
      </c>
      <c r="F638" s="55" t="s">
        <v>344</v>
      </c>
      <c r="G638" s="55" t="s">
        <v>1383</v>
      </c>
      <c r="H638" s="55" t="s">
        <v>1384</v>
      </c>
      <c r="I638" s="55" t="s">
        <v>1385</v>
      </c>
      <c r="J638" s="55" t="s">
        <v>1386</v>
      </c>
      <c r="K638" s="55" t="s">
        <v>288</v>
      </c>
      <c r="L638" s="55" t="s">
        <v>1387</v>
      </c>
      <c r="M638" s="55" t="s">
        <v>136</v>
      </c>
      <c r="N638" s="55" t="s">
        <v>136</v>
      </c>
      <c r="O638" s="55" t="s">
        <v>288</v>
      </c>
      <c r="P638" s="55" t="s">
        <v>1388</v>
      </c>
      <c r="Q638" s="55" t="s">
        <v>380</v>
      </c>
      <c r="R638" s="55"/>
      <c r="S638" s="55"/>
      <c r="T638" s="55" t="s">
        <v>1389</v>
      </c>
    </row>
    <row r="639" spans="1:20" ht="13" x14ac:dyDescent="0.15">
      <c r="A639" s="72" t="str">
        <f t="shared" si="9"/>
        <v>Ofsted Social Care Provider Webpage</v>
      </c>
      <c r="B639" s="55">
        <v>2500044</v>
      </c>
      <c r="D639" s="55" t="s">
        <v>373</v>
      </c>
      <c r="E639" s="74">
        <v>43447</v>
      </c>
      <c r="F639" s="55" t="s">
        <v>344</v>
      </c>
      <c r="G639" s="55" t="s">
        <v>360</v>
      </c>
      <c r="H639" s="55" t="s">
        <v>360</v>
      </c>
      <c r="I639" s="55" t="s">
        <v>360</v>
      </c>
      <c r="J639" s="55" t="s">
        <v>360</v>
      </c>
      <c r="K639" s="55" t="s">
        <v>360</v>
      </c>
      <c r="L639" s="55" t="s">
        <v>360</v>
      </c>
      <c r="M639" s="55" t="s">
        <v>172</v>
      </c>
      <c r="N639" s="55" t="s">
        <v>172</v>
      </c>
      <c r="O639" s="55" t="s">
        <v>173</v>
      </c>
      <c r="P639" s="55" t="s">
        <v>1069</v>
      </c>
      <c r="Q639" s="55" t="s">
        <v>350</v>
      </c>
      <c r="R639" s="55">
        <v>2</v>
      </c>
      <c r="S639" s="55"/>
      <c r="T639" s="55" t="s">
        <v>861</v>
      </c>
    </row>
    <row r="640" spans="1:20" ht="13" x14ac:dyDescent="0.15">
      <c r="A640" s="72" t="str">
        <f t="shared" si="9"/>
        <v>Ofsted Social Care Provider Webpage</v>
      </c>
      <c r="B640" s="55">
        <v>2500324</v>
      </c>
      <c r="D640" s="55" t="s">
        <v>389</v>
      </c>
      <c r="E640" s="74">
        <v>43518</v>
      </c>
      <c r="F640" s="55" t="s">
        <v>344</v>
      </c>
      <c r="G640" s="55" t="s">
        <v>1390</v>
      </c>
      <c r="H640" s="55" t="s">
        <v>1391</v>
      </c>
      <c r="I640" s="55" t="s">
        <v>1392</v>
      </c>
      <c r="J640" s="55" t="s">
        <v>1393</v>
      </c>
      <c r="K640" s="55" t="s">
        <v>1240</v>
      </c>
      <c r="L640" s="55" t="s">
        <v>1394</v>
      </c>
      <c r="M640" s="55" t="s">
        <v>378</v>
      </c>
      <c r="N640" s="55" t="s">
        <v>134</v>
      </c>
      <c r="O640" s="55" t="s">
        <v>175</v>
      </c>
      <c r="P640" s="55" t="s">
        <v>666</v>
      </c>
      <c r="Q640" s="55" t="s">
        <v>350</v>
      </c>
      <c r="R640" s="55"/>
      <c r="S640" s="55"/>
      <c r="T640" s="55" t="s">
        <v>1395</v>
      </c>
    </row>
    <row r="641" spans="1:20" ht="13" x14ac:dyDescent="0.15">
      <c r="A641" s="72" t="str">
        <f t="shared" si="9"/>
        <v>Ofsted Social Care Provider Webpage</v>
      </c>
      <c r="B641" s="55">
        <v>2500668</v>
      </c>
      <c r="D641" s="55" t="s">
        <v>373</v>
      </c>
      <c r="E641" s="74">
        <v>43376</v>
      </c>
      <c r="F641" s="55" t="s">
        <v>344</v>
      </c>
      <c r="G641" s="55" t="s">
        <v>360</v>
      </c>
      <c r="H641" s="55" t="s">
        <v>360</v>
      </c>
      <c r="I641" s="55" t="s">
        <v>360</v>
      </c>
      <c r="J641" s="55" t="s">
        <v>360</v>
      </c>
      <c r="K641" s="55" t="s">
        <v>360</v>
      </c>
      <c r="L641" s="55" t="s">
        <v>360</v>
      </c>
      <c r="M641" s="55" t="s">
        <v>144</v>
      </c>
      <c r="N641" s="55" t="s">
        <v>144</v>
      </c>
      <c r="O641" s="55" t="s">
        <v>215</v>
      </c>
      <c r="P641" s="55" t="s">
        <v>1008</v>
      </c>
      <c r="Q641" s="55" t="s">
        <v>350</v>
      </c>
      <c r="R641" s="55">
        <v>3</v>
      </c>
      <c r="S641" s="55"/>
      <c r="T641" s="55" t="s">
        <v>793</v>
      </c>
    </row>
    <row r="642" spans="1:20" ht="13" x14ac:dyDescent="0.15">
      <c r="A642" s="72" t="str">
        <f t="shared" si="9"/>
        <v>Ofsted Social Care Provider Webpage</v>
      </c>
      <c r="B642" s="55">
        <v>2501397</v>
      </c>
      <c r="D642" s="55" t="s">
        <v>373</v>
      </c>
      <c r="E642" s="74">
        <v>43437</v>
      </c>
      <c r="F642" s="55" t="s">
        <v>344</v>
      </c>
      <c r="G642" s="55" t="s">
        <v>360</v>
      </c>
      <c r="H642" s="55" t="s">
        <v>360</v>
      </c>
      <c r="I642" s="55" t="s">
        <v>360</v>
      </c>
      <c r="J642" s="55" t="s">
        <v>360</v>
      </c>
      <c r="K642" s="55" t="s">
        <v>360</v>
      </c>
      <c r="L642" s="55" t="s">
        <v>360</v>
      </c>
      <c r="M642" s="55" t="s">
        <v>172</v>
      </c>
      <c r="N642" s="55" t="s">
        <v>172</v>
      </c>
      <c r="O642" s="55" t="s">
        <v>235</v>
      </c>
      <c r="P642" s="55" t="s">
        <v>1396</v>
      </c>
      <c r="Q642" s="55" t="s">
        <v>350</v>
      </c>
      <c r="R642" s="55">
        <v>1</v>
      </c>
      <c r="S642" s="55"/>
      <c r="T642" s="55" t="s">
        <v>517</v>
      </c>
    </row>
    <row r="643" spans="1:20" ht="13" x14ac:dyDescent="0.15">
      <c r="A643" s="72" t="str">
        <f t="shared" si="9"/>
        <v>Ofsted Social Care Provider Webpage</v>
      </c>
      <c r="B643" s="55">
        <v>2501555</v>
      </c>
      <c r="D643" s="55" t="s">
        <v>479</v>
      </c>
      <c r="E643" s="74">
        <v>43528</v>
      </c>
      <c r="F643" s="55" t="s">
        <v>344</v>
      </c>
      <c r="G643" s="55" t="s">
        <v>360</v>
      </c>
      <c r="H643" s="55" t="s">
        <v>360</v>
      </c>
      <c r="I643" s="55" t="s">
        <v>360</v>
      </c>
      <c r="J643" s="55" t="s">
        <v>360</v>
      </c>
      <c r="K643" s="55" t="s">
        <v>360</v>
      </c>
      <c r="L643" s="55" t="s">
        <v>360</v>
      </c>
      <c r="M643" s="55" t="s">
        <v>142</v>
      </c>
      <c r="N643" s="55" t="s">
        <v>142</v>
      </c>
      <c r="O643" s="55" t="s">
        <v>252</v>
      </c>
      <c r="P643" s="55" t="s">
        <v>503</v>
      </c>
      <c r="Q643" s="55" t="s">
        <v>350</v>
      </c>
      <c r="R643" s="55">
        <v>15</v>
      </c>
      <c r="S643" s="55"/>
      <c r="T643" s="55" t="s">
        <v>1260</v>
      </c>
    </row>
    <row r="644" spans="1:20" ht="13" x14ac:dyDescent="0.15">
      <c r="A644" s="72" t="str">
        <f t="shared" si="9"/>
        <v>Ofsted Social Care Provider Webpage</v>
      </c>
      <c r="B644" s="55">
        <v>2501566</v>
      </c>
      <c r="D644" s="55" t="s">
        <v>373</v>
      </c>
      <c r="E644" s="74">
        <v>43517</v>
      </c>
      <c r="F644" s="55" t="s">
        <v>344</v>
      </c>
      <c r="G644" s="55" t="s">
        <v>360</v>
      </c>
      <c r="H644" s="55" t="s">
        <v>360</v>
      </c>
      <c r="I644" s="55" t="s">
        <v>360</v>
      </c>
      <c r="J644" s="55" t="s">
        <v>360</v>
      </c>
      <c r="K644" s="55" t="s">
        <v>360</v>
      </c>
      <c r="L644" s="55" t="s">
        <v>360</v>
      </c>
      <c r="M644" s="55" t="s">
        <v>142</v>
      </c>
      <c r="N644" s="55" t="s">
        <v>142</v>
      </c>
      <c r="O644" s="55" t="s">
        <v>262</v>
      </c>
      <c r="P644" s="55" t="s">
        <v>618</v>
      </c>
      <c r="Q644" s="55" t="s">
        <v>350</v>
      </c>
      <c r="R644" s="55">
        <v>3</v>
      </c>
      <c r="S644" s="55"/>
      <c r="T644" s="55" t="s">
        <v>1397</v>
      </c>
    </row>
    <row r="645" spans="1:20" ht="13" x14ac:dyDescent="0.15">
      <c r="A645" s="72" t="str">
        <f t="shared" ref="A645:A708" si="10">HYPERLINK(_xlfn.CONCAT("http://reports.ofsted.gov.uk/inspection-reports/find-inspection-report/provider/CARE/",B645),"Ofsted Social Care Provider Webpage")</f>
        <v>Ofsted Social Care Provider Webpage</v>
      </c>
      <c r="B645" s="55">
        <v>2501791</v>
      </c>
      <c r="D645" s="55" t="s">
        <v>373</v>
      </c>
      <c r="E645" s="74">
        <v>43658</v>
      </c>
      <c r="F645" s="55" t="s">
        <v>344</v>
      </c>
      <c r="G645" s="55" t="s">
        <v>360</v>
      </c>
      <c r="H645" s="55" t="s">
        <v>360</v>
      </c>
      <c r="I645" s="55" t="s">
        <v>360</v>
      </c>
      <c r="J645" s="55" t="s">
        <v>360</v>
      </c>
      <c r="K645" s="55" t="s">
        <v>360</v>
      </c>
      <c r="L645" s="55" t="s">
        <v>360</v>
      </c>
      <c r="M645" s="55" t="s">
        <v>150</v>
      </c>
      <c r="N645" s="55" t="s">
        <v>150</v>
      </c>
      <c r="O645" s="55" t="s">
        <v>203</v>
      </c>
      <c r="P645" s="55" t="s">
        <v>853</v>
      </c>
      <c r="Q645" s="55" t="s">
        <v>350</v>
      </c>
      <c r="R645" s="55">
        <v>3</v>
      </c>
      <c r="S645" s="55"/>
      <c r="T645" s="55" t="s">
        <v>517</v>
      </c>
    </row>
    <row r="646" spans="1:20" ht="13" x14ac:dyDescent="0.15">
      <c r="A646" s="72" t="str">
        <f t="shared" si="10"/>
        <v>Ofsted Social Care Provider Webpage</v>
      </c>
      <c r="B646" s="55">
        <v>2502176</v>
      </c>
      <c r="D646" s="55" t="s">
        <v>373</v>
      </c>
      <c r="E646" s="74">
        <v>43469</v>
      </c>
      <c r="F646" s="55" t="s">
        <v>344</v>
      </c>
      <c r="G646" s="55" t="s">
        <v>360</v>
      </c>
      <c r="H646" s="55" t="s">
        <v>360</v>
      </c>
      <c r="I646" s="55" t="s">
        <v>360</v>
      </c>
      <c r="J646" s="55" t="s">
        <v>360</v>
      </c>
      <c r="K646" s="55" t="s">
        <v>360</v>
      </c>
      <c r="L646" s="55" t="s">
        <v>360</v>
      </c>
      <c r="M646" s="55" t="s">
        <v>378</v>
      </c>
      <c r="N646" s="55" t="s">
        <v>170</v>
      </c>
      <c r="O646" s="55" t="s">
        <v>178</v>
      </c>
      <c r="P646" s="55" t="s">
        <v>1374</v>
      </c>
      <c r="Q646" s="55" t="s">
        <v>350</v>
      </c>
      <c r="R646" s="55">
        <v>3</v>
      </c>
      <c r="S646" s="55"/>
      <c r="T646" s="55" t="s">
        <v>1398</v>
      </c>
    </row>
    <row r="647" spans="1:20" ht="13" x14ac:dyDescent="0.15">
      <c r="A647" s="72" t="str">
        <f t="shared" si="10"/>
        <v>Ofsted Social Care Provider Webpage</v>
      </c>
      <c r="B647" s="55">
        <v>2502314</v>
      </c>
      <c r="D647" s="55" t="s">
        <v>373</v>
      </c>
      <c r="E647" s="74">
        <v>43494</v>
      </c>
      <c r="F647" s="55" t="s">
        <v>344</v>
      </c>
      <c r="G647" s="55" t="s">
        <v>360</v>
      </c>
      <c r="H647" s="55" t="s">
        <v>360</v>
      </c>
      <c r="I647" s="55" t="s">
        <v>360</v>
      </c>
      <c r="J647" s="55" t="s">
        <v>360</v>
      </c>
      <c r="K647" s="55" t="s">
        <v>360</v>
      </c>
      <c r="L647" s="55" t="s">
        <v>360</v>
      </c>
      <c r="M647" s="55" t="s">
        <v>142</v>
      </c>
      <c r="N647" s="55" t="s">
        <v>142</v>
      </c>
      <c r="O647" s="55" t="s">
        <v>252</v>
      </c>
      <c r="P647" s="55" t="s">
        <v>503</v>
      </c>
      <c r="Q647" s="55" t="s">
        <v>350</v>
      </c>
      <c r="R647" s="55">
        <v>3</v>
      </c>
      <c r="S647" s="55"/>
      <c r="T647" s="55" t="s">
        <v>385</v>
      </c>
    </row>
    <row r="648" spans="1:20" ht="13" x14ac:dyDescent="0.15">
      <c r="A648" s="72" t="str">
        <f t="shared" si="10"/>
        <v>Ofsted Social Care Provider Webpage</v>
      </c>
      <c r="B648" s="55">
        <v>2502331</v>
      </c>
      <c r="D648" s="55" t="s">
        <v>389</v>
      </c>
      <c r="E648" s="74">
        <v>43496</v>
      </c>
      <c r="F648" s="55" t="s">
        <v>344</v>
      </c>
      <c r="G648" s="55" t="s">
        <v>1399</v>
      </c>
      <c r="H648" s="55" t="s">
        <v>1400</v>
      </c>
      <c r="I648" s="55" t="s">
        <v>1401</v>
      </c>
      <c r="J648" s="55" t="s">
        <v>241</v>
      </c>
      <c r="K648" s="55" t="s">
        <v>1402</v>
      </c>
      <c r="L648" s="55" t="s">
        <v>1403</v>
      </c>
      <c r="M648" s="55" t="s">
        <v>150</v>
      </c>
      <c r="N648" s="55" t="s">
        <v>150</v>
      </c>
      <c r="O648" s="55" t="s">
        <v>241</v>
      </c>
      <c r="P648" s="55" t="s">
        <v>486</v>
      </c>
      <c r="Q648" s="55" t="s">
        <v>362</v>
      </c>
      <c r="R648" s="55"/>
      <c r="S648" s="55"/>
      <c r="T648" s="55" t="s">
        <v>1404</v>
      </c>
    </row>
    <row r="649" spans="1:20" ht="13" x14ac:dyDescent="0.15">
      <c r="A649" s="72" t="str">
        <f t="shared" si="10"/>
        <v>Ofsted Social Care Provider Webpage</v>
      </c>
      <c r="B649" s="55">
        <v>2502333</v>
      </c>
      <c r="D649" s="55" t="s">
        <v>373</v>
      </c>
      <c r="E649" s="74">
        <v>43433</v>
      </c>
      <c r="F649" s="55" t="s">
        <v>344</v>
      </c>
      <c r="G649" s="55" t="s">
        <v>360</v>
      </c>
      <c r="H649" s="55" t="s">
        <v>360</v>
      </c>
      <c r="I649" s="55" t="s">
        <v>360</v>
      </c>
      <c r="J649" s="55" t="s">
        <v>360</v>
      </c>
      <c r="K649" s="55" t="s">
        <v>360</v>
      </c>
      <c r="L649" s="55" t="s">
        <v>360</v>
      </c>
      <c r="M649" s="55" t="s">
        <v>150</v>
      </c>
      <c r="N649" s="55" t="s">
        <v>150</v>
      </c>
      <c r="O649" s="55" t="s">
        <v>241</v>
      </c>
      <c r="P649" s="55" t="s">
        <v>486</v>
      </c>
      <c r="Q649" s="55" t="s">
        <v>362</v>
      </c>
      <c r="R649" s="55">
        <v>7</v>
      </c>
      <c r="S649" s="55" t="s">
        <v>332</v>
      </c>
      <c r="T649" s="55" t="s">
        <v>1404</v>
      </c>
    </row>
    <row r="650" spans="1:20" ht="13" x14ac:dyDescent="0.15">
      <c r="A650" s="72" t="str">
        <f t="shared" si="10"/>
        <v>Ofsted Social Care Provider Webpage</v>
      </c>
      <c r="B650" s="55">
        <v>2502334</v>
      </c>
      <c r="D650" s="55" t="s">
        <v>373</v>
      </c>
      <c r="E650" s="74">
        <v>43433</v>
      </c>
      <c r="F650" s="55" t="s">
        <v>344</v>
      </c>
      <c r="G650" s="55" t="s">
        <v>360</v>
      </c>
      <c r="H650" s="55" t="s">
        <v>360</v>
      </c>
      <c r="I650" s="55" t="s">
        <v>360</v>
      </c>
      <c r="J650" s="55" t="s">
        <v>360</v>
      </c>
      <c r="K650" s="55" t="s">
        <v>360</v>
      </c>
      <c r="L650" s="55" t="s">
        <v>360</v>
      </c>
      <c r="M650" s="55" t="s">
        <v>150</v>
      </c>
      <c r="N650" s="55" t="s">
        <v>150</v>
      </c>
      <c r="O650" s="55" t="s">
        <v>241</v>
      </c>
      <c r="P650" s="55" t="s">
        <v>486</v>
      </c>
      <c r="Q650" s="55" t="s">
        <v>362</v>
      </c>
      <c r="R650" s="55">
        <v>5</v>
      </c>
      <c r="S650" s="55"/>
      <c r="T650" s="55" t="s">
        <v>1404</v>
      </c>
    </row>
    <row r="651" spans="1:20" ht="13" x14ac:dyDescent="0.15">
      <c r="A651" s="72" t="str">
        <f t="shared" si="10"/>
        <v>Ofsted Social Care Provider Webpage</v>
      </c>
      <c r="B651" s="55">
        <v>2502382</v>
      </c>
      <c r="D651" s="55" t="s">
        <v>479</v>
      </c>
      <c r="E651" s="74">
        <v>43403</v>
      </c>
      <c r="F651" s="55" t="s">
        <v>344</v>
      </c>
      <c r="G651" s="55" t="s">
        <v>360</v>
      </c>
      <c r="H651" s="55" t="s">
        <v>360</v>
      </c>
      <c r="I651" s="55" t="s">
        <v>360</v>
      </c>
      <c r="J651" s="55" t="s">
        <v>360</v>
      </c>
      <c r="K651" s="55" t="s">
        <v>360</v>
      </c>
      <c r="L651" s="55" t="s">
        <v>360</v>
      </c>
      <c r="M651" s="55" t="s">
        <v>150</v>
      </c>
      <c r="N651" s="55" t="s">
        <v>150</v>
      </c>
      <c r="O651" s="55" t="s">
        <v>268</v>
      </c>
      <c r="P651" s="55" t="s">
        <v>639</v>
      </c>
      <c r="Q651" s="55" t="s">
        <v>362</v>
      </c>
      <c r="R651" s="55">
        <v>40</v>
      </c>
      <c r="S651" s="55"/>
      <c r="T651" s="55" t="s">
        <v>1405</v>
      </c>
    </row>
    <row r="652" spans="1:20" ht="13" x14ac:dyDescent="0.15">
      <c r="A652" s="72" t="str">
        <f t="shared" si="10"/>
        <v>Ofsted Social Care Provider Webpage</v>
      </c>
      <c r="B652" s="55">
        <v>2502918</v>
      </c>
      <c r="D652" s="55" t="s">
        <v>373</v>
      </c>
      <c r="E652" s="74">
        <v>43486</v>
      </c>
      <c r="F652" s="55" t="s">
        <v>344</v>
      </c>
      <c r="G652" s="55" t="s">
        <v>360</v>
      </c>
      <c r="H652" s="55" t="s">
        <v>360</v>
      </c>
      <c r="I652" s="55" t="s">
        <v>360</v>
      </c>
      <c r="J652" s="55" t="s">
        <v>360</v>
      </c>
      <c r="K652" s="55" t="s">
        <v>360</v>
      </c>
      <c r="L652" s="55" t="s">
        <v>360</v>
      </c>
      <c r="M652" s="55" t="s">
        <v>172</v>
      </c>
      <c r="N652" s="55" t="s">
        <v>172</v>
      </c>
      <c r="O652" s="55" t="s">
        <v>228</v>
      </c>
      <c r="P652" s="55" t="s">
        <v>423</v>
      </c>
      <c r="Q652" s="55" t="s">
        <v>350</v>
      </c>
      <c r="R652" s="55">
        <v>2</v>
      </c>
      <c r="S652" s="55"/>
      <c r="T652" s="55" t="s">
        <v>1366</v>
      </c>
    </row>
    <row r="653" spans="1:20" ht="13" x14ac:dyDescent="0.15">
      <c r="A653" s="72" t="str">
        <f t="shared" si="10"/>
        <v>Ofsted Social Care Provider Webpage</v>
      </c>
      <c r="B653" s="55">
        <v>2503031</v>
      </c>
      <c r="D653" s="55" t="s">
        <v>373</v>
      </c>
      <c r="E653" s="74">
        <v>43495</v>
      </c>
      <c r="F653" s="55" t="s">
        <v>344</v>
      </c>
      <c r="G653" s="55" t="s">
        <v>360</v>
      </c>
      <c r="H653" s="55" t="s">
        <v>360</v>
      </c>
      <c r="I653" s="55" t="s">
        <v>360</v>
      </c>
      <c r="J653" s="55" t="s">
        <v>360</v>
      </c>
      <c r="K653" s="55" t="s">
        <v>360</v>
      </c>
      <c r="L653" s="55" t="s">
        <v>360</v>
      </c>
      <c r="M653" s="55" t="s">
        <v>142</v>
      </c>
      <c r="N653" s="55" t="s">
        <v>142</v>
      </c>
      <c r="O653" s="55" t="s">
        <v>177</v>
      </c>
      <c r="P653" s="55" t="s">
        <v>1406</v>
      </c>
      <c r="Q653" s="55" t="s">
        <v>350</v>
      </c>
      <c r="R653" s="55">
        <v>3</v>
      </c>
      <c r="S653" s="55"/>
      <c r="T653" s="55" t="s">
        <v>1407</v>
      </c>
    </row>
    <row r="654" spans="1:20" ht="13" x14ac:dyDescent="0.15">
      <c r="A654" s="72" t="str">
        <f t="shared" si="10"/>
        <v>Ofsted Social Care Provider Webpage</v>
      </c>
      <c r="B654" s="55">
        <v>2503076</v>
      </c>
      <c r="D654" s="55" t="s">
        <v>373</v>
      </c>
      <c r="E654" s="74">
        <v>43513</v>
      </c>
      <c r="F654" s="55" t="s">
        <v>344</v>
      </c>
      <c r="G654" s="55" t="s">
        <v>360</v>
      </c>
      <c r="H654" s="55" t="s">
        <v>360</v>
      </c>
      <c r="I654" s="55" t="s">
        <v>360</v>
      </c>
      <c r="J654" s="55" t="s">
        <v>360</v>
      </c>
      <c r="K654" s="55" t="s">
        <v>360</v>
      </c>
      <c r="L654" s="55" t="s">
        <v>360</v>
      </c>
      <c r="M654" s="55" t="s">
        <v>142</v>
      </c>
      <c r="N654" s="55" t="s">
        <v>142</v>
      </c>
      <c r="O654" s="55" t="s">
        <v>262</v>
      </c>
      <c r="P654" s="55" t="s">
        <v>523</v>
      </c>
      <c r="Q654" s="55" t="s">
        <v>350</v>
      </c>
      <c r="R654" s="55">
        <v>3</v>
      </c>
      <c r="S654" s="55"/>
      <c r="T654" s="55" t="s">
        <v>524</v>
      </c>
    </row>
    <row r="655" spans="1:20" ht="13" x14ac:dyDescent="0.15">
      <c r="A655" s="72" t="str">
        <f t="shared" si="10"/>
        <v>Ofsted Social Care Provider Webpage</v>
      </c>
      <c r="B655" s="55">
        <v>2503134</v>
      </c>
      <c r="D655" s="55" t="s">
        <v>389</v>
      </c>
      <c r="E655" s="74">
        <v>43420</v>
      </c>
      <c r="F655" s="55" t="s">
        <v>344</v>
      </c>
      <c r="G655" s="55" t="s">
        <v>1408</v>
      </c>
      <c r="H655" s="55" t="s">
        <v>1409</v>
      </c>
      <c r="I655" s="55" t="s">
        <v>1410</v>
      </c>
      <c r="J655" s="55" t="s">
        <v>217</v>
      </c>
      <c r="L655" s="55" t="s">
        <v>1411</v>
      </c>
      <c r="M655" s="55" t="s">
        <v>144</v>
      </c>
      <c r="N655" s="55" t="s">
        <v>144</v>
      </c>
      <c r="O655" s="55" t="s">
        <v>217</v>
      </c>
      <c r="P655" s="55" t="s">
        <v>903</v>
      </c>
      <c r="Q655" s="55" t="s">
        <v>350</v>
      </c>
      <c r="R655" s="55"/>
      <c r="S655" s="55"/>
      <c r="T655" s="55" t="s">
        <v>1408</v>
      </c>
    </row>
    <row r="656" spans="1:20" ht="13" x14ac:dyDescent="0.15">
      <c r="A656" s="72" t="str">
        <f t="shared" si="10"/>
        <v>Ofsted Social Care Provider Webpage</v>
      </c>
      <c r="B656" s="55">
        <v>2503142</v>
      </c>
      <c r="D656" s="55" t="s">
        <v>373</v>
      </c>
      <c r="E656" s="74">
        <v>43565</v>
      </c>
      <c r="F656" s="55" t="s">
        <v>344</v>
      </c>
      <c r="G656" s="55" t="s">
        <v>360</v>
      </c>
      <c r="H656" s="55" t="s">
        <v>360</v>
      </c>
      <c r="I656" s="55" t="s">
        <v>360</v>
      </c>
      <c r="J656" s="55" t="s">
        <v>360</v>
      </c>
      <c r="K656" s="55" t="s">
        <v>360</v>
      </c>
      <c r="L656" s="55" t="s">
        <v>360</v>
      </c>
      <c r="M656" s="55" t="s">
        <v>129</v>
      </c>
      <c r="N656" s="55" t="s">
        <v>129</v>
      </c>
      <c r="O656" s="55" t="s">
        <v>182</v>
      </c>
      <c r="P656" s="55" t="s">
        <v>1412</v>
      </c>
      <c r="Q656" s="55" t="s">
        <v>350</v>
      </c>
      <c r="R656" s="55">
        <v>4</v>
      </c>
      <c r="S656" s="55"/>
      <c r="T656" s="55" t="s">
        <v>1413</v>
      </c>
    </row>
    <row r="657" spans="1:20" ht="13" x14ac:dyDescent="0.15">
      <c r="A657" s="72" t="str">
        <f t="shared" si="10"/>
        <v>Ofsted Social Care Provider Webpage</v>
      </c>
      <c r="B657" s="55">
        <v>2503143</v>
      </c>
      <c r="D657" s="55" t="s">
        <v>373</v>
      </c>
      <c r="E657" s="74">
        <v>43742</v>
      </c>
      <c r="F657" s="55" t="s">
        <v>344</v>
      </c>
      <c r="G657" s="55" t="s">
        <v>360</v>
      </c>
      <c r="H657" s="55" t="s">
        <v>360</v>
      </c>
      <c r="I657" s="55" t="s">
        <v>360</v>
      </c>
      <c r="J657" s="55" t="s">
        <v>360</v>
      </c>
      <c r="K657" s="55" t="s">
        <v>360</v>
      </c>
      <c r="L657" s="55" t="s">
        <v>360</v>
      </c>
      <c r="M657" s="55" t="s">
        <v>129</v>
      </c>
      <c r="N657" s="55" t="s">
        <v>129</v>
      </c>
      <c r="O657" s="55" t="s">
        <v>182</v>
      </c>
      <c r="P657" s="55" t="s">
        <v>1412</v>
      </c>
      <c r="Q657" s="55" t="s">
        <v>350</v>
      </c>
      <c r="R657" s="55">
        <v>4</v>
      </c>
      <c r="S657" s="55"/>
      <c r="T657" s="55" t="s">
        <v>1413</v>
      </c>
    </row>
    <row r="658" spans="1:20" ht="13" x14ac:dyDescent="0.15">
      <c r="A658" s="72" t="str">
        <f t="shared" si="10"/>
        <v>Ofsted Social Care Provider Webpage</v>
      </c>
      <c r="B658" s="55">
        <v>2503306</v>
      </c>
      <c r="D658" s="55" t="s">
        <v>373</v>
      </c>
      <c r="E658" s="74">
        <v>43614</v>
      </c>
      <c r="F658" s="55" t="s">
        <v>344</v>
      </c>
      <c r="G658" s="55" t="s">
        <v>360</v>
      </c>
      <c r="H658" s="55" t="s">
        <v>360</v>
      </c>
      <c r="I658" s="55" t="s">
        <v>360</v>
      </c>
      <c r="J658" s="55" t="s">
        <v>360</v>
      </c>
      <c r="K658" s="55" t="s">
        <v>360</v>
      </c>
      <c r="L658" s="55" t="s">
        <v>360</v>
      </c>
      <c r="M658" s="55" t="s">
        <v>172</v>
      </c>
      <c r="N658" s="55" t="s">
        <v>172</v>
      </c>
      <c r="O658" s="55" t="s">
        <v>214</v>
      </c>
      <c r="P658" s="55" t="s">
        <v>790</v>
      </c>
      <c r="Q658" s="55" t="s">
        <v>350</v>
      </c>
      <c r="R658" s="55">
        <v>6</v>
      </c>
      <c r="S658" s="55"/>
      <c r="T658" s="55" t="s">
        <v>375</v>
      </c>
    </row>
    <row r="659" spans="1:20" ht="13" x14ac:dyDescent="0.15">
      <c r="A659" s="72" t="str">
        <f t="shared" si="10"/>
        <v>Ofsted Social Care Provider Webpage</v>
      </c>
      <c r="B659" s="55">
        <v>2503574</v>
      </c>
      <c r="D659" s="55" t="s">
        <v>373</v>
      </c>
      <c r="E659" s="74">
        <v>43539</v>
      </c>
      <c r="F659" s="55" t="s">
        <v>344</v>
      </c>
      <c r="G659" s="55" t="s">
        <v>360</v>
      </c>
      <c r="H659" s="55" t="s">
        <v>360</v>
      </c>
      <c r="I659" s="55" t="s">
        <v>360</v>
      </c>
      <c r="J659" s="55" t="s">
        <v>360</v>
      </c>
      <c r="K659" s="55" t="s">
        <v>360</v>
      </c>
      <c r="L659" s="55" t="s">
        <v>360</v>
      </c>
      <c r="M659" s="55" t="s">
        <v>144</v>
      </c>
      <c r="N659" s="55" t="s">
        <v>144</v>
      </c>
      <c r="O659" s="55" t="s">
        <v>250</v>
      </c>
      <c r="P659" s="55" t="s">
        <v>361</v>
      </c>
      <c r="Q659" s="55" t="s">
        <v>350</v>
      </c>
      <c r="R659" s="55">
        <v>3</v>
      </c>
      <c r="S659" s="55"/>
      <c r="T659" s="55" t="s">
        <v>1414</v>
      </c>
    </row>
    <row r="660" spans="1:20" ht="13" x14ac:dyDescent="0.15">
      <c r="A660" s="72" t="str">
        <f t="shared" si="10"/>
        <v>Ofsted Social Care Provider Webpage</v>
      </c>
      <c r="B660" s="55">
        <v>2503598</v>
      </c>
      <c r="D660" s="55" t="s">
        <v>373</v>
      </c>
      <c r="E660" s="74">
        <v>43544</v>
      </c>
      <c r="F660" s="55" t="s">
        <v>344</v>
      </c>
      <c r="G660" s="55" t="s">
        <v>360</v>
      </c>
      <c r="H660" s="55" t="s">
        <v>360</v>
      </c>
      <c r="I660" s="55" t="s">
        <v>360</v>
      </c>
      <c r="J660" s="55" t="s">
        <v>360</v>
      </c>
      <c r="K660" s="55" t="s">
        <v>360</v>
      </c>
      <c r="L660" s="55" t="s">
        <v>360</v>
      </c>
      <c r="M660" s="55" t="s">
        <v>142</v>
      </c>
      <c r="N660" s="55" t="s">
        <v>142</v>
      </c>
      <c r="O660" s="55" t="s">
        <v>141</v>
      </c>
      <c r="P660" s="55" t="s">
        <v>641</v>
      </c>
      <c r="Q660" s="55" t="s">
        <v>350</v>
      </c>
      <c r="R660" s="55">
        <v>5</v>
      </c>
      <c r="S660" s="55"/>
      <c r="T660" s="55" t="s">
        <v>1415</v>
      </c>
    </row>
    <row r="661" spans="1:20" ht="13" x14ac:dyDescent="0.15">
      <c r="A661" s="72" t="str">
        <f t="shared" si="10"/>
        <v>Ofsted Social Care Provider Webpage</v>
      </c>
      <c r="B661" s="55">
        <v>2503605</v>
      </c>
      <c r="D661" s="55" t="s">
        <v>373</v>
      </c>
      <c r="E661" s="74">
        <v>43454</v>
      </c>
      <c r="F661" s="55" t="s">
        <v>344</v>
      </c>
      <c r="G661" s="55" t="s">
        <v>360</v>
      </c>
      <c r="H661" s="55" t="s">
        <v>360</v>
      </c>
      <c r="I661" s="55" t="s">
        <v>360</v>
      </c>
      <c r="J661" s="55" t="s">
        <v>360</v>
      </c>
      <c r="K661" s="55" t="s">
        <v>360</v>
      </c>
      <c r="L661" s="55" t="s">
        <v>360</v>
      </c>
      <c r="M661" s="55" t="s">
        <v>142</v>
      </c>
      <c r="N661" s="55" t="s">
        <v>142</v>
      </c>
      <c r="O661" s="55" t="s">
        <v>278</v>
      </c>
      <c r="P661" s="55" t="s">
        <v>1042</v>
      </c>
      <c r="Q661" s="55" t="s">
        <v>350</v>
      </c>
      <c r="R661" s="55">
        <v>6</v>
      </c>
      <c r="S661" s="55"/>
      <c r="T661" s="55" t="s">
        <v>1416</v>
      </c>
    </row>
    <row r="662" spans="1:20" ht="13" x14ac:dyDescent="0.15">
      <c r="A662" s="72" t="str">
        <f t="shared" si="10"/>
        <v>Ofsted Social Care Provider Webpage</v>
      </c>
      <c r="B662" s="55">
        <v>2503710</v>
      </c>
      <c r="D662" s="55" t="s">
        <v>373</v>
      </c>
      <c r="E662" s="74">
        <v>43559</v>
      </c>
      <c r="F662" s="55" t="s">
        <v>344</v>
      </c>
      <c r="G662" s="55" t="s">
        <v>360</v>
      </c>
      <c r="H662" s="55" t="s">
        <v>360</v>
      </c>
      <c r="I662" s="55" t="s">
        <v>360</v>
      </c>
      <c r="J662" s="55" t="s">
        <v>360</v>
      </c>
      <c r="K662" s="55" t="s">
        <v>360</v>
      </c>
      <c r="L662" s="55" t="s">
        <v>360</v>
      </c>
      <c r="M662" s="55" t="s">
        <v>142</v>
      </c>
      <c r="N662" s="55" t="s">
        <v>142</v>
      </c>
      <c r="O662" s="55" t="s">
        <v>293</v>
      </c>
      <c r="P662" s="55" t="s">
        <v>984</v>
      </c>
      <c r="Q662" s="55" t="s">
        <v>350</v>
      </c>
      <c r="R662" s="55">
        <v>4</v>
      </c>
      <c r="S662" s="55"/>
      <c r="T662" s="55" t="s">
        <v>1417</v>
      </c>
    </row>
    <row r="663" spans="1:20" ht="13" x14ac:dyDescent="0.15">
      <c r="A663" s="72" t="str">
        <f t="shared" si="10"/>
        <v>Ofsted Social Care Provider Webpage</v>
      </c>
      <c r="B663" s="55">
        <v>2503915</v>
      </c>
      <c r="D663" s="55" t="s">
        <v>373</v>
      </c>
      <c r="E663" s="74">
        <v>43627</v>
      </c>
      <c r="F663" s="55" t="s">
        <v>344</v>
      </c>
      <c r="G663" s="55" t="s">
        <v>360</v>
      </c>
      <c r="H663" s="55" t="s">
        <v>360</v>
      </c>
      <c r="I663" s="55" t="s">
        <v>360</v>
      </c>
      <c r="J663" s="55" t="s">
        <v>360</v>
      </c>
      <c r="K663" s="55" t="s">
        <v>360</v>
      </c>
      <c r="L663" s="55" t="s">
        <v>360</v>
      </c>
      <c r="M663" s="55" t="s">
        <v>142</v>
      </c>
      <c r="N663" s="55" t="s">
        <v>142</v>
      </c>
      <c r="O663" s="55" t="s">
        <v>262</v>
      </c>
      <c r="P663" s="55" t="s">
        <v>850</v>
      </c>
      <c r="Q663" s="55" t="s">
        <v>350</v>
      </c>
      <c r="R663" s="55">
        <v>3</v>
      </c>
      <c r="S663" s="55"/>
      <c r="T663" s="55" t="s">
        <v>541</v>
      </c>
    </row>
    <row r="664" spans="1:20" ht="13" x14ac:dyDescent="0.15">
      <c r="A664" s="72" t="str">
        <f t="shared" si="10"/>
        <v>Ofsted Social Care Provider Webpage</v>
      </c>
      <c r="B664" s="55">
        <v>2504082</v>
      </c>
      <c r="D664" s="55" t="s">
        <v>373</v>
      </c>
      <c r="E664" s="74">
        <v>43503</v>
      </c>
      <c r="F664" s="55" t="s">
        <v>344</v>
      </c>
      <c r="G664" s="55" t="s">
        <v>360</v>
      </c>
      <c r="H664" s="55" t="s">
        <v>360</v>
      </c>
      <c r="I664" s="55" t="s">
        <v>360</v>
      </c>
      <c r="J664" s="55" t="s">
        <v>360</v>
      </c>
      <c r="K664" s="55" t="s">
        <v>360</v>
      </c>
      <c r="L664" s="55" t="s">
        <v>360</v>
      </c>
      <c r="M664" s="55" t="s">
        <v>144</v>
      </c>
      <c r="N664" s="55" t="s">
        <v>144</v>
      </c>
      <c r="O664" s="55" t="s">
        <v>209</v>
      </c>
      <c r="P664" s="55" t="s">
        <v>650</v>
      </c>
      <c r="Q664" s="55" t="s">
        <v>350</v>
      </c>
      <c r="R664" s="55">
        <v>2</v>
      </c>
      <c r="S664" s="55"/>
      <c r="T664" s="55" t="s">
        <v>485</v>
      </c>
    </row>
    <row r="665" spans="1:20" ht="13" x14ac:dyDescent="0.15">
      <c r="A665" s="72" t="str">
        <f t="shared" si="10"/>
        <v>Ofsted Social Care Provider Webpage</v>
      </c>
      <c r="B665" s="55">
        <v>2504093</v>
      </c>
      <c r="D665" s="55" t="s">
        <v>373</v>
      </c>
      <c r="E665" s="74">
        <v>43489</v>
      </c>
      <c r="F665" s="55" t="s">
        <v>344</v>
      </c>
      <c r="G665" s="55" t="s">
        <v>360</v>
      </c>
      <c r="H665" s="55" t="s">
        <v>360</v>
      </c>
      <c r="I665" s="55" t="s">
        <v>360</v>
      </c>
      <c r="J665" s="55" t="s">
        <v>360</v>
      </c>
      <c r="K665" s="55" t="s">
        <v>360</v>
      </c>
      <c r="L665" s="55" t="s">
        <v>360</v>
      </c>
      <c r="M665" s="55" t="s">
        <v>144</v>
      </c>
      <c r="N665" s="55" t="s">
        <v>144</v>
      </c>
      <c r="O665" s="55" t="s">
        <v>281</v>
      </c>
      <c r="P665" s="55" t="s">
        <v>725</v>
      </c>
      <c r="Q665" s="55" t="s">
        <v>350</v>
      </c>
      <c r="R665" s="55">
        <v>5</v>
      </c>
      <c r="S665" s="55"/>
      <c r="T665" s="55" t="s">
        <v>863</v>
      </c>
    </row>
    <row r="666" spans="1:20" ht="13" x14ac:dyDescent="0.15">
      <c r="A666" s="72" t="str">
        <f t="shared" si="10"/>
        <v>Ofsted Social Care Provider Webpage</v>
      </c>
      <c r="B666" s="55">
        <v>2504478</v>
      </c>
      <c r="D666" s="55" t="s">
        <v>451</v>
      </c>
      <c r="E666" s="74">
        <v>43586</v>
      </c>
      <c r="F666" s="55" t="s">
        <v>344</v>
      </c>
      <c r="G666" s="55" t="s">
        <v>1418</v>
      </c>
      <c r="H666" s="55" t="s">
        <v>1419</v>
      </c>
      <c r="I666" s="55" t="s">
        <v>354</v>
      </c>
      <c r="J666" s="55" t="s">
        <v>1420</v>
      </c>
      <c r="K666" s="55" t="s">
        <v>293</v>
      </c>
      <c r="L666" s="55" t="s">
        <v>1421</v>
      </c>
      <c r="M666" s="55" t="s">
        <v>142</v>
      </c>
      <c r="N666" s="55" t="s">
        <v>142</v>
      </c>
      <c r="O666" s="55" t="s">
        <v>293</v>
      </c>
      <c r="P666" s="55" t="s">
        <v>1422</v>
      </c>
      <c r="Q666" s="55" t="s">
        <v>350</v>
      </c>
      <c r="R666" s="55">
        <v>6</v>
      </c>
      <c r="S666" s="55"/>
      <c r="T666" s="55" t="s">
        <v>1423</v>
      </c>
    </row>
    <row r="667" spans="1:20" ht="13" x14ac:dyDescent="0.15">
      <c r="A667" s="72" t="str">
        <f t="shared" si="10"/>
        <v>Ofsted Social Care Provider Webpage</v>
      </c>
      <c r="B667" s="55">
        <v>2504494</v>
      </c>
      <c r="D667" s="55" t="s">
        <v>373</v>
      </c>
      <c r="E667" s="74">
        <v>43516</v>
      </c>
      <c r="F667" s="55" t="s">
        <v>344</v>
      </c>
      <c r="G667" s="55" t="s">
        <v>360</v>
      </c>
      <c r="H667" s="55" t="s">
        <v>360</v>
      </c>
      <c r="I667" s="55" t="s">
        <v>360</v>
      </c>
      <c r="J667" s="55" t="s">
        <v>360</v>
      </c>
      <c r="K667" s="55" t="s">
        <v>360</v>
      </c>
      <c r="L667" s="55" t="s">
        <v>360</v>
      </c>
      <c r="M667" s="55" t="s">
        <v>172</v>
      </c>
      <c r="N667" s="55" t="s">
        <v>172</v>
      </c>
      <c r="O667" s="55" t="s">
        <v>212</v>
      </c>
      <c r="P667" s="55" t="s">
        <v>514</v>
      </c>
      <c r="Q667" s="55" t="s">
        <v>350</v>
      </c>
      <c r="R667" s="55">
        <v>4</v>
      </c>
      <c r="S667" s="55"/>
      <c r="T667" s="55" t="s">
        <v>1424</v>
      </c>
    </row>
    <row r="668" spans="1:20" ht="13" x14ac:dyDescent="0.15">
      <c r="A668" s="72" t="str">
        <f t="shared" si="10"/>
        <v>Ofsted Social Care Provider Webpage</v>
      </c>
      <c r="B668" s="55">
        <v>2504775</v>
      </c>
      <c r="D668" s="55" t="s">
        <v>373</v>
      </c>
      <c r="E668" s="74">
        <v>43508</v>
      </c>
      <c r="F668" s="55" t="s">
        <v>344</v>
      </c>
      <c r="G668" s="55" t="s">
        <v>360</v>
      </c>
      <c r="H668" s="55" t="s">
        <v>360</v>
      </c>
      <c r="I668" s="55" t="s">
        <v>360</v>
      </c>
      <c r="J668" s="55" t="s">
        <v>360</v>
      </c>
      <c r="K668" s="55" t="s">
        <v>360</v>
      </c>
      <c r="L668" s="55" t="s">
        <v>360</v>
      </c>
      <c r="M668" s="55" t="s">
        <v>150</v>
      </c>
      <c r="N668" s="55" t="s">
        <v>150</v>
      </c>
      <c r="O668" s="55" t="s">
        <v>190</v>
      </c>
      <c r="P668" s="55" t="s">
        <v>830</v>
      </c>
      <c r="Q668" s="55" t="s">
        <v>350</v>
      </c>
      <c r="R668" s="55">
        <v>4</v>
      </c>
      <c r="S668" s="55" t="s">
        <v>332</v>
      </c>
      <c r="T668" s="55" t="s">
        <v>1425</v>
      </c>
    </row>
    <row r="669" spans="1:20" ht="13" x14ac:dyDescent="0.15">
      <c r="A669" s="72" t="str">
        <f t="shared" si="10"/>
        <v>Ofsted Social Care Provider Webpage</v>
      </c>
      <c r="B669" s="55">
        <v>2505172</v>
      </c>
      <c r="D669" s="55" t="s">
        <v>373</v>
      </c>
      <c r="E669" s="74">
        <v>43564</v>
      </c>
      <c r="F669" s="55" t="s">
        <v>344</v>
      </c>
      <c r="G669" s="55" t="s">
        <v>360</v>
      </c>
      <c r="H669" s="55" t="s">
        <v>360</v>
      </c>
      <c r="I669" s="55" t="s">
        <v>360</v>
      </c>
      <c r="J669" s="55" t="s">
        <v>360</v>
      </c>
      <c r="K669" s="55" t="s">
        <v>360</v>
      </c>
      <c r="L669" s="55" t="s">
        <v>360</v>
      </c>
      <c r="M669" s="55" t="s">
        <v>129</v>
      </c>
      <c r="N669" s="55" t="s">
        <v>129</v>
      </c>
      <c r="O669" s="55" t="s">
        <v>192</v>
      </c>
      <c r="P669" s="55" t="s">
        <v>1191</v>
      </c>
      <c r="Q669" s="55" t="s">
        <v>350</v>
      </c>
      <c r="R669" s="55">
        <v>2</v>
      </c>
      <c r="S669" s="55"/>
      <c r="T669" s="55" t="s">
        <v>1018</v>
      </c>
    </row>
    <row r="670" spans="1:20" ht="13" x14ac:dyDescent="0.15">
      <c r="A670" s="72" t="str">
        <f t="shared" si="10"/>
        <v>Ofsted Social Care Provider Webpage</v>
      </c>
      <c r="B670" s="55">
        <v>2505378</v>
      </c>
      <c r="D670" s="55" t="s">
        <v>373</v>
      </c>
      <c r="E670" s="74">
        <v>43484</v>
      </c>
      <c r="F670" s="55" t="s">
        <v>344</v>
      </c>
      <c r="G670" s="55" t="s">
        <v>360</v>
      </c>
      <c r="H670" s="55" t="s">
        <v>360</v>
      </c>
      <c r="I670" s="55" t="s">
        <v>360</v>
      </c>
      <c r="J670" s="55" t="s">
        <v>360</v>
      </c>
      <c r="K670" s="55" t="s">
        <v>360</v>
      </c>
      <c r="L670" s="55" t="s">
        <v>360</v>
      </c>
      <c r="M670" s="55" t="s">
        <v>172</v>
      </c>
      <c r="N670" s="55" t="s">
        <v>172</v>
      </c>
      <c r="O670" s="55" t="s">
        <v>214</v>
      </c>
      <c r="P670" s="55" t="s">
        <v>1426</v>
      </c>
      <c r="Q670" s="55" t="s">
        <v>350</v>
      </c>
      <c r="R670" s="55">
        <v>3</v>
      </c>
      <c r="S670" s="55"/>
      <c r="T670" s="55" t="s">
        <v>517</v>
      </c>
    </row>
    <row r="671" spans="1:20" ht="13" x14ac:dyDescent="0.15">
      <c r="A671" s="72" t="str">
        <f t="shared" si="10"/>
        <v>Ofsted Social Care Provider Webpage</v>
      </c>
      <c r="B671" s="55">
        <v>2506101</v>
      </c>
      <c r="D671" s="55" t="s">
        <v>373</v>
      </c>
      <c r="E671" s="74">
        <v>43552</v>
      </c>
      <c r="F671" s="55" t="s">
        <v>344</v>
      </c>
      <c r="G671" s="55" t="s">
        <v>360</v>
      </c>
      <c r="H671" s="55" t="s">
        <v>360</v>
      </c>
      <c r="I671" s="55" t="s">
        <v>360</v>
      </c>
      <c r="J671" s="55" t="s">
        <v>360</v>
      </c>
      <c r="K671" s="55" t="s">
        <v>360</v>
      </c>
      <c r="L671" s="55" t="s">
        <v>360</v>
      </c>
      <c r="M671" s="55" t="s">
        <v>129</v>
      </c>
      <c r="N671" s="55" t="s">
        <v>129</v>
      </c>
      <c r="O671" s="55" t="s">
        <v>201</v>
      </c>
      <c r="P671" s="55" t="s">
        <v>1427</v>
      </c>
      <c r="Q671" s="55" t="s">
        <v>350</v>
      </c>
      <c r="R671" s="55">
        <v>5</v>
      </c>
      <c r="S671" s="55"/>
      <c r="T671" s="55" t="s">
        <v>939</v>
      </c>
    </row>
    <row r="672" spans="1:20" ht="13" x14ac:dyDescent="0.15">
      <c r="A672" s="72" t="str">
        <f t="shared" si="10"/>
        <v>Ofsted Social Care Provider Webpage</v>
      </c>
      <c r="B672" s="55">
        <v>2506232</v>
      </c>
      <c r="D672" s="55" t="s">
        <v>373</v>
      </c>
      <c r="E672" s="74">
        <v>43509</v>
      </c>
      <c r="F672" s="55" t="s">
        <v>344</v>
      </c>
      <c r="G672" s="55" t="s">
        <v>360</v>
      </c>
      <c r="H672" s="55" t="s">
        <v>360</v>
      </c>
      <c r="I672" s="55" t="s">
        <v>360</v>
      </c>
      <c r="J672" s="55" t="s">
        <v>360</v>
      </c>
      <c r="K672" s="55" t="s">
        <v>360</v>
      </c>
      <c r="L672" s="55" t="s">
        <v>360</v>
      </c>
      <c r="M672" s="55" t="s">
        <v>150</v>
      </c>
      <c r="N672" s="55" t="s">
        <v>150</v>
      </c>
      <c r="O672" s="55" t="s">
        <v>190</v>
      </c>
      <c r="P672" s="55" t="s">
        <v>1428</v>
      </c>
      <c r="Q672" s="55" t="s">
        <v>350</v>
      </c>
      <c r="R672" s="55">
        <v>3</v>
      </c>
      <c r="S672" s="55"/>
      <c r="T672" s="55" t="s">
        <v>755</v>
      </c>
    </row>
    <row r="673" spans="1:20" ht="13" x14ac:dyDescent="0.15">
      <c r="A673" s="72" t="str">
        <f t="shared" si="10"/>
        <v>Ofsted Social Care Provider Webpage</v>
      </c>
      <c r="B673" s="55">
        <v>2506856</v>
      </c>
      <c r="D673" s="55" t="s">
        <v>373</v>
      </c>
      <c r="E673" s="74">
        <v>43487</v>
      </c>
      <c r="F673" s="55" t="s">
        <v>344</v>
      </c>
      <c r="G673" s="55" t="s">
        <v>360</v>
      </c>
      <c r="H673" s="55" t="s">
        <v>360</v>
      </c>
      <c r="I673" s="55" t="s">
        <v>360</v>
      </c>
      <c r="J673" s="55" t="s">
        <v>360</v>
      </c>
      <c r="K673" s="55" t="s">
        <v>360</v>
      </c>
      <c r="L673" s="55" t="s">
        <v>360</v>
      </c>
      <c r="M673" s="55" t="s">
        <v>144</v>
      </c>
      <c r="N673" s="55" t="s">
        <v>144</v>
      </c>
      <c r="O673" s="55" t="s">
        <v>168</v>
      </c>
      <c r="P673" s="55" t="s">
        <v>708</v>
      </c>
      <c r="Q673" s="55" t="s">
        <v>350</v>
      </c>
      <c r="R673" s="55">
        <v>3</v>
      </c>
      <c r="S673" s="55"/>
      <c r="T673" s="55" t="s">
        <v>709</v>
      </c>
    </row>
    <row r="674" spans="1:20" ht="13" x14ac:dyDescent="0.15">
      <c r="A674" s="72" t="str">
        <f t="shared" si="10"/>
        <v>Ofsted Social Care Provider Webpage</v>
      </c>
      <c r="B674" s="55">
        <v>2507350</v>
      </c>
      <c r="D674" s="55" t="s">
        <v>373</v>
      </c>
      <c r="E674" s="74">
        <v>43564</v>
      </c>
      <c r="F674" s="55" t="s">
        <v>344</v>
      </c>
      <c r="G674" s="55" t="s">
        <v>360</v>
      </c>
      <c r="H674" s="55" t="s">
        <v>360</v>
      </c>
      <c r="I674" s="55" t="s">
        <v>360</v>
      </c>
      <c r="J674" s="55" t="s">
        <v>360</v>
      </c>
      <c r="K674" s="55" t="s">
        <v>360</v>
      </c>
      <c r="L674" s="55" t="s">
        <v>360</v>
      </c>
      <c r="M674" s="55" t="s">
        <v>172</v>
      </c>
      <c r="N674" s="55" t="s">
        <v>172</v>
      </c>
      <c r="O674" s="55" t="s">
        <v>211</v>
      </c>
      <c r="P674" s="55" t="s">
        <v>1343</v>
      </c>
      <c r="Q674" s="55" t="s">
        <v>362</v>
      </c>
      <c r="R674" s="55">
        <v>3</v>
      </c>
      <c r="S674" s="55"/>
      <c r="T674" s="55" t="s">
        <v>1429</v>
      </c>
    </row>
    <row r="675" spans="1:20" ht="13" x14ac:dyDescent="0.15">
      <c r="A675" s="72" t="str">
        <f t="shared" si="10"/>
        <v>Ofsted Social Care Provider Webpage</v>
      </c>
      <c r="B675" s="55">
        <v>2507361</v>
      </c>
      <c r="D675" s="55" t="s">
        <v>373</v>
      </c>
      <c r="E675" s="74">
        <v>43564</v>
      </c>
      <c r="F675" s="55" t="s">
        <v>344</v>
      </c>
      <c r="G675" s="55" t="s">
        <v>360</v>
      </c>
      <c r="H675" s="55" t="s">
        <v>360</v>
      </c>
      <c r="I675" s="55" t="s">
        <v>360</v>
      </c>
      <c r="J675" s="55" t="s">
        <v>360</v>
      </c>
      <c r="K675" s="55" t="s">
        <v>360</v>
      </c>
      <c r="L675" s="55" t="s">
        <v>360</v>
      </c>
      <c r="M675" s="55" t="s">
        <v>142</v>
      </c>
      <c r="N675" s="55" t="s">
        <v>142</v>
      </c>
      <c r="O675" s="55" t="s">
        <v>252</v>
      </c>
      <c r="P675" s="55" t="s">
        <v>503</v>
      </c>
      <c r="Q675" s="55" t="s">
        <v>350</v>
      </c>
      <c r="R675" s="55">
        <v>2</v>
      </c>
      <c r="S675" s="55"/>
      <c r="T675" s="55" t="s">
        <v>504</v>
      </c>
    </row>
    <row r="676" spans="1:20" ht="13" x14ac:dyDescent="0.15">
      <c r="A676" s="72" t="str">
        <f t="shared" si="10"/>
        <v>Ofsted Social Care Provider Webpage</v>
      </c>
      <c r="B676" s="55">
        <v>2507393</v>
      </c>
      <c r="D676" s="55" t="s">
        <v>373</v>
      </c>
      <c r="E676" s="74">
        <v>43713</v>
      </c>
      <c r="F676" s="55" t="s">
        <v>344</v>
      </c>
      <c r="G676" s="55" t="s">
        <v>360</v>
      </c>
      <c r="H676" s="55" t="s">
        <v>360</v>
      </c>
      <c r="I676" s="55" t="s">
        <v>360</v>
      </c>
      <c r="J676" s="55" t="s">
        <v>360</v>
      </c>
      <c r="K676" s="55" t="s">
        <v>360</v>
      </c>
      <c r="L676" s="55" t="s">
        <v>360</v>
      </c>
      <c r="M676" s="55" t="s">
        <v>142</v>
      </c>
      <c r="N676" s="55" t="s">
        <v>142</v>
      </c>
      <c r="O676" s="55" t="s">
        <v>262</v>
      </c>
      <c r="P676" s="55" t="s">
        <v>488</v>
      </c>
      <c r="Q676" s="55" t="s">
        <v>350</v>
      </c>
      <c r="R676" s="55">
        <v>2</v>
      </c>
      <c r="S676" s="55"/>
      <c r="T676" s="55" t="s">
        <v>1430</v>
      </c>
    </row>
    <row r="677" spans="1:20" ht="13" x14ac:dyDescent="0.15">
      <c r="A677" s="72" t="str">
        <f t="shared" si="10"/>
        <v>Ofsted Social Care Provider Webpage</v>
      </c>
      <c r="B677" s="55">
        <v>2507631</v>
      </c>
      <c r="D677" s="55" t="s">
        <v>373</v>
      </c>
      <c r="E677" s="74">
        <v>43469</v>
      </c>
      <c r="F677" s="55" t="s">
        <v>344</v>
      </c>
      <c r="G677" s="55" t="s">
        <v>360</v>
      </c>
      <c r="H677" s="55" t="s">
        <v>360</v>
      </c>
      <c r="I677" s="55" t="s">
        <v>360</v>
      </c>
      <c r="J677" s="55" t="s">
        <v>360</v>
      </c>
      <c r="K677" s="55" t="s">
        <v>360</v>
      </c>
      <c r="L677" s="55" t="s">
        <v>360</v>
      </c>
      <c r="M677" s="55" t="s">
        <v>136</v>
      </c>
      <c r="N677" s="55" t="s">
        <v>136</v>
      </c>
      <c r="O677" s="55" t="s">
        <v>255</v>
      </c>
      <c r="P677" s="55" t="s">
        <v>757</v>
      </c>
      <c r="Q677" s="55" t="s">
        <v>350</v>
      </c>
      <c r="R677" s="55">
        <v>4</v>
      </c>
      <c r="S677" s="55"/>
      <c r="T677" s="55" t="s">
        <v>789</v>
      </c>
    </row>
    <row r="678" spans="1:20" ht="13" x14ac:dyDescent="0.15">
      <c r="A678" s="72" t="str">
        <f t="shared" si="10"/>
        <v>Ofsted Social Care Provider Webpage</v>
      </c>
      <c r="B678" s="55">
        <v>2507724</v>
      </c>
      <c r="D678" s="55" t="s">
        <v>373</v>
      </c>
      <c r="E678" s="74">
        <v>43539</v>
      </c>
      <c r="F678" s="55" t="s">
        <v>344</v>
      </c>
      <c r="G678" s="55" t="s">
        <v>360</v>
      </c>
      <c r="H678" s="55" t="s">
        <v>360</v>
      </c>
      <c r="I678" s="55" t="s">
        <v>360</v>
      </c>
      <c r="J678" s="55" t="s">
        <v>360</v>
      </c>
      <c r="K678" s="55" t="s">
        <v>360</v>
      </c>
      <c r="L678" s="55" t="s">
        <v>360</v>
      </c>
      <c r="M678" s="55" t="s">
        <v>142</v>
      </c>
      <c r="N678" s="55" t="s">
        <v>142</v>
      </c>
      <c r="O678" s="55" t="s">
        <v>166</v>
      </c>
      <c r="P678" s="55" t="s">
        <v>1301</v>
      </c>
      <c r="Q678" s="55" t="s">
        <v>380</v>
      </c>
      <c r="R678" s="55">
        <v>4</v>
      </c>
      <c r="S678" s="55"/>
      <c r="T678" s="55" t="s">
        <v>1302</v>
      </c>
    </row>
    <row r="679" spans="1:20" ht="13" x14ac:dyDescent="0.15">
      <c r="A679" s="72" t="str">
        <f t="shared" si="10"/>
        <v>Ofsted Social Care Provider Webpage</v>
      </c>
      <c r="B679" s="55">
        <v>2507889</v>
      </c>
      <c r="D679" s="55" t="s">
        <v>373</v>
      </c>
      <c r="E679" s="74">
        <v>43592</v>
      </c>
      <c r="F679" s="55" t="s">
        <v>344</v>
      </c>
      <c r="G679" s="55" t="s">
        <v>360</v>
      </c>
      <c r="H679" s="55" t="s">
        <v>360</v>
      </c>
      <c r="I679" s="55" t="s">
        <v>360</v>
      </c>
      <c r="J679" s="55" t="s">
        <v>360</v>
      </c>
      <c r="K679" s="55" t="s">
        <v>360</v>
      </c>
      <c r="L679" s="55" t="s">
        <v>360</v>
      </c>
      <c r="M679" s="55" t="s">
        <v>144</v>
      </c>
      <c r="N679" s="55" t="s">
        <v>144</v>
      </c>
      <c r="O679" s="55" t="s">
        <v>145</v>
      </c>
      <c r="P679" s="55" t="s">
        <v>525</v>
      </c>
      <c r="Q679" s="55" t="s">
        <v>350</v>
      </c>
      <c r="R679" s="55">
        <v>1</v>
      </c>
      <c r="S679" s="55"/>
      <c r="T679" s="55" t="s">
        <v>1065</v>
      </c>
    </row>
    <row r="680" spans="1:20" ht="13" x14ac:dyDescent="0.15">
      <c r="A680" s="72" t="str">
        <f t="shared" si="10"/>
        <v>Ofsted Social Care Provider Webpage</v>
      </c>
      <c r="B680" s="55">
        <v>2508153</v>
      </c>
      <c r="D680" s="55" t="s">
        <v>373</v>
      </c>
      <c r="E680" s="74">
        <v>43501</v>
      </c>
      <c r="F680" s="55" t="s">
        <v>344</v>
      </c>
      <c r="G680" s="55" t="s">
        <v>360</v>
      </c>
      <c r="H680" s="55" t="s">
        <v>360</v>
      </c>
      <c r="I680" s="55" t="s">
        <v>360</v>
      </c>
      <c r="J680" s="55" t="s">
        <v>360</v>
      </c>
      <c r="K680" s="55" t="s">
        <v>360</v>
      </c>
      <c r="L680" s="55" t="s">
        <v>360</v>
      </c>
      <c r="M680" s="55" t="s">
        <v>144</v>
      </c>
      <c r="N680" s="55" t="s">
        <v>144</v>
      </c>
      <c r="O680" s="55" t="s">
        <v>145</v>
      </c>
      <c r="P680" s="55" t="s">
        <v>525</v>
      </c>
      <c r="Q680" s="55" t="s">
        <v>350</v>
      </c>
      <c r="R680" s="55">
        <v>2</v>
      </c>
      <c r="S680" s="55"/>
      <c r="T680" s="55" t="s">
        <v>485</v>
      </c>
    </row>
    <row r="681" spans="1:20" ht="13" x14ac:dyDescent="0.15">
      <c r="A681" s="72" t="str">
        <f t="shared" si="10"/>
        <v>Ofsted Social Care Provider Webpage</v>
      </c>
      <c r="B681" s="55">
        <v>2508344</v>
      </c>
      <c r="D681" s="55" t="s">
        <v>373</v>
      </c>
      <c r="E681" s="74">
        <v>43545</v>
      </c>
      <c r="F681" s="55" t="s">
        <v>344</v>
      </c>
      <c r="G681" s="55" t="s">
        <v>360</v>
      </c>
      <c r="H681" s="55" t="s">
        <v>360</v>
      </c>
      <c r="I681" s="55" t="s">
        <v>360</v>
      </c>
      <c r="J681" s="55" t="s">
        <v>360</v>
      </c>
      <c r="K681" s="55" t="s">
        <v>360</v>
      </c>
      <c r="L681" s="55" t="s">
        <v>360</v>
      </c>
      <c r="M681" s="55" t="s">
        <v>172</v>
      </c>
      <c r="N681" s="55" t="s">
        <v>172</v>
      </c>
      <c r="O681" s="55" t="s">
        <v>173</v>
      </c>
      <c r="P681" s="55" t="s">
        <v>1198</v>
      </c>
      <c r="Q681" s="55" t="s">
        <v>380</v>
      </c>
      <c r="R681" s="55">
        <v>2</v>
      </c>
      <c r="S681" s="55"/>
      <c r="T681" s="55" t="s">
        <v>1431</v>
      </c>
    </row>
    <row r="682" spans="1:20" ht="13" x14ac:dyDescent="0.15">
      <c r="A682" s="72" t="str">
        <f t="shared" si="10"/>
        <v>Ofsted Social Care Provider Webpage</v>
      </c>
      <c r="B682" s="55">
        <v>2508451</v>
      </c>
      <c r="D682" s="55" t="s">
        <v>373</v>
      </c>
      <c r="E682" s="74">
        <v>43451</v>
      </c>
      <c r="F682" s="55" t="s">
        <v>344</v>
      </c>
      <c r="G682" s="55" t="s">
        <v>360</v>
      </c>
      <c r="H682" s="55" t="s">
        <v>360</v>
      </c>
      <c r="I682" s="55" t="s">
        <v>360</v>
      </c>
      <c r="J682" s="55" t="s">
        <v>360</v>
      </c>
      <c r="K682" s="55" t="s">
        <v>360</v>
      </c>
      <c r="L682" s="55" t="s">
        <v>360</v>
      </c>
      <c r="M682" s="55" t="s">
        <v>150</v>
      </c>
      <c r="N682" s="55" t="s">
        <v>150</v>
      </c>
      <c r="O682" s="55" t="s">
        <v>190</v>
      </c>
      <c r="P682" s="55" t="s">
        <v>966</v>
      </c>
      <c r="Q682" s="55" t="s">
        <v>380</v>
      </c>
      <c r="R682" s="55">
        <v>4</v>
      </c>
      <c r="S682" s="55"/>
      <c r="T682" s="55" t="s">
        <v>967</v>
      </c>
    </row>
    <row r="683" spans="1:20" ht="13" x14ac:dyDescent="0.15">
      <c r="A683" s="72" t="str">
        <f t="shared" si="10"/>
        <v>Ofsted Social Care Provider Webpage</v>
      </c>
      <c r="B683" s="55">
        <v>2508456</v>
      </c>
      <c r="D683" s="55" t="s">
        <v>373</v>
      </c>
      <c r="E683" s="74">
        <v>43579</v>
      </c>
      <c r="F683" s="55" t="s">
        <v>344</v>
      </c>
      <c r="G683" s="55" t="s">
        <v>360</v>
      </c>
      <c r="H683" s="55" t="s">
        <v>360</v>
      </c>
      <c r="I683" s="55" t="s">
        <v>360</v>
      </c>
      <c r="J683" s="55" t="s">
        <v>360</v>
      </c>
      <c r="K683" s="55" t="s">
        <v>360</v>
      </c>
      <c r="L683" s="55" t="s">
        <v>360</v>
      </c>
      <c r="M683" s="55" t="s">
        <v>142</v>
      </c>
      <c r="N683" s="55" t="s">
        <v>142</v>
      </c>
      <c r="O683" s="55" t="s">
        <v>262</v>
      </c>
      <c r="P683" s="55" t="s">
        <v>1215</v>
      </c>
      <c r="Q683" s="55" t="s">
        <v>350</v>
      </c>
      <c r="R683" s="55">
        <v>3</v>
      </c>
      <c r="S683" s="55"/>
      <c r="T683" s="55" t="s">
        <v>917</v>
      </c>
    </row>
    <row r="684" spans="1:20" ht="13" x14ac:dyDescent="0.15">
      <c r="A684" s="72" t="str">
        <f t="shared" si="10"/>
        <v>Ofsted Social Care Provider Webpage</v>
      </c>
      <c r="B684" s="55">
        <v>2508513</v>
      </c>
      <c r="D684" s="55" t="s">
        <v>373</v>
      </c>
      <c r="E684" s="74">
        <v>43487</v>
      </c>
      <c r="F684" s="55" t="s">
        <v>344</v>
      </c>
      <c r="G684" s="55" t="s">
        <v>360</v>
      </c>
      <c r="H684" s="55" t="s">
        <v>360</v>
      </c>
      <c r="I684" s="55" t="s">
        <v>360</v>
      </c>
      <c r="J684" s="55" t="s">
        <v>360</v>
      </c>
      <c r="K684" s="55" t="s">
        <v>360</v>
      </c>
      <c r="L684" s="55" t="s">
        <v>360</v>
      </c>
      <c r="M684" s="55" t="s">
        <v>144</v>
      </c>
      <c r="N684" s="55" t="s">
        <v>144</v>
      </c>
      <c r="O684" s="55" t="s">
        <v>168</v>
      </c>
      <c r="P684" s="55" t="s">
        <v>708</v>
      </c>
      <c r="Q684" s="55" t="s">
        <v>380</v>
      </c>
      <c r="R684" s="55">
        <v>6</v>
      </c>
      <c r="S684" s="55"/>
      <c r="T684" s="55" t="s">
        <v>1432</v>
      </c>
    </row>
    <row r="685" spans="1:20" ht="13" x14ac:dyDescent="0.15">
      <c r="A685" s="72" t="str">
        <f t="shared" si="10"/>
        <v>Ofsted Social Care Provider Webpage</v>
      </c>
      <c r="B685" s="55">
        <v>2508525</v>
      </c>
      <c r="D685" s="55" t="s">
        <v>373</v>
      </c>
      <c r="E685" s="74">
        <v>43524</v>
      </c>
      <c r="F685" s="55" t="s">
        <v>344</v>
      </c>
      <c r="G685" s="55" t="s">
        <v>360</v>
      </c>
      <c r="H685" s="55" t="s">
        <v>360</v>
      </c>
      <c r="I685" s="55" t="s">
        <v>360</v>
      </c>
      <c r="J685" s="55" t="s">
        <v>360</v>
      </c>
      <c r="K685" s="55" t="s">
        <v>360</v>
      </c>
      <c r="L685" s="55" t="s">
        <v>360</v>
      </c>
      <c r="M685" s="55" t="s">
        <v>172</v>
      </c>
      <c r="N685" s="55" t="s">
        <v>172</v>
      </c>
      <c r="O685" s="55" t="s">
        <v>235</v>
      </c>
      <c r="P685" s="55" t="s">
        <v>948</v>
      </c>
      <c r="Q685" s="55" t="s">
        <v>350</v>
      </c>
      <c r="R685" s="55">
        <v>4</v>
      </c>
      <c r="S685" s="55"/>
      <c r="T685" s="55" t="s">
        <v>1433</v>
      </c>
    </row>
    <row r="686" spans="1:20" ht="13" x14ac:dyDescent="0.15">
      <c r="A686" s="72" t="str">
        <f t="shared" si="10"/>
        <v>Ofsted Social Care Provider Webpage</v>
      </c>
      <c r="B686" s="55">
        <v>2508545</v>
      </c>
      <c r="D686" s="55" t="s">
        <v>373</v>
      </c>
      <c r="E686" s="74">
        <v>43598</v>
      </c>
      <c r="F686" s="55" t="s">
        <v>344</v>
      </c>
      <c r="G686" s="55" t="s">
        <v>360</v>
      </c>
      <c r="H686" s="55" t="s">
        <v>360</v>
      </c>
      <c r="I686" s="55" t="s">
        <v>360</v>
      </c>
      <c r="J686" s="55" t="s">
        <v>360</v>
      </c>
      <c r="K686" s="55" t="s">
        <v>360</v>
      </c>
      <c r="L686" s="55" t="s">
        <v>360</v>
      </c>
      <c r="M686" s="55" t="s">
        <v>142</v>
      </c>
      <c r="N686" s="55" t="s">
        <v>142</v>
      </c>
      <c r="O686" s="55" t="s">
        <v>262</v>
      </c>
      <c r="P686" s="55" t="s">
        <v>916</v>
      </c>
      <c r="Q686" s="55" t="s">
        <v>350</v>
      </c>
      <c r="R686" s="55">
        <v>2</v>
      </c>
      <c r="S686" s="55"/>
      <c r="T686" s="55" t="s">
        <v>489</v>
      </c>
    </row>
    <row r="687" spans="1:20" ht="13" x14ac:dyDescent="0.15">
      <c r="A687" s="72" t="str">
        <f t="shared" si="10"/>
        <v>Ofsted Social Care Provider Webpage</v>
      </c>
      <c r="B687" s="55">
        <v>2508601</v>
      </c>
      <c r="D687" s="55" t="s">
        <v>373</v>
      </c>
      <c r="E687" s="74">
        <v>43566</v>
      </c>
      <c r="F687" s="55" t="s">
        <v>344</v>
      </c>
      <c r="G687" s="55" t="s">
        <v>360</v>
      </c>
      <c r="H687" s="55" t="s">
        <v>360</v>
      </c>
      <c r="I687" s="55" t="s">
        <v>360</v>
      </c>
      <c r="J687" s="55" t="s">
        <v>360</v>
      </c>
      <c r="K687" s="55" t="s">
        <v>360</v>
      </c>
      <c r="L687" s="55" t="s">
        <v>360</v>
      </c>
      <c r="M687" s="55" t="s">
        <v>144</v>
      </c>
      <c r="N687" s="55" t="s">
        <v>144</v>
      </c>
      <c r="O687" s="55" t="s">
        <v>209</v>
      </c>
      <c r="P687" s="55" t="s">
        <v>597</v>
      </c>
      <c r="Q687" s="55" t="s">
        <v>350</v>
      </c>
      <c r="R687" s="55">
        <v>3</v>
      </c>
      <c r="S687" s="55"/>
      <c r="T687" s="55" t="s">
        <v>886</v>
      </c>
    </row>
    <row r="688" spans="1:20" ht="13" x14ac:dyDescent="0.15">
      <c r="A688" s="72" t="str">
        <f t="shared" si="10"/>
        <v>Ofsted Social Care Provider Webpage</v>
      </c>
      <c r="B688" s="55">
        <v>2509056</v>
      </c>
      <c r="D688" s="55" t="s">
        <v>389</v>
      </c>
      <c r="E688" s="74">
        <v>43788</v>
      </c>
      <c r="F688" s="55" t="s">
        <v>344</v>
      </c>
      <c r="G688" s="55" t="s">
        <v>1434</v>
      </c>
      <c r="H688" s="55" t="s">
        <v>1435</v>
      </c>
      <c r="I688" s="55" t="s">
        <v>1436</v>
      </c>
      <c r="J688" s="55" t="s">
        <v>1437</v>
      </c>
      <c r="K688" s="55" t="s">
        <v>262</v>
      </c>
      <c r="L688" s="55" t="s">
        <v>1438</v>
      </c>
      <c r="M688" s="55" t="s">
        <v>142</v>
      </c>
      <c r="N688" s="55" t="s">
        <v>142</v>
      </c>
      <c r="O688" s="55" t="s">
        <v>262</v>
      </c>
      <c r="P688" s="55" t="s">
        <v>1215</v>
      </c>
      <c r="Q688" s="55" t="s">
        <v>350</v>
      </c>
      <c r="R688" s="55"/>
      <c r="S688" s="55"/>
      <c r="T688" s="55" t="s">
        <v>1439</v>
      </c>
    </row>
    <row r="689" spans="1:20" ht="13" x14ac:dyDescent="0.15">
      <c r="A689" s="72" t="str">
        <f t="shared" si="10"/>
        <v>Ofsted Social Care Provider Webpage</v>
      </c>
      <c r="B689" s="55">
        <v>2509269</v>
      </c>
      <c r="D689" s="55" t="s">
        <v>373</v>
      </c>
      <c r="E689" s="74">
        <v>43496</v>
      </c>
      <c r="F689" s="55" t="s">
        <v>344</v>
      </c>
      <c r="G689" s="55" t="s">
        <v>360</v>
      </c>
      <c r="H689" s="55" t="s">
        <v>360</v>
      </c>
      <c r="I689" s="55" t="s">
        <v>360</v>
      </c>
      <c r="J689" s="55" t="s">
        <v>360</v>
      </c>
      <c r="K689" s="55" t="s">
        <v>360</v>
      </c>
      <c r="L689" s="55" t="s">
        <v>360</v>
      </c>
      <c r="M689" s="55" t="s">
        <v>144</v>
      </c>
      <c r="N689" s="55" t="s">
        <v>144</v>
      </c>
      <c r="O689" s="55" t="s">
        <v>209</v>
      </c>
      <c r="P689" s="55" t="s">
        <v>544</v>
      </c>
      <c r="Q689" s="55" t="s">
        <v>350</v>
      </c>
      <c r="R689" s="55">
        <v>3</v>
      </c>
      <c r="S689" s="55"/>
      <c r="T689" s="55" t="s">
        <v>737</v>
      </c>
    </row>
    <row r="690" spans="1:20" ht="13" x14ac:dyDescent="0.15">
      <c r="A690" s="72" t="str">
        <f t="shared" si="10"/>
        <v>Ofsted Social Care Provider Webpage</v>
      </c>
      <c r="B690" s="55">
        <v>2509280</v>
      </c>
      <c r="D690" s="55" t="s">
        <v>373</v>
      </c>
      <c r="E690" s="74">
        <v>43529</v>
      </c>
      <c r="F690" s="55" t="s">
        <v>344</v>
      </c>
      <c r="G690" s="55" t="s">
        <v>360</v>
      </c>
      <c r="H690" s="55" t="s">
        <v>360</v>
      </c>
      <c r="I690" s="55" t="s">
        <v>360</v>
      </c>
      <c r="J690" s="55" t="s">
        <v>360</v>
      </c>
      <c r="K690" s="55" t="s">
        <v>360</v>
      </c>
      <c r="L690" s="55" t="s">
        <v>360</v>
      </c>
      <c r="M690" s="55" t="s">
        <v>378</v>
      </c>
      <c r="N690" s="55" t="s">
        <v>134</v>
      </c>
      <c r="O690" s="55" t="s">
        <v>158</v>
      </c>
      <c r="P690" s="55" t="s">
        <v>480</v>
      </c>
      <c r="Q690" s="55" t="s">
        <v>350</v>
      </c>
      <c r="R690" s="55">
        <v>2</v>
      </c>
      <c r="S690" s="55"/>
      <c r="T690" s="55" t="s">
        <v>485</v>
      </c>
    </row>
    <row r="691" spans="1:20" ht="13" x14ac:dyDescent="0.15">
      <c r="A691" s="72" t="str">
        <f t="shared" si="10"/>
        <v>Ofsted Social Care Provider Webpage</v>
      </c>
      <c r="B691" s="55">
        <v>2509298</v>
      </c>
      <c r="D691" s="55" t="s">
        <v>373</v>
      </c>
      <c r="E691" s="74">
        <v>43529</v>
      </c>
      <c r="F691" s="55" t="s">
        <v>344</v>
      </c>
      <c r="G691" s="55" t="s">
        <v>360</v>
      </c>
      <c r="H691" s="55" t="s">
        <v>360</v>
      </c>
      <c r="I691" s="55" t="s">
        <v>360</v>
      </c>
      <c r="J691" s="55" t="s">
        <v>360</v>
      </c>
      <c r="K691" s="55" t="s">
        <v>360</v>
      </c>
      <c r="L691" s="55" t="s">
        <v>360</v>
      </c>
      <c r="M691" s="55" t="s">
        <v>378</v>
      </c>
      <c r="N691" s="55" t="s">
        <v>134</v>
      </c>
      <c r="O691" s="55" t="s">
        <v>277</v>
      </c>
      <c r="P691" s="55" t="s">
        <v>277</v>
      </c>
      <c r="Q691" s="55" t="s">
        <v>350</v>
      </c>
      <c r="R691" s="55">
        <v>7</v>
      </c>
      <c r="S691" s="55"/>
      <c r="T691" s="55" t="s">
        <v>435</v>
      </c>
    </row>
    <row r="692" spans="1:20" ht="13" x14ac:dyDescent="0.15">
      <c r="A692" s="72" t="str">
        <f t="shared" si="10"/>
        <v>Ofsted Social Care Provider Webpage</v>
      </c>
      <c r="B692" s="55">
        <v>2509300</v>
      </c>
      <c r="D692" s="55" t="s">
        <v>373</v>
      </c>
      <c r="E692" s="74">
        <v>43549</v>
      </c>
      <c r="F692" s="55" t="s">
        <v>344</v>
      </c>
      <c r="G692" s="55" t="s">
        <v>360</v>
      </c>
      <c r="H692" s="55" t="s">
        <v>360</v>
      </c>
      <c r="I692" s="55" t="s">
        <v>360</v>
      </c>
      <c r="J692" s="55" t="s">
        <v>360</v>
      </c>
      <c r="K692" s="55" t="s">
        <v>360</v>
      </c>
      <c r="L692" s="55" t="s">
        <v>360</v>
      </c>
      <c r="M692" s="55" t="s">
        <v>142</v>
      </c>
      <c r="N692" s="55" t="s">
        <v>142</v>
      </c>
      <c r="O692" s="55" t="s">
        <v>282</v>
      </c>
      <c r="P692" s="55" t="s">
        <v>355</v>
      </c>
      <c r="Q692" s="55" t="s">
        <v>350</v>
      </c>
      <c r="R692" s="55">
        <v>7</v>
      </c>
      <c r="S692" s="55"/>
      <c r="T692" s="55" t="s">
        <v>435</v>
      </c>
    </row>
    <row r="693" spans="1:20" ht="13" x14ac:dyDescent="0.15">
      <c r="A693" s="72" t="str">
        <f t="shared" si="10"/>
        <v>Ofsted Social Care Provider Webpage</v>
      </c>
      <c r="B693" s="55">
        <v>2509365</v>
      </c>
      <c r="D693" s="55" t="s">
        <v>373</v>
      </c>
      <c r="E693" s="74">
        <v>43542</v>
      </c>
      <c r="F693" s="55" t="s">
        <v>344</v>
      </c>
      <c r="G693" s="55" t="s">
        <v>360</v>
      </c>
      <c r="H693" s="55" t="s">
        <v>360</v>
      </c>
      <c r="I693" s="55" t="s">
        <v>360</v>
      </c>
      <c r="J693" s="55" t="s">
        <v>360</v>
      </c>
      <c r="K693" s="55" t="s">
        <v>360</v>
      </c>
      <c r="L693" s="55" t="s">
        <v>360</v>
      </c>
      <c r="M693" s="55" t="s">
        <v>378</v>
      </c>
      <c r="N693" s="55" t="s">
        <v>134</v>
      </c>
      <c r="O693" s="55" t="s">
        <v>232</v>
      </c>
      <c r="P693" s="55" t="s">
        <v>412</v>
      </c>
      <c r="Q693" s="55" t="s">
        <v>350</v>
      </c>
      <c r="R693" s="55">
        <v>2</v>
      </c>
      <c r="S693" s="55"/>
      <c r="T693" s="55" t="s">
        <v>493</v>
      </c>
    </row>
    <row r="694" spans="1:20" ht="13" x14ac:dyDescent="0.15">
      <c r="A694" s="72" t="str">
        <f t="shared" si="10"/>
        <v>Ofsted Social Care Provider Webpage</v>
      </c>
      <c r="B694" s="55">
        <v>2509366</v>
      </c>
      <c r="D694" s="55" t="s">
        <v>373</v>
      </c>
      <c r="E694" s="74">
        <v>43542</v>
      </c>
      <c r="F694" s="55" t="s">
        <v>344</v>
      </c>
      <c r="G694" s="55" t="s">
        <v>360</v>
      </c>
      <c r="H694" s="55" t="s">
        <v>360</v>
      </c>
      <c r="I694" s="55" t="s">
        <v>360</v>
      </c>
      <c r="J694" s="55" t="s">
        <v>360</v>
      </c>
      <c r="K694" s="55" t="s">
        <v>360</v>
      </c>
      <c r="L694" s="55" t="s">
        <v>360</v>
      </c>
      <c r="M694" s="55" t="s">
        <v>378</v>
      </c>
      <c r="N694" s="55" t="s">
        <v>134</v>
      </c>
      <c r="O694" s="55" t="s">
        <v>277</v>
      </c>
      <c r="P694" s="55" t="s">
        <v>1362</v>
      </c>
      <c r="Q694" s="55" t="s">
        <v>350</v>
      </c>
      <c r="R694" s="55">
        <v>2</v>
      </c>
      <c r="S694" s="55"/>
      <c r="T694" s="55" t="s">
        <v>493</v>
      </c>
    </row>
    <row r="695" spans="1:20" ht="13" x14ac:dyDescent="0.15">
      <c r="A695" s="72" t="str">
        <f t="shared" si="10"/>
        <v>Ofsted Social Care Provider Webpage</v>
      </c>
      <c r="B695" s="55">
        <v>2509367</v>
      </c>
      <c r="D695" s="55" t="s">
        <v>373</v>
      </c>
      <c r="E695" s="74">
        <v>43546</v>
      </c>
      <c r="F695" s="55" t="s">
        <v>344</v>
      </c>
      <c r="G695" s="55" t="s">
        <v>360</v>
      </c>
      <c r="H695" s="55" t="s">
        <v>360</v>
      </c>
      <c r="I695" s="55" t="s">
        <v>360</v>
      </c>
      <c r="J695" s="55" t="s">
        <v>360</v>
      </c>
      <c r="K695" s="55" t="s">
        <v>360</v>
      </c>
      <c r="L695" s="55" t="s">
        <v>360</v>
      </c>
      <c r="M695" s="55" t="s">
        <v>378</v>
      </c>
      <c r="N695" s="55" t="s">
        <v>134</v>
      </c>
      <c r="O695" s="55" t="s">
        <v>277</v>
      </c>
      <c r="P695" s="55" t="s">
        <v>1362</v>
      </c>
      <c r="Q695" s="55" t="s">
        <v>350</v>
      </c>
      <c r="R695" s="55">
        <v>3</v>
      </c>
      <c r="S695" s="55"/>
      <c r="T695" s="55" t="s">
        <v>493</v>
      </c>
    </row>
    <row r="696" spans="1:20" ht="13" x14ac:dyDescent="0.15">
      <c r="A696" s="72" t="str">
        <f t="shared" si="10"/>
        <v>Ofsted Social Care Provider Webpage</v>
      </c>
      <c r="B696" s="55">
        <v>2509381</v>
      </c>
      <c r="D696" s="55" t="s">
        <v>373</v>
      </c>
      <c r="E696" s="74">
        <v>43657</v>
      </c>
      <c r="F696" s="55" t="s">
        <v>344</v>
      </c>
      <c r="G696" s="55" t="s">
        <v>360</v>
      </c>
      <c r="H696" s="55" t="s">
        <v>360</v>
      </c>
      <c r="I696" s="55" t="s">
        <v>360</v>
      </c>
      <c r="J696" s="55" t="s">
        <v>360</v>
      </c>
      <c r="K696" s="55" t="s">
        <v>360</v>
      </c>
      <c r="L696" s="55" t="s">
        <v>360</v>
      </c>
      <c r="M696" s="55" t="s">
        <v>144</v>
      </c>
      <c r="N696" s="55" t="s">
        <v>144</v>
      </c>
      <c r="O696" s="55" t="s">
        <v>215</v>
      </c>
      <c r="P696" s="55" t="s">
        <v>1440</v>
      </c>
      <c r="Q696" s="55" t="s">
        <v>350</v>
      </c>
      <c r="R696" s="55">
        <v>2</v>
      </c>
      <c r="S696" s="55"/>
      <c r="T696" s="55" t="s">
        <v>1441</v>
      </c>
    </row>
    <row r="697" spans="1:20" ht="13" x14ac:dyDescent="0.15">
      <c r="A697" s="72" t="str">
        <f t="shared" si="10"/>
        <v>Ofsted Social Care Provider Webpage</v>
      </c>
      <c r="B697" s="55">
        <v>2509452</v>
      </c>
      <c r="D697" s="55" t="s">
        <v>373</v>
      </c>
      <c r="E697" s="74">
        <v>43535</v>
      </c>
      <c r="F697" s="55" t="s">
        <v>344</v>
      </c>
      <c r="G697" s="55" t="s">
        <v>360</v>
      </c>
      <c r="H697" s="55" t="s">
        <v>360</v>
      </c>
      <c r="I697" s="55" t="s">
        <v>360</v>
      </c>
      <c r="J697" s="55" t="s">
        <v>360</v>
      </c>
      <c r="K697" s="55" t="s">
        <v>360</v>
      </c>
      <c r="L697" s="55" t="s">
        <v>360</v>
      </c>
      <c r="M697" s="55" t="s">
        <v>144</v>
      </c>
      <c r="N697" s="55" t="s">
        <v>144</v>
      </c>
      <c r="O697" s="55" t="s">
        <v>287</v>
      </c>
      <c r="P697" s="55" t="s">
        <v>1103</v>
      </c>
      <c r="Q697" s="55" t="s">
        <v>350</v>
      </c>
      <c r="R697" s="55">
        <v>3</v>
      </c>
      <c r="S697" s="55"/>
      <c r="T697" s="55" t="s">
        <v>489</v>
      </c>
    </row>
    <row r="698" spans="1:20" ht="13" x14ac:dyDescent="0.15">
      <c r="A698" s="72" t="str">
        <f t="shared" si="10"/>
        <v>Ofsted Social Care Provider Webpage</v>
      </c>
      <c r="B698" s="55">
        <v>2509473</v>
      </c>
      <c r="D698" s="55" t="s">
        <v>373</v>
      </c>
      <c r="E698" s="74">
        <v>43508</v>
      </c>
      <c r="F698" s="55" t="s">
        <v>344</v>
      </c>
      <c r="G698" s="55" t="s">
        <v>360</v>
      </c>
      <c r="H698" s="55" t="s">
        <v>360</v>
      </c>
      <c r="I698" s="55" t="s">
        <v>360</v>
      </c>
      <c r="J698" s="55" t="s">
        <v>360</v>
      </c>
      <c r="K698" s="55" t="s">
        <v>360</v>
      </c>
      <c r="L698" s="55" t="s">
        <v>360</v>
      </c>
      <c r="M698" s="55" t="s">
        <v>150</v>
      </c>
      <c r="N698" s="55" t="s">
        <v>150</v>
      </c>
      <c r="O698" s="55" t="s">
        <v>203</v>
      </c>
      <c r="P698" s="55" t="s">
        <v>593</v>
      </c>
      <c r="Q698" s="55" t="s">
        <v>350</v>
      </c>
      <c r="R698" s="55">
        <v>4</v>
      </c>
      <c r="S698" s="55"/>
      <c r="T698" s="55" t="s">
        <v>1442</v>
      </c>
    </row>
    <row r="699" spans="1:20" ht="13" x14ac:dyDescent="0.15">
      <c r="A699" s="72" t="str">
        <f t="shared" si="10"/>
        <v>Ofsted Social Care Provider Webpage</v>
      </c>
      <c r="B699" s="55">
        <v>2509643</v>
      </c>
      <c r="D699" s="55" t="s">
        <v>468</v>
      </c>
      <c r="E699" s="74">
        <v>43433</v>
      </c>
      <c r="F699" s="55" t="s">
        <v>344</v>
      </c>
      <c r="G699" s="55" t="s">
        <v>1443</v>
      </c>
      <c r="H699" s="55" t="s">
        <v>1444</v>
      </c>
      <c r="I699" s="55" t="s">
        <v>1445</v>
      </c>
      <c r="J699" s="55" t="s">
        <v>241</v>
      </c>
      <c r="K699" s="55" t="s">
        <v>1402</v>
      </c>
      <c r="L699" s="55" t="s">
        <v>1403</v>
      </c>
      <c r="M699" s="55" t="s">
        <v>150</v>
      </c>
      <c r="N699" s="55" t="s">
        <v>150</v>
      </c>
      <c r="O699" s="55" t="s">
        <v>241</v>
      </c>
      <c r="P699" s="55" t="s">
        <v>486</v>
      </c>
      <c r="Q699" s="55" t="s">
        <v>362</v>
      </c>
      <c r="R699" s="55"/>
      <c r="S699" s="55"/>
      <c r="T699" s="55" t="s">
        <v>1404</v>
      </c>
    </row>
    <row r="700" spans="1:20" ht="13" x14ac:dyDescent="0.15">
      <c r="A700" s="72" t="str">
        <f t="shared" si="10"/>
        <v>Ofsted Social Care Provider Webpage</v>
      </c>
      <c r="B700" s="55">
        <v>2509670</v>
      </c>
      <c r="D700" s="55" t="s">
        <v>373</v>
      </c>
      <c r="E700" s="74">
        <v>43552</v>
      </c>
      <c r="F700" s="55" t="s">
        <v>344</v>
      </c>
      <c r="G700" s="55" t="s">
        <v>360</v>
      </c>
      <c r="H700" s="55" t="s">
        <v>360</v>
      </c>
      <c r="I700" s="55" t="s">
        <v>360</v>
      </c>
      <c r="J700" s="55" t="s">
        <v>360</v>
      </c>
      <c r="K700" s="55" t="s">
        <v>360</v>
      </c>
      <c r="L700" s="55" t="s">
        <v>360</v>
      </c>
      <c r="M700" s="55" t="s">
        <v>144</v>
      </c>
      <c r="N700" s="55" t="s">
        <v>144</v>
      </c>
      <c r="O700" s="55" t="s">
        <v>263</v>
      </c>
      <c r="P700" s="55" t="s">
        <v>263</v>
      </c>
      <c r="Q700" s="55" t="s">
        <v>350</v>
      </c>
      <c r="R700" s="55">
        <v>4</v>
      </c>
      <c r="S700" s="55"/>
      <c r="T700" s="55" t="s">
        <v>1446</v>
      </c>
    </row>
    <row r="701" spans="1:20" ht="13" x14ac:dyDescent="0.15">
      <c r="A701" s="72" t="str">
        <f t="shared" si="10"/>
        <v>Ofsted Social Care Provider Webpage</v>
      </c>
      <c r="B701" s="55">
        <v>2509684</v>
      </c>
      <c r="D701" s="55" t="s">
        <v>373</v>
      </c>
      <c r="E701" s="74">
        <v>43434</v>
      </c>
      <c r="F701" s="55" t="s">
        <v>344</v>
      </c>
      <c r="G701" s="55" t="s">
        <v>360</v>
      </c>
      <c r="H701" s="55" t="s">
        <v>360</v>
      </c>
      <c r="I701" s="55" t="s">
        <v>360</v>
      </c>
      <c r="J701" s="55" t="s">
        <v>360</v>
      </c>
      <c r="K701" s="55" t="s">
        <v>360</v>
      </c>
      <c r="L701" s="55" t="s">
        <v>360</v>
      </c>
      <c r="M701" s="55" t="s">
        <v>136</v>
      </c>
      <c r="N701" s="55" t="s">
        <v>136</v>
      </c>
      <c r="O701" s="55" t="s">
        <v>255</v>
      </c>
      <c r="P701" s="55" t="s">
        <v>1447</v>
      </c>
      <c r="Q701" s="55" t="s">
        <v>350</v>
      </c>
      <c r="R701" s="55">
        <v>4</v>
      </c>
      <c r="S701" s="55"/>
      <c r="T701" s="55" t="s">
        <v>739</v>
      </c>
    </row>
    <row r="702" spans="1:20" ht="13" x14ac:dyDescent="0.15">
      <c r="A702" s="72" t="str">
        <f t="shared" si="10"/>
        <v>Ofsted Social Care Provider Webpage</v>
      </c>
      <c r="B702" s="55">
        <v>2509731</v>
      </c>
      <c r="D702" s="55" t="s">
        <v>373</v>
      </c>
      <c r="E702" s="74">
        <v>43563</v>
      </c>
      <c r="F702" s="55" t="s">
        <v>344</v>
      </c>
      <c r="G702" s="55" t="s">
        <v>360</v>
      </c>
      <c r="H702" s="55" t="s">
        <v>360</v>
      </c>
      <c r="I702" s="55" t="s">
        <v>360</v>
      </c>
      <c r="J702" s="55" t="s">
        <v>360</v>
      </c>
      <c r="K702" s="55" t="s">
        <v>360</v>
      </c>
      <c r="L702" s="55" t="s">
        <v>360</v>
      </c>
      <c r="M702" s="55" t="s">
        <v>142</v>
      </c>
      <c r="N702" s="55" t="s">
        <v>142</v>
      </c>
      <c r="O702" s="55" t="s">
        <v>262</v>
      </c>
      <c r="P702" s="55" t="s">
        <v>850</v>
      </c>
      <c r="Q702" s="55" t="s">
        <v>350</v>
      </c>
      <c r="R702" s="55">
        <v>3</v>
      </c>
      <c r="S702" s="55"/>
      <c r="T702" s="55" t="s">
        <v>1448</v>
      </c>
    </row>
    <row r="703" spans="1:20" ht="13" x14ac:dyDescent="0.15">
      <c r="A703" s="72" t="str">
        <f t="shared" si="10"/>
        <v>Ofsted Social Care Provider Webpage</v>
      </c>
      <c r="B703" s="55">
        <v>2509800</v>
      </c>
      <c r="D703" s="55" t="s">
        <v>373</v>
      </c>
      <c r="E703" s="74">
        <v>43698</v>
      </c>
      <c r="F703" s="55" t="s">
        <v>344</v>
      </c>
      <c r="G703" s="55" t="s">
        <v>360</v>
      </c>
      <c r="H703" s="55" t="s">
        <v>360</v>
      </c>
      <c r="I703" s="55" t="s">
        <v>360</v>
      </c>
      <c r="J703" s="55" t="s">
        <v>360</v>
      </c>
      <c r="K703" s="55" t="s">
        <v>360</v>
      </c>
      <c r="L703" s="55" t="s">
        <v>360</v>
      </c>
      <c r="M703" s="55" t="s">
        <v>144</v>
      </c>
      <c r="N703" s="55" t="s">
        <v>144</v>
      </c>
      <c r="O703" s="55" t="s">
        <v>281</v>
      </c>
      <c r="P703" s="55" t="s">
        <v>725</v>
      </c>
      <c r="Q703" s="55" t="s">
        <v>350</v>
      </c>
      <c r="R703" s="55">
        <v>2</v>
      </c>
      <c r="S703" s="55"/>
      <c r="T703" s="55" t="s">
        <v>1449</v>
      </c>
    </row>
    <row r="704" spans="1:20" ht="13" x14ac:dyDescent="0.15">
      <c r="A704" s="72" t="str">
        <f t="shared" si="10"/>
        <v>Ofsted Social Care Provider Webpage</v>
      </c>
      <c r="B704" s="55">
        <v>2509802</v>
      </c>
      <c r="D704" s="55" t="s">
        <v>373</v>
      </c>
      <c r="E704" s="74">
        <v>43703</v>
      </c>
      <c r="F704" s="55" t="s">
        <v>344</v>
      </c>
      <c r="G704" s="55" t="s">
        <v>360</v>
      </c>
      <c r="H704" s="55" t="s">
        <v>360</v>
      </c>
      <c r="I704" s="55" t="s">
        <v>360</v>
      </c>
      <c r="J704" s="55" t="s">
        <v>360</v>
      </c>
      <c r="K704" s="55" t="s">
        <v>360</v>
      </c>
      <c r="L704" s="55" t="s">
        <v>360</v>
      </c>
      <c r="M704" s="55" t="s">
        <v>144</v>
      </c>
      <c r="N704" s="55" t="s">
        <v>144</v>
      </c>
      <c r="O704" s="55" t="s">
        <v>261</v>
      </c>
      <c r="P704" s="55" t="s">
        <v>792</v>
      </c>
      <c r="Q704" s="55" t="s">
        <v>350</v>
      </c>
      <c r="R704" s="55">
        <v>3</v>
      </c>
      <c r="S704" s="55"/>
      <c r="T704" s="55" t="s">
        <v>1449</v>
      </c>
    </row>
    <row r="705" spans="1:20" ht="13" x14ac:dyDescent="0.15">
      <c r="A705" s="72" t="str">
        <f t="shared" si="10"/>
        <v>Ofsted Social Care Provider Webpage</v>
      </c>
      <c r="B705" s="55">
        <v>2509838</v>
      </c>
      <c r="D705" s="55" t="s">
        <v>373</v>
      </c>
      <c r="E705" s="74">
        <v>43509</v>
      </c>
      <c r="F705" s="55" t="s">
        <v>344</v>
      </c>
      <c r="G705" s="55" t="s">
        <v>360</v>
      </c>
      <c r="H705" s="55" t="s">
        <v>360</v>
      </c>
      <c r="I705" s="55" t="s">
        <v>360</v>
      </c>
      <c r="J705" s="55" t="s">
        <v>360</v>
      </c>
      <c r="K705" s="55" t="s">
        <v>360</v>
      </c>
      <c r="L705" s="55" t="s">
        <v>360</v>
      </c>
      <c r="M705" s="55" t="s">
        <v>144</v>
      </c>
      <c r="N705" s="55" t="s">
        <v>144</v>
      </c>
      <c r="O705" s="55" t="s">
        <v>147</v>
      </c>
      <c r="P705" s="55" t="s">
        <v>807</v>
      </c>
      <c r="Q705" s="55" t="s">
        <v>350</v>
      </c>
      <c r="R705" s="55">
        <v>3</v>
      </c>
      <c r="S705" s="55"/>
      <c r="T705" s="55" t="s">
        <v>440</v>
      </c>
    </row>
    <row r="706" spans="1:20" ht="13" x14ac:dyDescent="0.15">
      <c r="A706" s="72" t="str">
        <f t="shared" si="10"/>
        <v>Ofsted Social Care Provider Webpage</v>
      </c>
      <c r="B706" s="55">
        <v>2509892</v>
      </c>
      <c r="D706" s="55" t="s">
        <v>373</v>
      </c>
      <c r="E706" s="74">
        <v>44028</v>
      </c>
      <c r="F706" s="55" t="s">
        <v>344</v>
      </c>
      <c r="G706" s="55" t="s">
        <v>360</v>
      </c>
      <c r="H706" s="55" t="s">
        <v>360</v>
      </c>
      <c r="I706" s="55" t="s">
        <v>360</v>
      </c>
      <c r="J706" s="55" t="s">
        <v>360</v>
      </c>
      <c r="K706" s="55" t="s">
        <v>360</v>
      </c>
      <c r="L706" s="55" t="s">
        <v>360</v>
      </c>
      <c r="M706" s="55" t="s">
        <v>378</v>
      </c>
      <c r="N706" s="55" t="s">
        <v>170</v>
      </c>
      <c r="O706" s="55" t="s">
        <v>178</v>
      </c>
      <c r="P706" s="55" t="s">
        <v>1450</v>
      </c>
      <c r="Q706" s="55" t="s">
        <v>350</v>
      </c>
      <c r="R706" s="55">
        <v>4</v>
      </c>
      <c r="S706" s="55"/>
      <c r="T706" s="55" t="s">
        <v>1236</v>
      </c>
    </row>
    <row r="707" spans="1:20" ht="13" x14ac:dyDescent="0.15">
      <c r="A707" s="72" t="str">
        <f t="shared" si="10"/>
        <v>Ofsted Social Care Provider Webpage</v>
      </c>
      <c r="B707" s="55">
        <v>2509967</v>
      </c>
      <c r="D707" s="55" t="s">
        <v>389</v>
      </c>
      <c r="E707" s="74">
        <v>43753</v>
      </c>
      <c r="F707" s="55" t="s">
        <v>344</v>
      </c>
      <c r="G707" s="55" t="s">
        <v>1451</v>
      </c>
      <c r="H707" s="55" t="s">
        <v>1452</v>
      </c>
      <c r="I707" s="55" t="s">
        <v>1453</v>
      </c>
      <c r="J707" s="55" t="s">
        <v>1179</v>
      </c>
      <c r="L707" s="55" t="s">
        <v>1454</v>
      </c>
      <c r="M707" s="55" t="s">
        <v>142</v>
      </c>
      <c r="N707" s="55" t="s">
        <v>142</v>
      </c>
      <c r="O707" s="55" t="s">
        <v>249</v>
      </c>
      <c r="P707" s="55" t="s">
        <v>1181</v>
      </c>
      <c r="Q707" s="55" t="s">
        <v>350</v>
      </c>
      <c r="R707" s="55"/>
      <c r="S707" s="55"/>
      <c r="T707" s="55" t="s">
        <v>1451</v>
      </c>
    </row>
    <row r="708" spans="1:20" ht="13" x14ac:dyDescent="0.15">
      <c r="A708" s="72" t="str">
        <f t="shared" si="10"/>
        <v>Ofsted Social Care Provider Webpage</v>
      </c>
      <c r="B708" s="55">
        <v>2509968</v>
      </c>
      <c r="D708" s="55" t="s">
        <v>693</v>
      </c>
      <c r="E708" s="74">
        <v>43420</v>
      </c>
      <c r="F708" s="55" t="s">
        <v>344</v>
      </c>
      <c r="G708" s="55" t="s">
        <v>1455</v>
      </c>
      <c r="H708" s="55" t="s">
        <v>1456</v>
      </c>
      <c r="I708" s="55" t="s">
        <v>354</v>
      </c>
      <c r="J708" s="55" t="s">
        <v>1457</v>
      </c>
      <c r="K708" s="55" t="s">
        <v>195</v>
      </c>
      <c r="L708" s="55" t="s">
        <v>1458</v>
      </c>
      <c r="M708" s="55" t="s">
        <v>142</v>
      </c>
      <c r="N708" s="55" t="s">
        <v>142</v>
      </c>
      <c r="O708" s="55" t="s">
        <v>195</v>
      </c>
      <c r="P708" s="55" t="s">
        <v>747</v>
      </c>
      <c r="Q708" s="55" t="s">
        <v>350</v>
      </c>
      <c r="R708" s="55">
        <v>56</v>
      </c>
      <c r="S708" s="55"/>
    </row>
    <row r="709" spans="1:20" ht="13" x14ac:dyDescent="0.15">
      <c r="A709" s="72" t="str">
        <f t="shared" ref="A709:A772" si="11">HYPERLINK(_xlfn.CONCAT("http://reports.ofsted.gov.uk/inspection-reports/find-inspection-report/provider/CARE/",B709),"Ofsted Social Care Provider Webpage")</f>
        <v>Ofsted Social Care Provider Webpage</v>
      </c>
      <c r="B709" s="55">
        <v>2510199</v>
      </c>
      <c r="D709" s="55" t="s">
        <v>373</v>
      </c>
      <c r="E709" s="74">
        <v>43617</v>
      </c>
      <c r="F709" s="55" t="s">
        <v>344</v>
      </c>
      <c r="G709" s="55" t="s">
        <v>360</v>
      </c>
      <c r="H709" s="55" t="s">
        <v>360</v>
      </c>
      <c r="I709" s="55" t="s">
        <v>360</v>
      </c>
      <c r="J709" s="55" t="s">
        <v>360</v>
      </c>
      <c r="K709" s="55" t="s">
        <v>360</v>
      </c>
      <c r="L709" s="55" t="s">
        <v>360</v>
      </c>
      <c r="M709" s="55" t="s">
        <v>142</v>
      </c>
      <c r="N709" s="55" t="s">
        <v>142</v>
      </c>
      <c r="O709" s="55" t="s">
        <v>278</v>
      </c>
      <c r="P709" s="55" t="s">
        <v>1042</v>
      </c>
      <c r="Q709" s="55" t="s">
        <v>362</v>
      </c>
      <c r="R709" s="55">
        <v>4</v>
      </c>
      <c r="S709" s="55"/>
      <c r="T709" s="55" t="s">
        <v>432</v>
      </c>
    </row>
    <row r="710" spans="1:20" ht="13" x14ac:dyDescent="0.15">
      <c r="A710" s="72" t="str">
        <f t="shared" si="11"/>
        <v>Ofsted Social Care Provider Webpage</v>
      </c>
      <c r="B710" s="55">
        <v>2510201</v>
      </c>
      <c r="D710" s="55" t="s">
        <v>373</v>
      </c>
      <c r="E710" s="74">
        <v>43592</v>
      </c>
      <c r="F710" s="55" t="s">
        <v>344</v>
      </c>
      <c r="G710" s="55" t="s">
        <v>360</v>
      </c>
      <c r="H710" s="55" t="s">
        <v>360</v>
      </c>
      <c r="I710" s="55" t="s">
        <v>360</v>
      </c>
      <c r="J710" s="55" t="s">
        <v>360</v>
      </c>
      <c r="K710" s="55" t="s">
        <v>360</v>
      </c>
      <c r="L710" s="55" t="s">
        <v>360</v>
      </c>
      <c r="M710" s="55" t="s">
        <v>144</v>
      </c>
      <c r="N710" s="55" t="s">
        <v>144</v>
      </c>
      <c r="O710" s="55" t="s">
        <v>145</v>
      </c>
      <c r="P710" s="55" t="s">
        <v>525</v>
      </c>
      <c r="Q710" s="55" t="s">
        <v>350</v>
      </c>
      <c r="R710" s="55">
        <v>2</v>
      </c>
      <c r="S710" s="55"/>
      <c r="T710" s="55" t="s">
        <v>1065</v>
      </c>
    </row>
    <row r="711" spans="1:20" ht="13" x14ac:dyDescent="0.15">
      <c r="A711" s="72" t="str">
        <f t="shared" si="11"/>
        <v>Ofsted Social Care Provider Webpage</v>
      </c>
      <c r="B711" s="55">
        <v>2510315</v>
      </c>
      <c r="D711" s="55" t="s">
        <v>373</v>
      </c>
      <c r="E711" s="74">
        <v>43626</v>
      </c>
      <c r="F711" s="55" t="s">
        <v>344</v>
      </c>
      <c r="G711" s="55" t="s">
        <v>360</v>
      </c>
      <c r="H711" s="55" t="s">
        <v>360</v>
      </c>
      <c r="I711" s="55" t="s">
        <v>360</v>
      </c>
      <c r="J711" s="55" t="s">
        <v>360</v>
      </c>
      <c r="K711" s="55" t="s">
        <v>360</v>
      </c>
      <c r="L711" s="55" t="s">
        <v>360</v>
      </c>
      <c r="M711" s="55" t="s">
        <v>138</v>
      </c>
      <c r="N711" s="55" t="s">
        <v>138</v>
      </c>
      <c r="O711" s="55" t="s">
        <v>238</v>
      </c>
      <c r="P711" s="55" t="s">
        <v>238</v>
      </c>
      <c r="Q711" s="55" t="s">
        <v>350</v>
      </c>
      <c r="R711" s="55">
        <v>3</v>
      </c>
      <c r="S711" s="55"/>
      <c r="T711" s="55" t="s">
        <v>1079</v>
      </c>
    </row>
    <row r="712" spans="1:20" ht="13" x14ac:dyDescent="0.15">
      <c r="A712" s="72" t="str">
        <f t="shared" si="11"/>
        <v>Ofsted Social Care Provider Webpage</v>
      </c>
      <c r="B712" s="55">
        <v>2510323</v>
      </c>
      <c r="D712" s="55" t="s">
        <v>373</v>
      </c>
      <c r="E712" s="74">
        <v>43549</v>
      </c>
      <c r="F712" s="55" t="s">
        <v>344</v>
      </c>
      <c r="G712" s="55" t="s">
        <v>360</v>
      </c>
      <c r="H712" s="55" t="s">
        <v>360</v>
      </c>
      <c r="I712" s="55" t="s">
        <v>360</v>
      </c>
      <c r="J712" s="55" t="s">
        <v>360</v>
      </c>
      <c r="K712" s="55" t="s">
        <v>360</v>
      </c>
      <c r="L712" s="55" t="s">
        <v>360</v>
      </c>
      <c r="M712" s="55" t="s">
        <v>138</v>
      </c>
      <c r="N712" s="55" t="s">
        <v>138</v>
      </c>
      <c r="O712" s="55" t="s">
        <v>196</v>
      </c>
      <c r="P712" s="55" t="s">
        <v>441</v>
      </c>
      <c r="Q712" s="55" t="s">
        <v>362</v>
      </c>
      <c r="R712" s="55">
        <v>5</v>
      </c>
      <c r="S712" s="55"/>
      <c r="T712" s="55" t="s">
        <v>1459</v>
      </c>
    </row>
    <row r="713" spans="1:20" ht="13" x14ac:dyDescent="0.15">
      <c r="A713" s="72" t="str">
        <f t="shared" si="11"/>
        <v>Ofsted Social Care Provider Webpage</v>
      </c>
      <c r="B713" s="55">
        <v>2510324</v>
      </c>
      <c r="D713" s="55" t="s">
        <v>373</v>
      </c>
      <c r="E713" s="74">
        <v>43537</v>
      </c>
      <c r="F713" s="55" t="s">
        <v>344</v>
      </c>
      <c r="G713" s="55" t="s">
        <v>360</v>
      </c>
      <c r="H713" s="55" t="s">
        <v>360</v>
      </c>
      <c r="I713" s="55" t="s">
        <v>360</v>
      </c>
      <c r="J713" s="55" t="s">
        <v>360</v>
      </c>
      <c r="K713" s="55" t="s">
        <v>360</v>
      </c>
      <c r="L713" s="55" t="s">
        <v>360</v>
      </c>
      <c r="M713" s="55" t="s">
        <v>150</v>
      </c>
      <c r="N713" s="55" t="s">
        <v>150</v>
      </c>
      <c r="O713" s="55" t="s">
        <v>199</v>
      </c>
      <c r="P713" s="55" t="s">
        <v>199</v>
      </c>
      <c r="Q713" s="55" t="s">
        <v>350</v>
      </c>
      <c r="R713" s="55">
        <v>4</v>
      </c>
      <c r="S713" s="55"/>
      <c r="T713" s="55" t="s">
        <v>1460</v>
      </c>
    </row>
    <row r="714" spans="1:20" ht="13" x14ac:dyDescent="0.15">
      <c r="A714" s="72" t="str">
        <f t="shared" si="11"/>
        <v>Ofsted Social Care Provider Webpage</v>
      </c>
      <c r="B714" s="55">
        <v>2510328</v>
      </c>
      <c r="D714" s="55" t="s">
        <v>373</v>
      </c>
      <c r="E714" s="74">
        <v>43585</v>
      </c>
      <c r="F714" s="55" t="s">
        <v>344</v>
      </c>
      <c r="G714" s="55" t="s">
        <v>360</v>
      </c>
      <c r="H714" s="55" t="s">
        <v>360</v>
      </c>
      <c r="I714" s="55" t="s">
        <v>360</v>
      </c>
      <c r="J714" s="55" t="s">
        <v>360</v>
      </c>
      <c r="K714" s="55" t="s">
        <v>360</v>
      </c>
      <c r="L714" s="55" t="s">
        <v>360</v>
      </c>
      <c r="M714" s="55" t="s">
        <v>142</v>
      </c>
      <c r="N714" s="55" t="s">
        <v>142</v>
      </c>
      <c r="O714" s="55" t="s">
        <v>141</v>
      </c>
      <c r="P714" s="55" t="s">
        <v>641</v>
      </c>
      <c r="Q714" s="55" t="s">
        <v>350</v>
      </c>
      <c r="R714" s="55">
        <v>3</v>
      </c>
      <c r="S714" s="55"/>
      <c r="T714" s="55" t="s">
        <v>1461</v>
      </c>
    </row>
    <row r="715" spans="1:20" ht="13" x14ac:dyDescent="0.15">
      <c r="A715" s="72" t="str">
        <f t="shared" si="11"/>
        <v>Ofsted Social Care Provider Webpage</v>
      </c>
      <c r="B715" s="55">
        <v>2510604</v>
      </c>
      <c r="D715" s="55" t="s">
        <v>373</v>
      </c>
      <c r="E715" s="74">
        <v>43650</v>
      </c>
      <c r="F715" s="55" t="s">
        <v>344</v>
      </c>
      <c r="G715" s="55" t="s">
        <v>360</v>
      </c>
      <c r="H715" s="55" t="s">
        <v>360</v>
      </c>
      <c r="I715" s="55" t="s">
        <v>360</v>
      </c>
      <c r="J715" s="55" t="s">
        <v>360</v>
      </c>
      <c r="K715" s="55" t="s">
        <v>360</v>
      </c>
      <c r="L715" s="55" t="s">
        <v>360</v>
      </c>
      <c r="M715" s="55" t="s">
        <v>144</v>
      </c>
      <c r="N715" s="55" t="s">
        <v>144</v>
      </c>
      <c r="O715" s="55" t="s">
        <v>157</v>
      </c>
      <c r="P715" s="55" t="s">
        <v>1462</v>
      </c>
      <c r="Q715" s="55" t="s">
        <v>350</v>
      </c>
      <c r="R715" s="55">
        <v>4</v>
      </c>
      <c r="S715" s="55"/>
      <c r="T715" s="55" t="s">
        <v>1218</v>
      </c>
    </row>
    <row r="716" spans="1:20" ht="13" x14ac:dyDescent="0.15">
      <c r="A716" s="72" t="str">
        <f t="shared" si="11"/>
        <v>Ofsted Social Care Provider Webpage</v>
      </c>
      <c r="B716" s="55">
        <v>2510737</v>
      </c>
      <c r="D716" s="55" t="s">
        <v>373</v>
      </c>
      <c r="E716" s="74">
        <v>43602</v>
      </c>
      <c r="F716" s="55" t="s">
        <v>344</v>
      </c>
      <c r="G716" s="55" t="s">
        <v>360</v>
      </c>
      <c r="H716" s="55" t="s">
        <v>360</v>
      </c>
      <c r="I716" s="55" t="s">
        <v>360</v>
      </c>
      <c r="J716" s="55" t="s">
        <v>360</v>
      </c>
      <c r="K716" s="55" t="s">
        <v>360</v>
      </c>
      <c r="L716" s="55" t="s">
        <v>360</v>
      </c>
      <c r="M716" s="55" t="s">
        <v>144</v>
      </c>
      <c r="N716" s="55" t="s">
        <v>144</v>
      </c>
      <c r="O716" s="55" t="s">
        <v>250</v>
      </c>
      <c r="P716" s="55" t="s">
        <v>759</v>
      </c>
      <c r="Q716" s="55" t="s">
        <v>350</v>
      </c>
      <c r="R716" s="55">
        <v>2</v>
      </c>
      <c r="S716" s="55"/>
      <c r="T716" s="55" t="s">
        <v>1463</v>
      </c>
    </row>
    <row r="717" spans="1:20" ht="13" x14ac:dyDescent="0.15">
      <c r="A717" s="72" t="str">
        <f t="shared" si="11"/>
        <v>Ofsted Social Care Provider Webpage</v>
      </c>
      <c r="B717" s="55">
        <v>2510847</v>
      </c>
      <c r="D717" s="55" t="s">
        <v>373</v>
      </c>
      <c r="E717" s="74">
        <v>43572</v>
      </c>
      <c r="F717" s="55" t="s">
        <v>344</v>
      </c>
      <c r="G717" s="55" t="s">
        <v>360</v>
      </c>
      <c r="H717" s="55" t="s">
        <v>360</v>
      </c>
      <c r="I717" s="55" t="s">
        <v>360</v>
      </c>
      <c r="J717" s="55" t="s">
        <v>360</v>
      </c>
      <c r="K717" s="55" t="s">
        <v>360</v>
      </c>
      <c r="L717" s="55" t="s">
        <v>360</v>
      </c>
      <c r="M717" s="55" t="s">
        <v>144</v>
      </c>
      <c r="N717" s="55" t="s">
        <v>144</v>
      </c>
      <c r="O717" s="55" t="s">
        <v>209</v>
      </c>
      <c r="P717" s="55" t="s">
        <v>364</v>
      </c>
      <c r="Q717" s="55" t="s">
        <v>350</v>
      </c>
      <c r="R717" s="55">
        <v>1</v>
      </c>
      <c r="S717" s="55"/>
      <c r="T717" s="55" t="s">
        <v>1279</v>
      </c>
    </row>
    <row r="718" spans="1:20" ht="13" x14ac:dyDescent="0.15">
      <c r="A718" s="72" t="str">
        <f t="shared" si="11"/>
        <v>Ofsted Social Care Provider Webpage</v>
      </c>
      <c r="B718" s="55">
        <v>2511289</v>
      </c>
      <c r="D718" s="55" t="s">
        <v>373</v>
      </c>
      <c r="E718" s="74">
        <v>43486</v>
      </c>
      <c r="F718" s="55" t="s">
        <v>344</v>
      </c>
      <c r="G718" s="55" t="s">
        <v>360</v>
      </c>
      <c r="H718" s="55" t="s">
        <v>360</v>
      </c>
      <c r="I718" s="55" t="s">
        <v>360</v>
      </c>
      <c r="J718" s="55" t="s">
        <v>360</v>
      </c>
      <c r="K718" s="55" t="s">
        <v>360</v>
      </c>
      <c r="L718" s="55" t="s">
        <v>360</v>
      </c>
      <c r="M718" s="55" t="s">
        <v>136</v>
      </c>
      <c r="N718" s="55" t="s">
        <v>136</v>
      </c>
      <c r="O718" s="55" t="s">
        <v>239</v>
      </c>
      <c r="P718" s="55" t="s">
        <v>738</v>
      </c>
      <c r="Q718" s="55" t="s">
        <v>350</v>
      </c>
      <c r="R718" s="55">
        <v>1</v>
      </c>
      <c r="S718" s="55"/>
      <c r="T718" s="55" t="s">
        <v>385</v>
      </c>
    </row>
    <row r="719" spans="1:20" ht="13" x14ac:dyDescent="0.15">
      <c r="A719" s="72" t="str">
        <f t="shared" si="11"/>
        <v>Ofsted Social Care Provider Webpage</v>
      </c>
      <c r="B719" s="55">
        <v>2511429</v>
      </c>
      <c r="D719" s="55" t="s">
        <v>389</v>
      </c>
      <c r="E719" s="74">
        <v>43748</v>
      </c>
      <c r="F719" s="55" t="s">
        <v>344</v>
      </c>
      <c r="G719" s="55" t="s">
        <v>1464</v>
      </c>
      <c r="H719" s="55" t="s">
        <v>1465</v>
      </c>
      <c r="I719" s="55" t="s">
        <v>1466</v>
      </c>
      <c r="J719" s="55" t="s">
        <v>1467</v>
      </c>
      <c r="K719" s="55" t="s">
        <v>183</v>
      </c>
      <c r="L719" s="55" t="s">
        <v>1468</v>
      </c>
      <c r="M719" s="55" t="s">
        <v>129</v>
      </c>
      <c r="N719" s="55" t="s">
        <v>129</v>
      </c>
      <c r="O719" s="55" t="s">
        <v>128</v>
      </c>
      <c r="P719" s="55" t="s">
        <v>1467</v>
      </c>
      <c r="Q719" s="55" t="s">
        <v>350</v>
      </c>
      <c r="R719" s="55"/>
      <c r="S719" s="55"/>
      <c r="T719" s="55" t="s">
        <v>1464</v>
      </c>
    </row>
    <row r="720" spans="1:20" ht="13" x14ac:dyDescent="0.15">
      <c r="A720" s="72" t="str">
        <f t="shared" si="11"/>
        <v>Ofsted Social Care Provider Webpage</v>
      </c>
      <c r="B720" s="55">
        <v>2511614</v>
      </c>
      <c r="D720" s="55" t="s">
        <v>373</v>
      </c>
      <c r="E720" s="74">
        <v>43516</v>
      </c>
      <c r="F720" s="55" t="s">
        <v>344</v>
      </c>
      <c r="G720" s="55" t="s">
        <v>360</v>
      </c>
      <c r="H720" s="55" t="s">
        <v>360</v>
      </c>
      <c r="I720" s="55" t="s">
        <v>360</v>
      </c>
      <c r="J720" s="55" t="s">
        <v>360</v>
      </c>
      <c r="K720" s="55" t="s">
        <v>360</v>
      </c>
      <c r="L720" s="55" t="s">
        <v>360</v>
      </c>
      <c r="M720" s="55" t="s">
        <v>144</v>
      </c>
      <c r="N720" s="55" t="s">
        <v>144</v>
      </c>
      <c r="O720" s="55" t="s">
        <v>209</v>
      </c>
      <c r="P720" s="55" t="s">
        <v>545</v>
      </c>
      <c r="Q720" s="55" t="s">
        <v>350</v>
      </c>
      <c r="R720" s="55">
        <v>3</v>
      </c>
      <c r="S720" s="55"/>
      <c r="T720" s="55" t="s">
        <v>778</v>
      </c>
    </row>
    <row r="721" spans="1:20" ht="13" x14ac:dyDescent="0.15">
      <c r="A721" s="72" t="str">
        <f t="shared" si="11"/>
        <v>Ofsted Social Care Provider Webpage</v>
      </c>
      <c r="B721" s="55">
        <v>2511662</v>
      </c>
      <c r="D721" s="55" t="s">
        <v>373</v>
      </c>
      <c r="E721" s="74">
        <v>43612</v>
      </c>
      <c r="F721" s="55" t="s">
        <v>344</v>
      </c>
      <c r="G721" s="55" t="s">
        <v>360</v>
      </c>
      <c r="H721" s="55" t="s">
        <v>360</v>
      </c>
      <c r="I721" s="55" t="s">
        <v>360</v>
      </c>
      <c r="J721" s="55" t="s">
        <v>360</v>
      </c>
      <c r="K721" s="55" t="s">
        <v>360</v>
      </c>
      <c r="L721" s="55" t="s">
        <v>360</v>
      </c>
      <c r="M721" s="55" t="s">
        <v>144</v>
      </c>
      <c r="N721" s="55" t="s">
        <v>144</v>
      </c>
      <c r="O721" s="55" t="s">
        <v>209</v>
      </c>
      <c r="P721" s="55" t="s">
        <v>629</v>
      </c>
      <c r="Q721" s="55" t="s">
        <v>350</v>
      </c>
      <c r="R721" s="55">
        <v>2</v>
      </c>
      <c r="S721" s="55"/>
      <c r="T721" s="55" t="s">
        <v>485</v>
      </c>
    </row>
    <row r="722" spans="1:20" ht="13" x14ac:dyDescent="0.15">
      <c r="A722" s="72" t="str">
        <f t="shared" si="11"/>
        <v>Ofsted Social Care Provider Webpage</v>
      </c>
      <c r="B722" s="55">
        <v>2512897</v>
      </c>
      <c r="D722" s="55" t="s">
        <v>451</v>
      </c>
      <c r="E722" s="74">
        <v>43558</v>
      </c>
      <c r="F722" s="55" t="s">
        <v>344</v>
      </c>
      <c r="G722" s="55" t="s">
        <v>1469</v>
      </c>
      <c r="H722" s="55" t="s">
        <v>1470</v>
      </c>
      <c r="I722" s="55" t="s">
        <v>354</v>
      </c>
      <c r="J722" s="55" t="s">
        <v>1471</v>
      </c>
      <c r="L722" s="55" t="s">
        <v>1472</v>
      </c>
      <c r="M722" s="55" t="s">
        <v>144</v>
      </c>
      <c r="N722" s="55" t="s">
        <v>144</v>
      </c>
      <c r="O722" s="55" t="s">
        <v>271</v>
      </c>
      <c r="P722" s="55" t="s">
        <v>870</v>
      </c>
      <c r="Q722" s="55" t="s">
        <v>350</v>
      </c>
      <c r="R722" s="55">
        <v>7</v>
      </c>
      <c r="S722" s="55"/>
      <c r="T722" s="55" t="s">
        <v>1259</v>
      </c>
    </row>
    <row r="723" spans="1:20" ht="13" x14ac:dyDescent="0.15">
      <c r="A723" s="72" t="str">
        <f t="shared" si="11"/>
        <v>Ofsted Social Care Provider Webpage</v>
      </c>
      <c r="B723" s="55">
        <v>2512898</v>
      </c>
      <c r="D723" s="55" t="s">
        <v>373</v>
      </c>
      <c r="E723" s="74">
        <v>43543</v>
      </c>
      <c r="F723" s="55" t="s">
        <v>344</v>
      </c>
      <c r="G723" s="55" t="s">
        <v>360</v>
      </c>
      <c r="H723" s="55" t="s">
        <v>360</v>
      </c>
      <c r="I723" s="55" t="s">
        <v>360</v>
      </c>
      <c r="J723" s="55" t="s">
        <v>360</v>
      </c>
      <c r="K723" s="55" t="s">
        <v>360</v>
      </c>
      <c r="L723" s="55" t="s">
        <v>360</v>
      </c>
      <c r="M723" s="55" t="s">
        <v>172</v>
      </c>
      <c r="N723" s="55" t="s">
        <v>172</v>
      </c>
      <c r="O723" s="55" t="s">
        <v>171</v>
      </c>
      <c r="P723" s="55" t="s">
        <v>983</v>
      </c>
      <c r="Q723" s="55" t="s">
        <v>350</v>
      </c>
      <c r="R723" s="55">
        <v>2</v>
      </c>
      <c r="S723" s="55"/>
      <c r="T723" s="55" t="s">
        <v>1473</v>
      </c>
    </row>
    <row r="724" spans="1:20" ht="13" x14ac:dyDescent="0.15">
      <c r="A724" s="72" t="str">
        <f t="shared" si="11"/>
        <v>Ofsted Social Care Provider Webpage</v>
      </c>
      <c r="B724" s="55">
        <v>2513339</v>
      </c>
      <c r="D724" s="55" t="s">
        <v>373</v>
      </c>
      <c r="E724" s="74">
        <v>43493</v>
      </c>
      <c r="F724" s="55" t="s">
        <v>344</v>
      </c>
      <c r="G724" s="55" t="s">
        <v>360</v>
      </c>
      <c r="H724" s="55" t="s">
        <v>360</v>
      </c>
      <c r="I724" s="55" t="s">
        <v>360</v>
      </c>
      <c r="J724" s="55" t="s">
        <v>360</v>
      </c>
      <c r="K724" s="55" t="s">
        <v>360</v>
      </c>
      <c r="L724" s="55" t="s">
        <v>360</v>
      </c>
      <c r="M724" s="55" t="s">
        <v>138</v>
      </c>
      <c r="N724" s="55" t="s">
        <v>138</v>
      </c>
      <c r="O724" s="55" t="s">
        <v>161</v>
      </c>
      <c r="P724" s="55" t="s">
        <v>822</v>
      </c>
      <c r="Q724" s="55" t="s">
        <v>380</v>
      </c>
      <c r="R724" s="55">
        <v>5</v>
      </c>
      <c r="S724" s="55"/>
      <c r="T724" s="55" t="s">
        <v>1474</v>
      </c>
    </row>
    <row r="725" spans="1:20" ht="13" x14ac:dyDescent="0.15">
      <c r="A725" s="72" t="str">
        <f t="shared" si="11"/>
        <v>Ofsted Social Care Provider Webpage</v>
      </c>
      <c r="B725" s="55">
        <v>2513340</v>
      </c>
      <c r="D725" s="55" t="s">
        <v>373</v>
      </c>
      <c r="E725" s="74">
        <v>43843</v>
      </c>
      <c r="F725" s="55" t="s">
        <v>344</v>
      </c>
      <c r="G725" s="55" t="s">
        <v>360</v>
      </c>
      <c r="H725" s="55" t="s">
        <v>360</v>
      </c>
      <c r="I725" s="55" t="s">
        <v>360</v>
      </c>
      <c r="J725" s="55" t="s">
        <v>360</v>
      </c>
      <c r="K725" s="55" t="s">
        <v>360</v>
      </c>
      <c r="L725" s="55" t="s">
        <v>360</v>
      </c>
      <c r="M725" s="55" t="s">
        <v>142</v>
      </c>
      <c r="N725" s="55" t="s">
        <v>142</v>
      </c>
      <c r="O725" s="55" t="s">
        <v>292</v>
      </c>
      <c r="P725" s="55" t="s">
        <v>1162</v>
      </c>
      <c r="Q725" s="55" t="s">
        <v>350</v>
      </c>
      <c r="R725" s="55">
        <v>2</v>
      </c>
      <c r="S725" s="55"/>
      <c r="T725" s="55" t="s">
        <v>843</v>
      </c>
    </row>
    <row r="726" spans="1:20" ht="13" x14ac:dyDescent="0.15">
      <c r="A726" s="72" t="str">
        <f t="shared" si="11"/>
        <v>Ofsted Social Care Provider Webpage</v>
      </c>
      <c r="B726" s="55">
        <v>2513341</v>
      </c>
      <c r="D726" s="55" t="s">
        <v>373</v>
      </c>
      <c r="E726" s="74">
        <v>43683</v>
      </c>
      <c r="F726" s="55" t="s">
        <v>344</v>
      </c>
      <c r="G726" s="55" t="s">
        <v>360</v>
      </c>
      <c r="H726" s="55" t="s">
        <v>360</v>
      </c>
      <c r="I726" s="55" t="s">
        <v>360</v>
      </c>
      <c r="J726" s="55" t="s">
        <v>360</v>
      </c>
      <c r="K726" s="55" t="s">
        <v>360</v>
      </c>
      <c r="L726" s="55" t="s">
        <v>360</v>
      </c>
      <c r="M726" s="55" t="s">
        <v>142</v>
      </c>
      <c r="N726" s="55" t="s">
        <v>142</v>
      </c>
      <c r="O726" s="55" t="s">
        <v>195</v>
      </c>
      <c r="P726" s="55" t="s">
        <v>747</v>
      </c>
      <c r="Q726" s="55" t="s">
        <v>350</v>
      </c>
      <c r="R726" s="55">
        <v>5</v>
      </c>
      <c r="S726" s="55"/>
      <c r="T726" s="55" t="s">
        <v>843</v>
      </c>
    </row>
    <row r="727" spans="1:20" ht="13" x14ac:dyDescent="0.15">
      <c r="A727" s="72" t="str">
        <f t="shared" si="11"/>
        <v>Ofsted Social Care Provider Webpage</v>
      </c>
      <c r="B727" s="55">
        <v>2514259</v>
      </c>
      <c r="D727" s="55" t="s">
        <v>373</v>
      </c>
      <c r="E727" s="74">
        <v>43550</v>
      </c>
      <c r="F727" s="55" t="s">
        <v>344</v>
      </c>
      <c r="G727" s="55" t="s">
        <v>360</v>
      </c>
      <c r="H727" s="55" t="s">
        <v>360</v>
      </c>
      <c r="I727" s="55" t="s">
        <v>360</v>
      </c>
      <c r="J727" s="55" t="s">
        <v>360</v>
      </c>
      <c r="K727" s="55" t="s">
        <v>360</v>
      </c>
      <c r="L727" s="55" t="s">
        <v>360</v>
      </c>
      <c r="M727" s="55" t="s">
        <v>150</v>
      </c>
      <c r="N727" s="55" t="s">
        <v>150</v>
      </c>
      <c r="O727" s="55" t="s">
        <v>190</v>
      </c>
      <c r="P727" s="55" t="s">
        <v>749</v>
      </c>
      <c r="Q727" s="55" t="s">
        <v>350</v>
      </c>
      <c r="R727" s="55">
        <v>2</v>
      </c>
      <c r="S727" s="55"/>
      <c r="T727" s="55" t="s">
        <v>610</v>
      </c>
    </row>
    <row r="728" spans="1:20" ht="13" x14ac:dyDescent="0.15">
      <c r="A728" s="72" t="str">
        <f t="shared" si="11"/>
        <v>Ofsted Social Care Provider Webpage</v>
      </c>
      <c r="B728" s="55">
        <v>2514770</v>
      </c>
      <c r="D728" s="55" t="s">
        <v>373</v>
      </c>
      <c r="E728" s="74">
        <v>43572</v>
      </c>
      <c r="F728" s="55" t="s">
        <v>344</v>
      </c>
      <c r="G728" s="55" t="s">
        <v>360</v>
      </c>
      <c r="H728" s="55" t="s">
        <v>360</v>
      </c>
      <c r="I728" s="55" t="s">
        <v>360</v>
      </c>
      <c r="J728" s="55" t="s">
        <v>360</v>
      </c>
      <c r="K728" s="55" t="s">
        <v>360</v>
      </c>
      <c r="L728" s="55" t="s">
        <v>360</v>
      </c>
      <c r="M728" s="55" t="s">
        <v>378</v>
      </c>
      <c r="N728" s="55" t="s">
        <v>134</v>
      </c>
      <c r="O728" s="55" t="s">
        <v>158</v>
      </c>
      <c r="P728" s="55" t="s">
        <v>480</v>
      </c>
      <c r="Q728" s="55" t="s">
        <v>350</v>
      </c>
      <c r="R728" s="55">
        <v>2</v>
      </c>
      <c r="S728" s="55"/>
      <c r="T728" s="55" t="s">
        <v>711</v>
      </c>
    </row>
    <row r="729" spans="1:20" ht="13" x14ac:dyDescent="0.15">
      <c r="A729" s="72" t="str">
        <f t="shared" si="11"/>
        <v>Ofsted Social Care Provider Webpage</v>
      </c>
      <c r="B729" s="55">
        <v>2515370</v>
      </c>
      <c r="D729" s="55" t="s">
        <v>373</v>
      </c>
      <c r="E729" s="74">
        <v>43578</v>
      </c>
      <c r="F729" s="55" t="s">
        <v>344</v>
      </c>
      <c r="G729" s="55" t="s">
        <v>360</v>
      </c>
      <c r="H729" s="55" t="s">
        <v>360</v>
      </c>
      <c r="I729" s="55" t="s">
        <v>360</v>
      </c>
      <c r="J729" s="55" t="s">
        <v>360</v>
      </c>
      <c r="K729" s="55" t="s">
        <v>360</v>
      </c>
      <c r="L729" s="55" t="s">
        <v>360</v>
      </c>
      <c r="M729" s="55" t="s">
        <v>150</v>
      </c>
      <c r="N729" s="55" t="s">
        <v>150</v>
      </c>
      <c r="O729" s="55" t="s">
        <v>237</v>
      </c>
      <c r="P729" s="55" t="s">
        <v>990</v>
      </c>
      <c r="Q729" s="55" t="s">
        <v>350</v>
      </c>
      <c r="R729" s="55">
        <v>2</v>
      </c>
      <c r="S729" s="55"/>
      <c r="T729" s="55" t="s">
        <v>962</v>
      </c>
    </row>
    <row r="730" spans="1:20" ht="13" x14ac:dyDescent="0.15">
      <c r="A730" s="72" t="str">
        <f t="shared" si="11"/>
        <v>Ofsted Social Care Provider Webpage</v>
      </c>
      <c r="B730" s="55">
        <v>2515380</v>
      </c>
      <c r="D730" s="55" t="s">
        <v>373</v>
      </c>
      <c r="E730" s="74">
        <v>43507</v>
      </c>
      <c r="F730" s="55" t="s">
        <v>344</v>
      </c>
      <c r="G730" s="55" t="s">
        <v>360</v>
      </c>
      <c r="H730" s="55" t="s">
        <v>360</v>
      </c>
      <c r="I730" s="55" t="s">
        <v>360</v>
      </c>
      <c r="J730" s="55" t="s">
        <v>360</v>
      </c>
      <c r="K730" s="55" t="s">
        <v>360</v>
      </c>
      <c r="L730" s="55" t="s">
        <v>360</v>
      </c>
      <c r="M730" s="55" t="s">
        <v>172</v>
      </c>
      <c r="N730" s="55" t="s">
        <v>172</v>
      </c>
      <c r="O730" s="55" t="s">
        <v>284</v>
      </c>
      <c r="P730" s="55" t="s">
        <v>1475</v>
      </c>
      <c r="Q730" s="55" t="s">
        <v>350</v>
      </c>
      <c r="R730" s="55">
        <v>2</v>
      </c>
      <c r="S730" s="55"/>
      <c r="T730" s="55" t="s">
        <v>962</v>
      </c>
    </row>
    <row r="731" spans="1:20" ht="13" x14ac:dyDescent="0.15">
      <c r="A731" s="72" t="str">
        <f t="shared" si="11"/>
        <v>Ofsted Social Care Provider Webpage</v>
      </c>
      <c r="B731" s="55">
        <v>2515609</v>
      </c>
      <c r="D731" s="55" t="s">
        <v>373</v>
      </c>
      <c r="E731" s="74">
        <v>43517</v>
      </c>
      <c r="F731" s="55" t="s">
        <v>344</v>
      </c>
      <c r="G731" s="55" t="s">
        <v>360</v>
      </c>
      <c r="H731" s="55" t="s">
        <v>360</v>
      </c>
      <c r="I731" s="55" t="s">
        <v>360</v>
      </c>
      <c r="J731" s="55" t="s">
        <v>360</v>
      </c>
      <c r="K731" s="55" t="s">
        <v>360</v>
      </c>
      <c r="L731" s="55" t="s">
        <v>360</v>
      </c>
      <c r="M731" s="55" t="s">
        <v>142</v>
      </c>
      <c r="N731" s="55" t="s">
        <v>142</v>
      </c>
      <c r="O731" s="55" t="s">
        <v>166</v>
      </c>
      <c r="P731" s="55" t="s">
        <v>1476</v>
      </c>
      <c r="Q731" s="55" t="s">
        <v>350</v>
      </c>
      <c r="R731" s="55">
        <v>2</v>
      </c>
      <c r="S731" s="55"/>
      <c r="T731" s="55" t="s">
        <v>1164</v>
      </c>
    </row>
    <row r="732" spans="1:20" ht="13" x14ac:dyDescent="0.15">
      <c r="A732" s="72" t="str">
        <f t="shared" si="11"/>
        <v>Ofsted Social Care Provider Webpage</v>
      </c>
      <c r="B732" s="55">
        <v>2515613</v>
      </c>
      <c r="D732" s="55" t="s">
        <v>373</v>
      </c>
      <c r="E732" s="74">
        <v>43562</v>
      </c>
      <c r="F732" s="55" t="s">
        <v>344</v>
      </c>
      <c r="G732" s="55" t="s">
        <v>360</v>
      </c>
      <c r="H732" s="55" t="s">
        <v>360</v>
      </c>
      <c r="I732" s="55" t="s">
        <v>360</v>
      </c>
      <c r="J732" s="55" t="s">
        <v>360</v>
      </c>
      <c r="K732" s="55" t="s">
        <v>360</v>
      </c>
      <c r="L732" s="55" t="s">
        <v>360</v>
      </c>
      <c r="M732" s="55" t="s">
        <v>142</v>
      </c>
      <c r="N732" s="55" t="s">
        <v>142</v>
      </c>
      <c r="O732" s="55" t="s">
        <v>262</v>
      </c>
      <c r="P732" s="55" t="s">
        <v>488</v>
      </c>
      <c r="Q732" s="55" t="s">
        <v>350</v>
      </c>
      <c r="R732" s="55">
        <v>2</v>
      </c>
      <c r="S732" s="55"/>
      <c r="T732" s="55" t="s">
        <v>1307</v>
      </c>
    </row>
    <row r="733" spans="1:20" ht="13" x14ac:dyDescent="0.15">
      <c r="A733" s="72" t="str">
        <f t="shared" si="11"/>
        <v>Ofsted Social Care Provider Webpage</v>
      </c>
      <c r="B733" s="55">
        <v>2516349</v>
      </c>
      <c r="D733" s="55" t="s">
        <v>373</v>
      </c>
      <c r="E733" s="74">
        <v>43690</v>
      </c>
      <c r="F733" s="55" t="s">
        <v>344</v>
      </c>
      <c r="G733" s="55" t="s">
        <v>360</v>
      </c>
      <c r="H733" s="55" t="s">
        <v>360</v>
      </c>
      <c r="I733" s="55" t="s">
        <v>360</v>
      </c>
      <c r="J733" s="55" t="s">
        <v>360</v>
      </c>
      <c r="K733" s="55" t="s">
        <v>360</v>
      </c>
      <c r="L733" s="55" t="s">
        <v>360</v>
      </c>
      <c r="M733" s="55" t="s">
        <v>144</v>
      </c>
      <c r="N733" s="55" t="s">
        <v>144</v>
      </c>
      <c r="O733" s="55" t="s">
        <v>145</v>
      </c>
      <c r="P733" s="55" t="s">
        <v>525</v>
      </c>
      <c r="Q733" s="55" t="s">
        <v>350</v>
      </c>
      <c r="R733" s="55">
        <v>2</v>
      </c>
      <c r="S733" s="55"/>
      <c r="T733" s="55" t="s">
        <v>1065</v>
      </c>
    </row>
    <row r="734" spans="1:20" ht="13" x14ac:dyDescent="0.15">
      <c r="A734" s="72" t="str">
        <f t="shared" si="11"/>
        <v>Ofsted Social Care Provider Webpage</v>
      </c>
      <c r="B734" s="55">
        <v>2516553</v>
      </c>
      <c r="D734" s="55" t="s">
        <v>373</v>
      </c>
      <c r="E734" s="74">
        <v>43587</v>
      </c>
      <c r="F734" s="55" t="s">
        <v>344</v>
      </c>
      <c r="G734" s="55" t="s">
        <v>360</v>
      </c>
      <c r="H734" s="55" t="s">
        <v>360</v>
      </c>
      <c r="I734" s="55" t="s">
        <v>360</v>
      </c>
      <c r="J734" s="55" t="s">
        <v>360</v>
      </c>
      <c r="K734" s="55" t="s">
        <v>360</v>
      </c>
      <c r="L734" s="55" t="s">
        <v>360</v>
      </c>
      <c r="M734" s="55" t="s">
        <v>142</v>
      </c>
      <c r="N734" s="55" t="s">
        <v>142</v>
      </c>
      <c r="O734" s="55" t="s">
        <v>141</v>
      </c>
      <c r="P734" s="55" t="s">
        <v>573</v>
      </c>
      <c r="Q734" s="55" t="s">
        <v>350</v>
      </c>
      <c r="R734" s="55">
        <v>3</v>
      </c>
      <c r="S734" s="55"/>
      <c r="T734" s="55" t="s">
        <v>642</v>
      </c>
    </row>
    <row r="735" spans="1:20" ht="13" x14ac:dyDescent="0.15">
      <c r="A735" s="72" t="str">
        <f t="shared" si="11"/>
        <v>Ofsted Social Care Provider Webpage</v>
      </c>
      <c r="B735" s="55">
        <v>2516984</v>
      </c>
      <c r="D735" s="55" t="s">
        <v>373</v>
      </c>
      <c r="E735" s="74">
        <v>43621</v>
      </c>
      <c r="F735" s="55" t="s">
        <v>344</v>
      </c>
      <c r="G735" s="55" t="s">
        <v>360</v>
      </c>
      <c r="H735" s="55" t="s">
        <v>360</v>
      </c>
      <c r="I735" s="55" t="s">
        <v>360</v>
      </c>
      <c r="J735" s="55" t="s">
        <v>360</v>
      </c>
      <c r="K735" s="55" t="s">
        <v>360</v>
      </c>
      <c r="L735" s="55" t="s">
        <v>360</v>
      </c>
      <c r="M735" s="55" t="s">
        <v>142</v>
      </c>
      <c r="N735" s="55" t="s">
        <v>142</v>
      </c>
      <c r="O735" s="55" t="s">
        <v>293</v>
      </c>
      <c r="P735" s="55" t="s">
        <v>984</v>
      </c>
      <c r="Q735" s="55" t="s">
        <v>851</v>
      </c>
      <c r="R735" s="55">
        <v>5</v>
      </c>
      <c r="S735" s="55" t="s">
        <v>332</v>
      </c>
      <c r="T735" s="55" t="s">
        <v>1477</v>
      </c>
    </row>
    <row r="736" spans="1:20" ht="13" x14ac:dyDescent="0.15">
      <c r="A736" s="72" t="str">
        <f t="shared" si="11"/>
        <v>Ofsted Social Care Provider Webpage</v>
      </c>
      <c r="B736" s="55">
        <v>2517046</v>
      </c>
      <c r="D736" s="55" t="s">
        <v>373</v>
      </c>
      <c r="E736" s="74">
        <v>43497</v>
      </c>
      <c r="F736" s="55" t="s">
        <v>344</v>
      </c>
      <c r="G736" s="55" t="s">
        <v>360</v>
      </c>
      <c r="H736" s="55" t="s">
        <v>360</v>
      </c>
      <c r="I736" s="55" t="s">
        <v>360</v>
      </c>
      <c r="J736" s="55" t="s">
        <v>360</v>
      </c>
      <c r="K736" s="55" t="s">
        <v>360</v>
      </c>
      <c r="L736" s="55" t="s">
        <v>360</v>
      </c>
      <c r="M736" s="55" t="s">
        <v>378</v>
      </c>
      <c r="N736" s="55" t="s">
        <v>134</v>
      </c>
      <c r="O736" s="55" t="s">
        <v>204</v>
      </c>
      <c r="P736" s="55" t="s">
        <v>1478</v>
      </c>
      <c r="Q736" s="55" t="s">
        <v>380</v>
      </c>
      <c r="R736" s="55">
        <v>1</v>
      </c>
      <c r="S736" s="55"/>
      <c r="T736" s="55" t="s">
        <v>1479</v>
      </c>
    </row>
    <row r="737" spans="1:20" ht="13" x14ac:dyDescent="0.15">
      <c r="A737" s="72" t="str">
        <f t="shared" si="11"/>
        <v>Ofsted Social Care Provider Webpage</v>
      </c>
      <c r="B737" s="55">
        <v>2517054</v>
      </c>
      <c r="D737" s="55" t="s">
        <v>373</v>
      </c>
      <c r="E737" s="74">
        <v>43872</v>
      </c>
      <c r="F737" s="55" t="s">
        <v>344</v>
      </c>
      <c r="G737" s="55" t="s">
        <v>360</v>
      </c>
      <c r="H737" s="55" t="s">
        <v>360</v>
      </c>
      <c r="I737" s="55" t="s">
        <v>360</v>
      </c>
      <c r="J737" s="55" t="s">
        <v>360</v>
      </c>
      <c r="K737" s="55" t="s">
        <v>360</v>
      </c>
      <c r="L737" s="55" t="s">
        <v>360</v>
      </c>
      <c r="M737" s="55" t="s">
        <v>129</v>
      </c>
      <c r="N737" s="55" t="s">
        <v>129</v>
      </c>
      <c r="O737" s="55" t="s">
        <v>213</v>
      </c>
      <c r="P737" s="55" t="s">
        <v>1160</v>
      </c>
      <c r="Q737" s="55" t="s">
        <v>350</v>
      </c>
      <c r="R737" s="55">
        <v>3</v>
      </c>
      <c r="S737" s="55"/>
      <c r="T737" s="55" t="s">
        <v>1480</v>
      </c>
    </row>
    <row r="738" spans="1:20" ht="13" x14ac:dyDescent="0.15">
      <c r="A738" s="72" t="str">
        <f t="shared" si="11"/>
        <v>Ofsted Social Care Provider Webpage</v>
      </c>
      <c r="B738" s="55">
        <v>2517184</v>
      </c>
      <c r="D738" s="55" t="s">
        <v>373</v>
      </c>
      <c r="E738" s="74">
        <v>43545</v>
      </c>
      <c r="F738" s="55" t="s">
        <v>344</v>
      </c>
      <c r="G738" s="55" t="s">
        <v>360</v>
      </c>
      <c r="H738" s="55" t="s">
        <v>360</v>
      </c>
      <c r="I738" s="55" t="s">
        <v>360</v>
      </c>
      <c r="J738" s="55" t="s">
        <v>360</v>
      </c>
      <c r="K738" s="55" t="s">
        <v>360</v>
      </c>
      <c r="L738" s="55" t="s">
        <v>360</v>
      </c>
      <c r="M738" s="55" t="s">
        <v>378</v>
      </c>
      <c r="N738" s="55" t="s">
        <v>170</v>
      </c>
      <c r="O738" s="55" t="s">
        <v>178</v>
      </c>
      <c r="P738" s="55" t="s">
        <v>434</v>
      </c>
      <c r="Q738" s="55" t="s">
        <v>350</v>
      </c>
      <c r="R738" s="55">
        <v>2</v>
      </c>
      <c r="S738" s="55"/>
      <c r="T738" s="55" t="s">
        <v>1481</v>
      </c>
    </row>
    <row r="739" spans="1:20" ht="13" x14ac:dyDescent="0.15">
      <c r="A739" s="72" t="str">
        <f t="shared" si="11"/>
        <v>Ofsted Social Care Provider Webpage</v>
      </c>
      <c r="B739" s="55">
        <v>2517299</v>
      </c>
      <c r="D739" s="55" t="s">
        <v>373</v>
      </c>
      <c r="E739" s="74">
        <v>43589</v>
      </c>
      <c r="F739" s="55" t="s">
        <v>344</v>
      </c>
      <c r="G739" s="55" t="s">
        <v>360</v>
      </c>
      <c r="H739" s="55" t="s">
        <v>360</v>
      </c>
      <c r="I739" s="55" t="s">
        <v>360</v>
      </c>
      <c r="J739" s="55" t="s">
        <v>360</v>
      </c>
      <c r="K739" s="55" t="s">
        <v>360</v>
      </c>
      <c r="L739" s="55" t="s">
        <v>360</v>
      </c>
      <c r="M739" s="55" t="s">
        <v>150</v>
      </c>
      <c r="N739" s="55" t="s">
        <v>150</v>
      </c>
      <c r="O739" s="55" t="s">
        <v>156</v>
      </c>
      <c r="P739" s="55" t="s">
        <v>1277</v>
      </c>
      <c r="Q739" s="55" t="s">
        <v>380</v>
      </c>
      <c r="R739" s="55">
        <v>5</v>
      </c>
      <c r="S739" s="55"/>
      <c r="T739" s="55" t="s">
        <v>1278</v>
      </c>
    </row>
    <row r="740" spans="1:20" ht="13" x14ac:dyDescent="0.15">
      <c r="A740" s="72" t="str">
        <f t="shared" si="11"/>
        <v>Ofsted Social Care Provider Webpage</v>
      </c>
      <c r="B740" s="55">
        <v>2517429</v>
      </c>
      <c r="D740" s="55" t="s">
        <v>373</v>
      </c>
      <c r="E740" s="74">
        <v>43729</v>
      </c>
      <c r="F740" s="55" t="s">
        <v>344</v>
      </c>
      <c r="G740" s="55" t="s">
        <v>360</v>
      </c>
      <c r="H740" s="55" t="s">
        <v>360</v>
      </c>
      <c r="I740" s="55" t="s">
        <v>360</v>
      </c>
      <c r="J740" s="55" t="s">
        <v>360</v>
      </c>
      <c r="K740" s="55" t="s">
        <v>360</v>
      </c>
      <c r="L740" s="55" t="s">
        <v>360</v>
      </c>
      <c r="M740" s="55" t="s">
        <v>144</v>
      </c>
      <c r="N740" s="55" t="s">
        <v>144</v>
      </c>
      <c r="O740" s="55" t="s">
        <v>145</v>
      </c>
      <c r="P740" s="55" t="s">
        <v>525</v>
      </c>
      <c r="Q740" s="55" t="s">
        <v>350</v>
      </c>
      <c r="R740" s="55">
        <v>2</v>
      </c>
      <c r="S740" s="55"/>
      <c r="T740" s="55" t="s">
        <v>1482</v>
      </c>
    </row>
    <row r="741" spans="1:20" ht="13" x14ac:dyDescent="0.15">
      <c r="A741" s="72" t="str">
        <f t="shared" si="11"/>
        <v>Ofsted Social Care Provider Webpage</v>
      </c>
      <c r="B741" s="55">
        <v>2517443</v>
      </c>
      <c r="D741" s="55" t="s">
        <v>373</v>
      </c>
      <c r="E741" s="74">
        <v>43872</v>
      </c>
      <c r="F741" s="55" t="s">
        <v>344</v>
      </c>
      <c r="G741" s="55" t="s">
        <v>360</v>
      </c>
      <c r="H741" s="55" t="s">
        <v>360</v>
      </c>
      <c r="I741" s="55" t="s">
        <v>360</v>
      </c>
      <c r="J741" s="55" t="s">
        <v>360</v>
      </c>
      <c r="K741" s="55" t="s">
        <v>360</v>
      </c>
      <c r="L741" s="55" t="s">
        <v>360</v>
      </c>
      <c r="M741" s="55" t="s">
        <v>378</v>
      </c>
      <c r="N741" s="55" t="s">
        <v>134</v>
      </c>
      <c r="O741" s="55" t="s">
        <v>180</v>
      </c>
      <c r="P741" s="55" t="s">
        <v>1483</v>
      </c>
      <c r="Q741" s="55" t="s">
        <v>350</v>
      </c>
      <c r="R741" s="55">
        <v>1</v>
      </c>
      <c r="S741" s="55"/>
      <c r="T741" s="55" t="s">
        <v>1484</v>
      </c>
    </row>
    <row r="742" spans="1:20" ht="13" x14ac:dyDescent="0.15">
      <c r="A742" s="72" t="str">
        <f t="shared" si="11"/>
        <v>Ofsted Social Care Provider Webpage</v>
      </c>
      <c r="B742" s="55">
        <v>2519081</v>
      </c>
      <c r="D742" s="55" t="s">
        <v>373</v>
      </c>
      <c r="E742" s="74">
        <v>43622</v>
      </c>
      <c r="F742" s="55" t="s">
        <v>344</v>
      </c>
      <c r="G742" s="55" t="s">
        <v>360</v>
      </c>
      <c r="H742" s="55" t="s">
        <v>360</v>
      </c>
      <c r="I742" s="55" t="s">
        <v>360</v>
      </c>
      <c r="J742" s="55" t="s">
        <v>360</v>
      </c>
      <c r="K742" s="55" t="s">
        <v>360</v>
      </c>
      <c r="L742" s="55" t="s">
        <v>360</v>
      </c>
      <c r="M742" s="55" t="s">
        <v>378</v>
      </c>
      <c r="N742" s="55" t="s">
        <v>170</v>
      </c>
      <c r="O742" s="55" t="s">
        <v>184</v>
      </c>
      <c r="P742" s="55" t="s">
        <v>676</v>
      </c>
      <c r="Q742" s="55" t="s">
        <v>350</v>
      </c>
      <c r="R742" s="55">
        <v>5</v>
      </c>
      <c r="S742" s="55"/>
      <c r="T742" s="55" t="s">
        <v>1485</v>
      </c>
    </row>
    <row r="743" spans="1:20" ht="13" x14ac:dyDescent="0.15">
      <c r="A743" s="72" t="str">
        <f t="shared" si="11"/>
        <v>Ofsted Social Care Provider Webpage</v>
      </c>
      <c r="B743" s="55">
        <v>2519196</v>
      </c>
      <c r="D743" s="55" t="s">
        <v>373</v>
      </c>
      <c r="E743" s="74">
        <v>43761</v>
      </c>
      <c r="F743" s="55" t="s">
        <v>344</v>
      </c>
      <c r="G743" s="55" t="s">
        <v>360</v>
      </c>
      <c r="H743" s="55" t="s">
        <v>360</v>
      </c>
      <c r="I743" s="55" t="s">
        <v>360</v>
      </c>
      <c r="J743" s="55" t="s">
        <v>360</v>
      </c>
      <c r="K743" s="55" t="s">
        <v>360</v>
      </c>
      <c r="L743" s="55" t="s">
        <v>360</v>
      </c>
      <c r="M743" s="55" t="s">
        <v>144</v>
      </c>
      <c r="N743" s="55" t="s">
        <v>144</v>
      </c>
      <c r="O743" s="55" t="s">
        <v>209</v>
      </c>
      <c r="P743" s="55" t="s">
        <v>555</v>
      </c>
      <c r="Q743" s="55" t="s">
        <v>350</v>
      </c>
      <c r="R743" s="55">
        <v>3</v>
      </c>
      <c r="S743" s="55"/>
      <c r="T743" s="55" t="s">
        <v>1486</v>
      </c>
    </row>
    <row r="744" spans="1:20" ht="13" x14ac:dyDescent="0.15">
      <c r="A744" s="72" t="str">
        <f t="shared" si="11"/>
        <v>Ofsted Social Care Provider Webpage</v>
      </c>
      <c r="B744" s="55">
        <v>2519260</v>
      </c>
      <c r="D744" s="55" t="s">
        <v>373</v>
      </c>
      <c r="E744" s="74">
        <v>43600</v>
      </c>
      <c r="F744" s="55" t="s">
        <v>344</v>
      </c>
      <c r="G744" s="55" t="s">
        <v>360</v>
      </c>
      <c r="H744" s="55" t="s">
        <v>360</v>
      </c>
      <c r="I744" s="55" t="s">
        <v>360</v>
      </c>
      <c r="J744" s="55" t="s">
        <v>360</v>
      </c>
      <c r="K744" s="55" t="s">
        <v>360</v>
      </c>
      <c r="L744" s="55" t="s">
        <v>360</v>
      </c>
      <c r="M744" s="55" t="s">
        <v>136</v>
      </c>
      <c r="N744" s="55" t="s">
        <v>136</v>
      </c>
      <c r="O744" s="55" t="s">
        <v>288</v>
      </c>
      <c r="P744" s="55" t="s">
        <v>1487</v>
      </c>
      <c r="Q744" s="55" t="s">
        <v>350</v>
      </c>
      <c r="R744" s="55">
        <v>3</v>
      </c>
      <c r="S744" s="55"/>
      <c r="T744" s="55" t="s">
        <v>517</v>
      </c>
    </row>
    <row r="745" spans="1:20" ht="13" x14ac:dyDescent="0.15">
      <c r="A745" s="72" t="str">
        <f t="shared" si="11"/>
        <v>Ofsted Social Care Provider Webpage</v>
      </c>
      <c r="B745" s="55">
        <v>2519269</v>
      </c>
      <c r="D745" s="55" t="s">
        <v>373</v>
      </c>
      <c r="E745" s="74">
        <v>43651</v>
      </c>
      <c r="F745" s="55" t="s">
        <v>344</v>
      </c>
      <c r="G745" s="55" t="s">
        <v>360</v>
      </c>
      <c r="H745" s="55" t="s">
        <v>360</v>
      </c>
      <c r="I745" s="55" t="s">
        <v>360</v>
      </c>
      <c r="J745" s="55" t="s">
        <v>360</v>
      </c>
      <c r="K745" s="55" t="s">
        <v>360</v>
      </c>
      <c r="L745" s="55" t="s">
        <v>360</v>
      </c>
      <c r="M745" s="55" t="s">
        <v>142</v>
      </c>
      <c r="N745" s="55" t="s">
        <v>142</v>
      </c>
      <c r="O745" s="55" t="s">
        <v>292</v>
      </c>
      <c r="P745" s="55" t="s">
        <v>1052</v>
      </c>
      <c r="Q745" s="55" t="s">
        <v>350</v>
      </c>
      <c r="R745" s="55">
        <v>2</v>
      </c>
      <c r="S745" s="55"/>
      <c r="T745" s="55" t="s">
        <v>1488</v>
      </c>
    </row>
    <row r="746" spans="1:20" ht="13" x14ac:dyDescent="0.15">
      <c r="A746" s="72" t="str">
        <f t="shared" si="11"/>
        <v>Ofsted Social Care Provider Webpage</v>
      </c>
      <c r="B746" s="55">
        <v>2519592</v>
      </c>
      <c r="D746" s="55" t="s">
        <v>373</v>
      </c>
      <c r="E746" s="74">
        <v>43563</v>
      </c>
      <c r="F746" s="55" t="s">
        <v>344</v>
      </c>
      <c r="G746" s="55" t="s">
        <v>360</v>
      </c>
      <c r="H746" s="55" t="s">
        <v>360</v>
      </c>
      <c r="I746" s="55" t="s">
        <v>360</v>
      </c>
      <c r="J746" s="55" t="s">
        <v>360</v>
      </c>
      <c r="K746" s="55" t="s">
        <v>360</v>
      </c>
      <c r="L746" s="55" t="s">
        <v>360</v>
      </c>
      <c r="M746" s="55" t="s">
        <v>144</v>
      </c>
      <c r="N746" s="55" t="s">
        <v>144</v>
      </c>
      <c r="O746" s="55" t="s">
        <v>271</v>
      </c>
      <c r="P746" s="55" t="s">
        <v>1122</v>
      </c>
      <c r="Q746" s="55" t="s">
        <v>350</v>
      </c>
      <c r="R746" s="55">
        <v>4</v>
      </c>
      <c r="S746" s="55"/>
      <c r="T746" s="55" t="s">
        <v>377</v>
      </c>
    </row>
    <row r="747" spans="1:20" ht="13" x14ac:dyDescent="0.15">
      <c r="A747" s="72" t="str">
        <f t="shared" si="11"/>
        <v>Ofsted Social Care Provider Webpage</v>
      </c>
      <c r="B747" s="55">
        <v>2519919</v>
      </c>
      <c r="D747" s="55" t="s">
        <v>373</v>
      </c>
      <c r="E747" s="74">
        <v>43739</v>
      </c>
      <c r="F747" s="55" t="s">
        <v>344</v>
      </c>
      <c r="G747" s="55" t="s">
        <v>360</v>
      </c>
      <c r="H747" s="55" t="s">
        <v>360</v>
      </c>
      <c r="I747" s="55" t="s">
        <v>360</v>
      </c>
      <c r="J747" s="55" t="s">
        <v>360</v>
      </c>
      <c r="K747" s="55" t="s">
        <v>360</v>
      </c>
      <c r="L747" s="55" t="s">
        <v>360</v>
      </c>
      <c r="M747" s="55" t="s">
        <v>142</v>
      </c>
      <c r="N747" s="55" t="s">
        <v>142</v>
      </c>
      <c r="O747" s="55" t="s">
        <v>141</v>
      </c>
      <c r="P747" s="55" t="s">
        <v>573</v>
      </c>
      <c r="Q747" s="55" t="s">
        <v>350</v>
      </c>
      <c r="R747" s="55">
        <v>3</v>
      </c>
      <c r="S747" s="55"/>
      <c r="T747" s="55" t="s">
        <v>1489</v>
      </c>
    </row>
    <row r="748" spans="1:20" ht="13" x14ac:dyDescent="0.15">
      <c r="A748" s="72" t="str">
        <f t="shared" si="11"/>
        <v>Ofsted Social Care Provider Webpage</v>
      </c>
      <c r="B748" s="55">
        <v>2520922</v>
      </c>
      <c r="D748" s="55" t="s">
        <v>373</v>
      </c>
      <c r="E748" s="74">
        <v>43622</v>
      </c>
      <c r="F748" s="55" t="s">
        <v>344</v>
      </c>
      <c r="G748" s="55" t="s">
        <v>360</v>
      </c>
      <c r="H748" s="55" t="s">
        <v>360</v>
      </c>
      <c r="I748" s="55" t="s">
        <v>360</v>
      </c>
      <c r="J748" s="55" t="s">
        <v>360</v>
      </c>
      <c r="K748" s="55" t="s">
        <v>360</v>
      </c>
      <c r="L748" s="55" t="s">
        <v>360</v>
      </c>
      <c r="M748" s="55" t="s">
        <v>378</v>
      </c>
      <c r="N748" s="55" t="s">
        <v>170</v>
      </c>
      <c r="O748" s="55" t="s">
        <v>264</v>
      </c>
      <c r="P748" s="55" t="s">
        <v>437</v>
      </c>
      <c r="Q748" s="55" t="s">
        <v>350</v>
      </c>
      <c r="R748" s="55">
        <v>6</v>
      </c>
      <c r="S748" s="55"/>
      <c r="T748" s="55" t="s">
        <v>522</v>
      </c>
    </row>
    <row r="749" spans="1:20" ht="13" x14ac:dyDescent="0.15">
      <c r="A749" s="72" t="str">
        <f t="shared" si="11"/>
        <v>Ofsted Social Care Provider Webpage</v>
      </c>
      <c r="B749" s="55">
        <v>2521953</v>
      </c>
      <c r="D749" s="55" t="s">
        <v>373</v>
      </c>
      <c r="E749" s="74">
        <v>43739</v>
      </c>
      <c r="F749" s="55" t="s">
        <v>344</v>
      </c>
      <c r="G749" s="55" t="s">
        <v>360</v>
      </c>
      <c r="H749" s="55" t="s">
        <v>360</v>
      </c>
      <c r="I749" s="55" t="s">
        <v>360</v>
      </c>
      <c r="J749" s="55" t="s">
        <v>360</v>
      </c>
      <c r="K749" s="55" t="s">
        <v>360</v>
      </c>
      <c r="L749" s="55" t="s">
        <v>360</v>
      </c>
      <c r="M749" s="55" t="s">
        <v>144</v>
      </c>
      <c r="N749" s="55" t="s">
        <v>144</v>
      </c>
      <c r="O749" s="55" t="s">
        <v>209</v>
      </c>
      <c r="P749" s="55" t="s">
        <v>484</v>
      </c>
      <c r="Q749" s="55" t="s">
        <v>350</v>
      </c>
      <c r="R749" s="55">
        <v>2</v>
      </c>
      <c r="S749" s="55"/>
      <c r="T749" s="55" t="s">
        <v>493</v>
      </c>
    </row>
    <row r="750" spans="1:20" ht="13" x14ac:dyDescent="0.15">
      <c r="A750" s="72" t="str">
        <f t="shared" si="11"/>
        <v>Ofsted Social Care Provider Webpage</v>
      </c>
      <c r="B750" s="55">
        <v>2522240</v>
      </c>
      <c r="D750" s="55" t="s">
        <v>373</v>
      </c>
      <c r="E750" s="74">
        <v>43594</v>
      </c>
      <c r="F750" s="55" t="s">
        <v>344</v>
      </c>
      <c r="G750" s="55" t="s">
        <v>360</v>
      </c>
      <c r="H750" s="55" t="s">
        <v>360</v>
      </c>
      <c r="I750" s="55" t="s">
        <v>360</v>
      </c>
      <c r="J750" s="55" t="s">
        <v>360</v>
      </c>
      <c r="K750" s="55" t="s">
        <v>360</v>
      </c>
      <c r="L750" s="55" t="s">
        <v>360</v>
      </c>
      <c r="M750" s="55" t="s">
        <v>378</v>
      </c>
      <c r="N750" s="55" t="s">
        <v>170</v>
      </c>
      <c r="O750" s="55" t="s">
        <v>267</v>
      </c>
      <c r="P750" s="55" t="s">
        <v>477</v>
      </c>
      <c r="Q750" s="55" t="s">
        <v>362</v>
      </c>
      <c r="R750" s="55">
        <v>8</v>
      </c>
      <c r="S750" s="55"/>
      <c r="T750" s="55" t="s">
        <v>1490</v>
      </c>
    </row>
    <row r="751" spans="1:20" ht="13" x14ac:dyDescent="0.15">
      <c r="A751" s="72" t="str">
        <f t="shared" si="11"/>
        <v>Ofsted Social Care Provider Webpage</v>
      </c>
      <c r="B751" s="55">
        <v>2522796</v>
      </c>
      <c r="D751" s="55" t="s">
        <v>373</v>
      </c>
      <c r="E751" s="74">
        <v>43651</v>
      </c>
      <c r="F751" s="55" t="s">
        <v>344</v>
      </c>
      <c r="G751" s="55" t="s">
        <v>360</v>
      </c>
      <c r="H751" s="55" t="s">
        <v>360</v>
      </c>
      <c r="I751" s="55" t="s">
        <v>360</v>
      </c>
      <c r="J751" s="55" t="s">
        <v>360</v>
      </c>
      <c r="K751" s="55" t="s">
        <v>360</v>
      </c>
      <c r="L751" s="55" t="s">
        <v>360</v>
      </c>
      <c r="M751" s="55" t="s">
        <v>138</v>
      </c>
      <c r="N751" s="55" t="s">
        <v>138</v>
      </c>
      <c r="O751" s="55" t="s">
        <v>238</v>
      </c>
      <c r="P751" s="55" t="s">
        <v>238</v>
      </c>
      <c r="Q751" s="55" t="s">
        <v>350</v>
      </c>
      <c r="R751" s="55">
        <v>6</v>
      </c>
      <c r="S751" s="55"/>
      <c r="T751" s="55" t="s">
        <v>1491</v>
      </c>
    </row>
    <row r="752" spans="1:20" ht="13" x14ac:dyDescent="0.15">
      <c r="A752" s="72" t="str">
        <f t="shared" si="11"/>
        <v>Ofsted Social Care Provider Webpage</v>
      </c>
      <c r="B752" s="55">
        <v>2523025</v>
      </c>
      <c r="D752" s="55" t="s">
        <v>373</v>
      </c>
      <c r="E752" s="74">
        <v>43655</v>
      </c>
      <c r="F752" s="55" t="s">
        <v>344</v>
      </c>
      <c r="G752" s="55" t="s">
        <v>360</v>
      </c>
      <c r="H752" s="55" t="s">
        <v>360</v>
      </c>
      <c r="I752" s="55" t="s">
        <v>360</v>
      </c>
      <c r="J752" s="55" t="s">
        <v>360</v>
      </c>
      <c r="K752" s="55" t="s">
        <v>360</v>
      </c>
      <c r="L752" s="55" t="s">
        <v>360</v>
      </c>
      <c r="M752" s="55" t="s">
        <v>142</v>
      </c>
      <c r="N752" s="55" t="s">
        <v>142</v>
      </c>
      <c r="O752" s="55" t="s">
        <v>141</v>
      </c>
      <c r="P752" s="55" t="s">
        <v>1226</v>
      </c>
      <c r="Q752" s="55" t="s">
        <v>350</v>
      </c>
      <c r="R752" s="55">
        <v>6</v>
      </c>
      <c r="S752" s="55"/>
      <c r="T752" s="55" t="s">
        <v>574</v>
      </c>
    </row>
    <row r="753" spans="1:20" ht="13" x14ac:dyDescent="0.15">
      <c r="A753" s="72" t="str">
        <f t="shared" si="11"/>
        <v>Ofsted Social Care Provider Webpage</v>
      </c>
      <c r="B753" s="55">
        <v>2523027</v>
      </c>
      <c r="D753" s="55" t="s">
        <v>373</v>
      </c>
      <c r="E753" s="74">
        <v>43654</v>
      </c>
      <c r="F753" s="55" t="s">
        <v>344</v>
      </c>
      <c r="G753" s="55" t="s">
        <v>360</v>
      </c>
      <c r="H753" s="55" t="s">
        <v>360</v>
      </c>
      <c r="I753" s="55" t="s">
        <v>360</v>
      </c>
      <c r="J753" s="55" t="s">
        <v>360</v>
      </c>
      <c r="K753" s="55" t="s">
        <v>360</v>
      </c>
      <c r="L753" s="55" t="s">
        <v>360</v>
      </c>
      <c r="M753" s="55" t="s">
        <v>150</v>
      </c>
      <c r="N753" s="55" t="s">
        <v>150</v>
      </c>
      <c r="O753" s="55" t="s">
        <v>241</v>
      </c>
      <c r="P753" s="55" t="s">
        <v>1492</v>
      </c>
      <c r="Q753" s="55" t="s">
        <v>350</v>
      </c>
      <c r="R753" s="55">
        <v>1</v>
      </c>
      <c r="S753" s="55"/>
      <c r="T753" s="55" t="s">
        <v>487</v>
      </c>
    </row>
    <row r="754" spans="1:20" ht="13" x14ac:dyDescent="0.15">
      <c r="A754" s="72" t="str">
        <f t="shared" si="11"/>
        <v>Ofsted Social Care Provider Webpage</v>
      </c>
      <c r="B754" s="55">
        <v>2523028</v>
      </c>
      <c r="D754" s="55" t="s">
        <v>1493</v>
      </c>
      <c r="E754" s="74">
        <v>43613</v>
      </c>
      <c r="F754" s="55" t="s">
        <v>344</v>
      </c>
      <c r="G754" s="55" t="s">
        <v>360</v>
      </c>
      <c r="H754" s="55" t="s">
        <v>360</v>
      </c>
      <c r="I754" s="55" t="s">
        <v>360</v>
      </c>
      <c r="J754" s="55" t="s">
        <v>360</v>
      </c>
      <c r="K754" s="55" t="s">
        <v>360</v>
      </c>
      <c r="L754" s="55" t="s">
        <v>360</v>
      </c>
      <c r="M754" s="55" t="s">
        <v>144</v>
      </c>
      <c r="N754" s="55" t="s">
        <v>144</v>
      </c>
      <c r="O754" s="55" t="s">
        <v>145</v>
      </c>
      <c r="P754" s="55" t="s">
        <v>525</v>
      </c>
      <c r="Q754" s="55" t="s">
        <v>350</v>
      </c>
      <c r="R754" s="55">
        <v>1</v>
      </c>
      <c r="S754" s="55"/>
      <c r="T754" s="55" t="s">
        <v>485</v>
      </c>
    </row>
    <row r="755" spans="1:20" ht="13" x14ac:dyDescent="0.15">
      <c r="A755" s="72" t="str">
        <f t="shared" si="11"/>
        <v>Ofsted Social Care Provider Webpage</v>
      </c>
      <c r="B755" s="55">
        <v>2523030</v>
      </c>
      <c r="D755" s="55" t="s">
        <v>479</v>
      </c>
      <c r="E755" s="74">
        <v>43608</v>
      </c>
      <c r="F755" s="55" t="s">
        <v>344</v>
      </c>
      <c r="G755" s="55" t="s">
        <v>360</v>
      </c>
      <c r="H755" s="55" t="s">
        <v>360</v>
      </c>
      <c r="I755" s="55" t="s">
        <v>360</v>
      </c>
      <c r="J755" s="55" t="s">
        <v>360</v>
      </c>
      <c r="K755" s="55" t="s">
        <v>360</v>
      </c>
      <c r="L755" s="55" t="s">
        <v>360</v>
      </c>
      <c r="M755" s="55" t="s">
        <v>172</v>
      </c>
      <c r="N755" s="55" t="s">
        <v>172</v>
      </c>
      <c r="O755" s="55" t="s">
        <v>214</v>
      </c>
      <c r="P755" s="55" t="s">
        <v>1426</v>
      </c>
      <c r="Q755" s="55" t="s">
        <v>350</v>
      </c>
      <c r="R755" s="55">
        <v>16</v>
      </c>
      <c r="S755" s="55"/>
      <c r="T755" s="55" t="s">
        <v>1494</v>
      </c>
    </row>
    <row r="756" spans="1:20" ht="13" x14ac:dyDescent="0.15">
      <c r="A756" s="72" t="str">
        <f t="shared" si="11"/>
        <v>Ofsted Social Care Provider Webpage</v>
      </c>
      <c r="B756" s="55">
        <v>2523034</v>
      </c>
      <c r="D756" s="55" t="s">
        <v>373</v>
      </c>
      <c r="E756" s="74">
        <v>43658</v>
      </c>
      <c r="F756" s="55" t="s">
        <v>344</v>
      </c>
      <c r="G756" s="55" t="s">
        <v>360</v>
      </c>
      <c r="H756" s="55" t="s">
        <v>360</v>
      </c>
      <c r="I756" s="55" t="s">
        <v>360</v>
      </c>
      <c r="J756" s="55" t="s">
        <v>360</v>
      </c>
      <c r="K756" s="55" t="s">
        <v>360</v>
      </c>
      <c r="L756" s="55" t="s">
        <v>360</v>
      </c>
      <c r="M756" s="55" t="s">
        <v>150</v>
      </c>
      <c r="N756" s="55" t="s">
        <v>150</v>
      </c>
      <c r="O756" s="55" t="s">
        <v>203</v>
      </c>
      <c r="P756" s="55" t="s">
        <v>593</v>
      </c>
      <c r="Q756" s="55" t="s">
        <v>350</v>
      </c>
      <c r="R756" s="55">
        <v>3</v>
      </c>
      <c r="S756" s="55"/>
      <c r="T756" s="55" t="s">
        <v>594</v>
      </c>
    </row>
    <row r="757" spans="1:20" ht="13" x14ac:dyDescent="0.15">
      <c r="A757" s="72" t="str">
        <f t="shared" si="11"/>
        <v>Ofsted Social Care Provider Webpage</v>
      </c>
      <c r="B757" s="55">
        <v>2523036</v>
      </c>
      <c r="D757" s="55" t="s">
        <v>373</v>
      </c>
      <c r="E757" s="74">
        <v>43650</v>
      </c>
      <c r="F757" s="55" t="s">
        <v>344</v>
      </c>
      <c r="G757" s="55" t="s">
        <v>360</v>
      </c>
      <c r="H757" s="55" t="s">
        <v>360</v>
      </c>
      <c r="I757" s="55" t="s">
        <v>360</v>
      </c>
      <c r="J757" s="55" t="s">
        <v>360</v>
      </c>
      <c r="K757" s="55" t="s">
        <v>360</v>
      </c>
      <c r="L757" s="55" t="s">
        <v>360</v>
      </c>
      <c r="M757" s="55" t="s">
        <v>144</v>
      </c>
      <c r="N757" s="55" t="s">
        <v>144</v>
      </c>
      <c r="O757" s="55" t="s">
        <v>145</v>
      </c>
      <c r="P757" s="55" t="s">
        <v>525</v>
      </c>
      <c r="Q757" s="55" t="s">
        <v>350</v>
      </c>
      <c r="R757" s="55">
        <v>2</v>
      </c>
      <c r="S757" s="55"/>
      <c r="T757" s="55" t="s">
        <v>1065</v>
      </c>
    </row>
    <row r="758" spans="1:20" ht="13" x14ac:dyDescent="0.15">
      <c r="A758" s="72" t="str">
        <f t="shared" si="11"/>
        <v>Ofsted Social Care Provider Webpage</v>
      </c>
      <c r="B758" s="55">
        <v>2523037</v>
      </c>
      <c r="D758" s="55" t="s">
        <v>373</v>
      </c>
      <c r="E758" s="74">
        <v>43572</v>
      </c>
      <c r="F758" s="55" t="s">
        <v>344</v>
      </c>
      <c r="G758" s="55" t="s">
        <v>360</v>
      </c>
      <c r="H758" s="55" t="s">
        <v>360</v>
      </c>
      <c r="I758" s="55" t="s">
        <v>360</v>
      </c>
      <c r="J758" s="55" t="s">
        <v>360</v>
      </c>
      <c r="K758" s="55" t="s">
        <v>360</v>
      </c>
      <c r="L758" s="55" t="s">
        <v>360</v>
      </c>
      <c r="M758" s="55" t="s">
        <v>378</v>
      </c>
      <c r="N758" s="55" t="s">
        <v>134</v>
      </c>
      <c r="O758" s="55" t="s">
        <v>158</v>
      </c>
      <c r="P758" s="55" t="s">
        <v>480</v>
      </c>
      <c r="Q758" s="55" t="s">
        <v>350</v>
      </c>
      <c r="R758" s="55">
        <v>2</v>
      </c>
      <c r="S758" s="55"/>
      <c r="T758" s="55" t="s">
        <v>711</v>
      </c>
    </row>
    <row r="759" spans="1:20" ht="13" x14ac:dyDescent="0.15">
      <c r="A759" s="72" t="str">
        <f t="shared" si="11"/>
        <v>Ofsted Social Care Provider Webpage</v>
      </c>
      <c r="B759" s="55">
        <v>2523210</v>
      </c>
      <c r="D759" s="55" t="s">
        <v>443</v>
      </c>
      <c r="E759" s="74">
        <v>43731</v>
      </c>
      <c r="F759" s="55" t="s">
        <v>344</v>
      </c>
      <c r="G759" s="55" t="s">
        <v>1495</v>
      </c>
      <c r="H759" s="55" t="s">
        <v>1496</v>
      </c>
      <c r="I759" s="55" t="s">
        <v>1497</v>
      </c>
      <c r="J759" s="55" t="s">
        <v>1498</v>
      </c>
      <c r="K759" s="55" t="s">
        <v>183</v>
      </c>
      <c r="L759" s="55" t="s">
        <v>1499</v>
      </c>
      <c r="M759" s="55" t="s">
        <v>138</v>
      </c>
      <c r="N759" s="55" t="s">
        <v>138</v>
      </c>
      <c r="O759" s="55" t="s">
        <v>183</v>
      </c>
      <c r="P759" s="55" t="s">
        <v>730</v>
      </c>
      <c r="Q759" s="55" t="s">
        <v>350</v>
      </c>
      <c r="R759" s="55"/>
      <c r="S759" s="55"/>
      <c r="T759" s="55" t="s">
        <v>1495</v>
      </c>
    </row>
    <row r="760" spans="1:20" ht="13" x14ac:dyDescent="0.15">
      <c r="A760" s="72" t="str">
        <f t="shared" si="11"/>
        <v>Ofsted Social Care Provider Webpage</v>
      </c>
      <c r="B760" s="55">
        <v>2525634</v>
      </c>
      <c r="D760" s="55" t="s">
        <v>373</v>
      </c>
      <c r="E760" s="74">
        <v>43573</v>
      </c>
      <c r="F760" s="55" t="s">
        <v>344</v>
      </c>
      <c r="G760" s="55" t="s">
        <v>360</v>
      </c>
      <c r="H760" s="55" t="s">
        <v>360</v>
      </c>
      <c r="I760" s="55" t="s">
        <v>360</v>
      </c>
      <c r="J760" s="55" t="s">
        <v>360</v>
      </c>
      <c r="K760" s="55" t="s">
        <v>360</v>
      </c>
      <c r="L760" s="55" t="s">
        <v>360</v>
      </c>
      <c r="M760" s="55" t="s">
        <v>138</v>
      </c>
      <c r="N760" s="55" t="s">
        <v>138</v>
      </c>
      <c r="O760" s="55" t="s">
        <v>183</v>
      </c>
      <c r="P760" s="55" t="s">
        <v>1500</v>
      </c>
      <c r="Q760" s="55" t="s">
        <v>350</v>
      </c>
      <c r="R760" s="55">
        <v>5</v>
      </c>
      <c r="S760" s="55"/>
      <c r="T760" s="55" t="s">
        <v>997</v>
      </c>
    </row>
    <row r="761" spans="1:20" ht="13" x14ac:dyDescent="0.15">
      <c r="A761" s="72" t="str">
        <f t="shared" si="11"/>
        <v>Ofsted Social Care Provider Webpage</v>
      </c>
      <c r="B761" s="55">
        <v>2525774</v>
      </c>
      <c r="D761" s="55" t="s">
        <v>373</v>
      </c>
      <c r="E761" s="74">
        <v>43613</v>
      </c>
      <c r="F761" s="55" t="s">
        <v>344</v>
      </c>
      <c r="G761" s="55" t="s">
        <v>360</v>
      </c>
      <c r="H761" s="55" t="s">
        <v>360</v>
      </c>
      <c r="I761" s="55" t="s">
        <v>360</v>
      </c>
      <c r="J761" s="55" t="s">
        <v>360</v>
      </c>
      <c r="K761" s="55" t="s">
        <v>360</v>
      </c>
      <c r="L761" s="55" t="s">
        <v>360</v>
      </c>
      <c r="M761" s="55" t="s">
        <v>144</v>
      </c>
      <c r="N761" s="55" t="s">
        <v>144</v>
      </c>
      <c r="O761" s="55" t="s">
        <v>236</v>
      </c>
      <c r="P761" s="55" t="s">
        <v>996</v>
      </c>
      <c r="Q761" s="55" t="s">
        <v>350</v>
      </c>
      <c r="R761" s="55">
        <v>4</v>
      </c>
      <c r="S761" s="55"/>
      <c r="T761" s="55" t="s">
        <v>871</v>
      </c>
    </row>
    <row r="762" spans="1:20" ht="13" x14ac:dyDescent="0.15">
      <c r="A762" s="72" t="str">
        <f t="shared" si="11"/>
        <v>Ofsted Social Care Provider Webpage</v>
      </c>
      <c r="B762" s="55">
        <v>2525807</v>
      </c>
      <c r="D762" s="55" t="s">
        <v>373</v>
      </c>
      <c r="E762" s="74">
        <v>43672</v>
      </c>
      <c r="F762" s="55" t="s">
        <v>344</v>
      </c>
      <c r="G762" s="55" t="s">
        <v>360</v>
      </c>
      <c r="H762" s="55" t="s">
        <v>360</v>
      </c>
      <c r="I762" s="55" t="s">
        <v>360</v>
      </c>
      <c r="J762" s="55" t="s">
        <v>360</v>
      </c>
      <c r="K762" s="55" t="s">
        <v>360</v>
      </c>
      <c r="L762" s="55" t="s">
        <v>360</v>
      </c>
      <c r="M762" s="55" t="s">
        <v>142</v>
      </c>
      <c r="N762" s="55" t="s">
        <v>142</v>
      </c>
      <c r="O762" s="55" t="s">
        <v>293</v>
      </c>
      <c r="P762" s="55" t="s">
        <v>984</v>
      </c>
      <c r="Q762" s="55" t="s">
        <v>350</v>
      </c>
      <c r="R762" s="55">
        <v>4</v>
      </c>
      <c r="S762" s="55"/>
      <c r="T762" s="55" t="s">
        <v>1501</v>
      </c>
    </row>
    <row r="763" spans="1:20" ht="13" x14ac:dyDescent="0.15">
      <c r="A763" s="72" t="str">
        <f t="shared" si="11"/>
        <v>Ofsted Social Care Provider Webpage</v>
      </c>
      <c r="B763" s="55">
        <v>2526004</v>
      </c>
      <c r="D763" s="55" t="s">
        <v>373</v>
      </c>
      <c r="E763" s="74">
        <v>43579</v>
      </c>
      <c r="F763" s="55" t="s">
        <v>344</v>
      </c>
      <c r="G763" s="55" t="s">
        <v>360</v>
      </c>
      <c r="H763" s="55" t="s">
        <v>360</v>
      </c>
      <c r="I763" s="55" t="s">
        <v>360</v>
      </c>
      <c r="J763" s="55" t="s">
        <v>360</v>
      </c>
      <c r="K763" s="55" t="s">
        <v>360</v>
      </c>
      <c r="L763" s="55" t="s">
        <v>360</v>
      </c>
      <c r="M763" s="55" t="s">
        <v>144</v>
      </c>
      <c r="N763" s="55" t="s">
        <v>144</v>
      </c>
      <c r="O763" s="55" t="s">
        <v>162</v>
      </c>
      <c r="P763" s="55" t="s">
        <v>1502</v>
      </c>
      <c r="Q763" s="55" t="s">
        <v>350</v>
      </c>
      <c r="R763" s="55">
        <v>6</v>
      </c>
      <c r="S763" s="55"/>
      <c r="T763" s="55" t="s">
        <v>1503</v>
      </c>
    </row>
    <row r="764" spans="1:20" ht="13" x14ac:dyDescent="0.15">
      <c r="A764" s="72" t="str">
        <f t="shared" si="11"/>
        <v>Ofsted Social Care Provider Webpage</v>
      </c>
      <c r="B764" s="55">
        <v>2526435</v>
      </c>
      <c r="D764" s="55" t="s">
        <v>373</v>
      </c>
      <c r="E764" s="74">
        <v>43650</v>
      </c>
      <c r="F764" s="55" t="s">
        <v>344</v>
      </c>
      <c r="G764" s="55" t="s">
        <v>360</v>
      </c>
      <c r="H764" s="55" t="s">
        <v>360</v>
      </c>
      <c r="I764" s="55" t="s">
        <v>360</v>
      </c>
      <c r="J764" s="55" t="s">
        <v>360</v>
      </c>
      <c r="K764" s="55" t="s">
        <v>360</v>
      </c>
      <c r="L764" s="55" t="s">
        <v>360</v>
      </c>
      <c r="M764" s="55" t="s">
        <v>138</v>
      </c>
      <c r="N764" s="55" t="s">
        <v>138</v>
      </c>
      <c r="O764" s="55" t="s">
        <v>183</v>
      </c>
      <c r="P764" s="55" t="s">
        <v>1500</v>
      </c>
      <c r="Q764" s="55" t="s">
        <v>350</v>
      </c>
      <c r="R764" s="55">
        <v>3</v>
      </c>
      <c r="S764" s="55"/>
      <c r="T764" s="55" t="s">
        <v>1504</v>
      </c>
    </row>
    <row r="765" spans="1:20" ht="13" x14ac:dyDescent="0.15">
      <c r="A765" s="72" t="str">
        <f t="shared" si="11"/>
        <v>Ofsted Social Care Provider Webpage</v>
      </c>
      <c r="B765" s="55">
        <v>2526875</v>
      </c>
      <c r="D765" s="55" t="s">
        <v>373</v>
      </c>
      <c r="E765" s="74">
        <v>43707</v>
      </c>
      <c r="F765" s="55" t="s">
        <v>344</v>
      </c>
      <c r="G765" s="55" t="s">
        <v>360</v>
      </c>
      <c r="H765" s="55" t="s">
        <v>360</v>
      </c>
      <c r="I765" s="55" t="s">
        <v>360</v>
      </c>
      <c r="J765" s="55" t="s">
        <v>360</v>
      </c>
      <c r="K765" s="55" t="s">
        <v>360</v>
      </c>
      <c r="L765" s="55" t="s">
        <v>360</v>
      </c>
      <c r="M765" s="55" t="s">
        <v>142</v>
      </c>
      <c r="N765" s="55" t="s">
        <v>142</v>
      </c>
      <c r="O765" s="55" t="s">
        <v>262</v>
      </c>
      <c r="P765" s="55" t="s">
        <v>618</v>
      </c>
      <c r="Q765" s="55" t="s">
        <v>350</v>
      </c>
      <c r="R765" s="55">
        <v>5</v>
      </c>
      <c r="S765" s="55"/>
      <c r="T765" s="55" t="s">
        <v>1505</v>
      </c>
    </row>
    <row r="766" spans="1:20" ht="13" x14ac:dyDescent="0.15">
      <c r="A766" s="72" t="str">
        <f t="shared" si="11"/>
        <v>Ofsted Social Care Provider Webpage</v>
      </c>
      <c r="B766" s="55">
        <v>2526893</v>
      </c>
      <c r="D766" s="55" t="s">
        <v>373</v>
      </c>
      <c r="E766" s="74">
        <v>43741</v>
      </c>
      <c r="F766" s="55" t="s">
        <v>344</v>
      </c>
      <c r="G766" s="55" t="s">
        <v>360</v>
      </c>
      <c r="H766" s="55" t="s">
        <v>360</v>
      </c>
      <c r="I766" s="55" t="s">
        <v>360</v>
      </c>
      <c r="J766" s="55" t="s">
        <v>360</v>
      </c>
      <c r="K766" s="55" t="s">
        <v>360</v>
      </c>
      <c r="L766" s="55" t="s">
        <v>360</v>
      </c>
      <c r="M766" s="55" t="s">
        <v>142</v>
      </c>
      <c r="N766" s="55" t="s">
        <v>142</v>
      </c>
      <c r="O766" s="55" t="s">
        <v>265</v>
      </c>
      <c r="P766" s="55" t="s">
        <v>1215</v>
      </c>
      <c r="Q766" s="55" t="s">
        <v>350</v>
      </c>
      <c r="R766" s="55">
        <v>4</v>
      </c>
      <c r="S766" s="55"/>
      <c r="T766" s="55" t="s">
        <v>1505</v>
      </c>
    </row>
    <row r="767" spans="1:20" ht="13" x14ac:dyDescent="0.15">
      <c r="A767" s="72" t="str">
        <f t="shared" si="11"/>
        <v>Ofsted Social Care Provider Webpage</v>
      </c>
      <c r="B767" s="55">
        <v>2526920</v>
      </c>
      <c r="D767" s="55" t="s">
        <v>373</v>
      </c>
      <c r="E767" s="74">
        <v>43579</v>
      </c>
      <c r="F767" s="55" t="s">
        <v>344</v>
      </c>
      <c r="G767" s="55" t="s">
        <v>360</v>
      </c>
      <c r="H767" s="55" t="s">
        <v>360</v>
      </c>
      <c r="I767" s="55" t="s">
        <v>360</v>
      </c>
      <c r="J767" s="55" t="s">
        <v>360</v>
      </c>
      <c r="K767" s="55" t="s">
        <v>360</v>
      </c>
      <c r="L767" s="55" t="s">
        <v>360</v>
      </c>
      <c r="M767" s="55" t="s">
        <v>144</v>
      </c>
      <c r="N767" s="55" t="s">
        <v>144</v>
      </c>
      <c r="O767" s="55" t="s">
        <v>168</v>
      </c>
      <c r="P767" s="55" t="s">
        <v>913</v>
      </c>
      <c r="Q767" s="55" t="s">
        <v>350</v>
      </c>
      <c r="R767" s="55">
        <v>5</v>
      </c>
      <c r="S767" s="55"/>
      <c r="T767" s="55" t="s">
        <v>1098</v>
      </c>
    </row>
    <row r="768" spans="1:20" ht="13" x14ac:dyDescent="0.15">
      <c r="A768" s="72" t="str">
        <f t="shared" si="11"/>
        <v>Ofsted Social Care Provider Webpage</v>
      </c>
      <c r="B768" s="55">
        <v>2526921</v>
      </c>
      <c r="D768" s="55" t="s">
        <v>373</v>
      </c>
      <c r="E768" s="74">
        <v>43531</v>
      </c>
      <c r="F768" s="55" t="s">
        <v>344</v>
      </c>
      <c r="G768" s="55" t="s">
        <v>360</v>
      </c>
      <c r="H768" s="55" t="s">
        <v>360</v>
      </c>
      <c r="I768" s="55" t="s">
        <v>360</v>
      </c>
      <c r="J768" s="55" t="s">
        <v>360</v>
      </c>
      <c r="K768" s="55" t="s">
        <v>360</v>
      </c>
      <c r="L768" s="55" t="s">
        <v>360</v>
      </c>
      <c r="M768" s="55" t="s">
        <v>144</v>
      </c>
      <c r="N768" s="55" t="s">
        <v>144</v>
      </c>
      <c r="O768" s="55" t="s">
        <v>168</v>
      </c>
      <c r="P768" s="55" t="s">
        <v>913</v>
      </c>
      <c r="Q768" s="55" t="s">
        <v>350</v>
      </c>
      <c r="R768" s="55">
        <v>5</v>
      </c>
      <c r="S768" s="55"/>
      <c r="T768" s="55" t="s">
        <v>1098</v>
      </c>
    </row>
    <row r="769" spans="1:20" ht="13" x14ac:dyDescent="0.15">
      <c r="A769" s="72" t="str">
        <f t="shared" si="11"/>
        <v>Ofsted Social Care Provider Webpage</v>
      </c>
      <c r="B769" s="55">
        <v>2526987</v>
      </c>
      <c r="D769" s="55" t="s">
        <v>373</v>
      </c>
      <c r="E769" s="74">
        <v>43634</v>
      </c>
      <c r="F769" s="55" t="s">
        <v>344</v>
      </c>
      <c r="G769" s="55" t="s">
        <v>360</v>
      </c>
      <c r="H769" s="55" t="s">
        <v>360</v>
      </c>
      <c r="I769" s="55" t="s">
        <v>360</v>
      </c>
      <c r="J769" s="55" t="s">
        <v>360</v>
      </c>
      <c r="K769" s="55" t="s">
        <v>360</v>
      </c>
      <c r="L769" s="55" t="s">
        <v>360</v>
      </c>
      <c r="M769" s="55" t="s">
        <v>138</v>
      </c>
      <c r="N769" s="55" t="s">
        <v>138</v>
      </c>
      <c r="O769" s="55" t="s">
        <v>196</v>
      </c>
      <c r="P769" s="55" t="s">
        <v>1506</v>
      </c>
      <c r="Q769" s="55" t="s">
        <v>350</v>
      </c>
      <c r="R769" s="55">
        <v>2</v>
      </c>
      <c r="S769" s="55"/>
      <c r="T769" s="55" t="s">
        <v>1507</v>
      </c>
    </row>
    <row r="770" spans="1:20" ht="13" x14ac:dyDescent="0.15">
      <c r="A770" s="72" t="str">
        <f t="shared" si="11"/>
        <v>Ofsted Social Care Provider Webpage</v>
      </c>
      <c r="B770" s="55">
        <v>2526992</v>
      </c>
      <c r="D770" s="55" t="s">
        <v>373</v>
      </c>
      <c r="E770" s="74">
        <v>43709</v>
      </c>
      <c r="F770" s="55" t="s">
        <v>344</v>
      </c>
      <c r="G770" s="55" t="s">
        <v>360</v>
      </c>
      <c r="H770" s="55" t="s">
        <v>360</v>
      </c>
      <c r="I770" s="55" t="s">
        <v>360</v>
      </c>
      <c r="J770" s="55" t="s">
        <v>360</v>
      </c>
      <c r="K770" s="55" t="s">
        <v>360</v>
      </c>
      <c r="L770" s="55" t="s">
        <v>360</v>
      </c>
      <c r="M770" s="55" t="s">
        <v>378</v>
      </c>
      <c r="N770" s="55" t="s">
        <v>134</v>
      </c>
      <c r="O770" s="55" t="s">
        <v>206</v>
      </c>
      <c r="P770" s="55" t="s">
        <v>760</v>
      </c>
      <c r="Q770" s="55" t="s">
        <v>350</v>
      </c>
      <c r="R770" s="55">
        <v>2</v>
      </c>
      <c r="S770" s="55"/>
      <c r="T770" s="55" t="s">
        <v>485</v>
      </c>
    </row>
    <row r="771" spans="1:20" ht="13" x14ac:dyDescent="0.15">
      <c r="A771" s="72" t="str">
        <f t="shared" si="11"/>
        <v>Ofsted Social Care Provider Webpage</v>
      </c>
      <c r="B771" s="55">
        <v>2527312</v>
      </c>
      <c r="D771" s="55" t="s">
        <v>373</v>
      </c>
      <c r="E771" s="74">
        <v>43668</v>
      </c>
      <c r="F771" s="55" t="s">
        <v>344</v>
      </c>
      <c r="G771" s="55" t="s">
        <v>360</v>
      </c>
      <c r="H771" s="55" t="s">
        <v>360</v>
      </c>
      <c r="I771" s="55" t="s">
        <v>360</v>
      </c>
      <c r="J771" s="55" t="s">
        <v>360</v>
      </c>
      <c r="K771" s="55" t="s">
        <v>360</v>
      </c>
      <c r="L771" s="55" t="s">
        <v>360</v>
      </c>
      <c r="M771" s="55" t="s">
        <v>136</v>
      </c>
      <c r="N771" s="55" t="s">
        <v>136</v>
      </c>
      <c r="O771" s="55" t="s">
        <v>174</v>
      </c>
      <c r="P771" s="55" t="s">
        <v>651</v>
      </c>
      <c r="Q771" s="55" t="s">
        <v>350</v>
      </c>
      <c r="R771" s="55">
        <v>2</v>
      </c>
      <c r="S771" s="55"/>
      <c r="T771" s="55" t="s">
        <v>652</v>
      </c>
    </row>
    <row r="772" spans="1:20" ht="13" x14ac:dyDescent="0.15">
      <c r="A772" s="72" t="str">
        <f t="shared" si="11"/>
        <v>Ofsted Social Care Provider Webpage</v>
      </c>
      <c r="B772" s="55">
        <v>2527328</v>
      </c>
      <c r="D772" s="55" t="s">
        <v>451</v>
      </c>
      <c r="E772" s="74">
        <v>43623</v>
      </c>
      <c r="F772" s="55" t="s">
        <v>344</v>
      </c>
      <c r="G772" s="55" t="s">
        <v>1508</v>
      </c>
      <c r="H772" s="55" t="s">
        <v>1509</v>
      </c>
      <c r="I772" s="55" t="s">
        <v>1510</v>
      </c>
      <c r="J772" s="55" t="s">
        <v>215</v>
      </c>
      <c r="L772" s="55" t="s">
        <v>1511</v>
      </c>
      <c r="M772" s="55" t="s">
        <v>144</v>
      </c>
      <c r="N772" s="55" t="s">
        <v>144</v>
      </c>
      <c r="O772" s="55" t="s">
        <v>215</v>
      </c>
      <c r="P772" s="55" t="s">
        <v>1008</v>
      </c>
      <c r="Q772" s="55" t="s">
        <v>350</v>
      </c>
      <c r="R772" s="55">
        <v>5</v>
      </c>
      <c r="S772" s="55"/>
      <c r="T772" s="55" t="s">
        <v>1508</v>
      </c>
    </row>
    <row r="773" spans="1:20" ht="13" x14ac:dyDescent="0.15">
      <c r="A773" s="72" t="str">
        <f t="shared" ref="A773:A836" si="12">HYPERLINK(_xlfn.CONCAT("http://reports.ofsted.gov.uk/inspection-reports/find-inspection-report/provider/CARE/",B773),"Ofsted Social Care Provider Webpage")</f>
        <v>Ofsted Social Care Provider Webpage</v>
      </c>
      <c r="B773" s="55">
        <v>2527558</v>
      </c>
      <c r="D773" s="55" t="s">
        <v>373</v>
      </c>
      <c r="E773" s="74">
        <v>43860</v>
      </c>
      <c r="F773" s="55" t="s">
        <v>344</v>
      </c>
      <c r="G773" s="55" t="s">
        <v>360</v>
      </c>
      <c r="H773" s="55" t="s">
        <v>360</v>
      </c>
      <c r="I773" s="55" t="s">
        <v>360</v>
      </c>
      <c r="J773" s="55" t="s">
        <v>360</v>
      </c>
      <c r="K773" s="55" t="s">
        <v>360</v>
      </c>
      <c r="L773" s="55" t="s">
        <v>360</v>
      </c>
      <c r="M773" s="55" t="s">
        <v>144</v>
      </c>
      <c r="N773" s="55" t="s">
        <v>144</v>
      </c>
      <c r="O773" s="55" t="s">
        <v>209</v>
      </c>
      <c r="P773" s="55" t="s">
        <v>474</v>
      </c>
      <c r="Q773" s="55" t="s">
        <v>350</v>
      </c>
      <c r="R773" s="55">
        <v>5</v>
      </c>
      <c r="S773" s="55"/>
      <c r="T773" s="55" t="s">
        <v>863</v>
      </c>
    </row>
    <row r="774" spans="1:20" ht="13" x14ac:dyDescent="0.15">
      <c r="A774" s="72" t="str">
        <f t="shared" si="12"/>
        <v>Ofsted Social Care Provider Webpage</v>
      </c>
      <c r="B774" s="55">
        <v>2527654</v>
      </c>
      <c r="D774" s="55" t="s">
        <v>373</v>
      </c>
      <c r="E774" s="74">
        <v>43651</v>
      </c>
      <c r="F774" s="55" t="s">
        <v>344</v>
      </c>
      <c r="G774" s="55" t="s">
        <v>360</v>
      </c>
      <c r="H774" s="55" t="s">
        <v>360</v>
      </c>
      <c r="I774" s="55" t="s">
        <v>360</v>
      </c>
      <c r="J774" s="55" t="s">
        <v>360</v>
      </c>
      <c r="K774" s="55" t="s">
        <v>360</v>
      </c>
      <c r="L774" s="55" t="s">
        <v>360</v>
      </c>
      <c r="M774" s="55" t="s">
        <v>144</v>
      </c>
      <c r="N774" s="55" t="s">
        <v>144</v>
      </c>
      <c r="O774" s="55" t="s">
        <v>290</v>
      </c>
      <c r="P774" s="55" t="s">
        <v>1512</v>
      </c>
      <c r="Q774" s="55" t="s">
        <v>350</v>
      </c>
      <c r="R774" s="55">
        <v>2</v>
      </c>
      <c r="S774" s="55"/>
      <c r="T774" s="55" t="s">
        <v>1513</v>
      </c>
    </row>
    <row r="775" spans="1:20" ht="13" x14ac:dyDescent="0.15">
      <c r="A775" s="72" t="str">
        <f t="shared" si="12"/>
        <v>Ofsted Social Care Provider Webpage</v>
      </c>
      <c r="B775" s="55">
        <v>2527860</v>
      </c>
      <c r="D775" s="55" t="s">
        <v>373</v>
      </c>
      <c r="E775" s="74">
        <v>43670</v>
      </c>
      <c r="F775" s="55" t="s">
        <v>344</v>
      </c>
      <c r="G775" s="55" t="s">
        <v>360</v>
      </c>
      <c r="H775" s="55" t="s">
        <v>360</v>
      </c>
      <c r="I775" s="55" t="s">
        <v>360</v>
      </c>
      <c r="J775" s="55" t="s">
        <v>360</v>
      </c>
      <c r="K775" s="55" t="s">
        <v>360</v>
      </c>
      <c r="L775" s="55" t="s">
        <v>360</v>
      </c>
      <c r="M775" s="55" t="s">
        <v>144</v>
      </c>
      <c r="N775" s="55" t="s">
        <v>144</v>
      </c>
      <c r="O775" s="55" t="s">
        <v>209</v>
      </c>
      <c r="P775" s="55" t="s">
        <v>544</v>
      </c>
      <c r="Q775" s="55" t="s">
        <v>350</v>
      </c>
      <c r="R775" s="55">
        <v>1</v>
      </c>
      <c r="S775" s="55"/>
      <c r="T775" s="55" t="s">
        <v>485</v>
      </c>
    </row>
    <row r="776" spans="1:20" ht="13" x14ac:dyDescent="0.15">
      <c r="A776" s="72" t="str">
        <f t="shared" si="12"/>
        <v>Ofsted Social Care Provider Webpage</v>
      </c>
      <c r="B776" s="55">
        <v>2528080</v>
      </c>
      <c r="D776" s="55" t="s">
        <v>443</v>
      </c>
      <c r="E776" s="74">
        <v>43748</v>
      </c>
      <c r="F776" s="55" t="s">
        <v>344</v>
      </c>
      <c r="G776" s="55" t="s">
        <v>1514</v>
      </c>
      <c r="H776" s="55" t="s">
        <v>621</v>
      </c>
      <c r="I776" s="55" t="s">
        <v>1515</v>
      </c>
      <c r="J776" s="55" t="s">
        <v>1516</v>
      </c>
      <c r="K776" s="55" t="s">
        <v>268</v>
      </c>
      <c r="L776" s="55" t="s">
        <v>1517</v>
      </c>
      <c r="M776" s="55" t="s">
        <v>150</v>
      </c>
      <c r="N776" s="55" t="s">
        <v>150</v>
      </c>
      <c r="O776" s="55" t="s">
        <v>268</v>
      </c>
      <c r="P776" s="55" t="s">
        <v>1518</v>
      </c>
      <c r="Q776" s="55" t="s">
        <v>350</v>
      </c>
      <c r="R776" s="55"/>
      <c r="S776" s="55"/>
      <c r="T776" s="55" t="s">
        <v>1514</v>
      </c>
    </row>
    <row r="777" spans="1:20" ht="13" x14ac:dyDescent="0.15">
      <c r="A777" s="72" t="str">
        <f t="shared" si="12"/>
        <v>Ofsted Social Care Provider Webpage</v>
      </c>
      <c r="B777" s="55">
        <v>2528141</v>
      </c>
      <c r="D777" s="55" t="s">
        <v>373</v>
      </c>
      <c r="E777" s="74">
        <v>43619</v>
      </c>
      <c r="F777" s="55" t="s">
        <v>344</v>
      </c>
      <c r="G777" s="55" t="s">
        <v>360</v>
      </c>
      <c r="H777" s="55" t="s">
        <v>360</v>
      </c>
      <c r="I777" s="55" t="s">
        <v>360</v>
      </c>
      <c r="J777" s="55" t="s">
        <v>360</v>
      </c>
      <c r="K777" s="55" t="s">
        <v>360</v>
      </c>
      <c r="L777" s="55" t="s">
        <v>360</v>
      </c>
      <c r="M777" s="55" t="s">
        <v>144</v>
      </c>
      <c r="N777" s="55" t="s">
        <v>144</v>
      </c>
      <c r="O777" s="55" t="s">
        <v>209</v>
      </c>
      <c r="P777" s="55" t="s">
        <v>364</v>
      </c>
      <c r="Q777" s="55" t="s">
        <v>350</v>
      </c>
      <c r="R777" s="55">
        <v>1</v>
      </c>
      <c r="S777" s="55"/>
      <c r="T777" s="55" t="s">
        <v>1279</v>
      </c>
    </row>
    <row r="778" spans="1:20" ht="13" x14ac:dyDescent="0.15">
      <c r="A778" s="72" t="str">
        <f t="shared" si="12"/>
        <v>Ofsted Social Care Provider Webpage</v>
      </c>
      <c r="B778" s="55">
        <v>2528264</v>
      </c>
      <c r="D778" s="55" t="s">
        <v>373</v>
      </c>
      <c r="E778" s="74">
        <v>43686</v>
      </c>
      <c r="F778" s="55" t="s">
        <v>344</v>
      </c>
      <c r="G778" s="55" t="s">
        <v>360</v>
      </c>
      <c r="H778" s="55" t="s">
        <v>360</v>
      </c>
      <c r="I778" s="55" t="s">
        <v>360</v>
      </c>
      <c r="J778" s="55" t="s">
        <v>360</v>
      </c>
      <c r="K778" s="55" t="s">
        <v>360</v>
      </c>
      <c r="L778" s="55" t="s">
        <v>360</v>
      </c>
      <c r="M778" s="55" t="s">
        <v>129</v>
      </c>
      <c r="N778" s="55" t="s">
        <v>129</v>
      </c>
      <c r="O778" s="55" t="s">
        <v>242</v>
      </c>
      <c r="P778" s="55" t="s">
        <v>1519</v>
      </c>
      <c r="Q778" s="55" t="s">
        <v>350</v>
      </c>
      <c r="R778" s="55">
        <v>5</v>
      </c>
      <c r="S778" s="55"/>
      <c r="T778" s="55" t="s">
        <v>1520</v>
      </c>
    </row>
    <row r="779" spans="1:20" ht="13" x14ac:dyDescent="0.15">
      <c r="A779" s="72" t="str">
        <f t="shared" si="12"/>
        <v>Ofsted Social Care Provider Webpage</v>
      </c>
      <c r="B779" s="55">
        <v>2528486</v>
      </c>
      <c r="D779" s="55" t="s">
        <v>373</v>
      </c>
      <c r="E779" s="74">
        <v>43587</v>
      </c>
      <c r="F779" s="55" t="s">
        <v>344</v>
      </c>
      <c r="G779" s="55" t="s">
        <v>360</v>
      </c>
      <c r="H779" s="55" t="s">
        <v>360</v>
      </c>
      <c r="I779" s="55" t="s">
        <v>360</v>
      </c>
      <c r="J779" s="55" t="s">
        <v>360</v>
      </c>
      <c r="K779" s="55" t="s">
        <v>360</v>
      </c>
      <c r="L779" s="55" t="s">
        <v>360</v>
      </c>
      <c r="M779" s="55" t="s">
        <v>136</v>
      </c>
      <c r="N779" s="55" t="s">
        <v>136</v>
      </c>
      <c r="O779" s="55" t="s">
        <v>174</v>
      </c>
      <c r="P779" s="55" t="s">
        <v>651</v>
      </c>
      <c r="Q779" s="55" t="s">
        <v>350</v>
      </c>
      <c r="R779" s="55">
        <v>3</v>
      </c>
      <c r="S779" s="55"/>
      <c r="T779" s="55" t="s">
        <v>1521</v>
      </c>
    </row>
    <row r="780" spans="1:20" ht="13" x14ac:dyDescent="0.15">
      <c r="A780" s="72" t="str">
        <f t="shared" si="12"/>
        <v>Ofsted Social Care Provider Webpage</v>
      </c>
      <c r="B780" s="55">
        <v>2528516</v>
      </c>
      <c r="D780" s="55" t="s">
        <v>373</v>
      </c>
      <c r="E780" s="74">
        <v>43615</v>
      </c>
      <c r="F780" s="55" t="s">
        <v>344</v>
      </c>
      <c r="G780" s="55" t="s">
        <v>360</v>
      </c>
      <c r="H780" s="55" t="s">
        <v>360</v>
      </c>
      <c r="I780" s="55" t="s">
        <v>360</v>
      </c>
      <c r="J780" s="55" t="s">
        <v>360</v>
      </c>
      <c r="K780" s="55" t="s">
        <v>360</v>
      </c>
      <c r="L780" s="55" t="s">
        <v>360</v>
      </c>
      <c r="M780" s="55" t="s">
        <v>138</v>
      </c>
      <c r="N780" s="55" t="s">
        <v>138</v>
      </c>
      <c r="O780" s="55" t="s">
        <v>266</v>
      </c>
      <c r="P780" s="55" t="s">
        <v>1522</v>
      </c>
      <c r="Q780" s="55" t="s">
        <v>350</v>
      </c>
      <c r="R780" s="55">
        <v>6</v>
      </c>
      <c r="S780" s="55"/>
      <c r="T780" s="55" t="s">
        <v>574</v>
      </c>
    </row>
    <row r="781" spans="1:20" ht="13" x14ac:dyDescent="0.15">
      <c r="A781" s="72" t="str">
        <f t="shared" si="12"/>
        <v>Ofsted Social Care Provider Webpage</v>
      </c>
      <c r="B781" s="55">
        <v>2528634</v>
      </c>
      <c r="D781" s="55" t="s">
        <v>373</v>
      </c>
      <c r="E781" s="74">
        <v>43605</v>
      </c>
      <c r="F781" s="55" t="s">
        <v>344</v>
      </c>
      <c r="G781" s="55" t="s">
        <v>360</v>
      </c>
      <c r="H781" s="55" t="s">
        <v>360</v>
      </c>
      <c r="I781" s="55" t="s">
        <v>360</v>
      </c>
      <c r="J781" s="55" t="s">
        <v>360</v>
      </c>
      <c r="K781" s="55" t="s">
        <v>360</v>
      </c>
      <c r="L781" s="55" t="s">
        <v>360</v>
      </c>
      <c r="M781" s="55" t="s">
        <v>378</v>
      </c>
      <c r="N781" s="55" t="s">
        <v>134</v>
      </c>
      <c r="O781" s="55" t="s">
        <v>158</v>
      </c>
      <c r="P781" s="55" t="s">
        <v>912</v>
      </c>
      <c r="Q781" s="55" t="s">
        <v>350</v>
      </c>
      <c r="R781" s="55">
        <v>3</v>
      </c>
      <c r="S781" s="55"/>
      <c r="T781" s="55" t="s">
        <v>951</v>
      </c>
    </row>
    <row r="782" spans="1:20" ht="13" x14ac:dyDescent="0.15">
      <c r="A782" s="72" t="str">
        <f t="shared" si="12"/>
        <v>Ofsted Social Care Provider Webpage</v>
      </c>
      <c r="B782" s="55">
        <v>2529331</v>
      </c>
      <c r="D782" s="55" t="s">
        <v>373</v>
      </c>
      <c r="E782" s="74">
        <v>43952</v>
      </c>
      <c r="F782" s="55" t="s">
        <v>344</v>
      </c>
      <c r="G782" s="55" t="s">
        <v>360</v>
      </c>
      <c r="H782" s="55" t="s">
        <v>360</v>
      </c>
      <c r="I782" s="55" t="s">
        <v>360</v>
      </c>
      <c r="J782" s="55" t="s">
        <v>360</v>
      </c>
      <c r="K782" s="55" t="s">
        <v>360</v>
      </c>
      <c r="L782" s="55" t="s">
        <v>360</v>
      </c>
      <c r="M782" s="55" t="s">
        <v>150</v>
      </c>
      <c r="N782" s="55" t="s">
        <v>150</v>
      </c>
      <c r="O782" s="55" t="s">
        <v>190</v>
      </c>
      <c r="P782" s="55" t="s">
        <v>1523</v>
      </c>
      <c r="Q782" s="55" t="s">
        <v>350</v>
      </c>
      <c r="R782" s="55">
        <v>5</v>
      </c>
      <c r="S782" s="55"/>
      <c r="T782" s="55" t="s">
        <v>1524</v>
      </c>
    </row>
    <row r="783" spans="1:20" ht="13" x14ac:dyDescent="0.15">
      <c r="A783" s="72" t="str">
        <f t="shared" si="12"/>
        <v>Ofsted Social Care Provider Webpage</v>
      </c>
      <c r="B783" s="55">
        <v>2529355</v>
      </c>
      <c r="D783" s="55" t="s">
        <v>373</v>
      </c>
      <c r="E783" s="74">
        <v>43690</v>
      </c>
      <c r="F783" s="55" t="s">
        <v>344</v>
      </c>
      <c r="G783" s="55" t="s">
        <v>360</v>
      </c>
      <c r="H783" s="55" t="s">
        <v>360</v>
      </c>
      <c r="I783" s="55" t="s">
        <v>360</v>
      </c>
      <c r="J783" s="55" t="s">
        <v>360</v>
      </c>
      <c r="K783" s="55" t="s">
        <v>360</v>
      </c>
      <c r="L783" s="55" t="s">
        <v>360</v>
      </c>
      <c r="M783" s="55" t="s">
        <v>144</v>
      </c>
      <c r="N783" s="55" t="s">
        <v>144</v>
      </c>
      <c r="O783" s="55" t="s">
        <v>145</v>
      </c>
      <c r="P783" s="55" t="s">
        <v>525</v>
      </c>
      <c r="Q783" s="55" t="s">
        <v>350</v>
      </c>
      <c r="R783" s="55">
        <v>1</v>
      </c>
      <c r="S783" s="55"/>
      <c r="T783" s="55" t="s">
        <v>485</v>
      </c>
    </row>
    <row r="784" spans="1:20" ht="13" x14ac:dyDescent="0.15">
      <c r="A784" s="72" t="str">
        <f t="shared" si="12"/>
        <v>Ofsted Social Care Provider Webpage</v>
      </c>
      <c r="B784" s="55">
        <v>2529639</v>
      </c>
      <c r="D784" s="55" t="s">
        <v>373</v>
      </c>
      <c r="E784" s="74">
        <v>43683</v>
      </c>
      <c r="F784" s="55" t="s">
        <v>344</v>
      </c>
      <c r="G784" s="55" t="s">
        <v>360</v>
      </c>
      <c r="H784" s="55" t="s">
        <v>360</v>
      </c>
      <c r="I784" s="55" t="s">
        <v>360</v>
      </c>
      <c r="J784" s="55" t="s">
        <v>360</v>
      </c>
      <c r="K784" s="55" t="s">
        <v>360</v>
      </c>
      <c r="L784" s="55" t="s">
        <v>360</v>
      </c>
      <c r="M784" s="55" t="s">
        <v>142</v>
      </c>
      <c r="N784" s="55" t="s">
        <v>142</v>
      </c>
      <c r="O784" s="55" t="s">
        <v>166</v>
      </c>
      <c r="P784" s="55" t="s">
        <v>1152</v>
      </c>
      <c r="Q784" s="55" t="s">
        <v>380</v>
      </c>
      <c r="R784" s="55">
        <v>4</v>
      </c>
      <c r="S784" s="55"/>
      <c r="T784" s="55" t="s">
        <v>1302</v>
      </c>
    </row>
    <row r="785" spans="1:20" ht="13" x14ac:dyDescent="0.15">
      <c r="A785" s="72" t="str">
        <f t="shared" si="12"/>
        <v>Ofsted Social Care Provider Webpage</v>
      </c>
      <c r="B785" s="55">
        <v>2529648</v>
      </c>
      <c r="D785" s="55" t="s">
        <v>373</v>
      </c>
      <c r="E785" s="74">
        <v>43542</v>
      </c>
      <c r="F785" s="55" t="s">
        <v>344</v>
      </c>
      <c r="G785" s="55" t="s">
        <v>360</v>
      </c>
      <c r="H785" s="55" t="s">
        <v>360</v>
      </c>
      <c r="I785" s="55" t="s">
        <v>360</v>
      </c>
      <c r="J785" s="55" t="s">
        <v>360</v>
      </c>
      <c r="K785" s="55" t="s">
        <v>360</v>
      </c>
      <c r="L785" s="55" t="s">
        <v>360</v>
      </c>
      <c r="M785" s="55" t="s">
        <v>136</v>
      </c>
      <c r="N785" s="55" t="s">
        <v>136</v>
      </c>
      <c r="O785" s="55" t="s">
        <v>174</v>
      </c>
      <c r="P785" s="55" t="s">
        <v>982</v>
      </c>
      <c r="Q785" s="55" t="s">
        <v>380</v>
      </c>
      <c r="R785" s="55">
        <v>3</v>
      </c>
      <c r="S785" s="55" t="s">
        <v>332</v>
      </c>
      <c r="T785" s="55" t="s">
        <v>1525</v>
      </c>
    </row>
    <row r="786" spans="1:20" ht="13" x14ac:dyDescent="0.15">
      <c r="A786" s="72" t="str">
        <f t="shared" si="12"/>
        <v>Ofsted Social Care Provider Webpage</v>
      </c>
      <c r="B786" s="55">
        <v>2529667</v>
      </c>
      <c r="D786" s="55" t="s">
        <v>373</v>
      </c>
      <c r="E786" s="74">
        <v>43539</v>
      </c>
      <c r="F786" s="55" t="s">
        <v>344</v>
      </c>
      <c r="G786" s="55" t="s">
        <v>360</v>
      </c>
      <c r="H786" s="55" t="s">
        <v>360</v>
      </c>
      <c r="I786" s="55" t="s">
        <v>360</v>
      </c>
      <c r="J786" s="55" t="s">
        <v>360</v>
      </c>
      <c r="K786" s="55" t="s">
        <v>360</v>
      </c>
      <c r="L786" s="55" t="s">
        <v>360</v>
      </c>
      <c r="M786" s="55" t="s">
        <v>136</v>
      </c>
      <c r="N786" s="55" t="s">
        <v>136</v>
      </c>
      <c r="O786" s="55" t="s">
        <v>174</v>
      </c>
      <c r="P786" s="55" t="s">
        <v>1526</v>
      </c>
      <c r="Q786" s="55" t="s">
        <v>380</v>
      </c>
      <c r="R786" s="55">
        <v>4</v>
      </c>
      <c r="S786" s="55"/>
      <c r="T786" s="55" t="s">
        <v>1525</v>
      </c>
    </row>
    <row r="787" spans="1:20" ht="13" x14ac:dyDescent="0.15">
      <c r="A787" s="72" t="str">
        <f t="shared" si="12"/>
        <v>Ofsted Social Care Provider Webpage</v>
      </c>
      <c r="B787" s="55">
        <v>2529785</v>
      </c>
      <c r="D787" s="55" t="s">
        <v>373</v>
      </c>
      <c r="E787" s="74">
        <v>43539</v>
      </c>
      <c r="F787" s="55" t="s">
        <v>344</v>
      </c>
      <c r="G787" s="55" t="s">
        <v>360</v>
      </c>
      <c r="H787" s="55" t="s">
        <v>360</v>
      </c>
      <c r="I787" s="55" t="s">
        <v>360</v>
      </c>
      <c r="J787" s="55" t="s">
        <v>360</v>
      </c>
      <c r="K787" s="55" t="s">
        <v>360</v>
      </c>
      <c r="L787" s="55" t="s">
        <v>360</v>
      </c>
      <c r="M787" s="55" t="s">
        <v>136</v>
      </c>
      <c r="N787" s="55" t="s">
        <v>136</v>
      </c>
      <c r="O787" s="55" t="s">
        <v>174</v>
      </c>
      <c r="P787" s="55" t="s">
        <v>1010</v>
      </c>
      <c r="Q787" s="55" t="s">
        <v>380</v>
      </c>
      <c r="R787" s="55">
        <v>5</v>
      </c>
      <c r="S787" s="55" t="s">
        <v>332</v>
      </c>
      <c r="T787" s="55" t="s">
        <v>1525</v>
      </c>
    </row>
    <row r="788" spans="1:20" ht="13" x14ac:dyDescent="0.15">
      <c r="A788" s="72" t="str">
        <f t="shared" si="12"/>
        <v>Ofsted Social Care Provider Webpage</v>
      </c>
      <c r="B788" s="55">
        <v>2529815</v>
      </c>
      <c r="D788" s="55" t="s">
        <v>373</v>
      </c>
      <c r="E788" s="74">
        <v>43683</v>
      </c>
      <c r="F788" s="55" t="s">
        <v>344</v>
      </c>
      <c r="G788" s="55" t="s">
        <v>360</v>
      </c>
      <c r="H788" s="55" t="s">
        <v>360</v>
      </c>
      <c r="I788" s="55" t="s">
        <v>360</v>
      </c>
      <c r="J788" s="55" t="s">
        <v>360</v>
      </c>
      <c r="K788" s="55" t="s">
        <v>360</v>
      </c>
      <c r="L788" s="55" t="s">
        <v>360</v>
      </c>
      <c r="M788" s="55" t="s">
        <v>138</v>
      </c>
      <c r="N788" s="55" t="s">
        <v>138</v>
      </c>
      <c r="O788" s="55" t="s">
        <v>266</v>
      </c>
      <c r="P788" s="55" t="s">
        <v>1522</v>
      </c>
      <c r="Q788" s="55" t="s">
        <v>350</v>
      </c>
      <c r="R788" s="55">
        <v>4</v>
      </c>
      <c r="S788" s="55"/>
      <c r="T788" s="55" t="s">
        <v>1527</v>
      </c>
    </row>
    <row r="789" spans="1:20" ht="13" x14ac:dyDescent="0.15">
      <c r="A789" s="72" t="str">
        <f t="shared" si="12"/>
        <v>Ofsted Social Care Provider Webpage</v>
      </c>
      <c r="B789" s="55">
        <v>2530021</v>
      </c>
      <c r="D789" s="55" t="s">
        <v>479</v>
      </c>
      <c r="E789" s="74">
        <v>43539</v>
      </c>
      <c r="F789" s="55" t="s">
        <v>344</v>
      </c>
      <c r="G789" s="55" t="s">
        <v>360</v>
      </c>
      <c r="H789" s="55" t="s">
        <v>360</v>
      </c>
      <c r="I789" s="55" t="s">
        <v>360</v>
      </c>
      <c r="J789" s="55" t="s">
        <v>360</v>
      </c>
      <c r="K789" s="55" t="s">
        <v>360</v>
      </c>
      <c r="L789" s="55" t="s">
        <v>360</v>
      </c>
      <c r="M789" s="55" t="s">
        <v>136</v>
      </c>
      <c r="N789" s="55" t="s">
        <v>136</v>
      </c>
      <c r="O789" s="55" t="s">
        <v>174</v>
      </c>
      <c r="P789" s="55" t="s">
        <v>982</v>
      </c>
      <c r="Q789" s="55" t="s">
        <v>380</v>
      </c>
      <c r="R789" s="55">
        <v>3</v>
      </c>
      <c r="S789" s="55"/>
      <c r="T789" s="55" t="s">
        <v>1525</v>
      </c>
    </row>
    <row r="790" spans="1:20" ht="13" x14ac:dyDescent="0.15">
      <c r="A790" s="72" t="str">
        <f t="shared" si="12"/>
        <v>Ofsted Social Care Provider Webpage</v>
      </c>
      <c r="B790" s="55">
        <v>2530059</v>
      </c>
      <c r="D790" s="55" t="s">
        <v>373</v>
      </c>
      <c r="E790" s="74">
        <v>43676</v>
      </c>
      <c r="F790" s="55" t="s">
        <v>344</v>
      </c>
      <c r="G790" s="55" t="s">
        <v>360</v>
      </c>
      <c r="H790" s="55" t="s">
        <v>360</v>
      </c>
      <c r="I790" s="55" t="s">
        <v>360</v>
      </c>
      <c r="J790" s="55" t="s">
        <v>360</v>
      </c>
      <c r="K790" s="55" t="s">
        <v>360</v>
      </c>
      <c r="L790" s="55" t="s">
        <v>360</v>
      </c>
      <c r="M790" s="55" t="s">
        <v>378</v>
      </c>
      <c r="N790" s="55" t="s">
        <v>134</v>
      </c>
      <c r="O790" s="55" t="s">
        <v>210</v>
      </c>
      <c r="P790" s="55" t="s">
        <v>542</v>
      </c>
      <c r="Q790" s="55" t="s">
        <v>350</v>
      </c>
      <c r="R790" s="55">
        <v>2</v>
      </c>
      <c r="S790" s="55"/>
      <c r="T790" s="55" t="s">
        <v>493</v>
      </c>
    </row>
    <row r="791" spans="1:20" ht="13" x14ac:dyDescent="0.15">
      <c r="A791" s="72" t="str">
        <f t="shared" si="12"/>
        <v>Ofsted Social Care Provider Webpage</v>
      </c>
      <c r="B791" s="55">
        <v>2530086</v>
      </c>
      <c r="D791" s="55" t="s">
        <v>373</v>
      </c>
      <c r="E791" s="74">
        <v>43641</v>
      </c>
      <c r="F791" s="55" t="s">
        <v>344</v>
      </c>
      <c r="G791" s="55" t="s">
        <v>360</v>
      </c>
      <c r="H791" s="55" t="s">
        <v>360</v>
      </c>
      <c r="I791" s="55" t="s">
        <v>360</v>
      </c>
      <c r="J791" s="55" t="s">
        <v>360</v>
      </c>
      <c r="K791" s="55" t="s">
        <v>360</v>
      </c>
      <c r="L791" s="55" t="s">
        <v>360</v>
      </c>
      <c r="M791" s="55" t="s">
        <v>378</v>
      </c>
      <c r="N791" s="55" t="s">
        <v>170</v>
      </c>
      <c r="O791" s="55" t="s">
        <v>222</v>
      </c>
      <c r="P791" s="55" t="s">
        <v>521</v>
      </c>
      <c r="Q791" s="55" t="s">
        <v>380</v>
      </c>
      <c r="R791" s="55">
        <v>3</v>
      </c>
      <c r="S791" s="55"/>
      <c r="T791" s="55" t="s">
        <v>687</v>
      </c>
    </row>
    <row r="792" spans="1:20" ht="13" x14ac:dyDescent="0.15">
      <c r="A792" s="72" t="str">
        <f t="shared" si="12"/>
        <v>Ofsted Social Care Provider Webpage</v>
      </c>
      <c r="B792" s="55">
        <v>2530253</v>
      </c>
      <c r="D792" s="55" t="s">
        <v>373</v>
      </c>
      <c r="E792" s="74">
        <v>43689</v>
      </c>
      <c r="F792" s="55" t="s">
        <v>344</v>
      </c>
      <c r="G792" s="55" t="s">
        <v>360</v>
      </c>
      <c r="H792" s="55" t="s">
        <v>360</v>
      </c>
      <c r="I792" s="55" t="s">
        <v>360</v>
      </c>
      <c r="J792" s="55" t="s">
        <v>360</v>
      </c>
      <c r="K792" s="55" t="s">
        <v>360</v>
      </c>
      <c r="L792" s="55" t="s">
        <v>360</v>
      </c>
      <c r="M792" s="55" t="s">
        <v>378</v>
      </c>
      <c r="N792" s="55" t="s">
        <v>170</v>
      </c>
      <c r="O792" s="55" t="s">
        <v>233</v>
      </c>
      <c r="P792" s="55" t="s">
        <v>379</v>
      </c>
      <c r="Q792" s="55" t="s">
        <v>350</v>
      </c>
      <c r="R792" s="55">
        <v>5</v>
      </c>
      <c r="S792" s="55"/>
      <c r="T792" s="55" t="s">
        <v>1528</v>
      </c>
    </row>
    <row r="793" spans="1:20" ht="13" x14ac:dyDescent="0.15">
      <c r="A793" s="72" t="str">
        <f t="shared" si="12"/>
        <v>Ofsted Social Care Provider Webpage</v>
      </c>
      <c r="B793" s="55">
        <v>2530832</v>
      </c>
      <c r="D793" s="55" t="s">
        <v>373</v>
      </c>
      <c r="E793" s="74">
        <v>43657</v>
      </c>
      <c r="F793" s="55" t="s">
        <v>344</v>
      </c>
      <c r="G793" s="55" t="s">
        <v>360</v>
      </c>
      <c r="H793" s="55" t="s">
        <v>360</v>
      </c>
      <c r="I793" s="55" t="s">
        <v>360</v>
      </c>
      <c r="J793" s="55" t="s">
        <v>360</v>
      </c>
      <c r="K793" s="55" t="s">
        <v>360</v>
      </c>
      <c r="L793" s="55" t="s">
        <v>360</v>
      </c>
      <c r="M793" s="55" t="s">
        <v>142</v>
      </c>
      <c r="N793" s="55" t="s">
        <v>142</v>
      </c>
      <c r="O793" s="55" t="s">
        <v>166</v>
      </c>
      <c r="P793" s="55" t="s">
        <v>1476</v>
      </c>
      <c r="Q793" s="55" t="s">
        <v>350</v>
      </c>
      <c r="R793" s="55">
        <v>4</v>
      </c>
      <c r="S793" s="55"/>
      <c r="T793" s="55" t="s">
        <v>493</v>
      </c>
    </row>
    <row r="794" spans="1:20" ht="13" x14ac:dyDescent="0.15">
      <c r="A794" s="72" t="str">
        <f t="shared" si="12"/>
        <v>Ofsted Social Care Provider Webpage</v>
      </c>
      <c r="B794" s="55">
        <v>2531620</v>
      </c>
      <c r="D794" s="55" t="s">
        <v>373</v>
      </c>
      <c r="E794" s="74">
        <v>43627</v>
      </c>
      <c r="F794" s="55" t="s">
        <v>344</v>
      </c>
      <c r="G794" s="55" t="s">
        <v>360</v>
      </c>
      <c r="H794" s="55" t="s">
        <v>360</v>
      </c>
      <c r="I794" s="55" t="s">
        <v>360</v>
      </c>
      <c r="J794" s="55" t="s">
        <v>360</v>
      </c>
      <c r="K794" s="55" t="s">
        <v>360</v>
      </c>
      <c r="L794" s="55" t="s">
        <v>360</v>
      </c>
      <c r="M794" s="55" t="s">
        <v>138</v>
      </c>
      <c r="N794" s="55" t="s">
        <v>138</v>
      </c>
      <c r="O794" s="55" t="s">
        <v>159</v>
      </c>
      <c r="P794" s="55" t="s">
        <v>1080</v>
      </c>
      <c r="Q794" s="55" t="s">
        <v>350</v>
      </c>
      <c r="R794" s="55">
        <v>5</v>
      </c>
      <c r="S794" s="55"/>
      <c r="T794" s="55" t="s">
        <v>1529</v>
      </c>
    </row>
    <row r="795" spans="1:20" ht="13" x14ac:dyDescent="0.15">
      <c r="A795" s="72" t="str">
        <f t="shared" si="12"/>
        <v>Ofsted Social Care Provider Webpage</v>
      </c>
      <c r="B795" s="55">
        <v>2531755</v>
      </c>
      <c r="D795" s="55" t="s">
        <v>373</v>
      </c>
      <c r="E795" s="74">
        <v>43697</v>
      </c>
      <c r="F795" s="55" t="s">
        <v>344</v>
      </c>
      <c r="G795" s="55" t="s">
        <v>360</v>
      </c>
      <c r="H795" s="55" t="s">
        <v>360</v>
      </c>
      <c r="I795" s="55" t="s">
        <v>360</v>
      </c>
      <c r="J795" s="55" t="s">
        <v>360</v>
      </c>
      <c r="K795" s="55" t="s">
        <v>360</v>
      </c>
      <c r="L795" s="55" t="s">
        <v>360</v>
      </c>
      <c r="M795" s="55" t="s">
        <v>378</v>
      </c>
      <c r="N795" s="55" t="s">
        <v>134</v>
      </c>
      <c r="O795" s="55" t="s">
        <v>206</v>
      </c>
      <c r="P795" s="55" t="s">
        <v>760</v>
      </c>
      <c r="Q795" s="55" t="s">
        <v>350</v>
      </c>
      <c r="R795" s="55">
        <v>3</v>
      </c>
      <c r="S795" s="55"/>
      <c r="T795" s="55" t="s">
        <v>485</v>
      </c>
    </row>
    <row r="796" spans="1:20" ht="13" x14ac:dyDescent="0.15">
      <c r="A796" s="72" t="str">
        <f t="shared" si="12"/>
        <v>Ofsted Social Care Provider Webpage</v>
      </c>
      <c r="B796" s="55">
        <v>2531921</v>
      </c>
      <c r="D796" s="55" t="s">
        <v>373</v>
      </c>
      <c r="E796" s="74">
        <v>43586</v>
      </c>
      <c r="F796" s="55" t="s">
        <v>344</v>
      </c>
      <c r="G796" s="55" t="s">
        <v>360</v>
      </c>
      <c r="H796" s="55" t="s">
        <v>360</v>
      </c>
      <c r="I796" s="55" t="s">
        <v>360</v>
      </c>
      <c r="J796" s="55" t="s">
        <v>360</v>
      </c>
      <c r="K796" s="55" t="s">
        <v>360</v>
      </c>
      <c r="L796" s="55" t="s">
        <v>360</v>
      </c>
      <c r="M796" s="55" t="s">
        <v>144</v>
      </c>
      <c r="N796" s="55" t="s">
        <v>144</v>
      </c>
      <c r="O796" s="55" t="s">
        <v>209</v>
      </c>
      <c r="P796" s="55" t="s">
        <v>534</v>
      </c>
      <c r="Q796" s="55" t="s">
        <v>350</v>
      </c>
      <c r="R796" s="55">
        <v>4</v>
      </c>
      <c r="S796" s="55"/>
      <c r="T796" s="55" t="s">
        <v>489</v>
      </c>
    </row>
    <row r="797" spans="1:20" ht="13" x14ac:dyDescent="0.15">
      <c r="A797" s="72" t="str">
        <f t="shared" si="12"/>
        <v>Ofsted Social Care Provider Webpage</v>
      </c>
      <c r="B797" s="55">
        <v>2532036</v>
      </c>
      <c r="D797" s="55" t="s">
        <v>373</v>
      </c>
      <c r="E797" s="74">
        <v>43586</v>
      </c>
      <c r="F797" s="55" t="s">
        <v>344</v>
      </c>
      <c r="G797" s="55" t="s">
        <v>360</v>
      </c>
      <c r="H797" s="55" t="s">
        <v>360</v>
      </c>
      <c r="I797" s="55" t="s">
        <v>360</v>
      </c>
      <c r="J797" s="55" t="s">
        <v>360</v>
      </c>
      <c r="K797" s="55" t="s">
        <v>360</v>
      </c>
      <c r="L797" s="55" t="s">
        <v>360</v>
      </c>
      <c r="M797" s="55" t="s">
        <v>144</v>
      </c>
      <c r="N797" s="55" t="s">
        <v>144</v>
      </c>
      <c r="O797" s="55" t="s">
        <v>209</v>
      </c>
      <c r="P797" s="55" t="s">
        <v>544</v>
      </c>
      <c r="Q797" s="55" t="s">
        <v>350</v>
      </c>
      <c r="R797" s="55">
        <v>3</v>
      </c>
      <c r="S797" s="55"/>
      <c r="T797" s="55" t="s">
        <v>489</v>
      </c>
    </row>
    <row r="798" spans="1:20" ht="13" x14ac:dyDescent="0.15">
      <c r="A798" s="72" t="str">
        <f t="shared" si="12"/>
        <v>Ofsted Social Care Provider Webpage</v>
      </c>
      <c r="B798" s="55">
        <v>2532131</v>
      </c>
      <c r="D798" s="55" t="s">
        <v>373</v>
      </c>
      <c r="E798" s="74">
        <v>43658</v>
      </c>
      <c r="F798" s="55" t="s">
        <v>344</v>
      </c>
      <c r="G798" s="55" t="s">
        <v>360</v>
      </c>
      <c r="H798" s="55" t="s">
        <v>360</v>
      </c>
      <c r="I798" s="55" t="s">
        <v>360</v>
      </c>
      <c r="J798" s="55" t="s">
        <v>360</v>
      </c>
      <c r="K798" s="55" t="s">
        <v>360</v>
      </c>
      <c r="L798" s="55" t="s">
        <v>360</v>
      </c>
      <c r="M798" s="55" t="s">
        <v>138</v>
      </c>
      <c r="N798" s="55" t="s">
        <v>138</v>
      </c>
      <c r="O798" s="55" t="s">
        <v>224</v>
      </c>
      <c r="P798" s="55" t="s">
        <v>1530</v>
      </c>
      <c r="Q798" s="55" t="s">
        <v>350</v>
      </c>
      <c r="R798" s="55">
        <v>6</v>
      </c>
      <c r="S798" s="55"/>
      <c r="T798" s="55" t="s">
        <v>1531</v>
      </c>
    </row>
    <row r="799" spans="1:20" ht="13" x14ac:dyDescent="0.15">
      <c r="A799" s="72" t="str">
        <f t="shared" si="12"/>
        <v>Ofsted Social Care Provider Webpage</v>
      </c>
      <c r="B799" s="55">
        <v>2532139</v>
      </c>
      <c r="D799" s="55" t="s">
        <v>373</v>
      </c>
      <c r="E799" s="74">
        <v>43613</v>
      </c>
      <c r="F799" s="55" t="s">
        <v>344</v>
      </c>
      <c r="G799" s="55" t="s">
        <v>360</v>
      </c>
      <c r="H799" s="55" t="s">
        <v>360</v>
      </c>
      <c r="I799" s="55" t="s">
        <v>360</v>
      </c>
      <c r="J799" s="55" t="s">
        <v>360</v>
      </c>
      <c r="K799" s="55" t="s">
        <v>360</v>
      </c>
      <c r="L799" s="55" t="s">
        <v>360</v>
      </c>
      <c r="M799" s="55" t="s">
        <v>172</v>
      </c>
      <c r="N799" s="55" t="s">
        <v>172</v>
      </c>
      <c r="O799" s="55" t="s">
        <v>284</v>
      </c>
      <c r="P799" s="55" t="s">
        <v>357</v>
      </c>
      <c r="Q799" s="55" t="s">
        <v>350</v>
      </c>
      <c r="R799" s="55">
        <v>3</v>
      </c>
      <c r="S799" s="55"/>
      <c r="T799" s="55" t="s">
        <v>460</v>
      </c>
    </row>
    <row r="800" spans="1:20" ht="13" x14ac:dyDescent="0.15">
      <c r="A800" s="72" t="str">
        <f t="shared" si="12"/>
        <v>Ofsted Social Care Provider Webpage</v>
      </c>
      <c r="B800" s="55">
        <v>2532471</v>
      </c>
      <c r="D800" s="55" t="s">
        <v>373</v>
      </c>
      <c r="E800" s="74">
        <v>43745</v>
      </c>
      <c r="F800" s="55" t="s">
        <v>344</v>
      </c>
      <c r="G800" s="55" t="s">
        <v>360</v>
      </c>
      <c r="H800" s="55" t="s">
        <v>360</v>
      </c>
      <c r="I800" s="55" t="s">
        <v>360</v>
      </c>
      <c r="J800" s="55" t="s">
        <v>360</v>
      </c>
      <c r="K800" s="55" t="s">
        <v>360</v>
      </c>
      <c r="L800" s="55" t="s">
        <v>360</v>
      </c>
      <c r="M800" s="55" t="s">
        <v>129</v>
      </c>
      <c r="N800" s="55" t="s">
        <v>129</v>
      </c>
      <c r="O800" s="55" t="s">
        <v>128</v>
      </c>
      <c r="P800" s="55" t="s">
        <v>1467</v>
      </c>
      <c r="Q800" s="55" t="s">
        <v>350</v>
      </c>
      <c r="R800" s="55">
        <v>4</v>
      </c>
      <c r="S800" s="55"/>
      <c r="T800" s="55" t="s">
        <v>1532</v>
      </c>
    </row>
    <row r="801" spans="1:20" ht="13" x14ac:dyDescent="0.15">
      <c r="A801" s="72" t="str">
        <f t="shared" si="12"/>
        <v>Ofsted Social Care Provider Webpage</v>
      </c>
      <c r="B801" s="55">
        <v>2532532</v>
      </c>
      <c r="D801" s="55" t="s">
        <v>373</v>
      </c>
      <c r="E801" s="74">
        <v>43664</v>
      </c>
      <c r="F801" s="55" t="s">
        <v>344</v>
      </c>
      <c r="G801" s="55" t="s">
        <v>360</v>
      </c>
      <c r="H801" s="55" t="s">
        <v>360</v>
      </c>
      <c r="I801" s="55" t="s">
        <v>360</v>
      </c>
      <c r="J801" s="55" t="s">
        <v>360</v>
      </c>
      <c r="K801" s="55" t="s">
        <v>360</v>
      </c>
      <c r="L801" s="55" t="s">
        <v>360</v>
      </c>
      <c r="M801" s="55" t="s">
        <v>138</v>
      </c>
      <c r="N801" s="55" t="s">
        <v>138</v>
      </c>
      <c r="O801" s="55" t="s">
        <v>266</v>
      </c>
      <c r="P801" s="55" t="s">
        <v>1522</v>
      </c>
      <c r="Q801" s="55" t="s">
        <v>350</v>
      </c>
      <c r="R801" s="55">
        <v>2</v>
      </c>
      <c r="S801" s="55"/>
      <c r="T801" s="55" t="s">
        <v>1533</v>
      </c>
    </row>
    <row r="802" spans="1:20" ht="13" x14ac:dyDescent="0.15">
      <c r="A802" s="72" t="str">
        <f t="shared" si="12"/>
        <v>Ofsted Social Care Provider Webpage</v>
      </c>
      <c r="B802" s="55">
        <v>2532661</v>
      </c>
      <c r="D802" s="55" t="s">
        <v>373</v>
      </c>
      <c r="E802" s="74">
        <v>43690</v>
      </c>
      <c r="F802" s="55" t="s">
        <v>344</v>
      </c>
      <c r="G802" s="55" t="s">
        <v>360</v>
      </c>
      <c r="H802" s="55" t="s">
        <v>360</v>
      </c>
      <c r="I802" s="55" t="s">
        <v>360</v>
      </c>
      <c r="J802" s="55" t="s">
        <v>360</v>
      </c>
      <c r="K802" s="55" t="s">
        <v>360</v>
      </c>
      <c r="L802" s="55" t="s">
        <v>360</v>
      </c>
      <c r="M802" s="55" t="s">
        <v>172</v>
      </c>
      <c r="N802" s="55" t="s">
        <v>172</v>
      </c>
      <c r="O802" s="55" t="s">
        <v>234</v>
      </c>
      <c r="P802" s="55" t="s">
        <v>965</v>
      </c>
      <c r="Q802" s="55" t="s">
        <v>350</v>
      </c>
      <c r="R802" s="55">
        <v>3</v>
      </c>
      <c r="S802" s="55"/>
      <c r="T802" s="55" t="s">
        <v>668</v>
      </c>
    </row>
    <row r="803" spans="1:20" ht="13" x14ac:dyDescent="0.15">
      <c r="A803" s="72" t="str">
        <f t="shared" si="12"/>
        <v>Ofsted Social Care Provider Webpage</v>
      </c>
      <c r="B803" s="55">
        <v>2533064</v>
      </c>
      <c r="D803" s="55" t="s">
        <v>373</v>
      </c>
      <c r="E803" s="74">
        <v>43739</v>
      </c>
      <c r="F803" s="55" t="s">
        <v>344</v>
      </c>
      <c r="G803" s="55" t="s">
        <v>360</v>
      </c>
      <c r="H803" s="55" t="s">
        <v>360</v>
      </c>
      <c r="I803" s="55" t="s">
        <v>360</v>
      </c>
      <c r="J803" s="55" t="s">
        <v>360</v>
      </c>
      <c r="K803" s="55" t="s">
        <v>360</v>
      </c>
      <c r="L803" s="55" t="s">
        <v>360</v>
      </c>
      <c r="M803" s="55" t="s">
        <v>142</v>
      </c>
      <c r="N803" s="55" t="s">
        <v>142</v>
      </c>
      <c r="O803" s="55" t="s">
        <v>141</v>
      </c>
      <c r="P803" s="55" t="s">
        <v>612</v>
      </c>
      <c r="Q803" s="55" t="s">
        <v>350</v>
      </c>
      <c r="R803" s="55">
        <v>3</v>
      </c>
      <c r="S803" s="55"/>
      <c r="T803" s="55" t="s">
        <v>642</v>
      </c>
    </row>
    <row r="804" spans="1:20" ht="13" x14ac:dyDescent="0.15">
      <c r="A804" s="72" t="str">
        <f t="shared" si="12"/>
        <v>Ofsted Social Care Provider Webpage</v>
      </c>
      <c r="B804" s="55">
        <v>2533109</v>
      </c>
      <c r="D804" s="55" t="s">
        <v>389</v>
      </c>
      <c r="E804" s="74">
        <v>43709</v>
      </c>
      <c r="F804" s="55" t="s">
        <v>344</v>
      </c>
      <c r="G804" s="55" t="s">
        <v>1534</v>
      </c>
      <c r="H804" s="55" t="s">
        <v>1535</v>
      </c>
      <c r="I804" s="55" t="s">
        <v>1536</v>
      </c>
      <c r="J804" s="55" t="s">
        <v>1537</v>
      </c>
      <c r="K804" s="55" t="s">
        <v>1240</v>
      </c>
      <c r="L804" s="55" t="s">
        <v>1538</v>
      </c>
      <c r="M804" s="55" t="s">
        <v>378</v>
      </c>
      <c r="N804" s="55" t="s">
        <v>134</v>
      </c>
      <c r="O804" s="55" t="s">
        <v>158</v>
      </c>
      <c r="P804" s="55" t="s">
        <v>912</v>
      </c>
      <c r="Q804" s="55" t="s">
        <v>350</v>
      </c>
      <c r="R804" s="55"/>
      <c r="S804" s="55"/>
      <c r="T804" s="55" t="s">
        <v>726</v>
      </c>
    </row>
    <row r="805" spans="1:20" ht="13" x14ac:dyDescent="0.15">
      <c r="A805" s="72" t="str">
        <f t="shared" si="12"/>
        <v>Ofsted Social Care Provider Webpage</v>
      </c>
      <c r="B805" s="55">
        <v>2533483</v>
      </c>
      <c r="D805" s="55" t="s">
        <v>373</v>
      </c>
      <c r="E805" s="74">
        <v>43679</v>
      </c>
      <c r="F805" s="55" t="s">
        <v>344</v>
      </c>
      <c r="G805" s="55" t="s">
        <v>360</v>
      </c>
      <c r="H805" s="55" t="s">
        <v>360</v>
      </c>
      <c r="I805" s="55" t="s">
        <v>360</v>
      </c>
      <c r="J805" s="55" t="s">
        <v>360</v>
      </c>
      <c r="K805" s="55" t="s">
        <v>360</v>
      </c>
      <c r="L805" s="55" t="s">
        <v>360</v>
      </c>
      <c r="M805" s="55" t="s">
        <v>378</v>
      </c>
      <c r="N805" s="55" t="s">
        <v>170</v>
      </c>
      <c r="O805" s="55" t="s">
        <v>264</v>
      </c>
      <c r="P805" s="55" t="s">
        <v>437</v>
      </c>
      <c r="Q805" s="55" t="s">
        <v>350</v>
      </c>
      <c r="R805" s="55">
        <v>5</v>
      </c>
      <c r="S805" s="55"/>
      <c r="T805" s="55" t="s">
        <v>435</v>
      </c>
    </row>
    <row r="806" spans="1:20" ht="13" x14ac:dyDescent="0.15">
      <c r="A806" s="72" t="str">
        <f t="shared" si="12"/>
        <v>Ofsted Social Care Provider Webpage</v>
      </c>
      <c r="B806" s="55">
        <v>2533956</v>
      </c>
      <c r="D806" s="55" t="s">
        <v>373</v>
      </c>
      <c r="E806" s="74">
        <v>43614</v>
      </c>
      <c r="F806" s="55" t="s">
        <v>344</v>
      </c>
      <c r="G806" s="55" t="s">
        <v>360</v>
      </c>
      <c r="H806" s="55" t="s">
        <v>360</v>
      </c>
      <c r="I806" s="55" t="s">
        <v>360</v>
      </c>
      <c r="J806" s="55" t="s">
        <v>360</v>
      </c>
      <c r="K806" s="55" t="s">
        <v>360</v>
      </c>
      <c r="L806" s="55" t="s">
        <v>360</v>
      </c>
      <c r="M806" s="55" t="s">
        <v>144</v>
      </c>
      <c r="N806" s="55" t="s">
        <v>144</v>
      </c>
      <c r="O806" s="55" t="s">
        <v>209</v>
      </c>
      <c r="P806" s="55" t="s">
        <v>364</v>
      </c>
      <c r="Q806" s="55" t="s">
        <v>350</v>
      </c>
      <c r="R806" s="55">
        <v>4</v>
      </c>
      <c r="S806" s="55"/>
      <c r="T806" s="55" t="s">
        <v>1539</v>
      </c>
    </row>
    <row r="807" spans="1:20" ht="13" x14ac:dyDescent="0.15">
      <c r="A807" s="72" t="str">
        <f t="shared" si="12"/>
        <v>Ofsted Social Care Provider Webpage</v>
      </c>
      <c r="B807" s="55">
        <v>2534102</v>
      </c>
      <c r="D807" s="55" t="s">
        <v>373</v>
      </c>
      <c r="E807" s="74">
        <v>43678</v>
      </c>
      <c r="F807" s="55" t="s">
        <v>344</v>
      </c>
      <c r="G807" s="55" t="s">
        <v>360</v>
      </c>
      <c r="H807" s="55" t="s">
        <v>360</v>
      </c>
      <c r="I807" s="55" t="s">
        <v>360</v>
      </c>
      <c r="J807" s="55" t="s">
        <v>360</v>
      </c>
      <c r="K807" s="55" t="s">
        <v>360</v>
      </c>
      <c r="L807" s="55" t="s">
        <v>360</v>
      </c>
      <c r="M807" s="55" t="s">
        <v>378</v>
      </c>
      <c r="N807" s="55" t="s">
        <v>170</v>
      </c>
      <c r="O807" s="55" t="s">
        <v>178</v>
      </c>
      <c r="P807" s="55" t="s">
        <v>905</v>
      </c>
      <c r="Q807" s="55" t="s">
        <v>350</v>
      </c>
      <c r="R807" s="55">
        <v>4</v>
      </c>
      <c r="S807" s="55"/>
      <c r="T807" s="55" t="s">
        <v>1485</v>
      </c>
    </row>
    <row r="808" spans="1:20" ht="13" x14ac:dyDescent="0.15">
      <c r="A808" s="72" t="str">
        <f t="shared" si="12"/>
        <v>Ofsted Social Care Provider Webpage</v>
      </c>
      <c r="B808" s="55">
        <v>2534179</v>
      </c>
      <c r="D808" s="55" t="s">
        <v>373</v>
      </c>
      <c r="E808" s="74">
        <v>43636</v>
      </c>
      <c r="F808" s="55" t="s">
        <v>344</v>
      </c>
      <c r="G808" s="55" t="s">
        <v>360</v>
      </c>
      <c r="H808" s="55" t="s">
        <v>360</v>
      </c>
      <c r="I808" s="55" t="s">
        <v>360</v>
      </c>
      <c r="J808" s="55" t="s">
        <v>360</v>
      </c>
      <c r="K808" s="55" t="s">
        <v>360</v>
      </c>
      <c r="L808" s="55" t="s">
        <v>360</v>
      </c>
      <c r="M808" s="55" t="s">
        <v>144</v>
      </c>
      <c r="N808" s="55" t="s">
        <v>144</v>
      </c>
      <c r="O808" s="55" t="s">
        <v>209</v>
      </c>
      <c r="P808" s="55" t="s">
        <v>561</v>
      </c>
      <c r="Q808" s="55" t="s">
        <v>350</v>
      </c>
      <c r="R808" s="55">
        <v>2</v>
      </c>
      <c r="S808" s="55"/>
      <c r="T808" s="55" t="s">
        <v>490</v>
      </c>
    </row>
    <row r="809" spans="1:20" ht="13" x14ac:dyDescent="0.15">
      <c r="A809" s="72" t="str">
        <f t="shared" si="12"/>
        <v>Ofsted Social Care Provider Webpage</v>
      </c>
      <c r="B809" s="55">
        <v>2534185</v>
      </c>
      <c r="D809" s="55" t="s">
        <v>373</v>
      </c>
      <c r="E809" s="74">
        <v>43764</v>
      </c>
      <c r="F809" s="55" t="s">
        <v>344</v>
      </c>
      <c r="G809" s="55" t="s">
        <v>360</v>
      </c>
      <c r="H809" s="55" t="s">
        <v>360</v>
      </c>
      <c r="I809" s="55" t="s">
        <v>360</v>
      </c>
      <c r="J809" s="55" t="s">
        <v>360</v>
      </c>
      <c r="K809" s="55" t="s">
        <v>360</v>
      </c>
      <c r="L809" s="55" t="s">
        <v>360</v>
      </c>
      <c r="M809" s="55" t="s">
        <v>172</v>
      </c>
      <c r="N809" s="55" t="s">
        <v>172</v>
      </c>
      <c r="O809" s="55" t="s">
        <v>173</v>
      </c>
      <c r="P809" s="55" t="s">
        <v>1540</v>
      </c>
      <c r="Q809" s="55" t="s">
        <v>350</v>
      </c>
      <c r="R809" s="55">
        <v>4</v>
      </c>
      <c r="S809" s="55"/>
      <c r="T809" s="55" t="s">
        <v>1541</v>
      </c>
    </row>
    <row r="810" spans="1:20" ht="13" x14ac:dyDescent="0.15">
      <c r="A810" s="72" t="str">
        <f t="shared" si="12"/>
        <v>Ofsted Social Care Provider Webpage</v>
      </c>
      <c r="B810" s="55">
        <v>2534215</v>
      </c>
      <c r="D810" s="55" t="s">
        <v>373</v>
      </c>
      <c r="E810" s="74">
        <v>43746</v>
      </c>
      <c r="F810" s="55" t="s">
        <v>344</v>
      </c>
      <c r="G810" s="55" t="s">
        <v>360</v>
      </c>
      <c r="H810" s="55" t="s">
        <v>360</v>
      </c>
      <c r="I810" s="55" t="s">
        <v>360</v>
      </c>
      <c r="J810" s="55" t="s">
        <v>360</v>
      </c>
      <c r="K810" s="55" t="s">
        <v>360</v>
      </c>
      <c r="L810" s="55" t="s">
        <v>360</v>
      </c>
      <c r="M810" s="55" t="s">
        <v>142</v>
      </c>
      <c r="N810" s="55" t="s">
        <v>142</v>
      </c>
      <c r="O810" s="55" t="s">
        <v>252</v>
      </c>
      <c r="P810" s="55" t="s">
        <v>386</v>
      </c>
      <c r="Q810" s="55" t="s">
        <v>380</v>
      </c>
      <c r="R810" s="55">
        <v>1</v>
      </c>
      <c r="S810" s="55"/>
      <c r="T810" s="55" t="s">
        <v>1542</v>
      </c>
    </row>
    <row r="811" spans="1:20" ht="13" x14ac:dyDescent="0.15">
      <c r="A811" s="72" t="str">
        <f t="shared" si="12"/>
        <v>Ofsted Social Care Provider Webpage</v>
      </c>
      <c r="B811" s="55">
        <v>2534436</v>
      </c>
      <c r="D811" s="55" t="s">
        <v>373</v>
      </c>
      <c r="E811" s="74">
        <v>43661</v>
      </c>
      <c r="F811" s="55" t="s">
        <v>344</v>
      </c>
      <c r="G811" s="55" t="s">
        <v>360</v>
      </c>
      <c r="H811" s="55" t="s">
        <v>360</v>
      </c>
      <c r="I811" s="55" t="s">
        <v>360</v>
      </c>
      <c r="J811" s="55" t="s">
        <v>360</v>
      </c>
      <c r="K811" s="55" t="s">
        <v>360</v>
      </c>
      <c r="L811" s="55" t="s">
        <v>360</v>
      </c>
      <c r="M811" s="55" t="s">
        <v>144</v>
      </c>
      <c r="N811" s="55" t="s">
        <v>144</v>
      </c>
      <c r="O811" s="55" t="s">
        <v>209</v>
      </c>
      <c r="P811" s="55" t="s">
        <v>561</v>
      </c>
      <c r="Q811" s="55" t="s">
        <v>350</v>
      </c>
      <c r="R811" s="55">
        <v>3</v>
      </c>
      <c r="S811" s="55"/>
      <c r="T811" s="55" t="s">
        <v>1543</v>
      </c>
    </row>
    <row r="812" spans="1:20" ht="13" x14ac:dyDescent="0.15">
      <c r="A812" s="72" t="str">
        <f t="shared" si="12"/>
        <v>Ofsted Social Care Provider Webpage</v>
      </c>
      <c r="B812" s="55">
        <v>2534580</v>
      </c>
      <c r="D812" s="55" t="s">
        <v>373</v>
      </c>
      <c r="E812" s="74">
        <v>43698</v>
      </c>
      <c r="F812" s="55" t="s">
        <v>344</v>
      </c>
      <c r="G812" s="55" t="s">
        <v>360</v>
      </c>
      <c r="H812" s="55" t="s">
        <v>360</v>
      </c>
      <c r="I812" s="55" t="s">
        <v>360</v>
      </c>
      <c r="J812" s="55" t="s">
        <v>360</v>
      </c>
      <c r="K812" s="55" t="s">
        <v>360</v>
      </c>
      <c r="L812" s="55" t="s">
        <v>360</v>
      </c>
      <c r="M812" s="55" t="s">
        <v>144</v>
      </c>
      <c r="N812" s="55" t="s">
        <v>144</v>
      </c>
      <c r="O812" s="55" t="s">
        <v>209</v>
      </c>
      <c r="P812" s="55" t="s">
        <v>650</v>
      </c>
      <c r="Q812" s="55" t="s">
        <v>350</v>
      </c>
      <c r="R812" s="55">
        <v>2</v>
      </c>
      <c r="S812" s="55"/>
      <c r="T812" s="55" t="s">
        <v>485</v>
      </c>
    </row>
    <row r="813" spans="1:20" ht="13" x14ac:dyDescent="0.15">
      <c r="A813" s="72" t="str">
        <f t="shared" si="12"/>
        <v>Ofsted Social Care Provider Webpage</v>
      </c>
      <c r="B813" s="55">
        <v>2534589</v>
      </c>
      <c r="D813" s="55" t="s">
        <v>373</v>
      </c>
      <c r="E813" s="74">
        <v>43710</v>
      </c>
      <c r="F813" s="55" t="s">
        <v>344</v>
      </c>
      <c r="G813" s="55" t="s">
        <v>360</v>
      </c>
      <c r="H813" s="55" t="s">
        <v>360</v>
      </c>
      <c r="I813" s="55" t="s">
        <v>360</v>
      </c>
      <c r="J813" s="55" t="s">
        <v>360</v>
      </c>
      <c r="K813" s="55" t="s">
        <v>360</v>
      </c>
      <c r="L813" s="55" t="s">
        <v>360</v>
      </c>
      <c r="M813" s="55" t="s">
        <v>136</v>
      </c>
      <c r="N813" s="55" t="s">
        <v>136</v>
      </c>
      <c r="O813" s="55" t="s">
        <v>274</v>
      </c>
      <c r="P813" s="55" t="s">
        <v>274</v>
      </c>
      <c r="Q813" s="55" t="s">
        <v>350</v>
      </c>
      <c r="R813" s="55">
        <v>3</v>
      </c>
      <c r="S813" s="55"/>
      <c r="T813" s="55" t="s">
        <v>1544</v>
      </c>
    </row>
    <row r="814" spans="1:20" ht="13" x14ac:dyDescent="0.15">
      <c r="A814" s="72" t="str">
        <f t="shared" si="12"/>
        <v>Ofsted Social Care Provider Webpage</v>
      </c>
      <c r="B814" s="55">
        <v>2534684</v>
      </c>
      <c r="D814" s="55" t="s">
        <v>373</v>
      </c>
      <c r="E814" s="74">
        <v>43740</v>
      </c>
      <c r="F814" s="55" t="s">
        <v>344</v>
      </c>
      <c r="G814" s="55" t="s">
        <v>360</v>
      </c>
      <c r="H814" s="55" t="s">
        <v>360</v>
      </c>
      <c r="I814" s="55" t="s">
        <v>360</v>
      </c>
      <c r="J814" s="55" t="s">
        <v>360</v>
      </c>
      <c r="K814" s="55" t="s">
        <v>360</v>
      </c>
      <c r="L814" s="55" t="s">
        <v>360</v>
      </c>
      <c r="M814" s="55" t="s">
        <v>150</v>
      </c>
      <c r="N814" s="55" t="s">
        <v>150</v>
      </c>
      <c r="O814" s="55" t="s">
        <v>283</v>
      </c>
      <c r="P814" s="55" t="s">
        <v>1333</v>
      </c>
      <c r="Q814" s="55" t="s">
        <v>350</v>
      </c>
      <c r="R814" s="55">
        <v>5</v>
      </c>
      <c r="S814" s="55"/>
      <c r="T814" s="55" t="s">
        <v>890</v>
      </c>
    </row>
    <row r="815" spans="1:20" ht="13" x14ac:dyDescent="0.15">
      <c r="A815" s="72" t="str">
        <f t="shared" si="12"/>
        <v>Ofsted Social Care Provider Webpage</v>
      </c>
      <c r="B815" s="55">
        <v>2534696</v>
      </c>
      <c r="D815" s="55" t="s">
        <v>373</v>
      </c>
      <c r="E815" s="74">
        <v>43628</v>
      </c>
      <c r="F815" s="55" t="s">
        <v>344</v>
      </c>
      <c r="G815" s="55" t="s">
        <v>360</v>
      </c>
      <c r="H815" s="55" t="s">
        <v>360</v>
      </c>
      <c r="I815" s="55" t="s">
        <v>360</v>
      </c>
      <c r="J815" s="55" t="s">
        <v>360</v>
      </c>
      <c r="K815" s="55" t="s">
        <v>360</v>
      </c>
      <c r="L815" s="55" t="s">
        <v>360</v>
      </c>
      <c r="M815" s="55" t="s">
        <v>172</v>
      </c>
      <c r="N815" s="55" t="s">
        <v>172</v>
      </c>
      <c r="O815" s="55" t="s">
        <v>235</v>
      </c>
      <c r="P815" s="55" t="s">
        <v>628</v>
      </c>
      <c r="Q815" s="55" t="s">
        <v>350</v>
      </c>
      <c r="R815" s="55">
        <v>2</v>
      </c>
      <c r="S815" s="55"/>
      <c r="T815" s="55" t="s">
        <v>962</v>
      </c>
    </row>
    <row r="816" spans="1:20" ht="13" x14ac:dyDescent="0.15">
      <c r="A816" s="72" t="str">
        <f t="shared" si="12"/>
        <v>Ofsted Social Care Provider Webpage</v>
      </c>
      <c r="B816" s="55">
        <v>2534827</v>
      </c>
      <c r="D816" s="55" t="s">
        <v>373</v>
      </c>
      <c r="E816" s="74">
        <v>43636</v>
      </c>
      <c r="F816" s="55" t="s">
        <v>344</v>
      </c>
      <c r="G816" s="55" t="s">
        <v>360</v>
      </c>
      <c r="H816" s="55" t="s">
        <v>360</v>
      </c>
      <c r="I816" s="55" t="s">
        <v>360</v>
      </c>
      <c r="J816" s="55" t="s">
        <v>360</v>
      </c>
      <c r="K816" s="55" t="s">
        <v>360</v>
      </c>
      <c r="L816" s="55" t="s">
        <v>360</v>
      </c>
      <c r="M816" s="55" t="s">
        <v>138</v>
      </c>
      <c r="N816" s="55" t="s">
        <v>138</v>
      </c>
      <c r="O816" s="55" t="s">
        <v>161</v>
      </c>
      <c r="P816" s="55" t="s">
        <v>643</v>
      </c>
      <c r="Q816" s="55" t="s">
        <v>350</v>
      </c>
      <c r="R816" s="55">
        <v>4</v>
      </c>
      <c r="S816" s="55"/>
      <c r="T816" s="55" t="s">
        <v>385</v>
      </c>
    </row>
    <row r="817" spans="1:20" ht="13" x14ac:dyDescent="0.15">
      <c r="A817" s="72" t="str">
        <f t="shared" si="12"/>
        <v>Ofsted Social Care Provider Webpage</v>
      </c>
      <c r="B817" s="55">
        <v>2534829</v>
      </c>
      <c r="D817" s="55" t="s">
        <v>373</v>
      </c>
      <c r="E817" s="74">
        <v>43700</v>
      </c>
      <c r="F817" s="55" t="s">
        <v>344</v>
      </c>
      <c r="G817" s="55" t="s">
        <v>360</v>
      </c>
      <c r="H817" s="55" t="s">
        <v>360</v>
      </c>
      <c r="I817" s="55" t="s">
        <v>360</v>
      </c>
      <c r="J817" s="55" t="s">
        <v>360</v>
      </c>
      <c r="K817" s="55" t="s">
        <v>360</v>
      </c>
      <c r="L817" s="55" t="s">
        <v>360</v>
      </c>
      <c r="M817" s="55" t="s">
        <v>144</v>
      </c>
      <c r="N817" s="55" t="s">
        <v>144</v>
      </c>
      <c r="O817" s="55" t="s">
        <v>209</v>
      </c>
      <c r="P817" s="55" t="s">
        <v>544</v>
      </c>
      <c r="Q817" s="55" t="s">
        <v>350</v>
      </c>
      <c r="R817" s="55">
        <v>2</v>
      </c>
      <c r="S817" s="55"/>
      <c r="T817" s="55" t="s">
        <v>778</v>
      </c>
    </row>
    <row r="818" spans="1:20" ht="13" x14ac:dyDescent="0.15">
      <c r="A818" s="72" t="str">
        <f t="shared" si="12"/>
        <v>Ofsted Social Care Provider Webpage</v>
      </c>
      <c r="B818" s="55">
        <v>2535166</v>
      </c>
      <c r="D818" s="55" t="s">
        <v>373</v>
      </c>
      <c r="E818" s="74">
        <v>43683</v>
      </c>
      <c r="F818" s="55" t="s">
        <v>344</v>
      </c>
      <c r="G818" s="55" t="s">
        <v>360</v>
      </c>
      <c r="H818" s="55" t="s">
        <v>360</v>
      </c>
      <c r="I818" s="55" t="s">
        <v>360</v>
      </c>
      <c r="J818" s="55" t="s">
        <v>360</v>
      </c>
      <c r="K818" s="55" t="s">
        <v>360</v>
      </c>
      <c r="L818" s="55" t="s">
        <v>360</v>
      </c>
      <c r="M818" s="55" t="s">
        <v>136</v>
      </c>
      <c r="N818" s="55" t="s">
        <v>136</v>
      </c>
      <c r="O818" s="55" t="s">
        <v>288</v>
      </c>
      <c r="P818" s="55" t="s">
        <v>1388</v>
      </c>
      <c r="Q818" s="55" t="s">
        <v>350</v>
      </c>
      <c r="R818" s="55">
        <v>3</v>
      </c>
      <c r="S818" s="55"/>
      <c r="T818" s="55" t="s">
        <v>450</v>
      </c>
    </row>
    <row r="819" spans="1:20" ht="13" x14ac:dyDescent="0.15">
      <c r="A819" s="72" t="str">
        <f t="shared" si="12"/>
        <v>Ofsted Social Care Provider Webpage</v>
      </c>
      <c r="B819" s="55">
        <v>2535376</v>
      </c>
      <c r="D819" s="55" t="s">
        <v>373</v>
      </c>
      <c r="E819" s="74">
        <v>43678</v>
      </c>
      <c r="F819" s="55" t="s">
        <v>344</v>
      </c>
      <c r="G819" s="55" t="s">
        <v>360</v>
      </c>
      <c r="H819" s="55" t="s">
        <v>360</v>
      </c>
      <c r="I819" s="55" t="s">
        <v>360</v>
      </c>
      <c r="J819" s="55" t="s">
        <v>360</v>
      </c>
      <c r="K819" s="55" t="s">
        <v>360</v>
      </c>
      <c r="L819" s="55" t="s">
        <v>360</v>
      </c>
      <c r="M819" s="55" t="s">
        <v>129</v>
      </c>
      <c r="N819" s="55" t="s">
        <v>129</v>
      </c>
      <c r="O819" s="55" t="s">
        <v>160</v>
      </c>
      <c r="P819" s="55" t="s">
        <v>447</v>
      </c>
      <c r="Q819" s="55" t="s">
        <v>350</v>
      </c>
      <c r="R819" s="55">
        <v>3</v>
      </c>
      <c r="S819" s="55"/>
      <c r="T819" s="55" t="s">
        <v>939</v>
      </c>
    </row>
    <row r="820" spans="1:20" ht="13" x14ac:dyDescent="0.15">
      <c r="A820" s="72" t="str">
        <f t="shared" si="12"/>
        <v>Ofsted Social Care Provider Webpage</v>
      </c>
      <c r="B820" s="55">
        <v>2535887</v>
      </c>
      <c r="D820" s="55" t="s">
        <v>373</v>
      </c>
      <c r="E820" s="74">
        <v>43679</v>
      </c>
      <c r="F820" s="55" t="s">
        <v>344</v>
      </c>
      <c r="G820" s="55" t="s">
        <v>360</v>
      </c>
      <c r="H820" s="55" t="s">
        <v>360</v>
      </c>
      <c r="I820" s="55" t="s">
        <v>360</v>
      </c>
      <c r="J820" s="55" t="s">
        <v>360</v>
      </c>
      <c r="K820" s="55" t="s">
        <v>360</v>
      </c>
      <c r="L820" s="55" t="s">
        <v>360</v>
      </c>
      <c r="M820" s="55" t="s">
        <v>129</v>
      </c>
      <c r="N820" s="55" t="s">
        <v>129</v>
      </c>
      <c r="O820" s="55" t="s">
        <v>194</v>
      </c>
      <c r="P820" s="55" t="s">
        <v>1201</v>
      </c>
      <c r="Q820" s="55" t="s">
        <v>350</v>
      </c>
      <c r="R820" s="55">
        <v>4</v>
      </c>
      <c r="S820" s="55"/>
      <c r="T820" s="55" t="s">
        <v>1545</v>
      </c>
    </row>
    <row r="821" spans="1:20" ht="13" x14ac:dyDescent="0.15">
      <c r="A821" s="72" t="str">
        <f t="shared" si="12"/>
        <v>Ofsted Social Care Provider Webpage</v>
      </c>
      <c r="B821" s="55">
        <v>2536395</v>
      </c>
      <c r="D821" s="55" t="s">
        <v>373</v>
      </c>
      <c r="E821" s="74">
        <v>43619</v>
      </c>
      <c r="F821" s="55" t="s">
        <v>344</v>
      </c>
      <c r="G821" s="55" t="s">
        <v>360</v>
      </c>
      <c r="H821" s="55" t="s">
        <v>360</v>
      </c>
      <c r="I821" s="55" t="s">
        <v>360</v>
      </c>
      <c r="J821" s="55" t="s">
        <v>360</v>
      </c>
      <c r="K821" s="55" t="s">
        <v>360</v>
      </c>
      <c r="L821" s="55" t="s">
        <v>360</v>
      </c>
      <c r="M821" s="55" t="s">
        <v>144</v>
      </c>
      <c r="N821" s="55" t="s">
        <v>144</v>
      </c>
      <c r="O821" s="55" t="s">
        <v>261</v>
      </c>
      <c r="P821" s="55" t="s">
        <v>512</v>
      </c>
      <c r="Q821" s="55" t="s">
        <v>350</v>
      </c>
      <c r="R821" s="55">
        <v>2</v>
      </c>
      <c r="S821" s="55"/>
      <c r="T821" s="55" t="s">
        <v>513</v>
      </c>
    </row>
    <row r="822" spans="1:20" ht="13" x14ac:dyDescent="0.15">
      <c r="A822" s="72" t="str">
        <f t="shared" si="12"/>
        <v>Ofsted Social Care Provider Webpage</v>
      </c>
      <c r="B822" s="55">
        <v>2536455</v>
      </c>
      <c r="D822" s="55" t="s">
        <v>373</v>
      </c>
      <c r="E822" s="74">
        <v>43692</v>
      </c>
      <c r="F822" s="55" t="s">
        <v>344</v>
      </c>
      <c r="G822" s="55" t="s">
        <v>360</v>
      </c>
      <c r="H822" s="55" t="s">
        <v>360</v>
      </c>
      <c r="I822" s="55" t="s">
        <v>360</v>
      </c>
      <c r="J822" s="55" t="s">
        <v>360</v>
      </c>
      <c r="K822" s="55" t="s">
        <v>360</v>
      </c>
      <c r="L822" s="55" t="s">
        <v>360</v>
      </c>
      <c r="M822" s="55" t="s">
        <v>138</v>
      </c>
      <c r="N822" s="55" t="s">
        <v>138</v>
      </c>
      <c r="O822" s="55" t="s">
        <v>161</v>
      </c>
      <c r="P822" s="55" t="s">
        <v>643</v>
      </c>
      <c r="Q822" s="55" t="s">
        <v>350</v>
      </c>
      <c r="R822" s="55">
        <v>5</v>
      </c>
      <c r="S822" s="55"/>
      <c r="T822" s="55" t="s">
        <v>1546</v>
      </c>
    </row>
    <row r="823" spans="1:20" ht="13" x14ac:dyDescent="0.15">
      <c r="A823" s="72" t="str">
        <f t="shared" si="12"/>
        <v>Ofsted Social Care Provider Webpage</v>
      </c>
      <c r="B823" s="55">
        <v>2536761</v>
      </c>
      <c r="D823" s="55" t="s">
        <v>373</v>
      </c>
      <c r="E823" s="74">
        <v>43692</v>
      </c>
      <c r="F823" s="55" t="s">
        <v>344</v>
      </c>
      <c r="G823" s="55" t="s">
        <v>360</v>
      </c>
      <c r="H823" s="55" t="s">
        <v>360</v>
      </c>
      <c r="I823" s="55" t="s">
        <v>360</v>
      </c>
      <c r="J823" s="55" t="s">
        <v>360</v>
      </c>
      <c r="K823" s="55" t="s">
        <v>360</v>
      </c>
      <c r="L823" s="55" t="s">
        <v>360</v>
      </c>
      <c r="M823" s="55" t="s">
        <v>144</v>
      </c>
      <c r="N823" s="55" t="s">
        <v>144</v>
      </c>
      <c r="O823" s="55" t="s">
        <v>287</v>
      </c>
      <c r="P823" s="55" t="s">
        <v>815</v>
      </c>
      <c r="Q823" s="55" t="s">
        <v>350</v>
      </c>
      <c r="R823" s="55">
        <v>3</v>
      </c>
      <c r="S823" s="55"/>
      <c r="T823" s="55" t="s">
        <v>493</v>
      </c>
    </row>
    <row r="824" spans="1:20" ht="13" x14ac:dyDescent="0.15">
      <c r="A824" s="72" t="str">
        <f t="shared" si="12"/>
        <v>Ofsted Social Care Provider Webpage</v>
      </c>
      <c r="B824" s="55">
        <v>2536967</v>
      </c>
      <c r="D824" s="55" t="s">
        <v>373</v>
      </c>
      <c r="E824" s="74">
        <v>43823</v>
      </c>
      <c r="F824" s="55" t="s">
        <v>344</v>
      </c>
      <c r="G824" s="55" t="s">
        <v>360</v>
      </c>
      <c r="H824" s="55" t="s">
        <v>360</v>
      </c>
      <c r="I824" s="55" t="s">
        <v>360</v>
      </c>
      <c r="J824" s="55" t="s">
        <v>360</v>
      </c>
      <c r="K824" s="55" t="s">
        <v>360</v>
      </c>
      <c r="L824" s="55" t="s">
        <v>360</v>
      </c>
      <c r="M824" s="55" t="s">
        <v>150</v>
      </c>
      <c r="N824" s="55" t="s">
        <v>150</v>
      </c>
      <c r="O824" s="55" t="s">
        <v>203</v>
      </c>
      <c r="P824" s="55" t="s">
        <v>1038</v>
      </c>
      <c r="Q824" s="55" t="s">
        <v>380</v>
      </c>
      <c r="R824" s="55">
        <v>3</v>
      </c>
      <c r="S824" s="55"/>
      <c r="T824" s="55" t="s">
        <v>1547</v>
      </c>
    </row>
    <row r="825" spans="1:20" ht="13" x14ac:dyDescent="0.15">
      <c r="A825" s="72" t="str">
        <f t="shared" si="12"/>
        <v>Ofsted Social Care Provider Webpage</v>
      </c>
      <c r="B825" s="55">
        <v>2537058</v>
      </c>
      <c r="D825" s="55" t="s">
        <v>373</v>
      </c>
      <c r="E825" s="74">
        <v>43672</v>
      </c>
      <c r="F825" s="55" t="s">
        <v>344</v>
      </c>
      <c r="G825" s="55" t="s">
        <v>360</v>
      </c>
      <c r="H825" s="55" t="s">
        <v>360</v>
      </c>
      <c r="I825" s="55" t="s">
        <v>360</v>
      </c>
      <c r="J825" s="55" t="s">
        <v>360</v>
      </c>
      <c r="K825" s="55" t="s">
        <v>360</v>
      </c>
      <c r="L825" s="55" t="s">
        <v>360</v>
      </c>
      <c r="M825" s="55" t="s">
        <v>144</v>
      </c>
      <c r="N825" s="55" t="s">
        <v>144</v>
      </c>
      <c r="O825" s="55" t="s">
        <v>209</v>
      </c>
      <c r="P825" s="55" t="s">
        <v>555</v>
      </c>
      <c r="Q825" s="55" t="s">
        <v>350</v>
      </c>
      <c r="R825" s="55">
        <v>4</v>
      </c>
      <c r="S825" s="55"/>
      <c r="T825" s="55" t="s">
        <v>485</v>
      </c>
    </row>
    <row r="826" spans="1:20" ht="13" x14ac:dyDescent="0.15">
      <c r="A826" s="72" t="str">
        <f t="shared" si="12"/>
        <v>Ofsted Social Care Provider Webpage</v>
      </c>
      <c r="B826" s="55">
        <v>2537060</v>
      </c>
      <c r="D826" s="55" t="s">
        <v>373</v>
      </c>
      <c r="E826" s="74">
        <v>43699</v>
      </c>
      <c r="F826" s="55" t="s">
        <v>344</v>
      </c>
      <c r="G826" s="55" t="s">
        <v>360</v>
      </c>
      <c r="H826" s="55" t="s">
        <v>360</v>
      </c>
      <c r="I826" s="55" t="s">
        <v>360</v>
      </c>
      <c r="J826" s="55" t="s">
        <v>360</v>
      </c>
      <c r="K826" s="55" t="s">
        <v>360</v>
      </c>
      <c r="L826" s="55" t="s">
        <v>360</v>
      </c>
      <c r="M826" s="55" t="s">
        <v>144</v>
      </c>
      <c r="N826" s="55" t="s">
        <v>144</v>
      </c>
      <c r="O826" s="55" t="s">
        <v>145</v>
      </c>
      <c r="P826" s="55" t="s">
        <v>525</v>
      </c>
      <c r="Q826" s="55" t="s">
        <v>350</v>
      </c>
      <c r="R826" s="55">
        <v>2</v>
      </c>
      <c r="S826" s="55"/>
      <c r="T826" s="55" t="s">
        <v>485</v>
      </c>
    </row>
    <row r="827" spans="1:20" ht="13" x14ac:dyDescent="0.15">
      <c r="A827" s="72" t="str">
        <f t="shared" si="12"/>
        <v>Ofsted Social Care Provider Webpage</v>
      </c>
      <c r="B827" s="55">
        <v>2537149</v>
      </c>
      <c r="D827" s="55" t="s">
        <v>373</v>
      </c>
      <c r="E827" s="74">
        <v>43713</v>
      </c>
      <c r="F827" s="55" t="s">
        <v>344</v>
      </c>
      <c r="G827" s="55" t="s">
        <v>360</v>
      </c>
      <c r="H827" s="55" t="s">
        <v>360</v>
      </c>
      <c r="I827" s="55" t="s">
        <v>360</v>
      </c>
      <c r="J827" s="55" t="s">
        <v>360</v>
      </c>
      <c r="K827" s="55" t="s">
        <v>360</v>
      </c>
      <c r="L827" s="55" t="s">
        <v>360</v>
      </c>
      <c r="M827" s="55" t="s">
        <v>136</v>
      </c>
      <c r="N827" s="55" t="s">
        <v>136</v>
      </c>
      <c r="O827" s="55" t="s">
        <v>230</v>
      </c>
      <c r="P827" s="55" t="s">
        <v>230</v>
      </c>
      <c r="Q827" s="55" t="s">
        <v>362</v>
      </c>
      <c r="R827" s="55">
        <v>4</v>
      </c>
      <c r="S827" s="55"/>
      <c r="T827" s="55" t="s">
        <v>367</v>
      </c>
    </row>
    <row r="828" spans="1:20" ht="13" x14ac:dyDescent="0.15">
      <c r="A828" s="72" t="str">
        <f t="shared" si="12"/>
        <v>Ofsted Social Care Provider Webpage</v>
      </c>
      <c r="B828" s="55">
        <v>2537252</v>
      </c>
      <c r="D828" s="55" t="s">
        <v>373</v>
      </c>
      <c r="E828" s="74">
        <v>43628</v>
      </c>
      <c r="F828" s="55" t="s">
        <v>344</v>
      </c>
      <c r="G828" s="55" t="s">
        <v>360</v>
      </c>
      <c r="H828" s="55" t="s">
        <v>360</v>
      </c>
      <c r="I828" s="55" t="s">
        <v>360</v>
      </c>
      <c r="J828" s="55" t="s">
        <v>360</v>
      </c>
      <c r="K828" s="55" t="s">
        <v>360</v>
      </c>
      <c r="L828" s="55" t="s">
        <v>360</v>
      </c>
      <c r="M828" s="55" t="s">
        <v>172</v>
      </c>
      <c r="N828" s="55" t="s">
        <v>172</v>
      </c>
      <c r="O828" s="55" t="s">
        <v>235</v>
      </c>
      <c r="P828" s="55" t="s">
        <v>628</v>
      </c>
      <c r="Q828" s="55" t="s">
        <v>350</v>
      </c>
      <c r="R828" s="55">
        <v>2</v>
      </c>
      <c r="S828" s="55"/>
      <c r="T828" s="55" t="s">
        <v>962</v>
      </c>
    </row>
    <row r="829" spans="1:20" ht="13" x14ac:dyDescent="0.15">
      <c r="A829" s="72" t="str">
        <f t="shared" si="12"/>
        <v>Ofsted Social Care Provider Webpage</v>
      </c>
      <c r="B829" s="55">
        <v>2537375</v>
      </c>
      <c r="D829" s="55" t="s">
        <v>373</v>
      </c>
      <c r="E829" s="74">
        <v>43686</v>
      </c>
      <c r="F829" s="55" t="s">
        <v>344</v>
      </c>
      <c r="G829" s="55" t="s">
        <v>360</v>
      </c>
      <c r="H829" s="55" t="s">
        <v>360</v>
      </c>
      <c r="I829" s="55" t="s">
        <v>360</v>
      </c>
      <c r="J829" s="55" t="s">
        <v>360</v>
      </c>
      <c r="K829" s="55" t="s">
        <v>360</v>
      </c>
      <c r="L829" s="55" t="s">
        <v>360</v>
      </c>
      <c r="M829" s="55" t="s">
        <v>142</v>
      </c>
      <c r="N829" s="55" t="s">
        <v>142</v>
      </c>
      <c r="O829" s="55" t="s">
        <v>262</v>
      </c>
      <c r="P829" s="55" t="s">
        <v>692</v>
      </c>
      <c r="Q829" s="55" t="s">
        <v>350</v>
      </c>
      <c r="R829" s="55">
        <v>3</v>
      </c>
      <c r="S829" s="55"/>
      <c r="T829" s="55" t="s">
        <v>1307</v>
      </c>
    </row>
    <row r="830" spans="1:20" ht="13" x14ac:dyDescent="0.15">
      <c r="A830" s="72" t="str">
        <f t="shared" si="12"/>
        <v>Ofsted Social Care Provider Webpage</v>
      </c>
      <c r="B830" s="55">
        <v>2537401</v>
      </c>
      <c r="D830" s="55" t="s">
        <v>389</v>
      </c>
      <c r="E830" s="74">
        <v>43678</v>
      </c>
      <c r="F830" s="55" t="s">
        <v>344</v>
      </c>
      <c r="G830" s="55" t="s">
        <v>1548</v>
      </c>
      <c r="H830" s="55" t="s">
        <v>1548</v>
      </c>
      <c r="I830" s="55" t="s">
        <v>1549</v>
      </c>
      <c r="J830" s="55" t="s">
        <v>129</v>
      </c>
      <c r="L830" s="55" t="s">
        <v>1550</v>
      </c>
      <c r="M830" s="55" t="s">
        <v>129</v>
      </c>
      <c r="N830" s="55" t="s">
        <v>129</v>
      </c>
      <c r="O830" s="55" t="s">
        <v>242</v>
      </c>
      <c r="P830" s="55" t="s">
        <v>1519</v>
      </c>
      <c r="Q830" s="55" t="s">
        <v>350</v>
      </c>
      <c r="R830" s="55"/>
      <c r="S830" s="55"/>
      <c r="T830" s="55" t="s">
        <v>1551</v>
      </c>
    </row>
    <row r="831" spans="1:20" ht="13" x14ac:dyDescent="0.15">
      <c r="A831" s="72" t="str">
        <f t="shared" si="12"/>
        <v>Ofsted Social Care Provider Webpage</v>
      </c>
      <c r="B831" s="55">
        <v>2537782</v>
      </c>
      <c r="D831" s="55" t="s">
        <v>373</v>
      </c>
      <c r="E831" s="74">
        <v>43756</v>
      </c>
      <c r="F831" s="55" t="s">
        <v>344</v>
      </c>
      <c r="G831" s="55" t="s">
        <v>360</v>
      </c>
      <c r="H831" s="55" t="s">
        <v>360</v>
      </c>
      <c r="I831" s="55" t="s">
        <v>360</v>
      </c>
      <c r="J831" s="55" t="s">
        <v>360</v>
      </c>
      <c r="K831" s="55" t="s">
        <v>360</v>
      </c>
      <c r="L831" s="55" t="s">
        <v>360</v>
      </c>
      <c r="M831" s="55" t="s">
        <v>138</v>
      </c>
      <c r="N831" s="55" t="s">
        <v>138</v>
      </c>
      <c r="O831" s="55" t="s">
        <v>224</v>
      </c>
      <c r="P831" s="55" t="s">
        <v>1552</v>
      </c>
      <c r="Q831" s="55" t="s">
        <v>350</v>
      </c>
      <c r="R831" s="55">
        <v>6</v>
      </c>
      <c r="S831" s="55"/>
      <c r="T831" s="55" t="s">
        <v>1553</v>
      </c>
    </row>
    <row r="832" spans="1:20" ht="13" x14ac:dyDescent="0.15">
      <c r="A832" s="72" t="str">
        <f t="shared" si="12"/>
        <v>Ofsted Social Care Provider Webpage</v>
      </c>
      <c r="B832" s="55">
        <v>2537801</v>
      </c>
      <c r="D832" s="55" t="s">
        <v>373</v>
      </c>
      <c r="E832" s="74">
        <v>43721</v>
      </c>
      <c r="F832" s="55" t="s">
        <v>344</v>
      </c>
      <c r="G832" s="55" t="s">
        <v>360</v>
      </c>
      <c r="H832" s="55" t="s">
        <v>360</v>
      </c>
      <c r="I832" s="55" t="s">
        <v>360</v>
      </c>
      <c r="J832" s="55" t="s">
        <v>360</v>
      </c>
      <c r="K832" s="55" t="s">
        <v>360</v>
      </c>
      <c r="L832" s="55" t="s">
        <v>360</v>
      </c>
      <c r="M832" s="55" t="s">
        <v>144</v>
      </c>
      <c r="N832" s="55" t="s">
        <v>144</v>
      </c>
      <c r="O832" s="55" t="s">
        <v>209</v>
      </c>
      <c r="P832" s="55" t="s">
        <v>736</v>
      </c>
      <c r="Q832" s="55" t="s">
        <v>350</v>
      </c>
      <c r="R832" s="55">
        <v>3</v>
      </c>
      <c r="S832" s="55"/>
      <c r="T832" s="55" t="s">
        <v>598</v>
      </c>
    </row>
    <row r="833" spans="1:20" ht="13" x14ac:dyDescent="0.15">
      <c r="A833" s="72" t="str">
        <f t="shared" si="12"/>
        <v>Ofsted Social Care Provider Webpage</v>
      </c>
      <c r="B833" s="55">
        <v>2538055</v>
      </c>
      <c r="D833" s="55" t="s">
        <v>373</v>
      </c>
      <c r="E833" s="74">
        <v>43700</v>
      </c>
      <c r="F833" s="55" t="s">
        <v>344</v>
      </c>
      <c r="G833" s="55" t="s">
        <v>360</v>
      </c>
      <c r="H833" s="55" t="s">
        <v>360</v>
      </c>
      <c r="I833" s="55" t="s">
        <v>360</v>
      </c>
      <c r="J833" s="55" t="s">
        <v>360</v>
      </c>
      <c r="K833" s="55" t="s">
        <v>360</v>
      </c>
      <c r="L833" s="55" t="s">
        <v>360</v>
      </c>
      <c r="M833" s="55" t="s">
        <v>136</v>
      </c>
      <c r="N833" s="55" t="s">
        <v>136</v>
      </c>
      <c r="O833" s="55" t="s">
        <v>255</v>
      </c>
      <c r="P833" s="55" t="s">
        <v>583</v>
      </c>
      <c r="Q833" s="55" t="s">
        <v>350</v>
      </c>
      <c r="R833" s="55">
        <v>2</v>
      </c>
      <c r="S833" s="55"/>
      <c r="T833" s="55" t="s">
        <v>858</v>
      </c>
    </row>
    <row r="834" spans="1:20" ht="13" x14ac:dyDescent="0.15">
      <c r="A834" s="72" t="str">
        <f t="shared" si="12"/>
        <v>Ofsted Social Care Provider Webpage</v>
      </c>
      <c r="B834" s="55">
        <v>2538267</v>
      </c>
      <c r="D834" s="55" t="s">
        <v>373</v>
      </c>
      <c r="E834" s="74">
        <v>44018</v>
      </c>
      <c r="F834" s="55" t="s">
        <v>344</v>
      </c>
      <c r="G834" s="55" t="s">
        <v>360</v>
      </c>
      <c r="H834" s="55" t="s">
        <v>360</v>
      </c>
      <c r="I834" s="55" t="s">
        <v>360</v>
      </c>
      <c r="J834" s="55" t="s">
        <v>360</v>
      </c>
      <c r="K834" s="55" t="s">
        <v>360</v>
      </c>
      <c r="L834" s="55" t="s">
        <v>360</v>
      </c>
      <c r="M834" s="55" t="s">
        <v>378</v>
      </c>
      <c r="N834" s="55" t="s">
        <v>134</v>
      </c>
      <c r="O834" s="55" t="s">
        <v>180</v>
      </c>
      <c r="P834" s="55" t="s">
        <v>1249</v>
      </c>
      <c r="Q834" s="55" t="s">
        <v>350</v>
      </c>
      <c r="R834" s="55">
        <v>1</v>
      </c>
      <c r="S834" s="55"/>
      <c r="T834" s="55" t="s">
        <v>1484</v>
      </c>
    </row>
    <row r="835" spans="1:20" ht="13" x14ac:dyDescent="0.15">
      <c r="A835" s="72" t="str">
        <f t="shared" si="12"/>
        <v>Ofsted Social Care Provider Webpage</v>
      </c>
      <c r="B835" s="55">
        <v>2538285</v>
      </c>
      <c r="D835" s="55" t="s">
        <v>373</v>
      </c>
      <c r="E835" s="74">
        <v>43795</v>
      </c>
      <c r="F835" s="55" t="s">
        <v>344</v>
      </c>
      <c r="G835" s="55" t="s">
        <v>360</v>
      </c>
      <c r="H835" s="55" t="s">
        <v>360</v>
      </c>
      <c r="I835" s="55" t="s">
        <v>360</v>
      </c>
      <c r="J835" s="55" t="s">
        <v>360</v>
      </c>
      <c r="K835" s="55" t="s">
        <v>360</v>
      </c>
      <c r="L835" s="55" t="s">
        <v>360</v>
      </c>
      <c r="M835" s="55" t="s">
        <v>144</v>
      </c>
      <c r="N835" s="55" t="s">
        <v>144</v>
      </c>
      <c r="O835" s="55" t="s">
        <v>209</v>
      </c>
      <c r="P835" s="55" t="s">
        <v>629</v>
      </c>
      <c r="Q835" s="55" t="s">
        <v>350</v>
      </c>
      <c r="R835" s="55">
        <v>6</v>
      </c>
      <c r="S835" s="55"/>
      <c r="T835" s="55" t="s">
        <v>1554</v>
      </c>
    </row>
    <row r="836" spans="1:20" ht="13" x14ac:dyDescent="0.15">
      <c r="A836" s="72" t="str">
        <f t="shared" si="12"/>
        <v>Ofsted Social Care Provider Webpage</v>
      </c>
      <c r="B836" s="55">
        <v>2538287</v>
      </c>
      <c r="D836" s="55" t="s">
        <v>373</v>
      </c>
      <c r="E836" s="74">
        <v>43656</v>
      </c>
      <c r="F836" s="55" t="s">
        <v>344</v>
      </c>
      <c r="G836" s="55" t="s">
        <v>360</v>
      </c>
      <c r="H836" s="55" t="s">
        <v>360</v>
      </c>
      <c r="I836" s="55" t="s">
        <v>360</v>
      </c>
      <c r="J836" s="55" t="s">
        <v>360</v>
      </c>
      <c r="K836" s="55" t="s">
        <v>360</v>
      </c>
      <c r="L836" s="55" t="s">
        <v>360</v>
      </c>
      <c r="M836" s="55" t="s">
        <v>142</v>
      </c>
      <c r="N836" s="55" t="s">
        <v>142</v>
      </c>
      <c r="O836" s="55" t="s">
        <v>265</v>
      </c>
      <c r="P836" s="55" t="s">
        <v>540</v>
      </c>
      <c r="Q836" s="55" t="s">
        <v>380</v>
      </c>
      <c r="R836" s="55">
        <v>2</v>
      </c>
      <c r="S836" s="55"/>
      <c r="T836" s="55" t="s">
        <v>1067</v>
      </c>
    </row>
    <row r="837" spans="1:20" ht="13" x14ac:dyDescent="0.15">
      <c r="A837" s="72" t="str">
        <f t="shared" ref="A837:A900" si="13">HYPERLINK(_xlfn.CONCAT("http://reports.ofsted.gov.uk/inspection-reports/find-inspection-report/provider/CARE/",B837),"Ofsted Social Care Provider Webpage")</f>
        <v>Ofsted Social Care Provider Webpage</v>
      </c>
      <c r="B837" s="55">
        <v>2538785</v>
      </c>
      <c r="D837" s="55" t="s">
        <v>373</v>
      </c>
      <c r="E837" s="74">
        <v>43739</v>
      </c>
      <c r="F837" s="55" t="s">
        <v>344</v>
      </c>
      <c r="G837" s="55" t="s">
        <v>360</v>
      </c>
      <c r="H837" s="55" t="s">
        <v>360</v>
      </c>
      <c r="I837" s="55" t="s">
        <v>360</v>
      </c>
      <c r="J837" s="55" t="s">
        <v>360</v>
      </c>
      <c r="K837" s="55" t="s">
        <v>360</v>
      </c>
      <c r="L837" s="55" t="s">
        <v>360</v>
      </c>
      <c r="M837" s="55" t="s">
        <v>142</v>
      </c>
      <c r="N837" s="55" t="s">
        <v>142</v>
      </c>
      <c r="O837" s="55" t="s">
        <v>252</v>
      </c>
      <c r="P837" s="55" t="s">
        <v>388</v>
      </c>
      <c r="Q837" s="55" t="s">
        <v>362</v>
      </c>
      <c r="R837" s="55">
        <v>7</v>
      </c>
      <c r="S837" s="55" t="s">
        <v>332</v>
      </c>
      <c r="T837" s="55" t="s">
        <v>367</v>
      </c>
    </row>
    <row r="838" spans="1:20" ht="13" x14ac:dyDescent="0.15">
      <c r="A838" s="72" t="str">
        <f t="shared" si="13"/>
        <v>Ofsted Social Care Provider Webpage</v>
      </c>
      <c r="B838" s="55">
        <v>2539201</v>
      </c>
      <c r="D838" s="55" t="s">
        <v>373</v>
      </c>
      <c r="E838" s="74">
        <v>43705</v>
      </c>
      <c r="F838" s="55" t="s">
        <v>344</v>
      </c>
      <c r="G838" s="55" t="s">
        <v>360</v>
      </c>
      <c r="H838" s="55" t="s">
        <v>360</v>
      </c>
      <c r="I838" s="55" t="s">
        <v>360</v>
      </c>
      <c r="J838" s="55" t="s">
        <v>360</v>
      </c>
      <c r="K838" s="55" t="s">
        <v>360</v>
      </c>
      <c r="L838" s="55" t="s">
        <v>360</v>
      </c>
      <c r="M838" s="55" t="s">
        <v>172</v>
      </c>
      <c r="N838" s="55" t="s">
        <v>172</v>
      </c>
      <c r="O838" s="55" t="s">
        <v>235</v>
      </c>
      <c r="P838" s="55" t="s">
        <v>855</v>
      </c>
      <c r="Q838" s="55" t="s">
        <v>350</v>
      </c>
      <c r="R838" s="55">
        <v>3</v>
      </c>
      <c r="S838" s="55"/>
      <c r="T838" s="55" t="s">
        <v>517</v>
      </c>
    </row>
    <row r="839" spans="1:20" ht="13" x14ac:dyDescent="0.15">
      <c r="A839" s="72" t="str">
        <f t="shared" si="13"/>
        <v>Ofsted Social Care Provider Webpage</v>
      </c>
      <c r="B839" s="55">
        <v>2539305</v>
      </c>
      <c r="D839" s="55" t="s">
        <v>373</v>
      </c>
      <c r="E839" s="74">
        <v>43672</v>
      </c>
      <c r="F839" s="55" t="s">
        <v>344</v>
      </c>
      <c r="G839" s="55" t="s">
        <v>360</v>
      </c>
      <c r="H839" s="55" t="s">
        <v>360</v>
      </c>
      <c r="I839" s="55" t="s">
        <v>360</v>
      </c>
      <c r="J839" s="55" t="s">
        <v>360</v>
      </c>
      <c r="K839" s="55" t="s">
        <v>360</v>
      </c>
      <c r="L839" s="55" t="s">
        <v>360</v>
      </c>
      <c r="M839" s="55" t="s">
        <v>136</v>
      </c>
      <c r="N839" s="55" t="s">
        <v>136</v>
      </c>
      <c r="O839" s="55" t="s">
        <v>239</v>
      </c>
      <c r="P839" s="55" t="s">
        <v>738</v>
      </c>
      <c r="Q839" s="55" t="s">
        <v>350</v>
      </c>
      <c r="R839" s="55">
        <v>1</v>
      </c>
      <c r="S839" s="55"/>
      <c r="T839" s="55" t="s">
        <v>739</v>
      </c>
    </row>
    <row r="840" spans="1:20" ht="13" x14ac:dyDescent="0.15">
      <c r="A840" s="72" t="str">
        <f t="shared" si="13"/>
        <v>Ofsted Social Care Provider Webpage</v>
      </c>
      <c r="B840" s="55">
        <v>2539587</v>
      </c>
      <c r="D840" s="55" t="s">
        <v>373</v>
      </c>
      <c r="E840" s="74">
        <v>43712</v>
      </c>
      <c r="F840" s="55" t="s">
        <v>344</v>
      </c>
      <c r="G840" s="55" t="s">
        <v>360</v>
      </c>
      <c r="H840" s="55" t="s">
        <v>360</v>
      </c>
      <c r="I840" s="55" t="s">
        <v>360</v>
      </c>
      <c r="J840" s="55" t="s">
        <v>360</v>
      </c>
      <c r="K840" s="55" t="s">
        <v>360</v>
      </c>
      <c r="L840" s="55" t="s">
        <v>360</v>
      </c>
      <c r="M840" s="55" t="s">
        <v>378</v>
      </c>
      <c r="N840" s="55" t="s">
        <v>134</v>
      </c>
      <c r="O840" s="55" t="s">
        <v>277</v>
      </c>
      <c r="P840" s="55" t="s">
        <v>461</v>
      </c>
      <c r="Q840" s="55" t="s">
        <v>350</v>
      </c>
      <c r="R840" s="55">
        <v>8</v>
      </c>
      <c r="S840" s="55"/>
      <c r="T840" s="55" t="s">
        <v>574</v>
      </c>
    </row>
    <row r="841" spans="1:20" ht="13" x14ac:dyDescent="0.15">
      <c r="A841" s="72" t="str">
        <f t="shared" si="13"/>
        <v>Ofsted Social Care Provider Webpage</v>
      </c>
      <c r="B841" s="55">
        <v>2539688</v>
      </c>
      <c r="D841" s="55" t="s">
        <v>373</v>
      </c>
      <c r="E841" s="74">
        <v>43658</v>
      </c>
      <c r="F841" s="55" t="s">
        <v>344</v>
      </c>
      <c r="G841" s="55" t="s">
        <v>360</v>
      </c>
      <c r="H841" s="55" t="s">
        <v>360</v>
      </c>
      <c r="I841" s="55" t="s">
        <v>360</v>
      </c>
      <c r="J841" s="55" t="s">
        <v>360</v>
      </c>
      <c r="K841" s="55" t="s">
        <v>360</v>
      </c>
      <c r="L841" s="55" t="s">
        <v>360</v>
      </c>
      <c r="M841" s="55" t="s">
        <v>172</v>
      </c>
      <c r="N841" s="55" t="s">
        <v>172</v>
      </c>
      <c r="O841" s="55" t="s">
        <v>173</v>
      </c>
      <c r="P841" s="55" t="s">
        <v>860</v>
      </c>
      <c r="Q841" s="55" t="s">
        <v>350</v>
      </c>
      <c r="R841" s="55">
        <v>3</v>
      </c>
      <c r="S841" s="55"/>
      <c r="T841" s="55" t="s">
        <v>520</v>
      </c>
    </row>
    <row r="842" spans="1:20" ht="13" x14ac:dyDescent="0.15">
      <c r="A842" s="72" t="str">
        <f t="shared" si="13"/>
        <v>Ofsted Social Care Provider Webpage</v>
      </c>
      <c r="B842" s="55">
        <v>2539752</v>
      </c>
      <c r="D842" s="55" t="s">
        <v>373</v>
      </c>
      <c r="E842" s="74">
        <v>43937</v>
      </c>
      <c r="F842" s="55" t="s">
        <v>344</v>
      </c>
      <c r="G842" s="55" t="s">
        <v>360</v>
      </c>
      <c r="H842" s="55" t="s">
        <v>360</v>
      </c>
      <c r="I842" s="55" t="s">
        <v>360</v>
      </c>
      <c r="J842" s="55" t="s">
        <v>360</v>
      </c>
      <c r="K842" s="55" t="s">
        <v>360</v>
      </c>
      <c r="L842" s="55" t="s">
        <v>360</v>
      </c>
      <c r="M842" s="55" t="s">
        <v>150</v>
      </c>
      <c r="N842" s="55" t="s">
        <v>150</v>
      </c>
      <c r="O842" s="55" t="s">
        <v>237</v>
      </c>
      <c r="P842" s="55" t="s">
        <v>859</v>
      </c>
      <c r="Q842" s="55" t="s">
        <v>350</v>
      </c>
      <c r="R842" s="55">
        <v>4</v>
      </c>
      <c r="S842" s="55"/>
      <c r="T842" s="55" t="s">
        <v>843</v>
      </c>
    </row>
    <row r="843" spans="1:20" ht="13" x14ac:dyDescent="0.15">
      <c r="A843" s="72" t="str">
        <f t="shared" si="13"/>
        <v>Ofsted Social Care Provider Webpage</v>
      </c>
      <c r="B843" s="55">
        <v>2540028</v>
      </c>
      <c r="D843" s="55" t="s">
        <v>358</v>
      </c>
      <c r="E843" s="74">
        <v>43689</v>
      </c>
      <c r="F843" s="55" t="s">
        <v>344</v>
      </c>
      <c r="G843" s="55" t="s">
        <v>1555</v>
      </c>
      <c r="H843" s="55" t="s">
        <v>360</v>
      </c>
      <c r="I843" s="55" t="s">
        <v>360</v>
      </c>
      <c r="J843" s="55" t="s">
        <v>360</v>
      </c>
      <c r="K843" s="55" t="s">
        <v>360</v>
      </c>
      <c r="L843" s="55" t="s">
        <v>360</v>
      </c>
      <c r="M843" s="55" t="s">
        <v>150</v>
      </c>
      <c r="N843" s="55" t="s">
        <v>150</v>
      </c>
      <c r="O843" s="55" t="s">
        <v>268</v>
      </c>
      <c r="P843" s="55" t="s">
        <v>1556</v>
      </c>
      <c r="Q843" s="55" t="s">
        <v>350</v>
      </c>
      <c r="R843" s="55"/>
      <c r="S843" s="55"/>
      <c r="T843" s="55" t="s">
        <v>1557</v>
      </c>
    </row>
    <row r="844" spans="1:20" ht="13" x14ac:dyDescent="0.15">
      <c r="A844" s="72" t="str">
        <f t="shared" si="13"/>
        <v>Ofsted Social Care Provider Webpage</v>
      </c>
      <c r="B844" s="55">
        <v>2540073</v>
      </c>
      <c r="D844" s="55" t="s">
        <v>373</v>
      </c>
      <c r="E844" s="74">
        <v>43752</v>
      </c>
      <c r="F844" s="55" t="s">
        <v>344</v>
      </c>
      <c r="G844" s="55" t="s">
        <v>360</v>
      </c>
      <c r="H844" s="55" t="s">
        <v>360</v>
      </c>
      <c r="I844" s="55" t="s">
        <v>360</v>
      </c>
      <c r="J844" s="55" t="s">
        <v>360</v>
      </c>
      <c r="K844" s="55" t="s">
        <v>360</v>
      </c>
      <c r="L844" s="55" t="s">
        <v>360</v>
      </c>
      <c r="M844" s="55" t="s">
        <v>144</v>
      </c>
      <c r="N844" s="55" t="s">
        <v>144</v>
      </c>
      <c r="O844" s="55" t="s">
        <v>162</v>
      </c>
      <c r="P844" s="55" t="s">
        <v>1502</v>
      </c>
      <c r="Q844" s="55" t="s">
        <v>350</v>
      </c>
      <c r="R844" s="55">
        <v>5</v>
      </c>
      <c r="S844" s="55"/>
      <c r="T844" s="55" t="s">
        <v>1503</v>
      </c>
    </row>
    <row r="845" spans="1:20" ht="13" x14ac:dyDescent="0.15">
      <c r="A845" s="72" t="str">
        <f t="shared" si="13"/>
        <v>Ofsted Social Care Provider Webpage</v>
      </c>
      <c r="B845" s="55">
        <v>2540092</v>
      </c>
      <c r="D845" s="55" t="s">
        <v>373</v>
      </c>
      <c r="E845" s="74">
        <v>44428</v>
      </c>
      <c r="F845" s="55" t="s">
        <v>344</v>
      </c>
      <c r="G845" s="55" t="s">
        <v>360</v>
      </c>
      <c r="H845" s="55" t="s">
        <v>360</v>
      </c>
      <c r="I845" s="55" t="s">
        <v>360</v>
      </c>
      <c r="J845" s="55" t="s">
        <v>360</v>
      </c>
      <c r="K845" s="55" t="s">
        <v>360</v>
      </c>
      <c r="L845" s="55" t="s">
        <v>360</v>
      </c>
      <c r="M845" s="55" t="s">
        <v>142</v>
      </c>
      <c r="N845" s="55" t="s">
        <v>142</v>
      </c>
      <c r="O845" s="55" t="s">
        <v>254</v>
      </c>
      <c r="P845" s="55" t="s">
        <v>254</v>
      </c>
      <c r="Q845" s="55" t="s">
        <v>350</v>
      </c>
      <c r="R845" s="55">
        <v>3</v>
      </c>
      <c r="S845" s="55"/>
      <c r="T845" s="55" t="s">
        <v>1558</v>
      </c>
    </row>
    <row r="846" spans="1:20" ht="13" x14ac:dyDescent="0.15">
      <c r="A846" s="72" t="str">
        <f t="shared" si="13"/>
        <v>Ofsted Social Care Provider Webpage</v>
      </c>
      <c r="B846" s="55">
        <v>2540285</v>
      </c>
      <c r="D846" s="55" t="s">
        <v>373</v>
      </c>
      <c r="E846" s="74">
        <v>43679</v>
      </c>
      <c r="F846" s="55" t="s">
        <v>344</v>
      </c>
      <c r="G846" s="55" t="s">
        <v>360</v>
      </c>
      <c r="H846" s="55" t="s">
        <v>360</v>
      </c>
      <c r="I846" s="55" t="s">
        <v>360</v>
      </c>
      <c r="J846" s="55" t="s">
        <v>360</v>
      </c>
      <c r="K846" s="55" t="s">
        <v>360</v>
      </c>
      <c r="L846" s="55" t="s">
        <v>360</v>
      </c>
      <c r="M846" s="55" t="s">
        <v>129</v>
      </c>
      <c r="N846" s="55" t="s">
        <v>129</v>
      </c>
      <c r="O846" s="55" t="s">
        <v>242</v>
      </c>
      <c r="P846" s="55" t="s">
        <v>1519</v>
      </c>
      <c r="Q846" s="55" t="s">
        <v>350</v>
      </c>
      <c r="R846" s="55">
        <v>8</v>
      </c>
      <c r="S846" s="55"/>
      <c r="T846" s="55" t="s">
        <v>1559</v>
      </c>
    </row>
    <row r="847" spans="1:20" ht="13" x14ac:dyDescent="0.15">
      <c r="A847" s="72" t="str">
        <f t="shared" si="13"/>
        <v>Ofsted Social Care Provider Webpage</v>
      </c>
      <c r="B847" s="55">
        <v>2540658</v>
      </c>
      <c r="D847" s="55" t="s">
        <v>373</v>
      </c>
      <c r="E847" s="74">
        <v>43713</v>
      </c>
      <c r="F847" s="55" t="s">
        <v>344</v>
      </c>
      <c r="G847" s="55" t="s">
        <v>360</v>
      </c>
      <c r="H847" s="55" t="s">
        <v>360</v>
      </c>
      <c r="I847" s="55" t="s">
        <v>360</v>
      </c>
      <c r="J847" s="55" t="s">
        <v>360</v>
      </c>
      <c r="K847" s="55" t="s">
        <v>360</v>
      </c>
      <c r="L847" s="55" t="s">
        <v>360</v>
      </c>
      <c r="M847" s="55" t="s">
        <v>144</v>
      </c>
      <c r="N847" s="55" t="s">
        <v>144</v>
      </c>
      <c r="O847" s="55" t="s">
        <v>290</v>
      </c>
      <c r="P847" s="55" t="s">
        <v>1512</v>
      </c>
      <c r="Q847" s="55" t="s">
        <v>350</v>
      </c>
      <c r="R847" s="55">
        <v>3</v>
      </c>
      <c r="S847" s="55"/>
      <c r="T847" s="55" t="s">
        <v>1560</v>
      </c>
    </row>
    <row r="848" spans="1:20" ht="13" x14ac:dyDescent="0.15">
      <c r="A848" s="72" t="str">
        <f t="shared" si="13"/>
        <v>Ofsted Social Care Provider Webpage</v>
      </c>
      <c r="B848" s="55">
        <v>2540927</v>
      </c>
      <c r="D848" s="55" t="s">
        <v>373</v>
      </c>
      <c r="E848" s="74">
        <v>43670</v>
      </c>
      <c r="F848" s="55" t="s">
        <v>344</v>
      </c>
      <c r="G848" s="55" t="s">
        <v>360</v>
      </c>
      <c r="H848" s="55" t="s">
        <v>360</v>
      </c>
      <c r="I848" s="55" t="s">
        <v>360</v>
      </c>
      <c r="J848" s="55" t="s">
        <v>360</v>
      </c>
      <c r="K848" s="55" t="s">
        <v>360</v>
      </c>
      <c r="L848" s="55" t="s">
        <v>360</v>
      </c>
      <c r="M848" s="55" t="s">
        <v>172</v>
      </c>
      <c r="N848" s="55" t="s">
        <v>172</v>
      </c>
      <c r="O848" s="55" t="s">
        <v>214</v>
      </c>
      <c r="P848" s="55" t="s">
        <v>1561</v>
      </c>
      <c r="Q848" s="55" t="s">
        <v>350</v>
      </c>
      <c r="R848" s="55">
        <v>3</v>
      </c>
      <c r="S848" s="55"/>
      <c r="T848" s="55" t="s">
        <v>517</v>
      </c>
    </row>
    <row r="849" spans="1:20" ht="13" x14ac:dyDescent="0.15">
      <c r="A849" s="72" t="str">
        <f t="shared" si="13"/>
        <v>Ofsted Social Care Provider Webpage</v>
      </c>
      <c r="B849" s="55">
        <v>2541033</v>
      </c>
      <c r="D849" s="55" t="s">
        <v>373</v>
      </c>
      <c r="E849" s="74">
        <v>43713</v>
      </c>
      <c r="F849" s="55" t="s">
        <v>344</v>
      </c>
      <c r="G849" s="55" t="s">
        <v>360</v>
      </c>
      <c r="H849" s="55" t="s">
        <v>360</v>
      </c>
      <c r="I849" s="55" t="s">
        <v>360</v>
      </c>
      <c r="J849" s="55" t="s">
        <v>360</v>
      </c>
      <c r="K849" s="55" t="s">
        <v>360</v>
      </c>
      <c r="L849" s="55" t="s">
        <v>360</v>
      </c>
      <c r="M849" s="55" t="s">
        <v>144</v>
      </c>
      <c r="N849" s="55" t="s">
        <v>144</v>
      </c>
      <c r="O849" s="55" t="s">
        <v>276</v>
      </c>
      <c r="P849" s="55" t="s">
        <v>1562</v>
      </c>
      <c r="Q849" s="55" t="s">
        <v>350</v>
      </c>
      <c r="R849" s="55">
        <v>5</v>
      </c>
      <c r="S849" s="55"/>
      <c r="T849" s="55" t="s">
        <v>1563</v>
      </c>
    </row>
    <row r="850" spans="1:20" ht="13" x14ac:dyDescent="0.15">
      <c r="A850" s="72" t="str">
        <f t="shared" si="13"/>
        <v>Ofsted Social Care Provider Webpage</v>
      </c>
      <c r="B850" s="55">
        <v>2541440</v>
      </c>
      <c r="D850" s="55" t="s">
        <v>373</v>
      </c>
      <c r="E850" s="74">
        <v>43871</v>
      </c>
      <c r="F850" s="55" t="s">
        <v>344</v>
      </c>
      <c r="G850" s="55" t="s">
        <v>360</v>
      </c>
      <c r="H850" s="55" t="s">
        <v>360</v>
      </c>
      <c r="I850" s="55" t="s">
        <v>360</v>
      </c>
      <c r="J850" s="55" t="s">
        <v>360</v>
      </c>
      <c r="K850" s="55" t="s">
        <v>360</v>
      </c>
      <c r="L850" s="55" t="s">
        <v>360</v>
      </c>
      <c r="M850" s="55" t="s">
        <v>142</v>
      </c>
      <c r="N850" s="55" t="s">
        <v>142</v>
      </c>
      <c r="O850" s="55" t="s">
        <v>262</v>
      </c>
      <c r="P850" s="55" t="s">
        <v>949</v>
      </c>
      <c r="Q850" s="55" t="s">
        <v>350</v>
      </c>
      <c r="R850" s="55">
        <v>3</v>
      </c>
      <c r="S850" s="55"/>
      <c r="T850" s="55" t="s">
        <v>1564</v>
      </c>
    </row>
    <row r="851" spans="1:20" ht="13" x14ac:dyDescent="0.15">
      <c r="A851" s="72" t="str">
        <f t="shared" si="13"/>
        <v>Ofsted Social Care Provider Webpage</v>
      </c>
      <c r="B851" s="55">
        <v>2541449</v>
      </c>
      <c r="D851" s="55" t="s">
        <v>373</v>
      </c>
      <c r="E851" s="74">
        <v>43843</v>
      </c>
      <c r="F851" s="55" t="s">
        <v>344</v>
      </c>
      <c r="G851" s="55" t="s">
        <v>360</v>
      </c>
      <c r="H851" s="55" t="s">
        <v>360</v>
      </c>
      <c r="I851" s="55" t="s">
        <v>360</v>
      </c>
      <c r="J851" s="55" t="s">
        <v>360</v>
      </c>
      <c r="K851" s="55" t="s">
        <v>360</v>
      </c>
      <c r="L851" s="55" t="s">
        <v>360</v>
      </c>
      <c r="M851" s="55" t="s">
        <v>144</v>
      </c>
      <c r="N851" s="55" t="s">
        <v>144</v>
      </c>
      <c r="O851" s="55" t="s">
        <v>162</v>
      </c>
      <c r="P851" s="55" t="s">
        <v>1502</v>
      </c>
      <c r="Q851" s="55" t="s">
        <v>362</v>
      </c>
      <c r="R851" s="55">
        <v>3</v>
      </c>
      <c r="S851" s="55"/>
      <c r="T851" s="55" t="s">
        <v>1565</v>
      </c>
    </row>
    <row r="852" spans="1:20" ht="13" x14ac:dyDescent="0.15">
      <c r="A852" s="72" t="str">
        <f t="shared" si="13"/>
        <v>Ofsted Social Care Provider Webpage</v>
      </c>
      <c r="B852" s="55">
        <v>2541467</v>
      </c>
      <c r="D852" s="55" t="s">
        <v>373</v>
      </c>
      <c r="E852" s="74">
        <v>43815</v>
      </c>
      <c r="F852" s="55" t="s">
        <v>344</v>
      </c>
      <c r="G852" s="55" t="s">
        <v>360</v>
      </c>
      <c r="H852" s="55" t="s">
        <v>360</v>
      </c>
      <c r="I852" s="55" t="s">
        <v>360</v>
      </c>
      <c r="J852" s="55" t="s">
        <v>360</v>
      </c>
      <c r="K852" s="55" t="s">
        <v>360</v>
      </c>
      <c r="L852" s="55" t="s">
        <v>360</v>
      </c>
      <c r="M852" s="55" t="s">
        <v>144</v>
      </c>
      <c r="N852" s="55" t="s">
        <v>144</v>
      </c>
      <c r="O852" s="55" t="s">
        <v>215</v>
      </c>
      <c r="P852" s="55" t="s">
        <v>1440</v>
      </c>
      <c r="Q852" s="55" t="s">
        <v>350</v>
      </c>
      <c r="R852" s="55">
        <v>4</v>
      </c>
      <c r="S852" s="55"/>
      <c r="T852" s="55" t="s">
        <v>1566</v>
      </c>
    </row>
    <row r="853" spans="1:20" ht="13" x14ac:dyDescent="0.15">
      <c r="A853" s="72" t="str">
        <f t="shared" si="13"/>
        <v>Ofsted Social Care Provider Webpage</v>
      </c>
      <c r="B853" s="55">
        <v>2541624</v>
      </c>
      <c r="D853" s="55" t="s">
        <v>389</v>
      </c>
      <c r="E853" s="74">
        <v>43741</v>
      </c>
      <c r="F853" s="55" t="s">
        <v>344</v>
      </c>
      <c r="G853" s="55" t="s">
        <v>1390</v>
      </c>
      <c r="H853" s="55" t="s">
        <v>1567</v>
      </c>
      <c r="I853" s="55" t="s">
        <v>1568</v>
      </c>
      <c r="J853" s="55" t="s">
        <v>745</v>
      </c>
      <c r="K853" s="55" t="s">
        <v>1569</v>
      </c>
      <c r="L853" s="55" t="s">
        <v>746</v>
      </c>
      <c r="M853" s="55" t="s">
        <v>142</v>
      </c>
      <c r="N853" s="55" t="s">
        <v>142</v>
      </c>
      <c r="O853" s="55" t="s">
        <v>195</v>
      </c>
      <c r="P853" s="55" t="s">
        <v>747</v>
      </c>
      <c r="Q853" s="55" t="s">
        <v>350</v>
      </c>
      <c r="R853" s="55"/>
      <c r="S853" s="55"/>
      <c r="T853" s="55" t="s">
        <v>1395</v>
      </c>
    </row>
    <row r="854" spans="1:20" ht="13" x14ac:dyDescent="0.15">
      <c r="A854" s="72" t="str">
        <f t="shared" si="13"/>
        <v>Ofsted Social Care Provider Webpage</v>
      </c>
      <c r="B854" s="55">
        <v>2541993</v>
      </c>
      <c r="D854" s="55" t="s">
        <v>373</v>
      </c>
      <c r="E854" s="74">
        <v>43836</v>
      </c>
      <c r="F854" s="55" t="s">
        <v>344</v>
      </c>
      <c r="G854" s="55" t="s">
        <v>360</v>
      </c>
      <c r="H854" s="55" t="s">
        <v>360</v>
      </c>
      <c r="I854" s="55" t="s">
        <v>360</v>
      </c>
      <c r="J854" s="55" t="s">
        <v>360</v>
      </c>
      <c r="K854" s="55" t="s">
        <v>360</v>
      </c>
      <c r="L854" s="55" t="s">
        <v>360</v>
      </c>
      <c r="M854" s="55" t="s">
        <v>172</v>
      </c>
      <c r="N854" s="55" t="s">
        <v>172</v>
      </c>
      <c r="O854" s="55" t="s">
        <v>228</v>
      </c>
      <c r="P854" s="55" t="s">
        <v>423</v>
      </c>
      <c r="Q854" s="55" t="s">
        <v>350</v>
      </c>
      <c r="R854" s="55">
        <v>4</v>
      </c>
      <c r="S854" s="55"/>
      <c r="T854" s="55" t="s">
        <v>668</v>
      </c>
    </row>
    <row r="855" spans="1:20" ht="13" x14ac:dyDescent="0.15">
      <c r="A855" s="72" t="str">
        <f t="shared" si="13"/>
        <v>Ofsted Social Care Provider Webpage</v>
      </c>
      <c r="B855" s="55">
        <v>2542024</v>
      </c>
      <c r="D855" s="55" t="s">
        <v>373</v>
      </c>
      <c r="E855" s="74">
        <v>43707</v>
      </c>
      <c r="F855" s="55" t="s">
        <v>344</v>
      </c>
      <c r="G855" s="55" t="s">
        <v>360</v>
      </c>
      <c r="H855" s="55" t="s">
        <v>360</v>
      </c>
      <c r="I855" s="55" t="s">
        <v>360</v>
      </c>
      <c r="J855" s="55" t="s">
        <v>360</v>
      </c>
      <c r="K855" s="55" t="s">
        <v>360</v>
      </c>
      <c r="L855" s="55" t="s">
        <v>360</v>
      </c>
      <c r="M855" s="55" t="s">
        <v>144</v>
      </c>
      <c r="N855" s="55" t="s">
        <v>144</v>
      </c>
      <c r="O855" s="55" t="s">
        <v>217</v>
      </c>
      <c r="P855" s="55" t="s">
        <v>384</v>
      </c>
      <c r="Q855" s="55" t="s">
        <v>350</v>
      </c>
      <c r="R855" s="55">
        <v>2</v>
      </c>
      <c r="S855" s="55"/>
      <c r="T855" s="55" t="s">
        <v>1570</v>
      </c>
    </row>
    <row r="856" spans="1:20" ht="13" x14ac:dyDescent="0.15">
      <c r="A856" s="72" t="str">
        <f t="shared" si="13"/>
        <v>Ofsted Social Care Provider Webpage</v>
      </c>
      <c r="B856" s="55">
        <v>2542463</v>
      </c>
      <c r="D856" s="55" t="s">
        <v>389</v>
      </c>
      <c r="E856" s="74">
        <v>44012</v>
      </c>
      <c r="F856" s="55" t="s">
        <v>344</v>
      </c>
      <c r="G856" s="55" t="s">
        <v>1571</v>
      </c>
      <c r="H856" s="55" t="s">
        <v>1572</v>
      </c>
      <c r="I856" s="55" t="s">
        <v>1573</v>
      </c>
      <c r="J856" s="55" t="s">
        <v>1437</v>
      </c>
      <c r="K856" s="55" t="s">
        <v>262</v>
      </c>
      <c r="L856" s="55" t="s">
        <v>1574</v>
      </c>
      <c r="M856" s="55" t="s">
        <v>142</v>
      </c>
      <c r="N856" s="55" t="s">
        <v>142</v>
      </c>
      <c r="O856" s="55" t="s">
        <v>265</v>
      </c>
      <c r="P856" s="55" t="s">
        <v>1215</v>
      </c>
      <c r="Q856" s="55" t="s">
        <v>350</v>
      </c>
      <c r="R856" s="55"/>
      <c r="S856" s="55"/>
      <c r="T856" s="55" t="s">
        <v>1571</v>
      </c>
    </row>
    <row r="857" spans="1:20" ht="13" x14ac:dyDescent="0.15">
      <c r="A857" s="72" t="str">
        <f t="shared" si="13"/>
        <v>Ofsted Social Care Provider Webpage</v>
      </c>
      <c r="B857" s="55">
        <v>2542730</v>
      </c>
      <c r="D857" s="55" t="s">
        <v>373</v>
      </c>
      <c r="E857" s="74">
        <v>43710</v>
      </c>
      <c r="F857" s="55" t="s">
        <v>344</v>
      </c>
      <c r="G857" s="55" t="s">
        <v>360</v>
      </c>
      <c r="H857" s="55" t="s">
        <v>360</v>
      </c>
      <c r="I857" s="55" t="s">
        <v>360</v>
      </c>
      <c r="J857" s="55" t="s">
        <v>360</v>
      </c>
      <c r="K857" s="55" t="s">
        <v>360</v>
      </c>
      <c r="L857" s="55" t="s">
        <v>360</v>
      </c>
      <c r="M857" s="55" t="s">
        <v>378</v>
      </c>
      <c r="N857" s="55" t="s">
        <v>134</v>
      </c>
      <c r="O857" s="55" t="s">
        <v>277</v>
      </c>
      <c r="P857" s="55" t="s">
        <v>461</v>
      </c>
      <c r="Q857" s="55" t="s">
        <v>380</v>
      </c>
      <c r="R857" s="55">
        <v>2</v>
      </c>
      <c r="S857" s="55"/>
      <c r="T857" s="55" t="s">
        <v>1575</v>
      </c>
    </row>
    <row r="858" spans="1:20" ht="13" x14ac:dyDescent="0.15">
      <c r="A858" s="72" t="str">
        <f t="shared" si="13"/>
        <v>Ofsted Social Care Provider Webpage</v>
      </c>
      <c r="B858" s="55">
        <v>2542813</v>
      </c>
      <c r="D858" s="55" t="s">
        <v>373</v>
      </c>
      <c r="E858" s="74">
        <v>43735</v>
      </c>
      <c r="F858" s="55" t="s">
        <v>344</v>
      </c>
      <c r="G858" s="55" t="s">
        <v>360</v>
      </c>
      <c r="H858" s="55" t="s">
        <v>360</v>
      </c>
      <c r="I858" s="55" t="s">
        <v>360</v>
      </c>
      <c r="J858" s="55" t="s">
        <v>360</v>
      </c>
      <c r="K858" s="55" t="s">
        <v>360</v>
      </c>
      <c r="L858" s="55" t="s">
        <v>360</v>
      </c>
      <c r="M858" s="55" t="s">
        <v>144</v>
      </c>
      <c r="N858" s="55" t="s">
        <v>144</v>
      </c>
      <c r="O858" s="55" t="s">
        <v>188</v>
      </c>
      <c r="P858" s="55" t="s">
        <v>188</v>
      </c>
      <c r="Q858" s="55" t="s">
        <v>350</v>
      </c>
      <c r="R858" s="55">
        <v>1</v>
      </c>
      <c r="S858" s="55"/>
      <c r="T858" s="55" t="s">
        <v>385</v>
      </c>
    </row>
    <row r="859" spans="1:20" ht="13" x14ac:dyDescent="0.15">
      <c r="A859" s="72" t="str">
        <f t="shared" si="13"/>
        <v>Ofsted Social Care Provider Webpage</v>
      </c>
      <c r="B859" s="55">
        <v>2543081</v>
      </c>
      <c r="D859" s="55" t="s">
        <v>373</v>
      </c>
      <c r="E859" s="74">
        <v>43699</v>
      </c>
      <c r="F859" s="55" t="s">
        <v>344</v>
      </c>
      <c r="G859" s="55" t="s">
        <v>360</v>
      </c>
      <c r="H859" s="55" t="s">
        <v>360</v>
      </c>
      <c r="I859" s="55" t="s">
        <v>360</v>
      </c>
      <c r="J859" s="55" t="s">
        <v>360</v>
      </c>
      <c r="K859" s="55" t="s">
        <v>360</v>
      </c>
      <c r="L859" s="55" t="s">
        <v>360</v>
      </c>
      <c r="M859" s="55" t="s">
        <v>142</v>
      </c>
      <c r="N859" s="55" t="s">
        <v>142</v>
      </c>
      <c r="O859" s="55" t="s">
        <v>262</v>
      </c>
      <c r="P859" s="55" t="s">
        <v>916</v>
      </c>
      <c r="Q859" s="55" t="s">
        <v>350</v>
      </c>
      <c r="R859" s="55">
        <v>3</v>
      </c>
      <c r="S859" s="55"/>
      <c r="T859" s="55" t="s">
        <v>917</v>
      </c>
    </row>
    <row r="860" spans="1:20" ht="13" x14ac:dyDescent="0.15">
      <c r="A860" s="72" t="str">
        <f t="shared" si="13"/>
        <v>Ofsted Social Care Provider Webpage</v>
      </c>
      <c r="B860" s="55">
        <v>2543427</v>
      </c>
      <c r="D860" s="55" t="s">
        <v>373</v>
      </c>
      <c r="E860" s="74">
        <v>43936</v>
      </c>
      <c r="F860" s="55" t="s">
        <v>344</v>
      </c>
      <c r="G860" s="55" t="s">
        <v>360</v>
      </c>
      <c r="H860" s="55" t="s">
        <v>360</v>
      </c>
      <c r="I860" s="55" t="s">
        <v>360</v>
      </c>
      <c r="J860" s="55" t="s">
        <v>360</v>
      </c>
      <c r="K860" s="55" t="s">
        <v>360</v>
      </c>
      <c r="L860" s="55" t="s">
        <v>360</v>
      </c>
      <c r="M860" s="55" t="s">
        <v>150</v>
      </c>
      <c r="N860" s="55" t="s">
        <v>150</v>
      </c>
      <c r="O860" s="55" t="s">
        <v>156</v>
      </c>
      <c r="P860" s="55" t="s">
        <v>1576</v>
      </c>
      <c r="Q860" s="55" t="s">
        <v>350</v>
      </c>
      <c r="R860" s="55">
        <v>4</v>
      </c>
      <c r="S860" s="55"/>
      <c r="T860" s="55" t="s">
        <v>843</v>
      </c>
    </row>
    <row r="861" spans="1:20" ht="13" x14ac:dyDescent="0.15">
      <c r="A861" s="72" t="str">
        <f t="shared" si="13"/>
        <v>Ofsted Social Care Provider Webpage</v>
      </c>
      <c r="B861" s="55">
        <v>2543640</v>
      </c>
      <c r="D861" s="55" t="s">
        <v>373</v>
      </c>
      <c r="E861" s="74">
        <v>43766</v>
      </c>
      <c r="F861" s="55" t="s">
        <v>344</v>
      </c>
      <c r="G861" s="55" t="s">
        <v>360</v>
      </c>
      <c r="H861" s="55" t="s">
        <v>360</v>
      </c>
      <c r="I861" s="55" t="s">
        <v>360</v>
      </c>
      <c r="J861" s="55" t="s">
        <v>360</v>
      </c>
      <c r="K861" s="55" t="s">
        <v>360</v>
      </c>
      <c r="L861" s="55" t="s">
        <v>360</v>
      </c>
      <c r="M861" s="55" t="s">
        <v>144</v>
      </c>
      <c r="N861" s="55" t="s">
        <v>144</v>
      </c>
      <c r="O861" s="55" t="s">
        <v>209</v>
      </c>
      <c r="P861" s="55" t="s">
        <v>545</v>
      </c>
      <c r="Q861" s="55" t="s">
        <v>350</v>
      </c>
      <c r="R861" s="55">
        <v>3</v>
      </c>
      <c r="S861" s="55"/>
      <c r="T861" s="55" t="s">
        <v>1577</v>
      </c>
    </row>
    <row r="862" spans="1:20" ht="13" x14ac:dyDescent="0.15">
      <c r="A862" s="72" t="str">
        <f t="shared" si="13"/>
        <v>Ofsted Social Care Provider Webpage</v>
      </c>
      <c r="B862" s="55">
        <v>2543646</v>
      </c>
      <c r="C862" s="55">
        <v>131181</v>
      </c>
      <c r="D862" s="55" t="s">
        <v>398</v>
      </c>
      <c r="E862" s="74">
        <v>43627</v>
      </c>
      <c r="F862" s="55" t="s">
        <v>344</v>
      </c>
      <c r="G862" s="55" t="s">
        <v>1578</v>
      </c>
      <c r="H862" s="55" t="s">
        <v>1579</v>
      </c>
      <c r="I862" s="55" t="s">
        <v>1580</v>
      </c>
      <c r="J862" s="55" t="s">
        <v>593</v>
      </c>
      <c r="K862" s="55" t="s">
        <v>203</v>
      </c>
      <c r="L862" s="55" t="s">
        <v>1581</v>
      </c>
      <c r="M862" s="55" t="s">
        <v>150</v>
      </c>
      <c r="N862" s="55" t="s">
        <v>150</v>
      </c>
      <c r="O862" s="55" t="s">
        <v>203</v>
      </c>
      <c r="P862" s="55" t="s">
        <v>593</v>
      </c>
      <c r="Q862" s="55" t="s">
        <v>350</v>
      </c>
      <c r="R862" s="55">
        <v>26</v>
      </c>
      <c r="S862" s="55"/>
    </row>
    <row r="863" spans="1:20" ht="13" x14ac:dyDescent="0.15">
      <c r="A863" s="72" t="str">
        <f t="shared" si="13"/>
        <v>Ofsted Social Care Provider Webpage</v>
      </c>
      <c r="B863" s="55">
        <v>2544217</v>
      </c>
      <c r="D863" s="55" t="s">
        <v>373</v>
      </c>
      <c r="E863" s="74">
        <v>43664</v>
      </c>
      <c r="F863" s="55" t="s">
        <v>344</v>
      </c>
      <c r="G863" s="55" t="s">
        <v>360</v>
      </c>
      <c r="H863" s="55" t="s">
        <v>360</v>
      </c>
      <c r="I863" s="55" t="s">
        <v>360</v>
      </c>
      <c r="J863" s="55" t="s">
        <v>360</v>
      </c>
      <c r="K863" s="55" t="s">
        <v>360</v>
      </c>
      <c r="L863" s="55" t="s">
        <v>360</v>
      </c>
      <c r="M863" s="55" t="s">
        <v>172</v>
      </c>
      <c r="N863" s="55" t="s">
        <v>172</v>
      </c>
      <c r="O863" s="55" t="s">
        <v>235</v>
      </c>
      <c r="P863" s="55" t="s">
        <v>855</v>
      </c>
      <c r="Q863" s="55" t="s">
        <v>350</v>
      </c>
      <c r="R863" s="55">
        <v>5</v>
      </c>
      <c r="S863" s="55"/>
      <c r="T863" s="55" t="s">
        <v>1582</v>
      </c>
    </row>
    <row r="864" spans="1:20" ht="13" x14ac:dyDescent="0.15">
      <c r="A864" s="72" t="str">
        <f t="shared" si="13"/>
        <v>Ofsted Social Care Provider Webpage</v>
      </c>
      <c r="B864" s="55">
        <v>2544219</v>
      </c>
      <c r="D864" s="55" t="s">
        <v>373</v>
      </c>
      <c r="E864" s="74">
        <v>44018</v>
      </c>
      <c r="F864" s="55" t="s">
        <v>344</v>
      </c>
      <c r="G864" s="55" t="s">
        <v>360</v>
      </c>
      <c r="H864" s="55" t="s">
        <v>360</v>
      </c>
      <c r="I864" s="55" t="s">
        <v>360</v>
      </c>
      <c r="J864" s="55" t="s">
        <v>360</v>
      </c>
      <c r="K864" s="55" t="s">
        <v>360</v>
      </c>
      <c r="L864" s="55" t="s">
        <v>360</v>
      </c>
      <c r="M864" s="55" t="s">
        <v>378</v>
      </c>
      <c r="N864" s="55" t="s">
        <v>134</v>
      </c>
      <c r="O864" s="55" t="s">
        <v>180</v>
      </c>
      <c r="P864" s="55" t="s">
        <v>1249</v>
      </c>
      <c r="Q864" s="55" t="s">
        <v>350</v>
      </c>
      <c r="R864" s="55">
        <v>2</v>
      </c>
      <c r="S864" s="55"/>
      <c r="T864" s="55" t="s">
        <v>1484</v>
      </c>
    </row>
    <row r="865" spans="1:20" ht="13" x14ac:dyDescent="0.15">
      <c r="A865" s="72" t="str">
        <f t="shared" si="13"/>
        <v>Ofsted Social Care Provider Webpage</v>
      </c>
      <c r="B865" s="55">
        <v>2544274</v>
      </c>
      <c r="D865" s="55" t="s">
        <v>373</v>
      </c>
      <c r="E865" s="74">
        <v>43710</v>
      </c>
      <c r="F865" s="55" t="s">
        <v>344</v>
      </c>
      <c r="G865" s="55" t="s">
        <v>360</v>
      </c>
      <c r="H865" s="55" t="s">
        <v>360</v>
      </c>
      <c r="I865" s="55" t="s">
        <v>360</v>
      </c>
      <c r="J865" s="55" t="s">
        <v>360</v>
      </c>
      <c r="K865" s="55" t="s">
        <v>360</v>
      </c>
      <c r="L865" s="55" t="s">
        <v>360</v>
      </c>
      <c r="M865" s="55" t="s">
        <v>378</v>
      </c>
      <c r="N865" s="55" t="s">
        <v>134</v>
      </c>
      <c r="O865" s="55" t="s">
        <v>277</v>
      </c>
      <c r="P865" s="55" t="s">
        <v>461</v>
      </c>
      <c r="Q865" s="55" t="s">
        <v>380</v>
      </c>
      <c r="R865" s="55">
        <v>2</v>
      </c>
      <c r="S865" s="55"/>
      <c r="T865" s="55" t="s">
        <v>1575</v>
      </c>
    </row>
    <row r="866" spans="1:20" ht="13" x14ac:dyDescent="0.15">
      <c r="A866" s="72" t="str">
        <f t="shared" si="13"/>
        <v>Ofsted Social Care Provider Webpage</v>
      </c>
      <c r="B866" s="55">
        <v>2544803</v>
      </c>
      <c r="D866" s="55" t="s">
        <v>373</v>
      </c>
      <c r="E866" s="74">
        <v>43714</v>
      </c>
      <c r="F866" s="55" t="s">
        <v>344</v>
      </c>
      <c r="G866" s="55" t="s">
        <v>360</v>
      </c>
      <c r="H866" s="55" t="s">
        <v>360</v>
      </c>
      <c r="I866" s="55" t="s">
        <v>360</v>
      </c>
      <c r="J866" s="55" t="s">
        <v>360</v>
      </c>
      <c r="K866" s="55" t="s">
        <v>360</v>
      </c>
      <c r="L866" s="55" t="s">
        <v>360</v>
      </c>
      <c r="M866" s="55" t="s">
        <v>138</v>
      </c>
      <c r="N866" s="55" t="s">
        <v>138</v>
      </c>
      <c r="O866" s="55" t="s">
        <v>183</v>
      </c>
      <c r="P866" s="55" t="s">
        <v>907</v>
      </c>
      <c r="Q866" s="55" t="s">
        <v>350</v>
      </c>
      <c r="R866" s="55">
        <v>4</v>
      </c>
      <c r="S866" s="55"/>
      <c r="T866" s="55" t="s">
        <v>385</v>
      </c>
    </row>
    <row r="867" spans="1:20" ht="13" x14ac:dyDescent="0.15">
      <c r="A867" s="72" t="str">
        <f t="shared" si="13"/>
        <v>Ofsted Social Care Provider Webpage</v>
      </c>
      <c r="B867" s="55">
        <v>2544851</v>
      </c>
      <c r="D867" s="55" t="s">
        <v>373</v>
      </c>
      <c r="E867" s="74">
        <v>43803</v>
      </c>
      <c r="F867" s="55" t="s">
        <v>344</v>
      </c>
      <c r="G867" s="55" t="s">
        <v>360</v>
      </c>
      <c r="H867" s="55" t="s">
        <v>360</v>
      </c>
      <c r="I867" s="55" t="s">
        <v>360</v>
      </c>
      <c r="J867" s="55" t="s">
        <v>360</v>
      </c>
      <c r="K867" s="55" t="s">
        <v>360</v>
      </c>
      <c r="L867" s="55" t="s">
        <v>360</v>
      </c>
      <c r="M867" s="55" t="s">
        <v>378</v>
      </c>
      <c r="N867" s="55" t="s">
        <v>170</v>
      </c>
      <c r="O867" s="55" t="s">
        <v>267</v>
      </c>
      <c r="P867" s="55" t="s">
        <v>477</v>
      </c>
      <c r="Q867" s="55" t="s">
        <v>350</v>
      </c>
      <c r="R867" s="55">
        <v>3</v>
      </c>
      <c r="S867" s="55"/>
      <c r="T867" s="55" t="s">
        <v>1583</v>
      </c>
    </row>
    <row r="868" spans="1:20" ht="13" x14ac:dyDescent="0.15">
      <c r="A868" s="72" t="str">
        <f t="shared" si="13"/>
        <v>Ofsted Social Care Provider Webpage</v>
      </c>
      <c r="B868" s="55">
        <v>2544885</v>
      </c>
      <c r="D868" s="55" t="s">
        <v>373</v>
      </c>
      <c r="E868" s="74">
        <v>43678</v>
      </c>
      <c r="F868" s="55" t="s">
        <v>344</v>
      </c>
      <c r="G868" s="55" t="s">
        <v>360</v>
      </c>
      <c r="H868" s="55" t="s">
        <v>360</v>
      </c>
      <c r="I868" s="55" t="s">
        <v>360</v>
      </c>
      <c r="J868" s="55" t="s">
        <v>360</v>
      </c>
      <c r="K868" s="55" t="s">
        <v>360</v>
      </c>
      <c r="L868" s="55" t="s">
        <v>360</v>
      </c>
      <c r="M868" s="55" t="s">
        <v>129</v>
      </c>
      <c r="N868" s="55" t="s">
        <v>129</v>
      </c>
      <c r="O868" s="55" t="s">
        <v>179</v>
      </c>
      <c r="P868" s="55" t="s">
        <v>1584</v>
      </c>
      <c r="Q868" s="55" t="s">
        <v>350</v>
      </c>
      <c r="R868" s="55">
        <v>4</v>
      </c>
      <c r="S868" s="55"/>
      <c r="T868" s="55" t="s">
        <v>1585</v>
      </c>
    </row>
    <row r="869" spans="1:20" ht="13" x14ac:dyDescent="0.15">
      <c r="A869" s="72" t="str">
        <f t="shared" si="13"/>
        <v>Ofsted Social Care Provider Webpage</v>
      </c>
      <c r="B869" s="55">
        <v>2545027</v>
      </c>
      <c r="D869" s="55" t="s">
        <v>373</v>
      </c>
      <c r="E869" s="74">
        <v>43728</v>
      </c>
      <c r="F869" s="55" t="s">
        <v>344</v>
      </c>
      <c r="G869" s="55" t="s">
        <v>360</v>
      </c>
      <c r="H869" s="55" t="s">
        <v>360</v>
      </c>
      <c r="I869" s="55" t="s">
        <v>360</v>
      </c>
      <c r="J869" s="55" t="s">
        <v>360</v>
      </c>
      <c r="K869" s="55" t="s">
        <v>360</v>
      </c>
      <c r="L869" s="55" t="s">
        <v>360</v>
      </c>
      <c r="M869" s="55" t="s">
        <v>172</v>
      </c>
      <c r="N869" s="55" t="s">
        <v>172</v>
      </c>
      <c r="O869" s="55" t="s">
        <v>284</v>
      </c>
      <c r="P869" s="55" t="s">
        <v>985</v>
      </c>
      <c r="Q869" s="55" t="s">
        <v>350</v>
      </c>
      <c r="R869" s="55">
        <v>2</v>
      </c>
      <c r="S869" s="55"/>
      <c r="T869" s="55" t="s">
        <v>1586</v>
      </c>
    </row>
    <row r="870" spans="1:20" ht="13" x14ac:dyDescent="0.15">
      <c r="A870" s="72" t="str">
        <f t="shared" si="13"/>
        <v>Ofsted Social Care Provider Webpage</v>
      </c>
      <c r="B870" s="55">
        <v>2545082</v>
      </c>
      <c r="D870" s="55" t="s">
        <v>373</v>
      </c>
      <c r="E870" s="74">
        <v>43713</v>
      </c>
      <c r="F870" s="55" t="s">
        <v>344</v>
      </c>
      <c r="G870" s="55" t="s">
        <v>360</v>
      </c>
      <c r="H870" s="55" t="s">
        <v>360</v>
      </c>
      <c r="I870" s="55" t="s">
        <v>360</v>
      </c>
      <c r="J870" s="55" t="s">
        <v>360</v>
      </c>
      <c r="K870" s="55" t="s">
        <v>360</v>
      </c>
      <c r="L870" s="55" t="s">
        <v>360</v>
      </c>
      <c r="M870" s="55" t="s">
        <v>144</v>
      </c>
      <c r="N870" s="55" t="s">
        <v>144</v>
      </c>
      <c r="O870" s="55" t="s">
        <v>163</v>
      </c>
      <c r="P870" s="55" t="s">
        <v>1587</v>
      </c>
      <c r="Q870" s="55" t="s">
        <v>350</v>
      </c>
      <c r="R870" s="55">
        <v>2</v>
      </c>
      <c r="S870" s="55"/>
      <c r="T870" s="55" t="s">
        <v>1588</v>
      </c>
    </row>
    <row r="871" spans="1:20" ht="13" x14ac:dyDescent="0.15">
      <c r="A871" s="72" t="str">
        <f t="shared" si="13"/>
        <v>Ofsted Social Care Provider Webpage</v>
      </c>
      <c r="B871" s="55">
        <v>2545733</v>
      </c>
      <c r="D871" s="55" t="s">
        <v>373</v>
      </c>
      <c r="E871" s="74">
        <v>43761</v>
      </c>
      <c r="F871" s="55" t="s">
        <v>344</v>
      </c>
      <c r="G871" s="55" t="s">
        <v>360</v>
      </c>
      <c r="H871" s="55" t="s">
        <v>360</v>
      </c>
      <c r="I871" s="55" t="s">
        <v>360</v>
      </c>
      <c r="J871" s="55" t="s">
        <v>360</v>
      </c>
      <c r="K871" s="55" t="s">
        <v>360</v>
      </c>
      <c r="L871" s="55" t="s">
        <v>360</v>
      </c>
      <c r="M871" s="55" t="s">
        <v>144</v>
      </c>
      <c r="N871" s="55" t="s">
        <v>144</v>
      </c>
      <c r="O871" s="55" t="s">
        <v>209</v>
      </c>
      <c r="P871" s="55" t="s">
        <v>544</v>
      </c>
      <c r="Q871" s="55" t="s">
        <v>350</v>
      </c>
      <c r="R871" s="55">
        <v>4</v>
      </c>
      <c r="S871" s="55"/>
      <c r="T871" s="55" t="s">
        <v>1589</v>
      </c>
    </row>
    <row r="872" spans="1:20" ht="13" x14ac:dyDescent="0.15">
      <c r="A872" s="72" t="str">
        <f t="shared" si="13"/>
        <v>Ofsted Social Care Provider Webpage</v>
      </c>
      <c r="B872" s="55">
        <v>2546172</v>
      </c>
      <c r="D872" s="55" t="s">
        <v>373</v>
      </c>
      <c r="E872" s="74">
        <v>43781</v>
      </c>
      <c r="F872" s="55" t="s">
        <v>344</v>
      </c>
      <c r="G872" s="55" t="s">
        <v>360</v>
      </c>
      <c r="H872" s="55" t="s">
        <v>360</v>
      </c>
      <c r="I872" s="55" t="s">
        <v>360</v>
      </c>
      <c r="J872" s="55" t="s">
        <v>360</v>
      </c>
      <c r="K872" s="55" t="s">
        <v>360</v>
      </c>
      <c r="L872" s="55" t="s">
        <v>360</v>
      </c>
      <c r="M872" s="55" t="s">
        <v>142</v>
      </c>
      <c r="N872" s="55" t="s">
        <v>142</v>
      </c>
      <c r="O872" s="55" t="s">
        <v>141</v>
      </c>
      <c r="P872" s="55" t="s">
        <v>774</v>
      </c>
      <c r="Q872" s="55" t="s">
        <v>350</v>
      </c>
      <c r="R872" s="55">
        <v>3</v>
      </c>
      <c r="S872" s="55"/>
      <c r="T872" s="55" t="s">
        <v>642</v>
      </c>
    </row>
    <row r="873" spans="1:20" ht="13" x14ac:dyDescent="0.15">
      <c r="A873" s="72" t="str">
        <f t="shared" si="13"/>
        <v>Ofsted Social Care Provider Webpage</v>
      </c>
      <c r="B873" s="55">
        <v>2546196</v>
      </c>
      <c r="D873" s="55" t="s">
        <v>373</v>
      </c>
      <c r="E873" s="74">
        <v>43734</v>
      </c>
      <c r="F873" s="55" t="s">
        <v>344</v>
      </c>
      <c r="G873" s="55" t="s">
        <v>360</v>
      </c>
      <c r="H873" s="55" t="s">
        <v>360</v>
      </c>
      <c r="I873" s="55" t="s">
        <v>360</v>
      </c>
      <c r="J873" s="55" t="s">
        <v>360</v>
      </c>
      <c r="K873" s="55" t="s">
        <v>360</v>
      </c>
      <c r="L873" s="55" t="s">
        <v>360</v>
      </c>
      <c r="M873" s="55" t="s">
        <v>138</v>
      </c>
      <c r="N873" s="55" t="s">
        <v>138</v>
      </c>
      <c r="O873" s="55" t="s">
        <v>183</v>
      </c>
      <c r="P873" s="55" t="s">
        <v>730</v>
      </c>
      <c r="Q873" s="55" t="s">
        <v>350</v>
      </c>
      <c r="R873" s="55">
        <v>6</v>
      </c>
      <c r="S873" s="55"/>
      <c r="T873" s="55" t="s">
        <v>1590</v>
      </c>
    </row>
    <row r="874" spans="1:20" ht="13" x14ac:dyDescent="0.15">
      <c r="A874" s="72" t="str">
        <f t="shared" si="13"/>
        <v>Ofsted Social Care Provider Webpage</v>
      </c>
      <c r="B874" s="55">
        <v>2546474</v>
      </c>
      <c r="D874" s="55" t="s">
        <v>373</v>
      </c>
      <c r="E874" s="74">
        <v>43839</v>
      </c>
      <c r="F874" s="55" t="s">
        <v>344</v>
      </c>
      <c r="G874" s="55" t="s">
        <v>360</v>
      </c>
      <c r="H874" s="55" t="s">
        <v>360</v>
      </c>
      <c r="I874" s="55" t="s">
        <v>360</v>
      </c>
      <c r="J874" s="55" t="s">
        <v>360</v>
      </c>
      <c r="K874" s="55" t="s">
        <v>360</v>
      </c>
      <c r="L874" s="55" t="s">
        <v>360</v>
      </c>
      <c r="M874" s="55" t="s">
        <v>142</v>
      </c>
      <c r="N874" s="55" t="s">
        <v>142</v>
      </c>
      <c r="O874" s="55" t="s">
        <v>292</v>
      </c>
      <c r="P874" s="55" t="s">
        <v>1162</v>
      </c>
      <c r="Q874" s="55" t="s">
        <v>350</v>
      </c>
      <c r="R874" s="55">
        <v>3</v>
      </c>
      <c r="S874" s="55"/>
      <c r="T874" s="55" t="s">
        <v>1127</v>
      </c>
    </row>
    <row r="875" spans="1:20" ht="13" x14ac:dyDescent="0.15">
      <c r="A875" s="72" t="str">
        <f t="shared" si="13"/>
        <v>Ofsted Social Care Provider Webpage</v>
      </c>
      <c r="B875" s="55">
        <v>2546476</v>
      </c>
      <c r="D875" s="55" t="s">
        <v>373</v>
      </c>
      <c r="E875" s="74">
        <v>43772</v>
      </c>
      <c r="F875" s="55" t="s">
        <v>344</v>
      </c>
      <c r="G875" s="55" t="s">
        <v>360</v>
      </c>
      <c r="H875" s="55" t="s">
        <v>360</v>
      </c>
      <c r="I875" s="55" t="s">
        <v>360</v>
      </c>
      <c r="J875" s="55" t="s">
        <v>360</v>
      </c>
      <c r="K875" s="55" t="s">
        <v>360</v>
      </c>
      <c r="L875" s="55" t="s">
        <v>360</v>
      </c>
      <c r="M875" s="55" t="s">
        <v>150</v>
      </c>
      <c r="N875" s="55" t="s">
        <v>150</v>
      </c>
      <c r="O875" s="55" t="s">
        <v>283</v>
      </c>
      <c r="P875" s="55" t="s">
        <v>1333</v>
      </c>
      <c r="Q875" s="55" t="s">
        <v>350</v>
      </c>
      <c r="R875" s="55">
        <v>6</v>
      </c>
      <c r="S875" s="55"/>
      <c r="T875" s="55" t="s">
        <v>755</v>
      </c>
    </row>
    <row r="876" spans="1:20" ht="13" x14ac:dyDescent="0.15">
      <c r="A876" s="72" t="str">
        <f t="shared" si="13"/>
        <v>Ofsted Social Care Provider Webpage</v>
      </c>
      <c r="B876" s="55">
        <v>2546960</v>
      </c>
      <c r="D876" s="55" t="s">
        <v>373</v>
      </c>
      <c r="E876" s="74">
        <v>43691</v>
      </c>
      <c r="F876" s="55" t="s">
        <v>344</v>
      </c>
      <c r="G876" s="55" t="s">
        <v>360</v>
      </c>
      <c r="H876" s="55" t="s">
        <v>360</v>
      </c>
      <c r="I876" s="55" t="s">
        <v>360</v>
      </c>
      <c r="J876" s="55" t="s">
        <v>360</v>
      </c>
      <c r="K876" s="55" t="s">
        <v>360</v>
      </c>
      <c r="L876" s="55" t="s">
        <v>360</v>
      </c>
      <c r="M876" s="55" t="s">
        <v>136</v>
      </c>
      <c r="N876" s="55" t="s">
        <v>136</v>
      </c>
      <c r="O876" s="55" t="s">
        <v>174</v>
      </c>
      <c r="P876" s="55" t="s">
        <v>857</v>
      </c>
      <c r="Q876" s="55" t="s">
        <v>350</v>
      </c>
      <c r="R876" s="55">
        <v>2</v>
      </c>
      <c r="S876" s="55"/>
      <c r="T876" s="55" t="s">
        <v>1295</v>
      </c>
    </row>
    <row r="877" spans="1:20" ht="13" x14ac:dyDescent="0.15">
      <c r="A877" s="72" t="str">
        <f t="shared" si="13"/>
        <v>Ofsted Social Care Provider Webpage</v>
      </c>
      <c r="B877" s="55">
        <v>2547305</v>
      </c>
      <c r="D877" s="55" t="s">
        <v>451</v>
      </c>
      <c r="E877" s="74">
        <v>43850</v>
      </c>
      <c r="F877" s="55" t="s">
        <v>344</v>
      </c>
      <c r="G877" s="55" t="s">
        <v>1591</v>
      </c>
      <c r="H877" s="55" t="s">
        <v>1592</v>
      </c>
      <c r="I877" s="55" t="s">
        <v>1593</v>
      </c>
      <c r="J877" s="55" t="s">
        <v>137</v>
      </c>
      <c r="K877" s="55" t="s">
        <v>820</v>
      </c>
      <c r="L877" s="55" t="s">
        <v>1594</v>
      </c>
      <c r="M877" s="55" t="s">
        <v>138</v>
      </c>
      <c r="N877" s="55" t="s">
        <v>138</v>
      </c>
      <c r="O877" s="55" t="s">
        <v>137</v>
      </c>
      <c r="P877" s="55" t="s">
        <v>137</v>
      </c>
      <c r="Q877" s="55" t="s">
        <v>350</v>
      </c>
      <c r="R877" s="55">
        <v>4</v>
      </c>
      <c r="S877" s="55"/>
      <c r="T877" s="55" t="s">
        <v>1595</v>
      </c>
    </row>
    <row r="878" spans="1:20" ht="13" x14ac:dyDescent="0.15">
      <c r="A878" s="72" t="str">
        <f t="shared" si="13"/>
        <v>Ofsted Social Care Provider Webpage</v>
      </c>
      <c r="B878" s="55">
        <v>2547511</v>
      </c>
      <c r="D878" s="55" t="s">
        <v>373</v>
      </c>
      <c r="E878" s="74">
        <v>43882</v>
      </c>
      <c r="F878" s="55" t="s">
        <v>344</v>
      </c>
      <c r="G878" s="55" t="s">
        <v>360</v>
      </c>
      <c r="H878" s="55" t="s">
        <v>360</v>
      </c>
      <c r="I878" s="55" t="s">
        <v>360</v>
      </c>
      <c r="J878" s="55" t="s">
        <v>360</v>
      </c>
      <c r="K878" s="55" t="s">
        <v>360</v>
      </c>
      <c r="L878" s="55" t="s">
        <v>360</v>
      </c>
      <c r="M878" s="55" t="s">
        <v>129</v>
      </c>
      <c r="N878" s="55" t="s">
        <v>129</v>
      </c>
      <c r="O878" s="55" t="s">
        <v>167</v>
      </c>
      <c r="P878" s="55" t="s">
        <v>866</v>
      </c>
      <c r="Q878" s="55" t="s">
        <v>350</v>
      </c>
      <c r="R878" s="55">
        <v>3</v>
      </c>
      <c r="S878" s="55"/>
      <c r="T878" s="55" t="s">
        <v>1596</v>
      </c>
    </row>
    <row r="879" spans="1:20" ht="13" x14ac:dyDescent="0.15">
      <c r="A879" s="72" t="str">
        <f t="shared" si="13"/>
        <v>Ofsted Social Care Provider Webpage</v>
      </c>
      <c r="B879" s="55">
        <v>2547560</v>
      </c>
      <c r="D879" s="55" t="s">
        <v>373</v>
      </c>
      <c r="E879" s="74">
        <v>43768</v>
      </c>
      <c r="F879" s="55" t="s">
        <v>344</v>
      </c>
      <c r="G879" s="55" t="s">
        <v>360</v>
      </c>
      <c r="H879" s="55" t="s">
        <v>360</v>
      </c>
      <c r="I879" s="55" t="s">
        <v>360</v>
      </c>
      <c r="J879" s="55" t="s">
        <v>360</v>
      </c>
      <c r="K879" s="55" t="s">
        <v>360</v>
      </c>
      <c r="L879" s="55" t="s">
        <v>360</v>
      </c>
      <c r="M879" s="55" t="s">
        <v>129</v>
      </c>
      <c r="N879" s="55" t="s">
        <v>129</v>
      </c>
      <c r="O879" s="55" t="s">
        <v>213</v>
      </c>
      <c r="P879" s="55" t="s">
        <v>410</v>
      </c>
      <c r="Q879" s="55" t="s">
        <v>350</v>
      </c>
      <c r="R879" s="55">
        <v>3</v>
      </c>
      <c r="S879" s="55"/>
      <c r="T879" s="55" t="s">
        <v>1597</v>
      </c>
    </row>
    <row r="880" spans="1:20" ht="13" x14ac:dyDescent="0.15">
      <c r="A880" s="72" t="str">
        <f t="shared" si="13"/>
        <v>Ofsted Social Care Provider Webpage</v>
      </c>
      <c r="B880" s="55">
        <v>2547611</v>
      </c>
      <c r="D880" s="55" t="s">
        <v>373</v>
      </c>
      <c r="E880" s="74">
        <v>43991</v>
      </c>
      <c r="F880" s="55" t="s">
        <v>344</v>
      </c>
      <c r="G880" s="55" t="s">
        <v>360</v>
      </c>
      <c r="H880" s="55" t="s">
        <v>360</v>
      </c>
      <c r="I880" s="55" t="s">
        <v>360</v>
      </c>
      <c r="J880" s="55" t="s">
        <v>360</v>
      </c>
      <c r="K880" s="55" t="s">
        <v>360</v>
      </c>
      <c r="L880" s="55" t="s">
        <v>360</v>
      </c>
      <c r="M880" s="55" t="s">
        <v>142</v>
      </c>
      <c r="N880" s="55" t="s">
        <v>142</v>
      </c>
      <c r="O880" s="55" t="s">
        <v>262</v>
      </c>
      <c r="P880" s="55" t="s">
        <v>523</v>
      </c>
      <c r="Q880" s="55" t="s">
        <v>350</v>
      </c>
      <c r="R880" s="55">
        <v>5</v>
      </c>
      <c r="S880" s="55"/>
      <c r="T880" s="55" t="s">
        <v>1253</v>
      </c>
    </row>
    <row r="881" spans="1:20" ht="13" x14ac:dyDescent="0.15">
      <c r="A881" s="72" t="str">
        <f t="shared" si="13"/>
        <v>Ofsted Social Care Provider Webpage</v>
      </c>
      <c r="B881" s="55">
        <v>2547637</v>
      </c>
      <c r="D881" s="55" t="s">
        <v>373</v>
      </c>
      <c r="E881" s="74">
        <v>43770</v>
      </c>
      <c r="F881" s="55" t="s">
        <v>344</v>
      </c>
      <c r="G881" s="55" t="s">
        <v>360</v>
      </c>
      <c r="H881" s="55" t="s">
        <v>360</v>
      </c>
      <c r="I881" s="55" t="s">
        <v>360</v>
      </c>
      <c r="J881" s="55" t="s">
        <v>360</v>
      </c>
      <c r="K881" s="55" t="s">
        <v>360</v>
      </c>
      <c r="L881" s="55" t="s">
        <v>360</v>
      </c>
      <c r="M881" s="55" t="s">
        <v>129</v>
      </c>
      <c r="N881" s="55" t="s">
        <v>129</v>
      </c>
      <c r="O881" s="55" t="s">
        <v>213</v>
      </c>
      <c r="P881" s="55" t="s">
        <v>1020</v>
      </c>
      <c r="Q881" s="55" t="s">
        <v>350</v>
      </c>
      <c r="R881" s="55">
        <v>3</v>
      </c>
      <c r="S881" s="55"/>
      <c r="T881" s="55" t="s">
        <v>1598</v>
      </c>
    </row>
    <row r="882" spans="1:20" ht="13" x14ac:dyDescent="0.15">
      <c r="A882" s="72" t="str">
        <f t="shared" si="13"/>
        <v>Ofsted Social Care Provider Webpage</v>
      </c>
      <c r="B882" s="55">
        <v>2547761</v>
      </c>
      <c r="D882" s="55" t="s">
        <v>373</v>
      </c>
      <c r="E882" s="74">
        <v>43870</v>
      </c>
      <c r="F882" s="55" t="s">
        <v>344</v>
      </c>
      <c r="G882" s="55" t="s">
        <v>360</v>
      </c>
      <c r="H882" s="55" t="s">
        <v>360</v>
      </c>
      <c r="I882" s="55" t="s">
        <v>360</v>
      </c>
      <c r="J882" s="55" t="s">
        <v>360</v>
      </c>
      <c r="K882" s="55" t="s">
        <v>360</v>
      </c>
      <c r="L882" s="55" t="s">
        <v>360</v>
      </c>
      <c r="M882" s="55" t="s">
        <v>144</v>
      </c>
      <c r="N882" s="55" t="s">
        <v>144</v>
      </c>
      <c r="O882" s="55" t="s">
        <v>209</v>
      </c>
      <c r="P882" s="55" t="s">
        <v>736</v>
      </c>
      <c r="Q882" s="55" t="s">
        <v>350</v>
      </c>
      <c r="R882" s="55">
        <v>3</v>
      </c>
      <c r="S882" s="55"/>
      <c r="T882" s="55" t="s">
        <v>1599</v>
      </c>
    </row>
    <row r="883" spans="1:20" ht="13" x14ac:dyDescent="0.15">
      <c r="A883" s="72" t="str">
        <f t="shared" si="13"/>
        <v>Ofsted Social Care Provider Webpage</v>
      </c>
      <c r="B883" s="55">
        <v>2547837</v>
      </c>
      <c r="D883" s="55" t="s">
        <v>373</v>
      </c>
      <c r="E883" s="74">
        <v>43816</v>
      </c>
      <c r="F883" s="55" t="s">
        <v>344</v>
      </c>
      <c r="G883" s="55" t="s">
        <v>360</v>
      </c>
      <c r="H883" s="55" t="s">
        <v>360</v>
      </c>
      <c r="I883" s="55" t="s">
        <v>360</v>
      </c>
      <c r="J883" s="55" t="s">
        <v>360</v>
      </c>
      <c r="K883" s="55" t="s">
        <v>360</v>
      </c>
      <c r="L883" s="55" t="s">
        <v>360</v>
      </c>
      <c r="M883" s="55" t="s">
        <v>144</v>
      </c>
      <c r="N883" s="55" t="s">
        <v>144</v>
      </c>
      <c r="O883" s="55" t="s">
        <v>250</v>
      </c>
      <c r="P883" s="55" t="s">
        <v>759</v>
      </c>
      <c r="Q883" s="55" t="s">
        <v>350</v>
      </c>
      <c r="R883" s="55">
        <v>3</v>
      </c>
      <c r="S883" s="55"/>
      <c r="T883" s="55" t="s">
        <v>1600</v>
      </c>
    </row>
    <row r="884" spans="1:20" ht="13" x14ac:dyDescent="0.15">
      <c r="A884" s="72" t="str">
        <f t="shared" si="13"/>
        <v>Ofsted Social Care Provider Webpage</v>
      </c>
      <c r="B884" s="55">
        <v>2547847</v>
      </c>
      <c r="D884" s="55" t="s">
        <v>373</v>
      </c>
      <c r="E884" s="74">
        <v>43957</v>
      </c>
      <c r="F884" s="55" t="s">
        <v>344</v>
      </c>
      <c r="G884" s="55" t="s">
        <v>360</v>
      </c>
      <c r="H884" s="55" t="s">
        <v>360</v>
      </c>
      <c r="I884" s="55" t="s">
        <v>360</v>
      </c>
      <c r="J884" s="55" t="s">
        <v>360</v>
      </c>
      <c r="K884" s="55" t="s">
        <v>360</v>
      </c>
      <c r="L884" s="55" t="s">
        <v>360</v>
      </c>
      <c r="M884" s="55" t="s">
        <v>144</v>
      </c>
      <c r="N884" s="55" t="s">
        <v>144</v>
      </c>
      <c r="O884" s="55" t="s">
        <v>163</v>
      </c>
      <c r="P884" s="55" t="s">
        <v>614</v>
      </c>
      <c r="Q884" s="55" t="s">
        <v>380</v>
      </c>
      <c r="R884" s="55">
        <v>2</v>
      </c>
      <c r="S884" s="55"/>
      <c r="T884" s="55" t="s">
        <v>473</v>
      </c>
    </row>
    <row r="885" spans="1:20" ht="13" x14ac:dyDescent="0.15">
      <c r="A885" s="72" t="str">
        <f t="shared" si="13"/>
        <v>Ofsted Social Care Provider Webpage</v>
      </c>
      <c r="B885" s="55">
        <v>2547918</v>
      </c>
      <c r="D885" s="55" t="s">
        <v>373</v>
      </c>
      <c r="E885" s="74">
        <v>43902</v>
      </c>
      <c r="F885" s="55" t="s">
        <v>344</v>
      </c>
      <c r="G885" s="55" t="s">
        <v>360</v>
      </c>
      <c r="H885" s="55" t="s">
        <v>360</v>
      </c>
      <c r="I885" s="55" t="s">
        <v>360</v>
      </c>
      <c r="J885" s="55" t="s">
        <v>360</v>
      </c>
      <c r="K885" s="55" t="s">
        <v>360</v>
      </c>
      <c r="L885" s="55" t="s">
        <v>360</v>
      </c>
      <c r="M885" s="55" t="s">
        <v>142</v>
      </c>
      <c r="N885" s="55" t="s">
        <v>142</v>
      </c>
      <c r="O885" s="55" t="s">
        <v>141</v>
      </c>
      <c r="P885" s="55" t="s">
        <v>641</v>
      </c>
      <c r="Q885" s="55" t="s">
        <v>350</v>
      </c>
      <c r="R885" s="55">
        <v>3</v>
      </c>
      <c r="S885" s="55"/>
      <c r="T885" s="55" t="s">
        <v>1127</v>
      </c>
    </row>
    <row r="886" spans="1:20" ht="13" x14ac:dyDescent="0.15">
      <c r="A886" s="72" t="str">
        <f t="shared" si="13"/>
        <v>Ofsted Social Care Provider Webpage</v>
      </c>
      <c r="B886" s="55">
        <v>2547967</v>
      </c>
      <c r="D886" s="55" t="s">
        <v>373</v>
      </c>
      <c r="E886" s="74">
        <v>43742</v>
      </c>
      <c r="F886" s="55" t="s">
        <v>344</v>
      </c>
      <c r="G886" s="55" t="s">
        <v>360</v>
      </c>
      <c r="H886" s="55" t="s">
        <v>360</v>
      </c>
      <c r="I886" s="55" t="s">
        <v>360</v>
      </c>
      <c r="J886" s="55" t="s">
        <v>360</v>
      </c>
      <c r="K886" s="55" t="s">
        <v>360</v>
      </c>
      <c r="L886" s="55" t="s">
        <v>360</v>
      </c>
      <c r="M886" s="55" t="s">
        <v>136</v>
      </c>
      <c r="N886" s="55" t="s">
        <v>136</v>
      </c>
      <c r="O886" s="55" t="s">
        <v>255</v>
      </c>
      <c r="P886" s="55" t="s">
        <v>757</v>
      </c>
      <c r="Q886" s="55" t="s">
        <v>350</v>
      </c>
      <c r="R886" s="55">
        <v>2</v>
      </c>
      <c r="S886" s="55"/>
      <c r="T886" s="55" t="s">
        <v>1601</v>
      </c>
    </row>
    <row r="887" spans="1:20" ht="13" x14ac:dyDescent="0.15">
      <c r="A887" s="72" t="str">
        <f t="shared" si="13"/>
        <v>Ofsted Social Care Provider Webpage</v>
      </c>
      <c r="B887" s="55">
        <v>2548260</v>
      </c>
      <c r="D887" s="55" t="s">
        <v>373</v>
      </c>
      <c r="E887" s="74">
        <v>43999</v>
      </c>
      <c r="F887" s="55" t="s">
        <v>344</v>
      </c>
      <c r="G887" s="55" t="s">
        <v>360</v>
      </c>
      <c r="H887" s="55" t="s">
        <v>360</v>
      </c>
      <c r="I887" s="55" t="s">
        <v>360</v>
      </c>
      <c r="J887" s="55" t="s">
        <v>360</v>
      </c>
      <c r="K887" s="55" t="s">
        <v>360</v>
      </c>
      <c r="L887" s="55" t="s">
        <v>360</v>
      </c>
      <c r="M887" s="55" t="s">
        <v>144</v>
      </c>
      <c r="N887" s="55" t="s">
        <v>144</v>
      </c>
      <c r="O887" s="55" t="s">
        <v>162</v>
      </c>
      <c r="P887" s="55" t="s">
        <v>516</v>
      </c>
      <c r="Q887" s="55" t="s">
        <v>362</v>
      </c>
      <c r="R887" s="55">
        <v>3</v>
      </c>
      <c r="S887" s="55"/>
      <c r="T887" s="55" t="s">
        <v>1565</v>
      </c>
    </row>
    <row r="888" spans="1:20" ht="13" x14ac:dyDescent="0.15">
      <c r="A888" s="72" t="str">
        <f t="shared" si="13"/>
        <v>Ofsted Social Care Provider Webpage</v>
      </c>
      <c r="B888" s="55">
        <v>2548333</v>
      </c>
      <c r="D888" s="55" t="s">
        <v>373</v>
      </c>
      <c r="E888" s="74">
        <v>43854</v>
      </c>
      <c r="F888" s="55" t="s">
        <v>344</v>
      </c>
      <c r="G888" s="55" t="s">
        <v>360</v>
      </c>
      <c r="H888" s="55" t="s">
        <v>360</v>
      </c>
      <c r="I888" s="55" t="s">
        <v>360</v>
      </c>
      <c r="J888" s="55" t="s">
        <v>360</v>
      </c>
      <c r="K888" s="55" t="s">
        <v>360</v>
      </c>
      <c r="L888" s="55" t="s">
        <v>360</v>
      </c>
      <c r="M888" s="55" t="s">
        <v>142</v>
      </c>
      <c r="N888" s="55" t="s">
        <v>142</v>
      </c>
      <c r="O888" s="55" t="s">
        <v>141</v>
      </c>
      <c r="P888" s="55" t="s">
        <v>1226</v>
      </c>
      <c r="Q888" s="55" t="s">
        <v>350</v>
      </c>
      <c r="R888" s="55">
        <v>4</v>
      </c>
      <c r="S888" s="55"/>
      <c r="T888" s="55" t="s">
        <v>865</v>
      </c>
    </row>
    <row r="889" spans="1:20" ht="13" x14ac:dyDescent="0.15">
      <c r="A889" s="72" t="str">
        <f t="shared" si="13"/>
        <v>Ofsted Social Care Provider Webpage</v>
      </c>
      <c r="B889" s="55">
        <v>2548334</v>
      </c>
      <c r="D889" s="55" t="s">
        <v>373</v>
      </c>
      <c r="E889" s="74">
        <v>43691</v>
      </c>
      <c r="F889" s="55" t="s">
        <v>344</v>
      </c>
      <c r="G889" s="55" t="s">
        <v>360</v>
      </c>
      <c r="H889" s="55" t="s">
        <v>360</v>
      </c>
      <c r="I889" s="55" t="s">
        <v>360</v>
      </c>
      <c r="J889" s="55" t="s">
        <v>360</v>
      </c>
      <c r="K889" s="55" t="s">
        <v>360</v>
      </c>
      <c r="L889" s="55" t="s">
        <v>360</v>
      </c>
      <c r="M889" s="55" t="s">
        <v>129</v>
      </c>
      <c r="N889" s="55" t="s">
        <v>129</v>
      </c>
      <c r="O889" s="55" t="s">
        <v>223</v>
      </c>
      <c r="P889" s="55" t="s">
        <v>1602</v>
      </c>
      <c r="Q889" s="55" t="s">
        <v>350</v>
      </c>
      <c r="R889" s="55">
        <v>3</v>
      </c>
      <c r="S889" s="55"/>
      <c r="T889" s="55" t="s">
        <v>1603</v>
      </c>
    </row>
    <row r="890" spans="1:20" ht="13" x14ac:dyDescent="0.15">
      <c r="A890" s="72" t="str">
        <f t="shared" si="13"/>
        <v>Ofsted Social Care Provider Webpage</v>
      </c>
      <c r="B890" s="55">
        <v>2548403</v>
      </c>
      <c r="D890" s="55" t="s">
        <v>1493</v>
      </c>
      <c r="E890" s="74">
        <v>43768</v>
      </c>
      <c r="F890" s="55" t="s">
        <v>344</v>
      </c>
      <c r="G890" s="55" t="s">
        <v>360</v>
      </c>
      <c r="H890" s="55" t="s">
        <v>360</v>
      </c>
      <c r="I890" s="55" t="s">
        <v>360</v>
      </c>
      <c r="J890" s="55" t="s">
        <v>360</v>
      </c>
      <c r="K890" s="55" t="s">
        <v>360</v>
      </c>
      <c r="L890" s="55" t="s">
        <v>360</v>
      </c>
      <c r="M890" s="55" t="s">
        <v>144</v>
      </c>
      <c r="N890" s="55" t="s">
        <v>144</v>
      </c>
      <c r="O890" s="55" t="s">
        <v>162</v>
      </c>
      <c r="P890" s="55" t="s">
        <v>516</v>
      </c>
      <c r="Q890" s="55" t="s">
        <v>350</v>
      </c>
      <c r="R890" s="55">
        <v>5</v>
      </c>
      <c r="S890" s="55"/>
      <c r="T890" s="55" t="s">
        <v>1441</v>
      </c>
    </row>
    <row r="891" spans="1:20" ht="13" x14ac:dyDescent="0.15">
      <c r="A891" s="72" t="str">
        <f t="shared" si="13"/>
        <v>Ofsted Social Care Provider Webpage</v>
      </c>
      <c r="B891" s="55">
        <v>2548418</v>
      </c>
      <c r="D891" s="55" t="s">
        <v>373</v>
      </c>
      <c r="E891" s="74">
        <v>43746</v>
      </c>
      <c r="F891" s="55" t="s">
        <v>344</v>
      </c>
      <c r="G891" s="55" t="s">
        <v>360</v>
      </c>
      <c r="H891" s="55" t="s">
        <v>360</v>
      </c>
      <c r="I891" s="55" t="s">
        <v>360</v>
      </c>
      <c r="J891" s="55" t="s">
        <v>360</v>
      </c>
      <c r="K891" s="55" t="s">
        <v>360</v>
      </c>
      <c r="L891" s="55" t="s">
        <v>360</v>
      </c>
      <c r="M891" s="55" t="s">
        <v>150</v>
      </c>
      <c r="N891" s="55" t="s">
        <v>150</v>
      </c>
      <c r="O891" s="55" t="s">
        <v>156</v>
      </c>
      <c r="P891" s="55" t="s">
        <v>1217</v>
      </c>
      <c r="Q891" s="55" t="s">
        <v>350</v>
      </c>
      <c r="R891" s="55">
        <v>4</v>
      </c>
      <c r="S891" s="55"/>
      <c r="T891" s="55" t="s">
        <v>843</v>
      </c>
    </row>
    <row r="892" spans="1:20" ht="13" x14ac:dyDescent="0.15">
      <c r="A892" s="72" t="str">
        <f t="shared" si="13"/>
        <v>Ofsted Social Care Provider Webpage</v>
      </c>
      <c r="B892" s="55">
        <v>2548528</v>
      </c>
      <c r="D892" s="55" t="s">
        <v>373</v>
      </c>
      <c r="E892" s="74">
        <v>43689</v>
      </c>
      <c r="F892" s="55" t="s">
        <v>344</v>
      </c>
      <c r="G892" s="55" t="s">
        <v>360</v>
      </c>
      <c r="H892" s="55" t="s">
        <v>360</v>
      </c>
      <c r="I892" s="55" t="s">
        <v>360</v>
      </c>
      <c r="J892" s="55" t="s">
        <v>360</v>
      </c>
      <c r="K892" s="55" t="s">
        <v>360</v>
      </c>
      <c r="L892" s="55" t="s">
        <v>360</v>
      </c>
      <c r="M892" s="55" t="s">
        <v>144</v>
      </c>
      <c r="N892" s="55" t="s">
        <v>144</v>
      </c>
      <c r="O892" s="55" t="s">
        <v>245</v>
      </c>
      <c r="P892" s="55" t="s">
        <v>245</v>
      </c>
      <c r="Q892" s="55" t="s">
        <v>350</v>
      </c>
      <c r="R892" s="55">
        <v>4</v>
      </c>
      <c r="S892" s="55"/>
      <c r="T892" s="55" t="s">
        <v>1604</v>
      </c>
    </row>
    <row r="893" spans="1:20" ht="13" x14ac:dyDescent="0.15">
      <c r="A893" s="72" t="str">
        <f t="shared" si="13"/>
        <v>Ofsted Social Care Provider Webpage</v>
      </c>
      <c r="B893" s="55">
        <v>2548569</v>
      </c>
      <c r="D893" s="55" t="s">
        <v>373</v>
      </c>
      <c r="E893" s="74">
        <v>43739</v>
      </c>
      <c r="F893" s="55" t="s">
        <v>344</v>
      </c>
      <c r="G893" s="55" t="s">
        <v>360</v>
      </c>
      <c r="H893" s="55" t="s">
        <v>360</v>
      </c>
      <c r="I893" s="55" t="s">
        <v>360</v>
      </c>
      <c r="J893" s="55" t="s">
        <v>360</v>
      </c>
      <c r="K893" s="55" t="s">
        <v>360</v>
      </c>
      <c r="L893" s="55" t="s">
        <v>360</v>
      </c>
      <c r="M893" s="55" t="s">
        <v>142</v>
      </c>
      <c r="N893" s="55" t="s">
        <v>142</v>
      </c>
      <c r="O893" s="55" t="s">
        <v>293</v>
      </c>
      <c r="P893" s="55" t="s">
        <v>1136</v>
      </c>
      <c r="Q893" s="55" t="s">
        <v>362</v>
      </c>
      <c r="R893" s="55">
        <v>4</v>
      </c>
      <c r="S893" s="55"/>
      <c r="T893" s="55" t="s">
        <v>1605</v>
      </c>
    </row>
    <row r="894" spans="1:20" ht="13" x14ac:dyDescent="0.15">
      <c r="A894" s="72" t="str">
        <f t="shared" si="13"/>
        <v>Ofsted Social Care Provider Webpage</v>
      </c>
      <c r="B894" s="55">
        <v>2548571</v>
      </c>
      <c r="D894" s="55" t="s">
        <v>373</v>
      </c>
      <c r="E894" s="74">
        <v>43739</v>
      </c>
      <c r="F894" s="55" t="s">
        <v>344</v>
      </c>
      <c r="G894" s="55" t="s">
        <v>360</v>
      </c>
      <c r="H894" s="55" t="s">
        <v>360</v>
      </c>
      <c r="I894" s="55" t="s">
        <v>360</v>
      </c>
      <c r="J894" s="55" t="s">
        <v>360</v>
      </c>
      <c r="K894" s="55" t="s">
        <v>360</v>
      </c>
      <c r="L894" s="55" t="s">
        <v>360</v>
      </c>
      <c r="M894" s="55" t="s">
        <v>142</v>
      </c>
      <c r="N894" s="55" t="s">
        <v>142</v>
      </c>
      <c r="O894" s="55" t="s">
        <v>293</v>
      </c>
      <c r="P894" s="55" t="s">
        <v>1136</v>
      </c>
      <c r="Q894" s="55" t="s">
        <v>362</v>
      </c>
      <c r="R894" s="55">
        <v>4</v>
      </c>
      <c r="S894" s="55"/>
      <c r="T894" s="55" t="s">
        <v>1605</v>
      </c>
    </row>
    <row r="895" spans="1:20" ht="13" x14ac:dyDescent="0.15">
      <c r="A895" s="72" t="str">
        <f t="shared" si="13"/>
        <v>Ofsted Social Care Provider Webpage</v>
      </c>
      <c r="B895" s="55">
        <v>2548794</v>
      </c>
      <c r="D895" s="55" t="s">
        <v>373</v>
      </c>
      <c r="E895" s="74">
        <v>44014</v>
      </c>
      <c r="F895" s="55" t="s">
        <v>344</v>
      </c>
      <c r="G895" s="55" t="s">
        <v>360</v>
      </c>
      <c r="H895" s="55" t="s">
        <v>360</v>
      </c>
      <c r="I895" s="55" t="s">
        <v>360</v>
      </c>
      <c r="J895" s="55" t="s">
        <v>360</v>
      </c>
      <c r="K895" s="55" t="s">
        <v>360</v>
      </c>
      <c r="L895" s="55" t="s">
        <v>360</v>
      </c>
      <c r="M895" s="55" t="s">
        <v>129</v>
      </c>
      <c r="N895" s="55" t="s">
        <v>129</v>
      </c>
      <c r="O895" s="55" t="s">
        <v>131</v>
      </c>
      <c r="P895" s="55" t="s">
        <v>1606</v>
      </c>
      <c r="Q895" s="55" t="s">
        <v>350</v>
      </c>
      <c r="R895" s="55">
        <v>5</v>
      </c>
      <c r="S895" s="55"/>
      <c r="T895" s="55" t="s">
        <v>1607</v>
      </c>
    </row>
    <row r="896" spans="1:20" ht="13" x14ac:dyDescent="0.15">
      <c r="A896" s="72" t="str">
        <f t="shared" si="13"/>
        <v>Ofsted Social Care Provider Webpage</v>
      </c>
      <c r="B896" s="55">
        <v>2549629</v>
      </c>
      <c r="D896" s="55" t="s">
        <v>373</v>
      </c>
      <c r="E896" s="74">
        <v>43899</v>
      </c>
      <c r="F896" s="55" t="s">
        <v>344</v>
      </c>
      <c r="G896" s="55" t="s">
        <v>360</v>
      </c>
      <c r="H896" s="55" t="s">
        <v>360</v>
      </c>
      <c r="I896" s="55" t="s">
        <v>360</v>
      </c>
      <c r="J896" s="55" t="s">
        <v>360</v>
      </c>
      <c r="K896" s="55" t="s">
        <v>360</v>
      </c>
      <c r="L896" s="55" t="s">
        <v>360</v>
      </c>
      <c r="M896" s="55" t="s">
        <v>136</v>
      </c>
      <c r="N896" s="55" t="s">
        <v>136</v>
      </c>
      <c r="O896" s="55" t="s">
        <v>174</v>
      </c>
      <c r="P896" s="55" t="s">
        <v>982</v>
      </c>
      <c r="Q896" s="55" t="s">
        <v>350</v>
      </c>
      <c r="R896" s="55">
        <v>3</v>
      </c>
      <c r="S896" s="55"/>
      <c r="T896" s="55" t="s">
        <v>1151</v>
      </c>
    </row>
    <row r="897" spans="1:20" ht="13" x14ac:dyDescent="0.15">
      <c r="A897" s="72" t="str">
        <f t="shared" si="13"/>
        <v>Ofsted Social Care Provider Webpage</v>
      </c>
      <c r="B897" s="55">
        <v>2549696</v>
      </c>
      <c r="D897" s="55" t="s">
        <v>389</v>
      </c>
      <c r="E897" s="74">
        <v>43739</v>
      </c>
      <c r="F897" s="55" t="s">
        <v>344</v>
      </c>
      <c r="G897" s="55" t="s">
        <v>1608</v>
      </c>
      <c r="H897" s="55" t="s">
        <v>1609</v>
      </c>
      <c r="I897" s="55" t="s">
        <v>1610</v>
      </c>
      <c r="J897" s="55" t="s">
        <v>1060</v>
      </c>
      <c r="K897" s="55" t="s">
        <v>293</v>
      </c>
      <c r="L897" s="55" t="s">
        <v>1611</v>
      </c>
      <c r="M897" s="55" t="s">
        <v>142</v>
      </c>
      <c r="N897" s="55" t="s">
        <v>142</v>
      </c>
      <c r="O897" s="55" t="s">
        <v>293</v>
      </c>
      <c r="P897" s="55" t="s">
        <v>1060</v>
      </c>
      <c r="Q897" s="55" t="s">
        <v>362</v>
      </c>
      <c r="R897" s="55"/>
      <c r="S897" s="55"/>
      <c r="T897" s="55" t="s">
        <v>1605</v>
      </c>
    </row>
    <row r="898" spans="1:20" ht="13" x14ac:dyDescent="0.15">
      <c r="A898" s="72" t="str">
        <f t="shared" si="13"/>
        <v>Ofsted Social Care Provider Webpage</v>
      </c>
      <c r="B898" s="55">
        <v>2549726</v>
      </c>
      <c r="D898" s="55" t="s">
        <v>373</v>
      </c>
      <c r="E898" s="74">
        <v>43739</v>
      </c>
      <c r="F898" s="55" t="s">
        <v>344</v>
      </c>
      <c r="G898" s="55" t="s">
        <v>360</v>
      </c>
      <c r="H898" s="55" t="s">
        <v>360</v>
      </c>
      <c r="I898" s="55" t="s">
        <v>360</v>
      </c>
      <c r="J898" s="55" t="s">
        <v>360</v>
      </c>
      <c r="K898" s="55" t="s">
        <v>360</v>
      </c>
      <c r="L898" s="55" t="s">
        <v>360</v>
      </c>
      <c r="M898" s="55" t="s">
        <v>142</v>
      </c>
      <c r="N898" s="55" t="s">
        <v>142</v>
      </c>
      <c r="O898" s="55" t="s">
        <v>293</v>
      </c>
      <c r="P898" s="55" t="s">
        <v>1422</v>
      </c>
      <c r="Q898" s="55" t="s">
        <v>362</v>
      </c>
      <c r="R898" s="55">
        <v>4</v>
      </c>
      <c r="S898" s="55" t="s">
        <v>332</v>
      </c>
      <c r="T898" s="55" t="s">
        <v>1605</v>
      </c>
    </row>
    <row r="899" spans="1:20" ht="13" x14ac:dyDescent="0.15">
      <c r="A899" s="72" t="str">
        <f t="shared" si="13"/>
        <v>Ofsted Social Care Provider Webpage</v>
      </c>
      <c r="B899" s="55">
        <v>2549784</v>
      </c>
      <c r="D899" s="55" t="s">
        <v>451</v>
      </c>
      <c r="E899" s="74">
        <v>43790</v>
      </c>
      <c r="F899" s="55" t="s">
        <v>344</v>
      </c>
      <c r="G899" s="55" t="s">
        <v>1612</v>
      </c>
      <c r="H899" s="55" t="s">
        <v>1613</v>
      </c>
      <c r="I899" s="55" t="s">
        <v>354</v>
      </c>
      <c r="J899" s="55" t="s">
        <v>1614</v>
      </c>
      <c r="K899" s="55" t="s">
        <v>1615</v>
      </c>
      <c r="L899" s="55" t="s">
        <v>1616</v>
      </c>
      <c r="M899" s="55" t="s">
        <v>150</v>
      </c>
      <c r="N899" s="55" t="s">
        <v>150</v>
      </c>
      <c r="O899" s="55" t="s">
        <v>285</v>
      </c>
      <c r="P899" s="55" t="s">
        <v>893</v>
      </c>
      <c r="Q899" s="55" t="s">
        <v>350</v>
      </c>
      <c r="R899" s="55">
        <v>4</v>
      </c>
      <c r="S899" s="55"/>
      <c r="T899" s="55" t="s">
        <v>1617</v>
      </c>
    </row>
    <row r="900" spans="1:20" ht="13" x14ac:dyDescent="0.15">
      <c r="A900" s="72" t="str">
        <f t="shared" si="13"/>
        <v>Ofsted Social Care Provider Webpage</v>
      </c>
      <c r="B900" s="55">
        <v>2550015</v>
      </c>
      <c r="D900" s="55" t="s">
        <v>373</v>
      </c>
      <c r="E900" s="74">
        <v>43773</v>
      </c>
      <c r="F900" s="55" t="s">
        <v>344</v>
      </c>
      <c r="G900" s="55" t="s">
        <v>360</v>
      </c>
      <c r="H900" s="55" t="s">
        <v>360</v>
      </c>
      <c r="I900" s="55" t="s">
        <v>360</v>
      </c>
      <c r="J900" s="55" t="s">
        <v>360</v>
      </c>
      <c r="K900" s="55" t="s">
        <v>360</v>
      </c>
      <c r="L900" s="55" t="s">
        <v>360</v>
      </c>
      <c r="M900" s="55" t="s">
        <v>144</v>
      </c>
      <c r="N900" s="55" t="s">
        <v>144</v>
      </c>
      <c r="O900" s="55" t="s">
        <v>209</v>
      </c>
      <c r="P900" s="55" t="s">
        <v>364</v>
      </c>
      <c r="Q900" s="55" t="s">
        <v>350</v>
      </c>
      <c r="R900" s="55">
        <v>2</v>
      </c>
      <c r="S900" s="55"/>
      <c r="T900" s="55" t="s">
        <v>485</v>
      </c>
    </row>
    <row r="901" spans="1:20" ht="13" x14ac:dyDescent="0.15">
      <c r="A901" s="72" t="str">
        <f t="shared" ref="A901:A964" si="14">HYPERLINK(_xlfn.CONCAT("http://reports.ofsted.gov.uk/inspection-reports/find-inspection-report/provider/CARE/",B901),"Ofsted Social Care Provider Webpage")</f>
        <v>Ofsted Social Care Provider Webpage</v>
      </c>
      <c r="B901" s="55">
        <v>2550082</v>
      </c>
      <c r="D901" s="55" t="s">
        <v>373</v>
      </c>
      <c r="E901" s="74">
        <v>44123</v>
      </c>
      <c r="F901" s="55" t="s">
        <v>344</v>
      </c>
      <c r="G901" s="55" t="s">
        <v>360</v>
      </c>
      <c r="H901" s="55" t="s">
        <v>360</v>
      </c>
      <c r="I901" s="55" t="s">
        <v>360</v>
      </c>
      <c r="J901" s="55" t="s">
        <v>360</v>
      </c>
      <c r="K901" s="55" t="s">
        <v>360</v>
      </c>
      <c r="L901" s="55" t="s">
        <v>360</v>
      </c>
      <c r="M901" s="55" t="s">
        <v>144</v>
      </c>
      <c r="N901" s="55" t="s">
        <v>144</v>
      </c>
      <c r="O901" s="55" t="s">
        <v>145</v>
      </c>
      <c r="P901" s="55" t="s">
        <v>484</v>
      </c>
      <c r="Q901" s="55" t="s">
        <v>350</v>
      </c>
      <c r="R901" s="55">
        <v>2</v>
      </c>
      <c r="S901" s="55"/>
      <c r="T901" s="55" t="s">
        <v>955</v>
      </c>
    </row>
    <row r="902" spans="1:20" ht="13" x14ac:dyDescent="0.15">
      <c r="A902" s="72" t="str">
        <f t="shared" si="14"/>
        <v>Ofsted Social Care Provider Webpage</v>
      </c>
      <c r="B902" s="55">
        <v>2550526</v>
      </c>
      <c r="D902" s="55" t="s">
        <v>373</v>
      </c>
      <c r="E902" s="74">
        <v>43706</v>
      </c>
      <c r="F902" s="55" t="s">
        <v>344</v>
      </c>
      <c r="G902" s="55" t="s">
        <v>360</v>
      </c>
      <c r="H902" s="55" t="s">
        <v>360</v>
      </c>
      <c r="I902" s="55" t="s">
        <v>360</v>
      </c>
      <c r="J902" s="55" t="s">
        <v>360</v>
      </c>
      <c r="K902" s="55" t="s">
        <v>360</v>
      </c>
      <c r="L902" s="55" t="s">
        <v>360</v>
      </c>
      <c r="M902" s="55" t="s">
        <v>378</v>
      </c>
      <c r="N902" s="55" t="s">
        <v>134</v>
      </c>
      <c r="O902" s="55" t="s">
        <v>204</v>
      </c>
      <c r="P902" s="55" t="s">
        <v>929</v>
      </c>
      <c r="Q902" s="55" t="s">
        <v>380</v>
      </c>
      <c r="R902" s="55">
        <v>1</v>
      </c>
      <c r="S902" s="55"/>
      <c r="T902" s="55" t="s">
        <v>1479</v>
      </c>
    </row>
    <row r="903" spans="1:20" ht="13" x14ac:dyDescent="0.15">
      <c r="A903" s="72" t="str">
        <f t="shared" si="14"/>
        <v>Ofsted Social Care Provider Webpage</v>
      </c>
      <c r="B903" s="55">
        <v>2550622</v>
      </c>
      <c r="D903" s="55" t="s">
        <v>373</v>
      </c>
      <c r="E903" s="74">
        <v>43983</v>
      </c>
      <c r="F903" s="55" t="s">
        <v>344</v>
      </c>
      <c r="G903" s="55" t="s">
        <v>360</v>
      </c>
      <c r="H903" s="55" t="s">
        <v>360</v>
      </c>
      <c r="I903" s="55" t="s">
        <v>360</v>
      </c>
      <c r="J903" s="55" t="s">
        <v>360</v>
      </c>
      <c r="K903" s="55" t="s">
        <v>360</v>
      </c>
      <c r="L903" s="55" t="s">
        <v>360</v>
      </c>
      <c r="M903" s="55" t="s">
        <v>144</v>
      </c>
      <c r="N903" s="55" t="s">
        <v>144</v>
      </c>
      <c r="O903" s="55" t="s">
        <v>236</v>
      </c>
      <c r="P903" s="55" t="s">
        <v>996</v>
      </c>
      <c r="Q903" s="55" t="s">
        <v>350</v>
      </c>
      <c r="R903" s="55">
        <v>6</v>
      </c>
      <c r="S903" s="55"/>
      <c r="T903" s="55" t="s">
        <v>385</v>
      </c>
    </row>
    <row r="904" spans="1:20" ht="13" x14ac:dyDescent="0.15">
      <c r="A904" s="72" t="str">
        <f t="shared" si="14"/>
        <v>Ofsted Social Care Provider Webpage</v>
      </c>
      <c r="B904" s="55">
        <v>2550830</v>
      </c>
      <c r="D904" s="55" t="s">
        <v>373</v>
      </c>
      <c r="E904" s="74">
        <v>43840</v>
      </c>
      <c r="F904" s="55" t="s">
        <v>344</v>
      </c>
      <c r="G904" s="55" t="s">
        <v>360</v>
      </c>
      <c r="H904" s="55" t="s">
        <v>360</v>
      </c>
      <c r="I904" s="55" t="s">
        <v>360</v>
      </c>
      <c r="J904" s="55" t="s">
        <v>360</v>
      </c>
      <c r="K904" s="55" t="s">
        <v>360</v>
      </c>
      <c r="L904" s="55" t="s">
        <v>360</v>
      </c>
      <c r="M904" s="55" t="s">
        <v>378</v>
      </c>
      <c r="N904" s="55" t="s">
        <v>134</v>
      </c>
      <c r="O904" s="55" t="s">
        <v>246</v>
      </c>
      <c r="P904" s="55" t="s">
        <v>685</v>
      </c>
      <c r="Q904" s="55" t="s">
        <v>350</v>
      </c>
      <c r="R904" s="55">
        <v>5</v>
      </c>
      <c r="S904" s="55"/>
      <c r="T904" s="55" t="s">
        <v>1618</v>
      </c>
    </row>
    <row r="905" spans="1:20" ht="13" x14ac:dyDescent="0.15">
      <c r="A905" s="72" t="str">
        <f t="shared" si="14"/>
        <v>Ofsted Social Care Provider Webpage</v>
      </c>
      <c r="B905" s="55">
        <v>2551006</v>
      </c>
      <c r="D905" s="55" t="s">
        <v>389</v>
      </c>
      <c r="E905" s="74">
        <v>43826</v>
      </c>
      <c r="F905" s="55" t="s">
        <v>344</v>
      </c>
      <c r="G905" s="55" t="s">
        <v>1619</v>
      </c>
      <c r="H905" s="55" t="s">
        <v>1620</v>
      </c>
      <c r="I905" s="55" t="s">
        <v>810</v>
      </c>
      <c r="J905" s="55" t="s">
        <v>811</v>
      </c>
      <c r="K905" s="55" t="s">
        <v>183</v>
      </c>
      <c r="L905" s="55" t="s">
        <v>812</v>
      </c>
      <c r="M905" s="55" t="s">
        <v>138</v>
      </c>
      <c r="N905" s="55" t="s">
        <v>138</v>
      </c>
      <c r="O905" s="55" t="s">
        <v>183</v>
      </c>
      <c r="P905" s="55" t="s">
        <v>813</v>
      </c>
      <c r="Q905" s="55" t="s">
        <v>362</v>
      </c>
      <c r="R905" s="55"/>
      <c r="S905" s="55"/>
      <c r="T905" s="55" t="s">
        <v>1619</v>
      </c>
    </row>
    <row r="906" spans="1:20" ht="13" x14ac:dyDescent="0.15">
      <c r="A906" s="72" t="str">
        <f t="shared" si="14"/>
        <v>Ofsted Social Care Provider Webpage</v>
      </c>
      <c r="B906" s="55">
        <v>2551007</v>
      </c>
      <c r="D906" s="55" t="s">
        <v>373</v>
      </c>
      <c r="E906" s="74">
        <v>43845</v>
      </c>
      <c r="F906" s="55" t="s">
        <v>344</v>
      </c>
      <c r="G906" s="55" t="s">
        <v>360</v>
      </c>
      <c r="H906" s="55" t="s">
        <v>360</v>
      </c>
      <c r="I906" s="55" t="s">
        <v>360</v>
      </c>
      <c r="J906" s="55" t="s">
        <v>360</v>
      </c>
      <c r="K906" s="55" t="s">
        <v>360</v>
      </c>
      <c r="L906" s="55" t="s">
        <v>360</v>
      </c>
      <c r="M906" s="55" t="s">
        <v>150</v>
      </c>
      <c r="N906" s="55" t="s">
        <v>150</v>
      </c>
      <c r="O906" s="55" t="s">
        <v>190</v>
      </c>
      <c r="P906" s="55" t="s">
        <v>889</v>
      </c>
      <c r="Q906" s="55" t="s">
        <v>350</v>
      </c>
      <c r="R906" s="55">
        <v>6</v>
      </c>
      <c r="S906" s="55"/>
      <c r="T906" s="55" t="s">
        <v>456</v>
      </c>
    </row>
    <row r="907" spans="1:20" ht="13" x14ac:dyDescent="0.15">
      <c r="A907" s="72" t="str">
        <f t="shared" si="14"/>
        <v>Ofsted Social Care Provider Webpage</v>
      </c>
      <c r="B907" s="55">
        <v>2552036</v>
      </c>
      <c r="D907" s="55" t="s">
        <v>373</v>
      </c>
      <c r="E907" s="74">
        <v>43843</v>
      </c>
      <c r="F907" s="55" t="s">
        <v>344</v>
      </c>
      <c r="G907" s="55" t="s">
        <v>360</v>
      </c>
      <c r="H907" s="55" t="s">
        <v>360</v>
      </c>
      <c r="I907" s="55" t="s">
        <v>360</v>
      </c>
      <c r="J907" s="55" t="s">
        <v>360</v>
      </c>
      <c r="K907" s="55" t="s">
        <v>360</v>
      </c>
      <c r="L907" s="55" t="s">
        <v>360</v>
      </c>
      <c r="M907" s="55" t="s">
        <v>378</v>
      </c>
      <c r="N907" s="55" t="s">
        <v>170</v>
      </c>
      <c r="O907" s="55" t="s">
        <v>222</v>
      </c>
      <c r="P907" s="55" t="s">
        <v>521</v>
      </c>
      <c r="Q907" s="55" t="s">
        <v>350</v>
      </c>
      <c r="R907" s="55">
        <v>4</v>
      </c>
      <c r="S907" s="55"/>
      <c r="T907" s="55" t="s">
        <v>1621</v>
      </c>
    </row>
    <row r="908" spans="1:20" ht="13" x14ac:dyDescent="0.15">
      <c r="A908" s="72" t="str">
        <f t="shared" si="14"/>
        <v>Ofsted Social Care Provider Webpage</v>
      </c>
      <c r="B908" s="55">
        <v>2552579</v>
      </c>
      <c r="D908" s="55" t="s">
        <v>373</v>
      </c>
      <c r="E908" s="74">
        <v>43788</v>
      </c>
      <c r="F908" s="55" t="s">
        <v>344</v>
      </c>
      <c r="G908" s="55" t="s">
        <v>360</v>
      </c>
      <c r="H908" s="55" t="s">
        <v>360</v>
      </c>
      <c r="I908" s="55" t="s">
        <v>360</v>
      </c>
      <c r="J908" s="55" t="s">
        <v>360</v>
      </c>
      <c r="K908" s="55" t="s">
        <v>360</v>
      </c>
      <c r="L908" s="55" t="s">
        <v>360</v>
      </c>
      <c r="M908" s="55" t="s">
        <v>129</v>
      </c>
      <c r="N908" s="55" t="s">
        <v>129</v>
      </c>
      <c r="O908" s="55" t="s">
        <v>219</v>
      </c>
      <c r="P908" s="55" t="s">
        <v>740</v>
      </c>
      <c r="Q908" s="55" t="s">
        <v>350</v>
      </c>
      <c r="R908" s="55">
        <v>4</v>
      </c>
      <c r="S908" s="55"/>
      <c r="T908" s="55" t="s">
        <v>741</v>
      </c>
    </row>
    <row r="909" spans="1:20" ht="13" x14ac:dyDescent="0.15">
      <c r="A909" s="72" t="str">
        <f t="shared" si="14"/>
        <v>Ofsted Social Care Provider Webpage</v>
      </c>
      <c r="B909" s="55">
        <v>2552727</v>
      </c>
      <c r="D909" s="55" t="s">
        <v>373</v>
      </c>
      <c r="E909" s="74">
        <v>43801</v>
      </c>
      <c r="F909" s="55" t="s">
        <v>344</v>
      </c>
      <c r="G909" s="55" t="s">
        <v>360</v>
      </c>
      <c r="H909" s="55" t="s">
        <v>360</v>
      </c>
      <c r="I909" s="55" t="s">
        <v>360</v>
      </c>
      <c r="J909" s="55" t="s">
        <v>360</v>
      </c>
      <c r="K909" s="55" t="s">
        <v>360</v>
      </c>
      <c r="L909" s="55" t="s">
        <v>360</v>
      </c>
      <c r="M909" s="55" t="s">
        <v>138</v>
      </c>
      <c r="N909" s="55" t="s">
        <v>138</v>
      </c>
      <c r="O909" s="55" t="s">
        <v>266</v>
      </c>
      <c r="P909" s="55" t="s">
        <v>1622</v>
      </c>
      <c r="Q909" s="55" t="s">
        <v>350</v>
      </c>
      <c r="R909" s="55">
        <v>4</v>
      </c>
      <c r="S909" s="55"/>
      <c r="T909" s="55" t="s">
        <v>1623</v>
      </c>
    </row>
    <row r="910" spans="1:20" ht="13" x14ac:dyDescent="0.15">
      <c r="A910" s="72" t="str">
        <f t="shared" si="14"/>
        <v>Ofsted Social Care Provider Webpage</v>
      </c>
      <c r="B910" s="55">
        <v>2553111</v>
      </c>
      <c r="D910" s="55" t="s">
        <v>373</v>
      </c>
      <c r="E910" s="74">
        <v>43937</v>
      </c>
      <c r="F910" s="55" t="s">
        <v>344</v>
      </c>
      <c r="G910" s="55" t="s">
        <v>360</v>
      </c>
      <c r="H910" s="55" t="s">
        <v>360</v>
      </c>
      <c r="I910" s="55" t="s">
        <v>360</v>
      </c>
      <c r="J910" s="55" t="s">
        <v>360</v>
      </c>
      <c r="K910" s="55" t="s">
        <v>360</v>
      </c>
      <c r="L910" s="55" t="s">
        <v>360</v>
      </c>
      <c r="M910" s="55" t="s">
        <v>142</v>
      </c>
      <c r="N910" s="55" t="s">
        <v>142</v>
      </c>
      <c r="O910" s="55" t="s">
        <v>293</v>
      </c>
      <c r="P910" s="55" t="s">
        <v>984</v>
      </c>
      <c r="Q910" s="55" t="s">
        <v>350</v>
      </c>
      <c r="R910" s="55">
        <v>10</v>
      </c>
      <c r="S910" s="55"/>
      <c r="T910" s="55" t="s">
        <v>1624</v>
      </c>
    </row>
    <row r="911" spans="1:20" ht="13" x14ac:dyDescent="0.15">
      <c r="A911" s="72" t="str">
        <f t="shared" si="14"/>
        <v>Ofsted Social Care Provider Webpage</v>
      </c>
      <c r="B911" s="55">
        <v>2553271</v>
      </c>
      <c r="D911" s="55" t="s">
        <v>389</v>
      </c>
      <c r="E911" s="74">
        <v>43847</v>
      </c>
      <c r="F911" s="55" t="s">
        <v>344</v>
      </c>
      <c r="G911" s="55" t="s">
        <v>1625</v>
      </c>
      <c r="H911" s="55" t="s">
        <v>1626</v>
      </c>
      <c r="I911" s="55" t="s">
        <v>1627</v>
      </c>
      <c r="J911" s="55" t="s">
        <v>1628</v>
      </c>
      <c r="K911" s="55" t="s">
        <v>235</v>
      </c>
      <c r="L911" s="55" t="s">
        <v>1629</v>
      </c>
      <c r="M911" s="55" t="s">
        <v>172</v>
      </c>
      <c r="N911" s="55" t="s">
        <v>172</v>
      </c>
      <c r="O911" s="55" t="s">
        <v>235</v>
      </c>
      <c r="P911" s="55" t="s">
        <v>855</v>
      </c>
      <c r="Q911" s="55" t="s">
        <v>350</v>
      </c>
      <c r="R911" s="55"/>
      <c r="S911" s="55"/>
      <c r="T911" s="55" t="s">
        <v>1630</v>
      </c>
    </row>
    <row r="912" spans="1:20" ht="13" x14ac:dyDescent="0.15">
      <c r="A912" s="72" t="str">
        <f t="shared" si="14"/>
        <v>Ofsted Social Care Provider Webpage</v>
      </c>
      <c r="B912" s="55">
        <v>2553274</v>
      </c>
      <c r="D912" s="55" t="s">
        <v>373</v>
      </c>
      <c r="E912" s="74">
        <v>43880</v>
      </c>
      <c r="F912" s="55" t="s">
        <v>344</v>
      </c>
      <c r="G912" s="55" t="s">
        <v>360</v>
      </c>
      <c r="H912" s="55" t="s">
        <v>360</v>
      </c>
      <c r="I912" s="55" t="s">
        <v>360</v>
      </c>
      <c r="J912" s="55" t="s">
        <v>360</v>
      </c>
      <c r="K912" s="55" t="s">
        <v>360</v>
      </c>
      <c r="L912" s="55" t="s">
        <v>360</v>
      </c>
      <c r="M912" s="55" t="s">
        <v>144</v>
      </c>
      <c r="N912" s="55" t="s">
        <v>144</v>
      </c>
      <c r="O912" s="55" t="s">
        <v>162</v>
      </c>
      <c r="P912" s="55" t="s">
        <v>1502</v>
      </c>
      <c r="Q912" s="55" t="s">
        <v>350</v>
      </c>
      <c r="R912" s="55">
        <v>6</v>
      </c>
      <c r="S912" s="55"/>
      <c r="T912" s="55" t="s">
        <v>1503</v>
      </c>
    </row>
    <row r="913" spans="1:20" ht="13" x14ac:dyDescent="0.15">
      <c r="A913" s="72" t="str">
        <f t="shared" si="14"/>
        <v>Ofsted Social Care Provider Webpage</v>
      </c>
      <c r="B913" s="55">
        <v>2553536</v>
      </c>
      <c r="D913" s="55" t="s">
        <v>373</v>
      </c>
      <c r="E913" s="74">
        <v>43791</v>
      </c>
      <c r="F913" s="55" t="s">
        <v>344</v>
      </c>
      <c r="G913" s="55" t="s">
        <v>360</v>
      </c>
      <c r="H913" s="55" t="s">
        <v>360</v>
      </c>
      <c r="I913" s="55" t="s">
        <v>360</v>
      </c>
      <c r="J913" s="55" t="s">
        <v>360</v>
      </c>
      <c r="K913" s="55" t="s">
        <v>360</v>
      </c>
      <c r="L913" s="55" t="s">
        <v>360</v>
      </c>
      <c r="M913" s="55" t="s">
        <v>144</v>
      </c>
      <c r="N913" s="55" t="s">
        <v>144</v>
      </c>
      <c r="O913" s="55" t="s">
        <v>287</v>
      </c>
      <c r="P913" s="55" t="s">
        <v>815</v>
      </c>
      <c r="Q913" s="55" t="s">
        <v>350</v>
      </c>
      <c r="R913" s="55">
        <v>4</v>
      </c>
      <c r="S913" s="55"/>
      <c r="T913" s="55" t="s">
        <v>1100</v>
      </c>
    </row>
    <row r="914" spans="1:20" ht="13" x14ac:dyDescent="0.15">
      <c r="A914" s="72" t="str">
        <f t="shared" si="14"/>
        <v>Ofsted Social Care Provider Webpage</v>
      </c>
      <c r="B914" s="55">
        <v>2553543</v>
      </c>
      <c r="D914" s="55" t="s">
        <v>373</v>
      </c>
      <c r="E914" s="74">
        <v>43942</v>
      </c>
      <c r="F914" s="55" t="s">
        <v>344</v>
      </c>
      <c r="G914" s="55" t="s">
        <v>360</v>
      </c>
      <c r="H914" s="55" t="s">
        <v>360</v>
      </c>
      <c r="I914" s="55" t="s">
        <v>360</v>
      </c>
      <c r="J914" s="55" t="s">
        <v>360</v>
      </c>
      <c r="K914" s="55" t="s">
        <v>360</v>
      </c>
      <c r="L914" s="55" t="s">
        <v>360</v>
      </c>
      <c r="M914" s="55" t="s">
        <v>144</v>
      </c>
      <c r="N914" s="55" t="s">
        <v>144</v>
      </c>
      <c r="O914" s="55" t="s">
        <v>287</v>
      </c>
      <c r="P914" s="55" t="s">
        <v>1103</v>
      </c>
      <c r="Q914" s="55" t="s">
        <v>350</v>
      </c>
      <c r="R914" s="55">
        <v>3</v>
      </c>
      <c r="S914" s="55"/>
      <c r="T914" s="55" t="s">
        <v>1107</v>
      </c>
    </row>
    <row r="915" spans="1:20" ht="13" x14ac:dyDescent="0.15">
      <c r="A915" s="72" t="str">
        <f t="shared" si="14"/>
        <v>Ofsted Social Care Provider Webpage</v>
      </c>
      <c r="B915" s="55">
        <v>2553861</v>
      </c>
      <c r="D915" s="55" t="s">
        <v>373</v>
      </c>
      <c r="E915" s="74">
        <v>43796</v>
      </c>
      <c r="F915" s="55" t="s">
        <v>344</v>
      </c>
      <c r="G915" s="55" t="s">
        <v>360</v>
      </c>
      <c r="H915" s="55" t="s">
        <v>360</v>
      </c>
      <c r="I915" s="55" t="s">
        <v>360</v>
      </c>
      <c r="J915" s="55" t="s">
        <v>360</v>
      </c>
      <c r="K915" s="55" t="s">
        <v>360</v>
      </c>
      <c r="L915" s="55" t="s">
        <v>360</v>
      </c>
      <c r="M915" s="55" t="s">
        <v>172</v>
      </c>
      <c r="N915" s="55" t="s">
        <v>172</v>
      </c>
      <c r="O915" s="55" t="s">
        <v>228</v>
      </c>
      <c r="P915" s="55" t="s">
        <v>459</v>
      </c>
      <c r="Q915" s="55" t="s">
        <v>350</v>
      </c>
      <c r="R915" s="55">
        <v>3</v>
      </c>
      <c r="S915" s="55"/>
      <c r="T915" s="55" t="s">
        <v>517</v>
      </c>
    </row>
    <row r="916" spans="1:20" ht="13" x14ac:dyDescent="0.15">
      <c r="A916" s="72" t="str">
        <f t="shared" si="14"/>
        <v>Ofsted Social Care Provider Webpage</v>
      </c>
      <c r="B916" s="55">
        <v>2554036</v>
      </c>
      <c r="D916" s="55" t="s">
        <v>373</v>
      </c>
      <c r="E916" s="74">
        <v>43991</v>
      </c>
      <c r="F916" s="55" t="s">
        <v>344</v>
      </c>
      <c r="G916" s="55" t="s">
        <v>360</v>
      </c>
      <c r="H916" s="55" t="s">
        <v>360</v>
      </c>
      <c r="I916" s="55" t="s">
        <v>360</v>
      </c>
      <c r="J916" s="55" t="s">
        <v>360</v>
      </c>
      <c r="K916" s="55" t="s">
        <v>360</v>
      </c>
      <c r="L916" s="55" t="s">
        <v>360</v>
      </c>
      <c r="M916" s="55" t="s">
        <v>144</v>
      </c>
      <c r="N916" s="55" t="s">
        <v>144</v>
      </c>
      <c r="O916" s="55" t="s">
        <v>290</v>
      </c>
      <c r="P916" s="55" t="s">
        <v>1099</v>
      </c>
      <c r="Q916" s="55" t="s">
        <v>350</v>
      </c>
      <c r="R916" s="55">
        <v>2</v>
      </c>
      <c r="S916" s="55"/>
      <c r="T916" s="55" t="s">
        <v>1631</v>
      </c>
    </row>
    <row r="917" spans="1:20" ht="13" x14ac:dyDescent="0.15">
      <c r="A917" s="72" t="str">
        <f t="shared" si="14"/>
        <v>Ofsted Social Care Provider Webpage</v>
      </c>
      <c r="B917" s="55">
        <v>2554918</v>
      </c>
      <c r="D917" s="55" t="s">
        <v>373</v>
      </c>
      <c r="E917" s="74">
        <v>43788</v>
      </c>
      <c r="F917" s="55" t="s">
        <v>344</v>
      </c>
      <c r="G917" s="55" t="s">
        <v>360</v>
      </c>
      <c r="H917" s="55" t="s">
        <v>360</v>
      </c>
      <c r="I917" s="55" t="s">
        <v>360</v>
      </c>
      <c r="J917" s="55" t="s">
        <v>360</v>
      </c>
      <c r="K917" s="55" t="s">
        <v>360</v>
      </c>
      <c r="L917" s="55" t="s">
        <v>360</v>
      </c>
      <c r="M917" s="55" t="s">
        <v>144</v>
      </c>
      <c r="N917" s="55" t="s">
        <v>144</v>
      </c>
      <c r="O917" s="55" t="s">
        <v>162</v>
      </c>
      <c r="P917" s="55" t="s">
        <v>1502</v>
      </c>
      <c r="Q917" s="55" t="s">
        <v>350</v>
      </c>
      <c r="R917" s="55">
        <v>3</v>
      </c>
      <c r="S917" s="55"/>
      <c r="T917" s="55" t="s">
        <v>489</v>
      </c>
    </row>
    <row r="918" spans="1:20" ht="13" x14ac:dyDescent="0.15">
      <c r="A918" s="72" t="str">
        <f t="shared" si="14"/>
        <v>Ofsted Social Care Provider Webpage</v>
      </c>
      <c r="B918" s="55">
        <v>2555505</v>
      </c>
      <c r="D918" s="55" t="s">
        <v>373</v>
      </c>
      <c r="E918" s="74">
        <v>43922</v>
      </c>
      <c r="F918" s="55" t="s">
        <v>344</v>
      </c>
      <c r="G918" s="55" t="s">
        <v>360</v>
      </c>
      <c r="H918" s="55" t="s">
        <v>360</v>
      </c>
      <c r="I918" s="55" t="s">
        <v>360</v>
      </c>
      <c r="J918" s="55" t="s">
        <v>360</v>
      </c>
      <c r="K918" s="55" t="s">
        <v>360</v>
      </c>
      <c r="L918" s="55" t="s">
        <v>360</v>
      </c>
      <c r="M918" s="55" t="s">
        <v>172</v>
      </c>
      <c r="N918" s="55" t="s">
        <v>172</v>
      </c>
      <c r="O918" s="55" t="s">
        <v>214</v>
      </c>
      <c r="P918" s="55" t="s">
        <v>1632</v>
      </c>
      <c r="Q918" s="55" t="s">
        <v>350</v>
      </c>
      <c r="R918" s="55">
        <v>4</v>
      </c>
      <c r="S918" s="55"/>
      <c r="T918" s="55" t="s">
        <v>1633</v>
      </c>
    </row>
    <row r="919" spans="1:20" ht="13" x14ac:dyDescent="0.15">
      <c r="A919" s="72" t="str">
        <f t="shared" si="14"/>
        <v>Ofsted Social Care Provider Webpage</v>
      </c>
      <c r="B919" s="55">
        <v>2555815</v>
      </c>
      <c r="D919" s="55" t="s">
        <v>451</v>
      </c>
      <c r="E919" s="74">
        <v>43805</v>
      </c>
      <c r="F919" s="55" t="s">
        <v>344</v>
      </c>
      <c r="G919" s="55" t="s">
        <v>1129</v>
      </c>
      <c r="H919" s="55" t="s">
        <v>1634</v>
      </c>
      <c r="I919" s="55" t="s">
        <v>354</v>
      </c>
      <c r="J919" s="55" t="s">
        <v>129</v>
      </c>
      <c r="K919" s="55" t="s">
        <v>183</v>
      </c>
      <c r="L919" s="55" t="s">
        <v>1635</v>
      </c>
      <c r="M919" s="55" t="s">
        <v>129</v>
      </c>
      <c r="N919" s="55" t="s">
        <v>129</v>
      </c>
      <c r="O919" s="55" t="s">
        <v>279</v>
      </c>
      <c r="P919" s="55" t="s">
        <v>1128</v>
      </c>
      <c r="Q919" s="55" t="s">
        <v>350</v>
      </c>
      <c r="R919" s="55">
        <v>6</v>
      </c>
      <c r="S919" s="55"/>
      <c r="T919" s="55" t="s">
        <v>1129</v>
      </c>
    </row>
    <row r="920" spans="1:20" ht="13" x14ac:dyDescent="0.15">
      <c r="A920" s="72" t="str">
        <f t="shared" si="14"/>
        <v>Ofsted Social Care Provider Webpage</v>
      </c>
      <c r="B920" s="55">
        <v>2556128</v>
      </c>
      <c r="D920" s="55" t="s">
        <v>373</v>
      </c>
      <c r="E920" s="74">
        <v>43805</v>
      </c>
      <c r="F920" s="55" t="s">
        <v>344</v>
      </c>
      <c r="G920" s="55" t="s">
        <v>360</v>
      </c>
      <c r="H920" s="55" t="s">
        <v>360</v>
      </c>
      <c r="I920" s="55" t="s">
        <v>360</v>
      </c>
      <c r="J920" s="55" t="s">
        <v>360</v>
      </c>
      <c r="K920" s="55" t="s">
        <v>360</v>
      </c>
      <c r="L920" s="55" t="s">
        <v>360</v>
      </c>
      <c r="M920" s="55" t="s">
        <v>142</v>
      </c>
      <c r="N920" s="55" t="s">
        <v>142</v>
      </c>
      <c r="O920" s="55" t="s">
        <v>141</v>
      </c>
      <c r="P920" s="55" t="s">
        <v>612</v>
      </c>
      <c r="Q920" s="55" t="s">
        <v>350</v>
      </c>
      <c r="R920" s="55">
        <v>4</v>
      </c>
      <c r="S920" s="55"/>
      <c r="T920" s="55" t="s">
        <v>1636</v>
      </c>
    </row>
    <row r="921" spans="1:20" ht="13" x14ac:dyDescent="0.15">
      <c r="A921" s="72" t="str">
        <f t="shared" si="14"/>
        <v>Ofsted Social Care Provider Webpage</v>
      </c>
      <c r="B921" s="55">
        <v>2556338</v>
      </c>
      <c r="D921" s="55" t="s">
        <v>373</v>
      </c>
      <c r="E921" s="74">
        <v>43790</v>
      </c>
      <c r="F921" s="55" t="s">
        <v>344</v>
      </c>
      <c r="G921" s="55" t="s">
        <v>360</v>
      </c>
      <c r="H921" s="55" t="s">
        <v>360</v>
      </c>
      <c r="I921" s="55" t="s">
        <v>360</v>
      </c>
      <c r="J921" s="55" t="s">
        <v>360</v>
      </c>
      <c r="K921" s="55" t="s">
        <v>360</v>
      </c>
      <c r="L921" s="55" t="s">
        <v>360</v>
      </c>
      <c r="M921" s="55" t="s">
        <v>172</v>
      </c>
      <c r="N921" s="55" t="s">
        <v>172</v>
      </c>
      <c r="O921" s="55" t="s">
        <v>284</v>
      </c>
      <c r="P921" s="55" t="s">
        <v>986</v>
      </c>
      <c r="Q921" s="55" t="s">
        <v>350</v>
      </c>
      <c r="R921" s="55">
        <v>2</v>
      </c>
      <c r="S921" s="55"/>
      <c r="T921" s="55" t="s">
        <v>1637</v>
      </c>
    </row>
    <row r="922" spans="1:20" ht="13" x14ac:dyDescent="0.15">
      <c r="A922" s="72" t="str">
        <f t="shared" si="14"/>
        <v>Ofsted Social Care Provider Webpage</v>
      </c>
      <c r="B922" s="55">
        <v>2556340</v>
      </c>
      <c r="D922" s="55" t="s">
        <v>373</v>
      </c>
      <c r="E922" s="74">
        <v>43752</v>
      </c>
      <c r="F922" s="55" t="s">
        <v>344</v>
      </c>
      <c r="G922" s="55" t="s">
        <v>360</v>
      </c>
      <c r="H922" s="55" t="s">
        <v>360</v>
      </c>
      <c r="I922" s="55" t="s">
        <v>360</v>
      </c>
      <c r="J922" s="55" t="s">
        <v>360</v>
      </c>
      <c r="K922" s="55" t="s">
        <v>360</v>
      </c>
      <c r="L922" s="55" t="s">
        <v>360</v>
      </c>
      <c r="M922" s="55" t="s">
        <v>172</v>
      </c>
      <c r="N922" s="55" t="s">
        <v>172</v>
      </c>
      <c r="O922" s="55" t="s">
        <v>235</v>
      </c>
      <c r="P922" s="55" t="s">
        <v>855</v>
      </c>
      <c r="Q922" s="55" t="s">
        <v>350</v>
      </c>
      <c r="R922" s="55">
        <v>2</v>
      </c>
      <c r="S922" s="55"/>
      <c r="T922" s="55" t="s">
        <v>962</v>
      </c>
    </row>
    <row r="923" spans="1:20" ht="13" x14ac:dyDescent="0.15">
      <c r="A923" s="72" t="str">
        <f t="shared" si="14"/>
        <v>Ofsted Social Care Provider Webpage</v>
      </c>
      <c r="B923" s="55">
        <v>2556596</v>
      </c>
      <c r="D923" s="55" t="s">
        <v>373</v>
      </c>
      <c r="E923" s="74">
        <v>43795</v>
      </c>
      <c r="F923" s="55" t="s">
        <v>344</v>
      </c>
      <c r="G923" s="55" t="s">
        <v>360</v>
      </c>
      <c r="H923" s="55" t="s">
        <v>360</v>
      </c>
      <c r="I923" s="55" t="s">
        <v>360</v>
      </c>
      <c r="J923" s="55" t="s">
        <v>360</v>
      </c>
      <c r="K923" s="55" t="s">
        <v>360</v>
      </c>
      <c r="L923" s="55" t="s">
        <v>360</v>
      </c>
      <c r="M923" s="55" t="s">
        <v>144</v>
      </c>
      <c r="N923" s="55" t="s">
        <v>144</v>
      </c>
      <c r="O923" s="55" t="s">
        <v>281</v>
      </c>
      <c r="P923" s="55" t="s">
        <v>725</v>
      </c>
      <c r="Q923" s="55" t="s">
        <v>350</v>
      </c>
      <c r="R923" s="55">
        <v>2</v>
      </c>
      <c r="S923" s="55"/>
      <c r="T923" s="55" t="s">
        <v>385</v>
      </c>
    </row>
    <row r="924" spans="1:20" ht="13" x14ac:dyDescent="0.15">
      <c r="A924" s="72" t="str">
        <f t="shared" si="14"/>
        <v>Ofsted Social Care Provider Webpage</v>
      </c>
      <c r="B924" s="55">
        <v>2557064</v>
      </c>
      <c r="D924" s="55" t="s">
        <v>373</v>
      </c>
      <c r="E924" s="74">
        <v>44060</v>
      </c>
      <c r="F924" s="55" t="s">
        <v>344</v>
      </c>
      <c r="G924" s="55" t="s">
        <v>360</v>
      </c>
      <c r="H924" s="55" t="s">
        <v>360</v>
      </c>
      <c r="I924" s="55" t="s">
        <v>360</v>
      </c>
      <c r="J924" s="55" t="s">
        <v>360</v>
      </c>
      <c r="K924" s="55" t="s">
        <v>360</v>
      </c>
      <c r="L924" s="55" t="s">
        <v>360</v>
      </c>
      <c r="M924" s="55" t="s">
        <v>144</v>
      </c>
      <c r="N924" s="55" t="s">
        <v>144</v>
      </c>
      <c r="O924" s="55" t="s">
        <v>145</v>
      </c>
      <c r="P924" s="55" t="s">
        <v>525</v>
      </c>
      <c r="Q924" s="55" t="s">
        <v>350</v>
      </c>
      <c r="R924" s="55">
        <v>2</v>
      </c>
      <c r="S924" s="55"/>
      <c r="T924" s="55" t="s">
        <v>1638</v>
      </c>
    </row>
    <row r="925" spans="1:20" ht="13" x14ac:dyDescent="0.15">
      <c r="A925" s="72" t="str">
        <f t="shared" si="14"/>
        <v>Ofsted Social Care Provider Webpage</v>
      </c>
      <c r="B925" s="55">
        <v>2557141</v>
      </c>
      <c r="D925" s="55" t="s">
        <v>373</v>
      </c>
      <c r="E925" s="74">
        <v>44025</v>
      </c>
      <c r="F925" s="55" t="s">
        <v>344</v>
      </c>
      <c r="G925" s="55" t="s">
        <v>360</v>
      </c>
      <c r="H925" s="55" t="s">
        <v>360</v>
      </c>
      <c r="I925" s="55" t="s">
        <v>360</v>
      </c>
      <c r="J925" s="55" t="s">
        <v>360</v>
      </c>
      <c r="K925" s="55" t="s">
        <v>360</v>
      </c>
      <c r="L925" s="55" t="s">
        <v>360</v>
      </c>
      <c r="M925" s="55" t="s">
        <v>129</v>
      </c>
      <c r="N925" s="55" t="s">
        <v>129</v>
      </c>
      <c r="O925" s="55" t="s">
        <v>139</v>
      </c>
      <c r="P925" s="55" t="s">
        <v>1639</v>
      </c>
      <c r="Q925" s="55" t="s">
        <v>350</v>
      </c>
      <c r="R925" s="55">
        <v>4</v>
      </c>
      <c r="S925" s="55"/>
      <c r="T925" s="55" t="s">
        <v>1640</v>
      </c>
    </row>
    <row r="926" spans="1:20" ht="13" x14ac:dyDescent="0.15">
      <c r="A926" s="72" t="str">
        <f t="shared" si="14"/>
        <v>Ofsted Social Care Provider Webpage</v>
      </c>
      <c r="B926" s="55">
        <v>2557152</v>
      </c>
      <c r="D926" s="55" t="s">
        <v>373</v>
      </c>
      <c r="E926" s="74">
        <v>43788</v>
      </c>
      <c r="F926" s="55" t="s">
        <v>344</v>
      </c>
      <c r="G926" s="55" t="s">
        <v>360</v>
      </c>
      <c r="H926" s="55" t="s">
        <v>360</v>
      </c>
      <c r="I926" s="55" t="s">
        <v>360</v>
      </c>
      <c r="J926" s="55" t="s">
        <v>360</v>
      </c>
      <c r="K926" s="55" t="s">
        <v>360</v>
      </c>
      <c r="L926" s="55" t="s">
        <v>360</v>
      </c>
      <c r="M926" s="55" t="s">
        <v>144</v>
      </c>
      <c r="N926" s="55" t="s">
        <v>144</v>
      </c>
      <c r="O926" s="55" t="s">
        <v>271</v>
      </c>
      <c r="P926" s="55" t="s">
        <v>1122</v>
      </c>
      <c r="Q926" s="55" t="s">
        <v>350</v>
      </c>
      <c r="R926" s="55">
        <v>3</v>
      </c>
      <c r="S926" s="55"/>
      <c r="T926" s="55" t="s">
        <v>1505</v>
      </c>
    </row>
    <row r="927" spans="1:20" ht="13" x14ac:dyDescent="0.15">
      <c r="A927" s="72" t="str">
        <f t="shared" si="14"/>
        <v>Ofsted Social Care Provider Webpage</v>
      </c>
      <c r="B927" s="55">
        <v>2557361</v>
      </c>
      <c r="D927" s="55" t="s">
        <v>373</v>
      </c>
      <c r="E927" s="74">
        <v>43739</v>
      </c>
      <c r="F927" s="55" t="s">
        <v>344</v>
      </c>
      <c r="G927" s="55" t="s">
        <v>360</v>
      </c>
      <c r="H927" s="55" t="s">
        <v>360</v>
      </c>
      <c r="I927" s="55" t="s">
        <v>360</v>
      </c>
      <c r="J927" s="55" t="s">
        <v>360</v>
      </c>
      <c r="K927" s="55" t="s">
        <v>360</v>
      </c>
      <c r="L927" s="55" t="s">
        <v>360</v>
      </c>
      <c r="M927" s="55" t="s">
        <v>142</v>
      </c>
      <c r="N927" s="55" t="s">
        <v>142</v>
      </c>
      <c r="O927" s="55" t="s">
        <v>293</v>
      </c>
      <c r="P927" s="55" t="s">
        <v>1641</v>
      </c>
      <c r="Q927" s="55" t="s">
        <v>362</v>
      </c>
      <c r="R927" s="55">
        <v>4</v>
      </c>
      <c r="S927" s="55" t="s">
        <v>332</v>
      </c>
      <c r="T927" s="55" t="s">
        <v>1605</v>
      </c>
    </row>
    <row r="928" spans="1:20" ht="13" x14ac:dyDescent="0.15">
      <c r="A928" s="72" t="str">
        <f t="shared" si="14"/>
        <v>Ofsted Social Care Provider Webpage</v>
      </c>
      <c r="B928" s="55">
        <v>2557603</v>
      </c>
      <c r="D928" s="55" t="s">
        <v>373</v>
      </c>
      <c r="E928" s="74">
        <v>43765</v>
      </c>
      <c r="F928" s="55" t="s">
        <v>344</v>
      </c>
      <c r="G928" s="55" t="s">
        <v>360</v>
      </c>
      <c r="H928" s="55" t="s">
        <v>360</v>
      </c>
      <c r="I928" s="55" t="s">
        <v>360</v>
      </c>
      <c r="J928" s="55" t="s">
        <v>360</v>
      </c>
      <c r="K928" s="55" t="s">
        <v>360</v>
      </c>
      <c r="L928" s="55" t="s">
        <v>360</v>
      </c>
      <c r="M928" s="55" t="s">
        <v>172</v>
      </c>
      <c r="N928" s="55" t="s">
        <v>172</v>
      </c>
      <c r="O928" s="55" t="s">
        <v>212</v>
      </c>
      <c r="P928" s="55" t="s">
        <v>514</v>
      </c>
      <c r="Q928" s="55" t="s">
        <v>350</v>
      </c>
      <c r="R928" s="55">
        <v>4</v>
      </c>
      <c r="S928" s="55"/>
      <c r="T928" s="55" t="s">
        <v>1424</v>
      </c>
    </row>
    <row r="929" spans="1:20" ht="13" x14ac:dyDescent="0.15">
      <c r="A929" s="72" t="str">
        <f t="shared" si="14"/>
        <v>Ofsted Social Care Provider Webpage</v>
      </c>
      <c r="B929" s="55">
        <v>2557914</v>
      </c>
      <c r="D929" s="55" t="s">
        <v>373</v>
      </c>
      <c r="E929" s="74">
        <v>43875</v>
      </c>
      <c r="F929" s="55" t="s">
        <v>344</v>
      </c>
      <c r="G929" s="55" t="s">
        <v>360</v>
      </c>
      <c r="H929" s="55" t="s">
        <v>360</v>
      </c>
      <c r="I929" s="55" t="s">
        <v>360</v>
      </c>
      <c r="J929" s="55" t="s">
        <v>360</v>
      </c>
      <c r="K929" s="55" t="s">
        <v>360</v>
      </c>
      <c r="L929" s="55" t="s">
        <v>360</v>
      </c>
      <c r="M929" s="55" t="s">
        <v>142</v>
      </c>
      <c r="N929" s="55" t="s">
        <v>142</v>
      </c>
      <c r="O929" s="55" t="s">
        <v>141</v>
      </c>
      <c r="P929" s="55" t="s">
        <v>573</v>
      </c>
      <c r="Q929" s="55" t="s">
        <v>350</v>
      </c>
      <c r="R929" s="55">
        <v>3</v>
      </c>
      <c r="S929" s="55"/>
      <c r="T929" s="55" t="s">
        <v>727</v>
      </c>
    </row>
    <row r="930" spans="1:20" ht="13" x14ac:dyDescent="0.15">
      <c r="A930" s="72" t="str">
        <f t="shared" si="14"/>
        <v>Ofsted Social Care Provider Webpage</v>
      </c>
      <c r="B930" s="55">
        <v>2557920</v>
      </c>
      <c r="D930" s="55" t="s">
        <v>373</v>
      </c>
      <c r="E930" s="74">
        <v>43781</v>
      </c>
      <c r="F930" s="55" t="s">
        <v>344</v>
      </c>
      <c r="G930" s="55" t="s">
        <v>360</v>
      </c>
      <c r="H930" s="55" t="s">
        <v>360</v>
      </c>
      <c r="I930" s="55" t="s">
        <v>360</v>
      </c>
      <c r="J930" s="55" t="s">
        <v>360</v>
      </c>
      <c r="K930" s="55" t="s">
        <v>360</v>
      </c>
      <c r="L930" s="55" t="s">
        <v>360</v>
      </c>
      <c r="M930" s="55" t="s">
        <v>136</v>
      </c>
      <c r="N930" s="55" t="s">
        <v>136</v>
      </c>
      <c r="O930" s="55" t="s">
        <v>185</v>
      </c>
      <c r="P930" s="55" t="s">
        <v>1642</v>
      </c>
      <c r="Q930" s="55" t="s">
        <v>350</v>
      </c>
      <c r="R930" s="55">
        <v>4</v>
      </c>
      <c r="S930" s="55"/>
      <c r="T930" s="55" t="s">
        <v>1115</v>
      </c>
    </row>
    <row r="931" spans="1:20" ht="13" x14ac:dyDescent="0.15">
      <c r="A931" s="72" t="str">
        <f t="shared" si="14"/>
        <v>Ofsted Social Care Provider Webpage</v>
      </c>
      <c r="B931" s="55">
        <v>2558515</v>
      </c>
      <c r="D931" s="55" t="s">
        <v>373</v>
      </c>
      <c r="E931" s="74">
        <v>43818</v>
      </c>
      <c r="F931" s="55" t="s">
        <v>344</v>
      </c>
      <c r="G931" s="55" t="s">
        <v>360</v>
      </c>
      <c r="H931" s="55" t="s">
        <v>360</v>
      </c>
      <c r="I931" s="55" t="s">
        <v>360</v>
      </c>
      <c r="J931" s="55" t="s">
        <v>360</v>
      </c>
      <c r="K931" s="55" t="s">
        <v>360</v>
      </c>
      <c r="L931" s="55" t="s">
        <v>360</v>
      </c>
      <c r="M931" s="55" t="s">
        <v>172</v>
      </c>
      <c r="N931" s="55" t="s">
        <v>172</v>
      </c>
      <c r="O931" s="55" t="s">
        <v>173</v>
      </c>
      <c r="P931" s="55" t="s">
        <v>1069</v>
      </c>
      <c r="Q931" s="55" t="s">
        <v>350</v>
      </c>
      <c r="R931" s="55">
        <v>4</v>
      </c>
      <c r="S931" s="55"/>
      <c r="T931" s="55" t="s">
        <v>1070</v>
      </c>
    </row>
    <row r="932" spans="1:20" ht="13" x14ac:dyDescent="0.15">
      <c r="A932" s="72" t="str">
        <f t="shared" si="14"/>
        <v>Ofsted Social Care Provider Webpage</v>
      </c>
      <c r="B932" s="55">
        <v>2558681</v>
      </c>
      <c r="D932" s="55" t="s">
        <v>373</v>
      </c>
      <c r="E932" s="74">
        <v>43893</v>
      </c>
      <c r="F932" s="55" t="s">
        <v>344</v>
      </c>
      <c r="G932" s="55" t="s">
        <v>360</v>
      </c>
      <c r="H932" s="55" t="s">
        <v>360</v>
      </c>
      <c r="I932" s="55" t="s">
        <v>360</v>
      </c>
      <c r="J932" s="55" t="s">
        <v>360</v>
      </c>
      <c r="K932" s="55" t="s">
        <v>360</v>
      </c>
      <c r="L932" s="55" t="s">
        <v>360</v>
      </c>
      <c r="M932" s="55" t="s">
        <v>144</v>
      </c>
      <c r="N932" s="55" t="s">
        <v>144</v>
      </c>
      <c r="O932" s="55" t="s">
        <v>145</v>
      </c>
      <c r="P932" s="55" t="s">
        <v>525</v>
      </c>
      <c r="Q932" s="55" t="s">
        <v>350</v>
      </c>
      <c r="R932" s="55">
        <v>3</v>
      </c>
      <c r="S932" s="55"/>
      <c r="T932" s="55" t="s">
        <v>1643</v>
      </c>
    </row>
    <row r="933" spans="1:20" ht="13" x14ac:dyDescent="0.15">
      <c r="A933" s="72" t="str">
        <f t="shared" si="14"/>
        <v>Ofsted Social Care Provider Webpage</v>
      </c>
      <c r="B933" s="55">
        <v>2558682</v>
      </c>
      <c r="D933" s="55" t="s">
        <v>373</v>
      </c>
      <c r="E933" s="74">
        <v>43875</v>
      </c>
      <c r="F933" s="55" t="s">
        <v>344</v>
      </c>
      <c r="G933" s="55" t="s">
        <v>360</v>
      </c>
      <c r="H933" s="55" t="s">
        <v>360</v>
      </c>
      <c r="I933" s="55" t="s">
        <v>360</v>
      </c>
      <c r="J933" s="55" t="s">
        <v>360</v>
      </c>
      <c r="K933" s="55" t="s">
        <v>360</v>
      </c>
      <c r="L933" s="55" t="s">
        <v>360</v>
      </c>
      <c r="M933" s="55" t="s">
        <v>142</v>
      </c>
      <c r="N933" s="55" t="s">
        <v>142</v>
      </c>
      <c r="O933" s="55" t="s">
        <v>252</v>
      </c>
      <c r="P933" s="55" t="s">
        <v>388</v>
      </c>
      <c r="Q933" s="55" t="s">
        <v>380</v>
      </c>
      <c r="R933" s="55">
        <v>2</v>
      </c>
      <c r="S933" s="55"/>
      <c r="T933" s="55" t="s">
        <v>1542</v>
      </c>
    </row>
    <row r="934" spans="1:20" ht="13" x14ac:dyDescent="0.15">
      <c r="A934" s="72" t="str">
        <f t="shared" si="14"/>
        <v>Ofsted Social Care Provider Webpage</v>
      </c>
      <c r="B934" s="55">
        <v>2559013</v>
      </c>
      <c r="D934" s="55" t="s">
        <v>373</v>
      </c>
      <c r="E934" s="74">
        <v>44197</v>
      </c>
      <c r="F934" s="55" t="s">
        <v>344</v>
      </c>
      <c r="G934" s="55" t="s">
        <v>360</v>
      </c>
      <c r="H934" s="55" t="s">
        <v>360</v>
      </c>
      <c r="I934" s="55" t="s">
        <v>360</v>
      </c>
      <c r="J934" s="55" t="s">
        <v>360</v>
      </c>
      <c r="K934" s="55" t="s">
        <v>360</v>
      </c>
      <c r="L934" s="55" t="s">
        <v>360</v>
      </c>
      <c r="M934" s="55" t="s">
        <v>150</v>
      </c>
      <c r="N934" s="55" t="s">
        <v>150</v>
      </c>
      <c r="O934" s="55" t="s">
        <v>218</v>
      </c>
      <c r="P934" s="55" t="s">
        <v>1644</v>
      </c>
      <c r="Q934" s="55" t="s">
        <v>350</v>
      </c>
      <c r="R934" s="55">
        <v>8</v>
      </c>
      <c r="S934" s="55"/>
      <c r="T934" s="55" t="s">
        <v>1645</v>
      </c>
    </row>
    <row r="935" spans="1:20" ht="13" x14ac:dyDescent="0.15">
      <c r="A935" s="72" t="str">
        <f t="shared" si="14"/>
        <v>Ofsted Social Care Provider Webpage</v>
      </c>
      <c r="B935" s="55">
        <v>2559019</v>
      </c>
      <c r="D935" s="55" t="s">
        <v>373</v>
      </c>
      <c r="E935" s="74">
        <v>43770</v>
      </c>
      <c r="F935" s="55" t="s">
        <v>344</v>
      </c>
      <c r="G935" s="55" t="s">
        <v>360</v>
      </c>
      <c r="H935" s="55" t="s">
        <v>360</v>
      </c>
      <c r="I935" s="55" t="s">
        <v>360</v>
      </c>
      <c r="J935" s="55" t="s">
        <v>360</v>
      </c>
      <c r="K935" s="55" t="s">
        <v>360</v>
      </c>
      <c r="L935" s="55" t="s">
        <v>360</v>
      </c>
      <c r="M935" s="55" t="s">
        <v>129</v>
      </c>
      <c r="N935" s="55" t="s">
        <v>129</v>
      </c>
      <c r="O935" s="55" t="s">
        <v>242</v>
      </c>
      <c r="P935" s="55" t="s">
        <v>1192</v>
      </c>
      <c r="Q935" s="55" t="s">
        <v>350</v>
      </c>
      <c r="R935" s="55">
        <v>5</v>
      </c>
      <c r="S935" s="55"/>
      <c r="T935" s="55" t="s">
        <v>1646</v>
      </c>
    </row>
    <row r="936" spans="1:20" ht="13" x14ac:dyDescent="0.15">
      <c r="A936" s="72" t="str">
        <f t="shared" si="14"/>
        <v>Ofsted Social Care Provider Webpage</v>
      </c>
      <c r="B936" s="55">
        <v>2559023</v>
      </c>
      <c r="D936" s="55" t="s">
        <v>373</v>
      </c>
      <c r="E936" s="74">
        <v>43894</v>
      </c>
      <c r="F936" s="55" t="s">
        <v>344</v>
      </c>
      <c r="G936" s="55" t="s">
        <v>360</v>
      </c>
      <c r="H936" s="55" t="s">
        <v>360</v>
      </c>
      <c r="I936" s="55" t="s">
        <v>360</v>
      </c>
      <c r="J936" s="55" t="s">
        <v>360</v>
      </c>
      <c r="K936" s="55" t="s">
        <v>360</v>
      </c>
      <c r="L936" s="55" t="s">
        <v>360</v>
      </c>
      <c r="M936" s="55" t="s">
        <v>144</v>
      </c>
      <c r="N936" s="55" t="s">
        <v>144</v>
      </c>
      <c r="O936" s="55" t="s">
        <v>168</v>
      </c>
      <c r="P936" s="55" t="s">
        <v>834</v>
      </c>
      <c r="Q936" s="55" t="s">
        <v>350</v>
      </c>
      <c r="R936" s="55">
        <v>2</v>
      </c>
      <c r="S936" s="55"/>
      <c r="T936" s="55" t="s">
        <v>485</v>
      </c>
    </row>
    <row r="937" spans="1:20" ht="13" x14ac:dyDescent="0.15">
      <c r="A937" s="72" t="str">
        <f t="shared" si="14"/>
        <v>Ofsted Social Care Provider Webpage</v>
      </c>
      <c r="B937" s="55">
        <v>2559288</v>
      </c>
      <c r="D937" s="55" t="s">
        <v>389</v>
      </c>
      <c r="E937" s="74">
        <v>43944</v>
      </c>
      <c r="F937" s="55" t="s">
        <v>344</v>
      </c>
      <c r="G937" s="55" t="s">
        <v>1647</v>
      </c>
      <c r="H937" s="55" t="s">
        <v>1648</v>
      </c>
      <c r="I937" s="55" t="s">
        <v>1649</v>
      </c>
      <c r="J937" s="55" t="s">
        <v>1650</v>
      </c>
      <c r="L937" s="55" t="s">
        <v>1651</v>
      </c>
      <c r="M937" s="55" t="s">
        <v>129</v>
      </c>
      <c r="N937" s="55" t="s">
        <v>129</v>
      </c>
      <c r="O937" s="55" t="s">
        <v>242</v>
      </c>
      <c r="P937" s="55" t="s">
        <v>1519</v>
      </c>
      <c r="Q937" s="55" t="s">
        <v>350</v>
      </c>
      <c r="R937" s="55"/>
      <c r="S937" s="55"/>
      <c r="T937" s="55" t="s">
        <v>1652</v>
      </c>
    </row>
    <row r="938" spans="1:20" ht="13" x14ac:dyDescent="0.15">
      <c r="A938" s="72" t="str">
        <f t="shared" si="14"/>
        <v>Ofsted Social Care Provider Webpage</v>
      </c>
      <c r="B938" s="55">
        <v>2559317</v>
      </c>
      <c r="D938" s="55" t="s">
        <v>373</v>
      </c>
      <c r="E938" s="74">
        <v>43962</v>
      </c>
      <c r="F938" s="55" t="s">
        <v>344</v>
      </c>
      <c r="G938" s="55" t="s">
        <v>360</v>
      </c>
      <c r="H938" s="55" t="s">
        <v>360</v>
      </c>
      <c r="I938" s="55" t="s">
        <v>360</v>
      </c>
      <c r="J938" s="55" t="s">
        <v>360</v>
      </c>
      <c r="K938" s="55" t="s">
        <v>360</v>
      </c>
      <c r="L938" s="55" t="s">
        <v>360</v>
      </c>
      <c r="M938" s="55" t="s">
        <v>144</v>
      </c>
      <c r="N938" s="55" t="s">
        <v>144</v>
      </c>
      <c r="O938" s="55" t="s">
        <v>250</v>
      </c>
      <c r="P938" s="55" t="s">
        <v>759</v>
      </c>
      <c r="Q938" s="55" t="s">
        <v>350</v>
      </c>
      <c r="R938" s="55">
        <v>1</v>
      </c>
      <c r="S938" s="55"/>
      <c r="T938" s="55" t="s">
        <v>1653</v>
      </c>
    </row>
    <row r="939" spans="1:20" ht="13" x14ac:dyDescent="0.15">
      <c r="A939" s="72" t="str">
        <f t="shared" si="14"/>
        <v>Ofsted Social Care Provider Webpage</v>
      </c>
      <c r="B939" s="55">
        <v>2560305</v>
      </c>
      <c r="D939" s="55" t="s">
        <v>373</v>
      </c>
      <c r="E939" s="74">
        <v>43861</v>
      </c>
      <c r="F939" s="55" t="s">
        <v>344</v>
      </c>
      <c r="G939" s="55" t="s">
        <v>360</v>
      </c>
      <c r="H939" s="55" t="s">
        <v>360</v>
      </c>
      <c r="I939" s="55" t="s">
        <v>360</v>
      </c>
      <c r="J939" s="55" t="s">
        <v>360</v>
      </c>
      <c r="K939" s="55" t="s">
        <v>360</v>
      </c>
      <c r="L939" s="55" t="s">
        <v>360</v>
      </c>
      <c r="M939" s="55" t="s">
        <v>142</v>
      </c>
      <c r="N939" s="55" t="s">
        <v>142</v>
      </c>
      <c r="O939" s="55" t="s">
        <v>249</v>
      </c>
      <c r="P939" s="55" t="s">
        <v>1181</v>
      </c>
      <c r="Q939" s="55" t="s">
        <v>350</v>
      </c>
      <c r="R939" s="55">
        <v>3</v>
      </c>
      <c r="S939" s="55"/>
      <c r="T939" s="55" t="s">
        <v>1654</v>
      </c>
    </row>
    <row r="940" spans="1:20" ht="13" x14ac:dyDescent="0.15">
      <c r="A940" s="72" t="str">
        <f t="shared" si="14"/>
        <v>Ofsted Social Care Provider Webpage</v>
      </c>
      <c r="B940" s="55">
        <v>2560639</v>
      </c>
      <c r="D940" s="55" t="s">
        <v>373</v>
      </c>
      <c r="E940" s="74">
        <v>43797</v>
      </c>
      <c r="F940" s="55" t="s">
        <v>344</v>
      </c>
      <c r="G940" s="55" t="s">
        <v>360</v>
      </c>
      <c r="H940" s="55" t="s">
        <v>360</v>
      </c>
      <c r="I940" s="55" t="s">
        <v>360</v>
      </c>
      <c r="J940" s="55" t="s">
        <v>360</v>
      </c>
      <c r="K940" s="55" t="s">
        <v>360</v>
      </c>
      <c r="L940" s="55" t="s">
        <v>360</v>
      </c>
      <c r="M940" s="55" t="s">
        <v>378</v>
      </c>
      <c r="N940" s="55" t="s">
        <v>134</v>
      </c>
      <c r="O940" s="55" t="s">
        <v>206</v>
      </c>
      <c r="P940" s="55" t="s">
        <v>1655</v>
      </c>
      <c r="Q940" s="55" t="s">
        <v>350</v>
      </c>
      <c r="R940" s="55">
        <v>3</v>
      </c>
      <c r="S940" s="55"/>
      <c r="T940" s="55" t="s">
        <v>613</v>
      </c>
    </row>
    <row r="941" spans="1:20" ht="13" x14ac:dyDescent="0.15">
      <c r="A941" s="72" t="str">
        <f t="shared" si="14"/>
        <v>Ofsted Social Care Provider Webpage</v>
      </c>
      <c r="B941" s="55">
        <v>2560648</v>
      </c>
      <c r="D941" s="55" t="s">
        <v>373</v>
      </c>
      <c r="E941" s="74">
        <v>43816</v>
      </c>
      <c r="F941" s="55" t="s">
        <v>344</v>
      </c>
      <c r="G941" s="55" t="s">
        <v>360</v>
      </c>
      <c r="H941" s="55" t="s">
        <v>360</v>
      </c>
      <c r="I941" s="55" t="s">
        <v>360</v>
      </c>
      <c r="J941" s="55" t="s">
        <v>360</v>
      </c>
      <c r="K941" s="55" t="s">
        <v>360</v>
      </c>
      <c r="L941" s="55" t="s">
        <v>360</v>
      </c>
      <c r="M941" s="55" t="s">
        <v>142</v>
      </c>
      <c r="N941" s="55" t="s">
        <v>142</v>
      </c>
      <c r="O941" s="55" t="s">
        <v>262</v>
      </c>
      <c r="P941" s="55" t="s">
        <v>692</v>
      </c>
      <c r="Q941" s="55" t="s">
        <v>350</v>
      </c>
      <c r="R941" s="55">
        <v>3</v>
      </c>
      <c r="S941" s="55"/>
      <c r="T941" s="55" t="s">
        <v>1307</v>
      </c>
    </row>
    <row r="942" spans="1:20" ht="13" x14ac:dyDescent="0.15">
      <c r="A942" s="72" t="str">
        <f t="shared" si="14"/>
        <v>Ofsted Social Care Provider Webpage</v>
      </c>
      <c r="B942" s="55">
        <v>2561020</v>
      </c>
      <c r="D942" s="55" t="s">
        <v>373</v>
      </c>
      <c r="E942" s="74">
        <v>43783</v>
      </c>
      <c r="F942" s="55" t="s">
        <v>344</v>
      </c>
      <c r="G942" s="55" t="s">
        <v>360</v>
      </c>
      <c r="H942" s="55" t="s">
        <v>360</v>
      </c>
      <c r="I942" s="55" t="s">
        <v>360</v>
      </c>
      <c r="J942" s="55" t="s">
        <v>360</v>
      </c>
      <c r="K942" s="55" t="s">
        <v>360</v>
      </c>
      <c r="L942" s="55" t="s">
        <v>360</v>
      </c>
      <c r="M942" s="55" t="s">
        <v>172</v>
      </c>
      <c r="N942" s="55" t="s">
        <v>172</v>
      </c>
      <c r="O942" s="55" t="s">
        <v>171</v>
      </c>
      <c r="P942" s="55" t="s">
        <v>895</v>
      </c>
      <c r="Q942" s="55" t="s">
        <v>350</v>
      </c>
      <c r="R942" s="55">
        <v>5</v>
      </c>
      <c r="S942" s="55"/>
      <c r="T942" s="55" t="s">
        <v>861</v>
      </c>
    </row>
    <row r="943" spans="1:20" ht="13" x14ac:dyDescent="0.15">
      <c r="A943" s="72" t="str">
        <f t="shared" si="14"/>
        <v>Ofsted Social Care Provider Webpage</v>
      </c>
      <c r="B943" s="55">
        <v>2561329</v>
      </c>
      <c r="D943" s="55" t="s">
        <v>451</v>
      </c>
      <c r="E943" s="74">
        <v>43840</v>
      </c>
      <c r="F943" s="55" t="s">
        <v>344</v>
      </c>
      <c r="G943" s="55" t="s">
        <v>1656</v>
      </c>
      <c r="H943" s="55" t="s">
        <v>1657</v>
      </c>
      <c r="I943" s="55" t="s">
        <v>354</v>
      </c>
      <c r="J943" s="55" t="s">
        <v>239</v>
      </c>
      <c r="K943" s="55" t="s">
        <v>174</v>
      </c>
      <c r="L943" s="55" t="s">
        <v>1658</v>
      </c>
      <c r="M943" s="55" t="s">
        <v>136</v>
      </c>
      <c r="N943" s="55" t="s">
        <v>136</v>
      </c>
      <c r="O943" s="55" t="s">
        <v>239</v>
      </c>
      <c r="P943" s="55" t="s">
        <v>738</v>
      </c>
      <c r="Q943" s="55" t="s">
        <v>350</v>
      </c>
      <c r="R943" s="55">
        <v>5</v>
      </c>
      <c r="S943" s="55"/>
      <c r="T943" s="55" t="s">
        <v>1659</v>
      </c>
    </row>
    <row r="944" spans="1:20" ht="13" x14ac:dyDescent="0.15">
      <c r="A944" s="72" t="str">
        <f t="shared" si="14"/>
        <v>Ofsted Social Care Provider Webpage</v>
      </c>
      <c r="B944" s="55">
        <v>2561501</v>
      </c>
      <c r="D944" s="55" t="s">
        <v>373</v>
      </c>
      <c r="E944" s="74">
        <v>43938</v>
      </c>
      <c r="F944" s="55" t="s">
        <v>344</v>
      </c>
      <c r="G944" s="55" t="s">
        <v>360</v>
      </c>
      <c r="H944" s="55" t="s">
        <v>360</v>
      </c>
      <c r="I944" s="55" t="s">
        <v>360</v>
      </c>
      <c r="J944" s="55" t="s">
        <v>360</v>
      </c>
      <c r="K944" s="55" t="s">
        <v>360</v>
      </c>
      <c r="L944" s="55" t="s">
        <v>360</v>
      </c>
      <c r="M944" s="55" t="s">
        <v>129</v>
      </c>
      <c r="N944" s="55" t="s">
        <v>129</v>
      </c>
      <c r="O944" s="55" t="s">
        <v>182</v>
      </c>
      <c r="P944" s="55" t="s">
        <v>1660</v>
      </c>
      <c r="Q944" s="55" t="s">
        <v>350</v>
      </c>
      <c r="R944" s="55">
        <v>4</v>
      </c>
      <c r="S944" s="55"/>
      <c r="T944" s="55" t="s">
        <v>1661</v>
      </c>
    </row>
    <row r="945" spans="1:20" ht="13" x14ac:dyDescent="0.15">
      <c r="A945" s="72" t="str">
        <f t="shared" si="14"/>
        <v>Ofsted Social Care Provider Webpage</v>
      </c>
      <c r="B945" s="55">
        <v>2561726</v>
      </c>
      <c r="D945" s="55" t="s">
        <v>373</v>
      </c>
      <c r="E945" s="74">
        <v>43872</v>
      </c>
      <c r="F945" s="55" t="s">
        <v>344</v>
      </c>
      <c r="G945" s="55" t="s">
        <v>360</v>
      </c>
      <c r="H945" s="55" t="s">
        <v>360</v>
      </c>
      <c r="I945" s="55" t="s">
        <v>360</v>
      </c>
      <c r="J945" s="55" t="s">
        <v>360</v>
      </c>
      <c r="K945" s="55" t="s">
        <v>360</v>
      </c>
      <c r="L945" s="55" t="s">
        <v>360</v>
      </c>
      <c r="M945" s="55" t="s">
        <v>378</v>
      </c>
      <c r="N945" s="55" t="s">
        <v>134</v>
      </c>
      <c r="O945" s="55" t="s">
        <v>180</v>
      </c>
      <c r="P945" s="55" t="s">
        <v>1483</v>
      </c>
      <c r="Q945" s="55" t="s">
        <v>350</v>
      </c>
      <c r="R945" s="55">
        <v>2</v>
      </c>
      <c r="S945" s="55"/>
      <c r="T945" s="55" t="s">
        <v>1484</v>
      </c>
    </row>
    <row r="946" spans="1:20" ht="13" x14ac:dyDescent="0.15">
      <c r="A946" s="72" t="str">
        <f t="shared" si="14"/>
        <v>Ofsted Social Care Provider Webpage</v>
      </c>
      <c r="B946" s="55">
        <v>2561916</v>
      </c>
      <c r="D946" s="55" t="s">
        <v>358</v>
      </c>
      <c r="E946" s="74">
        <v>43847</v>
      </c>
      <c r="F946" s="55" t="s">
        <v>344</v>
      </c>
      <c r="G946" s="55" t="s">
        <v>1662</v>
      </c>
      <c r="H946" s="55" t="s">
        <v>360</v>
      </c>
      <c r="I946" s="55" t="s">
        <v>360</v>
      </c>
      <c r="J946" s="55" t="s">
        <v>360</v>
      </c>
      <c r="K946" s="55" t="s">
        <v>360</v>
      </c>
      <c r="L946" s="55" t="s">
        <v>360</v>
      </c>
      <c r="M946" s="55" t="s">
        <v>136</v>
      </c>
      <c r="N946" s="55" t="s">
        <v>136</v>
      </c>
      <c r="O946" s="55" t="s">
        <v>135</v>
      </c>
      <c r="P946" s="55" t="s">
        <v>1165</v>
      </c>
      <c r="Q946" s="55" t="s">
        <v>362</v>
      </c>
      <c r="R946" s="55"/>
      <c r="S946" s="55"/>
      <c r="T946" s="55" t="s">
        <v>1663</v>
      </c>
    </row>
    <row r="947" spans="1:20" ht="13" x14ac:dyDescent="0.15">
      <c r="A947" s="72" t="str">
        <f t="shared" si="14"/>
        <v>Ofsted Social Care Provider Webpage</v>
      </c>
      <c r="B947" s="55">
        <v>2561970</v>
      </c>
      <c r="D947" s="55" t="s">
        <v>373</v>
      </c>
      <c r="E947" s="74">
        <v>43843</v>
      </c>
      <c r="F947" s="55" t="s">
        <v>344</v>
      </c>
      <c r="G947" s="55" t="s">
        <v>360</v>
      </c>
      <c r="H947" s="55" t="s">
        <v>360</v>
      </c>
      <c r="I947" s="55" t="s">
        <v>360</v>
      </c>
      <c r="J947" s="55" t="s">
        <v>360</v>
      </c>
      <c r="K947" s="55" t="s">
        <v>360</v>
      </c>
      <c r="L947" s="55" t="s">
        <v>360</v>
      </c>
      <c r="M947" s="55" t="s">
        <v>144</v>
      </c>
      <c r="N947" s="55" t="s">
        <v>144</v>
      </c>
      <c r="O947" s="55" t="s">
        <v>162</v>
      </c>
      <c r="P947" s="55" t="s">
        <v>1502</v>
      </c>
      <c r="Q947" s="55" t="s">
        <v>350</v>
      </c>
      <c r="R947" s="55">
        <v>3</v>
      </c>
      <c r="S947" s="55"/>
      <c r="T947" s="55" t="s">
        <v>917</v>
      </c>
    </row>
    <row r="948" spans="1:20" ht="13" x14ac:dyDescent="0.15">
      <c r="A948" s="72" t="str">
        <f t="shared" si="14"/>
        <v>Ofsted Social Care Provider Webpage</v>
      </c>
      <c r="B948" s="55">
        <v>2562430</v>
      </c>
      <c r="D948" s="55" t="s">
        <v>373</v>
      </c>
      <c r="E948" s="74">
        <v>43879</v>
      </c>
      <c r="F948" s="55" t="s">
        <v>344</v>
      </c>
      <c r="G948" s="55" t="s">
        <v>360</v>
      </c>
      <c r="H948" s="55" t="s">
        <v>360</v>
      </c>
      <c r="I948" s="55" t="s">
        <v>360</v>
      </c>
      <c r="J948" s="55" t="s">
        <v>360</v>
      </c>
      <c r="K948" s="55" t="s">
        <v>360</v>
      </c>
      <c r="L948" s="55" t="s">
        <v>360</v>
      </c>
      <c r="M948" s="55" t="s">
        <v>129</v>
      </c>
      <c r="N948" s="55" t="s">
        <v>129</v>
      </c>
      <c r="O948" s="55" t="s">
        <v>139</v>
      </c>
      <c r="P948" s="55" t="s">
        <v>1639</v>
      </c>
      <c r="Q948" s="55" t="s">
        <v>350</v>
      </c>
      <c r="R948" s="55">
        <v>3</v>
      </c>
      <c r="S948" s="55"/>
      <c r="T948" s="55" t="s">
        <v>713</v>
      </c>
    </row>
    <row r="949" spans="1:20" ht="13" x14ac:dyDescent="0.15">
      <c r="A949" s="72" t="str">
        <f t="shared" si="14"/>
        <v>Ofsted Social Care Provider Webpage</v>
      </c>
      <c r="B949" s="55">
        <v>2562531</v>
      </c>
      <c r="D949" s="55" t="s">
        <v>373</v>
      </c>
      <c r="E949" s="74">
        <v>43801</v>
      </c>
      <c r="F949" s="55" t="s">
        <v>344</v>
      </c>
      <c r="G949" s="55" t="s">
        <v>360</v>
      </c>
      <c r="H949" s="55" t="s">
        <v>360</v>
      </c>
      <c r="I949" s="55" t="s">
        <v>360</v>
      </c>
      <c r="J949" s="55" t="s">
        <v>360</v>
      </c>
      <c r="K949" s="55" t="s">
        <v>360</v>
      </c>
      <c r="L949" s="55" t="s">
        <v>360</v>
      </c>
      <c r="M949" s="55" t="s">
        <v>142</v>
      </c>
      <c r="N949" s="55" t="s">
        <v>142</v>
      </c>
      <c r="O949" s="55" t="s">
        <v>262</v>
      </c>
      <c r="P949" s="55" t="s">
        <v>916</v>
      </c>
      <c r="Q949" s="55" t="s">
        <v>350</v>
      </c>
      <c r="R949" s="55">
        <v>4</v>
      </c>
      <c r="S949" s="55"/>
      <c r="T949" s="55" t="s">
        <v>917</v>
      </c>
    </row>
    <row r="950" spans="1:20" ht="13" x14ac:dyDescent="0.15">
      <c r="A950" s="72" t="str">
        <f t="shared" si="14"/>
        <v>Ofsted Social Care Provider Webpage</v>
      </c>
      <c r="B950" s="55">
        <v>2562675</v>
      </c>
      <c r="D950" s="55" t="s">
        <v>373</v>
      </c>
      <c r="E950" s="74">
        <v>43845</v>
      </c>
      <c r="F950" s="55" t="s">
        <v>344</v>
      </c>
      <c r="G950" s="55" t="s">
        <v>360</v>
      </c>
      <c r="H950" s="55" t="s">
        <v>360</v>
      </c>
      <c r="I950" s="55" t="s">
        <v>360</v>
      </c>
      <c r="J950" s="55" t="s">
        <v>360</v>
      </c>
      <c r="K950" s="55" t="s">
        <v>360</v>
      </c>
      <c r="L950" s="55" t="s">
        <v>360</v>
      </c>
      <c r="M950" s="55" t="s">
        <v>142</v>
      </c>
      <c r="N950" s="55" t="s">
        <v>142</v>
      </c>
      <c r="O950" s="55" t="s">
        <v>292</v>
      </c>
      <c r="P950" s="55" t="s">
        <v>1162</v>
      </c>
      <c r="Q950" s="55" t="s">
        <v>350</v>
      </c>
      <c r="R950" s="55">
        <v>2</v>
      </c>
      <c r="S950" s="55"/>
      <c r="T950" s="55" t="s">
        <v>1664</v>
      </c>
    </row>
    <row r="951" spans="1:20" ht="13" x14ac:dyDescent="0.15">
      <c r="A951" s="72" t="str">
        <f t="shared" si="14"/>
        <v>Ofsted Social Care Provider Webpage</v>
      </c>
      <c r="B951" s="55">
        <v>2562677</v>
      </c>
      <c r="D951" s="55" t="s">
        <v>373</v>
      </c>
      <c r="E951" s="74">
        <v>43857</v>
      </c>
      <c r="F951" s="55" t="s">
        <v>344</v>
      </c>
      <c r="G951" s="55" t="s">
        <v>360</v>
      </c>
      <c r="H951" s="55" t="s">
        <v>360</v>
      </c>
      <c r="I951" s="55" t="s">
        <v>360</v>
      </c>
      <c r="J951" s="55" t="s">
        <v>360</v>
      </c>
      <c r="K951" s="55" t="s">
        <v>360</v>
      </c>
      <c r="L951" s="55" t="s">
        <v>360</v>
      </c>
      <c r="M951" s="55" t="s">
        <v>138</v>
      </c>
      <c r="N951" s="55" t="s">
        <v>138</v>
      </c>
      <c r="O951" s="55" t="s">
        <v>183</v>
      </c>
      <c r="P951" s="55" t="s">
        <v>907</v>
      </c>
      <c r="Q951" s="55" t="s">
        <v>350</v>
      </c>
      <c r="R951" s="55">
        <v>3</v>
      </c>
      <c r="S951" s="55"/>
      <c r="T951" s="55" t="s">
        <v>1665</v>
      </c>
    </row>
    <row r="952" spans="1:20" ht="13" x14ac:dyDescent="0.15">
      <c r="A952" s="72" t="str">
        <f t="shared" si="14"/>
        <v>Ofsted Social Care Provider Webpage</v>
      </c>
      <c r="B952" s="55">
        <v>2562678</v>
      </c>
      <c r="D952" s="55" t="s">
        <v>373</v>
      </c>
      <c r="E952" s="74">
        <v>43843</v>
      </c>
      <c r="F952" s="55" t="s">
        <v>344</v>
      </c>
      <c r="G952" s="55" t="s">
        <v>360</v>
      </c>
      <c r="H952" s="55" t="s">
        <v>360</v>
      </c>
      <c r="I952" s="55" t="s">
        <v>360</v>
      </c>
      <c r="J952" s="55" t="s">
        <v>360</v>
      </c>
      <c r="K952" s="55" t="s">
        <v>360</v>
      </c>
      <c r="L952" s="55" t="s">
        <v>360</v>
      </c>
      <c r="M952" s="55" t="s">
        <v>378</v>
      </c>
      <c r="N952" s="55" t="s">
        <v>134</v>
      </c>
      <c r="O952" s="55" t="s">
        <v>246</v>
      </c>
      <c r="P952" s="55" t="s">
        <v>685</v>
      </c>
      <c r="Q952" s="55" t="s">
        <v>350</v>
      </c>
      <c r="R952" s="55">
        <v>4</v>
      </c>
      <c r="S952" s="55"/>
      <c r="T952" s="55" t="s">
        <v>1666</v>
      </c>
    </row>
    <row r="953" spans="1:20" ht="13" x14ac:dyDescent="0.15">
      <c r="A953" s="72" t="str">
        <f t="shared" si="14"/>
        <v>Ofsted Social Care Provider Webpage</v>
      </c>
      <c r="B953" s="55">
        <v>2563164</v>
      </c>
      <c r="D953" s="55" t="s">
        <v>373</v>
      </c>
      <c r="E953" s="74">
        <v>43945</v>
      </c>
      <c r="F953" s="55" t="s">
        <v>344</v>
      </c>
      <c r="G953" s="55" t="s">
        <v>360</v>
      </c>
      <c r="H953" s="55" t="s">
        <v>360</v>
      </c>
      <c r="I953" s="55" t="s">
        <v>360</v>
      </c>
      <c r="J953" s="55" t="s">
        <v>360</v>
      </c>
      <c r="K953" s="55" t="s">
        <v>360</v>
      </c>
      <c r="L953" s="55" t="s">
        <v>360</v>
      </c>
      <c r="M953" s="55" t="s">
        <v>144</v>
      </c>
      <c r="N953" s="55" t="s">
        <v>144</v>
      </c>
      <c r="O953" s="55" t="s">
        <v>188</v>
      </c>
      <c r="P953" s="55" t="s">
        <v>188</v>
      </c>
      <c r="Q953" s="55" t="s">
        <v>350</v>
      </c>
      <c r="R953" s="55">
        <v>2</v>
      </c>
      <c r="S953" s="55"/>
      <c r="T953" s="55" t="s">
        <v>816</v>
      </c>
    </row>
    <row r="954" spans="1:20" ht="13" x14ac:dyDescent="0.15">
      <c r="A954" s="72" t="str">
        <f t="shared" si="14"/>
        <v>Ofsted Social Care Provider Webpage</v>
      </c>
      <c r="B954" s="55">
        <v>2563216</v>
      </c>
      <c r="D954" s="55" t="s">
        <v>373</v>
      </c>
      <c r="E954" s="74">
        <v>43790</v>
      </c>
      <c r="F954" s="55" t="s">
        <v>344</v>
      </c>
      <c r="G954" s="55" t="s">
        <v>360</v>
      </c>
      <c r="H954" s="55" t="s">
        <v>360</v>
      </c>
      <c r="I954" s="55" t="s">
        <v>360</v>
      </c>
      <c r="J954" s="55" t="s">
        <v>360</v>
      </c>
      <c r="K954" s="55" t="s">
        <v>360</v>
      </c>
      <c r="L954" s="55" t="s">
        <v>360</v>
      </c>
      <c r="M954" s="55" t="s">
        <v>378</v>
      </c>
      <c r="N954" s="55" t="s">
        <v>134</v>
      </c>
      <c r="O954" s="55" t="s">
        <v>225</v>
      </c>
      <c r="P954" s="55" t="s">
        <v>1667</v>
      </c>
      <c r="Q954" s="55" t="s">
        <v>380</v>
      </c>
      <c r="R954" s="55">
        <v>4</v>
      </c>
      <c r="S954" s="55"/>
      <c r="T954" s="55" t="s">
        <v>1668</v>
      </c>
    </row>
    <row r="955" spans="1:20" ht="13" x14ac:dyDescent="0.15">
      <c r="A955" s="72" t="str">
        <f t="shared" si="14"/>
        <v>Ofsted Social Care Provider Webpage</v>
      </c>
      <c r="B955" s="55">
        <v>2563530</v>
      </c>
      <c r="D955" s="55" t="s">
        <v>373</v>
      </c>
      <c r="E955" s="74">
        <v>43843</v>
      </c>
      <c r="F955" s="55" t="s">
        <v>344</v>
      </c>
      <c r="G955" s="55" t="s">
        <v>360</v>
      </c>
      <c r="H955" s="55" t="s">
        <v>360</v>
      </c>
      <c r="I955" s="55" t="s">
        <v>360</v>
      </c>
      <c r="J955" s="55" t="s">
        <v>360</v>
      </c>
      <c r="K955" s="55" t="s">
        <v>360</v>
      </c>
      <c r="L955" s="55" t="s">
        <v>360</v>
      </c>
      <c r="M955" s="55" t="s">
        <v>129</v>
      </c>
      <c r="N955" s="55" t="s">
        <v>129</v>
      </c>
      <c r="O955" s="55" t="s">
        <v>279</v>
      </c>
      <c r="P955" s="55" t="s">
        <v>1078</v>
      </c>
      <c r="Q955" s="55" t="s">
        <v>380</v>
      </c>
      <c r="R955" s="55">
        <v>8</v>
      </c>
      <c r="S955" s="55"/>
      <c r="T955" s="55" t="s">
        <v>1669</v>
      </c>
    </row>
    <row r="956" spans="1:20" ht="13" x14ac:dyDescent="0.15">
      <c r="A956" s="72" t="str">
        <f t="shared" si="14"/>
        <v>Ofsted Social Care Provider Webpage</v>
      </c>
      <c r="B956" s="55">
        <v>2563544</v>
      </c>
      <c r="D956" s="55" t="s">
        <v>373</v>
      </c>
      <c r="E956" s="74">
        <v>43881</v>
      </c>
      <c r="F956" s="55" t="s">
        <v>344</v>
      </c>
      <c r="G956" s="55" t="s">
        <v>360</v>
      </c>
      <c r="H956" s="55" t="s">
        <v>360</v>
      </c>
      <c r="I956" s="55" t="s">
        <v>360</v>
      </c>
      <c r="J956" s="55" t="s">
        <v>360</v>
      </c>
      <c r="K956" s="55" t="s">
        <v>360</v>
      </c>
      <c r="L956" s="55" t="s">
        <v>360</v>
      </c>
      <c r="M956" s="55" t="s">
        <v>144</v>
      </c>
      <c r="N956" s="55" t="s">
        <v>144</v>
      </c>
      <c r="O956" s="55" t="s">
        <v>209</v>
      </c>
      <c r="P956" s="55" t="s">
        <v>650</v>
      </c>
      <c r="Q956" s="55" t="s">
        <v>350</v>
      </c>
      <c r="R956" s="55">
        <v>3</v>
      </c>
      <c r="S956" s="55"/>
      <c r="T956" s="55" t="s">
        <v>613</v>
      </c>
    </row>
    <row r="957" spans="1:20" ht="13" x14ac:dyDescent="0.15">
      <c r="A957" s="72" t="str">
        <f t="shared" si="14"/>
        <v>Ofsted Social Care Provider Webpage</v>
      </c>
      <c r="B957" s="55">
        <v>2563818</v>
      </c>
      <c r="D957" s="55" t="s">
        <v>1493</v>
      </c>
      <c r="E957" s="74">
        <v>43833</v>
      </c>
      <c r="F957" s="55" t="s">
        <v>344</v>
      </c>
      <c r="G957" s="55" t="s">
        <v>360</v>
      </c>
      <c r="H957" s="55" t="s">
        <v>360</v>
      </c>
      <c r="I957" s="55" t="s">
        <v>360</v>
      </c>
      <c r="J957" s="55" t="s">
        <v>360</v>
      </c>
      <c r="K957" s="55" t="s">
        <v>360</v>
      </c>
      <c r="L957" s="55" t="s">
        <v>360</v>
      </c>
      <c r="M957" s="55" t="s">
        <v>142</v>
      </c>
      <c r="N957" s="55" t="s">
        <v>142</v>
      </c>
      <c r="O957" s="55" t="s">
        <v>252</v>
      </c>
      <c r="P957" s="55" t="s">
        <v>386</v>
      </c>
      <c r="Q957" s="55" t="s">
        <v>350</v>
      </c>
      <c r="R957" s="55">
        <v>3</v>
      </c>
      <c r="S957" s="55"/>
      <c r="T957" s="55" t="s">
        <v>504</v>
      </c>
    </row>
    <row r="958" spans="1:20" ht="13" x14ac:dyDescent="0.15">
      <c r="A958" s="72" t="str">
        <f t="shared" si="14"/>
        <v>Ofsted Social Care Provider Webpage</v>
      </c>
      <c r="B958" s="55">
        <v>2563888</v>
      </c>
      <c r="D958" s="55" t="s">
        <v>389</v>
      </c>
      <c r="E958" s="74">
        <v>43963</v>
      </c>
      <c r="F958" s="55" t="s">
        <v>344</v>
      </c>
      <c r="G958" s="55" t="s">
        <v>1670</v>
      </c>
      <c r="H958" s="55" t="s">
        <v>1265</v>
      </c>
      <c r="I958" s="55" t="s">
        <v>354</v>
      </c>
      <c r="J958" s="55" t="s">
        <v>167</v>
      </c>
      <c r="K958" s="55" t="s">
        <v>268</v>
      </c>
      <c r="L958" s="55" t="s">
        <v>1671</v>
      </c>
      <c r="M958" s="55" t="s">
        <v>129</v>
      </c>
      <c r="N958" s="55" t="s">
        <v>129</v>
      </c>
      <c r="O958" s="55" t="s">
        <v>167</v>
      </c>
      <c r="P958" s="55" t="s">
        <v>553</v>
      </c>
      <c r="Q958" s="55" t="s">
        <v>350</v>
      </c>
      <c r="R958" s="55"/>
      <c r="S958" s="55"/>
      <c r="T958" s="55" t="s">
        <v>1670</v>
      </c>
    </row>
    <row r="959" spans="1:20" ht="13" x14ac:dyDescent="0.15">
      <c r="A959" s="72" t="str">
        <f t="shared" si="14"/>
        <v>Ofsted Social Care Provider Webpage</v>
      </c>
      <c r="B959" s="55">
        <v>2564415</v>
      </c>
      <c r="D959" s="55" t="s">
        <v>373</v>
      </c>
      <c r="E959" s="74">
        <v>43952</v>
      </c>
      <c r="F959" s="55" t="s">
        <v>344</v>
      </c>
      <c r="G959" s="55" t="s">
        <v>360</v>
      </c>
      <c r="H959" s="55" t="s">
        <v>360</v>
      </c>
      <c r="I959" s="55" t="s">
        <v>360</v>
      </c>
      <c r="J959" s="55" t="s">
        <v>360</v>
      </c>
      <c r="K959" s="55" t="s">
        <v>360</v>
      </c>
      <c r="L959" s="55" t="s">
        <v>360</v>
      </c>
      <c r="M959" s="55" t="s">
        <v>144</v>
      </c>
      <c r="N959" s="55" t="s">
        <v>144</v>
      </c>
      <c r="O959" s="55" t="s">
        <v>209</v>
      </c>
      <c r="P959" s="55" t="s">
        <v>736</v>
      </c>
      <c r="Q959" s="55" t="s">
        <v>350</v>
      </c>
      <c r="R959" s="55">
        <v>4</v>
      </c>
      <c r="S959" s="55"/>
      <c r="T959" s="55" t="s">
        <v>485</v>
      </c>
    </row>
    <row r="960" spans="1:20" ht="13" x14ac:dyDescent="0.15">
      <c r="A960" s="72" t="str">
        <f t="shared" si="14"/>
        <v>Ofsted Social Care Provider Webpage</v>
      </c>
      <c r="B960" s="55">
        <v>2564769</v>
      </c>
      <c r="D960" s="55" t="s">
        <v>479</v>
      </c>
      <c r="E960" s="74">
        <v>43894</v>
      </c>
      <c r="F960" s="55" t="s">
        <v>344</v>
      </c>
      <c r="G960" s="55" t="s">
        <v>360</v>
      </c>
      <c r="H960" s="55" t="s">
        <v>360</v>
      </c>
      <c r="I960" s="55" t="s">
        <v>360</v>
      </c>
      <c r="J960" s="55" t="s">
        <v>360</v>
      </c>
      <c r="K960" s="55" t="s">
        <v>360</v>
      </c>
      <c r="L960" s="55" t="s">
        <v>360</v>
      </c>
      <c r="M960" s="55" t="s">
        <v>378</v>
      </c>
      <c r="N960" s="55" t="s">
        <v>134</v>
      </c>
      <c r="O960" s="55" t="s">
        <v>175</v>
      </c>
      <c r="P960" s="55" t="s">
        <v>678</v>
      </c>
      <c r="Q960" s="55" t="s">
        <v>350</v>
      </c>
      <c r="R960" s="55">
        <v>4</v>
      </c>
      <c r="S960" s="55"/>
      <c r="T960" s="55" t="s">
        <v>1672</v>
      </c>
    </row>
    <row r="961" spans="1:20" ht="13" x14ac:dyDescent="0.15">
      <c r="A961" s="72" t="str">
        <f t="shared" si="14"/>
        <v>Ofsted Social Care Provider Webpage</v>
      </c>
      <c r="B961" s="55">
        <v>2565231</v>
      </c>
      <c r="D961" s="55" t="s">
        <v>373</v>
      </c>
      <c r="E961" s="74">
        <v>43916</v>
      </c>
      <c r="F961" s="55" t="s">
        <v>344</v>
      </c>
      <c r="G961" s="55" t="s">
        <v>360</v>
      </c>
      <c r="H961" s="55" t="s">
        <v>360</v>
      </c>
      <c r="I961" s="55" t="s">
        <v>360</v>
      </c>
      <c r="J961" s="55" t="s">
        <v>360</v>
      </c>
      <c r="K961" s="55" t="s">
        <v>360</v>
      </c>
      <c r="L961" s="55" t="s">
        <v>360</v>
      </c>
      <c r="M961" s="55" t="s">
        <v>142</v>
      </c>
      <c r="N961" s="55" t="s">
        <v>142</v>
      </c>
      <c r="O961" s="55" t="s">
        <v>262</v>
      </c>
      <c r="P961" s="55" t="s">
        <v>916</v>
      </c>
      <c r="Q961" s="55" t="s">
        <v>350</v>
      </c>
      <c r="R961" s="55">
        <v>3</v>
      </c>
      <c r="S961" s="55"/>
      <c r="T961" s="55" t="s">
        <v>917</v>
      </c>
    </row>
    <row r="962" spans="1:20" ht="13" x14ac:dyDescent="0.15">
      <c r="A962" s="72" t="str">
        <f t="shared" si="14"/>
        <v>Ofsted Social Care Provider Webpage</v>
      </c>
      <c r="B962" s="55">
        <v>2565421</v>
      </c>
      <c r="D962" s="55" t="s">
        <v>373</v>
      </c>
      <c r="E962" s="74">
        <v>43846</v>
      </c>
      <c r="F962" s="55" t="s">
        <v>344</v>
      </c>
      <c r="G962" s="55" t="s">
        <v>360</v>
      </c>
      <c r="H962" s="55" t="s">
        <v>360</v>
      </c>
      <c r="I962" s="55" t="s">
        <v>360</v>
      </c>
      <c r="J962" s="55" t="s">
        <v>360</v>
      </c>
      <c r="K962" s="55" t="s">
        <v>360</v>
      </c>
      <c r="L962" s="55" t="s">
        <v>360</v>
      </c>
      <c r="M962" s="55" t="s">
        <v>172</v>
      </c>
      <c r="N962" s="55" t="s">
        <v>172</v>
      </c>
      <c r="O962" s="55" t="s">
        <v>212</v>
      </c>
      <c r="P962" s="55" t="s">
        <v>798</v>
      </c>
      <c r="Q962" s="55" t="s">
        <v>350</v>
      </c>
      <c r="R962" s="55">
        <v>4</v>
      </c>
      <c r="S962" s="55"/>
      <c r="T962" s="55" t="s">
        <v>799</v>
      </c>
    </row>
    <row r="963" spans="1:20" ht="13" x14ac:dyDescent="0.15">
      <c r="A963" s="72" t="str">
        <f t="shared" si="14"/>
        <v>Ofsted Social Care Provider Webpage</v>
      </c>
      <c r="B963" s="55">
        <v>2565542</v>
      </c>
      <c r="D963" s="55" t="s">
        <v>373</v>
      </c>
      <c r="E963" s="74">
        <v>43818</v>
      </c>
      <c r="F963" s="55" t="s">
        <v>344</v>
      </c>
      <c r="G963" s="55" t="s">
        <v>360</v>
      </c>
      <c r="H963" s="55" t="s">
        <v>360</v>
      </c>
      <c r="I963" s="55" t="s">
        <v>360</v>
      </c>
      <c r="J963" s="55" t="s">
        <v>360</v>
      </c>
      <c r="K963" s="55" t="s">
        <v>360</v>
      </c>
      <c r="L963" s="55" t="s">
        <v>360</v>
      </c>
      <c r="M963" s="55" t="s">
        <v>138</v>
      </c>
      <c r="N963" s="55" t="s">
        <v>138</v>
      </c>
      <c r="O963" s="55" t="s">
        <v>273</v>
      </c>
      <c r="P963" s="55" t="s">
        <v>273</v>
      </c>
      <c r="Q963" s="55" t="s">
        <v>350</v>
      </c>
      <c r="R963" s="55">
        <v>2</v>
      </c>
      <c r="S963" s="55"/>
      <c r="T963" s="55" t="s">
        <v>1673</v>
      </c>
    </row>
    <row r="964" spans="1:20" ht="13" x14ac:dyDescent="0.15">
      <c r="A964" s="72" t="str">
        <f t="shared" si="14"/>
        <v>Ofsted Social Care Provider Webpage</v>
      </c>
      <c r="B964" s="55">
        <v>2565716</v>
      </c>
      <c r="D964" s="55" t="s">
        <v>373</v>
      </c>
      <c r="E964" s="74">
        <v>43795</v>
      </c>
      <c r="F964" s="55" t="s">
        <v>344</v>
      </c>
      <c r="G964" s="55" t="s">
        <v>360</v>
      </c>
      <c r="H964" s="55" t="s">
        <v>360</v>
      </c>
      <c r="I964" s="55" t="s">
        <v>360</v>
      </c>
      <c r="J964" s="55" t="s">
        <v>360</v>
      </c>
      <c r="K964" s="55" t="s">
        <v>360</v>
      </c>
      <c r="L964" s="55" t="s">
        <v>360</v>
      </c>
      <c r="M964" s="55" t="s">
        <v>378</v>
      </c>
      <c r="N964" s="55" t="s">
        <v>170</v>
      </c>
      <c r="O964" s="55" t="s">
        <v>220</v>
      </c>
      <c r="P964" s="55" t="s">
        <v>220</v>
      </c>
      <c r="Q964" s="55" t="s">
        <v>380</v>
      </c>
      <c r="R964" s="55">
        <v>4</v>
      </c>
      <c r="S964" s="55"/>
      <c r="T964" s="55" t="s">
        <v>1674</v>
      </c>
    </row>
    <row r="965" spans="1:20" ht="13" x14ac:dyDescent="0.15">
      <c r="A965" s="72" t="str">
        <f t="shared" ref="A965:A1028" si="15">HYPERLINK(_xlfn.CONCAT("http://reports.ofsted.gov.uk/inspection-reports/find-inspection-report/provider/CARE/",B965),"Ofsted Social Care Provider Webpage")</f>
        <v>Ofsted Social Care Provider Webpage</v>
      </c>
      <c r="B965" s="55">
        <v>2566238</v>
      </c>
      <c r="D965" s="55" t="s">
        <v>373</v>
      </c>
      <c r="E965" s="74">
        <v>43879</v>
      </c>
      <c r="F965" s="55" t="s">
        <v>344</v>
      </c>
      <c r="G965" s="55" t="s">
        <v>360</v>
      </c>
      <c r="H965" s="55" t="s">
        <v>360</v>
      </c>
      <c r="I965" s="55" t="s">
        <v>360</v>
      </c>
      <c r="J965" s="55" t="s">
        <v>360</v>
      </c>
      <c r="K965" s="55" t="s">
        <v>360</v>
      </c>
      <c r="L965" s="55" t="s">
        <v>360</v>
      </c>
      <c r="M965" s="55" t="s">
        <v>129</v>
      </c>
      <c r="N965" s="55" t="s">
        <v>129</v>
      </c>
      <c r="O965" s="55" t="s">
        <v>167</v>
      </c>
      <c r="P965" s="55" t="s">
        <v>553</v>
      </c>
      <c r="Q965" s="55" t="s">
        <v>350</v>
      </c>
      <c r="R965" s="55">
        <v>3</v>
      </c>
      <c r="S965" s="55"/>
      <c r="T965" s="55" t="s">
        <v>713</v>
      </c>
    </row>
    <row r="966" spans="1:20" ht="13" x14ac:dyDescent="0.15">
      <c r="A966" s="72" t="str">
        <f t="shared" si="15"/>
        <v>Ofsted Social Care Provider Webpage</v>
      </c>
      <c r="B966" s="55">
        <v>2566488</v>
      </c>
      <c r="D966" s="55" t="s">
        <v>373</v>
      </c>
      <c r="E966" s="74">
        <v>43908</v>
      </c>
      <c r="F966" s="55" t="s">
        <v>344</v>
      </c>
      <c r="G966" s="55" t="s">
        <v>360</v>
      </c>
      <c r="H966" s="55" t="s">
        <v>360</v>
      </c>
      <c r="I966" s="55" t="s">
        <v>360</v>
      </c>
      <c r="J966" s="55" t="s">
        <v>360</v>
      </c>
      <c r="K966" s="55" t="s">
        <v>360</v>
      </c>
      <c r="L966" s="55" t="s">
        <v>360</v>
      </c>
      <c r="M966" s="55" t="s">
        <v>138</v>
      </c>
      <c r="N966" s="55" t="s">
        <v>138</v>
      </c>
      <c r="O966" s="55" t="s">
        <v>224</v>
      </c>
      <c r="P966" s="55" t="s">
        <v>1675</v>
      </c>
      <c r="Q966" s="55" t="s">
        <v>350</v>
      </c>
      <c r="R966" s="55">
        <v>4</v>
      </c>
      <c r="S966" s="55"/>
      <c r="T966" s="55" t="s">
        <v>1676</v>
      </c>
    </row>
    <row r="967" spans="1:20" ht="13" x14ac:dyDescent="0.15">
      <c r="A967" s="72" t="str">
        <f t="shared" si="15"/>
        <v>Ofsted Social Care Provider Webpage</v>
      </c>
      <c r="B967" s="55">
        <v>2567039</v>
      </c>
      <c r="D967" s="55" t="s">
        <v>373</v>
      </c>
      <c r="E967" s="74">
        <v>43840</v>
      </c>
      <c r="F967" s="55" t="s">
        <v>344</v>
      </c>
      <c r="G967" s="55" t="s">
        <v>360</v>
      </c>
      <c r="H967" s="55" t="s">
        <v>360</v>
      </c>
      <c r="I967" s="55" t="s">
        <v>360</v>
      </c>
      <c r="J967" s="55" t="s">
        <v>360</v>
      </c>
      <c r="K967" s="55" t="s">
        <v>360</v>
      </c>
      <c r="L967" s="55" t="s">
        <v>360</v>
      </c>
      <c r="M967" s="55" t="s">
        <v>136</v>
      </c>
      <c r="N967" s="55" t="s">
        <v>136</v>
      </c>
      <c r="O967" s="55" t="s">
        <v>239</v>
      </c>
      <c r="P967" s="55" t="s">
        <v>738</v>
      </c>
      <c r="Q967" s="55" t="s">
        <v>350</v>
      </c>
      <c r="R967" s="55">
        <v>3</v>
      </c>
      <c r="S967" s="55"/>
      <c r="T967" s="55" t="s">
        <v>739</v>
      </c>
    </row>
    <row r="968" spans="1:20" ht="13" x14ac:dyDescent="0.15">
      <c r="A968" s="72" t="str">
        <f t="shared" si="15"/>
        <v>Ofsted Social Care Provider Webpage</v>
      </c>
      <c r="B968" s="55">
        <v>2567267</v>
      </c>
      <c r="D968" s="55" t="s">
        <v>373</v>
      </c>
      <c r="E968" s="74">
        <v>43908</v>
      </c>
      <c r="F968" s="55" t="s">
        <v>344</v>
      </c>
      <c r="G968" s="55" t="s">
        <v>360</v>
      </c>
      <c r="H968" s="55" t="s">
        <v>360</v>
      </c>
      <c r="I968" s="55" t="s">
        <v>360</v>
      </c>
      <c r="J968" s="55" t="s">
        <v>360</v>
      </c>
      <c r="K968" s="55" t="s">
        <v>360</v>
      </c>
      <c r="L968" s="55" t="s">
        <v>360</v>
      </c>
      <c r="M968" s="55" t="s">
        <v>129</v>
      </c>
      <c r="N968" s="55" t="s">
        <v>129</v>
      </c>
      <c r="O968" s="55" t="s">
        <v>152</v>
      </c>
      <c r="P968" s="55" t="s">
        <v>1130</v>
      </c>
      <c r="Q968" s="55" t="s">
        <v>350</v>
      </c>
      <c r="R968" s="55">
        <v>4</v>
      </c>
      <c r="S968" s="55"/>
      <c r="T968" s="55" t="s">
        <v>1677</v>
      </c>
    </row>
    <row r="969" spans="1:20" ht="13" x14ac:dyDescent="0.15">
      <c r="A969" s="72" t="str">
        <f t="shared" si="15"/>
        <v>Ofsted Social Care Provider Webpage</v>
      </c>
      <c r="B969" s="55">
        <v>2567272</v>
      </c>
      <c r="D969" s="55" t="s">
        <v>373</v>
      </c>
      <c r="E969" s="74">
        <v>44048</v>
      </c>
      <c r="F969" s="55" t="s">
        <v>344</v>
      </c>
      <c r="G969" s="55" t="s">
        <v>360</v>
      </c>
      <c r="H969" s="55" t="s">
        <v>360</v>
      </c>
      <c r="I969" s="55" t="s">
        <v>360</v>
      </c>
      <c r="J969" s="55" t="s">
        <v>360</v>
      </c>
      <c r="K969" s="55" t="s">
        <v>360</v>
      </c>
      <c r="L969" s="55" t="s">
        <v>360</v>
      </c>
      <c r="M969" s="55" t="s">
        <v>144</v>
      </c>
      <c r="N969" s="55" t="s">
        <v>144</v>
      </c>
      <c r="O969" s="55" t="s">
        <v>207</v>
      </c>
      <c r="P969" s="55" t="s">
        <v>792</v>
      </c>
      <c r="Q969" s="55" t="s">
        <v>350</v>
      </c>
      <c r="R969" s="55">
        <v>3</v>
      </c>
      <c r="S969" s="55"/>
      <c r="T969" s="55" t="s">
        <v>1653</v>
      </c>
    </row>
    <row r="970" spans="1:20" ht="13" x14ac:dyDescent="0.15">
      <c r="A970" s="72" t="str">
        <f t="shared" si="15"/>
        <v>Ofsted Social Care Provider Webpage</v>
      </c>
      <c r="B970" s="55">
        <v>2567404</v>
      </c>
      <c r="D970" s="55" t="s">
        <v>389</v>
      </c>
      <c r="E970" s="74">
        <v>43796</v>
      </c>
      <c r="F970" s="55" t="s">
        <v>344</v>
      </c>
      <c r="G970" s="55" t="s">
        <v>1678</v>
      </c>
      <c r="H970" s="55" t="s">
        <v>1679</v>
      </c>
      <c r="I970" s="55" t="s">
        <v>1680</v>
      </c>
      <c r="J970" s="55" t="s">
        <v>234</v>
      </c>
      <c r="K970" s="55" t="s">
        <v>235</v>
      </c>
      <c r="L970" s="55" t="s">
        <v>1681</v>
      </c>
      <c r="M970" s="55" t="s">
        <v>172</v>
      </c>
      <c r="N970" s="55" t="s">
        <v>172</v>
      </c>
      <c r="O970" s="55" t="s">
        <v>235</v>
      </c>
      <c r="P970" s="55" t="s">
        <v>628</v>
      </c>
      <c r="Q970" s="55" t="s">
        <v>350</v>
      </c>
      <c r="R970" s="55"/>
      <c r="S970" s="55"/>
      <c r="T970" s="55" t="s">
        <v>1678</v>
      </c>
    </row>
    <row r="971" spans="1:20" ht="13" x14ac:dyDescent="0.15">
      <c r="A971" s="72" t="str">
        <f t="shared" si="15"/>
        <v>Ofsted Social Care Provider Webpage</v>
      </c>
      <c r="B971" s="55">
        <v>2567557</v>
      </c>
      <c r="D971" s="55" t="s">
        <v>373</v>
      </c>
      <c r="E971" s="74">
        <v>43894</v>
      </c>
      <c r="F971" s="55" t="s">
        <v>344</v>
      </c>
      <c r="G971" s="55" t="s">
        <v>360</v>
      </c>
      <c r="H971" s="55" t="s">
        <v>360</v>
      </c>
      <c r="I971" s="55" t="s">
        <v>360</v>
      </c>
      <c r="J971" s="55" t="s">
        <v>360</v>
      </c>
      <c r="K971" s="55" t="s">
        <v>360</v>
      </c>
      <c r="L971" s="55" t="s">
        <v>360</v>
      </c>
      <c r="M971" s="55" t="s">
        <v>378</v>
      </c>
      <c r="N971" s="55" t="s">
        <v>170</v>
      </c>
      <c r="O971" s="55" t="s">
        <v>220</v>
      </c>
      <c r="P971" s="55" t="s">
        <v>1222</v>
      </c>
      <c r="Q971" s="55" t="s">
        <v>380</v>
      </c>
      <c r="R971" s="55">
        <v>2</v>
      </c>
      <c r="S971" s="55"/>
      <c r="T971" s="55" t="s">
        <v>1674</v>
      </c>
    </row>
    <row r="972" spans="1:20" ht="13" x14ac:dyDescent="0.15">
      <c r="A972" s="72" t="str">
        <f t="shared" si="15"/>
        <v>Ofsted Social Care Provider Webpage</v>
      </c>
      <c r="B972" s="55">
        <v>2567607</v>
      </c>
      <c r="D972" s="55" t="s">
        <v>373</v>
      </c>
      <c r="E972" s="74">
        <v>43864</v>
      </c>
      <c r="F972" s="55" t="s">
        <v>344</v>
      </c>
      <c r="G972" s="55" t="s">
        <v>360</v>
      </c>
      <c r="H972" s="55" t="s">
        <v>360</v>
      </c>
      <c r="I972" s="55" t="s">
        <v>360</v>
      </c>
      <c r="J972" s="55" t="s">
        <v>360</v>
      </c>
      <c r="K972" s="55" t="s">
        <v>360</v>
      </c>
      <c r="L972" s="55" t="s">
        <v>360</v>
      </c>
      <c r="M972" s="55" t="s">
        <v>172</v>
      </c>
      <c r="N972" s="55" t="s">
        <v>172</v>
      </c>
      <c r="O972" s="55" t="s">
        <v>212</v>
      </c>
      <c r="P972" s="55" t="s">
        <v>714</v>
      </c>
      <c r="Q972" s="55" t="s">
        <v>350</v>
      </c>
      <c r="R972" s="55">
        <v>7</v>
      </c>
      <c r="S972" s="55"/>
      <c r="T972" s="55" t="s">
        <v>1682</v>
      </c>
    </row>
    <row r="973" spans="1:20" ht="13" x14ac:dyDescent="0.15">
      <c r="A973" s="72" t="str">
        <f t="shared" si="15"/>
        <v>Ofsted Social Care Provider Webpage</v>
      </c>
      <c r="B973" s="55">
        <v>2567620</v>
      </c>
      <c r="D973" s="55" t="s">
        <v>451</v>
      </c>
      <c r="E973" s="74">
        <v>43878</v>
      </c>
      <c r="F973" s="55" t="s">
        <v>344</v>
      </c>
      <c r="G973" s="55" t="s">
        <v>1683</v>
      </c>
      <c r="H973" s="55" t="s">
        <v>1684</v>
      </c>
      <c r="I973" s="55" t="s">
        <v>354</v>
      </c>
      <c r="J973" s="55" t="s">
        <v>759</v>
      </c>
      <c r="K973" s="55" t="s">
        <v>209</v>
      </c>
      <c r="L973" s="55" t="s">
        <v>1685</v>
      </c>
      <c r="M973" s="55" t="s">
        <v>144</v>
      </c>
      <c r="N973" s="55" t="s">
        <v>144</v>
      </c>
      <c r="O973" s="55" t="s">
        <v>250</v>
      </c>
      <c r="P973" s="55" t="s">
        <v>759</v>
      </c>
      <c r="Q973" s="55" t="s">
        <v>350</v>
      </c>
      <c r="R973" s="55">
        <v>4</v>
      </c>
      <c r="S973" s="55"/>
      <c r="T973" s="55" t="s">
        <v>786</v>
      </c>
    </row>
    <row r="974" spans="1:20" ht="13" x14ac:dyDescent="0.15">
      <c r="A974" s="72" t="str">
        <f t="shared" si="15"/>
        <v>Ofsted Social Care Provider Webpage</v>
      </c>
      <c r="B974" s="55">
        <v>2567722</v>
      </c>
      <c r="D974" s="55" t="s">
        <v>373</v>
      </c>
      <c r="E974" s="74">
        <v>43837</v>
      </c>
      <c r="F974" s="55" t="s">
        <v>344</v>
      </c>
      <c r="G974" s="55" t="s">
        <v>360</v>
      </c>
      <c r="H974" s="55" t="s">
        <v>360</v>
      </c>
      <c r="I974" s="55" t="s">
        <v>360</v>
      </c>
      <c r="J974" s="55" t="s">
        <v>360</v>
      </c>
      <c r="K974" s="55" t="s">
        <v>360</v>
      </c>
      <c r="L974" s="55" t="s">
        <v>360</v>
      </c>
      <c r="M974" s="55" t="s">
        <v>136</v>
      </c>
      <c r="N974" s="55" t="s">
        <v>136</v>
      </c>
      <c r="O974" s="55" t="s">
        <v>154</v>
      </c>
      <c r="P974" s="55" t="s">
        <v>1686</v>
      </c>
      <c r="Q974" s="55" t="s">
        <v>380</v>
      </c>
      <c r="R974" s="55">
        <v>2</v>
      </c>
      <c r="S974" s="55"/>
      <c r="T974" s="55" t="s">
        <v>1687</v>
      </c>
    </row>
    <row r="975" spans="1:20" ht="13" x14ac:dyDescent="0.15">
      <c r="A975" s="72" t="str">
        <f t="shared" si="15"/>
        <v>Ofsted Social Care Provider Webpage</v>
      </c>
      <c r="B975" s="55">
        <v>2567789</v>
      </c>
      <c r="D975" s="55" t="s">
        <v>373</v>
      </c>
      <c r="E975" s="74">
        <v>43924</v>
      </c>
      <c r="F975" s="55" t="s">
        <v>344</v>
      </c>
      <c r="G975" s="55" t="s">
        <v>360</v>
      </c>
      <c r="H975" s="55" t="s">
        <v>360</v>
      </c>
      <c r="I975" s="55" t="s">
        <v>360</v>
      </c>
      <c r="J975" s="55" t="s">
        <v>360</v>
      </c>
      <c r="K975" s="55" t="s">
        <v>360</v>
      </c>
      <c r="L975" s="55" t="s">
        <v>360</v>
      </c>
      <c r="M975" s="55" t="s">
        <v>144</v>
      </c>
      <c r="N975" s="55" t="s">
        <v>144</v>
      </c>
      <c r="O975" s="55" t="s">
        <v>209</v>
      </c>
      <c r="P975" s="55" t="s">
        <v>736</v>
      </c>
      <c r="Q975" s="55" t="s">
        <v>350</v>
      </c>
      <c r="R975" s="55">
        <v>2</v>
      </c>
      <c r="S975" s="55"/>
      <c r="T975" s="55" t="s">
        <v>737</v>
      </c>
    </row>
    <row r="976" spans="1:20" ht="13" x14ac:dyDescent="0.15">
      <c r="A976" s="72" t="str">
        <f t="shared" si="15"/>
        <v>Ofsted Social Care Provider Webpage</v>
      </c>
      <c r="B976" s="55">
        <v>2567806</v>
      </c>
      <c r="D976" s="55" t="s">
        <v>373</v>
      </c>
      <c r="E976" s="74">
        <v>43957</v>
      </c>
      <c r="F976" s="55" t="s">
        <v>344</v>
      </c>
      <c r="G976" s="55" t="s">
        <v>360</v>
      </c>
      <c r="H976" s="55" t="s">
        <v>360</v>
      </c>
      <c r="I976" s="55" t="s">
        <v>360</v>
      </c>
      <c r="J976" s="55" t="s">
        <v>360</v>
      </c>
      <c r="K976" s="55" t="s">
        <v>360</v>
      </c>
      <c r="L976" s="55" t="s">
        <v>360</v>
      </c>
      <c r="M976" s="55" t="s">
        <v>378</v>
      </c>
      <c r="N976" s="55" t="s">
        <v>134</v>
      </c>
      <c r="O976" s="55" t="s">
        <v>232</v>
      </c>
      <c r="P976" s="55" t="s">
        <v>412</v>
      </c>
      <c r="Q976" s="55" t="s">
        <v>350</v>
      </c>
      <c r="R976" s="55">
        <v>2</v>
      </c>
      <c r="S976" s="55"/>
      <c r="T976" s="55" t="s">
        <v>1688</v>
      </c>
    </row>
    <row r="977" spans="1:20" ht="13" x14ac:dyDescent="0.15">
      <c r="A977" s="72" t="str">
        <f t="shared" si="15"/>
        <v>Ofsted Social Care Provider Webpage</v>
      </c>
      <c r="B977" s="55">
        <v>2568010</v>
      </c>
      <c r="D977" s="55" t="s">
        <v>373</v>
      </c>
      <c r="E977" s="74">
        <v>43903</v>
      </c>
      <c r="F977" s="55" t="s">
        <v>344</v>
      </c>
      <c r="G977" s="55" t="s">
        <v>360</v>
      </c>
      <c r="H977" s="55" t="s">
        <v>360</v>
      </c>
      <c r="I977" s="55" t="s">
        <v>360</v>
      </c>
      <c r="J977" s="55" t="s">
        <v>360</v>
      </c>
      <c r="K977" s="55" t="s">
        <v>360</v>
      </c>
      <c r="L977" s="55" t="s">
        <v>360</v>
      </c>
      <c r="M977" s="55" t="s">
        <v>136</v>
      </c>
      <c r="N977" s="55" t="s">
        <v>136</v>
      </c>
      <c r="O977" s="55" t="s">
        <v>255</v>
      </c>
      <c r="P977" s="55" t="s">
        <v>583</v>
      </c>
      <c r="Q977" s="55" t="s">
        <v>350</v>
      </c>
      <c r="R977" s="55">
        <v>4</v>
      </c>
      <c r="S977" s="55"/>
      <c r="T977" s="55" t="s">
        <v>1689</v>
      </c>
    </row>
    <row r="978" spans="1:20" ht="13" x14ac:dyDescent="0.15">
      <c r="A978" s="72" t="str">
        <f t="shared" si="15"/>
        <v>Ofsted Social Care Provider Webpage</v>
      </c>
      <c r="B978" s="55">
        <v>2568217</v>
      </c>
      <c r="D978" s="55" t="s">
        <v>389</v>
      </c>
      <c r="E978" s="74">
        <v>43927</v>
      </c>
      <c r="F978" s="55" t="s">
        <v>344</v>
      </c>
      <c r="G978" s="55" t="s">
        <v>1690</v>
      </c>
      <c r="H978" s="55" t="s">
        <v>1691</v>
      </c>
      <c r="I978" s="55" t="s">
        <v>1692</v>
      </c>
      <c r="J978" s="55" t="s">
        <v>1693</v>
      </c>
      <c r="K978" s="55" t="s">
        <v>203</v>
      </c>
      <c r="L978" s="55" t="s">
        <v>1694</v>
      </c>
      <c r="M978" s="55" t="s">
        <v>150</v>
      </c>
      <c r="N978" s="55" t="s">
        <v>150</v>
      </c>
      <c r="O978" s="55" t="s">
        <v>203</v>
      </c>
      <c r="P978" s="55" t="s">
        <v>1644</v>
      </c>
      <c r="Q978" s="55" t="s">
        <v>350</v>
      </c>
      <c r="R978" s="55"/>
      <c r="S978" s="55"/>
      <c r="T978" s="55" t="s">
        <v>1695</v>
      </c>
    </row>
    <row r="979" spans="1:20" ht="13" x14ac:dyDescent="0.15">
      <c r="A979" s="72" t="str">
        <f t="shared" si="15"/>
        <v>Ofsted Social Care Provider Webpage</v>
      </c>
      <c r="B979" s="55">
        <v>2568244</v>
      </c>
      <c r="D979" s="55" t="s">
        <v>373</v>
      </c>
      <c r="E979" s="74">
        <v>43906</v>
      </c>
      <c r="F979" s="55" t="s">
        <v>344</v>
      </c>
      <c r="G979" s="55" t="s">
        <v>360</v>
      </c>
      <c r="H979" s="55" t="s">
        <v>360</v>
      </c>
      <c r="I979" s="55" t="s">
        <v>360</v>
      </c>
      <c r="J979" s="55" t="s">
        <v>360</v>
      </c>
      <c r="K979" s="55" t="s">
        <v>360</v>
      </c>
      <c r="L979" s="55" t="s">
        <v>360</v>
      </c>
      <c r="M979" s="55" t="s">
        <v>378</v>
      </c>
      <c r="N979" s="55" t="s">
        <v>170</v>
      </c>
      <c r="O979" s="55" t="s">
        <v>264</v>
      </c>
      <c r="P979" s="55" t="s">
        <v>1334</v>
      </c>
      <c r="Q979" s="55" t="s">
        <v>380</v>
      </c>
      <c r="R979" s="55">
        <v>5</v>
      </c>
      <c r="S979" s="55"/>
      <c r="T979" s="55" t="s">
        <v>1696</v>
      </c>
    </row>
    <row r="980" spans="1:20" ht="13" x14ac:dyDescent="0.15">
      <c r="A980" s="72" t="str">
        <f t="shared" si="15"/>
        <v>Ofsted Social Care Provider Webpage</v>
      </c>
      <c r="B980" s="55">
        <v>2568363</v>
      </c>
      <c r="D980" s="55" t="s">
        <v>373</v>
      </c>
      <c r="E980" s="74">
        <v>43873</v>
      </c>
      <c r="F980" s="55" t="s">
        <v>344</v>
      </c>
      <c r="G980" s="55" t="s">
        <v>360</v>
      </c>
      <c r="H980" s="55" t="s">
        <v>360</v>
      </c>
      <c r="I980" s="55" t="s">
        <v>360</v>
      </c>
      <c r="J980" s="55" t="s">
        <v>360</v>
      </c>
      <c r="K980" s="55" t="s">
        <v>360</v>
      </c>
      <c r="L980" s="55" t="s">
        <v>360</v>
      </c>
      <c r="M980" s="55" t="s">
        <v>142</v>
      </c>
      <c r="N980" s="55" t="s">
        <v>142</v>
      </c>
      <c r="O980" s="55" t="s">
        <v>141</v>
      </c>
      <c r="P980" s="55" t="s">
        <v>660</v>
      </c>
      <c r="Q980" s="55" t="s">
        <v>350</v>
      </c>
      <c r="R980" s="55">
        <v>2</v>
      </c>
      <c r="S980" s="55"/>
      <c r="T980" s="55" t="s">
        <v>1364</v>
      </c>
    </row>
    <row r="981" spans="1:20" ht="13" x14ac:dyDescent="0.15">
      <c r="A981" s="72" t="str">
        <f t="shared" si="15"/>
        <v>Ofsted Social Care Provider Webpage</v>
      </c>
      <c r="B981" s="55">
        <v>2568557</v>
      </c>
      <c r="D981" s="55" t="s">
        <v>373</v>
      </c>
      <c r="E981" s="74">
        <v>43843</v>
      </c>
      <c r="F981" s="55" t="s">
        <v>344</v>
      </c>
      <c r="G981" s="55" t="s">
        <v>360</v>
      </c>
      <c r="H981" s="55" t="s">
        <v>360</v>
      </c>
      <c r="I981" s="55" t="s">
        <v>360</v>
      </c>
      <c r="J981" s="55" t="s">
        <v>360</v>
      </c>
      <c r="K981" s="55" t="s">
        <v>360</v>
      </c>
      <c r="L981" s="55" t="s">
        <v>360</v>
      </c>
      <c r="M981" s="55" t="s">
        <v>136</v>
      </c>
      <c r="N981" s="55" t="s">
        <v>136</v>
      </c>
      <c r="O981" s="55" t="s">
        <v>174</v>
      </c>
      <c r="P981" s="55" t="s">
        <v>1010</v>
      </c>
      <c r="Q981" s="55" t="s">
        <v>350</v>
      </c>
      <c r="R981" s="55">
        <v>3</v>
      </c>
      <c r="S981" s="55"/>
      <c r="T981" s="55" t="s">
        <v>1295</v>
      </c>
    </row>
    <row r="982" spans="1:20" ht="13" x14ac:dyDescent="0.15">
      <c r="A982" s="72" t="str">
        <f t="shared" si="15"/>
        <v>Ofsted Social Care Provider Webpage</v>
      </c>
      <c r="B982" s="55">
        <v>2569163</v>
      </c>
      <c r="D982" s="55" t="s">
        <v>373</v>
      </c>
      <c r="E982" s="74">
        <v>43903</v>
      </c>
      <c r="F982" s="55" t="s">
        <v>344</v>
      </c>
      <c r="G982" s="55" t="s">
        <v>360</v>
      </c>
      <c r="H982" s="55" t="s">
        <v>360</v>
      </c>
      <c r="I982" s="55" t="s">
        <v>360</v>
      </c>
      <c r="J982" s="55" t="s">
        <v>360</v>
      </c>
      <c r="K982" s="55" t="s">
        <v>360</v>
      </c>
      <c r="L982" s="55" t="s">
        <v>360</v>
      </c>
      <c r="M982" s="55" t="s">
        <v>378</v>
      </c>
      <c r="N982" s="55" t="s">
        <v>134</v>
      </c>
      <c r="O982" s="55" t="s">
        <v>175</v>
      </c>
      <c r="P982" s="55" t="s">
        <v>678</v>
      </c>
      <c r="Q982" s="55" t="s">
        <v>350</v>
      </c>
      <c r="R982" s="55">
        <v>3</v>
      </c>
      <c r="S982" s="55"/>
      <c r="T982" s="55" t="s">
        <v>1697</v>
      </c>
    </row>
    <row r="983" spans="1:20" ht="13" x14ac:dyDescent="0.15">
      <c r="A983" s="72" t="str">
        <f t="shared" si="15"/>
        <v>Ofsted Social Care Provider Webpage</v>
      </c>
      <c r="B983" s="55">
        <v>2569345</v>
      </c>
      <c r="D983" s="55" t="s">
        <v>373</v>
      </c>
      <c r="E983" s="74">
        <v>43859</v>
      </c>
      <c r="F983" s="55" t="s">
        <v>344</v>
      </c>
      <c r="G983" s="55" t="s">
        <v>360</v>
      </c>
      <c r="H983" s="55" t="s">
        <v>360</v>
      </c>
      <c r="I983" s="55" t="s">
        <v>360</v>
      </c>
      <c r="J983" s="55" t="s">
        <v>360</v>
      </c>
      <c r="K983" s="55" t="s">
        <v>360</v>
      </c>
      <c r="L983" s="55" t="s">
        <v>360</v>
      </c>
      <c r="M983" s="55" t="s">
        <v>129</v>
      </c>
      <c r="N983" s="55" t="s">
        <v>129</v>
      </c>
      <c r="O983" s="55" t="s">
        <v>182</v>
      </c>
      <c r="P983" s="55" t="s">
        <v>1660</v>
      </c>
      <c r="Q983" s="55" t="s">
        <v>350</v>
      </c>
      <c r="R983" s="55">
        <v>6</v>
      </c>
      <c r="S983" s="55"/>
      <c r="T983" s="55" t="s">
        <v>1698</v>
      </c>
    </row>
    <row r="984" spans="1:20" ht="13" x14ac:dyDescent="0.15">
      <c r="A984" s="72" t="str">
        <f t="shared" si="15"/>
        <v>Ofsted Social Care Provider Webpage</v>
      </c>
      <c r="B984" s="55">
        <v>2569358</v>
      </c>
      <c r="D984" s="55" t="s">
        <v>373</v>
      </c>
      <c r="E984" s="74">
        <v>43971</v>
      </c>
      <c r="F984" s="55" t="s">
        <v>344</v>
      </c>
      <c r="G984" s="55" t="s">
        <v>360</v>
      </c>
      <c r="H984" s="55" t="s">
        <v>360</v>
      </c>
      <c r="I984" s="55" t="s">
        <v>360</v>
      </c>
      <c r="J984" s="55" t="s">
        <v>360</v>
      </c>
      <c r="K984" s="55" t="s">
        <v>360</v>
      </c>
      <c r="L984" s="55" t="s">
        <v>360</v>
      </c>
      <c r="M984" s="55" t="s">
        <v>378</v>
      </c>
      <c r="N984" s="55" t="s">
        <v>170</v>
      </c>
      <c r="O984" s="55" t="s">
        <v>267</v>
      </c>
      <c r="P984" s="55" t="s">
        <v>477</v>
      </c>
      <c r="Q984" s="55" t="s">
        <v>350</v>
      </c>
      <c r="R984" s="55">
        <v>3</v>
      </c>
      <c r="S984" s="55"/>
      <c r="T984" s="55" t="s">
        <v>1699</v>
      </c>
    </row>
    <row r="985" spans="1:20" ht="13" x14ac:dyDescent="0.15">
      <c r="A985" s="72" t="str">
        <f t="shared" si="15"/>
        <v>Ofsted Social Care Provider Webpage</v>
      </c>
      <c r="B985" s="55">
        <v>2569520</v>
      </c>
      <c r="D985" s="55" t="s">
        <v>373</v>
      </c>
      <c r="E985" s="74">
        <v>43938</v>
      </c>
      <c r="F985" s="55" t="s">
        <v>344</v>
      </c>
      <c r="G985" s="55" t="s">
        <v>360</v>
      </c>
      <c r="H985" s="55" t="s">
        <v>360</v>
      </c>
      <c r="I985" s="55" t="s">
        <v>360</v>
      </c>
      <c r="J985" s="55" t="s">
        <v>360</v>
      </c>
      <c r="K985" s="55" t="s">
        <v>360</v>
      </c>
      <c r="L985" s="55" t="s">
        <v>360</v>
      </c>
      <c r="M985" s="55" t="s">
        <v>138</v>
      </c>
      <c r="N985" s="55" t="s">
        <v>138</v>
      </c>
      <c r="O985" s="55" t="s">
        <v>183</v>
      </c>
      <c r="P985" s="55" t="s">
        <v>813</v>
      </c>
      <c r="Q985" s="55" t="s">
        <v>350</v>
      </c>
      <c r="R985" s="55">
        <v>3</v>
      </c>
      <c r="S985" s="55"/>
      <c r="T985" s="55" t="s">
        <v>1700</v>
      </c>
    </row>
    <row r="986" spans="1:20" ht="13" x14ac:dyDescent="0.15">
      <c r="A986" s="72" t="str">
        <f t="shared" si="15"/>
        <v>Ofsted Social Care Provider Webpage</v>
      </c>
      <c r="B986" s="55">
        <v>2569527</v>
      </c>
      <c r="D986" s="55" t="s">
        <v>373</v>
      </c>
      <c r="E986" s="74">
        <v>43817</v>
      </c>
      <c r="F986" s="55" t="s">
        <v>344</v>
      </c>
      <c r="G986" s="55" t="s">
        <v>360</v>
      </c>
      <c r="H986" s="55" t="s">
        <v>360</v>
      </c>
      <c r="I986" s="55" t="s">
        <v>360</v>
      </c>
      <c r="J986" s="55" t="s">
        <v>360</v>
      </c>
      <c r="K986" s="55" t="s">
        <v>360</v>
      </c>
      <c r="L986" s="55" t="s">
        <v>360</v>
      </c>
      <c r="M986" s="55" t="s">
        <v>378</v>
      </c>
      <c r="N986" s="55" t="s">
        <v>134</v>
      </c>
      <c r="O986" s="55" t="s">
        <v>204</v>
      </c>
      <c r="P986" s="55" t="s">
        <v>1478</v>
      </c>
      <c r="Q986" s="55" t="s">
        <v>380</v>
      </c>
      <c r="R986" s="55">
        <v>1</v>
      </c>
      <c r="S986" s="55"/>
      <c r="T986" s="55" t="s">
        <v>1479</v>
      </c>
    </row>
    <row r="987" spans="1:20" ht="13" x14ac:dyDescent="0.15">
      <c r="A987" s="72" t="str">
        <f t="shared" si="15"/>
        <v>Ofsted Social Care Provider Webpage</v>
      </c>
      <c r="B987" s="55">
        <v>2569705</v>
      </c>
      <c r="D987" s="55" t="s">
        <v>373</v>
      </c>
      <c r="E987" s="74">
        <v>43977</v>
      </c>
      <c r="F987" s="55" t="s">
        <v>344</v>
      </c>
      <c r="G987" s="55" t="s">
        <v>360</v>
      </c>
      <c r="H987" s="55" t="s">
        <v>360</v>
      </c>
      <c r="I987" s="55" t="s">
        <v>360</v>
      </c>
      <c r="J987" s="55" t="s">
        <v>360</v>
      </c>
      <c r="K987" s="55" t="s">
        <v>360</v>
      </c>
      <c r="L987" s="55" t="s">
        <v>360</v>
      </c>
      <c r="M987" s="55" t="s">
        <v>142</v>
      </c>
      <c r="N987" s="55" t="s">
        <v>142</v>
      </c>
      <c r="O987" s="55" t="s">
        <v>292</v>
      </c>
      <c r="P987" s="55" t="s">
        <v>976</v>
      </c>
      <c r="Q987" s="55" t="s">
        <v>350</v>
      </c>
      <c r="R987" s="55">
        <v>3</v>
      </c>
      <c r="S987" s="55"/>
      <c r="T987" s="55" t="s">
        <v>1701</v>
      </c>
    </row>
    <row r="988" spans="1:20" ht="13" x14ac:dyDescent="0.15">
      <c r="A988" s="72" t="str">
        <f t="shared" si="15"/>
        <v>Ofsted Social Care Provider Webpage</v>
      </c>
      <c r="B988" s="55">
        <v>2569994</v>
      </c>
      <c r="D988" s="55" t="s">
        <v>373</v>
      </c>
      <c r="E988" s="74">
        <v>43875</v>
      </c>
      <c r="F988" s="55" t="s">
        <v>344</v>
      </c>
      <c r="G988" s="55" t="s">
        <v>360</v>
      </c>
      <c r="H988" s="55" t="s">
        <v>360</v>
      </c>
      <c r="I988" s="55" t="s">
        <v>360</v>
      </c>
      <c r="J988" s="55" t="s">
        <v>360</v>
      </c>
      <c r="K988" s="55" t="s">
        <v>360</v>
      </c>
      <c r="L988" s="55" t="s">
        <v>360</v>
      </c>
      <c r="M988" s="55" t="s">
        <v>142</v>
      </c>
      <c r="N988" s="55" t="s">
        <v>142</v>
      </c>
      <c r="O988" s="55" t="s">
        <v>272</v>
      </c>
      <c r="P988" s="55" t="s">
        <v>1291</v>
      </c>
      <c r="Q988" s="55" t="s">
        <v>350</v>
      </c>
      <c r="R988" s="55">
        <v>2</v>
      </c>
      <c r="S988" s="55"/>
      <c r="T988" s="55" t="s">
        <v>489</v>
      </c>
    </row>
    <row r="989" spans="1:20" ht="13" x14ac:dyDescent="0.15">
      <c r="A989" s="72" t="str">
        <f t="shared" si="15"/>
        <v>Ofsted Social Care Provider Webpage</v>
      </c>
      <c r="B989" s="55">
        <v>2570055</v>
      </c>
      <c r="D989" s="55" t="s">
        <v>373</v>
      </c>
      <c r="E989" s="74">
        <v>44068</v>
      </c>
      <c r="F989" s="55" t="s">
        <v>344</v>
      </c>
      <c r="G989" s="55" t="s">
        <v>360</v>
      </c>
      <c r="H989" s="55" t="s">
        <v>360</v>
      </c>
      <c r="I989" s="55" t="s">
        <v>360</v>
      </c>
      <c r="J989" s="55" t="s">
        <v>360</v>
      </c>
      <c r="K989" s="55" t="s">
        <v>360</v>
      </c>
      <c r="L989" s="55" t="s">
        <v>360</v>
      </c>
      <c r="M989" s="55" t="s">
        <v>142</v>
      </c>
      <c r="N989" s="55" t="s">
        <v>142</v>
      </c>
      <c r="O989" s="55" t="s">
        <v>262</v>
      </c>
      <c r="P989" s="55" t="s">
        <v>916</v>
      </c>
      <c r="Q989" s="55" t="s">
        <v>350</v>
      </c>
      <c r="R989" s="55">
        <v>3</v>
      </c>
      <c r="S989" s="55"/>
      <c r="T989" s="55" t="s">
        <v>517</v>
      </c>
    </row>
    <row r="990" spans="1:20" ht="13" x14ac:dyDescent="0.15">
      <c r="A990" s="72" t="str">
        <f t="shared" si="15"/>
        <v>Ofsted Social Care Provider Webpage</v>
      </c>
      <c r="B990" s="55">
        <v>2570070</v>
      </c>
      <c r="D990" s="55" t="s">
        <v>373</v>
      </c>
      <c r="E990" s="74">
        <v>43927</v>
      </c>
      <c r="F990" s="55" t="s">
        <v>344</v>
      </c>
      <c r="G990" s="55" t="s">
        <v>360</v>
      </c>
      <c r="H990" s="55" t="s">
        <v>360</v>
      </c>
      <c r="I990" s="55" t="s">
        <v>360</v>
      </c>
      <c r="J990" s="55" t="s">
        <v>360</v>
      </c>
      <c r="K990" s="55" t="s">
        <v>360</v>
      </c>
      <c r="L990" s="55" t="s">
        <v>360</v>
      </c>
      <c r="M990" s="55" t="s">
        <v>144</v>
      </c>
      <c r="N990" s="55" t="s">
        <v>144</v>
      </c>
      <c r="O990" s="55" t="s">
        <v>207</v>
      </c>
      <c r="P990" s="55" t="s">
        <v>207</v>
      </c>
      <c r="Q990" s="55" t="s">
        <v>350</v>
      </c>
      <c r="R990" s="55">
        <v>3</v>
      </c>
      <c r="S990" s="55"/>
      <c r="T990" s="55" t="s">
        <v>1702</v>
      </c>
    </row>
    <row r="991" spans="1:20" ht="13" x14ac:dyDescent="0.15">
      <c r="A991" s="72" t="str">
        <f t="shared" si="15"/>
        <v>Ofsted Social Care Provider Webpage</v>
      </c>
      <c r="B991" s="55">
        <v>2570071</v>
      </c>
      <c r="D991" s="55" t="s">
        <v>373</v>
      </c>
      <c r="E991" s="74">
        <v>43887</v>
      </c>
      <c r="F991" s="55" t="s">
        <v>344</v>
      </c>
      <c r="G991" s="55" t="s">
        <v>360</v>
      </c>
      <c r="H991" s="55" t="s">
        <v>360</v>
      </c>
      <c r="I991" s="55" t="s">
        <v>360</v>
      </c>
      <c r="J991" s="55" t="s">
        <v>360</v>
      </c>
      <c r="K991" s="55" t="s">
        <v>360</v>
      </c>
      <c r="L991" s="55" t="s">
        <v>360</v>
      </c>
      <c r="M991" s="55" t="s">
        <v>150</v>
      </c>
      <c r="N991" s="55" t="s">
        <v>150</v>
      </c>
      <c r="O991" s="55" t="s">
        <v>190</v>
      </c>
      <c r="P991" s="55" t="s">
        <v>1703</v>
      </c>
      <c r="Q991" s="55" t="s">
        <v>350</v>
      </c>
      <c r="R991" s="55">
        <v>6</v>
      </c>
      <c r="S991" s="55"/>
      <c r="T991" s="55" t="s">
        <v>574</v>
      </c>
    </row>
    <row r="992" spans="1:20" ht="13" x14ac:dyDescent="0.15">
      <c r="A992" s="72" t="str">
        <f t="shared" si="15"/>
        <v>Ofsted Social Care Provider Webpage</v>
      </c>
      <c r="B992" s="55">
        <v>2570084</v>
      </c>
      <c r="D992" s="55" t="s">
        <v>373</v>
      </c>
      <c r="E992" s="74">
        <v>44176</v>
      </c>
      <c r="F992" s="55" t="s">
        <v>344</v>
      </c>
      <c r="G992" s="55" t="s">
        <v>360</v>
      </c>
      <c r="H992" s="55" t="s">
        <v>360</v>
      </c>
      <c r="I992" s="55" t="s">
        <v>360</v>
      </c>
      <c r="J992" s="55" t="s">
        <v>360</v>
      </c>
      <c r="K992" s="55" t="s">
        <v>360</v>
      </c>
      <c r="L992" s="55" t="s">
        <v>360</v>
      </c>
      <c r="M992" s="55" t="s">
        <v>172</v>
      </c>
      <c r="N992" s="55" t="s">
        <v>172</v>
      </c>
      <c r="O992" s="55" t="s">
        <v>173</v>
      </c>
      <c r="P992" s="55" t="s">
        <v>961</v>
      </c>
      <c r="Q992" s="55" t="s">
        <v>350</v>
      </c>
      <c r="R992" s="55">
        <v>1</v>
      </c>
      <c r="S992" s="55"/>
      <c r="T992" s="55" t="s">
        <v>1704</v>
      </c>
    </row>
    <row r="993" spans="1:20" ht="13" x14ac:dyDescent="0.15">
      <c r="A993" s="72" t="str">
        <f t="shared" si="15"/>
        <v>Ofsted Social Care Provider Webpage</v>
      </c>
      <c r="B993" s="55">
        <v>2570253</v>
      </c>
      <c r="D993" s="55" t="s">
        <v>373</v>
      </c>
      <c r="E993" s="74">
        <v>43900</v>
      </c>
      <c r="F993" s="55" t="s">
        <v>344</v>
      </c>
      <c r="G993" s="55" t="s">
        <v>360</v>
      </c>
      <c r="H993" s="55" t="s">
        <v>360</v>
      </c>
      <c r="I993" s="55" t="s">
        <v>360</v>
      </c>
      <c r="J993" s="55" t="s">
        <v>360</v>
      </c>
      <c r="K993" s="55" t="s">
        <v>360</v>
      </c>
      <c r="L993" s="55" t="s">
        <v>360</v>
      </c>
      <c r="M993" s="55" t="s">
        <v>172</v>
      </c>
      <c r="N993" s="55" t="s">
        <v>172</v>
      </c>
      <c r="O993" s="55" t="s">
        <v>214</v>
      </c>
      <c r="P993" s="55" t="s">
        <v>1345</v>
      </c>
      <c r="Q993" s="55" t="s">
        <v>350</v>
      </c>
      <c r="R993" s="55">
        <v>5</v>
      </c>
      <c r="S993" s="55"/>
      <c r="T993" s="55" t="s">
        <v>1705</v>
      </c>
    </row>
    <row r="994" spans="1:20" ht="13" x14ac:dyDescent="0.15">
      <c r="A994" s="72" t="str">
        <f t="shared" si="15"/>
        <v>Ofsted Social Care Provider Webpage</v>
      </c>
      <c r="B994" s="55">
        <v>2570461</v>
      </c>
      <c r="D994" s="55" t="s">
        <v>443</v>
      </c>
      <c r="E994" s="74">
        <v>43951</v>
      </c>
      <c r="F994" s="55" t="s">
        <v>344</v>
      </c>
      <c r="G994" s="55" t="s">
        <v>1706</v>
      </c>
      <c r="H994" s="55" t="s">
        <v>1707</v>
      </c>
      <c r="I994" s="55" t="s">
        <v>354</v>
      </c>
      <c r="J994" s="55" t="s">
        <v>251</v>
      </c>
      <c r="K994" s="55" t="s">
        <v>683</v>
      </c>
      <c r="L994" s="55" t="s">
        <v>1708</v>
      </c>
      <c r="M994" s="55" t="s">
        <v>378</v>
      </c>
      <c r="N994" s="55" t="s">
        <v>134</v>
      </c>
      <c r="O994" s="55" t="s">
        <v>251</v>
      </c>
      <c r="P994" s="55" t="s">
        <v>1709</v>
      </c>
      <c r="Q994" s="55" t="s">
        <v>350</v>
      </c>
      <c r="R994" s="55"/>
      <c r="S994" s="55"/>
      <c r="T994" s="55" t="s">
        <v>1710</v>
      </c>
    </row>
    <row r="995" spans="1:20" ht="13" x14ac:dyDescent="0.15">
      <c r="A995" s="72" t="str">
        <f t="shared" si="15"/>
        <v>Ofsted Social Care Provider Webpage</v>
      </c>
      <c r="B995" s="55">
        <v>2570535</v>
      </c>
      <c r="D995" s="55" t="s">
        <v>373</v>
      </c>
      <c r="E995" s="74">
        <v>43955</v>
      </c>
      <c r="F995" s="55" t="s">
        <v>344</v>
      </c>
      <c r="G995" s="55" t="s">
        <v>360</v>
      </c>
      <c r="H995" s="55" t="s">
        <v>360</v>
      </c>
      <c r="I995" s="55" t="s">
        <v>360</v>
      </c>
      <c r="J995" s="55" t="s">
        <v>360</v>
      </c>
      <c r="K995" s="55" t="s">
        <v>360</v>
      </c>
      <c r="L995" s="55" t="s">
        <v>360</v>
      </c>
      <c r="M995" s="55" t="s">
        <v>142</v>
      </c>
      <c r="N995" s="55" t="s">
        <v>142</v>
      </c>
      <c r="O995" s="55" t="s">
        <v>252</v>
      </c>
      <c r="P995" s="55" t="s">
        <v>388</v>
      </c>
      <c r="Q995" s="55" t="s">
        <v>350</v>
      </c>
      <c r="R995" s="55">
        <v>4</v>
      </c>
      <c r="S995" s="55"/>
      <c r="T995" s="55" t="s">
        <v>1182</v>
      </c>
    </row>
    <row r="996" spans="1:20" ht="13" x14ac:dyDescent="0.15">
      <c r="A996" s="72" t="str">
        <f t="shared" si="15"/>
        <v>Ofsted Social Care Provider Webpage</v>
      </c>
      <c r="B996" s="55">
        <v>2570947</v>
      </c>
      <c r="D996" s="55" t="s">
        <v>373</v>
      </c>
      <c r="E996" s="74">
        <v>43858</v>
      </c>
      <c r="F996" s="55" t="s">
        <v>344</v>
      </c>
      <c r="G996" s="55" t="s">
        <v>360</v>
      </c>
      <c r="H996" s="55" t="s">
        <v>360</v>
      </c>
      <c r="I996" s="55" t="s">
        <v>360</v>
      </c>
      <c r="J996" s="55" t="s">
        <v>360</v>
      </c>
      <c r="K996" s="55" t="s">
        <v>360</v>
      </c>
      <c r="L996" s="55" t="s">
        <v>360</v>
      </c>
      <c r="M996" s="55" t="s">
        <v>378</v>
      </c>
      <c r="N996" s="55" t="s">
        <v>170</v>
      </c>
      <c r="O996" s="55" t="s">
        <v>184</v>
      </c>
      <c r="P996" s="55" t="s">
        <v>676</v>
      </c>
      <c r="Q996" s="55" t="s">
        <v>380</v>
      </c>
      <c r="R996" s="55">
        <v>6</v>
      </c>
      <c r="S996" s="55"/>
      <c r="T996" s="55" t="s">
        <v>1711</v>
      </c>
    </row>
    <row r="997" spans="1:20" ht="13" x14ac:dyDescent="0.15">
      <c r="A997" s="72" t="str">
        <f t="shared" si="15"/>
        <v>Ofsted Social Care Provider Webpage</v>
      </c>
      <c r="B997" s="55">
        <v>2571031</v>
      </c>
      <c r="D997" s="55" t="s">
        <v>373</v>
      </c>
      <c r="E997" s="74">
        <v>43978</v>
      </c>
      <c r="F997" s="55" t="s">
        <v>344</v>
      </c>
      <c r="G997" s="55" t="s">
        <v>360</v>
      </c>
      <c r="H997" s="55" t="s">
        <v>360</v>
      </c>
      <c r="I997" s="55" t="s">
        <v>360</v>
      </c>
      <c r="J997" s="55" t="s">
        <v>360</v>
      </c>
      <c r="K997" s="55" t="s">
        <v>360</v>
      </c>
      <c r="L997" s="55" t="s">
        <v>360</v>
      </c>
      <c r="M997" s="55" t="s">
        <v>144</v>
      </c>
      <c r="N997" s="55" t="s">
        <v>144</v>
      </c>
      <c r="O997" s="55" t="s">
        <v>217</v>
      </c>
      <c r="P997" s="55" t="s">
        <v>384</v>
      </c>
      <c r="Q997" s="55" t="s">
        <v>350</v>
      </c>
      <c r="R997" s="55">
        <v>2</v>
      </c>
      <c r="S997" s="55"/>
      <c r="T997" s="55" t="s">
        <v>1712</v>
      </c>
    </row>
    <row r="998" spans="1:20" ht="13" x14ac:dyDescent="0.15">
      <c r="A998" s="72" t="str">
        <f t="shared" si="15"/>
        <v>Ofsted Social Care Provider Webpage</v>
      </c>
      <c r="B998" s="55">
        <v>2571256</v>
      </c>
      <c r="D998" s="55" t="s">
        <v>373</v>
      </c>
      <c r="E998" s="74">
        <v>43900</v>
      </c>
      <c r="F998" s="55" t="s">
        <v>344</v>
      </c>
      <c r="G998" s="55" t="s">
        <v>360</v>
      </c>
      <c r="H998" s="55" t="s">
        <v>360</v>
      </c>
      <c r="I998" s="55" t="s">
        <v>360</v>
      </c>
      <c r="J998" s="55" t="s">
        <v>360</v>
      </c>
      <c r="K998" s="55" t="s">
        <v>360</v>
      </c>
      <c r="L998" s="55" t="s">
        <v>360</v>
      </c>
      <c r="M998" s="55" t="s">
        <v>172</v>
      </c>
      <c r="N998" s="55" t="s">
        <v>172</v>
      </c>
      <c r="O998" s="55" t="s">
        <v>173</v>
      </c>
      <c r="P998" s="55" t="s">
        <v>1540</v>
      </c>
      <c r="Q998" s="55" t="s">
        <v>350</v>
      </c>
      <c r="R998" s="55">
        <v>1</v>
      </c>
      <c r="S998" s="55"/>
      <c r="T998" s="55" t="s">
        <v>1713</v>
      </c>
    </row>
    <row r="999" spans="1:20" ht="13" x14ac:dyDescent="0.15">
      <c r="A999" s="72" t="str">
        <f t="shared" si="15"/>
        <v>Ofsted Social Care Provider Webpage</v>
      </c>
      <c r="B999" s="55">
        <v>2571480</v>
      </c>
      <c r="D999" s="55" t="s">
        <v>373</v>
      </c>
      <c r="E999" s="74">
        <v>43857</v>
      </c>
      <c r="F999" s="55" t="s">
        <v>344</v>
      </c>
      <c r="G999" s="55" t="s">
        <v>360</v>
      </c>
      <c r="H999" s="55" t="s">
        <v>360</v>
      </c>
      <c r="I999" s="55" t="s">
        <v>360</v>
      </c>
      <c r="J999" s="55" t="s">
        <v>360</v>
      </c>
      <c r="K999" s="55" t="s">
        <v>360</v>
      </c>
      <c r="L999" s="55" t="s">
        <v>360</v>
      </c>
      <c r="M999" s="55" t="s">
        <v>138</v>
      </c>
      <c r="N999" s="55" t="s">
        <v>138</v>
      </c>
      <c r="O999" s="55" t="s">
        <v>183</v>
      </c>
      <c r="P999" s="55" t="s">
        <v>1050</v>
      </c>
      <c r="Q999" s="55" t="s">
        <v>350</v>
      </c>
      <c r="R999" s="55">
        <v>5</v>
      </c>
      <c r="S999" s="55"/>
      <c r="T999" s="55" t="s">
        <v>617</v>
      </c>
    </row>
    <row r="1000" spans="1:20" ht="13" x14ac:dyDescent="0.15">
      <c r="A1000" s="72" t="str">
        <f t="shared" si="15"/>
        <v>Ofsted Social Care Provider Webpage</v>
      </c>
      <c r="B1000" s="55">
        <v>2571557</v>
      </c>
      <c r="D1000" s="55" t="s">
        <v>373</v>
      </c>
      <c r="E1000" s="74">
        <v>43937</v>
      </c>
      <c r="F1000" s="55" t="s">
        <v>344</v>
      </c>
      <c r="G1000" s="55" t="s">
        <v>360</v>
      </c>
      <c r="H1000" s="55" t="s">
        <v>360</v>
      </c>
      <c r="I1000" s="55" t="s">
        <v>360</v>
      </c>
      <c r="J1000" s="55" t="s">
        <v>360</v>
      </c>
      <c r="K1000" s="55" t="s">
        <v>360</v>
      </c>
      <c r="L1000" s="55" t="s">
        <v>360</v>
      </c>
      <c r="M1000" s="55" t="s">
        <v>150</v>
      </c>
      <c r="N1000" s="55" t="s">
        <v>150</v>
      </c>
      <c r="O1000" s="55" t="s">
        <v>218</v>
      </c>
      <c r="P1000" s="55" t="s">
        <v>1113</v>
      </c>
      <c r="Q1000" s="55" t="s">
        <v>380</v>
      </c>
      <c r="R1000" s="55">
        <v>6</v>
      </c>
      <c r="S1000" s="55" t="s">
        <v>332</v>
      </c>
      <c r="T1000" s="55" t="s">
        <v>1714</v>
      </c>
    </row>
    <row r="1001" spans="1:20" ht="13" x14ac:dyDescent="0.15">
      <c r="A1001" s="72" t="str">
        <f t="shared" si="15"/>
        <v>Ofsted Social Care Provider Webpage</v>
      </c>
      <c r="B1001" s="55">
        <v>2571603</v>
      </c>
      <c r="D1001" s="55" t="s">
        <v>443</v>
      </c>
      <c r="E1001" s="74">
        <v>43998</v>
      </c>
      <c r="F1001" s="55" t="s">
        <v>344</v>
      </c>
      <c r="G1001" s="55" t="s">
        <v>1715</v>
      </c>
      <c r="H1001" s="55" t="s">
        <v>1716</v>
      </c>
      <c r="I1001" s="55" t="s">
        <v>1717</v>
      </c>
      <c r="J1001" s="55" t="s">
        <v>1718</v>
      </c>
      <c r="K1001" s="55" t="s">
        <v>195</v>
      </c>
      <c r="L1001" s="55" t="s">
        <v>1719</v>
      </c>
      <c r="M1001" s="55" t="s">
        <v>142</v>
      </c>
      <c r="N1001" s="55" t="s">
        <v>142</v>
      </c>
      <c r="O1001" s="55" t="s">
        <v>195</v>
      </c>
      <c r="P1001" s="55" t="s">
        <v>747</v>
      </c>
      <c r="Q1001" s="55" t="s">
        <v>350</v>
      </c>
      <c r="R1001" s="55"/>
      <c r="S1001" s="55"/>
      <c r="T1001" s="55" t="s">
        <v>1720</v>
      </c>
    </row>
    <row r="1002" spans="1:20" ht="13" x14ac:dyDescent="0.15">
      <c r="A1002" s="72" t="str">
        <f t="shared" si="15"/>
        <v>Ofsted Social Care Provider Webpage</v>
      </c>
      <c r="B1002" s="55">
        <v>2571630</v>
      </c>
      <c r="D1002" s="55" t="s">
        <v>373</v>
      </c>
      <c r="E1002" s="74">
        <v>44184</v>
      </c>
      <c r="F1002" s="55" t="s">
        <v>344</v>
      </c>
      <c r="G1002" s="55" t="s">
        <v>360</v>
      </c>
      <c r="H1002" s="55" t="s">
        <v>360</v>
      </c>
      <c r="I1002" s="55" t="s">
        <v>360</v>
      </c>
      <c r="J1002" s="55" t="s">
        <v>360</v>
      </c>
      <c r="K1002" s="55" t="s">
        <v>360</v>
      </c>
      <c r="L1002" s="55" t="s">
        <v>360</v>
      </c>
      <c r="M1002" s="55" t="s">
        <v>129</v>
      </c>
      <c r="N1002" s="55" t="s">
        <v>129</v>
      </c>
      <c r="O1002" s="55" t="s">
        <v>131</v>
      </c>
      <c r="P1002" s="55" t="s">
        <v>1721</v>
      </c>
      <c r="Q1002" s="55" t="s">
        <v>350</v>
      </c>
      <c r="R1002" s="55">
        <v>3</v>
      </c>
      <c r="S1002" s="55"/>
      <c r="T1002" s="55" t="s">
        <v>1722</v>
      </c>
    </row>
    <row r="1003" spans="1:20" ht="13" x14ac:dyDescent="0.15">
      <c r="A1003" s="72" t="str">
        <f t="shared" si="15"/>
        <v>Ofsted Social Care Provider Webpage</v>
      </c>
      <c r="B1003" s="55">
        <v>2571759</v>
      </c>
      <c r="D1003" s="55" t="s">
        <v>373</v>
      </c>
      <c r="E1003" s="74">
        <v>43872</v>
      </c>
      <c r="F1003" s="55" t="s">
        <v>344</v>
      </c>
      <c r="G1003" s="55" t="s">
        <v>360</v>
      </c>
      <c r="H1003" s="55" t="s">
        <v>360</v>
      </c>
      <c r="I1003" s="55" t="s">
        <v>360</v>
      </c>
      <c r="J1003" s="55" t="s">
        <v>360</v>
      </c>
      <c r="K1003" s="55" t="s">
        <v>360</v>
      </c>
      <c r="L1003" s="55" t="s">
        <v>360</v>
      </c>
      <c r="M1003" s="55" t="s">
        <v>378</v>
      </c>
      <c r="N1003" s="55" t="s">
        <v>134</v>
      </c>
      <c r="O1003" s="55" t="s">
        <v>206</v>
      </c>
      <c r="P1003" s="55" t="s">
        <v>760</v>
      </c>
      <c r="Q1003" s="55" t="s">
        <v>350</v>
      </c>
      <c r="R1003" s="55">
        <v>4</v>
      </c>
      <c r="S1003" s="55"/>
      <c r="T1003" s="55" t="s">
        <v>1723</v>
      </c>
    </row>
    <row r="1004" spans="1:20" ht="13" x14ac:dyDescent="0.15">
      <c r="A1004" s="72" t="str">
        <f t="shared" si="15"/>
        <v>Ofsted Social Care Provider Webpage</v>
      </c>
      <c r="B1004" s="55">
        <v>2571846</v>
      </c>
      <c r="D1004" s="55" t="s">
        <v>373</v>
      </c>
      <c r="E1004" s="74">
        <v>43999</v>
      </c>
      <c r="F1004" s="55" t="s">
        <v>344</v>
      </c>
      <c r="G1004" s="55" t="s">
        <v>360</v>
      </c>
      <c r="H1004" s="55" t="s">
        <v>360</v>
      </c>
      <c r="I1004" s="55" t="s">
        <v>360</v>
      </c>
      <c r="J1004" s="55" t="s">
        <v>360</v>
      </c>
      <c r="K1004" s="55" t="s">
        <v>360</v>
      </c>
      <c r="L1004" s="55" t="s">
        <v>360</v>
      </c>
      <c r="M1004" s="55" t="s">
        <v>150</v>
      </c>
      <c r="N1004" s="55" t="s">
        <v>150</v>
      </c>
      <c r="O1004" s="55" t="s">
        <v>190</v>
      </c>
      <c r="P1004" s="55" t="s">
        <v>887</v>
      </c>
      <c r="Q1004" s="55" t="s">
        <v>350</v>
      </c>
      <c r="R1004" s="55">
        <v>5</v>
      </c>
      <c r="S1004" s="55"/>
      <c r="T1004" s="55" t="s">
        <v>888</v>
      </c>
    </row>
    <row r="1005" spans="1:20" ht="13" x14ac:dyDescent="0.15">
      <c r="A1005" s="72" t="str">
        <f t="shared" si="15"/>
        <v>Ofsted Social Care Provider Webpage</v>
      </c>
      <c r="B1005" s="55">
        <v>2571902</v>
      </c>
      <c r="D1005" s="55" t="s">
        <v>373</v>
      </c>
      <c r="E1005" s="74">
        <v>43914</v>
      </c>
      <c r="F1005" s="55" t="s">
        <v>344</v>
      </c>
      <c r="G1005" s="55" t="s">
        <v>360</v>
      </c>
      <c r="H1005" s="55" t="s">
        <v>360</v>
      </c>
      <c r="I1005" s="55" t="s">
        <v>360</v>
      </c>
      <c r="J1005" s="55" t="s">
        <v>360</v>
      </c>
      <c r="K1005" s="55" t="s">
        <v>360</v>
      </c>
      <c r="L1005" s="55" t="s">
        <v>360</v>
      </c>
      <c r="M1005" s="55" t="s">
        <v>378</v>
      </c>
      <c r="N1005" s="55" t="s">
        <v>170</v>
      </c>
      <c r="O1005" s="55" t="s">
        <v>178</v>
      </c>
      <c r="P1005" s="55" t="s">
        <v>434</v>
      </c>
      <c r="Q1005" s="55" t="s">
        <v>350</v>
      </c>
      <c r="R1005" s="55">
        <v>2</v>
      </c>
      <c r="S1005" s="55"/>
      <c r="T1005" s="55" t="s">
        <v>1481</v>
      </c>
    </row>
    <row r="1006" spans="1:20" ht="13" x14ac:dyDescent="0.15">
      <c r="A1006" s="72" t="str">
        <f t="shared" si="15"/>
        <v>Ofsted Social Care Provider Webpage</v>
      </c>
      <c r="B1006" s="55">
        <v>2572055</v>
      </c>
      <c r="D1006" s="55" t="s">
        <v>389</v>
      </c>
      <c r="E1006" s="74">
        <v>43966</v>
      </c>
      <c r="F1006" s="55" t="s">
        <v>344</v>
      </c>
      <c r="G1006" s="55" t="s">
        <v>1724</v>
      </c>
      <c r="H1006" s="55" t="s">
        <v>1725</v>
      </c>
      <c r="I1006" s="55" t="s">
        <v>1726</v>
      </c>
      <c r="J1006" s="55" t="s">
        <v>546</v>
      </c>
      <c r="K1006" s="55" t="s">
        <v>196</v>
      </c>
      <c r="L1006" s="55" t="s">
        <v>1727</v>
      </c>
      <c r="M1006" s="55" t="s">
        <v>138</v>
      </c>
      <c r="N1006" s="55" t="s">
        <v>138</v>
      </c>
      <c r="O1006" s="55" t="s">
        <v>196</v>
      </c>
      <c r="P1006" s="55" t="s">
        <v>546</v>
      </c>
      <c r="Q1006" s="55" t="s">
        <v>350</v>
      </c>
      <c r="R1006" s="55"/>
      <c r="S1006" s="55"/>
      <c r="T1006" s="55" t="s">
        <v>1724</v>
      </c>
    </row>
    <row r="1007" spans="1:20" ht="13" x14ac:dyDescent="0.15">
      <c r="A1007" s="72" t="str">
        <f t="shared" si="15"/>
        <v>Ofsted Social Care Provider Webpage</v>
      </c>
      <c r="B1007" s="55">
        <v>2572121</v>
      </c>
      <c r="D1007" s="55" t="s">
        <v>373</v>
      </c>
      <c r="E1007" s="74">
        <v>43896</v>
      </c>
      <c r="F1007" s="55" t="s">
        <v>344</v>
      </c>
      <c r="G1007" s="55" t="s">
        <v>360</v>
      </c>
      <c r="H1007" s="55" t="s">
        <v>360</v>
      </c>
      <c r="I1007" s="55" t="s">
        <v>360</v>
      </c>
      <c r="J1007" s="55" t="s">
        <v>360</v>
      </c>
      <c r="K1007" s="55" t="s">
        <v>360</v>
      </c>
      <c r="L1007" s="55" t="s">
        <v>360</v>
      </c>
      <c r="M1007" s="55" t="s">
        <v>136</v>
      </c>
      <c r="N1007" s="55" t="s">
        <v>136</v>
      </c>
      <c r="O1007" s="55" t="s">
        <v>288</v>
      </c>
      <c r="P1007" s="55" t="s">
        <v>1101</v>
      </c>
      <c r="Q1007" s="55" t="s">
        <v>380</v>
      </c>
      <c r="R1007" s="55">
        <v>3</v>
      </c>
      <c r="S1007" s="55"/>
      <c r="T1007" s="55" t="s">
        <v>1389</v>
      </c>
    </row>
    <row r="1008" spans="1:20" ht="13" x14ac:dyDescent="0.15">
      <c r="A1008" s="72" t="str">
        <f t="shared" si="15"/>
        <v>Ofsted Social Care Provider Webpage</v>
      </c>
      <c r="B1008" s="55">
        <v>2572133</v>
      </c>
      <c r="D1008" s="55" t="s">
        <v>373</v>
      </c>
      <c r="E1008" s="74">
        <v>43858</v>
      </c>
      <c r="F1008" s="55" t="s">
        <v>344</v>
      </c>
      <c r="G1008" s="55" t="s">
        <v>360</v>
      </c>
      <c r="H1008" s="55" t="s">
        <v>360</v>
      </c>
      <c r="I1008" s="55" t="s">
        <v>360</v>
      </c>
      <c r="J1008" s="55" t="s">
        <v>360</v>
      </c>
      <c r="K1008" s="55" t="s">
        <v>360</v>
      </c>
      <c r="L1008" s="55" t="s">
        <v>360</v>
      </c>
      <c r="M1008" s="55" t="s">
        <v>142</v>
      </c>
      <c r="N1008" s="55" t="s">
        <v>142</v>
      </c>
      <c r="O1008" s="55" t="s">
        <v>262</v>
      </c>
      <c r="P1008" s="55" t="s">
        <v>523</v>
      </c>
      <c r="Q1008" s="55" t="s">
        <v>350</v>
      </c>
      <c r="R1008" s="55">
        <v>4</v>
      </c>
      <c r="S1008" s="55"/>
      <c r="T1008" s="55" t="s">
        <v>489</v>
      </c>
    </row>
    <row r="1009" spans="1:20" ht="13" x14ac:dyDescent="0.15">
      <c r="A1009" s="72" t="str">
        <f t="shared" si="15"/>
        <v>Ofsted Social Care Provider Webpage</v>
      </c>
      <c r="B1009" s="55">
        <v>2572306</v>
      </c>
      <c r="D1009" s="55" t="s">
        <v>451</v>
      </c>
      <c r="E1009" s="74">
        <v>43956</v>
      </c>
      <c r="F1009" s="55" t="s">
        <v>344</v>
      </c>
      <c r="G1009" s="55" t="s">
        <v>1728</v>
      </c>
      <c r="H1009" s="55" t="s">
        <v>1729</v>
      </c>
      <c r="I1009" s="55" t="s">
        <v>1730</v>
      </c>
      <c r="J1009" s="55" t="s">
        <v>555</v>
      </c>
      <c r="K1009" s="55" t="s">
        <v>209</v>
      </c>
      <c r="L1009" s="55" t="s">
        <v>1731</v>
      </c>
      <c r="M1009" s="55" t="s">
        <v>144</v>
      </c>
      <c r="N1009" s="55" t="s">
        <v>144</v>
      </c>
      <c r="O1009" s="55" t="s">
        <v>209</v>
      </c>
      <c r="P1009" s="55" t="s">
        <v>555</v>
      </c>
      <c r="Q1009" s="55" t="s">
        <v>350</v>
      </c>
      <c r="R1009" s="55">
        <v>5</v>
      </c>
      <c r="S1009" s="55"/>
      <c r="T1009" s="55" t="s">
        <v>1732</v>
      </c>
    </row>
    <row r="1010" spans="1:20" ht="13" x14ac:dyDescent="0.15">
      <c r="A1010" s="72" t="str">
        <f t="shared" si="15"/>
        <v>Ofsted Social Care Provider Webpage</v>
      </c>
      <c r="B1010" s="55">
        <v>2572552</v>
      </c>
      <c r="D1010" s="55" t="s">
        <v>373</v>
      </c>
      <c r="E1010" s="74">
        <v>43916</v>
      </c>
      <c r="F1010" s="55" t="s">
        <v>344</v>
      </c>
      <c r="G1010" s="55" t="s">
        <v>360</v>
      </c>
      <c r="H1010" s="55" t="s">
        <v>360</v>
      </c>
      <c r="I1010" s="55" t="s">
        <v>360</v>
      </c>
      <c r="J1010" s="55" t="s">
        <v>360</v>
      </c>
      <c r="K1010" s="55" t="s">
        <v>360</v>
      </c>
      <c r="L1010" s="55" t="s">
        <v>360</v>
      </c>
      <c r="M1010" s="55" t="s">
        <v>136</v>
      </c>
      <c r="N1010" s="55" t="s">
        <v>136</v>
      </c>
      <c r="O1010" s="55" t="s">
        <v>174</v>
      </c>
      <c r="P1010" s="55" t="s">
        <v>570</v>
      </c>
      <c r="Q1010" s="55" t="s">
        <v>350</v>
      </c>
      <c r="R1010" s="55">
        <v>1</v>
      </c>
      <c r="S1010" s="55"/>
      <c r="T1010" s="55" t="s">
        <v>793</v>
      </c>
    </row>
    <row r="1011" spans="1:20" ht="13" x14ac:dyDescent="0.15">
      <c r="A1011" s="72" t="str">
        <f t="shared" si="15"/>
        <v>Ofsted Social Care Provider Webpage</v>
      </c>
      <c r="B1011" s="55">
        <v>2572812</v>
      </c>
      <c r="D1011" s="55" t="s">
        <v>373</v>
      </c>
      <c r="E1011" s="74">
        <v>44593</v>
      </c>
      <c r="F1011" s="55" t="s">
        <v>344</v>
      </c>
      <c r="G1011" s="55" t="s">
        <v>360</v>
      </c>
      <c r="H1011" s="55" t="s">
        <v>360</v>
      </c>
      <c r="I1011" s="55" t="s">
        <v>360</v>
      </c>
      <c r="J1011" s="55" t="s">
        <v>360</v>
      </c>
      <c r="K1011" s="55" t="s">
        <v>360</v>
      </c>
      <c r="L1011" s="55" t="s">
        <v>360</v>
      </c>
      <c r="M1011" s="55" t="s">
        <v>150</v>
      </c>
      <c r="N1011" s="55" t="s">
        <v>150</v>
      </c>
      <c r="O1011" s="55" t="s">
        <v>218</v>
      </c>
      <c r="P1011" s="55" t="s">
        <v>1086</v>
      </c>
      <c r="Q1011" s="55" t="s">
        <v>350</v>
      </c>
      <c r="R1011" s="55">
        <v>5</v>
      </c>
      <c r="S1011" s="55"/>
      <c r="T1011" s="55" t="s">
        <v>483</v>
      </c>
    </row>
    <row r="1012" spans="1:20" ht="13" x14ac:dyDescent="0.15">
      <c r="A1012" s="72" t="str">
        <f t="shared" si="15"/>
        <v>Ofsted Social Care Provider Webpage</v>
      </c>
      <c r="B1012" s="55">
        <v>2573144</v>
      </c>
      <c r="D1012" s="55" t="s">
        <v>373</v>
      </c>
      <c r="E1012" s="74">
        <v>43955</v>
      </c>
      <c r="F1012" s="55" t="s">
        <v>344</v>
      </c>
      <c r="G1012" s="55" t="s">
        <v>360</v>
      </c>
      <c r="H1012" s="55" t="s">
        <v>360</v>
      </c>
      <c r="I1012" s="55" t="s">
        <v>360</v>
      </c>
      <c r="J1012" s="55" t="s">
        <v>360</v>
      </c>
      <c r="K1012" s="55" t="s">
        <v>360</v>
      </c>
      <c r="L1012" s="55" t="s">
        <v>360</v>
      </c>
      <c r="M1012" s="55" t="s">
        <v>142</v>
      </c>
      <c r="N1012" s="55" t="s">
        <v>142</v>
      </c>
      <c r="O1012" s="55" t="s">
        <v>262</v>
      </c>
      <c r="P1012" s="55" t="s">
        <v>488</v>
      </c>
      <c r="Q1012" s="55" t="s">
        <v>350</v>
      </c>
      <c r="R1012" s="55">
        <v>2</v>
      </c>
      <c r="S1012" s="55"/>
      <c r="T1012" s="55" t="s">
        <v>489</v>
      </c>
    </row>
    <row r="1013" spans="1:20" ht="13" x14ac:dyDescent="0.15">
      <c r="A1013" s="72" t="str">
        <f t="shared" si="15"/>
        <v>Ofsted Social Care Provider Webpage</v>
      </c>
      <c r="B1013" s="55">
        <v>2573447</v>
      </c>
      <c r="D1013" s="55" t="s">
        <v>373</v>
      </c>
      <c r="E1013" s="74">
        <v>44035</v>
      </c>
      <c r="F1013" s="55" t="s">
        <v>344</v>
      </c>
      <c r="G1013" s="55" t="s">
        <v>360</v>
      </c>
      <c r="H1013" s="55" t="s">
        <v>360</v>
      </c>
      <c r="I1013" s="55" t="s">
        <v>360</v>
      </c>
      <c r="J1013" s="55" t="s">
        <v>360</v>
      </c>
      <c r="K1013" s="55" t="s">
        <v>360</v>
      </c>
      <c r="L1013" s="55" t="s">
        <v>360</v>
      </c>
      <c r="M1013" s="55" t="s">
        <v>378</v>
      </c>
      <c r="N1013" s="55" t="s">
        <v>134</v>
      </c>
      <c r="O1013" s="55" t="s">
        <v>151</v>
      </c>
      <c r="P1013" s="55" t="s">
        <v>862</v>
      </c>
      <c r="Q1013" s="55" t="s">
        <v>350</v>
      </c>
      <c r="R1013" s="55">
        <v>2</v>
      </c>
      <c r="S1013" s="55"/>
      <c r="T1013" s="55" t="s">
        <v>1733</v>
      </c>
    </row>
    <row r="1014" spans="1:20" ht="13" x14ac:dyDescent="0.15">
      <c r="A1014" s="72" t="str">
        <f t="shared" si="15"/>
        <v>Ofsted Social Care Provider Webpage</v>
      </c>
      <c r="B1014" s="55">
        <v>2573614</v>
      </c>
      <c r="D1014" s="55" t="s">
        <v>373</v>
      </c>
      <c r="E1014" s="74">
        <v>43903</v>
      </c>
      <c r="F1014" s="55" t="s">
        <v>344</v>
      </c>
      <c r="G1014" s="55" t="s">
        <v>360</v>
      </c>
      <c r="H1014" s="55" t="s">
        <v>360</v>
      </c>
      <c r="I1014" s="55" t="s">
        <v>360</v>
      </c>
      <c r="J1014" s="55" t="s">
        <v>360</v>
      </c>
      <c r="K1014" s="55" t="s">
        <v>360</v>
      </c>
      <c r="L1014" s="55" t="s">
        <v>360</v>
      </c>
      <c r="M1014" s="55" t="s">
        <v>136</v>
      </c>
      <c r="N1014" s="55" t="s">
        <v>136</v>
      </c>
      <c r="O1014" s="55" t="s">
        <v>174</v>
      </c>
      <c r="P1014" s="55" t="s">
        <v>1526</v>
      </c>
      <c r="Q1014" s="55" t="s">
        <v>350</v>
      </c>
      <c r="R1014" s="55">
        <v>2</v>
      </c>
      <c r="S1014" s="55"/>
      <c r="T1014" s="55" t="s">
        <v>858</v>
      </c>
    </row>
    <row r="1015" spans="1:20" ht="13" x14ac:dyDescent="0.15">
      <c r="A1015" s="72" t="str">
        <f t="shared" si="15"/>
        <v>Ofsted Social Care Provider Webpage</v>
      </c>
      <c r="B1015" s="55">
        <v>2573764</v>
      </c>
      <c r="D1015" s="55" t="s">
        <v>389</v>
      </c>
      <c r="E1015" s="74">
        <v>43964</v>
      </c>
      <c r="F1015" s="55" t="s">
        <v>344</v>
      </c>
      <c r="G1015" s="55" t="s">
        <v>1734</v>
      </c>
      <c r="H1015" s="55" t="s">
        <v>1735</v>
      </c>
      <c r="I1015" s="55" t="s">
        <v>1736</v>
      </c>
      <c r="J1015" s="55" t="s">
        <v>916</v>
      </c>
      <c r="K1015" s="55" t="s">
        <v>262</v>
      </c>
      <c r="L1015" s="55" t="s">
        <v>1737</v>
      </c>
      <c r="M1015" s="55" t="s">
        <v>142</v>
      </c>
      <c r="N1015" s="55" t="s">
        <v>142</v>
      </c>
      <c r="O1015" s="55" t="s">
        <v>262</v>
      </c>
      <c r="P1015" s="55" t="s">
        <v>916</v>
      </c>
      <c r="Q1015" s="55" t="s">
        <v>350</v>
      </c>
      <c r="R1015" s="55"/>
      <c r="S1015" s="55"/>
      <c r="T1015" s="55" t="s">
        <v>1734</v>
      </c>
    </row>
    <row r="1016" spans="1:20" ht="13" x14ac:dyDescent="0.15">
      <c r="A1016" s="72" t="str">
        <f t="shared" si="15"/>
        <v>Ofsted Social Care Provider Webpage</v>
      </c>
      <c r="B1016" s="55">
        <v>2574119</v>
      </c>
      <c r="D1016" s="55" t="s">
        <v>373</v>
      </c>
      <c r="E1016" s="74">
        <v>43880</v>
      </c>
      <c r="F1016" s="55" t="s">
        <v>344</v>
      </c>
      <c r="G1016" s="55" t="s">
        <v>360</v>
      </c>
      <c r="H1016" s="55" t="s">
        <v>360</v>
      </c>
      <c r="I1016" s="55" t="s">
        <v>360</v>
      </c>
      <c r="J1016" s="55" t="s">
        <v>360</v>
      </c>
      <c r="K1016" s="55" t="s">
        <v>360</v>
      </c>
      <c r="L1016" s="55" t="s">
        <v>360</v>
      </c>
      <c r="M1016" s="55" t="s">
        <v>144</v>
      </c>
      <c r="N1016" s="55" t="s">
        <v>144</v>
      </c>
      <c r="O1016" s="55" t="s">
        <v>168</v>
      </c>
      <c r="P1016" s="55" t="s">
        <v>834</v>
      </c>
      <c r="Q1016" s="55" t="s">
        <v>380</v>
      </c>
      <c r="R1016" s="55">
        <v>4</v>
      </c>
      <c r="S1016" s="55"/>
      <c r="T1016" s="55" t="s">
        <v>1432</v>
      </c>
    </row>
    <row r="1017" spans="1:20" ht="13" x14ac:dyDescent="0.15">
      <c r="A1017" s="72" t="str">
        <f t="shared" si="15"/>
        <v>Ofsted Social Care Provider Webpage</v>
      </c>
      <c r="B1017" s="55">
        <v>2574877</v>
      </c>
      <c r="D1017" s="55" t="s">
        <v>389</v>
      </c>
      <c r="E1017" s="74">
        <v>44064</v>
      </c>
      <c r="F1017" s="55" t="s">
        <v>344</v>
      </c>
      <c r="G1017" s="55" t="s">
        <v>1738</v>
      </c>
      <c r="H1017" s="55" t="s">
        <v>1739</v>
      </c>
      <c r="I1017" s="55" t="s">
        <v>1740</v>
      </c>
      <c r="J1017" s="55" t="s">
        <v>1038</v>
      </c>
      <c r="K1017" s="55" t="s">
        <v>203</v>
      </c>
      <c r="L1017" s="55" t="s">
        <v>1741</v>
      </c>
      <c r="M1017" s="55" t="s">
        <v>150</v>
      </c>
      <c r="N1017" s="55" t="s">
        <v>150</v>
      </c>
      <c r="O1017" s="55" t="s">
        <v>203</v>
      </c>
      <c r="P1017" s="55" t="s">
        <v>1038</v>
      </c>
      <c r="Q1017" s="55" t="s">
        <v>350</v>
      </c>
      <c r="R1017" s="55"/>
      <c r="S1017" s="55"/>
      <c r="T1017" s="55" t="s">
        <v>1742</v>
      </c>
    </row>
    <row r="1018" spans="1:20" ht="13" x14ac:dyDescent="0.15">
      <c r="A1018" s="72" t="str">
        <f t="shared" si="15"/>
        <v>Ofsted Social Care Provider Webpage</v>
      </c>
      <c r="B1018" s="55">
        <v>2575094</v>
      </c>
      <c r="D1018" s="55" t="s">
        <v>389</v>
      </c>
      <c r="E1018" s="74">
        <v>43935</v>
      </c>
      <c r="F1018" s="55" t="s">
        <v>344</v>
      </c>
      <c r="G1018" s="55" t="s">
        <v>1743</v>
      </c>
      <c r="H1018" s="55" t="s">
        <v>1744</v>
      </c>
      <c r="I1018" s="55" t="s">
        <v>354</v>
      </c>
      <c r="J1018" s="55" t="s">
        <v>1745</v>
      </c>
      <c r="K1018" s="55" t="s">
        <v>1746</v>
      </c>
      <c r="L1018" s="55" t="s">
        <v>1747</v>
      </c>
      <c r="M1018" s="55" t="s">
        <v>129</v>
      </c>
      <c r="N1018" s="55" t="s">
        <v>129</v>
      </c>
      <c r="O1018" s="55" t="s">
        <v>197</v>
      </c>
      <c r="P1018" s="55" t="s">
        <v>1748</v>
      </c>
      <c r="Q1018" s="55" t="s">
        <v>350</v>
      </c>
      <c r="R1018" s="55"/>
      <c r="S1018" s="55"/>
      <c r="T1018" s="55" t="s">
        <v>1749</v>
      </c>
    </row>
    <row r="1019" spans="1:20" ht="13" x14ac:dyDescent="0.15">
      <c r="A1019" s="72" t="str">
        <f t="shared" si="15"/>
        <v>Ofsted Social Care Provider Webpage</v>
      </c>
      <c r="B1019" s="55">
        <v>2575372</v>
      </c>
      <c r="D1019" s="55" t="s">
        <v>373</v>
      </c>
      <c r="E1019" s="74">
        <v>43994</v>
      </c>
      <c r="F1019" s="55" t="s">
        <v>344</v>
      </c>
      <c r="G1019" s="55" t="s">
        <v>360</v>
      </c>
      <c r="H1019" s="55" t="s">
        <v>360</v>
      </c>
      <c r="I1019" s="55" t="s">
        <v>360</v>
      </c>
      <c r="J1019" s="55" t="s">
        <v>360</v>
      </c>
      <c r="K1019" s="55" t="s">
        <v>360</v>
      </c>
      <c r="L1019" s="55" t="s">
        <v>360</v>
      </c>
      <c r="M1019" s="55" t="s">
        <v>138</v>
      </c>
      <c r="N1019" s="55" t="s">
        <v>138</v>
      </c>
      <c r="O1019" s="55" t="s">
        <v>183</v>
      </c>
      <c r="P1019" s="55" t="s">
        <v>1500</v>
      </c>
      <c r="Q1019" s="55" t="s">
        <v>350</v>
      </c>
      <c r="R1019" s="55">
        <v>3</v>
      </c>
      <c r="S1019" s="55"/>
      <c r="T1019" s="55" t="s">
        <v>1750</v>
      </c>
    </row>
    <row r="1020" spans="1:20" ht="13" x14ac:dyDescent="0.15">
      <c r="A1020" s="72" t="str">
        <f t="shared" si="15"/>
        <v>Ofsted Social Care Provider Webpage</v>
      </c>
      <c r="B1020" s="55">
        <v>2575432</v>
      </c>
      <c r="D1020" s="55" t="s">
        <v>373</v>
      </c>
      <c r="E1020" s="74">
        <v>43952</v>
      </c>
      <c r="F1020" s="55" t="s">
        <v>344</v>
      </c>
      <c r="G1020" s="55" t="s">
        <v>360</v>
      </c>
      <c r="H1020" s="55" t="s">
        <v>360</v>
      </c>
      <c r="I1020" s="55" t="s">
        <v>360</v>
      </c>
      <c r="J1020" s="55" t="s">
        <v>360</v>
      </c>
      <c r="K1020" s="55" t="s">
        <v>360</v>
      </c>
      <c r="L1020" s="55" t="s">
        <v>360</v>
      </c>
      <c r="M1020" s="55" t="s">
        <v>144</v>
      </c>
      <c r="N1020" s="55" t="s">
        <v>144</v>
      </c>
      <c r="O1020" s="55" t="s">
        <v>287</v>
      </c>
      <c r="P1020" s="55" t="s">
        <v>815</v>
      </c>
      <c r="Q1020" s="55" t="s">
        <v>350</v>
      </c>
      <c r="R1020" s="55">
        <v>2</v>
      </c>
      <c r="S1020" s="55"/>
      <c r="T1020" s="55" t="s">
        <v>1272</v>
      </c>
    </row>
    <row r="1021" spans="1:20" ht="13" x14ac:dyDescent="0.15">
      <c r="A1021" s="72" t="str">
        <f t="shared" si="15"/>
        <v>Ofsted Social Care Provider Webpage</v>
      </c>
      <c r="B1021" s="55">
        <v>2575463</v>
      </c>
      <c r="D1021" s="55" t="s">
        <v>373</v>
      </c>
      <c r="E1021" s="74">
        <v>44172</v>
      </c>
      <c r="F1021" s="55" t="s">
        <v>344</v>
      </c>
      <c r="G1021" s="55" t="s">
        <v>360</v>
      </c>
      <c r="H1021" s="55" t="s">
        <v>360</v>
      </c>
      <c r="I1021" s="55" t="s">
        <v>360</v>
      </c>
      <c r="J1021" s="55" t="s">
        <v>360</v>
      </c>
      <c r="K1021" s="55" t="s">
        <v>360</v>
      </c>
      <c r="L1021" s="55" t="s">
        <v>360</v>
      </c>
      <c r="M1021" s="55" t="s">
        <v>378</v>
      </c>
      <c r="N1021" s="55" t="s">
        <v>134</v>
      </c>
      <c r="O1021" s="55" t="s">
        <v>175</v>
      </c>
      <c r="P1021" s="55" t="s">
        <v>932</v>
      </c>
      <c r="Q1021" s="55" t="s">
        <v>350</v>
      </c>
      <c r="R1021" s="55">
        <v>2</v>
      </c>
      <c r="S1021" s="55"/>
      <c r="T1021" s="55" t="s">
        <v>933</v>
      </c>
    </row>
    <row r="1022" spans="1:20" ht="13" x14ac:dyDescent="0.15">
      <c r="A1022" s="72" t="str">
        <f t="shared" si="15"/>
        <v>Ofsted Social Care Provider Webpage</v>
      </c>
      <c r="B1022" s="55">
        <v>2575551</v>
      </c>
      <c r="D1022" s="55" t="s">
        <v>373</v>
      </c>
      <c r="E1022" s="74">
        <v>44258</v>
      </c>
      <c r="F1022" s="55" t="s">
        <v>344</v>
      </c>
      <c r="G1022" s="55" t="s">
        <v>360</v>
      </c>
      <c r="H1022" s="55" t="s">
        <v>360</v>
      </c>
      <c r="I1022" s="55" t="s">
        <v>360</v>
      </c>
      <c r="J1022" s="55" t="s">
        <v>360</v>
      </c>
      <c r="K1022" s="55" t="s">
        <v>360</v>
      </c>
      <c r="L1022" s="55" t="s">
        <v>360</v>
      </c>
      <c r="M1022" s="55" t="s">
        <v>378</v>
      </c>
      <c r="N1022" s="55" t="s">
        <v>134</v>
      </c>
      <c r="O1022" s="55" t="s">
        <v>246</v>
      </c>
      <c r="P1022" s="55" t="s">
        <v>685</v>
      </c>
      <c r="Q1022" s="55" t="s">
        <v>350</v>
      </c>
      <c r="R1022" s="55">
        <v>1</v>
      </c>
      <c r="S1022" s="55"/>
      <c r="T1022" s="55" t="s">
        <v>1751</v>
      </c>
    </row>
    <row r="1023" spans="1:20" ht="13" x14ac:dyDescent="0.15">
      <c r="A1023" s="72" t="str">
        <f t="shared" si="15"/>
        <v>Ofsted Social Care Provider Webpage</v>
      </c>
      <c r="B1023" s="55">
        <v>2575713</v>
      </c>
      <c r="D1023" s="55" t="s">
        <v>373</v>
      </c>
      <c r="E1023" s="74">
        <v>43930</v>
      </c>
      <c r="F1023" s="55" t="s">
        <v>344</v>
      </c>
      <c r="G1023" s="55" t="s">
        <v>360</v>
      </c>
      <c r="H1023" s="55" t="s">
        <v>360</v>
      </c>
      <c r="I1023" s="55" t="s">
        <v>360</v>
      </c>
      <c r="J1023" s="55" t="s">
        <v>360</v>
      </c>
      <c r="K1023" s="55" t="s">
        <v>360</v>
      </c>
      <c r="L1023" s="55" t="s">
        <v>360</v>
      </c>
      <c r="M1023" s="55" t="s">
        <v>138</v>
      </c>
      <c r="N1023" s="55" t="s">
        <v>138</v>
      </c>
      <c r="O1023" s="55" t="s">
        <v>196</v>
      </c>
      <c r="P1023" s="55" t="s">
        <v>546</v>
      </c>
      <c r="Q1023" s="55" t="s">
        <v>350</v>
      </c>
      <c r="R1023" s="55">
        <v>2</v>
      </c>
      <c r="S1023" s="55"/>
      <c r="T1023" s="55" t="s">
        <v>1533</v>
      </c>
    </row>
    <row r="1024" spans="1:20" ht="13" x14ac:dyDescent="0.15">
      <c r="A1024" s="72" t="str">
        <f t="shared" si="15"/>
        <v>Ofsted Social Care Provider Webpage</v>
      </c>
      <c r="B1024" s="55">
        <v>2575788</v>
      </c>
      <c r="D1024" s="55" t="s">
        <v>373</v>
      </c>
      <c r="E1024" s="74">
        <v>43901</v>
      </c>
      <c r="F1024" s="55" t="s">
        <v>344</v>
      </c>
      <c r="G1024" s="55" t="s">
        <v>360</v>
      </c>
      <c r="H1024" s="55" t="s">
        <v>360</v>
      </c>
      <c r="I1024" s="55" t="s">
        <v>360</v>
      </c>
      <c r="J1024" s="55" t="s">
        <v>360</v>
      </c>
      <c r="K1024" s="55" t="s">
        <v>360</v>
      </c>
      <c r="L1024" s="55" t="s">
        <v>360</v>
      </c>
      <c r="M1024" s="55" t="s">
        <v>136</v>
      </c>
      <c r="N1024" s="55" t="s">
        <v>136</v>
      </c>
      <c r="O1024" s="55" t="s">
        <v>270</v>
      </c>
      <c r="P1024" s="55" t="s">
        <v>1752</v>
      </c>
      <c r="Q1024" s="55" t="s">
        <v>350</v>
      </c>
      <c r="R1024" s="55">
        <v>3</v>
      </c>
      <c r="S1024" s="55"/>
      <c r="T1024" s="55" t="s">
        <v>1236</v>
      </c>
    </row>
    <row r="1025" spans="1:20" ht="13" x14ac:dyDescent="0.15">
      <c r="A1025" s="72" t="str">
        <f t="shared" si="15"/>
        <v>Ofsted Social Care Provider Webpage</v>
      </c>
      <c r="B1025" s="55">
        <v>2575842</v>
      </c>
      <c r="D1025" s="55" t="s">
        <v>373</v>
      </c>
      <c r="E1025" s="74">
        <v>44014</v>
      </c>
      <c r="F1025" s="55" t="s">
        <v>344</v>
      </c>
      <c r="G1025" s="55" t="s">
        <v>360</v>
      </c>
      <c r="H1025" s="55" t="s">
        <v>360</v>
      </c>
      <c r="I1025" s="55" t="s">
        <v>360</v>
      </c>
      <c r="J1025" s="55" t="s">
        <v>360</v>
      </c>
      <c r="K1025" s="55" t="s">
        <v>360</v>
      </c>
      <c r="L1025" s="55" t="s">
        <v>360</v>
      </c>
      <c r="M1025" s="55" t="s">
        <v>144</v>
      </c>
      <c r="N1025" s="55" t="s">
        <v>144</v>
      </c>
      <c r="O1025" s="55" t="s">
        <v>290</v>
      </c>
      <c r="P1025" s="55" t="s">
        <v>1512</v>
      </c>
      <c r="Q1025" s="55" t="s">
        <v>350</v>
      </c>
      <c r="R1025" s="55">
        <v>4</v>
      </c>
      <c r="S1025" s="55"/>
      <c r="T1025" s="55" t="s">
        <v>1753</v>
      </c>
    </row>
    <row r="1026" spans="1:20" ht="13" x14ac:dyDescent="0.15">
      <c r="A1026" s="72" t="str">
        <f t="shared" si="15"/>
        <v>Ofsted Social Care Provider Webpage</v>
      </c>
      <c r="B1026" s="55">
        <v>2576030</v>
      </c>
      <c r="D1026" s="55" t="s">
        <v>389</v>
      </c>
      <c r="E1026" s="74">
        <v>44015</v>
      </c>
      <c r="F1026" s="55" t="s">
        <v>344</v>
      </c>
      <c r="G1026" s="55" t="s">
        <v>1308</v>
      </c>
      <c r="H1026" s="55" t="s">
        <v>1754</v>
      </c>
      <c r="I1026" s="55" t="s">
        <v>1755</v>
      </c>
      <c r="J1026" s="55" t="s">
        <v>1756</v>
      </c>
      <c r="K1026" s="55" t="s">
        <v>1402</v>
      </c>
      <c r="L1026" s="55" t="s">
        <v>1757</v>
      </c>
      <c r="M1026" s="55" t="s">
        <v>150</v>
      </c>
      <c r="N1026" s="55" t="s">
        <v>150</v>
      </c>
      <c r="O1026" s="55" t="s">
        <v>289</v>
      </c>
      <c r="P1026" s="55" t="s">
        <v>1756</v>
      </c>
      <c r="Q1026" s="55" t="s">
        <v>362</v>
      </c>
      <c r="R1026" s="55"/>
      <c r="S1026" s="55"/>
      <c r="T1026" s="55" t="s">
        <v>1313</v>
      </c>
    </row>
    <row r="1027" spans="1:20" ht="13" x14ac:dyDescent="0.15">
      <c r="A1027" s="72" t="str">
        <f t="shared" si="15"/>
        <v>Ofsted Social Care Provider Webpage</v>
      </c>
      <c r="B1027" s="55">
        <v>2576346</v>
      </c>
      <c r="D1027" s="55" t="s">
        <v>373</v>
      </c>
      <c r="E1027" s="74">
        <v>44095</v>
      </c>
      <c r="F1027" s="55" t="s">
        <v>344</v>
      </c>
      <c r="G1027" s="55" t="s">
        <v>360</v>
      </c>
      <c r="H1027" s="55" t="s">
        <v>360</v>
      </c>
      <c r="I1027" s="55" t="s">
        <v>360</v>
      </c>
      <c r="J1027" s="55" t="s">
        <v>360</v>
      </c>
      <c r="K1027" s="55" t="s">
        <v>360</v>
      </c>
      <c r="L1027" s="55" t="s">
        <v>360</v>
      </c>
      <c r="M1027" s="55" t="s">
        <v>129</v>
      </c>
      <c r="N1027" s="55" t="s">
        <v>129</v>
      </c>
      <c r="O1027" s="55" t="s">
        <v>1758</v>
      </c>
      <c r="P1027" s="55" t="s">
        <v>1759</v>
      </c>
      <c r="Q1027" s="55" t="s">
        <v>362</v>
      </c>
      <c r="R1027" s="55">
        <v>5</v>
      </c>
      <c r="S1027" s="55"/>
      <c r="T1027" s="55" t="s">
        <v>1313</v>
      </c>
    </row>
    <row r="1028" spans="1:20" ht="13" x14ac:dyDescent="0.15">
      <c r="A1028" s="72" t="str">
        <f t="shared" si="15"/>
        <v>Ofsted Social Care Provider Webpage</v>
      </c>
      <c r="B1028" s="55">
        <v>2576409</v>
      </c>
      <c r="D1028" s="55" t="s">
        <v>373</v>
      </c>
      <c r="E1028" s="74">
        <v>43964</v>
      </c>
      <c r="F1028" s="55" t="s">
        <v>344</v>
      </c>
      <c r="G1028" s="55" t="s">
        <v>360</v>
      </c>
      <c r="H1028" s="55" t="s">
        <v>360</v>
      </c>
      <c r="I1028" s="55" t="s">
        <v>360</v>
      </c>
      <c r="J1028" s="55" t="s">
        <v>360</v>
      </c>
      <c r="K1028" s="55" t="s">
        <v>360</v>
      </c>
      <c r="L1028" s="55" t="s">
        <v>360</v>
      </c>
      <c r="M1028" s="55" t="s">
        <v>142</v>
      </c>
      <c r="N1028" s="55" t="s">
        <v>142</v>
      </c>
      <c r="O1028" s="55" t="s">
        <v>262</v>
      </c>
      <c r="P1028" s="55" t="s">
        <v>618</v>
      </c>
      <c r="Q1028" s="55" t="s">
        <v>350</v>
      </c>
      <c r="R1028" s="55">
        <v>5</v>
      </c>
      <c r="S1028" s="55"/>
      <c r="T1028" s="55" t="s">
        <v>574</v>
      </c>
    </row>
    <row r="1029" spans="1:20" ht="13" x14ac:dyDescent="0.15">
      <c r="A1029" s="72" t="str">
        <f t="shared" ref="A1029:A1092" si="16">HYPERLINK(_xlfn.CONCAT("http://reports.ofsted.gov.uk/inspection-reports/find-inspection-report/provider/CARE/",B1029),"Ofsted Social Care Provider Webpage")</f>
        <v>Ofsted Social Care Provider Webpage</v>
      </c>
      <c r="B1029" s="55">
        <v>2576423</v>
      </c>
      <c r="D1029" s="55" t="s">
        <v>373</v>
      </c>
      <c r="E1029" s="74">
        <v>43948</v>
      </c>
      <c r="F1029" s="55" t="s">
        <v>344</v>
      </c>
      <c r="G1029" s="55" t="s">
        <v>360</v>
      </c>
      <c r="H1029" s="55" t="s">
        <v>360</v>
      </c>
      <c r="I1029" s="55" t="s">
        <v>360</v>
      </c>
      <c r="J1029" s="55" t="s">
        <v>360</v>
      </c>
      <c r="K1029" s="55" t="s">
        <v>360</v>
      </c>
      <c r="L1029" s="55" t="s">
        <v>360</v>
      </c>
      <c r="M1029" s="55" t="s">
        <v>172</v>
      </c>
      <c r="N1029" s="55" t="s">
        <v>172</v>
      </c>
      <c r="O1029" s="55" t="s">
        <v>228</v>
      </c>
      <c r="P1029" s="55" t="s">
        <v>991</v>
      </c>
      <c r="Q1029" s="55" t="s">
        <v>350</v>
      </c>
      <c r="R1029" s="55">
        <v>5</v>
      </c>
      <c r="S1029" s="55"/>
      <c r="T1029" s="55" t="s">
        <v>515</v>
      </c>
    </row>
    <row r="1030" spans="1:20" ht="13" x14ac:dyDescent="0.15">
      <c r="A1030" s="72" t="str">
        <f t="shared" si="16"/>
        <v>Ofsted Social Care Provider Webpage</v>
      </c>
      <c r="B1030" s="55">
        <v>2576457</v>
      </c>
      <c r="D1030" s="55" t="s">
        <v>389</v>
      </c>
      <c r="E1030" s="74">
        <v>44061</v>
      </c>
      <c r="F1030" s="55" t="s">
        <v>344</v>
      </c>
      <c r="G1030" s="55" t="s">
        <v>1760</v>
      </c>
      <c r="H1030" s="55" t="s">
        <v>1761</v>
      </c>
      <c r="I1030" s="55" t="s">
        <v>1762</v>
      </c>
      <c r="J1030" s="55" t="s">
        <v>1291</v>
      </c>
      <c r="K1030" s="55" t="s">
        <v>252</v>
      </c>
      <c r="L1030" s="55" t="s">
        <v>1763</v>
      </c>
      <c r="M1030" s="55" t="s">
        <v>142</v>
      </c>
      <c r="N1030" s="55" t="s">
        <v>142</v>
      </c>
      <c r="O1030" s="55" t="s">
        <v>272</v>
      </c>
      <c r="P1030" s="55" t="s">
        <v>1291</v>
      </c>
      <c r="Q1030" s="55" t="s">
        <v>350</v>
      </c>
      <c r="R1030" s="55"/>
      <c r="S1030" s="55"/>
      <c r="T1030" s="55" t="s">
        <v>1764</v>
      </c>
    </row>
    <row r="1031" spans="1:20" ht="13" x14ac:dyDescent="0.15">
      <c r="A1031" s="72" t="str">
        <f t="shared" si="16"/>
        <v>Ofsted Social Care Provider Webpage</v>
      </c>
      <c r="B1031" s="55">
        <v>2576569</v>
      </c>
      <c r="C1031" s="55">
        <v>130764</v>
      </c>
      <c r="D1031" s="55" t="s">
        <v>693</v>
      </c>
      <c r="E1031" s="74">
        <v>43839</v>
      </c>
      <c r="F1031" s="55" t="s">
        <v>344</v>
      </c>
      <c r="G1031" s="55" t="s">
        <v>1765</v>
      </c>
      <c r="H1031" s="55" t="s">
        <v>1766</v>
      </c>
      <c r="I1031" s="55" t="s">
        <v>1767</v>
      </c>
      <c r="J1031" s="55" t="s">
        <v>1768</v>
      </c>
      <c r="K1031" s="55" t="s">
        <v>224</v>
      </c>
      <c r="L1031" s="55" t="s">
        <v>1769</v>
      </c>
      <c r="M1031" s="55" t="s">
        <v>138</v>
      </c>
      <c r="N1031" s="55" t="s">
        <v>138</v>
      </c>
      <c r="O1031" s="55" t="s">
        <v>224</v>
      </c>
      <c r="P1031" s="55" t="s">
        <v>1294</v>
      </c>
      <c r="Q1031" s="55" t="s">
        <v>362</v>
      </c>
      <c r="R1031" s="55">
        <v>122</v>
      </c>
      <c r="S1031" s="55"/>
    </row>
    <row r="1032" spans="1:20" ht="13" x14ac:dyDescent="0.15">
      <c r="A1032" s="72" t="str">
        <f t="shared" si="16"/>
        <v>Ofsted Social Care Provider Webpage</v>
      </c>
      <c r="B1032" s="55">
        <v>2577014</v>
      </c>
      <c r="D1032" s="55" t="s">
        <v>373</v>
      </c>
      <c r="E1032" s="74">
        <v>44055</v>
      </c>
      <c r="F1032" s="55" t="s">
        <v>344</v>
      </c>
      <c r="G1032" s="55" t="s">
        <v>360</v>
      </c>
      <c r="H1032" s="55" t="s">
        <v>360</v>
      </c>
      <c r="I1032" s="55" t="s">
        <v>360</v>
      </c>
      <c r="J1032" s="55" t="s">
        <v>360</v>
      </c>
      <c r="K1032" s="55" t="s">
        <v>360</v>
      </c>
      <c r="L1032" s="55" t="s">
        <v>360</v>
      </c>
      <c r="M1032" s="55" t="s">
        <v>378</v>
      </c>
      <c r="N1032" s="55" t="s">
        <v>134</v>
      </c>
      <c r="O1032" s="55" t="s">
        <v>246</v>
      </c>
      <c r="P1032" s="55" t="s">
        <v>1104</v>
      </c>
      <c r="Q1032" s="55" t="s">
        <v>350</v>
      </c>
      <c r="R1032" s="55">
        <v>1</v>
      </c>
      <c r="S1032" s="55"/>
      <c r="T1032" s="55" t="s">
        <v>1751</v>
      </c>
    </row>
    <row r="1033" spans="1:20" ht="13" x14ac:dyDescent="0.15">
      <c r="A1033" s="72" t="str">
        <f t="shared" si="16"/>
        <v>Ofsted Social Care Provider Webpage</v>
      </c>
      <c r="B1033" s="55">
        <v>2577151</v>
      </c>
      <c r="D1033" s="55" t="s">
        <v>373</v>
      </c>
      <c r="E1033" s="74">
        <v>44230</v>
      </c>
      <c r="F1033" s="55" t="s">
        <v>344</v>
      </c>
      <c r="G1033" s="55" t="s">
        <v>360</v>
      </c>
      <c r="H1033" s="55" t="s">
        <v>360</v>
      </c>
      <c r="I1033" s="55" t="s">
        <v>360</v>
      </c>
      <c r="J1033" s="55" t="s">
        <v>360</v>
      </c>
      <c r="K1033" s="55" t="s">
        <v>360</v>
      </c>
      <c r="L1033" s="55" t="s">
        <v>360</v>
      </c>
      <c r="M1033" s="55" t="s">
        <v>142</v>
      </c>
      <c r="N1033" s="55" t="s">
        <v>142</v>
      </c>
      <c r="O1033" s="55" t="s">
        <v>262</v>
      </c>
      <c r="P1033" s="55" t="s">
        <v>949</v>
      </c>
      <c r="Q1033" s="55" t="s">
        <v>350</v>
      </c>
      <c r="R1033" s="55">
        <v>4</v>
      </c>
      <c r="S1033" s="55"/>
      <c r="T1033" s="55" t="s">
        <v>1770</v>
      </c>
    </row>
    <row r="1034" spans="1:20" ht="13" x14ac:dyDescent="0.15">
      <c r="A1034" s="72" t="str">
        <f t="shared" si="16"/>
        <v>Ofsted Social Care Provider Webpage</v>
      </c>
      <c r="B1034" s="55">
        <v>2577168</v>
      </c>
      <c r="D1034" s="55" t="s">
        <v>373</v>
      </c>
      <c r="E1034" s="74">
        <v>43955</v>
      </c>
      <c r="F1034" s="55" t="s">
        <v>344</v>
      </c>
      <c r="G1034" s="55" t="s">
        <v>360</v>
      </c>
      <c r="H1034" s="55" t="s">
        <v>360</v>
      </c>
      <c r="I1034" s="55" t="s">
        <v>360</v>
      </c>
      <c r="J1034" s="55" t="s">
        <v>360</v>
      </c>
      <c r="K1034" s="55" t="s">
        <v>360</v>
      </c>
      <c r="L1034" s="55" t="s">
        <v>360</v>
      </c>
      <c r="M1034" s="55" t="s">
        <v>144</v>
      </c>
      <c r="N1034" s="55" t="s">
        <v>144</v>
      </c>
      <c r="O1034" s="55" t="s">
        <v>209</v>
      </c>
      <c r="P1034" s="55" t="s">
        <v>544</v>
      </c>
      <c r="Q1034" s="55" t="s">
        <v>350</v>
      </c>
      <c r="R1034" s="55">
        <v>4</v>
      </c>
      <c r="S1034" s="55"/>
      <c r="T1034" s="55" t="s">
        <v>1589</v>
      </c>
    </row>
    <row r="1035" spans="1:20" ht="13" x14ac:dyDescent="0.15">
      <c r="A1035" s="72" t="str">
        <f t="shared" si="16"/>
        <v>Ofsted Social Care Provider Webpage</v>
      </c>
      <c r="B1035" s="55">
        <v>2577171</v>
      </c>
      <c r="D1035" s="55" t="s">
        <v>373</v>
      </c>
      <c r="E1035" s="74">
        <v>44014</v>
      </c>
      <c r="F1035" s="55" t="s">
        <v>344</v>
      </c>
      <c r="G1035" s="55" t="s">
        <v>360</v>
      </c>
      <c r="H1035" s="55" t="s">
        <v>360</v>
      </c>
      <c r="I1035" s="55" t="s">
        <v>360</v>
      </c>
      <c r="J1035" s="55" t="s">
        <v>360</v>
      </c>
      <c r="K1035" s="55" t="s">
        <v>360</v>
      </c>
      <c r="L1035" s="55" t="s">
        <v>360</v>
      </c>
      <c r="M1035" s="55" t="s">
        <v>378</v>
      </c>
      <c r="N1035" s="55" t="s">
        <v>134</v>
      </c>
      <c r="O1035" s="55" t="s">
        <v>151</v>
      </c>
      <c r="P1035" s="55" t="s">
        <v>884</v>
      </c>
      <c r="Q1035" s="55" t="s">
        <v>350</v>
      </c>
      <c r="R1035" s="55">
        <v>4</v>
      </c>
      <c r="S1035" s="55"/>
      <c r="T1035" s="55" t="s">
        <v>865</v>
      </c>
    </row>
    <row r="1036" spans="1:20" ht="13" x14ac:dyDescent="0.15">
      <c r="A1036" s="72" t="str">
        <f t="shared" si="16"/>
        <v>Ofsted Social Care Provider Webpage</v>
      </c>
      <c r="B1036" s="55">
        <v>2578355</v>
      </c>
      <c r="D1036" s="55" t="s">
        <v>373</v>
      </c>
      <c r="E1036" s="74">
        <v>44042</v>
      </c>
      <c r="F1036" s="55" t="s">
        <v>344</v>
      </c>
      <c r="G1036" s="55" t="s">
        <v>360</v>
      </c>
      <c r="H1036" s="55" t="s">
        <v>360</v>
      </c>
      <c r="I1036" s="55" t="s">
        <v>360</v>
      </c>
      <c r="J1036" s="55" t="s">
        <v>360</v>
      </c>
      <c r="K1036" s="55" t="s">
        <v>360</v>
      </c>
      <c r="L1036" s="55" t="s">
        <v>360</v>
      </c>
      <c r="M1036" s="55" t="s">
        <v>142</v>
      </c>
      <c r="N1036" s="55" t="s">
        <v>142</v>
      </c>
      <c r="O1036" s="55" t="s">
        <v>166</v>
      </c>
      <c r="P1036" s="55" t="s">
        <v>1476</v>
      </c>
      <c r="Q1036" s="55" t="s">
        <v>350</v>
      </c>
      <c r="R1036" s="55">
        <v>4</v>
      </c>
      <c r="S1036" s="55"/>
      <c r="T1036" s="55" t="s">
        <v>489</v>
      </c>
    </row>
    <row r="1037" spans="1:20" ht="13" x14ac:dyDescent="0.15">
      <c r="A1037" s="72" t="str">
        <f t="shared" si="16"/>
        <v>Ofsted Social Care Provider Webpage</v>
      </c>
      <c r="B1037" s="55">
        <v>2578675</v>
      </c>
      <c r="D1037" s="55" t="s">
        <v>373</v>
      </c>
      <c r="E1037" s="74">
        <v>44081</v>
      </c>
      <c r="F1037" s="55" t="s">
        <v>344</v>
      </c>
      <c r="G1037" s="55" t="s">
        <v>360</v>
      </c>
      <c r="H1037" s="55" t="s">
        <v>360</v>
      </c>
      <c r="I1037" s="55" t="s">
        <v>360</v>
      </c>
      <c r="J1037" s="55" t="s">
        <v>360</v>
      </c>
      <c r="K1037" s="55" t="s">
        <v>360</v>
      </c>
      <c r="L1037" s="55" t="s">
        <v>360</v>
      </c>
      <c r="M1037" s="55" t="s">
        <v>150</v>
      </c>
      <c r="N1037" s="55" t="s">
        <v>150</v>
      </c>
      <c r="O1037" s="55" t="s">
        <v>268</v>
      </c>
      <c r="P1037" s="55" t="s">
        <v>1771</v>
      </c>
      <c r="Q1037" s="55" t="s">
        <v>350</v>
      </c>
      <c r="R1037" s="55">
        <v>4</v>
      </c>
      <c r="S1037" s="55"/>
      <c r="T1037" s="55" t="s">
        <v>574</v>
      </c>
    </row>
    <row r="1038" spans="1:20" ht="13" x14ac:dyDescent="0.15">
      <c r="A1038" s="72" t="str">
        <f t="shared" si="16"/>
        <v>Ofsted Social Care Provider Webpage</v>
      </c>
      <c r="B1038" s="55">
        <v>2578677</v>
      </c>
      <c r="D1038" s="55" t="s">
        <v>373</v>
      </c>
      <c r="E1038" s="74">
        <v>43899</v>
      </c>
      <c r="F1038" s="55" t="s">
        <v>344</v>
      </c>
      <c r="G1038" s="55" t="s">
        <v>360</v>
      </c>
      <c r="H1038" s="55" t="s">
        <v>360</v>
      </c>
      <c r="I1038" s="55" t="s">
        <v>360</v>
      </c>
      <c r="J1038" s="55" t="s">
        <v>360</v>
      </c>
      <c r="K1038" s="55" t="s">
        <v>360</v>
      </c>
      <c r="L1038" s="55" t="s">
        <v>360</v>
      </c>
      <c r="M1038" s="55" t="s">
        <v>136</v>
      </c>
      <c r="N1038" s="55" t="s">
        <v>136</v>
      </c>
      <c r="O1038" s="55" t="s">
        <v>174</v>
      </c>
      <c r="P1038" s="55" t="s">
        <v>1010</v>
      </c>
      <c r="Q1038" s="55" t="s">
        <v>350</v>
      </c>
      <c r="R1038" s="55">
        <v>3</v>
      </c>
      <c r="S1038" s="55"/>
      <c r="T1038" s="55" t="s">
        <v>1772</v>
      </c>
    </row>
    <row r="1039" spans="1:20" ht="13" x14ac:dyDescent="0.15">
      <c r="A1039" s="72" t="str">
        <f t="shared" si="16"/>
        <v>Ofsted Social Care Provider Webpage</v>
      </c>
      <c r="B1039" s="55">
        <v>2579887</v>
      </c>
      <c r="D1039" s="55" t="s">
        <v>373</v>
      </c>
      <c r="E1039" s="74">
        <v>44000</v>
      </c>
      <c r="F1039" s="55" t="s">
        <v>344</v>
      </c>
      <c r="G1039" s="55" t="s">
        <v>360</v>
      </c>
      <c r="H1039" s="55" t="s">
        <v>360</v>
      </c>
      <c r="I1039" s="55" t="s">
        <v>360</v>
      </c>
      <c r="J1039" s="55" t="s">
        <v>360</v>
      </c>
      <c r="K1039" s="55" t="s">
        <v>360</v>
      </c>
      <c r="L1039" s="55" t="s">
        <v>360</v>
      </c>
      <c r="M1039" s="55" t="s">
        <v>136</v>
      </c>
      <c r="N1039" s="55" t="s">
        <v>136</v>
      </c>
      <c r="O1039" s="55" t="s">
        <v>176</v>
      </c>
      <c r="P1039" s="55" t="s">
        <v>436</v>
      </c>
      <c r="Q1039" s="55" t="s">
        <v>350</v>
      </c>
      <c r="R1039" s="55">
        <v>2</v>
      </c>
      <c r="S1039" s="55"/>
      <c r="T1039" s="55" t="s">
        <v>1773</v>
      </c>
    </row>
    <row r="1040" spans="1:20" ht="13" x14ac:dyDescent="0.15">
      <c r="A1040" s="72" t="str">
        <f t="shared" si="16"/>
        <v>Ofsted Social Care Provider Webpage</v>
      </c>
      <c r="B1040" s="55">
        <v>2580303</v>
      </c>
      <c r="D1040" s="55" t="s">
        <v>373</v>
      </c>
      <c r="E1040" s="74">
        <v>43945</v>
      </c>
      <c r="F1040" s="55" t="s">
        <v>344</v>
      </c>
      <c r="G1040" s="55" t="s">
        <v>360</v>
      </c>
      <c r="H1040" s="55" t="s">
        <v>360</v>
      </c>
      <c r="I1040" s="55" t="s">
        <v>360</v>
      </c>
      <c r="J1040" s="55" t="s">
        <v>360</v>
      </c>
      <c r="K1040" s="55" t="s">
        <v>360</v>
      </c>
      <c r="L1040" s="55" t="s">
        <v>360</v>
      </c>
      <c r="M1040" s="55" t="s">
        <v>142</v>
      </c>
      <c r="N1040" s="55" t="s">
        <v>142</v>
      </c>
      <c r="O1040" s="55" t="s">
        <v>252</v>
      </c>
      <c r="P1040" s="55" t="s">
        <v>503</v>
      </c>
      <c r="Q1040" s="55" t="s">
        <v>350</v>
      </c>
      <c r="R1040" s="55">
        <v>2</v>
      </c>
      <c r="S1040" s="55"/>
      <c r="T1040" s="55" t="s">
        <v>504</v>
      </c>
    </row>
    <row r="1041" spans="1:20" ht="13" x14ac:dyDescent="0.15">
      <c r="A1041" s="72" t="str">
        <f t="shared" si="16"/>
        <v>Ofsted Social Care Provider Webpage</v>
      </c>
      <c r="B1041" s="55">
        <v>2580626</v>
      </c>
      <c r="D1041" s="55" t="s">
        <v>373</v>
      </c>
      <c r="E1041" s="74">
        <v>43955</v>
      </c>
      <c r="F1041" s="55" t="s">
        <v>344</v>
      </c>
      <c r="G1041" s="55" t="s">
        <v>360</v>
      </c>
      <c r="H1041" s="55" t="s">
        <v>360</v>
      </c>
      <c r="I1041" s="55" t="s">
        <v>360</v>
      </c>
      <c r="J1041" s="55" t="s">
        <v>360</v>
      </c>
      <c r="K1041" s="55" t="s">
        <v>360</v>
      </c>
      <c r="L1041" s="55" t="s">
        <v>360</v>
      </c>
      <c r="M1041" s="55" t="s">
        <v>144</v>
      </c>
      <c r="N1041" s="55" t="s">
        <v>144</v>
      </c>
      <c r="O1041" s="55" t="s">
        <v>209</v>
      </c>
      <c r="P1041" s="55" t="s">
        <v>629</v>
      </c>
      <c r="Q1041" s="55" t="s">
        <v>350</v>
      </c>
      <c r="R1041" s="55">
        <v>3</v>
      </c>
      <c r="S1041" s="55"/>
      <c r="T1041" s="55" t="s">
        <v>493</v>
      </c>
    </row>
    <row r="1042" spans="1:20" ht="13" x14ac:dyDescent="0.15">
      <c r="A1042" s="72" t="str">
        <f t="shared" si="16"/>
        <v>Ofsted Social Care Provider Webpage</v>
      </c>
      <c r="B1042" s="55">
        <v>2580756</v>
      </c>
      <c r="D1042" s="55" t="s">
        <v>451</v>
      </c>
      <c r="E1042" s="74">
        <v>44098</v>
      </c>
      <c r="F1042" s="55" t="s">
        <v>344</v>
      </c>
      <c r="G1042" s="55" t="s">
        <v>1774</v>
      </c>
      <c r="H1042" s="55" t="s">
        <v>1775</v>
      </c>
      <c r="I1042" s="55" t="s">
        <v>1776</v>
      </c>
      <c r="J1042" s="55" t="s">
        <v>151</v>
      </c>
      <c r="K1042" s="55" t="s">
        <v>1240</v>
      </c>
      <c r="L1042" s="55" t="s">
        <v>1777</v>
      </c>
      <c r="M1042" s="55" t="s">
        <v>378</v>
      </c>
      <c r="N1042" s="55" t="s">
        <v>134</v>
      </c>
      <c r="O1042" s="55" t="s">
        <v>151</v>
      </c>
      <c r="P1042" s="55" t="s">
        <v>1778</v>
      </c>
      <c r="Q1042" s="55" t="s">
        <v>350</v>
      </c>
      <c r="R1042" s="55">
        <v>4</v>
      </c>
      <c r="S1042" s="55"/>
      <c r="T1042" s="55" t="s">
        <v>1779</v>
      </c>
    </row>
    <row r="1043" spans="1:20" ht="13" x14ac:dyDescent="0.15">
      <c r="A1043" s="72" t="str">
        <f t="shared" si="16"/>
        <v>Ofsted Social Care Provider Webpage</v>
      </c>
      <c r="B1043" s="55">
        <v>2580767</v>
      </c>
      <c r="D1043" s="55" t="s">
        <v>389</v>
      </c>
      <c r="E1043" s="74">
        <v>44235</v>
      </c>
      <c r="F1043" s="55" t="s">
        <v>344</v>
      </c>
      <c r="G1043" s="55" t="s">
        <v>1780</v>
      </c>
      <c r="H1043" s="55" t="s">
        <v>1781</v>
      </c>
      <c r="I1043" s="55" t="s">
        <v>1782</v>
      </c>
      <c r="J1043" s="55" t="s">
        <v>240</v>
      </c>
      <c r="K1043" s="55" t="s">
        <v>190</v>
      </c>
      <c r="L1043" s="55" t="s">
        <v>1783</v>
      </c>
      <c r="M1043" s="55" t="s">
        <v>150</v>
      </c>
      <c r="N1043" s="55" t="s">
        <v>150</v>
      </c>
      <c r="O1043" s="55" t="s">
        <v>240</v>
      </c>
      <c r="P1043" s="55" t="s">
        <v>1784</v>
      </c>
      <c r="Q1043" s="55" t="s">
        <v>350</v>
      </c>
      <c r="R1043" s="55"/>
      <c r="S1043" s="55"/>
      <c r="T1043" s="55" t="s">
        <v>1785</v>
      </c>
    </row>
    <row r="1044" spans="1:20" ht="13" x14ac:dyDescent="0.15">
      <c r="A1044" s="72" t="str">
        <f t="shared" si="16"/>
        <v>Ofsted Social Care Provider Webpage</v>
      </c>
      <c r="B1044" s="55">
        <v>2580890</v>
      </c>
      <c r="D1044" s="55" t="s">
        <v>373</v>
      </c>
      <c r="E1044" s="74">
        <v>43950</v>
      </c>
      <c r="F1044" s="55" t="s">
        <v>344</v>
      </c>
      <c r="G1044" s="55" t="s">
        <v>360</v>
      </c>
      <c r="H1044" s="55" t="s">
        <v>360</v>
      </c>
      <c r="I1044" s="55" t="s">
        <v>360</v>
      </c>
      <c r="J1044" s="55" t="s">
        <v>360</v>
      </c>
      <c r="K1044" s="55" t="s">
        <v>360</v>
      </c>
      <c r="L1044" s="55" t="s">
        <v>360</v>
      </c>
      <c r="M1044" s="55" t="s">
        <v>136</v>
      </c>
      <c r="N1044" s="55" t="s">
        <v>136</v>
      </c>
      <c r="O1044" s="55" t="s">
        <v>255</v>
      </c>
      <c r="P1044" s="55" t="s">
        <v>757</v>
      </c>
      <c r="Q1044" s="55" t="s">
        <v>350</v>
      </c>
      <c r="R1044" s="55">
        <v>2</v>
      </c>
      <c r="S1044" s="55"/>
      <c r="T1044" s="55" t="s">
        <v>793</v>
      </c>
    </row>
    <row r="1045" spans="1:20" ht="13" x14ac:dyDescent="0.15">
      <c r="A1045" s="72" t="str">
        <f t="shared" si="16"/>
        <v>Ofsted Social Care Provider Webpage</v>
      </c>
      <c r="B1045" s="55">
        <v>2580899</v>
      </c>
      <c r="D1045" s="55" t="s">
        <v>373</v>
      </c>
      <c r="E1045" s="74">
        <v>43956</v>
      </c>
      <c r="F1045" s="55" t="s">
        <v>344</v>
      </c>
      <c r="G1045" s="55" t="s">
        <v>360</v>
      </c>
      <c r="H1045" s="55" t="s">
        <v>360</v>
      </c>
      <c r="I1045" s="55" t="s">
        <v>360</v>
      </c>
      <c r="J1045" s="55" t="s">
        <v>360</v>
      </c>
      <c r="K1045" s="55" t="s">
        <v>360</v>
      </c>
      <c r="L1045" s="55" t="s">
        <v>360</v>
      </c>
      <c r="M1045" s="55" t="s">
        <v>378</v>
      </c>
      <c r="N1045" s="55" t="s">
        <v>170</v>
      </c>
      <c r="O1045" s="55" t="s">
        <v>243</v>
      </c>
      <c r="P1045" s="55" t="s">
        <v>1786</v>
      </c>
      <c r="Q1045" s="55" t="s">
        <v>350</v>
      </c>
      <c r="R1045" s="55">
        <v>5</v>
      </c>
      <c r="S1045" s="55"/>
      <c r="T1045" s="55" t="s">
        <v>1335</v>
      </c>
    </row>
    <row r="1046" spans="1:20" ht="13" x14ac:dyDescent="0.15">
      <c r="A1046" s="72" t="str">
        <f t="shared" si="16"/>
        <v>Ofsted Social Care Provider Webpage</v>
      </c>
      <c r="B1046" s="55">
        <v>2581237</v>
      </c>
      <c r="D1046" s="55" t="s">
        <v>373</v>
      </c>
      <c r="E1046" s="74">
        <v>43950</v>
      </c>
      <c r="F1046" s="55" t="s">
        <v>344</v>
      </c>
      <c r="G1046" s="55" t="s">
        <v>360</v>
      </c>
      <c r="H1046" s="55" t="s">
        <v>360</v>
      </c>
      <c r="I1046" s="55" t="s">
        <v>360</v>
      </c>
      <c r="J1046" s="55" t="s">
        <v>360</v>
      </c>
      <c r="K1046" s="55" t="s">
        <v>360</v>
      </c>
      <c r="L1046" s="55" t="s">
        <v>360</v>
      </c>
      <c r="M1046" s="55" t="s">
        <v>144</v>
      </c>
      <c r="N1046" s="55" t="s">
        <v>144</v>
      </c>
      <c r="O1046" s="55" t="s">
        <v>209</v>
      </c>
      <c r="P1046" s="55" t="s">
        <v>474</v>
      </c>
      <c r="Q1046" s="55" t="s">
        <v>350</v>
      </c>
      <c r="R1046" s="55">
        <v>8</v>
      </c>
      <c r="S1046" s="55"/>
      <c r="T1046" s="55" t="s">
        <v>377</v>
      </c>
    </row>
    <row r="1047" spans="1:20" ht="13" x14ac:dyDescent="0.15">
      <c r="A1047" s="72" t="str">
        <f t="shared" si="16"/>
        <v>Ofsted Social Care Provider Webpage</v>
      </c>
      <c r="B1047" s="55">
        <v>2581296</v>
      </c>
      <c r="D1047" s="55" t="s">
        <v>373</v>
      </c>
      <c r="E1047" s="74">
        <v>43894</v>
      </c>
      <c r="F1047" s="55" t="s">
        <v>344</v>
      </c>
      <c r="G1047" s="55" t="s">
        <v>360</v>
      </c>
      <c r="H1047" s="55" t="s">
        <v>360</v>
      </c>
      <c r="I1047" s="55" t="s">
        <v>360</v>
      </c>
      <c r="J1047" s="55" t="s">
        <v>360</v>
      </c>
      <c r="K1047" s="55" t="s">
        <v>360</v>
      </c>
      <c r="L1047" s="55" t="s">
        <v>360</v>
      </c>
      <c r="M1047" s="55" t="s">
        <v>144</v>
      </c>
      <c r="N1047" s="55" t="s">
        <v>144</v>
      </c>
      <c r="O1047" s="55" t="s">
        <v>245</v>
      </c>
      <c r="P1047" s="55" t="s">
        <v>245</v>
      </c>
      <c r="Q1047" s="55" t="s">
        <v>350</v>
      </c>
      <c r="R1047" s="55">
        <v>1</v>
      </c>
      <c r="S1047" s="55"/>
      <c r="T1047" s="55" t="s">
        <v>485</v>
      </c>
    </row>
    <row r="1048" spans="1:20" ht="13" x14ac:dyDescent="0.15">
      <c r="A1048" s="72" t="str">
        <f t="shared" si="16"/>
        <v>Ofsted Social Care Provider Webpage</v>
      </c>
      <c r="B1048" s="55">
        <v>2581761</v>
      </c>
      <c r="D1048" s="55" t="s">
        <v>389</v>
      </c>
      <c r="E1048" s="74">
        <v>44139</v>
      </c>
      <c r="F1048" s="55" t="s">
        <v>344</v>
      </c>
      <c r="G1048" s="55" t="s">
        <v>1787</v>
      </c>
      <c r="H1048" s="55" t="s">
        <v>1788</v>
      </c>
      <c r="I1048" s="55" t="s">
        <v>1789</v>
      </c>
      <c r="J1048" s="55" t="s">
        <v>182</v>
      </c>
      <c r="K1048" s="55" t="s">
        <v>129</v>
      </c>
      <c r="L1048" s="55" t="s">
        <v>1790</v>
      </c>
      <c r="M1048" s="55" t="s">
        <v>129</v>
      </c>
      <c r="N1048" s="55" t="s">
        <v>129</v>
      </c>
      <c r="O1048" s="55" t="s">
        <v>182</v>
      </c>
      <c r="P1048" s="55" t="s">
        <v>1660</v>
      </c>
      <c r="Q1048" s="55" t="s">
        <v>350</v>
      </c>
      <c r="R1048" s="55"/>
      <c r="S1048" s="55"/>
      <c r="T1048" s="55" t="s">
        <v>1787</v>
      </c>
    </row>
    <row r="1049" spans="1:20" ht="13" x14ac:dyDescent="0.15">
      <c r="A1049" s="72" t="str">
        <f t="shared" si="16"/>
        <v>Ofsted Social Care Provider Webpage</v>
      </c>
      <c r="B1049" s="55">
        <v>2581909</v>
      </c>
      <c r="D1049" s="55" t="s">
        <v>479</v>
      </c>
      <c r="E1049" s="74">
        <v>43930</v>
      </c>
      <c r="F1049" s="55" t="s">
        <v>344</v>
      </c>
      <c r="G1049" s="55" t="s">
        <v>360</v>
      </c>
      <c r="H1049" s="55" t="s">
        <v>360</v>
      </c>
      <c r="I1049" s="55" t="s">
        <v>360</v>
      </c>
      <c r="J1049" s="55" t="s">
        <v>360</v>
      </c>
      <c r="K1049" s="55" t="s">
        <v>360</v>
      </c>
      <c r="L1049" s="55" t="s">
        <v>360</v>
      </c>
      <c r="M1049" s="55" t="s">
        <v>172</v>
      </c>
      <c r="N1049" s="55" t="s">
        <v>172</v>
      </c>
      <c r="O1049" s="55" t="s">
        <v>171</v>
      </c>
      <c r="P1049" s="55" t="s">
        <v>895</v>
      </c>
      <c r="Q1049" s="55" t="s">
        <v>350</v>
      </c>
      <c r="R1049" s="55">
        <v>8</v>
      </c>
      <c r="S1049" s="55"/>
      <c r="T1049" s="55" t="s">
        <v>1791</v>
      </c>
    </row>
    <row r="1050" spans="1:20" ht="13" x14ac:dyDescent="0.15">
      <c r="A1050" s="72" t="str">
        <f t="shared" si="16"/>
        <v>Ofsted Social Care Provider Webpage</v>
      </c>
      <c r="B1050" s="55">
        <v>2582228</v>
      </c>
      <c r="C1050" s="55">
        <v>115475</v>
      </c>
      <c r="D1050" s="55" t="s">
        <v>413</v>
      </c>
      <c r="E1050" s="74">
        <v>43871</v>
      </c>
      <c r="F1050" s="55" t="s">
        <v>344</v>
      </c>
      <c r="G1050" s="55" t="s">
        <v>1792</v>
      </c>
      <c r="H1050" s="55" t="s">
        <v>1793</v>
      </c>
      <c r="I1050" s="55" t="s">
        <v>354</v>
      </c>
      <c r="J1050" s="55" t="s">
        <v>508</v>
      </c>
      <c r="K1050" s="55" t="s">
        <v>183</v>
      </c>
      <c r="L1050" s="55" t="s">
        <v>1794</v>
      </c>
      <c r="M1050" s="55" t="s">
        <v>138</v>
      </c>
      <c r="N1050" s="55" t="s">
        <v>138</v>
      </c>
      <c r="O1050" s="55" t="s">
        <v>183</v>
      </c>
      <c r="P1050" s="55" t="s">
        <v>616</v>
      </c>
      <c r="Q1050" s="55" t="s">
        <v>380</v>
      </c>
      <c r="R1050" s="55">
        <v>30</v>
      </c>
      <c r="S1050" s="55"/>
      <c r="T1050" s="55" t="s">
        <v>1795</v>
      </c>
    </row>
    <row r="1051" spans="1:20" ht="13" x14ac:dyDescent="0.15">
      <c r="A1051" s="72" t="str">
        <f t="shared" si="16"/>
        <v>Ofsted Social Care Provider Webpage</v>
      </c>
      <c r="B1051" s="55">
        <v>2582246</v>
      </c>
      <c r="D1051" s="55" t="s">
        <v>373</v>
      </c>
      <c r="E1051" s="74">
        <v>43894</v>
      </c>
      <c r="F1051" s="55" t="s">
        <v>344</v>
      </c>
      <c r="G1051" s="55" t="s">
        <v>360</v>
      </c>
      <c r="H1051" s="55" t="s">
        <v>360</v>
      </c>
      <c r="I1051" s="55" t="s">
        <v>360</v>
      </c>
      <c r="J1051" s="55" t="s">
        <v>360</v>
      </c>
      <c r="K1051" s="55" t="s">
        <v>360</v>
      </c>
      <c r="L1051" s="55" t="s">
        <v>360</v>
      </c>
      <c r="M1051" s="55" t="s">
        <v>144</v>
      </c>
      <c r="N1051" s="55" t="s">
        <v>144</v>
      </c>
      <c r="O1051" s="55" t="s">
        <v>209</v>
      </c>
      <c r="P1051" s="55" t="s">
        <v>650</v>
      </c>
      <c r="Q1051" s="55" t="s">
        <v>350</v>
      </c>
      <c r="R1051" s="55">
        <v>2</v>
      </c>
      <c r="S1051" s="55"/>
      <c r="T1051" s="55" t="s">
        <v>485</v>
      </c>
    </row>
    <row r="1052" spans="1:20" ht="13" x14ac:dyDescent="0.15">
      <c r="A1052" s="72" t="str">
        <f t="shared" si="16"/>
        <v>Ofsted Social Care Provider Webpage</v>
      </c>
      <c r="B1052" s="55">
        <v>2582247</v>
      </c>
      <c r="D1052" s="55" t="s">
        <v>373</v>
      </c>
      <c r="E1052" s="74">
        <v>43894</v>
      </c>
      <c r="F1052" s="55" t="s">
        <v>344</v>
      </c>
      <c r="G1052" s="55" t="s">
        <v>360</v>
      </c>
      <c r="H1052" s="55" t="s">
        <v>360</v>
      </c>
      <c r="I1052" s="55" t="s">
        <v>360</v>
      </c>
      <c r="J1052" s="55" t="s">
        <v>360</v>
      </c>
      <c r="K1052" s="55" t="s">
        <v>360</v>
      </c>
      <c r="L1052" s="55" t="s">
        <v>360</v>
      </c>
      <c r="M1052" s="55" t="s">
        <v>144</v>
      </c>
      <c r="N1052" s="55" t="s">
        <v>144</v>
      </c>
      <c r="O1052" s="55" t="s">
        <v>209</v>
      </c>
      <c r="P1052" s="55" t="s">
        <v>629</v>
      </c>
      <c r="Q1052" s="55" t="s">
        <v>350</v>
      </c>
      <c r="R1052" s="55">
        <v>2</v>
      </c>
      <c r="S1052" s="55"/>
      <c r="T1052" s="55" t="s">
        <v>485</v>
      </c>
    </row>
    <row r="1053" spans="1:20" ht="13" x14ac:dyDescent="0.15">
      <c r="A1053" s="72" t="str">
        <f t="shared" si="16"/>
        <v>Ofsted Social Care Provider Webpage</v>
      </c>
      <c r="B1053" s="55">
        <v>2582248</v>
      </c>
      <c r="D1053" s="55" t="s">
        <v>373</v>
      </c>
      <c r="E1053" s="74">
        <v>43894</v>
      </c>
      <c r="F1053" s="55" t="s">
        <v>344</v>
      </c>
      <c r="G1053" s="55" t="s">
        <v>360</v>
      </c>
      <c r="H1053" s="55" t="s">
        <v>360</v>
      </c>
      <c r="I1053" s="55" t="s">
        <v>360</v>
      </c>
      <c r="J1053" s="55" t="s">
        <v>360</v>
      </c>
      <c r="K1053" s="55" t="s">
        <v>360</v>
      </c>
      <c r="L1053" s="55" t="s">
        <v>360</v>
      </c>
      <c r="M1053" s="55" t="s">
        <v>144</v>
      </c>
      <c r="N1053" s="55" t="s">
        <v>144</v>
      </c>
      <c r="O1053" s="55" t="s">
        <v>157</v>
      </c>
      <c r="P1053" s="55" t="s">
        <v>1092</v>
      </c>
      <c r="Q1053" s="55" t="s">
        <v>350</v>
      </c>
      <c r="R1053" s="55">
        <v>2</v>
      </c>
      <c r="S1053" s="55"/>
      <c r="T1053" s="55" t="s">
        <v>485</v>
      </c>
    </row>
    <row r="1054" spans="1:20" ht="13" x14ac:dyDescent="0.15">
      <c r="A1054" s="72" t="str">
        <f t="shared" si="16"/>
        <v>Ofsted Social Care Provider Webpage</v>
      </c>
      <c r="B1054" s="55">
        <v>2582250</v>
      </c>
      <c r="D1054" s="55" t="s">
        <v>373</v>
      </c>
      <c r="E1054" s="74">
        <v>43894</v>
      </c>
      <c r="F1054" s="55" t="s">
        <v>344</v>
      </c>
      <c r="G1054" s="55" t="s">
        <v>360</v>
      </c>
      <c r="H1054" s="55" t="s">
        <v>360</v>
      </c>
      <c r="I1054" s="55" t="s">
        <v>360</v>
      </c>
      <c r="J1054" s="55" t="s">
        <v>360</v>
      </c>
      <c r="K1054" s="55" t="s">
        <v>360</v>
      </c>
      <c r="L1054" s="55" t="s">
        <v>360</v>
      </c>
      <c r="M1054" s="55" t="s">
        <v>144</v>
      </c>
      <c r="N1054" s="55" t="s">
        <v>144</v>
      </c>
      <c r="O1054" s="55" t="s">
        <v>245</v>
      </c>
      <c r="P1054" s="55" t="s">
        <v>1796</v>
      </c>
      <c r="Q1054" s="55" t="s">
        <v>350</v>
      </c>
      <c r="R1054" s="55">
        <v>2</v>
      </c>
      <c r="S1054" s="55"/>
      <c r="T1054" s="55" t="s">
        <v>485</v>
      </c>
    </row>
    <row r="1055" spans="1:20" ht="13" x14ac:dyDescent="0.15">
      <c r="A1055" s="72" t="str">
        <f t="shared" si="16"/>
        <v>Ofsted Social Care Provider Webpage</v>
      </c>
      <c r="B1055" s="55">
        <v>2582337</v>
      </c>
      <c r="D1055" s="55" t="s">
        <v>373</v>
      </c>
      <c r="E1055" s="74">
        <v>43894</v>
      </c>
      <c r="F1055" s="55" t="s">
        <v>344</v>
      </c>
      <c r="G1055" s="55" t="s">
        <v>360</v>
      </c>
      <c r="H1055" s="55" t="s">
        <v>360</v>
      </c>
      <c r="I1055" s="55" t="s">
        <v>360</v>
      </c>
      <c r="J1055" s="55" t="s">
        <v>360</v>
      </c>
      <c r="K1055" s="55" t="s">
        <v>360</v>
      </c>
      <c r="L1055" s="55" t="s">
        <v>360</v>
      </c>
      <c r="M1055" s="55" t="s">
        <v>144</v>
      </c>
      <c r="N1055" s="55" t="s">
        <v>144</v>
      </c>
      <c r="O1055" s="55" t="s">
        <v>157</v>
      </c>
      <c r="P1055" s="55" t="s">
        <v>1092</v>
      </c>
      <c r="Q1055" s="55" t="s">
        <v>350</v>
      </c>
      <c r="R1055" s="55">
        <v>2</v>
      </c>
      <c r="S1055" s="55"/>
      <c r="T1055" s="55" t="s">
        <v>485</v>
      </c>
    </row>
    <row r="1056" spans="1:20" ht="13" x14ac:dyDescent="0.15">
      <c r="A1056" s="72" t="str">
        <f t="shared" si="16"/>
        <v>Ofsted Social Care Provider Webpage</v>
      </c>
      <c r="B1056" s="55">
        <v>2583028</v>
      </c>
      <c r="D1056" s="55" t="s">
        <v>373</v>
      </c>
      <c r="E1056" s="74">
        <v>43930</v>
      </c>
      <c r="F1056" s="55" t="s">
        <v>344</v>
      </c>
      <c r="G1056" s="55" t="s">
        <v>360</v>
      </c>
      <c r="H1056" s="55" t="s">
        <v>360</v>
      </c>
      <c r="I1056" s="55" t="s">
        <v>360</v>
      </c>
      <c r="J1056" s="55" t="s">
        <v>360</v>
      </c>
      <c r="K1056" s="55" t="s">
        <v>360</v>
      </c>
      <c r="L1056" s="55" t="s">
        <v>360</v>
      </c>
      <c r="M1056" s="55" t="s">
        <v>136</v>
      </c>
      <c r="N1056" s="55" t="s">
        <v>136</v>
      </c>
      <c r="O1056" s="55" t="s">
        <v>174</v>
      </c>
      <c r="P1056" s="55" t="s">
        <v>572</v>
      </c>
      <c r="Q1056" s="55" t="s">
        <v>362</v>
      </c>
      <c r="R1056" s="55">
        <v>4</v>
      </c>
      <c r="S1056" s="55"/>
      <c r="T1056" s="55" t="s">
        <v>1797</v>
      </c>
    </row>
    <row r="1057" spans="1:20" ht="13" x14ac:dyDescent="0.15">
      <c r="A1057" s="72" t="str">
        <f t="shared" si="16"/>
        <v>Ofsted Social Care Provider Webpage</v>
      </c>
      <c r="B1057" s="55">
        <v>2583142</v>
      </c>
      <c r="D1057" s="55" t="s">
        <v>373</v>
      </c>
      <c r="E1057" s="74">
        <v>43999</v>
      </c>
      <c r="F1057" s="55" t="s">
        <v>344</v>
      </c>
      <c r="G1057" s="55" t="s">
        <v>360</v>
      </c>
      <c r="H1057" s="55" t="s">
        <v>360</v>
      </c>
      <c r="I1057" s="55" t="s">
        <v>360</v>
      </c>
      <c r="J1057" s="55" t="s">
        <v>360</v>
      </c>
      <c r="K1057" s="55" t="s">
        <v>360</v>
      </c>
      <c r="L1057" s="55" t="s">
        <v>360</v>
      </c>
      <c r="M1057" s="55" t="s">
        <v>138</v>
      </c>
      <c r="N1057" s="55" t="s">
        <v>138</v>
      </c>
      <c r="O1057" s="55" t="s">
        <v>137</v>
      </c>
      <c r="P1057" s="55" t="s">
        <v>137</v>
      </c>
      <c r="Q1057" s="55" t="s">
        <v>350</v>
      </c>
      <c r="R1057" s="55">
        <v>3</v>
      </c>
      <c r="S1057" s="55"/>
      <c r="T1057" s="55" t="s">
        <v>1361</v>
      </c>
    </row>
    <row r="1058" spans="1:20" ht="13" x14ac:dyDescent="0.15">
      <c r="A1058" s="72" t="str">
        <f t="shared" si="16"/>
        <v>Ofsted Social Care Provider Webpage</v>
      </c>
      <c r="B1058" s="55">
        <v>2583468</v>
      </c>
      <c r="D1058" s="55" t="s">
        <v>373</v>
      </c>
      <c r="E1058" s="74">
        <v>43930</v>
      </c>
      <c r="F1058" s="55" t="s">
        <v>344</v>
      </c>
      <c r="G1058" s="55" t="s">
        <v>360</v>
      </c>
      <c r="H1058" s="55" t="s">
        <v>360</v>
      </c>
      <c r="I1058" s="55" t="s">
        <v>360</v>
      </c>
      <c r="J1058" s="55" t="s">
        <v>360</v>
      </c>
      <c r="K1058" s="55" t="s">
        <v>360</v>
      </c>
      <c r="L1058" s="55" t="s">
        <v>360</v>
      </c>
      <c r="M1058" s="55" t="s">
        <v>172</v>
      </c>
      <c r="N1058" s="55" t="s">
        <v>172</v>
      </c>
      <c r="O1058" s="55" t="s">
        <v>212</v>
      </c>
      <c r="P1058" s="55" t="s">
        <v>714</v>
      </c>
      <c r="Q1058" s="55" t="s">
        <v>350</v>
      </c>
      <c r="R1058" s="55">
        <v>4</v>
      </c>
      <c r="S1058" s="55"/>
      <c r="T1058" s="55" t="s">
        <v>896</v>
      </c>
    </row>
    <row r="1059" spans="1:20" ht="13" x14ac:dyDescent="0.15">
      <c r="A1059" s="72" t="str">
        <f t="shared" si="16"/>
        <v>Ofsted Social Care Provider Webpage</v>
      </c>
      <c r="B1059" s="55">
        <v>2583518</v>
      </c>
      <c r="D1059" s="55" t="s">
        <v>373</v>
      </c>
      <c r="E1059" s="74">
        <v>43976</v>
      </c>
      <c r="F1059" s="55" t="s">
        <v>344</v>
      </c>
      <c r="G1059" s="55" t="s">
        <v>360</v>
      </c>
      <c r="H1059" s="55" t="s">
        <v>360</v>
      </c>
      <c r="I1059" s="55" t="s">
        <v>360</v>
      </c>
      <c r="J1059" s="55" t="s">
        <v>360</v>
      </c>
      <c r="K1059" s="55" t="s">
        <v>360</v>
      </c>
      <c r="L1059" s="55" t="s">
        <v>360</v>
      </c>
      <c r="M1059" s="55" t="s">
        <v>144</v>
      </c>
      <c r="N1059" s="55" t="s">
        <v>144</v>
      </c>
      <c r="O1059" s="55" t="s">
        <v>209</v>
      </c>
      <c r="P1059" s="55" t="s">
        <v>650</v>
      </c>
      <c r="Q1059" s="55" t="s">
        <v>350</v>
      </c>
      <c r="R1059" s="55">
        <v>2</v>
      </c>
      <c r="S1059" s="55"/>
      <c r="T1059" s="55" t="s">
        <v>1798</v>
      </c>
    </row>
    <row r="1060" spans="1:20" ht="13" x14ac:dyDescent="0.15">
      <c r="A1060" s="72" t="str">
        <f t="shared" si="16"/>
        <v>Ofsted Social Care Provider Webpage</v>
      </c>
      <c r="B1060" s="55">
        <v>2584899</v>
      </c>
      <c r="D1060" s="55" t="s">
        <v>373</v>
      </c>
      <c r="E1060" s="74">
        <v>44000</v>
      </c>
      <c r="F1060" s="55" t="s">
        <v>344</v>
      </c>
      <c r="G1060" s="55" t="s">
        <v>360</v>
      </c>
      <c r="H1060" s="55" t="s">
        <v>360</v>
      </c>
      <c r="I1060" s="55" t="s">
        <v>360</v>
      </c>
      <c r="J1060" s="55" t="s">
        <v>360</v>
      </c>
      <c r="K1060" s="55" t="s">
        <v>360</v>
      </c>
      <c r="L1060" s="55" t="s">
        <v>360</v>
      </c>
      <c r="M1060" s="55" t="s">
        <v>378</v>
      </c>
      <c r="N1060" s="55" t="s">
        <v>170</v>
      </c>
      <c r="O1060" s="55" t="s">
        <v>243</v>
      </c>
      <c r="P1060" s="55" t="s">
        <v>1786</v>
      </c>
      <c r="Q1060" s="55" t="s">
        <v>350</v>
      </c>
      <c r="R1060" s="55">
        <v>4</v>
      </c>
      <c r="S1060" s="55"/>
      <c r="T1060" s="55" t="s">
        <v>1262</v>
      </c>
    </row>
    <row r="1061" spans="1:20" ht="13" x14ac:dyDescent="0.15">
      <c r="A1061" s="72" t="str">
        <f t="shared" si="16"/>
        <v>Ofsted Social Care Provider Webpage</v>
      </c>
      <c r="B1061" s="55">
        <v>2584908</v>
      </c>
      <c r="D1061" s="55" t="s">
        <v>373</v>
      </c>
      <c r="E1061" s="74">
        <v>44111</v>
      </c>
      <c r="F1061" s="55" t="s">
        <v>344</v>
      </c>
      <c r="G1061" s="55" t="s">
        <v>360</v>
      </c>
      <c r="H1061" s="55" t="s">
        <v>360</v>
      </c>
      <c r="I1061" s="55" t="s">
        <v>360</v>
      </c>
      <c r="J1061" s="55" t="s">
        <v>360</v>
      </c>
      <c r="K1061" s="55" t="s">
        <v>360</v>
      </c>
      <c r="L1061" s="55" t="s">
        <v>360</v>
      </c>
      <c r="M1061" s="55" t="s">
        <v>142</v>
      </c>
      <c r="N1061" s="55" t="s">
        <v>142</v>
      </c>
      <c r="O1061" s="55" t="s">
        <v>252</v>
      </c>
      <c r="P1061" s="55" t="s">
        <v>388</v>
      </c>
      <c r="Q1061" s="55" t="s">
        <v>380</v>
      </c>
      <c r="R1061" s="55">
        <v>2</v>
      </c>
      <c r="S1061" s="55"/>
      <c r="T1061" s="55" t="s">
        <v>1542</v>
      </c>
    </row>
    <row r="1062" spans="1:20" ht="13" x14ac:dyDescent="0.15">
      <c r="A1062" s="72" t="str">
        <f t="shared" si="16"/>
        <v>Ofsted Social Care Provider Webpage</v>
      </c>
      <c r="B1062" s="55">
        <v>2585102</v>
      </c>
      <c r="D1062" s="55" t="s">
        <v>373</v>
      </c>
      <c r="E1062" s="74">
        <v>44061</v>
      </c>
      <c r="F1062" s="55" t="s">
        <v>344</v>
      </c>
      <c r="G1062" s="55" t="s">
        <v>360</v>
      </c>
      <c r="H1062" s="55" t="s">
        <v>360</v>
      </c>
      <c r="I1062" s="55" t="s">
        <v>360</v>
      </c>
      <c r="J1062" s="55" t="s">
        <v>360</v>
      </c>
      <c r="K1062" s="55" t="s">
        <v>360</v>
      </c>
      <c r="L1062" s="55" t="s">
        <v>360</v>
      </c>
      <c r="M1062" s="55" t="s">
        <v>150</v>
      </c>
      <c r="N1062" s="55" t="s">
        <v>150</v>
      </c>
      <c r="O1062" s="55" t="s">
        <v>156</v>
      </c>
      <c r="P1062" s="55" t="s">
        <v>1217</v>
      </c>
      <c r="Q1062" s="55" t="s">
        <v>350</v>
      </c>
      <c r="R1062" s="55">
        <v>3</v>
      </c>
      <c r="S1062" s="55"/>
      <c r="T1062" s="55" t="s">
        <v>1799</v>
      </c>
    </row>
    <row r="1063" spans="1:20" ht="13" x14ac:dyDescent="0.15">
      <c r="A1063" s="72" t="str">
        <f t="shared" si="16"/>
        <v>Ofsted Social Care Provider Webpage</v>
      </c>
      <c r="B1063" s="55">
        <v>2585129</v>
      </c>
      <c r="D1063" s="55" t="s">
        <v>373</v>
      </c>
      <c r="E1063" s="74">
        <v>43957</v>
      </c>
      <c r="F1063" s="55" t="s">
        <v>344</v>
      </c>
      <c r="G1063" s="55" t="s">
        <v>360</v>
      </c>
      <c r="H1063" s="55" t="s">
        <v>360</v>
      </c>
      <c r="I1063" s="55" t="s">
        <v>360</v>
      </c>
      <c r="J1063" s="55" t="s">
        <v>360</v>
      </c>
      <c r="K1063" s="55" t="s">
        <v>360</v>
      </c>
      <c r="L1063" s="55" t="s">
        <v>360</v>
      </c>
      <c r="M1063" s="55" t="s">
        <v>150</v>
      </c>
      <c r="N1063" s="55" t="s">
        <v>150</v>
      </c>
      <c r="O1063" s="55" t="s">
        <v>190</v>
      </c>
      <c r="P1063" s="55" t="s">
        <v>749</v>
      </c>
      <c r="Q1063" s="55" t="s">
        <v>350</v>
      </c>
      <c r="R1063" s="55">
        <v>3</v>
      </c>
      <c r="S1063" s="55"/>
      <c r="T1063" s="55" t="s">
        <v>450</v>
      </c>
    </row>
    <row r="1064" spans="1:20" ht="13" x14ac:dyDescent="0.15">
      <c r="A1064" s="72" t="str">
        <f t="shared" si="16"/>
        <v>Ofsted Social Care Provider Webpage</v>
      </c>
      <c r="B1064" s="55">
        <v>2585139</v>
      </c>
      <c r="D1064" s="55" t="s">
        <v>373</v>
      </c>
      <c r="E1064" s="74">
        <v>44004</v>
      </c>
      <c r="F1064" s="55" t="s">
        <v>344</v>
      </c>
      <c r="G1064" s="55" t="s">
        <v>360</v>
      </c>
      <c r="H1064" s="55" t="s">
        <v>360</v>
      </c>
      <c r="I1064" s="55" t="s">
        <v>360</v>
      </c>
      <c r="J1064" s="55" t="s">
        <v>360</v>
      </c>
      <c r="K1064" s="55" t="s">
        <v>360</v>
      </c>
      <c r="L1064" s="55" t="s">
        <v>360</v>
      </c>
      <c r="M1064" s="55" t="s">
        <v>144</v>
      </c>
      <c r="N1064" s="55" t="s">
        <v>144</v>
      </c>
      <c r="O1064" s="55" t="s">
        <v>215</v>
      </c>
      <c r="P1064" s="55" t="s">
        <v>655</v>
      </c>
      <c r="Q1064" s="55" t="s">
        <v>350</v>
      </c>
      <c r="R1064" s="55">
        <v>2</v>
      </c>
      <c r="S1064" s="55"/>
      <c r="T1064" s="55" t="s">
        <v>1560</v>
      </c>
    </row>
    <row r="1065" spans="1:20" ht="13" x14ac:dyDescent="0.15">
      <c r="A1065" s="72" t="str">
        <f t="shared" si="16"/>
        <v>Ofsted Social Care Provider Webpage</v>
      </c>
      <c r="B1065" s="55">
        <v>2585362</v>
      </c>
      <c r="D1065" s="55" t="s">
        <v>451</v>
      </c>
      <c r="E1065" s="74">
        <v>43943</v>
      </c>
      <c r="F1065" s="55" t="s">
        <v>344</v>
      </c>
      <c r="G1065" s="55" t="s">
        <v>1800</v>
      </c>
      <c r="H1065" s="55" t="s">
        <v>1801</v>
      </c>
      <c r="I1065" s="55" t="s">
        <v>1802</v>
      </c>
      <c r="J1065" s="55" t="s">
        <v>133</v>
      </c>
      <c r="K1065" s="55" t="s">
        <v>683</v>
      </c>
      <c r="L1065" s="55" t="s">
        <v>1803</v>
      </c>
      <c r="M1065" s="55" t="s">
        <v>378</v>
      </c>
      <c r="N1065" s="55" t="s">
        <v>134</v>
      </c>
      <c r="O1065" s="55" t="s">
        <v>133</v>
      </c>
      <c r="P1065" s="55" t="s">
        <v>1804</v>
      </c>
      <c r="Q1065" s="55" t="s">
        <v>350</v>
      </c>
      <c r="R1065" s="55">
        <v>13</v>
      </c>
      <c r="S1065" s="55"/>
      <c r="T1065" s="55" t="s">
        <v>1259</v>
      </c>
    </row>
    <row r="1066" spans="1:20" ht="13" x14ac:dyDescent="0.15">
      <c r="A1066" s="72" t="str">
        <f t="shared" si="16"/>
        <v>Ofsted Social Care Provider Webpage</v>
      </c>
      <c r="B1066" s="55">
        <v>2585407</v>
      </c>
      <c r="D1066" s="55" t="s">
        <v>373</v>
      </c>
      <c r="E1066" s="74">
        <v>44021</v>
      </c>
      <c r="F1066" s="55" t="s">
        <v>344</v>
      </c>
      <c r="G1066" s="55" t="s">
        <v>360</v>
      </c>
      <c r="H1066" s="55" t="s">
        <v>360</v>
      </c>
      <c r="I1066" s="55" t="s">
        <v>360</v>
      </c>
      <c r="J1066" s="55" t="s">
        <v>360</v>
      </c>
      <c r="K1066" s="55" t="s">
        <v>360</v>
      </c>
      <c r="L1066" s="55" t="s">
        <v>360</v>
      </c>
      <c r="M1066" s="55" t="s">
        <v>142</v>
      </c>
      <c r="N1066" s="55" t="s">
        <v>142</v>
      </c>
      <c r="O1066" s="55" t="s">
        <v>252</v>
      </c>
      <c r="P1066" s="55" t="s">
        <v>386</v>
      </c>
      <c r="Q1066" s="55" t="s">
        <v>350</v>
      </c>
      <c r="R1066" s="55">
        <v>4</v>
      </c>
      <c r="S1066" s="55"/>
      <c r="T1066" s="55" t="s">
        <v>1805</v>
      </c>
    </row>
    <row r="1067" spans="1:20" ht="13" x14ac:dyDescent="0.15">
      <c r="A1067" s="72" t="str">
        <f t="shared" si="16"/>
        <v>Ofsted Social Care Provider Webpage</v>
      </c>
      <c r="B1067" s="55">
        <v>2585541</v>
      </c>
      <c r="D1067" s="55" t="s">
        <v>373</v>
      </c>
      <c r="E1067" s="74">
        <v>43999</v>
      </c>
      <c r="F1067" s="55" t="s">
        <v>728</v>
      </c>
      <c r="G1067" s="55" t="s">
        <v>360</v>
      </c>
      <c r="H1067" s="55" t="s">
        <v>360</v>
      </c>
      <c r="I1067" s="55" t="s">
        <v>360</v>
      </c>
      <c r="J1067" s="55" t="s">
        <v>360</v>
      </c>
      <c r="K1067" s="55" t="s">
        <v>360</v>
      </c>
      <c r="L1067" s="55" t="s">
        <v>360</v>
      </c>
      <c r="M1067" s="55" t="s">
        <v>144</v>
      </c>
      <c r="N1067" s="55" t="s">
        <v>144</v>
      </c>
      <c r="O1067" s="55" t="s">
        <v>207</v>
      </c>
      <c r="P1067" s="55" t="s">
        <v>207</v>
      </c>
      <c r="Q1067" s="55" t="s">
        <v>350</v>
      </c>
      <c r="R1067" s="55">
        <v>2</v>
      </c>
      <c r="S1067" s="55"/>
      <c r="T1067" s="55" t="s">
        <v>729</v>
      </c>
    </row>
    <row r="1068" spans="1:20" ht="13" x14ac:dyDescent="0.15">
      <c r="A1068" s="72" t="str">
        <f t="shared" si="16"/>
        <v>Ofsted Social Care Provider Webpage</v>
      </c>
      <c r="B1068" s="55">
        <v>2585564</v>
      </c>
      <c r="D1068" s="55" t="s">
        <v>443</v>
      </c>
      <c r="E1068" s="74">
        <v>44092</v>
      </c>
      <c r="F1068" s="55" t="s">
        <v>344</v>
      </c>
      <c r="G1068" s="55" t="s">
        <v>1806</v>
      </c>
      <c r="H1068" s="55" t="s">
        <v>1781</v>
      </c>
      <c r="I1068" s="55" t="s">
        <v>1807</v>
      </c>
      <c r="J1068" s="55" t="s">
        <v>1808</v>
      </c>
      <c r="K1068" s="55" t="s">
        <v>285</v>
      </c>
      <c r="L1068" s="55" t="s">
        <v>1809</v>
      </c>
      <c r="M1068" s="55" t="s">
        <v>150</v>
      </c>
      <c r="N1068" s="55" t="s">
        <v>150</v>
      </c>
      <c r="O1068" s="55" t="s">
        <v>285</v>
      </c>
      <c r="P1068" s="55" t="s">
        <v>1810</v>
      </c>
      <c r="Q1068" s="55" t="s">
        <v>350</v>
      </c>
      <c r="R1068" s="55"/>
      <c r="S1068" s="55"/>
      <c r="T1068" s="55" t="s">
        <v>1811</v>
      </c>
    </row>
    <row r="1069" spans="1:20" ht="13" x14ac:dyDescent="0.15">
      <c r="A1069" s="72" t="str">
        <f t="shared" si="16"/>
        <v>Ofsted Social Care Provider Webpage</v>
      </c>
      <c r="B1069" s="55">
        <v>2585926</v>
      </c>
      <c r="D1069" s="55" t="s">
        <v>373</v>
      </c>
      <c r="E1069" s="74">
        <v>43977</v>
      </c>
      <c r="F1069" s="55" t="s">
        <v>344</v>
      </c>
      <c r="G1069" s="55" t="s">
        <v>360</v>
      </c>
      <c r="H1069" s="55" t="s">
        <v>360</v>
      </c>
      <c r="I1069" s="55" t="s">
        <v>360</v>
      </c>
      <c r="J1069" s="55" t="s">
        <v>360</v>
      </c>
      <c r="K1069" s="55" t="s">
        <v>360</v>
      </c>
      <c r="L1069" s="55" t="s">
        <v>360</v>
      </c>
      <c r="M1069" s="55" t="s">
        <v>378</v>
      </c>
      <c r="N1069" s="55" t="s">
        <v>170</v>
      </c>
      <c r="O1069" s="55" t="s">
        <v>267</v>
      </c>
      <c r="P1069" s="55" t="s">
        <v>972</v>
      </c>
      <c r="Q1069" s="55" t="s">
        <v>350</v>
      </c>
      <c r="R1069" s="55">
        <v>7</v>
      </c>
      <c r="S1069" s="55"/>
      <c r="T1069" s="55" t="s">
        <v>435</v>
      </c>
    </row>
    <row r="1070" spans="1:20" ht="13" x14ac:dyDescent="0.15">
      <c r="A1070" s="72" t="str">
        <f t="shared" si="16"/>
        <v>Ofsted Social Care Provider Webpage</v>
      </c>
      <c r="B1070" s="55">
        <v>2586067</v>
      </c>
      <c r="D1070" s="55" t="s">
        <v>373</v>
      </c>
      <c r="E1070" s="74">
        <v>43941</v>
      </c>
      <c r="F1070" s="55" t="s">
        <v>344</v>
      </c>
      <c r="G1070" s="55" t="s">
        <v>360</v>
      </c>
      <c r="H1070" s="55" t="s">
        <v>360</v>
      </c>
      <c r="I1070" s="55" t="s">
        <v>360</v>
      </c>
      <c r="J1070" s="55" t="s">
        <v>360</v>
      </c>
      <c r="K1070" s="55" t="s">
        <v>360</v>
      </c>
      <c r="L1070" s="55" t="s">
        <v>360</v>
      </c>
      <c r="M1070" s="55" t="s">
        <v>142</v>
      </c>
      <c r="N1070" s="55" t="s">
        <v>142</v>
      </c>
      <c r="O1070" s="55" t="s">
        <v>282</v>
      </c>
      <c r="P1070" s="55" t="s">
        <v>1812</v>
      </c>
      <c r="Q1070" s="55" t="s">
        <v>350</v>
      </c>
      <c r="R1070" s="55">
        <v>5</v>
      </c>
      <c r="S1070" s="55"/>
      <c r="T1070" s="55" t="s">
        <v>1813</v>
      </c>
    </row>
    <row r="1071" spans="1:20" ht="13" x14ac:dyDescent="0.15">
      <c r="A1071" s="72" t="str">
        <f t="shared" si="16"/>
        <v>Ofsted Social Care Provider Webpage</v>
      </c>
      <c r="B1071" s="55">
        <v>2586729</v>
      </c>
      <c r="D1071" s="55" t="s">
        <v>389</v>
      </c>
      <c r="E1071" s="74">
        <v>43962</v>
      </c>
      <c r="F1071" s="55" t="s">
        <v>344</v>
      </c>
      <c r="G1071" s="55" t="s">
        <v>1814</v>
      </c>
      <c r="H1071" s="55" t="s">
        <v>1815</v>
      </c>
      <c r="I1071" s="55" t="s">
        <v>354</v>
      </c>
      <c r="J1071" s="55" t="s">
        <v>157</v>
      </c>
      <c r="L1071" s="55" t="s">
        <v>1816</v>
      </c>
      <c r="M1071" s="55" t="s">
        <v>144</v>
      </c>
      <c r="N1071" s="55" t="s">
        <v>144</v>
      </c>
      <c r="O1071" s="55" t="s">
        <v>157</v>
      </c>
      <c r="P1071" s="55" t="s">
        <v>1092</v>
      </c>
      <c r="Q1071" s="55" t="s">
        <v>350</v>
      </c>
      <c r="R1071" s="55"/>
      <c r="S1071" s="55"/>
      <c r="T1071" s="55" t="s">
        <v>1817</v>
      </c>
    </row>
    <row r="1072" spans="1:20" ht="13" x14ac:dyDescent="0.15">
      <c r="A1072" s="72" t="str">
        <f t="shared" si="16"/>
        <v>Ofsted Social Care Provider Webpage</v>
      </c>
      <c r="B1072" s="55">
        <v>2586752</v>
      </c>
      <c r="D1072" s="55" t="s">
        <v>373</v>
      </c>
      <c r="E1072" s="74">
        <v>44166</v>
      </c>
      <c r="F1072" s="55" t="s">
        <v>344</v>
      </c>
      <c r="G1072" s="55" t="s">
        <v>360</v>
      </c>
      <c r="H1072" s="55" t="s">
        <v>360</v>
      </c>
      <c r="I1072" s="55" t="s">
        <v>360</v>
      </c>
      <c r="J1072" s="55" t="s">
        <v>360</v>
      </c>
      <c r="K1072" s="55" t="s">
        <v>360</v>
      </c>
      <c r="L1072" s="55" t="s">
        <v>360</v>
      </c>
      <c r="M1072" s="55" t="s">
        <v>136</v>
      </c>
      <c r="N1072" s="55" t="s">
        <v>136</v>
      </c>
      <c r="O1072" s="55" t="s">
        <v>154</v>
      </c>
      <c r="P1072" s="55" t="s">
        <v>1818</v>
      </c>
      <c r="Q1072" s="55" t="s">
        <v>380</v>
      </c>
      <c r="R1072" s="55">
        <v>2</v>
      </c>
      <c r="S1072" s="55"/>
      <c r="T1072" s="55" t="s">
        <v>1687</v>
      </c>
    </row>
    <row r="1073" spans="1:20" ht="13" x14ac:dyDescent="0.15">
      <c r="A1073" s="72" t="str">
        <f t="shared" si="16"/>
        <v>Ofsted Social Care Provider Webpage</v>
      </c>
      <c r="B1073" s="55">
        <v>2586943</v>
      </c>
      <c r="D1073" s="55" t="s">
        <v>373</v>
      </c>
      <c r="E1073" s="74">
        <v>44004</v>
      </c>
      <c r="F1073" s="55" t="s">
        <v>344</v>
      </c>
      <c r="G1073" s="55" t="s">
        <v>360</v>
      </c>
      <c r="H1073" s="55" t="s">
        <v>360</v>
      </c>
      <c r="I1073" s="55" t="s">
        <v>360</v>
      </c>
      <c r="J1073" s="55" t="s">
        <v>360</v>
      </c>
      <c r="K1073" s="55" t="s">
        <v>360</v>
      </c>
      <c r="L1073" s="55" t="s">
        <v>360</v>
      </c>
      <c r="M1073" s="55" t="s">
        <v>142</v>
      </c>
      <c r="N1073" s="55" t="s">
        <v>142</v>
      </c>
      <c r="O1073" s="55" t="s">
        <v>262</v>
      </c>
      <c r="P1073" s="55" t="s">
        <v>692</v>
      </c>
      <c r="Q1073" s="55" t="s">
        <v>350</v>
      </c>
      <c r="R1073" s="55">
        <v>4</v>
      </c>
      <c r="S1073" s="55"/>
      <c r="T1073" s="55" t="s">
        <v>489</v>
      </c>
    </row>
    <row r="1074" spans="1:20" ht="13" x14ac:dyDescent="0.15">
      <c r="A1074" s="72" t="str">
        <f t="shared" si="16"/>
        <v>Ofsted Social Care Provider Webpage</v>
      </c>
      <c r="B1074" s="55">
        <v>2586947</v>
      </c>
      <c r="D1074" s="55" t="s">
        <v>373</v>
      </c>
      <c r="E1074" s="74">
        <v>44015</v>
      </c>
      <c r="F1074" s="55" t="s">
        <v>344</v>
      </c>
      <c r="G1074" s="55" t="s">
        <v>360</v>
      </c>
      <c r="H1074" s="55" t="s">
        <v>360</v>
      </c>
      <c r="I1074" s="55" t="s">
        <v>360</v>
      </c>
      <c r="J1074" s="55" t="s">
        <v>360</v>
      </c>
      <c r="K1074" s="55" t="s">
        <v>360</v>
      </c>
      <c r="L1074" s="55" t="s">
        <v>360</v>
      </c>
      <c r="M1074" s="55" t="s">
        <v>142</v>
      </c>
      <c r="N1074" s="55" t="s">
        <v>142</v>
      </c>
      <c r="O1074" s="55" t="s">
        <v>141</v>
      </c>
      <c r="P1074" s="55" t="s">
        <v>795</v>
      </c>
      <c r="Q1074" s="55" t="s">
        <v>350</v>
      </c>
      <c r="R1074" s="55">
        <v>3</v>
      </c>
      <c r="S1074" s="55"/>
      <c r="T1074" s="55" t="s">
        <v>1364</v>
      </c>
    </row>
    <row r="1075" spans="1:20" ht="13" x14ac:dyDescent="0.15">
      <c r="A1075" s="72" t="str">
        <f t="shared" si="16"/>
        <v>Ofsted Social Care Provider Webpage</v>
      </c>
      <c r="B1075" s="55">
        <v>2586949</v>
      </c>
      <c r="D1075" s="55" t="s">
        <v>373</v>
      </c>
      <c r="E1075" s="74">
        <v>43951</v>
      </c>
      <c r="F1075" s="55" t="s">
        <v>344</v>
      </c>
      <c r="G1075" s="55" t="s">
        <v>360</v>
      </c>
      <c r="H1075" s="55" t="s">
        <v>360</v>
      </c>
      <c r="I1075" s="55" t="s">
        <v>360</v>
      </c>
      <c r="J1075" s="55" t="s">
        <v>360</v>
      </c>
      <c r="K1075" s="55" t="s">
        <v>360</v>
      </c>
      <c r="L1075" s="55" t="s">
        <v>360</v>
      </c>
      <c r="M1075" s="55" t="s">
        <v>144</v>
      </c>
      <c r="N1075" s="55" t="s">
        <v>144</v>
      </c>
      <c r="O1075" s="55" t="s">
        <v>209</v>
      </c>
      <c r="P1075" s="55" t="s">
        <v>650</v>
      </c>
      <c r="Q1075" s="55" t="s">
        <v>350</v>
      </c>
      <c r="R1075" s="55">
        <v>3</v>
      </c>
      <c r="S1075" s="55"/>
      <c r="T1075" s="55" t="s">
        <v>489</v>
      </c>
    </row>
    <row r="1076" spans="1:20" ht="13" x14ac:dyDescent="0.15">
      <c r="A1076" s="72" t="str">
        <f t="shared" si="16"/>
        <v>Ofsted Social Care Provider Webpage</v>
      </c>
      <c r="B1076" s="55">
        <v>2586951</v>
      </c>
      <c r="D1076" s="55" t="s">
        <v>373</v>
      </c>
      <c r="E1076" s="74">
        <v>43952</v>
      </c>
      <c r="F1076" s="55" t="s">
        <v>344</v>
      </c>
      <c r="G1076" s="55" t="s">
        <v>360</v>
      </c>
      <c r="H1076" s="55" t="s">
        <v>360</v>
      </c>
      <c r="I1076" s="55" t="s">
        <v>360</v>
      </c>
      <c r="J1076" s="55" t="s">
        <v>360</v>
      </c>
      <c r="K1076" s="55" t="s">
        <v>360</v>
      </c>
      <c r="L1076" s="55" t="s">
        <v>360</v>
      </c>
      <c r="M1076" s="55" t="s">
        <v>144</v>
      </c>
      <c r="N1076" s="55" t="s">
        <v>144</v>
      </c>
      <c r="O1076" s="55" t="s">
        <v>248</v>
      </c>
      <c r="P1076" s="55" t="s">
        <v>439</v>
      </c>
      <c r="Q1076" s="55" t="s">
        <v>350</v>
      </c>
      <c r="R1076" s="55">
        <v>3</v>
      </c>
      <c r="S1076" s="55"/>
      <c r="T1076" s="55" t="s">
        <v>489</v>
      </c>
    </row>
    <row r="1077" spans="1:20" ht="13" x14ac:dyDescent="0.15">
      <c r="A1077" s="72" t="str">
        <f t="shared" si="16"/>
        <v>Ofsted Social Care Provider Webpage</v>
      </c>
      <c r="B1077" s="55">
        <v>2586969</v>
      </c>
      <c r="D1077" s="55" t="s">
        <v>373</v>
      </c>
      <c r="E1077" s="74">
        <v>43944</v>
      </c>
      <c r="F1077" s="55" t="s">
        <v>344</v>
      </c>
      <c r="G1077" s="55" t="s">
        <v>360</v>
      </c>
      <c r="H1077" s="55" t="s">
        <v>360</v>
      </c>
      <c r="I1077" s="55" t="s">
        <v>360</v>
      </c>
      <c r="J1077" s="55" t="s">
        <v>360</v>
      </c>
      <c r="K1077" s="55" t="s">
        <v>360</v>
      </c>
      <c r="L1077" s="55" t="s">
        <v>360</v>
      </c>
      <c r="M1077" s="55" t="s">
        <v>172</v>
      </c>
      <c r="N1077" s="55" t="s">
        <v>172</v>
      </c>
      <c r="O1077" s="55" t="s">
        <v>235</v>
      </c>
      <c r="P1077" s="55" t="s">
        <v>1036</v>
      </c>
      <c r="Q1077" s="55" t="s">
        <v>350</v>
      </c>
      <c r="R1077" s="55">
        <v>1</v>
      </c>
      <c r="S1077" s="55"/>
      <c r="T1077" s="55" t="s">
        <v>1819</v>
      </c>
    </row>
    <row r="1078" spans="1:20" ht="13" x14ac:dyDescent="0.15">
      <c r="A1078" s="72" t="str">
        <f t="shared" si="16"/>
        <v>Ofsted Social Care Provider Webpage</v>
      </c>
      <c r="B1078" s="55">
        <v>2587047</v>
      </c>
      <c r="D1078" s="55" t="s">
        <v>373</v>
      </c>
      <c r="E1078" s="74">
        <v>43977</v>
      </c>
      <c r="F1078" s="55" t="s">
        <v>344</v>
      </c>
      <c r="G1078" s="55" t="s">
        <v>360</v>
      </c>
      <c r="H1078" s="55" t="s">
        <v>360</v>
      </c>
      <c r="I1078" s="55" t="s">
        <v>360</v>
      </c>
      <c r="J1078" s="55" t="s">
        <v>360</v>
      </c>
      <c r="K1078" s="55" t="s">
        <v>360</v>
      </c>
      <c r="L1078" s="55" t="s">
        <v>360</v>
      </c>
      <c r="M1078" s="55" t="s">
        <v>144</v>
      </c>
      <c r="N1078" s="55" t="s">
        <v>144</v>
      </c>
      <c r="O1078" s="55" t="s">
        <v>162</v>
      </c>
      <c r="P1078" s="55" t="s">
        <v>516</v>
      </c>
      <c r="Q1078" s="55" t="s">
        <v>350</v>
      </c>
      <c r="R1078" s="55">
        <v>7</v>
      </c>
      <c r="S1078" s="55"/>
      <c r="T1078" s="55" t="s">
        <v>574</v>
      </c>
    </row>
    <row r="1079" spans="1:20" ht="13" x14ac:dyDescent="0.15">
      <c r="A1079" s="72" t="str">
        <f t="shared" si="16"/>
        <v>Ofsted Social Care Provider Webpage</v>
      </c>
      <c r="B1079" s="55">
        <v>2587129</v>
      </c>
      <c r="D1079" s="55" t="s">
        <v>389</v>
      </c>
      <c r="E1079" s="74">
        <v>44005</v>
      </c>
      <c r="F1079" s="55" t="s">
        <v>344</v>
      </c>
      <c r="G1079" s="55" t="s">
        <v>1820</v>
      </c>
      <c r="H1079" s="55" t="s">
        <v>1820</v>
      </c>
      <c r="I1079" s="55" t="s">
        <v>1821</v>
      </c>
      <c r="J1079" s="55" t="s">
        <v>1189</v>
      </c>
      <c r="K1079" s="55" t="s">
        <v>1746</v>
      </c>
      <c r="L1079" s="55" t="s">
        <v>1822</v>
      </c>
      <c r="M1079" s="55" t="s">
        <v>129</v>
      </c>
      <c r="N1079" s="55" t="s">
        <v>129</v>
      </c>
      <c r="O1079" s="55" t="s">
        <v>192</v>
      </c>
      <c r="P1079" s="55" t="s">
        <v>1191</v>
      </c>
      <c r="Q1079" s="55" t="s">
        <v>350</v>
      </c>
      <c r="R1079" s="55"/>
      <c r="S1079" s="55"/>
      <c r="T1079" s="55" t="s">
        <v>1823</v>
      </c>
    </row>
    <row r="1080" spans="1:20" ht="13" x14ac:dyDescent="0.15">
      <c r="A1080" s="72" t="str">
        <f t="shared" si="16"/>
        <v>Ofsted Social Care Provider Webpage</v>
      </c>
      <c r="B1080" s="55">
        <v>2587132</v>
      </c>
      <c r="D1080" s="55" t="s">
        <v>373</v>
      </c>
      <c r="E1080" s="74">
        <v>44018</v>
      </c>
      <c r="F1080" s="55" t="s">
        <v>344</v>
      </c>
      <c r="G1080" s="55" t="s">
        <v>360</v>
      </c>
      <c r="H1080" s="55" t="s">
        <v>360</v>
      </c>
      <c r="I1080" s="55" t="s">
        <v>360</v>
      </c>
      <c r="J1080" s="55" t="s">
        <v>360</v>
      </c>
      <c r="K1080" s="55" t="s">
        <v>360</v>
      </c>
      <c r="L1080" s="55" t="s">
        <v>360</v>
      </c>
      <c r="M1080" s="55" t="s">
        <v>378</v>
      </c>
      <c r="N1080" s="55" t="s">
        <v>170</v>
      </c>
      <c r="O1080" s="55" t="s">
        <v>222</v>
      </c>
      <c r="P1080" s="55" t="s">
        <v>521</v>
      </c>
      <c r="Q1080" s="55" t="s">
        <v>350</v>
      </c>
      <c r="R1080" s="55">
        <v>2</v>
      </c>
      <c r="S1080" s="55"/>
      <c r="T1080" s="55" t="s">
        <v>1824</v>
      </c>
    </row>
    <row r="1081" spans="1:20" ht="13" x14ac:dyDescent="0.15">
      <c r="A1081" s="72" t="str">
        <f t="shared" si="16"/>
        <v>Ofsted Social Care Provider Webpage</v>
      </c>
      <c r="B1081" s="55">
        <v>2587198</v>
      </c>
      <c r="D1081" s="55" t="s">
        <v>389</v>
      </c>
      <c r="E1081" s="74">
        <v>43977</v>
      </c>
      <c r="F1081" s="55" t="s">
        <v>344</v>
      </c>
      <c r="G1081" s="55" t="s">
        <v>1825</v>
      </c>
      <c r="H1081" s="55" t="s">
        <v>1826</v>
      </c>
      <c r="I1081" s="55" t="s">
        <v>1827</v>
      </c>
      <c r="J1081" s="55" t="s">
        <v>267</v>
      </c>
      <c r="K1081" s="55" t="s">
        <v>178</v>
      </c>
      <c r="L1081" s="55" t="s">
        <v>1828</v>
      </c>
      <c r="M1081" s="55" t="s">
        <v>378</v>
      </c>
      <c r="N1081" s="55" t="s">
        <v>170</v>
      </c>
      <c r="O1081" s="55" t="s">
        <v>267</v>
      </c>
      <c r="P1081" s="55" t="s">
        <v>477</v>
      </c>
      <c r="Q1081" s="55" t="s">
        <v>350</v>
      </c>
      <c r="R1081" s="55"/>
      <c r="S1081" s="55"/>
      <c r="T1081" s="55" t="s">
        <v>1829</v>
      </c>
    </row>
    <row r="1082" spans="1:20" ht="13" x14ac:dyDescent="0.15">
      <c r="A1082" s="72" t="str">
        <f t="shared" si="16"/>
        <v>Ofsted Social Care Provider Webpage</v>
      </c>
      <c r="B1082" s="55">
        <v>2587233</v>
      </c>
      <c r="D1082" s="55" t="s">
        <v>373</v>
      </c>
      <c r="E1082" s="74">
        <v>44022</v>
      </c>
      <c r="F1082" s="55" t="s">
        <v>344</v>
      </c>
      <c r="G1082" s="55" t="s">
        <v>360</v>
      </c>
      <c r="H1082" s="55" t="s">
        <v>360</v>
      </c>
      <c r="I1082" s="55" t="s">
        <v>360</v>
      </c>
      <c r="J1082" s="55" t="s">
        <v>360</v>
      </c>
      <c r="K1082" s="55" t="s">
        <v>360</v>
      </c>
      <c r="L1082" s="55" t="s">
        <v>360</v>
      </c>
      <c r="M1082" s="55" t="s">
        <v>378</v>
      </c>
      <c r="N1082" s="55" t="s">
        <v>134</v>
      </c>
      <c r="O1082" s="55" t="s">
        <v>246</v>
      </c>
      <c r="P1082" s="55" t="s">
        <v>1104</v>
      </c>
      <c r="Q1082" s="55" t="s">
        <v>350</v>
      </c>
      <c r="R1082" s="55">
        <v>1</v>
      </c>
      <c r="S1082" s="55"/>
      <c r="T1082" s="55" t="s">
        <v>1830</v>
      </c>
    </row>
    <row r="1083" spans="1:20" ht="13" x14ac:dyDescent="0.15">
      <c r="A1083" s="72" t="str">
        <f t="shared" si="16"/>
        <v>Ofsted Social Care Provider Webpage</v>
      </c>
      <c r="B1083" s="55">
        <v>2587315</v>
      </c>
      <c r="D1083" s="55" t="s">
        <v>373</v>
      </c>
      <c r="E1083" s="74">
        <v>44136</v>
      </c>
      <c r="F1083" s="55" t="s">
        <v>344</v>
      </c>
      <c r="G1083" s="55" t="s">
        <v>360</v>
      </c>
      <c r="H1083" s="55" t="s">
        <v>360</v>
      </c>
      <c r="I1083" s="55" t="s">
        <v>360</v>
      </c>
      <c r="J1083" s="55" t="s">
        <v>360</v>
      </c>
      <c r="K1083" s="55" t="s">
        <v>360</v>
      </c>
      <c r="L1083" s="55" t="s">
        <v>360</v>
      </c>
      <c r="M1083" s="55" t="s">
        <v>142</v>
      </c>
      <c r="N1083" s="55" t="s">
        <v>142</v>
      </c>
      <c r="O1083" s="55" t="s">
        <v>293</v>
      </c>
      <c r="P1083" s="55" t="s">
        <v>984</v>
      </c>
      <c r="Q1083" s="55" t="s">
        <v>851</v>
      </c>
      <c r="R1083" s="55">
        <v>4</v>
      </c>
      <c r="S1083" s="55" t="s">
        <v>332</v>
      </c>
      <c r="T1083" s="55" t="s">
        <v>1477</v>
      </c>
    </row>
    <row r="1084" spans="1:20" ht="13" x14ac:dyDescent="0.15">
      <c r="A1084" s="72" t="str">
        <f t="shared" si="16"/>
        <v>Ofsted Social Care Provider Webpage</v>
      </c>
      <c r="B1084" s="55">
        <v>2587763</v>
      </c>
      <c r="D1084" s="55" t="s">
        <v>373</v>
      </c>
      <c r="E1084" s="74">
        <v>44013</v>
      </c>
      <c r="F1084" s="55" t="s">
        <v>344</v>
      </c>
      <c r="G1084" s="55" t="s">
        <v>360</v>
      </c>
      <c r="H1084" s="55" t="s">
        <v>360</v>
      </c>
      <c r="I1084" s="55" t="s">
        <v>360</v>
      </c>
      <c r="J1084" s="55" t="s">
        <v>360</v>
      </c>
      <c r="K1084" s="55" t="s">
        <v>360</v>
      </c>
      <c r="L1084" s="55" t="s">
        <v>360</v>
      </c>
      <c r="M1084" s="55" t="s">
        <v>144</v>
      </c>
      <c r="N1084" s="55" t="s">
        <v>144</v>
      </c>
      <c r="O1084" s="55" t="s">
        <v>163</v>
      </c>
      <c r="P1084" s="55" t="s">
        <v>376</v>
      </c>
      <c r="Q1084" s="55" t="s">
        <v>350</v>
      </c>
      <c r="R1084" s="55">
        <v>4</v>
      </c>
      <c r="S1084" s="55"/>
      <c r="T1084" s="55" t="s">
        <v>1831</v>
      </c>
    </row>
    <row r="1085" spans="1:20" ht="13" x14ac:dyDescent="0.15">
      <c r="A1085" s="72" t="str">
        <f t="shared" si="16"/>
        <v>Ofsted Social Care Provider Webpage</v>
      </c>
      <c r="B1085" s="55">
        <v>2588370</v>
      </c>
      <c r="D1085" s="55" t="s">
        <v>373</v>
      </c>
      <c r="E1085" s="74">
        <v>43935</v>
      </c>
      <c r="F1085" s="55" t="s">
        <v>344</v>
      </c>
      <c r="G1085" s="55" t="s">
        <v>360</v>
      </c>
      <c r="H1085" s="55" t="s">
        <v>360</v>
      </c>
      <c r="I1085" s="55" t="s">
        <v>360</v>
      </c>
      <c r="J1085" s="55" t="s">
        <v>360</v>
      </c>
      <c r="K1085" s="55" t="s">
        <v>360</v>
      </c>
      <c r="L1085" s="55" t="s">
        <v>360</v>
      </c>
      <c r="M1085" s="55" t="s">
        <v>172</v>
      </c>
      <c r="N1085" s="55" t="s">
        <v>172</v>
      </c>
      <c r="O1085" s="55" t="s">
        <v>173</v>
      </c>
      <c r="P1085" s="55" t="s">
        <v>1258</v>
      </c>
      <c r="Q1085" s="55" t="s">
        <v>350</v>
      </c>
      <c r="R1085" s="55">
        <v>3</v>
      </c>
      <c r="S1085" s="55"/>
      <c r="T1085" s="55" t="s">
        <v>861</v>
      </c>
    </row>
    <row r="1086" spans="1:20" ht="13" x14ac:dyDescent="0.15">
      <c r="A1086" s="72" t="str">
        <f t="shared" si="16"/>
        <v>Ofsted Social Care Provider Webpage</v>
      </c>
      <c r="B1086" s="55">
        <v>2588486</v>
      </c>
      <c r="D1086" s="55" t="s">
        <v>373</v>
      </c>
      <c r="E1086" s="74">
        <v>43956</v>
      </c>
      <c r="F1086" s="55" t="s">
        <v>344</v>
      </c>
      <c r="G1086" s="55" t="s">
        <v>360</v>
      </c>
      <c r="H1086" s="55" t="s">
        <v>360</v>
      </c>
      <c r="I1086" s="55" t="s">
        <v>360</v>
      </c>
      <c r="J1086" s="55" t="s">
        <v>360</v>
      </c>
      <c r="K1086" s="55" t="s">
        <v>360</v>
      </c>
      <c r="L1086" s="55" t="s">
        <v>360</v>
      </c>
      <c r="M1086" s="55" t="s">
        <v>136</v>
      </c>
      <c r="N1086" s="55" t="s">
        <v>136</v>
      </c>
      <c r="O1086" s="55" t="s">
        <v>705</v>
      </c>
      <c r="P1086" s="55" t="s">
        <v>1832</v>
      </c>
      <c r="Q1086" s="55" t="s">
        <v>350</v>
      </c>
      <c r="R1086" s="55">
        <v>3</v>
      </c>
      <c r="S1086" s="55"/>
      <c r="T1086" s="55" t="s">
        <v>892</v>
      </c>
    </row>
    <row r="1087" spans="1:20" ht="13" x14ac:dyDescent="0.15">
      <c r="A1087" s="72" t="str">
        <f t="shared" si="16"/>
        <v>Ofsted Social Care Provider Webpage</v>
      </c>
      <c r="B1087" s="55">
        <v>2588593</v>
      </c>
      <c r="D1087" s="55" t="s">
        <v>373</v>
      </c>
      <c r="E1087" s="74">
        <v>43955</v>
      </c>
      <c r="F1087" s="55" t="s">
        <v>344</v>
      </c>
      <c r="G1087" s="55" t="s">
        <v>360</v>
      </c>
      <c r="H1087" s="55" t="s">
        <v>360</v>
      </c>
      <c r="I1087" s="55" t="s">
        <v>360</v>
      </c>
      <c r="J1087" s="55" t="s">
        <v>360</v>
      </c>
      <c r="K1087" s="55" t="s">
        <v>360</v>
      </c>
      <c r="L1087" s="55" t="s">
        <v>360</v>
      </c>
      <c r="M1087" s="55" t="s">
        <v>129</v>
      </c>
      <c r="N1087" s="55" t="s">
        <v>129</v>
      </c>
      <c r="O1087" s="55" t="s">
        <v>194</v>
      </c>
      <c r="P1087" s="55" t="s">
        <v>1833</v>
      </c>
      <c r="Q1087" s="55" t="s">
        <v>350</v>
      </c>
      <c r="R1087" s="55">
        <v>4</v>
      </c>
      <c r="S1087" s="55"/>
      <c r="T1087" s="55" t="s">
        <v>1834</v>
      </c>
    </row>
    <row r="1088" spans="1:20" ht="13" x14ac:dyDescent="0.15">
      <c r="A1088" s="72" t="str">
        <f t="shared" si="16"/>
        <v>Ofsted Social Care Provider Webpage</v>
      </c>
      <c r="B1088" s="55">
        <v>2588599</v>
      </c>
      <c r="D1088" s="55" t="s">
        <v>373</v>
      </c>
      <c r="E1088" s="74">
        <v>43945</v>
      </c>
      <c r="F1088" s="55" t="s">
        <v>344</v>
      </c>
      <c r="G1088" s="55" t="s">
        <v>360</v>
      </c>
      <c r="H1088" s="55" t="s">
        <v>360</v>
      </c>
      <c r="I1088" s="55" t="s">
        <v>360</v>
      </c>
      <c r="J1088" s="55" t="s">
        <v>360</v>
      </c>
      <c r="K1088" s="55" t="s">
        <v>360</v>
      </c>
      <c r="L1088" s="55" t="s">
        <v>360</v>
      </c>
      <c r="M1088" s="55" t="s">
        <v>172</v>
      </c>
      <c r="N1088" s="55" t="s">
        <v>172</v>
      </c>
      <c r="O1088" s="55" t="s">
        <v>234</v>
      </c>
      <c r="P1088" s="55" t="s">
        <v>965</v>
      </c>
      <c r="Q1088" s="55" t="s">
        <v>362</v>
      </c>
      <c r="R1088" s="55">
        <v>4</v>
      </c>
      <c r="S1088" s="55"/>
      <c r="T1088" s="55" t="s">
        <v>458</v>
      </c>
    </row>
    <row r="1089" spans="1:20" ht="13" x14ac:dyDescent="0.15">
      <c r="A1089" s="72" t="str">
        <f t="shared" si="16"/>
        <v>Ofsted Social Care Provider Webpage</v>
      </c>
      <c r="B1089" s="55">
        <v>2588753</v>
      </c>
      <c r="D1089" s="55" t="s">
        <v>373</v>
      </c>
      <c r="E1089" s="74">
        <v>44536</v>
      </c>
      <c r="F1089" s="55" t="s">
        <v>344</v>
      </c>
      <c r="G1089" s="55" t="s">
        <v>360</v>
      </c>
      <c r="H1089" s="55" t="s">
        <v>360</v>
      </c>
      <c r="I1089" s="55" t="s">
        <v>360</v>
      </c>
      <c r="J1089" s="55" t="s">
        <v>360</v>
      </c>
      <c r="K1089" s="55" t="s">
        <v>360</v>
      </c>
      <c r="L1089" s="55" t="s">
        <v>360</v>
      </c>
      <c r="M1089" s="55" t="s">
        <v>150</v>
      </c>
      <c r="N1089" s="55" t="s">
        <v>150</v>
      </c>
      <c r="O1089" s="55" t="s">
        <v>203</v>
      </c>
      <c r="P1089" s="55" t="s">
        <v>1835</v>
      </c>
      <c r="Q1089" s="55" t="s">
        <v>350</v>
      </c>
      <c r="R1089" s="55">
        <v>6</v>
      </c>
      <c r="S1089" s="55"/>
      <c r="T1089" s="55" t="s">
        <v>483</v>
      </c>
    </row>
    <row r="1090" spans="1:20" ht="13" x14ac:dyDescent="0.15">
      <c r="A1090" s="72" t="str">
        <f t="shared" si="16"/>
        <v>Ofsted Social Care Provider Webpage</v>
      </c>
      <c r="B1090" s="55">
        <v>2589370</v>
      </c>
      <c r="D1090" s="55" t="s">
        <v>389</v>
      </c>
      <c r="E1090" s="74">
        <v>44186</v>
      </c>
      <c r="F1090" s="55" t="s">
        <v>344</v>
      </c>
      <c r="G1090" s="55" t="s">
        <v>1836</v>
      </c>
      <c r="H1090" s="55" t="s">
        <v>1837</v>
      </c>
      <c r="I1090" s="55" t="s">
        <v>1838</v>
      </c>
      <c r="J1090" s="55" t="s">
        <v>1839</v>
      </c>
      <c r="K1090" s="55" t="s">
        <v>224</v>
      </c>
      <c r="L1090" s="55" t="s">
        <v>1840</v>
      </c>
      <c r="M1090" s="55" t="s">
        <v>138</v>
      </c>
      <c r="N1090" s="55" t="s">
        <v>138</v>
      </c>
      <c r="O1090" s="55" t="s">
        <v>224</v>
      </c>
      <c r="P1090" s="55" t="s">
        <v>374</v>
      </c>
      <c r="Q1090" s="55" t="s">
        <v>350</v>
      </c>
      <c r="R1090" s="55"/>
      <c r="S1090" s="55"/>
      <c r="T1090" s="55" t="s">
        <v>1841</v>
      </c>
    </row>
    <row r="1091" spans="1:20" ht="13" x14ac:dyDescent="0.15">
      <c r="A1091" s="72" t="str">
        <f t="shared" si="16"/>
        <v>Ofsted Social Care Provider Webpage</v>
      </c>
      <c r="B1091" s="55">
        <v>2589392</v>
      </c>
      <c r="D1091" s="55" t="s">
        <v>373</v>
      </c>
      <c r="E1091" s="74">
        <v>43952</v>
      </c>
      <c r="F1091" s="55" t="s">
        <v>344</v>
      </c>
      <c r="G1091" s="55" t="s">
        <v>360</v>
      </c>
      <c r="H1091" s="55" t="s">
        <v>360</v>
      </c>
      <c r="I1091" s="55" t="s">
        <v>360</v>
      </c>
      <c r="J1091" s="55" t="s">
        <v>360</v>
      </c>
      <c r="K1091" s="55" t="s">
        <v>360</v>
      </c>
      <c r="L1091" s="55" t="s">
        <v>360</v>
      </c>
      <c r="M1091" s="55" t="s">
        <v>144</v>
      </c>
      <c r="N1091" s="55" t="s">
        <v>144</v>
      </c>
      <c r="O1091" s="55" t="s">
        <v>209</v>
      </c>
      <c r="P1091" s="55" t="s">
        <v>650</v>
      </c>
      <c r="Q1091" s="55" t="s">
        <v>350</v>
      </c>
      <c r="R1091" s="55">
        <v>3</v>
      </c>
      <c r="S1091" s="55"/>
      <c r="T1091" s="55" t="s">
        <v>489</v>
      </c>
    </row>
    <row r="1092" spans="1:20" ht="13" x14ac:dyDescent="0.15">
      <c r="A1092" s="72" t="str">
        <f t="shared" si="16"/>
        <v>Ofsted Social Care Provider Webpage</v>
      </c>
      <c r="B1092" s="55">
        <v>2589440</v>
      </c>
      <c r="D1092" s="55" t="s">
        <v>373</v>
      </c>
      <c r="E1092" s="74">
        <v>44356</v>
      </c>
      <c r="F1092" s="55" t="s">
        <v>344</v>
      </c>
      <c r="G1092" s="55" t="s">
        <v>360</v>
      </c>
      <c r="H1092" s="55" t="s">
        <v>360</v>
      </c>
      <c r="I1092" s="55" t="s">
        <v>360</v>
      </c>
      <c r="J1092" s="55" t="s">
        <v>360</v>
      </c>
      <c r="K1092" s="55" t="s">
        <v>360</v>
      </c>
      <c r="L1092" s="55" t="s">
        <v>360</v>
      </c>
      <c r="M1092" s="55" t="s">
        <v>378</v>
      </c>
      <c r="N1092" s="55" t="s">
        <v>134</v>
      </c>
      <c r="O1092" s="55" t="s">
        <v>246</v>
      </c>
      <c r="P1092" s="55" t="s">
        <v>246</v>
      </c>
      <c r="Q1092" s="55" t="s">
        <v>350</v>
      </c>
      <c r="R1092" s="55">
        <v>1</v>
      </c>
      <c r="S1092" s="55"/>
      <c r="T1092" s="55" t="s">
        <v>1842</v>
      </c>
    </row>
    <row r="1093" spans="1:20" ht="13" x14ac:dyDescent="0.15">
      <c r="A1093" s="72" t="str">
        <f t="shared" ref="A1093:A1156" si="17">HYPERLINK(_xlfn.CONCAT("http://reports.ofsted.gov.uk/inspection-reports/find-inspection-report/provider/CARE/",B1093),"Ofsted Social Care Provider Webpage")</f>
        <v>Ofsted Social Care Provider Webpage</v>
      </c>
      <c r="B1093" s="55">
        <v>2589537</v>
      </c>
      <c r="D1093" s="55" t="s">
        <v>373</v>
      </c>
      <c r="E1093" s="74">
        <v>43984</v>
      </c>
      <c r="F1093" s="55" t="s">
        <v>344</v>
      </c>
      <c r="G1093" s="55" t="s">
        <v>360</v>
      </c>
      <c r="H1093" s="55" t="s">
        <v>360</v>
      </c>
      <c r="I1093" s="55" t="s">
        <v>360</v>
      </c>
      <c r="J1093" s="55" t="s">
        <v>360</v>
      </c>
      <c r="K1093" s="55" t="s">
        <v>360</v>
      </c>
      <c r="L1093" s="55" t="s">
        <v>360</v>
      </c>
      <c r="M1093" s="55" t="s">
        <v>378</v>
      </c>
      <c r="N1093" s="55" t="s">
        <v>134</v>
      </c>
      <c r="O1093" s="55" t="s">
        <v>175</v>
      </c>
      <c r="P1093" s="55" t="s">
        <v>932</v>
      </c>
      <c r="Q1093" s="55" t="s">
        <v>350</v>
      </c>
      <c r="R1093" s="55">
        <v>3</v>
      </c>
      <c r="S1093" s="55"/>
      <c r="T1093" s="55" t="s">
        <v>758</v>
      </c>
    </row>
    <row r="1094" spans="1:20" ht="13" x14ac:dyDescent="0.15">
      <c r="A1094" s="72" t="str">
        <f t="shared" si="17"/>
        <v>Ofsted Social Care Provider Webpage</v>
      </c>
      <c r="B1094" s="55">
        <v>2589579</v>
      </c>
      <c r="D1094" s="55" t="s">
        <v>373</v>
      </c>
      <c r="E1094" s="74">
        <v>43938</v>
      </c>
      <c r="F1094" s="55" t="s">
        <v>344</v>
      </c>
      <c r="G1094" s="55" t="s">
        <v>360</v>
      </c>
      <c r="H1094" s="55" t="s">
        <v>360</v>
      </c>
      <c r="I1094" s="55" t="s">
        <v>360</v>
      </c>
      <c r="J1094" s="55" t="s">
        <v>360</v>
      </c>
      <c r="K1094" s="55" t="s">
        <v>360</v>
      </c>
      <c r="L1094" s="55" t="s">
        <v>360</v>
      </c>
      <c r="M1094" s="55" t="s">
        <v>172</v>
      </c>
      <c r="N1094" s="55" t="s">
        <v>172</v>
      </c>
      <c r="O1094" s="55" t="s">
        <v>234</v>
      </c>
      <c r="P1094" s="55" t="s">
        <v>965</v>
      </c>
      <c r="Q1094" s="55" t="s">
        <v>350</v>
      </c>
      <c r="R1094" s="55">
        <v>3</v>
      </c>
      <c r="S1094" s="55"/>
      <c r="T1094" s="55" t="s">
        <v>1375</v>
      </c>
    </row>
    <row r="1095" spans="1:20" ht="13" x14ac:dyDescent="0.15">
      <c r="A1095" s="72" t="str">
        <f t="shared" si="17"/>
        <v>Ofsted Social Care Provider Webpage</v>
      </c>
      <c r="B1095" s="55">
        <v>2589621</v>
      </c>
      <c r="D1095" s="55" t="s">
        <v>373</v>
      </c>
      <c r="E1095" s="74">
        <v>43948</v>
      </c>
      <c r="F1095" s="55" t="s">
        <v>344</v>
      </c>
      <c r="G1095" s="55" t="s">
        <v>360</v>
      </c>
      <c r="H1095" s="55" t="s">
        <v>360</v>
      </c>
      <c r="I1095" s="55" t="s">
        <v>360</v>
      </c>
      <c r="J1095" s="55" t="s">
        <v>360</v>
      </c>
      <c r="K1095" s="55" t="s">
        <v>360</v>
      </c>
      <c r="L1095" s="55" t="s">
        <v>360</v>
      </c>
      <c r="M1095" s="55" t="s">
        <v>144</v>
      </c>
      <c r="N1095" s="55" t="s">
        <v>144</v>
      </c>
      <c r="O1095" s="55" t="s">
        <v>215</v>
      </c>
      <c r="P1095" s="55" t="s">
        <v>1203</v>
      </c>
      <c r="Q1095" s="55" t="s">
        <v>350</v>
      </c>
      <c r="R1095" s="55">
        <v>3</v>
      </c>
      <c r="S1095" s="55"/>
      <c r="T1095" s="55" t="s">
        <v>489</v>
      </c>
    </row>
    <row r="1096" spans="1:20" ht="13" x14ac:dyDescent="0.15">
      <c r="A1096" s="72" t="str">
        <f t="shared" si="17"/>
        <v>Ofsted Social Care Provider Webpage</v>
      </c>
      <c r="B1096" s="55">
        <v>2589771</v>
      </c>
      <c r="D1096" s="55" t="s">
        <v>373</v>
      </c>
      <c r="E1096" s="74">
        <v>43950</v>
      </c>
      <c r="F1096" s="55" t="s">
        <v>344</v>
      </c>
      <c r="G1096" s="55" t="s">
        <v>360</v>
      </c>
      <c r="H1096" s="55" t="s">
        <v>360</v>
      </c>
      <c r="I1096" s="55" t="s">
        <v>360</v>
      </c>
      <c r="J1096" s="55" t="s">
        <v>360</v>
      </c>
      <c r="K1096" s="55" t="s">
        <v>360</v>
      </c>
      <c r="L1096" s="55" t="s">
        <v>360</v>
      </c>
      <c r="M1096" s="55" t="s">
        <v>378</v>
      </c>
      <c r="N1096" s="55" t="s">
        <v>134</v>
      </c>
      <c r="O1096" s="55" t="s">
        <v>204</v>
      </c>
      <c r="P1096" s="55" t="s">
        <v>929</v>
      </c>
      <c r="Q1096" s="55" t="s">
        <v>380</v>
      </c>
      <c r="R1096" s="55">
        <v>2</v>
      </c>
      <c r="S1096" s="55"/>
      <c r="T1096" s="55" t="s">
        <v>1479</v>
      </c>
    </row>
    <row r="1097" spans="1:20" ht="13" x14ac:dyDescent="0.15">
      <c r="A1097" s="72" t="str">
        <f t="shared" si="17"/>
        <v>Ofsted Social Care Provider Webpage</v>
      </c>
      <c r="B1097" s="55">
        <v>2589848</v>
      </c>
      <c r="D1097" s="55" t="s">
        <v>389</v>
      </c>
      <c r="E1097" s="74">
        <v>44035</v>
      </c>
      <c r="F1097" s="55" t="s">
        <v>344</v>
      </c>
      <c r="G1097" s="55" t="s">
        <v>1843</v>
      </c>
      <c r="H1097" s="55" t="s">
        <v>1844</v>
      </c>
      <c r="I1097" s="55" t="s">
        <v>1845</v>
      </c>
      <c r="J1097" s="55" t="s">
        <v>1846</v>
      </c>
      <c r="L1097" s="55" t="s">
        <v>531</v>
      </c>
      <c r="M1097" s="55" t="s">
        <v>129</v>
      </c>
      <c r="N1097" s="55" t="s">
        <v>129</v>
      </c>
      <c r="O1097" s="55" t="s">
        <v>197</v>
      </c>
      <c r="P1097" s="55" t="s">
        <v>532</v>
      </c>
      <c r="Q1097" s="55" t="s">
        <v>350</v>
      </c>
      <c r="R1097" s="55"/>
      <c r="S1097" s="55"/>
      <c r="T1097" s="55" t="s">
        <v>1843</v>
      </c>
    </row>
    <row r="1098" spans="1:20" ht="13" x14ac:dyDescent="0.15">
      <c r="A1098" s="72" t="str">
        <f t="shared" si="17"/>
        <v>Ofsted Social Care Provider Webpage</v>
      </c>
      <c r="B1098" s="55">
        <v>2590109</v>
      </c>
      <c r="D1098" s="55" t="s">
        <v>373</v>
      </c>
      <c r="E1098" s="74">
        <v>43992</v>
      </c>
      <c r="F1098" s="55" t="s">
        <v>344</v>
      </c>
      <c r="G1098" s="55" t="s">
        <v>360</v>
      </c>
      <c r="H1098" s="55" t="s">
        <v>360</v>
      </c>
      <c r="I1098" s="55" t="s">
        <v>360</v>
      </c>
      <c r="J1098" s="55" t="s">
        <v>360</v>
      </c>
      <c r="K1098" s="55" t="s">
        <v>360</v>
      </c>
      <c r="L1098" s="55" t="s">
        <v>360</v>
      </c>
      <c r="M1098" s="55" t="s">
        <v>144</v>
      </c>
      <c r="N1098" s="55" t="s">
        <v>144</v>
      </c>
      <c r="O1098" s="55" t="s">
        <v>157</v>
      </c>
      <c r="P1098" s="55" t="s">
        <v>1092</v>
      </c>
      <c r="Q1098" s="55" t="s">
        <v>350</v>
      </c>
      <c r="R1098" s="55">
        <v>3</v>
      </c>
      <c r="S1098" s="55"/>
      <c r="T1098" s="55" t="s">
        <v>1161</v>
      </c>
    </row>
    <row r="1099" spans="1:20" ht="13" x14ac:dyDescent="0.15">
      <c r="A1099" s="72" t="str">
        <f t="shared" si="17"/>
        <v>Ofsted Social Care Provider Webpage</v>
      </c>
      <c r="B1099" s="55">
        <v>2590128</v>
      </c>
      <c r="D1099" s="55" t="s">
        <v>373</v>
      </c>
      <c r="E1099" s="74">
        <v>43973</v>
      </c>
      <c r="F1099" s="55" t="s">
        <v>344</v>
      </c>
      <c r="G1099" s="55" t="s">
        <v>360</v>
      </c>
      <c r="H1099" s="55" t="s">
        <v>360</v>
      </c>
      <c r="I1099" s="55" t="s">
        <v>360</v>
      </c>
      <c r="J1099" s="55" t="s">
        <v>360</v>
      </c>
      <c r="K1099" s="55" t="s">
        <v>360</v>
      </c>
      <c r="L1099" s="55" t="s">
        <v>360</v>
      </c>
      <c r="M1099" s="55" t="s">
        <v>144</v>
      </c>
      <c r="N1099" s="55" t="s">
        <v>144</v>
      </c>
      <c r="O1099" s="55" t="s">
        <v>263</v>
      </c>
      <c r="P1099" s="55" t="s">
        <v>1211</v>
      </c>
      <c r="Q1099" s="55" t="s">
        <v>362</v>
      </c>
      <c r="R1099" s="55">
        <v>4</v>
      </c>
      <c r="S1099" s="55" t="s">
        <v>332</v>
      </c>
      <c r="T1099" s="55" t="s">
        <v>1847</v>
      </c>
    </row>
    <row r="1100" spans="1:20" ht="13" x14ac:dyDescent="0.15">
      <c r="A1100" s="72" t="str">
        <f t="shared" si="17"/>
        <v>Ofsted Social Care Provider Webpage</v>
      </c>
      <c r="B1100" s="55">
        <v>2590342</v>
      </c>
      <c r="D1100" s="55" t="s">
        <v>373</v>
      </c>
      <c r="E1100" s="74">
        <v>43999</v>
      </c>
      <c r="F1100" s="55" t="s">
        <v>344</v>
      </c>
      <c r="G1100" s="55" t="s">
        <v>360</v>
      </c>
      <c r="H1100" s="55" t="s">
        <v>360</v>
      </c>
      <c r="I1100" s="55" t="s">
        <v>360</v>
      </c>
      <c r="J1100" s="55" t="s">
        <v>360</v>
      </c>
      <c r="K1100" s="55" t="s">
        <v>360</v>
      </c>
      <c r="L1100" s="55" t="s">
        <v>360</v>
      </c>
      <c r="M1100" s="55" t="s">
        <v>144</v>
      </c>
      <c r="N1100" s="55" t="s">
        <v>144</v>
      </c>
      <c r="O1100" s="55" t="s">
        <v>162</v>
      </c>
      <c r="P1100" s="55" t="s">
        <v>686</v>
      </c>
      <c r="Q1100" s="55" t="s">
        <v>350</v>
      </c>
      <c r="R1100" s="55">
        <v>3</v>
      </c>
      <c r="S1100" s="55"/>
      <c r="T1100" s="55" t="s">
        <v>917</v>
      </c>
    </row>
    <row r="1101" spans="1:20" ht="13" x14ac:dyDescent="0.15">
      <c r="A1101" s="72" t="str">
        <f t="shared" si="17"/>
        <v>Ofsted Social Care Provider Webpage</v>
      </c>
      <c r="B1101" s="55">
        <v>2590405</v>
      </c>
      <c r="D1101" s="55" t="s">
        <v>373</v>
      </c>
      <c r="E1101" s="74">
        <v>44025</v>
      </c>
      <c r="F1101" s="55" t="s">
        <v>344</v>
      </c>
      <c r="G1101" s="55" t="s">
        <v>360</v>
      </c>
      <c r="H1101" s="55" t="s">
        <v>360</v>
      </c>
      <c r="I1101" s="55" t="s">
        <v>360</v>
      </c>
      <c r="J1101" s="55" t="s">
        <v>360</v>
      </c>
      <c r="K1101" s="55" t="s">
        <v>360</v>
      </c>
      <c r="L1101" s="55" t="s">
        <v>360</v>
      </c>
      <c r="M1101" s="55" t="s">
        <v>142</v>
      </c>
      <c r="N1101" s="55" t="s">
        <v>142</v>
      </c>
      <c r="O1101" s="55" t="s">
        <v>262</v>
      </c>
      <c r="P1101" s="55" t="s">
        <v>949</v>
      </c>
      <c r="Q1101" s="55" t="s">
        <v>350</v>
      </c>
      <c r="R1101" s="55">
        <v>3</v>
      </c>
      <c r="S1101" s="55"/>
      <c r="T1101" s="55" t="s">
        <v>1473</v>
      </c>
    </row>
    <row r="1102" spans="1:20" ht="13" x14ac:dyDescent="0.15">
      <c r="A1102" s="72" t="str">
        <f t="shared" si="17"/>
        <v>Ofsted Social Care Provider Webpage</v>
      </c>
      <c r="B1102" s="55">
        <v>2590408</v>
      </c>
      <c r="D1102" s="55" t="s">
        <v>373</v>
      </c>
      <c r="E1102" s="74">
        <v>44062</v>
      </c>
      <c r="F1102" s="55" t="s">
        <v>344</v>
      </c>
      <c r="G1102" s="55" t="s">
        <v>360</v>
      </c>
      <c r="H1102" s="55" t="s">
        <v>360</v>
      </c>
      <c r="I1102" s="55" t="s">
        <v>360</v>
      </c>
      <c r="J1102" s="55" t="s">
        <v>360</v>
      </c>
      <c r="K1102" s="55" t="s">
        <v>360</v>
      </c>
      <c r="L1102" s="55" t="s">
        <v>360</v>
      </c>
      <c r="M1102" s="55" t="s">
        <v>142</v>
      </c>
      <c r="N1102" s="55" t="s">
        <v>142</v>
      </c>
      <c r="O1102" s="55" t="s">
        <v>262</v>
      </c>
      <c r="P1102" s="55" t="s">
        <v>916</v>
      </c>
      <c r="Q1102" s="55" t="s">
        <v>350</v>
      </c>
      <c r="R1102" s="55">
        <v>3</v>
      </c>
      <c r="S1102" s="55"/>
      <c r="T1102" s="55" t="s">
        <v>1848</v>
      </c>
    </row>
    <row r="1103" spans="1:20" ht="13" x14ac:dyDescent="0.15">
      <c r="A1103" s="72" t="str">
        <f t="shared" si="17"/>
        <v>Ofsted Social Care Provider Webpage</v>
      </c>
      <c r="B1103" s="55">
        <v>2590522</v>
      </c>
      <c r="D1103" s="55" t="s">
        <v>373</v>
      </c>
      <c r="E1103" s="74">
        <v>44032</v>
      </c>
      <c r="F1103" s="55" t="s">
        <v>344</v>
      </c>
      <c r="G1103" s="55" t="s">
        <v>360</v>
      </c>
      <c r="H1103" s="55" t="s">
        <v>360</v>
      </c>
      <c r="I1103" s="55" t="s">
        <v>360</v>
      </c>
      <c r="J1103" s="55" t="s">
        <v>360</v>
      </c>
      <c r="K1103" s="55" t="s">
        <v>360</v>
      </c>
      <c r="L1103" s="55" t="s">
        <v>360</v>
      </c>
      <c r="M1103" s="55" t="s">
        <v>144</v>
      </c>
      <c r="N1103" s="55" t="s">
        <v>144</v>
      </c>
      <c r="O1103" s="55" t="s">
        <v>209</v>
      </c>
      <c r="P1103" s="55" t="s">
        <v>364</v>
      </c>
      <c r="Q1103" s="55" t="s">
        <v>350</v>
      </c>
      <c r="R1103" s="55">
        <v>4</v>
      </c>
      <c r="S1103" s="55"/>
      <c r="T1103" s="55" t="s">
        <v>1539</v>
      </c>
    </row>
    <row r="1104" spans="1:20" ht="13" x14ac:dyDescent="0.15">
      <c r="A1104" s="72" t="str">
        <f t="shared" si="17"/>
        <v>Ofsted Social Care Provider Webpage</v>
      </c>
      <c r="B1104" s="55">
        <v>2590578</v>
      </c>
      <c r="D1104" s="55" t="s">
        <v>373</v>
      </c>
      <c r="E1104" s="74">
        <v>44169</v>
      </c>
      <c r="F1104" s="55" t="s">
        <v>344</v>
      </c>
      <c r="G1104" s="55" t="s">
        <v>360</v>
      </c>
      <c r="H1104" s="55" t="s">
        <v>360</v>
      </c>
      <c r="I1104" s="55" t="s">
        <v>360</v>
      </c>
      <c r="J1104" s="55" t="s">
        <v>360</v>
      </c>
      <c r="K1104" s="55" t="s">
        <v>360</v>
      </c>
      <c r="L1104" s="55" t="s">
        <v>360</v>
      </c>
      <c r="M1104" s="55" t="s">
        <v>138</v>
      </c>
      <c r="N1104" s="55" t="s">
        <v>138</v>
      </c>
      <c r="O1104" s="55" t="s">
        <v>196</v>
      </c>
      <c r="P1104" s="55" t="s">
        <v>848</v>
      </c>
      <c r="Q1104" s="55" t="s">
        <v>350</v>
      </c>
      <c r="R1104" s="55">
        <v>4</v>
      </c>
      <c r="S1104" s="55"/>
      <c r="T1104" s="55" t="s">
        <v>1507</v>
      </c>
    </row>
    <row r="1105" spans="1:20" ht="13" x14ac:dyDescent="0.15">
      <c r="A1105" s="72" t="str">
        <f t="shared" si="17"/>
        <v>Ofsted Social Care Provider Webpage</v>
      </c>
      <c r="B1105" s="55">
        <v>2590699</v>
      </c>
      <c r="D1105" s="55" t="s">
        <v>373</v>
      </c>
      <c r="E1105" s="74">
        <v>43992</v>
      </c>
      <c r="F1105" s="55" t="s">
        <v>344</v>
      </c>
      <c r="G1105" s="55" t="s">
        <v>360</v>
      </c>
      <c r="H1105" s="55" t="s">
        <v>360</v>
      </c>
      <c r="I1105" s="55" t="s">
        <v>360</v>
      </c>
      <c r="J1105" s="55" t="s">
        <v>360</v>
      </c>
      <c r="K1105" s="55" t="s">
        <v>360</v>
      </c>
      <c r="L1105" s="55" t="s">
        <v>360</v>
      </c>
      <c r="M1105" s="55" t="s">
        <v>144</v>
      </c>
      <c r="N1105" s="55" t="s">
        <v>144</v>
      </c>
      <c r="O1105" s="55" t="s">
        <v>248</v>
      </c>
      <c r="P1105" s="55" t="s">
        <v>492</v>
      </c>
      <c r="Q1105" s="55" t="s">
        <v>350</v>
      </c>
      <c r="R1105" s="55">
        <v>4</v>
      </c>
      <c r="S1105" s="55"/>
      <c r="T1105" s="55" t="s">
        <v>1541</v>
      </c>
    </row>
    <row r="1106" spans="1:20" ht="13" x14ac:dyDescent="0.15">
      <c r="A1106" s="72" t="str">
        <f t="shared" si="17"/>
        <v>Ofsted Social Care Provider Webpage</v>
      </c>
      <c r="B1106" s="55">
        <v>2590726</v>
      </c>
      <c r="D1106" s="55" t="s">
        <v>373</v>
      </c>
      <c r="E1106" s="74">
        <v>44026</v>
      </c>
      <c r="F1106" s="55" t="s">
        <v>344</v>
      </c>
      <c r="G1106" s="55" t="s">
        <v>360</v>
      </c>
      <c r="H1106" s="55" t="s">
        <v>360</v>
      </c>
      <c r="I1106" s="55" t="s">
        <v>360</v>
      </c>
      <c r="J1106" s="55" t="s">
        <v>360</v>
      </c>
      <c r="K1106" s="55" t="s">
        <v>360</v>
      </c>
      <c r="L1106" s="55" t="s">
        <v>360</v>
      </c>
      <c r="M1106" s="55" t="s">
        <v>144</v>
      </c>
      <c r="N1106" s="55" t="s">
        <v>144</v>
      </c>
      <c r="O1106" s="55" t="s">
        <v>209</v>
      </c>
      <c r="P1106" s="55" t="s">
        <v>544</v>
      </c>
      <c r="Q1106" s="55" t="s">
        <v>350</v>
      </c>
      <c r="R1106" s="55">
        <v>2</v>
      </c>
      <c r="S1106" s="55"/>
      <c r="T1106" s="55" t="s">
        <v>485</v>
      </c>
    </row>
    <row r="1107" spans="1:20" ht="13" x14ac:dyDescent="0.15">
      <c r="A1107" s="72" t="str">
        <f t="shared" si="17"/>
        <v>Ofsted Social Care Provider Webpage</v>
      </c>
      <c r="B1107" s="55">
        <v>2590732</v>
      </c>
      <c r="D1107" s="55" t="s">
        <v>373</v>
      </c>
      <c r="E1107" s="74">
        <v>44021</v>
      </c>
      <c r="F1107" s="55" t="s">
        <v>344</v>
      </c>
      <c r="G1107" s="55" t="s">
        <v>360</v>
      </c>
      <c r="H1107" s="55" t="s">
        <v>360</v>
      </c>
      <c r="I1107" s="55" t="s">
        <v>360</v>
      </c>
      <c r="J1107" s="55" t="s">
        <v>360</v>
      </c>
      <c r="K1107" s="55" t="s">
        <v>360</v>
      </c>
      <c r="L1107" s="55" t="s">
        <v>360</v>
      </c>
      <c r="M1107" s="55" t="s">
        <v>144</v>
      </c>
      <c r="N1107" s="55" t="s">
        <v>144</v>
      </c>
      <c r="O1107" s="55" t="s">
        <v>209</v>
      </c>
      <c r="P1107" s="55" t="s">
        <v>364</v>
      </c>
      <c r="Q1107" s="55" t="s">
        <v>350</v>
      </c>
      <c r="R1107" s="55">
        <v>2</v>
      </c>
      <c r="S1107" s="55"/>
      <c r="T1107" s="55" t="s">
        <v>485</v>
      </c>
    </row>
    <row r="1108" spans="1:20" ht="13" x14ac:dyDescent="0.15">
      <c r="A1108" s="72" t="str">
        <f t="shared" si="17"/>
        <v>Ofsted Social Care Provider Webpage</v>
      </c>
      <c r="B1108" s="55">
        <v>2590738</v>
      </c>
      <c r="D1108" s="55" t="s">
        <v>443</v>
      </c>
      <c r="E1108" s="74">
        <v>44006</v>
      </c>
      <c r="F1108" s="55" t="s">
        <v>344</v>
      </c>
      <c r="G1108" s="55" t="s">
        <v>1849</v>
      </c>
      <c r="H1108" s="55" t="s">
        <v>1850</v>
      </c>
      <c r="I1108" s="55" t="s">
        <v>1851</v>
      </c>
      <c r="J1108" s="55" t="s">
        <v>990</v>
      </c>
      <c r="K1108" s="55" t="s">
        <v>237</v>
      </c>
      <c r="L1108" s="55" t="s">
        <v>1852</v>
      </c>
      <c r="M1108" s="55" t="s">
        <v>150</v>
      </c>
      <c r="N1108" s="55" t="s">
        <v>150</v>
      </c>
      <c r="O1108" s="55" t="s">
        <v>237</v>
      </c>
      <c r="P1108" s="55" t="s">
        <v>990</v>
      </c>
      <c r="Q1108" s="55" t="s">
        <v>350</v>
      </c>
      <c r="R1108" s="55"/>
      <c r="S1108" s="55"/>
      <c r="T1108" s="55" t="s">
        <v>1853</v>
      </c>
    </row>
    <row r="1109" spans="1:20" ht="13" x14ac:dyDescent="0.15">
      <c r="A1109" s="72" t="str">
        <f t="shared" si="17"/>
        <v>Ofsted Social Care Provider Webpage</v>
      </c>
      <c r="B1109" s="55">
        <v>2590824</v>
      </c>
      <c r="D1109" s="55" t="s">
        <v>373</v>
      </c>
      <c r="E1109" s="74">
        <v>44071</v>
      </c>
      <c r="F1109" s="55" t="s">
        <v>344</v>
      </c>
      <c r="G1109" s="55" t="s">
        <v>360</v>
      </c>
      <c r="H1109" s="55" t="s">
        <v>360</v>
      </c>
      <c r="I1109" s="55" t="s">
        <v>360</v>
      </c>
      <c r="J1109" s="55" t="s">
        <v>360</v>
      </c>
      <c r="K1109" s="55" t="s">
        <v>360</v>
      </c>
      <c r="L1109" s="55" t="s">
        <v>360</v>
      </c>
      <c r="M1109" s="55" t="s">
        <v>129</v>
      </c>
      <c r="N1109" s="55" t="s">
        <v>129</v>
      </c>
      <c r="O1109" s="55" t="s">
        <v>179</v>
      </c>
      <c r="P1109" s="55" t="s">
        <v>1854</v>
      </c>
      <c r="Q1109" s="55" t="s">
        <v>362</v>
      </c>
      <c r="R1109" s="55">
        <v>6</v>
      </c>
      <c r="S1109" s="55"/>
      <c r="T1109" s="55" t="s">
        <v>367</v>
      </c>
    </row>
    <row r="1110" spans="1:20" ht="13" x14ac:dyDescent="0.15">
      <c r="A1110" s="72" t="str">
        <f t="shared" si="17"/>
        <v>Ofsted Social Care Provider Webpage</v>
      </c>
      <c r="B1110" s="55">
        <v>2590832</v>
      </c>
      <c r="D1110" s="55" t="s">
        <v>373</v>
      </c>
      <c r="E1110" s="74">
        <v>44089</v>
      </c>
      <c r="F1110" s="55" t="s">
        <v>344</v>
      </c>
      <c r="G1110" s="55" t="s">
        <v>360</v>
      </c>
      <c r="H1110" s="55" t="s">
        <v>360</v>
      </c>
      <c r="I1110" s="55" t="s">
        <v>360</v>
      </c>
      <c r="J1110" s="55" t="s">
        <v>360</v>
      </c>
      <c r="K1110" s="55" t="s">
        <v>360</v>
      </c>
      <c r="L1110" s="55" t="s">
        <v>360</v>
      </c>
      <c r="M1110" s="55" t="s">
        <v>142</v>
      </c>
      <c r="N1110" s="55" t="s">
        <v>142</v>
      </c>
      <c r="O1110" s="55" t="s">
        <v>177</v>
      </c>
      <c r="P1110" s="55" t="s">
        <v>835</v>
      </c>
      <c r="Q1110" s="55" t="s">
        <v>350</v>
      </c>
      <c r="R1110" s="55">
        <v>3</v>
      </c>
      <c r="S1110" s="55"/>
      <c r="T1110" s="55" t="s">
        <v>1855</v>
      </c>
    </row>
    <row r="1111" spans="1:20" ht="13" x14ac:dyDescent="0.15">
      <c r="A1111" s="72" t="str">
        <f t="shared" si="17"/>
        <v>Ofsted Social Care Provider Webpage</v>
      </c>
      <c r="B1111" s="55">
        <v>2590934</v>
      </c>
      <c r="D1111" s="55" t="s">
        <v>373</v>
      </c>
      <c r="E1111" s="74">
        <v>44007</v>
      </c>
      <c r="F1111" s="55" t="s">
        <v>344</v>
      </c>
      <c r="G1111" s="55" t="s">
        <v>360</v>
      </c>
      <c r="H1111" s="55" t="s">
        <v>360</v>
      </c>
      <c r="I1111" s="55" t="s">
        <v>360</v>
      </c>
      <c r="J1111" s="55" t="s">
        <v>360</v>
      </c>
      <c r="K1111" s="55" t="s">
        <v>360</v>
      </c>
      <c r="L1111" s="55" t="s">
        <v>360</v>
      </c>
      <c r="M1111" s="55" t="s">
        <v>129</v>
      </c>
      <c r="N1111" s="55" t="s">
        <v>129</v>
      </c>
      <c r="O1111" s="55" t="s">
        <v>213</v>
      </c>
      <c r="P1111" s="55" t="s">
        <v>1020</v>
      </c>
      <c r="Q1111" s="55" t="s">
        <v>350</v>
      </c>
      <c r="R1111" s="55">
        <v>2</v>
      </c>
      <c r="S1111" s="55"/>
      <c r="T1111" s="55" t="s">
        <v>1856</v>
      </c>
    </row>
    <row r="1112" spans="1:20" ht="13" x14ac:dyDescent="0.15">
      <c r="A1112" s="72" t="str">
        <f t="shared" si="17"/>
        <v>Ofsted Social Care Provider Webpage</v>
      </c>
      <c r="B1112" s="55">
        <v>2590942</v>
      </c>
      <c r="D1112" s="55" t="s">
        <v>373</v>
      </c>
      <c r="E1112" s="74">
        <v>43955</v>
      </c>
      <c r="F1112" s="55" t="s">
        <v>344</v>
      </c>
      <c r="G1112" s="55" t="s">
        <v>360</v>
      </c>
      <c r="H1112" s="55" t="s">
        <v>360</v>
      </c>
      <c r="I1112" s="55" t="s">
        <v>360</v>
      </c>
      <c r="J1112" s="55" t="s">
        <v>360</v>
      </c>
      <c r="K1112" s="55" t="s">
        <v>360</v>
      </c>
      <c r="L1112" s="55" t="s">
        <v>360</v>
      </c>
      <c r="M1112" s="55" t="s">
        <v>378</v>
      </c>
      <c r="N1112" s="55" t="s">
        <v>134</v>
      </c>
      <c r="O1112" s="55" t="s">
        <v>158</v>
      </c>
      <c r="P1112" s="55" t="s">
        <v>480</v>
      </c>
      <c r="Q1112" s="55" t="s">
        <v>350</v>
      </c>
      <c r="R1112" s="55">
        <v>2</v>
      </c>
      <c r="S1112" s="55"/>
      <c r="T1112" s="55" t="s">
        <v>951</v>
      </c>
    </row>
    <row r="1113" spans="1:20" ht="13" x14ac:dyDescent="0.15">
      <c r="A1113" s="72" t="str">
        <f t="shared" si="17"/>
        <v>Ofsted Social Care Provider Webpage</v>
      </c>
      <c r="B1113" s="55">
        <v>2591033</v>
      </c>
      <c r="D1113" s="55" t="s">
        <v>373</v>
      </c>
      <c r="E1113" s="74">
        <v>44005</v>
      </c>
      <c r="F1113" s="55" t="s">
        <v>344</v>
      </c>
      <c r="G1113" s="55" t="s">
        <v>360</v>
      </c>
      <c r="H1113" s="55" t="s">
        <v>360</v>
      </c>
      <c r="I1113" s="55" t="s">
        <v>360</v>
      </c>
      <c r="J1113" s="55" t="s">
        <v>360</v>
      </c>
      <c r="K1113" s="55" t="s">
        <v>360</v>
      </c>
      <c r="L1113" s="55" t="s">
        <v>360</v>
      </c>
      <c r="M1113" s="55" t="s">
        <v>172</v>
      </c>
      <c r="N1113" s="55" t="s">
        <v>172</v>
      </c>
      <c r="O1113" s="55" t="s">
        <v>234</v>
      </c>
      <c r="P1113" s="55" t="s">
        <v>965</v>
      </c>
      <c r="Q1113" s="55" t="s">
        <v>350</v>
      </c>
      <c r="R1113" s="55">
        <v>4</v>
      </c>
      <c r="S1113" s="55"/>
      <c r="T1113" s="55" t="s">
        <v>1857</v>
      </c>
    </row>
    <row r="1114" spans="1:20" ht="13" x14ac:dyDescent="0.15">
      <c r="A1114" s="72" t="str">
        <f t="shared" si="17"/>
        <v>Ofsted Social Care Provider Webpage</v>
      </c>
      <c r="B1114" s="55">
        <v>2591400</v>
      </c>
      <c r="D1114" s="55" t="s">
        <v>373</v>
      </c>
      <c r="E1114" s="74">
        <v>43957</v>
      </c>
      <c r="F1114" s="55" t="s">
        <v>344</v>
      </c>
      <c r="G1114" s="55" t="s">
        <v>360</v>
      </c>
      <c r="H1114" s="55" t="s">
        <v>360</v>
      </c>
      <c r="I1114" s="55" t="s">
        <v>360</v>
      </c>
      <c r="J1114" s="55" t="s">
        <v>360</v>
      </c>
      <c r="K1114" s="55" t="s">
        <v>360</v>
      </c>
      <c r="L1114" s="55" t="s">
        <v>360</v>
      </c>
      <c r="M1114" s="55" t="s">
        <v>144</v>
      </c>
      <c r="N1114" s="55" t="s">
        <v>144</v>
      </c>
      <c r="O1114" s="55" t="s">
        <v>236</v>
      </c>
      <c r="P1114" s="55" t="s">
        <v>996</v>
      </c>
      <c r="Q1114" s="55" t="s">
        <v>350</v>
      </c>
      <c r="R1114" s="55">
        <v>3</v>
      </c>
      <c r="S1114" s="55"/>
      <c r="T1114" s="55" t="s">
        <v>1064</v>
      </c>
    </row>
    <row r="1115" spans="1:20" ht="13" x14ac:dyDescent="0.15">
      <c r="A1115" s="72" t="str">
        <f t="shared" si="17"/>
        <v>Ofsted Social Care Provider Webpage</v>
      </c>
      <c r="B1115" s="55">
        <v>2591431</v>
      </c>
      <c r="D1115" s="55" t="s">
        <v>373</v>
      </c>
      <c r="E1115" s="74">
        <v>44032</v>
      </c>
      <c r="F1115" s="55" t="s">
        <v>344</v>
      </c>
      <c r="G1115" s="55" t="s">
        <v>360</v>
      </c>
      <c r="H1115" s="55" t="s">
        <v>360</v>
      </c>
      <c r="I1115" s="55" t="s">
        <v>360</v>
      </c>
      <c r="J1115" s="55" t="s">
        <v>360</v>
      </c>
      <c r="K1115" s="55" t="s">
        <v>360</v>
      </c>
      <c r="L1115" s="55" t="s">
        <v>360</v>
      </c>
      <c r="M1115" s="55" t="s">
        <v>138</v>
      </c>
      <c r="N1115" s="55" t="s">
        <v>138</v>
      </c>
      <c r="O1115" s="55" t="s">
        <v>183</v>
      </c>
      <c r="P1115" s="55" t="s">
        <v>730</v>
      </c>
      <c r="Q1115" s="55" t="s">
        <v>350</v>
      </c>
      <c r="R1115" s="55">
        <v>8</v>
      </c>
      <c r="S1115" s="55"/>
      <c r="T1115" s="55" t="s">
        <v>574</v>
      </c>
    </row>
    <row r="1116" spans="1:20" ht="13" x14ac:dyDescent="0.15">
      <c r="A1116" s="72" t="str">
        <f t="shared" si="17"/>
        <v>Ofsted Social Care Provider Webpage</v>
      </c>
      <c r="B1116" s="55">
        <v>2591471</v>
      </c>
      <c r="D1116" s="55" t="s">
        <v>373</v>
      </c>
      <c r="E1116" s="74">
        <v>44147</v>
      </c>
      <c r="F1116" s="55" t="s">
        <v>344</v>
      </c>
      <c r="G1116" s="55" t="s">
        <v>360</v>
      </c>
      <c r="H1116" s="55" t="s">
        <v>360</v>
      </c>
      <c r="I1116" s="55" t="s">
        <v>360</v>
      </c>
      <c r="J1116" s="55" t="s">
        <v>360</v>
      </c>
      <c r="K1116" s="55" t="s">
        <v>360</v>
      </c>
      <c r="L1116" s="55" t="s">
        <v>360</v>
      </c>
      <c r="M1116" s="55" t="s">
        <v>378</v>
      </c>
      <c r="N1116" s="55" t="s">
        <v>170</v>
      </c>
      <c r="O1116" s="55" t="s">
        <v>267</v>
      </c>
      <c r="P1116" s="55" t="s">
        <v>477</v>
      </c>
      <c r="Q1116" s="55" t="s">
        <v>350</v>
      </c>
      <c r="R1116" s="55">
        <v>2</v>
      </c>
      <c r="S1116" s="55"/>
      <c r="T1116" s="55" t="s">
        <v>1699</v>
      </c>
    </row>
    <row r="1117" spans="1:20" ht="13" x14ac:dyDescent="0.15">
      <c r="A1117" s="72" t="str">
        <f t="shared" si="17"/>
        <v>Ofsted Social Care Provider Webpage</v>
      </c>
      <c r="B1117" s="55">
        <v>2591479</v>
      </c>
      <c r="D1117" s="55" t="s">
        <v>373</v>
      </c>
      <c r="E1117" s="74">
        <v>44047</v>
      </c>
      <c r="F1117" s="55" t="s">
        <v>344</v>
      </c>
      <c r="G1117" s="55" t="s">
        <v>360</v>
      </c>
      <c r="H1117" s="55" t="s">
        <v>360</v>
      </c>
      <c r="I1117" s="55" t="s">
        <v>360</v>
      </c>
      <c r="J1117" s="55" t="s">
        <v>360</v>
      </c>
      <c r="K1117" s="55" t="s">
        <v>360</v>
      </c>
      <c r="L1117" s="55" t="s">
        <v>360</v>
      </c>
      <c r="M1117" s="55" t="s">
        <v>144</v>
      </c>
      <c r="N1117" s="55" t="s">
        <v>144</v>
      </c>
      <c r="O1117" s="55" t="s">
        <v>209</v>
      </c>
      <c r="P1117" s="55" t="s">
        <v>1858</v>
      </c>
      <c r="Q1117" s="55" t="s">
        <v>350</v>
      </c>
      <c r="R1117" s="55">
        <v>3</v>
      </c>
      <c r="S1117" s="55"/>
      <c r="T1117" s="55" t="s">
        <v>778</v>
      </c>
    </row>
    <row r="1118" spans="1:20" ht="13" x14ac:dyDescent="0.15">
      <c r="A1118" s="72" t="str">
        <f t="shared" si="17"/>
        <v>Ofsted Social Care Provider Webpage</v>
      </c>
      <c r="B1118" s="55">
        <v>2591499</v>
      </c>
      <c r="D1118" s="55" t="s">
        <v>373</v>
      </c>
      <c r="E1118" s="74">
        <v>44138</v>
      </c>
      <c r="F1118" s="55" t="s">
        <v>344</v>
      </c>
      <c r="G1118" s="55" t="s">
        <v>360</v>
      </c>
      <c r="H1118" s="55" t="s">
        <v>360</v>
      </c>
      <c r="I1118" s="55" t="s">
        <v>360</v>
      </c>
      <c r="J1118" s="55" t="s">
        <v>360</v>
      </c>
      <c r="K1118" s="55" t="s">
        <v>360</v>
      </c>
      <c r="L1118" s="55" t="s">
        <v>360</v>
      </c>
      <c r="M1118" s="55" t="s">
        <v>378</v>
      </c>
      <c r="N1118" s="55" t="s">
        <v>134</v>
      </c>
      <c r="O1118" s="55" t="s">
        <v>180</v>
      </c>
      <c r="P1118" s="55" t="s">
        <v>662</v>
      </c>
      <c r="Q1118" s="55" t="s">
        <v>350</v>
      </c>
      <c r="R1118" s="55">
        <v>3</v>
      </c>
      <c r="S1118" s="55"/>
      <c r="T1118" s="55" t="s">
        <v>1484</v>
      </c>
    </row>
    <row r="1119" spans="1:20" ht="13" x14ac:dyDescent="0.15">
      <c r="A1119" s="72" t="str">
        <f t="shared" si="17"/>
        <v>Ofsted Social Care Provider Webpage</v>
      </c>
      <c r="B1119" s="55">
        <v>2591501</v>
      </c>
      <c r="D1119" s="55" t="s">
        <v>373</v>
      </c>
      <c r="E1119" s="74">
        <v>44029</v>
      </c>
      <c r="F1119" s="55" t="s">
        <v>344</v>
      </c>
      <c r="G1119" s="55" t="s">
        <v>360</v>
      </c>
      <c r="H1119" s="55" t="s">
        <v>360</v>
      </c>
      <c r="I1119" s="55" t="s">
        <v>360</v>
      </c>
      <c r="J1119" s="55" t="s">
        <v>360</v>
      </c>
      <c r="K1119" s="55" t="s">
        <v>360</v>
      </c>
      <c r="L1119" s="55" t="s">
        <v>360</v>
      </c>
      <c r="M1119" s="55" t="s">
        <v>378</v>
      </c>
      <c r="N1119" s="55" t="s">
        <v>134</v>
      </c>
      <c r="O1119" s="55" t="s">
        <v>180</v>
      </c>
      <c r="P1119" s="55" t="s">
        <v>1483</v>
      </c>
      <c r="Q1119" s="55" t="s">
        <v>350</v>
      </c>
      <c r="R1119" s="55">
        <v>2</v>
      </c>
      <c r="S1119" s="55"/>
      <c r="T1119" s="55" t="s">
        <v>1484</v>
      </c>
    </row>
    <row r="1120" spans="1:20" ht="13" x14ac:dyDescent="0.15">
      <c r="A1120" s="72" t="str">
        <f t="shared" si="17"/>
        <v>Ofsted Social Care Provider Webpage</v>
      </c>
      <c r="B1120" s="55">
        <v>2591643</v>
      </c>
      <c r="D1120" s="55" t="s">
        <v>373</v>
      </c>
      <c r="E1120" s="74">
        <v>44201</v>
      </c>
      <c r="F1120" s="55" t="s">
        <v>344</v>
      </c>
      <c r="G1120" s="55" t="s">
        <v>360</v>
      </c>
      <c r="H1120" s="55" t="s">
        <v>360</v>
      </c>
      <c r="I1120" s="55" t="s">
        <v>360</v>
      </c>
      <c r="J1120" s="55" t="s">
        <v>360</v>
      </c>
      <c r="K1120" s="55" t="s">
        <v>360</v>
      </c>
      <c r="L1120" s="55" t="s">
        <v>360</v>
      </c>
      <c r="M1120" s="55" t="s">
        <v>142</v>
      </c>
      <c r="N1120" s="55" t="s">
        <v>142</v>
      </c>
      <c r="O1120" s="55" t="s">
        <v>262</v>
      </c>
      <c r="P1120" s="55" t="s">
        <v>1859</v>
      </c>
      <c r="Q1120" s="55" t="s">
        <v>350</v>
      </c>
      <c r="R1120" s="55">
        <v>3</v>
      </c>
      <c r="S1120" s="55"/>
      <c r="T1120" s="55" t="s">
        <v>1106</v>
      </c>
    </row>
    <row r="1121" spans="1:20" ht="13" x14ac:dyDescent="0.15">
      <c r="A1121" s="72" t="str">
        <f t="shared" si="17"/>
        <v>Ofsted Social Care Provider Webpage</v>
      </c>
      <c r="B1121" s="55">
        <v>2591688</v>
      </c>
      <c r="D1121" s="55" t="s">
        <v>373</v>
      </c>
      <c r="E1121" s="74">
        <v>43971</v>
      </c>
      <c r="F1121" s="55" t="s">
        <v>344</v>
      </c>
      <c r="G1121" s="55" t="s">
        <v>360</v>
      </c>
      <c r="H1121" s="55" t="s">
        <v>360</v>
      </c>
      <c r="I1121" s="55" t="s">
        <v>360</v>
      </c>
      <c r="J1121" s="55" t="s">
        <v>360</v>
      </c>
      <c r="K1121" s="55" t="s">
        <v>360</v>
      </c>
      <c r="L1121" s="55" t="s">
        <v>360</v>
      </c>
      <c r="M1121" s="55" t="s">
        <v>136</v>
      </c>
      <c r="N1121" s="55" t="s">
        <v>136</v>
      </c>
      <c r="O1121" s="55" t="s">
        <v>174</v>
      </c>
      <c r="P1121" s="55" t="s">
        <v>1526</v>
      </c>
      <c r="Q1121" s="55" t="s">
        <v>350</v>
      </c>
      <c r="R1121" s="55">
        <v>2</v>
      </c>
      <c r="S1121" s="55"/>
      <c r="T1121" s="55" t="s">
        <v>1521</v>
      </c>
    </row>
    <row r="1122" spans="1:20" ht="13" x14ac:dyDescent="0.15">
      <c r="A1122" s="72" t="str">
        <f t="shared" si="17"/>
        <v>Ofsted Social Care Provider Webpage</v>
      </c>
      <c r="B1122" s="55">
        <v>2591708</v>
      </c>
      <c r="D1122" s="55" t="s">
        <v>373</v>
      </c>
      <c r="E1122" s="74">
        <v>43987</v>
      </c>
      <c r="F1122" s="55" t="s">
        <v>344</v>
      </c>
      <c r="G1122" s="55" t="s">
        <v>360</v>
      </c>
      <c r="H1122" s="55" t="s">
        <v>360</v>
      </c>
      <c r="I1122" s="55" t="s">
        <v>360</v>
      </c>
      <c r="J1122" s="55" t="s">
        <v>360</v>
      </c>
      <c r="K1122" s="55" t="s">
        <v>360</v>
      </c>
      <c r="L1122" s="55" t="s">
        <v>360</v>
      </c>
      <c r="M1122" s="55" t="s">
        <v>142</v>
      </c>
      <c r="N1122" s="55" t="s">
        <v>142</v>
      </c>
      <c r="O1122" s="55" t="s">
        <v>262</v>
      </c>
      <c r="P1122" s="55" t="s">
        <v>523</v>
      </c>
      <c r="Q1122" s="55" t="s">
        <v>350</v>
      </c>
      <c r="R1122" s="55">
        <v>3</v>
      </c>
      <c r="S1122" s="55"/>
      <c r="T1122" s="55" t="s">
        <v>1307</v>
      </c>
    </row>
    <row r="1123" spans="1:20" ht="13" x14ac:dyDescent="0.15">
      <c r="A1123" s="72" t="str">
        <f t="shared" si="17"/>
        <v>Ofsted Social Care Provider Webpage</v>
      </c>
      <c r="B1123" s="55">
        <v>2591822</v>
      </c>
      <c r="D1123" s="55" t="s">
        <v>373</v>
      </c>
      <c r="E1123" s="74">
        <v>44034</v>
      </c>
      <c r="F1123" s="55" t="s">
        <v>344</v>
      </c>
      <c r="G1123" s="55" t="s">
        <v>360</v>
      </c>
      <c r="H1123" s="55" t="s">
        <v>360</v>
      </c>
      <c r="I1123" s="55" t="s">
        <v>360</v>
      </c>
      <c r="J1123" s="55" t="s">
        <v>360</v>
      </c>
      <c r="K1123" s="55" t="s">
        <v>360</v>
      </c>
      <c r="L1123" s="55" t="s">
        <v>360</v>
      </c>
      <c r="M1123" s="55" t="s">
        <v>138</v>
      </c>
      <c r="N1123" s="55" t="s">
        <v>138</v>
      </c>
      <c r="O1123" s="55" t="s">
        <v>161</v>
      </c>
      <c r="P1123" s="55" t="s">
        <v>643</v>
      </c>
      <c r="Q1123" s="55" t="s">
        <v>350</v>
      </c>
      <c r="R1123" s="55">
        <v>4</v>
      </c>
      <c r="S1123" s="55"/>
      <c r="T1123" s="55" t="s">
        <v>1860</v>
      </c>
    </row>
    <row r="1124" spans="1:20" ht="13" x14ac:dyDescent="0.15">
      <c r="A1124" s="72" t="str">
        <f t="shared" si="17"/>
        <v>Ofsted Social Care Provider Webpage</v>
      </c>
      <c r="B1124" s="55">
        <v>2591854</v>
      </c>
      <c r="D1124" s="55" t="s">
        <v>373</v>
      </c>
      <c r="E1124" s="74">
        <v>44064</v>
      </c>
      <c r="F1124" s="55" t="s">
        <v>344</v>
      </c>
      <c r="G1124" s="55" t="s">
        <v>360</v>
      </c>
      <c r="H1124" s="55" t="s">
        <v>360</v>
      </c>
      <c r="I1124" s="55" t="s">
        <v>360</v>
      </c>
      <c r="J1124" s="55" t="s">
        <v>360</v>
      </c>
      <c r="K1124" s="55" t="s">
        <v>360</v>
      </c>
      <c r="L1124" s="55" t="s">
        <v>360</v>
      </c>
      <c r="M1124" s="55" t="s">
        <v>150</v>
      </c>
      <c r="N1124" s="55" t="s">
        <v>150</v>
      </c>
      <c r="O1124" s="55" t="s">
        <v>181</v>
      </c>
      <c r="P1124" s="55" t="s">
        <v>1142</v>
      </c>
      <c r="Q1124" s="55" t="s">
        <v>350</v>
      </c>
      <c r="R1124" s="55">
        <v>5</v>
      </c>
      <c r="S1124" s="55"/>
      <c r="T1124" s="55" t="s">
        <v>1861</v>
      </c>
    </row>
    <row r="1125" spans="1:20" ht="13" x14ac:dyDescent="0.15">
      <c r="A1125" s="72" t="str">
        <f t="shared" si="17"/>
        <v>Ofsted Social Care Provider Webpage</v>
      </c>
      <c r="B1125" s="55">
        <v>2591888</v>
      </c>
      <c r="D1125" s="55" t="s">
        <v>373</v>
      </c>
      <c r="E1125" s="74">
        <v>43998</v>
      </c>
      <c r="F1125" s="55" t="s">
        <v>344</v>
      </c>
      <c r="G1125" s="55" t="s">
        <v>360</v>
      </c>
      <c r="H1125" s="55" t="s">
        <v>360</v>
      </c>
      <c r="I1125" s="55" t="s">
        <v>360</v>
      </c>
      <c r="J1125" s="55" t="s">
        <v>360</v>
      </c>
      <c r="K1125" s="55" t="s">
        <v>360</v>
      </c>
      <c r="L1125" s="55" t="s">
        <v>360</v>
      </c>
      <c r="M1125" s="55" t="s">
        <v>144</v>
      </c>
      <c r="N1125" s="55" t="s">
        <v>144</v>
      </c>
      <c r="O1125" s="55" t="s">
        <v>271</v>
      </c>
      <c r="P1125" s="55" t="s">
        <v>1120</v>
      </c>
      <c r="Q1125" s="55" t="s">
        <v>350</v>
      </c>
      <c r="R1125" s="55">
        <v>4</v>
      </c>
      <c r="S1125" s="55"/>
      <c r="T1125" s="55" t="s">
        <v>1093</v>
      </c>
    </row>
    <row r="1126" spans="1:20" ht="13" x14ac:dyDescent="0.15">
      <c r="A1126" s="72" t="str">
        <f t="shared" si="17"/>
        <v>Ofsted Social Care Provider Webpage</v>
      </c>
      <c r="B1126" s="55">
        <v>2591911</v>
      </c>
      <c r="D1126" s="55" t="s">
        <v>373</v>
      </c>
      <c r="E1126" s="74">
        <v>43998</v>
      </c>
      <c r="F1126" s="55" t="s">
        <v>344</v>
      </c>
      <c r="G1126" s="55" t="s">
        <v>360</v>
      </c>
      <c r="H1126" s="55" t="s">
        <v>360</v>
      </c>
      <c r="I1126" s="55" t="s">
        <v>360</v>
      </c>
      <c r="J1126" s="55" t="s">
        <v>360</v>
      </c>
      <c r="K1126" s="55" t="s">
        <v>360</v>
      </c>
      <c r="L1126" s="55" t="s">
        <v>360</v>
      </c>
      <c r="M1126" s="55" t="s">
        <v>172</v>
      </c>
      <c r="N1126" s="55" t="s">
        <v>172</v>
      </c>
      <c r="O1126" s="55" t="s">
        <v>171</v>
      </c>
      <c r="P1126" s="55" t="s">
        <v>983</v>
      </c>
      <c r="Q1126" s="55" t="s">
        <v>350</v>
      </c>
      <c r="R1126" s="55">
        <v>3</v>
      </c>
      <c r="S1126" s="55"/>
      <c r="T1126" s="55" t="s">
        <v>1862</v>
      </c>
    </row>
    <row r="1127" spans="1:20" ht="13" x14ac:dyDescent="0.15">
      <c r="A1127" s="72" t="str">
        <f t="shared" si="17"/>
        <v>Ofsted Social Care Provider Webpage</v>
      </c>
      <c r="B1127" s="55">
        <v>2591916</v>
      </c>
      <c r="D1127" s="55" t="s">
        <v>373</v>
      </c>
      <c r="E1127" s="74">
        <v>44032</v>
      </c>
      <c r="F1127" s="55" t="s">
        <v>344</v>
      </c>
      <c r="G1127" s="55" t="s">
        <v>360</v>
      </c>
      <c r="H1127" s="55" t="s">
        <v>360</v>
      </c>
      <c r="I1127" s="55" t="s">
        <v>360</v>
      </c>
      <c r="J1127" s="55" t="s">
        <v>360</v>
      </c>
      <c r="K1127" s="55" t="s">
        <v>360</v>
      </c>
      <c r="L1127" s="55" t="s">
        <v>360</v>
      </c>
      <c r="M1127" s="55" t="s">
        <v>144</v>
      </c>
      <c r="N1127" s="55" t="s">
        <v>144</v>
      </c>
      <c r="O1127" s="55" t="s">
        <v>287</v>
      </c>
      <c r="P1127" s="55" t="s">
        <v>287</v>
      </c>
      <c r="Q1127" s="55" t="s">
        <v>350</v>
      </c>
      <c r="R1127" s="55">
        <v>1</v>
      </c>
      <c r="S1127" s="55"/>
      <c r="T1127" s="55" t="s">
        <v>816</v>
      </c>
    </row>
    <row r="1128" spans="1:20" ht="13" x14ac:dyDescent="0.15">
      <c r="A1128" s="72" t="str">
        <f t="shared" si="17"/>
        <v>Ofsted Social Care Provider Webpage</v>
      </c>
      <c r="B1128" s="55">
        <v>2592030</v>
      </c>
      <c r="D1128" s="55" t="s">
        <v>373</v>
      </c>
      <c r="E1128" s="74">
        <v>44004</v>
      </c>
      <c r="F1128" s="55" t="s">
        <v>344</v>
      </c>
      <c r="G1128" s="55" t="s">
        <v>360</v>
      </c>
      <c r="H1128" s="55" t="s">
        <v>360</v>
      </c>
      <c r="I1128" s="55" t="s">
        <v>360</v>
      </c>
      <c r="J1128" s="55" t="s">
        <v>360</v>
      </c>
      <c r="K1128" s="55" t="s">
        <v>360</v>
      </c>
      <c r="L1128" s="55" t="s">
        <v>360</v>
      </c>
      <c r="M1128" s="55" t="s">
        <v>150</v>
      </c>
      <c r="N1128" s="55" t="s">
        <v>150</v>
      </c>
      <c r="O1128" s="55" t="s">
        <v>203</v>
      </c>
      <c r="P1128" s="55" t="s">
        <v>632</v>
      </c>
      <c r="Q1128" s="55" t="s">
        <v>350</v>
      </c>
      <c r="R1128" s="55">
        <v>4</v>
      </c>
      <c r="S1128" s="55"/>
      <c r="T1128" s="55" t="s">
        <v>1863</v>
      </c>
    </row>
    <row r="1129" spans="1:20" ht="13" x14ac:dyDescent="0.15">
      <c r="A1129" s="72" t="str">
        <f t="shared" si="17"/>
        <v>Ofsted Social Care Provider Webpage</v>
      </c>
      <c r="B1129" s="55">
        <v>2592035</v>
      </c>
      <c r="D1129" s="55" t="s">
        <v>373</v>
      </c>
      <c r="E1129" s="74">
        <v>43991</v>
      </c>
      <c r="F1129" s="55" t="s">
        <v>344</v>
      </c>
      <c r="G1129" s="55" t="s">
        <v>360</v>
      </c>
      <c r="H1129" s="55" t="s">
        <v>360</v>
      </c>
      <c r="I1129" s="55" t="s">
        <v>360</v>
      </c>
      <c r="J1129" s="55" t="s">
        <v>360</v>
      </c>
      <c r="K1129" s="55" t="s">
        <v>360</v>
      </c>
      <c r="L1129" s="55" t="s">
        <v>360</v>
      </c>
      <c r="M1129" s="55" t="s">
        <v>144</v>
      </c>
      <c r="N1129" s="55" t="s">
        <v>144</v>
      </c>
      <c r="O1129" s="55" t="s">
        <v>290</v>
      </c>
      <c r="P1129" s="55" t="s">
        <v>1099</v>
      </c>
      <c r="Q1129" s="55" t="s">
        <v>350</v>
      </c>
      <c r="R1129" s="55">
        <v>4</v>
      </c>
      <c r="S1129" s="55"/>
      <c r="T1129" s="55" t="s">
        <v>1100</v>
      </c>
    </row>
    <row r="1130" spans="1:20" ht="13" x14ac:dyDescent="0.15">
      <c r="A1130" s="72" t="str">
        <f t="shared" si="17"/>
        <v>Ofsted Social Care Provider Webpage</v>
      </c>
      <c r="B1130" s="55">
        <v>2592060</v>
      </c>
      <c r="D1130" s="55" t="s">
        <v>358</v>
      </c>
      <c r="E1130" s="74">
        <v>44036</v>
      </c>
      <c r="F1130" s="55" t="s">
        <v>344</v>
      </c>
      <c r="G1130" s="55" t="s">
        <v>1864</v>
      </c>
      <c r="H1130" s="55" t="s">
        <v>360</v>
      </c>
      <c r="I1130" s="55" t="s">
        <v>360</v>
      </c>
      <c r="J1130" s="55" t="s">
        <v>360</v>
      </c>
      <c r="K1130" s="55" t="s">
        <v>360</v>
      </c>
      <c r="L1130" s="55" t="s">
        <v>360</v>
      </c>
      <c r="M1130" s="55" t="s">
        <v>172</v>
      </c>
      <c r="N1130" s="55" t="s">
        <v>172</v>
      </c>
      <c r="O1130" s="55" t="s">
        <v>212</v>
      </c>
      <c r="P1130" s="55" t="s">
        <v>883</v>
      </c>
      <c r="Q1130" s="55" t="s">
        <v>350</v>
      </c>
      <c r="R1130" s="55"/>
      <c r="S1130" s="55"/>
      <c r="T1130" s="55" t="s">
        <v>1865</v>
      </c>
    </row>
    <row r="1131" spans="1:20" ht="13" x14ac:dyDescent="0.15">
      <c r="A1131" s="72" t="str">
        <f t="shared" si="17"/>
        <v>Ofsted Social Care Provider Webpage</v>
      </c>
      <c r="B1131" s="55">
        <v>2592228</v>
      </c>
      <c r="D1131" s="55" t="s">
        <v>373</v>
      </c>
      <c r="E1131" s="74">
        <v>44014</v>
      </c>
      <c r="F1131" s="55" t="s">
        <v>344</v>
      </c>
      <c r="G1131" s="55" t="s">
        <v>360</v>
      </c>
      <c r="H1131" s="55" t="s">
        <v>360</v>
      </c>
      <c r="I1131" s="55" t="s">
        <v>360</v>
      </c>
      <c r="J1131" s="55" t="s">
        <v>360</v>
      </c>
      <c r="K1131" s="55" t="s">
        <v>360</v>
      </c>
      <c r="L1131" s="55" t="s">
        <v>360</v>
      </c>
      <c r="M1131" s="55" t="s">
        <v>172</v>
      </c>
      <c r="N1131" s="55" t="s">
        <v>172</v>
      </c>
      <c r="O1131" s="55" t="s">
        <v>284</v>
      </c>
      <c r="P1131" s="55" t="s">
        <v>1475</v>
      </c>
      <c r="Q1131" s="55" t="s">
        <v>350</v>
      </c>
      <c r="R1131" s="55">
        <v>2</v>
      </c>
      <c r="S1131" s="55"/>
      <c r="T1131" s="55" t="s">
        <v>1637</v>
      </c>
    </row>
    <row r="1132" spans="1:20" ht="13" x14ac:dyDescent="0.15">
      <c r="A1132" s="72" t="str">
        <f t="shared" si="17"/>
        <v>Ofsted Social Care Provider Webpage</v>
      </c>
      <c r="B1132" s="55">
        <v>2592242</v>
      </c>
      <c r="D1132" s="55" t="s">
        <v>373</v>
      </c>
      <c r="E1132" s="74">
        <v>44092</v>
      </c>
      <c r="F1132" s="55" t="s">
        <v>344</v>
      </c>
      <c r="G1132" s="55" t="s">
        <v>360</v>
      </c>
      <c r="H1132" s="55" t="s">
        <v>360</v>
      </c>
      <c r="I1132" s="55" t="s">
        <v>360</v>
      </c>
      <c r="J1132" s="55" t="s">
        <v>360</v>
      </c>
      <c r="K1132" s="55" t="s">
        <v>360</v>
      </c>
      <c r="L1132" s="55" t="s">
        <v>360</v>
      </c>
      <c r="M1132" s="55" t="s">
        <v>136</v>
      </c>
      <c r="N1132" s="55" t="s">
        <v>136</v>
      </c>
      <c r="O1132" s="55" t="s">
        <v>174</v>
      </c>
      <c r="P1132" s="55" t="s">
        <v>1526</v>
      </c>
      <c r="Q1132" s="55" t="s">
        <v>350</v>
      </c>
      <c r="R1132" s="55">
        <v>3</v>
      </c>
      <c r="S1132" s="55"/>
      <c r="T1132" s="55" t="s">
        <v>450</v>
      </c>
    </row>
    <row r="1133" spans="1:20" ht="13" x14ac:dyDescent="0.15">
      <c r="A1133" s="72" t="str">
        <f t="shared" si="17"/>
        <v>Ofsted Social Care Provider Webpage</v>
      </c>
      <c r="B1133" s="55">
        <v>2592361</v>
      </c>
      <c r="D1133" s="55" t="s">
        <v>373</v>
      </c>
      <c r="E1133" s="74">
        <v>43948</v>
      </c>
      <c r="F1133" s="55" t="s">
        <v>344</v>
      </c>
      <c r="G1133" s="55" t="s">
        <v>360</v>
      </c>
      <c r="H1133" s="55" t="s">
        <v>360</v>
      </c>
      <c r="I1133" s="55" t="s">
        <v>360</v>
      </c>
      <c r="J1133" s="55" t="s">
        <v>360</v>
      </c>
      <c r="K1133" s="55" t="s">
        <v>360</v>
      </c>
      <c r="L1133" s="55" t="s">
        <v>360</v>
      </c>
      <c r="M1133" s="55" t="s">
        <v>129</v>
      </c>
      <c r="N1133" s="55" t="s">
        <v>129</v>
      </c>
      <c r="O1133" s="55" t="s">
        <v>279</v>
      </c>
      <c r="P1133" s="55" t="s">
        <v>1078</v>
      </c>
      <c r="Q1133" s="55" t="s">
        <v>350</v>
      </c>
      <c r="R1133" s="55">
        <v>3</v>
      </c>
      <c r="S1133" s="55"/>
      <c r="T1133" s="55" t="s">
        <v>1866</v>
      </c>
    </row>
    <row r="1134" spans="1:20" ht="13" x14ac:dyDescent="0.15">
      <c r="A1134" s="72" t="str">
        <f t="shared" si="17"/>
        <v>Ofsted Social Care Provider Webpage</v>
      </c>
      <c r="B1134" s="55">
        <v>2592531</v>
      </c>
      <c r="D1134" s="55" t="s">
        <v>373</v>
      </c>
      <c r="E1134" s="74">
        <v>44013</v>
      </c>
      <c r="F1134" s="55" t="s">
        <v>344</v>
      </c>
      <c r="G1134" s="55" t="s">
        <v>360</v>
      </c>
      <c r="H1134" s="55" t="s">
        <v>360</v>
      </c>
      <c r="I1134" s="55" t="s">
        <v>360</v>
      </c>
      <c r="J1134" s="55" t="s">
        <v>360</v>
      </c>
      <c r="K1134" s="55" t="s">
        <v>360</v>
      </c>
      <c r="L1134" s="55" t="s">
        <v>360</v>
      </c>
      <c r="M1134" s="55" t="s">
        <v>136</v>
      </c>
      <c r="N1134" s="55" t="s">
        <v>136</v>
      </c>
      <c r="O1134" s="55" t="s">
        <v>255</v>
      </c>
      <c r="P1134" s="55" t="s">
        <v>757</v>
      </c>
      <c r="Q1134" s="55" t="s">
        <v>350</v>
      </c>
      <c r="R1134" s="55">
        <v>3</v>
      </c>
      <c r="S1134" s="55"/>
      <c r="T1134" s="55" t="s">
        <v>1359</v>
      </c>
    </row>
    <row r="1135" spans="1:20" ht="13" x14ac:dyDescent="0.15">
      <c r="A1135" s="72" t="str">
        <f t="shared" si="17"/>
        <v>Ofsted Social Care Provider Webpage</v>
      </c>
      <c r="B1135" s="55">
        <v>2592566</v>
      </c>
      <c r="D1135" s="55" t="s">
        <v>389</v>
      </c>
      <c r="E1135" s="74">
        <v>44006</v>
      </c>
      <c r="F1135" s="55" t="s">
        <v>344</v>
      </c>
      <c r="G1135" s="55" t="s">
        <v>1867</v>
      </c>
      <c r="H1135" s="55" t="s">
        <v>1868</v>
      </c>
      <c r="I1135" s="55" t="s">
        <v>1869</v>
      </c>
      <c r="J1135" s="55" t="s">
        <v>545</v>
      </c>
      <c r="K1135" s="55" t="s">
        <v>209</v>
      </c>
      <c r="L1135" s="55" t="s">
        <v>1870</v>
      </c>
      <c r="M1135" s="55" t="s">
        <v>144</v>
      </c>
      <c r="N1135" s="55" t="s">
        <v>144</v>
      </c>
      <c r="O1135" s="55" t="s">
        <v>209</v>
      </c>
      <c r="P1135" s="55" t="s">
        <v>545</v>
      </c>
      <c r="Q1135" s="55" t="s">
        <v>350</v>
      </c>
      <c r="R1135" s="55"/>
      <c r="S1135" s="55"/>
      <c r="T1135" s="55" t="s">
        <v>1871</v>
      </c>
    </row>
    <row r="1136" spans="1:20" ht="13" x14ac:dyDescent="0.15">
      <c r="A1136" s="72" t="str">
        <f t="shared" si="17"/>
        <v>Ofsted Social Care Provider Webpage</v>
      </c>
      <c r="B1136" s="55">
        <v>2592700</v>
      </c>
      <c r="D1136" s="55" t="s">
        <v>373</v>
      </c>
      <c r="E1136" s="74">
        <v>44159</v>
      </c>
      <c r="F1136" s="55" t="s">
        <v>344</v>
      </c>
      <c r="G1136" s="55" t="s">
        <v>360</v>
      </c>
      <c r="H1136" s="55" t="s">
        <v>360</v>
      </c>
      <c r="I1136" s="55" t="s">
        <v>360</v>
      </c>
      <c r="J1136" s="55" t="s">
        <v>360</v>
      </c>
      <c r="K1136" s="55" t="s">
        <v>360</v>
      </c>
      <c r="L1136" s="55" t="s">
        <v>360</v>
      </c>
      <c r="M1136" s="55" t="s">
        <v>150</v>
      </c>
      <c r="N1136" s="55" t="s">
        <v>150</v>
      </c>
      <c r="O1136" s="55" t="s">
        <v>253</v>
      </c>
      <c r="P1136" s="55" t="s">
        <v>253</v>
      </c>
      <c r="Q1136" s="55" t="s">
        <v>362</v>
      </c>
      <c r="R1136" s="55">
        <v>5</v>
      </c>
      <c r="S1136" s="55"/>
      <c r="T1136" s="55" t="s">
        <v>463</v>
      </c>
    </row>
    <row r="1137" spans="1:20" ht="13" x14ac:dyDescent="0.15">
      <c r="A1137" s="72" t="str">
        <f t="shared" si="17"/>
        <v>Ofsted Social Care Provider Webpage</v>
      </c>
      <c r="B1137" s="55">
        <v>2592713</v>
      </c>
      <c r="D1137" s="55" t="s">
        <v>373</v>
      </c>
      <c r="E1137" s="74">
        <v>44069</v>
      </c>
      <c r="F1137" s="55" t="s">
        <v>344</v>
      </c>
      <c r="G1137" s="55" t="s">
        <v>360</v>
      </c>
      <c r="H1137" s="55" t="s">
        <v>360</v>
      </c>
      <c r="I1137" s="55" t="s">
        <v>360</v>
      </c>
      <c r="J1137" s="55" t="s">
        <v>360</v>
      </c>
      <c r="K1137" s="55" t="s">
        <v>360</v>
      </c>
      <c r="L1137" s="55" t="s">
        <v>360</v>
      </c>
      <c r="M1137" s="55" t="s">
        <v>144</v>
      </c>
      <c r="N1137" s="55" t="s">
        <v>144</v>
      </c>
      <c r="O1137" s="55" t="s">
        <v>162</v>
      </c>
      <c r="P1137" s="55" t="s">
        <v>1502</v>
      </c>
      <c r="Q1137" s="55" t="s">
        <v>350</v>
      </c>
      <c r="R1137" s="55">
        <v>5</v>
      </c>
      <c r="S1137" s="55"/>
      <c r="T1137" s="55" t="s">
        <v>1503</v>
      </c>
    </row>
    <row r="1138" spans="1:20" ht="13" x14ac:dyDescent="0.15">
      <c r="A1138" s="72" t="str">
        <f t="shared" si="17"/>
        <v>Ofsted Social Care Provider Webpage</v>
      </c>
      <c r="B1138" s="55">
        <v>2592750</v>
      </c>
      <c r="D1138" s="55" t="s">
        <v>373</v>
      </c>
      <c r="E1138" s="74">
        <v>43992</v>
      </c>
      <c r="F1138" s="55" t="s">
        <v>344</v>
      </c>
      <c r="G1138" s="55" t="s">
        <v>360</v>
      </c>
      <c r="H1138" s="55" t="s">
        <v>360</v>
      </c>
      <c r="I1138" s="55" t="s">
        <v>360</v>
      </c>
      <c r="J1138" s="55" t="s">
        <v>360</v>
      </c>
      <c r="K1138" s="55" t="s">
        <v>360</v>
      </c>
      <c r="L1138" s="55" t="s">
        <v>360</v>
      </c>
      <c r="M1138" s="55" t="s">
        <v>138</v>
      </c>
      <c r="N1138" s="55" t="s">
        <v>138</v>
      </c>
      <c r="O1138" s="55" t="s">
        <v>224</v>
      </c>
      <c r="P1138" s="55" t="s">
        <v>1872</v>
      </c>
      <c r="Q1138" s="55" t="s">
        <v>362</v>
      </c>
      <c r="R1138" s="55">
        <v>2</v>
      </c>
      <c r="S1138" s="55"/>
      <c r="T1138" s="55" t="s">
        <v>557</v>
      </c>
    </row>
    <row r="1139" spans="1:20" ht="13" x14ac:dyDescent="0.15">
      <c r="A1139" s="72" t="str">
        <f t="shared" si="17"/>
        <v>Ofsted Social Care Provider Webpage</v>
      </c>
      <c r="B1139" s="55">
        <v>2592781</v>
      </c>
      <c r="D1139" s="55" t="s">
        <v>373</v>
      </c>
      <c r="E1139" s="74">
        <v>44001</v>
      </c>
      <c r="F1139" s="55" t="s">
        <v>344</v>
      </c>
      <c r="G1139" s="55" t="s">
        <v>360</v>
      </c>
      <c r="H1139" s="55" t="s">
        <v>360</v>
      </c>
      <c r="I1139" s="55" t="s">
        <v>360</v>
      </c>
      <c r="J1139" s="55" t="s">
        <v>360</v>
      </c>
      <c r="K1139" s="55" t="s">
        <v>360</v>
      </c>
      <c r="L1139" s="55" t="s">
        <v>360</v>
      </c>
      <c r="M1139" s="55" t="s">
        <v>144</v>
      </c>
      <c r="N1139" s="55" t="s">
        <v>144</v>
      </c>
      <c r="O1139" s="55" t="s">
        <v>250</v>
      </c>
      <c r="P1139" s="55" t="s">
        <v>759</v>
      </c>
      <c r="Q1139" s="55" t="s">
        <v>350</v>
      </c>
      <c r="R1139" s="55">
        <v>2</v>
      </c>
      <c r="S1139" s="55"/>
      <c r="T1139" s="55" t="s">
        <v>1463</v>
      </c>
    </row>
    <row r="1140" spans="1:20" ht="13" x14ac:dyDescent="0.15">
      <c r="A1140" s="72" t="str">
        <f t="shared" si="17"/>
        <v>Ofsted Social Care Provider Webpage</v>
      </c>
      <c r="B1140" s="55">
        <v>2592846</v>
      </c>
      <c r="D1140" s="55" t="s">
        <v>373</v>
      </c>
      <c r="E1140" s="74">
        <v>44123</v>
      </c>
      <c r="F1140" s="55" t="s">
        <v>344</v>
      </c>
      <c r="G1140" s="55" t="s">
        <v>360</v>
      </c>
      <c r="H1140" s="55" t="s">
        <v>360</v>
      </c>
      <c r="I1140" s="55" t="s">
        <v>360</v>
      </c>
      <c r="J1140" s="55" t="s">
        <v>360</v>
      </c>
      <c r="K1140" s="55" t="s">
        <v>360</v>
      </c>
      <c r="L1140" s="55" t="s">
        <v>360</v>
      </c>
      <c r="M1140" s="55" t="s">
        <v>378</v>
      </c>
      <c r="N1140" s="55" t="s">
        <v>134</v>
      </c>
      <c r="O1140" s="55" t="s">
        <v>158</v>
      </c>
      <c r="P1140" s="55" t="s">
        <v>480</v>
      </c>
      <c r="Q1140" s="55" t="s">
        <v>350</v>
      </c>
      <c r="R1140" s="55">
        <v>2</v>
      </c>
      <c r="S1140" s="55"/>
      <c r="T1140" s="55" t="s">
        <v>1688</v>
      </c>
    </row>
    <row r="1141" spans="1:20" ht="13" x14ac:dyDescent="0.15">
      <c r="A1141" s="72" t="str">
        <f t="shared" si="17"/>
        <v>Ofsted Social Care Provider Webpage</v>
      </c>
      <c r="B1141" s="55">
        <v>2592891</v>
      </c>
      <c r="D1141" s="55" t="s">
        <v>373</v>
      </c>
      <c r="E1141" s="74">
        <v>44103</v>
      </c>
      <c r="F1141" s="55" t="s">
        <v>344</v>
      </c>
      <c r="G1141" s="55" t="s">
        <v>360</v>
      </c>
      <c r="H1141" s="55" t="s">
        <v>360</v>
      </c>
      <c r="I1141" s="55" t="s">
        <v>360</v>
      </c>
      <c r="J1141" s="55" t="s">
        <v>360</v>
      </c>
      <c r="K1141" s="55" t="s">
        <v>360</v>
      </c>
      <c r="L1141" s="55" t="s">
        <v>360</v>
      </c>
      <c r="M1141" s="55" t="s">
        <v>378</v>
      </c>
      <c r="N1141" s="55" t="s">
        <v>170</v>
      </c>
      <c r="O1141" s="55" t="s">
        <v>264</v>
      </c>
      <c r="P1141" s="55" t="s">
        <v>437</v>
      </c>
      <c r="Q1141" s="55" t="s">
        <v>350</v>
      </c>
      <c r="R1141" s="55">
        <v>4</v>
      </c>
      <c r="S1141" s="55"/>
      <c r="T1141" s="55" t="s">
        <v>1873</v>
      </c>
    </row>
    <row r="1142" spans="1:20" ht="13" x14ac:dyDescent="0.15">
      <c r="A1142" s="72" t="str">
        <f t="shared" si="17"/>
        <v>Ofsted Social Care Provider Webpage</v>
      </c>
      <c r="B1142" s="55">
        <v>2592943</v>
      </c>
      <c r="D1142" s="55" t="s">
        <v>373</v>
      </c>
      <c r="E1142" s="74">
        <v>44057</v>
      </c>
      <c r="F1142" s="55" t="s">
        <v>344</v>
      </c>
      <c r="G1142" s="55" t="s">
        <v>360</v>
      </c>
      <c r="H1142" s="55" t="s">
        <v>360</v>
      </c>
      <c r="I1142" s="55" t="s">
        <v>360</v>
      </c>
      <c r="J1142" s="55" t="s">
        <v>360</v>
      </c>
      <c r="K1142" s="55" t="s">
        <v>360</v>
      </c>
      <c r="L1142" s="55" t="s">
        <v>360</v>
      </c>
      <c r="M1142" s="55" t="s">
        <v>142</v>
      </c>
      <c r="N1142" s="55" t="s">
        <v>142</v>
      </c>
      <c r="O1142" s="55" t="s">
        <v>265</v>
      </c>
      <c r="P1142" s="55" t="s">
        <v>540</v>
      </c>
      <c r="Q1142" s="55" t="s">
        <v>350</v>
      </c>
      <c r="R1142" s="55">
        <v>8</v>
      </c>
      <c r="S1142" s="55"/>
      <c r="T1142" s="55" t="s">
        <v>1874</v>
      </c>
    </row>
    <row r="1143" spans="1:20" ht="13" x14ac:dyDescent="0.15">
      <c r="A1143" s="72" t="str">
        <f t="shared" si="17"/>
        <v>Ofsted Social Care Provider Webpage</v>
      </c>
      <c r="B1143" s="55">
        <v>2593032</v>
      </c>
      <c r="D1143" s="55" t="s">
        <v>373</v>
      </c>
      <c r="E1143" s="74">
        <v>44021</v>
      </c>
      <c r="F1143" s="55" t="s">
        <v>344</v>
      </c>
      <c r="G1143" s="55" t="s">
        <v>360</v>
      </c>
      <c r="H1143" s="55" t="s">
        <v>360</v>
      </c>
      <c r="I1143" s="55" t="s">
        <v>360</v>
      </c>
      <c r="J1143" s="55" t="s">
        <v>360</v>
      </c>
      <c r="K1143" s="55" t="s">
        <v>360</v>
      </c>
      <c r="L1143" s="55" t="s">
        <v>360</v>
      </c>
      <c r="M1143" s="55" t="s">
        <v>172</v>
      </c>
      <c r="N1143" s="55" t="s">
        <v>172</v>
      </c>
      <c r="O1143" s="55" t="s">
        <v>173</v>
      </c>
      <c r="P1143" s="55" t="s">
        <v>860</v>
      </c>
      <c r="Q1143" s="55" t="s">
        <v>350</v>
      </c>
      <c r="R1143" s="55">
        <v>3</v>
      </c>
      <c r="S1143" s="55"/>
      <c r="T1143" s="55" t="s">
        <v>1306</v>
      </c>
    </row>
    <row r="1144" spans="1:20" ht="13" x14ac:dyDescent="0.15">
      <c r="A1144" s="72" t="str">
        <f t="shared" si="17"/>
        <v>Ofsted Social Care Provider Webpage</v>
      </c>
      <c r="B1144" s="55">
        <v>2593046</v>
      </c>
      <c r="D1144" s="55" t="s">
        <v>373</v>
      </c>
      <c r="E1144" s="74">
        <v>44063</v>
      </c>
      <c r="F1144" s="55" t="s">
        <v>344</v>
      </c>
      <c r="G1144" s="55" t="s">
        <v>360</v>
      </c>
      <c r="H1144" s="55" t="s">
        <v>360</v>
      </c>
      <c r="I1144" s="55" t="s">
        <v>360</v>
      </c>
      <c r="J1144" s="55" t="s">
        <v>360</v>
      </c>
      <c r="K1144" s="55" t="s">
        <v>360</v>
      </c>
      <c r="L1144" s="55" t="s">
        <v>360</v>
      </c>
      <c r="M1144" s="55" t="s">
        <v>378</v>
      </c>
      <c r="N1144" s="55" t="s">
        <v>134</v>
      </c>
      <c r="O1144" s="55" t="s">
        <v>158</v>
      </c>
      <c r="P1144" s="55" t="s">
        <v>480</v>
      </c>
      <c r="Q1144" s="55" t="s">
        <v>350</v>
      </c>
      <c r="R1144" s="55">
        <v>2</v>
      </c>
      <c r="S1144" s="55"/>
      <c r="T1144" s="55" t="s">
        <v>1688</v>
      </c>
    </row>
    <row r="1145" spans="1:20" ht="13" x14ac:dyDescent="0.15">
      <c r="A1145" s="72" t="str">
        <f t="shared" si="17"/>
        <v>Ofsted Social Care Provider Webpage</v>
      </c>
      <c r="B1145" s="55">
        <v>2593054</v>
      </c>
      <c r="D1145" s="55" t="s">
        <v>373</v>
      </c>
      <c r="E1145" s="74">
        <v>44033</v>
      </c>
      <c r="F1145" s="55" t="s">
        <v>344</v>
      </c>
      <c r="G1145" s="55" t="s">
        <v>360</v>
      </c>
      <c r="H1145" s="55" t="s">
        <v>360</v>
      </c>
      <c r="I1145" s="55" t="s">
        <v>360</v>
      </c>
      <c r="J1145" s="55" t="s">
        <v>360</v>
      </c>
      <c r="K1145" s="55" t="s">
        <v>360</v>
      </c>
      <c r="L1145" s="55" t="s">
        <v>360</v>
      </c>
      <c r="M1145" s="55" t="s">
        <v>136</v>
      </c>
      <c r="N1145" s="55" t="s">
        <v>136</v>
      </c>
      <c r="O1145" s="55" t="s">
        <v>165</v>
      </c>
      <c r="P1145" s="55" t="s">
        <v>748</v>
      </c>
      <c r="Q1145" s="55" t="s">
        <v>362</v>
      </c>
      <c r="R1145" s="55">
        <v>3</v>
      </c>
      <c r="S1145" s="55"/>
      <c r="T1145" s="55" t="s">
        <v>1875</v>
      </c>
    </row>
    <row r="1146" spans="1:20" ht="13" x14ac:dyDescent="0.15">
      <c r="A1146" s="72" t="str">
        <f t="shared" si="17"/>
        <v>Ofsted Social Care Provider Webpage</v>
      </c>
      <c r="B1146" s="55">
        <v>2593058</v>
      </c>
      <c r="D1146" s="55" t="s">
        <v>389</v>
      </c>
      <c r="E1146" s="74">
        <v>44421</v>
      </c>
      <c r="F1146" s="55" t="s">
        <v>344</v>
      </c>
      <c r="G1146" s="55" t="s">
        <v>1876</v>
      </c>
      <c r="H1146" s="55" t="s">
        <v>1877</v>
      </c>
      <c r="I1146" s="55" t="s">
        <v>1878</v>
      </c>
      <c r="J1146" s="55" t="s">
        <v>1331</v>
      </c>
      <c r="K1146" s="55" t="s">
        <v>1615</v>
      </c>
      <c r="L1146" s="55" t="s">
        <v>1879</v>
      </c>
      <c r="M1146" s="55" t="s">
        <v>150</v>
      </c>
      <c r="N1146" s="55" t="s">
        <v>150</v>
      </c>
      <c r="O1146" s="55" t="s">
        <v>153</v>
      </c>
      <c r="P1146" s="55" t="s">
        <v>1331</v>
      </c>
      <c r="Q1146" s="55" t="s">
        <v>350</v>
      </c>
      <c r="R1146" s="55"/>
      <c r="S1146" s="55"/>
      <c r="T1146" s="55" t="s">
        <v>502</v>
      </c>
    </row>
    <row r="1147" spans="1:20" ht="13" x14ac:dyDescent="0.15">
      <c r="A1147" s="72" t="str">
        <f t="shared" si="17"/>
        <v>Ofsted Social Care Provider Webpage</v>
      </c>
      <c r="B1147" s="55">
        <v>2593071</v>
      </c>
      <c r="D1147" s="55" t="s">
        <v>373</v>
      </c>
      <c r="E1147" s="74">
        <v>44092</v>
      </c>
      <c r="F1147" s="55" t="s">
        <v>344</v>
      </c>
      <c r="G1147" s="55" t="s">
        <v>360</v>
      </c>
      <c r="H1147" s="55" t="s">
        <v>360</v>
      </c>
      <c r="I1147" s="55" t="s">
        <v>360</v>
      </c>
      <c r="J1147" s="55" t="s">
        <v>360</v>
      </c>
      <c r="K1147" s="55" t="s">
        <v>360</v>
      </c>
      <c r="L1147" s="55" t="s">
        <v>360</v>
      </c>
      <c r="M1147" s="55" t="s">
        <v>172</v>
      </c>
      <c r="N1147" s="55" t="s">
        <v>172</v>
      </c>
      <c r="O1147" s="55" t="s">
        <v>211</v>
      </c>
      <c r="P1147" s="55" t="s">
        <v>1062</v>
      </c>
      <c r="Q1147" s="55" t="s">
        <v>350</v>
      </c>
      <c r="R1147" s="55">
        <v>3</v>
      </c>
      <c r="S1147" s="55"/>
      <c r="T1147" s="55" t="s">
        <v>1357</v>
      </c>
    </row>
    <row r="1148" spans="1:20" ht="13" x14ac:dyDescent="0.15">
      <c r="A1148" s="72" t="str">
        <f t="shared" si="17"/>
        <v>Ofsted Social Care Provider Webpage</v>
      </c>
      <c r="B1148" s="55">
        <v>2593076</v>
      </c>
      <c r="D1148" s="55" t="s">
        <v>451</v>
      </c>
      <c r="E1148" s="74">
        <v>44271</v>
      </c>
      <c r="F1148" s="55" t="s">
        <v>344</v>
      </c>
      <c r="G1148" s="55" t="s">
        <v>1880</v>
      </c>
      <c r="H1148" s="55" t="s">
        <v>1881</v>
      </c>
      <c r="I1148" s="55" t="s">
        <v>1882</v>
      </c>
      <c r="J1148" s="55" t="s">
        <v>545</v>
      </c>
      <c r="K1148" s="55" t="s">
        <v>209</v>
      </c>
      <c r="L1148" s="55" t="s">
        <v>1883</v>
      </c>
      <c r="M1148" s="55" t="s">
        <v>144</v>
      </c>
      <c r="N1148" s="55" t="s">
        <v>144</v>
      </c>
      <c r="O1148" s="55" t="s">
        <v>209</v>
      </c>
      <c r="P1148" s="55" t="s">
        <v>545</v>
      </c>
      <c r="Q1148" s="55" t="s">
        <v>350</v>
      </c>
      <c r="R1148" s="55">
        <v>2</v>
      </c>
      <c r="S1148" s="55"/>
      <c r="T1148" s="55" t="s">
        <v>1577</v>
      </c>
    </row>
    <row r="1149" spans="1:20" ht="13" x14ac:dyDescent="0.15">
      <c r="A1149" s="72" t="str">
        <f t="shared" si="17"/>
        <v>Ofsted Social Care Provider Webpage</v>
      </c>
      <c r="B1149" s="55">
        <v>2593095</v>
      </c>
      <c r="D1149" s="55" t="s">
        <v>373</v>
      </c>
      <c r="E1149" s="74">
        <v>43958</v>
      </c>
      <c r="F1149" s="55" t="s">
        <v>344</v>
      </c>
      <c r="G1149" s="55" t="s">
        <v>360</v>
      </c>
      <c r="H1149" s="55" t="s">
        <v>360</v>
      </c>
      <c r="I1149" s="55" t="s">
        <v>360</v>
      </c>
      <c r="J1149" s="55" t="s">
        <v>360</v>
      </c>
      <c r="K1149" s="55" t="s">
        <v>360</v>
      </c>
      <c r="L1149" s="55" t="s">
        <v>360</v>
      </c>
      <c r="M1149" s="55" t="s">
        <v>129</v>
      </c>
      <c r="N1149" s="55" t="s">
        <v>129</v>
      </c>
      <c r="O1149" s="55" t="s">
        <v>242</v>
      </c>
      <c r="P1149" s="55" t="s">
        <v>1519</v>
      </c>
      <c r="Q1149" s="55" t="s">
        <v>362</v>
      </c>
      <c r="R1149" s="55">
        <v>3</v>
      </c>
      <c r="S1149" s="55"/>
      <c r="T1149" s="55" t="s">
        <v>1884</v>
      </c>
    </row>
    <row r="1150" spans="1:20" ht="13" x14ac:dyDescent="0.15">
      <c r="A1150" s="72" t="str">
        <f t="shared" si="17"/>
        <v>Ofsted Social Care Provider Webpage</v>
      </c>
      <c r="B1150" s="55">
        <v>2593261</v>
      </c>
      <c r="D1150" s="55" t="s">
        <v>373</v>
      </c>
      <c r="E1150" s="74">
        <v>44013</v>
      </c>
      <c r="F1150" s="55" t="s">
        <v>344</v>
      </c>
      <c r="G1150" s="55" t="s">
        <v>360</v>
      </c>
      <c r="H1150" s="55" t="s">
        <v>360</v>
      </c>
      <c r="I1150" s="55" t="s">
        <v>360</v>
      </c>
      <c r="J1150" s="55" t="s">
        <v>360</v>
      </c>
      <c r="K1150" s="55" t="s">
        <v>360</v>
      </c>
      <c r="L1150" s="55" t="s">
        <v>360</v>
      </c>
      <c r="M1150" s="55" t="s">
        <v>144</v>
      </c>
      <c r="N1150" s="55" t="s">
        <v>144</v>
      </c>
      <c r="O1150" s="55" t="s">
        <v>163</v>
      </c>
      <c r="P1150" s="55" t="s">
        <v>472</v>
      </c>
      <c r="Q1150" s="55" t="s">
        <v>350</v>
      </c>
      <c r="R1150" s="55">
        <v>2</v>
      </c>
      <c r="S1150" s="55"/>
      <c r="T1150" s="55" t="s">
        <v>1449</v>
      </c>
    </row>
    <row r="1151" spans="1:20" ht="13" x14ac:dyDescent="0.15">
      <c r="A1151" s="72" t="str">
        <f t="shared" si="17"/>
        <v>Ofsted Social Care Provider Webpage</v>
      </c>
      <c r="B1151" s="55">
        <v>2593530</v>
      </c>
      <c r="D1151" s="55" t="s">
        <v>373</v>
      </c>
      <c r="E1151" s="74">
        <v>44040</v>
      </c>
      <c r="F1151" s="55" t="s">
        <v>344</v>
      </c>
      <c r="G1151" s="55" t="s">
        <v>360</v>
      </c>
      <c r="H1151" s="55" t="s">
        <v>360</v>
      </c>
      <c r="I1151" s="55" t="s">
        <v>360</v>
      </c>
      <c r="J1151" s="55" t="s">
        <v>360</v>
      </c>
      <c r="K1151" s="55" t="s">
        <v>360</v>
      </c>
      <c r="L1151" s="55" t="s">
        <v>360</v>
      </c>
      <c r="M1151" s="55" t="s">
        <v>144</v>
      </c>
      <c r="N1151" s="55" t="s">
        <v>144</v>
      </c>
      <c r="O1151" s="55" t="s">
        <v>281</v>
      </c>
      <c r="P1151" s="55" t="s">
        <v>725</v>
      </c>
      <c r="Q1151" s="55" t="s">
        <v>350</v>
      </c>
      <c r="R1151" s="55">
        <v>5</v>
      </c>
      <c r="S1151" s="55"/>
      <c r="T1151" s="55" t="s">
        <v>1885</v>
      </c>
    </row>
    <row r="1152" spans="1:20" ht="13" x14ac:dyDescent="0.15">
      <c r="A1152" s="72" t="str">
        <f t="shared" si="17"/>
        <v>Ofsted Social Care Provider Webpage</v>
      </c>
      <c r="B1152" s="55">
        <v>2593579</v>
      </c>
      <c r="D1152" s="55" t="s">
        <v>373</v>
      </c>
      <c r="E1152" s="74">
        <v>44047</v>
      </c>
      <c r="F1152" s="55" t="s">
        <v>344</v>
      </c>
      <c r="G1152" s="55" t="s">
        <v>360</v>
      </c>
      <c r="H1152" s="55" t="s">
        <v>360</v>
      </c>
      <c r="I1152" s="55" t="s">
        <v>360</v>
      </c>
      <c r="J1152" s="55" t="s">
        <v>360</v>
      </c>
      <c r="K1152" s="55" t="s">
        <v>360</v>
      </c>
      <c r="L1152" s="55" t="s">
        <v>360</v>
      </c>
      <c r="M1152" s="55" t="s">
        <v>129</v>
      </c>
      <c r="N1152" s="55" t="s">
        <v>129</v>
      </c>
      <c r="O1152" s="55" t="s">
        <v>191</v>
      </c>
      <c r="P1152" s="55" t="s">
        <v>1224</v>
      </c>
      <c r="Q1152" s="55" t="s">
        <v>350</v>
      </c>
      <c r="R1152" s="55">
        <v>5</v>
      </c>
      <c r="S1152" s="55"/>
      <c r="T1152" s="55" t="s">
        <v>1886</v>
      </c>
    </row>
    <row r="1153" spans="1:20" ht="13" x14ac:dyDescent="0.15">
      <c r="A1153" s="72" t="str">
        <f t="shared" si="17"/>
        <v>Ofsted Social Care Provider Webpage</v>
      </c>
      <c r="B1153" s="55">
        <v>2593623</v>
      </c>
      <c r="D1153" s="55" t="s">
        <v>373</v>
      </c>
      <c r="E1153" s="74">
        <v>44029</v>
      </c>
      <c r="F1153" s="55" t="s">
        <v>344</v>
      </c>
      <c r="G1153" s="55" t="s">
        <v>360</v>
      </c>
      <c r="H1153" s="55" t="s">
        <v>360</v>
      </c>
      <c r="I1153" s="55" t="s">
        <v>360</v>
      </c>
      <c r="J1153" s="55" t="s">
        <v>360</v>
      </c>
      <c r="K1153" s="55" t="s">
        <v>360</v>
      </c>
      <c r="L1153" s="55" t="s">
        <v>360</v>
      </c>
      <c r="M1153" s="55" t="s">
        <v>144</v>
      </c>
      <c r="N1153" s="55" t="s">
        <v>144</v>
      </c>
      <c r="O1153" s="55" t="s">
        <v>281</v>
      </c>
      <c r="P1153" s="55" t="s">
        <v>725</v>
      </c>
      <c r="Q1153" s="55" t="s">
        <v>350</v>
      </c>
      <c r="R1153" s="55">
        <v>1</v>
      </c>
      <c r="S1153" s="55"/>
      <c r="T1153" s="55" t="s">
        <v>1449</v>
      </c>
    </row>
    <row r="1154" spans="1:20" ht="13" x14ac:dyDescent="0.15">
      <c r="A1154" s="72" t="str">
        <f t="shared" si="17"/>
        <v>Ofsted Social Care Provider Webpage</v>
      </c>
      <c r="B1154" s="55">
        <v>2593651</v>
      </c>
      <c r="D1154" s="55" t="s">
        <v>373</v>
      </c>
      <c r="E1154" s="74">
        <v>44039</v>
      </c>
      <c r="F1154" s="55" t="s">
        <v>344</v>
      </c>
      <c r="G1154" s="55" t="s">
        <v>360</v>
      </c>
      <c r="H1154" s="55" t="s">
        <v>360</v>
      </c>
      <c r="I1154" s="55" t="s">
        <v>360</v>
      </c>
      <c r="J1154" s="55" t="s">
        <v>360</v>
      </c>
      <c r="K1154" s="55" t="s">
        <v>360</v>
      </c>
      <c r="L1154" s="55" t="s">
        <v>360</v>
      </c>
      <c r="M1154" s="55" t="s">
        <v>378</v>
      </c>
      <c r="N1154" s="55" t="s">
        <v>134</v>
      </c>
      <c r="O1154" s="55" t="s">
        <v>246</v>
      </c>
      <c r="P1154" s="55" t="s">
        <v>685</v>
      </c>
      <c r="Q1154" s="55" t="s">
        <v>350</v>
      </c>
      <c r="R1154" s="55">
        <v>4</v>
      </c>
      <c r="S1154" s="55"/>
      <c r="T1154" s="55" t="s">
        <v>1887</v>
      </c>
    </row>
    <row r="1155" spans="1:20" ht="13" x14ac:dyDescent="0.15">
      <c r="A1155" s="72" t="str">
        <f t="shared" si="17"/>
        <v>Ofsted Social Care Provider Webpage</v>
      </c>
      <c r="B1155" s="55">
        <v>2593915</v>
      </c>
      <c r="D1155" s="55" t="s">
        <v>373</v>
      </c>
      <c r="E1155" s="74">
        <v>44088</v>
      </c>
      <c r="F1155" s="55" t="s">
        <v>344</v>
      </c>
      <c r="G1155" s="55" t="s">
        <v>360</v>
      </c>
      <c r="H1155" s="55" t="s">
        <v>360</v>
      </c>
      <c r="I1155" s="55" t="s">
        <v>360</v>
      </c>
      <c r="J1155" s="55" t="s">
        <v>360</v>
      </c>
      <c r="K1155" s="55" t="s">
        <v>360</v>
      </c>
      <c r="L1155" s="55" t="s">
        <v>360</v>
      </c>
      <c r="M1155" s="55" t="s">
        <v>144</v>
      </c>
      <c r="N1155" s="55" t="s">
        <v>144</v>
      </c>
      <c r="O1155" s="55" t="s">
        <v>248</v>
      </c>
      <c r="P1155" s="55" t="s">
        <v>439</v>
      </c>
      <c r="Q1155" s="55" t="s">
        <v>350</v>
      </c>
      <c r="R1155" s="55">
        <v>3</v>
      </c>
      <c r="S1155" s="55"/>
      <c r="T1155" s="55" t="s">
        <v>871</v>
      </c>
    </row>
    <row r="1156" spans="1:20" ht="13" x14ac:dyDescent="0.15">
      <c r="A1156" s="72" t="str">
        <f t="shared" si="17"/>
        <v>Ofsted Social Care Provider Webpage</v>
      </c>
      <c r="B1156" s="55">
        <v>2593928</v>
      </c>
      <c r="D1156" s="55" t="s">
        <v>373</v>
      </c>
      <c r="E1156" s="74">
        <v>44067</v>
      </c>
      <c r="F1156" s="55" t="s">
        <v>344</v>
      </c>
      <c r="G1156" s="55" t="s">
        <v>360</v>
      </c>
      <c r="H1156" s="55" t="s">
        <v>360</v>
      </c>
      <c r="I1156" s="55" t="s">
        <v>360</v>
      </c>
      <c r="J1156" s="55" t="s">
        <v>360</v>
      </c>
      <c r="K1156" s="55" t="s">
        <v>360</v>
      </c>
      <c r="L1156" s="55" t="s">
        <v>360</v>
      </c>
      <c r="M1156" s="55" t="s">
        <v>142</v>
      </c>
      <c r="N1156" s="55" t="s">
        <v>142</v>
      </c>
      <c r="O1156" s="55" t="s">
        <v>262</v>
      </c>
      <c r="P1156" s="55" t="s">
        <v>692</v>
      </c>
      <c r="Q1156" s="55" t="s">
        <v>350</v>
      </c>
      <c r="R1156" s="55">
        <v>3</v>
      </c>
      <c r="S1156" s="55"/>
      <c r="T1156" s="55" t="s">
        <v>1855</v>
      </c>
    </row>
    <row r="1157" spans="1:20" ht="13" x14ac:dyDescent="0.15">
      <c r="A1157" s="72" t="str">
        <f t="shared" ref="A1157:A1220" si="18">HYPERLINK(_xlfn.CONCAT("http://reports.ofsted.gov.uk/inspection-reports/find-inspection-report/provider/CARE/",B1157),"Ofsted Social Care Provider Webpage")</f>
        <v>Ofsted Social Care Provider Webpage</v>
      </c>
      <c r="B1157" s="55">
        <v>2594007</v>
      </c>
      <c r="D1157" s="55" t="s">
        <v>373</v>
      </c>
      <c r="E1157" s="74">
        <v>43991</v>
      </c>
      <c r="F1157" s="55" t="s">
        <v>344</v>
      </c>
      <c r="G1157" s="55" t="s">
        <v>360</v>
      </c>
      <c r="H1157" s="55" t="s">
        <v>360</v>
      </c>
      <c r="I1157" s="55" t="s">
        <v>360</v>
      </c>
      <c r="J1157" s="55" t="s">
        <v>360</v>
      </c>
      <c r="K1157" s="55" t="s">
        <v>360</v>
      </c>
      <c r="L1157" s="55" t="s">
        <v>360</v>
      </c>
      <c r="M1157" s="55" t="s">
        <v>144</v>
      </c>
      <c r="N1157" s="55" t="s">
        <v>144</v>
      </c>
      <c r="O1157" s="55" t="s">
        <v>248</v>
      </c>
      <c r="P1157" s="55" t="s">
        <v>439</v>
      </c>
      <c r="Q1157" s="55" t="s">
        <v>350</v>
      </c>
      <c r="R1157" s="55">
        <v>2</v>
      </c>
      <c r="S1157" s="55"/>
      <c r="T1157" s="55" t="s">
        <v>385</v>
      </c>
    </row>
    <row r="1158" spans="1:20" ht="13" x14ac:dyDescent="0.15">
      <c r="A1158" s="72" t="str">
        <f t="shared" si="18"/>
        <v>Ofsted Social Care Provider Webpage</v>
      </c>
      <c r="B1158" s="55">
        <v>2594033</v>
      </c>
      <c r="D1158" s="55" t="s">
        <v>373</v>
      </c>
      <c r="E1158" s="74">
        <v>44001</v>
      </c>
      <c r="F1158" s="55" t="s">
        <v>344</v>
      </c>
      <c r="G1158" s="55" t="s">
        <v>360</v>
      </c>
      <c r="H1158" s="55" t="s">
        <v>360</v>
      </c>
      <c r="I1158" s="55" t="s">
        <v>360</v>
      </c>
      <c r="J1158" s="55" t="s">
        <v>360</v>
      </c>
      <c r="K1158" s="55" t="s">
        <v>360</v>
      </c>
      <c r="L1158" s="55" t="s">
        <v>360</v>
      </c>
      <c r="M1158" s="55" t="s">
        <v>144</v>
      </c>
      <c r="N1158" s="55" t="s">
        <v>144</v>
      </c>
      <c r="O1158" s="55" t="s">
        <v>157</v>
      </c>
      <c r="P1158" s="55" t="s">
        <v>1092</v>
      </c>
      <c r="Q1158" s="55" t="s">
        <v>350</v>
      </c>
      <c r="R1158" s="55">
        <v>3</v>
      </c>
      <c r="S1158" s="55"/>
      <c r="T1158" s="55" t="s">
        <v>513</v>
      </c>
    </row>
    <row r="1159" spans="1:20" ht="13" x14ac:dyDescent="0.15">
      <c r="A1159" s="72" t="str">
        <f t="shared" si="18"/>
        <v>Ofsted Social Care Provider Webpage</v>
      </c>
      <c r="B1159" s="55">
        <v>2594061</v>
      </c>
      <c r="D1159" s="55" t="s">
        <v>373</v>
      </c>
      <c r="E1159" s="74">
        <v>44022</v>
      </c>
      <c r="F1159" s="55" t="s">
        <v>344</v>
      </c>
      <c r="G1159" s="55" t="s">
        <v>360</v>
      </c>
      <c r="H1159" s="55" t="s">
        <v>360</v>
      </c>
      <c r="I1159" s="55" t="s">
        <v>360</v>
      </c>
      <c r="J1159" s="55" t="s">
        <v>360</v>
      </c>
      <c r="K1159" s="55" t="s">
        <v>360</v>
      </c>
      <c r="L1159" s="55" t="s">
        <v>360</v>
      </c>
      <c r="M1159" s="55" t="s">
        <v>378</v>
      </c>
      <c r="N1159" s="55" t="s">
        <v>134</v>
      </c>
      <c r="O1159" s="55" t="s">
        <v>210</v>
      </c>
      <c r="P1159" s="55" t="s">
        <v>1888</v>
      </c>
      <c r="Q1159" s="55" t="s">
        <v>350</v>
      </c>
      <c r="R1159" s="55">
        <v>3</v>
      </c>
      <c r="S1159" s="55"/>
      <c r="T1159" s="55" t="s">
        <v>1218</v>
      </c>
    </row>
    <row r="1160" spans="1:20" ht="13" x14ac:dyDescent="0.15">
      <c r="A1160" s="72" t="str">
        <f t="shared" si="18"/>
        <v>Ofsted Social Care Provider Webpage</v>
      </c>
      <c r="B1160" s="55">
        <v>2594148</v>
      </c>
      <c r="D1160" s="55" t="s">
        <v>373</v>
      </c>
      <c r="E1160" s="74">
        <v>44146</v>
      </c>
      <c r="F1160" s="55" t="s">
        <v>344</v>
      </c>
      <c r="G1160" s="55" t="s">
        <v>360</v>
      </c>
      <c r="H1160" s="55" t="s">
        <v>360</v>
      </c>
      <c r="I1160" s="55" t="s">
        <v>360</v>
      </c>
      <c r="J1160" s="55" t="s">
        <v>360</v>
      </c>
      <c r="K1160" s="55" t="s">
        <v>360</v>
      </c>
      <c r="L1160" s="55" t="s">
        <v>360</v>
      </c>
      <c r="M1160" s="55" t="s">
        <v>142</v>
      </c>
      <c r="N1160" s="55" t="s">
        <v>142</v>
      </c>
      <c r="O1160" s="55" t="s">
        <v>141</v>
      </c>
      <c r="P1160" s="55" t="s">
        <v>1231</v>
      </c>
      <c r="Q1160" s="55" t="s">
        <v>362</v>
      </c>
      <c r="R1160" s="55">
        <v>3</v>
      </c>
      <c r="S1160" s="55"/>
    </row>
    <row r="1161" spans="1:20" ht="13" x14ac:dyDescent="0.15">
      <c r="A1161" s="72" t="str">
        <f t="shared" si="18"/>
        <v>Ofsted Social Care Provider Webpage</v>
      </c>
      <c r="B1161" s="55">
        <v>2594189</v>
      </c>
      <c r="D1161" s="55" t="s">
        <v>373</v>
      </c>
      <c r="E1161" s="74">
        <v>44007</v>
      </c>
      <c r="F1161" s="55" t="s">
        <v>344</v>
      </c>
      <c r="G1161" s="55" t="s">
        <v>360</v>
      </c>
      <c r="H1161" s="55" t="s">
        <v>360</v>
      </c>
      <c r="I1161" s="55" t="s">
        <v>360</v>
      </c>
      <c r="J1161" s="55" t="s">
        <v>360</v>
      </c>
      <c r="K1161" s="55" t="s">
        <v>360</v>
      </c>
      <c r="L1161" s="55" t="s">
        <v>360</v>
      </c>
      <c r="M1161" s="55" t="s">
        <v>378</v>
      </c>
      <c r="N1161" s="55" t="s">
        <v>134</v>
      </c>
      <c r="O1161" s="55" t="s">
        <v>225</v>
      </c>
      <c r="P1161" s="55" t="s">
        <v>1889</v>
      </c>
      <c r="Q1161" s="55" t="s">
        <v>380</v>
      </c>
      <c r="R1161" s="55">
        <v>4</v>
      </c>
      <c r="S1161" s="55"/>
      <c r="T1161" s="55" t="s">
        <v>1668</v>
      </c>
    </row>
    <row r="1162" spans="1:20" ht="13" x14ac:dyDescent="0.15">
      <c r="A1162" s="72" t="str">
        <f t="shared" si="18"/>
        <v>Ofsted Social Care Provider Webpage</v>
      </c>
      <c r="B1162" s="55">
        <v>2594218</v>
      </c>
      <c r="D1162" s="55" t="s">
        <v>373</v>
      </c>
      <c r="E1162" s="74">
        <v>44097</v>
      </c>
      <c r="F1162" s="55" t="s">
        <v>344</v>
      </c>
      <c r="G1162" s="55" t="s">
        <v>360</v>
      </c>
      <c r="H1162" s="55" t="s">
        <v>360</v>
      </c>
      <c r="I1162" s="55" t="s">
        <v>360</v>
      </c>
      <c r="J1162" s="55" t="s">
        <v>360</v>
      </c>
      <c r="K1162" s="55" t="s">
        <v>360</v>
      </c>
      <c r="L1162" s="55" t="s">
        <v>360</v>
      </c>
      <c r="M1162" s="55" t="s">
        <v>129</v>
      </c>
      <c r="N1162" s="55" t="s">
        <v>129</v>
      </c>
      <c r="O1162" s="55" t="s">
        <v>223</v>
      </c>
      <c r="P1162" s="55" t="s">
        <v>1602</v>
      </c>
      <c r="Q1162" s="55" t="s">
        <v>350</v>
      </c>
      <c r="R1162" s="55">
        <v>4</v>
      </c>
      <c r="S1162" s="55"/>
      <c r="T1162" s="55" t="s">
        <v>1890</v>
      </c>
    </row>
    <row r="1163" spans="1:20" ht="13" x14ac:dyDescent="0.15">
      <c r="A1163" s="72" t="str">
        <f t="shared" si="18"/>
        <v>Ofsted Social Care Provider Webpage</v>
      </c>
      <c r="B1163" s="55">
        <v>2594233</v>
      </c>
      <c r="D1163" s="55" t="s">
        <v>373</v>
      </c>
      <c r="E1163" s="74">
        <v>44055</v>
      </c>
      <c r="F1163" s="55" t="s">
        <v>344</v>
      </c>
      <c r="G1163" s="55" t="s">
        <v>360</v>
      </c>
      <c r="H1163" s="55" t="s">
        <v>360</v>
      </c>
      <c r="I1163" s="55" t="s">
        <v>360</v>
      </c>
      <c r="J1163" s="55" t="s">
        <v>360</v>
      </c>
      <c r="K1163" s="55" t="s">
        <v>360</v>
      </c>
      <c r="L1163" s="55" t="s">
        <v>360</v>
      </c>
      <c r="M1163" s="55" t="s">
        <v>172</v>
      </c>
      <c r="N1163" s="55" t="s">
        <v>172</v>
      </c>
      <c r="O1163" s="55" t="s">
        <v>284</v>
      </c>
      <c r="P1163" s="55" t="s">
        <v>985</v>
      </c>
      <c r="Q1163" s="55" t="s">
        <v>350</v>
      </c>
      <c r="R1163" s="55">
        <v>4</v>
      </c>
      <c r="S1163" s="55"/>
      <c r="T1163" s="55" t="s">
        <v>1891</v>
      </c>
    </row>
    <row r="1164" spans="1:20" ht="13" x14ac:dyDescent="0.15">
      <c r="A1164" s="72" t="str">
        <f t="shared" si="18"/>
        <v>Ofsted Social Care Provider Webpage</v>
      </c>
      <c r="B1164" s="55">
        <v>2594366</v>
      </c>
      <c r="D1164" s="55" t="s">
        <v>373</v>
      </c>
      <c r="E1164" s="74">
        <v>44124</v>
      </c>
      <c r="F1164" s="55" t="s">
        <v>344</v>
      </c>
      <c r="G1164" s="55" t="s">
        <v>360</v>
      </c>
      <c r="H1164" s="55" t="s">
        <v>360</v>
      </c>
      <c r="I1164" s="55" t="s">
        <v>360</v>
      </c>
      <c r="J1164" s="55" t="s">
        <v>360</v>
      </c>
      <c r="K1164" s="55" t="s">
        <v>360</v>
      </c>
      <c r="L1164" s="55" t="s">
        <v>360</v>
      </c>
      <c r="M1164" s="55" t="s">
        <v>142</v>
      </c>
      <c r="N1164" s="55" t="s">
        <v>142</v>
      </c>
      <c r="O1164" s="55" t="s">
        <v>265</v>
      </c>
      <c r="P1164" s="55" t="s">
        <v>540</v>
      </c>
      <c r="Q1164" s="55" t="s">
        <v>350</v>
      </c>
      <c r="R1164" s="55">
        <v>4</v>
      </c>
      <c r="S1164" s="55"/>
      <c r="T1164" s="55" t="s">
        <v>385</v>
      </c>
    </row>
    <row r="1165" spans="1:20" ht="13" x14ac:dyDescent="0.15">
      <c r="A1165" s="72" t="str">
        <f t="shared" si="18"/>
        <v>Ofsted Social Care Provider Webpage</v>
      </c>
      <c r="B1165" s="55">
        <v>2594539</v>
      </c>
      <c r="D1165" s="55" t="s">
        <v>373</v>
      </c>
      <c r="E1165" s="74">
        <v>44146</v>
      </c>
      <c r="F1165" s="55" t="s">
        <v>344</v>
      </c>
      <c r="G1165" s="55" t="s">
        <v>360</v>
      </c>
      <c r="H1165" s="55" t="s">
        <v>360</v>
      </c>
      <c r="I1165" s="55" t="s">
        <v>360</v>
      </c>
      <c r="J1165" s="55" t="s">
        <v>360</v>
      </c>
      <c r="K1165" s="55" t="s">
        <v>360</v>
      </c>
      <c r="L1165" s="55" t="s">
        <v>360</v>
      </c>
      <c r="M1165" s="55" t="s">
        <v>378</v>
      </c>
      <c r="N1165" s="55" t="s">
        <v>134</v>
      </c>
      <c r="O1165" s="55" t="s">
        <v>180</v>
      </c>
      <c r="P1165" s="55" t="s">
        <v>1892</v>
      </c>
      <c r="Q1165" s="55" t="s">
        <v>350</v>
      </c>
      <c r="R1165" s="55">
        <v>4</v>
      </c>
      <c r="S1165" s="55"/>
      <c r="T1165" s="55" t="s">
        <v>385</v>
      </c>
    </row>
    <row r="1166" spans="1:20" ht="13" x14ac:dyDescent="0.15">
      <c r="A1166" s="72" t="str">
        <f t="shared" si="18"/>
        <v>Ofsted Social Care Provider Webpage</v>
      </c>
      <c r="B1166" s="55">
        <v>2594543</v>
      </c>
      <c r="D1166" s="55" t="s">
        <v>373</v>
      </c>
      <c r="E1166" s="74">
        <v>44020</v>
      </c>
      <c r="F1166" s="55" t="s">
        <v>344</v>
      </c>
      <c r="G1166" s="55" t="s">
        <v>360</v>
      </c>
      <c r="H1166" s="55" t="s">
        <v>360</v>
      </c>
      <c r="I1166" s="55" t="s">
        <v>360</v>
      </c>
      <c r="J1166" s="55" t="s">
        <v>360</v>
      </c>
      <c r="K1166" s="55" t="s">
        <v>360</v>
      </c>
      <c r="L1166" s="55" t="s">
        <v>360</v>
      </c>
      <c r="M1166" s="55" t="s">
        <v>378</v>
      </c>
      <c r="N1166" s="55" t="s">
        <v>134</v>
      </c>
      <c r="O1166" s="55" t="s">
        <v>133</v>
      </c>
      <c r="P1166" s="55" t="s">
        <v>1804</v>
      </c>
      <c r="Q1166" s="55" t="s">
        <v>350</v>
      </c>
      <c r="R1166" s="55">
        <v>4</v>
      </c>
      <c r="S1166" s="55"/>
      <c r="T1166" s="55" t="s">
        <v>462</v>
      </c>
    </row>
    <row r="1167" spans="1:20" ht="13" x14ac:dyDescent="0.15">
      <c r="A1167" s="72" t="str">
        <f t="shared" si="18"/>
        <v>Ofsted Social Care Provider Webpage</v>
      </c>
      <c r="B1167" s="55">
        <v>2594629</v>
      </c>
      <c r="D1167" s="55" t="s">
        <v>373</v>
      </c>
      <c r="E1167" s="74">
        <v>44020</v>
      </c>
      <c r="F1167" s="55" t="s">
        <v>728</v>
      </c>
      <c r="G1167" s="55" t="s">
        <v>360</v>
      </c>
      <c r="H1167" s="55" t="s">
        <v>360</v>
      </c>
      <c r="I1167" s="55" t="s">
        <v>360</v>
      </c>
      <c r="J1167" s="55" t="s">
        <v>360</v>
      </c>
      <c r="K1167" s="55" t="s">
        <v>360</v>
      </c>
      <c r="L1167" s="55" t="s">
        <v>360</v>
      </c>
      <c r="M1167" s="55" t="s">
        <v>129</v>
      </c>
      <c r="N1167" s="55" t="s">
        <v>129</v>
      </c>
      <c r="O1167" s="55" t="s">
        <v>242</v>
      </c>
      <c r="P1167" s="55" t="s">
        <v>1192</v>
      </c>
      <c r="Q1167" s="55" t="s">
        <v>350</v>
      </c>
      <c r="R1167" s="55">
        <v>2</v>
      </c>
      <c r="S1167" s="55"/>
      <c r="T1167" s="55" t="s">
        <v>1893</v>
      </c>
    </row>
    <row r="1168" spans="1:20" ht="13" x14ac:dyDescent="0.15">
      <c r="A1168" s="72" t="str">
        <f t="shared" si="18"/>
        <v>Ofsted Social Care Provider Webpage</v>
      </c>
      <c r="B1168" s="55">
        <v>2594775</v>
      </c>
      <c r="D1168" s="55" t="s">
        <v>373</v>
      </c>
      <c r="E1168" s="74">
        <v>44552</v>
      </c>
      <c r="F1168" s="55" t="s">
        <v>344</v>
      </c>
      <c r="G1168" s="55" t="s">
        <v>360</v>
      </c>
      <c r="H1168" s="55" t="s">
        <v>360</v>
      </c>
      <c r="I1168" s="55" t="s">
        <v>360</v>
      </c>
      <c r="J1168" s="55" t="s">
        <v>360</v>
      </c>
      <c r="K1168" s="55" t="s">
        <v>360</v>
      </c>
      <c r="L1168" s="55" t="s">
        <v>360</v>
      </c>
      <c r="M1168" s="55" t="s">
        <v>150</v>
      </c>
      <c r="N1168" s="55" t="s">
        <v>150</v>
      </c>
      <c r="O1168" s="55" t="s">
        <v>203</v>
      </c>
      <c r="P1168" s="55" t="s">
        <v>563</v>
      </c>
      <c r="Q1168" s="55" t="s">
        <v>350</v>
      </c>
      <c r="R1168" s="55">
        <v>4</v>
      </c>
      <c r="S1168" s="55"/>
      <c r="T1168" s="55" t="s">
        <v>1039</v>
      </c>
    </row>
    <row r="1169" spans="1:20" ht="13" x14ac:dyDescent="0.15">
      <c r="A1169" s="72" t="str">
        <f t="shared" si="18"/>
        <v>Ofsted Social Care Provider Webpage</v>
      </c>
      <c r="B1169" s="55">
        <v>2594802</v>
      </c>
      <c r="D1169" s="55" t="s">
        <v>389</v>
      </c>
      <c r="E1169" s="74">
        <v>44042</v>
      </c>
      <c r="F1169" s="55" t="s">
        <v>344</v>
      </c>
      <c r="G1169" s="55" t="s">
        <v>1894</v>
      </c>
      <c r="H1169" s="55" t="s">
        <v>1895</v>
      </c>
      <c r="I1169" s="55" t="s">
        <v>1896</v>
      </c>
      <c r="J1169" s="55" t="s">
        <v>193</v>
      </c>
      <c r="L1169" s="55" t="s">
        <v>1897</v>
      </c>
      <c r="M1169" s="55" t="s">
        <v>378</v>
      </c>
      <c r="N1169" s="55" t="s">
        <v>170</v>
      </c>
      <c r="O1169" s="55" t="s">
        <v>193</v>
      </c>
      <c r="P1169" s="55" t="s">
        <v>193</v>
      </c>
      <c r="Q1169" s="55" t="s">
        <v>350</v>
      </c>
      <c r="R1169" s="55"/>
      <c r="S1169" s="55"/>
      <c r="T1169" s="55" t="s">
        <v>1894</v>
      </c>
    </row>
    <row r="1170" spans="1:20" ht="13" x14ac:dyDescent="0.15">
      <c r="A1170" s="72" t="str">
        <f t="shared" si="18"/>
        <v>Ofsted Social Care Provider Webpage</v>
      </c>
      <c r="B1170" s="55">
        <v>2594825</v>
      </c>
      <c r="D1170" s="55" t="s">
        <v>373</v>
      </c>
      <c r="E1170" s="74">
        <v>44090</v>
      </c>
      <c r="F1170" s="55" t="s">
        <v>344</v>
      </c>
      <c r="G1170" s="55" t="s">
        <v>360</v>
      </c>
      <c r="H1170" s="55" t="s">
        <v>360</v>
      </c>
      <c r="I1170" s="55" t="s">
        <v>360</v>
      </c>
      <c r="J1170" s="55" t="s">
        <v>360</v>
      </c>
      <c r="K1170" s="55" t="s">
        <v>360</v>
      </c>
      <c r="L1170" s="55" t="s">
        <v>360</v>
      </c>
      <c r="M1170" s="55" t="s">
        <v>144</v>
      </c>
      <c r="N1170" s="55" t="s">
        <v>144</v>
      </c>
      <c r="O1170" s="55" t="s">
        <v>168</v>
      </c>
      <c r="P1170" s="55" t="s">
        <v>913</v>
      </c>
      <c r="Q1170" s="55" t="s">
        <v>350</v>
      </c>
      <c r="R1170" s="55">
        <v>5</v>
      </c>
      <c r="S1170" s="55"/>
      <c r="T1170" s="55" t="s">
        <v>1098</v>
      </c>
    </row>
    <row r="1171" spans="1:20" ht="13" x14ac:dyDescent="0.15">
      <c r="A1171" s="72" t="str">
        <f t="shared" si="18"/>
        <v>Ofsted Social Care Provider Webpage</v>
      </c>
      <c r="B1171" s="55">
        <v>2594854</v>
      </c>
      <c r="D1171" s="55" t="s">
        <v>373</v>
      </c>
      <c r="E1171" s="74">
        <v>44070</v>
      </c>
      <c r="F1171" s="55" t="s">
        <v>344</v>
      </c>
      <c r="G1171" s="55" t="s">
        <v>360</v>
      </c>
      <c r="H1171" s="55" t="s">
        <v>360</v>
      </c>
      <c r="I1171" s="55" t="s">
        <v>360</v>
      </c>
      <c r="J1171" s="55" t="s">
        <v>360</v>
      </c>
      <c r="K1171" s="55" t="s">
        <v>360</v>
      </c>
      <c r="L1171" s="55" t="s">
        <v>360</v>
      </c>
      <c r="M1171" s="55" t="s">
        <v>136</v>
      </c>
      <c r="N1171" s="55" t="s">
        <v>136</v>
      </c>
      <c r="O1171" s="55" t="s">
        <v>288</v>
      </c>
      <c r="P1171" s="55" t="s">
        <v>1388</v>
      </c>
      <c r="Q1171" s="55" t="s">
        <v>350</v>
      </c>
      <c r="R1171" s="55">
        <v>5</v>
      </c>
      <c r="S1171" s="55"/>
      <c r="T1171" s="55" t="s">
        <v>435</v>
      </c>
    </row>
    <row r="1172" spans="1:20" ht="13" x14ac:dyDescent="0.15">
      <c r="A1172" s="72" t="str">
        <f t="shared" si="18"/>
        <v>Ofsted Social Care Provider Webpage</v>
      </c>
      <c r="B1172" s="55">
        <v>2594859</v>
      </c>
      <c r="D1172" s="55" t="s">
        <v>373</v>
      </c>
      <c r="E1172" s="74">
        <v>44251</v>
      </c>
      <c r="F1172" s="55" t="s">
        <v>344</v>
      </c>
      <c r="G1172" s="55" t="s">
        <v>360</v>
      </c>
      <c r="H1172" s="55" t="s">
        <v>360</v>
      </c>
      <c r="I1172" s="55" t="s">
        <v>360</v>
      </c>
      <c r="J1172" s="55" t="s">
        <v>360</v>
      </c>
      <c r="K1172" s="55" t="s">
        <v>360</v>
      </c>
      <c r="L1172" s="55" t="s">
        <v>360</v>
      </c>
      <c r="M1172" s="55" t="s">
        <v>138</v>
      </c>
      <c r="N1172" s="55" t="s">
        <v>138</v>
      </c>
      <c r="O1172" s="55" t="s">
        <v>238</v>
      </c>
      <c r="P1172" s="55" t="s">
        <v>238</v>
      </c>
      <c r="Q1172" s="55" t="s">
        <v>350</v>
      </c>
      <c r="R1172" s="55">
        <v>2</v>
      </c>
      <c r="S1172" s="55"/>
      <c r="T1172" s="55" t="s">
        <v>1898</v>
      </c>
    </row>
    <row r="1173" spans="1:20" ht="13" x14ac:dyDescent="0.15">
      <c r="A1173" s="72" t="str">
        <f t="shared" si="18"/>
        <v>Ofsted Social Care Provider Webpage</v>
      </c>
      <c r="B1173" s="55">
        <v>2594875</v>
      </c>
      <c r="D1173" s="55" t="s">
        <v>373</v>
      </c>
      <c r="E1173" s="74">
        <v>44025</v>
      </c>
      <c r="F1173" s="55" t="s">
        <v>344</v>
      </c>
      <c r="G1173" s="55" t="s">
        <v>360</v>
      </c>
      <c r="H1173" s="55" t="s">
        <v>360</v>
      </c>
      <c r="I1173" s="55" t="s">
        <v>360</v>
      </c>
      <c r="J1173" s="55" t="s">
        <v>360</v>
      </c>
      <c r="K1173" s="55" t="s">
        <v>360</v>
      </c>
      <c r="L1173" s="55" t="s">
        <v>360</v>
      </c>
      <c r="M1173" s="55" t="s">
        <v>138</v>
      </c>
      <c r="N1173" s="55" t="s">
        <v>138</v>
      </c>
      <c r="O1173" s="55" t="s">
        <v>159</v>
      </c>
      <c r="P1173" s="55" t="s">
        <v>1080</v>
      </c>
      <c r="Q1173" s="55" t="s">
        <v>350</v>
      </c>
      <c r="R1173" s="55">
        <v>4</v>
      </c>
      <c r="S1173" s="55"/>
      <c r="T1173" s="55" t="s">
        <v>1899</v>
      </c>
    </row>
    <row r="1174" spans="1:20" ht="13" x14ac:dyDescent="0.15">
      <c r="A1174" s="72" t="str">
        <f t="shared" si="18"/>
        <v>Ofsted Social Care Provider Webpage</v>
      </c>
      <c r="B1174" s="55">
        <v>2594902</v>
      </c>
      <c r="D1174" s="55" t="s">
        <v>373</v>
      </c>
      <c r="E1174" s="74">
        <v>44095</v>
      </c>
      <c r="F1174" s="55" t="s">
        <v>344</v>
      </c>
      <c r="G1174" s="55" t="s">
        <v>360</v>
      </c>
      <c r="H1174" s="55" t="s">
        <v>360</v>
      </c>
      <c r="I1174" s="55" t="s">
        <v>360</v>
      </c>
      <c r="J1174" s="55" t="s">
        <v>360</v>
      </c>
      <c r="K1174" s="55" t="s">
        <v>360</v>
      </c>
      <c r="L1174" s="55" t="s">
        <v>360</v>
      </c>
      <c r="M1174" s="55" t="s">
        <v>136</v>
      </c>
      <c r="N1174" s="55" t="s">
        <v>136</v>
      </c>
      <c r="O1174" s="55" t="s">
        <v>288</v>
      </c>
      <c r="P1174" s="55" t="s">
        <v>1388</v>
      </c>
      <c r="Q1174" s="55" t="s">
        <v>350</v>
      </c>
      <c r="R1174" s="55">
        <v>5</v>
      </c>
      <c r="S1174" s="55"/>
      <c r="T1174" s="55" t="s">
        <v>435</v>
      </c>
    </row>
    <row r="1175" spans="1:20" ht="13" x14ac:dyDescent="0.15">
      <c r="A1175" s="72" t="str">
        <f t="shared" si="18"/>
        <v>Ofsted Social Care Provider Webpage</v>
      </c>
      <c r="B1175" s="55">
        <v>2594952</v>
      </c>
      <c r="D1175" s="55" t="s">
        <v>373</v>
      </c>
      <c r="E1175" s="74">
        <v>44075</v>
      </c>
      <c r="F1175" s="55" t="s">
        <v>344</v>
      </c>
      <c r="G1175" s="55" t="s">
        <v>360</v>
      </c>
      <c r="H1175" s="55" t="s">
        <v>360</v>
      </c>
      <c r="I1175" s="55" t="s">
        <v>360</v>
      </c>
      <c r="J1175" s="55" t="s">
        <v>360</v>
      </c>
      <c r="K1175" s="55" t="s">
        <v>360</v>
      </c>
      <c r="L1175" s="55" t="s">
        <v>360</v>
      </c>
      <c r="M1175" s="55" t="s">
        <v>378</v>
      </c>
      <c r="N1175" s="55" t="s">
        <v>170</v>
      </c>
      <c r="O1175" s="55" t="s">
        <v>184</v>
      </c>
      <c r="P1175" s="55" t="s">
        <v>184</v>
      </c>
      <c r="Q1175" s="55" t="s">
        <v>350</v>
      </c>
      <c r="R1175" s="55">
        <v>3</v>
      </c>
      <c r="S1175" s="55"/>
      <c r="T1175" s="55" t="s">
        <v>677</v>
      </c>
    </row>
    <row r="1176" spans="1:20" ht="13" x14ac:dyDescent="0.15">
      <c r="A1176" s="72" t="str">
        <f t="shared" si="18"/>
        <v>Ofsted Social Care Provider Webpage</v>
      </c>
      <c r="B1176" s="55">
        <v>2594985</v>
      </c>
      <c r="D1176" s="55" t="s">
        <v>373</v>
      </c>
      <c r="E1176" s="74">
        <v>44046</v>
      </c>
      <c r="F1176" s="55" t="s">
        <v>344</v>
      </c>
      <c r="G1176" s="55" t="s">
        <v>360</v>
      </c>
      <c r="H1176" s="55" t="s">
        <v>360</v>
      </c>
      <c r="I1176" s="55" t="s">
        <v>360</v>
      </c>
      <c r="J1176" s="55" t="s">
        <v>360</v>
      </c>
      <c r="K1176" s="55" t="s">
        <v>360</v>
      </c>
      <c r="L1176" s="55" t="s">
        <v>360</v>
      </c>
      <c r="M1176" s="55" t="s">
        <v>144</v>
      </c>
      <c r="N1176" s="55" t="s">
        <v>144</v>
      </c>
      <c r="O1176" s="55" t="s">
        <v>209</v>
      </c>
      <c r="P1176" s="55" t="s">
        <v>597</v>
      </c>
      <c r="Q1176" s="55" t="s">
        <v>350</v>
      </c>
      <c r="R1176" s="55">
        <v>4</v>
      </c>
      <c r="S1176" s="55"/>
      <c r="T1176" s="55" t="s">
        <v>737</v>
      </c>
    </row>
    <row r="1177" spans="1:20" ht="13" x14ac:dyDescent="0.15">
      <c r="A1177" s="72" t="str">
        <f t="shared" si="18"/>
        <v>Ofsted Social Care Provider Webpage</v>
      </c>
      <c r="B1177" s="55">
        <v>2595001</v>
      </c>
      <c r="D1177" s="55" t="s">
        <v>443</v>
      </c>
      <c r="E1177" s="74">
        <v>44090</v>
      </c>
      <c r="F1177" s="55" t="s">
        <v>344</v>
      </c>
      <c r="G1177" s="55" t="s">
        <v>1806</v>
      </c>
      <c r="H1177" s="55" t="s">
        <v>1900</v>
      </c>
      <c r="I1177" s="55" t="s">
        <v>1901</v>
      </c>
      <c r="J1177" s="55" t="s">
        <v>1902</v>
      </c>
      <c r="K1177" s="55" t="s">
        <v>285</v>
      </c>
      <c r="L1177" s="55" t="s">
        <v>1903</v>
      </c>
      <c r="M1177" s="55" t="s">
        <v>150</v>
      </c>
      <c r="N1177" s="55" t="s">
        <v>150</v>
      </c>
      <c r="O1177" s="55" t="s">
        <v>285</v>
      </c>
      <c r="P1177" s="55" t="s">
        <v>1902</v>
      </c>
      <c r="Q1177" s="55" t="s">
        <v>350</v>
      </c>
      <c r="R1177" s="55"/>
      <c r="S1177" s="55"/>
      <c r="T1177" s="55" t="s">
        <v>1811</v>
      </c>
    </row>
    <row r="1178" spans="1:20" ht="13" x14ac:dyDescent="0.15">
      <c r="A1178" s="72" t="str">
        <f t="shared" si="18"/>
        <v>Ofsted Social Care Provider Webpage</v>
      </c>
      <c r="B1178" s="55">
        <v>2595021</v>
      </c>
      <c r="D1178" s="55" t="s">
        <v>373</v>
      </c>
      <c r="E1178" s="74">
        <v>44034</v>
      </c>
      <c r="F1178" s="55" t="s">
        <v>344</v>
      </c>
      <c r="G1178" s="55" t="s">
        <v>360</v>
      </c>
      <c r="H1178" s="55" t="s">
        <v>360</v>
      </c>
      <c r="I1178" s="55" t="s">
        <v>360</v>
      </c>
      <c r="J1178" s="55" t="s">
        <v>360</v>
      </c>
      <c r="K1178" s="55" t="s">
        <v>360</v>
      </c>
      <c r="L1178" s="55" t="s">
        <v>360</v>
      </c>
      <c r="M1178" s="55" t="s">
        <v>144</v>
      </c>
      <c r="N1178" s="55" t="s">
        <v>144</v>
      </c>
      <c r="O1178" s="55" t="s">
        <v>209</v>
      </c>
      <c r="P1178" s="55" t="s">
        <v>484</v>
      </c>
      <c r="Q1178" s="55" t="s">
        <v>350</v>
      </c>
      <c r="R1178" s="55">
        <v>2</v>
      </c>
      <c r="S1178" s="55"/>
      <c r="T1178" s="55" t="s">
        <v>485</v>
      </c>
    </row>
    <row r="1179" spans="1:20" ht="13" x14ac:dyDescent="0.15">
      <c r="A1179" s="72" t="str">
        <f t="shared" si="18"/>
        <v>Ofsted Social Care Provider Webpage</v>
      </c>
      <c r="B1179" s="55">
        <v>2595112</v>
      </c>
      <c r="D1179" s="55" t="s">
        <v>373</v>
      </c>
      <c r="E1179" s="74">
        <v>44049</v>
      </c>
      <c r="F1179" s="55" t="s">
        <v>344</v>
      </c>
      <c r="G1179" s="55" t="s">
        <v>360</v>
      </c>
      <c r="H1179" s="55" t="s">
        <v>360</v>
      </c>
      <c r="I1179" s="55" t="s">
        <v>360</v>
      </c>
      <c r="J1179" s="55" t="s">
        <v>360</v>
      </c>
      <c r="K1179" s="55" t="s">
        <v>360</v>
      </c>
      <c r="L1179" s="55" t="s">
        <v>360</v>
      </c>
      <c r="M1179" s="55" t="s">
        <v>144</v>
      </c>
      <c r="N1179" s="55" t="s">
        <v>144</v>
      </c>
      <c r="O1179" s="55" t="s">
        <v>209</v>
      </c>
      <c r="P1179" s="55" t="s">
        <v>544</v>
      </c>
      <c r="Q1179" s="55" t="s">
        <v>350</v>
      </c>
      <c r="R1179" s="55">
        <v>2</v>
      </c>
      <c r="S1179" s="55"/>
      <c r="T1179" s="55" t="s">
        <v>485</v>
      </c>
    </row>
    <row r="1180" spans="1:20" ht="13" x14ac:dyDescent="0.15">
      <c r="A1180" s="72" t="str">
        <f t="shared" si="18"/>
        <v>Ofsted Social Care Provider Webpage</v>
      </c>
      <c r="B1180" s="55">
        <v>2595123</v>
      </c>
      <c r="D1180" s="55" t="s">
        <v>373</v>
      </c>
      <c r="E1180" s="74">
        <v>44048</v>
      </c>
      <c r="F1180" s="55" t="s">
        <v>344</v>
      </c>
      <c r="G1180" s="55" t="s">
        <v>360</v>
      </c>
      <c r="H1180" s="55" t="s">
        <v>360</v>
      </c>
      <c r="I1180" s="55" t="s">
        <v>360</v>
      </c>
      <c r="J1180" s="55" t="s">
        <v>360</v>
      </c>
      <c r="K1180" s="55" t="s">
        <v>360</v>
      </c>
      <c r="L1180" s="55" t="s">
        <v>360</v>
      </c>
      <c r="M1180" s="55" t="s">
        <v>172</v>
      </c>
      <c r="N1180" s="55" t="s">
        <v>172</v>
      </c>
      <c r="O1180" s="55" t="s">
        <v>211</v>
      </c>
      <c r="P1180" s="55" t="s">
        <v>1343</v>
      </c>
      <c r="Q1180" s="55" t="s">
        <v>350</v>
      </c>
      <c r="R1180" s="55">
        <v>2</v>
      </c>
      <c r="S1180" s="55"/>
      <c r="T1180" s="55" t="s">
        <v>1904</v>
      </c>
    </row>
    <row r="1181" spans="1:20" ht="13" x14ac:dyDescent="0.15">
      <c r="A1181" s="72" t="str">
        <f t="shared" si="18"/>
        <v>Ofsted Social Care Provider Webpage</v>
      </c>
      <c r="B1181" s="55">
        <v>2595128</v>
      </c>
      <c r="D1181" s="55" t="s">
        <v>373</v>
      </c>
      <c r="E1181" s="74">
        <v>44103</v>
      </c>
      <c r="F1181" s="55" t="s">
        <v>344</v>
      </c>
      <c r="G1181" s="55" t="s">
        <v>360</v>
      </c>
      <c r="H1181" s="55" t="s">
        <v>360</v>
      </c>
      <c r="I1181" s="55" t="s">
        <v>360</v>
      </c>
      <c r="J1181" s="55" t="s">
        <v>360</v>
      </c>
      <c r="K1181" s="55" t="s">
        <v>360</v>
      </c>
      <c r="L1181" s="55" t="s">
        <v>360</v>
      </c>
      <c r="M1181" s="55" t="s">
        <v>142</v>
      </c>
      <c r="N1181" s="55" t="s">
        <v>142</v>
      </c>
      <c r="O1181" s="55" t="s">
        <v>252</v>
      </c>
      <c r="P1181" s="55" t="s">
        <v>388</v>
      </c>
      <c r="Q1181" s="55" t="s">
        <v>350</v>
      </c>
      <c r="R1181" s="55">
        <v>4</v>
      </c>
      <c r="S1181" s="55"/>
      <c r="T1181" s="55" t="s">
        <v>1905</v>
      </c>
    </row>
    <row r="1182" spans="1:20" ht="13" x14ac:dyDescent="0.15">
      <c r="A1182" s="72" t="str">
        <f t="shared" si="18"/>
        <v>Ofsted Social Care Provider Webpage</v>
      </c>
      <c r="B1182" s="55">
        <v>2595182</v>
      </c>
      <c r="D1182" s="55" t="s">
        <v>373</v>
      </c>
      <c r="E1182" s="74">
        <v>44123</v>
      </c>
      <c r="F1182" s="55" t="s">
        <v>344</v>
      </c>
      <c r="G1182" s="55" t="s">
        <v>360</v>
      </c>
      <c r="H1182" s="55" t="s">
        <v>360</v>
      </c>
      <c r="I1182" s="55" t="s">
        <v>360</v>
      </c>
      <c r="J1182" s="55" t="s">
        <v>360</v>
      </c>
      <c r="K1182" s="55" t="s">
        <v>360</v>
      </c>
      <c r="L1182" s="55" t="s">
        <v>360</v>
      </c>
      <c r="M1182" s="55" t="s">
        <v>129</v>
      </c>
      <c r="N1182" s="55" t="s">
        <v>129</v>
      </c>
      <c r="O1182" s="55" t="s">
        <v>242</v>
      </c>
      <c r="P1182" s="55" t="s">
        <v>1519</v>
      </c>
      <c r="Q1182" s="55" t="s">
        <v>350</v>
      </c>
      <c r="R1182" s="55">
        <v>3</v>
      </c>
      <c r="S1182" s="55"/>
      <c r="T1182" s="55" t="s">
        <v>1906</v>
      </c>
    </row>
    <row r="1183" spans="1:20" ht="13" x14ac:dyDescent="0.15">
      <c r="A1183" s="72" t="str">
        <f t="shared" si="18"/>
        <v>Ofsted Social Care Provider Webpage</v>
      </c>
      <c r="B1183" s="55">
        <v>2595199</v>
      </c>
      <c r="D1183" s="55" t="s">
        <v>389</v>
      </c>
      <c r="E1183" s="74">
        <v>44005</v>
      </c>
      <c r="F1183" s="55" t="s">
        <v>344</v>
      </c>
      <c r="G1183" s="55" t="s">
        <v>1907</v>
      </c>
      <c r="H1183" s="55" t="s">
        <v>1908</v>
      </c>
      <c r="I1183" s="55" t="s">
        <v>354</v>
      </c>
      <c r="J1183" s="55" t="s">
        <v>129</v>
      </c>
      <c r="L1183" s="55" t="s">
        <v>1909</v>
      </c>
      <c r="M1183" s="55" t="s">
        <v>129</v>
      </c>
      <c r="N1183" s="55" t="s">
        <v>129</v>
      </c>
      <c r="O1183" s="55" t="s">
        <v>201</v>
      </c>
      <c r="P1183" s="55" t="s">
        <v>1427</v>
      </c>
      <c r="Q1183" s="55" t="s">
        <v>362</v>
      </c>
      <c r="R1183" s="55"/>
      <c r="S1183" s="55"/>
      <c r="T1183" s="55" t="s">
        <v>1910</v>
      </c>
    </row>
    <row r="1184" spans="1:20" ht="13" x14ac:dyDescent="0.15">
      <c r="A1184" s="72" t="str">
        <f t="shared" si="18"/>
        <v>Ofsted Social Care Provider Webpage</v>
      </c>
      <c r="B1184" s="55">
        <v>2595340</v>
      </c>
      <c r="D1184" s="55" t="s">
        <v>373</v>
      </c>
      <c r="E1184" s="74">
        <v>44025</v>
      </c>
      <c r="F1184" s="55" t="s">
        <v>344</v>
      </c>
      <c r="G1184" s="55" t="s">
        <v>360</v>
      </c>
      <c r="H1184" s="55" t="s">
        <v>360</v>
      </c>
      <c r="I1184" s="55" t="s">
        <v>360</v>
      </c>
      <c r="J1184" s="55" t="s">
        <v>360</v>
      </c>
      <c r="K1184" s="55" t="s">
        <v>360</v>
      </c>
      <c r="L1184" s="55" t="s">
        <v>360</v>
      </c>
      <c r="M1184" s="55" t="s">
        <v>129</v>
      </c>
      <c r="N1184" s="55" t="s">
        <v>129</v>
      </c>
      <c r="O1184" s="55" t="s">
        <v>152</v>
      </c>
      <c r="P1184" s="55" t="s">
        <v>1130</v>
      </c>
      <c r="Q1184" s="55" t="s">
        <v>350</v>
      </c>
      <c r="R1184" s="55">
        <v>4</v>
      </c>
      <c r="S1184" s="55"/>
      <c r="T1184" s="55" t="s">
        <v>1911</v>
      </c>
    </row>
    <row r="1185" spans="1:20" ht="13" x14ac:dyDescent="0.15">
      <c r="A1185" s="72" t="str">
        <f t="shared" si="18"/>
        <v>Ofsted Social Care Provider Webpage</v>
      </c>
      <c r="B1185" s="55">
        <v>2595451</v>
      </c>
      <c r="D1185" s="55" t="s">
        <v>358</v>
      </c>
      <c r="E1185" s="74">
        <v>44029</v>
      </c>
      <c r="F1185" s="55" t="s">
        <v>344</v>
      </c>
      <c r="G1185" s="55" t="s">
        <v>1912</v>
      </c>
      <c r="H1185" s="55" t="s">
        <v>360</v>
      </c>
      <c r="I1185" s="55" t="s">
        <v>360</v>
      </c>
      <c r="J1185" s="55" t="s">
        <v>360</v>
      </c>
      <c r="K1185" s="55" t="s">
        <v>360</v>
      </c>
      <c r="L1185" s="55" t="s">
        <v>360</v>
      </c>
      <c r="M1185" s="55" t="s">
        <v>129</v>
      </c>
      <c r="N1185" s="55" t="s">
        <v>129</v>
      </c>
      <c r="O1185" s="55" t="s">
        <v>131</v>
      </c>
      <c r="P1185" s="55" t="s">
        <v>1017</v>
      </c>
      <c r="Q1185" s="55" t="s">
        <v>362</v>
      </c>
      <c r="R1185" s="55"/>
      <c r="S1185" s="55"/>
      <c r="T1185" s="55" t="s">
        <v>1912</v>
      </c>
    </row>
    <row r="1186" spans="1:20" ht="13" x14ac:dyDescent="0.15">
      <c r="A1186" s="72" t="str">
        <f t="shared" si="18"/>
        <v>Ofsted Social Care Provider Webpage</v>
      </c>
      <c r="B1186" s="55">
        <v>2595620</v>
      </c>
      <c r="D1186" s="55" t="s">
        <v>373</v>
      </c>
      <c r="E1186" s="74">
        <v>44104</v>
      </c>
      <c r="F1186" s="55" t="s">
        <v>344</v>
      </c>
      <c r="G1186" s="55" t="s">
        <v>360</v>
      </c>
      <c r="H1186" s="55" t="s">
        <v>360</v>
      </c>
      <c r="I1186" s="55" t="s">
        <v>360</v>
      </c>
      <c r="J1186" s="55" t="s">
        <v>360</v>
      </c>
      <c r="K1186" s="55" t="s">
        <v>360</v>
      </c>
      <c r="L1186" s="55" t="s">
        <v>360</v>
      </c>
      <c r="M1186" s="55" t="s">
        <v>378</v>
      </c>
      <c r="N1186" s="55" t="s">
        <v>134</v>
      </c>
      <c r="O1186" s="55" t="s">
        <v>206</v>
      </c>
      <c r="P1186" s="55" t="s">
        <v>760</v>
      </c>
      <c r="Q1186" s="55" t="s">
        <v>350</v>
      </c>
      <c r="R1186" s="55">
        <v>2</v>
      </c>
      <c r="S1186" s="55"/>
      <c r="T1186" s="55" t="s">
        <v>485</v>
      </c>
    </row>
    <row r="1187" spans="1:20" ht="13" x14ac:dyDescent="0.15">
      <c r="A1187" s="72" t="str">
        <f t="shared" si="18"/>
        <v>Ofsted Social Care Provider Webpage</v>
      </c>
      <c r="B1187" s="55">
        <v>2595791</v>
      </c>
      <c r="D1187" s="55" t="s">
        <v>373</v>
      </c>
      <c r="E1187" s="74">
        <v>44124</v>
      </c>
      <c r="F1187" s="55" t="s">
        <v>344</v>
      </c>
      <c r="G1187" s="55" t="s">
        <v>360</v>
      </c>
      <c r="H1187" s="55" t="s">
        <v>360</v>
      </c>
      <c r="I1187" s="55" t="s">
        <v>360</v>
      </c>
      <c r="J1187" s="55" t="s">
        <v>360</v>
      </c>
      <c r="K1187" s="55" t="s">
        <v>360</v>
      </c>
      <c r="L1187" s="55" t="s">
        <v>360</v>
      </c>
      <c r="M1187" s="55" t="s">
        <v>136</v>
      </c>
      <c r="N1187" s="55" t="s">
        <v>136</v>
      </c>
      <c r="O1187" s="55" t="s">
        <v>255</v>
      </c>
      <c r="P1187" s="55" t="s">
        <v>757</v>
      </c>
      <c r="Q1187" s="55" t="s">
        <v>350</v>
      </c>
      <c r="R1187" s="55">
        <v>3</v>
      </c>
      <c r="S1187" s="55"/>
      <c r="T1187" s="55" t="s">
        <v>1601</v>
      </c>
    </row>
    <row r="1188" spans="1:20" ht="13" x14ac:dyDescent="0.15">
      <c r="A1188" s="72" t="str">
        <f t="shared" si="18"/>
        <v>Ofsted Social Care Provider Webpage</v>
      </c>
      <c r="B1188" s="55">
        <v>2595974</v>
      </c>
      <c r="D1188" s="55" t="s">
        <v>373</v>
      </c>
      <c r="E1188" s="74">
        <v>44139</v>
      </c>
      <c r="F1188" s="55" t="s">
        <v>344</v>
      </c>
      <c r="G1188" s="55" t="s">
        <v>360</v>
      </c>
      <c r="H1188" s="55" t="s">
        <v>360</v>
      </c>
      <c r="I1188" s="55" t="s">
        <v>360</v>
      </c>
      <c r="J1188" s="55" t="s">
        <v>360</v>
      </c>
      <c r="K1188" s="55" t="s">
        <v>360</v>
      </c>
      <c r="L1188" s="55" t="s">
        <v>360</v>
      </c>
      <c r="M1188" s="55" t="s">
        <v>378</v>
      </c>
      <c r="N1188" s="55" t="s">
        <v>170</v>
      </c>
      <c r="O1188" s="55" t="s">
        <v>267</v>
      </c>
      <c r="P1188" s="55" t="s">
        <v>477</v>
      </c>
      <c r="Q1188" s="55" t="s">
        <v>350</v>
      </c>
      <c r="R1188" s="55">
        <v>2</v>
      </c>
      <c r="S1188" s="55"/>
      <c r="T1188" s="55" t="s">
        <v>1699</v>
      </c>
    </row>
    <row r="1189" spans="1:20" ht="13" x14ac:dyDescent="0.15">
      <c r="A1189" s="72" t="str">
        <f t="shared" si="18"/>
        <v>Ofsted Social Care Provider Webpage</v>
      </c>
      <c r="B1189" s="55">
        <v>2595983</v>
      </c>
      <c r="D1189" s="55" t="s">
        <v>373</v>
      </c>
      <c r="E1189" s="74">
        <v>44068</v>
      </c>
      <c r="F1189" s="55" t="s">
        <v>344</v>
      </c>
      <c r="G1189" s="55" t="s">
        <v>360</v>
      </c>
      <c r="H1189" s="55" t="s">
        <v>360</v>
      </c>
      <c r="I1189" s="55" t="s">
        <v>360</v>
      </c>
      <c r="J1189" s="55" t="s">
        <v>360</v>
      </c>
      <c r="K1189" s="55" t="s">
        <v>360</v>
      </c>
      <c r="L1189" s="55" t="s">
        <v>360</v>
      </c>
      <c r="M1189" s="55" t="s">
        <v>144</v>
      </c>
      <c r="N1189" s="55" t="s">
        <v>144</v>
      </c>
      <c r="O1189" s="55" t="s">
        <v>209</v>
      </c>
      <c r="P1189" s="55" t="s">
        <v>545</v>
      </c>
      <c r="Q1189" s="55" t="s">
        <v>350</v>
      </c>
      <c r="R1189" s="55">
        <v>6</v>
      </c>
      <c r="S1189" s="55"/>
      <c r="T1189" s="55" t="s">
        <v>1319</v>
      </c>
    </row>
    <row r="1190" spans="1:20" ht="13" x14ac:dyDescent="0.15">
      <c r="A1190" s="72" t="str">
        <f t="shared" si="18"/>
        <v>Ofsted Social Care Provider Webpage</v>
      </c>
      <c r="B1190" s="55">
        <v>2596008</v>
      </c>
      <c r="D1190" s="55" t="s">
        <v>373</v>
      </c>
      <c r="E1190" s="74">
        <v>44056</v>
      </c>
      <c r="F1190" s="55" t="s">
        <v>344</v>
      </c>
      <c r="G1190" s="55" t="s">
        <v>360</v>
      </c>
      <c r="H1190" s="55" t="s">
        <v>360</v>
      </c>
      <c r="I1190" s="55" t="s">
        <v>360</v>
      </c>
      <c r="J1190" s="55" t="s">
        <v>360</v>
      </c>
      <c r="K1190" s="55" t="s">
        <v>360</v>
      </c>
      <c r="L1190" s="55" t="s">
        <v>360</v>
      </c>
      <c r="M1190" s="55" t="s">
        <v>150</v>
      </c>
      <c r="N1190" s="55" t="s">
        <v>150</v>
      </c>
      <c r="O1190" s="55" t="s">
        <v>181</v>
      </c>
      <c r="P1190" s="55" t="s">
        <v>626</v>
      </c>
      <c r="Q1190" s="55" t="s">
        <v>350</v>
      </c>
      <c r="R1190" s="55">
        <v>2</v>
      </c>
      <c r="S1190" s="55"/>
      <c r="T1190" s="55" t="s">
        <v>627</v>
      </c>
    </row>
    <row r="1191" spans="1:20" ht="13" x14ac:dyDescent="0.15">
      <c r="A1191" s="72" t="str">
        <f t="shared" si="18"/>
        <v>Ofsted Social Care Provider Webpage</v>
      </c>
      <c r="B1191" s="55">
        <v>2596121</v>
      </c>
      <c r="D1191" s="55" t="s">
        <v>373</v>
      </c>
      <c r="E1191" s="74">
        <v>44089</v>
      </c>
      <c r="F1191" s="55" t="s">
        <v>344</v>
      </c>
      <c r="G1191" s="55" t="s">
        <v>360</v>
      </c>
      <c r="H1191" s="55" t="s">
        <v>360</v>
      </c>
      <c r="I1191" s="55" t="s">
        <v>360</v>
      </c>
      <c r="J1191" s="55" t="s">
        <v>360</v>
      </c>
      <c r="K1191" s="55" t="s">
        <v>360</v>
      </c>
      <c r="L1191" s="55" t="s">
        <v>360</v>
      </c>
      <c r="M1191" s="55" t="s">
        <v>142</v>
      </c>
      <c r="N1191" s="55" t="s">
        <v>142</v>
      </c>
      <c r="O1191" s="55" t="s">
        <v>141</v>
      </c>
      <c r="P1191" s="55" t="s">
        <v>795</v>
      </c>
      <c r="Q1191" s="55" t="s">
        <v>350</v>
      </c>
      <c r="R1191" s="55">
        <v>2</v>
      </c>
      <c r="S1191" s="55"/>
      <c r="T1191" s="55" t="s">
        <v>1913</v>
      </c>
    </row>
    <row r="1192" spans="1:20" ht="13" x14ac:dyDescent="0.15">
      <c r="A1192" s="72" t="str">
        <f t="shared" si="18"/>
        <v>Ofsted Social Care Provider Webpage</v>
      </c>
      <c r="B1192" s="55">
        <v>2596421</v>
      </c>
      <c r="D1192" s="55" t="s">
        <v>373</v>
      </c>
      <c r="E1192" s="74">
        <v>44105</v>
      </c>
      <c r="F1192" s="55" t="s">
        <v>344</v>
      </c>
      <c r="G1192" s="55" t="s">
        <v>360</v>
      </c>
      <c r="H1192" s="55" t="s">
        <v>360</v>
      </c>
      <c r="I1192" s="55" t="s">
        <v>360</v>
      </c>
      <c r="J1192" s="55" t="s">
        <v>360</v>
      </c>
      <c r="K1192" s="55" t="s">
        <v>360</v>
      </c>
      <c r="L1192" s="55" t="s">
        <v>360</v>
      </c>
      <c r="M1192" s="55" t="s">
        <v>138</v>
      </c>
      <c r="N1192" s="55" t="s">
        <v>138</v>
      </c>
      <c r="O1192" s="55" t="s">
        <v>183</v>
      </c>
      <c r="P1192" s="55" t="s">
        <v>1500</v>
      </c>
      <c r="Q1192" s="55" t="s">
        <v>350</v>
      </c>
      <c r="R1192" s="55">
        <v>2</v>
      </c>
      <c r="S1192" s="55"/>
      <c r="T1192" s="55" t="s">
        <v>385</v>
      </c>
    </row>
    <row r="1193" spans="1:20" ht="13" x14ac:dyDescent="0.15">
      <c r="A1193" s="72" t="str">
        <f t="shared" si="18"/>
        <v>Ofsted Social Care Provider Webpage</v>
      </c>
      <c r="B1193" s="55">
        <v>2596476</v>
      </c>
      <c r="D1193" s="55" t="s">
        <v>373</v>
      </c>
      <c r="E1193" s="74">
        <v>44148</v>
      </c>
      <c r="F1193" s="55" t="s">
        <v>344</v>
      </c>
      <c r="G1193" s="55" t="s">
        <v>360</v>
      </c>
      <c r="H1193" s="55" t="s">
        <v>360</v>
      </c>
      <c r="I1193" s="55" t="s">
        <v>360</v>
      </c>
      <c r="J1193" s="55" t="s">
        <v>360</v>
      </c>
      <c r="K1193" s="55" t="s">
        <v>360</v>
      </c>
      <c r="L1193" s="55" t="s">
        <v>360</v>
      </c>
      <c r="M1193" s="55" t="s">
        <v>138</v>
      </c>
      <c r="N1193" s="55" t="s">
        <v>138</v>
      </c>
      <c r="O1193" s="55" t="s">
        <v>159</v>
      </c>
      <c r="P1193" s="55" t="s">
        <v>1025</v>
      </c>
      <c r="Q1193" s="55" t="s">
        <v>350</v>
      </c>
      <c r="R1193" s="55">
        <v>4</v>
      </c>
      <c r="S1193" s="55"/>
      <c r="T1193" s="55" t="s">
        <v>1363</v>
      </c>
    </row>
    <row r="1194" spans="1:20" ht="13" x14ac:dyDescent="0.15">
      <c r="A1194" s="72" t="str">
        <f t="shared" si="18"/>
        <v>Ofsted Social Care Provider Webpage</v>
      </c>
      <c r="B1194" s="55">
        <v>2596541</v>
      </c>
      <c r="D1194" s="55" t="s">
        <v>373</v>
      </c>
      <c r="E1194" s="74">
        <v>44133</v>
      </c>
      <c r="F1194" s="55" t="s">
        <v>344</v>
      </c>
      <c r="G1194" s="55" t="s">
        <v>360</v>
      </c>
      <c r="H1194" s="55" t="s">
        <v>360</v>
      </c>
      <c r="I1194" s="55" t="s">
        <v>360</v>
      </c>
      <c r="J1194" s="55" t="s">
        <v>360</v>
      </c>
      <c r="K1194" s="55" t="s">
        <v>360</v>
      </c>
      <c r="L1194" s="55" t="s">
        <v>360</v>
      </c>
      <c r="M1194" s="55" t="s">
        <v>144</v>
      </c>
      <c r="N1194" s="55" t="s">
        <v>144</v>
      </c>
      <c r="O1194" s="55" t="s">
        <v>209</v>
      </c>
      <c r="P1194" s="55" t="s">
        <v>544</v>
      </c>
      <c r="Q1194" s="55" t="s">
        <v>350</v>
      </c>
      <c r="R1194" s="55">
        <v>2</v>
      </c>
      <c r="S1194" s="55"/>
      <c r="T1194" s="55" t="s">
        <v>485</v>
      </c>
    </row>
    <row r="1195" spans="1:20" ht="13" x14ac:dyDescent="0.15">
      <c r="A1195" s="72" t="str">
        <f t="shared" si="18"/>
        <v>Ofsted Social Care Provider Webpage</v>
      </c>
      <c r="B1195" s="55">
        <v>2596897</v>
      </c>
      <c r="D1195" s="55" t="s">
        <v>373</v>
      </c>
      <c r="E1195" s="74">
        <v>44014</v>
      </c>
      <c r="F1195" s="55" t="s">
        <v>344</v>
      </c>
      <c r="G1195" s="55" t="s">
        <v>360</v>
      </c>
      <c r="H1195" s="55" t="s">
        <v>360</v>
      </c>
      <c r="I1195" s="55" t="s">
        <v>360</v>
      </c>
      <c r="J1195" s="55" t="s">
        <v>360</v>
      </c>
      <c r="K1195" s="55" t="s">
        <v>360</v>
      </c>
      <c r="L1195" s="55" t="s">
        <v>360</v>
      </c>
      <c r="M1195" s="55" t="s">
        <v>378</v>
      </c>
      <c r="N1195" s="55" t="s">
        <v>170</v>
      </c>
      <c r="O1195" s="55" t="s">
        <v>184</v>
      </c>
      <c r="P1195" s="55" t="s">
        <v>676</v>
      </c>
      <c r="Q1195" s="55" t="s">
        <v>380</v>
      </c>
      <c r="R1195" s="55">
        <v>3</v>
      </c>
      <c r="S1195" s="55"/>
      <c r="T1195" s="55" t="s">
        <v>1711</v>
      </c>
    </row>
    <row r="1196" spans="1:20" ht="13" x14ac:dyDescent="0.15">
      <c r="A1196" s="72" t="str">
        <f t="shared" si="18"/>
        <v>Ofsted Social Care Provider Webpage</v>
      </c>
      <c r="B1196" s="55">
        <v>2596906</v>
      </c>
      <c r="D1196" s="55" t="s">
        <v>373</v>
      </c>
      <c r="E1196" s="74">
        <v>44062</v>
      </c>
      <c r="F1196" s="55" t="s">
        <v>344</v>
      </c>
      <c r="G1196" s="55" t="s">
        <v>360</v>
      </c>
      <c r="H1196" s="55" t="s">
        <v>360</v>
      </c>
      <c r="I1196" s="55" t="s">
        <v>360</v>
      </c>
      <c r="J1196" s="55" t="s">
        <v>360</v>
      </c>
      <c r="K1196" s="55" t="s">
        <v>360</v>
      </c>
      <c r="L1196" s="55" t="s">
        <v>360</v>
      </c>
      <c r="M1196" s="55" t="s">
        <v>138</v>
      </c>
      <c r="N1196" s="55" t="s">
        <v>138</v>
      </c>
      <c r="O1196" s="55" t="s">
        <v>259</v>
      </c>
      <c r="P1196" s="55" t="s">
        <v>1914</v>
      </c>
      <c r="Q1196" s="55" t="s">
        <v>350</v>
      </c>
      <c r="R1196" s="55">
        <v>4</v>
      </c>
      <c r="S1196" s="55"/>
      <c r="T1196" s="55" t="s">
        <v>1915</v>
      </c>
    </row>
    <row r="1197" spans="1:20" ht="13" x14ac:dyDescent="0.15">
      <c r="A1197" s="72" t="str">
        <f t="shared" si="18"/>
        <v>Ofsted Social Care Provider Webpage</v>
      </c>
      <c r="B1197" s="55">
        <v>2597490</v>
      </c>
      <c r="D1197" s="55" t="s">
        <v>373</v>
      </c>
      <c r="E1197" s="74">
        <v>44117</v>
      </c>
      <c r="F1197" s="55" t="s">
        <v>344</v>
      </c>
      <c r="G1197" s="55" t="s">
        <v>360</v>
      </c>
      <c r="H1197" s="55" t="s">
        <v>360</v>
      </c>
      <c r="I1197" s="55" t="s">
        <v>360</v>
      </c>
      <c r="J1197" s="55" t="s">
        <v>360</v>
      </c>
      <c r="K1197" s="55" t="s">
        <v>360</v>
      </c>
      <c r="L1197" s="55" t="s">
        <v>360</v>
      </c>
      <c r="M1197" s="55" t="s">
        <v>142</v>
      </c>
      <c r="N1197" s="55" t="s">
        <v>142</v>
      </c>
      <c r="O1197" s="55" t="s">
        <v>177</v>
      </c>
      <c r="P1197" s="55" t="s">
        <v>835</v>
      </c>
      <c r="Q1197" s="55" t="s">
        <v>350</v>
      </c>
      <c r="R1197" s="55">
        <v>4</v>
      </c>
      <c r="S1197" s="55"/>
      <c r="T1197" s="55" t="s">
        <v>1415</v>
      </c>
    </row>
    <row r="1198" spans="1:20" ht="13" x14ac:dyDescent="0.15">
      <c r="A1198" s="72" t="str">
        <f t="shared" si="18"/>
        <v>Ofsted Social Care Provider Webpage</v>
      </c>
      <c r="B1198" s="55">
        <v>2597567</v>
      </c>
      <c r="D1198" s="55" t="s">
        <v>373</v>
      </c>
      <c r="E1198" s="74">
        <v>44014</v>
      </c>
      <c r="F1198" s="55" t="s">
        <v>344</v>
      </c>
      <c r="G1198" s="55" t="s">
        <v>360</v>
      </c>
      <c r="H1198" s="55" t="s">
        <v>360</v>
      </c>
      <c r="I1198" s="55" t="s">
        <v>360</v>
      </c>
      <c r="J1198" s="55" t="s">
        <v>360</v>
      </c>
      <c r="K1198" s="55" t="s">
        <v>360</v>
      </c>
      <c r="L1198" s="55" t="s">
        <v>360</v>
      </c>
      <c r="M1198" s="55" t="s">
        <v>378</v>
      </c>
      <c r="N1198" s="55" t="s">
        <v>134</v>
      </c>
      <c r="O1198" s="55" t="s">
        <v>246</v>
      </c>
      <c r="P1198" s="55" t="s">
        <v>1104</v>
      </c>
      <c r="Q1198" s="55" t="s">
        <v>380</v>
      </c>
      <c r="R1198" s="55">
        <v>4</v>
      </c>
      <c r="S1198" s="55"/>
      <c r="T1198" s="55" t="s">
        <v>1916</v>
      </c>
    </row>
    <row r="1199" spans="1:20" ht="13" x14ac:dyDescent="0.15">
      <c r="A1199" s="72" t="str">
        <f t="shared" si="18"/>
        <v>Ofsted Social Care Provider Webpage</v>
      </c>
      <c r="B1199" s="55">
        <v>2597722</v>
      </c>
      <c r="D1199" s="55" t="s">
        <v>373</v>
      </c>
      <c r="E1199" s="74">
        <v>44050</v>
      </c>
      <c r="F1199" s="55" t="s">
        <v>344</v>
      </c>
      <c r="G1199" s="55" t="s">
        <v>360</v>
      </c>
      <c r="H1199" s="55" t="s">
        <v>360</v>
      </c>
      <c r="I1199" s="55" t="s">
        <v>360</v>
      </c>
      <c r="J1199" s="55" t="s">
        <v>360</v>
      </c>
      <c r="K1199" s="55" t="s">
        <v>360</v>
      </c>
      <c r="L1199" s="55" t="s">
        <v>360</v>
      </c>
      <c r="M1199" s="55" t="s">
        <v>136</v>
      </c>
      <c r="N1199" s="55" t="s">
        <v>136</v>
      </c>
      <c r="O1199" s="55" t="s">
        <v>174</v>
      </c>
      <c r="P1199" s="55" t="s">
        <v>982</v>
      </c>
      <c r="Q1199" s="55" t="s">
        <v>350</v>
      </c>
      <c r="R1199" s="55">
        <v>2</v>
      </c>
      <c r="S1199" s="55"/>
      <c r="T1199" s="55" t="s">
        <v>1917</v>
      </c>
    </row>
    <row r="1200" spans="1:20" ht="13" x14ac:dyDescent="0.15">
      <c r="A1200" s="72" t="str">
        <f t="shared" si="18"/>
        <v>Ofsted Social Care Provider Webpage</v>
      </c>
      <c r="B1200" s="55">
        <v>2597734</v>
      </c>
      <c r="D1200" s="55" t="s">
        <v>373</v>
      </c>
      <c r="E1200" s="74">
        <v>44103</v>
      </c>
      <c r="F1200" s="55" t="s">
        <v>344</v>
      </c>
      <c r="G1200" s="55" t="s">
        <v>360</v>
      </c>
      <c r="H1200" s="55" t="s">
        <v>360</v>
      </c>
      <c r="I1200" s="55" t="s">
        <v>360</v>
      </c>
      <c r="J1200" s="55" t="s">
        <v>360</v>
      </c>
      <c r="K1200" s="55" t="s">
        <v>360</v>
      </c>
      <c r="L1200" s="55" t="s">
        <v>360</v>
      </c>
      <c r="M1200" s="55" t="s">
        <v>142</v>
      </c>
      <c r="N1200" s="55" t="s">
        <v>142</v>
      </c>
      <c r="O1200" s="55" t="s">
        <v>292</v>
      </c>
      <c r="P1200" s="55" t="s">
        <v>976</v>
      </c>
      <c r="Q1200" s="55" t="s">
        <v>350</v>
      </c>
      <c r="R1200" s="55">
        <v>5</v>
      </c>
      <c r="S1200" s="55"/>
      <c r="T1200" s="55" t="s">
        <v>1185</v>
      </c>
    </row>
    <row r="1201" spans="1:20" ht="13" x14ac:dyDescent="0.15">
      <c r="A1201" s="72" t="str">
        <f t="shared" si="18"/>
        <v>Ofsted Social Care Provider Webpage</v>
      </c>
      <c r="B1201" s="55">
        <v>2597736</v>
      </c>
      <c r="D1201" s="55" t="s">
        <v>373</v>
      </c>
      <c r="E1201" s="74">
        <v>44036</v>
      </c>
      <c r="F1201" s="55" t="s">
        <v>344</v>
      </c>
      <c r="G1201" s="55" t="s">
        <v>360</v>
      </c>
      <c r="H1201" s="55" t="s">
        <v>360</v>
      </c>
      <c r="I1201" s="55" t="s">
        <v>360</v>
      </c>
      <c r="J1201" s="55" t="s">
        <v>360</v>
      </c>
      <c r="K1201" s="55" t="s">
        <v>360</v>
      </c>
      <c r="L1201" s="55" t="s">
        <v>360</v>
      </c>
      <c r="M1201" s="55" t="s">
        <v>378</v>
      </c>
      <c r="N1201" s="55" t="s">
        <v>170</v>
      </c>
      <c r="O1201" s="55" t="s">
        <v>264</v>
      </c>
      <c r="P1201" s="55" t="s">
        <v>1334</v>
      </c>
      <c r="Q1201" s="55" t="s">
        <v>350</v>
      </c>
      <c r="R1201" s="55">
        <v>2</v>
      </c>
      <c r="S1201" s="55"/>
      <c r="T1201" s="55" t="s">
        <v>385</v>
      </c>
    </row>
    <row r="1202" spans="1:20" ht="13" x14ac:dyDescent="0.15">
      <c r="A1202" s="72" t="str">
        <f t="shared" si="18"/>
        <v>Ofsted Social Care Provider Webpage</v>
      </c>
      <c r="B1202" s="55">
        <v>2597738</v>
      </c>
      <c r="D1202" s="55" t="s">
        <v>373</v>
      </c>
      <c r="E1202" s="74">
        <v>44012</v>
      </c>
      <c r="F1202" s="55" t="s">
        <v>344</v>
      </c>
      <c r="G1202" s="55" t="s">
        <v>360</v>
      </c>
      <c r="H1202" s="55" t="s">
        <v>360</v>
      </c>
      <c r="I1202" s="55" t="s">
        <v>360</v>
      </c>
      <c r="J1202" s="55" t="s">
        <v>360</v>
      </c>
      <c r="K1202" s="55" t="s">
        <v>360</v>
      </c>
      <c r="L1202" s="55" t="s">
        <v>360</v>
      </c>
      <c r="M1202" s="55" t="s">
        <v>144</v>
      </c>
      <c r="N1202" s="55" t="s">
        <v>144</v>
      </c>
      <c r="O1202" s="55" t="s">
        <v>287</v>
      </c>
      <c r="P1202" s="55" t="s">
        <v>1103</v>
      </c>
      <c r="Q1202" s="55" t="s">
        <v>350</v>
      </c>
      <c r="R1202" s="55">
        <v>1</v>
      </c>
      <c r="S1202" s="55"/>
      <c r="T1202" s="55" t="s">
        <v>1107</v>
      </c>
    </row>
    <row r="1203" spans="1:20" ht="13" x14ac:dyDescent="0.15">
      <c r="A1203" s="72" t="str">
        <f t="shared" si="18"/>
        <v>Ofsted Social Care Provider Webpage</v>
      </c>
      <c r="B1203" s="55">
        <v>2597747</v>
      </c>
      <c r="D1203" s="55" t="s">
        <v>373</v>
      </c>
      <c r="E1203" s="74">
        <v>44127</v>
      </c>
      <c r="F1203" s="55" t="s">
        <v>344</v>
      </c>
      <c r="G1203" s="55" t="s">
        <v>360</v>
      </c>
      <c r="H1203" s="55" t="s">
        <v>360</v>
      </c>
      <c r="I1203" s="55" t="s">
        <v>360</v>
      </c>
      <c r="J1203" s="55" t="s">
        <v>360</v>
      </c>
      <c r="K1203" s="55" t="s">
        <v>360</v>
      </c>
      <c r="L1203" s="55" t="s">
        <v>360</v>
      </c>
      <c r="M1203" s="55" t="s">
        <v>138</v>
      </c>
      <c r="N1203" s="55" t="s">
        <v>138</v>
      </c>
      <c r="O1203" s="55" t="s">
        <v>216</v>
      </c>
      <c r="P1203" s="55" t="s">
        <v>1918</v>
      </c>
      <c r="Q1203" s="55" t="s">
        <v>350</v>
      </c>
      <c r="R1203" s="55">
        <v>3</v>
      </c>
      <c r="S1203" s="55"/>
      <c r="T1203" s="55" t="s">
        <v>1473</v>
      </c>
    </row>
    <row r="1204" spans="1:20" ht="13" x14ac:dyDescent="0.15">
      <c r="A1204" s="72" t="str">
        <f t="shared" si="18"/>
        <v>Ofsted Social Care Provider Webpage</v>
      </c>
      <c r="B1204" s="55">
        <v>2598004</v>
      </c>
      <c r="D1204" s="55" t="s">
        <v>373</v>
      </c>
      <c r="E1204" s="74">
        <v>44109</v>
      </c>
      <c r="F1204" s="55" t="s">
        <v>344</v>
      </c>
      <c r="G1204" s="55" t="s">
        <v>360</v>
      </c>
      <c r="H1204" s="55" t="s">
        <v>360</v>
      </c>
      <c r="I1204" s="55" t="s">
        <v>360</v>
      </c>
      <c r="J1204" s="55" t="s">
        <v>360</v>
      </c>
      <c r="K1204" s="55" t="s">
        <v>360</v>
      </c>
      <c r="L1204" s="55" t="s">
        <v>360</v>
      </c>
      <c r="M1204" s="55" t="s">
        <v>144</v>
      </c>
      <c r="N1204" s="55" t="s">
        <v>144</v>
      </c>
      <c r="O1204" s="55" t="s">
        <v>236</v>
      </c>
      <c r="P1204" s="55" t="s">
        <v>996</v>
      </c>
      <c r="Q1204" s="55" t="s">
        <v>350</v>
      </c>
      <c r="R1204" s="55">
        <v>3</v>
      </c>
      <c r="S1204" s="55"/>
      <c r="T1204" s="55" t="s">
        <v>1919</v>
      </c>
    </row>
    <row r="1205" spans="1:20" ht="13" x14ac:dyDescent="0.15">
      <c r="A1205" s="72" t="str">
        <f t="shared" si="18"/>
        <v>Ofsted Social Care Provider Webpage</v>
      </c>
      <c r="B1205" s="55">
        <v>2598205</v>
      </c>
      <c r="D1205" s="55" t="s">
        <v>373</v>
      </c>
      <c r="E1205" s="74">
        <v>44021</v>
      </c>
      <c r="F1205" s="55" t="s">
        <v>344</v>
      </c>
      <c r="G1205" s="55" t="s">
        <v>360</v>
      </c>
      <c r="H1205" s="55" t="s">
        <v>360</v>
      </c>
      <c r="I1205" s="55" t="s">
        <v>360</v>
      </c>
      <c r="J1205" s="55" t="s">
        <v>360</v>
      </c>
      <c r="K1205" s="55" t="s">
        <v>360</v>
      </c>
      <c r="L1205" s="55" t="s">
        <v>360</v>
      </c>
      <c r="M1205" s="55" t="s">
        <v>378</v>
      </c>
      <c r="N1205" s="55" t="s">
        <v>134</v>
      </c>
      <c r="O1205" s="55" t="s">
        <v>204</v>
      </c>
      <c r="P1205" s="55" t="s">
        <v>1920</v>
      </c>
      <c r="Q1205" s="55" t="s">
        <v>380</v>
      </c>
      <c r="R1205" s="55">
        <v>1</v>
      </c>
      <c r="S1205" s="55"/>
      <c r="T1205" s="55" t="s">
        <v>1479</v>
      </c>
    </row>
    <row r="1206" spans="1:20" ht="13" x14ac:dyDescent="0.15">
      <c r="A1206" s="72" t="str">
        <f t="shared" si="18"/>
        <v>Ofsted Social Care Provider Webpage</v>
      </c>
      <c r="B1206" s="55">
        <v>2598462</v>
      </c>
      <c r="D1206" s="55" t="s">
        <v>373</v>
      </c>
      <c r="E1206" s="74">
        <v>44112</v>
      </c>
      <c r="F1206" s="55" t="s">
        <v>344</v>
      </c>
      <c r="G1206" s="55" t="s">
        <v>360</v>
      </c>
      <c r="H1206" s="55" t="s">
        <v>360</v>
      </c>
      <c r="I1206" s="55" t="s">
        <v>360</v>
      </c>
      <c r="J1206" s="55" t="s">
        <v>360</v>
      </c>
      <c r="K1206" s="55" t="s">
        <v>360</v>
      </c>
      <c r="L1206" s="55" t="s">
        <v>360</v>
      </c>
      <c r="M1206" s="55" t="s">
        <v>172</v>
      </c>
      <c r="N1206" s="55" t="s">
        <v>172</v>
      </c>
      <c r="O1206" s="55" t="s">
        <v>212</v>
      </c>
      <c r="P1206" s="55" t="s">
        <v>592</v>
      </c>
      <c r="Q1206" s="55" t="s">
        <v>350</v>
      </c>
      <c r="R1206" s="55">
        <v>2</v>
      </c>
      <c r="S1206" s="55"/>
      <c r="T1206" s="55" t="s">
        <v>865</v>
      </c>
    </row>
    <row r="1207" spans="1:20" ht="13" x14ac:dyDescent="0.15">
      <c r="A1207" s="72" t="str">
        <f t="shared" si="18"/>
        <v>Ofsted Social Care Provider Webpage</v>
      </c>
      <c r="B1207" s="55">
        <v>2598648</v>
      </c>
      <c r="D1207" s="55" t="s">
        <v>373</v>
      </c>
      <c r="E1207" s="74">
        <v>44047</v>
      </c>
      <c r="F1207" s="55" t="s">
        <v>344</v>
      </c>
      <c r="G1207" s="55" t="s">
        <v>360</v>
      </c>
      <c r="H1207" s="55" t="s">
        <v>360</v>
      </c>
      <c r="I1207" s="55" t="s">
        <v>360</v>
      </c>
      <c r="J1207" s="55" t="s">
        <v>360</v>
      </c>
      <c r="K1207" s="55" t="s">
        <v>360</v>
      </c>
      <c r="L1207" s="55" t="s">
        <v>360</v>
      </c>
      <c r="M1207" s="55" t="s">
        <v>172</v>
      </c>
      <c r="N1207" s="55" t="s">
        <v>172</v>
      </c>
      <c r="O1207" s="55" t="s">
        <v>212</v>
      </c>
      <c r="P1207" s="55" t="s">
        <v>798</v>
      </c>
      <c r="Q1207" s="55" t="s">
        <v>350</v>
      </c>
      <c r="R1207" s="55">
        <v>3</v>
      </c>
      <c r="S1207" s="55"/>
      <c r="T1207" s="55" t="s">
        <v>1819</v>
      </c>
    </row>
    <row r="1208" spans="1:20" ht="13" x14ac:dyDescent="0.15">
      <c r="A1208" s="72" t="str">
        <f t="shared" si="18"/>
        <v>Ofsted Social Care Provider Webpage</v>
      </c>
      <c r="B1208" s="55">
        <v>2598804</v>
      </c>
      <c r="D1208" s="55" t="s">
        <v>373</v>
      </c>
      <c r="E1208" s="74">
        <v>44314</v>
      </c>
      <c r="F1208" s="55" t="s">
        <v>344</v>
      </c>
      <c r="G1208" s="55" t="s">
        <v>360</v>
      </c>
      <c r="H1208" s="55" t="s">
        <v>360</v>
      </c>
      <c r="I1208" s="55" t="s">
        <v>360</v>
      </c>
      <c r="J1208" s="55" t="s">
        <v>360</v>
      </c>
      <c r="K1208" s="55" t="s">
        <v>360</v>
      </c>
      <c r="L1208" s="55" t="s">
        <v>360</v>
      </c>
      <c r="M1208" s="55" t="s">
        <v>378</v>
      </c>
      <c r="N1208" s="55" t="s">
        <v>134</v>
      </c>
      <c r="O1208" s="55" t="s">
        <v>151</v>
      </c>
      <c r="P1208" s="55" t="s">
        <v>1921</v>
      </c>
      <c r="Q1208" s="55" t="s">
        <v>350</v>
      </c>
      <c r="R1208" s="55">
        <v>1</v>
      </c>
      <c r="S1208" s="55"/>
      <c r="T1208" s="55" t="s">
        <v>1922</v>
      </c>
    </row>
    <row r="1209" spans="1:20" ht="13" x14ac:dyDescent="0.15">
      <c r="A1209" s="72" t="str">
        <f t="shared" si="18"/>
        <v>Ofsted Social Care Provider Webpage</v>
      </c>
      <c r="B1209" s="55">
        <v>2599037</v>
      </c>
      <c r="D1209" s="55" t="s">
        <v>373</v>
      </c>
      <c r="E1209" s="74">
        <v>44054</v>
      </c>
      <c r="F1209" s="55" t="s">
        <v>344</v>
      </c>
      <c r="G1209" s="55" t="s">
        <v>360</v>
      </c>
      <c r="H1209" s="55" t="s">
        <v>360</v>
      </c>
      <c r="I1209" s="55" t="s">
        <v>360</v>
      </c>
      <c r="J1209" s="55" t="s">
        <v>360</v>
      </c>
      <c r="K1209" s="55" t="s">
        <v>360</v>
      </c>
      <c r="L1209" s="55" t="s">
        <v>360</v>
      </c>
      <c r="M1209" s="55" t="s">
        <v>172</v>
      </c>
      <c r="N1209" s="55" t="s">
        <v>172</v>
      </c>
      <c r="O1209" s="55" t="s">
        <v>212</v>
      </c>
      <c r="P1209" s="55" t="s">
        <v>547</v>
      </c>
      <c r="Q1209" s="55" t="s">
        <v>350</v>
      </c>
      <c r="R1209" s="55">
        <v>3</v>
      </c>
      <c r="S1209" s="55"/>
      <c r="T1209" s="55" t="s">
        <v>1923</v>
      </c>
    </row>
    <row r="1210" spans="1:20" ht="13" x14ac:dyDescent="0.15">
      <c r="A1210" s="72" t="str">
        <f t="shared" si="18"/>
        <v>Ofsted Social Care Provider Webpage</v>
      </c>
      <c r="B1210" s="55">
        <v>2599183</v>
      </c>
      <c r="D1210" s="55" t="s">
        <v>373</v>
      </c>
      <c r="E1210" s="74">
        <v>44068</v>
      </c>
      <c r="F1210" s="55" t="s">
        <v>344</v>
      </c>
      <c r="G1210" s="55" t="s">
        <v>360</v>
      </c>
      <c r="H1210" s="55" t="s">
        <v>360</v>
      </c>
      <c r="I1210" s="55" t="s">
        <v>360</v>
      </c>
      <c r="J1210" s="55" t="s">
        <v>360</v>
      </c>
      <c r="K1210" s="55" t="s">
        <v>360</v>
      </c>
      <c r="L1210" s="55" t="s">
        <v>360</v>
      </c>
      <c r="M1210" s="55" t="s">
        <v>144</v>
      </c>
      <c r="N1210" s="55" t="s">
        <v>144</v>
      </c>
      <c r="O1210" s="55" t="s">
        <v>163</v>
      </c>
      <c r="P1210" s="55" t="s">
        <v>614</v>
      </c>
      <c r="Q1210" s="55" t="s">
        <v>350</v>
      </c>
      <c r="R1210" s="55">
        <v>3</v>
      </c>
      <c r="S1210" s="55"/>
      <c r="T1210" s="55" t="s">
        <v>1653</v>
      </c>
    </row>
    <row r="1211" spans="1:20" ht="13" x14ac:dyDescent="0.15">
      <c r="A1211" s="72" t="str">
        <f t="shared" si="18"/>
        <v>Ofsted Social Care Provider Webpage</v>
      </c>
      <c r="B1211" s="55">
        <v>2599388</v>
      </c>
      <c r="D1211" s="55" t="s">
        <v>373</v>
      </c>
      <c r="E1211" s="74">
        <v>44033</v>
      </c>
      <c r="F1211" s="55" t="s">
        <v>344</v>
      </c>
      <c r="G1211" s="55" t="s">
        <v>360</v>
      </c>
      <c r="H1211" s="55" t="s">
        <v>360</v>
      </c>
      <c r="I1211" s="55" t="s">
        <v>360</v>
      </c>
      <c r="J1211" s="55" t="s">
        <v>360</v>
      </c>
      <c r="K1211" s="55" t="s">
        <v>360</v>
      </c>
      <c r="L1211" s="55" t="s">
        <v>360</v>
      </c>
      <c r="M1211" s="55" t="s">
        <v>136</v>
      </c>
      <c r="N1211" s="55" t="s">
        <v>136</v>
      </c>
      <c r="O1211" s="55" t="s">
        <v>174</v>
      </c>
      <c r="P1211" s="55" t="s">
        <v>982</v>
      </c>
      <c r="Q1211" s="55" t="s">
        <v>350</v>
      </c>
      <c r="R1211" s="55">
        <v>3</v>
      </c>
      <c r="S1211" s="55"/>
      <c r="T1211" s="55" t="s">
        <v>1924</v>
      </c>
    </row>
    <row r="1212" spans="1:20" ht="13" x14ac:dyDescent="0.15">
      <c r="A1212" s="72" t="str">
        <f t="shared" si="18"/>
        <v>Ofsted Social Care Provider Webpage</v>
      </c>
      <c r="B1212" s="55">
        <v>2599399</v>
      </c>
      <c r="D1212" s="55" t="s">
        <v>373</v>
      </c>
      <c r="E1212" s="74">
        <v>44089</v>
      </c>
      <c r="F1212" s="55" t="s">
        <v>344</v>
      </c>
      <c r="G1212" s="55" t="s">
        <v>360</v>
      </c>
      <c r="H1212" s="55" t="s">
        <v>360</v>
      </c>
      <c r="I1212" s="55" t="s">
        <v>360</v>
      </c>
      <c r="J1212" s="55" t="s">
        <v>360</v>
      </c>
      <c r="K1212" s="55" t="s">
        <v>360</v>
      </c>
      <c r="L1212" s="55" t="s">
        <v>360</v>
      </c>
      <c r="M1212" s="55" t="s">
        <v>142</v>
      </c>
      <c r="N1212" s="55" t="s">
        <v>142</v>
      </c>
      <c r="O1212" s="55" t="s">
        <v>195</v>
      </c>
      <c r="P1212" s="55" t="s">
        <v>518</v>
      </c>
      <c r="Q1212" s="55" t="s">
        <v>350</v>
      </c>
      <c r="R1212" s="55">
        <v>2</v>
      </c>
      <c r="S1212" s="55"/>
      <c r="T1212" s="55" t="s">
        <v>385</v>
      </c>
    </row>
    <row r="1213" spans="1:20" ht="13" x14ac:dyDescent="0.15">
      <c r="A1213" s="72" t="str">
        <f t="shared" si="18"/>
        <v>Ofsted Social Care Provider Webpage</v>
      </c>
      <c r="B1213" s="55">
        <v>2599480</v>
      </c>
      <c r="D1213" s="55" t="s">
        <v>373</v>
      </c>
      <c r="E1213" s="74">
        <v>44089</v>
      </c>
      <c r="F1213" s="55" t="s">
        <v>344</v>
      </c>
      <c r="G1213" s="55" t="s">
        <v>360</v>
      </c>
      <c r="H1213" s="55" t="s">
        <v>360</v>
      </c>
      <c r="I1213" s="55" t="s">
        <v>360</v>
      </c>
      <c r="J1213" s="55" t="s">
        <v>360</v>
      </c>
      <c r="K1213" s="55" t="s">
        <v>360</v>
      </c>
      <c r="L1213" s="55" t="s">
        <v>360</v>
      </c>
      <c r="M1213" s="55" t="s">
        <v>142</v>
      </c>
      <c r="N1213" s="55" t="s">
        <v>142</v>
      </c>
      <c r="O1213" s="55" t="s">
        <v>265</v>
      </c>
      <c r="P1213" s="55" t="s">
        <v>1066</v>
      </c>
      <c r="Q1213" s="55" t="s">
        <v>350</v>
      </c>
      <c r="R1213" s="55">
        <v>4</v>
      </c>
      <c r="S1213" s="55"/>
      <c r="T1213" s="55" t="s">
        <v>385</v>
      </c>
    </row>
    <row r="1214" spans="1:20" ht="13" x14ac:dyDescent="0.15">
      <c r="A1214" s="72" t="str">
        <f t="shared" si="18"/>
        <v>Ofsted Social Care Provider Webpage</v>
      </c>
      <c r="B1214" s="55">
        <v>2599659</v>
      </c>
      <c r="D1214" s="55" t="s">
        <v>373</v>
      </c>
      <c r="E1214" s="74">
        <v>44164</v>
      </c>
      <c r="F1214" s="55" t="s">
        <v>344</v>
      </c>
      <c r="G1214" s="55" t="s">
        <v>360</v>
      </c>
      <c r="H1214" s="55" t="s">
        <v>360</v>
      </c>
      <c r="I1214" s="55" t="s">
        <v>360</v>
      </c>
      <c r="J1214" s="55" t="s">
        <v>360</v>
      </c>
      <c r="K1214" s="55" t="s">
        <v>360</v>
      </c>
      <c r="L1214" s="55" t="s">
        <v>360</v>
      </c>
      <c r="M1214" s="55" t="s">
        <v>138</v>
      </c>
      <c r="N1214" s="55" t="s">
        <v>138</v>
      </c>
      <c r="O1214" s="55" t="s">
        <v>238</v>
      </c>
      <c r="P1214" s="55" t="s">
        <v>238</v>
      </c>
      <c r="Q1214" s="55" t="s">
        <v>350</v>
      </c>
      <c r="R1214" s="55">
        <v>4</v>
      </c>
      <c r="S1214" s="55"/>
      <c r="T1214" s="55" t="s">
        <v>1079</v>
      </c>
    </row>
    <row r="1215" spans="1:20" ht="13" x14ac:dyDescent="0.15">
      <c r="A1215" s="72" t="str">
        <f t="shared" si="18"/>
        <v>Ofsted Social Care Provider Webpage</v>
      </c>
      <c r="B1215" s="55">
        <v>2599773</v>
      </c>
      <c r="D1215" s="55" t="s">
        <v>373</v>
      </c>
      <c r="E1215" s="74">
        <v>44103</v>
      </c>
      <c r="F1215" s="55" t="s">
        <v>344</v>
      </c>
      <c r="G1215" s="55" t="s">
        <v>360</v>
      </c>
      <c r="H1215" s="55" t="s">
        <v>360</v>
      </c>
      <c r="I1215" s="55" t="s">
        <v>360</v>
      </c>
      <c r="J1215" s="55" t="s">
        <v>360</v>
      </c>
      <c r="K1215" s="55" t="s">
        <v>360</v>
      </c>
      <c r="L1215" s="55" t="s">
        <v>360</v>
      </c>
      <c r="M1215" s="55" t="s">
        <v>172</v>
      </c>
      <c r="N1215" s="55" t="s">
        <v>172</v>
      </c>
      <c r="O1215" s="55" t="s">
        <v>284</v>
      </c>
      <c r="P1215" s="55" t="s">
        <v>1475</v>
      </c>
      <c r="Q1215" s="55" t="s">
        <v>350</v>
      </c>
      <c r="R1215" s="55">
        <v>2</v>
      </c>
      <c r="S1215" s="55"/>
      <c r="T1215" s="55" t="s">
        <v>1925</v>
      </c>
    </row>
    <row r="1216" spans="1:20" ht="13" x14ac:dyDescent="0.15">
      <c r="A1216" s="72" t="str">
        <f t="shared" si="18"/>
        <v>Ofsted Social Care Provider Webpage</v>
      </c>
      <c r="B1216" s="55">
        <v>2599805</v>
      </c>
      <c r="D1216" s="55" t="s">
        <v>373</v>
      </c>
      <c r="E1216" s="74">
        <v>44132</v>
      </c>
      <c r="F1216" s="55" t="s">
        <v>344</v>
      </c>
      <c r="G1216" s="55" t="s">
        <v>360</v>
      </c>
      <c r="H1216" s="55" t="s">
        <v>360</v>
      </c>
      <c r="I1216" s="55" t="s">
        <v>360</v>
      </c>
      <c r="J1216" s="55" t="s">
        <v>360</v>
      </c>
      <c r="K1216" s="55" t="s">
        <v>360</v>
      </c>
      <c r="L1216" s="55" t="s">
        <v>360</v>
      </c>
      <c r="M1216" s="55" t="s">
        <v>172</v>
      </c>
      <c r="N1216" s="55" t="s">
        <v>172</v>
      </c>
      <c r="O1216" s="55" t="s">
        <v>171</v>
      </c>
      <c r="P1216" s="55" t="s">
        <v>983</v>
      </c>
      <c r="Q1216" s="55" t="s">
        <v>350</v>
      </c>
      <c r="R1216" s="55">
        <v>4</v>
      </c>
      <c r="S1216" s="55"/>
      <c r="T1216" s="55" t="s">
        <v>865</v>
      </c>
    </row>
    <row r="1217" spans="1:20" ht="13" x14ac:dyDescent="0.15">
      <c r="A1217" s="72" t="str">
        <f t="shared" si="18"/>
        <v>Ofsted Social Care Provider Webpage</v>
      </c>
      <c r="B1217" s="55">
        <v>2599994</v>
      </c>
      <c r="D1217" s="55" t="s">
        <v>373</v>
      </c>
      <c r="E1217" s="74">
        <v>44043</v>
      </c>
      <c r="F1217" s="55" t="s">
        <v>344</v>
      </c>
      <c r="G1217" s="55" t="s">
        <v>360</v>
      </c>
      <c r="H1217" s="55" t="s">
        <v>360</v>
      </c>
      <c r="I1217" s="55" t="s">
        <v>360</v>
      </c>
      <c r="J1217" s="55" t="s">
        <v>360</v>
      </c>
      <c r="K1217" s="55" t="s">
        <v>360</v>
      </c>
      <c r="L1217" s="55" t="s">
        <v>360</v>
      </c>
      <c r="M1217" s="55" t="s">
        <v>378</v>
      </c>
      <c r="N1217" s="55" t="s">
        <v>134</v>
      </c>
      <c r="O1217" s="55" t="s">
        <v>204</v>
      </c>
      <c r="P1217" s="55" t="s">
        <v>1920</v>
      </c>
      <c r="Q1217" s="55" t="s">
        <v>380</v>
      </c>
      <c r="R1217" s="55">
        <v>1</v>
      </c>
      <c r="S1217" s="55"/>
      <c r="T1217" s="55" t="s">
        <v>1479</v>
      </c>
    </row>
    <row r="1218" spans="1:20" ht="13" x14ac:dyDescent="0.15">
      <c r="A1218" s="72" t="str">
        <f t="shared" si="18"/>
        <v>Ofsted Social Care Provider Webpage</v>
      </c>
      <c r="B1218" s="55">
        <v>2600119</v>
      </c>
      <c r="D1218" s="55" t="s">
        <v>373</v>
      </c>
      <c r="E1218" s="74">
        <v>44106</v>
      </c>
      <c r="F1218" s="55" t="s">
        <v>344</v>
      </c>
      <c r="G1218" s="55" t="s">
        <v>360</v>
      </c>
      <c r="H1218" s="55" t="s">
        <v>360</v>
      </c>
      <c r="I1218" s="55" t="s">
        <v>360</v>
      </c>
      <c r="J1218" s="55" t="s">
        <v>360</v>
      </c>
      <c r="K1218" s="55" t="s">
        <v>360</v>
      </c>
      <c r="L1218" s="55" t="s">
        <v>360</v>
      </c>
      <c r="M1218" s="55" t="s">
        <v>144</v>
      </c>
      <c r="N1218" s="55" t="s">
        <v>144</v>
      </c>
      <c r="O1218" s="55" t="s">
        <v>157</v>
      </c>
      <c r="P1218" s="55" t="s">
        <v>1092</v>
      </c>
      <c r="Q1218" s="55" t="s">
        <v>350</v>
      </c>
      <c r="R1218" s="55">
        <v>2</v>
      </c>
      <c r="S1218" s="55"/>
      <c r="T1218" s="55" t="s">
        <v>1926</v>
      </c>
    </row>
    <row r="1219" spans="1:20" ht="13" x14ac:dyDescent="0.15">
      <c r="A1219" s="72" t="str">
        <f t="shared" si="18"/>
        <v>Ofsted Social Care Provider Webpage</v>
      </c>
      <c r="B1219" s="55">
        <v>2600259</v>
      </c>
      <c r="D1219" s="55" t="s">
        <v>373</v>
      </c>
      <c r="E1219" s="74">
        <v>44095</v>
      </c>
      <c r="F1219" s="55" t="s">
        <v>344</v>
      </c>
      <c r="G1219" s="55" t="s">
        <v>360</v>
      </c>
      <c r="H1219" s="55" t="s">
        <v>360</v>
      </c>
      <c r="I1219" s="55" t="s">
        <v>360</v>
      </c>
      <c r="J1219" s="55" t="s">
        <v>360</v>
      </c>
      <c r="K1219" s="55" t="s">
        <v>360</v>
      </c>
      <c r="L1219" s="55" t="s">
        <v>360</v>
      </c>
      <c r="M1219" s="55" t="s">
        <v>378</v>
      </c>
      <c r="N1219" s="55" t="s">
        <v>134</v>
      </c>
      <c r="O1219" s="55" t="s">
        <v>158</v>
      </c>
      <c r="P1219" s="55" t="s">
        <v>912</v>
      </c>
      <c r="Q1219" s="55" t="s">
        <v>350</v>
      </c>
      <c r="R1219" s="55">
        <v>2</v>
      </c>
      <c r="S1219" s="55"/>
      <c r="T1219" s="55" t="s">
        <v>951</v>
      </c>
    </row>
    <row r="1220" spans="1:20" ht="13" x14ac:dyDescent="0.15">
      <c r="A1220" s="72" t="str">
        <f t="shared" si="18"/>
        <v>Ofsted Social Care Provider Webpage</v>
      </c>
      <c r="B1220" s="55">
        <v>2600541</v>
      </c>
      <c r="D1220" s="55" t="s">
        <v>373</v>
      </c>
      <c r="E1220" s="74">
        <v>44084</v>
      </c>
      <c r="F1220" s="55" t="s">
        <v>344</v>
      </c>
      <c r="G1220" s="55" t="s">
        <v>360</v>
      </c>
      <c r="H1220" s="55" t="s">
        <v>360</v>
      </c>
      <c r="I1220" s="55" t="s">
        <v>360</v>
      </c>
      <c r="J1220" s="55" t="s">
        <v>360</v>
      </c>
      <c r="K1220" s="55" t="s">
        <v>360</v>
      </c>
      <c r="L1220" s="55" t="s">
        <v>360</v>
      </c>
      <c r="M1220" s="55" t="s">
        <v>142</v>
      </c>
      <c r="N1220" s="55" t="s">
        <v>142</v>
      </c>
      <c r="O1220" s="55" t="s">
        <v>293</v>
      </c>
      <c r="P1220" s="55" t="s">
        <v>1136</v>
      </c>
      <c r="Q1220" s="55" t="s">
        <v>350</v>
      </c>
      <c r="R1220" s="55">
        <v>3</v>
      </c>
      <c r="S1220" s="55"/>
      <c r="T1220" s="55" t="s">
        <v>1417</v>
      </c>
    </row>
    <row r="1221" spans="1:20" ht="13" x14ac:dyDescent="0.15">
      <c r="A1221" s="72" t="str">
        <f t="shared" ref="A1221:A1284" si="19">HYPERLINK(_xlfn.CONCAT("http://reports.ofsted.gov.uk/inspection-reports/find-inspection-report/provider/CARE/",B1221),"Ofsted Social Care Provider Webpage")</f>
        <v>Ofsted Social Care Provider Webpage</v>
      </c>
      <c r="B1221" s="55">
        <v>2600759</v>
      </c>
      <c r="D1221" s="55" t="s">
        <v>373</v>
      </c>
      <c r="E1221" s="74">
        <v>44062</v>
      </c>
      <c r="F1221" s="55" t="s">
        <v>344</v>
      </c>
      <c r="G1221" s="55" t="s">
        <v>360</v>
      </c>
      <c r="H1221" s="55" t="s">
        <v>360</v>
      </c>
      <c r="I1221" s="55" t="s">
        <v>360</v>
      </c>
      <c r="J1221" s="55" t="s">
        <v>360</v>
      </c>
      <c r="K1221" s="55" t="s">
        <v>360</v>
      </c>
      <c r="L1221" s="55" t="s">
        <v>360</v>
      </c>
      <c r="M1221" s="55" t="s">
        <v>144</v>
      </c>
      <c r="N1221" s="55" t="s">
        <v>144</v>
      </c>
      <c r="O1221" s="55" t="s">
        <v>287</v>
      </c>
      <c r="P1221" s="55" t="s">
        <v>287</v>
      </c>
      <c r="Q1221" s="55" t="s">
        <v>350</v>
      </c>
      <c r="R1221" s="55">
        <v>3</v>
      </c>
      <c r="S1221" s="55"/>
      <c r="T1221" s="55" t="s">
        <v>490</v>
      </c>
    </row>
    <row r="1222" spans="1:20" ht="13" x14ac:dyDescent="0.15">
      <c r="A1222" s="72" t="str">
        <f t="shared" si="19"/>
        <v>Ofsted Social Care Provider Webpage</v>
      </c>
      <c r="B1222" s="55">
        <v>2600784</v>
      </c>
      <c r="D1222" s="55" t="s">
        <v>389</v>
      </c>
      <c r="E1222" s="74">
        <v>44279</v>
      </c>
      <c r="F1222" s="55" t="s">
        <v>344</v>
      </c>
      <c r="G1222" s="55" t="s">
        <v>1927</v>
      </c>
      <c r="H1222" s="55" t="s">
        <v>1928</v>
      </c>
      <c r="I1222" s="55" t="s">
        <v>1929</v>
      </c>
      <c r="J1222" s="55" t="s">
        <v>1930</v>
      </c>
      <c r="K1222" s="55" t="s">
        <v>183</v>
      </c>
      <c r="L1222" s="55" t="s">
        <v>1931</v>
      </c>
      <c r="M1222" s="55" t="s">
        <v>138</v>
      </c>
      <c r="N1222" s="55" t="s">
        <v>138</v>
      </c>
      <c r="O1222" s="55" t="s">
        <v>183</v>
      </c>
      <c r="P1222" s="55" t="s">
        <v>907</v>
      </c>
      <c r="Q1222" s="55" t="s">
        <v>350</v>
      </c>
      <c r="R1222" s="55"/>
      <c r="S1222" s="55"/>
      <c r="T1222" s="55" t="s">
        <v>1932</v>
      </c>
    </row>
    <row r="1223" spans="1:20" ht="13" x14ac:dyDescent="0.15">
      <c r="A1223" s="72" t="str">
        <f t="shared" si="19"/>
        <v>Ofsted Social Care Provider Webpage</v>
      </c>
      <c r="B1223" s="55">
        <v>2600900</v>
      </c>
      <c r="D1223" s="55" t="s">
        <v>389</v>
      </c>
      <c r="E1223" s="74">
        <v>44277</v>
      </c>
      <c r="F1223" s="55" t="s">
        <v>344</v>
      </c>
      <c r="G1223" s="55" t="s">
        <v>1933</v>
      </c>
      <c r="H1223" s="55" t="s">
        <v>1934</v>
      </c>
      <c r="I1223" s="55" t="s">
        <v>1935</v>
      </c>
      <c r="J1223" s="55" t="s">
        <v>1936</v>
      </c>
      <c r="K1223" s="55" t="s">
        <v>203</v>
      </c>
      <c r="L1223" s="55" t="s">
        <v>1937</v>
      </c>
      <c r="M1223" s="55" t="s">
        <v>150</v>
      </c>
      <c r="N1223" s="55" t="s">
        <v>150</v>
      </c>
      <c r="O1223" s="55" t="s">
        <v>203</v>
      </c>
      <c r="P1223" s="55" t="s">
        <v>1835</v>
      </c>
      <c r="Q1223" s="55" t="s">
        <v>350</v>
      </c>
      <c r="R1223" s="55"/>
      <c r="S1223" s="55"/>
      <c r="T1223" s="55" t="s">
        <v>1938</v>
      </c>
    </row>
    <row r="1224" spans="1:20" ht="13" x14ac:dyDescent="0.15">
      <c r="A1224" s="72" t="str">
        <f t="shared" si="19"/>
        <v>Ofsted Social Care Provider Webpage</v>
      </c>
      <c r="B1224" s="55">
        <v>2600978</v>
      </c>
      <c r="D1224" s="55" t="s">
        <v>373</v>
      </c>
      <c r="E1224" s="74">
        <v>44117</v>
      </c>
      <c r="F1224" s="55" t="s">
        <v>344</v>
      </c>
      <c r="G1224" s="55" t="s">
        <v>360</v>
      </c>
      <c r="H1224" s="55" t="s">
        <v>360</v>
      </c>
      <c r="I1224" s="55" t="s">
        <v>360</v>
      </c>
      <c r="J1224" s="55" t="s">
        <v>360</v>
      </c>
      <c r="K1224" s="55" t="s">
        <v>360</v>
      </c>
      <c r="L1224" s="55" t="s">
        <v>360</v>
      </c>
      <c r="M1224" s="55" t="s">
        <v>142</v>
      </c>
      <c r="N1224" s="55" t="s">
        <v>142</v>
      </c>
      <c r="O1224" s="55" t="s">
        <v>262</v>
      </c>
      <c r="P1224" s="55" t="s">
        <v>916</v>
      </c>
      <c r="Q1224" s="55" t="s">
        <v>350</v>
      </c>
      <c r="R1224" s="55">
        <v>4</v>
      </c>
      <c r="S1224" s="55"/>
      <c r="T1224" s="55" t="s">
        <v>861</v>
      </c>
    </row>
    <row r="1225" spans="1:20" ht="13" x14ac:dyDescent="0.15">
      <c r="A1225" s="72" t="str">
        <f t="shared" si="19"/>
        <v>Ofsted Social Care Provider Webpage</v>
      </c>
      <c r="B1225" s="55">
        <v>2601107</v>
      </c>
      <c r="C1225" s="55">
        <v>125453</v>
      </c>
      <c r="D1225" s="55" t="s">
        <v>413</v>
      </c>
      <c r="E1225" s="74">
        <v>44060</v>
      </c>
      <c r="F1225" s="55" t="s">
        <v>344</v>
      </c>
      <c r="G1225" s="55" t="s">
        <v>1939</v>
      </c>
      <c r="H1225" s="55" t="s">
        <v>1940</v>
      </c>
      <c r="I1225" s="55" t="s">
        <v>354</v>
      </c>
      <c r="J1225" s="55" t="s">
        <v>1941</v>
      </c>
      <c r="K1225" s="55" t="s">
        <v>268</v>
      </c>
      <c r="L1225" s="55" t="s">
        <v>1942</v>
      </c>
      <c r="M1225" s="55" t="s">
        <v>150</v>
      </c>
      <c r="N1225" s="55" t="s">
        <v>150</v>
      </c>
      <c r="O1225" s="55" t="s">
        <v>268</v>
      </c>
      <c r="P1225" s="55" t="s">
        <v>1943</v>
      </c>
      <c r="Q1225" s="55" t="s">
        <v>362</v>
      </c>
      <c r="R1225" s="55">
        <v>24</v>
      </c>
      <c r="S1225" s="55"/>
      <c r="T1225" s="55" t="s">
        <v>1944</v>
      </c>
    </row>
    <row r="1226" spans="1:20" ht="13" x14ac:dyDescent="0.15">
      <c r="A1226" s="72" t="str">
        <f t="shared" si="19"/>
        <v>Ofsted Social Care Provider Webpage</v>
      </c>
      <c r="B1226" s="55">
        <v>2601137</v>
      </c>
      <c r="D1226" s="55" t="s">
        <v>373</v>
      </c>
      <c r="E1226" s="74">
        <v>44187</v>
      </c>
      <c r="F1226" s="55" t="s">
        <v>344</v>
      </c>
      <c r="G1226" s="55" t="s">
        <v>360</v>
      </c>
      <c r="H1226" s="55" t="s">
        <v>360</v>
      </c>
      <c r="I1226" s="55" t="s">
        <v>360</v>
      </c>
      <c r="J1226" s="55" t="s">
        <v>360</v>
      </c>
      <c r="K1226" s="55" t="s">
        <v>360</v>
      </c>
      <c r="L1226" s="55" t="s">
        <v>360</v>
      </c>
      <c r="M1226" s="55" t="s">
        <v>172</v>
      </c>
      <c r="N1226" s="55" t="s">
        <v>172</v>
      </c>
      <c r="O1226" s="55" t="s">
        <v>173</v>
      </c>
      <c r="P1226" s="55" t="s">
        <v>961</v>
      </c>
      <c r="Q1226" s="55" t="s">
        <v>350</v>
      </c>
      <c r="R1226" s="55">
        <v>2</v>
      </c>
      <c r="S1226" s="55"/>
      <c r="T1226" s="55" t="s">
        <v>1704</v>
      </c>
    </row>
    <row r="1227" spans="1:20" ht="13" x14ac:dyDescent="0.15">
      <c r="A1227" s="72" t="str">
        <f t="shared" si="19"/>
        <v>Ofsted Social Care Provider Webpage</v>
      </c>
      <c r="B1227" s="55">
        <v>2602142</v>
      </c>
      <c r="D1227" s="55" t="s">
        <v>373</v>
      </c>
      <c r="E1227" s="74">
        <v>44069</v>
      </c>
      <c r="F1227" s="55" t="s">
        <v>344</v>
      </c>
      <c r="G1227" s="55" t="s">
        <v>360</v>
      </c>
      <c r="H1227" s="55" t="s">
        <v>360</v>
      </c>
      <c r="I1227" s="55" t="s">
        <v>360</v>
      </c>
      <c r="J1227" s="55" t="s">
        <v>360</v>
      </c>
      <c r="K1227" s="55" t="s">
        <v>360</v>
      </c>
      <c r="L1227" s="55" t="s">
        <v>360</v>
      </c>
      <c r="M1227" s="55" t="s">
        <v>378</v>
      </c>
      <c r="N1227" s="55" t="s">
        <v>170</v>
      </c>
      <c r="O1227" s="55" t="s">
        <v>231</v>
      </c>
      <c r="P1227" s="55" t="s">
        <v>231</v>
      </c>
      <c r="Q1227" s="55" t="s">
        <v>380</v>
      </c>
      <c r="R1227" s="55">
        <v>1</v>
      </c>
      <c r="S1227" s="55"/>
      <c r="T1227" s="55" t="s">
        <v>1945</v>
      </c>
    </row>
    <row r="1228" spans="1:20" ht="13" x14ac:dyDescent="0.15">
      <c r="A1228" s="72" t="str">
        <f t="shared" si="19"/>
        <v>Ofsted Social Care Provider Webpage</v>
      </c>
      <c r="B1228" s="55">
        <v>2602558</v>
      </c>
      <c r="D1228" s="55" t="s">
        <v>373</v>
      </c>
      <c r="E1228" s="74">
        <v>44152</v>
      </c>
      <c r="F1228" s="55" t="s">
        <v>344</v>
      </c>
      <c r="G1228" s="55" t="s">
        <v>360</v>
      </c>
      <c r="H1228" s="55" t="s">
        <v>360</v>
      </c>
      <c r="I1228" s="55" t="s">
        <v>360</v>
      </c>
      <c r="J1228" s="55" t="s">
        <v>360</v>
      </c>
      <c r="K1228" s="55" t="s">
        <v>360</v>
      </c>
      <c r="L1228" s="55" t="s">
        <v>360</v>
      </c>
      <c r="M1228" s="55" t="s">
        <v>378</v>
      </c>
      <c r="N1228" s="55" t="s">
        <v>170</v>
      </c>
      <c r="O1228" s="55" t="s">
        <v>184</v>
      </c>
      <c r="P1228" s="55" t="s">
        <v>184</v>
      </c>
      <c r="Q1228" s="55" t="s">
        <v>350</v>
      </c>
      <c r="R1228" s="55">
        <v>7</v>
      </c>
      <c r="S1228" s="55"/>
      <c r="T1228" s="55" t="s">
        <v>1946</v>
      </c>
    </row>
    <row r="1229" spans="1:20" ht="13" x14ac:dyDescent="0.15">
      <c r="A1229" s="72" t="str">
        <f t="shared" si="19"/>
        <v>Ofsted Social Care Provider Webpage</v>
      </c>
      <c r="B1229" s="55">
        <v>2602585</v>
      </c>
      <c r="D1229" s="55" t="s">
        <v>373</v>
      </c>
      <c r="E1229" s="74">
        <v>44092</v>
      </c>
      <c r="F1229" s="55" t="s">
        <v>344</v>
      </c>
      <c r="G1229" s="55" t="s">
        <v>360</v>
      </c>
      <c r="H1229" s="55" t="s">
        <v>360</v>
      </c>
      <c r="I1229" s="55" t="s">
        <v>360</v>
      </c>
      <c r="J1229" s="55" t="s">
        <v>360</v>
      </c>
      <c r="K1229" s="55" t="s">
        <v>360</v>
      </c>
      <c r="L1229" s="55" t="s">
        <v>360</v>
      </c>
      <c r="M1229" s="55" t="s">
        <v>144</v>
      </c>
      <c r="N1229" s="55" t="s">
        <v>144</v>
      </c>
      <c r="O1229" s="55" t="s">
        <v>209</v>
      </c>
      <c r="P1229" s="55" t="s">
        <v>561</v>
      </c>
      <c r="Q1229" s="55" t="s">
        <v>350</v>
      </c>
      <c r="R1229" s="55">
        <v>3</v>
      </c>
      <c r="S1229" s="55"/>
      <c r="T1229" s="55" t="s">
        <v>490</v>
      </c>
    </row>
    <row r="1230" spans="1:20" ht="13" x14ac:dyDescent="0.15">
      <c r="A1230" s="72" t="str">
        <f t="shared" si="19"/>
        <v>Ofsted Social Care Provider Webpage</v>
      </c>
      <c r="B1230" s="55">
        <v>2602813</v>
      </c>
      <c r="D1230" s="55" t="s">
        <v>373</v>
      </c>
      <c r="E1230" s="74">
        <v>44179</v>
      </c>
      <c r="F1230" s="55" t="s">
        <v>344</v>
      </c>
      <c r="G1230" s="55" t="s">
        <v>360</v>
      </c>
      <c r="H1230" s="55" t="s">
        <v>360</v>
      </c>
      <c r="I1230" s="55" t="s">
        <v>360</v>
      </c>
      <c r="J1230" s="55" t="s">
        <v>360</v>
      </c>
      <c r="K1230" s="55" t="s">
        <v>360</v>
      </c>
      <c r="L1230" s="55" t="s">
        <v>360</v>
      </c>
      <c r="M1230" s="55" t="s">
        <v>378</v>
      </c>
      <c r="N1230" s="55" t="s">
        <v>134</v>
      </c>
      <c r="O1230" s="55" t="s">
        <v>277</v>
      </c>
      <c r="P1230" s="55" t="s">
        <v>1362</v>
      </c>
      <c r="Q1230" s="55" t="s">
        <v>350</v>
      </c>
      <c r="R1230" s="55">
        <v>3</v>
      </c>
      <c r="S1230" s="55"/>
      <c r="T1230" s="55" t="s">
        <v>1947</v>
      </c>
    </row>
    <row r="1231" spans="1:20" ht="13" x14ac:dyDescent="0.15">
      <c r="A1231" s="72" t="str">
        <f t="shared" si="19"/>
        <v>Ofsted Social Care Provider Webpage</v>
      </c>
      <c r="B1231" s="55">
        <v>2602980</v>
      </c>
      <c r="D1231" s="55" t="s">
        <v>373</v>
      </c>
      <c r="E1231" s="74">
        <v>44077</v>
      </c>
      <c r="F1231" s="55" t="s">
        <v>344</v>
      </c>
      <c r="G1231" s="55" t="s">
        <v>360</v>
      </c>
      <c r="H1231" s="55" t="s">
        <v>360</v>
      </c>
      <c r="I1231" s="55" t="s">
        <v>360</v>
      </c>
      <c r="J1231" s="55" t="s">
        <v>360</v>
      </c>
      <c r="K1231" s="55" t="s">
        <v>360</v>
      </c>
      <c r="L1231" s="55" t="s">
        <v>360</v>
      </c>
      <c r="M1231" s="55" t="s">
        <v>138</v>
      </c>
      <c r="N1231" s="55" t="s">
        <v>138</v>
      </c>
      <c r="O1231" s="55" t="s">
        <v>159</v>
      </c>
      <c r="P1231" s="55" t="s">
        <v>1073</v>
      </c>
      <c r="Q1231" s="55" t="s">
        <v>380</v>
      </c>
      <c r="R1231" s="55">
        <v>5</v>
      </c>
      <c r="S1231" s="55"/>
      <c r="T1231" s="55" t="s">
        <v>1948</v>
      </c>
    </row>
    <row r="1232" spans="1:20" ht="13" x14ac:dyDescent="0.15">
      <c r="A1232" s="72" t="str">
        <f t="shared" si="19"/>
        <v>Ofsted Social Care Provider Webpage</v>
      </c>
      <c r="B1232" s="55">
        <v>2603286</v>
      </c>
      <c r="D1232" s="55" t="s">
        <v>373</v>
      </c>
      <c r="E1232" s="74">
        <v>44173</v>
      </c>
      <c r="F1232" s="55" t="s">
        <v>344</v>
      </c>
      <c r="G1232" s="55" t="s">
        <v>360</v>
      </c>
      <c r="H1232" s="55" t="s">
        <v>360</v>
      </c>
      <c r="I1232" s="55" t="s">
        <v>360</v>
      </c>
      <c r="J1232" s="55" t="s">
        <v>360</v>
      </c>
      <c r="K1232" s="55" t="s">
        <v>360</v>
      </c>
      <c r="L1232" s="55" t="s">
        <v>360</v>
      </c>
      <c r="M1232" s="55" t="s">
        <v>172</v>
      </c>
      <c r="N1232" s="55" t="s">
        <v>172</v>
      </c>
      <c r="O1232" s="55" t="s">
        <v>212</v>
      </c>
      <c r="P1232" s="55" t="s">
        <v>592</v>
      </c>
      <c r="Q1232" s="55" t="s">
        <v>350</v>
      </c>
      <c r="R1232" s="55">
        <v>4</v>
      </c>
      <c r="S1232" s="55"/>
      <c r="T1232" s="55" t="s">
        <v>493</v>
      </c>
    </row>
    <row r="1233" spans="1:20" ht="13" x14ac:dyDescent="0.15">
      <c r="A1233" s="72" t="str">
        <f t="shared" si="19"/>
        <v>Ofsted Social Care Provider Webpage</v>
      </c>
      <c r="B1233" s="55">
        <v>2603668</v>
      </c>
      <c r="D1233" s="55" t="s">
        <v>373</v>
      </c>
      <c r="E1233" s="74">
        <v>44077</v>
      </c>
      <c r="F1233" s="55" t="s">
        <v>344</v>
      </c>
      <c r="G1233" s="55" t="s">
        <v>360</v>
      </c>
      <c r="H1233" s="55" t="s">
        <v>360</v>
      </c>
      <c r="I1233" s="55" t="s">
        <v>360</v>
      </c>
      <c r="J1233" s="55" t="s">
        <v>360</v>
      </c>
      <c r="K1233" s="55" t="s">
        <v>360</v>
      </c>
      <c r="L1233" s="55" t="s">
        <v>360</v>
      </c>
      <c r="M1233" s="55" t="s">
        <v>138</v>
      </c>
      <c r="N1233" s="55" t="s">
        <v>138</v>
      </c>
      <c r="O1233" s="55" t="s">
        <v>159</v>
      </c>
      <c r="P1233" s="55" t="s">
        <v>633</v>
      </c>
      <c r="Q1233" s="55" t="s">
        <v>380</v>
      </c>
      <c r="R1233" s="55">
        <v>4</v>
      </c>
      <c r="S1233" s="55"/>
      <c r="T1233" s="55" t="s">
        <v>1948</v>
      </c>
    </row>
    <row r="1234" spans="1:20" ht="13" x14ac:dyDescent="0.15">
      <c r="A1234" s="72" t="str">
        <f t="shared" si="19"/>
        <v>Ofsted Social Care Provider Webpage</v>
      </c>
      <c r="B1234" s="55">
        <v>2603750</v>
      </c>
      <c r="D1234" s="55" t="s">
        <v>373</v>
      </c>
      <c r="E1234" s="74">
        <v>44407</v>
      </c>
      <c r="F1234" s="55" t="s">
        <v>344</v>
      </c>
      <c r="G1234" s="55" t="s">
        <v>360</v>
      </c>
      <c r="H1234" s="55" t="s">
        <v>360</v>
      </c>
      <c r="I1234" s="55" t="s">
        <v>360</v>
      </c>
      <c r="J1234" s="55" t="s">
        <v>360</v>
      </c>
      <c r="K1234" s="55" t="s">
        <v>360</v>
      </c>
      <c r="L1234" s="55" t="s">
        <v>360</v>
      </c>
      <c r="M1234" s="55" t="s">
        <v>142</v>
      </c>
      <c r="N1234" s="55" t="s">
        <v>142</v>
      </c>
      <c r="O1234" s="55" t="s">
        <v>292</v>
      </c>
      <c r="P1234" s="55" t="s">
        <v>1162</v>
      </c>
      <c r="Q1234" s="55" t="s">
        <v>350</v>
      </c>
      <c r="R1234" s="55">
        <v>3</v>
      </c>
      <c r="S1234" s="55"/>
      <c r="T1234" s="55" t="s">
        <v>1949</v>
      </c>
    </row>
    <row r="1235" spans="1:20" ht="13" x14ac:dyDescent="0.15">
      <c r="A1235" s="72" t="str">
        <f t="shared" si="19"/>
        <v>Ofsted Social Care Provider Webpage</v>
      </c>
      <c r="B1235" s="55">
        <v>2604035</v>
      </c>
      <c r="D1235" s="55" t="s">
        <v>373</v>
      </c>
      <c r="E1235" s="74">
        <v>44155</v>
      </c>
      <c r="F1235" s="55" t="s">
        <v>344</v>
      </c>
      <c r="G1235" s="55" t="s">
        <v>360</v>
      </c>
      <c r="H1235" s="55" t="s">
        <v>360</v>
      </c>
      <c r="I1235" s="55" t="s">
        <v>360</v>
      </c>
      <c r="J1235" s="55" t="s">
        <v>360</v>
      </c>
      <c r="K1235" s="55" t="s">
        <v>360</v>
      </c>
      <c r="L1235" s="55" t="s">
        <v>360</v>
      </c>
      <c r="M1235" s="55" t="s">
        <v>378</v>
      </c>
      <c r="N1235" s="55" t="s">
        <v>134</v>
      </c>
      <c r="O1235" s="55" t="s">
        <v>210</v>
      </c>
      <c r="P1235" s="55" t="s">
        <v>1950</v>
      </c>
      <c r="Q1235" s="55" t="s">
        <v>350</v>
      </c>
      <c r="R1235" s="55">
        <v>3</v>
      </c>
      <c r="S1235" s="55"/>
      <c r="T1235" s="55" t="s">
        <v>493</v>
      </c>
    </row>
    <row r="1236" spans="1:20" ht="13" x14ac:dyDescent="0.15">
      <c r="A1236" s="72" t="str">
        <f t="shared" si="19"/>
        <v>Ofsted Social Care Provider Webpage</v>
      </c>
      <c r="B1236" s="55">
        <v>2604092</v>
      </c>
      <c r="D1236" s="55" t="s">
        <v>373</v>
      </c>
      <c r="E1236" s="74">
        <v>44119</v>
      </c>
      <c r="F1236" s="55" t="s">
        <v>344</v>
      </c>
      <c r="G1236" s="55" t="s">
        <v>360</v>
      </c>
      <c r="H1236" s="55" t="s">
        <v>360</v>
      </c>
      <c r="I1236" s="55" t="s">
        <v>360</v>
      </c>
      <c r="J1236" s="55" t="s">
        <v>360</v>
      </c>
      <c r="K1236" s="55" t="s">
        <v>360</v>
      </c>
      <c r="L1236" s="55" t="s">
        <v>360</v>
      </c>
      <c r="M1236" s="55" t="s">
        <v>136</v>
      </c>
      <c r="N1236" s="55" t="s">
        <v>136</v>
      </c>
      <c r="O1236" s="55" t="s">
        <v>239</v>
      </c>
      <c r="P1236" s="55" t="s">
        <v>964</v>
      </c>
      <c r="Q1236" s="55" t="s">
        <v>350</v>
      </c>
      <c r="R1236" s="55">
        <v>2</v>
      </c>
      <c r="S1236" s="55"/>
      <c r="T1236" s="55" t="s">
        <v>721</v>
      </c>
    </row>
    <row r="1237" spans="1:20" ht="13" x14ac:dyDescent="0.15">
      <c r="A1237" s="72" t="str">
        <f t="shared" si="19"/>
        <v>Ofsted Social Care Provider Webpage</v>
      </c>
      <c r="B1237" s="55">
        <v>2604750</v>
      </c>
      <c r="D1237" s="55" t="s">
        <v>373</v>
      </c>
      <c r="E1237" s="74">
        <v>44113</v>
      </c>
      <c r="F1237" s="55" t="s">
        <v>344</v>
      </c>
      <c r="G1237" s="55" t="s">
        <v>360</v>
      </c>
      <c r="H1237" s="55" t="s">
        <v>360</v>
      </c>
      <c r="I1237" s="55" t="s">
        <v>360</v>
      </c>
      <c r="J1237" s="55" t="s">
        <v>360</v>
      </c>
      <c r="K1237" s="55" t="s">
        <v>360</v>
      </c>
      <c r="L1237" s="55" t="s">
        <v>360</v>
      </c>
      <c r="M1237" s="55" t="s">
        <v>129</v>
      </c>
      <c r="N1237" s="55" t="s">
        <v>129</v>
      </c>
      <c r="O1237" s="55" t="s">
        <v>269</v>
      </c>
      <c r="P1237" s="55" t="s">
        <v>1951</v>
      </c>
      <c r="Q1237" s="55" t="s">
        <v>380</v>
      </c>
      <c r="R1237" s="55">
        <v>2</v>
      </c>
      <c r="S1237" s="55"/>
      <c r="T1237" s="55" t="s">
        <v>1952</v>
      </c>
    </row>
    <row r="1238" spans="1:20" ht="13" x14ac:dyDescent="0.15">
      <c r="A1238" s="72" t="str">
        <f t="shared" si="19"/>
        <v>Ofsted Social Care Provider Webpage</v>
      </c>
      <c r="B1238" s="55">
        <v>2604877</v>
      </c>
      <c r="D1238" s="55" t="s">
        <v>373</v>
      </c>
      <c r="E1238" s="74">
        <v>44084</v>
      </c>
      <c r="F1238" s="55" t="s">
        <v>344</v>
      </c>
      <c r="G1238" s="55" t="s">
        <v>360</v>
      </c>
      <c r="H1238" s="55" t="s">
        <v>360</v>
      </c>
      <c r="I1238" s="55" t="s">
        <v>360</v>
      </c>
      <c r="J1238" s="55" t="s">
        <v>360</v>
      </c>
      <c r="K1238" s="55" t="s">
        <v>360</v>
      </c>
      <c r="L1238" s="55" t="s">
        <v>360</v>
      </c>
      <c r="M1238" s="55" t="s">
        <v>144</v>
      </c>
      <c r="N1238" s="55" t="s">
        <v>144</v>
      </c>
      <c r="O1238" s="55" t="s">
        <v>145</v>
      </c>
      <c r="P1238" s="55" t="s">
        <v>525</v>
      </c>
      <c r="Q1238" s="55" t="s">
        <v>350</v>
      </c>
      <c r="R1238" s="55">
        <v>2</v>
      </c>
      <c r="S1238" s="55"/>
      <c r="T1238" s="55" t="s">
        <v>485</v>
      </c>
    </row>
    <row r="1239" spans="1:20" ht="13" x14ac:dyDescent="0.15">
      <c r="A1239" s="72" t="str">
        <f t="shared" si="19"/>
        <v>Ofsted Social Care Provider Webpage</v>
      </c>
      <c r="B1239" s="55">
        <v>2605108</v>
      </c>
      <c r="D1239" s="55" t="s">
        <v>373</v>
      </c>
      <c r="E1239" s="74">
        <v>44225</v>
      </c>
      <c r="F1239" s="55" t="s">
        <v>344</v>
      </c>
      <c r="G1239" s="55" t="s">
        <v>360</v>
      </c>
      <c r="H1239" s="55" t="s">
        <v>360</v>
      </c>
      <c r="I1239" s="55" t="s">
        <v>360</v>
      </c>
      <c r="J1239" s="55" t="s">
        <v>360</v>
      </c>
      <c r="K1239" s="55" t="s">
        <v>360</v>
      </c>
      <c r="L1239" s="55" t="s">
        <v>360</v>
      </c>
      <c r="M1239" s="55" t="s">
        <v>378</v>
      </c>
      <c r="N1239" s="55" t="s">
        <v>134</v>
      </c>
      <c r="O1239" s="55" t="s">
        <v>204</v>
      </c>
      <c r="P1239" s="55" t="s">
        <v>929</v>
      </c>
      <c r="Q1239" s="55" t="s">
        <v>350</v>
      </c>
      <c r="R1239" s="55">
        <v>3</v>
      </c>
      <c r="S1239" s="55"/>
      <c r="T1239" s="55" t="s">
        <v>1953</v>
      </c>
    </row>
    <row r="1240" spans="1:20" ht="13" x14ac:dyDescent="0.15">
      <c r="A1240" s="72" t="str">
        <f t="shared" si="19"/>
        <v>Ofsted Social Care Provider Webpage</v>
      </c>
      <c r="B1240" s="55">
        <v>2605174</v>
      </c>
      <c r="D1240" s="55" t="s">
        <v>468</v>
      </c>
      <c r="E1240" s="74">
        <v>44136</v>
      </c>
      <c r="F1240" s="55" t="s">
        <v>344</v>
      </c>
      <c r="G1240" s="55" t="s">
        <v>1954</v>
      </c>
      <c r="H1240" s="55" t="s">
        <v>1955</v>
      </c>
      <c r="I1240" s="55" t="s">
        <v>1956</v>
      </c>
      <c r="J1240" s="55" t="s">
        <v>1349</v>
      </c>
      <c r="K1240" s="55" t="s">
        <v>1350</v>
      </c>
      <c r="L1240" s="55" t="s">
        <v>1957</v>
      </c>
      <c r="M1240" s="55" t="s">
        <v>172</v>
      </c>
      <c r="N1240" s="55" t="s">
        <v>172</v>
      </c>
      <c r="O1240" s="55" t="s">
        <v>284</v>
      </c>
      <c r="P1240" s="55" t="s">
        <v>1475</v>
      </c>
      <c r="Q1240" s="55" t="s">
        <v>362</v>
      </c>
      <c r="R1240" s="55"/>
      <c r="S1240" s="55"/>
      <c r="T1240" s="55" t="s">
        <v>1958</v>
      </c>
    </row>
    <row r="1241" spans="1:20" ht="13" x14ac:dyDescent="0.15">
      <c r="A1241" s="72" t="str">
        <f t="shared" si="19"/>
        <v>Ofsted Social Care Provider Webpage</v>
      </c>
      <c r="B1241" s="55">
        <v>2605180</v>
      </c>
      <c r="D1241" s="55" t="s">
        <v>373</v>
      </c>
      <c r="E1241" s="74">
        <v>44180</v>
      </c>
      <c r="F1241" s="55" t="s">
        <v>344</v>
      </c>
      <c r="G1241" s="55" t="s">
        <v>360</v>
      </c>
      <c r="H1241" s="55" t="s">
        <v>360</v>
      </c>
      <c r="I1241" s="55" t="s">
        <v>360</v>
      </c>
      <c r="J1241" s="55" t="s">
        <v>360</v>
      </c>
      <c r="K1241" s="55" t="s">
        <v>360</v>
      </c>
      <c r="L1241" s="55" t="s">
        <v>360</v>
      </c>
      <c r="M1241" s="55" t="s">
        <v>144</v>
      </c>
      <c r="N1241" s="55" t="s">
        <v>144</v>
      </c>
      <c r="O1241" s="55" t="s">
        <v>217</v>
      </c>
      <c r="P1241" s="55" t="s">
        <v>397</v>
      </c>
      <c r="Q1241" s="55" t="s">
        <v>350</v>
      </c>
      <c r="R1241" s="55">
        <v>3</v>
      </c>
      <c r="S1241" s="55"/>
      <c r="T1241" s="55" t="s">
        <v>1959</v>
      </c>
    </row>
    <row r="1242" spans="1:20" ht="13" x14ac:dyDescent="0.15">
      <c r="A1242" s="72" t="str">
        <f t="shared" si="19"/>
        <v>Ofsted Social Care Provider Webpage</v>
      </c>
      <c r="B1242" s="55">
        <v>2605336</v>
      </c>
      <c r="D1242" s="55" t="s">
        <v>373</v>
      </c>
      <c r="E1242" s="74">
        <v>44301</v>
      </c>
      <c r="F1242" s="55" t="s">
        <v>344</v>
      </c>
      <c r="G1242" s="55" t="s">
        <v>360</v>
      </c>
      <c r="H1242" s="55" t="s">
        <v>360</v>
      </c>
      <c r="I1242" s="55" t="s">
        <v>360</v>
      </c>
      <c r="J1242" s="55" t="s">
        <v>360</v>
      </c>
      <c r="K1242" s="55" t="s">
        <v>360</v>
      </c>
      <c r="L1242" s="55" t="s">
        <v>360</v>
      </c>
      <c r="M1242" s="55" t="s">
        <v>150</v>
      </c>
      <c r="N1242" s="55" t="s">
        <v>150</v>
      </c>
      <c r="O1242" s="55" t="s">
        <v>190</v>
      </c>
      <c r="P1242" s="55" t="s">
        <v>1523</v>
      </c>
      <c r="Q1242" s="55" t="s">
        <v>350</v>
      </c>
      <c r="R1242" s="55">
        <v>4</v>
      </c>
      <c r="S1242" s="55"/>
      <c r="T1242" s="55" t="s">
        <v>1960</v>
      </c>
    </row>
    <row r="1243" spans="1:20" ht="13" x14ac:dyDescent="0.15">
      <c r="A1243" s="72" t="str">
        <f t="shared" si="19"/>
        <v>Ofsted Social Care Provider Webpage</v>
      </c>
      <c r="B1243" s="55">
        <v>2605508</v>
      </c>
      <c r="D1243" s="55" t="s">
        <v>373</v>
      </c>
      <c r="E1243" s="74">
        <v>44077</v>
      </c>
      <c r="F1243" s="55" t="s">
        <v>344</v>
      </c>
      <c r="G1243" s="55" t="s">
        <v>360</v>
      </c>
      <c r="H1243" s="55" t="s">
        <v>360</v>
      </c>
      <c r="I1243" s="55" t="s">
        <v>360</v>
      </c>
      <c r="J1243" s="55" t="s">
        <v>360</v>
      </c>
      <c r="K1243" s="55" t="s">
        <v>360</v>
      </c>
      <c r="L1243" s="55" t="s">
        <v>360</v>
      </c>
      <c r="M1243" s="55" t="s">
        <v>138</v>
      </c>
      <c r="N1243" s="55" t="s">
        <v>138</v>
      </c>
      <c r="O1243" s="55" t="s">
        <v>159</v>
      </c>
      <c r="P1243" s="55" t="s">
        <v>1961</v>
      </c>
      <c r="Q1243" s="55" t="s">
        <v>380</v>
      </c>
      <c r="R1243" s="55">
        <v>8</v>
      </c>
      <c r="S1243" s="55"/>
      <c r="T1243" s="55" t="s">
        <v>1948</v>
      </c>
    </row>
    <row r="1244" spans="1:20" ht="13" x14ac:dyDescent="0.15">
      <c r="A1244" s="72" t="str">
        <f t="shared" si="19"/>
        <v>Ofsted Social Care Provider Webpage</v>
      </c>
      <c r="B1244" s="55">
        <v>2605512</v>
      </c>
      <c r="D1244" s="55" t="s">
        <v>373</v>
      </c>
      <c r="E1244" s="74">
        <v>44222</v>
      </c>
      <c r="F1244" s="55" t="s">
        <v>344</v>
      </c>
      <c r="G1244" s="55" t="s">
        <v>360</v>
      </c>
      <c r="H1244" s="55" t="s">
        <v>360</v>
      </c>
      <c r="I1244" s="55" t="s">
        <v>360</v>
      </c>
      <c r="J1244" s="55" t="s">
        <v>360</v>
      </c>
      <c r="K1244" s="55" t="s">
        <v>360</v>
      </c>
      <c r="L1244" s="55" t="s">
        <v>360</v>
      </c>
      <c r="M1244" s="55" t="s">
        <v>144</v>
      </c>
      <c r="N1244" s="55" t="s">
        <v>144</v>
      </c>
      <c r="O1244" s="55" t="s">
        <v>209</v>
      </c>
      <c r="P1244" s="55" t="s">
        <v>364</v>
      </c>
      <c r="Q1244" s="55" t="s">
        <v>350</v>
      </c>
      <c r="R1244" s="55">
        <v>2</v>
      </c>
      <c r="S1244" s="55"/>
      <c r="T1244" s="55" t="s">
        <v>485</v>
      </c>
    </row>
    <row r="1245" spans="1:20" ht="13" x14ac:dyDescent="0.15">
      <c r="A1245" s="72" t="str">
        <f t="shared" si="19"/>
        <v>Ofsted Social Care Provider Webpage</v>
      </c>
      <c r="B1245" s="55">
        <v>2605554</v>
      </c>
      <c r="D1245" s="55" t="s">
        <v>373</v>
      </c>
      <c r="E1245" s="74">
        <v>44181</v>
      </c>
      <c r="F1245" s="55" t="s">
        <v>344</v>
      </c>
      <c r="G1245" s="55" t="s">
        <v>360</v>
      </c>
      <c r="H1245" s="55" t="s">
        <v>360</v>
      </c>
      <c r="I1245" s="55" t="s">
        <v>360</v>
      </c>
      <c r="J1245" s="55" t="s">
        <v>360</v>
      </c>
      <c r="K1245" s="55" t="s">
        <v>360</v>
      </c>
      <c r="L1245" s="55" t="s">
        <v>360</v>
      </c>
      <c r="M1245" s="55" t="s">
        <v>150</v>
      </c>
      <c r="N1245" s="55" t="s">
        <v>150</v>
      </c>
      <c r="O1245" s="55" t="s">
        <v>285</v>
      </c>
      <c r="P1245" s="55" t="s">
        <v>575</v>
      </c>
      <c r="Q1245" s="55" t="s">
        <v>350</v>
      </c>
      <c r="R1245" s="55">
        <v>5</v>
      </c>
      <c r="S1245" s="55"/>
      <c r="T1245" s="55" t="s">
        <v>1962</v>
      </c>
    </row>
    <row r="1246" spans="1:20" ht="13" x14ac:dyDescent="0.15">
      <c r="A1246" s="72" t="str">
        <f t="shared" si="19"/>
        <v>Ofsted Social Care Provider Webpage</v>
      </c>
      <c r="B1246" s="55">
        <v>2605690</v>
      </c>
      <c r="D1246" s="55" t="s">
        <v>373</v>
      </c>
      <c r="E1246" s="74">
        <v>44104</v>
      </c>
      <c r="F1246" s="55" t="s">
        <v>344</v>
      </c>
      <c r="G1246" s="55" t="s">
        <v>360</v>
      </c>
      <c r="H1246" s="55" t="s">
        <v>360</v>
      </c>
      <c r="I1246" s="55" t="s">
        <v>360</v>
      </c>
      <c r="J1246" s="55" t="s">
        <v>360</v>
      </c>
      <c r="K1246" s="55" t="s">
        <v>360</v>
      </c>
      <c r="L1246" s="55" t="s">
        <v>360</v>
      </c>
      <c r="M1246" s="55" t="s">
        <v>172</v>
      </c>
      <c r="N1246" s="55" t="s">
        <v>172</v>
      </c>
      <c r="O1246" s="55" t="s">
        <v>235</v>
      </c>
      <c r="P1246" s="55" t="s">
        <v>1396</v>
      </c>
      <c r="Q1246" s="55" t="s">
        <v>350</v>
      </c>
      <c r="R1246" s="55">
        <v>2</v>
      </c>
      <c r="S1246" s="55"/>
      <c r="T1246" s="55" t="s">
        <v>962</v>
      </c>
    </row>
    <row r="1247" spans="1:20" ht="13" x14ac:dyDescent="0.15">
      <c r="A1247" s="72" t="str">
        <f t="shared" si="19"/>
        <v>Ofsted Social Care Provider Webpage</v>
      </c>
      <c r="B1247" s="55">
        <v>2605829</v>
      </c>
      <c r="D1247" s="55" t="s">
        <v>373</v>
      </c>
      <c r="E1247" s="74">
        <v>44243</v>
      </c>
      <c r="F1247" s="55" t="s">
        <v>344</v>
      </c>
      <c r="G1247" s="55" t="s">
        <v>360</v>
      </c>
      <c r="H1247" s="55" t="s">
        <v>360</v>
      </c>
      <c r="I1247" s="55" t="s">
        <v>360</v>
      </c>
      <c r="J1247" s="55" t="s">
        <v>360</v>
      </c>
      <c r="K1247" s="55" t="s">
        <v>360</v>
      </c>
      <c r="L1247" s="55" t="s">
        <v>360</v>
      </c>
      <c r="M1247" s="55" t="s">
        <v>142</v>
      </c>
      <c r="N1247" s="55" t="s">
        <v>142</v>
      </c>
      <c r="O1247" s="55" t="s">
        <v>262</v>
      </c>
      <c r="P1247" s="55" t="s">
        <v>692</v>
      </c>
      <c r="Q1247" s="55" t="s">
        <v>350</v>
      </c>
      <c r="R1247" s="55">
        <v>2</v>
      </c>
      <c r="S1247" s="55"/>
      <c r="T1247" s="55" t="s">
        <v>1963</v>
      </c>
    </row>
    <row r="1248" spans="1:20" ht="13" x14ac:dyDescent="0.15">
      <c r="A1248" s="72" t="str">
        <f t="shared" si="19"/>
        <v>Ofsted Social Care Provider Webpage</v>
      </c>
      <c r="B1248" s="55">
        <v>2605955</v>
      </c>
      <c r="D1248" s="55" t="s">
        <v>389</v>
      </c>
      <c r="E1248" s="74">
        <v>44168</v>
      </c>
      <c r="F1248" s="55" t="s">
        <v>344</v>
      </c>
      <c r="G1248" s="55" t="s">
        <v>1964</v>
      </c>
      <c r="H1248" s="55" t="s">
        <v>1965</v>
      </c>
      <c r="I1248" s="55" t="s">
        <v>1966</v>
      </c>
      <c r="J1248" s="55" t="s">
        <v>216</v>
      </c>
      <c r="L1248" s="55" t="s">
        <v>1967</v>
      </c>
      <c r="M1248" s="55" t="s">
        <v>138</v>
      </c>
      <c r="N1248" s="55" t="s">
        <v>138</v>
      </c>
      <c r="O1248" s="55" t="s">
        <v>216</v>
      </c>
      <c r="P1248" s="55" t="s">
        <v>1968</v>
      </c>
      <c r="Q1248" s="55" t="s">
        <v>350</v>
      </c>
      <c r="R1248" s="55"/>
      <c r="S1248" s="55"/>
      <c r="T1248" s="55" t="s">
        <v>1964</v>
      </c>
    </row>
    <row r="1249" spans="1:20" ht="13" x14ac:dyDescent="0.15">
      <c r="A1249" s="72" t="str">
        <f t="shared" si="19"/>
        <v>Ofsted Social Care Provider Webpage</v>
      </c>
      <c r="B1249" s="55">
        <v>2606062</v>
      </c>
      <c r="D1249" s="55" t="s">
        <v>373</v>
      </c>
      <c r="E1249" s="74">
        <v>44207</v>
      </c>
      <c r="F1249" s="55" t="s">
        <v>344</v>
      </c>
      <c r="G1249" s="55" t="s">
        <v>360</v>
      </c>
      <c r="H1249" s="55" t="s">
        <v>360</v>
      </c>
      <c r="I1249" s="55" t="s">
        <v>360</v>
      </c>
      <c r="J1249" s="55" t="s">
        <v>360</v>
      </c>
      <c r="K1249" s="55" t="s">
        <v>360</v>
      </c>
      <c r="L1249" s="55" t="s">
        <v>360</v>
      </c>
      <c r="M1249" s="55" t="s">
        <v>144</v>
      </c>
      <c r="N1249" s="55" t="s">
        <v>144</v>
      </c>
      <c r="O1249" s="55" t="s">
        <v>217</v>
      </c>
      <c r="P1249" s="55" t="s">
        <v>1969</v>
      </c>
      <c r="Q1249" s="55" t="s">
        <v>350</v>
      </c>
      <c r="R1249" s="55">
        <v>3</v>
      </c>
      <c r="S1249" s="55"/>
      <c r="T1249" s="55" t="s">
        <v>1970</v>
      </c>
    </row>
    <row r="1250" spans="1:20" ht="13" x14ac:dyDescent="0.15">
      <c r="A1250" s="72" t="str">
        <f t="shared" si="19"/>
        <v>Ofsted Social Care Provider Webpage</v>
      </c>
      <c r="B1250" s="55">
        <v>2606135</v>
      </c>
      <c r="D1250" s="55" t="s">
        <v>373</v>
      </c>
      <c r="E1250" s="74">
        <v>44206</v>
      </c>
      <c r="F1250" s="55" t="s">
        <v>344</v>
      </c>
      <c r="G1250" s="55" t="s">
        <v>360</v>
      </c>
      <c r="H1250" s="55" t="s">
        <v>360</v>
      </c>
      <c r="I1250" s="55" t="s">
        <v>360</v>
      </c>
      <c r="J1250" s="55" t="s">
        <v>360</v>
      </c>
      <c r="K1250" s="55" t="s">
        <v>360</v>
      </c>
      <c r="L1250" s="55" t="s">
        <v>360</v>
      </c>
      <c r="M1250" s="55" t="s">
        <v>144</v>
      </c>
      <c r="N1250" s="55" t="s">
        <v>144</v>
      </c>
      <c r="O1250" s="55" t="s">
        <v>209</v>
      </c>
      <c r="P1250" s="55" t="s">
        <v>484</v>
      </c>
      <c r="Q1250" s="55" t="s">
        <v>350</v>
      </c>
      <c r="R1250" s="55">
        <v>1</v>
      </c>
      <c r="S1250" s="55"/>
      <c r="T1250" s="55" t="s">
        <v>1971</v>
      </c>
    </row>
    <row r="1251" spans="1:20" ht="13" x14ac:dyDescent="0.15">
      <c r="A1251" s="72" t="str">
        <f t="shared" si="19"/>
        <v>Ofsted Social Care Provider Webpage</v>
      </c>
      <c r="B1251" s="55">
        <v>2606467</v>
      </c>
      <c r="D1251" s="55" t="s">
        <v>443</v>
      </c>
      <c r="E1251" s="74">
        <v>44398</v>
      </c>
      <c r="F1251" s="55" t="s">
        <v>344</v>
      </c>
      <c r="G1251" s="55" t="s">
        <v>1972</v>
      </c>
      <c r="H1251" s="55" t="s">
        <v>1973</v>
      </c>
      <c r="I1251" s="55" t="s">
        <v>1974</v>
      </c>
      <c r="J1251" s="55" t="s">
        <v>1975</v>
      </c>
      <c r="L1251" s="55" t="s">
        <v>1976</v>
      </c>
      <c r="M1251" s="55" t="s">
        <v>136</v>
      </c>
      <c r="N1251" s="55" t="s">
        <v>136</v>
      </c>
      <c r="O1251" s="55" t="s">
        <v>174</v>
      </c>
      <c r="P1251" s="55" t="s">
        <v>1975</v>
      </c>
      <c r="Q1251" s="55" t="s">
        <v>350</v>
      </c>
      <c r="R1251" s="55"/>
      <c r="S1251" s="55"/>
      <c r="T1251" s="55" t="s">
        <v>1977</v>
      </c>
    </row>
    <row r="1252" spans="1:20" ht="13" x14ac:dyDescent="0.15">
      <c r="A1252" s="72" t="str">
        <f t="shared" si="19"/>
        <v>Ofsted Social Care Provider Webpage</v>
      </c>
      <c r="B1252" s="55">
        <v>2606502</v>
      </c>
      <c r="D1252" s="55" t="s">
        <v>389</v>
      </c>
      <c r="E1252" s="74">
        <v>44432</v>
      </c>
      <c r="F1252" s="55" t="s">
        <v>344</v>
      </c>
      <c r="G1252" s="55" t="s">
        <v>1978</v>
      </c>
      <c r="H1252" s="55" t="s">
        <v>1979</v>
      </c>
      <c r="I1252" s="55" t="s">
        <v>1980</v>
      </c>
      <c r="J1252" s="55" t="s">
        <v>1981</v>
      </c>
      <c r="K1252" s="55" t="s">
        <v>203</v>
      </c>
      <c r="L1252" s="55" t="s">
        <v>1982</v>
      </c>
      <c r="M1252" s="55" t="s">
        <v>150</v>
      </c>
      <c r="N1252" s="55" t="s">
        <v>150</v>
      </c>
      <c r="O1252" s="55" t="s">
        <v>203</v>
      </c>
      <c r="P1252" s="55" t="s">
        <v>1263</v>
      </c>
      <c r="Q1252" s="55" t="s">
        <v>350</v>
      </c>
      <c r="R1252" s="55"/>
      <c r="S1252" s="55"/>
      <c r="T1252" s="55" t="s">
        <v>1978</v>
      </c>
    </row>
    <row r="1253" spans="1:20" ht="13" x14ac:dyDescent="0.15">
      <c r="A1253" s="72" t="str">
        <f t="shared" si="19"/>
        <v>Ofsted Social Care Provider Webpage</v>
      </c>
      <c r="B1253" s="55">
        <v>2607291</v>
      </c>
      <c r="D1253" s="55" t="s">
        <v>373</v>
      </c>
      <c r="E1253" s="74">
        <v>44252</v>
      </c>
      <c r="F1253" s="55" t="s">
        <v>344</v>
      </c>
      <c r="G1253" s="55" t="s">
        <v>360</v>
      </c>
      <c r="H1253" s="55" t="s">
        <v>360</v>
      </c>
      <c r="I1253" s="55" t="s">
        <v>360</v>
      </c>
      <c r="J1253" s="55" t="s">
        <v>360</v>
      </c>
      <c r="K1253" s="55" t="s">
        <v>360</v>
      </c>
      <c r="L1253" s="55" t="s">
        <v>360</v>
      </c>
      <c r="M1253" s="55" t="s">
        <v>136</v>
      </c>
      <c r="N1253" s="55" t="s">
        <v>136</v>
      </c>
      <c r="O1253" s="55" t="s">
        <v>705</v>
      </c>
      <c r="P1253" s="55" t="s">
        <v>891</v>
      </c>
      <c r="Q1253" s="55" t="s">
        <v>350</v>
      </c>
      <c r="R1253" s="55">
        <v>1</v>
      </c>
      <c r="S1253" s="55"/>
      <c r="T1253" s="55" t="s">
        <v>892</v>
      </c>
    </row>
    <row r="1254" spans="1:20" ht="13" x14ac:dyDescent="0.15">
      <c r="A1254" s="72" t="str">
        <f t="shared" si="19"/>
        <v>Ofsted Social Care Provider Webpage</v>
      </c>
      <c r="B1254" s="55">
        <v>2607536</v>
      </c>
      <c r="D1254" s="55" t="s">
        <v>479</v>
      </c>
      <c r="E1254" s="74">
        <v>44138</v>
      </c>
      <c r="F1254" s="55" t="s">
        <v>344</v>
      </c>
      <c r="G1254" s="55" t="s">
        <v>360</v>
      </c>
      <c r="H1254" s="55" t="s">
        <v>360</v>
      </c>
      <c r="I1254" s="55" t="s">
        <v>360</v>
      </c>
      <c r="J1254" s="55" t="s">
        <v>360</v>
      </c>
      <c r="K1254" s="55" t="s">
        <v>360</v>
      </c>
      <c r="L1254" s="55" t="s">
        <v>360</v>
      </c>
      <c r="M1254" s="55" t="s">
        <v>378</v>
      </c>
      <c r="N1254" s="55" t="s">
        <v>170</v>
      </c>
      <c r="O1254" s="55" t="s">
        <v>233</v>
      </c>
      <c r="P1254" s="55" t="s">
        <v>379</v>
      </c>
      <c r="Q1254" s="55" t="s">
        <v>350</v>
      </c>
      <c r="R1254" s="55">
        <v>8</v>
      </c>
      <c r="S1254" s="55"/>
      <c r="T1254" s="55" t="s">
        <v>481</v>
      </c>
    </row>
    <row r="1255" spans="1:20" ht="13" x14ac:dyDescent="0.15">
      <c r="A1255" s="72" t="str">
        <f t="shared" si="19"/>
        <v>Ofsted Social Care Provider Webpage</v>
      </c>
      <c r="B1255" s="55">
        <v>2607587</v>
      </c>
      <c r="D1255" s="55" t="s">
        <v>373</v>
      </c>
      <c r="E1255" s="74">
        <v>44176</v>
      </c>
      <c r="F1255" s="55" t="s">
        <v>344</v>
      </c>
      <c r="G1255" s="55" t="s">
        <v>360</v>
      </c>
      <c r="H1255" s="55" t="s">
        <v>360</v>
      </c>
      <c r="I1255" s="55" t="s">
        <v>360</v>
      </c>
      <c r="J1255" s="55" t="s">
        <v>360</v>
      </c>
      <c r="K1255" s="55" t="s">
        <v>360</v>
      </c>
      <c r="L1255" s="55" t="s">
        <v>360</v>
      </c>
      <c r="M1255" s="55" t="s">
        <v>378</v>
      </c>
      <c r="N1255" s="55" t="s">
        <v>170</v>
      </c>
      <c r="O1255" s="55" t="s">
        <v>178</v>
      </c>
      <c r="P1255" s="55" t="s">
        <v>1374</v>
      </c>
      <c r="Q1255" s="55" t="s">
        <v>350</v>
      </c>
      <c r="R1255" s="55">
        <v>4</v>
      </c>
      <c r="S1255" s="55"/>
      <c r="T1255" s="55" t="s">
        <v>385</v>
      </c>
    </row>
    <row r="1256" spans="1:20" ht="13" x14ac:dyDescent="0.15">
      <c r="A1256" s="72" t="str">
        <f t="shared" si="19"/>
        <v>Ofsted Social Care Provider Webpage</v>
      </c>
      <c r="B1256" s="55">
        <v>2608195</v>
      </c>
      <c r="D1256" s="55" t="s">
        <v>373</v>
      </c>
      <c r="E1256" s="74">
        <v>44138</v>
      </c>
      <c r="F1256" s="55" t="s">
        <v>344</v>
      </c>
      <c r="G1256" s="55" t="s">
        <v>360</v>
      </c>
      <c r="H1256" s="55" t="s">
        <v>360</v>
      </c>
      <c r="I1256" s="55" t="s">
        <v>360</v>
      </c>
      <c r="J1256" s="55" t="s">
        <v>360</v>
      </c>
      <c r="K1256" s="55" t="s">
        <v>360</v>
      </c>
      <c r="L1256" s="55" t="s">
        <v>360</v>
      </c>
      <c r="M1256" s="55" t="s">
        <v>144</v>
      </c>
      <c r="N1256" s="55" t="s">
        <v>144</v>
      </c>
      <c r="O1256" s="55" t="s">
        <v>209</v>
      </c>
      <c r="P1256" s="55" t="s">
        <v>545</v>
      </c>
      <c r="Q1256" s="55" t="s">
        <v>350</v>
      </c>
      <c r="R1256" s="55">
        <v>2</v>
      </c>
      <c r="S1256" s="55"/>
      <c r="T1256" s="55" t="s">
        <v>493</v>
      </c>
    </row>
    <row r="1257" spans="1:20" ht="13" x14ac:dyDescent="0.15">
      <c r="A1257" s="72" t="str">
        <f t="shared" si="19"/>
        <v>Ofsted Social Care Provider Webpage</v>
      </c>
      <c r="B1257" s="55">
        <v>2608484</v>
      </c>
      <c r="D1257" s="55" t="s">
        <v>373</v>
      </c>
      <c r="E1257" s="74">
        <v>44187</v>
      </c>
      <c r="F1257" s="55" t="s">
        <v>344</v>
      </c>
      <c r="G1257" s="55" t="s">
        <v>360</v>
      </c>
      <c r="H1257" s="55" t="s">
        <v>360</v>
      </c>
      <c r="I1257" s="55" t="s">
        <v>360</v>
      </c>
      <c r="J1257" s="55" t="s">
        <v>360</v>
      </c>
      <c r="K1257" s="55" t="s">
        <v>360</v>
      </c>
      <c r="L1257" s="55" t="s">
        <v>360</v>
      </c>
      <c r="M1257" s="55" t="s">
        <v>144</v>
      </c>
      <c r="N1257" s="55" t="s">
        <v>144</v>
      </c>
      <c r="O1257" s="55" t="s">
        <v>248</v>
      </c>
      <c r="P1257" s="55" t="s">
        <v>439</v>
      </c>
      <c r="Q1257" s="55" t="s">
        <v>350</v>
      </c>
      <c r="R1257" s="55">
        <v>2</v>
      </c>
      <c r="S1257" s="55"/>
      <c r="T1257" s="55" t="s">
        <v>1107</v>
      </c>
    </row>
    <row r="1258" spans="1:20" ht="13" x14ac:dyDescent="0.15">
      <c r="A1258" s="72" t="str">
        <f t="shared" si="19"/>
        <v>Ofsted Social Care Provider Webpage</v>
      </c>
      <c r="B1258" s="55">
        <v>2608630</v>
      </c>
      <c r="D1258" s="55" t="s">
        <v>373</v>
      </c>
      <c r="E1258" s="74">
        <v>44151</v>
      </c>
      <c r="F1258" s="55" t="s">
        <v>344</v>
      </c>
      <c r="G1258" s="55" t="s">
        <v>360</v>
      </c>
      <c r="H1258" s="55" t="s">
        <v>360</v>
      </c>
      <c r="I1258" s="55" t="s">
        <v>360</v>
      </c>
      <c r="J1258" s="55" t="s">
        <v>360</v>
      </c>
      <c r="K1258" s="55" t="s">
        <v>360</v>
      </c>
      <c r="L1258" s="55" t="s">
        <v>360</v>
      </c>
      <c r="M1258" s="55" t="s">
        <v>378</v>
      </c>
      <c r="N1258" s="55" t="s">
        <v>134</v>
      </c>
      <c r="O1258" s="55" t="s">
        <v>294</v>
      </c>
      <c r="P1258" s="55" t="s">
        <v>1983</v>
      </c>
      <c r="Q1258" s="55" t="s">
        <v>380</v>
      </c>
      <c r="R1258" s="55">
        <v>8</v>
      </c>
      <c r="S1258" s="55" t="s">
        <v>332</v>
      </c>
      <c r="T1258" s="55" t="s">
        <v>1984</v>
      </c>
    </row>
    <row r="1259" spans="1:20" ht="13" x14ac:dyDescent="0.15">
      <c r="A1259" s="72" t="str">
        <f t="shared" si="19"/>
        <v>Ofsted Social Care Provider Webpage</v>
      </c>
      <c r="B1259" s="55">
        <v>2608645</v>
      </c>
      <c r="D1259" s="55" t="s">
        <v>373</v>
      </c>
      <c r="E1259" s="74">
        <v>44167</v>
      </c>
      <c r="F1259" s="55" t="s">
        <v>344</v>
      </c>
      <c r="G1259" s="55" t="s">
        <v>360</v>
      </c>
      <c r="H1259" s="55" t="s">
        <v>360</v>
      </c>
      <c r="I1259" s="55" t="s">
        <v>360</v>
      </c>
      <c r="J1259" s="55" t="s">
        <v>360</v>
      </c>
      <c r="K1259" s="55" t="s">
        <v>360</v>
      </c>
      <c r="L1259" s="55" t="s">
        <v>360</v>
      </c>
      <c r="M1259" s="55" t="s">
        <v>138</v>
      </c>
      <c r="N1259" s="55" t="s">
        <v>138</v>
      </c>
      <c r="O1259" s="55" t="s">
        <v>159</v>
      </c>
      <c r="P1259" s="55" t="s">
        <v>1985</v>
      </c>
      <c r="Q1259" s="55" t="s">
        <v>350</v>
      </c>
      <c r="R1259" s="55">
        <v>3</v>
      </c>
      <c r="S1259" s="55"/>
      <c r="T1259" s="55" t="s">
        <v>1799</v>
      </c>
    </row>
    <row r="1260" spans="1:20" ht="13" x14ac:dyDescent="0.15">
      <c r="A1260" s="72" t="str">
        <f t="shared" si="19"/>
        <v>Ofsted Social Care Provider Webpage</v>
      </c>
      <c r="B1260" s="55">
        <v>2608666</v>
      </c>
      <c r="D1260" s="55" t="s">
        <v>373</v>
      </c>
      <c r="E1260" s="74">
        <v>44251</v>
      </c>
      <c r="F1260" s="55" t="s">
        <v>344</v>
      </c>
      <c r="G1260" s="55" t="s">
        <v>360</v>
      </c>
      <c r="H1260" s="55" t="s">
        <v>360</v>
      </c>
      <c r="I1260" s="55" t="s">
        <v>360</v>
      </c>
      <c r="J1260" s="55" t="s">
        <v>360</v>
      </c>
      <c r="K1260" s="55" t="s">
        <v>360</v>
      </c>
      <c r="L1260" s="55" t="s">
        <v>360</v>
      </c>
      <c r="M1260" s="55" t="s">
        <v>150</v>
      </c>
      <c r="N1260" s="55" t="s">
        <v>150</v>
      </c>
      <c r="O1260" s="55" t="s">
        <v>237</v>
      </c>
      <c r="P1260" s="55" t="s">
        <v>869</v>
      </c>
      <c r="Q1260" s="55" t="s">
        <v>350</v>
      </c>
      <c r="R1260" s="55">
        <v>4</v>
      </c>
      <c r="S1260" s="55"/>
      <c r="T1260" s="55" t="s">
        <v>435</v>
      </c>
    </row>
    <row r="1261" spans="1:20" ht="13" x14ac:dyDescent="0.15">
      <c r="A1261" s="72" t="str">
        <f t="shared" si="19"/>
        <v>Ofsted Social Care Provider Webpage</v>
      </c>
      <c r="B1261" s="55">
        <v>2608872</v>
      </c>
      <c r="D1261" s="55" t="s">
        <v>373</v>
      </c>
      <c r="E1261" s="74">
        <v>44136</v>
      </c>
      <c r="F1261" s="55" t="s">
        <v>344</v>
      </c>
      <c r="G1261" s="55" t="s">
        <v>360</v>
      </c>
      <c r="H1261" s="55" t="s">
        <v>360</v>
      </c>
      <c r="I1261" s="55" t="s">
        <v>360</v>
      </c>
      <c r="J1261" s="55" t="s">
        <v>360</v>
      </c>
      <c r="K1261" s="55" t="s">
        <v>360</v>
      </c>
      <c r="L1261" s="55" t="s">
        <v>360</v>
      </c>
      <c r="M1261" s="55" t="s">
        <v>172</v>
      </c>
      <c r="N1261" s="55" t="s">
        <v>172</v>
      </c>
      <c r="O1261" s="55" t="s">
        <v>228</v>
      </c>
      <c r="P1261" s="55" t="s">
        <v>991</v>
      </c>
      <c r="Q1261" s="55" t="s">
        <v>362</v>
      </c>
      <c r="R1261" s="55">
        <v>2</v>
      </c>
      <c r="S1261" s="55"/>
      <c r="T1261" s="55" t="s">
        <v>1958</v>
      </c>
    </row>
    <row r="1262" spans="1:20" ht="13" x14ac:dyDescent="0.15">
      <c r="A1262" s="72" t="str">
        <f t="shared" si="19"/>
        <v>Ofsted Social Care Provider Webpage</v>
      </c>
      <c r="B1262" s="55">
        <v>2608892</v>
      </c>
      <c r="D1262" s="55" t="s">
        <v>373</v>
      </c>
      <c r="E1262" s="74">
        <v>44136</v>
      </c>
      <c r="F1262" s="55" t="s">
        <v>344</v>
      </c>
      <c r="G1262" s="55" t="s">
        <v>360</v>
      </c>
      <c r="H1262" s="55" t="s">
        <v>360</v>
      </c>
      <c r="I1262" s="55" t="s">
        <v>360</v>
      </c>
      <c r="J1262" s="55" t="s">
        <v>360</v>
      </c>
      <c r="K1262" s="55" t="s">
        <v>360</v>
      </c>
      <c r="L1262" s="55" t="s">
        <v>360</v>
      </c>
      <c r="M1262" s="55" t="s">
        <v>172</v>
      </c>
      <c r="N1262" s="55" t="s">
        <v>172</v>
      </c>
      <c r="O1262" s="55" t="s">
        <v>228</v>
      </c>
      <c r="P1262" s="55" t="s">
        <v>459</v>
      </c>
      <c r="Q1262" s="55" t="s">
        <v>362</v>
      </c>
      <c r="R1262" s="55">
        <v>4</v>
      </c>
      <c r="S1262" s="55"/>
      <c r="T1262" s="55" t="s">
        <v>1958</v>
      </c>
    </row>
    <row r="1263" spans="1:20" ht="13" x14ac:dyDescent="0.15">
      <c r="A1263" s="72" t="str">
        <f t="shared" si="19"/>
        <v>Ofsted Social Care Provider Webpage</v>
      </c>
      <c r="B1263" s="55">
        <v>2608949</v>
      </c>
      <c r="D1263" s="55" t="s">
        <v>373</v>
      </c>
      <c r="E1263" s="74">
        <v>44186</v>
      </c>
      <c r="F1263" s="55" t="s">
        <v>344</v>
      </c>
      <c r="G1263" s="55" t="s">
        <v>360</v>
      </c>
      <c r="H1263" s="55" t="s">
        <v>360</v>
      </c>
      <c r="I1263" s="55" t="s">
        <v>360</v>
      </c>
      <c r="J1263" s="55" t="s">
        <v>360</v>
      </c>
      <c r="K1263" s="55" t="s">
        <v>360</v>
      </c>
      <c r="L1263" s="55" t="s">
        <v>360</v>
      </c>
      <c r="M1263" s="55" t="s">
        <v>378</v>
      </c>
      <c r="N1263" s="55" t="s">
        <v>134</v>
      </c>
      <c r="O1263" s="55" t="s">
        <v>206</v>
      </c>
      <c r="P1263" s="55" t="s">
        <v>1655</v>
      </c>
      <c r="Q1263" s="55" t="s">
        <v>350</v>
      </c>
      <c r="R1263" s="55">
        <v>3</v>
      </c>
      <c r="S1263" s="55"/>
      <c r="T1263" s="55" t="s">
        <v>1986</v>
      </c>
    </row>
    <row r="1264" spans="1:20" ht="13" x14ac:dyDescent="0.15">
      <c r="A1264" s="72" t="str">
        <f t="shared" si="19"/>
        <v>Ofsted Social Care Provider Webpage</v>
      </c>
      <c r="B1264" s="55">
        <v>2608968</v>
      </c>
      <c r="D1264" s="55" t="s">
        <v>373</v>
      </c>
      <c r="E1264" s="74">
        <v>44136</v>
      </c>
      <c r="F1264" s="55" t="s">
        <v>344</v>
      </c>
      <c r="G1264" s="55" t="s">
        <v>360</v>
      </c>
      <c r="H1264" s="55" t="s">
        <v>360</v>
      </c>
      <c r="I1264" s="55" t="s">
        <v>360</v>
      </c>
      <c r="J1264" s="55" t="s">
        <v>360</v>
      </c>
      <c r="K1264" s="55" t="s">
        <v>360</v>
      </c>
      <c r="L1264" s="55" t="s">
        <v>360</v>
      </c>
      <c r="M1264" s="55" t="s">
        <v>172</v>
      </c>
      <c r="N1264" s="55" t="s">
        <v>172</v>
      </c>
      <c r="O1264" s="55" t="s">
        <v>284</v>
      </c>
      <c r="P1264" s="55" t="s">
        <v>985</v>
      </c>
      <c r="Q1264" s="55" t="s">
        <v>362</v>
      </c>
      <c r="R1264" s="55">
        <v>6</v>
      </c>
      <c r="S1264" s="55"/>
      <c r="T1264" s="55" t="s">
        <v>1958</v>
      </c>
    </row>
    <row r="1265" spans="1:20" ht="13" x14ac:dyDescent="0.15">
      <c r="A1265" s="72" t="str">
        <f t="shared" si="19"/>
        <v>Ofsted Social Care Provider Webpage</v>
      </c>
      <c r="B1265" s="55">
        <v>2609490</v>
      </c>
      <c r="D1265" s="55" t="s">
        <v>373</v>
      </c>
      <c r="E1265" s="74">
        <v>44139</v>
      </c>
      <c r="F1265" s="55" t="s">
        <v>344</v>
      </c>
      <c r="G1265" s="55" t="s">
        <v>360</v>
      </c>
      <c r="H1265" s="55" t="s">
        <v>360</v>
      </c>
      <c r="I1265" s="55" t="s">
        <v>360</v>
      </c>
      <c r="J1265" s="55" t="s">
        <v>360</v>
      </c>
      <c r="K1265" s="55" t="s">
        <v>360</v>
      </c>
      <c r="L1265" s="55" t="s">
        <v>360</v>
      </c>
      <c r="M1265" s="55" t="s">
        <v>136</v>
      </c>
      <c r="N1265" s="55" t="s">
        <v>136</v>
      </c>
      <c r="O1265" s="55" t="s">
        <v>174</v>
      </c>
      <c r="P1265" s="55" t="s">
        <v>1010</v>
      </c>
      <c r="Q1265" s="55" t="s">
        <v>350</v>
      </c>
      <c r="R1265" s="55">
        <v>1</v>
      </c>
      <c r="S1265" s="55"/>
      <c r="T1265" s="55" t="s">
        <v>1295</v>
      </c>
    </row>
    <row r="1266" spans="1:20" ht="13" x14ac:dyDescent="0.15">
      <c r="A1266" s="72" t="str">
        <f t="shared" si="19"/>
        <v>Ofsted Social Care Provider Webpage</v>
      </c>
      <c r="B1266" s="55">
        <v>2610371</v>
      </c>
      <c r="D1266" s="55" t="s">
        <v>373</v>
      </c>
      <c r="E1266" s="74">
        <v>44203</v>
      </c>
      <c r="F1266" s="55" t="s">
        <v>344</v>
      </c>
      <c r="G1266" s="55" t="s">
        <v>360</v>
      </c>
      <c r="H1266" s="55" t="s">
        <v>360</v>
      </c>
      <c r="I1266" s="55" t="s">
        <v>360</v>
      </c>
      <c r="J1266" s="55" t="s">
        <v>360</v>
      </c>
      <c r="K1266" s="55" t="s">
        <v>360</v>
      </c>
      <c r="L1266" s="55" t="s">
        <v>360</v>
      </c>
      <c r="M1266" s="55" t="s">
        <v>142</v>
      </c>
      <c r="N1266" s="55" t="s">
        <v>142</v>
      </c>
      <c r="O1266" s="55" t="s">
        <v>249</v>
      </c>
      <c r="P1266" s="55" t="s">
        <v>1149</v>
      </c>
      <c r="Q1266" s="55" t="s">
        <v>350</v>
      </c>
      <c r="R1266" s="55">
        <v>2</v>
      </c>
      <c r="S1266" s="55"/>
      <c r="T1266" s="55" t="s">
        <v>1987</v>
      </c>
    </row>
    <row r="1267" spans="1:20" ht="13" x14ac:dyDescent="0.15">
      <c r="A1267" s="72" t="str">
        <f t="shared" si="19"/>
        <v>Ofsted Social Care Provider Webpage</v>
      </c>
      <c r="B1267" s="55">
        <v>2610709</v>
      </c>
      <c r="D1267" s="55" t="s">
        <v>373</v>
      </c>
      <c r="E1267" s="74">
        <v>44130</v>
      </c>
      <c r="F1267" s="55" t="s">
        <v>344</v>
      </c>
      <c r="G1267" s="55" t="s">
        <v>360</v>
      </c>
      <c r="H1267" s="55" t="s">
        <v>360</v>
      </c>
      <c r="I1267" s="55" t="s">
        <v>360</v>
      </c>
      <c r="J1267" s="55" t="s">
        <v>360</v>
      </c>
      <c r="K1267" s="55" t="s">
        <v>360</v>
      </c>
      <c r="L1267" s="55" t="s">
        <v>360</v>
      </c>
      <c r="M1267" s="55" t="s">
        <v>136</v>
      </c>
      <c r="N1267" s="55" t="s">
        <v>136</v>
      </c>
      <c r="O1267" s="55" t="s">
        <v>274</v>
      </c>
      <c r="P1267" s="55" t="s">
        <v>274</v>
      </c>
      <c r="Q1267" s="55" t="s">
        <v>350</v>
      </c>
      <c r="R1267" s="55">
        <v>2</v>
      </c>
      <c r="S1267" s="55"/>
      <c r="T1267" s="55" t="s">
        <v>721</v>
      </c>
    </row>
    <row r="1268" spans="1:20" ht="13" x14ac:dyDescent="0.15">
      <c r="A1268" s="72" t="str">
        <f t="shared" si="19"/>
        <v>Ofsted Social Care Provider Webpage</v>
      </c>
      <c r="B1268" s="55">
        <v>2610935</v>
      </c>
      <c r="D1268" s="55" t="s">
        <v>373</v>
      </c>
      <c r="E1268" s="74">
        <v>44218</v>
      </c>
      <c r="F1268" s="55" t="s">
        <v>344</v>
      </c>
      <c r="G1268" s="55" t="s">
        <v>360</v>
      </c>
      <c r="H1268" s="55" t="s">
        <v>360</v>
      </c>
      <c r="I1268" s="55" t="s">
        <v>360</v>
      </c>
      <c r="J1268" s="55" t="s">
        <v>360</v>
      </c>
      <c r="K1268" s="55" t="s">
        <v>360</v>
      </c>
      <c r="L1268" s="55" t="s">
        <v>360</v>
      </c>
      <c r="M1268" s="55" t="s">
        <v>138</v>
      </c>
      <c r="N1268" s="55" t="s">
        <v>138</v>
      </c>
      <c r="O1268" s="55" t="s">
        <v>183</v>
      </c>
      <c r="P1268" s="55" t="s">
        <v>664</v>
      </c>
      <c r="Q1268" s="55" t="s">
        <v>350</v>
      </c>
      <c r="R1268" s="55">
        <v>2</v>
      </c>
      <c r="S1268" s="55"/>
      <c r="T1268" s="55" t="s">
        <v>1988</v>
      </c>
    </row>
    <row r="1269" spans="1:20" ht="13" x14ac:dyDescent="0.15">
      <c r="A1269" s="72" t="str">
        <f t="shared" si="19"/>
        <v>Ofsted Social Care Provider Webpage</v>
      </c>
      <c r="B1269" s="55">
        <v>2611027</v>
      </c>
      <c r="D1269" s="55" t="s">
        <v>373</v>
      </c>
      <c r="E1269" s="74">
        <v>44454</v>
      </c>
      <c r="F1269" s="55" t="s">
        <v>344</v>
      </c>
      <c r="G1269" s="55" t="s">
        <v>360</v>
      </c>
      <c r="H1269" s="55" t="s">
        <v>360</v>
      </c>
      <c r="I1269" s="55" t="s">
        <v>360</v>
      </c>
      <c r="J1269" s="55" t="s">
        <v>360</v>
      </c>
      <c r="K1269" s="55" t="s">
        <v>360</v>
      </c>
      <c r="L1269" s="55" t="s">
        <v>360</v>
      </c>
      <c r="M1269" s="55" t="s">
        <v>142</v>
      </c>
      <c r="N1269" s="55" t="s">
        <v>142</v>
      </c>
      <c r="O1269" s="55" t="s">
        <v>262</v>
      </c>
      <c r="P1269" s="55" t="s">
        <v>916</v>
      </c>
      <c r="Q1269" s="55" t="s">
        <v>350</v>
      </c>
      <c r="R1269" s="55">
        <v>10</v>
      </c>
      <c r="S1269" s="55"/>
      <c r="T1269" s="55" t="s">
        <v>1874</v>
      </c>
    </row>
    <row r="1270" spans="1:20" ht="13" x14ac:dyDescent="0.15">
      <c r="A1270" s="72" t="str">
        <f t="shared" si="19"/>
        <v>Ofsted Social Care Provider Webpage</v>
      </c>
      <c r="B1270" s="55">
        <v>2611110</v>
      </c>
      <c r="D1270" s="55" t="s">
        <v>373</v>
      </c>
      <c r="E1270" s="74">
        <v>44187</v>
      </c>
      <c r="F1270" s="55" t="s">
        <v>344</v>
      </c>
      <c r="G1270" s="55" t="s">
        <v>360</v>
      </c>
      <c r="H1270" s="55" t="s">
        <v>360</v>
      </c>
      <c r="I1270" s="55" t="s">
        <v>360</v>
      </c>
      <c r="J1270" s="55" t="s">
        <v>360</v>
      </c>
      <c r="K1270" s="55" t="s">
        <v>360</v>
      </c>
      <c r="L1270" s="55" t="s">
        <v>360</v>
      </c>
      <c r="M1270" s="55" t="s">
        <v>150</v>
      </c>
      <c r="N1270" s="55" t="s">
        <v>150</v>
      </c>
      <c r="O1270" s="55" t="s">
        <v>241</v>
      </c>
      <c r="P1270" s="55" t="s">
        <v>1492</v>
      </c>
      <c r="Q1270" s="55" t="s">
        <v>350</v>
      </c>
      <c r="R1270" s="55">
        <v>7</v>
      </c>
      <c r="S1270" s="55"/>
      <c r="T1270" s="55" t="s">
        <v>487</v>
      </c>
    </row>
    <row r="1271" spans="1:20" ht="13" x14ac:dyDescent="0.15">
      <c r="A1271" s="72" t="str">
        <f t="shared" si="19"/>
        <v>Ofsted Social Care Provider Webpage</v>
      </c>
      <c r="B1271" s="55">
        <v>2611190</v>
      </c>
      <c r="D1271" s="55" t="s">
        <v>479</v>
      </c>
      <c r="E1271" s="74">
        <v>44204</v>
      </c>
      <c r="F1271" s="55" t="s">
        <v>344</v>
      </c>
      <c r="G1271" s="55" t="s">
        <v>360</v>
      </c>
      <c r="H1271" s="55" t="s">
        <v>360</v>
      </c>
      <c r="I1271" s="55" t="s">
        <v>360</v>
      </c>
      <c r="J1271" s="55" t="s">
        <v>360</v>
      </c>
      <c r="K1271" s="55" t="s">
        <v>360</v>
      </c>
      <c r="L1271" s="55" t="s">
        <v>360</v>
      </c>
      <c r="M1271" s="55" t="s">
        <v>172</v>
      </c>
      <c r="N1271" s="55" t="s">
        <v>172</v>
      </c>
      <c r="O1271" s="55" t="s">
        <v>284</v>
      </c>
      <c r="P1271" s="55" t="s">
        <v>986</v>
      </c>
      <c r="Q1271" s="55" t="s">
        <v>350</v>
      </c>
      <c r="R1271" s="55">
        <v>20</v>
      </c>
      <c r="S1271" s="55"/>
      <c r="T1271" s="55" t="s">
        <v>596</v>
      </c>
    </row>
    <row r="1272" spans="1:20" ht="13" x14ac:dyDescent="0.15">
      <c r="A1272" s="72" t="str">
        <f t="shared" si="19"/>
        <v>Ofsted Social Care Provider Webpage</v>
      </c>
      <c r="B1272" s="55">
        <v>2611210</v>
      </c>
      <c r="D1272" s="55" t="s">
        <v>373</v>
      </c>
      <c r="E1272" s="74">
        <v>44181</v>
      </c>
      <c r="F1272" s="55" t="s">
        <v>344</v>
      </c>
      <c r="G1272" s="55" t="s">
        <v>360</v>
      </c>
      <c r="H1272" s="55" t="s">
        <v>360</v>
      </c>
      <c r="I1272" s="55" t="s">
        <v>360</v>
      </c>
      <c r="J1272" s="55" t="s">
        <v>360</v>
      </c>
      <c r="K1272" s="55" t="s">
        <v>360</v>
      </c>
      <c r="L1272" s="55" t="s">
        <v>360</v>
      </c>
      <c r="M1272" s="55" t="s">
        <v>378</v>
      </c>
      <c r="N1272" s="55" t="s">
        <v>134</v>
      </c>
      <c r="O1272" s="55" t="s">
        <v>210</v>
      </c>
      <c r="P1272" s="55" t="s">
        <v>1989</v>
      </c>
      <c r="Q1272" s="55" t="s">
        <v>380</v>
      </c>
      <c r="R1272" s="55">
        <v>4</v>
      </c>
      <c r="S1272" s="55"/>
      <c r="T1272" s="55" t="s">
        <v>543</v>
      </c>
    </row>
    <row r="1273" spans="1:20" ht="13" x14ac:dyDescent="0.15">
      <c r="A1273" s="72" t="str">
        <f t="shared" si="19"/>
        <v>Ofsted Social Care Provider Webpage</v>
      </c>
      <c r="B1273" s="55">
        <v>2611288</v>
      </c>
      <c r="D1273" s="55" t="s">
        <v>373</v>
      </c>
      <c r="E1273" s="74">
        <v>44228</v>
      </c>
      <c r="F1273" s="55" t="s">
        <v>344</v>
      </c>
      <c r="G1273" s="55" t="s">
        <v>360</v>
      </c>
      <c r="H1273" s="55" t="s">
        <v>360</v>
      </c>
      <c r="I1273" s="55" t="s">
        <v>360</v>
      </c>
      <c r="J1273" s="55" t="s">
        <v>360</v>
      </c>
      <c r="K1273" s="55" t="s">
        <v>360</v>
      </c>
      <c r="L1273" s="55" t="s">
        <v>360</v>
      </c>
      <c r="M1273" s="55" t="s">
        <v>129</v>
      </c>
      <c r="N1273" s="55" t="s">
        <v>129</v>
      </c>
      <c r="O1273" s="55" t="s">
        <v>179</v>
      </c>
      <c r="P1273" s="55" t="s">
        <v>1584</v>
      </c>
      <c r="Q1273" s="55" t="s">
        <v>350</v>
      </c>
      <c r="R1273" s="55">
        <v>3</v>
      </c>
      <c r="S1273" s="55"/>
      <c r="T1273" s="55" t="s">
        <v>1990</v>
      </c>
    </row>
    <row r="1274" spans="1:20" ht="13" x14ac:dyDescent="0.15">
      <c r="A1274" s="72" t="str">
        <f t="shared" si="19"/>
        <v>Ofsted Social Care Provider Webpage</v>
      </c>
      <c r="B1274" s="55">
        <v>2611447</v>
      </c>
      <c r="D1274" s="55" t="s">
        <v>373</v>
      </c>
      <c r="E1274" s="74">
        <v>44349</v>
      </c>
      <c r="F1274" s="55" t="s">
        <v>344</v>
      </c>
      <c r="G1274" s="55" t="s">
        <v>360</v>
      </c>
      <c r="H1274" s="55" t="s">
        <v>360</v>
      </c>
      <c r="I1274" s="55" t="s">
        <v>360</v>
      </c>
      <c r="J1274" s="55" t="s">
        <v>360</v>
      </c>
      <c r="K1274" s="55" t="s">
        <v>360</v>
      </c>
      <c r="L1274" s="55" t="s">
        <v>360</v>
      </c>
      <c r="M1274" s="55" t="s">
        <v>150</v>
      </c>
      <c r="N1274" s="55" t="s">
        <v>150</v>
      </c>
      <c r="O1274" s="55" t="s">
        <v>156</v>
      </c>
      <c r="P1274" s="55" t="s">
        <v>1217</v>
      </c>
      <c r="Q1274" s="55" t="s">
        <v>380</v>
      </c>
      <c r="R1274" s="55">
        <v>5</v>
      </c>
      <c r="S1274" s="55"/>
      <c r="T1274" s="55" t="s">
        <v>1278</v>
      </c>
    </row>
    <row r="1275" spans="1:20" ht="13" x14ac:dyDescent="0.15">
      <c r="A1275" s="72" t="str">
        <f t="shared" si="19"/>
        <v>Ofsted Social Care Provider Webpage</v>
      </c>
      <c r="B1275" s="55">
        <v>2611536</v>
      </c>
      <c r="D1275" s="55" t="s">
        <v>373</v>
      </c>
      <c r="E1275" s="74">
        <v>44323</v>
      </c>
      <c r="F1275" s="55" t="s">
        <v>344</v>
      </c>
      <c r="G1275" s="55" t="s">
        <v>360</v>
      </c>
      <c r="H1275" s="55" t="s">
        <v>360</v>
      </c>
      <c r="I1275" s="55" t="s">
        <v>360</v>
      </c>
      <c r="J1275" s="55" t="s">
        <v>360</v>
      </c>
      <c r="K1275" s="55" t="s">
        <v>360</v>
      </c>
      <c r="L1275" s="55" t="s">
        <v>360</v>
      </c>
      <c r="M1275" s="55" t="s">
        <v>136</v>
      </c>
      <c r="N1275" s="55" t="s">
        <v>136</v>
      </c>
      <c r="O1275" s="55" t="s">
        <v>174</v>
      </c>
      <c r="P1275" s="55" t="s">
        <v>570</v>
      </c>
      <c r="Q1275" s="55" t="s">
        <v>350</v>
      </c>
      <c r="R1275" s="55">
        <v>5</v>
      </c>
      <c r="S1275" s="55"/>
      <c r="T1275" s="55" t="s">
        <v>1991</v>
      </c>
    </row>
    <row r="1276" spans="1:20" ht="13" x14ac:dyDescent="0.15">
      <c r="A1276" s="72" t="str">
        <f t="shared" si="19"/>
        <v>Ofsted Social Care Provider Webpage</v>
      </c>
      <c r="B1276" s="55">
        <v>2611991</v>
      </c>
      <c r="D1276" s="55" t="s">
        <v>373</v>
      </c>
      <c r="E1276" s="74">
        <v>44201</v>
      </c>
      <c r="F1276" s="55" t="s">
        <v>344</v>
      </c>
      <c r="G1276" s="55" t="s">
        <v>360</v>
      </c>
      <c r="H1276" s="55" t="s">
        <v>360</v>
      </c>
      <c r="I1276" s="55" t="s">
        <v>360</v>
      </c>
      <c r="J1276" s="55" t="s">
        <v>360</v>
      </c>
      <c r="K1276" s="55" t="s">
        <v>360</v>
      </c>
      <c r="L1276" s="55" t="s">
        <v>360</v>
      </c>
      <c r="M1276" s="55" t="s">
        <v>138</v>
      </c>
      <c r="N1276" s="55" t="s">
        <v>138</v>
      </c>
      <c r="O1276" s="55" t="s">
        <v>216</v>
      </c>
      <c r="P1276" s="55" t="s">
        <v>1918</v>
      </c>
      <c r="Q1276" s="55" t="s">
        <v>350</v>
      </c>
      <c r="R1276" s="55">
        <v>3</v>
      </c>
      <c r="S1276" s="55"/>
      <c r="T1276" s="55" t="s">
        <v>1992</v>
      </c>
    </row>
    <row r="1277" spans="1:20" ht="13" x14ac:dyDescent="0.15">
      <c r="A1277" s="72" t="str">
        <f t="shared" si="19"/>
        <v>Ofsted Social Care Provider Webpage</v>
      </c>
      <c r="B1277" s="55">
        <v>2612008</v>
      </c>
      <c r="D1277" s="55" t="s">
        <v>373</v>
      </c>
      <c r="E1277" s="74">
        <v>44209</v>
      </c>
      <c r="F1277" s="55" t="s">
        <v>344</v>
      </c>
      <c r="G1277" s="55" t="s">
        <v>360</v>
      </c>
      <c r="H1277" s="55" t="s">
        <v>360</v>
      </c>
      <c r="I1277" s="55" t="s">
        <v>360</v>
      </c>
      <c r="J1277" s="55" t="s">
        <v>360</v>
      </c>
      <c r="K1277" s="55" t="s">
        <v>360</v>
      </c>
      <c r="L1277" s="55" t="s">
        <v>360</v>
      </c>
      <c r="M1277" s="55" t="s">
        <v>378</v>
      </c>
      <c r="N1277" s="55" t="s">
        <v>134</v>
      </c>
      <c r="O1277" s="55" t="s">
        <v>206</v>
      </c>
      <c r="P1277" s="55" t="s">
        <v>1655</v>
      </c>
      <c r="Q1277" s="55" t="s">
        <v>350</v>
      </c>
      <c r="R1277" s="55">
        <v>4</v>
      </c>
      <c r="S1277" s="55"/>
      <c r="T1277" s="55" t="s">
        <v>574</v>
      </c>
    </row>
    <row r="1278" spans="1:20" ht="13" x14ac:dyDescent="0.15">
      <c r="A1278" s="72" t="str">
        <f t="shared" si="19"/>
        <v>Ofsted Social Care Provider Webpage</v>
      </c>
      <c r="B1278" s="55">
        <v>2612013</v>
      </c>
      <c r="D1278" s="55" t="s">
        <v>373</v>
      </c>
      <c r="E1278" s="74">
        <v>44508</v>
      </c>
      <c r="F1278" s="55" t="s">
        <v>344</v>
      </c>
      <c r="G1278" s="55" t="s">
        <v>360</v>
      </c>
      <c r="H1278" s="55" t="s">
        <v>360</v>
      </c>
      <c r="I1278" s="55" t="s">
        <v>360</v>
      </c>
      <c r="J1278" s="55" t="s">
        <v>360</v>
      </c>
      <c r="K1278" s="55" t="s">
        <v>360</v>
      </c>
      <c r="L1278" s="55" t="s">
        <v>360</v>
      </c>
      <c r="M1278" s="55" t="s">
        <v>129</v>
      </c>
      <c r="N1278" s="55" t="s">
        <v>129</v>
      </c>
      <c r="O1278" s="55" t="s">
        <v>139</v>
      </c>
      <c r="P1278" s="55" t="s">
        <v>1639</v>
      </c>
      <c r="Q1278" s="55" t="s">
        <v>350</v>
      </c>
      <c r="R1278" s="55">
        <v>4</v>
      </c>
      <c r="S1278" s="55"/>
      <c r="T1278" s="55" t="s">
        <v>1993</v>
      </c>
    </row>
    <row r="1279" spans="1:20" ht="13" x14ac:dyDescent="0.15">
      <c r="A1279" s="72" t="str">
        <f t="shared" si="19"/>
        <v>Ofsted Social Care Provider Webpage</v>
      </c>
      <c r="B1279" s="55">
        <v>2612063</v>
      </c>
      <c r="D1279" s="55" t="s">
        <v>373</v>
      </c>
      <c r="E1279" s="74">
        <v>44182</v>
      </c>
      <c r="F1279" s="55" t="s">
        <v>344</v>
      </c>
      <c r="G1279" s="55" t="s">
        <v>360</v>
      </c>
      <c r="H1279" s="55" t="s">
        <v>360</v>
      </c>
      <c r="I1279" s="55" t="s">
        <v>360</v>
      </c>
      <c r="J1279" s="55" t="s">
        <v>360</v>
      </c>
      <c r="K1279" s="55" t="s">
        <v>360</v>
      </c>
      <c r="L1279" s="55" t="s">
        <v>360</v>
      </c>
      <c r="M1279" s="55" t="s">
        <v>129</v>
      </c>
      <c r="N1279" s="55" t="s">
        <v>129</v>
      </c>
      <c r="O1279" s="55" t="s">
        <v>152</v>
      </c>
      <c r="P1279" s="55" t="s">
        <v>1994</v>
      </c>
      <c r="Q1279" s="55" t="s">
        <v>350</v>
      </c>
      <c r="R1279" s="55">
        <v>4</v>
      </c>
      <c r="S1279" s="55"/>
      <c r="T1279" s="55" t="s">
        <v>1995</v>
      </c>
    </row>
    <row r="1280" spans="1:20" ht="13" x14ac:dyDescent="0.15">
      <c r="A1280" s="72" t="str">
        <f t="shared" si="19"/>
        <v>Ofsted Social Care Provider Webpage</v>
      </c>
      <c r="B1280" s="55">
        <v>2612070</v>
      </c>
      <c r="D1280" s="55" t="s">
        <v>373</v>
      </c>
      <c r="E1280" s="74">
        <v>44185</v>
      </c>
      <c r="F1280" s="55" t="s">
        <v>344</v>
      </c>
      <c r="G1280" s="55" t="s">
        <v>360</v>
      </c>
      <c r="H1280" s="55" t="s">
        <v>360</v>
      </c>
      <c r="I1280" s="55" t="s">
        <v>360</v>
      </c>
      <c r="J1280" s="55" t="s">
        <v>360</v>
      </c>
      <c r="K1280" s="55" t="s">
        <v>360</v>
      </c>
      <c r="L1280" s="55" t="s">
        <v>360</v>
      </c>
      <c r="M1280" s="55" t="s">
        <v>378</v>
      </c>
      <c r="N1280" s="55" t="s">
        <v>134</v>
      </c>
      <c r="O1280" s="55" t="s">
        <v>158</v>
      </c>
      <c r="P1280" s="55" t="s">
        <v>912</v>
      </c>
      <c r="Q1280" s="55" t="s">
        <v>350</v>
      </c>
      <c r="R1280" s="55">
        <v>2</v>
      </c>
      <c r="S1280" s="55"/>
      <c r="T1280" s="55" t="s">
        <v>711</v>
      </c>
    </row>
    <row r="1281" spans="1:20" ht="13" x14ac:dyDescent="0.15">
      <c r="A1281" s="72" t="str">
        <f t="shared" si="19"/>
        <v>Ofsted Social Care Provider Webpage</v>
      </c>
      <c r="B1281" s="55">
        <v>2612115</v>
      </c>
      <c r="D1281" s="55" t="s">
        <v>373</v>
      </c>
      <c r="E1281" s="74">
        <v>44447</v>
      </c>
      <c r="F1281" s="55" t="s">
        <v>344</v>
      </c>
      <c r="G1281" s="55" t="s">
        <v>360</v>
      </c>
      <c r="H1281" s="55" t="s">
        <v>360</v>
      </c>
      <c r="I1281" s="55" t="s">
        <v>360</v>
      </c>
      <c r="J1281" s="55" t="s">
        <v>360</v>
      </c>
      <c r="K1281" s="55" t="s">
        <v>360</v>
      </c>
      <c r="L1281" s="55" t="s">
        <v>360</v>
      </c>
      <c r="M1281" s="55" t="s">
        <v>142</v>
      </c>
      <c r="N1281" s="55" t="s">
        <v>142</v>
      </c>
      <c r="O1281" s="55" t="s">
        <v>262</v>
      </c>
      <c r="P1281" s="55" t="s">
        <v>1859</v>
      </c>
      <c r="Q1281" s="55" t="s">
        <v>350</v>
      </c>
      <c r="R1281" s="55">
        <v>4</v>
      </c>
      <c r="S1281" s="55"/>
      <c r="T1281" s="55" t="s">
        <v>489</v>
      </c>
    </row>
    <row r="1282" spans="1:20" ht="13" x14ac:dyDescent="0.15">
      <c r="A1282" s="72" t="str">
        <f t="shared" si="19"/>
        <v>Ofsted Social Care Provider Webpage</v>
      </c>
      <c r="B1282" s="55">
        <v>2612347</v>
      </c>
      <c r="D1282" s="55" t="s">
        <v>373</v>
      </c>
      <c r="E1282" s="74">
        <v>44333</v>
      </c>
      <c r="F1282" s="55" t="s">
        <v>344</v>
      </c>
      <c r="G1282" s="55" t="s">
        <v>360</v>
      </c>
      <c r="H1282" s="55" t="s">
        <v>360</v>
      </c>
      <c r="I1282" s="55" t="s">
        <v>360</v>
      </c>
      <c r="J1282" s="55" t="s">
        <v>360</v>
      </c>
      <c r="K1282" s="55" t="s">
        <v>360</v>
      </c>
      <c r="L1282" s="55" t="s">
        <v>360</v>
      </c>
      <c r="M1282" s="55" t="s">
        <v>172</v>
      </c>
      <c r="N1282" s="55" t="s">
        <v>172</v>
      </c>
      <c r="O1282" s="55" t="s">
        <v>235</v>
      </c>
      <c r="P1282" s="55" t="s">
        <v>494</v>
      </c>
      <c r="Q1282" s="55" t="s">
        <v>350</v>
      </c>
      <c r="R1282" s="55">
        <v>2</v>
      </c>
      <c r="S1282" s="55"/>
      <c r="T1282" s="55" t="s">
        <v>1433</v>
      </c>
    </row>
    <row r="1283" spans="1:20" ht="13" x14ac:dyDescent="0.15">
      <c r="A1283" s="72" t="str">
        <f t="shared" si="19"/>
        <v>Ofsted Social Care Provider Webpage</v>
      </c>
      <c r="B1283" s="55">
        <v>2612735</v>
      </c>
      <c r="D1283" s="55" t="s">
        <v>373</v>
      </c>
      <c r="E1283" s="74">
        <v>44185</v>
      </c>
      <c r="F1283" s="55" t="s">
        <v>344</v>
      </c>
      <c r="G1283" s="55" t="s">
        <v>360</v>
      </c>
      <c r="H1283" s="55" t="s">
        <v>360</v>
      </c>
      <c r="I1283" s="55" t="s">
        <v>360</v>
      </c>
      <c r="J1283" s="55" t="s">
        <v>360</v>
      </c>
      <c r="K1283" s="55" t="s">
        <v>360</v>
      </c>
      <c r="L1283" s="55" t="s">
        <v>360</v>
      </c>
      <c r="M1283" s="55" t="s">
        <v>378</v>
      </c>
      <c r="N1283" s="55" t="s">
        <v>134</v>
      </c>
      <c r="O1283" s="55" t="s">
        <v>158</v>
      </c>
      <c r="P1283" s="55" t="s">
        <v>912</v>
      </c>
      <c r="Q1283" s="55" t="s">
        <v>350</v>
      </c>
      <c r="R1283" s="55">
        <v>2</v>
      </c>
      <c r="S1283" s="55"/>
      <c r="T1283" s="55" t="s">
        <v>711</v>
      </c>
    </row>
    <row r="1284" spans="1:20" ht="13" x14ac:dyDescent="0.15">
      <c r="A1284" s="72" t="str">
        <f t="shared" si="19"/>
        <v>Ofsted Social Care Provider Webpage</v>
      </c>
      <c r="B1284" s="55">
        <v>2612810</v>
      </c>
      <c r="D1284" s="55" t="s">
        <v>373</v>
      </c>
      <c r="E1284" s="74">
        <v>44215</v>
      </c>
      <c r="F1284" s="55" t="s">
        <v>344</v>
      </c>
      <c r="G1284" s="55" t="s">
        <v>360</v>
      </c>
      <c r="H1284" s="55" t="s">
        <v>360</v>
      </c>
      <c r="I1284" s="55" t="s">
        <v>360</v>
      </c>
      <c r="J1284" s="55" t="s">
        <v>360</v>
      </c>
      <c r="K1284" s="55" t="s">
        <v>360</v>
      </c>
      <c r="L1284" s="55" t="s">
        <v>360</v>
      </c>
      <c r="M1284" s="55" t="s">
        <v>144</v>
      </c>
      <c r="N1284" s="55" t="s">
        <v>144</v>
      </c>
      <c r="O1284" s="55" t="s">
        <v>271</v>
      </c>
      <c r="P1284" s="55" t="s">
        <v>1120</v>
      </c>
      <c r="Q1284" s="55" t="s">
        <v>350</v>
      </c>
      <c r="R1284" s="55">
        <v>3</v>
      </c>
      <c r="S1284" s="55"/>
      <c r="T1284" s="55" t="s">
        <v>1563</v>
      </c>
    </row>
    <row r="1285" spans="1:20" ht="13" x14ac:dyDescent="0.15">
      <c r="A1285" s="72" t="str">
        <f t="shared" ref="A1285:A1348" si="20">HYPERLINK(_xlfn.CONCAT("http://reports.ofsted.gov.uk/inspection-reports/find-inspection-report/provider/CARE/",B1285),"Ofsted Social Care Provider Webpage")</f>
        <v>Ofsted Social Care Provider Webpage</v>
      </c>
      <c r="B1285" s="55">
        <v>2613032</v>
      </c>
      <c r="D1285" s="55" t="s">
        <v>373</v>
      </c>
      <c r="E1285" s="74">
        <v>44174</v>
      </c>
      <c r="F1285" s="55" t="s">
        <v>344</v>
      </c>
      <c r="G1285" s="55" t="s">
        <v>360</v>
      </c>
      <c r="H1285" s="55" t="s">
        <v>360</v>
      </c>
      <c r="I1285" s="55" t="s">
        <v>360</v>
      </c>
      <c r="J1285" s="55" t="s">
        <v>360</v>
      </c>
      <c r="K1285" s="55" t="s">
        <v>360</v>
      </c>
      <c r="L1285" s="55" t="s">
        <v>360</v>
      </c>
      <c r="M1285" s="55" t="s">
        <v>378</v>
      </c>
      <c r="N1285" s="55" t="s">
        <v>170</v>
      </c>
      <c r="O1285" s="55" t="s">
        <v>193</v>
      </c>
      <c r="P1285" s="55" t="s">
        <v>193</v>
      </c>
      <c r="Q1285" s="55" t="s">
        <v>350</v>
      </c>
      <c r="R1285" s="55">
        <v>5</v>
      </c>
      <c r="S1285" s="55"/>
      <c r="T1285" s="55" t="s">
        <v>522</v>
      </c>
    </row>
    <row r="1286" spans="1:20" ht="13" x14ac:dyDescent="0.15">
      <c r="A1286" s="72" t="str">
        <f t="shared" si="20"/>
        <v>Ofsted Social Care Provider Webpage</v>
      </c>
      <c r="B1286" s="55">
        <v>2613157</v>
      </c>
      <c r="D1286" s="55" t="s">
        <v>373</v>
      </c>
      <c r="E1286" s="74">
        <v>44127</v>
      </c>
      <c r="F1286" s="55" t="s">
        <v>344</v>
      </c>
      <c r="G1286" s="55" t="s">
        <v>360</v>
      </c>
      <c r="H1286" s="55" t="s">
        <v>360</v>
      </c>
      <c r="I1286" s="55" t="s">
        <v>360</v>
      </c>
      <c r="J1286" s="55" t="s">
        <v>360</v>
      </c>
      <c r="K1286" s="55" t="s">
        <v>360</v>
      </c>
      <c r="L1286" s="55" t="s">
        <v>360</v>
      </c>
      <c r="M1286" s="55" t="s">
        <v>378</v>
      </c>
      <c r="N1286" s="55" t="s">
        <v>170</v>
      </c>
      <c r="O1286" s="55" t="s">
        <v>267</v>
      </c>
      <c r="P1286" s="55" t="s">
        <v>975</v>
      </c>
      <c r="Q1286" s="55" t="s">
        <v>362</v>
      </c>
      <c r="R1286" s="55">
        <v>3</v>
      </c>
      <c r="S1286" s="55"/>
      <c r="T1286" s="55" t="s">
        <v>973</v>
      </c>
    </row>
    <row r="1287" spans="1:20" ht="13" x14ac:dyDescent="0.15">
      <c r="A1287" s="72" t="str">
        <f t="shared" si="20"/>
        <v>Ofsted Social Care Provider Webpage</v>
      </c>
      <c r="B1287" s="55">
        <v>2613327</v>
      </c>
      <c r="D1287" s="55" t="s">
        <v>373</v>
      </c>
      <c r="E1287" s="74">
        <v>44299</v>
      </c>
      <c r="F1287" s="55" t="s">
        <v>344</v>
      </c>
      <c r="G1287" s="55" t="s">
        <v>360</v>
      </c>
      <c r="H1287" s="55" t="s">
        <v>360</v>
      </c>
      <c r="I1287" s="55" t="s">
        <v>360</v>
      </c>
      <c r="J1287" s="55" t="s">
        <v>360</v>
      </c>
      <c r="K1287" s="55" t="s">
        <v>360</v>
      </c>
      <c r="L1287" s="55" t="s">
        <v>360</v>
      </c>
      <c r="M1287" s="55" t="s">
        <v>142</v>
      </c>
      <c r="N1287" s="55" t="s">
        <v>142</v>
      </c>
      <c r="O1287" s="55" t="s">
        <v>141</v>
      </c>
      <c r="P1287" s="55" t="s">
        <v>864</v>
      </c>
      <c r="Q1287" s="55" t="s">
        <v>350</v>
      </c>
      <c r="R1287" s="55">
        <v>2</v>
      </c>
      <c r="S1287" s="55"/>
      <c r="T1287" s="55" t="s">
        <v>1996</v>
      </c>
    </row>
    <row r="1288" spans="1:20" ht="13" x14ac:dyDescent="0.15">
      <c r="A1288" s="72" t="str">
        <f t="shared" si="20"/>
        <v>Ofsted Social Care Provider Webpage</v>
      </c>
      <c r="B1288" s="55">
        <v>2613341</v>
      </c>
      <c r="D1288" s="55" t="s">
        <v>373</v>
      </c>
      <c r="E1288" s="74">
        <v>44174</v>
      </c>
      <c r="F1288" s="55" t="s">
        <v>344</v>
      </c>
      <c r="G1288" s="55" t="s">
        <v>360</v>
      </c>
      <c r="H1288" s="55" t="s">
        <v>360</v>
      </c>
      <c r="I1288" s="55" t="s">
        <v>360</v>
      </c>
      <c r="J1288" s="55" t="s">
        <v>360</v>
      </c>
      <c r="K1288" s="55" t="s">
        <v>360</v>
      </c>
      <c r="L1288" s="55" t="s">
        <v>360</v>
      </c>
      <c r="M1288" s="55" t="s">
        <v>144</v>
      </c>
      <c r="N1288" s="55" t="s">
        <v>144</v>
      </c>
      <c r="O1288" s="55" t="s">
        <v>163</v>
      </c>
      <c r="P1288" s="55" t="s">
        <v>1997</v>
      </c>
      <c r="Q1288" s="55" t="s">
        <v>350</v>
      </c>
      <c r="R1288" s="55">
        <v>9</v>
      </c>
      <c r="S1288" s="55"/>
      <c r="T1288" s="55" t="s">
        <v>1998</v>
      </c>
    </row>
    <row r="1289" spans="1:20" ht="13" x14ac:dyDescent="0.15">
      <c r="A1289" s="72" t="str">
        <f t="shared" si="20"/>
        <v>Ofsted Social Care Provider Webpage</v>
      </c>
      <c r="B1289" s="55">
        <v>2613483</v>
      </c>
      <c r="D1289" s="55" t="s">
        <v>373</v>
      </c>
      <c r="E1289" s="74">
        <v>44266</v>
      </c>
      <c r="F1289" s="55" t="s">
        <v>344</v>
      </c>
      <c r="G1289" s="55" t="s">
        <v>360</v>
      </c>
      <c r="H1289" s="55" t="s">
        <v>360</v>
      </c>
      <c r="I1289" s="55" t="s">
        <v>360</v>
      </c>
      <c r="J1289" s="55" t="s">
        <v>360</v>
      </c>
      <c r="K1289" s="55" t="s">
        <v>360</v>
      </c>
      <c r="L1289" s="55" t="s">
        <v>360</v>
      </c>
      <c r="M1289" s="55" t="s">
        <v>172</v>
      </c>
      <c r="N1289" s="55" t="s">
        <v>172</v>
      </c>
      <c r="O1289" s="55" t="s">
        <v>212</v>
      </c>
      <c r="P1289" s="55" t="s">
        <v>592</v>
      </c>
      <c r="Q1289" s="55" t="s">
        <v>350</v>
      </c>
      <c r="R1289" s="55">
        <v>6</v>
      </c>
      <c r="S1289" s="55"/>
      <c r="T1289" s="55" t="s">
        <v>574</v>
      </c>
    </row>
    <row r="1290" spans="1:20" ht="13" x14ac:dyDescent="0.15">
      <c r="A1290" s="72" t="str">
        <f t="shared" si="20"/>
        <v>Ofsted Social Care Provider Webpage</v>
      </c>
      <c r="B1290" s="55">
        <v>2613488</v>
      </c>
      <c r="D1290" s="55" t="s">
        <v>373</v>
      </c>
      <c r="E1290" s="74">
        <v>44151</v>
      </c>
      <c r="F1290" s="55" t="s">
        <v>344</v>
      </c>
      <c r="G1290" s="55" t="s">
        <v>360</v>
      </c>
      <c r="H1290" s="55" t="s">
        <v>360</v>
      </c>
      <c r="I1290" s="55" t="s">
        <v>360</v>
      </c>
      <c r="J1290" s="55" t="s">
        <v>360</v>
      </c>
      <c r="K1290" s="55" t="s">
        <v>360</v>
      </c>
      <c r="L1290" s="55" t="s">
        <v>360</v>
      </c>
      <c r="M1290" s="55" t="s">
        <v>138</v>
      </c>
      <c r="N1290" s="55" t="s">
        <v>138</v>
      </c>
      <c r="O1290" s="55" t="s">
        <v>183</v>
      </c>
      <c r="P1290" s="55" t="s">
        <v>730</v>
      </c>
      <c r="Q1290" s="55" t="s">
        <v>350</v>
      </c>
      <c r="R1290" s="55">
        <v>3</v>
      </c>
      <c r="S1290" s="55" t="s">
        <v>332</v>
      </c>
      <c r="T1290" s="55" t="s">
        <v>935</v>
      </c>
    </row>
    <row r="1291" spans="1:20" ht="13" x14ac:dyDescent="0.15">
      <c r="A1291" s="72" t="str">
        <f t="shared" si="20"/>
        <v>Ofsted Social Care Provider Webpage</v>
      </c>
      <c r="B1291" s="55">
        <v>2613627</v>
      </c>
      <c r="D1291" s="55" t="s">
        <v>373</v>
      </c>
      <c r="E1291" s="74">
        <v>44188</v>
      </c>
      <c r="F1291" s="55" t="s">
        <v>344</v>
      </c>
      <c r="G1291" s="55" t="s">
        <v>360</v>
      </c>
      <c r="H1291" s="55" t="s">
        <v>360</v>
      </c>
      <c r="I1291" s="55" t="s">
        <v>360</v>
      </c>
      <c r="J1291" s="55" t="s">
        <v>360</v>
      </c>
      <c r="K1291" s="55" t="s">
        <v>360</v>
      </c>
      <c r="L1291" s="55" t="s">
        <v>360</v>
      </c>
      <c r="M1291" s="55" t="s">
        <v>378</v>
      </c>
      <c r="N1291" s="55" t="s">
        <v>134</v>
      </c>
      <c r="O1291" s="55" t="s">
        <v>158</v>
      </c>
      <c r="P1291" s="55" t="s">
        <v>480</v>
      </c>
      <c r="Q1291" s="55" t="s">
        <v>350</v>
      </c>
      <c r="R1291" s="55">
        <v>1</v>
      </c>
      <c r="S1291" s="55"/>
      <c r="T1291" s="55" t="s">
        <v>493</v>
      </c>
    </row>
    <row r="1292" spans="1:20" ht="13" x14ac:dyDescent="0.15">
      <c r="A1292" s="72" t="str">
        <f t="shared" si="20"/>
        <v>Ofsted Social Care Provider Webpage</v>
      </c>
      <c r="B1292" s="55">
        <v>2613649</v>
      </c>
      <c r="D1292" s="55" t="s">
        <v>373</v>
      </c>
      <c r="E1292" s="74">
        <v>44298</v>
      </c>
      <c r="F1292" s="55" t="s">
        <v>344</v>
      </c>
      <c r="G1292" s="55" t="s">
        <v>360</v>
      </c>
      <c r="H1292" s="55" t="s">
        <v>360</v>
      </c>
      <c r="I1292" s="55" t="s">
        <v>360</v>
      </c>
      <c r="J1292" s="55" t="s">
        <v>360</v>
      </c>
      <c r="K1292" s="55" t="s">
        <v>360</v>
      </c>
      <c r="L1292" s="55" t="s">
        <v>360</v>
      </c>
      <c r="M1292" s="55" t="s">
        <v>138</v>
      </c>
      <c r="N1292" s="55" t="s">
        <v>138</v>
      </c>
      <c r="O1292" s="55" t="s">
        <v>183</v>
      </c>
      <c r="P1292" s="55" t="s">
        <v>508</v>
      </c>
      <c r="Q1292" s="55" t="s">
        <v>350</v>
      </c>
      <c r="R1292" s="55">
        <v>4</v>
      </c>
      <c r="S1292" s="55"/>
      <c r="T1292" s="55" t="s">
        <v>644</v>
      </c>
    </row>
    <row r="1293" spans="1:20" ht="13" x14ac:dyDescent="0.15">
      <c r="A1293" s="72" t="str">
        <f t="shared" si="20"/>
        <v>Ofsted Social Care Provider Webpage</v>
      </c>
      <c r="B1293" s="55">
        <v>2613661</v>
      </c>
      <c r="D1293" s="55" t="s">
        <v>373</v>
      </c>
      <c r="E1293" s="74">
        <v>44133</v>
      </c>
      <c r="F1293" s="55" t="s">
        <v>344</v>
      </c>
      <c r="G1293" s="55" t="s">
        <v>360</v>
      </c>
      <c r="H1293" s="55" t="s">
        <v>360</v>
      </c>
      <c r="I1293" s="55" t="s">
        <v>360</v>
      </c>
      <c r="J1293" s="55" t="s">
        <v>360</v>
      </c>
      <c r="K1293" s="55" t="s">
        <v>360</v>
      </c>
      <c r="L1293" s="55" t="s">
        <v>360</v>
      </c>
      <c r="M1293" s="55" t="s">
        <v>378</v>
      </c>
      <c r="N1293" s="55" t="s">
        <v>170</v>
      </c>
      <c r="O1293" s="55" t="s">
        <v>233</v>
      </c>
      <c r="P1293" s="55" t="s">
        <v>1999</v>
      </c>
      <c r="Q1293" s="55" t="s">
        <v>350</v>
      </c>
      <c r="R1293" s="55">
        <v>2</v>
      </c>
      <c r="S1293" s="55"/>
      <c r="T1293" s="55" t="s">
        <v>481</v>
      </c>
    </row>
    <row r="1294" spans="1:20" ht="13" x14ac:dyDescent="0.15">
      <c r="A1294" s="72" t="str">
        <f t="shared" si="20"/>
        <v>Ofsted Social Care Provider Webpage</v>
      </c>
      <c r="B1294" s="55">
        <v>2613677</v>
      </c>
      <c r="D1294" s="55" t="s">
        <v>373</v>
      </c>
      <c r="E1294" s="74">
        <v>44162</v>
      </c>
      <c r="F1294" s="55" t="s">
        <v>344</v>
      </c>
      <c r="G1294" s="55" t="s">
        <v>360</v>
      </c>
      <c r="H1294" s="55" t="s">
        <v>360</v>
      </c>
      <c r="I1294" s="55" t="s">
        <v>360</v>
      </c>
      <c r="J1294" s="55" t="s">
        <v>360</v>
      </c>
      <c r="K1294" s="55" t="s">
        <v>360</v>
      </c>
      <c r="L1294" s="55" t="s">
        <v>360</v>
      </c>
      <c r="M1294" s="55" t="s">
        <v>144</v>
      </c>
      <c r="N1294" s="55" t="s">
        <v>144</v>
      </c>
      <c r="O1294" s="55" t="s">
        <v>209</v>
      </c>
      <c r="P1294" s="55" t="s">
        <v>650</v>
      </c>
      <c r="Q1294" s="55" t="s">
        <v>350</v>
      </c>
      <c r="R1294" s="55">
        <v>1</v>
      </c>
      <c r="S1294" s="55"/>
      <c r="T1294" s="55" t="s">
        <v>493</v>
      </c>
    </row>
    <row r="1295" spans="1:20" ht="13" x14ac:dyDescent="0.15">
      <c r="A1295" s="72" t="str">
        <f t="shared" si="20"/>
        <v>Ofsted Social Care Provider Webpage</v>
      </c>
      <c r="B1295" s="55">
        <v>2613806</v>
      </c>
      <c r="D1295" s="55" t="s">
        <v>373</v>
      </c>
      <c r="E1295" s="74">
        <v>44180</v>
      </c>
      <c r="F1295" s="55" t="s">
        <v>344</v>
      </c>
      <c r="G1295" s="55" t="s">
        <v>360</v>
      </c>
      <c r="H1295" s="55" t="s">
        <v>360</v>
      </c>
      <c r="I1295" s="55" t="s">
        <v>360</v>
      </c>
      <c r="J1295" s="55" t="s">
        <v>360</v>
      </c>
      <c r="K1295" s="55" t="s">
        <v>360</v>
      </c>
      <c r="L1295" s="55" t="s">
        <v>360</v>
      </c>
      <c r="M1295" s="55" t="s">
        <v>129</v>
      </c>
      <c r="N1295" s="55" t="s">
        <v>129</v>
      </c>
      <c r="O1295" s="55" t="s">
        <v>242</v>
      </c>
      <c r="P1295" s="55" t="s">
        <v>1519</v>
      </c>
      <c r="Q1295" s="55" t="s">
        <v>350</v>
      </c>
      <c r="R1295" s="55">
        <v>5</v>
      </c>
      <c r="S1295" s="55"/>
      <c r="T1295" s="55" t="s">
        <v>2000</v>
      </c>
    </row>
    <row r="1296" spans="1:20" ht="13" x14ac:dyDescent="0.15">
      <c r="A1296" s="72" t="str">
        <f t="shared" si="20"/>
        <v>Ofsted Social Care Provider Webpage</v>
      </c>
      <c r="B1296" s="55">
        <v>2613829</v>
      </c>
      <c r="D1296" s="55" t="s">
        <v>373</v>
      </c>
      <c r="E1296" s="74">
        <v>44242</v>
      </c>
      <c r="F1296" s="55" t="s">
        <v>344</v>
      </c>
      <c r="G1296" s="55" t="s">
        <v>360</v>
      </c>
      <c r="H1296" s="55" t="s">
        <v>360</v>
      </c>
      <c r="I1296" s="55" t="s">
        <v>360</v>
      </c>
      <c r="J1296" s="55" t="s">
        <v>360</v>
      </c>
      <c r="K1296" s="55" t="s">
        <v>360</v>
      </c>
      <c r="L1296" s="55" t="s">
        <v>360</v>
      </c>
      <c r="M1296" s="55" t="s">
        <v>172</v>
      </c>
      <c r="N1296" s="55" t="s">
        <v>172</v>
      </c>
      <c r="O1296" s="55" t="s">
        <v>235</v>
      </c>
      <c r="P1296" s="55" t="s">
        <v>628</v>
      </c>
      <c r="Q1296" s="55" t="s">
        <v>350</v>
      </c>
      <c r="R1296" s="55">
        <v>4</v>
      </c>
      <c r="S1296" s="55"/>
      <c r="T1296" s="55" t="s">
        <v>1433</v>
      </c>
    </row>
    <row r="1297" spans="1:20" ht="13" x14ac:dyDescent="0.15">
      <c r="A1297" s="72" t="str">
        <f t="shared" si="20"/>
        <v>Ofsted Social Care Provider Webpage</v>
      </c>
      <c r="B1297" s="55">
        <v>2613849</v>
      </c>
      <c r="D1297" s="55" t="s">
        <v>373</v>
      </c>
      <c r="E1297" s="74">
        <v>44238</v>
      </c>
      <c r="F1297" s="55" t="s">
        <v>344</v>
      </c>
      <c r="G1297" s="55" t="s">
        <v>360</v>
      </c>
      <c r="H1297" s="55" t="s">
        <v>360</v>
      </c>
      <c r="I1297" s="55" t="s">
        <v>360</v>
      </c>
      <c r="J1297" s="55" t="s">
        <v>360</v>
      </c>
      <c r="K1297" s="55" t="s">
        <v>360</v>
      </c>
      <c r="L1297" s="55" t="s">
        <v>360</v>
      </c>
      <c r="M1297" s="55" t="s">
        <v>150</v>
      </c>
      <c r="N1297" s="55" t="s">
        <v>150</v>
      </c>
      <c r="O1297" s="55" t="s">
        <v>285</v>
      </c>
      <c r="P1297" s="55" t="s">
        <v>2001</v>
      </c>
      <c r="Q1297" s="55" t="s">
        <v>350</v>
      </c>
      <c r="R1297" s="55">
        <v>3</v>
      </c>
      <c r="S1297" s="55"/>
      <c r="T1297" s="55" t="s">
        <v>574</v>
      </c>
    </row>
    <row r="1298" spans="1:20" ht="13" x14ac:dyDescent="0.15">
      <c r="A1298" s="72" t="str">
        <f t="shared" si="20"/>
        <v>Ofsted Social Care Provider Webpage</v>
      </c>
      <c r="B1298" s="55">
        <v>2614070</v>
      </c>
      <c r="D1298" s="55" t="s">
        <v>389</v>
      </c>
      <c r="E1298" s="74">
        <v>44377</v>
      </c>
      <c r="F1298" s="55" t="s">
        <v>344</v>
      </c>
      <c r="G1298" s="55" t="s">
        <v>2002</v>
      </c>
      <c r="H1298" s="55" t="s">
        <v>2003</v>
      </c>
      <c r="I1298" s="55" t="s">
        <v>354</v>
      </c>
      <c r="J1298" s="55" t="s">
        <v>2004</v>
      </c>
      <c r="K1298" s="55" t="s">
        <v>183</v>
      </c>
      <c r="L1298" s="55" t="s">
        <v>2005</v>
      </c>
      <c r="M1298" s="55" t="s">
        <v>138</v>
      </c>
      <c r="N1298" s="55" t="s">
        <v>138</v>
      </c>
      <c r="O1298" s="55" t="s">
        <v>183</v>
      </c>
      <c r="P1298" s="55" t="s">
        <v>813</v>
      </c>
      <c r="Q1298" s="55" t="s">
        <v>350</v>
      </c>
      <c r="R1298" s="55"/>
      <c r="S1298" s="55"/>
      <c r="T1298" s="55" t="s">
        <v>2006</v>
      </c>
    </row>
    <row r="1299" spans="1:20" ht="13" x14ac:dyDescent="0.15">
      <c r="A1299" s="72" t="str">
        <f t="shared" si="20"/>
        <v>Ofsted Social Care Provider Webpage</v>
      </c>
      <c r="B1299" s="55">
        <v>2614095</v>
      </c>
      <c r="D1299" s="55" t="s">
        <v>373</v>
      </c>
      <c r="E1299" s="74">
        <v>44188</v>
      </c>
      <c r="F1299" s="55" t="s">
        <v>344</v>
      </c>
      <c r="G1299" s="55" t="s">
        <v>360</v>
      </c>
      <c r="H1299" s="55" t="s">
        <v>360</v>
      </c>
      <c r="I1299" s="55" t="s">
        <v>360</v>
      </c>
      <c r="J1299" s="55" t="s">
        <v>360</v>
      </c>
      <c r="K1299" s="55" t="s">
        <v>360</v>
      </c>
      <c r="L1299" s="55" t="s">
        <v>360</v>
      </c>
      <c r="M1299" s="55" t="s">
        <v>378</v>
      </c>
      <c r="N1299" s="55" t="s">
        <v>134</v>
      </c>
      <c r="O1299" s="55" t="s">
        <v>158</v>
      </c>
      <c r="P1299" s="55" t="s">
        <v>480</v>
      </c>
      <c r="Q1299" s="55" t="s">
        <v>350</v>
      </c>
      <c r="R1299" s="55">
        <v>1</v>
      </c>
      <c r="S1299" s="55"/>
      <c r="T1299" s="55" t="s">
        <v>493</v>
      </c>
    </row>
    <row r="1300" spans="1:20" ht="13" x14ac:dyDescent="0.15">
      <c r="A1300" s="72" t="str">
        <f t="shared" si="20"/>
        <v>Ofsted Social Care Provider Webpage</v>
      </c>
      <c r="B1300" s="55">
        <v>2614287</v>
      </c>
      <c r="D1300" s="55" t="s">
        <v>451</v>
      </c>
      <c r="E1300" s="74">
        <v>44475</v>
      </c>
      <c r="F1300" s="55" t="s">
        <v>344</v>
      </c>
      <c r="G1300" s="55" t="s">
        <v>2007</v>
      </c>
      <c r="H1300" s="55" t="s">
        <v>2008</v>
      </c>
      <c r="I1300" s="55" t="s">
        <v>354</v>
      </c>
      <c r="J1300" s="55" t="s">
        <v>278</v>
      </c>
      <c r="L1300" s="55" t="s">
        <v>2009</v>
      </c>
      <c r="M1300" s="55" t="s">
        <v>142</v>
      </c>
      <c r="N1300" s="55" t="s">
        <v>142</v>
      </c>
      <c r="O1300" s="55" t="s">
        <v>278</v>
      </c>
      <c r="P1300" s="55" t="s">
        <v>1126</v>
      </c>
      <c r="Q1300" s="55" t="s">
        <v>350</v>
      </c>
      <c r="R1300" s="55">
        <v>5</v>
      </c>
      <c r="S1300" s="55"/>
      <c r="T1300" s="55" t="s">
        <v>2010</v>
      </c>
    </row>
    <row r="1301" spans="1:20" ht="13" x14ac:dyDescent="0.15">
      <c r="A1301" s="72" t="str">
        <f t="shared" si="20"/>
        <v>Ofsted Social Care Provider Webpage</v>
      </c>
      <c r="B1301" s="55">
        <v>2614506</v>
      </c>
      <c r="D1301" s="55" t="s">
        <v>373</v>
      </c>
      <c r="E1301" s="74">
        <v>44253</v>
      </c>
      <c r="F1301" s="55" t="s">
        <v>344</v>
      </c>
      <c r="G1301" s="55" t="s">
        <v>360</v>
      </c>
      <c r="H1301" s="55" t="s">
        <v>360</v>
      </c>
      <c r="I1301" s="55" t="s">
        <v>360</v>
      </c>
      <c r="J1301" s="55" t="s">
        <v>360</v>
      </c>
      <c r="K1301" s="55" t="s">
        <v>360</v>
      </c>
      <c r="L1301" s="55" t="s">
        <v>360</v>
      </c>
      <c r="M1301" s="55" t="s">
        <v>144</v>
      </c>
      <c r="N1301" s="55" t="s">
        <v>144</v>
      </c>
      <c r="O1301" s="55" t="s">
        <v>209</v>
      </c>
      <c r="P1301" s="55" t="s">
        <v>777</v>
      </c>
      <c r="Q1301" s="55" t="s">
        <v>350</v>
      </c>
      <c r="R1301" s="55">
        <v>2</v>
      </c>
      <c r="S1301" s="55"/>
      <c r="T1301" s="55" t="s">
        <v>493</v>
      </c>
    </row>
    <row r="1302" spans="1:20" ht="13" x14ac:dyDescent="0.15">
      <c r="A1302" s="72" t="str">
        <f t="shared" si="20"/>
        <v>Ofsted Social Care Provider Webpage</v>
      </c>
      <c r="B1302" s="55">
        <v>2614508</v>
      </c>
      <c r="D1302" s="55" t="s">
        <v>373</v>
      </c>
      <c r="E1302" s="74">
        <v>44298</v>
      </c>
      <c r="F1302" s="55" t="s">
        <v>344</v>
      </c>
      <c r="G1302" s="55" t="s">
        <v>360</v>
      </c>
      <c r="H1302" s="55" t="s">
        <v>360</v>
      </c>
      <c r="I1302" s="55" t="s">
        <v>360</v>
      </c>
      <c r="J1302" s="55" t="s">
        <v>360</v>
      </c>
      <c r="K1302" s="55" t="s">
        <v>360</v>
      </c>
      <c r="L1302" s="55" t="s">
        <v>360</v>
      </c>
      <c r="M1302" s="55" t="s">
        <v>138</v>
      </c>
      <c r="N1302" s="55" t="s">
        <v>138</v>
      </c>
      <c r="O1302" s="55" t="s">
        <v>183</v>
      </c>
      <c r="P1302" s="55" t="s">
        <v>510</v>
      </c>
      <c r="Q1302" s="55" t="s">
        <v>350</v>
      </c>
      <c r="R1302" s="55">
        <v>2</v>
      </c>
      <c r="S1302" s="55"/>
      <c r="T1302" s="55" t="s">
        <v>2011</v>
      </c>
    </row>
    <row r="1303" spans="1:20" ht="13" x14ac:dyDescent="0.15">
      <c r="A1303" s="72" t="str">
        <f t="shared" si="20"/>
        <v>Ofsted Social Care Provider Webpage</v>
      </c>
      <c r="B1303" s="55">
        <v>2614511</v>
      </c>
      <c r="D1303" s="55" t="s">
        <v>373</v>
      </c>
      <c r="E1303" s="74">
        <v>44160</v>
      </c>
      <c r="F1303" s="55" t="s">
        <v>344</v>
      </c>
      <c r="G1303" s="55" t="s">
        <v>360</v>
      </c>
      <c r="H1303" s="55" t="s">
        <v>360</v>
      </c>
      <c r="I1303" s="55" t="s">
        <v>360</v>
      </c>
      <c r="J1303" s="55" t="s">
        <v>360</v>
      </c>
      <c r="K1303" s="55" t="s">
        <v>360</v>
      </c>
      <c r="L1303" s="55" t="s">
        <v>360</v>
      </c>
      <c r="M1303" s="55" t="s">
        <v>136</v>
      </c>
      <c r="N1303" s="55" t="s">
        <v>136</v>
      </c>
      <c r="O1303" s="55" t="s">
        <v>255</v>
      </c>
      <c r="P1303" s="55" t="s">
        <v>583</v>
      </c>
      <c r="Q1303" s="55" t="s">
        <v>350</v>
      </c>
      <c r="R1303" s="55">
        <v>4</v>
      </c>
      <c r="S1303" s="55"/>
      <c r="T1303" s="55" t="s">
        <v>385</v>
      </c>
    </row>
    <row r="1304" spans="1:20" ht="13" x14ac:dyDescent="0.15">
      <c r="A1304" s="72" t="str">
        <f t="shared" si="20"/>
        <v>Ofsted Social Care Provider Webpage</v>
      </c>
      <c r="B1304" s="55">
        <v>2614703</v>
      </c>
      <c r="D1304" s="55" t="s">
        <v>373</v>
      </c>
      <c r="E1304" s="74">
        <v>44207</v>
      </c>
      <c r="F1304" s="55" t="s">
        <v>344</v>
      </c>
      <c r="G1304" s="55" t="s">
        <v>360</v>
      </c>
      <c r="H1304" s="55" t="s">
        <v>360</v>
      </c>
      <c r="I1304" s="55" t="s">
        <v>360</v>
      </c>
      <c r="J1304" s="55" t="s">
        <v>360</v>
      </c>
      <c r="K1304" s="55" t="s">
        <v>360</v>
      </c>
      <c r="L1304" s="55" t="s">
        <v>360</v>
      </c>
      <c r="M1304" s="55" t="s">
        <v>144</v>
      </c>
      <c r="N1304" s="55" t="s">
        <v>144</v>
      </c>
      <c r="O1304" s="55" t="s">
        <v>209</v>
      </c>
      <c r="P1304" s="55" t="s">
        <v>597</v>
      </c>
      <c r="Q1304" s="55" t="s">
        <v>350</v>
      </c>
      <c r="R1304" s="55">
        <v>4</v>
      </c>
      <c r="S1304" s="55"/>
      <c r="T1304" s="55" t="s">
        <v>737</v>
      </c>
    </row>
    <row r="1305" spans="1:20" ht="13" x14ac:dyDescent="0.15">
      <c r="A1305" s="72" t="str">
        <f t="shared" si="20"/>
        <v>Ofsted Social Care Provider Webpage</v>
      </c>
      <c r="B1305" s="55">
        <v>2614738</v>
      </c>
      <c r="D1305" s="55" t="s">
        <v>373</v>
      </c>
      <c r="E1305" s="74">
        <v>44363</v>
      </c>
      <c r="F1305" s="55" t="s">
        <v>344</v>
      </c>
      <c r="G1305" s="55" t="s">
        <v>360</v>
      </c>
      <c r="H1305" s="55" t="s">
        <v>360</v>
      </c>
      <c r="I1305" s="55" t="s">
        <v>360</v>
      </c>
      <c r="J1305" s="55" t="s">
        <v>360</v>
      </c>
      <c r="K1305" s="55" t="s">
        <v>360</v>
      </c>
      <c r="L1305" s="55" t="s">
        <v>360</v>
      </c>
      <c r="M1305" s="55" t="s">
        <v>142</v>
      </c>
      <c r="N1305" s="55" t="s">
        <v>142</v>
      </c>
      <c r="O1305" s="55" t="s">
        <v>249</v>
      </c>
      <c r="P1305" s="55" t="s">
        <v>1318</v>
      </c>
      <c r="Q1305" s="55" t="s">
        <v>350</v>
      </c>
      <c r="R1305" s="55">
        <v>4</v>
      </c>
      <c r="S1305" s="55"/>
      <c r="T1305" s="55" t="s">
        <v>2012</v>
      </c>
    </row>
    <row r="1306" spans="1:20" ht="13" x14ac:dyDescent="0.15">
      <c r="A1306" s="72" t="str">
        <f t="shared" si="20"/>
        <v>Ofsted Social Care Provider Webpage</v>
      </c>
      <c r="B1306" s="55">
        <v>2614937</v>
      </c>
      <c r="D1306" s="55" t="s">
        <v>373</v>
      </c>
      <c r="E1306" s="74">
        <v>44251</v>
      </c>
      <c r="F1306" s="55" t="s">
        <v>344</v>
      </c>
      <c r="G1306" s="55" t="s">
        <v>360</v>
      </c>
      <c r="H1306" s="55" t="s">
        <v>360</v>
      </c>
      <c r="I1306" s="55" t="s">
        <v>360</v>
      </c>
      <c r="J1306" s="55" t="s">
        <v>360</v>
      </c>
      <c r="K1306" s="55" t="s">
        <v>360</v>
      </c>
      <c r="L1306" s="55" t="s">
        <v>360</v>
      </c>
      <c r="M1306" s="55" t="s">
        <v>150</v>
      </c>
      <c r="N1306" s="55" t="s">
        <v>150</v>
      </c>
      <c r="O1306" s="55" t="s">
        <v>237</v>
      </c>
      <c r="P1306" s="55" t="s">
        <v>869</v>
      </c>
      <c r="Q1306" s="55" t="s">
        <v>350</v>
      </c>
      <c r="R1306" s="55">
        <v>4</v>
      </c>
      <c r="S1306" s="55"/>
      <c r="T1306" s="55" t="s">
        <v>435</v>
      </c>
    </row>
    <row r="1307" spans="1:20" ht="13" x14ac:dyDescent="0.15">
      <c r="A1307" s="72" t="str">
        <f t="shared" si="20"/>
        <v>Ofsted Social Care Provider Webpage</v>
      </c>
      <c r="B1307" s="55">
        <v>2614999</v>
      </c>
      <c r="D1307" s="55" t="s">
        <v>373</v>
      </c>
      <c r="E1307" s="74">
        <v>44253</v>
      </c>
      <c r="F1307" s="55" t="s">
        <v>344</v>
      </c>
      <c r="G1307" s="55" t="s">
        <v>360</v>
      </c>
      <c r="H1307" s="55" t="s">
        <v>360</v>
      </c>
      <c r="I1307" s="55" t="s">
        <v>360</v>
      </c>
      <c r="J1307" s="55" t="s">
        <v>360</v>
      </c>
      <c r="K1307" s="55" t="s">
        <v>360</v>
      </c>
      <c r="L1307" s="55" t="s">
        <v>360</v>
      </c>
      <c r="M1307" s="55" t="s">
        <v>172</v>
      </c>
      <c r="N1307" s="55" t="s">
        <v>172</v>
      </c>
      <c r="O1307" s="55" t="s">
        <v>284</v>
      </c>
      <c r="P1307" s="55" t="s">
        <v>986</v>
      </c>
      <c r="Q1307" s="55" t="s">
        <v>350</v>
      </c>
      <c r="R1307" s="55">
        <v>3</v>
      </c>
      <c r="S1307" s="55"/>
      <c r="T1307" s="55" t="s">
        <v>2013</v>
      </c>
    </row>
    <row r="1308" spans="1:20" ht="13" x14ac:dyDescent="0.15">
      <c r="A1308" s="72" t="str">
        <f t="shared" si="20"/>
        <v>Ofsted Social Care Provider Webpage</v>
      </c>
      <c r="B1308" s="55">
        <v>2615005</v>
      </c>
      <c r="D1308" s="55" t="s">
        <v>373</v>
      </c>
      <c r="E1308" s="74">
        <v>44187</v>
      </c>
      <c r="F1308" s="55" t="s">
        <v>344</v>
      </c>
      <c r="G1308" s="55" t="s">
        <v>360</v>
      </c>
      <c r="H1308" s="55" t="s">
        <v>360</v>
      </c>
      <c r="I1308" s="55" t="s">
        <v>360</v>
      </c>
      <c r="J1308" s="55" t="s">
        <v>360</v>
      </c>
      <c r="K1308" s="55" t="s">
        <v>360</v>
      </c>
      <c r="L1308" s="55" t="s">
        <v>360</v>
      </c>
      <c r="M1308" s="55" t="s">
        <v>378</v>
      </c>
      <c r="N1308" s="55" t="s">
        <v>170</v>
      </c>
      <c r="O1308" s="55" t="s">
        <v>178</v>
      </c>
      <c r="P1308" s="55" t="s">
        <v>2014</v>
      </c>
      <c r="Q1308" s="55" t="s">
        <v>350</v>
      </c>
      <c r="R1308" s="55">
        <v>7</v>
      </c>
      <c r="S1308" s="55"/>
      <c r="T1308" s="55" t="s">
        <v>435</v>
      </c>
    </row>
    <row r="1309" spans="1:20" ht="13" x14ac:dyDescent="0.15">
      <c r="A1309" s="72" t="str">
        <f t="shared" si="20"/>
        <v>Ofsted Social Care Provider Webpage</v>
      </c>
      <c r="B1309" s="55">
        <v>2615067</v>
      </c>
      <c r="D1309" s="55" t="s">
        <v>373</v>
      </c>
      <c r="E1309" s="74">
        <v>44136</v>
      </c>
      <c r="F1309" s="55" t="s">
        <v>344</v>
      </c>
      <c r="G1309" s="55" t="s">
        <v>360</v>
      </c>
      <c r="H1309" s="55" t="s">
        <v>360</v>
      </c>
      <c r="I1309" s="55" t="s">
        <v>360</v>
      </c>
      <c r="J1309" s="55" t="s">
        <v>360</v>
      </c>
      <c r="K1309" s="55" t="s">
        <v>360</v>
      </c>
      <c r="L1309" s="55" t="s">
        <v>360</v>
      </c>
      <c r="M1309" s="55" t="s">
        <v>172</v>
      </c>
      <c r="N1309" s="55" t="s">
        <v>172</v>
      </c>
      <c r="O1309" s="55" t="s">
        <v>228</v>
      </c>
      <c r="P1309" s="55" t="s">
        <v>423</v>
      </c>
      <c r="Q1309" s="55" t="s">
        <v>362</v>
      </c>
      <c r="R1309" s="55">
        <v>5</v>
      </c>
      <c r="S1309" s="55"/>
      <c r="T1309" s="55" t="s">
        <v>1958</v>
      </c>
    </row>
    <row r="1310" spans="1:20" ht="13" x14ac:dyDescent="0.15">
      <c r="A1310" s="72" t="str">
        <f t="shared" si="20"/>
        <v>Ofsted Social Care Provider Webpage</v>
      </c>
      <c r="B1310" s="55">
        <v>2615326</v>
      </c>
      <c r="D1310" s="55" t="s">
        <v>373</v>
      </c>
      <c r="E1310" s="74">
        <v>44208</v>
      </c>
      <c r="F1310" s="55" t="s">
        <v>344</v>
      </c>
      <c r="G1310" s="55" t="s">
        <v>360</v>
      </c>
      <c r="H1310" s="55" t="s">
        <v>360</v>
      </c>
      <c r="I1310" s="55" t="s">
        <v>360</v>
      </c>
      <c r="J1310" s="55" t="s">
        <v>360</v>
      </c>
      <c r="K1310" s="55" t="s">
        <v>360</v>
      </c>
      <c r="L1310" s="55" t="s">
        <v>360</v>
      </c>
      <c r="M1310" s="55" t="s">
        <v>378</v>
      </c>
      <c r="N1310" s="55" t="s">
        <v>170</v>
      </c>
      <c r="O1310" s="55" t="s">
        <v>178</v>
      </c>
      <c r="P1310" s="55" t="s">
        <v>1374</v>
      </c>
      <c r="Q1310" s="55" t="s">
        <v>350</v>
      </c>
      <c r="R1310" s="55">
        <v>3</v>
      </c>
      <c r="S1310" s="55"/>
      <c r="T1310" s="55" t="s">
        <v>2015</v>
      </c>
    </row>
    <row r="1311" spans="1:20" ht="13" x14ac:dyDescent="0.15">
      <c r="A1311" s="72" t="str">
        <f t="shared" si="20"/>
        <v>Ofsted Social Care Provider Webpage</v>
      </c>
      <c r="B1311" s="55">
        <v>2615342</v>
      </c>
      <c r="D1311" s="55" t="s">
        <v>373</v>
      </c>
      <c r="E1311" s="74">
        <v>44181</v>
      </c>
      <c r="F1311" s="55" t="s">
        <v>344</v>
      </c>
      <c r="G1311" s="55" t="s">
        <v>360</v>
      </c>
      <c r="H1311" s="55" t="s">
        <v>360</v>
      </c>
      <c r="I1311" s="55" t="s">
        <v>360</v>
      </c>
      <c r="J1311" s="55" t="s">
        <v>360</v>
      </c>
      <c r="K1311" s="55" t="s">
        <v>360</v>
      </c>
      <c r="L1311" s="55" t="s">
        <v>360</v>
      </c>
      <c r="M1311" s="55" t="s">
        <v>142</v>
      </c>
      <c r="N1311" s="55" t="s">
        <v>142</v>
      </c>
      <c r="O1311" s="55" t="s">
        <v>282</v>
      </c>
      <c r="P1311" s="55" t="s">
        <v>355</v>
      </c>
      <c r="Q1311" s="55" t="s">
        <v>350</v>
      </c>
      <c r="R1311" s="55">
        <v>7</v>
      </c>
      <c r="S1311" s="55"/>
      <c r="T1311" s="55" t="s">
        <v>435</v>
      </c>
    </row>
    <row r="1312" spans="1:20" ht="13" x14ac:dyDescent="0.15">
      <c r="A1312" s="72" t="str">
        <f t="shared" si="20"/>
        <v>Ofsted Social Care Provider Webpage</v>
      </c>
      <c r="B1312" s="55">
        <v>2615395</v>
      </c>
      <c r="D1312" s="55" t="s">
        <v>373</v>
      </c>
      <c r="E1312" s="74">
        <v>44161</v>
      </c>
      <c r="F1312" s="55" t="s">
        <v>344</v>
      </c>
      <c r="G1312" s="55" t="s">
        <v>360</v>
      </c>
      <c r="H1312" s="55" t="s">
        <v>360</v>
      </c>
      <c r="I1312" s="55" t="s">
        <v>360</v>
      </c>
      <c r="J1312" s="55" t="s">
        <v>360</v>
      </c>
      <c r="K1312" s="55" t="s">
        <v>360</v>
      </c>
      <c r="L1312" s="55" t="s">
        <v>360</v>
      </c>
      <c r="M1312" s="55" t="s">
        <v>144</v>
      </c>
      <c r="N1312" s="55" t="s">
        <v>144</v>
      </c>
      <c r="O1312" s="55" t="s">
        <v>217</v>
      </c>
      <c r="P1312" s="55" t="s">
        <v>384</v>
      </c>
      <c r="Q1312" s="55" t="s">
        <v>350</v>
      </c>
      <c r="R1312" s="55">
        <v>2</v>
      </c>
      <c r="S1312" s="55"/>
      <c r="T1312" s="55" t="s">
        <v>2016</v>
      </c>
    </row>
    <row r="1313" spans="1:20" ht="13" x14ac:dyDescent="0.15">
      <c r="A1313" s="72" t="str">
        <f t="shared" si="20"/>
        <v>Ofsted Social Care Provider Webpage</v>
      </c>
      <c r="B1313" s="55">
        <v>2615433</v>
      </c>
      <c r="D1313" s="55" t="s">
        <v>389</v>
      </c>
      <c r="E1313" s="74">
        <v>44136</v>
      </c>
      <c r="F1313" s="55" t="s">
        <v>344</v>
      </c>
      <c r="G1313" s="55" t="s">
        <v>2017</v>
      </c>
      <c r="H1313" s="55" t="s">
        <v>1955</v>
      </c>
      <c r="I1313" s="55" t="s">
        <v>1956</v>
      </c>
      <c r="J1313" s="55" t="s">
        <v>1349</v>
      </c>
      <c r="K1313" s="55" t="s">
        <v>1350</v>
      </c>
      <c r="L1313" s="55" t="s">
        <v>1957</v>
      </c>
      <c r="M1313" s="55" t="s">
        <v>172</v>
      </c>
      <c r="N1313" s="55" t="s">
        <v>172</v>
      </c>
      <c r="O1313" s="55" t="s">
        <v>284</v>
      </c>
      <c r="P1313" s="55" t="s">
        <v>1475</v>
      </c>
      <c r="Q1313" s="55" t="s">
        <v>362</v>
      </c>
      <c r="R1313" s="55"/>
      <c r="S1313" s="55"/>
      <c r="T1313" s="55" t="s">
        <v>1958</v>
      </c>
    </row>
    <row r="1314" spans="1:20" ht="13" x14ac:dyDescent="0.15">
      <c r="A1314" s="72" t="str">
        <f t="shared" si="20"/>
        <v>Ofsted Social Care Provider Webpage</v>
      </c>
      <c r="B1314" s="55">
        <v>2615494</v>
      </c>
      <c r="D1314" s="55" t="s">
        <v>373</v>
      </c>
      <c r="E1314" s="74">
        <v>44167</v>
      </c>
      <c r="F1314" s="55" t="s">
        <v>344</v>
      </c>
      <c r="G1314" s="55" t="s">
        <v>360</v>
      </c>
      <c r="H1314" s="55" t="s">
        <v>360</v>
      </c>
      <c r="I1314" s="55" t="s">
        <v>360</v>
      </c>
      <c r="J1314" s="55" t="s">
        <v>360</v>
      </c>
      <c r="K1314" s="55" t="s">
        <v>360</v>
      </c>
      <c r="L1314" s="55" t="s">
        <v>360</v>
      </c>
      <c r="M1314" s="55" t="s">
        <v>172</v>
      </c>
      <c r="N1314" s="55" t="s">
        <v>172</v>
      </c>
      <c r="O1314" s="55" t="s">
        <v>212</v>
      </c>
      <c r="P1314" s="55" t="s">
        <v>592</v>
      </c>
      <c r="Q1314" s="55" t="s">
        <v>350</v>
      </c>
      <c r="R1314" s="55">
        <v>4</v>
      </c>
      <c r="S1314" s="55"/>
      <c r="T1314" s="55" t="s">
        <v>435</v>
      </c>
    </row>
    <row r="1315" spans="1:20" ht="13" x14ac:dyDescent="0.15">
      <c r="A1315" s="72" t="str">
        <f t="shared" si="20"/>
        <v>Ofsted Social Care Provider Webpage</v>
      </c>
      <c r="B1315" s="55">
        <v>2615940</v>
      </c>
      <c r="D1315" s="55" t="s">
        <v>389</v>
      </c>
      <c r="E1315" s="74">
        <v>44215</v>
      </c>
      <c r="F1315" s="55" t="s">
        <v>344</v>
      </c>
      <c r="G1315" s="55" t="s">
        <v>2018</v>
      </c>
      <c r="H1315" s="55" t="s">
        <v>2019</v>
      </c>
      <c r="I1315" s="55" t="s">
        <v>2020</v>
      </c>
      <c r="J1315" s="55" t="s">
        <v>1650</v>
      </c>
      <c r="L1315" s="55" t="s">
        <v>2021</v>
      </c>
      <c r="M1315" s="55" t="s">
        <v>129</v>
      </c>
      <c r="N1315" s="55" t="s">
        <v>129</v>
      </c>
      <c r="O1315" s="55" t="s">
        <v>242</v>
      </c>
      <c r="P1315" s="55" t="s">
        <v>1519</v>
      </c>
      <c r="Q1315" s="55" t="s">
        <v>350</v>
      </c>
      <c r="R1315" s="55"/>
      <c r="S1315" s="55"/>
      <c r="T1315" s="55" t="s">
        <v>2022</v>
      </c>
    </row>
    <row r="1316" spans="1:20" ht="13" x14ac:dyDescent="0.15">
      <c r="A1316" s="72" t="str">
        <f t="shared" si="20"/>
        <v>Ofsted Social Care Provider Webpage</v>
      </c>
      <c r="B1316" s="55">
        <v>2616251</v>
      </c>
      <c r="D1316" s="55" t="s">
        <v>389</v>
      </c>
      <c r="E1316" s="74">
        <v>44238</v>
      </c>
      <c r="F1316" s="55" t="s">
        <v>344</v>
      </c>
      <c r="G1316" s="55" t="s">
        <v>2023</v>
      </c>
      <c r="H1316" s="55" t="s">
        <v>2024</v>
      </c>
      <c r="I1316" s="55" t="s">
        <v>2025</v>
      </c>
      <c r="J1316" s="55" t="s">
        <v>581</v>
      </c>
      <c r="K1316" s="55" t="s">
        <v>255</v>
      </c>
      <c r="L1316" s="55" t="s">
        <v>2026</v>
      </c>
      <c r="M1316" s="55" t="s">
        <v>136</v>
      </c>
      <c r="N1316" s="55" t="s">
        <v>136</v>
      </c>
      <c r="O1316" s="55" t="s">
        <v>255</v>
      </c>
      <c r="P1316" s="55" t="s">
        <v>583</v>
      </c>
      <c r="Q1316" s="55" t="s">
        <v>350</v>
      </c>
      <c r="R1316" s="55"/>
      <c r="S1316" s="55"/>
      <c r="T1316" s="55" t="s">
        <v>2023</v>
      </c>
    </row>
    <row r="1317" spans="1:20" ht="13" x14ac:dyDescent="0.15">
      <c r="A1317" s="72" t="str">
        <f t="shared" si="20"/>
        <v>Ofsted Social Care Provider Webpage</v>
      </c>
      <c r="B1317" s="55">
        <v>2616383</v>
      </c>
      <c r="D1317" s="55" t="s">
        <v>373</v>
      </c>
      <c r="E1317" s="74">
        <v>44252</v>
      </c>
      <c r="F1317" s="55" t="s">
        <v>344</v>
      </c>
      <c r="G1317" s="55" t="s">
        <v>360</v>
      </c>
      <c r="H1317" s="55" t="s">
        <v>360</v>
      </c>
      <c r="I1317" s="55" t="s">
        <v>360</v>
      </c>
      <c r="J1317" s="55" t="s">
        <v>360</v>
      </c>
      <c r="K1317" s="55" t="s">
        <v>360</v>
      </c>
      <c r="L1317" s="55" t="s">
        <v>360</v>
      </c>
      <c r="M1317" s="55" t="s">
        <v>144</v>
      </c>
      <c r="N1317" s="55" t="s">
        <v>144</v>
      </c>
      <c r="O1317" s="55" t="s">
        <v>248</v>
      </c>
      <c r="P1317" s="55" t="s">
        <v>492</v>
      </c>
      <c r="Q1317" s="55" t="s">
        <v>350</v>
      </c>
      <c r="R1317" s="55">
        <v>2</v>
      </c>
      <c r="S1317" s="55"/>
      <c r="T1317" s="55" t="s">
        <v>1712</v>
      </c>
    </row>
    <row r="1318" spans="1:20" ht="13" x14ac:dyDescent="0.15">
      <c r="A1318" s="72" t="str">
        <f t="shared" si="20"/>
        <v>Ofsted Social Care Provider Webpage</v>
      </c>
      <c r="B1318" s="55">
        <v>2616605</v>
      </c>
      <c r="D1318" s="55" t="s">
        <v>373</v>
      </c>
      <c r="E1318" s="74">
        <v>44286</v>
      </c>
      <c r="F1318" s="55" t="s">
        <v>344</v>
      </c>
      <c r="G1318" s="55" t="s">
        <v>360</v>
      </c>
      <c r="H1318" s="55" t="s">
        <v>360</v>
      </c>
      <c r="I1318" s="55" t="s">
        <v>360</v>
      </c>
      <c r="J1318" s="55" t="s">
        <v>360</v>
      </c>
      <c r="K1318" s="55" t="s">
        <v>360</v>
      </c>
      <c r="L1318" s="55" t="s">
        <v>360</v>
      </c>
      <c r="M1318" s="55" t="s">
        <v>144</v>
      </c>
      <c r="N1318" s="55" t="s">
        <v>144</v>
      </c>
      <c r="O1318" s="55" t="s">
        <v>209</v>
      </c>
      <c r="P1318" s="55" t="s">
        <v>545</v>
      </c>
      <c r="Q1318" s="55" t="s">
        <v>350</v>
      </c>
      <c r="R1318" s="55">
        <v>6</v>
      </c>
      <c r="S1318" s="55"/>
      <c r="T1318" s="55" t="s">
        <v>574</v>
      </c>
    </row>
    <row r="1319" spans="1:20" ht="13" x14ac:dyDescent="0.15">
      <c r="A1319" s="72" t="str">
        <f t="shared" si="20"/>
        <v>Ofsted Social Care Provider Webpage</v>
      </c>
      <c r="B1319" s="55">
        <v>2616606</v>
      </c>
      <c r="D1319" s="55" t="s">
        <v>373</v>
      </c>
      <c r="E1319" s="74">
        <v>44224</v>
      </c>
      <c r="F1319" s="55" t="s">
        <v>344</v>
      </c>
      <c r="G1319" s="55" t="s">
        <v>360</v>
      </c>
      <c r="H1319" s="55" t="s">
        <v>360</v>
      </c>
      <c r="I1319" s="55" t="s">
        <v>360</v>
      </c>
      <c r="J1319" s="55" t="s">
        <v>360</v>
      </c>
      <c r="K1319" s="55" t="s">
        <v>360</v>
      </c>
      <c r="L1319" s="55" t="s">
        <v>360</v>
      </c>
      <c r="M1319" s="55" t="s">
        <v>144</v>
      </c>
      <c r="N1319" s="55" t="s">
        <v>144</v>
      </c>
      <c r="O1319" s="55" t="s">
        <v>209</v>
      </c>
      <c r="P1319" s="55" t="s">
        <v>474</v>
      </c>
      <c r="Q1319" s="55" t="s">
        <v>350</v>
      </c>
      <c r="R1319" s="55">
        <v>2</v>
      </c>
      <c r="S1319" s="55"/>
      <c r="T1319" s="55" t="s">
        <v>485</v>
      </c>
    </row>
    <row r="1320" spans="1:20" ht="13" x14ac:dyDescent="0.15">
      <c r="A1320" s="72" t="str">
        <f t="shared" si="20"/>
        <v>Ofsted Social Care Provider Webpage</v>
      </c>
      <c r="B1320" s="55">
        <v>2616670</v>
      </c>
      <c r="D1320" s="55" t="s">
        <v>373</v>
      </c>
      <c r="E1320" s="74">
        <v>44136</v>
      </c>
      <c r="F1320" s="55" t="s">
        <v>344</v>
      </c>
      <c r="G1320" s="55" t="s">
        <v>360</v>
      </c>
      <c r="H1320" s="55" t="s">
        <v>360</v>
      </c>
      <c r="I1320" s="55" t="s">
        <v>360</v>
      </c>
      <c r="J1320" s="55" t="s">
        <v>360</v>
      </c>
      <c r="K1320" s="55" t="s">
        <v>360</v>
      </c>
      <c r="L1320" s="55" t="s">
        <v>360</v>
      </c>
      <c r="M1320" s="55" t="s">
        <v>172</v>
      </c>
      <c r="N1320" s="55" t="s">
        <v>172</v>
      </c>
      <c r="O1320" s="55" t="s">
        <v>284</v>
      </c>
      <c r="P1320" s="55" t="s">
        <v>985</v>
      </c>
      <c r="Q1320" s="55" t="s">
        <v>362</v>
      </c>
      <c r="R1320" s="55">
        <v>5</v>
      </c>
      <c r="S1320" s="55"/>
      <c r="T1320" s="55" t="s">
        <v>1958</v>
      </c>
    </row>
    <row r="1321" spans="1:20" ht="13" x14ac:dyDescent="0.15">
      <c r="A1321" s="72" t="str">
        <f t="shared" si="20"/>
        <v>Ofsted Social Care Provider Webpage</v>
      </c>
      <c r="B1321" s="55">
        <v>2616704</v>
      </c>
      <c r="D1321" s="55" t="s">
        <v>373</v>
      </c>
      <c r="E1321" s="74">
        <v>44245</v>
      </c>
      <c r="F1321" s="55" t="s">
        <v>344</v>
      </c>
      <c r="G1321" s="55" t="s">
        <v>360</v>
      </c>
      <c r="H1321" s="55" t="s">
        <v>360</v>
      </c>
      <c r="I1321" s="55" t="s">
        <v>360</v>
      </c>
      <c r="J1321" s="55" t="s">
        <v>360</v>
      </c>
      <c r="K1321" s="55" t="s">
        <v>360</v>
      </c>
      <c r="L1321" s="55" t="s">
        <v>360</v>
      </c>
      <c r="M1321" s="55" t="s">
        <v>172</v>
      </c>
      <c r="N1321" s="55" t="s">
        <v>172</v>
      </c>
      <c r="O1321" s="55" t="s">
        <v>173</v>
      </c>
      <c r="P1321" s="55" t="s">
        <v>1258</v>
      </c>
      <c r="Q1321" s="55" t="s">
        <v>350</v>
      </c>
      <c r="R1321" s="55">
        <v>3</v>
      </c>
      <c r="S1321" s="55"/>
      <c r="T1321" s="55" t="s">
        <v>963</v>
      </c>
    </row>
    <row r="1322" spans="1:20" ht="13" x14ac:dyDescent="0.15">
      <c r="A1322" s="72" t="str">
        <f t="shared" si="20"/>
        <v>Ofsted Social Care Provider Webpage</v>
      </c>
      <c r="B1322" s="55">
        <v>2616741</v>
      </c>
      <c r="D1322" s="55" t="s">
        <v>373</v>
      </c>
      <c r="E1322" s="74">
        <v>44200</v>
      </c>
      <c r="F1322" s="55" t="s">
        <v>344</v>
      </c>
      <c r="G1322" s="55" t="s">
        <v>360</v>
      </c>
      <c r="H1322" s="55" t="s">
        <v>360</v>
      </c>
      <c r="I1322" s="55" t="s">
        <v>360</v>
      </c>
      <c r="J1322" s="55" t="s">
        <v>360</v>
      </c>
      <c r="K1322" s="55" t="s">
        <v>360</v>
      </c>
      <c r="L1322" s="55" t="s">
        <v>360</v>
      </c>
      <c r="M1322" s="55" t="s">
        <v>378</v>
      </c>
      <c r="N1322" s="55" t="s">
        <v>134</v>
      </c>
      <c r="O1322" s="55" t="s">
        <v>206</v>
      </c>
      <c r="P1322" s="55" t="s">
        <v>750</v>
      </c>
      <c r="Q1322" s="55" t="s">
        <v>350</v>
      </c>
      <c r="R1322" s="55">
        <v>1</v>
      </c>
      <c r="S1322" s="55"/>
      <c r="T1322" s="55" t="s">
        <v>385</v>
      </c>
    </row>
    <row r="1323" spans="1:20" ht="13" x14ac:dyDescent="0.15">
      <c r="A1323" s="72" t="str">
        <f t="shared" si="20"/>
        <v>Ofsted Social Care Provider Webpage</v>
      </c>
      <c r="B1323" s="55">
        <v>2616993</v>
      </c>
      <c r="D1323" s="55" t="s">
        <v>373</v>
      </c>
      <c r="E1323" s="74">
        <v>44544</v>
      </c>
      <c r="F1323" s="55" t="s">
        <v>344</v>
      </c>
      <c r="G1323" s="55" t="s">
        <v>360</v>
      </c>
      <c r="H1323" s="55" t="s">
        <v>360</v>
      </c>
      <c r="I1323" s="55" t="s">
        <v>360</v>
      </c>
      <c r="J1323" s="55" t="s">
        <v>360</v>
      </c>
      <c r="K1323" s="55" t="s">
        <v>360</v>
      </c>
      <c r="L1323" s="55" t="s">
        <v>360</v>
      </c>
      <c r="M1323" s="55" t="s">
        <v>138</v>
      </c>
      <c r="N1323" s="55" t="s">
        <v>138</v>
      </c>
      <c r="O1323" s="55" t="s">
        <v>183</v>
      </c>
      <c r="P1323" s="55" t="s">
        <v>730</v>
      </c>
      <c r="Q1323" s="55" t="s">
        <v>350</v>
      </c>
      <c r="R1323" s="55">
        <v>3</v>
      </c>
      <c r="S1323" s="55"/>
      <c r="T1323" s="55" t="s">
        <v>1533</v>
      </c>
    </row>
    <row r="1324" spans="1:20" ht="13" x14ac:dyDescent="0.15">
      <c r="A1324" s="72" t="str">
        <f t="shared" si="20"/>
        <v>Ofsted Social Care Provider Webpage</v>
      </c>
      <c r="B1324" s="55">
        <v>2617067</v>
      </c>
      <c r="D1324" s="55" t="s">
        <v>443</v>
      </c>
      <c r="E1324" s="74">
        <v>44217</v>
      </c>
      <c r="F1324" s="55" t="s">
        <v>344</v>
      </c>
      <c r="G1324" s="55" t="s">
        <v>2027</v>
      </c>
      <c r="H1324" s="55" t="s">
        <v>2028</v>
      </c>
      <c r="I1324" s="55" t="s">
        <v>2029</v>
      </c>
      <c r="J1324" s="55" t="s">
        <v>2030</v>
      </c>
      <c r="K1324" s="55" t="s">
        <v>174</v>
      </c>
      <c r="L1324" s="55" t="s">
        <v>2031</v>
      </c>
      <c r="M1324" s="55" t="s">
        <v>136</v>
      </c>
      <c r="N1324" s="55" t="s">
        <v>136</v>
      </c>
      <c r="O1324" s="55" t="s">
        <v>174</v>
      </c>
      <c r="P1324" s="55" t="s">
        <v>982</v>
      </c>
      <c r="Q1324" s="55" t="s">
        <v>350</v>
      </c>
      <c r="R1324" s="55"/>
      <c r="S1324" s="55"/>
      <c r="T1324" s="55" t="s">
        <v>2032</v>
      </c>
    </row>
    <row r="1325" spans="1:20" ht="13" x14ac:dyDescent="0.15">
      <c r="A1325" s="72" t="str">
        <f t="shared" si="20"/>
        <v>Ofsted Social Care Provider Webpage</v>
      </c>
      <c r="B1325" s="55">
        <v>2617199</v>
      </c>
      <c r="D1325" s="55" t="s">
        <v>373</v>
      </c>
      <c r="E1325" s="74">
        <v>44350</v>
      </c>
      <c r="F1325" s="55" t="s">
        <v>344</v>
      </c>
      <c r="G1325" s="55" t="s">
        <v>360</v>
      </c>
      <c r="H1325" s="55" t="s">
        <v>360</v>
      </c>
      <c r="I1325" s="55" t="s">
        <v>360</v>
      </c>
      <c r="J1325" s="55" t="s">
        <v>360</v>
      </c>
      <c r="K1325" s="55" t="s">
        <v>360</v>
      </c>
      <c r="L1325" s="55" t="s">
        <v>360</v>
      </c>
      <c r="M1325" s="55" t="s">
        <v>142</v>
      </c>
      <c r="N1325" s="55" t="s">
        <v>142</v>
      </c>
      <c r="O1325" s="55" t="s">
        <v>262</v>
      </c>
      <c r="P1325" s="55" t="s">
        <v>949</v>
      </c>
      <c r="Q1325" s="55" t="s">
        <v>350</v>
      </c>
      <c r="R1325" s="55">
        <v>3</v>
      </c>
      <c r="S1325" s="55"/>
      <c r="T1325" s="55" t="s">
        <v>1654</v>
      </c>
    </row>
    <row r="1326" spans="1:20" ht="13" x14ac:dyDescent="0.15">
      <c r="A1326" s="72" t="str">
        <f t="shared" si="20"/>
        <v>Ofsted Social Care Provider Webpage</v>
      </c>
      <c r="B1326" s="55">
        <v>2617303</v>
      </c>
      <c r="D1326" s="55" t="s">
        <v>373</v>
      </c>
      <c r="E1326" s="74">
        <v>44207</v>
      </c>
      <c r="F1326" s="55" t="s">
        <v>344</v>
      </c>
      <c r="G1326" s="55" t="s">
        <v>360</v>
      </c>
      <c r="H1326" s="55" t="s">
        <v>360</v>
      </c>
      <c r="I1326" s="55" t="s">
        <v>360</v>
      </c>
      <c r="J1326" s="55" t="s">
        <v>360</v>
      </c>
      <c r="K1326" s="55" t="s">
        <v>360</v>
      </c>
      <c r="L1326" s="55" t="s">
        <v>360</v>
      </c>
      <c r="M1326" s="55" t="s">
        <v>144</v>
      </c>
      <c r="N1326" s="55" t="s">
        <v>144</v>
      </c>
      <c r="O1326" s="55" t="s">
        <v>209</v>
      </c>
      <c r="P1326" s="55" t="s">
        <v>364</v>
      </c>
      <c r="Q1326" s="55" t="s">
        <v>350</v>
      </c>
      <c r="R1326" s="55">
        <v>2</v>
      </c>
      <c r="S1326" s="55"/>
      <c r="T1326" s="55" t="s">
        <v>1279</v>
      </c>
    </row>
    <row r="1327" spans="1:20" ht="13" x14ac:dyDescent="0.15">
      <c r="A1327" s="72" t="str">
        <f t="shared" si="20"/>
        <v>Ofsted Social Care Provider Webpage</v>
      </c>
      <c r="B1327" s="55">
        <v>2617499</v>
      </c>
      <c r="D1327" s="55" t="s">
        <v>373</v>
      </c>
      <c r="E1327" s="74">
        <v>44223</v>
      </c>
      <c r="F1327" s="55" t="s">
        <v>344</v>
      </c>
      <c r="G1327" s="55" t="s">
        <v>360</v>
      </c>
      <c r="H1327" s="55" t="s">
        <v>360</v>
      </c>
      <c r="I1327" s="55" t="s">
        <v>360</v>
      </c>
      <c r="J1327" s="55" t="s">
        <v>360</v>
      </c>
      <c r="K1327" s="55" t="s">
        <v>360</v>
      </c>
      <c r="L1327" s="55" t="s">
        <v>360</v>
      </c>
      <c r="M1327" s="55" t="s">
        <v>138</v>
      </c>
      <c r="N1327" s="55" t="s">
        <v>138</v>
      </c>
      <c r="O1327" s="55" t="s">
        <v>183</v>
      </c>
      <c r="P1327" s="55" t="s">
        <v>616</v>
      </c>
      <c r="Q1327" s="55" t="s">
        <v>350</v>
      </c>
      <c r="R1327" s="55">
        <v>5</v>
      </c>
      <c r="S1327" s="55"/>
      <c r="T1327" s="55" t="s">
        <v>577</v>
      </c>
    </row>
    <row r="1328" spans="1:20" ht="13" x14ac:dyDescent="0.15">
      <c r="A1328" s="72" t="str">
        <f t="shared" si="20"/>
        <v>Ofsted Social Care Provider Webpage</v>
      </c>
      <c r="B1328" s="55">
        <v>2617662</v>
      </c>
      <c r="D1328" s="55" t="s">
        <v>373</v>
      </c>
      <c r="E1328" s="74">
        <v>44280</v>
      </c>
      <c r="F1328" s="55" t="s">
        <v>344</v>
      </c>
      <c r="G1328" s="55" t="s">
        <v>360</v>
      </c>
      <c r="H1328" s="55" t="s">
        <v>360</v>
      </c>
      <c r="I1328" s="55" t="s">
        <v>360</v>
      </c>
      <c r="J1328" s="55" t="s">
        <v>360</v>
      </c>
      <c r="K1328" s="55" t="s">
        <v>360</v>
      </c>
      <c r="L1328" s="55" t="s">
        <v>360</v>
      </c>
      <c r="M1328" s="55" t="s">
        <v>144</v>
      </c>
      <c r="N1328" s="55" t="s">
        <v>144</v>
      </c>
      <c r="O1328" s="55" t="s">
        <v>168</v>
      </c>
      <c r="P1328" s="55" t="s">
        <v>913</v>
      </c>
      <c r="Q1328" s="55" t="s">
        <v>380</v>
      </c>
      <c r="R1328" s="55">
        <v>4</v>
      </c>
      <c r="S1328" s="55"/>
      <c r="T1328" s="55" t="s">
        <v>1432</v>
      </c>
    </row>
    <row r="1329" spans="1:20" ht="13" x14ac:dyDescent="0.15">
      <c r="A1329" s="72" t="str">
        <f t="shared" si="20"/>
        <v>Ofsted Social Care Provider Webpage</v>
      </c>
      <c r="B1329" s="55">
        <v>2617923</v>
      </c>
      <c r="D1329" s="55" t="s">
        <v>373</v>
      </c>
      <c r="E1329" s="74">
        <v>44286</v>
      </c>
      <c r="F1329" s="55" t="s">
        <v>344</v>
      </c>
      <c r="G1329" s="55" t="s">
        <v>360</v>
      </c>
      <c r="H1329" s="55" t="s">
        <v>360</v>
      </c>
      <c r="I1329" s="55" t="s">
        <v>360</v>
      </c>
      <c r="J1329" s="55" t="s">
        <v>360</v>
      </c>
      <c r="K1329" s="55" t="s">
        <v>360</v>
      </c>
      <c r="L1329" s="55" t="s">
        <v>360</v>
      </c>
      <c r="M1329" s="55" t="s">
        <v>136</v>
      </c>
      <c r="N1329" s="55" t="s">
        <v>136</v>
      </c>
      <c r="O1329" s="55" t="s">
        <v>165</v>
      </c>
      <c r="P1329" s="55" t="s">
        <v>748</v>
      </c>
      <c r="Q1329" s="55" t="s">
        <v>350</v>
      </c>
      <c r="R1329" s="55">
        <v>2</v>
      </c>
      <c r="S1329" s="55"/>
      <c r="T1329" s="55" t="s">
        <v>385</v>
      </c>
    </row>
    <row r="1330" spans="1:20" ht="13" x14ac:dyDescent="0.15">
      <c r="A1330" s="72" t="str">
        <f t="shared" si="20"/>
        <v>Ofsted Social Care Provider Webpage</v>
      </c>
      <c r="B1330" s="55">
        <v>2618445</v>
      </c>
      <c r="D1330" s="55" t="s">
        <v>373</v>
      </c>
      <c r="E1330" s="74">
        <v>44278</v>
      </c>
      <c r="F1330" s="55" t="s">
        <v>344</v>
      </c>
      <c r="G1330" s="55" t="s">
        <v>360</v>
      </c>
      <c r="H1330" s="55" t="s">
        <v>360</v>
      </c>
      <c r="I1330" s="55" t="s">
        <v>360</v>
      </c>
      <c r="J1330" s="55" t="s">
        <v>360</v>
      </c>
      <c r="K1330" s="55" t="s">
        <v>360</v>
      </c>
      <c r="L1330" s="55" t="s">
        <v>360</v>
      </c>
      <c r="M1330" s="55" t="s">
        <v>142</v>
      </c>
      <c r="N1330" s="55" t="s">
        <v>142</v>
      </c>
      <c r="O1330" s="55" t="s">
        <v>141</v>
      </c>
      <c r="P1330" s="55" t="s">
        <v>573</v>
      </c>
      <c r="Q1330" s="55" t="s">
        <v>350</v>
      </c>
      <c r="R1330" s="55">
        <v>3</v>
      </c>
      <c r="S1330" s="55"/>
      <c r="T1330" s="55" t="s">
        <v>2033</v>
      </c>
    </row>
    <row r="1331" spans="1:20" ht="13" x14ac:dyDescent="0.15">
      <c r="A1331" s="72" t="str">
        <f t="shared" si="20"/>
        <v>Ofsted Social Care Provider Webpage</v>
      </c>
      <c r="B1331" s="55">
        <v>2618526</v>
      </c>
      <c r="D1331" s="55" t="s">
        <v>389</v>
      </c>
      <c r="E1331" s="74">
        <v>44330</v>
      </c>
      <c r="F1331" s="55" t="s">
        <v>344</v>
      </c>
      <c r="G1331" s="55" t="s">
        <v>2034</v>
      </c>
      <c r="H1331" s="55" t="s">
        <v>2035</v>
      </c>
      <c r="I1331" s="55" t="s">
        <v>354</v>
      </c>
      <c r="J1331" s="55" t="s">
        <v>169</v>
      </c>
      <c r="L1331" s="55" t="s">
        <v>2036</v>
      </c>
      <c r="M1331" s="55" t="s">
        <v>378</v>
      </c>
      <c r="N1331" s="55" t="s">
        <v>170</v>
      </c>
      <c r="O1331" s="55" t="s">
        <v>169</v>
      </c>
      <c r="P1331" s="55" t="s">
        <v>169</v>
      </c>
      <c r="Q1331" s="55" t="s">
        <v>350</v>
      </c>
      <c r="R1331" s="55"/>
      <c r="S1331" s="55"/>
      <c r="T1331" s="55" t="s">
        <v>2034</v>
      </c>
    </row>
    <row r="1332" spans="1:20" ht="13" x14ac:dyDescent="0.15">
      <c r="A1332" s="72" t="str">
        <f t="shared" si="20"/>
        <v>Ofsted Social Care Provider Webpage</v>
      </c>
      <c r="B1332" s="55">
        <v>2618541</v>
      </c>
      <c r="D1332" s="55" t="s">
        <v>373</v>
      </c>
      <c r="E1332" s="74">
        <v>44242</v>
      </c>
      <c r="F1332" s="55" t="s">
        <v>344</v>
      </c>
      <c r="G1332" s="55" t="s">
        <v>360</v>
      </c>
      <c r="H1332" s="55" t="s">
        <v>360</v>
      </c>
      <c r="I1332" s="55" t="s">
        <v>360</v>
      </c>
      <c r="J1332" s="55" t="s">
        <v>360</v>
      </c>
      <c r="K1332" s="55" t="s">
        <v>360</v>
      </c>
      <c r="L1332" s="55" t="s">
        <v>360</v>
      </c>
      <c r="M1332" s="55" t="s">
        <v>144</v>
      </c>
      <c r="N1332" s="55" t="s">
        <v>144</v>
      </c>
      <c r="O1332" s="55" t="s">
        <v>209</v>
      </c>
      <c r="P1332" s="55" t="s">
        <v>534</v>
      </c>
      <c r="Q1332" s="55" t="s">
        <v>350</v>
      </c>
      <c r="R1332" s="55">
        <v>2</v>
      </c>
      <c r="S1332" s="55"/>
      <c r="T1332" s="55" t="s">
        <v>385</v>
      </c>
    </row>
    <row r="1333" spans="1:20" ht="13" x14ac:dyDescent="0.15">
      <c r="A1333" s="72" t="str">
        <f t="shared" si="20"/>
        <v>Ofsted Social Care Provider Webpage</v>
      </c>
      <c r="B1333" s="55">
        <v>2618553</v>
      </c>
      <c r="D1333" s="55" t="s">
        <v>373</v>
      </c>
      <c r="E1333" s="74">
        <v>44329</v>
      </c>
      <c r="F1333" s="55" t="s">
        <v>344</v>
      </c>
      <c r="G1333" s="55" t="s">
        <v>360</v>
      </c>
      <c r="H1333" s="55" t="s">
        <v>360</v>
      </c>
      <c r="I1333" s="55" t="s">
        <v>360</v>
      </c>
      <c r="J1333" s="55" t="s">
        <v>360</v>
      </c>
      <c r="K1333" s="55" t="s">
        <v>360</v>
      </c>
      <c r="L1333" s="55" t="s">
        <v>360</v>
      </c>
      <c r="M1333" s="55" t="s">
        <v>142</v>
      </c>
      <c r="N1333" s="55" t="s">
        <v>142</v>
      </c>
      <c r="O1333" s="55" t="s">
        <v>141</v>
      </c>
      <c r="P1333" s="55" t="s">
        <v>573</v>
      </c>
      <c r="Q1333" s="55" t="s">
        <v>350</v>
      </c>
      <c r="R1333" s="55">
        <v>1</v>
      </c>
      <c r="S1333" s="55"/>
      <c r="T1333" s="55" t="s">
        <v>2037</v>
      </c>
    </row>
    <row r="1334" spans="1:20" ht="13" x14ac:dyDescent="0.15">
      <c r="A1334" s="72" t="str">
        <f t="shared" si="20"/>
        <v>Ofsted Social Care Provider Webpage</v>
      </c>
      <c r="B1334" s="55">
        <v>2618702</v>
      </c>
      <c r="D1334" s="55" t="s">
        <v>389</v>
      </c>
      <c r="E1334" s="74">
        <v>44424</v>
      </c>
      <c r="F1334" s="55" t="s">
        <v>344</v>
      </c>
      <c r="G1334" s="55" t="s">
        <v>2038</v>
      </c>
      <c r="H1334" s="55" t="s">
        <v>2039</v>
      </c>
      <c r="I1334" s="55" t="s">
        <v>2040</v>
      </c>
      <c r="J1334" s="55" t="s">
        <v>2041</v>
      </c>
      <c r="K1334" s="55" t="s">
        <v>285</v>
      </c>
      <c r="L1334" s="55" t="s">
        <v>2042</v>
      </c>
      <c r="M1334" s="55" t="s">
        <v>150</v>
      </c>
      <c r="N1334" s="55" t="s">
        <v>150</v>
      </c>
      <c r="O1334" s="55" t="s">
        <v>285</v>
      </c>
      <c r="P1334" s="55" t="s">
        <v>575</v>
      </c>
      <c r="Q1334" s="55" t="s">
        <v>350</v>
      </c>
      <c r="R1334" s="55"/>
      <c r="S1334" s="55"/>
      <c r="T1334" s="55" t="s">
        <v>2043</v>
      </c>
    </row>
    <row r="1335" spans="1:20" ht="13" x14ac:dyDescent="0.15">
      <c r="A1335" s="72" t="str">
        <f t="shared" si="20"/>
        <v>Ofsted Social Care Provider Webpage</v>
      </c>
      <c r="B1335" s="55">
        <v>2618755</v>
      </c>
      <c r="D1335" s="55" t="s">
        <v>373</v>
      </c>
      <c r="E1335" s="74">
        <v>44293</v>
      </c>
      <c r="F1335" s="55" t="s">
        <v>344</v>
      </c>
      <c r="G1335" s="55" t="s">
        <v>360</v>
      </c>
      <c r="H1335" s="55" t="s">
        <v>360</v>
      </c>
      <c r="I1335" s="55" t="s">
        <v>360</v>
      </c>
      <c r="J1335" s="55" t="s">
        <v>360</v>
      </c>
      <c r="K1335" s="55" t="s">
        <v>360</v>
      </c>
      <c r="L1335" s="55" t="s">
        <v>360</v>
      </c>
      <c r="M1335" s="55" t="s">
        <v>142</v>
      </c>
      <c r="N1335" s="55" t="s">
        <v>142</v>
      </c>
      <c r="O1335" s="55" t="s">
        <v>141</v>
      </c>
      <c r="P1335" s="55" t="s">
        <v>1226</v>
      </c>
      <c r="Q1335" s="55" t="s">
        <v>350</v>
      </c>
      <c r="R1335" s="55">
        <v>3</v>
      </c>
      <c r="S1335" s="55"/>
      <c r="T1335" s="55" t="s">
        <v>2044</v>
      </c>
    </row>
    <row r="1336" spans="1:20" ht="13" x14ac:dyDescent="0.15">
      <c r="A1336" s="72" t="str">
        <f t="shared" si="20"/>
        <v>Ofsted Social Care Provider Webpage</v>
      </c>
      <c r="B1336" s="55">
        <v>2619057</v>
      </c>
      <c r="D1336" s="55" t="s">
        <v>373</v>
      </c>
      <c r="E1336" s="74">
        <v>44432</v>
      </c>
      <c r="F1336" s="55" t="s">
        <v>344</v>
      </c>
      <c r="G1336" s="55" t="s">
        <v>360</v>
      </c>
      <c r="H1336" s="55" t="s">
        <v>360</v>
      </c>
      <c r="I1336" s="55" t="s">
        <v>360</v>
      </c>
      <c r="J1336" s="55" t="s">
        <v>360</v>
      </c>
      <c r="K1336" s="55" t="s">
        <v>360</v>
      </c>
      <c r="L1336" s="55" t="s">
        <v>360</v>
      </c>
      <c r="M1336" s="55" t="s">
        <v>150</v>
      </c>
      <c r="N1336" s="55" t="s">
        <v>150</v>
      </c>
      <c r="O1336" s="55" t="s">
        <v>268</v>
      </c>
      <c r="P1336" s="55" t="s">
        <v>1943</v>
      </c>
      <c r="Q1336" s="55" t="s">
        <v>350</v>
      </c>
      <c r="R1336" s="55">
        <v>5</v>
      </c>
      <c r="S1336" s="55"/>
      <c r="T1336" s="55" t="s">
        <v>2045</v>
      </c>
    </row>
    <row r="1337" spans="1:20" ht="13" x14ac:dyDescent="0.15">
      <c r="A1337" s="72" t="str">
        <f t="shared" si="20"/>
        <v>Ofsted Social Care Provider Webpage</v>
      </c>
      <c r="B1337" s="55">
        <v>2619265</v>
      </c>
      <c r="D1337" s="55" t="s">
        <v>373</v>
      </c>
      <c r="E1337" s="74">
        <v>44236</v>
      </c>
      <c r="F1337" s="55" t="s">
        <v>344</v>
      </c>
      <c r="G1337" s="55" t="s">
        <v>360</v>
      </c>
      <c r="H1337" s="55" t="s">
        <v>360</v>
      </c>
      <c r="I1337" s="55" t="s">
        <v>360</v>
      </c>
      <c r="J1337" s="55" t="s">
        <v>360</v>
      </c>
      <c r="K1337" s="55" t="s">
        <v>360</v>
      </c>
      <c r="L1337" s="55" t="s">
        <v>360</v>
      </c>
      <c r="M1337" s="55" t="s">
        <v>144</v>
      </c>
      <c r="N1337" s="55" t="s">
        <v>144</v>
      </c>
      <c r="O1337" s="55" t="s">
        <v>209</v>
      </c>
      <c r="P1337" s="55" t="s">
        <v>544</v>
      </c>
      <c r="Q1337" s="55" t="s">
        <v>350</v>
      </c>
      <c r="R1337" s="55">
        <v>2</v>
      </c>
      <c r="S1337" s="55"/>
      <c r="T1337" s="55" t="s">
        <v>2046</v>
      </c>
    </row>
    <row r="1338" spans="1:20" ht="13" x14ac:dyDescent="0.15">
      <c r="A1338" s="72" t="str">
        <f t="shared" si="20"/>
        <v>Ofsted Social Care Provider Webpage</v>
      </c>
      <c r="B1338" s="55">
        <v>2619357</v>
      </c>
      <c r="D1338" s="55" t="s">
        <v>373</v>
      </c>
      <c r="E1338" s="74">
        <v>44230</v>
      </c>
      <c r="F1338" s="55" t="s">
        <v>344</v>
      </c>
      <c r="G1338" s="55" t="s">
        <v>360</v>
      </c>
      <c r="H1338" s="55" t="s">
        <v>360</v>
      </c>
      <c r="I1338" s="55" t="s">
        <v>360</v>
      </c>
      <c r="J1338" s="55" t="s">
        <v>360</v>
      </c>
      <c r="K1338" s="55" t="s">
        <v>360</v>
      </c>
      <c r="L1338" s="55" t="s">
        <v>360</v>
      </c>
      <c r="M1338" s="55" t="s">
        <v>136</v>
      </c>
      <c r="N1338" s="55" t="s">
        <v>136</v>
      </c>
      <c r="O1338" s="55" t="s">
        <v>174</v>
      </c>
      <c r="P1338" s="55" t="s">
        <v>857</v>
      </c>
      <c r="Q1338" s="55" t="s">
        <v>350</v>
      </c>
      <c r="R1338" s="55">
        <v>3</v>
      </c>
      <c r="S1338" s="55"/>
      <c r="T1338" s="55" t="s">
        <v>1295</v>
      </c>
    </row>
    <row r="1339" spans="1:20" ht="13" x14ac:dyDescent="0.15">
      <c r="A1339" s="72" t="str">
        <f t="shared" si="20"/>
        <v>Ofsted Social Care Provider Webpage</v>
      </c>
      <c r="B1339" s="55">
        <v>2620184</v>
      </c>
      <c r="D1339" s="55" t="s">
        <v>373</v>
      </c>
      <c r="E1339" s="74">
        <v>44421</v>
      </c>
      <c r="F1339" s="55" t="s">
        <v>344</v>
      </c>
      <c r="G1339" s="55" t="s">
        <v>360</v>
      </c>
      <c r="H1339" s="55" t="s">
        <v>360</v>
      </c>
      <c r="I1339" s="55" t="s">
        <v>360</v>
      </c>
      <c r="J1339" s="55" t="s">
        <v>360</v>
      </c>
      <c r="K1339" s="55" t="s">
        <v>360</v>
      </c>
      <c r="L1339" s="55" t="s">
        <v>360</v>
      </c>
      <c r="M1339" s="55" t="s">
        <v>142</v>
      </c>
      <c r="N1339" s="55" t="s">
        <v>142</v>
      </c>
      <c r="O1339" s="55" t="s">
        <v>249</v>
      </c>
      <c r="P1339" s="55" t="s">
        <v>1181</v>
      </c>
      <c r="Q1339" s="55" t="s">
        <v>350</v>
      </c>
      <c r="R1339" s="55">
        <v>3</v>
      </c>
      <c r="S1339" s="55"/>
      <c r="T1339" s="55" t="s">
        <v>1654</v>
      </c>
    </row>
    <row r="1340" spans="1:20" ht="13" x14ac:dyDescent="0.15">
      <c r="A1340" s="72" t="str">
        <f t="shared" si="20"/>
        <v>Ofsted Social Care Provider Webpage</v>
      </c>
      <c r="B1340" s="55">
        <v>2620222</v>
      </c>
      <c r="D1340" s="55" t="s">
        <v>373</v>
      </c>
      <c r="E1340" s="74">
        <v>44391</v>
      </c>
      <c r="F1340" s="55" t="s">
        <v>344</v>
      </c>
      <c r="G1340" s="55" t="s">
        <v>360</v>
      </c>
      <c r="H1340" s="55" t="s">
        <v>360</v>
      </c>
      <c r="I1340" s="55" t="s">
        <v>360</v>
      </c>
      <c r="J1340" s="55" t="s">
        <v>360</v>
      </c>
      <c r="K1340" s="55" t="s">
        <v>360</v>
      </c>
      <c r="L1340" s="55" t="s">
        <v>360</v>
      </c>
      <c r="M1340" s="55" t="s">
        <v>144</v>
      </c>
      <c r="N1340" s="55" t="s">
        <v>144</v>
      </c>
      <c r="O1340" s="55" t="s">
        <v>145</v>
      </c>
      <c r="P1340" s="55" t="s">
        <v>525</v>
      </c>
      <c r="Q1340" s="55" t="s">
        <v>350</v>
      </c>
      <c r="R1340" s="55">
        <v>2</v>
      </c>
      <c r="S1340" s="55"/>
      <c r="T1340" s="55" t="s">
        <v>485</v>
      </c>
    </row>
    <row r="1341" spans="1:20" ht="13" x14ac:dyDescent="0.15">
      <c r="A1341" s="72" t="str">
        <f t="shared" si="20"/>
        <v>Ofsted Social Care Provider Webpage</v>
      </c>
      <c r="B1341" s="55">
        <v>2620261</v>
      </c>
      <c r="D1341" s="55" t="s">
        <v>373</v>
      </c>
      <c r="E1341" s="74">
        <v>44239</v>
      </c>
      <c r="F1341" s="55" t="s">
        <v>344</v>
      </c>
      <c r="G1341" s="55" t="s">
        <v>360</v>
      </c>
      <c r="H1341" s="55" t="s">
        <v>360</v>
      </c>
      <c r="I1341" s="55" t="s">
        <v>360</v>
      </c>
      <c r="J1341" s="55" t="s">
        <v>360</v>
      </c>
      <c r="K1341" s="55" t="s">
        <v>360</v>
      </c>
      <c r="L1341" s="55" t="s">
        <v>360</v>
      </c>
      <c r="M1341" s="55" t="s">
        <v>136</v>
      </c>
      <c r="N1341" s="55" t="s">
        <v>136</v>
      </c>
      <c r="O1341" s="55" t="s">
        <v>176</v>
      </c>
      <c r="P1341" s="55" t="s">
        <v>436</v>
      </c>
      <c r="Q1341" s="55" t="s">
        <v>350</v>
      </c>
      <c r="R1341" s="55">
        <v>3</v>
      </c>
      <c r="S1341" s="55"/>
      <c r="T1341" s="55" t="s">
        <v>2047</v>
      </c>
    </row>
    <row r="1342" spans="1:20" ht="13" x14ac:dyDescent="0.15">
      <c r="A1342" s="72" t="str">
        <f t="shared" si="20"/>
        <v>Ofsted Social Care Provider Webpage</v>
      </c>
      <c r="B1342" s="55">
        <v>2620266</v>
      </c>
      <c r="D1342" s="55" t="s">
        <v>373</v>
      </c>
      <c r="E1342" s="74">
        <v>44278</v>
      </c>
      <c r="F1342" s="55" t="s">
        <v>344</v>
      </c>
      <c r="G1342" s="55" t="s">
        <v>360</v>
      </c>
      <c r="H1342" s="55" t="s">
        <v>360</v>
      </c>
      <c r="I1342" s="55" t="s">
        <v>360</v>
      </c>
      <c r="J1342" s="55" t="s">
        <v>360</v>
      </c>
      <c r="K1342" s="55" t="s">
        <v>360</v>
      </c>
      <c r="L1342" s="55" t="s">
        <v>360</v>
      </c>
      <c r="M1342" s="55" t="s">
        <v>144</v>
      </c>
      <c r="N1342" s="55" t="s">
        <v>144</v>
      </c>
      <c r="O1342" s="55" t="s">
        <v>209</v>
      </c>
      <c r="P1342" s="55" t="s">
        <v>474</v>
      </c>
      <c r="Q1342" s="55" t="s">
        <v>350</v>
      </c>
      <c r="R1342" s="55">
        <v>2</v>
      </c>
      <c r="S1342" s="55"/>
      <c r="T1342" s="55" t="s">
        <v>1643</v>
      </c>
    </row>
    <row r="1343" spans="1:20" ht="13" x14ac:dyDescent="0.15">
      <c r="A1343" s="72" t="str">
        <f t="shared" si="20"/>
        <v>Ofsted Social Care Provider Webpage</v>
      </c>
      <c r="B1343" s="55">
        <v>2620359</v>
      </c>
      <c r="D1343" s="55" t="s">
        <v>373</v>
      </c>
      <c r="E1343" s="74">
        <v>44253</v>
      </c>
      <c r="F1343" s="55" t="s">
        <v>344</v>
      </c>
      <c r="G1343" s="55" t="s">
        <v>360</v>
      </c>
      <c r="H1343" s="55" t="s">
        <v>360</v>
      </c>
      <c r="I1343" s="55" t="s">
        <v>360</v>
      </c>
      <c r="J1343" s="55" t="s">
        <v>360</v>
      </c>
      <c r="K1343" s="55" t="s">
        <v>360</v>
      </c>
      <c r="L1343" s="55" t="s">
        <v>360</v>
      </c>
      <c r="M1343" s="55" t="s">
        <v>144</v>
      </c>
      <c r="N1343" s="55" t="s">
        <v>144</v>
      </c>
      <c r="O1343" s="55" t="s">
        <v>215</v>
      </c>
      <c r="P1343" s="55" t="s">
        <v>1207</v>
      </c>
      <c r="Q1343" s="55" t="s">
        <v>350</v>
      </c>
      <c r="R1343" s="55">
        <v>1</v>
      </c>
      <c r="S1343" s="55"/>
      <c r="T1343" s="55" t="s">
        <v>1208</v>
      </c>
    </row>
    <row r="1344" spans="1:20" ht="13" x14ac:dyDescent="0.15">
      <c r="A1344" s="72" t="str">
        <f t="shared" si="20"/>
        <v>Ofsted Social Care Provider Webpage</v>
      </c>
      <c r="B1344" s="55">
        <v>2620366</v>
      </c>
      <c r="D1344" s="55" t="s">
        <v>373</v>
      </c>
      <c r="E1344" s="74">
        <v>44491</v>
      </c>
      <c r="F1344" s="55" t="s">
        <v>344</v>
      </c>
      <c r="G1344" s="55" t="s">
        <v>360</v>
      </c>
      <c r="H1344" s="55" t="s">
        <v>360</v>
      </c>
      <c r="I1344" s="55" t="s">
        <v>360</v>
      </c>
      <c r="J1344" s="55" t="s">
        <v>360</v>
      </c>
      <c r="K1344" s="55" t="s">
        <v>360</v>
      </c>
      <c r="L1344" s="55" t="s">
        <v>360</v>
      </c>
      <c r="M1344" s="55" t="s">
        <v>142</v>
      </c>
      <c r="N1344" s="55" t="s">
        <v>142</v>
      </c>
      <c r="O1344" s="55" t="s">
        <v>141</v>
      </c>
      <c r="P1344" s="55" t="s">
        <v>641</v>
      </c>
      <c r="Q1344" s="55" t="s">
        <v>350</v>
      </c>
      <c r="R1344" s="55">
        <v>1</v>
      </c>
      <c r="S1344" s="55"/>
      <c r="T1344" s="55" t="s">
        <v>385</v>
      </c>
    </row>
    <row r="1345" spans="1:20" ht="13" x14ac:dyDescent="0.15">
      <c r="A1345" s="72" t="str">
        <f t="shared" si="20"/>
        <v>Ofsted Social Care Provider Webpage</v>
      </c>
      <c r="B1345" s="55">
        <v>2620678</v>
      </c>
      <c r="D1345" s="55" t="s">
        <v>373</v>
      </c>
      <c r="E1345" s="74">
        <v>44299</v>
      </c>
      <c r="F1345" s="55" t="s">
        <v>344</v>
      </c>
      <c r="G1345" s="55" t="s">
        <v>360</v>
      </c>
      <c r="H1345" s="55" t="s">
        <v>360</v>
      </c>
      <c r="I1345" s="55" t="s">
        <v>360</v>
      </c>
      <c r="J1345" s="55" t="s">
        <v>360</v>
      </c>
      <c r="K1345" s="55" t="s">
        <v>360</v>
      </c>
      <c r="L1345" s="55" t="s">
        <v>360</v>
      </c>
      <c r="M1345" s="55" t="s">
        <v>142</v>
      </c>
      <c r="N1345" s="55" t="s">
        <v>142</v>
      </c>
      <c r="O1345" s="55" t="s">
        <v>252</v>
      </c>
      <c r="P1345" s="55" t="s">
        <v>503</v>
      </c>
      <c r="Q1345" s="55" t="s">
        <v>350</v>
      </c>
      <c r="R1345" s="55">
        <v>4</v>
      </c>
      <c r="S1345" s="55"/>
      <c r="T1345" s="55" t="s">
        <v>574</v>
      </c>
    </row>
    <row r="1346" spans="1:20" ht="13" x14ac:dyDescent="0.15">
      <c r="A1346" s="72" t="str">
        <f t="shared" si="20"/>
        <v>Ofsted Social Care Provider Webpage</v>
      </c>
      <c r="B1346" s="55">
        <v>2620698</v>
      </c>
      <c r="D1346" s="55" t="s">
        <v>373</v>
      </c>
      <c r="E1346" s="74">
        <v>44287</v>
      </c>
      <c r="F1346" s="55" t="s">
        <v>344</v>
      </c>
      <c r="G1346" s="55" t="s">
        <v>360</v>
      </c>
      <c r="H1346" s="55" t="s">
        <v>360</v>
      </c>
      <c r="I1346" s="55" t="s">
        <v>360</v>
      </c>
      <c r="J1346" s="55" t="s">
        <v>360</v>
      </c>
      <c r="K1346" s="55" t="s">
        <v>360</v>
      </c>
      <c r="L1346" s="55" t="s">
        <v>360</v>
      </c>
      <c r="M1346" s="55" t="s">
        <v>142</v>
      </c>
      <c r="N1346" s="55" t="s">
        <v>142</v>
      </c>
      <c r="O1346" s="55" t="s">
        <v>262</v>
      </c>
      <c r="P1346" s="55" t="s">
        <v>488</v>
      </c>
      <c r="Q1346" s="55" t="s">
        <v>350</v>
      </c>
      <c r="R1346" s="55">
        <v>4</v>
      </c>
      <c r="S1346" s="55"/>
      <c r="T1346" s="55" t="s">
        <v>642</v>
      </c>
    </row>
    <row r="1347" spans="1:20" ht="13" x14ac:dyDescent="0.15">
      <c r="A1347" s="72" t="str">
        <f t="shared" si="20"/>
        <v>Ofsted Social Care Provider Webpage</v>
      </c>
      <c r="B1347" s="55">
        <v>2620865</v>
      </c>
      <c r="D1347" s="55" t="s">
        <v>373</v>
      </c>
      <c r="E1347" s="74">
        <v>44180</v>
      </c>
      <c r="F1347" s="55" t="s">
        <v>344</v>
      </c>
      <c r="G1347" s="55" t="s">
        <v>360</v>
      </c>
      <c r="H1347" s="55" t="s">
        <v>360</v>
      </c>
      <c r="I1347" s="55" t="s">
        <v>360</v>
      </c>
      <c r="J1347" s="55" t="s">
        <v>360</v>
      </c>
      <c r="K1347" s="55" t="s">
        <v>360</v>
      </c>
      <c r="L1347" s="55" t="s">
        <v>360</v>
      </c>
      <c r="M1347" s="55" t="s">
        <v>144</v>
      </c>
      <c r="N1347" s="55" t="s">
        <v>144</v>
      </c>
      <c r="O1347" s="55" t="s">
        <v>281</v>
      </c>
      <c r="P1347" s="55" t="s">
        <v>725</v>
      </c>
      <c r="Q1347" s="55" t="s">
        <v>350</v>
      </c>
      <c r="R1347" s="55">
        <v>6</v>
      </c>
      <c r="S1347" s="55"/>
      <c r="T1347" s="55" t="s">
        <v>656</v>
      </c>
    </row>
    <row r="1348" spans="1:20" ht="13" x14ac:dyDescent="0.15">
      <c r="A1348" s="72" t="str">
        <f t="shared" si="20"/>
        <v>Ofsted Social Care Provider Webpage</v>
      </c>
      <c r="B1348" s="55">
        <v>2620950</v>
      </c>
      <c r="D1348" s="55" t="s">
        <v>373</v>
      </c>
      <c r="E1348" s="74">
        <v>44277</v>
      </c>
      <c r="F1348" s="55" t="s">
        <v>344</v>
      </c>
      <c r="G1348" s="55" t="s">
        <v>360</v>
      </c>
      <c r="H1348" s="55" t="s">
        <v>360</v>
      </c>
      <c r="I1348" s="55" t="s">
        <v>360</v>
      </c>
      <c r="J1348" s="55" t="s">
        <v>360</v>
      </c>
      <c r="K1348" s="55" t="s">
        <v>360</v>
      </c>
      <c r="L1348" s="55" t="s">
        <v>360</v>
      </c>
      <c r="M1348" s="55" t="s">
        <v>144</v>
      </c>
      <c r="N1348" s="55" t="s">
        <v>144</v>
      </c>
      <c r="O1348" s="55" t="s">
        <v>147</v>
      </c>
      <c r="P1348" s="55" t="s">
        <v>674</v>
      </c>
      <c r="Q1348" s="55" t="s">
        <v>350</v>
      </c>
      <c r="R1348" s="55">
        <v>2</v>
      </c>
      <c r="S1348" s="55"/>
      <c r="T1348" s="55" t="s">
        <v>385</v>
      </c>
    </row>
    <row r="1349" spans="1:20" ht="13" x14ac:dyDescent="0.15">
      <c r="A1349" s="72" t="str">
        <f t="shared" ref="A1349:A1412" si="21">HYPERLINK(_xlfn.CONCAT("http://reports.ofsted.gov.uk/inspection-reports/find-inspection-report/provider/CARE/",B1349),"Ofsted Social Care Provider Webpage")</f>
        <v>Ofsted Social Care Provider Webpage</v>
      </c>
      <c r="B1349" s="55">
        <v>2620992</v>
      </c>
      <c r="D1349" s="55" t="s">
        <v>373</v>
      </c>
      <c r="E1349" s="74">
        <v>44279</v>
      </c>
      <c r="F1349" s="55" t="s">
        <v>344</v>
      </c>
      <c r="G1349" s="55" t="s">
        <v>360</v>
      </c>
      <c r="H1349" s="55" t="s">
        <v>360</v>
      </c>
      <c r="I1349" s="55" t="s">
        <v>360</v>
      </c>
      <c r="J1349" s="55" t="s">
        <v>360</v>
      </c>
      <c r="K1349" s="55" t="s">
        <v>360</v>
      </c>
      <c r="L1349" s="55" t="s">
        <v>360</v>
      </c>
      <c r="M1349" s="55" t="s">
        <v>142</v>
      </c>
      <c r="N1349" s="55" t="s">
        <v>142</v>
      </c>
      <c r="O1349" s="55" t="s">
        <v>141</v>
      </c>
      <c r="P1349" s="55" t="s">
        <v>2048</v>
      </c>
      <c r="Q1349" s="55" t="s">
        <v>350</v>
      </c>
      <c r="R1349" s="55">
        <v>3</v>
      </c>
      <c r="S1349" s="55"/>
      <c r="T1349" s="55" t="s">
        <v>2049</v>
      </c>
    </row>
    <row r="1350" spans="1:20" ht="13" x14ac:dyDescent="0.15">
      <c r="A1350" s="72" t="str">
        <f t="shared" si="21"/>
        <v>Ofsted Social Care Provider Webpage</v>
      </c>
      <c r="B1350" s="55">
        <v>2621119</v>
      </c>
      <c r="D1350" s="55" t="s">
        <v>373</v>
      </c>
      <c r="E1350" s="74">
        <v>44309</v>
      </c>
      <c r="F1350" s="55" t="s">
        <v>344</v>
      </c>
      <c r="G1350" s="55" t="s">
        <v>360</v>
      </c>
      <c r="H1350" s="55" t="s">
        <v>360</v>
      </c>
      <c r="I1350" s="55" t="s">
        <v>360</v>
      </c>
      <c r="J1350" s="55" t="s">
        <v>360</v>
      </c>
      <c r="K1350" s="55" t="s">
        <v>360</v>
      </c>
      <c r="L1350" s="55" t="s">
        <v>360</v>
      </c>
      <c r="M1350" s="55" t="s">
        <v>144</v>
      </c>
      <c r="N1350" s="55" t="s">
        <v>144</v>
      </c>
      <c r="O1350" s="55" t="s">
        <v>287</v>
      </c>
      <c r="P1350" s="55" t="s">
        <v>815</v>
      </c>
      <c r="Q1350" s="55" t="s">
        <v>350</v>
      </c>
      <c r="R1350" s="55">
        <v>1</v>
      </c>
      <c r="S1350" s="55"/>
      <c r="T1350" s="55" t="s">
        <v>385</v>
      </c>
    </row>
    <row r="1351" spans="1:20" ht="13" x14ac:dyDescent="0.15">
      <c r="A1351" s="72" t="str">
        <f t="shared" si="21"/>
        <v>Ofsted Social Care Provider Webpage</v>
      </c>
      <c r="B1351" s="55">
        <v>2621193</v>
      </c>
      <c r="D1351" s="55" t="s">
        <v>373</v>
      </c>
      <c r="E1351" s="74">
        <v>44183</v>
      </c>
      <c r="F1351" s="55" t="s">
        <v>344</v>
      </c>
      <c r="G1351" s="55" t="s">
        <v>360</v>
      </c>
      <c r="H1351" s="55" t="s">
        <v>360</v>
      </c>
      <c r="I1351" s="55" t="s">
        <v>360</v>
      </c>
      <c r="J1351" s="55" t="s">
        <v>360</v>
      </c>
      <c r="K1351" s="55" t="s">
        <v>360</v>
      </c>
      <c r="L1351" s="55" t="s">
        <v>360</v>
      </c>
      <c r="M1351" s="55" t="s">
        <v>144</v>
      </c>
      <c r="N1351" s="55" t="s">
        <v>144</v>
      </c>
      <c r="O1351" s="55" t="s">
        <v>145</v>
      </c>
      <c r="P1351" s="55" t="s">
        <v>525</v>
      </c>
      <c r="Q1351" s="55" t="s">
        <v>350</v>
      </c>
      <c r="R1351" s="55">
        <v>2</v>
      </c>
      <c r="S1351" s="55"/>
      <c r="T1351" s="55" t="s">
        <v>2050</v>
      </c>
    </row>
    <row r="1352" spans="1:20" ht="13" x14ac:dyDescent="0.15">
      <c r="A1352" s="72" t="str">
        <f t="shared" si="21"/>
        <v>Ofsted Social Care Provider Webpage</v>
      </c>
      <c r="B1352" s="55">
        <v>2621215</v>
      </c>
      <c r="D1352" s="55" t="s">
        <v>373</v>
      </c>
      <c r="E1352" s="74">
        <v>44287</v>
      </c>
      <c r="F1352" s="55" t="s">
        <v>344</v>
      </c>
      <c r="G1352" s="55" t="s">
        <v>360</v>
      </c>
      <c r="H1352" s="55" t="s">
        <v>360</v>
      </c>
      <c r="I1352" s="55" t="s">
        <v>360</v>
      </c>
      <c r="J1352" s="55" t="s">
        <v>360</v>
      </c>
      <c r="K1352" s="55" t="s">
        <v>360</v>
      </c>
      <c r="L1352" s="55" t="s">
        <v>360</v>
      </c>
      <c r="M1352" s="55" t="s">
        <v>138</v>
      </c>
      <c r="N1352" s="55" t="s">
        <v>138</v>
      </c>
      <c r="O1352" s="55" t="s">
        <v>183</v>
      </c>
      <c r="P1352" s="55" t="s">
        <v>2051</v>
      </c>
      <c r="Q1352" s="55" t="s">
        <v>350</v>
      </c>
      <c r="R1352" s="55">
        <v>4</v>
      </c>
      <c r="S1352" s="55"/>
      <c r="T1352" s="55" t="s">
        <v>2052</v>
      </c>
    </row>
    <row r="1353" spans="1:20" ht="13" x14ac:dyDescent="0.15">
      <c r="A1353" s="72" t="str">
        <f t="shared" si="21"/>
        <v>Ofsted Social Care Provider Webpage</v>
      </c>
      <c r="B1353" s="55">
        <v>2621322</v>
      </c>
      <c r="D1353" s="55" t="s">
        <v>373</v>
      </c>
      <c r="E1353" s="74">
        <v>44377</v>
      </c>
      <c r="F1353" s="55" t="s">
        <v>344</v>
      </c>
      <c r="G1353" s="55" t="s">
        <v>360</v>
      </c>
      <c r="H1353" s="55" t="s">
        <v>360</v>
      </c>
      <c r="I1353" s="55" t="s">
        <v>360</v>
      </c>
      <c r="J1353" s="55" t="s">
        <v>360</v>
      </c>
      <c r="K1353" s="55" t="s">
        <v>360</v>
      </c>
      <c r="L1353" s="55" t="s">
        <v>360</v>
      </c>
      <c r="M1353" s="55" t="s">
        <v>172</v>
      </c>
      <c r="N1353" s="55" t="s">
        <v>172</v>
      </c>
      <c r="O1353" s="55" t="s">
        <v>235</v>
      </c>
      <c r="P1353" s="55" t="s">
        <v>855</v>
      </c>
      <c r="Q1353" s="55" t="s">
        <v>350</v>
      </c>
      <c r="R1353" s="55">
        <v>1</v>
      </c>
      <c r="S1353" s="55"/>
      <c r="T1353" s="55" t="s">
        <v>1830</v>
      </c>
    </row>
    <row r="1354" spans="1:20" ht="13" x14ac:dyDescent="0.15">
      <c r="A1354" s="72" t="str">
        <f t="shared" si="21"/>
        <v>Ofsted Social Care Provider Webpage</v>
      </c>
      <c r="B1354" s="55">
        <v>2621334</v>
      </c>
      <c r="D1354" s="55" t="s">
        <v>373</v>
      </c>
      <c r="E1354" s="74">
        <v>44302</v>
      </c>
      <c r="F1354" s="55" t="s">
        <v>344</v>
      </c>
      <c r="G1354" s="55" t="s">
        <v>360</v>
      </c>
      <c r="H1354" s="55" t="s">
        <v>360</v>
      </c>
      <c r="I1354" s="55" t="s">
        <v>360</v>
      </c>
      <c r="J1354" s="55" t="s">
        <v>360</v>
      </c>
      <c r="K1354" s="55" t="s">
        <v>360</v>
      </c>
      <c r="L1354" s="55" t="s">
        <v>360</v>
      </c>
      <c r="M1354" s="55" t="s">
        <v>144</v>
      </c>
      <c r="N1354" s="55" t="s">
        <v>144</v>
      </c>
      <c r="O1354" s="55" t="s">
        <v>281</v>
      </c>
      <c r="P1354" s="55" t="s">
        <v>725</v>
      </c>
      <c r="Q1354" s="55" t="s">
        <v>350</v>
      </c>
      <c r="R1354" s="55">
        <v>3</v>
      </c>
      <c r="S1354" s="55"/>
      <c r="T1354" s="55" t="s">
        <v>517</v>
      </c>
    </row>
    <row r="1355" spans="1:20" ht="13" x14ac:dyDescent="0.15">
      <c r="A1355" s="72" t="str">
        <f t="shared" si="21"/>
        <v>Ofsted Social Care Provider Webpage</v>
      </c>
      <c r="B1355" s="55">
        <v>2622077</v>
      </c>
      <c r="D1355" s="55" t="s">
        <v>373</v>
      </c>
      <c r="E1355" s="74">
        <v>44326</v>
      </c>
      <c r="F1355" s="55" t="s">
        <v>344</v>
      </c>
      <c r="G1355" s="55" t="s">
        <v>360</v>
      </c>
      <c r="H1355" s="55" t="s">
        <v>360</v>
      </c>
      <c r="I1355" s="55" t="s">
        <v>360</v>
      </c>
      <c r="J1355" s="55" t="s">
        <v>360</v>
      </c>
      <c r="K1355" s="55" t="s">
        <v>360</v>
      </c>
      <c r="L1355" s="55" t="s">
        <v>360</v>
      </c>
      <c r="M1355" s="55" t="s">
        <v>142</v>
      </c>
      <c r="N1355" s="55" t="s">
        <v>142</v>
      </c>
      <c r="O1355" s="55" t="s">
        <v>278</v>
      </c>
      <c r="P1355" s="55" t="s">
        <v>1126</v>
      </c>
      <c r="Q1355" s="55" t="s">
        <v>350</v>
      </c>
      <c r="R1355" s="55">
        <v>4</v>
      </c>
      <c r="S1355" s="55"/>
      <c r="T1355" s="55" t="s">
        <v>644</v>
      </c>
    </row>
    <row r="1356" spans="1:20" ht="13" x14ac:dyDescent="0.15">
      <c r="A1356" s="72" t="str">
        <f t="shared" si="21"/>
        <v>Ofsted Social Care Provider Webpage</v>
      </c>
      <c r="B1356" s="55">
        <v>2622281</v>
      </c>
      <c r="D1356" s="55" t="s">
        <v>373</v>
      </c>
      <c r="E1356" s="74">
        <v>44229</v>
      </c>
      <c r="F1356" s="55" t="s">
        <v>344</v>
      </c>
      <c r="G1356" s="55" t="s">
        <v>360</v>
      </c>
      <c r="H1356" s="55" t="s">
        <v>360</v>
      </c>
      <c r="I1356" s="55" t="s">
        <v>360</v>
      </c>
      <c r="J1356" s="55" t="s">
        <v>360</v>
      </c>
      <c r="K1356" s="55" t="s">
        <v>360</v>
      </c>
      <c r="L1356" s="55" t="s">
        <v>360</v>
      </c>
      <c r="M1356" s="55" t="s">
        <v>142</v>
      </c>
      <c r="N1356" s="55" t="s">
        <v>142</v>
      </c>
      <c r="O1356" s="55" t="s">
        <v>292</v>
      </c>
      <c r="P1356" s="55" t="s">
        <v>976</v>
      </c>
      <c r="Q1356" s="55" t="s">
        <v>350</v>
      </c>
      <c r="R1356" s="55">
        <v>3</v>
      </c>
      <c r="S1356" s="55"/>
      <c r="T1356" s="55" t="s">
        <v>1407</v>
      </c>
    </row>
    <row r="1357" spans="1:20" ht="13" x14ac:dyDescent="0.15">
      <c r="A1357" s="72" t="str">
        <f t="shared" si="21"/>
        <v>Ofsted Social Care Provider Webpage</v>
      </c>
      <c r="B1357" s="55">
        <v>2622480</v>
      </c>
      <c r="D1357" s="55" t="s">
        <v>373</v>
      </c>
      <c r="E1357" s="74">
        <v>44260</v>
      </c>
      <c r="F1357" s="55" t="s">
        <v>344</v>
      </c>
      <c r="G1357" s="55" t="s">
        <v>360</v>
      </c>
      <c r="H1357" s="55" t="s">
        <v>360</v>
      </c>
      <c r="I1357" s="55" t="s">
        <v>360</v>
      </c>
      <c r="J1357" s="55" t="s">
        <v>360</v>
      </c>
      <c r="K1357" s="55" t="s">
        <v>360</v>
      </c>
      <c r="L1357" s="55" t="s">
        <v>360</v>
      </c>
      <c r="M1357" s="55" t="s">
        <v>172</v>
      </c>
      <c r="N1357" s="55" t="s">
        <v>172</v>
      </c>
      <c r="O1357" s="55" t="s">
        <v>212</v>
      </c>
      <c r="P1357" s="55" t="s">
        <v>842</v>
      </c>
      <c r="Q1357" s="55" t="s">
        <v>350</v>
      </c>
      <c r="R1357" s="55">
        <v>3</v>
      </c>
      <c r="S1357" s="55"/>
      <c r="T1357" s="55" t="s">
        <v>2054</v>
      </c>
    </row>
    <row r="1358" spans="1:20" ht="13" x14ac:dyDescent="0.15">
      <c r="A1358" s="72" t="str">
        <f t="shared" si="21"/>
        <v>Ofsted Social Care Provider Webpage</v>
      </c>
      <c r="B1358" s="55">
        <v>2622917</v>
      </c>
      <c r="D1358" s="55" t="s">
        <v>451</v>
      </c>
      <c r="E1358" s="74">
        <v>44376</v>
      </c>
      <c r="F1358" s="55" t="s">
        <v>344</v>
      </c>
      <c r="G1358" s="55" t="s">
        <v>2055</v>
      </c>
      <c r="H1358" s="55" t="s">
        <v>2056</v>
      </c>
      <c r="I1358" s="55" t="s">
        <v>354</v>
      </c>
      <c r="J1358" s="55" t="s">
        <v>198</v>
      </c>
      <c r="K1358" s="55" t="s">
        <v>2057</v>
      </c>
      <c r="L1358" s="55" t="s">
        <v>2058</v>
      </c>
      <c r="M1358" s="55" t="s">
        <v>129</v>
      </c>
      <c r="N1358" s="55" t="s">
        <v>129</v>
      </c>
      <c r="O1358" s="55" t="s">
        <v>198</v>
      </c>
      <c r="P1358" s="55" t="s">
        <v>1287</v>
      </c>
      <c r="Q1358" s="55" t="s">
        <v>350</v>
      </c>
      <c r="R1358" s="55">
        <v>5</v>
      </c>
      <c r="S1358" s="55"/>
      <c r="T1358" s="55" t="s">
        <v>2059</v>
      </c>
    </row>
    <row r="1359" spans="1:20" ht="13" x14ac:dyDescent="0.15">
      <c r="A1359" s="72" t="str">
        <f t="shared" si="21"/>
        <v>Ofsted Social Care Provider Webpage</v>
      </c>
      <c r="B1359" s="55">
        <v>2622998</v>
      </c>
      <c r="D1359" s="55" t="s">
        <v>373</v>
      </c>
      <c r="E1359" s="74">
        <v>44221</v>
      </c>
      <c r="F1359" s="55" t="s">
        <v>344</v>
      </c>
      <c r="G1359" s="55" t="s">
        <v>360</v>
      </c>
      <c r="H1359" s="55" t="s">
        <v>360</v>
      </c>
      <c r="I1359" s="55" t="s">
        <v>360</v>
      </c>
      <c r="J1359" s="55" t="s">
        <v>360</v>
      </c>
      <c r="K1359" s="55" t="s">
        <v>360</v>
      </c>
      <c r="L1359" s="55" t="s">
        <v>360</v>
      </c>
      <c r="M1359" s="55" t="s">
        <v>138</v>
      </c>
      <c r="N1359" s="55" t="s">
        <v>138</v>
      </c>
      <c r="O1359" s="55" t="s">
        <v>137</v>
      </c>
      <c r="P1359" s="55" t="s">
        <v>822</v>
      </c>
      <c r="Q1359" s="55" t="s">
        <v>350</v>
      </c>
      <c r="R1359" s="55">
        <v>2</v>
      </c>
      <c r="S1359" s="55"/>
      <c r="T1359" s="55" t="s">
        <v>517</v>
      </c>
    </row>
    <row r="1360" spans="1:20" ht="13" x14ac:dyDescent="0.15">
      <c r="A1360" s="72" t="str">
        <f t="shared" si="21"/>
        <v>Ofsted Social Care Provider Webpage</v>
      </c>
      <c r="B1360" s="55">
        <v>2623004</v>
      </c>
      <c r="D1360" s="55" t="s">
        <v>373</v>
      </c>
      <c r="E1360" s="74">
        <v>44256</v>
      </c>
      <c r="F1360" s="55" t="s">
        <v>344</v>
      </c>
      <c r="G1360" s="55" t="s">
        <v>360</v>
      </c>
      <c r="H1360" s="55" t="s">
        <v>360</v>
      </c>
      <c r="I1360" s="55" t="s">
        <v>360</v>
      </c>
      <c r="J1360" s="55" t="s">
        <v>360</v>
      </c>
      <c r="K1360" s="55" t="s">
        <v>360</v>
      </c>
      <c r="L1360" s="55" t="s">
        <v>360</v>
      </c>
      <c r="M1360" s="55" t="s">
        <v>144</v>
      </c>
      <c r="N1360" s="55" t="s">
        <v>144</v>
      </c>
      <c r="O1360" s="55" t="s">
        <v>147</v>
      </c>
      <c r="P1360" s="55" t="s">
        <v>807</v>
      </c>
      <c r="Q1360" s="55" t="s">
        <v>350</v>
      </c>
      <c r="R1360" s="55">
        <v>1</v>
      </c>
      <c r="S1360" s="55"/>
      <c r="T1360" s="55" t="s">
        <v>385</v>
      </c>
    </row>
    <row r="1361" spans="1:20" ht="13" x14ac:dyDescent="0.15">
      <c r="A1361" s="72" t="str">
        <f t="shared" si="21"/>
        <v>Ofsted Social Care Provider Webpage</v>
      </c>
      <c r="B1361" s="55">
        <v>2623130</v>
      </c>
      <c r="D1361" s="55" t="s">
        <v>373</v>
      </c>
      <c r="E1361" s="74">
        <v>44187</v>
      </c>
      <c r="F1361" s="55" t="s">
        <v>344</v>
      </c>
      <c r="G1361" s="55" t="s">
        <v>360</v>
      </c>
      <c r="H1361" s="55" t="s">
        <v>360</v>
      </c>
      <c r="I1361" s="55" t="s">
        <v>360</v>
      </c>
      <c r="J1361" s="55" t="s">
        <v>360</v>
      </c>
      <c r="K1361" s="55" t="s">
        <v>360</v>
      </c>
      <c r="L1361" s="55" t="s">
        <v>360</v>
      </c>
      <c r="M1361" s="55" t="s">
        <v>136</v>
      </c>
      <c r="N1361" s="55" t="s">
        <v>136</v>
      </c>
      <c r="O1361" s="55" t="s">
        <v>176</v>
      </c>
      <c r="P1361" s="55" t="s">
        <v>2060</v>
      </c>
      <c r="Q1361" s="55" t="s">
        <v>350</v>
      </c>
      <c r="R1361" s="55">
        <v>3</v>
      </c>
      <c r="S1361" s="55"/>
      <c r="T1361" s="55" t="s">
        <v>892</v>
      </c>
    </row>
    <row r="1362" spans="1:20" ht="13" x14ac:dyDescent="0.15">
      <c r="A1362" s="72" t="str">
        <f t="shared" si="21"/>
        <v>Ofsted Social Care Provider Webpage</v>
      </c>
      <c r="B1362" s="55">
        <v>2623368</v>
      </c>
      <c r="D1362" s="55" t="s">
        <v>373</v>
      </c>
      <c r="E1362" s="74">
        <v>44246</v>
      </c>
      <c r="F1362" s="55" t="s">
        <v>344</v>
      </c>
      <c r="G1362" s="55" t="s">
        <v>360</v>
      </c>
      <c r="H1362" s="55" t="s">
        <v>360</v>
      </c>
      <c r="I1362" s="55" t="s">
        <v>360</v>
      </c>
      <c r="J1362" s="55" t="s">
        <v>360</v>
      </c>
      <c r="K1362" s="55" t="s">
        <v>360</v>
      </c>
      <c r="L1362" s="55" t="s">
        <v>360</v>
      </c>
      <c r="M1362" s="55" t="s">
        <v>136</v>
      </c>
      <c r="N1362" s="55" t="s">
        <v>136</v>
      </c>
      <c r="O1362" s="55" t="s">
        <v>255</v>
      </c>
      <c r="P1362" s="55" t="s">
        <v>757</v>
      </c>
      <c r="Q1362" s="55" t="s">
        <v>350</v>
      </c>
      <c r="R1362" s="55">
        <v>2</v>
      </c>
      <c r="S1362" s="55"/>
      <c r="T1362" s="55" t="s">
        <v>1359</v>
      </c>
    </row>
    <row r="1363" spans="1:20" ht="13" x14ac:dyDescent="0.15">
      <c r="A1363" s="72" t="str">
        <f t="shared" si="21"/>
        <v>Ofsted Social Care Provider Webpage</v>
      </c>
      <c r="B1363" s="55">
        <v>2623544</v>
      </c>
      <c r="D1363" s="55" t="s">
        <v>373</v>
      </c>
      <c r="E1363" s="74">
        <v>44281</v>
      </c>
      <c r="F1363" s="55" t="s">
        <v>344</v>
      </c>
      <c r="G1363" s="55" t="s">
        <v>360</v>
      </c>
      <c r="H1363" s="55" t="s">
        <v>360</v>
      </c>
      <c r="I1363" s="55" t="s">
        <v>360</v>
      </c>
      <c r="J1363" s="55" t="s">
        <v>360</v>
      </c>
      <c r="K1363" s="55" t="s">
        <v>360</v>
      </c>
      <c r="L1363" s="55" t="s">
        <v>360</v>
      </c>
      <c r="M1363" s="55" t="s">
        <v>150</v>
      </c>
      <c r="N1363" s="55" t="s">
        <v>150</v>
      </c>
      <c r="O1363" s="55" t="s">
        <v>190</v>
      </c>
      <c r="P1363" s="55" t="s">
        <v>500</v>
      </c>
      <c r="Q1363" s="55" t="s">
        <v>350</v>
      </c>
      <c r="R1363" s="55">
        <v>4</v>
      </c>
      <c r="S1363" s="55"/>
      <c r="T1363" s="55" t="s">
        <v>2061</v>
      </c>
    </row>
    <row r="1364" spans="1:20" ht="13" x14ac:dyDescent="0.15">
      <c r="A1364" s="72" t="str">
        <f t="shared" si="21"/>
        <v>Ofsted Social Care Provider Webpage</v>
      </c>
      <c r="B1364" s="55">
        <v>2623568</v>
      </c>
      <c r="D1364" s="55" t="s">
        <v>373</v>
      </c>
      <c r="E1364" s="74">
        <v>44302</v>
      </c>
      <c r="F1364" s="55" t="s">
        <v>344</v>
      </c>
      <c r="G1364" s="55" t="s">
        <v>360</v>
      </c>
      <c r="H1364" s="55" t="s">
        <v>360</v>
      </c>
      <c r="I1364" s="55" t="s">
        <v>360</v>
      </c>
      <c r="J1364" s="55" t="s">
        <v>360</v>
      </c>
      <c r="K1364" s="55" t="s">
        <v>360</v>
      </c>
      <c r="L1364" s="55" t="s">
        <v>360</v>
      </c>
      <c r="M1364" s="55" t="s">
        <v>142</v>
      </c>
      <c r="N1364" s="55" t="s">
        <v>142</v>
      </c>
      <c r="O1364" s="55" t="s">
        <v>262</v>
      </c>
      <c r="P1364" s="55" t="s">
        <v>949</v>
      </c>
      <c r="Q1364" s="55" t="s">
        <v>350</v>
      </c>
      <c r="R1364" s="55">
        <v>3</v>
      </c>
      <c r="S1364" s="55"/>
      <c r="T1364" s="55" t="s">
        <v>517</v>
      </c>
    </row>
    <row r="1365" spans="1:20" ht="13" x14ac:dyDescent="0.15">
      <c r="A1365" s="72" t="str">
        <f t="shared" si="21"/>
        <v>Ofsted Social Care Provider Webpage</v>
      </c>
      <c r="B1365" s="55">
        <v>2623790</v>
      </c>
      <c r="D1365" s="55" t="s">
        <v>373</v>
      </c>
      <c r="E1365" s="74">
        <v>44308</v>
      </c>
      <c r="F1365" s="55" t="s">
        <v>344</v>
      </c>
      <c r="G1365" s="55" t="s">
        <v>360</v>
      </c>
      <c r="H1365" s="55" t="s">
        <v>360</v>
      </c>
      <c r="I1365" s="55" t="s">
        <v>360</v>
      </c>
      <c r="J1365" s="55" t="s">
        <v>360</v>
      </c>
      <c r="K1365" s="55" t="s">
        <v>360</v>
      </c>
      <c r="L1365" s="55" t="s">
        <v>360</v>
      </c>
      <c r="M1365" s="55" t="s">
        <v>136</v>
      </c>
      <c r="N1365" s="55" t="s">
        <v>136</v>
      </c>
      <c r="O1365" s="55" t="s">
        <v>255</v>
      </c>
      <c r="P1365" s="55" t="s">
        <v>583</v>
      </c>
      <c r="Q1365" s="55" t="s">
        <v>350</v>
      </c>
      <c r="R1365" s="55">
        <v>4</v>
      </c>
      <c r="S1365" s="55"/>
      <c r="T1365" s="55" t="s">
        <v>2062</v>
      </c>
    </row>
    <row r="1366" spans="1:20" ht="13" x14ac:dyDescent="0.15">
      <c r="A1366" s="72" t="str">
        <f t="shared" si="21"/>
        <v>Ofsted Social Care Provider Webpage</v>
      </c>
      <c r="B1366" s="55">
        <v>2623791</v>
      </c>
      <c r="D1366" s="55" t="s">
        <v>373</v>
      </c>
      <c r="E1366" s="74">
        <v>44306</v>
      </c>
      <c r="F1366" s="55" t="s">
        <v>344</v>
      </c>
      <c r="G1366" s="55" t="s">
        <v>360</v>
      </c>
      <c r="H1366" s="55" t="s">
        <v>360</v>
      </c>
      <c r="I1366" s="55" t="s">
        <v>360</v>
      </c>
      <c r="J1366" s="55" t="s">
        <v>360</v>
      </c>
      <c r="K1366" s="55" t="s">
        <v>360</v>
      </c>
      <c r="L1366" s="55" t="s">
        <v>360</v>
      </c>
      <c r="M1366" s="55" t="s">
        <v>144</v>
      </c>
      <c r="N1366" s="55" t="s">
        <v>144</v>
      </c>
      <c r="O1366" s="55" t="s">
        <v>145</v>
      </c>
      <c r="P1366" s="55" t="s">
        <v>525</v>
      </c>
      <c r="Q1366" s="55" t="s">
        <v>350</v>
      </c>
      <c r="R1366" s="55">
        <v>1</v>
      </c>
      <c r="S1366" s="55"/>
      <c r="T1366" s="55" t="s">
        <v>1482</v>
      </c>
    </row>
    <row r="1367" spans="1:20" ht="13" x14ac:dyDescent="0.15">
      <c r="A1367" s="72" t="str">
        <f t="shared" si="21"/>
        <v>Ofsted Social Care Provider Webpage</v>
      </c>
      <c r="B1367" s="55">
        <v>2623841</v>
      </c>
      <c r="D1367" s="55" t="s">
        <v>389</v>
      </c>
      <c r="E1367" s="74">
        <v>44544</v>
      </c>
      <c r="F1367" s="55" t="s">
        <v>344</v>
      </c>
      <c r="G1367" s="55" t="s">
        <v>2063</v>
      </c>
      <c r="H1367" s="55" t="s">
        <v>2064</v>
      </c>
      <c r="I1367" s="55" t="s">
        <v>2065</v>
      </c>
      <c r="J1367" s="55" t="s">
        <v>2066</v>
      </c>
      <c r="L1367" s="55" t="s">
        <v>2067</v>
      </c>
      <c r="M1367" s="55" t="s">
        <v>150</v>
      </c>
      <c r="N1367" s="55" t="s">
        <v>150</v>
      </c>
      <c r="O1367" s="55" t="s">
        <v>181</v>
      </c>
      <c r="P1367" s="55" t="s">
        <v>2066</v>
      </c>
      <c r="Q1367" s="55" t="s">
        <v>350</v>
      </c>
      <c r="R1367" s="55"/>
      <c r="S1367" s="55"/>
      <c r="T1367" s="55" t="s">
        <v>627</v>
      </c>
    </row>
    <row r="1368" spans="1:20" ht="13" x14ac:dyDescent="0.15">
      <c r="A1368" s="72" t="str">
        <f t="shared" si="21"/>
        <v>Ofsted Social Care Provider Webpage</v>
      </c>
      <c r="B1368" s="55">
        <v>2623842</v>
      </c>
      <c r="D1368" s="55" t="s">
        <v>373</v>
      </c>
      <c r="E1368" s="74">
        <v>44258</v>
      </c>
      <c r="F1368" s="55" t="s">
        <v>344</v>
      </c>
      <c r="G1368" s="55" t="s">
        <v>360</v>
      </c>
      <c r="H1368" s="55" t="s">
        <v>360</v>
      </c>
      <c r="I1368" s="55" t="s">
        <v>360</v>
      </c>
      <c r="J1368" s="55" t="s">
        <v>360</v>
      </c>
      <c r="K1368" s="55" t="s">
        <v>360</v>
      </c>
      <c r="L1368" s="55" t="s">
        <v>360</v>
      </c>
      <c r="M1368" s="55" t="s">
        <v>378</v>
      </c>
      <c r="N1368" s="55" t="s">
        <v>170</v>
      </c>
      <c r="O1368" s="55" t="s">
        <v>222</v>
      </c>
      <c r="P1368" s="55" t="s">
        <v>521</v>
      </c>
      <c r="Q1368" s="55" t="s">
        <v>380</v>
      </c>
      <c r="R1368" s="55">
        <v>3</v>
      </c>
      <c r="S1368" s="55"/>
      <c r="T1368" s="55" t="s">
        <v>687</v>
      </c>
    </row>
    <row r="1369" spans="1:20" ht="13" x14ac:dyDescent="0.15">
      <c r="A1369" s="72" t="str">
        <f t="shared" si="21"/>
        <v>Ofsted Social Care Provider Webpage</v>
      </c>
      <c r="B1369" s="55">
        <v>2623947</v>
      </c>
      <c r="D1369" s="55" t="s">
        <v>373</v>
      </c>
      <c r="E1369" s="74">
        <v>44608</v>
      </c>
      <c r="F1369" s="55" t="s">
        <v>344</v>
      </c>
      <c r="G1369" s="55" t="s">
        <v>360</v>
      </c>
      <c r="H1369" s="55" t="s">
        <v>360</v>
      </c>
      <c r="I1369" s="55" t="s">
        <v>360</v>
      </c>
      <c r="J1369" s="55" t="s">
        <v>360</v>
      </c>
      <c r="K1369" s="55" t="s">
        <v>360</v>
      </c>
      <c r="L1369" s="55" t="s">
        <v>360</v>
      </c>
      <c r="M1369" s="55" t="s">
        <v>142</v>
      </c>
      <c r="N1369" s="55" t="s">
        <v>142</v>
      </c>
      <c r="O1369" s="55" t="s">
        <v>262</v>
      </c>
      <c r="P1369" s="55" t="s">
        <v>916</v>
      </c>
      <c r="Q1369" s="55" t="s">
        <v>350</v>
      </c>
      <c r="R1369" s="55">
        <v>3</v>
      </c>
      <c r="S1369" s="55"/>
      <c r="T1369" s="55" t="s">
        <v>489</v>
      </c>
    </row>
    <row r="1370" spans="1:20" ht="13" x14ac:dyDescent="0.15">
      <c r="A1370" s="72" t="str">
        <f t="shared" si="21"/>
        <v>Ofsted Social Care Provider Webpage</v>
      </c>
      <c r="B1370" s="55">
        <v>2623962</v>
      </c>
      <c r="D1370" s="55" t="s">
        <v>373</v>
      </c>
      <c r="E1370" s="74">
        <v>44256</v>
      </c>
      <c r="F1370" s="55" t="s">
        <v>344</v>
      </c>
      <c r="G1370" s="55" t="s">
        <v>360</v>
      </c>
      <c r="H1370" s="55" t="s">
        <v>360</v>
      </c>
      <c r="I1370" s="55" t="s">
        <v>360</v>
      </c>
      <c r="J1370" s="55" t="s">
        <v>360</v>
      </c>
      <c r="K1370" s="55" t="s">
        <v>360</v>
      </c>
      <c r="L1370" s="55" t="s">
        <v>360</v>
      </c>
      <c r="M1370" s="55" t="s">
        <v>378</v>
      </c>
      <c r="N1370" s="55" t="s">
        <v>170</v>
      </c>
      <c r="O1370" s="55" t="s">
        <v>178</v>
      </c>
      <c r="P1370" s="55" t="s">
        <v>905</v>
      </c>
      <c r="Q1370" s="55" t="s">
        <v>380</v>
      </c>
      <c r="R1370" s="55">
        <v>3</v>
      </c>
      <c r="S1370" s="55"/>
      <c r="T1370" s="55" t="s">
        <v>2068</v>
      </c>
    </row>
    <row r="1371" spans="1:20" ht="13" x14ac:dyDescent="0.15">
      <c r="A1371" s="72" t="str">
        <f t="shared" si="21"/>
        <v>Ofsted Social Care Provider Webpage</v>
      </c>
      <c r="B1371" s="55">
        <v>2624054</v>
      </c>
      <c r="D1371" s="55" t="s">
        <v>373</v>
      </c>
      <c r="E1371" s="74">
        <v>44281</v>
      </c>
      <c r="F1371" s="55" t="s">
        <v>344</v>
      </c>
      <c r="G1371" s="55" t="s">
        <v>360</v>
      </c>
      <c r="H1371" s="55" t="s">
        <v>360</v>
      </c>
      <c r="I1371" s="55" t="s">
        <v>360</v>
      </c>
      <c r="J1371" s="55" t="s">
        <v>360</v>
      </c>
      <c r="K1371" s="55" t="s">
        <v>360</v>
      </c>
      <c r="L1371" s="55" t="s">
        <v>360</v>
      </c>
      <c r="M1371" s="55" t="s">
        <v>150</v>
      </c>
      <c r="N1371" s="55" t="s">
        <v>150</v>
      </c>
      <c r="O1371" s="55" t="s">
        <v>221</v>
      </c>
      <c r="P1371" s="55" t="s">
        <v>349</v>
      </c>
      <c r="Q1371" s="55" t="s">
        <v>350</v>
      </c>
      <c r="R1371" s="55">
        <v>3</v>
      </c>
      <c r="S1371" s="55"/>
      <c r="T1371" s="55" t="s">
        <v>517</v>
      </c>
    </row>
    <row r="1372" spans="1:20" ht="13" x14ac:dyDescent="0.15">
      <c r="A1372" s="72" t="str">
        <f t="shared" si="21"/>
        <v>Ofsted Social Care Provider Webpage</v>
      </c>
      <c r="B1372" s="55">
        <v>2624063</v>
      </c>
      <c r="D1372" s="55" t="s">
        <v>373</v>
      </c>
      <c r="E1372" s="74">
        <v>44305</v>
      </c>
      <c r="F1372" s="55" t="s">
        <v>344</v>
      </c>
      <c r="G1372" s="55" t="s">
        <v>360</v>
      </c>
      <c r="H1372" s="55" t="s">
        <v>360</v>
      </c>
      <c r="I1372" s="55" t="s">
        <v>360</v>
      </c>
      <c r="J1372" s="55" t="s">
        <v>360</v>
      </c>
      <c r="K1372" s="55" t="s">
        <v>360</v>
      </c>
      <c r="L1372" s="55" t="s">
        <v>360</v>
      </c>
      <c r="M1372" s="55" t="s">
        <v>378</v>
      </c>
      <c r="N1372" s="55" t="s">
        <v>134</v>
      </c>
      <c r="O1372" s="55" t="s">
        <v>180</v>
      </c>
      <c r="P1372" s="55" t="s">
        <v>662</v>
      </c>
      <c r="Q1372" s="55" t="s">
        <v>362</v>
      </c>
      <c r="R1372" s="55">
        <v>4</v>
      </c>
      <c r="S1372" s="55"/>
      <c r="T1372" s="55" t="s">
        <v>458</v>
      </c>
    </row>
    <row r="1373" spans="1:20" ht="13" x14ac:dyDescent="0.15">
      <c r="A1373" s="72" t="str">
        <f t="shared" si="21"/>
        <v>Ofsted Social Care Provider Webpage</v>
      </c>
      <c r="B1373" s="55">
        <v>2624155</v>
      </c>
      <c r="D1373" s="55" t="s">
        <v>373</v>
      </c>
      <c r="E1373" s="74">
        <v>44489</v>
      </c>
      <c r="F1373" s="55" t="s">
        <v>344</v>
      </c>
      <c r="G1373" s="55" t="s">
        <v>360</v>
      </c>
      <c r="H1373" s="55" t="s">
        <v>360</v>
      </c>
      <c r="I1373" s="55" t="s">
        <v>360</v>
      </c>
      <c r="J1373" s="55" t="s">
        <v>360</v>
      </c>
      <c r="K1373" s="55" t="s">
        <v>360</v>
      </c>
      <c r="L1373" s="55" t="s">
        <v>360</v>
      </c>
      <c r="M1373" s="55" t="s">
        <v>142</v>
      </c>
      <c r="N1373" s="55" t="s">
        <v>142</v>
      </c>
      <c r="O1373" s="55" t="s">
        <v>292</v>
      </c>
      <c r="P1373" s="55" t="s">
        <v>1052</v>
      </c>
      <c r="Q1373" s="55" t="s">
        <v>350</v>
      </c>
      <c r="R1373" s="55">
        <v>3</v>
      </c>
      <c r="S1373" s="55"/>
      <c r="T1373" s="55" t="s">
        <v>2069</v>
      </c>
    </row>
    <row r="1374" spans="1:20" ht="13" x14ac:dyDescent="0.15">
      <c r="A1374" s="72" t="str">
        <f t="shared" si="21"/>
        <v>Ofsted Social Care Provider Webpage</v>
      </c>
      <c r="B1374" s="55">
        <v>2624222</v>
      </c>
      <c r="D1374" s="55" t="s">
        <v>373</v>
      </c>
      <c r="E1374" s="74">
        <v>44400</v>
      </c>
      <c r="F1374" s="55" t="s">
        <v>344</v>
      </c>
      <c r="G1374" s="55" t="s">
        <v>360</v>
      </c>
      <c r="H1374" s="55" t="s">
        <v>360</v>
      </c>
      <c r="I1374" s="55" t="s">
        <v>360</v>
      </c>
      <c r="J1374" s="55" t="s">
        <v>360</v>
      </c>
      <c r="K1374" s="55" t="s">
        <v>360</v>
      </c>
      <c r="L1374" s="55" t="s">
        <v>360</v>
      </c>
      <c r="M1374" s="55" t="s">
        <v>150</v>
      </c>
      <c r="N1374" s="55" t="s">
        <v>150</v>
      </c>
      <c r="O1374" s="55" t="s">
        <v>203</v>
      </c>
      <c r="P1374" s="55" t="s">
        <v>593</v>
      </c>
      <c r="Q1374" s="55" t="s">
        <v>350</v>
      </c>
      <c r="R1374" s="55">
        <v>5</v>
      </c>
      <c r="S1374" s="55"/>
      <c r="T1374" s="55" t="s">
        <v>2070</v>
      </c>
    </row>
    <row r="1375" spans="1:20" ht="13" x14ac:dyDescent="0.15">
      <c r="A1375" s="72" t="str">
        <f t="shared" si="21"/>
        <v>Ofsted Social Care Provider Webpage</v>
      </c>
      <c r="B1375" s="55">
        <v>2624223</v>
      </c>
      <c r="D1375" s="55" t="s">
        <v>373</v>
      </c>
      <c r="E1375" s="74">
        <v>44259</v>
      </c>
      <c r="F1375" s="55" t="s">
        <v>344</v>
      </c>
      <c r="G1375" s="55" t="s">
        <v>360</v>
      </c>
      <c r="H1375" s="55" t="s">
        <v>360</v>
      </c>
      <c r="I1375" s="55" t="s">
        <v>360</v>
      </c>
      <c r="J1375" s="55" t="s">
        <v>360</v>
      </c>
      <c r="K1375" s="55" t="s">
        <v>360</v>
      </c>
      <c r="L1375" s="55" t="s">
        <v>360</v>
      </c>
      <c r="M1375" s="55" t="s">
        <v>378</v>
      </c>
      <c r="N1375" s="55" t="s">
        <v>170</v>
      </c>
      <c r="O1375" s="55" t="s">
        <v>193</v>
      </c>
      <c r="P1375" s="55" t="s">
        <v>193</v>
      </c>
      <c r="Q1375" s="55" t="s">
        <v>350</v>
      </c>
      <c r="R1375" s="55">
        <v>9</v>
      </c>
      <c r="S1375" s="55"/>
      <c r="T1375" s="55" t="s">
        <v>2071</v>
      </c>
    </row>
    <row r="1376" spans="1:20" ht="13" x14ac:dyDescent="0.15">
      <c r="A1376" s="72" t="str">
        <f t="shared" si="21"/>
        <v>Ofsted Social Care Provider Webpage</v>
      </c>
      <c r="B1376" s="55">
        <v>2624251</v>
      </c>
      <c r="D1376" s="55" t="s">
        <v>373</v>
      </c>
      <c r="E1376" s="74">
        <v>44267</v>
      </c>
      <c r="F1376" s="55" t="s">
        <v>344</v>
      </c>
      <c r="G1376" s="55" t="s">
        <v>360</v>
      </c>
      <c r="H1376" s="55" t="s">
        <v>360</v>
      </c>
      <c r="I1376" s="55" t="s">
        <v>360</v>
      </c>
      <c r="J1376" s="55" t="s">
        <v>360</v>
      </c>
      <c r="K1376" s="55" t="s">
        <v>360</v>
      </c>
      <c r="L1376" s="55" t="s">
        <v>360</v>
      </c>
      <c r="M1376" s="55" t="s">
        <v>378</v>
      </c>
      <c r="N1376" s="55" t="s">
        <v>170</v>
      </c>
      <c r="O1376" s="55" t="s">
        <v>178</v>
      </c>
      <c r="P1376" s="55" t="s">
        <v>434</v>
      </c>
      <c r="Q1376" s="55" t="s">
        <v>380</v>
      </c>
      <c r="R1376" s="55">
        <v>3</v>
      </c>
      <c r="S1376" s="55"/>
      <c r="T1376" s="55" t="s">
        <v>2068</v>
      </c>
    </row>
    <row r="1377" spans="1:20" ht="13" x14ac:dyDescent="0.15">
      <c r="A1377" s="72" t="str">
        <f t="shared" si="21"/>
        <v>Ofsted Social Care Provider Webpage</v>
      </c>
      <c r="B1377" s="55">
        <v>2624457</v>
      </c>
      <c r="D1377" s="55" t="s">
        <v>373</v>
      </c>
      <c r="E1377" s="74">
        <v>44229</v>
      </c>
      <c r="F1377" s="55" t="s">
        <v>344</v>
      </c>
      <c r="G1377" s="55" t="s">
        <v>360</v>
      </c>
      <c r="H1377" s="55" t="s">
        <v>360</v>
      </c>
      <c r="I1377" s="55" t="s">
        <v>360</v>
      </c>
      <c r="J1377" s="55" t="s">
        <v>360</v>
      </c>
      <c r="K1377" s="55" t="s">
        <v>360</v>
      </c>
      <c r="L1377" s="55" t="s">
        <v>360</v>
      </c>
      <c r="M1377" s="55" t="s">
        <v>142</v>
      </c>
      <c r="N1377" s="55" t="s">
        <v>142</v>
      </c>
      <c r="O1377" s="55" t="s">
        <v>262</v>
      </c>
      <c r="P1377" s="55" t="s">
        <v>916</v>
      </c>
      <c r="Q1377" s="55" t="s">
        <v>350</v>
      </c>
      <c r="R1377" s="55">
        <v>3</v>
      </c>
      <c r="S1377" s="55"/>
      <c r="T1377" s="55" t="s">
        <v>2072</v>
      </c>
    </row>
    <row r="1378" spans="1:20" ht="13" x14ac:dyDescent="0.15">
      <c r="A1378" s="72" t="str">
        <f t="shared" si="21"/>
        <v>Ofsted Social Care Provider Webpage</v>
      </c>
      <c r="B1378" s="55">
        <v>2624657</v>
      </c>
      <c r="D1378" s="55" t="s">
        <v>373</v>
      </c>
      <c r="E1378" s="74">
        <v>44265</v>
      </c>
      <c r="F1378" s="55" t="s">
        <v>344</v>
      </c>
      <c r="G1378" s="55" t="s">
        <v>360</v>
      </c>
      <c r="H1378" s="55" t="s">
        <v>360</v>
      </c>
      <c r="I1378" s="55" t="s">
        <v>360</v>
      </c>
      <c r="J1378" s="55" t="s">
        <v>360</v>
      </c>
      <c r="K1378" s="55" t="s">
        <v>360</v>
      </c>
      <c r="L1378" s="55" t="s">
        <v>360</v>
      </c>
      <c r="M1378" s="55" t="s">
        <v>144</v>
      </c>
      <c r="N1378" s="55" t="s">
        <v>144</v>
      </c>
      <c r="O1378" s="55" t="s">
        <v>261</v>
      </c>
      <c r="P1378" s="55" t="s">
        <v>792</v>
      </c>
      <c r="Q1378" s="55" t="s">
        <v>350</v>
      </c>
      <c r="R1378" s="55">
        <v>1</v>
      </c>
      <c r="S1378" s="55"/>
      <c r="T1378" s="55" t="s">
        <v>385</v>
      </c>
    </row>
    <row r="1379" spans="1:20" ht="13" x14ac:dyDescent="0.15">
      <c r="A1379" s="72" t="str">
        <f t="shared" si="21"/>
        <v>Ofsted Social Care Provider Webpage</v>
      </c>
      <c r="B1379" s="55">
        <v>2624711</v>
      </c>
      <c r="D1379" s="55" t="s">
        <v>373</v>
      </c>
      <c r="E1379" s="74">
        <v>44252</v>
      </c>
      <c r="F1379" s="55" t="s">
        <v>344</v>
      </c>
      <c r="G1379" s="55" t="s">
        <v>360</v>
      </c>
      <c r="H1379" s="55" t="s">
        <v>360</v>
      </c>
      <c r="I1379" s="55" t="s">
        <v>360</v>
      </c>
      <c r="J1379" s="55" t="s">
        <v>360</v>
      </c>
      <c r="K1379" s="55" t="s">
        <v>360</v>
      </c>
      <c r="L1379" s="55" t="s">
        <v>360</v>
      </c>
      <c r="M1379" s="55" t="s">
        <v>144</v>
      </c>
      <c r="N1379" s="55" t="s">
        <v>144</v>
      </c>
      <c r="O1379" s="55" t="s">
        <v>261</v>
      </c>
      <c r="P1379" s="55" t="s">
        <v>512</v>
      </c>
      <c r="Q1379" s="55" t="s">
        <v>350</v>
      </c>
      <c r="R1379" s="55">
        <v>1</v>
      </c>
      <c r="S1379" s="55"/>
      <c r="T1379" s="55" t="s">
        <v>385</v>
      </c>
    </row>
    <row r="1380" spans="1:20" ht="13" x14ac:dyDescent="0.15">
      <c r="A1380" s="72" t="str">
        <f t="shared" si="21"/>
        <v>Ofsted Social Care Provider Webpage</v>
      </c>
      <c r="B1380" s="55">
        <v>2624723</v>
      </c>
      <c r="D1380" s="55" t="s">
        <v>373</v>
      </c>
      <c r="E1380" s="74">
        <v>44263</v>
      </c>
      <c r="F1380" s="55" t="s">
        <v>344</v>
      </c>
      <c r="G1380" s="55" t="s">
        <v>360</v>
      </c>
      <c r="H1380" s="55" t="s">
        <v>360</v>
      </c>
      <c r="I1380" s="55" t="s">
        <v>360</v>
      </c>
      <c r="J1380" s="55" t="s">
        <v>360</v>
      </c>
      <c r="K1380" s="55" t="s">
        <v>360</v>
      </c>
      <c r="L1380" s="55" t="s">
        <v>360</v>
      </c>
      <c r="M1380" s="55" t="s">
        <v>136</v>
      </c>
      <c r="N1380" s="55" t="s">
        <v>136</v>
      </c>
      <c r="O1380" s="55" t="s">
        <v>176</v>
      </c>
      <c r="P1380" s="55" t="s">
        <v>2073</v>
      </c>
      <c r="Q1380" s="55" t="s">
        <v>380</v>
      </c>
      <c r="R1380" s="55">
        <v>1</v>
      </c>
      <c r="S1380" s="55"/>
      <c r="T1380" s="55" t="s">
        <v>2074</v>
      </c>
    </row>
    <row r="1381" spans="1:20" ht="13" x14ac:dyDescent="0.15">
      <c r="A1381" s="72" t="str">
        <f t="shared" si="21"/>
        <v>Ofsted Social Care Provider Webpage</v>
      </c>
      <c r="B1381" s="55">
        <v>2624784</v>
      </c>
      <c r="D1381" s="55" t="s">
        <v>373</v>
      </c>
      <c r="E1381" s="74">
        <v>44312</v>
      </c>
      <c r="F1381" s="55" t="s">
        <v>344</v>
      </c>
      <c r="G1381" s="55" t="s">
        <v>360</v>
      </c>
      <c r="H1381" s="55" t="s">
        <v>360</v>
      </c>
      <c r="I1381" s="55" t="s">
        <v>360</v>
      </c>
      <c r="J1381" s="55" t="s">
        <v>360</v>
      </c>
      <c r="K1381" s="55" t="s">
        <v>360</v>
      </c>
      <c r="L1381" s="55" t="s">
        <v>360</v>
      </c>
      <c r="M1381" s="55" t="s">
        <v>129</v>
      </c>
      <c r="N1381" s="55" t="s">
        <v>129</v>
      </c>
      <c r="O1381" s="55" t="s">
        <v>179</v>
      </c>
      <c r="P1381" s="55" t="s">
        <v>1584</v>
      </c>
      <c r="Q1381" s="55" t="s">
        <v>350</v>
      </c>
      <c r="R1381" s="55">
        <v>4</v>
      </c>
      <c r="S1381" s="55"/>
      <c r="T1381" s="55" t="s">
        <v>2075</v>
      </c>
    </row>
    <row r="1382" spans="1:20" ht="13" x14ac:dyDescent="0.15">
      <c r="A1382" s="72" t="str">
        <f t="shared" si="21"/>
        <v>Ofsted Social Care Provider Webpage</v>
      </c>
      <c r="B1382" s="55">
        <v>2624855</v>
      </c>
      <c r="D1382" s="55" t="s">
        <v>373</v>
      </c>
      <c r="E1382" s="74">
        <v>44420</v>
      </c>
      <c r="F1382" s="55" t="s">
        <v>344</v>
      </c>
      <c r="G1382" s="55" t="s">
        <v>360</v>
      </c>
      <c r="H1382" s="55" t="s">
        <v>360</v>
      </c>
      <c r="I1382" s="55" t="s">
        <v>360</v>
      </c>
      <c r="J1382" s="55" t="s">
        <v>360</v>
      </c>
      <c r="K1382" s="55" t="s">
        <v>360</v>
      </c>
      <c r="L1382" s="55" t="s">
        <v>360</v>
      </c>
      <c r="M1382" s="55" t="s">
        <v>129</v>
      </c>
      <c r="N1382" s="55" t="s">
        <v>129</v>
      </c>
      <c r="O1382" s="55" t="s">
        <v>167</v>
      </c>
      <c r="P1382" s="55" t="s">
        <v>553</v>
      </c>
      <c r="Q1382" s="55" t="s">
        <v>350</v>
      </c>
      <c r="R1382" s="55">
        <v>5</v>
      </c>
      <c r="S1382" s="55"/>
      <c r="T1382" s="55" t="s">
        <v>2076</v>
      </c>
    </row>
    <row r="1383" spans="1:20" ht="13" x14ac:dyDescent="0.15">
      <c r="A1383" s="72" t="str">
        <f t="shared" si="21"/>
        <v>Ofsted Social Care Provider Webpage</v>
      </c>
      <c r="B1383" s="55">
        <v>2624934</v>
      </c>
      <c r="D1383" s="55" t="s">
        <v>373</v>
      </c>
      <c r="E1383" s="74">
        <v>44328</v>
      </c>
      <c r="F1383" s="55" t="s">
        <v>344</v>
      </c>
      <c r="G1383" s="55" t="s">
        <v>360</v>
      </c>
      <c r="H1383" s="55" t="s">
        <v>360</v>
      </c>
      <c r="I1383" s="55" t="s">
        <v>360</v>
      </c>
      <c r="J1383" s="55" t="s">
        <v>360</v>
      </c>
      <c r="K1383" s="55" t="s">
        <v>360</v>
      </c>
      <c r="L1383" s="55" t="s">
        <v>360</v>
      </c>
      <c r="M1383" s="55" t="s">
        <v>172</v>
      </c>
      <c r="N1383" s="55" t="s">
        <v>172</v>
      </c>
      <c r="O1383" s="55" t="s">
        <v>173</v>
      </c>
      <c r="P1383" s="55" t="s">
        <v>860</v>
      </c>
      <c r="Q1383" s="55" t="s">
        <v>350</v>
      </c>
      <c r="R1383" s="55">
        <v>7</v>
      </c>
      <c r="S1383" s="55"/>
      <c r="T1383" s="55" t="s">
        <v>2077</v>
      </c>
    </row>
    <row r="1384" spans="1:20" ht="13" x14ac:dyDescent="0.15">
      <c r="A1384" s="72" t="str">
        <f t="shared" si="21"/>
        <v>Ofsted Social Care Provider Webpage</v>
      </c>
      <c r="B1384" s="55">
        <v>2625170</v>
      </c>
      <c r="D1384" s="55" t="s">
        <v>373</v>
      </c>
      <c r="E1384" s="74">
        <v>44321</v>
      </c>
      <c r="F1384" s="55" t="s">
        <v>344</v>
      </c>
      <c r="G1384" s="55" t="s">
        <v>360</v>
      </c>
      <c r="H1384" s="55" t="s">
        <v>360</v>
      </c>
      <c r="I1384" s="55" t="s">
        <v>360</v>
      </c>
      <c r="J1384" s="55" t="s">
        <v>360</v>
      </c>
      <c r="K1384" s="55" t="s">
        <v>360</v>
      </c>
      <c r="L1384" s="55" t="s">
        <v>360</v>
      </c>
      <c r="M1384" s="55" t="s">
        <v>150</v>
      </c>
      <c r="N1384" s="55" t="s">
        <v>150</v>
      </c>
      <c r="O1384" s="55" t="s">
        <v>203</v>
      </c>
      <c r="P1384" s="55" t="s">
        <v>2078</v>
      </c>
      <c r="Q1384" s="55" t="s">
        <v>350</v>
      </c>
      <c r="R1384" s="55">
        <v>4</v>
      </c>
      <c r="S1384" s="55"/>
      <c r="T1384" s="55" t="s">
        <v>2079</v>
      </c>
    </row>
    <row r="1385" spans="1:20" ht="13" x14ac:dyDescent="0.15">
      <c r="A1385" s="72" t="str">
        <f t="shared" si="21"/>
        <v>Ofsted Social Care Provider Webpage</v>
      </c>
      <c r="B1385" s="55">
        <v>2625182</v>
      </c>
      <c r="D1385" s="55" t="s">
        <v>373</v>
      </c>
      <c r="E1385" s="74">
        <v>44258</v>
      </c>
      <c r="F1385" s="55" t="s">
        <v>344</v>
      </c>
      <c r="G1385" s="55" t="s">
        <v>360</v>
      </c>
      <c r="H1385" s="55" t="s">
        <v>360</v>
      </c>
      <c r="I1385" s="55" t="s">
        <v>360</v>
      </c>
      <c r="J1385" s="55" t="s">
        <v>360</v>
      </c>
      <c r="K1385" s="55" t="s">
        <v>360</v>
      </c>
      <c r="L1385" s="55" t="s">
        <v>360</v>
      </c>
      <c r="M1385" s="55" t="s">
        <v>144</v>
      </c>
      <c r="N1385" s="55" t="s">
        <v>144</v>
      </c>
      <c r="O1385" s="55" t="s">
        <v>217</v>
      </c>
      <c r="P1385" s="55" t="s">
        <v>384</v>
      </c>
      <c r="Q1385" s="55" t="s">
        <v>350</v>
      </c>
      <c r="R1385" s="55">
        <v>2</v>
      </c>
      <c r="S1385" s="55"/>
      <c r="T1385" s="55" t="s">
        <v>2016</v>
      </c>
    </row>
    <row r="1386" spans="1:20" ht="13" x14ac:dyDescent="0.15">
      <c r="A1386" s="72" t="str">
        <f t="shared" si="21"/>
        <v>Ofsted Social Care Provider Webpage</v>
      </c>
      <c r="B1386" s="55">
        <v>2625371</v>
      </c>
      <c r="D1386" s="55" t="s">
        <v>373</v>
      </c>
      <c r="E1386" s="74">
        <v>44256</v>
      </c>
      <c r="F1386" s="55" t="s">
        <v>344</v>
      </c>
      <c r="G1386" s="55" t="s">
        <v>360</v>
      </c>
      <c r="H1386" s="55" t="s">
        <v>360</v>
      </c>
      <c r="I1386" s="55" t="s">
        <v>360</v>
      </c>
      <c r="J1386" s="55" t="s">
        <v>360</v>
      </c>
      <c r="K1386" s="55" t="s">
        <v>360</v>
      </c>
      <c r="L1386" s="55" t="s">
        <v>360</v>
      </c>
      <c r="M1386" s="55" t="s">
        <v>129</v>
      </c>
      <c r="N1386" s="55" t="s">
        <v>129</v>
      </c>
      <c r="O1386" s="55" t="s">
        <v>194</v>
      </c>
      <c r="P1386" s="55" t="s">
        <v>1012</v>
      </c>
      <c r="Q1386" s="55" t="s">
        <v>350</v>
      </c>
      <c r="R1386" s="55">
        <v>5</v>
      </c>
      <c r="S1386" s="55"/>
      <c r="T1386" s="55" t="s">
        <v>2080</v>
      </c>
    </row>
    <row r="1387" spans="1:20" ht="13" x14ac:dyDescent="0.15">
      <c r="A1387" s="72" t="str">
        <f t="shared" si="21"/>
        <v>Ofsted Social Care Provider Webpage</v>
      </c>
      <c r="B1387" s="55">
        <v>2625585</v>
      </c>
      <c r="D1387" s="55" t="s">
        <v>373</v>
      </c>
      <c r="E1387" s="74">
        <v>44253</v>
      </c>
      <c r="F1387" s="55" t="s">
        <v>344</v>
      </c>
      <c r="G1387" s="55" t="s">
        <v>360</v>
      </c>
      <c r="H1387" s="55" t="s">
        <v>360</v>
      </c>
      <c r="I1387" s="55" t="s">
        <v>360</v>
      </c>
      <c r="J1387" s="55" t="s">
        <v>360</v>
      </c>
      <c r="K1387" s="55" t="s">
        <v>360</v>
      </c>
      <c r="L1387" s="55" t="s">
        <v>360</v>
      </c>
      <c r="M1387" s="55" t="s">
        <v>172</v>
      </c>
      <c r="N1387" s="55" t="s">
        <v>172</v>
      </c>
      <c r="O1387" s="55" t="s">
        <v>284</v>
      </c>
      <c r="P1387" s="55" t="s">
        <v>985</v>
      </c>
      <c r="Q1387" s="55" t="s">
        <v>350</v>
      </c>
      <c r="R1387" s="55">
        <v>4</v>
      </c>
      <c r="S1387" s="55"/>
      <c r="T1387" s="55" t="s">
        <v>1891</v>
      </c>
    </row>
    <row r="1388" spans="1:20" ht="13" x14ac:dyDescent="0.15">
      <c r="A1388" s="72" t="str">
        <f t="shared" si="21"/>
        <v>Ofsted Social Care Provider Webpage</v>
      </c>
      <c r="B1388" s="55">
        <v>2625941</v>
      </c>
      <c r="D1388" s="55" t="s">
        <v>373</v>
      </c>
      <c r="E1388" s="74">
        <v>44259</v>
      </c>
      <c r="F1388" s="55" t="s">
        <v>344</v>
      </c>
      <c r="G1388" s="55" t="s">
        <v>360</v>
      </c>
      <c r="H1388" s="55" t="s">
        <v>360</v>
      </c>
      <c r="I1388" s="55" t="s">
        <v>360</v>
      </c>
      <c r="J1388" s="55" t="s">
        <v>360</v>
      </c>
      <c r="K1388" s="55" t="s">
        <v>360</v>
      </c>
      <c r="L1388" s="55" t="s">
        <v>360</v>
      </c>
      <c r="M1388" s="55" t="s">
        <v>378</v>
      </c>
      <c r="N1388" s="55" t="s">
        <v>170</v>
      </c>
      <c r="O1388" s="55" t="s">
        <v>264</v>
      </c>
      <c r="P1388" s="55" t="s">
        <v>437</v>
      </c>
      <c r="Q1388" s="55" t="s">
        <v>350</v>
      </c>
      <c r="R1388" s="55">
        <v>15</v>
      </c>
      <c r="S1388" s="55"/>
      <c r="T1388" s="55" t="s">
        <v>2071</v>
      </c>
    </row>
    <row r="1389" spans="1:20" ht="13" x14ac:dyDescent="0.15">
      <c r="A1389" s="72" t="str">
        <f t="shared" si="21"/>
        <v>Ofsted Social Care Provider Webpage</v>
      </c>
      <c r="B1389" s="55">
        <v>2625942</v>
      </c>
      <c r="D1389" s="55" t="s">
        <v>373</v>
      </c>
      <c r="E1389" s="74">
        <v>44327</v>
      </c>
      <c r="F1389" s="55" t="s">
        <v>344</v>
      </c>
      <c r="G1389" s="55" t="s">
        <v>360</v>
      </c>
      <c r="H1389" s="55" t="s">
        <v>360</v>
      </c>
      <c r="I1389" s="55" t="s">
        <v>360</v>
      </c>
      <c r="J1389" s="55" t="s">
        <v>360</v>
      </c>
      <c r="K1389" s="55" t="s">
        <v>360</v>
      </c>
      <c r="L1389" s="55" t="s">
        <v>360</v>
      </c>
      <c r="M1389" s="55" t="s">
        <v>150</v>
      </c>
      <c r="N1389" s="55" t="s">
        <v>150</v>
      </c>
      <c r="O1389" s="55" t="s">
        <v>285</v>
      </c>
      <c r="P1389" s="55" t="s">
        <v>893</v>
      </c>
      <c r="Q1389" s="55" t="s">
        <v>350</v>
      </c>
      <c r="R1389" s="55">
        <v>4</v>
      </c>
      <c r="S1389" s="55"/>
      <c r="T1389" s="55" t="s">
        <v>931</v>
      </c>
    </row>
    <row r="1390" spans="1:20" ht="13" x14ac:dyDescent="0.15">
      <c r="A1390" s="72" t="str">
        <f t="shared" si="21"/>
        <v>Ofsted Social Care Provider Webpage</v>
      </c>
      <c r="B1390" s="55">
        <v>2626047</v>
      </c>
      <c r="D1390" s="55" t="s">
        <v>373</v>
      </c>
      <c r="E1390" s="74">
        <v>44259</v>
      </c>
      <c r="F1390" s="55" t="s">
        <v>344</v>
      </c>
      <c r="G1390" s="55" t="s">
        <v>360</v>
      </c>
      <c r="H1390" s="55" t="s">
        <v>360</v>
      </c>
      <c r="I1390" s="55" t="s">
        <v>360</v>
      </c>
      <c r="J1390" s="55" t="s">
        <v>360</v>
      </c>
      <c r="K1390" s="55" t="s">
        <v>360</v>
      </c>
      <c r="L1390" s="55" t="s">
        <v>360</v>
      </c>
      <c r="M1390" s="55" t="s">
        <v>142</v>
      </c>
      <c r="N1390" s="55" t="s">
        <v>142</v>
      </c>
      <c r="O1390" s="55" t="s">
        <v>252</v>
      </c>
      <c r="P1390" s="55" t="s">
        <v>503</v>
      </c>
      <c r="Q1390" s="55" t="s">
        <v>350</v>
      </c>
      <c r="R1390" s="55">
        <v>5</v>
      </c>
      <c r="S1390" s="55"/>
      <c r="T1390" s="55" t="s">
        <v>385</v>
      </c>
    </row>
    <row r="1391" spans="1:20" ht="13" x14ac:dyDescent="0.15">
      <c r="A1391" s="72" t="str">
        <f t="shared" si="21"/>
        <v>Ofsted Social Care Provider Webpage</v>
      </c>
      <c r="B1391" s="55">
        <v>2626053</v>
      </c>
      <c r="D1391" s="55" t="s">
        <v>373</v>
      </c>
      <c r="E1391" s="74">
        <v>44361</v>
      </c>
      <c r="F1391" s="55" t="s">
        <v>344</v>
      </c>
      <c r="G1391" s="55" t="s">
        <v>360</v>
      </c>
      <c r="H1391" s="55" t="s">
        <v>360</v>
      </c>
      <c r="I1391" s="55" t="s">
        <v>360</v>
      </c>
      <c r="J1391" s="55" t="s">
        <v>360</v>
      </c>
      <c r="K1391" s="55" t="s">
        <v>360</v>
      </c>
      <c r="L1391" s="55" t="s">
        <v>360</v>
      </c>
      <c r="M1391" s="55" t="s">
        <v>144</v>
      </c>
      <c r="N1391" s="55" t="s">
        <v>144</v>
      </c>
      <c r="O1391" s="55" t="s">
        <v>281</v>
      </c>
      <c r="P1391" s="55" t="s">
        <v>725</v>
      </c>
      <c r="Q1391" s="55" t="s">
        <v>380</v>
      </c>
      <c r="R1391" s="55">
        <v>2</v>
      </c>
      <c r="S1391" s="55"/>
      <c r="T1391" s="55" t="s">
        <v>2081</v>
      </c>
    </row>
    <row r="1392" spans="1:20" ht="13" x14ac:dyDescent="0.15">
      <c r="A1392" s="72" t="str">
        <f t="shared" si="21"/>
        <v>Ofsted Social Care Provider Webpage</v>
      </c>
      <c r="B1392" s="55">
        <v>2626293</v>
      </c>
      <c r="D1392" s="55" t="s">
        <v>373</v>
      </c>
      <c r="E1392" s="74">
        <v>44417</v>
      </c>
      <c r="F1392" s="55" t="s">
        <v>344</v>
      </c>
      <c r="G1392" s="55" t="s">
        <v>360</v>
      </c>
      <c r="H1392" s="55" t="s">
        <v>360</v>
      </c>
      <c r="I1392" s="55" t="s">
        <v>360</v>
      </c>
      <c r="J1392" s="55" t="s">
        <v>360</v>
      </c>
      <c r="K1392" s="55" t="s">
        <v>360</v>
      </c>
      <c r="L1392" s="55" t="s">
        <v>360</v>
      </c>
      <c r="M1392" s="55" t="s">
        <v>142</v>
      </c>
      <c r="N1392" s="55" t="s">
        <v>142</v>
      </c>
      <c r="O1392" s="55" t="s">
        <v>293</v>
      </c>
      <c r="P1392" s="55" t="s">
        <v>1060</v>
      </c>
      <c r="Q1392" s="55" t="s">
        <v>350</v>
      </c>
      <c r="R1392" s="55">
        <v>4</v>
      </c>
      <c r="S1392" s="55"/>
      <c r="T1392" s="55" t="s">
        <v>2077</v>
      </c>
    </row>
    <row r="1393" spans="1:20" ht="13" x14ac:dyDescent="0.15">
      <c r="A1393" s="72" t="str">
        <f t="shared" si="21"/>
        <v>Ofsted Social Care Provider Webpage</v>
      </c>
      <c r="B1393" s="55">
        <v>2626458</v>
      </c>
      <c r="D1393" s="55" t="s">
        <v>373</v>
      </c>
      <c r="E1393" s="74">
        <v>44326</v>
      </c>
      <c r="F1393" s="55" t="s">
        <v>344</v>
      </c>
      <c r="G1393" s="55" t="s">
        <v>360</v>
      </c>
      <c r="H1393" s="55" t="s">
        <v>360</v>
      </c>
      <c r="I1393" s="55" t="s">
        <v>360</v>
      </c>
      <c r="J1393" s="55" t="s">
        <v>360</v>
      </c>
      <c r="K1393" s="55" t="s">
        <v>360</v>
      </c>
      <c r="L1393" s="55" t="s">
        <v>360</v>
      </c>
      <c r="M1393" s="55" t="s">
        <v>142</v>
      </c>
      <c r="N1393" s="55" t="s">
        <v>142</v>
      </c>
      <c r="O1393" s="55" t="s">
        <v>262</v>
      </c>
      <c r="P1393" s="55" t="s">
        <v>949</v>
      </c>
      <c r="Q1393" s="55" t="s">
        <v>350</v>
      </c>
      <c r="R1393" s="55">
        <v>3</v>
      </c>
      <c r="S1393" s="55"/>
      <c r="T1393" s="55" t="s">
        <v>1024</v>
      </c>
    </row>
    <row r="1394" spans="1:20" ht="13" x14ac:dyDescent="0.15">
      <c r="A1394" s="72" t="str">
        <f t="shared" si="21"/>
        <v>Ofsted Social Care Provider Webpage</v>
      </c>
      <c r="B1394" s="55">
        <v>2626773</v>
      </c>
      <c r="D1394" s="55" t="s">
        <v>373</v>
      </c>
      <c r="E1394" s="74">
        <v>44230</v>
      </c>
      <c r="F1394" s="55" t="s">
        <v>344</v>
      </c>
      <c r="G1394" s="55" t="s">
        <v>360</v>
      </c>
      <c r="H1394" s="55" t="s">
        <v>360</v>
      </c>
      <c r="I1394" s="55" t="s">
        <v>360</v>
      </c>
      <c r="J1394" s="55" t="s">
        <v>360</v>
      </c>
      <c r="K1394" s="55" t="s">
        <v>360</v>
      </c>
      <c r="L1394" s="55" t="s">
        <v>360</v>
      </c>
      <c r="M1394" s="55" t="s">
        <v>138</v>
      </c>
      <c r="N1394" s="55" t="s">
        <v>138</v>
      </c>
      <c r="O1394" s="55" t="s">
        <v>196</v>
      </c>
      <c r="P1394" s="55" t="s">
        <v>1368</v>
      </c>
      <c r="Q1394" s="55" t="s">
        <v>380</v>
      </c>
      <c r="R1394" s="55">
        <v>3</v>
      </c>
      <c r="S1394" s="55"/>
      <c r="T1394" s="55" t="s">
        <v>2082</v>
      </c>
    </row>
    <row r="1395" spans="1:20" ht="13" x14ac:dyDescent="0.15">
      <c r="A1395" s="72" t="str">
        <f t="shared" si="21"/>
        <v>Ofsted Social Care Provider Webpage</v>
      </c>
      <c r="B1395" s="55">
        <v>2627009</v>
      </c>
      <c r="D1395" s="55" t="s">
        <v>373</v>
      </c>
      <c r="E1395" s="74">
        <v>44426</v>
      </c>
      <c r="F1395" s="55" t="s">
        <v>344</v>
      </c>
      <c r="G1395" s="55" t="s">
        <v>360</v>
      </c>
      <c r="H1395" s="55" t="s">
        <v>360</v>
      </c>
      <c r="I1395" s="55" t="s">
        <v>360</v>
      </c>
      <c r="J1395" s="55" t="s">
        <v>360</v>
      </c>
      <c r="K1395" s="55" t="s">
        <v>360</v>
      </c>
      <c r="L1395" s="55" t="s">
        <v>360</v>
      </c>
      <c r="M1395" s="55" t="s">
        <v>172</v>
      </c>
      <c r="N1395" s="55" t="s">
        <v>172</v>
      </c>
      <c r="O1395" s="55" t="s">
        <v>214</v>
      </c>
      <c r="P1395" s="55" t="s">
        <v>1345</v>
      </c>
      <c r="Q1395" s="55" t="s">
        <v>350</v>
      </c>
      <c r="R1395" s="55">
        <v>4</v>
      </c>
      <c r="S1395" s="55"/>
      <c r="T1395" s="55" t="s">
        <v>2083</v>
      </c>
    </row>
    <row r="1396" spans="1:20" ht="13" x14ac:dyDescent="0.15">
      <c r="A1396" s="72" t="str">
        <f t="shared" si="21"/>
        <v>Ofsted Social Care Provider Webpage</v>
      </c>
      <c r="B1396" s="55">
        <v>2627028</v>
      </c>
      <c r="D1396" s="55" t="s">
        <v>373</v>
      </c>
      <c r="E1396" s="74">
        <v>44293</v>
      </c>
      <c r="F1396" s="55" t="s">
        <v>344</v>
      </c>
      <c r="G1396" s="55" t="s">
        <v>360</v>
      </c>
      <c r="H1396" s="55" t="s">
        <v>360</v>
      </c>
      <c r="I1396" s="55" t="s">
        <v>360</v>
      </c>
      <c r="J1396" s="55" t="s">
        <v>360</v>
      </c>
      <c r="K1396" s="55" t="s">
        <v>360</v>
      </c>
      <c r="L1396" s="55" t="s">
        <v>360</v>
      </c>
      <c r="M1396" s="55" t="s">
        <v>172</v>
      </c>
      <c r="N1396" s="55" t="s">
        <v>172</v>
      </c>
      <c r="O1396" s="55" t="s">
        <v>171</v>
      </c>
      <c r="P1396" s="55" t="s">
        <v>895</v>
      </c>
      <c r="Q1396" s="55" t="s">
        <v>350</v>
      </c>
      <c r="R1396" s="55">
        <v>3</v>
      </c>
      <c r="S1396" s="55"/>
      <c r="T1396" s="55" t="s">
        <v>668</v>
      </c>
    </row>
    <row r="1397" spans="1:20" ht="13" x14ac:dyDescent="0.15">
      <c r="A1397" s="72" t="str">
        <f t="shared" si="21"/>
        <v>Ofsted Social Care Provider Webpage</v>
      </c>
      <c r="B1397" s="55">
        <v>2627054</v>
      </c>
      <c r="D1397" s="55" t="s">
        <v>373</v>
      </c>
      <c r="E1397" s="74">
        <v>44320</v>
      </c>
      <c r="F1397" s="55" t="s">
        <v>344</v>
      </c>
      <c r="G1397" s="55" t="s">
        <v>360</v>
      </c>
      <c r="H1397" s="55" t="s">
        <v>360</v>
      </c>
      <c r="I1397" s="55" t="s">
        <v>360</v>
      </c>
      <c r="J1397" s="55" t="s">
        <v>360</v>
      </c>
      <c r="K1397" s="55" t="s">
        <v>360</v>
      </c>
      <c r="L1397" s="55" t="s">
        <v>360</v>
      </c>
      <c r="M1397" s="55" t="s">
        <v>142</v>
      </c>
      <c r="N1397" s="55" t="s">
        <v>142</v>
      </c>
      <c r="O1397" s="55" t="s">
        <v>262</v>
      </c>
      <c r="P1397" s="55" t="s">
        <v>488</v>
      </c>
      <c r="Q1397" s="55" t="s">
        <v>350</v>
      </c>
      <c r="R1397" s="55">
        <v>2</v>
      </c>
      <c r="S1397" s="55"/>
      <c r="T1397" s="55" t="s">
        <v>1307</v>
      </c>
    </row>
    <row r="1398" spans="1:20" ht="13" x14ac:dyDescent="0.15">
      <c r="A1398" s="72" t="str">
        <f t="shared" si="21"/>
        <v>Ofsted Social Care Provider Webpage</v>
      </c>
      <c r="B1398" s="55">
        <v>2627088</v>
      </c>
      <c r="D1398" s="55" t="s">
        <v>373</v>
      </c>
      <c r="E1398" s="74">
        <v>44273</v>
      </c>
      <c r="F1398" s="55" t="s">
        <v>344</v>
      </c>
      <c r="G1398" s="55" t="s">
        <v>360</v>
      </c>
      <c r="H1398" s="55" t="s">
        <v>360</v>
      </c>
      <c r="I1398" s="55" t="s">
        <v>360</v>
      </c>
      <c r="J1398" s="55" t="s">
        <v>360</v>
      </c>
      <c r="K1398" s="55" t="s">
        <v>360</v>
      </c>
      <c r="L1398" s="55" t="s">
        <v>360</v>
      </c>
      <c r="M1398" s="55" t="s">
        <v>172</v>
      </c>
      <c r="N1398" s="55" t="s">
        <v>172</v>
      </c>
      <c r="O1398" s="55" t="s">
        <v>211</v>
      </c>
      <c r="P1398" s="55" t="s">
        <v>1062</v>
      </c>
      <c r="Q1398" s="55" t="s">
        <v>350</v>
      </c>
      <c r="R1398" s="55">
        <v>4</v>
      </c>
      <c r="S1398" s="55"/>
      <c r="T1398" s="55" t="s">
        <v>2084</v>
      </c>
    </row>
    <row r="1399" spans="1:20" ht="13" x14ac:dyDescent="0.15">
      <c r="A1399" s="72" t="str">
        <f t="shared" si="21"/>
        <v>Ofsted Social Care Provider Webpage</v>
      </c>
      <c r="B1399" s="55">
        <v>2627279</v>
      </c>
      <c r="D1399" s="55" t="s">
        <v>443</v>
      </c>
      <c r="E1399" s="74">
        <v>44356</v>
      </c>
      <c r="F1399" s="55" t="s">
        <v>344</v>
      </c>
      <c r="G1399" s="55" t="s">
        <v>2085</v>
      </c>
      <c r="H1399" s="55" t="s">
        <v>2086</v>
      </c>
      <c r="I1399" s="55" t="s">
        <v>354</v>
      </c>
      <c r="J1399" s="55" t="s">
        <v>263</v>
      </c>
      <c r="L1399" s="55" t="s">
        <v>2087</v>
      </c>
      <c r="M1399" s="55" t="s">
        <v>144</v>
      </c>
      <c r="N1399" s="55" t="s">
        <v>144</v>
      </c>
      <c r="O1399" s="55" t="s">
        <v>263</v>
      </c>
      <c r="P1399" s="55" t="s">
        <v>1211</v>
      </c>
      <c r="Q1399" s="55" t="s">
        <v>350</v>
      </c>
      <c r="R1399" s="55"/>
      <c r="S1399" s="55"/>
    </row>
    <row r="1400" spans="1:20" ht="13" x14ac:dyDescent="0.15">
      <c r="A1400" s="72" t="str">
        <f t="shared" si="21"/>
        <v>Ofsted Social Care Provider Webpage</v>
      </c>
      <c r="B1400" s="55">
        <v>2627409</v>
      </c>
      <c r="D1400" s="55" t="s">
        <v>373</v>
      </c>
      <c r="E1400" s="74">
        <v>44369</v>
      </c>
      <c r="F1400" s="55" t="s">
        <v>344</v>
      </c>
      <c r="G1400" s="55" t="s">
        <v>360</v>
      </c>
      <c r="H1400" s="55" t="s">
        <v>360</v>
      </c>
      <c r="I1400" s="55" t="s">
        <v>360</v>
      </c>
      <c r="J1400" s="55" t="s">
        <v>360</v>
      </c>
      <c r="K1400" s="55" t="s">
        <v>360</v>
      </c>
      <c r="L1400" s="55" t="s">
        <v>360</v>
      </c>
      <c r="M1400" s="55" t="s">
        <v>142</v>
      </c>
      <c r="N1400" s="55" t="s">
        <v>142</v>
      </c>
      <c r="O1400" s="55" t="s">
        <v>195</v>
      </c>
      <c r="P1400" s="55" t="s">
        <v>518</v>
      </c>
      <c r="Q1400" s="55" t="s">
        <v>350</v>
      </c>
      <c r="R1400" s="55">
        <v>4</v>
      </c>
      <c r="S1400" s="55"/>
      <c r="T1400" s="55" t="s">
        <v>515</v>
      </c>
    </row>
    <row r="1401" spans="1:20" ht="13" x14ac:dyDescent="0.15">
      <c r="A1401" s="72" t="str">
        <f t="shared" si="21"/>
        <v>Ofsted Social Care Provider Webpage</v>
      </c>
      <c r="B1401" s="55">
        <v>2627737</v>
      </c>
      <c r="D1401" s="55" t="s">
        <v>373</v>
      </c>
      <c r="E1401" s="74">
        <v>44475</v>
      </c>
      <c r="F1401" s="55" t="s">
        <v>344</v>
      </c>
      <c r="G1401" s="55" t="s">
        <v>360</v>
      </c>
      <c r="H1401" s="55" t="s">
        <v>360</v>
      </c>
      <c r="I1401" s="55" t="s">
        <v>360</v>
      </c>
      <c r="J1401" s="55" t="s">
        <v>360</v>
      </c>
      <c r="K1401" s="55" t="s">
        <v>360</v>
      </c>
      <c r="L1401" s="55" t="s">
        <v>360</v>
      </c>
      <c r="M1401" s="55" t="s">
        <v>144</v>
      </c>
      <c r="N1401" s="55" t="s">
        <v>144</v>
      </c>
      <c r="O1401" s="55" t="s">
        <v>236</v>
      </c>
      <c r="P1401" s="55" t="s">
        <v>2088</v>
      </c>
      <c r="Q1401" s="55" t="s">
        <v>350</v>
      </c>
      <c r="R1401" s="55">
        <v>2</v>
      </c>
      <c r="S1401" s="55"/>
      <c r="T1401" s="55" t="s">
        <v>2089</v>
      </c>
    </row>
    <row r="1402" spans="1:20" ht="13" x14ac:dyDescent="0.15">
      <c r="A1402" s="72" t="str">
        <f t="shared" si="21"/>
        <v>Ofsted Social Care Provider Webpage</v>
      </c>
      <c r="B1402" s="55">
        <v>2627967</v>
      </c>
      <c r="D1402" s="55" t="s">
        <v>373</v>
      </c>
      <c r="E1402" s="74">
        <v>44380</v>
      </c>
      <c r="F1402" s="55" t="s">
        <v>344</v>
      </c>
      <c r="G1402" s="55" t="s">
        <v>360</v>
      </c>
      <c r="H1402" s="55" t="s">
        <v>360</v>
      </c>
      <c r="I1402" s="55" t="s">
        <v>360</v>
      </c>
      <c r="J1402" s="55" t="s">
        <v>360</v>
      </c>
      <c r="K1402" s="55" t="s">
        <v>360</v>
      </c>
      <c r="L1402" s="55" t="s">
        <v>360</v>
      </c>
      <c r="M1402" s="55" t="s">
        <v>144</v>
      </c>
      <c r="N1402" s="55" t="s">
        <v>144</v>
      </c>
      <c r="O1402" s="55" t="s">
        <v>209</v>
      </c>
      <c r="P1402" s="55" t="s">
        <v>597</v>
      </c>
      <c r="Q1402" s="55" t="s">
        <v>350</v>
      </c>
      <c r="R1402" s="55">
        <v>3</v>
      </c>
      <c r="S1402" s="55"/>
      <c r="T1402" s="55" t="s">
        <v>598</v>
      </c>
    </row>
    <row r="1403" spans="1:20" ht="13" x14ac:dyDescent="0.15">
      <c r="A1403" s="72" t="str">
        <f t="shared" si="21"/>
        <v>Ofsted Social Care Provider Webpage</v>
      </c>
      <c r="B1403" s="55">
        <v>2628010</v>
      </c>
      <c r="D1403" s="55" t="s">
        <v>373</v>
      </c>
      <c r="E1403" s="74">
        <v>44313</v>
      </c>
      <c r="F1403" s="55" t="s">
        <v>344</v>
      </c>
      <c r="G1403" s="55" t="s">
        <v>360</v>
      </c>
      <c r="H1403" s="55" t="s">
        <v>360</v>
      </c>
      <c r="I1403" s="55" t="s">
        <v>360</v>
      </c>
      <c r="J1403" s="55" t="s">
        <v>360</v>
      </c>
      <c r="K1403" s="55" t="s">
        <v>360</v>
      </c>
      <c r="L1403" s="55" t="s">
        <v>360</v>
      </c>
      <c r="M1403" s="55" t="s">
        <v>144</v>
      </c>
      <c r="N1403" s="55" t="s">
        <v>144</v>
      </c>
      <c r="O1403" s="55" t="s">
        <v>287</v>
      </c>
      <c r="P1403" s="55" t="s">
        <v>815</v>
      </c>
      <c r="Q1403" s="55" t="s">
        <v>350</v>
      </c>
      <c r="R1403" s="55">
        <v>1</v>
      </c>
      <c r="S1403" s="55"/>
      <c r="T1403" s="55" t="s">
        <v>385</v>
      </c>
    </row>
    <row r="1404" spans="1:20" ht="13" x14ac:dyDescent="0.15">
      <c r="A1404" s="72" t="str">
        <f t="shared" si="21"/>
        <v>Ofsted Social Care Provider Webpage</v>
      </c>
      <c r="B1404" s="55">
        <v>2628154</v>
      </c>
      <c r="C1404" s="55">
        <v>148010</v>
      </c>
      <c r="D1404" s="55" t="s">
        <v>398</v>
      </c>
      <c r="E1404" s="74">
        <v>44216</v>
      </c>
      <c r="F1404" s="55" t="s">
        <v>344</v>
      </c>
      <c r="G1404" s="55" t="s">
        <v>2090</v>
      </c>
      <c r="H1404" s="55" t="s">
        <v>2091</v>
      </c>
      <c r="I1404" s="55" t="s">
        <v>2092</v>
      </c>
      <c r="J1404" s="55" t="s">
        <v>253</v>
      </c>
      <c r="K1404" s="55" t="s">
        <v>1402</v>
      </c>
      <c r="L1404" s="55" t="s">
        <v>2093</v>
      </c>
      <c r="M1404" s="55" t="s">
        <v>150</v>
      </c>
      <c r="N1404" s="55" t="s">
        <v>150</v>
      </c>
      <c r="O1404" s="55" t="s">
        <v>156</v>
      </c>
      <c r="P1404" s="55" t="s">
        <v>2094</v>
      </c>
      <c r="Q1404" s="55" t="s">
        <v>350</v>
      </c>
      <c r="R1404" s="55">
        <v>100</v>
      </c>
      <c r="S1404" s="55"/>
      <c r="T1404" s="55" t="s">
        <v>2095</v>
      </c>
    </row>
    <row r="1405" spans="1:20" ht="13" x14ac:dyDescent="0.15">
      <c r="A1405" s="72" t="str">
        <f t="shared" si="21"/>
        <v>Ofsted Social Care Provider Webpage</v>
      </c>
      <c r="B1405" s="55">
        <v>2628367</v>
      </c>
      <c r="D1405" s="55" t="s">
        <v>373</v>
      </c>
      <c r="E1405" s="74">
        <v>44560</v>
      </c>
      <c r="F1405" s="55" t="s">
        <v>344</v>
      </c>
      <c r="G1405" s="55" t="s">
        <v>360</v>
      </c>
      <c r="H1405" s="55" t="s">
        <v>360</v>
      </c>
      <c r="I1405" s="55" t="s">
        <v>360</v>
      </c>
      <c r="J1405" s="55" t="s">
        <v>360</v>
      </c>
      <c r="K1405" s="55" t="s">
        <v>360</v>
      </c>
      <c r="L1405" s="55" t="s">
        <v>360</v>
      </c>
      <c r="M1405" s="55" t="s">
        <v>129</v>
      </c>
      <c r="N1405" s="55" t="s">
        <v>129</v>
      </c>
      <c r="O1405" s="55" t="s">
        <v>167</v>
      </c>
      <c r="P1405" s="55" t="s">
        <v>866</v>
      </c>
      <c r="Q1405" s="55" t="s">
        <v>350</v>
      </c>
      <c r="R1405" s="55">
        <v>5</v>
      </c>
      <c r="S1405" s="55"/>
      <c r="T1405" s="55" t="s">
        <v>2096</v>
      </c>
    </row>
    <row r="1406" spans="1:20" ht="13" x14ac:dyDescent="0.15">
      <c r="A1406" s="72" t="str">
        <f t="shared" si="21"/>
        <v>Ofsted Social Care Provider Webpage</v>
      </c>
      <c r="B1406" s="55">
        <v>2628430</v>
      </c>
      <c r="D1406" s="55" t="s">
        <v>373</v>
      </c>
      <c r="E1406" s="74">
        <v>44280</v>
      </c>
      <c r="F1406" s="55" t="s">
        <v>344</v>
      </c>
      <c r="G1406" s="55" t="s">
        <v>360</v>
      </c>
      <c r="H1406" s="55" t="s">
        <v>360</v>
      </c>
      <c r="I1406" s="55" t="s">
        <v>360</v>
      </c>
      <c r="J1406" s="55" t="s">
        <v>360</v>
      </c>
      <c r="K1406" s="55" t="s">
        <v>360</v>
      </c>
      <c r="L1406" s="55" t="s">
        <v>360</v>
      </c>
      <c r="M1406" s="55" t="s">
        <v>136</v>
      </c>
      <c r="N1406" s="55" t="s">
        <v>136</v>
      </c>
      <c r="O1406" s="55" t="s">
        <v>270</v>
      </c>
      <c r="P1406" s="55" t="s">
        <v>1752</v>
      </c>
      <c r="Q1406" s="55" t="s">
        <v>350</v>
      </c>
      <c r="R1406" s="55">
        <v>5</v>
      </c>
      <c r="S1406" s="55"/>
      <c r="T1406" s="55" t="s">
        <v>1236</v>
      </c>
    </row>
    <row r="1407" spans="1:20" ht="13" x14ac:dyDescent="0.15">
      <c r="A1407" s="72" t="str">
        <f t="shared" si="21"/>
        <v>Ofsted Social Care Provider Webpage</v>
      </c>
      <c r="B1407" s="55">
        <v>2628534</v>
      </c>
      <c r="D1407" s="55" t="s">
        <v>373</v>
      </c>
      <c r="E1407" s="74">
        <v>44307</v>
      </c>
      <c r="F1407" s="55" t="s">
        <v>344</v>
      </c>
      <c r="G1407" s="55" t="s">
        <v>360</v>
      </c>
      <c r="H1407" s="55" t="s">
        <v>360</v>
      </c>
      <c r="I1407" s="55" t="s">
        <v>360</v>
      </c>
      <c r="J1407" s="55" t="s">
        <v>360</v>
      </c>
      <c r="K1407" s="55" t="s">
        <v>360</v>
      </c>
      <c r="L1407" s="55" t="s">
        <v>360</v>
      </c>
      <c r="M1407" s="55" t="s">
        <v>144</v>
      </c>
      <c r="N1407" s="55" t="s">
        <v>144</v>
      </c>
      <c r="O1407" s="55" t="s">
        <v>147</v>
      </c>
      <c r="P1407" s="55" t="s">
        <v>674</v>
      </c>
      <c r="Q1407" s="55" t="s">
        <v>362</v>
      </c>
      <c r="R1407" s="55">
        <v>1</v>
      </c>
      <c r="S1407" s="55"/>
      <c r="T1407" s="55" t="s">
        <v>675</v>
      </c>
    </row>
    <row r="1408" spans="1:20" ht="13" x14ac:dyDescent="0.15">
      <c r="A1408" s="72" t="str">
        <f t="shared" si="21"/>
        <v>Ofsted Social Care Provider Webpage</v>
      </c>
      <c r="B1408" s="55">
        <v>2628612</v>
      </c>
      <c r="D1408" s="55" t="s">
        <v>373</v>
      </c>
      <c r="E1408" s="74">
        <v>44463</v>
      </c>
      <c r="F1408" s="55" t="s">
        <v>344</v>
      </c>
      <c r="G1408" s="55" t="s">
        <v>360</v>
      </c>
      <c r="H1408" s="55" t="s">
        <v>360</v>
      </c>
      <c r="I1408" s="55" t="s">
        <v>360</v>
      </c>
      <c r="J1408" s="55" t="s">
        <v>360</v>
      </c>
      <c r="K1408" s="55" t="s">
        <v>360</v>
      </c>
      <c r="L1408" s="55" t="s">
        <v>360</v>
      </c>
      <c r="M1408" s="55" t="s">
        <v>138</v>
      </c>
      <c r="N1408" s="55" t="s">
        <v>138</v>
      </c>
      <c r="O1408" s="55" t="s">
        <v>216</v>
      </c>
      <c r="P1408" s="55" t="s">
        <v>1968</v>
      </c>
      <c r="Q1408" s="55" t="s">
        <v>350</v>
      </c>
      <c r="R1408" s="55">
        <v>3</v>
      </c>
      <c r="S1408" s="55"/>
      <c r="T1408" s="55" t="s">
        <v>2097</v>
      </c>
    </row>
    <row r="1409" spans="1:20" ht="13" x14ac:dyDescent="0.15">
      <c r="A1409" s="72" t="str">
        <f t="shared" si="21"/>
        <v>Ofsted Social Care Provider Webpage</v>
      </c>
      <c r="B1409" s="55">
        <v>2629073</v>
      </c>
      <c r="D1409" s="55" t="s">
        <v>373</v>
      </c>
      <c r="E1409" s="74">
        <v>44266</v>
      </c>
      <c r="F1409" s="55" t="s">
        <v>344</v>
      </c>
      <c r="G1409" s="55" t="s">
        <v>360</v>
      </c>
      <c r="H1409" s="55" t="s">
        <v>360</v>
      </c>
      <c r="I1409" s="55" t="s">
        <v>360</v>
      </c>
      <c r="J1409" s="55" t="s">
        <v>360</v>
      </c>
      <c r="K1409" s="55" t="s">
        <v>360</v>
      </c>
      <c r="L1409" s="55" t="s">
        <v>360</v>
      </c>
      <c r="M1409" s="55" t="s">
        <v>378</v>
      </c>
      <c r="N1409" s="55" t="s">
        <v>134</v>
      </c>
      <c r="O1409" s="55" t="s">
        <v>158</v>
      </c>
      <c r="P1409" s="55" t="s">
        <v>912</v>
      </c>
      <c r="Q1409" s="55" t="s">
        <v>350</v>
      </c>
      <c r="R1409" s="55">
        <v>1</v>
      </c>
      <c r="S1409" s="55"/>
      <c r="T1409" s="55" t="s">
        <v>951</v>
      </c>
    </row>
    <row r="1410" spans="1:20" ht="13" x14ac:dyDescent="0.15">
      <c r="A1410" s="72" t="str">
        <f t="shared" si="21"/>
        <v>Ofsted Social Care Provider Webpage</v>
      </c>
      <c r="B1410" s="55">
        <v>2629097</v>
      </c>
      <c r="D1410" s="55" t="s">
        <v>373</v>
      </c>
      <c r="E1410" s="74">
        <v>44295</v>
      </c>
      <c r="F1410" s="55" t="s">
        <v>344</v>
      </c>
      <c r="G1410" s="55" t="s">
        <v>360</v>
      </c>
      <c r="H1410" s="55" t="s">
        <v>360</v>
      </c>
      <c r="I1410" s="55" t="s">
        <v>360</v>
      </c>
      <c r="J1410" s="55" t="s">
        <v>360</v>
      </c>
      <c r="K1410" s="55" t="s">
        <v>360</v>
      </c>
      <c r="L1410" s="55" t="s">
        <v>360</v>
      </c>
      <c r="M1410" s="55" t="s">
        <v>150</v>
      </c>
      <c r="N1410" s="55" t="s">
        <v>150</v>
      </c>
      <c r="O1410" s="55" t="s">
        <v>237</v>
      </c>
      <c r="P1410" s="55" t="s">
        <v>990</v>
      </c>
      <c r="Q1410" s="55" t="s">
        <v>350</v>
      </c>
      <c r="R1410" s="55">
        <v>3</v>
      </c>
      <c r="S1410" s="55"/>
      <c r="T1410" s="55" t="s">
        <v>962</v>
      </c>
    </row>
    <row r="1411" spans="1:20" ht="13" x14ac:dyDescent="0.15">
      <c r="A1411" s="72" t="str">
        <f t="shared" si="21"/>
        <v>Ofsted Social Care Provider Webpage</v>
      </c>
      <c r="B1411" s="55">
        <v>2629230</v>
      </c>
      <c r="D1411" s="55" t="s">
        <v>373</v>
      </c>
      <c r="E1411" s="74">
        <v>44355</v>
      </c>
      <c r="F1411" s="55" t="s">
        <v>344</v>
      </c>
      <c r="G1411" s="55" t="s">
        <v>360</v>
      </c>
      <c r="H1411" s="55" t="s">
        <v>360</v>
      </c>
      <c r="I1411" s="55" t="s">
        <v>360</v>
      </c>
      <c r="J1411" s="55" t="s">
        <v>360</v>
      </c>
      <c r="K1411" s="55" t="s">
        <v>360</v>
      </c>
      <c r="L1411" s="55" t="s">
        <v>360</v>
      </c>
      <c r="M1411" s="55" t="s">
        <v>142</v>
      </c>
      <c r="N1411" s="55" t="s">
        <v>142</v>
      </c>
      <c r="O1411" s="55" t="s">
        <v>292</v>
      </c>
      <c r="P1411" s="55" t="s">
        <v>1162</v>
      </c>
      <c r="Q1411" s="55" t="s">
        <v>350</v>
      </c>
      <c r="R1411" s="55">
        <v>2</v>
      </c>
      <c r="S1411" s="55"/>
      <c r="T1411" s="55" t="s">
        <v>2049</v>
      </c>
    </row>
    <row r="1412" spans="1:20" ht="13" x14ac:dyDescent="0.15">
      <c r="A1412" s="72" t="str">
        <f t="shared" si="21"/>
        <v>Ofsted Social Care Provider Webpage</v>
      </c>
      <c r="B1412" s="55">
        <v>2629335</v>
      </c>
      <c r="D1412" s="55" t="s">
        <v>373</v>
      </c>
      <c r="E1412" s="74">
        <v>44258</v>
      </c>
      <c r="F1412" s="55" t="s">
        <v>344</v>
      </c>
      <c r="G1412" s="55" t="s">
        <v>360</v>
      </c>
      <c r="H1412" s="55" t="s">
        <v>360</v>
      </c>
      <c r="I1412" s="55" t="s">
        <v>360</v>
      </c>
      <c r="J1412" s="55" t="s">
        <v>360</v>
      </c>
      <c r="K1412" s="55" t="s">
        <v>360</v>
      </c>
      <c r="L1412" s="55" t="s">
        <v>360</v>
      </c>
      <c r="M1412" s="55" t="s">
        <v>378</v>
      </c>
      <c r="N1412" s="55" t="s">
        <v>134</v>
      </c>
      <c r="O1412" s="55" t="s">
        <v>246</v>
      </c>
      <c r="P1412" s="55" t="s">
        <v>246</v>
      </c>
      <c r="Q1412" s="55" t="s">
        <v>380</v>
      </c>
      <c r="R1412" s="55">
        <v>2</v>
      </c>
      <c r="S1412" s="55"/>
      <c r="T1412" s="55" t="s">
        <v>1916</v>
      </c>
    </row>
    <row r="1413" spans="1:20" ht="13" x14ac:dyDescent="0.15">
      <c r="A1413" s="72" t="str">
        <f t="shared" ref="A1413:A1476" si="22">HYPERLINK(_xlfn.CONCAT("http://reports.ofsted.gov.uk/inspection-reports/find-inspection-report/provider/CARE/",B1413),"Ofsted Social Care Provider Webpage")</f>
        <v>Ofsted Social Care Provider Webpage</v>
      </c>
      <c r="B1413" s="55">
        <v>2629861</v>
      </c>
      <c r="D1413" s="55" t="s">
        <v>373</v>
      </c>
      <c r="E1413" s="74">
        <v>44421</v>
      </c>
      <c r="F1413" s="55" t="s">
        <v>344</v>
      </c>
      <c r="G1413" s="55" t="s">
        <v>360</v>
      </c>
      <c r="H1413" s="55" t="s">
        <v>360</v>
      </c>
      <c r="I1413" s="55" t="s">
        <v>360</v>
      </c>
      <c r="J1413" s="55" t="s">
        <v>360</v>
      </c>
      <c r="K1413" s="55" t="s">
        <v>360</v>
      </c>
      <c r="L1413" s="55" t="s">
        <v>360</v>
      </c>
      <c r="M1413" s="55" t="s">
        <v>150</v>
      </c>
      <c r="N1413" s="55" t="s">
        <v>150</v>
      </c>
      <c r="O1413" s="55" t="s">
        <v>203</v>
      </c>
      <c r="P1413" s="55" t="s">
        <v>593</v>
      </c>
      <c r="Q1413" s="55" t="s">
        <v>350</v>
      </c>
      <c r="R1413" s="55">
        <v>4</v>
      </c>
      <c r="S1413" s="55"/>
      <c r="T1413" s="55" t="s">
        <v>574</v>
      </c>
    </row>
    <row r="1414" spans="1:20" ht="13" x14ac:dyDescent="0.15">
      <c r="A1414" s="72" t="str">
        <f t="shared" si="22"/>
        <v>Ofsted Social Care Provider Webpage</v>
      </c>
      <c r="B1414" s="55">
        <v>2629902</v>
      </c>
      <c r="D1414" s="55" t="s">
        <v>373</v>
      </c>
      <c r="E1414" s="74">
        <v>44343</v>
      </c>
      <c r="F1414" s="55" t="s">
        <v>344</v>
      </c>
      <c r="G1414" s="55" t="s">
        <v>360</v>
      </c>
      <c r="H1414" s="55" t="s">
        <v>360</v>
      </c>
      <c r="I1414" s="55" t="s">
        <v>360</v>
      </c>
      <c r="J1414" s="55" t="s">
        <v>360</v>
      </c>
      <c r="K1414" s="55" t="s">
        <v>360</v>
      </c>
      <c r="L1414" s="55" t="s">
        <v>360</v>
      </c>
      <c r="M1414" s="55" t="s">
        <v>378</v>
      </c>
      <c r="N1414" s="55" t="s">
        <v>170</v>
      </c>
      <c r="O1414" s="55" t="s">
        <v>243</v>
      </c>
      <c r="P1414" s="55" t="s">
        <v>1786</v>
      </c>
      <c r="Q1414" s="55" t="s">
        <v>350</v>
      </c>
      <c r="R1414" s="55">
        <v>5</v>
      </c>
      <c r="S1414" s="55"/>
      <c r="T1414" s="55" t="s">
        <v>481</v>
      </c>
    </row>
    <row r="1415" spans="1:20" ht="13" x14ac:dyDescent="0.15">
      <c r="A1415" s="72" t="str">
        <f t="shared" si="22"/>
        <v>Ofsted Social Care Provider Webpage</v>
      </c>
      <c r="B1415" s="55">
        <v>2630055</v>
      </c>
      <c r="D1415" s="55" t="s">
        <v>373</v>
      </c>
      <c r="E1415" s="74">
        <v>44571</v>
      </c>
      <c r="F1415" s="55" t="s">
        <v>344</v>
      </c>
      <c r="G1415" s="55" t="s">
        <v>360</v>
      </c>
      <c r="H1415" s="55" t="s">
        <v>360</v>
      </c>
      <c r="I1415" s="55" t="s">
        <v>360</v>
      </c>
      <c r="J1415" s="55" t="s">
        <v>360</v>
      </c>
      <c r="K1415" s="55" t="s">
        <v>360</v>
      </c>
      <c r="L1415" s="55" t="s">
        <v>360</v>
      </c>
      <c r="M1415" s="55" t="s">
        <v>144</v>
      </c>
      <c r="N1415" s="55" t="s">
        <v>144</v>
      </c>
      <c r="O1415" s="55" t="s">
        <v>157</v>
      </c>
      <c r="P1415" s="55" t="s">
        <v>1462</v>
      </c>
      <c r="Q1415" s="55" t="s">
        <v>350</v>
      </c>
      <c r="R1415" s="55">
        <v>3</v>
      </c>
      <c r="S1415" s="55"/>
      <c r="T1415" s="55" t="s">
        <v>1161</v>
      </c>
    </row>
    <row r="1416" spans="1:20" ht="13" x14ac:dyDescent="0.15">
      <c r="A1416" s="72" t="str">
        <f t="shared" si="22"/>
        <v>Ofsted Social Care Provider Webpage</v>
      </c>
      <c r="B1416" s="55">
        <v>2630701</v>
      </c>
      <c r="D1416" s="55" t="s">
        <v>373</v>
      </c>
      <c r="E1416" s="74">
        <v>44404</v>
      </c>
      <c r="F1416" s="55" t="s">
        <v>344</v>
      </c>
      <c r="G1416" s="55" t="s">
        <v>360</v>
      </c>
      <c r="H1416" s="55" t="s">
        <v>360</v>
      </c>
      <c r="I1416" s="55" t="s">
        <v>360</v>
      </c>
      <c r="J1416" s="55" t="s">
        <v>360</v>
      </c>
      <c r="K1416" s="55" t="s">
        <v>360</v>
      </c>
      <c r="L1416" s="55" t="s">
        <v>360</v>
      </c>
      <c r="M1416" s="55" t="s">
        <v>378</v>
      </c>
      <c r="N1416" s="55" t="s">
        <v>134</v>
      </c>
      <c r="O1416" s="55" t="s">
        <v>251</v>
      </c>
      <c r="P1416" s="55" t="s">
        <v>1709</v>
      </c>
      <c r="Q1416" s="55" t="s">
        <v>350</v>
      </c>
      <c r="R1416" s="55">
        <v>2</v>
      </c>
      <c r="S1416" s="55"/>
      <c r="T1416" s="55" t="s">
        <v>2098</v>
      </c>
    </row>
    <row r="1417" spans="1:20" ht="13" x14ac:dyDescent="0.15">
      <c r="A1417" s="72" t="str">
        <f t="shared" si="22"/>
        <v>Ofsted Social Care Provider Webpage</v>
      </c>
      <c r="B1417" s="55">
        <v>2630728</v>
      </c>
      <c r="D1417" s="55" t="s">
        <v>373</v>
      </c>
      <c r="E1417" s="74">
        <v>44390</v>
      </c>
      <c r="F1417" s="55" t="s">
        <v>344</v>
      </c>
      <c r="G1417" s="55" t="s">
        <v>360</v>
      </c>
      <c r="H1417" s="55" t="s">
        <v>360</v>
      </c>
      <c r="I1417" s="55" t="s">
        <v>360</v>
      </c>
      <c r="J1417" s="55" t="s">
        <v>360</v>
      </c>
      <c r="K1417" s="55" t="s">
        <v>360</v>
      </c>
      <c r="L1417" s="55" t="s">
        <v>360</v>
      </c>
      <c r="M1417" s="55" t="s">
        <v>378</v>
      </c>
      <c r="N1417" s="55" t="s">
        <v>170</v>
      </c>
      <c r="O1417" s="55" t="s">
        <v>267</v>
      </c>
      <c r="P1417" s="55" t="s">
        <v>477</v>
      </c>
      <c r="Q1417" s="55" t="s">
        <v>362</v>
      </c>
      <c r="R1417" s="55">
        <v>3</v>
      </c>
      <c r="S1417" s="55"/>
      <c r="T1417" s="55" t="s">
        <v>2099</v>
      </c>
    </row>
    <row r="1418" spans="1:20" ht="13" x14ac:dyDescent="0.15">
      <c r="A1418" s="72" t="str">
        <f t="shared" si="22"/>
        <v>Ofsted Social Care Provider Webpage</v>
      </c>
      <c r="B1418" s="55">
        <v>2630796</v>
      </c>
      <c r="D1418" s="55" t="s">
        <v>373</v>
      </c>
      <c r="E1418" s="74">
        <v>44593</v>
      </c>
      <c r="F1418" s="55" t="s">
        <v>344</v>
      </c>
      <c r="G1418" s="55" t="s">
        <v>360</v>
      </c>
      <c r="H1418" s="55" t="s">
        <v>360</v>
      </c>
      <c r="I1418" s="55" t="s">
        <v>360</v>
      </c>
      <c r="J1418" s="55" t="s">
        <v>360</v>
      </c>
      <c r="K1418" s="55" t="s">
        <v>360</v>
      </c>
      <c r="L1418" s="55" t="s">
        <v>360</v>
      </c>
      <c r="M1418" s="55" t="s">
        <v>150</v>
      </c>
      <c r="N1418" s="55" t="s">
        <v>150</v>
      </c>
      <c r="O1418" s="55" t="s">
        <v>203</v>
      </c>
      <c r="P1418" s="55" t="s">
        <v>593</v>
      </c>
      <c r="Q1418" s="55" t="s">
        <v>350</v>
      </c>
      <c r="R1418" s="55">
        <v>4</v>
      </c>
      <c r="S1418" s="55"/>
      <c r="T1418" s="55" t="s">
        <v>574</v>
      </c>
    </row>
    <row r="1419" spans="1:20" ht="13" x14ac:dyDescent="0.15">
      <c r="A1419" s="72" t="str">
        <f t="shared" si="22"/>
        <v>Ofsted Social Care Provider Webpage</v>
      </c>
      <c r="B1419" s="55">
        <v>2630852</v>
      </c>
      <c r="D1419" s="55" t="s">
        <v>693</v>
      </c>
      <c r="E1419" s="74">
        <v>44236</v>
      </c>
      <c r="F1419" s="55" t="s">
        <v>344</v>
      </c>
      <c r="G1419" s="55" t="s">
        <v>2100</v>
      </c>
      <c r="H1419" s="55" t="s">
        <v>2101</v>
      </c>
      <c r="I1419" s="55" t="s">
        <v>2102</v>
      </c>
      <c r="J1419" s="55" t="s">
        <v>2103</v>
      </c>
      <c r="K1419" s="55" t="s">
        <v>212</v>
      </c>
      <c r="L1419" s="55" t="s">
        <v>2104</v>
      </c>
      <c r="M1419" s="55" t="s">
        <v>172</v>
      </c>
      <c r="N1419" s="55" t="s">
        <v>172</v>
      </c>
      <c r="O1419" s="55" t="s">
        <v>212</v>
      </c>
      <c r="P1419" s="55" t="s">
        <v>842</v>
      </c>
      <c r="Q1419" s="55" t="s">
        <v>350</v>
      </c>
      <c r="R1419" s="55">
        <v>94</v>
      </c>
      <c r="S1419" s="55"/>
    </row>
    <row r="1420" spans="1:20" ht="13" x14ac:dyDescent="0.15">
      <c r="A1420" s="72" t="str">
        <f t="shared" si="22"/>
        <v>Ofsted Social Care Provider Webpage</v>
      </c>
      <c r="B1420" s="55">
        <v>2630934</v>
      </c>
      <c r="D1420" s="55" t="s">
        <v>373</v>
      </c>
      <c r="E1420" s="74">
        <v>44260</v>
      </c>
      <c r="F1420" s="55" t="s">
        <v>344</v>
      </c>
      <c r="G1420" s="55" t="s">
        <v>360</v>
      </c>
      <c r="H1420" s="55" t="s">
        <v>360</v>
      </c>
      <c r="I1420" s="55" t="s">
        <v>360</v>
      </c>
      <c r="J1420" s="55" t="s">
        <v>360</v>
      </c>
      <c r="K1420" s="55" t="s">
        <v>360</v>
      </c>
      <c r="L1420" s="55" t="s">
        <v>360</v>
      </c>
      <c r="M1420" s="55" t="s">
        <v>172</v>
      </c>
      <c r="N1420" s="55" t="s">
        <v>172</v>
      </c>
      <c r="O1420" s="55" t="s">
        <v>173</v>
      </c>
      <c r="P1420" s="55" t="s">
        <v>1258</v>
      </c>
      <c r="Q1420" s="55" t="s">
        <v>350</v>
      </c>
      <c r="R1420" s="55">
        <v>5</v>
      </c>
      <c r="S1420" s="55"/>
      <c r="T1420" s="55" t="s">
        <v>450</v>
      </c>
    </row>
    <row r="1421" spans="1:20" ht="13" x14ac:dyDescent="0.15">
      <c r="A1421" s="72" t="str">
        <f t="shared" si="22"/>
        <v>Ofsted Social Care Provider Webpage</v>
      </c>
      <c r="B1421" s="55">
        <v>2631136</v>
      </c>
      <c r="D1421" s="55" t="s">
        <v>373</v>
      </c>
      <c r="E1421" s="74">
        <v>44379</v>
      </c>
      <c r="F1421" s="55" t="s">
        <v>344</v>
      </c>
      <c r="G1421" s="55" t="s">
        <v>360</v>
      </c>
      <c r="H1421" s="55" t="s">
        <v>360</v>
      </c>
      <c r="I1421" s="55" t="s">
        <v>360</v>
      </c>
      <c r="J1421" s="55" t="s">
        <v>360</v>
      </c>
      <c r="K1421" s="55" t="s">
        <v>360</v>
      </c>
      <c r="L1421" s="55" t="s">
        <v>360</v>
      </c>
      <c r="M1421" s="55" t="s">
        <v>144</v>
      </c>
      <c r="N1421" s="55" t="s">
        <v>144</v>
      </c>
      <c r="O1421" s="55" t="s">
        <v>209</v>
      </c>
      <c r="P1421" s="55" t="s">
        <v>777</v>
      </c>
      <c r="Q1421" s="55" t="s">
        <v>350</v>
      </c>
      <c r="R1421" s="55">
        <v>2</v>
      </c>
      <c r="S1421" s="55"/>
      <c r="T1421" s="55" t="s">
        <v>2105</v>
      </c>
    </row>
    <row r="1422" spans="1:20" ht="13" x14ac:dyDescent="0.15">
      <c r="A1422" s="72" t="str">
        <f t="shared" si="22"/>
        <v>Ofsted Social Care Provider Webpage</v>
      </c>
      <c r="B1422" s="55">
        <v>2631163</v>
      </c>
      <c r="D1422" s="55" t="s">
        <v>389</v>
      </c>
      <c r="E1422" s="74">
        <v>44340</v>
      </c>
      <c r="F1422" s="55" t="s">
        <v>344</v>
      </c>
      <c r="G1422" s="55" t="s">
        <v>2106</v>
      </c>
      <c r="H1422" s="55" t="s">
        <v>2107</v>
      </c>
      <c r="I1422" s="55" t="s">
        <v>2108</v>
      </c>
      <c r="J1422" s="55" t="s">
        <v>1189</v>
      </c>
      <c r="K1422" s="55" t="s">
        <v>1746</v>
      </c>
      <c r="L1422" s="55" t="s">
        <v>2109</v>
      </c>
      <c r="M1422" s="55" t="s">
        <v>129</v>
      </c>
      <c r="N1422" s="55" t="s">
        <v>129</v>
      </c>
      <c r="O1422" s="55" t="s">
        <v>192</v>
      </c>
      <c r="P1422" s="55" t="s">
        <v>1191</v>
      </c>
      <c r="Q1422" s="55" t="s">
        <v>350</v>
      </c>
      <c r="R1422" s="55"/>
      <c r="S1422" s="55"/>
      <c r="T1422" s="55" t="s">
        <v>2106</v>
      </c>
    </row>
    <row r="1423" spans="1:20" ht="13" x14ac:dyDescent="0.15">
      <c r="A1423" s="72" t="str">
        <f t="shared" si="22"/>
        <v>Ofsted Social Care Provider Webpage</v>
      </c>
      <c r="B1423" s="55">
        <v>2631221</v>
      </c>
      <c r="D1423" s="55" t="s">
        <v>373</v>
      </c>
      <c r="E1423" s="74">
        <v>44334</v>
      </c>
      <c r="F1423" s="55" t="s">
        <v>344</v>
      </c>
      <c r="G1423" s="55" t="s">
        <v>360</v>
      </c>
      <c r="H1423" s="55" t="s">
        <v>360</v>
      </c>
      <c r="I1423" s="55" t="s">
        <v>360</v>
      </c>
      <c r="J1423" s="55" t="s">
        <v>360</v>
      </c>
      <c r="K1423" s="55" t="s">
        <v>360</v>
      </c>
      <c r="L1423" s="55" t="s">
        <v>360</v>
      </c>
      <c r="M1423" s="55" t="s">
        <v>144</v>
      </c>
      <c r="N1423" s="55" t="s">
        <v>144</v>
      </c>
      <c r="O1423" s="55" t="s">
        <v>168</v>
      </c>
      <c r="P1423" s="55" t="s">
        <v>2110</v>
      </c>
      <c r="Q1423" s="55" t="s">
        <v>350</v>
      </c>
      <c r="R1423" s="55">
        <v>1</v>
      </c>
      <c r="S1423" s="55"/>
      <c r="T1423" s="55" t="s">
        <v>2111</v>
      </c>
    </row>
    <row r="1424" spans="1:20" ht="13" x14ac:dyDescent="0.15">
      <c r="A1424" s="72" t="str">
        <f t="shared" si="22"/>
        <v>Ofsted Social Care Provider Webpage</v>
      </c>
      <c r="B1424" s="55">
        <v>2631595</v>
      </c>
      <c r="D1424" s="55" t="s">
        <v>373</v>
      </c>
      <c r="E1424" s="74">
        <v>44333</v>
      </c>
      <c r="F1424" s="55" t="s">
        <v>344</v>
      </c>
      <c r="G1424" s="55" t="s">
        <v>360</v>
      </c>
      <c r="H1424" s="55" t="s">
        <v>360</v>
      </c>
      <c r="I1424" s="55" t="s">
        <v>360</v>
      </c>
      <c r="J1424" s="55" t="s">
        <v>360</v>
      </c>
      <c r="K1424" s="55" t="s">
        <v>360</v>
      </c>
      <c r="L1424" s="55" t="s">
        <v>360</v>
      </c>
      <c r="M1424" s="55" t="s">
        <v>138</v>
      </c>
      <c r="N1424" s="55" t="s">
        <v>138</v>
      </c>
      <c r="O1424" s="55" t="s">
        <v>159</v>
      </c>
      <c r="P1424" s="55" t="s">
        <v>633</v>
      </c>
      <c r="Q1424" s="55" t="s">
        <v>350</v>
      </c>
      <c r="R1424" s="55">
        <v>5</v>
      </c>
      <c r="S1424" s="55"/>
      <c r="T1424" s="55" t="s">
        <v>385</v>
      </c>
    </row>
    <row r="1425" spans="1:20" ht="13" x14ac:dyDescent="0.15">
      <c r="A1425" s="72" t="str">
        <f t="shared" si="22"/>
        <v>Ofsted Social Care Provider Webpage</v>
      </c>
      <c r="B1425" s="55">
        <v>2631690</v>
      </c>
      <c r="D1425" s="55" t="s">
        <v>373</v>
      </c>
      <c r="E1425" s="74">
        <v>44315</v>
      </c>
      <c r="F1425" s="55" t="s">
        <v>344</v>
      </c>
      <c r="G1425" s="55" t="s">
        <v>360</v>
      </c>
      <c r="H1425" s="55" t="s">
        <v>360</v>
      </c>
      <c r="I1425" s="55" t="s">
        <v>360</v>
      </c>
      <c r="J1425" s="55" t="s">
        <v>360</v>
      </c>
      <c r="K1425" s="55" t="s">
        <v>360</v>
      </c>
      <c r="L1425" s="55" t="s">
        <v>360</v>
      </c>
      <c r="M1425" s="55" t="s">
        <v>142</v>
      </c>
      <c r="N1425" s="55" t="s">
        <v>142</v>
      </c>
      <c r="O1425" s="55" t="s">
        <v>195</v>
      </c>
      <c r="P1425" s="55" t="s">
        <v>518</v>
      </c>
      <c r="Q1425" s="55" t="s">
        <v>350</v>
      </c>
      <c r="R1425" s="55">
        <v>3</v>
      </c>
      <c r="S1425" s="55"/>
      <c r="T1425" s="55" t="s">
        <v>1115</v>
      </c>
    </row>
    <row r="1426" spans="1:20" ht="13" x14ac:dyDescent="0.15">
      <c r="A1426" s="72" t="str">
        <f t="shared" si="22"/>
        <v>Ofsted Social Care Provider Webpage</v>
      </c>
      <c r="B1426" s="55">
        <v>2631698</v>
      </c>
      <c r="D1426" s="55" t="s">
        <v>373</v>
      </c>
      <c r="E1426" s="74">
        <v>44501</v>
      </c>
      <c r="F1426" s="55" t="s">
        <v>344</v>
      </c>
      <c r="G1426" s="55" t="s">
        <v>360</v>
      </c>
      <c r="H1426" s="55" t="s">
        <v>360</v>
      </c>
      <c r="I1426" s="55" t="s">
        <v>360</v>
      </c>
      <c r="J1426" s="55" t="s">
        <v>360</v>
      </c>
      <c r="K1426" s="55" t="s">
        <v>360</v>
      </c>
      <c r="L1426" s="55" t="s">
        <v>360</v>
      </c>
      <c r="M1426" s="55" t="s">
        <v>142</v>
      </c>
      <c r="N1426" s="55" t="s">
        <v>142</v>
      </c>
      <c r="O1426" s="55" t="s">
        <v>262</v>
      </c>
      <c r="P1426" s="55" t="s">
        <v>1215</v>
      </c>
      <c r="Q1426" s="55" t="s">
        <v>350</v>
      </c>
      <c r="R1426" s="55">
        <v>3</v>
      </c>
      <c r="S1426" s="55"/>
      <c r="T1426" s="55" t="s">
        <v>2112</v>
      </c>
    </row>
    <row r="1427" spans="1:20" ht="13" x14ac:dyDescent="0.15">
      <c r="A1427" s="72" t="str">
        <f t="shared" si="22"/>
        <v>Ofsted Social Care Provider Webpage</v>
      </c>
      <c r="B1427" s="55">
        <v>2632092</v>
      </c>
      <c r="D1427" s="55" t="s">
        <v>373</v>
      </c>
      <c r="E1427" s="74">
        <v>44305</v>
      </c>
      <c r="F1427" s="55" t="s">
        <v>344</v>
      </c>
      <c r="G1427" s="55" t="s">
        <v>360</v>
      </c>
      <c r="H1427" s="55" t="s">
        <v>360</v>
      </c>
      <c r="I1427" s="55" t="s">
        <v>360</v>
      </c>
      <c r="J1427" s="55" t="s">
        <v>360</v>
      </c>
      <c r="K1427" s="55" t="s">
        <v>360</v>
      </c>
      <c r="L1427" s="55" t="s">
        <v>360</v>
      </c>
      <c r="M1427" s="55" t="s">
        <v>378</v>
      </c>
      <c r="N1427" s="55" t="s">
        <v>134</v>
      </c>
      <c r="O1427" s="55" t="s">
        <v>206</v>
      </c>
      <c r="P1427" s="55" t="s">
        <v>750</v>
      </c>
      <c r="Q1427" s="55" t="s">
        <v>350</v>
      </c>
      <c r="R1427" s="55">
        <v>2</v>
      </c>
      <c r="S1427" s="55"/>
      <c r="T1427" s="55" t="s">
        <v>485</v>
      </c>
    </row>
    <row r="1428" spans="1:20" ht="13" x14ac:dyDescent="0.15">
      <c r="A1428" s="72" t="str">
        <f t="shared" si="22"/>
        <v>Ofsted Social Care Provider Webpage</v>
      </c>
      <c r="B1428" s="55">
        <v>2632330</v>
      </c>
      <c r="D1428" s="55" t="s">
        <v>373</v>
      </c>
      <c r="E1428" s="74">
        <v>44302</v>
      </c>
      <c r="F1428" s="55" t="s">
        <v>344</v>
      </c>
      <c r="G1428" s="55" t="s">
        <v>360</v>
      </c>
      <c r="H1428" s="55" t="s">
        <v>360</v>
      </c>
      <c r="I1428" s="55" t="s">
        <v>360</v>
      </c>
      <c r="J1428" s="55" t="s">
        <v>360</v>
      </c>
      <c r="K1428" s="55" t="s">
        <v>360</v>
      </c>
      <c r="L1428" s="55" t="s">
        <v>360</v>
      </c>
      <c r="M1428" s="55" t="s">
        <v>138</v>
      </c>
      <c r="N1428" s="55" t="s">
        <v>138</v>
      </c>
      <c r="O1428" s="55" t="s">
        <v>238</v>
      </c>
      <c r="P1428" s="55" t="s">
        <v>238</v>
      </c>
      <c r="Q1428" s="55" t="s">
        <v>350</v>
      </c>
      <c r="R1428" s="55">
        <v>4</v>
      </c>
      <c r="S1428" s="55"/>
      <c r="T1428" s="55" t="s">
        <v>2113</v>
      </c>
    </row>
    <row r="1429" spans="1:20" ht="13" x14ac:dyDescent="0.15">
      <c r="A1429" s="72" t="str">
        <f t="shared" si="22"/>
        <v>Ofsted Social Care Provider Webpage</v>
      </c>
      <c r="B1429" s="55">
        <v>2632726</v>
      </c>
      <c r="D1429" s="55" t="s">
        <v>373</v>
      </c>
      <c r="E1429" s="74">
        <v>44521</v>
      </c>
      <c r="F1429" s="55" t="s">
        <v>344</v>
      </c>
      <c r="G1429" s="55" t="s">
        <v>360</v>
      </c>
      <c r="H1429" s="55" t="s">
        <v>360</v>
      </c>
      <c r="I1429" s="55" t="s">
        <v>360</v>
      </c>
      <c r="J1429" s="55" t="s">
        <v>360</v>
      </c>
      <c r="K1429" s="55" t="s">
        <v>360</v>
      </c>
      <c r="L1429" s="55" t="s">
        <v>360</v>
      </c>
      <c r="M1429" s="55" t="s">
        <v>378</v>
      </c>
      <c r="N1429" s="55" t="s">
        <v>170</v>
      </c>
      <c r="O1429" s="55" t="s">
        <v>184</v>
      </c>
      <c r="P1429" s="55" t="s">
        <v>184</v>
      </c>
      <c r="Q1429" s="55" t="s">
        <v>350</v>
      </c>
      <c r="R1429" s="55">
        <v>3</v>
      </c>
      <c r="S1429" s="55"/>
      <c r="T1429" s="55" t="s">
        <v>2114</v>
      </c>
    </row>
    <row r="1430" spans="1:20" ht="13" x14ac:dyDescent="0.15">
      <c r="A1430" s="72" t="str">
        <f t="shared" si="22"/>
        <v>Ofsted Social Care Provider Webpage</v>
      </c>
      <c r="B1430" s="55">
        <v>2632727</v>
      </c>
      <c r="D1430" s="55" t="s">
        <v>373</v>
      </c>
      <c r="E1430" s="74">
        <v>44393</v>
      </c>
      <c r="F1430" s="55" t="s">
        <v>344</v>
      </c>
      <c r="G1430" s="55" t="s">
        <v>360</v>
      </c>
      <c r="H1430" s="55" t="s">
        <v>360</v>
      </c>
      <c r="I1430" s="55" t="s">
        <v>360</v>
      </c>
      <c r="J1430" s="55" t="s">
        <v>360</v>
      </c>
      <c r="K1430" s="55" t="s">
        <v>360</v>
      </c>
      <c r="L1430" s="55" t="s">
        <v>360</v>
      </c>
      <c r="M1430" s="55" t="s">
        <v>144</v>
      </c>
      <c r="N1430" s="55" t="s">
        <v>144</v>
      </c>
      <c r="O1430" s="55" t="s">
        <v>209</v>
      </c>
      <c r="P1430" s="55" t="s">
        <v>597</v>
      </c>
      <c r="Q1430" s="55" t="s">
        <v>362</v>
      </c>
      <c r="R1430" s="55">
        <v>2</v>
      </c>
      <c r="S1430" s="55"/>
      <c r="T1430" s="55" t="s">
        <v>2115</v>
      </c>
    </row>
    <row r="1431" spans="1:20" ht="13" x14ac:dyDescent="0.15">
      <c r="A1431" s="72" t="str">
        <f t="shared" si="22"/>
        <v>Ofsted Social Care Provider Webpage</v>
      </c>
      <c r="B1431" s="55">
        <v>2632917</v>
      </c>
      <c r="D1431" s="55" t="s">
        <v>373</v>
      </c>
      <c r="E1431" s="74">
        <v>44298</v>
      </c>
      <c r="F1431" s="55" t="s">
        <v>344</v>
      </c>
      <c r="G1431" s="55" t="s">
        <v>360</v>
      </c>
      <c r="H1431" s="55" t="s">
        <v>360</v>
      </c>
      <c r="I1431" s="55" t="s">
        <v>360</v>
      </c>
      <c r="J1431" s="55" t="s">
        <v>360</v>
      </c>
      <c r="K1431" s="55" t="s">
        <v>360</v>
      </c>
      <c r="L1431" s="55" t="s">
        <v>360</v>
      </c>
      <c r="M1431" s="55" t="s">
        <v>136</v>
      </c>
      <c r="N1431" s="55" t="s">
        <v>136</v>
      </c>
      <c r="O1431" s="55" t="s">
        <v>255</v>
      </c>
      <c r="P1431" s="55" t="s">
        <v>757</v>
      </c>
      <c r="Q1431" s="55" t="s">
        <v>350</v>
      </c>
      <c r="R1431" s="55">
        <v>2</v>
      </c>
      <c r="S1431" s="55"/>
      <c r="T1431" s="55" t="s">
        <v>721</v>
      </c>
    </row>
    <row r="1432" spans="1:20" ht="13" x14ac:dyDescent="0.15">
      <c r="A1432" s="72" t="str">
        <f t="shared" si="22"/>
        <v>Ofsted Social Care Provider Webpage</v>
      </c>
      <c r="B1432" s="55">
        <v>2633026</v>
      </c>
      <c r="D1432" s="55" t="s">
        <v>373</v>
      </c>
      <c r="E1432" s="74">
        <v>44414</v>
      </c>
      <c r="F1432" s="55" t="s">
        <v>344</v>
      </c>
      <c r="G1432" s="55" t="s">
        <v>360</v>
      </c>
      <c r="H1432" s="55" t="s">
        <v>360</v>
      </c>
      <c r="I1432" s="55" t="s">
        <v>360</v>
      </c>
      <c r="J1432" s="55" t="s">
        <v>360</v>
      </c>
      <c r="K1432" s="55" t="s">
        <v>360</v>
      </c>
      <c r="L1432" s="55" t="s">
        <v>360</v>
      </c>
      <c r="M1432" s="55" t="s">
        <v>172</v>
      </c>
      <c r="N1432" s="55" t="s">
        <v>172</v>
      </c>
      <c r="O1432" s="55" t="s">
        <v>235</v>
      </c>
      <c r="P1432" s="55" t="s">
        <v>1036</v>
      </c>
      <c r="Q1432" s="55" t="s">
        <v>350</v>
      </c>
      <c r="R1432" s="55">
        <v>1</v>
      </c>
      <c r="S1432" s="55"/>
      <c r="T1432" s="55" t="s">
        <v>2116</v>
      </c>
    </row>
    <row r="1433" spans="1:20" ht="13" x14ac:dyDescent="0.15">
      <c r="A1433" s="72" t="str">
        <f t="shared" si="22"/>
        <v>Ofsted Social Care Provider Webpage</v>
      </c>
      <c r="B1433" s="55">
        <v>2633107</v>
      </c>
      <c r="D1433" s="55" t="s">
        <v>373</v>
      </c>
      <c r="E1433" s="74">
        <v>44398</v>
      </c>
      <c r="F1433" s="55" t="s">
        <v>344</v>
      </c>
      <c r="G1433" s="55" t="s">
        <v>360</v>
      </c>
      <c r="H1433" s="55" t="s">
        <v>360</v>
      </c>
      <c r="I1433" s="55" t="s">
        <v>360</v>
      </c>
      <c r="J1433" s="55" t="s">
        <v>360</v>
      </c>
      <c r="K1433" s="55" t="s">
        <v>360</v>
      </c>
      <c r="L1433" s="55" t="s">
        <v>360</v>
      </c>
      <c r="M1433" s="55" t="s">
        <v>150</v>
      </c>
      <c r="N1433" s="55" t="s">
        <v>150</v>
      </c>
      <c r="O1433" s="55" t="s">
        <v>268</v>
      </c>
      <c r="P1433" s="55" t="s">
        <v>1771</v>
      </c>
      <c r="Q1433" s="55" t="s">
        <v>350</v>
      </c>
      <c r="R1433" s="55">
        <v>4</v>
      </c>
      <c r="S1433" s="55"/>
      <c r="T1433" s="55" t="s">
        <v>2117</v>
      </c>
    </row>
    <row r="1434" spans="1:20" ht="13" x14ac:dyDescent="0.15">
      <c r="A1434" s="72" t="str">
        <f t="shared" si="22"/>
        <v>Ofsted Social Care Provider Webpage</v>
      </c>
      <c r="B1434" s="55">
        <v>2633117</v>
      </c>
      <c r="D1434" s="55" t="s">
        <v>373</v>
      </c>
      <c r="E1434" s="74">
        <v>44307</v>
      </c>
      <c r="F1434" s="55" t="s">
        <v>344</v>
      </c>
      <c r="G1434" s="55" t="s">
        <v>360</v>
      </c>
      <c r="H1434" s="55" t="s">
        <v>360</v>
      </c>
      <c r="I1434" s="55" t="s">
        <v>360</v>
      </c>
      <c r="J1434" s="55" t="s">
        <v>360</v>
      </c>
      <c r="K1434" s="55" t="s">
        <v>360</v>
      </c>
      <c r="L1434" s="55" t="s">
        <v>360</v>
      </c>
      <c r="M1434" s="55" t="s">
        <v>172</v>
      </c>
      <c r="N1434" s="55" t="s">
        <v>172</v>
      </c>
      <c r="O1434" s="55" t="s">
        <v>212</v>
      </c>
      <c r="P1434" s="55" t="s">
        <v>714</v>
      </c>
      <c r="Q1434" s="55" t="s">
        <v>350</v>
      </c>
      <c r="R1434" s="55">
        <v>3</v>
      </c>
      <c r="S1434" s="55"/>
      <c r="T1434" s="55" t="s">
        <v>2118</v>
      </c>
    </row>
    <row r="1435" spans="1:20" ht="13" x14ac:dyDescent="0.15">
      <c r="A1435" s="72" t="str">
        <f t="shared" si="22"/>
        <v>Ofsted Social Care Provider Webpage</v>
      </c>
      <c r="B1435" s="55">
        <v>2633127</v>
      </c>
      <c r="D1435" s="55" t="s">
        <v>373</v>
      </c>
      <c r="E1435" s="74">
        <v>44390</v>
      </c>
      <c r="F1435" s="55" t="s">
        <v>344</v>
      </c>
      <c r="G1435" s="55" t="s">
        <v>360</v>
      </c>
      <c r="H1435" s="55" t="s">
        <v>360</v>
      </c>
      <c r="I1435" s="55" t="s">
        <v>360</v>
      </c>
      <c r="J1435" s="55" t="s">
        <v>360</v>
      </c>
      <c r="K1435" s="55" t="s">
        <v>360</v>
      </c>
      <c r="L1435" s="55" t="s">
        <v>360</v>
      </c>
      <c r="M1435" s="55" t="s">
        <v>142</v>
      </c>
      <c r="N1435" s="55" t="s">
        <v>142</v>
      </c>
      <c r="O1435" s="55" t="s">
        <v>292</v>
      </c>
      <c r="P1435" s="55" t="s">
        <v>976</v>
      </c>
      <c r="Q1435" s="55" t="s">
        <v>350</v>
      </c>
      <c r="R1435" s="55">
        <v>4</v>
      </c>
      <c r="S1435" s="55"/>
      <c r="T1435" s="55" t="s">
        <v>644</v>
      </c>
    </row>
    <row r="1436" spans="1:20" ht="13" x14ac:dyDescent="0.15">
      <c r="A1436" s="72" t="str">
        <f t="shared" si="22"/>
        <v>Ofsted Social Care Provider Webpage</v>
      </c>
      <c r="B1436" s="55">
        <v>2633398</v>
      </c>
      <c r="D1436" s="55" t="s">
        <v>373</v>
      </c>
      <c r="E1436" s="74">
        <v>44407</v>
      </c>
      <c r="F1436" s="55" t="s">
        <v>344</v>
      </c>
      <c r="G1436" s="55" t="s">
        <v>360</v>
      </c>
      <c r="H1436" s="55" t="s">
        <v>360</v>
      </c>
      <c r="I1436" s="55" t="s">
        <v>360</v>
      </c>
      <c r="J1436" s="55" t="s">
        <v>360</v>
      </c>
      <c r="K1436" s="55" t="s">
        <v>360</v>
      </c>
      <c r="L1436" s="55" t="s">
        <v>360</v>
      </c>
      <c r="M1436" s="55" t="s">
        <v>142</v>
      </c>
      <c r="N1436" s="55" t="s">
        <v>142</v>
      </c>
      <c r="O1436" s="55" t="s">
        <v>272</v>
      </c>
      <c r="P1436" s="55" t="s">
        <v>653</v>
      </c>
      <c r="Q1436" s="55" t="s">
        <v>350</v>
      </c>
      <c r="R1436" s="55">
        <v>2</v>
      </c>
      <c r="S1436" s="55"/>
      <c r="T1436" s="55" t="s">
        <v>2119</v>
      </c>
    </row>
    <row r="1437" spans="1:20" ht="13" x14ac:dyDescent="0.15">
      <c r="A1437" s="72" t="str">
        <f t="shared" si="22"/>
        <v>Ofsted Social Care Provider Webpage</v>
      </c>
      <c r="B1437" s="55">
        <v>2633410</v>
      </c>
      <c r="D1437" s="55" t="s">
        <v>373</v>
      </c>
      <c r="E1437" s="74">
        <v>44326</v>
      </c>
      <c r="F1437" s="55" t="s">
        <v>344</v>
      </c>
      <c r="G1437" s="55" t="s">
        <v>360</v>
      </c>
      <c r="H1437" s="55" t="s">
        <v>360</v>
      </c>
      <c r="I1437" s="55" t="s">
        <v>360</v>
      </c>
      <c r="J1437" s="55" t="s">
        <v>360</v>
      </c>
      <c r="K1437" s="55" t="s">
        <v>360</v>
      </c>
      <c r="L1437" s="55" t="s">
        <v>360</v>
      </c>
      <c r="M1437" s="55" t="s">
        <v>136</v>
      </c>
      <c r="N1437" s="55" t="s">
        <v>136</v>
      </c>
      <c r="O1437" s="55" t="s">
        <v>165</v>
      </c>
      <c r="P1437" s="55" t="s">
        <v>699</v>
      </c>
      <c r="Q1437" s="55" t="s">
        <v>380</v>
      </c>
      <c r="R1437" s="55">
        <v>3</v>
      </c>
      <c r="S1437" s="55"/>
      <c r="T1437" s="55" t="s">
        <v>2120</v>
      </c>
    </row>
    <row r="1438" spans="1:20" ht="13" x14ac:dyDescent="0.15">
      <c r="A1438" s="72" t="str">
        <f t="shared" si="22"/>
        <v>Ofsted Social Care Provider Webpage</v>
      </c>
      <c r="B1438" s="55">
        <v>2633498</v>
      </c>
      <c r="D1438" s="55" t="s">
        <v>373</v>
      </c>
      <c r="E1438" s="74">
        <v>44263</v>
      </c>
      <c r="F1438" s="55" t="s">
        <v>344</v>
      </c>
      <c r="G1438" s="55" t="s">
        <v>360</v>
      </c>
      <c r="H1438" s="55" t="s">
        <v>360</v>
      </c>
      <c r="I1438" s="55" t="s">
        <v>360</v>
      </c>
      <c r="J1438" s="55" t="s">
        <v>360</v>
      </c>
      <c r="K1438" s="55" t="s">
        <v>360</v>
      </c>
      <c r="L1438" s="55" t="s">
        <v>360</v>
      </c>
      <c r="M1438" s="55" t="s">
        <v>142</v>
      </c>
      <c r="N1438" s="55" t="s">
        <v>142</v>
      </c>
      <c r="O1438" s="55" t="s">
        <v>292</v>
      </c>
      <c r="P1438" s="55" t="s">
        <v>1162</v>
      </c>
      <c r="Q1438" s="55" t="s">
        <v>350</v>
      </c>
      <c r="R1438" s="55">
        <v>2</v>
      </c>
      <c r="S1438" s="55"/>
      <c r="T1438" s="55" t="s">
        <v>1127</v>
      </c>
    </row>
    <row r="1439" spans="1:20" ht="13" x14ac:dyDescent="0.15">
      <c r="A1439" s="72" t="str">
        <f t="shared" si="22"/>
        <v>Ofsted Social Care Provider Webpage</v>
      </c>
      <c r="B1439" s="55">
        <v>2633602</v>
      </c>
      <c r="D1439" s="55" t="s">
        <v>373</v>
      </c>
      <c r="E1439" s="74">
        <v>44287</v>
      </c>
      <c r="F1439" s="55" t="s">
        <v>344</v>
      </c>
      <c r="G1439" s="55" t="s">
        <v>360</v>
      </c>
      <c r="H1439" s="55" t="s">
        <v>360</v>
      </c>
      <c r="I1439" s="55" t="s">
        <v>360</v>
      </c>
      <c r="J1439" s="55" t="s">
        <v>360</v>
      </c>
      <c r="K1439" s="55" t="s">
        <v>360</v>
      </c>
      <c r="L1439" s="55" t="s">
        <v>360</v>
      </c>
      <c r="M1439" s="55" t="s">
        <v>378</v>
      </c>
      <c r="N1439" s="55" t="s">
        <v>134</v>
      </c>
      <c r="O1439" s="55" t="s">
        <v>204</v>
      </c>
      <c r="P1439" s="55" t="s">
        <v>1920</v>
      </c>
      <c r="Q1439" s="55" t="s">
        <v>380</v>
      </c>
      <c r="R1439" s="55">
        <v>4</v>
      </c>
      <c r="S1439" s="55"/>
      <c r="T1439" s="55" t="s">
        <v>1479</v>
      </c>
    </row>
    <row r="1440" spans="1:20" ht="13" x14ac:dyDescent="0.15">
      <c r="A1440" s="72" t="str">
        <f t="shared" si="22"/>
        <v>Ofsted Social Care Provider Webpage</v>
      </c>
      <c r="B1440" s="55">
        <v>2633617</v>
      </c>
      <c r="D1440" s="55" t="s">
        <v>373</v>
      </c>
      <c r="E1440" s="74">
        <v>44340</v>
      </c>
      <c r="F1440" s="55" t="s">
        <v>344</v>
      </c>
      <c r="G1440" s="55" t="s">
        <v>360</v>
      </c>
      <c r="H1440" s="55" t="s">
        <v>360</v>
      </c>
      <c r="I1440" s="55" t="s">
        <v>360</v>
      </c>
      <c r="J1440" s="55" t="s">
        <v>360</v>
      </c>
      <c r="K1440" s="55" t="s">
        <v>360</v>
      </c>
      <c r="L1440" s="55" t="s">
        <v>360</v>
      </c>
      <c r="M1440" s="55" t="s">
        <v>172</v>
      </c>
      <c r="N1440" s="55" t="s">
        <v>172</v>
      </c>
      <c r="O1440" s="55" t="s">
        <v>173</v>
      </c>
      <c r="P1440" s="55" t="s">
        <v>1069</v>
      </c>
      <c r="Q1440" s="55" t="s">
        <v>350</v>
      </c>
      <c r="R1440" s="55">
        <v>2</v>
      </c>
      <c r="S1440" s="55"/>
      <c r="T1440" s="55" t="s">
        <v>385</v>
      </c>
    </row>
    <row r="1441" spans="1:20" ht="13" x14ac:dyDescent="0.15">
      <c r="A1441" s="72" t="str">
        <f t="shared" si="22"/>
        <v>Ofsted Social Care Provider Webpage</v>
      </c>
      <c r="B1441" s="55">
        <v>2633744</v>
      </c>
      <c r="D1441" s="55" t="s">
        <v>373</v>
      </c>
      <c r="E1441" s="74">
        <v>44355</v>
      </c>
      <c r="F1441" s="55" t="s">
        <v>344</v>
      </c>
      <c r="G1441" s="55" t="s">
        <v>360</v>
      </c>
      <c r="H1441" s="55" t="s">
        <v>360</v>
      </c>
      <c r="I1441" s="55" t="s">
        <v>360</v>
      </c>
      <c r="J1441" s="55" t="s">
        <v>360</v>
      </c>
      <c r="K1441" s="55" t="s">
        <v>360</v>
      </c>
      <c r="L1441" s="55" t="s">
        <v>360</v>
      </c>
      <c r="M1441" s="55" t="s">
        <v>142</v>
      </c>
      <c r="N1441" s="55" t="s">
        <v>142</v>
      </c>
      <c r="O1441" s="55" t="s">
        <v>293</v>
      </c>
      <c r="P1441" s="55" t="s">
        <v>1422</v>
      </c>
      <c r="Q1441" s="55" t="s">
        <v>350</v>
      </c>
      <c r="R1441" s="55">
        <v>3</v>
      </c>
      <c r="S1441" s="55"/>
      <c r="T1441" s="55" t="s">
        <v>1813</v>
      </c>
    </row>
    <row r="1442" spans="1:20" ht="13" x14ac:dyDescent="0.15">
      <c r="A1442" s="72" t="str">
        <f t="shared" si="22"/>
        <v>Ofsted Social Care Provider Webpage</v>
      </c>
      <c r="B1442" s="55">
        <v>2633818</v>
      </c>
      <c r="D1442" s="55" t="s">
        <v>373</v>
      </c>
      <c r="E1442" s="74">
        <v>44393</v>
      </c>
      <c r="F1442" s="55" t="s">
        <v>344</v>
      </c>
      <c r="G1442" s="55" t="s">
        <v>360</v>
      </c>
      <c r="H1442" s="55" t="s">
        <v>360</v>
      </c>
      <c r="I1442" s="55" t="s">
        <v>360</v>
      </c>
      <c r="J1442" s="55" t="s">
        <v>360</v>
      </c>
      <c r="K1442" s="55" t="s">
        <v>360</v>
      </c>
      <c r="L1442" s="55" t="s">
        <v>360</v>
      </c>
      <c r="M1442" s="55" t="s">
        <v>144</v>
      </c>
      <c r="N1442" s="55" t="s">
        <v>144</v>
      </c>
      <c r="O1442" s="55" t="s">
        <v>215</v>
      </c>
      <c r="P1442" s="55" t="s">
        <v>655</v>
      </c>
      <c r="Q1442" s="55" t="s">
        <v>362</v>
      </c>
      <c r="R1442" s="55">
        <v>3</v>
      </c>
      <c r="S1442" s="55"/>
      <c r="T1442" s="55" t="s">
        <v>2121</v>
      </c>
    </row>
    <row r="1443" spans="1:20" ht="13" x14ac:dyDescent="0.15">
      <c r="A1443" s="72" t="str">
        <f t="shared" si="22"/>
        <v>Ofsted Social Care Provider Webpage</v>
      </c>
      <c r="B1443" s="55">
        <v>2634272</v>
      </c>
      <c r="D1443" s="55" t="s">
        <v>373</v>
      </c>
      <c r="E1443" s="74">
        <v>44390</v>
      </c>
      <c r="F1443" s="55" t="s">
        <v>344</v>
      </c>
      <c r="G1443" s="55" t="s">
        <v>360</v>
      </c>
      <c r="H1443" s="55" t="s">
        <v>360</v>
      </c>
      <c r="I1443" s="55" t="s">
        <v>360</v>
      </c>
      <c r="J1443" s="55" t="s">
        <v>360</v>
      </c>
      <c r="K1443" s="55" t="s">
        <v>360</v>
      </c>
      <c r="L1443" s="55" t="s">
        <v>360</v>
      </c>
      <c r="M1443" s="55" t="s">
        <v>144</v>
      </c>
      <c r="N1443" s="55" t="s">
        <v>144</v>
      </c>
      <c r="O1443" s="55" t="s">
        <v>215</v>
      </c>
      <c r="P1443" s="55" t="s">
        <v>655</v>
      </c>
      <c r="Q1443" s="55" t="s">
        <v>350</v>
      </c>
      <c r="R1443" s="55">
        <v>3</v>
      </c>
      <c r="S1443" s="55"/>
      <c r="T1443" s="55" t="s">
        <v>2122</v>
      </c>
    </row>
    <row r="1444" spans="1:20" ht="13" x14ac:dyDescent="0.15">
      <c r="A1444" s="72" t="str">
        <f t="shared" si="22"/>
        <v>Ofsted Social Care Provider Webpage</v>
      </c>
      <c r="B1444" s="55">
        <v>2634397</v>
      </c>
      <c r="D1444" s="55" t="s">
        <v>373</v>
      </c>
      <c r="E1444" s="74">
        <v>44282</v>
      </c>
      <c r="F1444" s="55" t="s">
        <v>344</v>
      </c>
      <c r="G1444" s="55" t="s">
        <v>360</v>
      </c>
      <c r="H1444" s="55" t="s">
        <v>360</v>
      </c>
      <c r="I1444" s="55" t="s">
        <v>360</v>
      </c>
      <c r="J1444" s="55" t="s">
        <v>360</v>
      </c>
      <c r="K1444" s="55" t="s">
        <v>360</v>
      </c>
      <c r="L1444" s="55" t="s">
        <v>360</v>
      </c>
      <c r="M1444" s="55" t="s">
        <v>144</v>
      </c>
      <c r="N1444" s="55" t="s">
        <v>144</v>
      </c>
      <c r="O1444" s="55" t="s">
        <v>209</v>
      </c>
      <c r="P1444" s="55" t="s">
        <v>650</v>
      </c>
      <c r="Q1444" s="55" t="s">
        <v>350</v>
      </c>
      <c r="R1444" s="55">
        <v>1</v>
      </c>
      <c r="S1444" s="55"/>
      <c r="T1444" s="55" t="s">
        <v>1798</v>
      </c>
    </row>
    <row r="1445" spans="1:20" ht="13" x14ac:dyDescent="0.15">
      <c r="A1445" s="72" t="str">
        <f t="shared" si="22"/>
        <v>Ofsted Social Care Provider Webpage</v>
      </c>
      <c r="B1445" s="55">
        <v>2634624</v>
      </c>
      <c r="D1445" s="55" t="s">
        <v>373</v>
      </c>
      <c r="E1445" s="74">
        <v>44336</v>
      </c>
      <c r="F1445" s="55" t="s">
        <v>344</v>
      </c>
      <c r="G1445" s="55" t="s">
        <v>360</v>
      </c>
      <c r="H1445" s="55" t="s">
        <v>360</v>
      </c>
      <c r="I1445" s="55" t="s">
        <v>360</v>
      </c>
      <c r="J1445" s="55" t="s">
        <v>360</v>
      </c>
      <c r="K1445" s="55" t="s">
        <v>360</v>
      </c>
      <c r="L1445" s="55" t="s">
        <v>360</v>
      </c>
      <c r="M1445" s="55" t="s">
        <v>172</v>
      </c>
      <c r="N1445" s="55" t="s">
        <v>172</v>
      </c>
      <c r="O1445" s="55" t="s">
        <v>212</v>
      </c>
      <c r="P1445" s="55" t="s">
        <v>842</v>
      </c>
      <c r="Q1445" s="55" t="s">
        <v>350</v>
      </c>
      <c r="R1445" s="55">
        <v>1</v>
      </c>
      <c r="S1445" s="55"/>
      <c r="T1445" s="55" t="s">
        <v>517</v>
      </c>
    </row>
    <row r="1446" spans="1:20" ht="13" x14ac:dyDescent="0.15">
      <c r="A1446" s="72" t="str">
        <f t="shared" si="22"/>
        <v>Ofsted Social Care Provider Webpage</v>
      </c>
      <c r="B1446" s="55">
        <v>2634633</v>
      </c>
      <c r="D1446" s="55" t="s">
        <v>373</v>
      </c>
      <c r="E1446" s="74">
        <v>44593</v>
      </c>
      <c r="F1446" s="55" t="s">
        <v>344</v>
      </c>
      <c r="G1446" s="55" t="s">
        <v>360</v>
      </c>
      <c r="H1446" s="55" t="s">
        <v>360</v>
      </c>
      <c r="I1446" s="55" t="s">
        <v>360</v>
      </c>
      <c r="J1446" s="55" t="s">
        <v>360</v>
      </c>
      <c r="K1446" s="55" t="s">
        <v>360</v>
      </c>
      <c r="L1446" s="55" t="s">
        <v>360</v>
      </c>
      <c r="M1446" s="55" t="s">
        <v>136</v>
      </c>
      <c r="N1446" s="55" t="s">
        <v>136</v>
      </c>
      <c r="O1446" s="55" t="s">
        <v>255</v>
      </c>
      <c r="P1446" s="55" t="s">
        <v>583</v>
      </c>
      <c r="Q1446" s="55" t="s">
        <v>350</v>
      </c>
      <c r="R1446" s="55">
        <v>2</v>
      </c>
      <c r="S1446" s="55"/>
      <c r="T1446" s="55" t="s">
        <v>2123</v>
      </c>
    </row>
    <row r="1447" spans="1:20" ht="13" x14ac:dyDescent="0.15">
      <c r="A1447" s="72" t="str">
        <f t="shared" si="22"/>
        <v>Ofsted Social Care Provider Webpage</v>
      </c>
      <c r="B1447" s="55">
        <v>2634698</v>
      </c>
      <c r="D1447" s="55" t="s">
        <v>373</v>
      </c>
      <c r="E1447" s="74">
        <v>44353</v>
      </c>
      <c r="F1447" s="55" t="s">
        <v>344</v>
      </c>
      <c r="G1447" s="55" t="s">
        <v>360</v>
      </c>
      <c r="H1447" s="55" t="s">
        <v>360</v>
      </c>
      <c r="I1447" s="55" t="s">
        <v>360</v>
      </c>
      <c r="J1447" s="55" t="s">
        <v>360</v>
      </c>
      <c r="K1447" s="55" t="s">
        <v>360</v>
      </c>
      <c r="L1447" s="55" t="s">
        <v>360</v>
      </c>
      <c r="M1447" s="55" t="s">
        <v>142</v>
      </c>
      <c r="N1447" s="55" t="s">
        <v>142</v>
      </c>
      <c r="O1447" s="55" t="s">
        <v>282</v>
      </c>
      <c r="P1447" s="55" t="s">
        <v>1812</v>
      </c>
      <c r="Q1447" s="55" t="s">
        <v>350</v>
      </c>
      <c r="R1447" s="55">
        <v>2</v>
      </c>
      <c r="S1447" s="55"/>
      <c r="T1447" s="55" t="s">
        <v>493</v>
      </c>
    </row>
    <row r="1448" spans="1:20" ht="13" x14ac:dyDescent="0.15">
      <c r="A1448" s="72" t="str">
        <f t="shared" si="22"/>
        <v>Ofsted Social Care Provider Webpage</v>
      </c>
      <c r="B1448" s="55">
        <v>2634720</v>
      </c>
      <c r="D1448" s="55" t="s">
        <v>373</v>
      </c>
      <c r="E1448" s="74">
        <v>44377</v>
      </c>
      <c r="F1448" s="55" t="s">
        <v>344</v>
      </c>
      <c r="G1448" s="55" t="s">
        <v>360</v>
      </c>
      <c r="H1448" s="55" t="s">
        <v>360</v>
      </c>
      <c r="I1448" s="55" t="s">
        <v>360</v>
      </c>
      <c r="J1448" s="55" t="s">
        <v>360</v>
      </c>
      <c r="K1448" s="55" t="s">
        <v>360</v>
      </c>
      <c r="L1448" s="55" t="s">
        <v>360</v>
      </c>
      <c r="M1448" s="55" t="s">
        <v>144</v>
      </c>
      <c r="N1448" s="55" t="s">
        <v>144</v>
      </c>
      <c r="O1448" s="55" t="s">
        <v>145</v>
      </c>
      <c r="P1448" s="55" t="s">
        <v>525</v>
      </c>
      <c r="Q1448" s="55" t="s">
        <v>350</v>
      </c>
      <c r="R1448" s="55">
        <v>2</v>
      </c>
      <c r="S1448" s="55"/>
      <c r="T1448" s="55" t="s">
        <v>485</v>
      </c>
    </row>
    <row r="1449" spans="1:20" ht="13" x14ac:dyDescent="0.15">
      <c r="A1449" s="72" t="str">
        <f t="shared" si="22"/>
        <v>Ofsted Social Care Provider Webpage</v>
      </c>
      <c r="B1449" s="55">
        <v>2634754</v>
      </c>
      <c r="D1449" s="55" t="s">
        <v>373</v>
      </c>
      <c r="E1449" s="74">
        <v>44284</v>
      </c>
      <c r="F1449" s="55" t="s">
        <v>344</v>
      </c>
      <c r="G1449" s="55" t="s">
        <v>360</v>
      </c>
      <c r="H1449" s="55" t="s">
        <v>360</v>
      </c>
      <c r="I1449" s="55" t="s">
        <v>360</v>
      </c>
      <c r="J1449" s="55" t="s">
        <v>360</v>
      </c>
      <c r="K1449" s="55" t="s">
        <v>360</v>
      </c>
      <c r="L1449" s="55" t="s">
        <v>360</v>
      </c>
      <c r="M1449" s="55" t="s">
        <v>378</v>
      </c>
      <c r="N1449" s="55" t="s">
        <v>134</v>
      </c>
      <c r="O1449" s="55" t="s">
        <v>210</v>
      </c>
      <c r="P1449" s="55" t="s">
        <v>1250</v>
      </c>
      <c r="Q1449" s="55" t="s">
        <v>350</v>
      </c>
      <c r="R1449" s="55">
        <v>3</v>
      </c>
      <c r="S1449" s="55"/>
      <c r="T1449" s="55" t="s">
        <v>385</v>
      </c>
    </row>
    <row r="1450" spans="1:20" ht="13" x14ac:dyDescent="0.15">
      <c r="A1450" s="72" t="str">
        <f t="shared" si="22"/>
        <v>Ofsted Social Care Provider Webpage</v>
      </c>
      <c r="B1450" s="55">
        <v>2634800</v>
      </c>
      <c r="D1450" s="55" t="s">
        <v>373</v>
      </c>
      <c r="E1450" s="74">
        <v>44348</v>
      </c>
      <c r="F1450" s="55" t="s">
        <v>344</v>
      </c>
      <c r="G1450" s="55" t="s">
        <v>360</v>
      </c>
      <c r="H1450" s="55" t="s">
        <v>360</v>
      </c>
      <c r="I1450" s="55" t="s">
        <v>360</v>
      </c>
      <c r="J1450" s="55" t="s">
        <v>360</v>
      </c>
      <c r="K1450" s="55" t="s">
        <v>360</v>
      </c>
      <c r="L1450" s="55" t="s">
        <v>360</v>
      </c>
      <c r="M1450" s="55" t="s">
        <v>144</v>
      </c>
      <c r="N1450" s="55" t="s">
        <v>144</v>
      </c>
      <c r="O1450" s="55" t="s">
        <v>145</v>
      </c>
      <c r="P1450" s="55" t="s">
        <v>525</v>
      </c>
      <c r="Q1450" s="55" t="s">
        <v>350</v>
      </c>
      <c r="R1450" s="55">
        <v>1</v>
      </c>
      <c r="S1450" s="55"/>
      <c r="T1450" s="55" t="s">
        <v>485</v>
      </c>
    </row>
    <row r="1451" spans="1:20" ht="13" x14ac:dyDescent="0.15">
      <c r="A1451" s="72" t="str">
        <f t="shared" si="22"/>
        <v>Ofsted Social Care Provider Webpage</v>
      </c>
      <c r="B1451" s="55">
        <v>2634911</v>
      </c>
      <c r="D1451" s="55" t="s">
        <v>373</v>
      </c>
      <c r="E1451" s="74">
        <v>44404</v>
      </c>
      <c r="F1451" s="55" t="s">
        <v>344</v>
      </c>
      <c r="G1451" s="55" t="s">
        <v>360</v>
      </c>
      <c r="H1451" s="55" t="s">
        <v>360</v>
      </c>
      <c r="I1451" s="55" t="s">
        <v>360</v>
      </c>
      <c r="J1451" s="55" t="s">
        <v>360</v>
      </c>
      <c r="K1451" s="55" t="s">
        <v>360</v>
      </c>
      <c r="L1451" s="55" t="s">
        <v>360</v>
      </c>
      <c r="M1451" s="55" t="s">
        <v>136</v>
      </c>
      <c r="N1451" s="55" t="s">
        <v>136</v>
      </c>
      <c r="O1451" s="55" t="s">
        <v>705</v>
      </c>
      <c r="P1451" s="55" t="s">
        <v>891</v>
      </c>
      <c r="Q1451" s="55" t="s">
        <v>350</v>
      </c>
      <c r="R1451" s="55">
        <v>4</v>
      </c>
      <c r="S1451" s="55"/>
      <c r="T1451" s="55" t="s">
        <v>2124</v>
      </c>
    </row>
    <row r="1452" spans="1:20" ht="13" x14ac:dyDescent="0.15">
      <c r="A1452" s="72" t="str">
        <f t="shared" si="22"/>
        <v>Ofsted Social Care Provider Webpage</v>
      </c>
      <c r="B1452" s="55">
        <v>2634929</v>
      </c>
      <c r="D1452" s="55" t="s">
        <v>373</v>
      </c>
      <c r="E1452" s="74">
        <v>44376</v>
      </c>
      <c r="F1452" s="55" t="s">
        <v>344</v>
      </c>
      <c r="G1452" s="55" t="s">
        <v>360</v>
      </c>
      <c r="H1452" s="55" t="s">
        <v>360</v>
      </c>
      <c r="I1452" s="55" t="s">
        <v>360</v>
      </c>
      <c r="J1452" s="55" t="s">
        <v>360</v>
      </c>
      <c r="K1452" s="55" t="s">
        <v>360</v>
      </c>
      <c r="L1452" s="55" t="s">
        <v>360</v>
      </c>
      <c r="M1452" s="55" t="s">
        <v>129</v>
      </c>
      <c r="N1452" s="55" t="s">
        <v>129</v>
      </c>
      <c r="O1452" s="55" t="s">
        <v>186</v>
      </c>
      <c r="P1452" s="55" t="s">
        <v>2125</v>
      </c>
      <c r="Q1452" s="55" t="s">
        <v>350</v>
      </c>
      <c r="R1452" s="55">
        <v>6</v>
      </c>
      <c r="S1452" s="55"/>
      <c r="T1452" s="55" t="s">
        <v>1856</v>
      </c>
    </row>
    <row r="1453" spans="1:20" ht="13" x14ac:dyDescent="0.15">
      <c r="A1453" s="72" t="str">
        <f t="shared" si="22"/>
        <v>Ofsted Social Care Provider Webpage</v>
      </c>
      <c r="B1453" s="55">
        <v>2634954</v>
      </c>
      <c r="D1453" s="55" t="s">
        <v>373</v>
      </c>
      <c r="E1453" s="74">
        <v>44504</v>
      </c>
      <c r="F1453" s="55" t="s">
        <v>344</v>
      </c>
      <c r="G1453" s="55" t="s">
        <v>360</v>
      </c>
      <c r="H1453" s="55" t="s">
        <v>360</v>
      </c>
      <c r="I1453" s="55" t="s">
        <v>360</v>
      </c>
      <c r="J1453" s="55" t="s">
        <v>360</v>
      </c>
      <c r="K1453" s="55" t="s">
        <v>360</v>
      </c>
      <c r="L1453" s="55" t="s">
        <v>360</v>
      </c>
      <c r="M1453" s="55" t="s">
        <v>138</v>
      </c>
      <c r="N1453" s="55" t="s">
        <v>138</v>
      </c>
      <c r="O1453" s="55" t="s">
        <v>183</v>
      </c>
      <c r="P1453" s="55" t="s">
        <v>2051</v>
      </c>
      <c r="Q1453" s="55" t="s">
        <v>350</v>
      </c>
      <c r="R1453" s="55">
        <v>4</v>
      </c>
      <c r="S1453" s="55"/>
      <c r="T1453" s="55" t="s">
        <v>2126</v>
      </c>
    </row>
    <row r="1454" spans="1:20" ht="13" x14ac:dyDescent="0.15">
      <c r="A1454" s="72" t="str">
        <f t="shared" si="22"/>
        <v>Ofsted Social Care Provider Webpage</v>
      </c>
      <c r="B1454" s="55">
        <v>2635062</v>
      </c>
      <c r="D1454" s="55" t="s">
        <v>373</v>
      </c>
      <c r="E1454" s="74">
        <v>44336</v>
      </c>
      <c r="F1454" s="55" t="s">
        <v>344</v>
      </c>
      <c r="G1454" s="55" t="s">
        <v>360</v>
      </c>
      <c r="H1454" s="55" t="s">
        <v>360</v>
      </c>
      <c r="I1454" s="55" t="s">
        <v>360</v>
      </c>
      <c r="J1454" s="55" t="s">
        <v>360</v>
      </c>
      <c r="K1454" s="55" t="s">
        <v>360</v>
      </c>
      <c r="L1454" s="55" t="s">
        <v>360</v>
      </c>
      <c r="M1454" s="55" t="s">
        <v>172</v>
      </c>
      <c r="N1454" s="55" t="s">
        <v>172</v>
      </c>
      <c r="O1454" s="55" t="s">
        <v>214</v>
      </c>
      <c r="P1454" s="55" t="s">
        <v>790</v>
      </c>
      <c r="Q1454" s="55" t="s">
        <v>350</v>
      </c>
      <c r="R1454" s="55">
        <v>3</v>
      </c>
      <c r="S1454" s="55"/>
      <c r="T1454" s="55" t="s">
        <v>517</v>
      </c>
    </row>
    <row r="1455" spans="1:20" ht="13" x14ac:dyDescent="0.15">
      <c r="A1455" s="72" t="str">
        <f t="shared" si="22"/>
        <v>Ofsted Social Care Provider Webpage</v>
      </c>
      <c r="B1455" s="55">
        <v>2635269</v>
      </c>
      <c r="D1455" s="55" t="s">
        <v>373</v>
      </c>
      <c r="E1455" s="74">
        <v>44496</v>
      </c>
      <c r="F1455" s="55" t="s">
        <v>344</v>
      </c>
      <c r="G1455" s="55" t="s">
        <v>360</v>
      </c>
      <c r="H1455" s="55" t="s">
        <v>360</v>
      </c>
      <c r="I1455" s="55" t="s">
        <v>360</v>
      </c>
      <c r="J1455" s="55" t="s">
        <v>360</v>
      </c>
      <c r="K1455" s="55" t="s">
        <v>360</v>
      </c>
      <c r="L1455" s="55" t="s">
        <v>360</v>
      </c>
      <c r="M1455" s="55" t="s">
        <v>144</v>
      </c>
      <c r="N1455" s="55" t="s">
        <v>144</v>
      </c>
      <c r="O1455" s="55" t="s">
        <v>215</v>
      </c>
      <c r="P1455" s="55" t="s">
        <v>1207</v>
      </c>
      <c r="Q1455" s="55" t="s">
        <v>350</v>
      </c>
      <c r="R1455" s="55">
        <v>5</v>
      </c>
      <c r="S1455" s="55"/>
      <c r="T1455" s="55" t="s">
        <v>2127</v>
      </c>
    </row>
    <row r="1456" spans="1:20" ht="13" x14ac:dyDescent="0.15">
      <c r="A1456" s="72" t="str">
        <f t="shared" si="22"/>
        <v>Ofsted Social Care Provider Webpage</v>
      </c>
      <c r="B1456" s="55">
        <v>2635351</v>
      </c>
      <c r="D1456" s="55" t="s">
        <v>479</v>
      </c>
      <c r="E1456" s="74">
        <v>44445</v>
      </c>
      <c r="F1456" s="55" t="s">
        <v>344</v>
      </c>
      <c r="G1456" s="55" t="s">
        <v>360</v>
      </c>
      <c r="H1456" s="55" t="s">
        <v>360</v>
      </c>
      <c r="I1456" s="55" t="s">
        <v>360</v>
      </c>
      <c r="J1456" s="55" t="s">
        <v>360</v>
      </c>
      <c r="K1456" s="55" t="s">
        <v>360</v>
      </c>
      <c r="L1456" s="55" t="s">
        <v>360</v>
      </c>
      <c r="M1456" s="55" t="s">
        <v>144</v>
      </c>
      <c r="N1456" s="55" t="s">
        <v>144</v>
      </c>
      <c r="O1456" s="55" t="s">
        <v>209</v>
      </c>
      <c r="P1456" s="55" t="s">
        <v>544</v>
      </c>
      <c r="Q1456" s="55" t="s">
        <v>350</v>
      </c>
      <c r="R1456" s="55">
        <v>12</v>
      </c>
      <c r="S1456" s="55"/>
      <c r="T1456" s="55" t="s">
        <v>2128</v>
      </c>
    </row>
    <row r="1457" spans="1:20" ht="13" x14ac:dyDescent="0.15">
      <c r="A1457" s="72" t="str">
        <f t="shared" si="22"/>
        <v>Ofsted Social Care Provider Webpage</v>
      </c>
      <c r="B1457" s="55">
        <v>2635545</v>
      </c>
      <c r="D1457" s="55" t="s">
        <v>389</v>
      </c>
      <c r="E1457" s="74">
        <v>44383</v>
      </c>
      <c r="F1457" s="55" t="s">
        <v>344</v>
      </c>
      <c r="G1457" s="55" t="s">
        <v>2129</v>
      </c>
      <c r="H1457" s="55" t="s">
        <v>2130</v>
      </c>
      <c r="I1457" s="55" t="s">
        <v>2131</v>
      </c>
      <c r="J1457" s="55" t="s">
        <v>2132</v>
      </c>
      <c r="L1457" s="55" t="s">
        <v>2133</v>
      </c>
      <c r="M1457" s="55" t="s">
        <v>138</v>
      </c>
      <c r="N1457" s="55" t="s">
        <v>138</v>
      </c>
      <c r="O1457" s="55" t="s">
        <v>183</v>
      </c>
      <c r="P1457" s="55" t="s">
        <v>813</v>
      </c>
      <c r="Q1457" s="55" t="s">
        <v>350</v>
      </c>
      <c r="R1457" s="55"/>
      <c r="S1457" s="55"/>
      <c r="T1457" s="55" t="s">
        <v>2129</v>
      </c>
    </row>
    <row r="1458" spans="1:20" ht="13" x14ac:dyDescent="0.15">
      <c r="A1458" s="72" t="str">
        <f t="shared" si="22"/>
        <v>Ofsted Social Care Provider Webpage</v>
      </c>
      <c r="B1458" s="55">
        <v>2635562</v>
      </c>
      <c r="D1458" s="55" t="s">
        <v>373</v>
      </c>
      <c r="E1458" s="74">
        <v>44273</v>
      </c>
      <c r="F1458" s="55" t="s">
        <v>344</v>
      </c>
      <c r="G1458" s="55" t="s">
        <v>360</v>
      </c>
      <c r="H1458" s="55" t="s">
        <v>360</v>
      </c>
      <c r="I1458" s="55" t="s">
        <v>360</v>
      </c>
      <c r="J1458" s="55" t="s">
        <v>360</v>
      </c>
      <c r="K1458" s="55" t="s">
        <v>360</v>
      </c>
      <c r="L1458" s="55" t="s">
        <v>360</v>
      </c>
      <c r="M1458" s="55" t="s">
        <v>172</v>
      </c>
      <c r="N1458" s="55" t="s">
        <v>172</v>
      </c>
      <c r="O1458" s="55" t="s">
        <v>235</v>
      </c>
      <c r="P1458" s="55" t="s">
        <v>494</v>
      </c>
      <c r="Q1458" s="55" t="s">
        <v>350</v>
      </c>
      <c r="R1458" s="55">
        <v>3</v>
      </c>
      <c r="S1458" s="55"/>
      <c r="T1458" s="55" t="s">
        <v>1375</v>
      </c>
    </row>
    <row r="1459" spans="1:20" ht="13" x14ac:dyDescent="0.15">
      <c r="A1459" s="72" t="str">
        <f t="shared" si="22"/>
        <v>Ofsted Social Care Provider Webpage</v>
      </c>
      <c r="B1459" s="55">
        <v>2635655</v>
      </c>
      <c r="D1459" s="55" t="s">
        <v>373</v>
      </c>
      <c r="E1459" s="74">
        <v>44560</v>
      </c>
      <c r="F1459" s="55" t="s">
        <v>344</v>
      </c>
      <c r="G1459" s="55" t="s">
        <v>360</v>
      </c>
      <c r="H1459" s="55" t="s">
        <v>360</v>
      </c>
      <c r="I1459" s="55" t="s">
        <v>360</v>
      </c>
      <c r="J1459" s="55" t="s">
        <v>360</v>
      </c>
      <c r="K1459" s="55" t="s">
        <v>360</v>
      </c>
      <c r="L1459" s="55" t="s">
        <v>360</v>
      </c>
      <c r="M1459" s="55" t="s">
        <v>136</v>
      </c>
      <c r="N1459" s="55" t="s">
        <v>136</v>
      </c>
      <c r="O1459" s="55" t="s">
        <v>174</v>
      </c>
      <c r="P1459" s="55" t="s">
        <v>1526</v>
      </c>
      <c r="Q1459" s="55" t="s">
        <v>350</v>
      </c>
      <c r="R1459" s="55">
        <v>4</v>
      </c>
      <c r="S1459" s="55"/>
      <c r="T1459" s="55" t="s">
        <v>385</v>
      </c>
    </row>
    <row r="1460" spans="1:20" ht="13" x14ac:dyDescent="0.15">
      <c r="A1460" s="72" t="str">
        <f t="shared" si="22"/>
        <v>Ofsted Social Care Provider Webpage</v>
      </c>
      <c r="B1460" s="55">
        <v>2636024</v>
      </c>
      <c r="D1460" s="55" t="s">
        <v>451</v>
      </c>
      <c r="E1460" s="74">
        <v>44412</v>
      </c>
      <c r="F1460" s="55" t="s">
        <v>344</v>
      </c>
      <c r="G1460" s="55" t="s">
        <v>2134</v>
      </c>
      <c r="H1460" s="55" t="s">
        <v>2135</v>
      </c>
      <c r="I1460" s="55" t="s">
        <v>2136</v>
      </c>
      <c r="J1460" s="55" t="s">
        <v>2137</v>
      </c>
      <c r="L1460" s="55" t="s">
        <v>2138</v>
      </c>
      <c r="M1460" s="55" t="s">
        <v>378</v>
      </c>
      <c r="N1460" s="55" t="s">
        <v>170</v>
      </c>
      <c r="O1460" s="55" t="s">
        <v>264</v>
      </c>
      <c r="P1460" s="55" t="s">
        <v>437</v>
      </c>
      <c r="Q1460" s="55" t="s">
        <v>350</v>
      </c>
      <c r="R1460" s="55">
        <v>3</v>
      </c>
      <c r="S1460" s="55"/>
      <c r="T1460" s="55" t="s">
        <v>2139</v>
      </c>
    </row>
    <row r="1461" spans="1:20" ht="13" x14ac:dyDescent="0.15">
      <c r="A1461" s="72" t="str">
        <f t="shared" si="22"/>
        <v>Ofsted Social Care Provider Webpage</v>
      </c>
      <c r="B1461" s="55">
        <v>2636225</v>
      </c>
      <c r="D1461" s="55" t="s">
        <v>373</v>
      </c>
      <c r="E1461" s="74">
        <v>44553</v>
      </c>
      <c r="F1461" s="55" t="s">
        <v>344</v>
      </c>
      <c r="G1461" s="55" t="s">
        <v>360</v>
      </c>
      <c r="H1461" s="55" t="s">
        <v>360</v>
      </c>
      <c r="I1461" s="55" t="s">
        <v>360</v>
      </c>
      <c r="J1461" s="55" t="s">
        <v>360</v>
      </c>
      <c r="K1461" s="55" t="s">
        <v>360</v>
      </c>
      <c r="L1461" s="55" t="s">
        <v>360</v>
      </c>
      <c r="M1461" s="55" t="s">
        <v>378</v>
      </c>
      <c r="N1461" s="55" t="s">
        <v>134</v>
      </c>
      <c r="O1461" s="55" t="s">
        <v>158</v>
      </c>
      <c r="P1461" s="55" t="s">
        <v>912</v>
      </c>
      <c r="Q1461" s="55" t="s">
        <v>350</v>
      </c>
      <c r="R1461" s="55">
        <v>2</v>
      </c>
      <c r="S1461" s="55"/>
      <c r="T1461" s="55" t="s">
        <v>1023</v>
      </c>
    </row>
    <row r="1462" spans="1:20" ht="13" x14ac:dyDescent="0.15">
      <c r="A1462" s="72" t="str">
        <f t="shared" si="22"/>
        <v>Ofsted Social Care Provider Webpage</v>
      </c>
      <c r="B1462" s="55">
        <v>2636494</v>
      </c>
      <c r="D1462" s="55" t="s">
        <v>373</v>
      </c>
      <c r="E1462" s="74">
        <v>44382</v>
      </c>
      <c r="F1462" s="55" t="s">
        <v>344</v>
      </c>
      <c r="G1462" s="55" t="s">
        <v>360</v>
      </c>
      <c r="H1462" s="55" t="s">
        <v>360</v>
      </c>
      <c r="I1462" s="55" t="s">
        <v>360</v>
      </c>
      <c r="J1462" s="55" t="s">
        <v>360</v>
      </c>
      <c r="K1462" s="55" t="s">
        <v>360</v>
      </c>
      <c r="L1462" s="55" t="s">
        <v>360</v>
      </c>
      <c r="M1462" s="55" t="s">
        <v>150</v>
      </c>
      <c r="N1462" s="55" t="s">
        <v>150</v>
      </c>
      <c r="O1462" s="55" t="s">
        <v>268</v>
      </c>
      <c r="P1462" s="55" t="s">
        <v>2140</v>
      </c>
      <c r="Q1462" s="55" t="s">
        <v>350</v>
      </c>
      <c r="R1462" s="55">
        <v>6</v>
      </c>
      <c r="S1462" s="55"/>
      <c r="T1462" s="55" t="s">
        <v>2141</v>
      </c>
    </row>
    <row r="1463" spans="1:20" ht="13" x14ac:dyDescent="0.15">
      <c r="A1463" s="72" t="str">
        <f t="shared" si="22"/>
        <v>Ofsted Social Care Provider Webpage</v>
      </c>
      <c r="B1463" s="55">
        <v>2636743</v>
      </c>
      <c r="D1463" s="55" t="s">
        <v>373</v>
      </c>
      <c r="E1463" s="74">
        <v>44385</v>
      </c>
      <c r="F1463" s="55" t="s">
        <v>344</v>
      </c>
      <c r="G1463" s="55" t="s">
        <v>360</v>
      </c>
      <c r="H1463" s="55" t="s">
        <v>360</v>
      </c>
      <c r="I1463" s="55" t="s">
        <v>360</v>
      </c>
      <c r="J1463" s="55" t="s">
        <v>360</v>
      </c>
      <c r="K1463" s="55" t="s">
        <v>360</v>
      </c>
      <c r="L1463" s="55" t="s">
        <v>360</v>
      </c>
      <c r="M1463" s="55" t="s">
        <v>129</v>
      </c>
      <c r="N1463" s="55" t="s">
        <v>129</v>
      </c>
      <c r="O1463" s="55" t="s">
        <v>191</v>
      </c>
      <c r="P1463" s="55" t="s">
        <v>1224</v>
      </c>
      <c r="Q1463" s="55" t="s">
        <v>350</v>
      </c>
      <c r="R1463" s="55">
        <v>3</v>
      </c>
      <c r="S1463" s="55"/>
      <c r="T1463" s="55" t="s">
        <v>2142</v>
      </c>
    </row>
    <row r="1464" spans="1:20" ht="13" x14ac:dyDescent="0.15">
      <c r="A1464" s="72" t="str">
        <f t="shared" si="22"/>
        <v>Ofsted Social Care Provider Webpage</v>
      </c>
      <c r="B1464" s="55">
        <v>2636919</v>
      </c>
      <c r="D1464" s="55" t="s">
        <v>373</v>
      </c>
      <c r="E1464" s="74">
        <v>44522</v>
      </c>
      <c r="F1464" s="55" t="s">
        <v>344</v>
      </c>
      <c r="G1464" s="55" t="s">
        <v>360</v>
      </c>
      <c r="H1464" s="55" t="s">
        <v>360</v>
      </c>
      <c r="I1464" s="55" t="s">
        <v>360</v>
      </c>
      <c r="J1464" s="55" t="s">
        <v>360</v>
      </c>
      <c r="K1464" s="55" t="s">
        <v>360</v>
      </c>
      <c r="L1464" s="55" t="s">
        <v>360</v>
      </c>
      <c r="M1464" s="55" t="s">
        <v>144</v>
      </c>
      <c r="N1464" s="55" t="s">
        <v>144</v>
      </c>
      <c r="O1464" s="55" t="s">
        <v>209</v>
      </c>
      <c r="P1464" s="55" t="s">
        <v>597</v>
      </c>
      <c r="Q1464" s="55" t="s">
        <v>350</v>
      </c>
      <c r="R1464" s="55">
        <v>3</v>
      </c>
      <c r="S1464" s="55"/>
      <c r="T1464" s="55" t="s">
        <v>886</v>
      </c>
    </row>
    <row r="1465" spans="1:20" ht="13" x14ac:dyDescent="0.15">
      <c r="A1465" s="72" t="str">
        <f t="shared" si="22"/>
        <v>Ofsted Social Care Provider Webpage</v>
      </c>
      <c r="B1465" s="55">
        <v>2636921</v>
      </c>
      <c r="D1465" s="55" t="s">
        <v>373</v>
      </c>
      <c r="E1465" s="74">
        <v>44357</v>
      </c>
      <c r="F1465" s="55" t="s">
        <v>344</v>
      </c>
      <c r="G1465" s="55" t="s">
        <v>360</v>
      </c>
      <c r="H1465" s="55" t="s">
        <v>360</v>
      </c>
      <c r="I1465" s="55" t="s">
        <v>360</v>
      </c>
      <c r="J1465" s="55" t="s">
        <v>360</v>
      </c>
      <c r="K1465" s="55" t="s">
        <v>360</v>
      </c>
      <c r="L1465" s="55" t="s">
        <v>360</v>
      </c>
      <c r="M1465" s="55" t="s">
        <v>172</v>
      </c>
      <c r="N1465" s="55" t="s">
        <v>172</v>
      </c>
      <c r="O1465" s="55" t="s">
        <v>173</v>
      </c>
      <c r="P1465" s="55" t="s">
        <v>1540</v>
      </c>
      <c r="Q1465" s="55" t="s">
        <v>380</v>
      </c>
      <c r="R1465" s="55">
        <v>1</v>
      </c>
      <c r="S1465" s="55"/>
      <c r="T1465" s="55" t="s">
        <v>1431</v>
      </c>
    </row>
    <row r="1466" spans="1:20" ht="13" x14ac:dyDescent="0.15">
      <c r="A1466" s="72" t="str">
        <f t="shared" si="22"/>
        <v>Ofsted Social Care Provider Webpage</v>
      </c>
      <c r="B1466" s="55">
        <v>2636991</v>
      </c>
      <c r="D1466" s="55" t="s">
        <v>373</v>
      </c>
      <c r="E1466" s="74">
        <v>44434</v>
      </c>
      <c r="F1466" s="55" t="s">
        <v>344</v>
      </c>
      <c r="G1466" s="55" t="s">
        <v>360</v>
      </c>
      <c r="H1466" s="55" t="s">
        <v>360</v>
      </c>
      <c r="I1466" s="55" t="s">
        <v>360</v>
      </c>
      <c r="J1466" s="55" t="s">
        <v>360</v>
      </c>
      <c r="K1466" s="55" t="s">
        <v>360</v>
      </c>
      <c r="L1466" s="55" t="s">
        <v>360</v>
      </c>
      <c r="M1466" s="55" t="s">
        <v>142</v>
      </c>
      <c r="N1466" s="55" t="s">
        <v>142</v>
      </c>
      <c r="O1466" s="55" t="s">
        <v>282</v>
      </c>
      <c r="P1466" s="55" t="s">
        <v>1812</v>
      </c>
      <c r="Q1466" s="55" t="s">
        <v>350</v>
      </c>
      <c r="R1466" s="55">
        <v>2</v>
      </c>
      <c r="S1466" s="55"/>
      <c r="T1466" s="55" t="s">
        <v>493</v>
      </c>
    </row>
    <row r="1467" spans="1:20" ht="13" x14ac:dyDescent="0.15">
      <c r="A1467" s="72" t="str">
        <f t="shared" si="22"/>
        <v>Ofsted Social Care Provider Webpage</v>
      </c>
      <c r="B1467" s="55">
        <v>2636996</v>
      </c>
      <c r="D1467" s="55" t="s">
        <v>373</v>
      </c>
      <c r="E1467" s="74">
        <v>44456</v>
      </c>
      <c r="F1467" s="55" t="s">
        <v>344</v>
      </c>
      <c r="G1467" s="55" t="s">
        <v>360</v>
      </c>
      <c r="H1467" s="55" t="s">
        <v>360</v>
      </c>
      <c r="I1467" s="55" t="s">
        <v>360</v>
      </c>
      <c r="J1467" s="55" t="s">
        <v>360</v>
      </c>
      <c r="K1467" s="55" t="s">
        <v>360</v>
      </c>
      <c r="L1467" s="55" t="s">
        <v>360</v>
      </c>
      <c r="M1467" s="55" t="s">
        <v>142</v>
      </c>
      <c r="N1467" s="55" t="s">
        <v>142</v>
      </c>
      <c r="O1467" s="55" t="s">
        <v>293</v>
      </c>
      <c r="P1467" s="55" t="s">
        <v>1280</v>
      </c>
      <c r="Q1467" s="55" t="s">
        <v>350</v>
      </c>
      <c r="R1467" s="55">
        <v>4</v>
      </c>
      <c r="S1467" s="55"/>
      <c r="T1467" s="55" t="s">
        <v>2143</v>
      </c>
    </row>
    <row r="1468" spans="1:20" ht="13" x14ac:dyDescent="0.15">
      <c r="A1468" s="72" t="str">
        <f t="shared" si="22"/>
        <v>Ofsted Social Care Provider Webpage</v>
      </c>
      <c r="B1468" s="55">
        <v>2637127</v>
      </c>
      <c r="D1468" s="55" t="s">
        <v>373</v>
      </c>
      <c r="E1468" s="74">
        <v>44315</v>
      </c>
      <c r="F1468" s="55" t="s">
        <v>344</v>
      </c>
      <c r="G1468" s="55" t="s">
        <v>360</v>
      </c>
      <c r="H1468" s="55" t="s">
        <v>360</v>
      </c>
      <c r="I1468" s="55" t="s">
        <v>360</v>
      </c>
      <c r="J1468" s="55" t="s">
        <v>360</v>
      </c>
      <c r="K1468" s="55" t="s">
        <v>360</v>
      </c>
      <c r="L1468" s="55" t="s">
        <v>360</v>
      </c>
      <c r="M1468" s="55" t="s">
        <v>172</v>
      </c>
      <c r="N1468" s="55" t="s">
        <v>172</v>
      </c>
      <c r="O1468" s="55" t="s">
        <v>212</v>
      </c>
      <c r="P1468" s="55" t="s">
        <v>798</v>
      </c>
      <c r="Q1468" s="55" t="s">
        <v>350</v>
      </c>
      <c r="R1468" s="55">
        <v>4</v>
      </c>
      <c r="S1468" s="55"/>
      <c r="T1468" s="55" t="s">
        <v>2144</v>
      </c>
    </row>
    <row r="1469" spans="1:20" ht="13" x14ac:dyDescent="0.15">
      <c r="A1469" s="72" t="str">
        <f t="shared" si="22"/>
        <v>Ofsted Social Care Provider Webpage</v>
      </c>
      <c r="B1469" s="55">
        <v>2637131</v>
      </c>
      <c r="D1469" s="55" t="s">
        <v>389</v>
      </c>
      <c r="E1469" s="74">
        <v>44441</v>
      </c>
      <c r="F1469" s="55" t="s">
        <v>344</v>
      </c>
      <c r="G1469" s="55" t="s">
        <v>2145</v>
      </c>
      <c r="H1469" s="55" t="s">
        <v>2146</v>
      </c>
      <c r="I1469" s="55" t="s">
        <v>2147</v>
      </c>
      <c r="J1469" s="55" t="s">
        <v>1650</v>
      </c>
      <c r="L1469" s="55" t="s">
        <v>2148</v>
      </c>
      <c r="M1469" s="55" t="s">
        <v>129</v>
      </c>
      <c r="N1469" s="55" t="s">
        <v>129</v>
      </c>
      <c r="O1469" s="55" t="s">
        <v>242</v>
      </c>
      <c r="P1469" s="55" t="s">
        <v>1519</v>
      </c>
      <c r="Q1469" s="55" t="s">
        <v>350</v>
      </c>
      <c r="R1469" s="55"/>
      <c r="S1469" s="55"/>
      <c r="T1469" s="55" t="s">
        <v>2145</v>
      </c>
    </row>
    <row r="1470" spans="1:20" ht="13" x14ac:dyDescent="0.15">
      <c r="A1470" s="72" t="str">
        <f t="shared" si="22"/>
        <v>Ofsted Social Care Provider Webpage</v>
      </c>
      <c r="B1470" s="55">
        <v>2637140</v>
      </c>
      <c r="D1470" s="55" t="s">
        <v>373</v>
      </c>
      <c r="E1470" s="74">
        <v>44442</v>
      </c>
      <c r="F1470" s="55" t="s">
        <v>344</v>
      </c>
      <c r="G1470" s="55" t="s">
        <v>360</v>
      </c>
      <c r="H1470" s="55" t="s">
        <v>360</v>
      </c>
      <c r="I1470" s="55" t="s">
        <v>360</v>
      </c>
      <c r="J1470" s="55" t="s">
        <v>360</v>
      </c>
      <c r="K1470" s="55" t="s">
        <v>360</v>
      </c>
      <c r="L1470" s="55" t="s">
        <v>360</v>
      </c>
      <c r="M1470" s="55" t="s">
        <v>172</v>
      </c>
      <c r="N1470" s="55" t="s">
        <v>172</v>
      </c>
      <c r="O1470" s="55" t="s">
        <v>212</v>
      </c>
      <c r="P1470" s="55" t="s">
        <v>842</v>
      </c>
      <c r="Q1470" s="55" t="s">
        <v>350</v>
      </c>
      <c r="R1470" s="55">
        <v>1</v>
      </c>
      <c r="S1470" s="55"/>
      <c r="T1470" s="55" t="s">
        <v>517</v>
      </c>
    </row>
    <row r="1471" spans="1:20" ht="13" x14ac:dyDescent="0.15">
      <c r="A1471" s="72" t="str">
        <f t="shared" si="22"/>
        <v>Ofsted Social Care Provider Webpage</v>
      </c>
      <c r="B1471" s="55">
        <v>2637241</v>
      </c>
      <c r="D1471" s="55" t="s">
        <v>443</v>
      </c>
      <c r="E1471" s="74">
        <v>44515</v>
      </c>
      <c r="F1471" s="55" t="s">
        <v>344</v>
      </c>
      <c r="G1471" s="55" t="s">
        <v>2149</v>
      </c>
      <c r="H1471" s="55" t="s">
        <v>2150</v>
      </c>
      <c r="I1471" s="55" t="s">
        <v>2151</v>
      </c>
      <c r="J1471" s="55" t="s">
        <v>616</v>
      </c>
      <c r="L1471" s="55" t="s">
        <v>2152</v>
      </c>
      <c r="M1471" s="55" t="s">
        <v>138</v>
      </c>
      <c r="N1471" s="55" t="s">
        <v>138</v>
      </c>
      <c r="O1471" s="55" t="s">
        <v>183</v>
      </c>
      <c r="P1471" s="55" t="s">
        <v>616</v>
      </c>
      <c r="Q1471" s="55" t="s">
        <v>350</v>
      </c>
      <c r="R1471" s="55"/>
      <c r="S1471" s="55"/>
      <c r="T1471" s="55" t="s">
        <v>2149</v>
      </c>
    </row>
    <row r="1472" spans="1:20" ht="13" x14ac:dyDescent="0.15">
      <c r="A1472" s="72" t="str">
        <f t="shared" si="22"/>
        <v>Ofsted Social Care Provider Webpage</v>
      </c>
      <c r="B1472" s="55">
        <v>2637397</v>
      </c>
      <c r="D1472" s="55" t="s">
        <v>451</v>
      </c>
      <c r="E1472" s="74">
        <v>44482</v>
      </c>
      <c r="F1472" s="55" t="s">
        <v>344</v>
      </c>
      <c r="G1472" s="55" t="s">
        <v>2153</v>
      </c>
      <c r="H1472" s="55" t="s">
        <v>2154</v>
      </c>
      <c r="I1472" s="55" t="s">
        <v>2155</v>
      </c>
      <c r="J1472" s="55" t="s">
        <v>2156</v>
      </c>
      <c r="L1472" s="55" t="s">
        <v>2157</v>
      </c>
      <c r="M1472" s="55" t="s">
        <v>138</v>
      </c>
      <c r="N1472" s="55" t="s">
        <v>138</v>
      </c>
      <c r="O1472" s="55" t="s">
        <v>196</v>
      </c>
      <c r="P1472" s="55" t="s">
        <v>1368</v>
      </c>
      <c r="Q1472" s="55" t="s">
        <v>350</v>
      </c>
      <c r="R1472" s="55">
        <v>5</v>
      </c>
      <c r="S1472" s="55"/>
      <c r="T1472" s="55" t="s">
        <v>1031</v>
      </c>
    </row>
    <row r="1473" spans="1:20" ht="13" x14ac:dyDescent="0.15">
      <c r="A1473" s="72" t="str">
        <f t="shared" si="22"/>
        <v>Ofsted Social Care Provider Webpage</v>
      </c>
      <c r="B1473" s="55">
        <v>2637521</v>
      </c>
      <c r="D1473" s="55" t="s">
        <v>373</v>
      </c>
      <c r="E1473" s="74">
        <v>44487</v>
      </c>
      <c r="F1473" s="55" t="s">
        <v>344</v>
      </c>
      <c r="G1473" s="55" t="s">
        <v>360</v>
      </c>
      <c r="H1473" s="55" t="s">
        <v>360</v>
      </c>
      <c r="I1473" s="55" t="s">
        <v>360</v>
      </c>
      <c r="J1473" s="55" t="s">
        <v>360</v>
      </c>
      <c r="K1473" s="55" t="s">
        <v>360</v>
      </c>
      <c r="L1473" s="55" t="s">
        <v>360</v>
      </c>
      <c r="M1473" s="55" t="s">
        <v>129</v>
      </c>
      <c r="N1473" s="55" t="s">
        <v>129</v>
      </c>
      <c r="O1473" s="55" t="s">
        <v>192</v>
      </c>
      <c r="P1473" s="55" t="s">
        <v>1191</v>
      </c>
      <c r="Q1473" s="55" t="s">
        <v>350</v>
      </c>
      <c r="R1473" s="55">
        <v>4</v>
      </c>
      <c r="S1473" s="55"/>
      <c r="T1473" s="55" t="s">
        <v>2158</v>
      </c>
    </row>
    <row r="1474" spans="1:20" ht="13" x14ac:dyDescent="0.15">
      <c r="A1474" s="72" t="str">
        <f t="shared" si="22"/>
        <v>Ofsted Social Care Provider Webpage</v>
      </c>
      <c r="B1474" s="55">
        <v>2637805</v>
      </c>
      <c r="D1474" s="55" t="s">
        <v>373</v>
      </c>
      <c r="E1474" s="74">
        <v>44348</v>
      </c>
      <c r="F1474" s="55" t="s">
        <v>344</v>
      </c>
      <c r="G1474" s="55" t="s">
        <v>360</v>
      </c>
      <c r="H1474" s="55" t="s">
        <v>360</v>
      </c>
      <c r="I1474" s="55" t="s">
        <v>360</v>
      </c>
      <c r="J1474" s="55" t="s">
        <v>360</v>
      </c>
      <c r="K1474" s="55" t="s">
        <v>360</v>
      </c>
      <c r="L1474" s="55" t="s">
        <v>360</v>
      </c>
      <c r="M1474" s="55" t="s">
        <v>138</v>
      </c>
      <c r="N1474" s="55" t="s">
        <v>138</v>
      </c>
      <c r="O1474" s="55" t="s">
        <v>273</v>
      </c>
      <c r="P1474" s="55" t="s">
        <v>584</v>
      </c>
      <c r="Q1474" s="55" t="s">
        <v>350</v>
      </c>
      <c r="R1474" s="55">
        <v>4</v>
      </c>
      <c r="S1474" s="55"/>
      <c r="T1474" s="55" t="s">
        <v>2159</v>
      </c>
    </row>
    <row r="1475" spans="1:20" ht="13" x14ac:dyDescent="0.15">
      <c r="A1475" s="72" t="str">
        <f t="shared" si="22"/>
        <v>Ofsted Social Care Provider Webpage</v>
      </c>
      <c r="B1475" s="55">
        <v>2638148</v>
      </c>
      <c r="D1475" s="55" t="s">
        <v>373</v>
      </c>
      <c r="E1475" s="74">
        <v>44382</v>
      </c>
      <c r="F1475" s="55" t="s">
        <v>344</v>
      </c>
      <c r="G1475" s="55" t="s">
        <v>360</v>
      </c>
      <c r="H1475" s="55" t="s">
        <v>360</v>
      </c>
      <c r="I1475" s="55" t="s">
        <v>360</v>
      </c>
      <c r="J1475" s="55" t="s">
        <v>360</v>
      </c>
      <c r="K1475" s="55" t="s">
        <v>360</v>
      </c>
      <c r="L1475" s="55" t="s">
        <v>360</v>
      </c>
      <c r="M1475" s="55" t="s">
        <v>138</v>
      </c>
      <c r="N1475" s="55" t="s">
        <v>138</v>
      </c>
      <c r="O1475" s="55" t="s">
        <v>238</v>
      </c>
      <c r="P1475" s="55" t="s">
        <v>238</v>
      </c>
      <c r="Q1475" s="55" t="s">
        <v>350</v>
      </c>
      <c r="R1475" s="55">
        <v>3</v>
      </c>
      <c r="S1475" s="55"/>
      <c r="T1475" s="55" t="s">
        <v>2160</v>
      </c>
    </row>
    <row r="1476" spans="1:20" ht="13" x14ac:dyDescent="0.15">
      <c r="A1476" s="72" t="str">
        <f t="shared" si="22"/>
        <v>Ofsted Social Care Provider Webpage</v>
      </c>
      <c r="B1476" s="55">
        <v>2638159</v>
      </c>
      <c r="D1476" s="55" t="s">
        <v>373</v>
      </c>
      <c r="E1476" s="74">
        <v>44567</v>
      </c>
      <c r="F1476" s="55" t="s">
        <v>344</v>
      </c>
      <c r="G1476" s="55" t="s">
        <v>360</v>
      </c>
      <c r="H1476" s="55" t="s">
        <v>360</v>
      </c>
      <c r="I1476" s="55" t="s">
        <v>360</v>
      </c>
      <c r="J1476" s="55" t="s">
        <v>360</v>
      </c>
      <c r="K1476" s="55" t="s">
        <v>360</v>
      </c>
      <c r="L1476" s="55" t="s">
        <v>360</v>
      </c>
      <c r="M1476" s="55" t="s">
        <v>138</v>
      </c>
      <c r="N1476" s="55" t="s">
        <v>138</v>
      </c>
      <c r="O1476" s="55" t="s">
        <v>224</v>
      </c>
      <c r="P1476" s="55" t="s">
        <v>374</v>
      </c>
      <c r="Q1476" s="55" t="s">
        <v>350</v>
      </c>
      <c r="R1476" s="55">
        <v>5</v>
      </c>
      <c r="S1476" s="55"/>
      <c r="T1476" s="55" t="s">
        <v>2161</v>
      </c>
    </row>
    <row r="1477" spans="1:20" ht="13" x14ac:dyDescent="0.15">
      <c r="A1477" s="72" t="str">
        <f t="shared" ref="A1477:A1540" si="23">HYPERLINK(_xlfn.CONCAT("http://reports.ofsted.gov.uk/inspection-reports/find-inspection-report/provider/CARE/",B1477),"Ofsted Social Care Provider Webpage")</f>
        <v>Ofsted Social Care Provider Webpage</v>
      </c>
      <c r="B1477" s="55">
        <v>2638202</v>
      </c>
      <c r="D1477" s="55" t="s">
        <v>373</v>
      </c>
      <c r="E1477" s="74">
        <v>44407</v>
      </c>
      <c r="F1477" s="55" t="s">
        <v>344</v>
      </c>
      <c r="G1477" s="55" t="s">
        <v>360</v>
      </c>
      <c r="H1477" s="55" t="s">
        <v>360</v>
      </c>
      <c r="I1477" s="55" t="s">
        <v>360</v>
      </c>
      <c r="J1477" s="55" t="s">
        <v>360</v>
      </c>
      <c r="K1477" s="55" t="s">
        <v>360</v>
      </c>
      <c r="L1477" s="55" t="s">
        <v>360</v>
      </c>
      <c r="M1477" s="55" t="s">
        <v>144</v>
      </c>
      <c r="N1477" s="55" t="s">
        <v>144</v>
      </c>
      <c r="O1477" s="55" t="s">
        <v>281</v>
      </c>
      <c r="P1477" s="55" t="s">
        <v>556</v>
      </c>
      <c r="Q1477" s="55" t="s">
        <v>350</v>
      </c>
      <c r="R1477" s="55">
        <v>1</v>
      </c>
      <c r="S1477" s="55"/>
      <c r="T1477" s="55" t="s">
        <v>1449</v>
      </c>
    </row>
    <row r="1478" spans="1:20" ht="13" x14ac:dyDescent="0.15">
      <c r="A1478" s="72" t="str">
        <f t="shared" si="23"/>
        <v>Ofsted Social Care Provider Webpage</v>
      </c>
      <c r="B1478" s="55">
        <v>2638239</v>
      </c>
      <c r="D1478" s="55" t="s">
        <v>373</v>
      </c>
      <c r="E1478" s="74">
        <v>44404</v>
      </c>
      <c r="F1478" s="55" t="s">
        <v>344</v>
      </c>
      <c r="G1478" s="55" t="s">
        <v>360</v>
      </c>
      <c r="H1478" s="55" t="s">
        <v>360</v>
      </c>
      <c r="I1478" s="55" t="s">
        <v>360</v>
      </c>
      <c r="J1478" s="55" t="s">
        <v>360</v>
      </c>
      <c r="K1478" s="55" t="s">
        <v>360</v>
      </c>
      <c r="L1478" s="55" t="s">
        <v>360</v>
      </c>
      <c r="M1478" s="55" t="s">
        <v>378</v>
      </c>
      <c r="N1478" s="55" t="s">
        <v>134</v>
      </c>
      <c r="O1478" s="55" t="s">
        <v>175</v>
      </c>
      <c r="P1478" s="55" t="s">
        <v>678</v>
      </c>
      <c r="Q1478" s="55" t="s">
        <v>350</v>
      </c>
      <c r="R1478" s="55">
        <v>2</v>
      </c>
      <c r="S1478" s="55"/>
      <c r="T1478" s="55" t="s">
        <v>2162</v>
      </c>
    </row>
    <row r="1479" spans="1:20" ht="13" x14ac:dyDescent="0.15">
      <c r="A1479" s="72" t="str">
        <f t="shared" si="23"/>
        <v>Ofsted Social Care Provider Webpage</v>
      </c>
      <c r="B1479" s="55">
        <v>2638322</v>
      </c>
      <c r="D1479" s="55" t="s">
        <v>373</v>
      </c>
      <c r="E1479" s="74">
        <v>44407</v>
      </c>
      <c r="F1479" s="55" t="s">
        <v>344</v>
      </c>
      <c r="G1479" s="55" t="s">
        <v>360</v>
      </c>
      <c r="H1479" s="55" t="s">
        <v>360</v>
      </c>
      <c r="I1479" s="55" t="s">
        <v>360</v>
      </c>
      <c r="J1479" s="55" t="s">
        <v>360</v>
      </c>
      <c r="K1479" s="55" t="s">
        <v>360</v>
      </c>
      <c r="L1479" s="55" t="s">
        <v>360</v>
      </c>
      <c r="M1479" s="55" t="s">
        <v>378</v>
      </c>
      <c r="N1479" s="55" t="s">
        <v>170</v>
      </c>
      <c r="O1479" s="55" t="s">
        <v>231</v>
      </c>
      <c r="P1479" s="55" t="s">
        <v>231</v>
      </c>
      <c r="Q1479" s="55" t="s">
        <v>350</v>
      </c>
      <c r="R1479" s="55">
        <v>3</v>
      </c>
      <c r="S1479" s="55"/>
      <c r="T1479" s="55" t="s">
        <v>2163</v>
      </c>
    </row>
    <row r="1480" spans="1:20" ht="13" x14ac:dyDescent="0.15">
      <c r="A1480" s="72" t="str">
        <f t="shared" si="23"/>
        <v>Ofsted Social Care Provider Webpage</v>
      </c>
      <c r="B1480" s="55">
        <v>2638338</v>
      </c>
      <c r="D1480" s="55" t="s">
        <v>451</v>
      </c>
      <c r="E1480" s="74">
        <v>44389</v>
      </c>
      <c r="F1480" s="55" t="s">
        <v>344</v>
      </c>
      <c r="G1480" s="55" t="s">
        <v>2164</v>
      </c>
      <c r="H1480" s="55" t="s">
        <v>2165</v>
      </c>
      <c r="I1480" s="55" t="s">
        <v>2166</v>
      </c>
      <c r="J1480" s="55" t="s">
        <v>2167</v>
      </c>
      <c r="L1480" s="55" t="s">
        <v>2168</v>
      </c>
      <c r="M1480" s="55" t="s">
        <v>144</v>
      </c>
      <c r="N1480" s="55" t="s">
        <v>144</v>
      </c>
      <c r="O1480" s="55" t="s">
        <v>209</v>
      </c>
      <c r="P1480" s="55" t="s">
        <v>650</v>
      </c>
      <c r="Q1480" s="55" t="s">
        <v>350</v>
      </c>
      <c r="R1480" s="55">
        <v>5</v>
      </c>
      <c r="S1480" s="55"/>
      <c r="T1480" s="55" t="s">
        <v>2164</v>
      </c>
    </row>
    <row r="1481" spans="1:20" ht="13" x14ac:dyDescent="0.15">
      <c r="A1481" s="72" t="str">
        <f t="shared" si="23"/>
        <v>Ofsted Social Care Provider Webpage</v>
      </c>
      <c r="B1481" s="55">
        <v>2638390</v>
      </c>
      <c r="D1481" s="55" t="s">
        <v>373</v>
      </c>
      <c r="E1481" s="74">
        <v>44372</v>
      </c>
      <c r="F1481" s="55" t="s">
        <v>344</v>
      </c>
      <c r="G1481" s="55" t="s">
        <v>360</v>
      </c>
      <c r="H1481" s="55" t="s">
        <v>360</v>
      </c>
      <c r="I1481" s="55" t="s">
        <v>360</v>
      </c>
      <c r="J1481" s="55" t="s">
        <v>360</v>
      </c>
      <c r="K1481" s="55" t="s">
        <v>360</v>
      </c>
      <c r="L1481" s="55" t="s">
        <v>360</v>
      </c>
      <c r="M1481" s="55" t="s">
        <v>144</v>
      </c>
      <c r="N1481" s="55" t="s">
        <v>144</v>
      </c>
      <c r="O1481" s="55" t="s">
        <v>145</v>
      </c>
      <c r="P1481" s="55" t="s">
        <v>525</v>
      </c>
      <c r="Q1481" s="55" t="s">
        <v>350</v>
      </c>
      <c r="R1481" s="55">
        <v>1</v>
      </c>
      <c r="S1481" s="55"/>
      <c r="T1481" s="55" t="s">
        <v>485</v>
      </c>
    </row>
    <row r="1482" spans="1:20" ht="13" x14ac:dyDescent="0.15">
      <c r="A1482" s="72" t="str">
        <f t="shared" si="23"/>
        <v>Ofsted Social Care Provider Webpage</v>
      </c>
      <c r="B1482" s="55">
        <v>2638470</v>
      </c>
      <c r="D1482" s="55" t="s">
        <v>373</v>
      </c>
      <c r="E1482" s="74">
        <v>44314</v>
      </c>
      <c r="F1482" s="55" t="s">
        <v>344</v>
      </c>
      <c r="G1482" s="55" t="s">
        <v>360</v>
      </c>
      <c r="H1482" s="55" t="s">
        <v>360</v>
      </c>
      <c r="I1482" s="55" t="s">
        <v>360</v>
      </c>
      <c r="J1482" s="55" t="s">
        <v>360</v>
      </c>
      <c r="K1482" s="55" t="s">
        <v>360</v>
      </c>
      <c r="L1482" s="55" t="s">
        <v>360</v>
      </c>
      <c r="M1482" s="55" t="s">
        <v>142</v>
      </c>
      <c r="N1482" s="55" t="s">
        <v>142</v>
      </c>
      <c r="O1482" s="55" t="s">
        <v>262</v>
      </c>
      <c r="P1482" s="55" t="s">
        <v>916</v>
      </c>
      <c r="Q1482" s="55" t="s">
        <v>350</v>
      </c>
      <c r="R1482" s="55">
        <v>3</v>
      </c>
      <c r="S1482" s="55"/>
      <c r="T1482" s="55" t="s">
        <v>2169</v>
      </c>
    </row>
    <row r="1483" spans="1:20" ht="13" x14ac:dyDescent="0.15">
      <c r="A1483" s="72" t="str">
        <f t="shared" si="23"/>
        <v>Ofsted Social Care Provider Webpage</v>
      </c>
      <c r="B1483" s="55">
        <v>2638487</v>
      </c>
      <c r="D1483" s="55" t="s">
        <v>373</v>
      </c>
      <c r="E1483" s="74">
        <v>44378</v>
      </c>
      <c r="F1483" s="55" t="s">
        <v>344</v>
      </c>
      <c r="G1483" s="55" t="s">
        <v>360</v>
      </c>
      <c r="H1483" s="55" t="s">
        <v>360</v>
      </c>
      <c r="I1483" s="55" t="s">
        <v>360</v>
      </c>
      <c r="J1483" s="55" t="s">
        <v>360</v>
      </c>
      <c r="K1483" s="55" t="s">
        <v>360</v>
      </c>
      <c r="L1483" s="55" t="s">
        <v>360</v>
      </c>
      <c r="M1483" s="55" t="s">
        <v>144</v>
      </c>
      <c r="N1483" s="55" t="s">
        <v>144</v>
      </c>
      <c r="O1483" s="55" t="s">
        <v>209</v>
      </c>
      <c r="P1483" s="55" t="s">
        <v>597</v>
      </c>
      <c r="Q1483" s="55" t="s">
        <v>350</v>
      </c>
      <c r="R1483" s="55">
        <v>4</v>
      </c>
      <c r="S1483" s="55"/>
      <c r="T1483" s="55" t="s">
        <v>737</v>
      </c>
    </row>
    <row r="1484" spans="1:20" ht="13" x14ac:dyDescent="0.15">
      <c r="A1484" s="72" t="str">
        <f t="shared" si="23"/>
        <v>Ofsted Social Care Provider Webpage</v>
      </c>
      <c r="B1484" s="55">
        <v>2638535</v>
      </c>
      <c r="D1484" s="55" t="s">
        <v>373</v>
      </c>
      <c r="E1484" s="74">
        <v>44393</v>
      </c>
      <c r="F1484" s="55" t="s">
        <v>344</v>
      </c>
      <c r="G1484" s="55" t="s">
        <v>360</v>
      </c>
      <c r="H1484" s="55" t="s">
        <v>360</v>
      </c>
      <c r="I1484" s="55" t="s">
        <v>360</v>
      </c>
      <c r="J1484" s="55" t="s">
        <v>360</v>
      </c>
      <c r="K1484" s="55" t="s">
        <v>360</v>
      </c>
      <c r="L1484" s="55" t="s">
        <v>360</v>
      </c>
      <c r="M1484" s="55" t="s">
        <v>144</v>
      </c>
      <c r="N1484" s="55" t="s">
        <v>144</v>
      </c>
      <c r="O1484" s="55" t="s">
        <v>168</v>
      </c>
      <c r="P1484" s="55" t="s">
        <v>913</v>
      </c>
      <c r="Q1484" s="55" t="s">
        <v>350</v>
      </c>
      <c r="R1484" s="55">
        <v>2</v>
      </c>
      <c r="S1484" s="55"/>
      <c r="T1484" s="55" t="s">
        <v>1279</v>
      </c>
    </row>
    <row r="1485" spans="1:20" ht="13" x14ac:dyDescent="0.15">
      <c r="A1485" s="72" t="str">
        <f t="shared" si="23"/>
        <v>Ofsted Social Care Provider Webpage</v>
      </c>
      <c r="B1485" s="55">
        <v>2638590</v>
      </c>
      <c r="D1485" s="55" t="s">
        <v>373</v>
      </c>
      <c r="E1485" s="74">
        <v>44418</v>
      </c>
      <c r="F1485" s="55" t="s">
        <v>344</v>
      </c>
      <c r="G1485" s="55" t="s">
        <v>360</v>
      </c>
      <c r="H1485" s="55" t="s">
        <v>360</v>
      </c>
      <c r="I1485" s="55" t="s">
        <v>360</v>
      </c>
      <c r="J1485" s="55" t="s">
        <v>360</v>
      </c>
      <c r="K1485" s="55" t="s">
        <v>360</v>
      </c>
      <c r="L1485" s="55" t="s">
        <v>360</v>
      </c>
      <c r="M1485" s="55" t="s">
        <v>129</v>
      </c>
      <c r="N1485" s="55" t="s">
        <v>129</v>
      </c>
      <c r="O1485" s="55" t="s">
        <v>194</v>
      </c>
      <c r="P1485" s="55" t="s">
        <v>1833</v>
      </c>
      <c r="Q1485" s="55" t="s">
        <v>350</v>
      </c>
      <c r="R1485" s="55">
        <v>7</v>
      </c>
      <c r="S1485" s="55"/>
      <c r="T1485" s="55" t="s">
        <v>2170</v>
      </c>
    </row>
    <row r="1486" spans="1:20" ht="13" x14ac:dyDescent="0.15">
      <c r="A1486" s="72" t="str">
        <f t="shared" si="23"/>
        <v>Ofsted Social Care Provider Webpage</v>
      </c>
      <c r="B1486" s="55">
        <v>2638617</v>
      </c>
      <c r="D1486" s="55" t="s">
        <v>373</v>
      </c>
      <c r="E1486" s="74">
        <v>44550</v>
      </c>
      <c r="F1486" s="55" t="s">
        <v>344</v>
      </c>
      <c r="G1486" s="55" t="s">
        <v>360</v>
      </c>
      <c r="H1486" s="55" t="s">
        <v>360</v>
      </c>
      <c r="I1486" s="55" t="s">
        <v>360</v>
      </c>
      <c r="J1486" s="55" t="s">
        <v>360</v>
      </c>
      <c r="K1486" s="55" t="s">
        <v>360</v>
      </c>
      <c r="L1486" s="55" t="s">
        <v>360</v>
      </c>
      <c r="M1486" s="55" t="s">
        <v>136</v>
      </c>
      <c r="N1486" s="55" t="s">
        <v>136</v>
      </c>
      <c r="O1486" s="55" t="s">
        <v>270</v>
      </c>
      <c r="P1486" s="55" t="s">
        <v>2171</v>
      </c>
      <c r="Q1486" s="55" t="s">
        <v>350</v>
      </c>
      <c r="R1486" s="55">
        <v>2</v>
      </c>
      <c r="S1486" s="55"/>
      <c r="T1486" s="55" t="s">
        <v>2172</v>
      </c>
    </row>
    <row r="1487" spans="1:20" ht="13" x14ac:dyDescent="0.15">
      <c r="A1487" s="72" t="str">
        <f t="shared" si="23"/>
        <v>Ofsted Social Care Provider Webpage</v>
      </c>
      <c r="B1487" s="55">
        <v>2638736</v>
      </c>
      <c r="D1487" s="55" t="s">
        <v>373</v>
      </c>
      <c r="E1487" s="74">
        <v>44370</v>
      </c>
      <c r="F1487" s="55" t="s">
        <v>344</v>
      </c>
      <c r="G1487" s="55" t="s">
        <v>360</v>
      </c>
      <c r="H1487" s="55" t="s">
        <v>360</v>
      </c>
      <c r="I1487" s="55" t="s">
        <v>360</v>
      </c>
      <c r="J1487" s="55" t="s">
        <v>360</v>
      </c>
      <c r="K1487" s="55" t="s">
        <v>360</v>
      </c>
      <c r="L1487" s="55" t="s">
        <v>360</v>
      </c>
      <c r="M1487" s="55" t="s">
        <v>144</v>
      </c>
      <c r="N1487" s="55" t="s">
        <v>144</v>
      </c>
      <c r="O1487" s="55" t="s">
        <v>162</v>
      </c>
      <c r="P1487" s="55" t="s">
        <v>1502</v>
      </c>
      <c r="Q1487" s="55" t="s">
        <v>350</v>
      </c>
      <c r="R1487" s="55">
        <v>2</v>
      </c>
      <c r="S1487" s="55"/>
      <c r="T1487" s="55" t="s">
        <v>1503</v>
      </c>
    </row>
    <row r="1488" spans="1:20" ht="13" x14ac:dyDescent="0.15">
      <c r="A1488" s="72" t="str">
        <f t="shared" si="23"/>
        <v>Ofsted Social Care Provider Webpage</v>
      </c>
      <c r="B1488" s="55">
        <v>2639083</v>
      </c>
      <c r="D1488" s="55" t="s">
        <v>373</v>
      </c>
      <c r="E1488" s="74">
        <v>44469</v>
      </c>
      <c r="F1488" s="55" t="s">
        <v>344</v>
      </c>
      <c r="G1488" s="55" t="s">
        <v>360</v>
      </c>
      <c r="H1488" s="55" t="s">
        <v>360</v>
      </c>
      <c r="I1488" s="55" t="s">
        <v>360</v>
      </c>
      <c r="J1488" s="55" t="s">
        <v>360</v>
      </c>
      <c r="K1488" s="55" t="s">
        <v>360</v>
      </c>
      <c r="L1488" s="55" t="s">
        <v>360</v>
      </c>
      <c r="M1488" s="55" t="s">
        <v>144</v>
      </c>
      <c r="N1488" s="55" t="s">
        <v>144</v>
      </c>
      <c r="O1488" s="55" t="s">
        <v>261</v>
      </c>
      <c r="P1488" s="55" t="s">
        <v>512</v>
      </c>
      <c r="Q1488" s="55" t="s">
        <v>350</v>
      </c>
      <c r="R1488" s="55">
        <v>3</v>
      </c>
      <c r="S1488" s="55"/>
      <c r="T1488" s="55" t="s">
        <v>886</v>
      </c>
    </row>
    <row r="1489" spans="1:20" ht="13" x14ac:dyDescent="0.15">
      <c r="A1489" s="72" t="str">
        <f t="shared" si="23"/>
        <v>Ofsted Social Care Provider Webpage</v>
      </c>
      <c r="B1489" s="55">
        <v>2639538</v>
      </c>
      <c r="D1489" s="55" t="s">
        <v>373</v>
      </c>
      <c r="E1489" s="74">
        <v>44579</v>
      </c>
      <c r="F1489" s="55" t="s">
        <v>344</v>
      </c>
      <c r="G1489" s="55" t="s">
        <v>360</v>
      </c>
      <c r="H1489" s="55" t="s">
        <v>360</v>
      </c>
      <c r="I1489" s="55" t="s">
        <v>360</v>
      </c>
      <c r="J1489" s="55" t="s">
        <v>360</v>
      </c>
      <c r="K1489" s="55" t="s">
        <v>360</v>
      </c>
      <c r="L1489" s="55" t="s">
        <v>360</v>
      </c>
      <c r="M1489" s="55" t="s">
        <v>172</v>
      </c>
      <c r="N1489" s="55" t="s">
        <v>172</v>
      </c>
      <c r="O1489" s="55" t="s">
        <v>228</v>
      </c>
      <c r="P1489" s="55" t="s">
        <v>423</v>
      </c>
      <c r="Q1489" s="55" t="s">
        <v>350</v>
      </c>
      <c r="R1489" s="55">
        <v>3</v>
      </c>
      <c r="S1489" s="55"/>
      <c r="T1489" s="55" t="s">
        <v>2173</v>
      </c>
    </row>
    <row r="1490" spans="1:20" ht="13" x14ac:dyDescent="0.15">
      <c r="A1490" s="72" t="str">
        <f t="shared" si="23"/>
        <v>Ofsted Social Care Provider Webpage</v>
      </c>
      <c r="B1490" s="55">
        <v>2639632</v>
      </c>
      <c r="D1490" s="55" t="s">
        <v>373</v>
      </c>
      <c r="E1490" s="74">
        <v>44431</v>
      </c>
      <c r="F1490" s="55" t="s">
        <v>344</v>
      </c>
      <c r="G1490" s="55" t="s">
        <v>360</v>
      </c>
      <c r="H1490" s="55" t="s">
        <v>360</v>
      </c>
      <c r="I1490" s="55" t="s">
        <v>360</v>
      </c>
      <c r="J1490" s="55" t="s">
        <v>360</v>
      </c>
      <c r="K1490" s="55" t="s">
        <v>360</v>
      </c>
      <c r="L1490" s="55" t="s">
        <v>360</v>
      </c>
      <c r="M1490" s="55" t="s">
        <v>138</v>
      </c>
      <c r="N1490" s="55" t="s">
        <v>138</v>
      </c>
      <c r="O1490" s="55" t="s">
        <v>216</v>
      </c>
      <c r="P1490" s="55" t="s">
        <v>1968</v>
      </c>
      <c r="Q1490" s="55" t="s">
        <v>350</v>
      </c>
      <c r="R1490" s="55">
        <v>2</v>
      </c>
      <c r="S1490" s="55"/>
      <c r="T1490" s="55" t="s">
        <v>2174</v>
      </c>
    </row>
    <row r="1491" spans="1:20" ht="13" x14ac:dyDescent="0.15">
      <c r="A1491" s="72" t="str">
        <f t="shared" si="23"/>
        <v>Ofsted Social Care Provider Webpage</v>
      </c>
      <c r="B1491" s="55">
        <v>2639649</v>
      </c>
      <c r="D1491" s="55" t="s">
        <v>373</v>
      </c>
      <c r="E1491" s="74">
        <v>44467</v>
      </c>
      <c r="F1491" s="55" t="s">
        <v>344</v>
      </c>
      <c r="G1491" s="55" t="s">
        <v>360</v>
      </c>
      <c r="H1491" s="55" t="s">
        <v>360</v>
      </c>
      <c r="I1491" s="55" t="s">
        <v>360</v>
      </c>
      <c r="J1491" s="55" t="s">
        <v>360</v>
      </c>
      <c r="K1491" s="55" t="s">
        <v>360</v>
      </c>
      <c r="L1491" s="55" t="s">
        <v>360</v>
      </c>
      <c r="M1491" s="55" t="s">
        <v>144</v>
      </c>
      <c r="N1491" s="55" t="s">
        <v>144</v>
      </c>
      <c r="O1491" s="55" t="s">
        <v>209</v>
      </c>
      <c r="P1491" s="55" t="s">
        <v>597</v>
      </c>
      <c r="Q1491" s="55" t="s">
        <v>350</v>
      </c>
      <c r="R1491" s="55">
        <v>2</v>
      </c>
      <c r="S1491" s="55"/>
      <c r="T1491" s="55" t="s">
        <v>2175</v>
      </c>
    </row>
    <row r="1492" spans="1:20" ht="13" x14ac:dyDescent="0.15">
      <c r="A1492" s="72" t="str">
        <f t="shared" si="23"/>
        <v>Ofsted Social Care Provider Webpage</v>
      </c>
      <c r="B1492" s="55">
        <v>2640082</v>
      </c>
      <c r="D1492" s="55" t="s">
        <v>373</v>
      </c>
      <c r="E1492" s="74">
        <v>44336</v>
      </c>
      <c r="F1492" s="55" t="s">
        <v>344</v>
      </c>
      <c r="G1492" s="55" t="s">
        <v>360</v>
      </c>
      <c r="H1492" s="55" t="s">
        <v>360</v>
      </c>
      <c r="I1492" s="55" t="s">
        <v>360</v>
      </c>
      <c r="J1492" s="55" t="s">
        <v>360</v>
      </c>
      <c r="K1492" s="55" t="s">
        <v>360</v>
      </c>
      <c r="L1492" s="55" t="s">
        <v>360</v>
      </c>
      <c r="M1492" s="55" t="s">
        <v>138</v>
      </c>
      <c r="N1492" s="55" t="s">
        <v>138</v>
      </c>
      <c r="O1492" s="55" t="s">
        <v>224</v>
      </c>
      <c r="P1492" s="55" t="s">
        <v>2176</v>
      </c>
      <c r="Q1492" s="55" t="s">
        <v>350</v>
      </c>
      <c r="R1492" s="55">
        <v>3</v>
      </c>
      <c r="S1492" s="55"/>
      <c r="T1492" s="55" t="s">
        <v>2177</v>
      </c>
    </row>
    <row r="1493" spans="1:20" ht="13" x14ac:dyDescent="0.15">
      <c r="A1493" s="72" t="str">
        <f t="shared" si="23"/>
        <v>Ofsted Social Care Provider Webpage</v>
      </c>
      <c r="B1493" s="55">
        <v>2640099</v>
      </c>
      <c r="D1493" s="55" t="s">
        <v>373</v>
      </c>
      <c r="E1493" s="74">
        <v>44398</v>
      </c>
      <c r="F1493" s="55" t="s">
        <v>344</v>
      </c>
      <c r="G1493" s="55" t="s">
        <v>360</v>
      </c>
      <c r="H1493" s="55" t="s">
        <v>360</v>
      </c>
      <c r="I1493" s="55" t="s">
        <v>360</v>
      </c>
      <c r="J1493" s="55" t="s">
        <v>360</v>
      </c>
      <c r="K1493" s="55" t="s">
        <v>360</v>
      </c>
      <c r="L1493" s="55" t="s">
        <v>360</v>
      </c>
      <c r="M1493" s="55" t="s">
        <v>144</v>
      </c>
      <c r="N1493" s="55" t="s">
        <v>144</v>
      </c>
      <c r="O1493" s="55" t="s">
        <v>209</v>
      </c>
      <c r="P1493" s="55" t="s">
        <v>736</v>
      </c>
      <c r="Q1493" s="55" t="s">
        <v>350</v>
      </c>
      <c r="R1493" s="55">
        <v>3</v>
      </c>
      <c r="S1493" s="55"/>
      <c r="T1493" s="55" t="s">
        <v>2178</v>
      </c>
    </row>
    <row r="1494" spans="1:20" ht="13" x14ac:dyDescent="0.15">
      <c r="A1494" s="72" t="str">
        <f t="shared" si="23"/>
        <v>Ofsted Social Care Provider Webpage</v>
      </c>
      <c r="B1494" s="55">
        <v>2640245</v>
      </c>
      <c r="D1494" s="55" t="s">
        <v>373</v>
      </c>
      <c r="E1494" s="74">
        <v>44396</v>
      </c>
      <c r="F1494" s="55" t="s">
        <v>344</v>
      </c>
      <c r="G1494" s="55" t="s">
        <v>360</v>
      </c>
      <c r="H1494" s="55" t="s">
        <v>360</v>
      </c>
      <c r="I1494" s="55" t="s">
        <v>360</v>
      </c>
      <c r="J1494" s="55" t="s">
        <v>360</v>
      </c>
      <c r="K1494" s="55" t="s">
        <v>360</v>
      </c>
      <c r="L1494" s="55" t="s">
        <v>360</v>
      </c>
      <c r="M1494" s="55" t="s">
        <v>144</v>
      </c>
      <c r="N1494" s="55" t="s">
        <v>144</v>
      </c>
      <c r="O1494" s="55" t="s">
        <v>281</v>
      </c>
      <c r="P1494" s="55" t="s">
        <v>725</v>
      </c>
      <c r="Q1494" s="55" t="s">
        <v>350</v>
      </c>
      <c r="R1494" s="55">
        <v>1</v>
      </c>
      <c r="S1494" s="55"/>
      <c r="T1494" s="55" t="s">
        <v>1449</v>
      </c>
    </row>
    <row r="1495" spans="1:20" ht="13" x14ac:dyDescent="0.15">
      <c r="A1495" s="72" t="str">
        <f t="shared" si="23"/>
        <v>Ofsted Social Care Provider Webpage</v>
      </c>
      <c r="B1495" s="55">
        <v>2640576</v>
      </c>
      <c r="D1495" s="55" t="s">
        <v>451</v>
      </c>
      <c r="E1495" s="74">
        <v>44468</v>
      </c>
      <c r="F1495" s="55" t="s">
        <v>344</v>
      </c>
      <c r="G1495" s="55" t="s">
        <v>2179</v>
      </c>
      <c r="H1495" s="55" t="s">
        <v>2180</v>
      </c>
      <c r="I1495" s="55" t="s">
        <v>2181</v>
      </c>
      <c r="J1495" s="55" t="s">
        <v>1291</v>
      </c>
      <c r="L1495" s="55" t="s">
        <v>2182</v>
      </c>
      <c r="M1495" s="55" t="s">
        <v>142</v>
      </c>
      <c r="N1495" s="55" t="s">
        <v>142</v>
      </c>
      <c r="O1495" s="55" t="s">
        <v>272</v>
      </c>
      <c r="P1495" s="55" t="s">
        <v>653</v>
      </c>
      <c r="Q1495" s="55" t="s">
        <v>350</v>
      </c>
      <c r="R1495" s="55">
        <v>5</v>
      </c>
      <c r="S1495" s="55"/>
      <c r="T1495" s="55" t="s">
        <v>1423</v>
      </c>
    </row>
    <row r="1496" spans="1:20" ht="13" x14ac:dyDescent="0.15">
      <c r="A1496" s="72" t="str">
        <f t="shared" si="23"/>
        <v>Ofsted Social Care Provider Webpage</v>
      </c>
      <c r="B1496" s="55">
        <v>2640599</v>
      </c>
      <c r="D1496" s="55" t="s">
        <v>413</v>
      </c>
      <c r="E1496" s="74">
        <v>44455</v>
      </c>
      <c r="F1496" s="55" t="s">
        <v>344</v>
      </c>
      <c r="G1496" s="55" t="s">
        <v>2183</v>
      </c>
      <c r="H1496" s="55" t="s">
        <v>2184</v>
      </c>
      <c r="I1496" s="55" t="s">
        <v>354</v>
      </c>
      <c r="J1496" s="55" t="s">
        <v>2185</v>
      </c>
      <c r="K1496" s="55" t="s">
        <v>266</v>
      </c>
      <c r="L1496" s="55" t="s">
        <v>2186</v>
      </c>
      <c r="M1496" s="55" t="s">
        <v>138</v>
      </c>
      <c r="N1496" s="55" t="s">
        <v>138</v>
      </c>
      <c r="O1496" s="55" t="s">
        <v>266</v>
      </c>
      <c r="P1496" s="55" t="s">
        <v>1622</v>
      </c>
      <c r="Q1496" s="55" t="s">
        <v>420</v>
      </c>
      <c r="R1496" s="55">
        <v>12</v>
      </c>
      <c r="S1496" s="55"/>
      <c r="T1496" s="55" t="s">
        <v>2187</v>
      </c>
    </row>
    <row r="1497" spans="1:20" ht="13" x14ac:dyDescent="0.15">
      <c r="A1497" s="72" t="str">
        <f t="shared" si="23"/>
        <v>Ofsted Social Care Provider Webpage</v>
      </c>
      <c r="B1497" s="55">
        <v>2641044</v>
      </c>
      <c r="D1497" s="55" t="s">
        <v>373</v>
      </c>
      <c r="E1497" s="74">
        <v>44522</v>
      </c>
      <c r="F1497" s="55" t="s">
        <v>344</v>
      </c>
      <c r="G1497" s="55" t="s">
        <v>360</v>
      </c>
      <c r="H1497" s="55" t="s">
        <v>360</v>
      </c>
      <c r="I1497" s="55" t="s">
        <v>360</v>
      </c>
      <c r="J1497" s="55" t="s">
        <v>360</v>
      </c>
      <c r="K1497" s="55" t="s">
        <v>360</v>
      </c>
      <c r="L1497" s="55" t="s">
        <v>360</v>
      </c>
      <c r="M1497" s="55" t="s">
        <v>378</v>
      </c>
      <c r="N1497" s="55" t="s">
        <v>170</v>
      </c>
      <c r="O1497" s="55" t="s">
        <v>222</v>
      </c>
      <c r="P1497" s="55" t="s">
        <v>2188</v>
      </c>
      <c r="Q1497" s="55" t="s">
        <v>350</v>
      </c>
      <c r="R1497" s="55">
        <v>4</v>
      </c>
      <c r="S1497" s="55"/>
      <c r="T1497" s="55" t="s">
        <v>367</v>
      </c>
    </row>
    <row r="1498" spans="1:20" ht="13" x14ac:dyDescent="0.15">
      <c r="A1498" s="72" t="str">
        <f t="shared" si="23"/>
        <v>Ofsted Social Care Provider Webpage</v>
      </c>
      <c r="B1498" s="55">
        <v>2641449</v>
      </c>
      <c r="D1498" s="55" t="s">
        <v>451</v>
      </c>
      <c r="E1498" s="74">
        <v>44455</v>
      </c>
      <c r="F1498" s="55" t="s">
        <v>344</v>
      </c>
      <c r="G1498" s="55" t="s">
        <v>2189</v>
      </c>
      <c r="H1498" s="55" t="s">
        <v>2190</v>
      </c>
      <c r="I1498" s="55" t="s">
        <v>2191</v>
      </c>
      <c r="J1498" s="55" t="s">
        <v>246</v>
      </c>
      <c r="K1498" s="55" t="s">
        <v>683</v>
      </c>
      <c r="L1498" s="55" t="s">
        <v>2192</v>
      </c>
      <c r="M1498" s="55" t="s">
        <v>378</v>
      </c>
      <c r="N1498" s="55" t="s">
        <v>134</v>
      </c>
      <c r="O1498" s="55" t="s">
        <v>246</v>
      </c>
      <c r="P1498" s="55" t="s">
        <v>685</v>
      </c>
      <c r="Q1498" s="55" t="s">
        <v>350</v>
      </c>
      <c r="R1498" s="55">
        <v>5</v>
      </c>
      <c r="S1498" s="55"/>
      <c r="T1498" s="55" t="s">
        <v>1259</v>
      </c>
    </row>
    <row r="1499" spans="1:20" ht="13" x14ac:dyDescent="0.15">
      <c r="A1499" s="72" t="str">
        <f t="shared" si="23"/>
        <v>Ofsted Social Care Provider Webpage</v>
      </c>
      <c r="B1499" s="55">
        <v>2641682</v>
      </c>
      <c r="D1499" s="55" t="s">
        <v>373</v>
      </c>
      <c r="E1499" s="74">
        <v>44431</v>
      </c>
      <c r="F1499" s="55" t="s">
        <v>344</v>
      </c>
      <c r="G1499" s="55" t="s">
        <v>360</v>
      </c>
      <c r="H1499" s="55" t="s">
        <v>360</v>
      </c>
      <c r="I1499" s="55" t="s">
        <v>360</v>
      </c>
      <c r="J1499" s="55" t="s">
        <v>360</v>
      </c>
      <c r="K1499" s="55" t="s">
        <v>360</v>
      </c>
      <c r="L1499" s="55" t="s">
        <v>360</v>
      </c>
      <c r="M1499" s="55" t="s">
        <v>150</v>
      </c>
      <c r="N1499" s="55" t="s">
        <v>150</v>
      </c>
      <c r="O1499" s="55" t="s">
        <v>203</v>
      </c>
      <c r="P1499" s="55" t="s">
        <v>1038</v>
      </c>
      <c r="Q1499" s="55" t="s">
        <v>362</v>
      </c>
      <c r="R1499" s="55">
        <v>4</v>
      </c>
      <c r="S1499" s="55"/>
      <c r="T1499" s="55" t="s">
        <v>1119</v>
      </c>
    </row>
    <row r="1500" spans="1:20" ht="13" x14ac:dyDescent="0.15">
      <c r="A1500" s="72" t="str">
        <f t="shared" si="23"/>
        <v>Ofsted Social Care Provider Webpage</v>
      </c>
      <c r="B1500" s="55">
        <v>2641767</v>
      </c>
      <c r="D1500" s="55" t="s">
        <v>373</v>
      </c>
      <c r="E1500" s="74">
        <v>44398</v>
      </c>
      <c r="F1500" s="55" t="s">
        <v>728</v>
      </c>
      <c r="G1500" s="55" t="s">
        <v>360</v>
      </c>
      <c r="H1500" s="55" t="s">
        <v>360</v>
      </c>
      <c r="I1500" s="55" t="s">
        <v>360</v>
      </c>
      <c r="J1500" s="55" t="s">
        <v>360</v>
      </c>
      <c r="K1500" s="55" t="s">
        <v>360</v>
      </c>
      <c r="L1500" s="55" t="s">
        <v>360</v>
      </c>
      <c r="M1500" s="55" t="s">
        <v>144</v>
      </c>
      <c r="N1500" s="55" t="s">
        <v>144</v>
      </c>
      <c r="O1500" s="55" t="s">
        <v>209</v>
      </c>
      <c r="P1500" s="55" t="s">
        <v>555</v>
      </c>
      <c r="Q1500" s="55" t="s">
        <v>350</v>
      </c>
      <c r="R1500" s="55">
        <v>5</v>
      </c>
      <c r="S1500" s="55"/>
      <c r="T1500" s="55" t="s">
        <v>2193</v>
      </c>
    </row>
    <row r="1501" spans="1:20" ht="13" x14ac:dyDescent="0.15">
      <c r="A1501" s="72" t="str">
        <f t="shared" si="23"/>
        <v>Ofsted Social Care Provider Webpage</v>
      </c>
      <c r="B1501" s="55">
        <v>2641768</v>
      </c>
      <c r="D1501" s="55" t="s">
        <v>373</v>
      </c>
      <c r="E1501" s="74">
        <v>44470</v>
      </c>
      <c r="F1501" s="55" t="s">
        <v>344</v>
      </c>
      <c r="G1501" s="55" t="s">
        <v>360</v>
      </c>
      <c r="H1501" s="55" t="s">
        <v>360</v>
      </c>
      <c r="I1501" s="55" t="s">
        <v>360</v>
      </c>
      <c r="J1501" s="55" t="s">
        <v>360</v>
      </c>
      <c r="K1501" s="55" t="s">
        <v>360</v>
      </c>
      <c r="L1501" s="55" t="s">
        <v>360</v>
      </c>
      <c r="M1501" s="55" t="s">
        <v>144</v>
      </c>
      <c r="N1501" s="55" t="s">
        <v>144</v>
      </c>
      <c r="O1501" s="55" t="s">
        <v>271</v>
      </c>
      <c r="P1501" s="55" t="s">
        <v>1122</v>
      </c>
      <c r="Q1501" s="55" t="s">
        <v>350</v>
      </c>
      <c r="R1501" s="55">
        <v>4</v>
      </c>
      <c r="S1501" s="55"/>
      <c r="T1501" s="55" t="s">
        <v>1541</v>
      </c>
    </row>
    <row r="1502" spans="1:20" ht="13" x14ac:dyDescent="0.15">
      <c r="A1502" s="72" t="str">
        <f t="shared" si="23"/>
        <v>Ofsted Social Care Provider Webpage</v>
      </c>
      <c r="B1502" s="55">
        <v>2641790</v>
      </c>
      <c r="D1502" s="55" t="s">
        <v>373</v>
      </c>
      <c r="E1502" s="74">
        <v>44340</v>
      </c>
      <c r="F1502" s="55" t="s">
        <v>344</v>
      </c>
      <c r="G1502" s="55" t="s">
        <v>360</v>
      </c>
      <c r="H1502" s="55" t="s">
        <v>360</v>
      </c>
      <c r="I1502" s="55" t="s">
        <v>360</v>
      </c>
      <c r="J1502" s="55" t="s">
        <v>360</v>
      </c>
      <c r="K1502" s="55" t="s">
        <v>360</v>
      </c>
      <c r="L1502" s="55" t="s">
        <v>360</v>
      </c>
      <c r="M1502" s="55" t="s">
        <v>144</v>
      </c>
      <c r="N1502" s="55" t="s">
        <v>144</v>
      </c>
      <c r="O1502" s="55" t="s">
        <v>209</v>
      </c>
      <c r="P1502" s="55" t="s">
        <v>474</v>
      </c>
      <c r="Q1502" s="55" t="s">
        <v>350</v>
      </c>
      <c r="R1502" s="55">
        <v>2</v>
      </c>
      <c r="S1502" s="55"/>
      <c r="T1502" s="55" t="s">
        <v>1638</v>
      </c>
    </row>
    <row r="1503" spans="1:20" ht="13" x14ac:dyDescent="0.15">
      <c r="A1503" s="72" t="str">
        <f t="shared" si="23"/>
        <v>Ofsted Social Care Provider Webpage</v>
      </c>
      <c r="B1503" s="55">
        <v>2641888</v>
      </c>
      <c r="D1503" s="55" t="s">
        <v>373</v>
      </c>
      <c r="E1503" s="74">
        <v>44567</v>
      </c>
      <c r="F1503" s="55" t="s">
        <v>344</v>
      </c>
      <c r="G1503" s="55" t="s">
        <v>360</v>
      </c>
      <c r="H1503" s="55" t="s">
        <v>360</v>
      </c>
      <c r="I1503" s="55" t="s">
        <v>360</v>
      </c>
      <c r="J1503" s="55" t="s">
        <v>360</v>
      </c>
      <c r="K1503" s="55" t="s">
        <v>360</v>
      </c>
      <c r="L1503" s="55" t="s">
        <v>360</v>
      </c>
      <c r="M1503" s="55" t="s">
        <v>138</v>
      </c>
      <c r="N1503" s="55" t="s">
        <v>138</v>
      </c>
      <c r="O1503" s="55" t="s">
        <v>224</v>
      </c>
      <c r="P1503" s="55" t="s">
        <v>374</v>
      </c>
      <c r="Q1503" s="55" t="s">
        <v>350</v>
      </c>
      <c r="R1503" s="55">
        <v>5</v>
      </c>
      <c r="S1503" s="55"/>
      <c r="T1503" s="55" t="s">
        <v>2161</v>
      </c>
    </row>
    <row r="1504" spans="1:20" ht="13" x14ac:dyDescent="0.15">
      <c r="A1504" s="72" t="str">
        <f t="shared" si="23"/>
        <v>Ofsted Social Care Provider Webpage</v>
      </c>
      <c r="B1504" s="55">
        <v>2642297</v>
      </c>
      <c r="D1504" s="55" t="s">
        <v>373</v>
      </c>
      <c r="E1504" s="74">
        <v>44413</v>
      </c>
      <c r="F1504" s="55" t="s">
        <v>344</v>
      </c>
      <c r="G1504" s="55" t="s">
        <v>360</v>
      </c>
      <c r="H1504" s="55" t="s">
        <v>360</v>
      </c>
      <c r="I1504" s="55" t="s">
        <v>360</v>
      </c>
      <c r="J1504" s="55" t="s">
        <v>360</v>
      </c>
      <c r="K1504" s="55" t="s">
        <v>360</v>
      </c>
      <c r="L1504" s="55" t="s">
        <v>360</v>
      </c>
      <c r="M1504" s="55" t="s">
        <v>142</v>
      </c>
      <c r="N1504" s="55" t="s">
        <v>142</v>
      </c>
      <c r="O1504" s="55" t="s">
        <v>292</v>
      </c>
      <c r="P1504" s="55" t="s">
        <v>976</v>
      </c>
      <c r="Q1504" s="55" t="s">
        <v>350</v>
      </c>
      <c r="R1504" s="55">
        <v>3</v>
      </c>
      <c r="S1504" s="55"/>
      <c r="T1504" s="55" t="s">
        <v>2194</v>
      </c>
    </row>
    <row r="1505" spans="1:20" ht="13" x14ac:dyDescent="0.15">
      <c r="A1505" s="72" t="str">
        <f t="shared" si="23"/>
        <v>Ofsted Social Care Provider Webpage</v>
      </c>
      <c r="B1505" s="55">
        <v>2642399</v>
      </c>
      <c r="D1505" s="55" t="s">
        <v>373</v>
      </c>
      <c r="E1505" s="74">
        <v>44459</v>
      </c>
      <c r="F1505" s="55" t="s">
        <v>344</v>
      </c>
      <c r="G1505" s="55" t="s">
        <v>360</v>
      </c>
      <c r="H1505" s="55" t="s">
        <v>360</v>
      </c>
      <c r="I1505" s="55" t="s">
        <v>360</v>
      </c>
      <c r="J1505" s="55" t="s">
        <v>360</v>
      </c>
      <c r="K1505" s="55" t="s">
        <v>360</v>
      </c>
      <c r="L1505" s="55" t="s">
        <v>360</v>
      </c>
      <c r="M1505" s="55" t="s">
        <v>142</v>
      </c>
      <c r="N1505" s="55" t="s">
        <v>142</v>
      </c>
      <c r="O1505" s="55" t="s">
        <v>262</v>
      </c>
      <c r="P1505" s="55" t="s">
        <v>618</v>
      </c>
      <c r="Q1505" s="55" t="s">
        <v>350</v>
      </c>
      <c r="R1505" s="55">
        <v>2</v>
      </c>
      <c r="S1505" s="55"/>
      <c r="T1505" s="55" t="s">
        <v>517</v>
      </c>
    </row>
    <row r="1506" spans="1:20" ht="13" x14ac:dyDescent="0.15">
      <c r="A1506" s="72" t="str">
        <f t="shared" si="23"/>
        <v>Ofsted Social Care Provider Webpage</v>
      </c>
      <c r="B1506" s="55">
        <v>2642400</v>
      </c>
      <c r="D1506" s="55" t="s">
        <v>373</v>
      </c>
      <c r="E1506" s="74">
        <v>44404</v>
      </c>
      <c r="F1506" s="55" t="s">
        <v>344</v>
      </c>
      <c r="G1506" s="55" t="s">
        <v>360</v>
      </c>
      <c r="H1506" s="55" t="s">
        <v>360</v>
      </c>
      <c r="I1506" s="55" t="s">
        <v>360</v>
      </c>
      <c r="J1506" s="55" t="s">
        <v>360</v>
      </c>
      <c r="K1506" s="55" t="s">
        <v>360</v>
      </c>
      <c r="L1506" s="55" t="s">
        <v>360</v>
      </c>
      <c r="M1506" s="55" t="s">
        <v>144</v>
      </c>
      <c r="N1506" s="55" t="s">
        <v>144</v>
      </c>
      <c r="O1506" s="55" t="s">
        <v>209</v>
      </c>
      <c r="P1506" s="55" t="s">
        <v>777</v>
      </c>
      <c r="Q1506" s="55" t="s">
        <v>350</v>
      </c>
      <c r="R1506" s="55">
        <v>1</v>
      </c>
      <c r="S1506" s="55"/>
      <c r="T1506" s="55" t="s">
        <v>1971</v>
      </c>
    </row>
    <row r="1507" spans="1:20" ht="13" x14ac:dyDescent="0.15">
      <c r="A1507" s="72" t="str">
        <f t="shared" si="23"/>
        <v>Ofsted Social Care Provider Webpage</v>
      </c>
      <c r="B1507" s="55">
        <v>2642401</v>
      </c>
      <c r="D1507" s="55" t="s">
        <v>373</v>
      </c>
      <c r="E1507" s="74">
        <v>44505</v>
      </c>
      <c r="F1507" s="55" t="s">
        <v>344</v>
      </c>
      <c r="G1507" s="55" t="s">
        <v>360</v>
      </c>
      <c r="H1507" s="55" t="s">
        <v>360</v>
      </c>
      <c r="I1507" s="55" t="s">
        <v>360</v>
      </c>
      <c r="J1507" s="55" t="s">
        <v>360</v>
      </c>
      <c r="K1507" s="55" t="s">
        <v>360</v>
      </c>
      <c r="L1507" s="55" t="s">
        <v>360</v>
      </c>
      <c r="M1507" s="55" t="s">
        <v>144</v>
      </c>
      <c r="N1507" s="55" t="s">
        <v>144</v>
      </c>
      <c r="O1507" s="55" t="s">
        <v>271</v>
      </c>
      <c r="P1507" s="55" t="s">
        <v>870</v>
      </c>
      <c r="Q1507" s="55" t="s">
        <v>350</v>
      </c>
      <c r="R1507" s="55">
        <v>4</v>
      </c>
      <c r="S1507" s="55"/>
      <c r="T1507" s="55" t="s">
        <v>2195</v>
      </c>
    </row>
    <row r="1508" spans="1:20" ht="13" x14ac:dyDescent="0.15">
      <c r="A1508" s="72" t="str">
        <f t="shared" si="23"/>
        <v>Ofsted Social Care Provider Webpage</v>
      </c>
      <c r="B1508" s="55">
        <v>2642423</v>
      </c>
      <c r="D1508" s="55" t="s">
        <v>373</v>
      </c>
      <c r="E1508" s="74">
        <v>44366</v>
      </c>
      <c r="F1508" s="55" t="s">
        <v>344</v>
      </c>
      <c r="G1508" s="55" t="s">
        <v>360</v>
      </c>
      <c r="H1508" s="55" t="s">
        <v>360</v>
      </c>
      <c r="I1508" s="55" t="s">
        <v>360</v>
      </c>
      <c r="J1508" s="55" t="s">
        <v>360</v>
      </c>
      <c r="K1508" s="55" t="s">
        <v>360</v>
      </c>
      <c r="L1508" s="55" t="s">
        <v>360</v>
      </c>
      <c r="M1508" s="55" t="s">
        <v>144</v>
      </c>
      <c r="N1508" s="55" t="s">
        <v>144</v>
      </c>
      <c r="O1508" s="55" t="s">
        <v>168</v>
      </c>
      <c r="P1508" s="55" t="s">
        <v>913</v>
      </c>
      <c r="Q1508" s="55" t="s">
        <v>350</v>
      </c>
      <c r="R1508" s="55">
        <v>3</v>
      </c>
      <c r="S1508" s="55"/>
      <c r="T1508" s="55" t="s">
        <v>915</v>
      </c>
    </row>
    <row r="1509" spans="1:20" ht="13" x14ac:dyDescent="0.15">
      <c r="A1509" s="72" t="str">
        <f t="shared" si="23"/>
        <v>Ofsted Social Care Provider Webpage</v>
      </c>
      <c r="B1509" s="55">
        <v>2642537</v>
      </c>
      <c r="D1509" s="55" t="s">
        <v>373</v>
      </c>
      <c r="E1509" s="74">
        <v>44491</v>
      </c>
      <c r="F1509" s="55" t="s">
        <v>344</v>
      </c>
      <c r="G1509" s="55" t="s">
        <v>360</v>
      </c>
      <c r="H1509" s="55" t="s">
        <v>360</v>
      </c>
      <c r="I1509" s="55" t="s">
        <v>360</v>
      </c>
      <c r="J1509" s="55" t="s">
        <v>360</v>
      </c>
      <c r="K1509" s="55" t="s">
        <v>360</v>
      </c>
      <c r="L1509" s="55" t="s">
        <v>360</v>
      </c>
      <c r="M1509" s="55" t="s">
        <v>129</v>
      </c>
      <c r="N1509" s="55" t="s">
        <v>129</v>
      </c>
      <c r="O1509" s="55" t="s">
        <v>213</v>
      </c>
      <c r="P1509" s="55" t="s">
        <v>1020</v>
      </c>
      <c r="Q1509" s="55" t="s">
        <v>350</v>
      </c>
      <c r="R1509" s="55">
        <v>6</v>
      </c>
      <c r="S1509" s="55"/>
      <c r="T1509" s="55" t="s">
        <v>2196</v>
      </c>
    </row>
    <row r="1510" spans="1:20" ht="13" x14ac:dyDescent="0.15">
      <c r="A1510" s="72" t="str">
        <f t="shared" si="23"/>
        <v>Ofsted Social Care Provider Webpage</v>
      </c>
      <c r="B1510" s="55">
        <v>2642570</v>
      </c>
      <c r="D1510" s="55" t="s">
        <v>373</v>
      </c>
      <c r="E1510" s="74">
        <v>44460</v>
      </c>
      <c r="F1510" s="55" t="s">
        <v>344</v>
      </c>
      <c r="G1510" s="55" t="s">
        <v>360</v>
      </c>
      <c r="H1510" s="55" t="s">
        <v>360</v>
      </c>
      <c r="I1510" s="55" t="s">
        <v>360</v>
      </c>
      <c r="J1510" s="55" t="s">
        <v>360</v>
      </c>
      <c r="K1510" s="55" t="s">
        <v>360</v>
      </c>
      <c r="L1510" s="55" t="s">
        <v>360</v>
      </c>
      <c r="M1510" s="55" t="s">
        <v>172</v>
      </c>
      <c r="N1510" s="55" t="s">
        <v>172</v>
      </c>
      <c r="O1510" s="55" t="s">
        <v>212</v>
      </c>
      <c r="P1510" s="55" t="s">
        <v>842</v>
      </c>
      <c r="Q1510" s="55" t="s">
        <v>350</v>
      </c>
      <c r="R1510" s="55">
        <v>3</v>
      </c>
      <c r="S1510" s="55"/>
      <c r="T1510" s="55" t="s">
        <v>950</v>
      </c>
    </row>
    <row r="1511" spans="1:20" ht="13" x14ac:dyDescent="0.15">
      <c r="A1511" s="72" t="str">
        <f t="shared" si="23"/>
        <v>Ofsted Social Care Provider Webpage</v>
      </c>
      <c r="B1511" s="55">
        <v>2642643</v>
      </c>
      <c r="D1511" s="55" t="s">
        <v>373</v>
      </c>
      <c r="E1511" s="74">
        <v>44330</v>
      </c>
      <c r="F1511" s="55" t="s">
        <v>344</v>
      </c>
      <c r="G1511" s="55" t="s">
        <v>360</v>
      </c>
      <c r="H1511" s="55" t="s">
        <v>360</v>
      </c>
      <c r="I1511" s="55" t="s">
        <v>360</v>
      </c>
      <c r="J1511" s="55" t="s">
        <v>360</v>
      </c>
      <c r="K1511" s="55" t="s">
        <v>360</v>
      </c>
      <c r="L1511" s="55" t="s">
        <v>360</v>
      </c>
      <c r="M1511" s="55" t="s">
        <v>172</v>
      </c>
      <c r="N1511" s="55" t="s">
        <v>172</v>
      </c>
      <c r="O1511" s="55" t="s">
        <v>173</v>
      </c>
      <c r="P1511" s="55" t="s">
        <v>1069</v>
      </c>
      <c r="Q1511" s="55" t="s">
        <v>380</v>
      </c>
      <c r="R1511" s="55">
        <v>4</v>
      </c>
      <c r="S1511" s="55"/>
      <c r="T1511" s="55" t="s">
        <v>1431</v>
      </c>
    </row>
    <row r="1512" spans="1:20" ht="13" x14ac:dyDescent="0.15">
      <c r="A1512" s="72" t="str">
        <f t="shared" si="23"/>
        <v>Ofsted Social Care Provider Webpage</v>
      </c>
      <c r="B1512" s="55">
        <v>2642842</v>
      </c>
      <c r="D1512" s="55" t="s">
        <v>373</v>
      </c>
      <c r="E1512" s="74">
        <v>44371</v>
      </c>
      <c r="F1512" s="55" t="s">
        <v>344</v>
      </c>
      <c r="G1512" s="55" t="s">
        <v>360</v>
      </c>
      <c r="H1512" s="55" t="s">
        <v>360</v>
      </c>
      <c r="I1512" s="55" t="s">
        <v>360</v>
      </c>
      <c r="J1512" s="55" t="s">
        <v>360</v>
      </c>
      <c r="K1512" s="55" t="s">
        <v>360</v>
      </c>
      <c r="L1512" s="55" t="s">
        <v>360</v>
      </c>
      <c r="M1512" s="55" t="s">
        <v>136</v>
      </c>
      <c r="N1512" s="55" t="s">
        <v>136</v>
      </c>
      <c r="O1512" s="55" t="s">
        <v>255</v>
      </c>
      <c r="P1512" s="55" t="s">
        <v>583</v>
      </c>
      <c r="Q1512" s="55" t="s">
        <v>350</v>
      </c>
      <c r="R1512" s="55">
        <v>3</v>
      </c>
      <c r="S1512" s="55"/>
      <c r="T1512" s="55" t="s">
        <v>2197</v>
      </c>
    </row>
    <row r="1513" spans="1:20" ht="13" x14ac:dyDescent="0.15">
      <c r="A1513" s="72" t="str">
        <f t="shared" si="23"/>
        <v>Ofsted Social Care Provider Webpage</v>
      </c>
      <c r="B1513" s="55">
        <v>2643337</v>
      </c>
      <c r="D1513" s="55" t="s">
        <v>443</v>
      </c>
      <c r="E1513" s="74">
        <v>44576</v>
      </c>
      <c r="F1513" s="55" t="s">
        <v>344</v>
      </c>
      <c r="G1513" s="55" t="s">
        <v>2198</v>
      </c>
      <c r="H1513" s="55" t="s">
        <v>2199</v>
      </c>
      <c r="I1513" s="55" t="s">
        <v>2200</v>
      </c>
      <c r="J1513" s="55" t="s">
        <v>2201</v>
      </c>
      <c r="L1513" s="55" t="s">
        <v>2202</v>
      </c>
      <c r="M1513" s="55" t="s">
        <v>138</v>
      </c>
      <c r="N1513" s="55" t="s">
        <v>138</v>
      </c>
      <c r="O1513" s="55" t="s">
        <v>273</v>
      </c>
      <c r="P1513" s="55" t="s">
        <v>273</v>
      </c>
      <c r="Q1513" s="55" t="s">
        <v>350</v>
      </c>
      <c r="R1513" s="55"/>
      <c r="S1513" s="55"/>
      <c r="T1513" s="55" t="s">
        <v>2203</v>
      </c>
    </row>
    <row r="1514" spans="1:20" ht="13" x14ac:dyDescent="0.15">
      <c r="A1514" s="72" t="str">
        <f t="shared" si="23"/>
        <v>Ofsted Social Care Provider Webpage</v>
      </c>
      <c r="B1514" s="55">
        <v>2643338</v>
      </c>
      <c r="D1514" s="55" t="s">
        <v>373</v>
      </c>
      <c r="E1514" s="74">
        <v>44481</v>
      </c>
      <c r="F1514" s="55" t="s">
        <v>344</v>
      </c>
      <c r="G1514" s="55" t="s">
        <v>360</v>
      </c>
      <c r="H1514" s="55" t="s">
        <v>360</v>
      </c>
      <c r="I1514" s="55" t="s">
        <v>360</v>
      </c>
      <c r="J1514" s="55" t="s">
        <v>360</v>
      </c>
      <c r="K1514" s="55" t="s">
        <v>360</v>
      </c>
      <c r="L1514" s="55" t="s">
        <v>360</v>
      </c>
      <c r="M1514" s="55" t="s">
        <v>144</v>
      </c>
      <c r="N1514" s="55" t="s">
        <v>144</v>
      </c>
      <c r="O1514" s="55" t="s">
        <v>236</v>
      </c>
      <c r="P1514" s="55" t="s">
        <v>2088</v>
      </c>
      <c r="Q1514" s="55" t="s">
        <v>350</v>
      </c>
      <c r="R1514" s="55">
        <v>3</v>
      </c>
      <c r="S1514" s="55"/>
      <c r="T1514" s="55" t="s">
        <v>2204</v>
      </c>
    </row>
    <row r="1515" spans="1:20" ht="13" x14ac:dyDescent="0.15">
      <c r="A1515" s="72" t="str">
        <f t="shared" si="23"/>
        <v>Ofsted Social Care Provider Webpage</v>
      </c>
      <c r="B1515" s="55">
        <v>2643361</v>
      </c>
      <c r="D1515" s="55" t="s">
        <v>373</v>
      </c>
      <c r="E1515" s="74">
        <v>44550</v>
      </c>
      <c r="F1515" s="55" t="s">
        <v>344</v>
      </c>
      <c r="G1515" s="55" t="s">
        <v>360</v>
      </c>
      <c r="H1515" s="55" t="s">
        <v>360</v>
      </c>
      <c r="I1515" s="55" t="s">
        <v>360</v>
      </c>
      <c r="J1515" s="55" t="s">
        <v>360</v>
      </c>
      <c r="K1515" s="55" t="s">
        <v>360</v>
      </c>
      <c r="L1515" s="55" t="s">
        <v>360</v>
      </c>
      <c r="M1515" s="55" t="s">
        <v>129</v>
      </c>
      <c r="N1515" s="55" t="s">
        <v>129</v>
      </c>
      <c r="O1515" s="55" t="s">
        <v>182</v>
      </c>
      <c r="P1515" s="55" t="s">
        <v>1660</v>
      </c>
      <c r="Q1515" s="55" t="s">
        <v>350</v>
      </c>
      <c r="R1515" s="55">
        <v>3</v>
      </c>
      <c r="S1515" s="55"/>
      <c r="T1515" s="55" t="s">
        <v>2205</v>
      </c>
    </row>
    <row r="1516" spans="1:20" ht="13" x14ac:dyDescent="0.15">
      <c r="A1516" s="72" t="str">
        <f t="shared" si="23"/>
        <v>Ofsted Social Care Provider Webpage</v>
      </c>
      <c r="B1516" s="55">
        <v>2643362</v>
      </c>
      <c r="D1516" s="55" t="s">
        <v>373</v>
      </c>
      <c r="E1516" s="74">
        <v>44488</v>
      </c>
      <c r="F1516" s="55" t="s">
        <v>344</v>
      </c>
      <c r="G1516" s="55" t="s">
        <v>360</v>
      </c>
      <c r="H1516" s="55" t="s">
        <v>360</v>
      </c>
      <c r="I1516" s="55" t="s">
        <v>360</v>
      </c>
      <c r="J1516" s="55" t="s">
        <v>360</v>
      </c>
      <c r="K1516" s="55" t="s">
        <v>360</v>
      </c>
      <c r="L1516" s="55" t="s">
        <v>360</v>
      </c>
      <c r="M1516" s="55" t="s">
        <v>136</v>
      </c>
      <c r="N1516" s="55" t="s">
        <v>136</v>
      </c>
      <c r="O1516" s="55" t="s">
        <v>255</v>
      </c>
      <c r="P1516" s="55" t="s">
        <v>757</v>
      </c>
      <c r="Q1516" s="55" t="s">
        <v>350</v>
      </c>
      <c r="R1516" s="55">
        <v>1</v>
      </c>
      <c r="S1516" s="55"/>
      <c r="T1516" s="55" t="s">
        <v>385</v>
      </c>
    </row>
    <row r="1517" spans="1:20" ht="13" x14ac:dyDescent="0.15">
      <c r="A1517" s="72" t="str">
        <f t="shared" si="23"/>
        <v>Ofsted Social Care Provider Webpage</v>
      </c>
      <c r="B1517" s="55">
        <v>2643390</v>
      </c>
      <c r="D1517" s="55" t="s">
        <v>373</v>
      </c>
      <c r="E1517" s="74">
        <v>44446</v>
      </c>
      <c r="F1517" s="55" t="s">
        <v>344</v>
      </c>
      <c r="G1517" s="55" t="s">
        <v>360</v>
      </c>
      <c r="H1517" s="55" t="s">
        <v>360</v>
      </c>
      <c r="I1517" s="55" t="s">
        <v>360</v>
      </c>
      <c r="J1517" s="55" t="s">
        <v>360</v>
      </c>
      <c r="K1517" s="55" t="s">
        <v>360</v>
      </c>
      <c r="L1517" s="55" t="s">
        <v>360</v>
      </c>
      <c r="M1517" s="55" t="s">
        <v>136</v>
      </c>
      <c r="N1517" s="55" t="s">
        <v>136</v>
      </c>
      <c r="O1517" s="55" t="s">
        <v>705</v>
      </c>
      <c r="P1517" s="55" t="s">
        <v>706</v>
      </c>
      <c r="Q1517" s="55" t="s">
        <v>350</v>
      </c>
      <c r="R1517" s="55">
        <v>2</v>
      </c>
      <c r="S1517" s="55"/>
      <c r="T1517" s="55" t="s">
        <v>2047</v>
      </c>
    </row>
    <row r="1518" spans="1:20" ht="13" x14ac:dyDescent="0.15">
      <c r="A1518" s="72" t="str">
        <f t="shared" si="23"/>
        <v>Ofsted Social Care Provider Webpage</v>
      </c>
      <c r="B1518" s="55">
        <v>2643709</v>
      </c>
      <c r="D1518" s="55" t="s">
        <v>373</v>
      </c>
      <c r="E1518" s="74">
        <v>44544</v>
      </c>
      <c r="F1518" s="55" t="s">
        <v>344</v>
      </c>
      <c r="G1518" s="55" t="s">
        <v>360</v>
      </c>
      <c r="H1518" s="55" t="s">
        <v>360</v>
      </c>
      <c r="I1518" s="55" t="s">
        <v>360</v>
      </c>
      <c r="J1518" s="55" t="s">
        <v>360</v>
      </c>
      <c r="K1518" s="55" t="s">
        <v>360</v>
      </c>
      <c r="L1518" s="55" t="s">
        <v>360</v>
      </c>
      <c r="M1518" s="55" t="s">
        <v>138</v>
      </c>
      <c r="N1518" s="55" t="s">
        <v>138</v>
      </c>
      <c r="O1518" s="55" t="s">
        <v>137</v>
      </c>
      <c r="P1518" s="55" t="s">
        <v>137</v>
      </c>
      <c r="Q1518" s="55" t="s">
        <v>350</v>
      </c>
      <c r="R1518" s="55">
        <v>3</v>
      </c>
      <c r="S1518" s="55"/>
      <c r="T1518" s="55" t="s">
        <v>2206</v>
      </c>
    </row>
    <row r="1519" spans="1:20" ht="13" x14ac:dyDescent="0.15">
      <c r="A1519" s="72" t="str">
        <f t="shared" si="23"/>
        <v>Ofsted Social Care Provider Webpage</v>
      </c>
      <c r="B1519" s="55">
        <v>2644080</v>
      </c>
      <c r="C1519" s="55">
        <v>115469</v>
      </c>
      <c r="D1519" s="55" t="s">
        <v>413</v>
      </c>
      <c r="E1519" s="74">
        <v>44336</v>
      </c>
      <c r="F1519" s="55" t="s">
        <v>344</v>
      </c>
      <c r="G1519" s="55" t="s">
        <v>2207</v>
      </c>
      <c r="H1519" s="55" t="s">
        <v>2208</v>
      </c>
      <c r="I1519" s="55" t="s">
        <v>2209</v>
      </c>
      <c r="J1519" s="55" t="s">
        <v>2210</v>
      </c>
      <c r="K1519" s="55" t="s">
        <v>183</v>
      </c>
      <c r="L1519" s="55" t="s">
        <v>2211</v>
      </c>
      <c r="M1519" s="55" t="s">
        <v>138</v>
      </c>
      <c r="N1519" s="55" t="s">
        <v>138</v>
      </c>
      <c r="O1519" s="55" t="s">
        <v>183</v>
      </c>
      <c r="P1519" s="55" t="s">
        <v>2051</v>
      </c>
      <c r="Q1519" s="55" t="s">
        <v>350</v>
      </c>
      <c r="R1519" s="55">
        <v>20</v>
      </c>
      <c r="S1519" s="55"/>
    </row>
    <row r="1520" spans="1:20" ht="13" x14ac:dyDescent="0.15">
      <c r="A1520" s="72" t="str">
        <f t="shared" si="23"/>
        <v>Ofsted Social Care Provider Webpage</v>
      </c>
      <c r="B1520" s="55">
        <v>2644282</v>
      </c>
      <c r="D1520" s="55" t="s">
        <v>373</v>
      </c>
      <c r="E1520" s="74">
        <v>44357</v>
      </c>
      <c r="F1520" s="55" t="s">
        <v>344</v>
      </c>
      <c r="G1520" s="55" t="s">
        <v>360</v>
      </c>
      <c r="H1520" s="55" t="s">
        <v>360</v>
      </c>
      <c r="I1520" s="55" t="s">
        <v>360</v>
      </c>
      <c r="J1520" s="55" t="s">
        <v>360</v>
      </c>
      <c r="K1520" s="55" t="s">
        <v>360</v>
      </c>
      <c r="L1520" s="55" t="s">
        <v>360</v>
      </c>
      <c r="M1520" s="55" t="s">
        <v>129</v>
      </c>
      <c r="N1520" s="55" t="s">
        <v>129</v>
      </c>
      <c r="O1520" s="55" t="s">
        <v>275</v>
      </c>
      <c r="P1520" s="55" t="s">
        <v>2212</v>
      </c>
      <c r="Q1520" s="55" t="s">
        <v>362</v>
      </c>
      <c r="R1520" s="55">
        <v>5</v>
      </c>
      <c r="S1520" s="55"/>
      <c r="T1520" s="55" t="s">
        <v>2213</v>
      </c>
    </row>
    <row r="1521" spans="1:20" ht="13" x14ac:dyDescent="0.15">
      <c r="A1521" s="72" t="str">
        <f t="shared" si="23"/>
        <v>Ofsted Social Care Provider Webpage</v>
      </c>
      <c r="B1521" s="55">
        <v>2644456</v>
      </c>
      <c r="D1521" s="55" t="s">
        <v>373</v>
      </c>
      <c r="E1521" s="74">
        <v>44456</v>
      </c>
      <c r="F1521" s="55" t="s">
        <v>344</v>
      </c>
      <c r="G1521" s="55" t="s">
        <v>360</v>
      </c>
      <c r="H1521" s="55" t="s">
        <v>360</v>
      </c>
      <c r="I1521" s="55" t="s">
        <v>360</v>
      </c>
      <c r="J1521" s="55" t="s">
        <v>360</v>
      </c>
      <c r="K1521" s="55" t="s">
        <v>360</v>
      </c>
      <c r="L1521" s="55" t="s">
        <v>360</v>
      </c>
      <c r="M1521" s="55" t="s">
        <v>138</v>
      </c>
      <c r="N1521" s="55" t="s">
        <v>138</v>
      </c>
      <c r="O1521" s="55" t="s">
        <v>159</v>
      </c>
      <c r="P1521" s="55" t="s">
        <v>1025</v>
      </c>
      <c r="Q1521" s="55" t="s">
        <v>350</v>
      </c>
      <c r="R1521" s="55">
        <v>4</v>
      </c>
      <c r="S1521" s="55"/>
      <c r="T1521" s="55" t="s">
        <v>1676</v>
      </c>
    </row>
    <row r="1522" spans="1:20" ht="13" x14ac:dyDescent="0.15">
      <c r="A1522" s="72" t="str">
        <f t="shared" si="23"/>
        <v>Ofsted Social Care Provider Webpage</v>
      </c>
      <c r="B1522" s="55">
        <v>2644474</v>
      </c>
      <c r="D1522" s="55" t="s">
        <v>373</v>
      </c>
      <c r="E1522" s="74">
        <v>44637</v>
      </c>
      <c r="F1522" s="55" t="s">
        <v>344</v>
      </c>
      <c r="G1522" s="55" t="s">
        <v>360</v>
      </c>
      <c r="H1522" s="55" t="s">
        <v>360</v>
      </c>
      <c r="I1522" s="55" t="s">
        <v>360</v>
      </c>
      <c r="J1522" s="55" t="s">
        <v>360</v>
      </c>
      <c r="K1522" s="55" t="s">
        <v>360</v>
      </c>
      <c r="L1522" s="55" t="s">
        <v>360</v>
      </c>
      <c r="M1522" s="55" t="s">
        <v>142</v>
      </c>
      <c r="N1522" s="55" t="s">
        <v>142</v>
      </c>
      <c r="O1522" s="55" t="s">
        <v>141</v>
      </c>
      <c r="P1522" s="55" t="s">
        <v>1226</v>
      </c>
      <c r="Q1522" s="55" t="s">
        <v>350</v>
      </c>
      <c r="R1522" s="55">
        <v>3</v>
      </c>
      <c r="S1522" s="55"/>
      <c r="T1522" s="55" t="s">
        <v>1636</v>
      </c>
    </row>
    <row r="1523" spans="1:20" ht="13" x14ac:dyDescent="0.15">
      <c r="A1523" s="72" t="str">
        <f t="shared" si="23"/>
        <v>Ofsted Social Care Provider Webpage</v>
      </c>
      <c r="B1523" s="55">
        <v>2644536</v>
      </c>
      <c r="C1523" s="55">
        <v>148572</v>
      </c>
      <c r="D1523" s="55" t="s">
        <v>413</v>
      </c>
      <c r="E1523" s="74">
        <v>44453</v>
      </c>
      <c r="F1523" s="55" t="s">
        <v>344</v>
      </c>
      <c r="G1523" s="55" t="s">
        <v>2214</v>
      </c>
      <c r="H1523" s="55" t="s">
        <v>2215</v>
      </c>
      <c r="I1523" s="55" t="s">
        <v>354</v>
      </c>
      <c r="J1523" s="55" t="s">
        <v>2176</v>
      </c>
      <c r="K1523" s="55" t="s">
        <v>224</v>
      </c>
      <c r="L1523" s="55" t="s">
        <v>2216</v>
      </c>
      <c r="M1523" s="55" t="s">
        <v>138</v>
      </c>
      <c r="N1523" s="55" t="s">
        <v>138</v>
      </c>
      <c r="O1523" s="55" t="s">
        <v>224</v>
      </c>
      <c r="P1523" s="55" t="s">
        <v>2176</v>
      </c>
      <c r="Q1523" s="55" t="s">
        <v>350</v>
      </c>
      <c r="R1523" s="55">
        <v>32</v>
      </c>
      <c r="S1523" s="55"/>
      <c r="T1523" s="55" t="s">
        <v>2217</v>
      </c>
    </row>
    <row r="1524" spans="1:20" ht="13" x14ac:dyDescent="0.15">
      <c r="A1524" s="72" t="str">
        <f t="shared" si="23"/>
        <v>Ofsted Social Care Provider Webpage</v>
      </c>
      <c r="B1524" s="55">
        <v>2644925</v>
      </c>
      <c r="D1524" s="55" t="s">
        <v>373</v>
      </c>
      <c r="E1524" s="74">
        <v>44509</v>
      </c>
      <c r="F1524" s="55" t="s">
        <v>344</v>
      </c>
      <c r="G1524" s="55" t="s">
        <v>360</v>
      </c>
      <c r="H1524" s="55" t="s">
        <v>360</v>
      </c>
      <c r="I1524" s="55" t="s">
        <v>360</v>
      </c>
      <c r="J1524" s="55" t="s">
        <v>360</v>
      </c>
      <c r="K1524" s="55" t="s">
        <v>360</v>
      </c>
      <c r="L1524" s="55" t="s">
        <v>360</v>
      </c>
      <c r="M1524" s="55" t="s">
        <v>144</v>
      </c>
      <c r="N1524" s="55" t="s">
        <v>144</v>
      </c>
      <c r="O1524" s="55" t="s">
        <v>209</v>
      </c>
      <c r="P1524" s="55" t="s">
        <v>736</v>
      </c>
      <c r="Q1524" s="55" t="s">
        <v>350</v>
      </c>
      <c r="R1524" s="55">
        <v>4</v>
      </c>
      <c r="S1524" s="55"/>
      <c r="T1524" s="55" t="s">
        <v>598</v>
      </c>
    </row>
    <row r="1525" spans="1:20" ht="13" x14ac:dyDescent="0.15">
      <c r="A1525" s="72" t="str">
        <f t="shared" si="23"/>
        <v>Ofsted Social Care Provider Webpage</v>
      </c>
      <c r="B1525" s="55">
        <v>2645038</v>
      </c>
      <c r="D1525" s="55" t="s">
        <v>373</v>
      </c>
      <c r="E1525" s="74">
        <v>44481</v>
      </c>
      <c r="F1525" s="55" t="s">
        <v>344</v>
      </c>
      <c r="G1525" s="55" t="s">
        <v>360</v>
      </c>
      <c r="H1525" s="55" t="s">
        <v>360</v>
      </c>
      <c r="I1525" s="55" t="s">
        <v>360</v>
      </c>
      <c r="J1525" s="55" t="s">
        <v>360</v>
      </c>
      <c r="K1525" s="55" t="s">
        <v>360</v>
      </c>
      <c r="L1525" s="55" t="s">
        <v>360</v>
      </c>
      <c r="M1525" s="55" t="s">
        <v>129</v>
      </c>
      <c r="N1525" s="55" t="s">
        <v>129</v>
      </c>
      <c r="O1525" s="55" t="s">
        <v>242</v>
      </c>
      <c r="P1525" s="55" t="s">
        <v>1192</v>
      </c>
      <c r="Q1525" s="55" t="s">
        <v>350</v>
      </c>
      <c r="R1525" s="55">
        <v>5</v>
      </c>
      <c r="S1525" s="55"/>
      <c r="T1525" s="55" t="s">
        <v>2218</v>
      </c>
    </row>
    <row r="1526" spans="1:20" ht="13" x14ac:dyDescent="0.15">
      <c r="A1526" s="72" t="str">
        <f t="shared" si="23"/>
        <v>Ofsted Social Care Provider Webpage</v>
      </c>
      <c r="B1526" s="55">
        <v>2645098</v>
      </c>
      <c r="D1526" s="55" t="s">
        <v>373</v>
      </c>
      <c r="E1526" s="74">
        <v>44505</v>
      </c>
      <c r="F1526" s="55" t="s">
        <v>344</v>
      </c>
      <c r="G1526" s="55" t="s">
        <v>360</v>
      </c>
      <c r="H1526" s="55" t="s">
        <v>360</v>
      </c>
      <c r="I1526" s="55" t="s">
        <v>360</v>
      </c>
      <c r="J1526" s="55" t="s">
        <v>360</v>
      </c>
      <c r="K1526" s="55" t="s">
        <v>360</v>
      </c>
      <c r="L1526" s="55" t="s">
        <v>360</v>
      </c>
      <c r="M1526" s="55" t="s">
        <v>172</v>
      </c>
      <c r="N1526" s="55" t="s">
        <v>172</v>
      </c>
      <c r="O1526" s="55" t="s">
        <v>228</v>
      </c>
      <c r="P1526" s="55" t="s">
        <v>423</v>
      </c>
      <c r="Q1526" s="55" t="s">
        <v>350</v>
      </c>
      <c r="R1526" s="55">
        <v>1</v>
      </c>
      <c r="S1526" s="55"/>
      <c r="T1526" s="55" t="s">
        <v>1366</v>
      </c>
    </row>
    <row r="1527" spans="1:20" ht="13" x14ac:dyDescent="0.15">
      <c r="A1527" s="72" t="str">
        <f t="shared" si="23"/>
        <v>Ofsted Social Care Provider Webpage</v>
      </c>
      <c r="B1527" s="55">
        <v>2645163</v>
      </c>
      <c r="D1527" s="55" t="s">
        <v>373</v>
      </c>
      <c r="E1527" s="74">
        <v>44426</v>
      </c>
      <c r="F1527" s="55" t="s">
        <v>344</v>
      </c>
      <c r="G1527" s="55" t="s">
        <v>360</v>
      </c>
      <c r="H1527" s="55" t="s">
        <v>360</v>
      </c>
      <c r="I1527" s="55" t="s">
        <v>360</v>
      </c>
      <c r="J1527" s="55" t="s">
        <v>360</v>
      </c>
      <c r="K1527" s="55" t="s">
        <v>360</v>
      </c>
      <c r="L1527" s="55" t="s">
        <v>360</v>
      </c>
      <c r="M1527" s="55" t="s">
        <v>129</v>
      </c>
      <c r="N1527" s="55" t="s">
        <v>129</v>
      </c>
      <c r="O1527" s="55" t="s">
        <v>205</v>
      </c>
      <c r="P1527" s="55" t="s">
        <v>1312</v>
      </c>
      <c r="Q1527" s="55" t="s">
        <v>350</v>
      </c>
      <c r="R1527" s="55">
        <v>7</v>
      </c>
      <c r="S1527" s="55" t="s">
        <v>332</v>
      </c>
      <c r="T1527" s="55" t="s">
        <v>2219</v>
      </c>
    </row>
    <row r="1528" spans="1:20" ht="13" x14ac:dyDescent="0.15">
      <c r="A1528" s="72" t="str">
        <f t="shared" si="23"/>
        <v>Ofsted Social Care Provider Webpage</v>
      </c>
      <c r="B1528" s="55">
        <v>2645184</v>
      </c>
      <c r="D1528" s="55" t="s">
        <v>373</v>
      </c>
      <c r="E1528" s="74">
        <v>44425</v>
      </c>
      <c r="F1528" s="55" t="s">
        <v>344</v>
      </c>
      <c r="G1528" s="55" t="s">
        <v>360</v>
      </c>
      <c r="H1528" s="55" t="s">
        <v>360</v>
      </c>
      <c r="I1528" s="55" t="s">
        <v>360</v>
      </c>
      <c r="J1528" s="55" t="s">
        <v>360</v>
      </c>
      <c r="K1528" s="55" t="s">
        <v>360</v>
      </c>
      <c r="L1528" s="55" t="s">
        <v>360</v>
      </c>
      <c r="M1528" s="55" t="s">
        <v>144</v>
      </c>
      <c r="N1528" s="55" t="s">
        <v>144</v>
      </c>
      <c r="O1528" s="55" t="s">
        <v>209</v>
      </c>
      <c r="P1528" s="55" t="s">
        <v>545</v>
      </c>
      <c r="Q1528" s="55" t="s">
        <v>350</v>
      </c>
      <c r="R1528" s="55">
        <v>4</v>
      </c>
      <c r="S1528" s="55"/>
      <c r="T1528" s="55" t="s">
        <v>489</v>
      </c>
    </row>
    <row r="1529" spans="1:20" ht="13" x14ac:dyDescent="0.15">
      <c r="A1529" s="72" t="str">
        <f t="shared" si="23"/>
        <v>Ofsted Social Care Provider Webpage</v>
      </c>
      <c r="B1529" s="55">
        <v>2645199</v>
      </c>
      <c r="D1529" s="55" t="s">
        <v>373</v>
      </c>
      <c r="E1529" s="74">
        <v>44449</v>
      </c>
      <c r="F1529" s="55" t="s">
        <v>344</v>
      </c>
      <c r="G1529" s="55" t="s">
        <v>360</v>
      </c>
      <c r="H1529" s="55" t="s">
        <v>360</v>
      </c>
      <c r="I1529" s="55" t="s">
        <v>360</v>
      </c>
      <c r="J1529" s="55" t="s">
        <v>360</v>
      </c>
      <c r="K1529" s="55" t="s">
        <v>360</v>
      </c>
      <c r="L1529" s="55" t="s">
        <v>360</v>
      </c>
      <c r="M1529" s="55" t="s">
        <v>150</v>
      </c>
      <c r="N1529" s="55" t="s">
        <v>150</v>
      </c>
      <c r="O1529" s="55" t="s">
        <v>258</v>
      </c>
      <c r="P1529" s="55" t="s">
        <v>2220</v>
      </c>
      <c r="Q1529" s="55" t="s">
        <v>350</v>
      </c>
      <c r="R1529" s="55">
        <v>2</v>
      </c>
      <c r="S1529" s="55"/>
      <c r="T1529" s="55" t="s">
        <v>2047</v>
      </c>
    </row>
    <row r="1530" spans="1:20" ht="13" x14ac:dyDescent="0.15">
      <c r="A1530" s="72" t="str">
        <f t="shared" si="23"/>
        <v>Ofsted Social Care Provider Webpage</v>
      </c>
      <c r="B1530" s="55">
        <v>2645281</v>
      </c>
      <c r="D1530" s="55" t="s">
        <v>373</v>
      </c>
      <c r="E1530" s="74">
        <v>44553</v>
      </c>
      <c r="F1530" s="55" t="s">
        <v>344</v>
      </c>
      <c r="G1530" s="55" t="s">
        <v>360</v>
      </c>
      <c r="H1530" s="55" t="s">
        <v>360</v>
      </c>
      <c r="I1530" s="55" t="s">
        <v>360</v>
      </c>
      <c r="J1530" s="55" t="s">
        <v>360</v>
      </c>
      <c r="K1530" s="55" t="s">
        <v>360</v>
      </c>
      <c r="L1530" s="55" t="s">
        <v>360</v>
      </c>
      <c r="M1530" s="55" t="s">
        <v>142</v>
      </c>
      <c r="N1530" s="55" t="s">
        <v>142</v>
      </c>
      <c r="O1530" s="55" t="s">
        <v>292</v>
      </c>
      <c r="P1530" s="55" t="s">
        <v>1052</v>
      </c>
      <c r="Q1530" s="55" t="s">
        <v>350</v>
      </c>
      <c r="R1530" s="55">
        <v>2</v>
      </c>
      <c r="S1530" s="55"/>
      <c r="T1530" s="55" t="s">
        <v>654</v>
      </c>
    </row>
    <row r="1531" spans="1:20" ht="13" x14ac:dyDescent="0.15">
      <c r="A1531" s="72" t="str">
        <f t="shared" si="23"/>
        <v>Ofsted Social Care Provider Webpage</v>
      </c>
      <c r="B1531" s="55">
        <v>2645675</v>
      </c>
      <c r="D1531" s="55" t="s">
        <v>373</v>
      </c>
      <c r="E1531" s="74">
        <v>44428</v>
      </c>
      <c r="F1531" s="55" t="s">
        <v>344</v>
      </c>
      <c r="G1531" s="55" t="s">
        <v>360</v>
      </c>
      <c r="H1531" s="55" t="s">
        <v>360</v>
      </c>
      <c r="I1531" s="55" t="s">
        <v>360</v>
      </c>
      <c r="J1531" s="55" t="s">
        <v>360</v>
      </c>
      <c r="K1531" s="55" t="s">
        <v>360</v>
      </c>
      <c r="L1531" s="55" t="s">
        <v>360</v>
      </c>
      <c r="M1531" s="55" t="s">
        <v>172</v>
      </c>
      <c r="N1531" s="55" t="s">
        <v>172</v>
      </c>
      <c r="O1531" s="55" t="s">
        <v>212</v>
      </c>
      <c r="P1531" s="55" t="s">
        <v>514</v>
      </c>
      <c r="Q1531" s="55" t="s">
        <v>350</v>
      </c>
      <c r="R1531" s="55">
        <v>2</v>
      </c>
      <c r="S1531" s="55"/>
      <c r="T1531" s="55" t="s">
        <v>2221</v>
      </c>
    </row>
    <row r="1532" spans="1:20" ht="13" x14ac:dyDescent="0.15">
      <c r="A1532" s="72" t="str">
        <f t="shared" si="23"/>
        <v>Ofsted Social Care Provider Webpage</v>
      </c>
      <c r="B1532" s="55">
        <v>2645688</v>
      </c>
      <c r="D1532" s="55" t="s">
        <v>373</v>
      </c>
      <c r="E1532" s="74">
        <v>44420</v>
      </c>
      <c r="F1532" s="55" t="s">
        <v>344</v>
      </c>
      <c r="G1532" s="55" t="s">
        <v>360</v>
      </c>
      <c r="H1532" s="55" t="s">
        <v>360</v>
      </c>
      <c r="I1532" s="55" t="s">
        <v>360</v>
      </c>
      <c r="J1532" s="55" t="s">
        <v>360</v>
      </c>
      <c r="K1532" s="55" t="s">
        <v>360</v>
      </c>
      <c r="L1532" s="55" t="s">
        <v>360</v>
      </c>
      <c r="M1532" s="55" t="s">
        <v>172</v>
      </c>
      <c r="N1532" s="55" t="s">
        <v>172</v>
      </c>
      <c r="O1532" s="55" t="s">
        <v>173</v>
      </c>
      <c r="P1532" s="55" t="s">
        <v>1540</v>
      </c>
      <c r="Q1532" s="55" t="s">
        <v>350</v>
      </c>
      <c r="R1532" s="55">
        <v>5</v>
      </c>
      <c r="S1532" s="55"/>
      <c r="T1532" s="55" t="s">
        <v>2222</v>
      </c>
    </row>
    <row r="1533" spans="1:20" ht="13" x14ac:dyDescent="0.15">
      <c r="A1533" s="72" t="str">
        <f t="shared" si="23"/>
        <v>Ofsted Social Care Provider Webpage</v>
      </c>
      <c r="B1533" s="55">
        <v>2645777</v>
      </c>
      <c r="D1533" s="55" t="s">
        <v>468</v>
      </c>
      <c r="E1533" s="74">
        <v>44517</v>
      </c>
      <c r="F1533" s="55" t="s">
        <v>344</v>
      </c>
      <c r="G1533" s="55" t="s">
        <v>2223</v>
      </c>
      <c r="H1533" s="55" t="s">
        <v>2224</v>
      </c>
      <c r="I1533" s="55" t="s">
        <v>2225</v>
      </c>
      <c r="J1533" s="55" t="s">
        <v>2226</v>
      </c>
      <c r="L1533" s="55" t="s">
        <v>1611</v>
      </c>
      <c r="M1533" s="55" t="s">
        <v>142</v>
      </c>
      <c r="N1533" s="55" t="s">
        <v>142</v>
      </c>
      <c r="O1533" s="55" t="s">
        <v>293</v>
      </c>
      <c r="P1533" s="55" t="s">
        <v>1060</v>
      </c>
      <c r="Q1533" s="55" t="s">
        <v>362</v>
      </c>
      <c r="R1533" s="55"/>
      <c r="S1533" s="55"/>
      <c r="T1533" s="55" t="s">
        <v>1605</v>
      </c>
    </row>
    <row r="1534" spans="1:20" ht="13" x14ac:dyDescent="0.15">
      <c r="A1534" s="72" t="str">
        <f t="shared" si="23"/>
        <v>Ofsted Social Care Provider Webpage</v>
      </c>
      <c r="B1534" s="55">
        <v>2645858</v>
      </c>
      <c r="D1534" s="55" t="s">
        <v>373</v>
      </c>
      <c r="E1534" s="74">
        <v>44446</v>
      </c>
      <c r="F1534" s="55" t="s">
        <v>344</v>
      </c>
      <c r="G1534" s="55" t="s">
        <v>360</v>
      </c>
      <c r="H1534" s="55" t="s">
        <v>360</v>
      </c>
      <c r="I1534" s="55" t="s">
        <v>360</v>
      </c>
      <c r="J1534" s="55" t="s">
        <v>360</v>
      </c>
      <c r="K1534" s="55" t="s">
        <v>360</v>
      </c>
      <c r="L1534" s="55" t="s">
        <v>360</v>
      </c>
      <c r="M1534" s="55" t="s">
        <v>144</v>
      </c>
      <c r="N1534" s="55" t="s">
        <v>144</v>
      </c>
      <c r="O1534" s="55" t="s">
        <v>209</v>
      </c>
      <c r="P1534" s="55" t="s">
        <v>597</v>
      </c>
      <c r="Q1534" s="55" t="s">
        <v>350</v>
      </c>
      <c r="R1534" s="55">
        <v>3</v>
      </c>
      <c r="S1534" s="55"/>
      <c r="T1534" s="55" t="s">
        <v>2227</v>
      </c>
    </row>
    <row r="1535" spans="1:20" ht="13" x14ac:dyDescent="0.15">
      <c r="A1535" s="72" t="str">
        <f t="shared" si="23"/>
        <v>Ofsted Social Care Provider Webpage</v>
      </c>
      <c r="B1535" s="55">
        <v>2645878</v>
      </c>
      <c r="D1535" s="55" t="s">
        <v>373</v>
      </c>
      <c r="E1535" s="74">
        <v>44399</v>
      </c>
      <c r="F1535" s="55" t="s">
        <v>344</v>
      </c>
      <c r="G1535" s="55" t="s">
        <v>360</v>
      </c>
      <c r="H1535" s="55" t="s">
        <v>360</v>
      </c>
      <c r="I1535" s="55" t="s">
        <v>360</v>
      </c>
      <c r="J1535" s="55" t="s">
        <v>360</v>
      </c>
      <c r="K1535" s="55" t="s">
        <v>360</v>
      </c>
      <c r="L1535" s="55" t="s">
        <v>360</v>
      </c>
      <c r="M1535" s="55" t="s">
        <v>144</v>
      </c>
      <c r="N1535" s="55" t="s">
        <v>144</v>
      </c>
      <c r="O1535" s="55" t="s">
        <v>209</v>
      </c>
      <c r="P1535" s="55" t="s">
        <v>597</v>
      </c>
      <c r="Q1535" s="55" t="s">
        <v>350</v>
      </c>
      <c r="R1535" s="55">
        <v>2</v>
      </c>
      <c r="S1535" s="55"/>
      <c r="T1535" s="55" t="s">
        <v>778</v>
      </c>
    </row>
    <row r="1536" spans="1:20" ht="13" x14ac:dyDescent="0.15">
      <c r="A1536" s="72" t="str">
        <f t="shared" si="23"/>
        <v>Ofsted Social Care Provider Webpage</v>
      </c>
      <c r="B1536" s="55">
        <v>2645897</v>
      </c>
      <c r="D1536" s="55" t="s">
        <v>373</v>
      </c>
      <c r="E1536" s="74">
        <v>44439</v>
      </c>
      <c r="F1536" s="55" t="s">
        <v>344</v>
      </c>
      <c r="G1536" s="55" t="s">
        <v>360</v>
      </c>
      <c r="H1536" s="55" t="s">
        <v>360</v>
      </c>
      <c r="I1536" s="55" t="s">
        <v>360</v>
      </c>
      <c r="J1536" s="55" t="s">
        <v>360</v>
      </c>
      <c r="K1536" s="55" t="s">
        <v>360</v>
      </c>
      <c r="L1536" s="55" t="s">
        <v>360</v>
      </c>
      <c r="M1536" s="55" t="s">
        <v>172</v>
      </c>
      <c r="N1536" s="55" t="s">
        <v>172</v>
      </c>
      <c r="O1536" s="55" t="s">
        <v>235</v>
      </c>
      <c r="P1536" s="55" t="s">
        <v>855</v>
      </c>
      <c r="Q1536" s="55" t="s">
        <v>350</v>
      </c>
      <c r="R1536" s="55">
        <v>1</v>
      </c>
      <c r="S1536" s="55"/>
      <c r="T1536" s="55" t="s">
        <v>1830</v>
      </c>
    </row>
    <row r="1537" spans="1:20" ht="13" x14ac:dyDescent="0.15">
      <c r="A1537" s="72" t="str">
        <f t="shared" si="23"/>
        <v>Ofsted Social Care Provider Webpage</v>
      </c>
      <c r="B1537" s="55">
        <v>2645901</v>
      </c>
      <c r="D1537" s="55" t="s">
        <v>373</v>
      </c>
      <c r="E1537" s="74">
        <v>44452</v>
      </c>
      <c r="F1537" s="55" t="s">
        <v>344</v>
      </c>
      <c r="G1537" s="55" t="s">
        <v>360</v>
      </c>
      <c r="H1537" s="55" t="s">
        <v>360</v>
      </c>
      <c r="I1537" s="55" t="s">
        <v>360</v>
      </c>
      <c r="J1537" s="55" t="s">
        <v>360</v>
      </c>
      <c r="K1537" s="55" t="s">
        <v>360</v>
      </c>
      <c r="L1537" s="55" t="s">
        <v>360</v>
      </c>
      <c r="M1537" s="55" t="s">
        <v>144</v>
      </c>
      <c r="N1537" s="55" t="s">
        <v>144</v>
      </c>
      <c r="O1537" s="55" t="s">
        <v>147</v>
      </c>
      <c r="P1537" s="55" t="s">
        <v>807</v>
      </c>
      <c r="Q1537" s="55" t="s">
        <v>350</v>
      </c>
      <c r="R1537" s="55">
        <v>3</v>
      </c>
      <c r="S1537" s="55"/>
      <c r="T1537" s="55" t="s">
        <v>1064</v>
      </c>
    </row>
    <row r="1538" spans="1:20" ht="13" x14ac:dyDescent="0.15">
      <c r="A1538" s="72" t="str">
        <f t="shared" si="23"/>
        <v>Ofsted Social Care Provider Webpage</v>
      </c>
      <c r="B1538" s="55">
        <v>2645906</v>
      </c>
      <c r="D1538" s="55" t="s">
        <v>373</v>
      </c>
      <c r="E1538" s="74">
        <v>44470</v>
      </c>
      <c r="F1538" s="55" t="s">
        <v>344</v>
      </c>
      <c r="G1538" s="55" t="s">
        <v>360</v>
      </c>
      <c r="H1538" s="55" t="s">
        <v>360</v>
      </c>
      <c r="I1538" s="55" t="s">
        <v>360</v>
      </c>
      <c r="J1538" s="55" t="s">
        <v>360</v>
      </c>
      <c r="K1538" s="55" t="s">
        <v>360</v>
      </c>
      <c r="L1538" s="55" t="s">
        <v>360</v>
      </c>
      <c r="M1538" s="55" t="s">
        <v>172</v>
      </c>
      <c r="N1538" s="55" t="s">
        <v>172</v>
      </c>
      <c r="O1538" s="55" t="s">
        <v>211</v>
      </c>
      <c r="P1538" s="55" t="s">
        <v>2228</v>
      </c>
      <c r="Q1538" s="55" t="s">
        <v>350</v>
      </c>
      <c r="R1538" s="55">
        <v>4</v>
      </c>
      <c r="S1538" s="55"/>
      <c r="T1538" s="55" t="s">
        <v>1357</v>
      </c>
    </row>
    <row r="1539" spans="1:20" ht="13" x14ac:dyDescent="0.15">
      <c r="A1539" s="72" t="str">
        <f t="shared" si="23"/>
        <v>Ofsted Social Care Provider Webpage</v>
      </c>
      <c r="B1539" s="55">
        <v>2646176</v>
      </c>
      <c r="D1539" s="55" t="s">
        <v>373</v>
      </c>
      <c r="E1539" s="74">
        <v>44454</v>
      </c>
      <c r="F1539" s="55" t="s">
        <v>344</v>
      </c>
      <c r="G1539" s="55" t="s">
        <v>360</v>
      </c>
      <c r="H1539" s="55" t="s">
        <v>360</v>
      </c>
      <c r="I1539" s="55" t="s">
        <v>360</v>
      </c>
      <c r="J1539" s="55" t="s">
        <v>360</v>
      </c>
      <c r="K1539" s="55" t="s">
        <v>360</v>
      </c>
      <c r="L1539" s="55" t="s">
        <v>360</v>
      </c>
      <c r="M1539" s="55" t="s">
        <v>172</v>
      </c>
      <c r="N1539" s="55" t="s">
        <v>172</v>
      </c>
      <c r="O1539" s="55" t="s">
        <v>173</v>
      </c>
      <c r="P1539" s="55" t="s">
        <v>1305</v>
      </c>
      <c r="Q1539" s="55" t="s">
        <v>350</v>
      </c>
      <c r="R1539" s="55">
        <v>3</v>
      </c>
      <c r="S1539" s="55"/>
      <c r="T1539" s="55" t="s">
        <v>2229</v>
      </c>
    </row>
    <row r="1540" spans="1:20" ht="13" x14ac:dyDescent="0.15">
      <c r="A1540" s="72" t="str">
        <f t="shared" si="23"/>
        <v>Ofsted Social Care Provider Webpage</v>
      </c>
      <c r="B1540" s="55">
        <v>2646248</v>
      </c>
      <c r="D1540" s="55" t="s">
        <v>373</v>
      </c>
      <c r="E1540" s="74">
        <v>44494</v>
      </c>
      <c r="F1540" s="55" t="s">
        <v>344</v>
      </c>
      <c r="G1540" s="55" t="s">
        <v>360</v>
      </c>
      <c r="H1540" s="55" t="s">
        <v>360</v>
      </c>
      <c r="I1540" s="55" t="s">
        <v>360</v>
      </c>
      <c r="J1540" s="55" t="s">
        <v>360</v>
      </c>
      <c r="K1540" s="55" t="s">
        <v>360</v>
      </c>
      <c r="L1540" s="55" t="s">
        <v>360</v>
      </c>
      <c r="M1540" s="55" t="s">
        <v>144</v>
      </c>
      <c r="N1540" s="55" t="s">
        <v>144</v>
      </c>
      <c r="O1540" s="55" t="s">
        <v>217</v>
      </c>
      <c r="P1540" s="55" t="s">
        <v>384</v>
      </c>
      <c r="Q1540" s="55" t="s">
        <v>350</v>
      </c>
      <c r="R1540" s="55">
        <v>3</v>
      </c>
      <c r="S1540" s="55"/>
      <c r="T1540" s="55" t="s">
        <v>1970</v>
      </c>
    </row>
    <row r="1541" spans="1:20" ht="13" x14ac:dyDescent="0.15">
      <c r="A1541" s="72" t="str">
        <f t="shared" ref="A1541:A1604" si="24">HYPERLINK(_xlfn.CONCAT("http://reports.ofsted.gov.uk/inspection-reports/find-inspection-report/provider/CARE/",B1541),"Ofsted Social Care Provider Webpage")</f>
        <v>Ofsted Social Care Provider Webpage</v>
      </c>
      <c r="B1541" s="55">
        <v>2646994</v>
      </c>
      <c r="D1541" s="55" t="s">
        <v>389</v>
      </c>
      <c r="E1541" s="74">
        <v>44544</v>
      </c>
      <c r="F1541" s="55" t="s">
        <v>344</v>
      </c>
      <c r="G1541" s="55" t="s">
        <v>2230</v>
      </c>
      <c r="H1541" s="55" t="s">
        <v>2231</v>
      </c>
      <c r="I1541" s="55" t="s">
        <v>2232</v>
      </c>
      <c r="J1541" s="55" t="s">
        <v>2233</v>
      </c>
      <c r="K1541" s="55" t="s">
        <v>203</v>
      </c>
      <c r="L1541" s="55" t="s">
        <v>2234</v>
      </c>
      <c r="M1541" s="55" t="s">
        <v>150</v>
      </c>
      <c r="N1541" s="55" t="s">
        <v>150</v>
      </c>
      <c r="O1541" s="55" t="s">
        <v>203</v>
      </c>
      <c r="P1541" s="55" t="s">
        <v>1038</v>
      </c>
      <c r="Q1541" s="55" t="s">
        <v>350</v>
      </c>
      <c r="R1541" s="55"/>
      <c r="S1541" s="55"/>
      <c r="T1541" s="55" t="s">
        <v>2235</v>
      </c>
    </row>
    <row r="1542" spans="1:20" ht="13" x14ac:dyDescent="0.15">
      <c r="A1542" s="72" t="str">
        <f t="shared" si="24"/>
        <v>Ofsted Social Care Provider Webpage</v>
      </c>
      <c r="B1542" s="55">
        <v>2647022</v>
      </c>
      <c r="D1542" s="55" t="s">
        <v>373</v>
      </c>
      <c r="E1542" s="74">
        <v>44399</v>
      </c>
      <c r="F1542" s="55" t="s">
        <v>344</v>
      </c>
      <c r="G1542" s="55" t="s">
        <v>360</v>
      </c>
      <c r="H1542" s="55" t="s">
        <v>360</v>
      </c>
      <c r="I1542" s="55" t="s">
        <v>360</v>
      </c>
      <c r="J1542" s="55" t="s">
        <v>360</v>
      </c>
      <c r="K1542" s="55" t="s">
        <v>360</v>
      </c>
      <c r="L1542" s="55" t="s">
        <v>360</v>
      </c>
      <c r="M1542" s="55" t="s">
        <v>144</v>
      </c>
      <c r="N1542" s="55" t="s">
        <v>144</v>
      </c>
      <c r="O1542" s="55" t="s">
        <v>209</v>
      </c>
      <c r="P1542" s="55" t="s">
        <v>1858</v>
      </c>
      <c r="Q1542" s="55" t="s">
        <v>350</v>
      </c>
      <c r="R1542" s="55">
        <v>4</v>
      </c>
      <c r="S1542" s="55"/>
      <c r="T1542" s="55" t="s">
        <v>2236</v>
      </c>
    </row>
    <row r="1543" spans="1:20" ht="13" x14ac:dyDescent="0.15">
      <c r="A1543" s="72" t="str">
        <f t="shared" si="24"/>
        <v>Ofsted Social Care Provider Webpage</v>
      </c>
      <c r="B1543" s="55">
        <v>2647110</v>
      </c>
      <c r="D1543" s="55" t="s">
        <v>373</v>
      </c>
      <c r="E1543" s="74">
        <v>44544</v>
      </c>
      <c r="F1543" s="55" t="s">
        <v>344</v>
      </c>
      <c r="G1543" s="55" t="s">
        <v>360</v>
      </c>
      <c r="H1543" s="55" t="s">
        <v>360</v>
      </c>
      <c r="I1543" s="55" t="s">
        <v>360</v>
      </c>
      <c r="J1543" s="55" t="s">
        <v>360</v>
      </c>
      <c r="K1543" s="55" t="s">
        <v>360</v>
      </c>
      <c r="L1543" s="55" t="s">
        <v>360</v>
      </c>
      <c r="M1543" s="55" t="s">
        <v>142</v>
      </c>
      <c r="N1543" s="55" t="s">
        <v>142</v>
      </c>
      <c r="O1543" s="55" t="s">
        <v>166</v>
      </c>
      <c r="P1543" s="55" t="s">
        <v>1301</v>
      </c>
      <c r="Q1543" s="55" t="s">
        <v>350</v>
      </c>
      <c r="R1543" s="55">
        <v>3</v>
      </c>
      <c r="S1543" s="55"/>
      <c r="T1543" s="55" t="s">
        <v>2237</v>
      </c>
    </row>
    <row r="1544" spans="1:20" ht="13" x14ac:dyDescent="0.15">
      <c r="A1544" s="72" t="str">
        <f t="shared" si="24"/>
        <v>Ofsted Social Care Provider Webpage</v>
      </c>
      <c r="B1544" s="55">
        <v>2647153</v>
      </c>
      <c r="D1544" s="55" t="s">
        <v>373</v>
      </c>
      <c r="E1544" s="74">
        <v>44441</v>
      </c>
      <c r="F1544" s="55" t="s">
        <v>344</v>
      </c>
      <c r="G1544" s="55" t="s">
        <v>360</v>
      </c>
      <c r="H1544" s="55" t="s">
        <v>360</v>
      </c>
      <c r="I1544" s="55" t="s">
        <v>360</v>
      </c>
      <c r="J1544" s="55" t="s">
        <v>360</v>
      </c>
      <c r="K1544" s="55" t="s">
        <v>360</v>
      </c>
      <c r="L1544" s="55" t="s">
        <v>360</v>
      </c>
      <c r="M1544" s="55" t="s">
        <v>150</v>
      </c>
      <c r="N1544" s="55" t="s">
        <v>150</v>
      </c>
      <c r="O1544" s="55" t="s">
        <v>285</v>
      </c>
      <c r="P1544" s="55" t="s">
        <v>575</v>
      </c>
      <c r="Q1544" s="55" t="s">
        <v>380</v>
      </c>
      <c r="R1544" s="55">
        <v>6</v>
      </c>
      <c r="S1544" s="55"/>
      <c r="T1544" s="55" t="s">
        <v>2238</v>
      </c>
    </row>
    <row r="1545" spans="1:20" ht="13" x14ac:dyDescent="0.15">
      <c r="A1545" s="72" t="str">
        <f t="shared" si="24"/>
        <v>Ofsted Social Care Provider Webpage</v>
      </c>
      <c r="B1545" s="55">
        <v>2647163</v>
      </c>
      <c r="D1545" s="55" t="s">
        <v>373</v>
      </c>
      <c r="E1545" s="74">
        <v>44551</v>
      </c>
      <c r="F1545" s="55" t="s">
        <v>344</v>
      </c>
      <c r="G1545" s="55" t="s">
        <v>360</v>
      </c>
      <c r="H1545" s="55" t="s">
        <v>360</v>
      </c>
      <c r="I1545" s="55" t="s">
        <v>360</v>
      </c>
      <c r="J1545" s="55" t="s">
        <v>360</v>
      </c>
      <c r="K1545" s="55" t="s">
        <v>360</v>
      </c>
      <c r="L1545" s="55" t="s">
        <v>360</v>
      </c>
      <c r="M1545" s="55" t="s">
        <v>129</v>
      </c>
      <c r="N1545" s="55" t="s">
        <v>129</v>
      </c>
      <c r="O1545" s="55" t="s">
        <v>167</v>
      </c>
      <c r="P1545" s="55" t="s">
        <v>2239</v>
      </c>
      <c r="Q1545" s="55" t="s">
        <v>350</v>
      </c>
      <c r="R1545" s="55">
        <v>5</v>
      </c>
      <c r="S1545" s="55"/>
      <c r="T1545" s="55" t="s">
        <v>2240</v>
      </c>
    </row>
    <row r="1546" spans="1:20" ht="13" x14ac:dyDescent="0.15">
      <c r="A1546" s="72" t="str">
        <f t="shared" si="24"/>
        <v>Ofsted Social Care Provider Webpage</v>
      </c>
      <c r="B1546" s="55">
        <v>2647514</v>
      </c>
      <c r="D1546" s="55" t="s">
        <v>373</v>
      </c>
      <c r="E1546" s="74">
        <v>44470</v>
      </c>
      <c r="F1546" s="55" t="s">
        <v>344</v>
      </c>
      <c r="G1546" s="55" t="s">
        <v>360</v>
      </c>
      <c r="H1546" s="55" t="s">
        <v>360</v>
      </c>
      <c r="I1546" s="55" t="s">
        <v>360</v>
      </c>
      <c r="J1546" s="55" t="s">
        <v>360</v>
      </c>
      <c r="K1546" s="55" t="s">
        <v>360</v>
      </c>
      <c r="L1546" s="55" t="s">
        <v>360</v>
      </c>
      <c r="M1546" s="55" t="s">
        <v>144</v>
      </c>
      <c r="N1546" s="55" t="s">
        <v>144</v>
      </c>
      <c r="O1546" s="55" t="s">
        <v>209</v>
      </c>
      <c r="P1546" s="55" t="s">
        <v>544</v>
      </c>
      <c r="Q1546" s="55" t="s">
        <v>350</v>
      </c>
      <c r="R1546" s="55">
        <v>2</v>
      </c>
      <c r="S1546" s="55"/>
      <c r="T1546" s="55" t="s">
        <v>493</v>
      </c>
    </row>
    <row r="1547" spans="1:20" ht="13" x14ac:dyDescent="0.15">
      <c r="A1547" s="72" t="str">
        <f t="shared" si="24"/>
        <v>Ofsted Social Care Provider Webpage</v>
      </c>
      <c r="B1547" s="55">
        <v>2647767</v>
      </c>
      <c r="D1547" s="55" t="s">
        <v>373</v>
      </c>
      <c r="E1547" s="74">
        <v>44498</v>
      </c>
      <c r="F1547" s="55" t="s">
        <v>344</v>
      </c>
      <c r="G1547" s="55" t="s">
        <v>360</v>
      </c>
      <c r="H1547" s="55" t="s">
        <v>360</v>
      </c>
      <c r="I1547" s="55" t="s">
        <v>360</v>
      </c>
      <c r="J1547" s="55" t="s">
        <v>360</v>
      </c>
      <c r="K1547" s="55" t="s">
        <v>360</v>
      </c>
      <c r="L1547" s="55" t="s">
        <v>360</v>
      </c>
      <c r="M1547" s="55" t="s">
        <v>129</v>
      </c>
      <c r="N1547" s="55" t="s">
        <v>129</v>
      </c>
      <c r="O1547" s="55" t="s">
        <v>194</v>
      </c>
      <c r="P1547" s="55" t="s">
        <v>1833</v>
      </c>
      <c r="Q1547" s="55" t="s">
        <v>350</v>
      </c>
      <c r="R1547" s="55">
        <v>4</v>
      </c>
      <c r="S1547" s="55"/>
      <c r="T1547" s="55" t="s">
        <v>1646</v>
      </c>
    </row>
    <row r="1548" spans="1:20" ht="13" x14ac:dyDescent="0.15">
      <c r="A1548" s="72" t="str">
        <f t="shared" si="24"/>
        <v>Ofsted Social Care Provider Webpage</v>
      </c>
      <c r="B1548" s="55">
        <v>2647770</v>
      </c>
      <c r="D1548" s="55" t="s">
        <v>373</v>
      </c>
      <c r="E1548" s="74">
        <v>44441</v>
      </c>
      <c r="F1548" s="55" t="s">
        <v>344</v>
      </c>
      <c r="G1548" s="55" t="s">
        <v>360</v>
      </c>
      <c r="H1548" s="55" t="s">
        <v>360</v>
      </c>
      <c r="I1548" s="55" t="s">
        <v>360</v>
      </c>
      <c r="J1548" s="55" t="s">
        <v>360</v>
      </c>
      <c r="K1548" s="55" t="s">
        <v>360</v>
      </c>
      <c r="L1548" s="55" t="s">
        <v>360</v>
      </c>
      <c r="M1548" s="55" t="s">
        <v>144</v>
      </c>
      <c r="N1548" s="55" t="s">
        <v>144</v>
      </c>
      <c r="O1548" s="55" t="s">
        <v>162</v>
      </c>
      <c r="P1548" s="55" t="s">
        <v>1502</v>
      </c>
      <c r="Q1548" s="55" t="s">
        <v>350</v>
      </c>
      <c r="R1548" s="55">
        <v>8</v>
      </c>
      <c r="S1548" s="55"/>
      <c r="T1548" s="55" t="s">
        <v>1503</v>
      </c>
    </row>
    <row r="1549" spans="1:20" ht="13" x14ac:dyDescent="0.15">
      <c r="A1549" s="72" t="str">
        <f t="shared" si="24"/>
        <v>Ofsted Social Care Provider Webpage</v>
      </c>
      <c r="B1549" s="55">
        <v>2647771</v>
      </c>
      <c r="D1549" s="55" t="s">
        <v>451</v>
      </c>
      <c r="E1549" s="74">
        <v>44537</v>
      </c>
      <c r="F1549" s="55" t="s">
        <v>344</v>
      </c>
      <c r="G1549" s="55" t="s">
        <v>2241</v>
      </c>
      <c r="H1549" s="55" t="s">
        <v>2242</v>
      </c>
      <c r="I1549" s="55" t="s">
        <v>354</v>
      </c>
      <c r="J1549" s="55" t="s">
        <v>2201</v>
      </c>
      <c r="L1549" s="55" t="s">
        <v>2243</v>
      </c>
      <c r="M1549" s="55" t="s">
        <v>138</v>
      </c>
      <c r="N1549" s="55" t="s">
        <v>138</v>
      </c>
      <c r="O1549" s="55" t="s">
        <v>273</v>
      </c>
      <c r="P1549" s="55" t="s">
        <v>273</v>
      </c>
      <c r="Q1549" s="55" t="s">
        <v>350</v>
      </c>
      <c r="R1549" s="55">
        <v>5</v>
      </c>
      <c r="S1549" s="55"/>
      <c r="T1549" s="55" t="s">
        <v>2244</v>
      </c>
    </row>
    <row r="1550" spans="1:20" ht="13" x14ac:dyDescent="0.15">
      <c r="A1550" s="72" t="str">
        <f t="shared" si="24"/>
        <v>Ofsted Social Care Provider Webpage</v>
      </c>
      <c r="B1550" s="55">
        <v>2647775</v>
      </c>
      <c r="D1550" s="55" t="s">
        <v>373</v>
      </c>
      <c r="E1550" s="74">
        <v>44515</v>
      </c>
      <c r="F1550" s="55" t="s">
        <v>344</v>
      </c>
      <c r="G1550" s="55" t="s">
        <v>360</v>
      </c>
      <c r="H1550" s="55" t="s">
        <v>360</v>
      </c>
      <c r="I1550" s="55" t="s">
        <v>360</v>
      </c>
      <c r="J1550" s="55" t="s">
        <v>360</v>
      </c>
      <c r="K1550" s="55" t="s">
        <v>360</v>
      </c>
      <c r="L1550" s="55" t="s">
        <v>360</v>
      </c>
      <c r="M1550" s="55" t="s">
        <v>129</v>
      </c>
      <c r="N1550" s="55" t="s">
        <v>129</v>
      </c>
      <c r="O1550" s="55" t="s">
        <v>179</v>
      </c>
      <c r="P1550" s="55" t="s">
        <v>1854</v>
      </c>
      <c r="Q1550" s="55" t="s">
        <v>350</v>
      </c>
      <c r="R1550" s="55">
        <v>4</v>
      </c>
      <c r="S1550" s="55"/>
      <c r="T1550" s="55" t="s">
        <v>1899</v>
      </c>
    </row>
    <row r="1551" spans="1:20" ht="13" x14ac:dyDescent="0.15">
      <c r="A1551" s="72" t="str">
        <f t="shared" si="24"/>
        <v>Ofsted Social Care Provider Webpage</v>
      </c>
      <c r="B1551" s="55">
        <v>2648027</v>
      </c>
      <c r="D1551" s="55" t="s">
        <v>373</v>
      </c>
      <c r="E1551" s="74">
        <v>44476</v>
      </c>
      <c r="F1551" s="55" t="s">
        <v>344</v>
      </c>
      <c r="G1551" s="55" t="s">
        <v>360</v>
      </c>
      <c r="H1551" s="55" t="s">
        <v>360</v>
      </c>
      <c r="I1551" s="55" t="s">
        <v>360</v>
      </c>
      <c r="J1551" s="55" t="s">
        <v>360</v>
      </c>
      <c r="K1551" s="55" t="s">
        <v>360</v>
      </c>
      <c r="L1551" s="55" t="s">
        <v>360</v>
      </c>
      <c r="M1551" s="55" t="s">
        <v>144</v>
      </c>
      <c r="N1551" s="55" t="s">
        <v>144</v>
      </c>
      <c r="O1551" s="55" t="s">
        <v>209</v>
      </c>
      <c r="P1551" s="55" t="s">
        <v>1858</v>
      </c>
      <c r="Q1551" s="55" t="s">
        <v>350</v>
      </c>
      <c r="R1551" s="55">
        <v>1</v>
      </c>
      <c r="S1551" s="55"/>
      <c r="T1551" s="55" t="s">
        <v>517</v>
      </c>
    </row>
    <row r="1552" spans="1:20" ht="13" x14ac:dyDescent="0.15">
      <c r="A1552" s="72" t="str">
        <f t="shared" si="24"/>
        <v>Ofsted Social Care Provider Webpage</v>
      </c>
      <c r="B1552" s="55">
        <v>2648208</v>
      </c>
      <c r="D1552" s="55" t="s">
        <v>373</v>
      </c>
      <c r="E1552" s="74">
        <v>44477</v>
      </c>
      <c r="F1552" s="55" t="s">
        <v>344</v>
      </c>
      <c r="G1552" s="55" t="s">
        <v>360</v>
      </c>
      <c r="H1552" s="55" t="s">
        <v>360</v>
      </c>
      <c r="I1552" s="55" t="s">
        <v>360</v>
      </c>
      <c r="J1552" s="55" t="s">
        <v>360</v>
      </c>
      <c r="K1552" s="55" t="s">
        <v>360</v>
      </c>
      <c r="L1552" s="55" t="s">
        <v>360</v>
      </c>
      <c r="M1552" s="55" t="s">
        <v>144</v>
      </c>
      <c r="N1552" s="55" t="s">
        <v>144</v>
      </c>
      <c r="O1552" s="55" t="s">
        <v>209</v>
      </c>
      <c r="P1552" s="55" t="s">
        <v>1858</v>
      </c>
      <c r="Q1552" s="55" t="s">
        <v>350</v>
      </c>
      <c r="R1552" s="55">
        <v>1</v>
      </c>
      <c r="S1552" s="55"/>
      <c r="T1552" s="55" t="s">
        <v>517</v>
      </c>
    </row>
    <row r="1553" spans="1:20" ht="13" x14ac:dyDescent="0.15">
      <c r="A1553" s="72" t="str">
        <f t="shared" si="24"/>
        <v>Ofsted Social Care Provider Webpage</v>
      </c>
      <c r="B1553" s="55">
        <v>2648446</v>
      </c>
      <c r="D1553" s="55" t="s">
        <v>373</v>
      </c>
      <c r="E1553" s="74">
        <v>44455</v>
      </c>
      <c r="F1553" s="55" t="s">
        <v>344</v>
      </c>
      <c r="G1553" s="55" t="s">
        <v>360</v>
      </c>
      <c r="H1553" s="55" t="s">
        <v>360</v>
      </c>
      <c r="I1553" s="55" t="s">
        <v>360</v>
      </c>
      <c r="J1553" s="55" t="s">
        <v>360</v>
      </c>
      <c r="K1553" s="55" t="s">
        <v>360</v>
      </c>
      <c r="L1553" s="55" t="s">
        <v>360</v>
      </c>
      <c r="M1553" s="55" t="s">
        <v>142</v>
      </c>
      <c r="N1553" s="55" t="s">
        <v>142</v>
      </c>
      <c r="O1553" s="55" t="s">
        <v>166</v>
      </c>
      <c r="P1553" s="55" t="s">
        <v>1152</v>
      </c>
      <c r="Q1553" s="55" t="s">
        <v>350</v>
      </c>
      <c r="R1553" s="55">
        <v>4</v>
      </c>
      <c r="S1553" s="55"/>
      <c r="T1553" s="55" t="s">
        <v>2245</v>
      </c>
    </row>
    <row r="1554" spans="1:20" ht="13" x14ac:dyDescent="0.15">
      <c r="A1554" s="72" t="str">
        <f t="shared" si="24"/>
        <v>Ofsted Social Care Provider Webpage</v>
      </c>
      <c r="B1554" s="55">
        <v>2648508</v>
      </c>
      <c r="D1554" s="55" t="s">
        <v>373</v>
      </c>
      <c r="E1554" s="74">
        <v>44579</v>
      </c>
      <c r="F1554" s="55" t="s">
        <v>344</v>
      </c>
      <c r="G1554" s="55" t="s">
        <v>360</v>
      </c>
      <c r="H1554" s="55" t="s">
        <v>360</v>
      </c>
      <c r="I1554" s="55" t="s">
        <v>360</v>
      </c>
      <c r="J1554" s="55" t="s">
        <v>360</v>
      </c>
      <c r="K1554" s="55" t="s">
        <v>360</v>
      </c>
      <c r="L1554" s="55" t="s">
        <v>360</v>
      </c>
      <c r="M1554" s="55" t="s">
        <v>144</v>
      </c>
      <c r="N1554" s="55" t="s">
        <v>144</v>
      </c>
      <c r="O1554" s="55" t="s">
        <v>261</v>
      </c>
      <c r="P1554" s="55" t="s">
        <v>512</v>
      </c>
      <c r="Q1554" s="55" t="s">
        <v>350</v>
      </c>
      <c r="R1554" s="55">
        <v>3</v>
      </c>
      <c r="S1554" s="55"/>
      <c r="T1554" s="55" t="s">
        <v>886</v>
      </c>
    </row>
    <row r="1555" spans="1:20" ht="13" x14ac:dyDescent="0.15">
      <c r="A1555" s="72" t="str">
        <f t="shared" si="24"/>
        <v>Ofsted Social Care Provider Webpage</v>
      </c>
      <c r="B1555" s="55">
        <v>2648817</v>
      </c>
      <c r="D1555" s="55" t="s">
        <v>451</v>
      </c>
      <c r="E1555" s="74">
        <v>44494</v>
      </c>
      <c r="F1555" s="55" t="s">
        <v>344</v>
      </c>
      <c r="G1555" s="55" t="s">
        <v>2246</v>
      </c>
      <c r="H1555" s="55" t="s">
        <v>2247</v>
      </c>
      <c r="I1555" s="55" t="s">
        <v>2248</v>
      </c>
      <c r="J1555" s="55" t="s">
        <v>2249</v>
      </c>
      <c r="L1555" s="55" t="s">
        <v>2250</v>
      </c>
      <c r="M1555" s="55" t="s">
        <v>144</v>
      </c>
      <c r="N1555" s="55" t="s">
        <v>144</v>
      </c>
      <c r="O1555" s="55" t="s">
        <v>209</v>
      </c>
      <c r="P1555" s="55" t="s">
        <v>629</v>
      </c>
      <c r="Q1555" s="55" t="s">
        <v>350</v>
      </c>
      <c r="R1555" s="55">
        <v>5</v>
      </c>
      <c r="S1555" s="55"/>
      <c r="T1555" s="55" t="s">
        <v>2251</v>
      </c>
    </row>
    <row r="1556" spans="1:20" ht="13" x14ac:dyDescent="0.15">
      <c r="A1556" s="72" t="str">
        <f t="shared" si="24"/>
        <v>Ofsted Social Care Provider Webpage</v>
      </c>
      <c r="B1556" s="55">
        <v>2648868</v>
      </c>
      <c r="D1556" s="55" t="s">
        <v>373</v>
      </c>
      <c r="E1556" s="74">
        <v>44489</v>
      </c>
      <c r="F1556" s="55" t="s">
        <v>344</v>
      </c>
      <c r="G1556" s="55" t="s">
        <v>360</v>
      </c>
      <c r="H1556" s="55" t="s">
        <v>360</v>
      </c>
      <c r="I1556" s="55" t="s">
        <v>360</v>
      </c>
      <c r="J1556" s="55" t="s">
        <v>360</v>
      </c>
      <c r="K1556" s="55" t="s">
        <v>360</v>
      </c>
      <c r="L1556" s="55" t="s">
        <v>360</v>
      </c>
      <c r="M1556" s="55" t="s">
        <v>144</v>
      </c>
      <c r="N1556" s="55" t="s">
        <v>144</v>
      </c>
      <c r="O1556" s="55" t="s">
        <v>162</v>
      </c>
      <c r="P1556" s="55" t="s">
        <v>516</v>
      </c>
      <c r="Q1556" s="55" t="s">
        <v>350</v>
      </c>
      <c r="R1556" s="55">
        <v>5</v>
      </c>
      <c r="S1556" s="55"/>
      <c r="T1556" s="55" t="s">
        <v>2222</v>
      </c>
    </row>
    <row r="1557" spans="1:20" ht="13" x14ac:dyDescent="0.15">
      <c r="A1557" s="72" t="str">
        <f t="shared" si="24"/>
        <v>Ofsted Social Care Provider Webpage</v>
      </c>
      <c r="B1557" s="55">
        <v>2649739</v>
      </c>
      <c r="D1557" s="55" t="s">
        <v>373</v>
      </c>
      <c r="E1557" s="74">
        <v>44637</v>
      </c>
      <c r="F1557" s="55" t="s">
        <v>344</v>
      </c>
      <c r="G1557" s="55" t="s">
        <v>360</v>
      </c>
      <c r="H1557" s="55" t="s">
        <v>360</v>
      </c>
      <c r="I1557" s="55" t="s">
        <v>360</v>
      </c>
      <c r="J1557" s="55" t="s">
        <v>360</v>
      </c>
      <c r="K1557" s="55" t="s">
        <v>360</v>
      </c>
      <c r="L1557" s="55" t="s">
        <v>360</v>
      </c>
      <c r="M1557" s="55" t="s">
        <v>144</v>
      </c>
      <c r="N1557" s="55" t="s">
        <v>144</v>
      </c>
      <c r="O1557" s="55" t="s">
        <v>281</v>
      </c>
      <c r="P1557" s="55" t="s">
        <v>725</v>
      </c>
      <c r="Q1557" s="55" t="s">
        <v>350</v>
      </c>
      <c r="R1557" s="55">
        <v>1</v>
      </c>
      <c r="S1557" s="55"/>
      <c r="T1557" s="55" t="s">
        <v>517</v>
      </c>
    </row>
    <row r="1558" spans="1:20" ht="13" x14ac:dyDescent="0.15">
      <c r="A1558" s="72" t="str">
        <f t="shared" si="24"/>
        <v>Ofsted Social Care Provider Webpage</v>
      </c>
      <c r="B1558" s="55">
        <v>2649743</v>
      </c>
      <c r="D1558" s="55" t="s">
        <v>373</v>
      </c>
      <c r="E1558" s="74">
        <v>44637</v>
      </c>
      <c r="F1558" s="55" t="s">
        <v>344</v>
      </c>
      <c r="G1558" s="55" t="s">
        <v>360</v>
      </c>
      <c r="H1558" s="55" t="s">
        <v>360</v>
      </c>
      <c r="I1558" s="55" t="s">
        <v>360</v>
      </c>
      <c r="J1558" s="55" t="s">
        <v>360</v>
      </c>
      <c r="K1558" s="55" t="s">
        <v>360</v>
      </c>
      <c r="L1558" s="55" t="s">
        <v>360</v>
      </c>
      <c r="M1558" s="55" t="s">
        <v>144</v>
      </c>
      <c r="N1558" s="55" t="s">
        <v>144</v>
      </c>
      <c r="O1558" s="55" t="s">
        <v>281</v>
      </c>
      <c r="P1558" s="55" t="s">
        <v>725</v>
      </c>
      <c r="Q1558" s="55" t="s">
        <v>350</v>
      </c>
      <c r="R1558" s="55">
        <v>1</v>
      </c>
      <c r="S1558" s="55"/>
      <c r="T1558" s="55" t="s">
        <v>517</v>
      </c>
    </row>
    <row r="1559" spans="1:20" ht="13" x14ac:dyDescent="0.15">
      <c r="A1559" s="72" t="str">
        <f t="shared" si="24"/>
        <v>Ofsted Social Care Provider Webpage</v>
      </c>
      <c r="B1559" s="55">
        <v>2649745</v>
      </c>
      <c r="D1559" s="55" t="s">
        <v>373</v>
      </c>
      <c r="E1559" s="74">
        <v>44497</v>
      </c>
      <c r="F1559" s="55" t="s">
        <v>344</v>
      </c>
      <c r="G1559" s="55" t="s">
        <v>360</v>
      </c>
      <c r="H1559" s="55" t="s">
        <v>360</v>
      </c>
      <c r="I1559" s="55" t="s">
        <v>360</v>
      </c>
      <c r="J1559" s="55" t="s">
        <v>360</v>
      </c>
      <c r="K1559" s="55" t="s">
        <v>360</v>
      </c>
      <c r="L1559" s="55" t="s">
        <v>360</v>
      </c>
      <c r="M1559" s="55" t="s">
        <v>136</v>
      </c>
      <c r="N1559" s="55" t="s">
        <v>136</v>
      </c>
      <c r="O1559" s="55" t="s">
        <v>165</v>
      </c>
      <c r="P1559" s="55" t="s">
        <v>748</v>
      </c>
      <c r="Q1559" s="55" t="s">
        <v>350</v>
      </c>
      <c r="R1559" s="55">
        <v>1</v>
      </c>
      <c r="S1559" s="55"/>
      <c r="T1559" s="55" t="s">
        <v>385</v>
      </c>
    </row>
    <row r="1560" spans="1:20" ht="13" x14ac:dyDescent="0.15">
      <c r="A1560" s="72" t="str">
        <f t="shared" si="24"/>
        <v>Ofsted Social Care Provider Webpage</v>
      </c>
      <c r="B1560" s="55">
        <v>2649767</v>
      </c>
      <c r="D1560" s="55" t="s">
        <v>373</v>
      </c>
      <c r="E1560" s="74">
        <v>44582</v>
      </c>
      <c r="F1560" s="55" t="s">
        <v>344</v>
      </c>
      <c r="G1560" s="55" t="s">
        <v>360</v>
      </c>
      <c r="H1560" s="55" t="s">
        <v>360</v>
      </c>
      <c r="I1560" s="55" t="s">
        <v>360</v>
      </c>
      <c r="J1560" s="55" t="s">
        <v>360</v>
      </c>
      <c r="K1560" s="55" t="s">
        <v>360</v>
      </c>
      <c r="L1560" s="55" t="s">
        <v>360</v>
      </c>
      <c r="M1560" s="55" t="s">
        <v>129</v>
      </c>
      <c r="N1560" s="55" t="s">
        <v>129</v>
      </c>
      <c r="O1560" s="55" t="s">
        <v>194</v>
      </c>
      <c r="P1560" s="55" t="s">
        <v>1012</v>
      </c>
      <c r="Q1560" s="55" t="s">
        <v>350</v>
      </c>
      <c r="R1560" s="55">
        <v>3</v>
      </c>
      <c r="S1560" s="55"/>
      <c r="T1560" s="55" t="s">
        <v>2252</v>
      </c>
    </row>
    <row r="1561" spans="1:20" ht="13" x14ac:dyDescent="0.15">
      <c r="A1561" s="72" t="str">
        <f t="shared" si="24"/>
        <v>Ofsted Social Care Provider Webpage</v>
      </c>
      <c r="B1561" s="55">
        <v>2649772</v>
      </c>
      <c r="D1561" s="55" t="s">
        <v>373</v>
      </c>
      <c r="E1561" s="74">
        <v>44498</v>
      </c>
      <c r="F1561" s="55" t="s">
        <v>344</v>
      </c>
      <c r="G1561" s="55" t="s">
        <v>360</v>
      </c>
      <c r="H1561" s="55" t="s">
        <v>360</v>
      </c>
      <c r="I1561" s="55" t="s">
        <v>360</v>
      </c>
      <c r="J1561" s="55" t="s">
        <v>360</v>
      </c>
      <c r="K1561" s="55" t="s">
        <v>360</v>
      </c>
      <c r="L1561" s="55" t="s">
        <v>360</v>
      </c>
      <c r="M1561" s="55" t="s">
        <v>138</v>
      </c>
      <c r="N1561" s="55" t="s">
        <v>138</v>
      </c>
      <c r="O1561" s="55" t="s">
        <v>183</v>
      </c>
      <c r="P1561" s="55" t="s">
        <v>1500</v>
      </c>
      <c r="Q1561" s="55" t="s">
        <v>350</v>
      </c>
      <c r="R1561" s="55">
        <v>3</v>
      </c>
      <c r="S1561" s="55"/>
      <c r="T1561" s="55" t="s">
        <v>385</v>
      </c>
    </row>
    <row r="1562" spans="1:20" ht="13" x14ac:dyDescent="0.15">
      <c r="A1562" s="72" t="str">
        <f t="shared" si="24"/>
        <v>Ofsted Social Care Provider Webpage</v>
      </c>
      <c r="B1562" s="55">
        <v>2649904</v>
      </c>
      <c r="D1562" s="55" t="s">
        <v>373</v>
      </c>
      <c r="E1562" s="74">
        <v>44545</v>
      </c>
      <c r="F1562" s="55" t="s">
        <v>344</v>
      </c>
      <c r="G1562" s="55" t="s">
        <v>360</v>
      </c>
      <c r="H1562" s="55" t="s">
        <v>360</v>
      </c>
      <c r="I1562" s="55" t="s">
        <v>360</v>
      </c>
      <c r="J1562" s="55" t="s">
        <v>360</v>
      </c>
      <c r="K1562" s="55" t="s">
        <v>360</v>
      </c>
      <c r="L1562" s="55" t="s">
        <v>360</v>
      </c>
      <c r="M1562" s="55" t="s">
        <v>150</v>
      </c>
      <c r="N1562" s="55" t="s">
        <v>150</v>
      </c>
      <c r="O1562" s="55" t="s">
        <v>190</v>
      </c>
      <c r="P1562" s="55" t="s">
        <v>889</v>
      </c>
      <c r="Q1562" s="55" t="s">
        <v>350</v>
      </c>
      <c r="R1562" s="55">
        <v>2</v>
      </c>
      <c r="S1562" s="55"/>
      <c r="T1562" s="55" t="s">
        <v>1051</v>
      </c>
    </row>
    <row r="1563" spans="1:20" ht="13" x14ac:dyDescent="0.15">
      <c r="A1563" s="72" t="str">
        <f t="shared" si="24"/>
        <v>Ofsted Social Care Provider Webpage</v>
      </c>
      <c r="B1563" s="55">
        <v>2649926</v>
      </c>
      <c r="D1563" s="55" t="s">
        <v>373</v>
      </c>
      <c r="E1563" s="74">
        <v>44475</v>
      </c>
      <c r="F1563" s="55" t="s">
        <v>344</v>
      </c>
      <c r="G1563" s="55" t="s">
        <v>360</v>
      </c>
      <c r="H1563" s="55" t="s">
        <v>360</v>
      </c>
      <c r="I1563" s="55" t="s">
        <v>360</v>
      </c>
      <c r="J1563" s="55" t="s">
        <v>360</v>
      </c>
      <c r="K1563" s="55" t="s">
        <v>360</v>
      </c>
      <c r="L1563" s="55" t="s">
        <v>360</v>
      </c>
      <c r="M1563" s="55" t="s">
        <v>136</v>
      </c>
      <c r="N1563" s="55" t="s">
        <v>136</v>
      </c>
      <c r="O1563" s="55" t="s">
        <v>176</v>
      </c>
      <c r="P1563" s="55" t="s">
        <v>1832</v>
      </c>
      <c r="Q1563" s="55" t="s">
        <v>350</v>
      </c>
      <c r="R1563" s="55">
        <v>1</v>
      </c>
      <c r="S1563" s="55"/>
      <c r="T1563" s="55" t="s">
        <v>892</v>
      </c>
    </row>
    <row r="1564" spans="1:20" ht="13" x14ac:dyDescent="0.15">
      <c r="A1564" s="72" t="str">
        <f t="shared" si="24"/>
        <v>Ofsted Social Care Provider Webpage</v>
      </c>
      <c r="B1564" s="55">
        <v>2650054</v>
      </c>
      <c r="D1564" s="55" t="s">
        <v>373</v>
      </c>
      <c r="E1564" s="74">
        <v>44480</v>
      </c>
      <c r="F1564" s="55" t="s">
        <v>344</v>
      </c>
      <c r="G1564" s="55" t="s">
        <v>360</v>
      </c>
      <c r="H1564" s="55" t="s">
        <v>360</v>
      </c>
      <c r="I1564" s="55" t="s">
        <v>360</v>
      </c>
      <c r="J1564" s="55" t="s">
        <v>360</v>
      </c>
      <c r="K1564" s="55" t="s">
        <v>360</v>
      </c>
      <c r="L1564" s="55" t="s">
        <v>360</v>
      </c>
      <c r="M1564" s="55" t="s">
        <v>172</v>
      </c>
      <c r="N1564" s="55" t="s">
        <v>172</v>
      </c>
      <c r="O1564" s="55" t="s">
        <v>228</v>
      </c>
      <c r="P1564" s="55" t="s">
        <v>991</v>
      </c>
      <c r="Q1564" s="55" t="s">
        <v>350</v>
      </c>
      <c r="R1564" s="55">
        <v>6</v>
      </c>
      <c r="S1564" s="55"/>
      <c r="T1564" s="55" t="s">
        <v>656</v>
      </c>
    </row>
    <row r="1565" spans="1:20" ht="13" x14ac:dyDescent="0.15">
      <c r="A1565" s="72" t="str">
        <f t="shared" si="24"/>
        <v>Ofsted Social Care Provider Webpage</v>
      </c>
      <c r="B1565" s="55">
        <v>2650092</v>
      </c>
      <c r="D1565" s="55" t="s">
        <v>373</v>
      </c>
      <c r="E1565" s="74">
        <v>44530</v>
      </c>
      <c r="F1565" s="55" t="s">
        <v>344</v>
      </c>
      <c r="G1565" s="55" t="s">
        <v>360</v>
      </c>
      <c r="H1565" s="55" t="s">
        <v>360</v>
      </c>
      <c r="I1565" s="55" t="s">
        <v>360</v>
      </c>
      <c r="J1565" s="55" t="s">
        <v>360</v>
      </c>
      <c r="K1565" s="55" t="s">
        <v>360</v>
      </c>
      <c r="L1565" s="55" t="s">
        <v>360</v>
      </c>
      <c r="M1565" s="55" t="s">
        <v>378</v>
      </c>
      <c r="N1565" s="55" t="s">
        <v>170</v>
      </c>
      <c r="O1565" s="55" t="s">
        <v>178</v>
      </c>
      <c r="P1565" s="55" t="s">
        <v>905</v>
      </c>
      <c r="Q1565" s="55" t="s">
        <v>350</v>
      </c>
      <c r="R1565" s="55">
        <v>1</v>
      </c>
      <c r="S1565" s="55"/>
      <c r="T1565" s="55" t="s">
        <v>2253</v>
      </c>
    </row>
    <row r="1566" spans="1:20" ht="13" x14ac:dyDescent="0.15">
      <c r="A1566" s="72" t="str">
        <f t="shared" si="24"/>
        <v>Ofsted Social Care Provider Webpage</v>
      </c>
      <c r="B1566" s="55">
        <v>2650947</v>
      </c>
      <c r="D1566" s="55" t="s">
        <v>373</v>
      </c>
      <c r="E1566" s="74">
        <v>44518</v>
      </c>
      <c r="F1566" s="55" t="s">
        <v>344</v>
      </c>
      <c r="G1566" s="55" t="s">
        <v>360</v>
      </c>
      <c r="H1566" s="55" t="s">
        <v>360</v>
      </c>
      <c r="I1566" s="55" t="s">
        <v>360</v>
      </c>
      <c r="J1566" s="55" t="s">
        <v>360</v>
      </c>
      <c r="K1566" s="55" t="s">
        <v>360</v>
      </c>
      <c r="L1566" s="55" t="s">
        <v>360</v>
      </c>
      <c r="M1566" s="55" t="s">
        <v>136</v>
      </c>
      <c r="N1566" s="55" t="s">
        <v>136</v>
      </c>
      <c r="O1566" s="55" t="s">
        <v>176</v>
      </c>
      <c r="P1566" s="55" t="s">
        <v>526</v>
      </c>
      <c r="Q1566" s="55" t="s">
        <v>350</v>
      </c>
      <c r="R1566" s="55">
        <v>2</v>
      </c>
      <c r="S1566" s="55"/>
      <c r="T1566" s="55" t="s">
        <v>2254</v>
      </c>
    </row>
    <row r="1567" spans="1:20" ht="13" x14ac:dyDescent="0.15">
      <c r="A1567" s="72" t="str">
        <f t="shared" si="24"/>
        <v>Ofsted Social Care Provider Webpage</v>
      </c>
      <c r="B1567" s="55">
        <v>2650948</v>
      </c>
      <c r="D1567" s="55" t="s">
        <v>373</v>
      </c>
      <c r="E1567" s="74">
        <v>44525</v>
      </c>
      <c r="F1567" s="55" t="s">
        <v>344</v>
      </c>
      <c r="G1567" s="55" t="s">
        <v>360</v>
      </c>
      <c r="H1567" s="55" t="s">
        <v>360</v>
      </c>
      <c r="I1567" s="55" t="s">
        <v>360</v>
      </c>
      <c r="J1567" s="55" t="s">
        <v>360</v>
      </c>
      <c r="K1567" s="55" t="s">
        <v>360</v>
      </c>
      <c r="L1567" s="55" t="s">
        <v>360</v>
      </c>
      <c r="M1567" s="55" t="s">
        <v>142</v>
      </c>
      <c r="N1567" s="55" t="s">
        <v>142</v>
      </c>
      <c r="O1567" s="55" t="s">
        <v>272</v>
      </c>
      <c r="P1567" s="55" t="s">
        <v>653</v>
      </c>
      <c r="Q1567" s="55" t="s">
        <v>350</v>
      </c>
      <c r="R1567" s="55">
        <v>2</v>
      </c>
      <c r="S1567" s="55"/>
      <c r="T1567" s="55" t="s">
        <v>2255</v>
      </c>
    </row>
    <row r="1568" spans="1:20" ht="13" x14ac:dyDescent="0.15">
      <c r="A1568" s="72" t="str">
        <f t="shared" si="24"/>
        <v>Ofsted Social Care Provider Webpage</v>
      </c>
      <c r="B1568" s="55">
        <v>2650950</v>
      </c>
      <c r="D1568" s="55" t="s">
        <v>373</v>
      </c>
      <c r="E1568" s="74">
        <v>44487</v>
      </c>
      <c r="F1568" s="55" t="s">
        <v>344</v>
      </c>
      <c r="G1568" s="55" t="s">
        <v>360</v>
      </c>
      <c r="H1568" s="55" t="s">
        <v>360</v>
      </c>
      <c r="I1568" s="55" t="s">
        <v>360</v>
      </c>
      <c r="J1568" s="55" t="s">
        <v>360</v>
      </c>
      <c r="K1568" s="55" t="s">
        <v>360</v>
      </c>
      <c r="L1568" s="55" t="s">
        <v>360</v>
      </c>
      <c r="M1568" s="55" t="s">
        <v>144</v>
      </c>
      <c r="N1568" s="55" t="s">
        <v>144</v>
      </c>
      <c r="O1568" s="55" t="s">
        <v>290</v>
      </c>
      <c r="P1568" s="55" t="s">
        <v>1099</v>
      </c>
      <c r="Q1568" s="55" t="s">
        <v>350</v>
      </c>
      <c r="R1568" s="55">
        <v>3</v>
      </c>
      <c r="S1568" s="55"/>
      <c r="T1568" s="55" t="s">
        <v>2256</v>
      </c>
    </row>
    <row r="1569" spans="1:20" ht="13" x14ac:dyDescent="0.15">
      <c r="A1569" s="72" t="str">
        <f t="shared" si="24"/>
        <v>Ofsted Social Care Provider Webpage</v>
      </c>
      <c r="B1569" s="55">
        <v>2650952</v>
      </c>
      <c r="D1569" s="55" t="s">
        <v>373</v>
      </c>
      <c r="E1569" s="74">
        <v>44470</v>
      </c>
      <c r="F1569" s="55" t="s">
        <v>344</v>
      </c>
      <c r="G1569" s="55" t="s">
        <v>360</v>
      </c>
      <c r="H1569" s="55" t="s">
        <v>360</v>
      </c>
      <c r="I1569" s="55" t="s">
        <v>360</v>
      </c>
      <c r="J1569" s="55" t="s">
        <v>360</v>
      </c>
      <c r="K1569" s="55" t="s">
        <v>360</v>
      </c>
      <c r="L1569" s="55" t="s">
        <v>360</v>
      </c>
      <c r="M1569" s="55" t="s">
        <v>172</v>
      </c>
      <c r="N1569" s="55" t="s">
        <v>172</v>
      </c>
      <c r="O1569" s="55" t="s">
        <v>234</v>
      </c>
      <c r="P1569" s="55" t="s">
        <v>369</v>
      </c>
      <c r="Q1569" s="55" t="s">
        <v>350</v>
      </c>
      <c r="R1569" s="55">
        <v>4</v>
      </c>
      <c r="S1569" s="55"/>
      <c r="T1569" s="55" t="s">
        <v>2257</v>
      </c>
    </row>
    <row r="1570" spans="1:20" ht="13" x14ac:dyDescent="0.15">
      <c r="A1570" s="72" t="str">
        <f t="shared" si="24"/>
        <v>Ofsted Social Care Provider Webpage</v>
      </c>
      <c r="B1570" s="55">
        <v>2651004</v>
      </c>
      <c r="D1570" s="55" t="s">
        <v>389</v>
      </c>
      <c r="E1570" s="74">
        <v>44523</v>
      </c>
      <c r="F1570" s="55" t="s">
        <v>344</v>
      </c>
      <c r="G1570" s="55" t="s">
        <v>2258</v>
      </c>
      <c r="H1570" s="55" t="s">
        <v>2259</v>
      </c>
      <c r="I1570" s="55" t="s">
        <v>2260</v>
      </c>
      <c r="J1570" s="55" t="s">
        <v>210</v>
      </c>
      <c r="L1570" s="55" t="s">
        <v>2261</v>
      </c>
      <c r="M1570" s="55" t="s">
        <v>378</v>
      </c>
      <c r="N1570" s="55" t="s">
        <v>134</v>
      </c>
      <c r="O1570" s="55" t="s">
        <v>210</v>
      </c>
      <c r="P1570" s="55" t="s">
        <v>542</v>
      </c>
      <c r="Q1570" s="55" t="s">
        <v>350</v>
      </c>
      <c r="R1570" s="55"/>
      <c r="S1570" s="55"/>
      <c r="T1570" s="55" t="s">
        <v>2258</v>
      </c>
    </row>
    <row r="1571" spans="1:20" ht="13" x14ac:dyDescent="0.15">
      <c r="A1571" s="72" t="str">
        <f t="shared" si="24"/>
        <v>Ofsted Social Care Provider Webpage</v>
      </c>
      <c r="B1571" s="55">
        <v>2651014</v>
      </c>
      <c r="D1571" s="55" t="s">
        <v>451</v>
      </c>
      <c r="E1571" s="74">
        <v>44577</v>
      </c>
      <c r="F1571" s="55" t="s">
        <v>344</v>
      </c>
      <c r="G1571" s="55" t="s">
        <v>2262</v>
      </c>
      <c r="H1571" s="55" t="s">
        <v>2263</v>
      </c>
      <c r="I1571" s="55" t="s">
        <v>354</v>
      </c>
      <c r="J1571" s="55" t="s">
        <v>2264</v>
      </c>
      <c r="K1571" s="55" t="s">
        <v>209</v>
      </c>
      <c r="L1571" s="55" t="s">
        <v>2265</v>
      </c>
      <c r="M1571" s="55" t="s">
        <v>144</v>
      </c>
      <c r="N1571" s="55" t="s">
        <v>144</v>
      </c>
      <c r="O1571" s="55" t="s">
        <v>209</v>
      </c>
      <c r="P1571" s="55" t="s">
        <v>561</v>
      </c>
      <c r="Q1571" s="55" t="s">
        <v>350</v>
      </c>
      <c r="R1571" s="55">
        <v>5</v>
      </c>
      <c r="S1571" s="55"/>
      <c r="T1571" s="55" t="s">
        <v>2266</v>
      </c>
    </row>
    <row r="1572" spans="1:20" ht="13" x14ac:dyDescent="0.15">
      <c r="A1572" s="72" t="str">
        <f t="shared" si="24"/>
        <v>Ofsted Social Care Provider Webpage</v>
      </c>
      <c r="B1572" s="55">
        <v>2651405</v>
      </c>
      <c r="D1572" s="55" t="s">
        <v>373</v>
      </c>
      <c r="E1572" s="74">
        <v>44540</v>
      </c>
      <c r="F1572" s="55" t="s">
        <v>344</v>
      </c>
      <c r="G1572" s="55" t="s">
        <v>360</v>
      </c>
      <c r="H1572" s="55" t="s">
        <v>360</v>
      </c>
      <c r="I1572" s="55" t="s">
        <v>360</v>
      </c>
      <c r="J1572" s="55" t="s">
        <v>360</v>
      </c>
      <c r="K1572" s="55" t="s">
        <v>360</v>
      </c>
      <c r="L1572" s="55" t="s">
        <v>360</v>
      </c>
      <c r="M1572" s="55" t="s">
        <v>378</v>
      </c>
      <c r="N1572" s="55" t="s">
        <v>134</v>
      </c>
      <c r="O1572" s="55" t="s">
        <v>246</v>
      </c>
      <c r="P1572" s="55" t="s">
        <v>1104</v>
      </c>
      <c r="Q1572" s="55" t="s">
        <v>350</v>
      </c>
      <c r="R1572" s="55">
        <v>1</v>
      </c>
      <c r="S1572" s="55"/>
      <c r="T1572" s="55" t="s">
        <v>1751</v>
      </c>
    </row>
    <row r="1573" spans="1:20" ht="13" x14ac:dyDescent="0.15">
      <c r="A1573" s="72" t="str">
        <f t="shared" si="24"/>
        <v>Ofsted Social Care Provider Webpage</v>
      </c>
      <c r="B1573" s="55">
        <v>2651501</v>
      </c>
      <c r="D1573" s="55" t="s">
        <v>373</v>
      </c>
      <c r="E1573" s="74">
        <v>44475</v>
      </c>
      <c r="F1573" s="55" t="s">
        <v>344</v>
      </c>
      <c r="G1573" s="55" t="s">
        <v>360</v>
      </c>
      <c r="H1573" s="55" t="s">
        <v>360</v>
      </c>
      <c r="I1573" s="55" t="s">
        <v>360</v>
      </c>
      <c r="J1573" s="55" t="s">
        <v>360</v>
      </c>
      <c r="K1573" s="55" t="s">
        <v>360</v>
      </c>
      <c r="L1573" s="55" t="s">
        <v>360</v>
      </c>
      <c r="M1573" s="55" t="s">
        <v>136</v>
      </c>
      <c r="N1573" s="55" t="s">
        <v>136</v>
      </c>
      <c r="O1573" s="55" t="s">
        <v>185</v>
      </c>
      <c r="P1573" s="55" t="s">
        <v>898</v>
      </c>
      <c r="Q1573" s="55" t="s">
        <v>350</v>
      </c>
      <c r="R1573" s="55">
        <v>3</v>
      </c>
      <c r="S1573" s="55"/>
      <c r="T1573" s="55" t="s">
        <v>1115</v>
      </c>
    </row>
    <row r="1574" spans="1:20" ht="13" x14ac:dyDescent="0.15">
      <c r="A1574" s="72" t="str">
        <f t="shared" si="24"/>
        <v>Ofsted Social Care Provider Webpage</v>
      </c>
      <c r="B1574" s="55">
        <v>2651665</v>
      </c>
      <c r="D1574" s="55" t="s">
        <v>373</v>
      </c>
      <c r="E1574" s="74">
        <v>44453</v>
      </c>
      <c r="F1574" s="55" t="s">
        <v>344</v>
      </c>
      <c r="G1574" s="55" t="s">
        <v>360</v>
      </c>
      <c r="H1574" s="55" t="s">
        <v>360</v>
      </c>
      <c r="I1574" s="55" t="s">
        <v>360</v>
      </c>
      <c r="J1574" s="55" t="s">
        <v>360</v>
      </c>
      <c r="K1574" s="55" t="s">
        <v>360</v>
      </c>
      <c r="L1574" s="55" t="s">
        <v>360</v>
      </c>
      <c r="M1574" s="55" t="s">
        <v>138</v>
      </c>
      <c r="N1574" s="55" t="s">
        <v>138</v>
      </c>
      <c r="O1574" s="55" t="s">
        <v>266</v>
      </c>
      <c r="P1574" s="55" t="s">
        <v>1622</v>
      </c>
      <c r="Q1574" s="55" t="s">
        <v>350</v>
      </c>
      <c r="R1574" s="55">
        <v>4</v>
      </c>
      <c r="S1574" s="55"/>
      <c r="T1574" s="55" t="s">
        <v>1553</v>
      </c>
    </row>
    <row r="1575" spans="1:20" ht="13" x14ac:dyDescent="0.15">
      <c r="A1575" s="72" t="str">
        <f t="shared" si="24"/>
        <v>Ofsted Social Care Provider Webpage</v>
      </c>
      <c r="B1575" s="55">
        <v>2651753</v>
      </c>
      <c r="D1575" s="55" t="s">
        <v>373</v>
      </c>
      <c r="E1575" s="74">
        <v>44470</v>
      </c>
      <c r="F1575" s="55" t="s">
        <v>344</v>
      </c>
      <c r="G1575" s="55" t="s">
        <v>360</v>
      </c>
      <c r="H1575" s="55" t="s">
        <v>360</v>
      </c>
      <c r="I1575" s="55" t="s">
        <v>360</v>
      </c>
      <c r="J1575" s="55" t="s">
        <v>360</v>
      </c>
      <c r="K1575" s="55" t="s">
        <v>360</v>
      </c>
      <c r="L1575" s="55" t="s">
        <v>360</v>
      </c>
      <c r="M1575" s="55" t="s">
        <v>172</v>
      </c>
      <c r="N1575" s="55" t="s">
        <v>172</v>
      </c>
      <c r="O1575" s="55" t="s">
        <v>173</v>
      </c>
      <c r="P1575" s="55" t="s">
        <v>1540</v>
      </c>
      <c r="Q1575" s="55" t="s">
        <v>350</v>
      </c>
      <c r="R1575" s="55">
        <v>5</v>
      </c>
      <c r="S1575" s="55"/>
      <c r="T1575" s="55" t="s">
        <v>2267</v>
      </c>
    </row>
    <row r="1576" spans="1:20" ht="13" x14ac:dyDescent="0.15">
      <c r="A1576" s="72" t="str">
        <f t="shared" si="24"/>
        <v>Ofsted Social Care Provider Webpage</v>
      </c>
      <c r="B1576" s="55">
        <v>2651800</v>
      </c>
      <c r="D1576" s="55" t="s">
        <v>373</v>
      </c>
      <c r="E1576" s="74">
        <v>44494</v>
      </c>
      <c r="F1576" s="55" t="s">
        <v>344</v>
      </c>
      <c r="G1576" s="55" t="s">
        <v>360</v>
      </c>
      <c r="H1576" s="55" t="s">
        <v>360</v>
      </c>
      <c r="I1576" s="55" t="s">
        <v>360</v>
      </c>
      <c r="J1576" s="55" t="s">
        <v>360</v>
      </c>
      <c r="K1576" s="55" t="s">
        <v>360</v>
      </c>
      <c r="L1576" s="55" t="s">
        <v>360</v>
      </c>
      <c r="M1576" s="55" t="s">
        <v>144</v>
      </c>
      <c r="N1576" s="55" t="s">
        <v>144</v>
      </c>
      <c r="O1576" s="55" t="s">
        <v>217</v>
      </c>
      <c r="P1576" s="55" t="s">
        <v>384</v>
      </c>
      <c r="Q1576" s="55" t="s">
        <v>350</v>
      </c>
      <c r="R1576" s="55">
        <v>3</v>
      </c>
      <c r="S1576" s="55"/>
      <c r="T1576" s="55" t="s">
        <v>2268</v>
      </c>
    </row>
    <row r="1577" spans="1:20" ht="13" x14ac:dyDescent="0.15">
      <c r="A1577" s="72" t="str">
        <f t="shared" si="24"/>
        <v>Ofsted Social Care Provider Webpage</v>
      </c>
      <c r="B1577" s="55">
        <v>2651802</v>
      </c>
      <c r="D1577" s="55" t="s">
        <v>373</v>
      </c>
      <c r="E1577" s="74">
        <v>44547</v>
      </c>
      <c r="F1577" s="55" t="s">
        <v>344</v>
      </c>
      <c r="G1577" s="55" t="s">
        <v>360</v>
      </c>
      <c r="H1577" s="55" t="s">
        <v>360</v>
      </c>
      <c r="I1577" s="55" t="s">
        <v>360</v>
      </c>
      <c r="J1577" s="55" t="s">
        <v>360</v>
      </c>
      <c r="K1577" s="55" t="s">
        <v>360</v>
      </c>
      <c r="L1577" s="55" t="s">
        <v>360</v>
      </c>
      <c r="M1577" s="55" t="s">
        <v>129</v>
      </c>
      <c r="N1577" s="55" t="s">
        <v>129</v>
      </c>
      <c r="O1577" s="55" t="s">
        <v>242</v>
      </c>
      <c r="P1577" s="55" t="s">
        <v>1519</v>
      </c>
      <c r="Q1577" s="55" t="s">
        <v>350</v>
      </c>
      <c r="R1577" s="55">
        <v>7</v>
      </c>
      <c r="S1577" s="55"/>
      <c r="T1577" s="55" t="s">
        <v>2269</v>
      </c>
    </row>
    <row r="1578" spans="1:20" ht="13" x14ac:dyDescent="0.15">
      <c r="A1578" s="72" t="str">
        <f t="shared" si="24"/>
        <v>Ofsted Social Care Provider Webpage</v>
      </c>
      <c r="B1578" s="55">
        <v>2651806</v>
      </c>
      <c r="D1578" s="55" t="s">
        <v>373</v>
      </c>
      <c r="E1578" s="74">
        <v>44525</v>
      </c>
      <c r="F1578" s="55" t="s">
        <v>344</v>
      </c>
      <c r="G1578" s="55" t="s">
        <v>360</v>
      </c>
      <c r="H1578" s="55" t="s">
        <v>360</v>
      </c>
      <c r="I1578" s="55" t="s">
        <v>360</v>
      </c>
      <c r="J1578" s="55" t="s">
        <v>360</v>
      </c>
      <c r="K1578" s="55" t="s">
        <v>360</v>
      </c>
      <c r="L1578" s="55" t="s">
        <v>360</v>
      </c>
      <c r="M1578" s="55" t="s">
        <v>150</v>
      </c>
      <c r="N1578" s="55" t="s">
        <v>150</v>
      </c>
      <c r="O1578" s="55" t="s">
        <v>203</v>
      </c>
      <c r="P1578" s="55" t="s">
        <v>593</v>
      </c>
      <c r="Q1578" s="55" t="s">
        <v>350</v>
      </c>
      <c r="R1578" s="55">
        <v>4</v>
      </c>
      <c r="S1578" s="55"/>
      <c r="T1578" s="55" t="s">
        <v>2270</v>
      </c>
    </row>
    <row r="1579" spans="1:20" ht="13" x14ac:dyDescent="0.15">
      <c r="A1579" s="72" t="str">
        <f t="shared" si="24"/>
        <v>Ofsted Social Care Provider Webpage</v>
      </c>
      <c r="B1579" s="55">
        <v>2651807</v>
      </c>
      <c r="D1579" s="55" t="s">
        <v>373</v>
      </c>
      <c r="E1579" s="74">
        <v>44467</v>
      </c>
      <c r="F1579" s="55" t="s">
        <v>344</v>
      </c>
      <c r="G1579" s="55" t="s">
        <v>360</v>
      </c>
      <c r="H1579" s="55" t="s">
        <v>360</v>
      </c>
      <c r="I1579" s="55" t="s">
        <v>360</v>
      </c>
      <c r="J1579" s="55" t="s">
        <v>360</v>
      </c>
      <c r="K1579" s="55" t="s">
        <v>360</v>
      </c>
      <c r="L1579" s="55" t="s">
        <v>360</v>
      </c>
      <c r="M1579" s="55" t="s">
        <v>144</v>
      </c>
      <c r="N1579" s="55" t="s">
        <v>144</v>
      </c>
      <c r="O1579" s="55" t="s">
        <v>163</v>
      </c>
      <c r="P1579" s="55" t="s">
        <v>472</v>
      </c>
      <c r="Q1579" s="55" t="s">
        <v>350</v>
      </c>
      <c r="R1579" s="55">
        <v>4</v>
      </c>
      <c r="S1579" s="55"/>
      <c r="T1579" s="55" t="s">
        <v>615</v>
      </c>
    </row>
    <row r="1580" spans="1:20" ht="13" x14ac:dyDescent="0.15">
      <c r="A1580" s="72" t="str">
        <f t="shared" si="24"/>
        <v>Ofsted Social Care Provider Webpage</v>
      </c>
      <c r="B1580" s="55">
        <v>2651823</v>
      </c>
      <c r="D1580" s="55" t="s">
        <v>373</v>
      </c>
      <c r="E1580" s="74">
        <v>44475</v>
      </c>
      <c r="F1580" s="55" t="s">
        <v>344</v>
      </c>
      <c r="G1580" s="55" t="s">
        <v>360</v>
      </c>
      <c r="H1580" s="55" t="s">
        <v>360</v>
      </c>
      <c r="I1580" s="55" t="s">
        <v>360</v>
      </c>
      <c r="J1580" s="55" t="s">
        <v>360</v>
      </c>
      <c r="K1580" s="55" t="s">
        <v>360</v>
      </c>
      <c r="L1580" s="55" t="s">
        <v>360</v>
      </c>
      <c r="M1580" s="55" t="s">
        <v>142</v>
      </c>
      <c r="N1580" s="55" t="s">
        <v>142</v>
      </c>
      <c r="O1580" s="55" t="s">
        <v>293</v>
      </c>
      <c r="P1580" s="55" t="s">
        <v>1136</v>
      </c>
      <c r="Q1580" s="55" t="s">
        <v>350</v>
      </c>
      <c r="R1580" s="55">
        <v>3</v>
      </c>
      <c r="S1580" s="55"/>
      <c r="T1580" s="55" t="s">
        <v>1417</v>
      </c>
    </row>
    <row r="1581" spans="1:20" ht="13" x14ac:dyDescent="0.15">
      <c r="A1581" s="72" t="str">
        <f t="shared" si="24"/>
        <v>Ofsted Social Care Provider Webpage</v>
      </c>
      <c r="B1581" s="55">
        <v>2652096</v>
      </c>
      <c r="D1581" s="55" t="s">
        <v>373</v>
      </c>
      <c r="E1581" s="74">
        <v>44498</v>
      </c>
      <c r="F1581" s="55" t="s">
        <v>344</v>
      </c>
      <c r="G1581" s="55" t="s">
        <v>360</v>
      </c>
      <c r="H1581" s="55" t="s">
        <v>360</v>
      </c>
      <c r="I1581" s="55" t="s">
        <v>360</v>
      </c>
      <c r="J1581" s="55" t="s">
        <v>360</v>
      </c>
      <c r="K1581" s="55" t="s">
        <v>360</v>
      </c>
      <c r="L1581" s="55" t="s">
        <v>360</v>
      </c>
      <c r="M1581" s="55" t="s">
        <v>136</v>
      </c>
      <c r="N1581" s="55" t="s">
        <v>136</v>
      </c>
      <c r="O1581" s="55" t="s">
        <v>165</v>
      </c>
      <c r="P1581" s="55" t="s">
        <v>720</v>
      </c>
      <c r="Q1581" s="55" t="s">
        <v>350</v>
      </c>
      <c r="R1581" s="55">
        <v>4</v>
      </c>
      <c r="S1581" s="55"/>
      <c r="T1581" s="55" t="s">
        <v>1991</v>
      </c>
    </row>
    <row r="1582" spans="1:20" ht="13" x14ac:dyDescent="0.15">
      <c r="A1582" s="72" t="str">
        <f t="shared" si="24"/>
        <v>Ofsted Social Care Provider Webpage</v>
      </c>
      <c r="B1582" s="55">
        <v>2652383</v>
      </c>
      <c r="D1582" s="55" t="s">
        <v>373</v>
      </c>
      <c r="E1582" s="74">
        <v>44440</v>
      </c>
      <c r="F1582" s="55" t="s">
        <v>344</v>
      </c>
      <c r="G1582" s="55" t="s">
        <v>360</v>
      </c>
      <c r="H1582" s="55" t="s">
        <v>360</v>
      </c>
      <c r="I1582" s="55" t="s">
        <v>360</v>
      </c>
      <c r="J1582" s="55" t="s">
        <v>360</v>
      </c>
      <c r="K1582" s="55" t="s">
        <v>360</v>
      </c>
      <c r="L1582" s="55" t="s">
        <v>360</v>
      </c>
      <c r="M1582" s="55" t="s">
        <v>138</v>
      </c>
      <c r="N1582" s="55" t="s">
        <v>138</v>
      </c>
      <c r="O1582" s="55" t="s">
        <v>224</v>
      </c>
      <c r="P1582" s="55" t="s">
        <v>2271</v>
      </c>
      <c r="Q1582" s="55" t="s">
        <v>380</v>
      </c>
      <c r="R1582" s="55">
        <v>2</v>
      </c>
      <c r="S1582" s="55"/>
      <c r="T1582" s="55" t="s">
        <v>2272</v>
      </c>
    </row>
    <row r="1583" spans="1:20" ht="13" x14ac:dyDescent="0.15">
      <c r="A1583" s="72" t="str">
        <f t="shared" si="24"/>
        <v>Ofsted Social Care Provider Webpage</v>
      </c>
      <c r="B1583" s="55">
        <v>2652468</v>
      </c>
      <c r="D1583" s="55" t="s">
        <v>373</v>
      </c>
      <c r="E1583" s="74">
        <v>44442</v>
      </c>
      <c r="F1583" s="55" t="s">
        <v>344</v>
      </c>
      <c r="G1583" s="55" t="s">
        <v>360</v>
      </c>
      <c r="H1583" s="55" t="s">
        <v>360</v>
      </c>
      <c r="I1583" s="55" t="s">
        <v>360</v>
      </c>
      <c r="J1583" s="55" t="s">
        <v>360</v>
      </c>
      <c r="K1583" s="55" t="s">
        <v>360</v>
      </c>
      <c r="L1583" s="55" t="s">
        <v>360</v>
      </c>
      <c r="M1583" s="55" t="s">
        <v>136</v>
      </c>
      <c r="N1583" s="55" t="s">
        <v>136</v>
      </c>
      <c r="O1583" s="55" t="s">
        <v>705</v>
      </c>
      <c r="P1583" s="55" t="s">
        <v>2273</v>
      </c>
      <c r="Q1583" s="55" t="s">
        <v>350</v>
      </c>
      <c r="R1583" s="55">
        <v>1</v>
      </c>
      <c r="S1583" s="55"/>
      <c r="T1583" s="55" t="s">
        <v>2047</v>
      </c>
    </row>
    <row r="1584" spans="1:20" ht="13" x14ac:dyDescent="0.15">
      <c r="A1584" s="72" t="str">
        <f t="shared" si="24"/>
        <v>Ofsted Social Care Provider Webpage</v>
      </c>
      <c r="B1584" s="55">
        <v>2652546</v>
      </c>
      <c r="D1584" s="55" t="s">
        <v>373</v>
      </c>
      <c r="E1584" s="74">
        <v>44599</v>
      </c>
      <c r="F1584" s="55" t="s">
        <v>344</v>
      </c>
      <c r="G1584" s="55" t="s">
        <v>360</v>
      </c>
      <c r="H1584" s="55" t="s">
        <v>360</v>
      </c>
      <c r="I1584" s="55" t="s">
        <v>360</v>
      </c>
      <c r="J1584" s="55" t="s">
        <v>360</v>
      </c>
      <c r="K1584" s="55" t="s">
        <v>360</v>
      </c>
      <c r="L1584" s="55" t="s">
        <v>360</v>
      </c>
      <c r="M1584" s="55" t="s">
        <v>142</v>
      </c>
      <c r="N1584" s="55" t="s">
        <v>142</v>
      </c>
      <c r="O1584" s="55" t="s">
        <v>249</v>
      </c>
      <c r="P1584" s="55" t="s">
        <v>1406</v>
      </c>
      <c r="Q1584" s="55" t="s">
        <v>350</v>
      </c>
      <c r="R1584" s="55">
        <v>4</v>
      </c>
      <c r="S1584" s="55"/>
      <c r="T1584" s="55" t="s">
        <v>2049</v>
      </c>
    </row>
    <row r="1585" spans="1:20" ht="13" x14ac:dyDescent="0.15">
      <c r="A1585" s="72" t="str">
        <f t="shared" si="24"/>
        <v>Ofsted Social Care Provider Webpage</v>
      </c>
      <c r="B1585" s="55">
        <v>2652672</v>
      </c>
      <c r="D1585" s="55" t="s">
        <v>373</v>
      </c>
      <c r="E1585" s="74">
        <v>44544</v>
      </c>
      <c r="F1585" s="55" t="s">
        <v>344</v>
      </c>
      <c r="G1585" s="55" t="s">
        <v>360</v>
      </c>
      <c r="H1585" s="55" t="s">
        <v>360</v>
      </c>
      <c r="I1585" s="55" t="s">
        <v>360</v>
      </c>
      <c r="J1585" s="55" t="s">
        <v>360</v>
      </c>
      <c r="K1585" s="55" t="s">
        <v>360</v>
      </c>
      <c r="L1585" s="55" t="s">
        <v>360</v>
      </c>
      <c r="M1585" s="55" t="s">
        <v>172</v>
      </c>
      <c r="N1585" s="55" t="s">
        <v>172</v>
      </c>
      <c r="O1585" s="55" t="s">
        <v>212</v>
      </c>
      <c r="P1585" s="55" t="s">
        <v>883</v>
      </c>
      <c r="Q1585" s="55" t="s">
        <v>350</v>
      </c>
      <c r="R1585" s="55">
        <v>2</v>
      </c>
      <c r="S1585" s="55"/>
      <c r="T1585" s="55" t="s">
        <v>2274</v>
      </c>
    </row>
    <row r="1586" spans="1:20" ht="13" x14ac:dyDescent="0.15">
      <c r="A1586" s="72" t="str">
        <f t="shared" si="24"/>
        <v>Ofsted Social Care Provider Webpage</v>
      </c>
      <c r="B1586" s="55">
        <v>2652939</v>
      </c>
      <c r="D1586" s="55" t="s">
        <v>373</v>
      </c>
      <c r="E1586" s="74">
        <v>44496</v>
      </c>
      <c r="F1586" s="55" t="s">
        <v>344</v>
      </c>
      <c r="G1586" s="55" t="s">
        <v>360</v>
      </c>
      <c r="H1586" s="55" t="s">
        <v>360</v>
      </c>
      <c r="I1586" s="55" t="s">
        <v>360</v>
      </c>
      <c r="J1586" s="55" t="s">
        <v>360</v>
      </c>
      <c r="K1586" s="55" t="s">
        <v>360</v>
      </c>
      <c r="L1586" s="55" t="s">
        <v>360</v>
      </c>
      <c r="M1586" s="55" t="s">
        <v>138</v>
      </c>
      <c r="N1586" s="55" t="s">
        <v>138</v>
      </c>
      <c r="O1586" s="55" t="s">
        <v>266</v>
      </c>
      <c r="P1586" s="55" t="s">
        <v>1522</v>
      </c>
      <c r="Q1586" s="55" t="s">
        <v>350</v>
      </c>
      <c r="R1586" s="55">
        <v>5</v>
      </c>
      <c r="S1586" s="55"/>
      <c r="T1586" s="55" t="s">
        <v>2275</v>
      </c>
    </row>
    <row r="1587" spans="1:20" ht="13" x14ac:dyDescent="0.15">
      <c r="A1587" s="72" t="str">
        <f t="shared" si="24"/>
        <v>Ofsted Social Care Provider Webpage</v>
      </c>
      <c r="B1587" s="55">
        <v>2652976</v>
      </c>
      <c r="D1587" s="55" t="s">
        <v>373</v>
      </c>
      <c r="E1587" s="74">
        <v>44497</v>
      </c>
      <c r="F1587" s="55" t="s">
        <v>344</v>
      </c>
      <c r="G1587" s="55" t="s">
        <v>360</v>
      </c>
      <c r="H1587" s="55" t="s">
        <v>360</v>
      </c>
      <c r="I1587" s="55" t="s">
        <v>360</v>
      </c>
      <c r="J1587" s="55" t="s">
        <v>360</v>
      </c>
      <c r="K1587" s="55" t="s">
        <v>360</v>
      </c>
      <c r="L1587" s="55" t="s">
        <v>360</v>
      </c>
      <c r="M1587" s="55" t="s">
        <v>144</v>
      </c>
      <c r="N1587" s="55" t="s">
        <v>144</v>
      </c>
      <c r="O1587" s="55" t="s">
        <v>188</v>
      </c>
      <c r="P1587" s="55" t="s">
        <v>188</v>
      </c>
      <c r="Q1587" s="55" t="s">
        <v>350</v>
      </c>
      <c r="R1587" s="55">
        <v>5</v>
      </c>
      <c r="S1587" s="55"/>
      <c r="T1587" s="55" t="s">
        <v>1885</v>
      </c>
    </row>
    <row r="1588" spans="1:20" ht="13" x14ac:dyDescent="0.15">
      <c r="A1588" s="72" t="str">
        <f t="shared" si="24"/>
        <v>Ofsted Social Care Provider Webpage</v>
      </c>
      <c r="B1588" s="55">
        <v>2653112</v>
      </c>
      <c r="D1588" s="55" t="s">
        <v>373</v>
      </c>
      <c r="E1588" s="74">
        <v>44601</v>
      </c>
      <c r="F1588" s="55" t="s">
        <v>344</v>
      </c>
      <c r="G1588" s="55" t="s">
        <v>360</v>
      </c>
      <c r="H1588" s="55" t="s">
        <v>360</v>
      </c>
      <c r="I1588" s="55" t="s">
        <v>360</v>
      </c>
      <c r="J1588" s="55" t="s">
        <v>360</v>
      </c>
      <c r="K1588" s="55" t="s">
        <v>360</v>
      </c>
      <c r="L1588" s="55" t="s">
        <v>360</v>
      </c>
      <c r="M1588" s="55" t="s">
        <v>144</v>
      </c>
      <c r="N1588" s="55" t="s">
        <v>144</v>
      </c>
      <c r="O1588" s="55" t="s">
        <v>209</v>
      </c>
      <c r="P1588" s="55" t="s">
        <v>629</v>
      </c>
      <c r="Q1588" s="55" t="s">
        <v>350</v>
      </c>
      <c r="R1588" s="55">
        <v>3</v>
      </c>
      <c r="S1588" s="55"/>
      <c r="T1588" s="55" t="s">
        <v>2276</v>
      </c>
    </row>
    <row r="1589" spans="1:20" ht="13" x14ac:dyDescent="0.15">
      <c r="A1589" s="72" t="str">
        <f t="shared" si="24"/>
        <v>Ofsted Social Care Provider Webpage</v>
      </c>
      <c r="B1589" s="55">
        <v>2653207</v>
      </c>
      <c r="D1589" s="55" t="s">
        <v>373</v>
      </c>
      <c r="E1589" s="74">
        <v>44496</v>
      </c>
      <c r="F1589" s="55" t="s">
        <v>344</v>
      </c>
      <c r="G1589" s="55" t="s">
        <v>360</v>
      </c>
      <c r="H1589" s="55" t="s">
        <v>360</v>
      </c>
      <c r="I1589" s="55" t="s">
        <v>360</v>
      </c>
      <c r="J1589" s="55" t="s">
        <v>360</v>
      </c>
      <c r="K1589" s="55" t="s">
        <v>360</v>
      </c>
      <c r="L1589" s="55" t="s">
        <v>360</v>
      </c>
      <c r="M1589" s="55" t="s">
        <v>144</v>
      </c>
      <c r="N1589" s="55" t="s">
        <v>144</v>
      </c>
      <c r="O1589" s="55" t="s">
        <v>287</v>
      </c>
      <c r="P1589" s="55" t="s">
        <v>815</v>
      </c>
      <c r="Q1589" s="55" t="s">
        <v>350</v>
      </c>
      <c r="R1589" s="55">
        <v>1</v>
      </c>
      <c r="S1589" s="55"/>
      <c r="T1589" s="55" t="s">
        <v>1272</v>
      </c>
    </row>
    <row r="1590" spans="1:20" ht="13" x14ac:dyDescent="0.15">
      <c r="A1590" s="72" t="str">
        <f t="shared" si="24"/>
        <v>Ofsted Social Care Provider Webpage</v>
      </c>
      <c r="B1590" s="55">
        <v>2653835</v>
      </c>
      <c r="D1590" s="55" t="s">
        <v>373</v>
      </c>
      <c r="E1590" s="74">
        <v>44522</v>
      </c>
      <c r="F1590" s="55" t="s">
        <v>344</v>
      </c>
      <c r="G1590" s="55" t="s">
        <v>360</v>
      </c>
      <c r="H1590" s="55" t="s">
        <v>360</v>
      </c>
      <c r="I1590" s="55" t="s">
        <v>360</v>
      </c>
      <c r="J1590" s="55" t="s">
        <v>360</v>
      </c>
      <c r="K1590" s="55" t="s">
        <v>360</v>
      </c>
      <c r="L1590" s="55" t="s">
        <v>360</v>
      </c>
      <c r="M1590" s="55" t="s">
        <v>378</v>
      </c>
      <c r="N1590" s="55" t="s">
        <v>134</v>
      </c>
      <c r="O1590" s="55" t="s">
        <v>151</v>
      </c>
      <c r="P1590" s="55" t="s">
        <v>862</v>
      </c>
      <c r="Q1590" s="55" t="s">
        <v>350</v>
      </c>
      <c r="R1590" s="55">
        <v>1</v>
      </c>
      <c r="S1590" s="55"/>
      <c r="T1590" s="55" t="s">
        <v>493</v>
      </c>
    </row>
    <row r="1591" spans="1:20" ht="13" x14ac:dyDescent="0.15">
      <c r="A1591" s="72" t="str">
        <f t="shared" si="24"/>
        <v>Ofsted Social Care Provider Webpage</v>
      </c>
      <c r="B1591" s="55">
        <v>2653894</v>
      </c>
      <c r="D1591" s="55" t="s">
        <v>373</v>
      </c>
      <c r="E1591" s="74">
        <v>44566</v>
      </c>
      <c r="F1591" s="55" t="s">
        <v>344</v>
      </c>
      <c r="G1591" s="55" t="s">
        <v>360</v>
      </c>
      <c r="H1591" s="55" t="s">
        <v>360</v>
      </c>
      <c r="I1591" s="55" t="s">
        <v>360</v>
      </c>
      <c r="J1591" s="55" t="s">
        <v>360</v>
      </c>
      <c r="K1591" s="55" t="s">
        <v>360</v>
      </c>
      <c r="L1591" s="55" t="s">
        <v>360</v>
      </c>
      <c r="M1591" s="55" t="s">
        <v>129</v>
      </c>
      <c r="N1591" s="55" t="s">
        <v>129</v>
      </c>
      <c r="O1591" s="55" t="s">
        <v>152</v>
      </c>
      <c r="P1591" s="55" t="s">
        <v>1994</v>
      </c>
      <c r="Q1591" s="55" t="s">
        <v>350</v>
      </c>
      <c r="R1591" s="55">
        <v>4</v>
      </c>
      <c r="S1591" s="55"/>
      <c r="T1591" s="55" t="s">
        <v>2277</v>
      </c>
    </row>
    <row r="1592" spans="1:20" ht="13" x14ac:dyDescent="0.15">
      <c r="A1592" s="72" t="str">
        <f t="shared" si="24"/>
        <v>Ofsted Social Care Provider Webpage</v>
      </c>
      <c r="B1592" s="55">
        <v>2654084</v>
      </c>
      <c r="D1592" s="55" t="s">
        <v>373</v>
      </c>
      <c r="E1592" s="74">
        <v>44522</v>
      </c>
      <c r="F1592" s="55" t="s">
        <v>344</v>
      </c>
      <c r="G1592" s="55" t="s">
        <v>360</v>
      </c>
      <c r="H1592" s="55" t="s">
        <v>360</v>
      </c>
      <c r="I1592" s="55" t="s">
        <v>360</v>
      </c>
      <c r="J1592" s="55" t="s">
        <v>360</v>
      </c>
      <c r="K1592" s="55" t="s">
        <v>360</v>
      </c>
      <c r="L1592" s="55" t="s">
        <v>360</v>
      </c>
      <c r="M1592" s="55" t="s">
        <v>378</v>
      </c>
      <c r="N1592" s="55" t="s">
        <v>134</v>
      </c>
      <c r="O1592" s="55" t="s">
        <v>151</v>
      </c>
      <c r="P1592" s="55" t="s">
        <v>862</v>
      </c>
      <c r="Q1592" s="55" t="s">
        <v>350</v>
      </c>
      <c r="R1592" s="55">
        <v>1</v>
      </c>
      <c r="S1592" s="55"/>
      <c r="T1592" s="55" t="s">
        <v>493</v>
      </c>
    </row>
    <row r="1593" spans="1:20" ht="13" x14ac:dyDescent="0.15">
      <c r="A1593" s="72" t="str">
        <f t="shared" si="24"/>
        <v>Ofsted Social Care Provider Webpage</v>
      </c>
      <c r="B1593" s="55">
        <v>2654423</v>
      </c>
      <c r="D1593" s="55" t="s">
        <v>373</v>
      </c>
      <c r="E1593" s="74">
        <v>44461</v>
      </c>
      <c r="F1593" s="55" t="s">
        <v>344</v>
      </c>
      <c r="G1593" s="55" t="s">
        <v>360</v>
      </c>
      <c r="H1593" s="55" t="s">
        <v>360</v>
      </c>
      <c r="I1593" s="55" t="s">
        <v>360</v>
      </c>
      <c r="J1593" s="55" t="s">
        <v>360</v>
      </c>
      <c r="K1593" s="55" t="s">
        <v>360</v>
      </c>
      <c r="L1593" s="55" t="s">
        <v>360</v>
      </c>
      <c r="M1593" s="55" t="s">
        <v>142</v>
      </c>
      <c r="N1593" s="55" t="s">
        <v>142</v>
      </c>
      <c r="O1593" s="55" t="s">
        <v>278</v>
      </c>
      <c r="P1593" s="55" t="s">
        <v>1042</v>
      </c>
      <c r="Q1593" s="55" t="s">
        <v>350</v>
      </c>
      <c r="R1593" s="55">
        <v>3</v>
      </c>
      <c r="S1593" s="55"/>
      <c r="T1593" s="55" t="s">
        <v>1664</v>
      </c>
    </row>
    <row r="1594" spans="1:20" ht="13" x14ac:dyDescent="0.15">
      <c r="A1594" s="72" t="str">
        <f t="shared" si="24"/>
        <v>Ofsted Social Care Provider Webpage</v>
      </c>
      <c r="B1594" s="55">
        <v>2654620</v>
      </c>
      <c r="D1594" s="55" t="s">
        <v>373</v>
      </c>
      <c r="E1594" s="74">
        <v>44456</v>
      </c>
      <c r="F1594" s="55" t="s">
        <v>344</v>
      </c>
      <c r="G1594" s="55" t="s">
        <v>360</v>
      </c>
      <c r="H1594" s="55" t="s">
        <v>360</v>
      </c>
      <c r="I1594" s="55" t="s">
        <v>360</v>
      </c>
      <c r="J1594" s="55" t="s">
        <v>360</v>
      </c>
      <c r="K1594" s="55" t="s">
        <v>360</v>
      </c>
      <c r="L1594" s="55" t="s">
        <v>360</v>
      </c>
      <c r="M1594" s="55" t="s">
        <v>129</v>
      </c>
      <c r="N1594" s="55" t="s">
        <v>129</v>
      </c>
      <c r="O1594" s="55" t="s">
        <v>187</v>
      </c>
      <c r="P1594" s="55" t="s">
        <v>2278</v>
      </c>
      <c r="Q1594" s="55" t="s">
        <v>350</v>
      </c>
      <c r="R1594" s="55">
        <v>2</v>
      </c>
      <c r="S1594" s="55"/>
      <c r="T1594" s="55" t="s">
        <v>2279</v>
      </c>
    </row>
    <row r="1595" spans="1:20" ht="13" x14ac:dyDescent="0.15">
      <c r="A1595" s="72" t="str">
        <f t="shared" si="24"/>
        <v>Ofsted Social Care Provider Webpage</v>
      </c>
      <c r="B1595" s="55">
        <v>2654713</v>
      </c>
      <c r="D1595" s="55" t="s">
        <v>389</v>
      </c>
      <c r="E1595" s="74">
        <v>44596</v>
      </c>
      <c r="F1595" s="55" t="s">
        <v>344</v>
      </c>
      <c r="G1595" s="55" t="s">
        <v>2280</v>
      </c>
      <c r="H1595" s="55" t="s">
        <v>2281</v>
      </c>
      <c r="I1595" s="55" t="s">
        <v>2282</v>
      </c>
      <c r="J1595" s="55" t="s">
        <v>2283</v>
      </c>
      <c r="L1595" s="55" t="s">
        <v>2284</v>
      </c>
      <c r="M1595" s="55" t="s">
        <v>138</v>
      </c>
      <c r="N1595" s="55" t="s">
        <v>138</v>
      </c>
      <c r="O1595" s="55" t="s">
        <v>183</v>
      </c>
      <c r="P1595" s="55" t="s">
        <v>664</v>
      </c>
      <c r="Q1595" s="55" t="s">
        <v>350</v>
      </c>
      <c r="R1595" s="55"/>
      <c r="S1595" s="55"/>
      <c r="T1595" s="55" t="s">
        <v>2280</v>
      </c>
    </row>
    <row r="1596" spans="1:20" ht="13" x14ac:dyDescent="0.15">
      <c r="A1596" s="72" t="str">
        <f t="shared" si="24"/>
        <v>Ofsted Social Care Provider Webpage</v>
      </c>
      <c r="B1596" s="55">
        <v>2654782</v>
      </c>
      <c r="D1596" s="55" t="s">
        <v>373</v>
      </c>
      <c r="E1596" s="74">
        <v>44501</v>
      </c>
      <c r="F1596" s="55" t="s">
        <v>344</v>
      </c>
      <c r="G1596" s="55" t="s">
        <v>360</v>
      </c>
      <c r="H1596" s="55" t="s">
        <v>360</v>
      </c>
      <c r="I1596" s="55" t="s">
        <v>360</v>
      </c>
      <c r="J1596" s="55" t="s">
        <v>360</v>
      </c>
      <c r="K1596" s="55" t="s">
        <v>360</v>
      </c>
      <c r="L1596" s="55" t="s">
        <v>360</v>
      </c>
      <c r="M1596" s="55" t="s">
        <v>144</v>
      </c>
      <c r="N1596" s="55" t="s">
        <v>144</v>
      </c>
      <c r="O1596" s="55" t="s">
        <v>209</v>
      </c>
      <c r="P1596" s="55" t="s">
        <v>545</v>
      </c>
      <c r="Q1596" s="55" t="s">
        <v>350</v>
      </c>
      <c r="R1596" s="55">
        <v>4</v>
      </c>
      <c r="S1596" s="55"/>
      <c r="T1596" s="55" t="s">
        <v>2285</v>
      </c>
    </row>
    <row r="1597" spans="1:20" ht="13" x14ac:dyDescent="0.15">
      <c r="A1597" s="72" t="str">
        <f t="shared" si="24"/>
        <v>Ofsted Social Care Provider Webpage</v>
      </c>
      <c r="B1597" s="55">
        <v>2654867</v>
      </c>
      <c r="D1597" s="55" t="s">
        <v>373</v>
      </c>
      <c r="E1597" s="74">
        <v>44511</v>
      </c>
      <c r="F1597" s="55" t="s">
        <v>344</v>
      </c>
      <c r="G1597" s="55" t="s">
        <v>360</v>
      </c>
      <c r="H1597" s="55" t="s">
        <v>360</v>
      </c>
      <c r="I1597" s="55" t="s">
        <v>360</v>
      </c>
      <c r="J1597" s="55" t="s">
        <v>360</v>
      </c>
      <c r="K1597" s="55" t="s">
        <v>360</v>
      </c>
      <c r="L1597" s="55" t="s">
        <v>360</v>
      </c>
      <c r="M1597" s="55" t="s">
        <v>129</v>
      </c>
      <c r="N1597" s="55" t="s">
        <v>129</v>
      </c>
      <c r="O1597" s="55" t="s">
        <v>223</v>
      </c>
      <c r="P1597" s="55" t="s">
        <v>712</v>
      </c>
      <c r="Q1597" s="55" t="s">
        <v>350</v>
      </c>
      <c r="R1597" s="55">
        <v>4</v>
      </c>
      <c r="S1597" s="55"/>
      <c r="T1597" s="55" t="s">
        <v>1480</v>
      </c>
    </row>
    <row r="1598" spans="1:20" ht="13" x14ac:dyDescent="0.15">
      <c r="A1598" s="72" t="str">
        <f t="shared" si="24"/>
        <v>Ofsted Social Care Provider Webpage</v>
      </c>
      <c r="B1598" s="55">
        <v>2654906</v>
      </c>
      <c r="D1598" s="55" t="s">
        <v>373</v>
      </c>
      <c r="E1598" s="74">
        <v>44434</v>
      </c>
      <c r="F1598" s="55" t="s">
        <v>344</v>
      </c>
      <c r="G1598" s="55" t="s">
        <v>360</v>
      </c>
      <c r="H1598" s="55" t="s">
        <v>360</v>
      </c>
      <c r="I1598" s="55" t="s">
        <v>360</v>
      </c>
      <c r="J1598" s="55" t="s">
        <v>360</v>
      </c>
      <c r="K1598" s="55" t="s">
        <v>360</v>
      </c>
      <c r="L1598" s="55" t="s">
        <v>360</v>
      </c>
      <c r="M1598" s="55" t="s">
        <v>150</v>
      </c>
      <c r="N1598" s="55" t="s">
        <v>150</v>
      </c>
      <c r="O1598" s="55" t="s">
        <v>203</v>
      </c>
      <c r="P1598" s="55" t="s">
        <v>593</v>
      </c>
      <c r="Q1598" s="55" t="s">
        <v>350</v>
      </c>
      <c r="R1598" s="55">
        <v>2</v>
      </c>
      <c r="S1598" s="55"/>
      <c r="T1598" s="55" t="s">
        <v>801</v>
      </c>
    </row>
    <row r="1599" spans="1:20" ht="13" x14ac:dyDescent="0.15">
      <c r="A1599" s="72" t="str">
        <f t="shared" si="24"/>
        <v>Ofsted Social Care Provider Webpage</v>
      </c>
      <c r="B1599" s="55">
        <v>2655041</v>
      </c>
      <c r="D1599" s="55" t="s">
        <v>373</v>
      </c>
      <c r="E1599" s="74">
        <v>44530</v>
      </c>
      <c r="F1599" s="55" t="s">
        <v>344</v>
      </c>
      <c r="G1599" s="55" t="s">
        <v>360</v>
      </c>
      <c r="H1599" s="55" t="s">
        <v>360</v>
      </c>
      <c r="I1599" s="55" t="s">
        <v>360</v>
      </c>
      <c r="J1599" s="55" t="s">
        <v>360</v>
      </c>
      <c r="K1599" s="55" t="s">
        <v>360</v>
      </c>
      <c r="L1599" s="55" t="s">
        <v>360</v>
      </c>
      <c r="M1599" s="55" t="s">
        <v>136</v>
      </c>
      <c r="N1599" s="55" t="s">
        <v>136</v>
      </c>
      <c r="O1599" s="55" t="s">
        <v>288</v>
      </c>
      <c r="P1599" s="55" t="s">
        <v>1037</v>
      </c>
      <c r="Q1599" s="55" t="s">
        <v>350</v>
      </c>
      <c r="R1599" s="55">
        <v>3</v>
      </c>
      <c r="S1599" s="55"/>
      <c r="T1599" s="55" t="s">
        <v>2286</v>
      </c>
    </row>
    <row r="1600" spans="1:20" ht="13" x14ac:dyDescent="0.15">
      <c r="A1600" s="72" t="str">
        <f t="shared" si="24"/>
        <v>Ofsted Social Care Provider Webpage</v>
      </c>
      <c r="B1600" s="55">
        <v>2655174</v>
      </c>
      <c r="D1600" s="55" t="s">
        <v>373</v>
      </c>
      <c r="E1600" s="74">
        <v>44504</v>
      </c>
      <c r="F1600" s="55" t="s">
        <v>344</v>
      </c>
      <c r="G1600" s="55" t="s">
        <v>360</v>
      </c>
      <c r="H1600" s="55" t="s">
        <v>360</v>
      </c>
      <c r="I1600" s="55" t="s">
        <v>360</v>
      </c>
      <c r="J1600" s="55" t="s">
        <v>360</v>
      </c>
      <c r="K1600" s="55" t="s">
        <v>360</v>
      </c>
      <c r="L1600" s="55" t="s">
        <v>360</v>
      </c>
      <c r="M1600" s="55" t="s">
        <v>138</v>
      </c>
      <c r="N1600" s="55" t="s">
        <v>138</v>
      </c>
      <c r="O1600" s="55" t="s">
        <v>238</v>
      </c>
      <c r="P1600" s="55" t="s">
        <v>238</v>
      </c>
      <c r="Q1600" s="55" t="s">
        <v>350</v>
      </c>
      <c r="R1600" s="55">
        <v>6</v>
      </c>
      <c r="S1600" s="55"/>
      <c r="T1600" s="55" t="s">
        <v>1491</v>
      </c>
    </row>
    <row r="1601" spans="1:20" ht="13" x14ac:dyDescent="0.15">
      <c r="A1601" s="72" t="str">
        <f t="shared" si="24"/>
        <v>Ofsted Social Care Provider Webpage</v>
      </c>
      <c r="B1601" s="55">
        <v>2655345</v>
      </c>
      <c r="D1601" s="55" t="s">
        <v>373</v>
      </c>
      <c r="E1601" s="74">
        <v>44571</v>
      </c>
      <c r="F1601" s="55" t="s">
        <v>344</v>
      </c>
      <c r="G1601" s="55" t="s">
        <v>360</v>
      </c>
      <c r="H1601" s="55" t="s">
        <v>360</v>
      </c>
      <c r="I1601" s="55" t="s">
        <v>360</v>
      </c>
      <c r="J1601" s="55" t="s">
        <v>360</v>
      </c>
      <c r="K1601" s="55" t="s">
        <v>360</v>
      </c>
      <c r="L1601" s="55" t="s">
        <v>360</v>
      </c>
      <c r="M1601" s="55" t="s">
        <v>172</v>
      </c>
      <c r="N1601" s="55" t="s">
        <v>172</v>
      </c>
      <c r="O1601" s="55" t="s">
        <v>171</v>
      </c>
      <c r="P1601" s="55" t="s">
        <v>1125</v>
      </c>
      <c r="Q1601" s="55" t="s">
        <v>350</v>
      </c>
      <c r="R1601" s="55">
        <v>3</v>
      </c>
      <c r="S1601" s="55"/>
      <c r="T1601" s="55" t="s">
        <v>489</v>
      </c>
    </row>
    <row r="1602" spans="1:20" ht="13" x14ac:dyDescent="0.15">
      <c r="A1602" s="72" t="str">
        <f t="shared" si="24"/>
        <v>Ofsted Social Care Provider Webpage</v>
      </c>
      <c r="B1602" s="55">
        <v>2655354</v>
      </c>
      <c r="D1602" s="55" t="s">
        <v>373</v>
      </c>
      <c r="E1602" s="74">
        <v>44547</v>
      </c>
      <c r="F1602" s="55" t="s">
        <v>344</v>
      </c>
      <c r="G1602" s="55" t="s">
        <v>360</v>
      </c>
      <c r="H1602" s="55" t="s">
        <v>360</v>
      </c>
      <c r="I1602" s="55" t="s">
        <v>360</v>
      </c>
      <c r="J1602" s="55" t="s">
        <v>360</v>
      </c>
      <c r="K1602" s="55" t="s">
        <v>360</v>
      </c>
      <c r="L1602" s="55" t="s">
        <v>360</v>
      </c>
      <c r="M1602" s="55" t="s">
        <v>142</v>
      </c>
      <c r="N1602" s="55" t="s">
        <v>142</v>
      </c>
      <c r="O1602" s="55" t="s">
        <v>262</v>
      </c>
      <c r="P1602" s="55" t="s">
        <v>523</v>
      </c>
      <c r="Q1602" s="55" t="s">
        <v>350</v>
      </c>
      <c r="R1602" s="55">
        <v>6</v>
      </c>
      <c r="S1602" s="55"/>
      <c r="T1602" s="55" t="s">
        <v>504</v>
      </c>
    </row>
    <row r="1603" spans="1:20" ht="13" x14ac:dyDescent="0.15">
      <c r="A1603" s="72" t="str">
        <f t="shared" si="24"/>
        <v>Ofsted Social Care Provider Webpage</v>
      </c>
      <c r="B1603" s="55">
        <v>2656172</v>
      </c>
      <c r="D1603" s="55" t="s">
        <v>373</v>
      </c>
      <c r="E1603" s="74">
        <v>44566</v>
      </c>
      <c r="F1603" s="55" t="s">
        <v>344</v>
      </c>
      <c r="G1603" s="55" t="s">
        <v>360</v>
      </c>
      <c r="H1603" s="55" t="s">
        <v>360</v>
      </c>
      <c r="I1603" s="55" t="s">
        <v>360</v>
      </c>
      <c r="J1603" s="55" t="s">
        <v>360</v>
      </c>
      <c r="K1603" s="55" t="s">
        <v>360</v>
      </c>
      <c r="L1603" s="55" t="s">
        <v>360</v>
      </c>
      <c r="M1603" s="55" t="s">
        <v>142</v>
      </c>
      <c r="N1603" s="55" t="s">
        <v>142</v>
      </c>
      <c r="O1603" s="55" t="s">
        <v>141</v>
      </c>
      <c r="P1603" s="55" t="s">
        <v>660</v>
      </c>
      <c r="Q1603" s="55" t="s">
        <v>350</v>
      </c>
      <c r="R1603" s="55">
        <v>3</v>
      </c>
      <c r="S1603" s="55"/>
      <c r="T1603" s="55" t="s">
        <v>2287</v>
      </c>
    </row>
    <row r="1604" spans="1:20" ht="13" x14ac:dyDescent="0.15">
      <c r="A1604" s="72" t="str">
        <f t="shared" si="24"/>
        <v>Ofsted Social Care Provider Webpage</v>
      </c>
      <c r="B1604" s="55">
        <v>2656194</v>
      </c>
      <c r="D1604" s="55" t="s">
        <v>373</v>
      </c>
      <c r="E1604" s="74">
        <v>44603</v>
      </c>
      <c r="F1604" s="55" t="s">
        <v>344</v>
      </c>
      <c r="G1604" s="55" t="s">
        <v>360</v>
      </c>
      <c r="H1604" s="55" t="s">
        <v>360</v>
      </c>
      <c r="I1604" s="55" t="s">
        <v>360</v>
      </c>
      <c r="J1604" s="55" t="s">
        <v>360</v>
      </c>
      <c r="K1604" s="55" t="s">
        <v>360</v>
      </c>
      <c r="L1604" s="55" t="s">
        <v>360</v>
      </c>
      <c r="M1604" s="55" t="s">
        <v>142</v>
      </c>
      <c r="N1604" s="55" t="s">
        <v>142</v>
      </c>
      <c r="O1604" s="55" t="s">
        <v>292</v>
      </c>
      <c r="P1604" s="55" t="s">
        <v>1052</v>
      </c>
      <c r="Q1604" s="55" t="s">
        <v>350</v>
      </c>
      <c r="R1604" s="55">
        <v>5</v>
      </c>
      <c r="S1604" s="55"/>
      <c r="T1604" s="55" t="s">
        <v>1127</v>
      </c>
    </row>
    <row r="1605" spans="1:20" ht="13" x14ac:dyDescent="0.15">
      <c r="A1605" s="72" t="str">
        <f t="shared" ref="A1605:A1668" si="25">HYPERLINK(_xlfn.CONCAT("http://reports.ofsted.gov.uk/inspection-reports/find-inspection-report/provider/CARE/",B1605),"Ofsted Social Care Provider Webpage")</f>
        <v>Ofsted Social Care Provider Webpage</v>
      </c>
      <c r="B1605" s="55">
        <v>2656590</v>
      </c>
      <c r="D1605" s="55" t="s">
        <v>373</v>
      </c>
      <c r="E1605" s="74">
        <v>44490</v>
      </c>
      <c r="F1605" s="55" t="s">
        <v>344</v>
      </c>
      <c r="G1605" s="55" t="s">
        <v>360</v>
      </c>
      <c r="H1605" s="55" t="s">
        <v>360</v>
      </c>
      <c r="I1605" s="55" t="s">
        <v>360</v>
      </c>
      <c r="J1605" s="55" t="s">
        <v>360</v>
      </c>
      <c r="K1605" s="55" t="s">
        <v>360</v>
      </c>
      <c r="L1605" s="55" t="s">
        <v>360</v>
      </c>
      <c r="M1605" s="55" t="s">
        <v>378</v>
      </c>
      <c r="N1605" s="55" t="s">
        <v>170</v>
      </c>
      <c r="O1605" s="55" t="s">
        <v>184</v>
      </c>
      <c r="P1605" s="55" t="s">
        <v>676</v>
      </c>
      <c r="Q1605" s="55" t="s">
        <v>350</v>
      </c>
      <c r="R1605" s="55">
        <v>3</v>
      </c>
      <c r="S1605" s="55"/>
      <c r="T1605" s="55" t="s">
        <v>2288</v>
      </c>
    </row>
    <row r="1606" spans="1:20" ht="13" x14ac:dyDescent="0.15">
      <c r="A1606" s="72" t="str">
        <f t="shared" si="25"/>
        <v>Ofsted Social Care Provider Webpage</v>
      </c>
      <c r="B1606" s="55">
        <v>2656689</v>
      </c>
      <c r="D1606" s="55" t="s">
        <v>373</v>
      </c>
      <c r="E1606" s="74">
        <v>44522</v>
      </c>
      <c r="F1606" s="55" t="s">
        <v>344</v>
      </c>
      <c r="G1606" s="55" t="s">
        <v>360</v>
      </c>
      <c r="H1606" s="55" t="s">
        <v>360</v>
      </c>
      <c r="I1606" s="55" t="s">
        <v>360</v>
      </c>
      <c r="J1606" s="55" t="s">
        <v>360</v>
      </c>
      <c r="K1606" s="55" t="s">
        <v>360</v>
      </c>
      <c r="L1606" s="55" t="s">
        <v>360</v>
      </c>
      <c r="M1606" s="55" t="s">
        <v>142</v>
      </c>
      <c r="N1606" s="55" t="s">
        <v>142</v>
      </c>
      <c r="O1606" s="55" t="s">
        <v>262</v>
      </c>
      <c r="P1606" s="55" t="s">
        <v>692</v>
      </c>
      <c r="Q1606" s="55" t="s">
        <v>350</v>
      </c>
      <c r="R1606" s="55">
        <v>3</v>
      </c>
      <c r="S1606" s="55"/>
      <c r="T1606" s="55" t="s">
        <v>2289</v>
      </c>
    </row>
    <row r="1607" spans="1:20" ht="13" x14ac:dyDescent="0.15">
      <c r="A1607" s="72" t="str">
        <f t="shared" si="25"/>
        <v>Ofsted Social Care Provider Webpage</v>
      </c>
      <c r="B1607" s="55">
        <v>2656731</v>
      </c>
      <c r="D1607" s="55" t="s">
        <v>373</v>
      </c>
      <c r="E1607" s="74">
        <v>44515</v>
      </c>
      <c r="F1607" s="55" t="s">
        <v>344</v>
      </c>
      <c r="G1607" s="55" t="s">
        <v>360</v>
      </c>
      <c r="H1607" s="55" t="s">
        <v>360</v>
      </c>
      <c r="I1607" s="55" t="s">
        <v>360</v>
      </c>
      <c r="J1607" s="55" t="s">
        <v>360</v>
      </c>
      <c r="K1607" s="55" t="s">
        <v>360</v>
      </c>
      <c r="L1607" s="55" t="s">
        <v>360</v>
      </c>
      <c r="M1607" s="55" t="s">
        <v>136</v>
      </c>
      <c r="N1607" s="55" t="s">
        <v>136</v>
      </c>
      <c r="O1607" s="55" t="s">
        <v>154</v>
      </c>
      <c r="P1607" s="55" t="s">
        <v>2290</v>
      </c>
      <c r="Q1607" s="55" t="s">
        <v>380</v>
      </c>
      <c r="R1607" s="55">
        <v>3</v>
      </c>
      <c r="S1607" s="55"/>
      <c r="T1607" s="55" t="s">
        <v>1687</v>
      </c>
    </row>
    <row r="1608" spans="1:20" ht="13" x14ac:dyDescent="0.15">
      <c r="A1608" s="72" t="str">
        <f t="shared" si="25"/>
        <v>Ofsted Social Care Provider Webpage</v>
      </c>
      <c r="B1608" s="55">
        <v>2656736</v>
      </c>
      <c r="D1608" s="55" t="s">
        <v>373</v>
      </c>
      <c r="E1608" s="74">
        <v>44546</v>
      </c>
      <c r="F1608" s="55" t="s">
        <v>344</v>
      </c>
      <c r="G1608" s="55" t="s">
        <v>360</v>
      </c>
      <c r="H1608" s="55" t="s">
        <v>360</v>
      </c>
      <c r="I1608" s="55" t="s">
        <v>360</v>
      </c>
      <c r="J1608" s="55" t="s">
        <v>360</v>
      </c>
      <c r="K1608" s="55" t="s">
        <v>360</v>
      </c>
      <c r="L1608" s="55" t="s">
        <v>360</v>
      </c>
      <c r="M1608" s="55" t="s">
        <v>172</v>
      </c>
      <c r="N1608" s="55" t="s">
        <v>172</v>
      </c>
      <c r="O1608" s="55" t="s">
        <v>228</v>
      </c>
      <c r="P1608" s="55" t="s">
        <v>423</v>
      </c>
      <c r="Q1608" s="55" t="s">
        <v>350</v>
      </c>
      <c r="R1608" s="55">
        <v>1</v>
      </c>
      <c r="S1608" s="55"/>
      <c r="T1608" s="55" t="s">
        <v>517</v>
      </c>
    </row>
    <row r="1609" spans="1:20" ht="13" x14ac:dyDescent="0.15">
      <c r="A1609" s="72" t="str">
        <f t="shared" si="25"/>
        <v>Ofsted Social Care Provider Webpage</v>
      </c>
      <c r="B1609" s="55">
        <v>2656902</v>
      </c>
      <c r="D1609" s="55" t="s">
        <v>373</v>
      </c>
      <c r="E1609" s="74">
        <v>44466</v>
      </c>
      <c r="F1609" s="55" t="s">
        <v>344</v>
      </c>
      <c r="G1609" s="55" t="s">
        <v>360</v>
      </c>
      <c r="H1609" s="55" t="s">
        <v>360</v>
      </c>
      <c r="I1609" s="55" t="s">
        <v>360</v>
      </c>
      <c r="J1609" s="55" t="s">
        <v>360</v>
      </c>
      <c r="K1609" s="55" t="s">
        <v>360</v>
      </c>
      <c r="L1609" s="55" t="s">
        <v>360</v>
      </c>
      <c r="M1609" s="55" t="s">
        <v>172</v>
      </c>
      <c r="N1609" s="55" t="s">
        <v>172</v>
      </c>
      <c r="O1609" s="55" t="s">
        <v>212</v>
      </c>
      <c r="P1609" s="55" t="s">
        <v>798</v>
      </c>
      <c r="Q1609" s="55" t="s">
        <v>350</v>
      </c>
      <c r="R1609" s="55">
        <v>3</v>
      </c>
      <c r="S1609" s="55"/>
      <c r="T1609" s="55" t="s">
        <v>1819</v>
      </c>
    </row>
    <row r="1610" spans="1:20" ht="13" x14ac:dyDescent="0.15">
      <c r="A1610" s="72" t="str">
        <f t="shared" si="25"/>
        <v>Ofsted Social Care Provider Webpage</v>
      </c>
      <c r="B1610" s="55">
        <v>2657298</v>
      </c>
      <c r="D1610" s="55" t="s">
        <v>373</v>
      </c>
      <c r="E1610" s="74">
        <v>44515</v>
      </c>
      <c r="F1610" s="55" t="s">
        <v>344</v>
      </c>
      <c r="G1610" s="55" t="s">
        <v>360</v>
      </c>
      <c r="H1610" s="55" t="s">
        <v>360</v>
      </c>
      <c r="I1610" s="55" t="s">
        <v>360</v>
      </c>
      <c r="J1610" s="55" t="s">
        <v>360</v>
      </c>
      <c r="K1610" s="55" t="s">
        <v>360</v>
      </c>
      <c r="L1610" s="55" t="s">
        <v>360</v>
      </c>
      <c r="M1610" s="55" t="s">
        <v>144</v>
      </c>
      <c r="N1610" s="55" t="s">
        <v>144</v>
      </c>
      <c r="O1610" s="55" t="s">
        <v>217</v>
      </c>
      <c r="P1610" s="55" t="s">
        <v>384</v>
      </c>
      <c r="Q1610" s="55" t="s">
        <v>350</v>
      </c>
      <c r="R1610" s="55">
        <v>3</v>
      </c>
      <c r="S1610" s="55"/>
      <c r="T1610" s="55" t="s">
        <v>2291</v>
      </c>
    </row>
    <row r="1611" spans="1:20" ht="13" x14ac:dyDescent="0.15">
      <c r="A1611" s="72" t="str">
        <f t="shared" si="25"/>
        <v>Ofsted Social Care Provider Webpage</v>
      </c>
      <c r="B1611" s="55">
        <v>2657553</v>
      </c>
      <c r="D1611" s="55" t="s">
        <v>373</v>
      </c>
      <c r="E1611" s="74">
        <v>44600</v>
      </c>
      <c r="F1611" s="55" t="s">
        <v>344</v>
      </c>
      <c r="G1611" s="55" t="s">
        <v>360</v>
      </c>
      <c r="H1611" s="55" t="s">
        <v>360</v>
      </c>
      <c r="I1611" s="55" t="s">
        <v>360</v>
      </c>
      <c r="J1611" s="55" t="s">
        <v>360</v>
      </c>
      <c r="K1611" s="55" t="s">
        <v>360</v>
      </c>
      <c r="L1611" s="55" t="s">
        <v>360</v>
      </c>
      <c r="M1611" s="55" t="s">
        <v>129</v>
      </c>
      <c r="N1611" s="55" t="s">
        <v>129</v>
      </c>
      <c r="O1611" s="55" t="s">
        <v>139</v>
      </c>
      <c r="P1611" s="55" t="s">
        <v>1639</v>
      </c>
      <c r="Q1611" s="55" t="s">
        <v>350</v>
      </c>
      <c r="R1611" s="55">
        <v>3</v>
      </c>
      <c r="S1611" s="55"/>
      <c r="T1611" s="55" t="s">
        <v>2292</v>
      </c>
    </row>
    <row r="1612" spans="1:20" ht="13" x14ac:dyDescent="0.15">
      <c r="A1612" s="72" t="str">
        <f t="shared" si="25"/>
        <v>Ofsted Social Care Provider Webpage</v>
      </c>
      <c r="B1612" s="55">
        <v>2657770</v>
      </c>
      <c r="D1612" s="55" t="s">
        <v>451</v>
      </c>
      <c r="E1612" s="74">
        <v>44545</v>
      </c>
      <c r="F1612" s="55" t="s">
        <v>344</v>
      </c>
      <c r="G1612" s="55" t="s">
        <v>2293</v>
      </c>
      <c r="H1612" s="55" t="s">
        <v>2294</v>
      </c>
      <c r="I1612" s="55" t="s">
        <v>354</v>
      </c>
      <c r="J1612" s="55" t="s">
        <v>2295</v>
      </c>
      <c r="K1612" s="55" t="s">
        <v>1350</v>
      </c>
      <c r="L1612" s="55" t="s">
        <v>2296</v>
      </c>
      <c r="M1612" s="55" t="s">
        <v>172</v>
      </c>
      <c r="N1612" s="55" t="s">
        <v>172</v>
      </c>
      <c r="O1612" s="55" t="s">
        <v>284</v>
      </c>
      <c r="P1612" s="55" t="s">
        <v>986</v>
      </c>
      <c r="Q1612" s="55" t="s">
        <v>350</v>
      </c>
      <c r="R1612" s="55">
        <v>5</v>
      </c>
      <c r="S1612" s="55"/>
      <c r="T1612" s="55" t="s">
        <v>2297</v>
      </c>
    </row>
    <row r="1613" spans="1:20" ht="13" x14ac:dyDescent="0.15">
      <c r="A1613" s="72" t="str">
        <f t="shared" si="25"/>
        <v>Ofsted Social Care Provider Webpage</v>
      </c>
      <c r="B1613" s="55">
        <v>2658895</v>
      </c>
      <c r="D1613" s="55" t="s">
        <v>373</v>
      </c>
      <c r="E1613" s="74">
        <v>44564</v>
      </c>
      <c r="F1613" s="55" t="s">
        <v>344</v>
      </c>
      <c r="G1613" s="55" t="s">
        <v>360</v>
      </c>
      <c r="H1613" s="55" t="s">
        <v>360</v>
      </c>
      <c r="I1613" s="55" t="s">
        <v>360</v>
      </c>
      <c r="J1613" s="55" t="s">
        <v>360</v>
      </c>
      <c r="K1613" s="55" t="s">
        <v>360</v>
      </c>
      <c r="L1613" s="55" t="s">
        <v>360</v>
      </c>
      <c r="M1613" s="55" t="s">
        <v>144</v>
      </c>
      <c r="N1613" s="55" t="s">
        <v>144</v>
      </c>
      <c r="O1613" s="55" t="s">
        <v>215</v>
      </c>
      <c r="P1613" s="55" t="s">
        <v>655</v>
      </c>
      <c r="Q1613" s="55" t="s">
        <v>350</v>
      </c>
      <c r="R1613" s="55">
        <v>2</v>
      </c>
      <c r="S1613" s="55"/>
      <c r="T1613" s="55" t="s">
        <v>1441</v>
      </c>
    </row>
    <row r="1614" spans="1:20" ht="13" x14ac:dyDescent="0.15">
      <c r="A1614" s="72" t="str">
        <f t="shared" si="25"/>
        <v>Ofsted Social Care Provider Webpage</v>
      </c>
      <c r="B1614" s="55">
        <v>2659548</v>
      </c>
      <c r="D1614" s="55" t="s">
        <v>373</v>
      </c>
      <c r="E1614" s="74">
        <v>44512</v>
      </c>
      <c r="F1614" s="55" t="s">
        <v>344</v>
      </c>
      <c r="G1614" s="55" t="s">
        <v>360</v>
      </c>
      <c r="H1614" s="55" t="s">
        <v>360</v>
      </c>
      <c r="I1614" s="55" t="s">
        <v>360</v>
      </c>
      <c r="J1614" s="55" t="s">
        <v>360</v>
      </c>
      <c r="K1614" s="55" t="s">
        <v>360</v>
      </c>
      <c r="L1614" s="55" t="s">
        <v>360</v>
      </c>
      <c r="M1614" s="55" t="s">
        <v>144</v>
      </c>
      <c r="N1614" s="55" t="s">
        <v>144</v>
      </c>
      <c r="O1614" s="55" t="s">
        <v>168</v>
      </c>
      <c r="P1614" s="55" t="s">
        <v>901</v>
      </c>
      <c r="Q1614" s="55" t="s">
        <v>350</v>
      </c>
      <c r="R1614" s="55">
        <v>6</v>
      </c>
      <c r="S1614" s="55"/>
      <c r="T1614" s="55" t="s">
        <v>1098</v>
      </c>
    </row>
    <row r="1615" spans="1:20" ht="13" x14ac:dyDescent="0.15">
      <c r="A1615" s="72" t="str">
        <f t="shared" si="25"/>
        <v>Ofsted Social Care Provider Webpage</v>
      </c>
      <c r="B1615" s="55">
        <v>2660019</v>
      </c>
      <c r="D1615" s="55" t="s">
        <v>451</v>
      </c>
      <c r="E1615" s="74">
        <v>44637</v>
      </c>
      <c r="F1615" s="55" t="s">
        <v>344</v>
      </c>
      <c r="G1615" s="55" t="s">
        <v>2298</v>
      </c>
      <c r="H1615" s="55" t="s">
        <v>2299</v>
      </c>
      <c r="I1615" s="55" t="s">
        <v>2300</v>
      </c>
      <c r="J1615" s="55" t="s">
        <v>2301</v>
      </c>
      <c r="L1615" s="55" t="s">
        <v>2302</v>
      </c>
      <c r="M1615" s="55" t="s">
        <v>150</v>
      </c>
      <c r="N1615" s="55" t="s">
        <v>150</v>
      </c>
      <c r="O1615" s="55" t="s">
        <v>268</v>
      </c>
      <c r="P1615" s="55" t="s">
        <v>1771</v>
      </c>
      <c r="Q1615" s="55" t="s">
        <v>350</v>
      </c>
      <c r="R1615" s="55">
        <v>5</v>
      </c>
      <c r="S1615" s="55"/>
      <c r="T1615" s="55" t="s">
        <v>2303</v>
      </c>
    </row>
    <row r="1616" spans="1:20" ht="13" x14ac:dyDescent="0.15">
      <c r="A1616" s="72" t="str">
        <f t="shared" si="25"/>
        <v>Ofsted Social Care Provider Webpage</v>
      </c>
      <c r="B1616" s="55">
        <v>2660064</v>
      </c>
      <c r="D1616" s="55" t="s">
        <v>373</v>
      </c>
      <c r="E1616" s="74">
        <v>44554</v>
      </c>
      <c r="F1616" s="55" t="s">
        <v>344</v>
      </c>
      <c r="G1616" s="55" t="s">
        <v>360</v>
      </c>
      <c r="H1616" s="55" t="s">
        <v>360</v>
      </c>
      <c r="I1616" s="55" t="s">
        <v>360</v>
      </c>
      <c r="J1616" s="55" t="s">
        <v>360</v>
      </c>
      <c r="K1616" s="55" t="s">
        <v>360</v>
      </c>
      <c r="L1616" s="55" t="s">
        <v>360</v>
      </c>
      <c r="M1616" s="55" t="s">
        <v>138</v>
      </c>
      <c r="N1616" s="55" t="s">
        <v>138</v>
      </c>
      <c r="O1616" s="55" t="s">
        <v>224</v>
      </c>
      <c r="P1616" s="55" t="s">
        <v>374</v>
      </c>
      <c r="Q1616" s="55" t="s">
        <v>350</v>
      </c>
      <c r="R1616" s="55">
        <v>4</v>
      </c>
      <c r="S1616" s="55"/>
      <c r="T1616" s="55" t="s">
        <v>574</v>
      </c>
    </row>
    <row r="1617" spans="1:20" ht="13" x14ac:dyDescent="0.15">
      <c r="A1617" s="72" t="str">
        <f t="shared" si="25"/>
        <v>Ofsted Social Care Provider Webpage</v>
      </c>
      <c r="B1617" s="55">
        <v>2660251</v>
      </c>
      <c r="D1617" s="55" t="s">
        <v>373</v>
      </c>
      <c r="E1617" s="74">
        <v>44594</v>
      </c>
      <c r="F1617" s="55" t="s">
        <v>344</v>
      </c>
      <c r="G1617" s="55" t="s">
        <v>360</v>
      </c>
      <c r="H1617" s="55" t="s">
        <v>360</v>
      </c>
      <c r="I1617" s="55" t="s">
        <v>360</v>
      </c>
      <c r="J1617" s="55" t="s">
        <v>360</v>
      </c>
      <c r="K1617" s="55" t="s">
        <v>360</v>
      </c>
      <c r="L1617" s="55" t="s">
        <v>360</v>
      </c>
      <c r="M1617" s="55" t="s">
        <v>129</v>
      </c>
      <c r="N1617" s="55" t="s">
        <v>129</v>
      </c>
      <c r="O1617" s="55" t="s">
        <v>269</v>
      </c>
      <c r="P1617" s="55" t="s">
        <v>2304</v>
      </c>
      <c r="Q1617" s="55" t="s">
        <v>350</v>
      </c>
      <c r="R1617" s="55">
        <v>8</v>
      </c>
      <c r="S1617" s="55"/>
      <c r="T1617" s="55" t="s">
        <v>2305</v>
      </c>
    </row>
    <row r="1618" spans="1:20" ht="13" x14ac:dyDescent="0.15">
      <c r="A1618" s="72" t="str">
        <f t="shared" si="25"/>
        <v>Ofsted Social Care Provider Webpage</v>
      </c>
      <c r="B1618" s="55">
        <v>2660433</v>
      </c>
      <c r="D1618" s="55" t="s">
        <v>373</v>
      </c>
      <c r="E1618" s="74">
        <v>44545</v>
      </c>
      <c r="F1618" s="55" t="s">
        <v>344</v>
      </c>
      <c r="G1618" s="55" t="s">
        <v>360</v>
      </c>
      <c r="H1618" s="55" t="s">
        <v>360</v>
      </c>
      <c r="I1618" s="55" t="s">
        <v>360</v>
      </c>
      <c r="J1618" s="55" t="s">
        <v>360</v>
      </c>
      <c r="K1618" s="55" t="s">
        <v>360</v>
      </c>
      <c r="L1618" s="55" t="s">
        <v>360</v>
      </c>
      <c r="M1618" s="55" t="s">
        <v>150</v>
      </c>
      <c r="N1618" s="55" t="s">
        <v>150</v>
      </c>
      <c r="O1618" s="55" t="s">
        <v>218</v>
      </c>
      <c r="P1618" s="55" t="s">
        <v>1644</v>
      </c>
      <c r="Q1618" s="55" t="s">
        <v>350</v>
      </c>
      <c r="R1618" s="55">
        <v>5</v>
      </c>
      <c r="S1618" s="55"/>
      <c r="T1618" s="55" t="s">
        <v>2306</v>
      </c>
    </row>
    <row r="1619" spans="1:20" ht="13" x14ac:dyDescent="0.15">
      <c r="A1619" s="72" t="str">
        <f t="shared" si="25"/>
        <v>Ofsted Social Care Provider Webpage</v>
      </c>
      <c r="B1619" s="55">
        <v>2660470</v>
      </c>
      <c r="D1619" s="55" t="s">
        <v>373</v>
      </c>
      <c r="E1619" s="74">
        <v>44533</v>
      </c>
      <c r="F1619" s="55" t="s">
        <v>344</v>
      </c>
      <c r="G1619" s="55" t="s">
        <v>360</v>
      </c>
      <c r="H1619" s="55" t="s">
        <v>360</v>
      </c>
      <c r="I1619" s="55" t="s">
        <v>360</v>
      </c>
      <c r="J1619" s="55" t="s">
        <v>360</v>
      </c>
      <c r="K1619" s="55" t="s">
        <v>360</v>
      </c>
      <c r="L1619" s="55" t="s">
        <v>360</v>
      </c>
      <c r="M1619" s="55" t="s">
        <v>172</v>
      </c>
      <c r="N1619" s="55" t="s">
        <v>172</v>
      </c>
      <c r="O1619" s="55" t="s">
        <v>173</v>
      </c>
      <c r="P1619" s="55" t="s">
        <v>2307</v>
      </c>
      <c r="Q1619" s="55" t="s">
        <v>350</v>
      </c>
      <c r="R1619" s="55">
        <v>1</v>
      </c>
      <c r="S1619" s="55"/>
      <c r="T1619" s="55" t="s">
        <v>2308</v>
      </c>
    </row>
    <row r="1620" spans="1:20" ht="13" x14ac:dyDescent="0.15">
      <c r="A1620" s="72" t="str">
        <f t="shared" si="25"/>
        <v>Ofsted Social Care Provider Webpage</v>
      </c>
      <c r="B1620" s="55">
        <v>2660603</v>
      </c>
      <c r="D1620" s="55" t="s">
        <v>373</v>
      </c>
      <c r="E1620" s="74">
        <v>44504</v>
      </c>
      <c r="F1620" s="55" t="s">
        <v>344</v>
      </c>
      <c r="G1620" s="55" t="s">
        <v>360</v>
      </c>
      <c r="H1620" s="55" t="s">
        <v>360</v>
      </c>
      <c r="I1620" s="55" t="s">
        <v>360</v>
      </c>
      <c r="J1620" s="55" t="s">
        <v>360</v>
      </c>
      <c r="K1620" s="55" t="s">
        <v>360</v>
      </c>
      <c r="L1620" s="55" t="s">
        <v>360</v>
      </c>
      <c r="M1620" s="55" t="s">
        <v>172</v>
      </c>
      <c r="N1620" s="55" t="s">
        <v>172</v>
      </c>
      <c r="O1620" s="55" t="s">
        <v>173</v>
      </c>
      <c r="P1620" s="55" t="s">
        <v>860</v>
      </c>
      <c r="Q1620" s="55" t="s">
        <v>350</v>
      </c>
      <c r="R1620" s="55">
        <v>3</v>
      </c>
      <c r="S1620" s="55"/>
      <c r="T1620" s="55" t="s">
        <v>520</v>
      </c>
    </row>
    <row r="1621" spans="1:20" ht="13" x14ac:dyDescent="0.15">
      <c r="A1621" s="72" t="str">
        <f t="shared" si="25"/>
        <v>Ofsted Social Care Provider Webpage</v>
      </c>
      <c r="B1621" s="55">
        <v>2660783</v>
      </c>
      <c r="D1621" s="55" t="s">
        <v>373</v>
      </c>
      <c r="E1621" s="74">
        <v>44579</v>
      </c>
      <c r="F1621" s="55" t="s">
        <v>344</v>
      </c>
      <c r="G1621" s="55" t="s">
        <v>360</v>
      </c>
      <c r="H1621" s="55" t="s">
        <v>360</v>
      </c>
      <c r="I1621" s="55" t="s">
        <v>360</v>
      </c>
      <c r="J1621" s="55" t="s">
        <v>360</v>
      </c>
      <c r="K1621" s="55" t="s">
        <v>360</v>
      </c>
      <c r="L1621" s="55" t="s">
        <v>360</v>
      </c>
      <c r="M1621" s="55" t="s">
        <v>172</v>
      </c>
      <c r="N1621" s="55" t="s">
        <v>172</v>
      </c>
      <c r="O1621" s="55" t="s">
        <v>171</v>
      </c>
      <c r="P1621" s="55" t="s">
        <v>895</v>
      </c>
      <c r="Q1621" s="55" t="s">
        <v>350</v>
      </c>
      <c r="R1621" s="55">
        <v>3</v>
      </c>
      <c r="S1621" s="55"/>
      <c r="T1621" s="55" t="s">
        <v>2309</v>
      </c>
    </row>
    <row r="1622" spans="1:20" ht="13" x14ac:dyDescent="0.15">
      <c r="A1622" s="72" t="str">
        <f t="shared" si="25"/>
        <v>Ofsted Social Care Provider Webpage</v>
      </c>
      <c r="B1622" s="55">
        <v>2661346</v>
      </c>
      <c r="D1622" s="55" t="s">
        <v>373</v>
      </c>
      <c r="E1622" s="74">
        <v>44606</v>
      </c>
      <c r="F1622" s="55" t="s">
        <v>344</v>
      </c>
      <c r="G1622" s="55" t="s">
        <v>360</v>
      </c>
      <c r="H1622" s="55" t="s">
        <v>360</v>
      </c>
      <c r="I1622" s="55" t="s">
        <v>360</v>
      </c>
      <c r="J1622" s="55" t="s">
        <v>360</v>
      </c>
      <c r="K1622" s="55" t="s">
        <v>360</v>
      </c>
      <c r="L1622" s="55" t="s">
        <v>360</v>
      </c>
      <c r="M1622" s="55" t="s">
        <v>129</v>
      </c>
      <c r="N1622" s="55" t="s">
        <v>129</v>
      </c>
      <c r="O1622" s="55" t="s">
        <v>275</v>
      </c>
      <c r="P1622" s="55" t="s">
        <v>2310</v>
      </c>
      <c r="Q1622" s="55" t="s">
        <v>350</v>
      </c>
      <c r="R1622" s="55">
        <v>4</v>
      </c>
      <c r="S1622" s="55"/>
      <c r="T1622" s="55" t="s">
        <v>1646</v>
      </c>
    </row>
    <row r="1623" spans="1:20" ht="13" x14ac:dyDescent="0.15">
      <c r="A1623" s="72" t="str">
        <f t="shared" si="25"/>
        <v>Ofsted Social Care Provider Webpage</v>
      </c>
      <c r="B1623" s="55">
        <v>2661371</v>
      </c>
      <c r="D1623" s="55" t="s">
        <v>373</v>
      </c>
      <c r="E1623" s="74">
        <v>44585</v>
      </c>
      <c r="F1623" s="55" t="s">
        <v>344</v>
      </c>
      <c r="G1623" s="55" t="s">
        <v>360</v>
      </c>
      <c r="H1623" s="55" t="s">
        <v>360</v>
      </c>
      <c r="I1623" s="55" t="s">
        <v>360</v>
      </c>
      <c r="J1623" s="55" t="s">
        <v>360</v>
      </c>
      <c r="K1623" s="55" t="s">
        <v>360</v>
      </c>
      <c r="L1623" s="55" t="s">
        <v>360</v>
      </c>
      <c r="M1623" s="55" t="s">
        <v>150</v>
      </c>
      <c r="N1623" s="55" t="s">
        <v>150</v>
      </c>
      <c r="O1623" s="55" t="s">
        <v>153</v>
      </c>
      <c r="P1623" s="55" t="s">
        <v>1331</v>
      </c>
      <c r="Q1623" s="55" t="s">
        <v>350</v>
      </c>
      <c r="R1623" s="55">
        <v>4</v>
      </c>
      <c r="S1623" s="55"/>
      <c r="T1623" s="55" t="s">
        <v>2311</v>
      </c>
    </row>
    <row r="1624" spans="1:20" ht="13" x14ac:dyDescent="0.15">
      <c r="A1624" s="72" t="str">
        <f t="shared" si="25"/>
        <v>Ofsted Social Care Provider Webpage</v>
      </c>
      <c r="B1624" s="55">
        <v>2661512</v>
      </c>
      <c r="D1624" s="55" t="s">
        <v>373</v>
      </c>
      <c r="E1624" s="74">
        <v>44545</v>
      </c>
      <c r="F1624" s="55" t="s">
        <v>344</v>
      </c>
      <c r="G1624" s="55" t="s">
        <v>360</v>
      </c>
      <c r="H1624" s="55" t="s">
        <v>360</v>
      </c>
      <c r="I1624" s="55" t="s">
        <v>360</v>
      </c>
      <c r="J1624" s="55" t="s">
        <v>360</v>
      </c>
      <c r="K1624" s="55" t="s">
        <v>360</v>
      </c>
      <c r="L1624" s="55" t="s">
        <v>360</v>
      </c>
      <c r="M1624" s="55" t="s">
        <v>144</v>
      </c>
      <c r="N1624" s="55" t="s">
        <v>144</v>
      </c>
      <c r="O1624" s="55" t="s">
        <v>261</v>
      </c>
      <c r="P1624" s="55" t="s">
        <v>792</v>
      </c>
      <c r="Q1624" s="55" t="s">
        <v>350</v>
      </c>
      <c r="R1624" s="55">
        <v>1</v>
      </c>
      <c r="S1624" s="55"/>
      <c r="T1624" s="55" t="s">
        <v>385</v>
      </c>
    </row>
    <row r="1625" spans="1:20" ht="13" x14ac:dyDescent="0.15">
      <c r="A1625" s="72" t="str">
        <f t="shared" si="25"/>
        <v>Ofsted Social Care Provider Webpage</v>
      </c>
      <c r="B1625" s="55">
        <v>2661513</v>
      </c>
      <c r="D1625" s="55" t="s">
        <v>373</v>
      </c>
      <c r="E1625" s="74">
        <v>44614</v>
      </c>
      <c r="F1625" s="55" t="s">
        <v>344</v>
      </c>
      <c r="G1625" s="55" t="s">
        <v>360</v>
      </c>
      <c r="H1625" s="55" t="s">
        <v>360</v>
      </c>
      <c r="I1625" s="55" t="s">
        <v>360</v>
      </c>
      <c r="J1625" s="55" t="s">
        <v>360</v>
      </c>
      <c r="K1625" s="55" t="s">
        <v>360</v>
      </c>
      <c r="L1625" s="55" t="s">
        <v>360</v>
      </c>
      <c r="M1625" s="55" t="s">
        <v>172</v>
      </c>
      <c r="N1625" s="55" t="s">
        <v>172</v>
      </c>
      <c r="O1625" s="55" t="s">
        <v>212</v>
      </c>
      <c r="P1625" s="55" t="s">
        <v>714</v>
      </c>
      <c r="Q1625" s="55" t="s">
        <v>350</v>
      </c>
      <c r="R1625" s="55">
        <v>1</v>
      </c>
      <c r="S1625" s="55"/>
      <c r="T1625" s="55" t="s">
        <v>1682</v>
      </c>
    </row>
    <row r="1626" spans="1:20" ht="13" x14ac:dyDescent="0.15">
      <c r="A1626" s="72" t="str">
        <f t="shared" si="25"/>
        <v>Ofsted Social Care Provider Webpage</v>
      </c>
      <c r="B1626" s="55">
        <v>2661568</v>
      </c>
      <c r="D1626" s="55" t="s">
        <v>373</v>
      </c>
      <c r="E1626" s="74">
        <v>44525</v>
      </c>
      <c r="F1626" s="55" t="s">
        <v>344</v>
      </c>
      <c r="G1626" s="55" t="s">
        <v>360</v>
      </c>
      <c r="H1626" s="55" t="s">
        <v>360</v>
      </c>
      <c r="I1626" s="55" t="s">
        <v>360</v>
      </c>
      <c r="J1626" s="55" t="s">
        <v>360</v>
      </c>
      <c r="K1626" s="55" t="s">
        <v>360</v>
      </c>
      <c r="L1626" s="55" t="s">
        <v>360</v>
      </c>
      <c r="M1626" s="55" t="s">
        <v>138</v>
      </c>
      <c r="N1626" s="55" t="s">
        <v>138</v>
      </c>
      <c r="O1626" s="55" t="s">
        <v>196</v>
      </c>
      <c r="P1626" s="55" t="s">
        <v>1368</v>
      </c>
      <c r="Q1626" s="55" t="s">
        <v>350</v>
      </c>
      <c r="R1626" s="55">
        <v>5</v>
      </c>
      <c r="S1626" s="55"/>
      <c r="T1626" s="55" t="s">
        <v>997</v>
      </c>
    </row>
    <row r="1627" spans="1:20" ht="13" x14ac:dyDescent="0.15">
      <c r="A1627" s="72" t="str">
        <f t="shared" si="25"/>
        <v>Ofsted Social Care Provider Webpage</v>
      </c>
      <c r="B1627" s="55">
        <v>2661812</v>
      </c>
      <c r="D1627" s="55" t="s">
        <v>373</v>
      </c>
      <c r="E1627" s="74">
        <v>44502</v>
      </c>
      <c r="F1627" s="55" t="s">
        <v>344</v>
      </c>
      <c r="G1627" s="55" t="s">
        <v>360</v>
      </c>
      <c r="H1627" s="55" t="s">
        <v>360</v>
      </c>
      <c r="I1627" s="55" t="s">
        <v>360</v>
      </c>
      <c r="J1627" s="55" t="s">
        <v>360</v>
      </c>
      <c r="K1627" s="55" t="s">
        <v>360</v>
      </c>
      <c r="L1627" s="55" t="s">
        <v>360</v>
      </c>
      <c r="M1627" s="55" t="s">
        <v>138</v>
      </c>
      <c r="N1627" s="55" t="s">
        <v>138</v>
      </c>
      <c r="O1627" s="55" t="s">
        <v>183</v>
      </c>
      <c r="P1627" s="55" t="s">
        <v>576</v>
      </c>
      <c r="Q1627" s="55" t="s">
        <v>350</v>
      </c>
      <c r="R1627" s="55">
        <v>5</v>
      </c>
      <c r="S1627" s="55"/>
      <c r="T1627" s="55" t="s">
        <v>997</v>
      </c>
    </row>
    <row r="1628" spans="1:20" ht="13" x14ac:dyDescent="0.15">
      <c r="A1628" s="72" t="str">
        <f t="shared" si="25"/>
        <v>Ofsted Social Care Provider Webpage</v>
      </c>
      <c r="B1628" s="55">
        <v>2661954</v>
      </c>
      <c r="D1628" s="55" t="s">
        <v>389</v>
      </c>
      <c r="E1628" s="74">
        <v>44614</v>
      </c>
      <c r="F1628" s="55" t="s">
        <v>344</v>
      </c>
      <c r="G1628" s="55" t="s">
        <v>2312</v>
      </c>
      <c r="H1628" s="55" t="s">
        <v>2313</v>
      </c>
      <c r="I1628" s="55" t="s">
        <v>2314</v>
      </c>
      <c r="J1628" s="55" t="s">
        <v>1628</v>
      </c>
      <c r="L1628" s="55" t="s">
        <v>2315</v>
      </c>
      <c r="M1628" s="55" t="s">
        <v>172</v>
      </c>
      <c r="N1628" s="55" t="s">
        <v>172</v>
      </c>
      <c r="O1628" s="55" t="s">
        <v>235</v>
      </c>
      <c r="P1628" s="55" t="s">
        <v>855</v>
      </c>
      <c r="Q1628" s="55" t="s">
        <v>350</v>
      </c>
      <c r="R1628" s="55"/>
      <c r="S1628" s="55"/>
      <c r="T1628" s="55" t="s">
        <v>2316</v>
      </c>
    </row>
    <row r="1629" spans="1:20" ht="13" x14ac:dyDescent="0.15">
      <c r="A1629" s="72" t="str">
        <f t="shared" si="25"/>
        <v>Ofsted Social Care Provider Webpage</v>
      </c>
      <c r="B1629" s="55">
        <v>2661987</v>
      </c>
      <c r="D1629" s="55" t="s">
        <v>373</v>
      </c>
      <c r="E1629" s="74">
        <v>44603</v>
      </c>
      <c r="F1629" s="55" t="s">
        <v>344</v>
      </c>
      <c r="G1629" s="55" t="s">
        <v>360</v>
      </c>
      <c r="H1629" s="55" t="s">
        <v>360</v>
      </c>
      <c r="I1629" s="55" t="s">
        <v>360</v>
      </c>
      <c r="J1629" s="55" t="s">
        <v>360</v>
      </c>
      <c r="K1629" s="55" t="s">
        <v>360</v>
      </c>
      <c r="L1629" s="55" t="s">
        <v>360</v>
      </c>
      <c r="M1629" s="55" t="s">
        <v>138</v>
      </c>
      <c r="N1629" s="55" t="s">
        <v>138</v>
      </c>
      <c r="O1629" s="55" t="s">
        <v>183</v>
      </c>
      <c r="P1629" s="55" t="s">
        <v>2051</v>
      </c>
      <c r="Q1629" s="55" t="s">
        <v>350</v>
      </c>
      <c r="R1629" s="55">
        <v>12</v>
      </c>
      <c r="S1629" s="55"/>
      <c r="T1629" s="55" t="s">
        <v>1603</v>
      </c>
    </row>
    <row r="1630" spans="1:20" ht="13" x14ac:dyDescent="0.15">
      <c r="A1630" s="72" t="str">
        <f t="shared" si="25"/>
        <v>Ofsted Social Care Provider Webpage</v>
      </c>
      <c r="B1630" s="55">
        <v>2662095</v>
      </c>
      <c r="D1630" s="55" t="s">
        <v>373</v>
      </c>
      <c r="E1630" s="74">
        <v>44516</v>
      </c>
      <c r="F1630" s="55" t="s">
        <v>344</v>
      </c>
      <c r="G1630" s="55" t="s">
        <v>360</v>
      </c>
      <c r="H1630" s="55" t="s">
        <v>360</v>
      </c>
      <c r="I1630" s="55" t="s">
        <v>360</v>
      </c>
      <c r="J1630" s="55" t="s">
        <v>360</v>
      </c>
      <c r="K1630" s="55" t="s">
        <v>360</v>
      </c>
      <c r="L1630" s="55" t="s">
        <v>360</v>
      </c>
      <c r="M1630" s="55" t="s">
        <v>150</v>
      </c>
      <c r="N1630" s="55" t="s">
        <v>150</v>
      </c>
      <c r="O1630" s="55" t="s">
        <v>190</v>
      </c>
      <c r="P1630" s="55" t="s">
        <v>1703</v>
      </c>
      <c r="Q1630" s="55" t="s">
        <v>350</v>
      </c>
      <c r="R1630" s="55">
        <v>2</v>
      </c>
      <c r="S1630" s="55"/>
      <c r="T1630" s="55" t="s">
        <v>1011</v>
      </c>
    </row>
    <row r="1631" spans="1:20" ht="13" x14ac:dyDescent="0.15">
      <c r="A1631" s="72" t="str">
        <f t="shared" si="25"/>
        <v>Ofsted Social Care Provider Webpage</v>
      </c>
      <c r="B1631" s="55">
        <v>2662265</v>
      </c>
      <c r="D1631" s="55" t="s">
        <v>373</v>
      </c>
      <c r="E1631" s="74">
        <v>44525</v>
      </c>
      <c r="F1631" s="55" t="s">
        <v>344</v>
      </c>
      <c r="G1631" s="55" t="s">
        <v>360</v>
      </c>
      <c r="H1631" s="55" t="s">
        <v>360</v>
      </c>
      <c r="I1631" s="55" t="s">
        <v>360</v>
      </c>
      <c r="J1631" s="55" t="s">
        <v>360</v>
      </c>
      <c r="K1631" s="55" t="s">
        <v>360</v>
      </c>
      <c r="L1631" s="55" t="s">
        <v>360</v>
      </c>
      <c r="M1631" s="55" t="s">
        <v>378</v>
      </c>
      <c r="N1631" s="55" t="s">
        <v>134</v>
      </c>
      <c r="O1631" s="55" t="s">
        <v>246</v>
      </c>
      <c r="P1631" s="55" t="s">
        <v>685</v>
      </c>
      <c r="Q1631" s="55" t="s">
        <v>380</v>
      </c>
      <c r="R1631" s="55">
        <v>2</v>
      </c>
      <c r="S1631" s="55"/>
      <c r="T1631" s="55" t="s">
        <v>1916</v>
      </c>
    </row>
    <row r="1632" spans="1:20" ht="13" x14ac:dyDescent="0.15">
      <c r="A1632" s="72" t="str">
        <f t="shared" si="25"/>
        <v>Ofsted Social Care Provider Webpage</v>
      </c>
      <c r="B1632" s="55">
        <v>2662427</v>
      </c>
      <c r="D1632" s="55" t="s">
        <v>373</v>
      </c>
      <c r="E1632" s="74">
        <v>44579</v>
      </c>
      <c r="F1632" s="55" t="s">
        <v>344</v>
      </c>
      <c r="G1632" s="55" t="s">
        <v>360</v>
      </c>
      <c r="H1632" s="55" t="s">
        <v>360</v>
      </c>
      <c r="I1632" s="55" t="s">
        <v>360</v>
      </c>
      <c r="J1632" s="55" t="s">
        <v>360</v>
      </c>
      <c r="K1632" s="55" t="s">
        <v>360</v>
      </c>
      <c r="L1632" s="55" t="s">
        <v>360</v>
      </c>
      <c r="M1632" s="55" t="s">
        <v>172</v>
      </c>
      <c r="N1632" s="55" t="s">
        <v>172</v>
      </c>
      <c r="O1632" s="55" t="s">
        <v>212</v>
      </c>
      <c r="P1632" s="55" t="s">
        <v>883</v>
      </c>
      <c r="Q1632" s="55" t="s">
        <v>350</v>
      </c>
      <c r="R1632" s="55">
        <v>3</v>
      </c>
      <c r="S1632" s="55"/>
      <c r="T1632" s="55" t="s">
        <v>1357</v>
      </c>
    </row>
    <row r="1633" spans="1:20" ht="13" x14ac:dyDescent="0.15">
      <c r="A1633" s="72" t="str">
        <f t="shared" si="25"/>
        <v>Ofsted Social Care Provider Webpage</v>
      </c>
      <c r="B1633" s="55">
        <v>2662453</v>
      </c>
      <c r="D1633" s="55" t="s">
        <v>373</v>
      </c>
      <c r="E1633" s="74">
        <v>44580</v>
      </c>
      <c r="F1633" s="55" t="s">
        <v>344</v>
      </c>
      <c r="G1633" s="55" t="s">
        <v>360</v>
      </c>
      <c r="H1633" s="55" t="s">
        <v>360</v>
      </c>
      <c r="I1633" s="55" t="s">
        <v>360</v>
      </c>
      <c r="J1633" s="55" t="s">
        <v>360</v>
      </c>
      <c r="K1633" s="55" t="s">
        <v>360</v>
      </c>
      <c r="L1633" s="55" t="s">
        <v>360</v>
      </c>
      <c r="M1633" s="55" t="s">
        <v>129</v>
      </c>
      <c r="N1633" s="55" t="s">
        <v>129</v>
      </c>
      <c r="O1633" s="55" t="s">
        <v>128</v>
      </c>
      <c r="P1633" s="55" t="s">
        <v>1467</v>
      </c>
      <c r="Q1633" s="55" t="s">
        <v>350</v>
      </c>
      <c r="R1633" s="55">
        <v>5</v>
      </c>
      <c r="S1633" s="55"/>
      <c r="T1633" s="55" t="s">
        <v>2317</v>
      </c>
    </row>
    <row r="1634" spans="1:20" ht="13" x14ac:dyDescent="0.15">
      <c r="A1634" s="72" t="str">
        <f t="shared" si="25"/>
        <v>Ofsted Social Care Provider Webpage</v>
      </c>
      <c r="B1634" s="55">
        <v>2662751</v>
      </c>
      <c r="D1634" s="55" t="s">
        <v>373</v>
      </c>
      <c r="E1634" s="74">
        <v>44592</v>
      </c>
      <c r="F1634" s="55" t="s">
        <v>344</v>
      </c>
      <c r="G1634" s="55" t="s">
        <v>360</v>
      </c>
      <c r="H1634" s="55" t="s">
        <v>360</v>
      </c>
      <c r="I1634" s="55" t="s">
        <v>360</v>
      </c>
      <c r="J1634" s="55" t="s">
        <v>360</v>
      </c>
      <c r="K1634" s="55" t="s">
        <v>360</v>
      </c>
      <c r="L1634" s="55" t="s">
        <v>360</v>
      </c>
      <c r="M1634" s="55" t="s">
        <v>144</v>
      </c>
      <c r="N1634" s="55" t="s">
        <v>144</v>
      </c>
      <c r="O1634" s="55" t="s">
        <v>209</v>
      </c>
      <c r="P1634" s="55" t="s">
        <v>555</v>
      </c>
      <c r="Q1634" s="55" t="s">
        <v>350</v>
      </c>
      <c r="R1634" s="55">
        <v>1</v>
      </c>
      <c r="S1634" s="55"/>
      <c r="T1634" s="55" t="s">
        <v>1486</v>
      </c>
    </row>
    <row r="1635" spans="1:20" ht="13" x14ac:dyDescent="0.15">
      <c r="A1635" s="72" t="str">
        <f t="shared" si="25"/>
        <v>Ofsted Social Care Provider Webpage</v>
      </c>
      <c r="B1635" s="55">
        <v>2662813</v>
      </c>
      <c r="D1635" s="55" t="s">
        <v>373</v>
      </c>
      <c r="E1635" s="74">
        <v>44568</v>
      </c>
      <c r="F1635" s="55" t="s">
        <v>344</v>
      </c>
      <c r="G1635" s="55" t="s">
        <v>360</v>
      </c>
      <c r="H1635" s="55" t="s">
        <v>360</v>
      </c>
      <c r="I1635" s="55" t="s">
        <v>360</v>
      </c>
      <c r="J1635" s="55" t="s">
        <v>360</v>
      </c>
      <c r="K1635" s="55" t="s">
        <v>360</v>
      </c>
      <c r="L1635" s="55" t="s">
        <v>360</v>
      </c>
      <c r="M1635" s="55" t="s">
        <v>144</v>
      </c>
      <c r="N1635" s="55" t="s">
        <v>144</v>
      </c>
      <c r="O1635" s="55" t="s">
        <v>261</v>
      </c>
      <c r="P1635" s="55" t="s">
        <v>792</v>
      </c>
      <c r="Q1635" s="55" t="s">
        <v>350</v>
      </c>
      <c r="R1635" s="55">
        <v>1</v>
      </c>
      <c r="S1635" s="55"/>
      <c r="T1635" s="55" t="s">
        <v>385</v>
      </c>
    </row>
    <row r="1636" spans="1:20" ht="13" x14ac:dyDescent="0.15">
      <c r="A1636" s="72" t="str">
        <f t="shared" si="25"/>
        <v>Ofsted Social Care Provider Webpage</v>
      </c>
      <c r="B1636" s="55">
        <v>2662847</v>
      </c>
      <c r="D1636" s="55" t="s">
        <v>373</v>
      </c>
      <c r="E1636" s="74">
        <v>44554</v>
      </c>
      <c r="F1636" s="55" t="s">
        <v>344</v>
      </c>
      <c r="G1636" s="55" t="s">
        <v>360</v>
      </c>
      <c r="H1636" s="55" t="s">
        <v>360</v>
      </c>
      <c r="I1636" s="55" t="s">
        <v>360</v>
      </c>
      <c r="J1636" s="55" t="s">
        <v>360</v>
      </c>
      <c r="K1636" s="55" t="s">
        <v>360</v>
      </c>
      <c r="L1636" s="55" t="s">
        <v>360</v>
      </c>
      <c r="M1636" s="55" t="s">
        <v>144</v>
      </c>
      <c r="N1636" s="55" t="s">
        <v>144</v>
      </c>
      <c r="O1636" s="55" t="s">
        <v>261</v>
      </c>
      <c r="P1636" s="55" t="s">
        <v>512</v>
      </c>
      <c r="Q1636" s="55" t="s">
        <v>350</v>
      </c>
      <c r="R1636" s="55">
        <v>1</v>
      </c>
      <c r="S1636" s="55"/>
      <c r="T1636" s="55" t="s">
        <v>385</v>
      </c>
    </row>
    <row r="1637" spans="1:20" ht="13" x14ac:dyDescent="0.15">
      <c r="A1637" s="72" t="str">
        <f t="shared" si="25"/>
        <v>Ofsted Social Care Provider Webpage</v>
      </c>
      <c r="B1637" s="55">
        <v>2662998</v>
      </c>
      <c r="D1637" s="55" t="s">
        <v>373</v>
      </c>
      <c r="E1637" s="74">
        <v>44644</v>
      </c>
      <c r="F1637" s="55" t="s">
        <v>344</v>
      </c>
      <c r="G1637" s="55" t="s">
        <v>360</v>
      </c>
      <c r="H1637" s="55" t="s">
        <v>360</v>
      </c>
      <c r="I1637" s="55" t="s">
        <v>360</v>
      </c>
      <c r="J1637" s="55" t="s">
        <v>360</v>
      </c>
      <c r="K1637" s="55" t="s">
        <v>360</v>
      </c>
      <c r="L1637" s="55" t="s">
        <v>360</v>
      </c>
      <c r="M1637" s="55" t="s">
        <v>136</v>
      </c>
      <c r="N1637" s="55" t="s">
        <v>136</v>
      </c>
      <c r="O1637" s="55" t="s">
        <v>165</v>
      </c>
      <c r="P1637" s="55" t="s">
        <v>2318</v>
      </c>
      <c r="Q1637" s="55" t="s">
        <v>350</v>
      </c>
      <c r="R1637" s="55">
        <v>3</v>
      </c>
      <c r="S1637" s="55"/>
      <c r="T1637" s="55" t="s">
        <v>2319</v>
      </c>
    </row>
    <row r="1638" spans="1:20" ht="13" x14ac:dyDescent="0.15">
      <c r="A1638" s="72" t="str">
        <f t="shared" si="25"/>
        <v>Ofsted Social Care Provider Webpage</v>
      </c>
      <c r="B1638" s="55">
        <v>2663174</v>
      </c>
      <c r="D1638" s="55" t="s">
        <v>373</v>
      </c>
      <c r="E1638" s="74">
        <v>44629</v>
      </c>
      <c r="F1638" s="55" t="s">
        <v>344</v>
      </c>
      <c r="G1638" s="55" t="s">
        <v>360</v>
      </c>
      <c r="H1638" s="55" t="s">
        <v>360</v>
      </c>
      <c r="I1638" s="55" t="s">
        <v>360</v>
      </c>
      <c r="J1638" s="55" t="s">
        <v>360</v>
      </c>
      <c r="K1638" s="55" t="s">
        <v>360</v>
      </c>
      <c r="L1638" s="55" t="s">
        <v>360</v>
      </c>
      <c r="M1638" s="55" t="s">
        <v>378</v>
      </c>
      <c r="N1638" s="55" t="s">
        <v>134</v>
      </c>
      <c r="O1638" s="55" t="s">
        <v>294</v>
      </c>
      <c r="P1638" s="55" t="s">
        <v>2320</v>
      </c>
      <c r="Q1638" s="55" t="s">
        <v>350</v>
      </c>
      <c r="R1638" s="55">
        <v>3</v>
      </c>
      <c r="S1638" s="55"/>
      <c r="T1638" s="55" t="s">
        <v>493</v>
      </c>
    </row>
    <row r="1639" spans="1:20" ht="13" x14ac:dyDescent="0.15">
      <c r="A1639" s="72" t="str">
        <f t="shared" si="25"/>
        <v>Ofsted Social Care Provider Webpage</v>
      </c>
      <c r="B1639" s="55">
        <v>2663221</v>
      </c>
      <c r="D1639" s="55" t="s">
        <v>373</v>
      </c>
      <c r="E1639" s="74">
        <v>44592</v>
      </c>
      <c r="F1639" s="55" t="s">
        <v>344</v>
      </c>
      <c r="G1639" s="55" t="s">
        <v>360</v>
      </c>
      <c r="H1639" s="55" t="s">
        <v>360</v>
      </c>
      <c r="I1639" s="55" t="s">
        <v>360</v>
      </c>
      <c r="J1639" s="55" t="s">
        <v>360</v>
      </c>
      <c r="K1639" s="55" t="s">
        <v>360</v>
      </c>
      <c r="L1639" s="55" t="s">
        <v>360</v>
      </c>
      <c r="M1639" s="55" t="s">
        <v>144</v>
      </c>
      <c r="N1639" s="55" t="s">
        <v>144</v>
      </c>
      <c r="O1639" s="55" t="s">
        <v>209</v>
      </c>
      <c r="P1639" s="55" t="s">
        <v>555</v>
      </c>
      <c r="Q1639" s="55" t="s">
        <v>350</v>
      </c>
      <c r="R1639" s="55">
        <v>2</v>
      </c>
      <c r="S1639" s="55"/>
      <c r="T1639" s="55" t="s">
        <v>1486</v>
      </c>
    </row>
    <row r="1640" spans="1:20" ht="13" x14ac:dyDescent="0.15">
      <c r="A1640" s="72" t="str">
        <f t="shared" si="25"/>
        <v>Ofsted Social Care Provider Webpage</v>
      </c>
      <c r="B1640" s="55">
        <v>2663770</v>
      </c>
      <c r="D1640" s="55" t="s">
        <v>373</v>
      </c>
      <c r="E1640" s="74">
        <v>44586</v>
      </c>
      <c r="F1640" s="55" t="s">
        <v>344</v>
      </c>
      <c r="G1640" s="55" t="s">
        <v>360</v>
      </c>
      <c r="H1640" s="55" t="s">
        <v>360</v>
      </c>
      <c r="I1640" s="55" t="s">
        <v>360</v>
      </c>
      <c r="J1640" s="55" t="s">
        <v>360</v>
      </c>
      <c r="K1640" s="55" t="s">
        <v>360</v>
      </c>
      <c r="L1640" s="55" t="s">
        <v>360</v>
      </c>
      <c r="M1640" s="55" t="s">
        <v>144</v>
      </c>
      <c r="N1640" s="55" t="s">
        <v>144</v>
      </c>
      <c r="O1640" s="55" t="s">
        <v>157</v>
      </c>
      <c r="P1640" s="55" t="s">
        <v>1092</v>
      </c>
      <c r="Q1640" s="55" t="s">
        <v>350</v>
      </c>
      <c r="R1640" s="55">
        <v>3</v>
      </c>
      <c r="S1640" s="55"/>
      <c r="T1640" s="55" t="s">
        <v>1926</v>
      </c>
    </row>
    <row r="1641" spans="1:20" ht="13" x14ac:dyDescent="0.15">
      <c r="A1641" s="72" t="str">
        <f t="shared" si="25"/>
        <v>Ofsted Social Care Provider Webpage</v>
      </c>
      <c r="B1641" s="55">
        <v>2663781</v>
      </c>
      <c r="D1641" s="55" t="s">
        <v>373</v>
      </c>
      <c r="E1641" s="74">
        <v>44559</v>
      </c>
      <c r="F1641" s="55" t="s">
        <v>344</v>
      </c>
      <c r="G1641" s="55" t="s">
        <v>360</v>
      </c>
      <c r="H1641" s="55" t="s">
        <v>360</v>
      </c>
      <c r="I1641" s="55" t="s">
        <v>360</v>
      </c>
      <c r="J1641" s="55" t="s">
        <v>360</v>
      </c>
      <c r="K1641" s="55" t="s">
        <v>360</v>
      </c>
      <c r="L1641" s="55" t="s">
        <v>360</v>
      </c>
      <c r="M1641" s="55" t="s">
        <v>150</v>
      </c>
      <c r="N1641" s="55" t="s">
        <v>150</v>
      </c>
      <c r="O1641" s="55" t="s">
        <v>237</v>
      </c>
      <c r="P1641" s="55" t="s">
        <v>404</v>
      </c>
      <c r="Q1641" s="55" t="s">
        <v>350</v>
      </c>
      <c r="R1641" s="55">
        <v>3</v>
      </c>
      <c r="S1641" s="55"/>
      <c r="T1641" s="55" t="s">
        <v>2321</v>
      </c>
    </row>
    <row r="1642" spans="1:20" ht="13" x14ac:dyDescent="0.15">
      <c r="A1642" s="72" t="str">
        <f t="shared" si="25"/>
        <v>Ofsted Social Care Provider Webpage</v>
      </c>
      <c r="B1642" s="55">
        <v>2664175</v>
      </c>
      <c r="D1642" s="55" t="s">
        <v>373</v>
      </c>
      <c r="E1642" s="74">
        <v>44547</v>
      </c>
      <c r="F1642" s="55" t="s">
        <v>344</v>
      </c>
      <c r="G1642" s="55" t="s">
        <v>360</v>
      </c>
      <c r="H1642" s="55" t="s">
        <v>360</v>
      </c>
      <c r="I1642" s="55" t="s">
        <v>360</v>
      </c>
      <c r="J1642" s="55" t="s">
        <v>360</v>
      </c>
      <c r="K1642" s="55" t="s">
        <v>360</v>
      </c>
      <c r="L1642" s="55" t="s">
        <v>360</v>
      </c>
      <c r="M1642" s="55" t="s">
        <v>129</v>
      </c>
      <c r="N1642" s="55" t="s">
        <v>129</v>
      </c>
      <c r="O1642" s="55" t="s">
        <v>128</v>
      </c>
      <c r="P1642" s="55" t="s">
        <v>1201</v>
      </c>
      <c r="Q1642" s="55" t="s">
        <v>350</v>
      </c>
      <c r="R1642" s="55">
        <v>3</v>
      </c>
      <c r="S1642" s="55"/>
      <c r="T1642" s="55" t="s">
        <v>2322</v>
      </c>
    </row>
    <row r="1643" spans="1:20" ht="13" x14ac:dyDescent="0.15">
      <c r="A1643" s="72" t="str">
        <f t="shared" si="25"/>
        <v>Ofsted Social Care Provider Webpage</v>
      </c>
      <c r="B1643" s="55">
        <v>2664249</v>
      </c>
      <c r="D1643" s="55" t="s">
        <v>373</v>
      </c>
      <c r="E1643" s="74">
        <v>44551</v>
      </c>
      <c r="F1643" s="55" t="s">
        <v>344</v>
      </c>
      <c r="G1643" s="55" t="s">
        <v>360</v>
      </c>
      <c r="H1643" s="55" t="s">
        <v>360</v>
      </c>
      <c r="I1643" s="55" t="s">
        <v>360</v>
      </c>
      <c r="J1643" s="55" t="s">
        <v>360</v>
      </c>
      <c r="K1643" s="55" t="s">
        <v>360</v>
      </c>
      <c r="L1643" s="55" t="s">
        <v>360</v>
      </c>
      <c r="M1643" s="55" t="s">
        <v>150</v>
      </c>
      <c r="N1643" s="55" t="s">
        <v>150</v>
      </c>
      <c r="O1643" s="55" t="s">
        <v>181</v>
      </c>
      <c r="P1643" s="55" t="s">
        <v>2323</v>
      </c>
      <c r="Q1643" s="55" t="s">
        <v>350</v>
      </c>
      <c r="R1643" s="55">
        <v>2</v>
      </c>
      <c r="S1643" s="55"/>
      <c r="T1643" s="55" t="s">
        <v>2324</v>
      </c>
    </row>
    <row r="1644" spans="1:20" ht="13" x14ac:dyDescent="0.15">
      <c r="A1644" s="72" t="str">
        <f t="shared" si="25"/>
        <v>Ofsted Social Care Provider Webpage</v>
      </c>
      <c r="B1644" s="55">
        <v>2664326</v>
      </c>
      <c r="D1644" s="55" t="s">
        <v>373</v>
      </c>
      <c r="E1644" s="74">
        <v>44547</v>
      </c>
      <c r="F1644" s="55" t="s">
        <v>344</v>
      </c>
      <c r="G1644" s="55" t="s">
        <v>360</v>
      </c>
      <c r="H1644" s="55" t="s">
        <v>360</v>
      </c>
      <c r="I1644" s="55" t="s">
        <v>360</v>
      </c>
      <c r="J1644" s="55" t="s">
        <v>360</v>
      </c>
      <c r="K1644" s="55" t="s">
        <v>360</v>
      </c>
      <c r="L1644" s="55" t="s">
        <v>360</v>
      </c>
      <c r="M1644" s="55" t="s">
        <v>378</v>
      </c>
      <c r="N1644" s="55" t="s">
        <v>134</v>
      </c>
      <c r="O1644" s="55" t="s">
        <v>206</v>
      </c>
      <c r="P1644" s="55" t="s">
        <v>1655</v>
      </c>
      <c r="Q1644" s="55" t="s">
        <v>350</v>
      </c>
      <c r="R1644" s="55">
        <v>3</v>
      </c>
      <c r="S1644" s="55"/>
      <c r="T1644" s="55" t="s">
        <v>1723</v>
      </c>
    </row>
    <row r="1645" spans="1:20" ht="13" x14ac:dyDescent="0.15">
      <c r="A1645" s="72" t="str">
        <f t="shared" si="25"/>
        <v>Ofsted Social Care Provider Webpage</v>
      </c>
      <c r="B1645" s="55">
        <v>2664647</v>
      </c>
      <c r="D1645" s="55" t="s">
        <v>443</v>
      </c>
      <c r="E1645" s="74">
        <v>44645</v>
      </c>
      <c r="F1645" s="55" t="s">
        <v>344</v>
      </c>
      <c r="G1645" s="55" t="s">
        <v>2325</v>
      </c>
      <c r="H1645" s="55" t="s">
        <v>2326</v>
      </c>
      <c r="I1645" s="55" t="s">
        <v>2327</v>
      </c>
      <c r="J1645" s="55" t="s">
        <v>2328</v>
      </c>
      <c r="L1645" s="55" t="s">
        <v>2329</v>
      </c>
      <c r="M1645" s="55" t="s">
        <v>138</v>
      </c>
      <c r="N1645" s="55" t="s">
        <v>138</v>
      </c>
      <c r="O1645" s="55" t="s">
        <v>183</v>
      </c>
      <c r="P1645" s="55" t="s">
        <v>510</v>
      </c>
      <c r="Q1645" s="55" t="s">
        <v>350</v>
      </c>
      <c r="R1645" s="55"/>
      <c r="S1645" s="55"/>
      <c r="T1645" s="55" t="s">
        <v>2325</v>
      </c>
    </row>
    <row r="1646" spans="1:20" ht="13" x14ac:dyDescent="0.15">
      <c r="A1646" s="72" t="str">
        <f t="shared" si="25"/>
        <v>Ofsted Social Care Provider Webpage</v>
      </c>
      <c r="B1646" s="55">
        <v>2664826</v>
      </c>
      <c r="D1646" s="55" t="s">
        <v>373</v>
      </c>
      <c r="E1646" s="74">
        <v>44622</v>
      </c>
      <c r="F1646" s="55" t="s">
        <v>344</v>
      </c>
      <c r="G1646" s="55" t="s">
        <v>360</v>
      </c>
      <c r="H1646" s="55" t="s">
        <v>360</v>
      </c>
      <c r="I1646" s="55" t="s">
        <v>360</v>
      </c>
      <c r="J1646" s="55" t="s">
        <v>360</v>
      </c>
      <c r="K1646" s="55" t="s">
        <v>360</v>
      </c>
      <c r="L1646" s="55" t="s">
        <v>360</v>
      </c>
      <c r="M1646" s="55" t="s">
        <v>144</v>
      </c>
      <c r="N1646" s="55" t="s">
        <v>144</v>
      </c>
      <c r="O1646" s="55" t="s">
        <v>217</v>
      </c>
      <c r="P1646" s="55" t="s">
        <v>2330</v>
      </c>
      <c r="Q1646" s="55" t="s">
        <v>350</v>
      </c>
      <c r="R1646" s="55">
        <v>4</v>
      </c>
      <c r="S1646" s="55"/>
      <c r="T1646" s="55" t="s">
        <v>1373</v>
      </c>
    </row>
    <row r="1647" spans="1:20" ht="13" x14ac:dyDescent="0.15">
      <c r="A1647" s="72" t="str">
        <f t="shared" si="25"/>
        <v>Ofsted Social Care Provider Webpage</v>
      </c>
      <c r="B1647" s="55">
        <v>2664861</v>
      </c>
      <c r="D1647" s="55" t="s">
        <v>373</v>
      </c>
      <c r="E1647" s="74">
        <v>44634</v>
      </c>
      <c r="F1647" s="55" t="s">
        <v>344</v>
      </c>
      <c r="G1647" s="55" t="s">
        <v>360</v>
      </c>
      <c r="H1647" s="55" t="s">
        <v>360</v>
      </c>
      <c r="I1647" s="55" t="s">
        <v>360</v>
      </c>
      <c r="J1647" s="55" t="s">
        <v>360</v>
      </c>
      <c r="K1647" s="55" t="s">
        <v>360</v>
      </c>
      <c r="L1647" s="55" t="s">
        <v>360</v>
      </c>
      <c r="M1647" s="55" t="s">
        <v>129</v>
      </c>
      <c r="N1647" s="55" t="s">
        <v>129</v>
      </c>
      <c r="O1647" s="55" t="s">
        <v>242</v>
      </c>
      <c r="P1647" s="55" t="s">
        <v>1519</v>
      </c>
      <c r="Q1647" s="55" t="s">
        <v>350</v>
      </c>
      <c r="R1647" s="55">
        <v>5</v>
      </c>
      <c r="S1647" s="55"/>
      <c r="T1647" s="55" t="s">
        <v>2331</v>
      </c>
    </row>
    <row r="1648" spans="1:20" ht="13" x14ac:dyDescent="0.15">
      <c r="A1648" s="72" t="str">
        <f t="shared" si="25"/>
        <v>Ofsted Social Care Provider Webpage</v>
      </c>
      <c r="B1648" s="55">
        <v>2664883</v>
      </c>
      <c r="D1648" s="55" t="s">
        <v>373</v>
      </c>
      <c r="E1648" s="74">
        <v>44582</v>
      </c>
      <c r="F1648" s="55" t="s">
        <v>344</v>
      </c>
      <c r="G1648" s="55" t="s">
        <v>360</v>
      </c>
      <c r="H1648" s="55" t="s">
        <v>360</v>
      </c>
      <c r="I1648" s="55" t="s">
        <v>360</v>
      </c>
      <c r="J1648" s="55" t="s">
        <v>360</v>
      </c>
      <c r="K1648" s="55" t="s">
        <v>360</v>
      </c>
      <c r="L1648" s="55" t="s">
        <v>360</v>
      </c>
      <c r="M1648" s="55" t="s">
        <v>378</v>
      </c>
      <c r="N1648" s="55" t="s">
        <v>134</v>
      </c>
      <c r="O1648" s="55" t="s">
        <v>204</v>
      </c>
      <c r="P1648" s="55" t="s">
        <v>1478</v>
      </c>
      <c r="Q1648" s="55" t="s">
        <v>380</v>
      </c>
      <c r="R1648" s="55">
        <v>1</v>
      </c>
      <c r="S1648" s="55"/>
      <c r="T1648" s="55" t="s">
        <v>1479</v>
      </c>
    </row>
    <row r="1649" spans="1:20" ht="13" x14ac:dyDescent="0.15">
      <c r="A1649" s="72" t="str">
        <f t="shared" si="25"/>
        <v>Ofsted Social Care Provider Webpage</v>
      </c>
      <c r="B1649" s="55">
        <v>2665004</v>
      </c>
      <c r="D1649" s="55" t="s">
        <v>389</v>
      </c>
      <c r="E1649" s="74">
        <v>44582</v>
      </c>
      <c r="F1649" s="55" t="s">
        <v>344</v>
      </c>
      <c r="G1649" s="55" t="s">
        <v>2332</v>
      </c>
      <c r="H1649" s="55" t="s">
        <v>2333</v>
      </c>
      <c r="I1649" s="55" t="s">
        <v>2334</v>
      </c>
      <c r="J1649" s="55" t="s">
        <v>2335</v>
      </c>
      <c r="L1649" s="55" t="s">
        <v>2336</v>
      </c>
      <c r="M1649" s="55" t="s">
        <v>138</v>
      </c>
      <c r="N1649" s="55" t="s">
        <v>138</v>
      </c>
      <c r="O1649" s="55" t="s">
        <v>224</v>
      </c>
      <c r="P1649" s="55" t="s">
        <v>374</v>
      </c>
      <c r="Q1649" s="55" t="s">
        <v>350</v>
      </c>
      <c r="R1649" s="55"/>
      <c r="S1649" s="55"/>
      <c r="T1649" s="55" t="s">
        <v>2337</v>
      </c>
    </row>
    <row r="1650" spans="1:20" ht="13" x14ac:dyDescent="0.15">
      <c r="A1650" s="72" t="str">
        <f t="shared" si="25"/>
        <v>Ofsted Social Care Provider Webpage</v>
      </c>
      <c r="B1650" s="55">
        <v>2665204</v>
      </c>
      <c r="D1650" s="55" t="s">
        <v>373</v>
      </c>
      <c r="E1650" s="74">
        <v>44574</v>
      </c>
      <c r="F1650" s="55" t="s">
        <v>344</v>
      </c>
      <c r="G1650" s="55" t="s">
        <v>360</v>
      </c>
      <c r="H1650" s="55" t="s">
        <v>360</v>
      </c>
      <c r="I1650" s="55" t="s">
        <v>360</v>
      </c>
      <c r="J1650" s="55" t="s">
        <v>360</v>
      </c>
      <c r="K1650" s="55" t="s">
        <v>360</v>
      </c>
      <c r="L1650" s="55" t="s">
        <v>360</v>
      </c>
      <c r="M1650" s="55" t="s">
        <v>172</v>
      </c>
      <c r="N1650" s="55" t="s">
        <v>172</v>
      </c>
      <c r="O1650" s="55" t="s">
        <v>235</v>
      </c>
      <c r="P1650" s="55" t="s">
        <v>2338</v>
      </c>
      <c r="Q1650" s="55" t="s">
        <v>350</v>
      </c>
      <c r="R1650" s="55">
        <v>4</v>
      </c>
      <c r="S1650" s="55"/>
      <c r="T1650" s="55" t="s">
        <v>2339</v>
      </c>
    </row>
    <row r="1651" spans="1:20" ht="13" x14ac:dyDescent="0.15">
      <c r="A1651" s="72" t="str">
        <f t="shared" si="25"/>
        <v>Ofsted Social Care Provider Webpage</v>
      </c>
      <c r="B1651" s="55">
        <v>2665747</v>
      </c>
      <c r="D1651" s="55" t="s">
        <v>373</v>
      </c>
      <c r="E1651" s="74">
        <v>44593</v>
      </c>
      <c r="F1651" s="55" t="s">
        <v>344</v>
      </c>
      <c r="G1651" s="55" t="s">
        <v>360</v>
      </c>
      <c r="H1651" s="55" t="s">
        <v>360</v>
      </c>
      <c r="I1651" s="55" t="s">
        <v>360</v>
      </c>
      <c r="J1651" s="55" t="s">
        <v>360</v>
      </c>
      <c r="K1651" s="55" t="s">
        <v>360</v>
      </c>
      <c r="L1651" s="55" t="s">
        <v>360</v>
      </c>
      <c r="M1651" s="55" t="s">
        <v>144</v>
      </c>
      <c r="N1651" s="55" t="s">
        <v>144</v>
      </c>
      <c r="O1651" s="55" t="s">
        <v>209</v>
      </c>
      <c r="P1651" s="55" t="s">
        <v>544</v>
      </c>
      <c r="Q1651" s="55" t="s">
        <v>350</v>
      </c>
      <c r="R1651" s="55">
        <v>2</v>
      </c>
      <c r="S1651" s="55"/>
      <c r="T1651" s="55" t="s">
        <v>1482</v>
      </c>
    </row>
    <row r="1652" spans="1:20" ht="13" x14ac:dyDescent="0.15">
      <c r="A1652" s="72" t="str">
        <f t="shared" si="25"/>
        <v>Ofsted Social Care Provider Webpage</v>
      </c>
      <c r="B1652" s="55">
        <v>2665860</v>
      </c>
      <c r="D1652" s="55" t="s">
        <v>373</v>
      </c>
      <c r="E1652" s="74">
        <v>44543</v>
      </c>
      <c r="F1652" s="55" t="s">
        <v>344</v>
      </c>
      <c r="G1652" s="55" t="s">
        <v>360</v>
      </c>
      <c r="H1652" s="55" t="s">
        <v>360</v>
      </c>
      <c r="I1652" s="55" t="s">
        <v>360</v>
      </c>
      <c r="J1652" s="55" t="s">
        <v>360</v>
      </c>
      <c r="K1652" s="55" t="s">
        <v>360</v>
      </c>
      <c r="L1652" s="55" t="s">
        <v>360</v>
      </c>
      <c r="M1652" s="55" t="s">
        <v>138</v>
      </c>
      <c r="N1652" s="55" t="s">
        <v>138</v>
      </c>
      <c r="O1652" s="55" t="s">
        <v>266</v>
      </c>
      <c r="P1652" s="55" t="s">
        <v>449</v>
      </c>
      <c r="Q1652" s="55" t="s">
        <v>350</v>
      </c>
      <c r="R1652" s="55">
        <v>3</v>
      </c>
      <c r="S1652" s="55"/>
      <c r="T1652" s="55" t="s">
        <v>2340</v>
      </c>
    </row>
    <row r="1653" spans="1:20" ht="13" x14ac:dyDescent="0.15">
      <c r="A1653" s="72" t="str">
        <f t="shared" si="25"/>
        <v>Ofsted Social Care Provider Webpage</v>
      </c>
      <c r="B1653" s="55">
        <v>2666309</v>
      </c>
      <c r="D1653" s="55" t="s">
        <v>373</v>
      </c>
      <c r="E1653" s="74">
        <v>44537</v>
      </c>
      <c r="F1653" s="55" t="s">
        <v>344</v>
      </c>
      <c r="G1653" s="55" t="s">
        <v>360</v>
      </c>
      <c r="H1653" s="55" t="s">
        <v>360</v>
      </c>
      <c r="I1653" s="55" t="s">
        <v>360</v>
      </c>
      <c r="J1653" s="55" t="s">
        <v>360</v>
      </c>
      <c r="K1653" s="55" t="s">
        <v>360</v>
      </c>
      <c r="L1653" s="55" t="s">
        <v>360</v>
      </c>
      <c r="M1653" s="55" t="s">
        <v>150</v>
      </c>
      <c r="N1653" s="55" t="s">
        <v>150</v>
      </c>
      <c r="O1653" s="55" t="s">
        <v>181</v>
      </c>
      <c r="P1653" s="55" t="s">
        <v>937</v>
      </c>
      <c r="Q1653" s="55" t="s">
        <v>350</v>
      </c>
      <c r="R1653" s="55">
        <v>4</v>
      </c>
      <c r="S1653" s="55"/>
      <c r="T1653" s="55" t="s">
        <v>2341</v>
      </c>
    </row>
    <row r="1654" spans="1:20" ht="13" x14ac:dyDescent="0.15">
      <c r="A1654" s="72" t="str">
        <f t="shared" si="25"/>
        <v>Ofsted Social Care Provider Webpage</v>
      </c>
      <c r="B1654" s="55">
        <v>2666995</v>
      </c>
      <c r="D1654" s="55" t="s">
        <v>373</v>
      </c>
      <c r="E1654" s="74">
        <v>44518</v>
      </c>
      <c r="F1654" s="55" t="s">
        <v>344</v>
      </c>
      <c r="G1654" s="55" t="s">
        <v>360</v>
      </c>
      <c r="H1654" s="55" t="s">
        <v>360</v>
      </c>
      <c r="I1654" s="55" t="s">
        <v>360</v>
      </c>
      <c r="J1654" s="55" t="s">
        <v>360</v>
      </c>
      <c r="K1654" s="55" t="s">
        <v>360</v>
      </c>
      <c r="L1654" s="55" t="s">
        <v>360</v>
      </c>
      <c r="M1654" s="55" t="s">
        <v>150</v>
      </c>
      <c r="N1654" s="55" t="s">
        <v>150</v>
      </c>
      <c r="O1654" s="55" t="s">
        <v>190</v>
      </c>
      <c r="P1654" s="55" t="s">
        <v>749</v>
      </c>
      <c r="Q1654" s="55" t="s">
        <v>350</v>
      </c>
      <c r="R1654" s="55">
        <v>5</v>
      </c>
      <c r="S1654" s="55"/>
      <c r="T1654" s="55" t="s">
        <v>1524</v>
      </c>
    </row>
    <row r="1655" spans="1:20" ht="13" x14ac:dyDescent="0.15">
      <c r="A1655" s="72" t="str">
        <f t="shared" si="25"/>
        <v>Ofsted Social Care Provider Webpage</v>
      </c>
      <c r="B1655" s="55">
        <v>2667363</v>
      </c>
      <c r="D1655" s="55" t="s">
        <v>373</v>
      </c>
      <c r="E1655" s="74">
        <v>44539</v>
      </c>
      <c r="F1655" s="55" t="s">
        <v>344</v>
      </c>
      <c r="G1655" s="55" t="s">
        <v>360</v>
      </c>
      <c r="H1655" s="55" t="s">
        <v>360</v>
      </c>
      <c r="I1655" s="55" t="s">
        <v>360</v>
      </c>
      <c r="J1655" s="55" t="s">
        <v>360</v>
      </c>
      <c r="K1655" s="55" t="s">
        <v>360</v>
      </c>
      <c r="L1655" s="55" t="s">
        <v>360</v>
      </c>
      <c r="M1655" s="55" t="s">
        <v>378</v>
      </c>
      <c r="N1655" s="55" t="s">
        <v>134</v>
      </c>
      <c r="O1655" s="55" t="s">
        <v>294</v>
      </c>
      <c r="P1655" s="55" t="s">
        <v>1983</v>
      </c>
      <c r="Q1655" s="55" t="s">
        <v>380</v>
      </c>
      <c r="R1655" s="55">
        <v>1</v>
      </c>
      <c r="S1655" s="55"/>
      <c r="T1655" s="55" t="s">
        <v>1984</v>
      </c>
    </row>
    <row r="1656" spans="1:20" ht="13" x14ac:dyDescent="0.15">
      <c r="A1656" s="72" t="str">
        <f t="shared" si="25"/>
        <v>Ofsted Social Care Provider Webpage</v>
      </c>
      <c r="B1656" s="55">
        <v>2667401</v>
      </c>
      <c r="D1656" s="55" t="s">
        <v>373</v>
      </c>
      <c r="E1656" s="74">
        <v>44613</v>
      </c>
      <c r="F1656" s="55" t="s">
        <v>344</v>
      </c>
      <c r="G1656" s="55" t="s">
        <v>360</v>
      </c>
      <c r="H1656" s="55" t="s">
        <v>360</v>
      </c>
      <c r="I1656" s="55" t="s">
        <v>360</v>
      </c>
      <c r="J1656" s="55" t="s">
        <v>360</v>
      </c>
      <c r="K1656" s="55" t="s">
        <v>360</v>
      </c>
      <c r="L1656" s="55" t="s">
        <v>360</v>
      </c>
      <c r="M1656" s="55" t="s">
        <v>142</v>
      </c>
      <c r="N1656" s="55" t="s">
        <v>142</v>
      </c>
      <c r="O1656" s="55" t="s">
        <v>252</v>
      </c>
      <c r="P1656" s="55" t="s">
        <v>386</v>
      </c>
      <c r="Q1656" s="55" t="s">
        <v>350</v>
      </c>
      <c r="R1656" s="55">
        <v>4</v>
      </c>
      <c r="S1656" s="55"/>
      <c r="T1656" s="55" t="s">
        <v>2342</v>
      </c>
    </row>
    <row r="1657" spans="1:20" ht="13" x14ac:dyDescent="0.15">
      <c r="A1657" s="72" t="str">
        <f t="shared" si="25"/>
        <v>Ofsted Social Care Provider Webpage</v>
      </c>
      <c r="B1657" s="55">
        <v>2667592</v>
      </c>
      <c r="D1657" s="55" t="s">
        <v>373</v>
      </c>
      <c r="E1657" s="74">
        <v>44574</v>
      </c>
      <c r="F1657" s="55" t="s">
        <v>344</v>
      </c>
      <c r="G1657" s="55" t="s">
        <v>360</v>
      </c>
      <c r="H1657" s="55" t="s">
        <v>360</v>
      </c>
      <c r="I1657" s="55" t="s">
        <v>360</v>
      </c>
      <c r="J1657" s="55" t="s">
        <v>360</v>
      </c>
      <c r="K1657" s="55" t="s">
        <v>360</v>
      </c>
      <c r="L1657" s="55" t="s">
        <v>360</v>
      </c>
      <c r="M1657" s="55" t="s">
        <v>172</v>
      </c>
      <c r="N1657" s="55" t="s">
        <v>172</v>
      </c>
      <c r="O1657" s="55" t="s">
        <v>235</v>
      </c>
      <c r="P1657" s="55" t="s">
        <v>1396</v>
      </c>
      <c r="Q1657" s="55" t="s">
        <v>350</v>
      </c>
      <c r="R1657" s="55">
        <v>2</v>
      </c>
      <c r="S1657" s="55"/>
      <c r="T1657" s="55" t="s">
        <v>962</v>
      </c>
    </row>
    <row r="1658" spans="1:20" ht="13" x14ac:dyDescent="0.15">
      <c r="A1658" s="72" t="str">
        <f t="shared" si="25"/>
        <v>Ofsted Social Care Provider Webpage</v>
      </c>
      <c r="B1658" s="55">
        <v>2667771</v>
      </c>
      <c r="D1658" s="55" t="s">
        <v>373</v>
      </c>
      <c r="E1658" s="74">
        <v>44651</v>
      </c>
      <c r="F1658" s="55" t="s">
        <v>344</v>
      </c>
      <c r="G1658" s="55" t="s">
        <v>360</v>
      </c>
      <c r="H1658" s="55" t="s">
        <v>360</v>
      </c>
      <c r="I1658" s="55" t="s">
        <v>360</v>
      </c>
      <c r="J1658" s="55" t="s">
        <v>360</v>
      </c>
      <c r="K1658" s="55" t="s">
        <v>360</v>
      </c>
      <c r="L1658" s="55" t="s">
        <v>360</v>
      </c>
      <c r="M1658" s="55" t="s">
        <v>150</v>
      </c>
      <c r="N1658" s="55" t="s">
        <v>150</v>
      </c>
      <c r="O1658" s="55" t="s">
        <v>190</v>
      </c>
      <c r="P1658" s="55" t="s">
        <v>500</v>
      </c>
      <c r="Q1658" s="55" t="s">
        <v>350</v>
      </c>
      <c r="R1658" s="55">
        <v>4</v>
      </c>
      <c r="S1658" s="55"/>
      <c r="T1658" s="55" t="s">
        <v>2343</v>
      </c>
    </row>
    <row r="1659" spans="1:20" ht="13" x14ac:dyDescent="0.15">
      <c r="A1659" s="72" t="str">
        <f t="shared" si="25"/>
        <v>Ofsted Social Care Provider Webpage</v>
      </c>
      <c r="B1659" s="55">
        <v>2668575</v>
      </c>
      <c r="D1659" s="55" t="s">
        <v>373</v>
      </c>
      <c r="E1659" s="74">
        <v>44540</v>
      </c>
      <c r="F1659" s="55" t="s">
        <v>344</v>
      </c>
      <c r="G1659" s="55" t="s">
        <v>360</v>
      </c>
      <c r="H1659" s="55" t="s">
        <v>360</v>
      </c>
      <c r="I1659" s="55" t="s">
        <v>360</v>
      </c>
      <c r="J1659" s="55" t="s">
        <v>360</v>
      </c>
      <c r="K1659" s="55" t="s">
        <v>360</v>
      </c>
      <c r="L1659" s="55" t="s">
        <v>360</v>
      </c>
      <c r="M1659" s="55" t="s">
        <v>138</v>
      </c>
      <c r="N1659" s="55" t="s">
        <v>138</v>
      </c>
      <c r="O1659" s="55" t="s">
        <v>159</v>
      </c>
      <c r="P1659" s="55" t="s">
        <v>1025</v>
      </c>
      <c r="Q1659" s="55" t="s">
        <v>350</v>
      </c>
      <c r="R1659" s="55">
        <v>4</v>
      </c>
      <c r="S1659" s="55"/>
      <c r="T1659" s="55" t="s">
        <v>1676</v>
      </c>
    </row>
    <row r="1660" spans="1:20" ht="13" x14ac:dyDescent="0.15">
      <c r="A1660" s="72" t="str">
        <f t="shared" si="25"/>
        <v>Ofsted Social Care Provider Webpage</v>
      </c>
      <c r="B1660" s="55">
        <v>2668686</v>
      </c>
      <c r="D1660" s="55" t="s">
        <v>373</v>
      </c>
      <c r="E1660" s="74">
        <v>44628</v>
      </c>
      <c r="F1660" s="55" t="s">
        <v>344</v>
      </c>
      <c r="G1660" s="55" t="s">
        <v>360</v>
      </c>
      <c r="H1660" s="55" t="s">
        <v>360</v>
      </c>
      <c r="I1660" s="55" t="s">
        <v>360</v>
      </c>
      <c r="J1660" s="55" t="s">
        <v>360</v>
      </c>
      <c r="K1660" s="55" t="s">
        <v>360</v>
      </c>
      <c r="L1660" s="55" t="s">
        <v>360</v>
      </c>
      <c r="M1660" s="55" t="s">
        <v>142</v>
      </c>
      <c r="N1660" s="55" t="s">
        <v>142</v>
      </c>
      <c r="O1660" s="55" t="s">
        <v>254</v>
      </c>
      <c r="P1660" s="55" t="s">
        <v>1048</v>
      </c>
      <c r="Q1660" s="55" t="s">
        <v>350</v>
      </c>
      <c r="R1660" s="55">
        <v>3</v>
      </c>
      <c r="S1660" s="55"/>
      <c r="T1660" s="55" t="s">
        <v>2344</v>
      </c>
    </row>
    <row r="1661" spans="1:20" ht="13" x14ac:dyDescent="0.15">
      <c r="A1661" s="72" t="str">
        <f t="shared" si="25"/>
        <v>Ofsted Social Care Provider Webpage</v>
      </c>
      <c r="B1661" s="55">
        <v>2668710</v>
      </c>
      <c r="D1661" s="55" t="s">
        <v>373</v>
      </c>
      <c r="E1661" s="74">
        <v>44640</v>
      </c>
      <c r="F1661" s="55" t="s">
        <v>344</v>
      </c>
      <c r="G1661" s="55" t="s">
        <v>360</v>
      </c>
      <c r="H1661" s="55" t="s">
        <v>360</v>
      </c>
      <c r="I1661" s="55" t="s">
        <v>360</v>
      </c>
      <c r="J1661" s="55" t="s">
        <v>360</v>
      </c>
      <c r="K1661" s="55" t="s">
        <v>360</v>
      </c>
      <c r="L1661" s="55" t="s">
        <v>360</v>
      </c>
      <c r="M1661" s="55" t="s">
        <v>378</v>
      </c>
      <c r="N1661" s="55" t="s">
        <v>170</v>
      </c>
      <c r="O1661" s="55" t="s">
        <v>231</v>
      </c>
      <c r="P1661" s="55" t="s">
        <v>231</v>
      </c>
      <c r="Q1661" s="55" t="s">
        <v>380</v>
      </c>
      <c r="R1661" s="55">
        <v>5</v>
      </c>
      <c r="S1661" s="55"/>
      <c r="T1661" s="55" t="s">
        <v>1945</v>
      </c>
    </row>
    <row r="1662" spans="1:20" ht="13" x14ac:dyDescent="0.15">
      <c r="A1662" s="72" t="str">
        <f t="shared" si="25"/>
        <v>Ofsted Social Care Provider Webpage</v>
      </c>
      <c r="B1662" s="55">
        <v>2668747</v>
      </c>
      <c r="D1662" s="55" t="s">
        <v>373</v>
      </c>
      <c r="E1662" s="74">
        <v>44574</v>
      </c>
      <c r="F1662" s="55" t="s">
        <v>344</v>
      </c>
      <c r="G1662" s="55" t="s">
        <v>360</v>
      </c>
      <c r="H1662" s="55" t="s">
        <v>360</v>
      </c>
      <c r="I1662" s="55" t="s">
        <v>360</v>
      </c>
      <c r="J1662" s="55" t="s">
        <v>360</v>
      </c>
      <c r="K1662" s="55" t="s">
        <v>360</v>
      </c>
      <c r="L1662" s="55" t="s">
        <v>360</v>
      </c>
      <c r="M1662" s="55" t="s">
        <v>136</v>
      </c>
      <c r="N1662" s="55" t="s">
        <v>136</v>
      </c>
      <c r="O1662" s="55" t="s">
        <v>185</v>
      </c>
      <c r="P1662" s="55" t="s">
        <v>382</v>
      </c>
      <c r="Q1662" s="55" t="s">
        <v>350</v>
      </c>
      <c r="R1662" s="55">
        <v>3</v>
      </c>
      <c r="S1662" s="55"/>
      <c r="T1662" s="55" t="s">
        <v>2345</v>
      </c>
    </row>
    <row r="1663" spans="1:20" ht="13" x14ac:dyDescent="0.15">
      <c r="A1663" s="72" t="str">
        <f t="shared" si="25"/>
        <v>Ofsted Social Care Provider Webpage</v>
      </c>
      <c r="B1663" s="55">
        <v>2669259</v>
      </c>
      <c r="D1663" s="55" t="s">
        <v>373</v>
      </c>
      <c r="E1663" s="74">
        <v>44608</v>
      </c>
      <c r="F1663" s="55" t="s">
        <v>344</v>
      </c>
      <c r="G1663" s="55" t="s">
        <v>360</v>
      </c>
      <c r="H1663" s="55" t="s">
        <v>360</v>
      </c>
      <c r="I1663" s="55" t="s">
        <v>360</v>
      </c>
      <c r="J1663" s="55" t="s">
        <v>360</v>
      </c>
      <c r="K1663" s="55" t="s">
        <v>360</v>
      </c>
      <c r="L1663" s="55" t="s">
        <v>360</v>
      </c>
      <c r="M1663" s="55" t="s">
        <v>172</v>
      </c>
      <c r="N1663" s="55" t="s">
        <v>172</v>
      </c>
      <c r="O1663" s="55" t="s">
        <v>214</v>
      </c>
      <c r="P1663" s="55" t="s">
        <v>1426</v>
      </c>
      <c r="Q1663" s="55" t="s">
        <v>350</v>
      </c>
      <c r="R1663" s="55">
        <v>4</v>
      </c>
      <c r="S1663" s="55"/>
      <c r="T1663" s="55" t="s">
        <v>668</v>
      </c>
    </row>
    <row r="1664" spans="1:20" ht="13" x14ac:dyDescent="0.15">
      <c r="A1664" s="72" t="str">
        <f t="shared" si="25"/>
        <v>Ofsted Social Care Provider Webpage</v>
      </c>
      <c r="B1664" s="55">
        <v>2669323</v>
      </c>
      <c r="D1664" s="55" t="s">
        <v>373</v>
      </c>
      <c r="E1664" s="74">
        <v>44595</v>
      </c>
      <c r="F1664" s="55" t="s">
        <v>344</v>
      </c>
      <c r="G1664" s="55" t="s">
        <v>360</v>
      </c>
      <c r="H1664" s="55" t="s">
        <v>360</v>
      </c>
      <c r="I1664" s="55" t="s">
        <v>360</v>
      </c>
      <c r="J1664" s="55" t="s">
        <v>360</v>
      </c>
      <c r="K1664" s="55" t="s">
        <v>360</v>
      </c>
      <c r="L1664" s="55" t="s">
        <v>360</v>
      </c>
      <c r="M1664" s="55" t="s">
        <v>144</v>
      </c>
      <c r="N1664" s="55" t="s">
        <v>144</v>
      </c>
      <c r="O1664" s="55" t="s">
        <v>215</v>
      </c>
      <c r="P1664" s="55" t="s">
        <v>655</v>
      </c>
      <c r="Q1664" s="55" t="s">
        <v>350</v>
      </c>
      <c r="R1664" s="55">
        <v>3</v>
      </c>
      <c r="S1664" s="55"/>
      <c r="T1664" s="55" t="s">
        <v>2346</v>
      </c>
    </row>
    <row r="1665" spans="1:20" ht="13" x14ac:dyDescent="0.15">
      <c r="A1665" s="72" t="str">
        <f t="shared" si="25"/>
        <v>Ofsted Social Care Provider Webpage</v>
      </c>
      <c r="B1665" s="55">
        <v>2669971</v>
      </c>
      <c r="D1665" s="55" t="s">
        <v>373</v>
      </c>
      <c r="E1665" s="74">
        <v>44613</v>
      </c>
      <c r="F1665" s="55" t="s">
        <v>344</v>
      </c>
      <c r="G1665" s="55" t="s">
        <v>360</v>
      </c>
      <c r="H1665" s="55" t="s">
        <v>360</v>
      </c>
      <c r="I1665" s="55" t="s">
        <v>360</v>
      </c>
      <c r="J1665" s="55" t="s">
        <v>360</v>
      </c>
      <c r="K1665" s="55" t="s">
        <v>360</v>
      </c>
      <c r="L1665" s="55" t="s">
        <v>360</v>
      </c>
      <c r="M1665" s="55" t="s">
        <v>138</v>
      </c>
      <c r="N1665" s="55" t="s">
        <v>138</v>
      </c>
      <c r="O1665" s="55" t="s">
        <v>196</v>
      </c>
      <c r="P1665" s="55" t="s">
        <v>2347</v>
      </c>
      <c r="Q1665" s="55" t="s">
        <v>350</v>
      </c>
      <c r="R1665" s="55">
        <v>4</v>
      </c>
      <c r="S1665" s="55"/>
      <c r="T1665" s="55" t="s">
        <v>1363</v>
      </c>
    </row>
    <row r="1666" spans="1:20" ht="13" x14ac:dyDescent="0.15">
      <c r="A1666" s="72" t="str">
        <f t="shared" si="25"/>
        <v>Ofsted Social Care Provider Webpage</v>
      </c>
      <c r="B1666" s="55">
        <v>2670263</v>
      </c>
      <c r="D1666" s="55" t="s">
        <v>373</v>
      </c>
      <c r="E1666" s="74">
        <v>44638</v>
      </c>
      <c r="F1666" s="55" t="s">
        <v>344</v>
      </c>
      <c r="G1666" s="55" t="s">
        <v>360</v>
      </c>
      <c r="H1666" s="55" t="s">
        <v>360</v>
      </c>
      <c r="I1666" s="55" t="s">
        <v>360</v>
      </c>
      <c r="J1666" s="55" t="s">
        <v>360</v>
      </c>
      <c r="K1666" s="55" t="s">
        <v>360</v>
      </c>
      <c r="L1666" s="55" t="s">
        <v>360</v>
      </c>
      <c r="M1666" s="55" t="s">
        <v>172</v>
      </c>
      <c r="N1666" s="55" t="s">
        <v>172</v>
      </c>
      <c r="O1666" s="55" t="s">
        <v>235</v>
      </c>
      <c r="P1666" s="55" t="s">
        <v>628</v>
      </c>
      <c r="Q1666" s="55" t="s">
        <v>350</v>
      </c>
      <c r="R1666" s="55">
        <v>4</v>
      </c>
      <c r="S1666" s="55"/>
      <c r="T1666" s="55" t="s">
        <v>458</v>
      </c>
    </row>
    <row r="1667" spans="1:20" ht="13" x14ac:dyDescent="0.15">
      <c r="A1667" s="72" t="str">
        <f t="shared" si="25"/>
        <v>Ofsted Social Care Provider Webpage</v>
      </c>
      <c r="B1667" s="55">
        <v>2671361</v>
      </c>
      <c r="D1667" s="55" t="s">
        <v>373</v>
      </c>
      <c r="E1667" s="74">
        <v>44627</v>
      </c>
      <c r="F1667" s="55" t="s">
        <v>344</v>
      </c>
      <c r="G1667" s="55" t="s">
        <v>360</v>
      </c>
      <c r="H1667" s="55" t="s">
        <v>360</v>
      </c>
      <c r="I1667" s="55" t="s">
        <v>360</v>
      </c>
      <c r="J1667" s="55" t="s">
        <v>360</v>
      </c>
      <c r="K1667" s="55" t="s">
        <v>360</v>
      </c>
      <c r="L1667" s="55" t="s">
        <v>360</v>
      </c>
      <c r="M1667" s="55" t="s">
        <v>136</v>
      </c>
      <c r="N1667" s="55" t="s">
        <v>136</v>
      </c>
      <c r="O1667" s="55" t="s">
        <v>288</v>
      </c>
      <c r="P1667" s="55" t="s">
        <v>1388</v>
      </c>
      <c r="Q1667" s="55" t="s">
        <v>350</v>
      </c>
      <c r="R1667" s="55">
        <v>2</v>
      </c>
      <c r="S1667" s="55"/>
      <c r="T1667" s="55" t="s">
        <v>610</v>
      </c>
    </row>
    <row r="1668" spans="1:20" ht="13" x14ac:dyDescent="0.15">
      <c r="A1668" s="72" t="str">
        <f t="shared" si="25"/>
        <v>Ofsted Social Care Provider Webpage</v>
      </c>
      <c r="B1668" s="55">
        <v>2671426</v>
      </c>
      <c r="D1668" s="55" t="s">
        <v>373</v>
      </c>
      <c r="E1668" s="74">
        <v>44586</v>
      </c>
      <c r="F1668" s="55" t="s">
        <v>344</v>
      </c>
      <c r="G1668" s="55" t="s">
        <v>360</v>
      </c>
      <c r="H1668" s="55" t="s">
        <v>360</v>
      </c>
      <c r="I1668" s="55" t="s">
        <v>360</v>
      </c>
      <c r="J1668" s="55" t="s">
        <v>360</v>
      </c>
      <c r="K1668" s="55" t="s">
        <v>360</v>
      </c>
      <c r="L1668" s="55" t="s">
        <v>360</v>
      </c>
      <c r="M1668" s="55" t="s">
        <v>150</v>
      </c>
      <c r="N1668" s="55" t="s">
        <v>150</v>
      </c>
      <c r="O1668" s="55" t="s">
        <v>218</v>
      </c>
      <c r="P1668" s="55" t="s">
        <v>1086</v>
      </c>
      <c r="Q1668" s="55" t="s">
        <v>350</v>
      </c>
      <c r="R1668" s="55">
        <v>4</v>
      </c>
      <c r="S1668" s="55"/>
      <c r="T1668" s="55" t="s">
        <v>2197</v>
      </c>
    </row>
    <row r="1669" spans="1:20" ht="13" x14ac:dyDescent="0.15">
      <c r="A1669" s="72" t="str">
        <f t="shared" ref="A1669:A1732" si="26">HYPERLINK(_xlfn.CONCAT("http://reports.ofsted.gov.uk/inspection-reports/find-inspection-report/provider/CARE/",B1669),"Ofsted Social Care Provider Webpage")</f>
        <v>Ofsted Social Care Provider Webpage</v>
      </c>
      <c r="B1669" s="55">
        <v>2671472</v>
      </c>
      <c r="D1669" s="55" t="s">
        <v>451</v>
      </c>
      <c r="E1669" s="74">
        <v>44649</v>
      </c>
      <c r="F1669" s="55" t="s">
        <v>344</v>
      </c>
      <c r="G1669" s="55" t="s">
        <v>2348</v>
      </c>
      <c r="H1669" s="55" t="s">
        <v>2348</v>
      </c>
      <c r="I1669" s="55" t="s">
        <v>2349</v>
      </c>
      <c r="J1669" s="55" t="s">
        <v>261</v>
      </c>
      <c r="L1669" s="55" t="s">
        <v>2350</v>
      </c>
      <c r="M1669" s="55" t="s">
        <v>144</v>
      </c>
      <c r="N1669" s="55" t="s">
        <v>144</v>
      </c>
      <c r="O1669" s="55" t="s">
        <v>261</v>
      </c>
      <c r="P1669" s="55" t="s">
        <v>792</v>
      </c>
      <c r="Q1669" s="55" t="s">
        <v>350</v>
      </c>
      <c r="R1669" s="55">
        <v>5</v>
      </c>
      <c r="S1669" s="55"/>
      <c r="T1669" s="55" t="s">
        <v>2351</v>
      </c>
    </row>
    <row r="1670" spans="1:20" ht="13" x14ac:dyDescent="0.15">
      <c r="A1670" s="72" t="str">
        <f t="shared" si="26"/>
        <v>Ofsted Social Care Provider Webpage</v>
      </c>
      <c r="B1670" s="55">
        <v>2671651</v>
      </c>
      <c r="D1670" s="55" t="s">
        <v>373</v>
      </c>
      <c r="E1670" s="74">
        <v>44613</v>
      </c>
      <c r="F1670" s="55" t="s">
        <v>344</v>
      </c>
      <c r="G1670" s="55" t="s">
        <v>360</v>
      </c>
      <c r="H1670" s="55" t="s">
        <v>360</v>
      </c>
      <c r="I1670" s="55" t="s">
        <v>360</v>
      </c>
      <c r="J1670" s="55" t="s">
        <v>360</v>
      </c>
      <c r="K1670" s="55" t="s">
        <v>360</v>
      </c>
      <c r="L1670" s="55" t="s">
        <v>360</v>
      </c>
      <c r="M1670" s="55" t="s">
        <v>172</v>
      </c>
      <c r="N1670" s="55" t="s">
        <v>172</v>
      </c>
      <c r="O1670" s="55" t="s">
        <v>235</v>
      </c>
      <c r="P1670" s="55" t="s">
        <v>1355</v>
      </c>
      <c r="Q1670" s="55" t="s">
        <v>350</v>
      </c>
      <c r="R1670" s="55">
        <v>2</v>
      </c>
      <c r="S1670" s="55"/>
      <c r="T1670" s="55" t="s">
        <v>962</v>
      </c>
    </row>
    <row r="1671" spans="1:20" ht="13" x14ac:dyDescent="0.15">
      <c r="A1671" s="72" t="str">
        <f t="shared" si="26"/>
        <v>Ofsted Social Care Provider Webpage</v>
      </c>
      <c r="B1671" s="55">
        <v>2671699</v>
      </c>
      <c r="C1671" s="55">
        <v>113952</v>
      </c>
      <c r="D1671" s="55" t="s">
        <v>413</v>
      </c>
      <c r="E1671" s="74">
        <v>44560</v>
      </c>
      <c r="F1671" s="55" t="s">
        <v>344</v>
      </c>
      <c r="G1671" s="55" t="s">
        <v>2352</v>
      </c>
      <c r="H1671" s="55" t="s">
        <v>2353</v>
      </c>
      <c r="I1671" s="55" t="s">
        <v>2354</v>
      </c>
      <c r="J1671" s="55" t="s">
        <v>2355</v>
      </c>
      <c r="K1671" s="55" t="s">
        <v>176</v>
      </c>
      <c r="L1671" s="55" t="s">
        <v>2356</v>
      </c>
      <c r="M1671" s="55" t="s">
        <v>136</v>
      </c>
      <c r="N1671" s="55" t="s">
        <v>136</v>
      </c>
      <c r="O1671" s="55" t="s">
        <v>176</v>
      </c>
      <c r="P1671" s="55" t="s">
        <v>1832</v>
      </c>
      <c r="Q1671" s="55" t="s">
        <v>350</v>
      </c>
      <c r="R1671" s="55">
        <v>22</v>
      </c>
      <c r="S1671" s="55"/>
      <c r="T1671" s="55" t="s">
        <v>2357</v>
      </c>
    </row>
    <row r="1672" spans="1:20" ht="13" x14ac:dyDescent="0.15">
      <c r="A1672" s="72" t="str">
        <f t="shared" si="26"/>
        <v>Ofsted Social Care Provider Webpage</v>
      </c>
      <c r="B1672" s="55">
        <v>2672801</v>
      </c>
      <c r="D1672" s="55" t="s">
        <v>373</v>
      </c>
      <c r="E1672" s="74">
        <v>44609</v>
      </c>
      <c r="F1672" s="55" t="s">
        <v>344</v>
      </c>
      <c r="G1672" s="55" t="s">
        <v>360</v>
      </c>
      <c r="H1672" s="55" t="s">
        <v>360</v>
      </c>
      <c r="I1672" s="55" t="s">
        <v>360</v>
      </c>
      <c r="J1672" s="55" t="s">
        <v>360</v>
      </c>
      <c r="K1672" s="55" t="s">
        <v>360</v>
      </c>
      <c r="L1672" s="55" t="s">
        <v>360</v>
      </c>
      <c r="M1672" s="55" t="s">
        <v>378</v>
      </c>
      <c r="N1672" s="55" t="s">
        <v>134</v>
      </c>
      <c r="O1672" s="55" t="s">
        <v>206</v>
      </c>
      <c r="P1672" s="55" t="s">
        <v>1655</v>
      </c>
      <c r="Q1672" s="55" t="s">
        <v>350</v>
      </c>
      <c r="R1672" s="55">
        <v>6</v>
      </c>
      <c r="S1672" s="55"/>
      <c r="T1672" s="55" t="s">
        <v>1986</v>
      </c>
    </row>
    <row r="1673" spans="1:20" ht="13" x14ac:dyDescent="0.15">
      <c r="A1673" s="72" t="str">
        <f t="shared" si="26"/>
        <v>Ofsted Social Care Provider Webpage</v>
      </c>
      <c r="B1673" s="55">
        <v>2672845</v>
      </c>
      <c r="D1673" s="55" t="s">
        <v>373</v>
      </c>
      <c r="E1673" s="74">
        <v>44582</v>
      </c>
      <c r="F1673" s="55" t="s">
        <v>344</v>
      </c>
      <c r="G1673" s="55" t="s">
        <v>360</v>
      </c>
      <c r="H1673" s="55" t="s">
        <v>360</v>
      </c>
      <c r="I1673" s="55" t="s">
        <v>360</v>
      </c>
      <c r="J1673" s="55" t="s">
        <v>360</v>
      </c>
      <c r="K1673" s="55" t="s">
        <v>360</v>
      </c>
      <c r="L1673" s="55" t="s">
        <v>360</v>
      </c>
      <c r="M1673" s="55" t="s">
        <v>144</v>
      </c>
      <c r="N1673" s="55" t="s">
        <v>144</v>
      </c>
      <c r="O1673" s="55" t="s">
        <v>168</v>
      </c>
      <c r="P1673" s="55" t="s">
        <v>913</v>
      </c>
      <c r="Q1673" s="55" t="s">
        <v>350</v>
      </c>
      <c r="R1673" s="55">
        <v>4</v>
      </c>
      <c r="S1673" s="55"/>
      <c r="T1673" s="55" t="s">
        <v>1098</v>
      </c>
    </row>
    <row r="1674" spans="1:20" ht="13" x14ac:dyDescent="0.15">
      <c r="A1674" s="72" t="str">
        <f t="shared" si="26"/>
        <v>Ofsted Social Care Provider Webpage</v>
      </c>
      <c r="B1674" s="55">
        <v>2672877</v>
      </c>
      <c r="D1674" s="55" t="s">
        <v>373</v>
      </c>
      <c r="E1674" s="74">
        <v>44622</v>
      </c>
      <c r="F1674" s="55" t="s">
        <v>344</v>
      </c>
      <c r="G1674" s="55" t="s">
        <v>360</v>
      </c>
      <c r="H1674" s="55" t="s">
        <v>360</v>
      </c>
      <c r="I1674" s="55" t="s">
        <v>360</v>
      </c>
      <c r="J1674" s="55" t="s">
        <v>360</v>
      </c>
      <c r="K1674" s="55" t="s">
        <v>360</v>
      </c>
      <c r="L1674" s="55" t="s">
        <v>360</v>
      </c>
      <c r="M1674" s="55" t="s">
        <v>144</v>
      </c>
      <c r="N1674" s="55" t="s">
        <v>144</v>
      </c>
      <c r="O1674" s="55" t="s">
        <v>168</v>
      </c>
      <c r="P1674" s="55" t="s">
        <v>708</v>
      </c>
      <c r="Q1674" s="55" t="s">
        <v>350</v>
      </c>
      <c r="R1674" s="55">
        <v>4</v>
      </c>
      <c r="S1674" s="55"/>
      <c r="T1674" s="55" t="s">
        <v>2358</v>
      </c>
    </row>
    <row r="1675" spans="1:20" ht="13" x14ac:dyDescent="0.15">
      <c r="A1675" s="72" t="str">
        <f t="shared" si="26"/>
        <v>Ofsted Social Care Provider Webpage</v>
      </c>
      <c r="B1675" s="55">
        <v>2673201</v>
      </c>
      <c r="D1675" s="55" t="s">
        <v>373</v>
      </c>
      <c r="E1675" s="74">
        <v>44637</v>
      </c>
      <c r="F1675" s="55" t="s">
        <v>344</v>
      </c>
      <c r="G1675" s="55" t="s">
        <v>360</v>
      </c>
      <c r="H1675" s="55" t="s">
        <v>360</v>
      </c>
      <c r="I1675" s="55" t="s">
        <v>360</v>
      </c>
      <c r="J1675" s="55" t="s">
        <v>360</v>
      </c>
      <c r="K1675" s="55" t="s">
        <v>360</v>
      </c>
      <c r="L1675" s="55" t="s">
        <v>360</v>
      </c>
      <c r="M1675" s="55" t="s">
        <v>136</v>
      </c>
      <c r="N1675" s="55" t="s">
        <v>136</v>
      </c>
      <c r="O1675" s="55" t="s">
        <v>176</v>
      </c>
      <c r="P1675" s="55" t="s">
        <v>526</v>
      </c>
      <c r="Q1675" s="55" t="s">
        <v>380</v>
      </c>
      <c r="R1675" s="55">
        <v>1</v>
      </c>
      <c r="S1675" s="55"/>
      <c r="T1675" s="55" t="s">
        <v>2074</v>
      </c>
    </row>
    <row r="1676" spans="1:20" ht="13" x14ac:dyDescent="0.15">
      <c r="A1676" s="72" t="str">
        <f t="shared" si="26"/>
        <v>Ofsted Social Care Provider Webpage</v>
      </c>
      <c r="B1676" s="55">
        <v>2673264</v>
      </c>
      <c r="D1676" s="55" t="s">
        <v>373</v>
      </c>
      <c r="E1676" s="74">
        <v>44603</v>
      </c>
      <c r="F1676" s="55" t="s">
        <v>344</v>
      </c>
      <c r="G1676" s="55" t="s">
        <v>360</v>
      </c>
      <c r="H1676" s="55" t="s">
        <v>360</v>
      </c>
      <c r="I1676" s="55" t="s">
        <v>360</v>
      </c>
      <c r="J1676" s="55" t="s">
        <v>360</v>
      </c>
      <c r="K1676" s="55" t="s">
        <v>360</v>
      </c>
      <c r="L1676" s="55" t="s">
        <v>360</v>
      </c>
      <c r="M1676" s="55" t="s">
        <v>138</v>
      </c>
      <c r="N1676" s="55" t="s">
        <v>138</v>
      </c>
      <c r="O1676" s="55" t="s">
        <v>224</v>
      </c>
      <c r="P1676" s="55" t="s">
        <v>374</v>
      </c>
      <c r="Q1676" s="55" t="s">
        <v>350</v>
      </c>
      <c r="R1676" s="55">
        <v>2</v>
      </c>
      <c r="S1676" s="55"/>
      <c r="T1676" s="55" t="s">
        <v>2161</v>
      </c>
    </row>
    <row r="1677" spans="1:20" ht="13" x14ac:dyDescent="0.15">
      <c r="A1677" s="72" t="str">
        <f t="shared" si="26"/>
        <v>Ofsted Social Care Provider Webpage</v>
      </c>
      <c r="B1677" s="55">
        <v>2673265</v>
      </c>
      <c r="D1677" s="55" t="s">
        <v>373</v>
      </c>
      <c r="E1677" s="74">
        <v>44603</v>
      </c>
      <c r="F1677" s="55" t="s">
        <v>344</v>
      </c>
      <c r="G1677" s="55" t="s">
        <v>360</v>
      </c>
      <c r="H1677" s="55" t="s">
        <v>360</v>
      </c>
      <c r="I1677" s="55" t="s">
        <v>360</v>
      </c>
      <c r="J1677" s="55" t="s">
        <v>360</v>
      </c>
      <c r="K1677" s="55" t="s">
        <v>360</v>
      </c>
      <c r="L1677" s="55" t="s">
        <v>360</v>
      </c>
      <c r="M1677" s="55" t="s">
        <v>138</v>
      </c>
      <c r="N1677" s="55" t="s">
        <v>138</v>
      </c>
      <c r="O1677" s="55" t="s">
        <v>224</v>
      </c>
      <c r="P1677" s="55" t="s">
        <v>374</v>
      </c>
      <c r="Q1677" s="55" t="s">
        <v>350</v>
      </c>
      <c r="R1677" s="55">
        <v>2</v>
      </c>
      <c r="S1677" s="55"/>
      <c r="T1677" s="55" t="s">
        <v>2161</v>
      </c>
    </row>
    <row r="1678" spans="1:20" ht="13" x14ac:dyDescent="0.15">
      <c r="A1678" s="72" t="str">
        <f t="shared" si="26"/>
        <v>Ofsted Social Care Provider Webpage</v>
      </c>
      <c r="B1678" s="55">
        <v>2674176</v>
      </c>
      <c r="D1678" s="55" t="s">
        <v>373</v>
      </c>
      <c r="E1678" s="74">
        <v>44603</v>
      </c>
      <c r="F1678" s="55" t="s">
        <v>344</v>
      </c>
      <c r="G1678" s="55" t="s">
        <v>360</v>
      </c>
      <c r="H1678" s="55" t="s">
        <v>360</v>
      </c>
      <c r="I1678" s="55" t="s">
        <v>360</v>
      </c>
      <c r="J1678" s="55" t="s">
        <v>360</v>
      </c>
      <c r="K1678" s="55" t="s">
        <v>360</v>
      </c>
      <c r="L1678" s="55" t="s">
        <v>360</v>
      </c>
      <c r="M1678" s="55" t="s">
        <v>138</v>
      </c>
      <c r="N1678" s="55" t="s">
        <v>138</v>
      </c>
      <c r="O1678" s="55" t="s">
        <v>137</v>
      </c>
      <c r="P1678" s="55" t="s">
        <v>137</v>
      </c>
      <c r="Q1678" s="55" t="s">
        <v>350</v>
      </c>
      <c r="R1678" s="55">
        <v>1</v>
      </c>
      <c r="S1678" s="55"/>
      <c r="T1678" s="55" t="s">
        <v>1361</v>
      </c>
    </row>
    <row r="1679" spans="1:20" ht="13" x14ac:dyDescent="0.15">
      <c r="A1679" s="72" t="str">
        <f t="shared" si="26"/>
        <v>Ofsted Social Care Provider Webpage</v>
      </c>
      <c r="B1679" s="55">
        <v>2674455</v>
      </c>
      <c r="D1679" s="55" t="s">
        <v>373</v>
      </c>
      <c r="E1679" s="74">
        <v>44588</v>
      </c>
      <c r="F1679" s="55" t="s">
        <v>344</v>
      </c>
      <c r="G1679" s="55" t="s">
        <v>360</v>
      </c>
      <c r="H1679" s="55" t="s">
        <v>360</v>
      </c>
      <c r="I1679" s="55" t="s">
        <v>360</v>
      </c>
      <c r="J1679" s="55" t="s">
        <v>360</v>
      </c>
      <c r="K1679" s="55" t="s">
        <v>360</v>
      </c>
      <c r="L1679" s="55" t="s">
        <v>360</v>
      </c>
      <c r="M1679" s="55" t="s">
        <v>144</v>
      </c>
      <c r="N1679" s="55" t="s">
        <v>144</v>
      </c>
      <c r="O1679" s="55" t="s">
        <v>263</v>
      </c>
      <c r="P1679" s="55" t="s">
        <v>263</v>
      </c>
      <c r="Q1679" s="55" t="s">
        <v>350</v>
      </c>
      <c r="R1679" s="55">
        <v>1</v>
      </c>
      <c r="S1679" s="55"/>
      <c r="T1679" s="55" t="s">
        <v>2359</v>
      </c>
    </row>
    <row r="1680" spans="1:20" ht="13" x14ac:dyDescent="0.15">
      <c r="A1680" s="72" t="str">
        <f t="shared" si="26"/>
        <v>Ofsted Social Care Provider Webpage</v>
      </c>
      <c r="B1680" s="55">
        <v>2675485</v>
      </c>
      <c r="D1680" s="55" t="s">
        <v>373</v>
      </c>
      <c r="E1680" s="74">
        <v>44606</v>
      </c>
      <c r="F1680" s="55" t="s">
        <v>344</v>
      </c>
      <c r="G1680" s="55" t="s">
        <v>360</v>
      </c>
      <c r="H1680" s="55" t="s">
        <v>360</v>
      </c>
      <c r="I1680" s="55" t="s">
        <v>360</v>
      </c>
      <c r="J1680" s="55" t="s">
        <v>360</v>
      </c>
      <c r="K1680" s="55" t="s">
        <v>360</v>
      </c>
      <c r="L1680" s="55" t="s">
        <v>360</v>
      </c>
      <c r="M1680" s="55" t="s">
        <v>144</v>
      </c>
      <c r="N1680" s="55" t="s">
        <v>144</v>
      </c>
      <c r="O1680" s="55" t="s">
        <v>250</v>
      </c>
      <c r="P1680" s="55" t="s">
        <v>1372</v>
      </c>
      <c r="Q1680" s="55" t="s">
        <v>362</v>
      </c>
      <c r="R1680" s="55">
        <v>3</v>
      </c>
      <c r="S1680" s="55"/>
      <c r="T1680" s="55" t="s">
        <v>2360</v>
      </c>
    </row>
    <row r="1681" spans="1:20" ht="13" x14ac:dyDescent="0.15">
      <c r="A1681" s="72" t="str">
        <f t="shared" si="26"/>
        <v>Ofsted Social Care Provider Webpage</v>
      </c>
      <c r="B1681" s="55">
        <v>2676828</v>
      </c>
      <c r="D1681" s="55" t="s">
        <v>373</v>
      </c>
      <c r="E1681" s="74">
        <v>44644</v>
      </c>
      <c r="F1681" s="55" t="s">
        <v>344</v>
      </c>
      <c r="G1681" s="55" t="s">
        <v>360</v>
      </c>
      <c r="H1681" s="55" t="s">
        <v>360</v>
      </c>
      <c r="I1681" s="55" t="s">
        <v>360</v>
      </c>
      <c r="J1681" s="55" t="s">
        <v>360</v>
      </c>
      <c r="K1681" s="55" t="s">
        <v>360</v>
      </c>
      <c r="L1681" s="55" t="s">
        <v>360</v>
      </c>
      <c r="M1681" s="55" t="s">
        <v>378</v>
      </c>
      <c r="N1681" s="55" t="s">
        <v>134</v>
      </c>
      <c r="O1681" s="55" t="s">
        <v>180</v>
      </c>
      <c r="P1681" s="55" t="s">
        <v>1249</v>
      </c>
      <c r="Q1681" s="55" t="s">
        <v>380</v>
      </c>
      <c r="R1681" s="55">
        <v>1</v>
      </c>
      <c r="S1681" s="55"/>
      <c r="T1681" s="55" t="s">
        <v>2361</v>
      </c>
    </row>
    <row r="1682" spans="1:20" ht="13" x14ac:dyDescent="0.15">
      <c r="A1682" s="72" t="str">
        <f t="shared" si="26"/>
        <v>Ofsted Social Care Provider Webpage</v>
      </c>
      <c r="B1682" s="55">
        <v>2678551</v>
      </c>
      <c r="D1682" s="55" t="s">
        <v>373</v>
      </c>
      <c r="E1682" s="74">
        <v>44649</v>
      </c>
      <c r="F1682" s="55" t="s">
        <v>344</v>
      </c>
      <c r="G1682" s="55" t="s">
        <v>360</v>
      </c>
      <c r="H1682" s="55" t="s">
        <v>360</v>
      </c>
      <c r="I1682" s="55" t="s">
        <v>360</v>
      </c>
      <c r="J1682" s="55" t="s">
        <v>360</v>
      </c>
      <c r="K1682" s="55" t="s">
        <v>360</v>
      </c>
      <c r="L1682" s="55" t="s">
        <v>360</v>
      </c>
      <c r="M1682" s="55" t="s">
        <v>138</v>
      </c>
      <c r="N1682" s="55" t="s">
        <v>138</v>
      </c>
      <c r="O1682" s="55" t="s">
        <v>161</v>
      </c>
      <c r="P1682" s="55" t="s">
        <v>822</v>
      </c>
      <c r="Q1682" s="55" t="s">
        <v>350</v>
      </c>
      <c r="R1682" s="55">
        <v>2</v>
      </c>
      <c r="S1682" s="55"/>
      <c r="T1682" s="55" t="s">
        <v>962</v>
      </c>
    </row>
    <row r="1683" spans="1:20" ht="13" x14ac:dyDescent="0.15">
      <c r="A1683" s="72" t="str">
        <f t="shared" si="26"/>
        <v>Ofsted Social Care Provider Webpage</v>
      </c>
      <c r="B1683" s="55">
        <v>2679067</v>
      </c>
      <c r="D1683" s="55" t="s">
        <v>373</v>
      </c>
      <c r="E1683" s="74">
        <v>44644</v>
      </c>
      <c r="F1683" s="55" t="s">
        <v>344</v>
      </c>
      <c r="G1683" s="55" t="s">
        <v>360</v>
      </c>
      <c r="H1683" s="55" t="s">
        <v>360</v>
      </c>
      <c r="I1683" s="55" t="s">
        <v>360</v>
      </c>
      <c r="J1683" s="55" t="s">
        <v>360</v>
      </c>
      <c r="K1683" s="55" t="s">
        <v>360</v>
      </c>
      <c r="L1683" s="55" t="s">
        <v>360</v>
      </c>
      <c r="M1683" s="55" t="s">
        <v>172</v>
      </c>
      <c r="N1683" s="55" t="s">
        <v>172</v>
      </c>
      <c r="O1683" s="55" t="s">
        <v>228</v>
      </c>
      <c r="P1683" s="55" t="s">
        <v>459</v>
      </c>
      <c r="Q1683" s="55" t="s">
        <v>350</v>
      </c>
      <c r="R1683" s="55">
        <v>4</v>
      </c>
      <c r="S1683" s="55"/>
      <c r="T1683" s="55" t="s">
        <v>904</v>
      </c>
    </row>
    <row r="1684" spans="1:20" ht="13" x14ac:dyDescent="0.15">
      <c r="A1684" s="72" t="str">
        <f t="shared" si="26"/>
        <v>Ofsted Social Care Provider Webpage</v>
      </c>
      <c r="B1684" s="55" t="s">
        <v>2362</v>
      </c>
      <c r="D1684" s="55" t="s">
        <v>373</v>
      </c>
      <c r="E1684" s="74">
        <v>34486</v>
      </c>
      <c r="F1684" s="55" t="s">
        <v>344</v>
      </c>
      <c r="G1684" s="55" t="s">
        <v>360</v>
      </c>
      <c r="H1684" s="55" t="s">
        <v>360</v>
      </c>
      <c r="I1684" s="55" t="s">
        <v>360</v>
      </c>
      <c r="J1684" s="55" t="s">
        <v>360</v>
      </c>
      <c r="K1684" s="55" t="s">
        <v>360</v>
      </c>
      <c r="L1684" s="55" t="s">
        <v>360</v>
      </c>
      <c r="M1684" s="55" t="s">
        <v>378</v>
      </c>
      <c r="N1684" s="55" t="s">
        <v>170</v>
      </c>
      <c r="O1684" s="55" t="s">
        <v>233</v>
      </c>
      <c r="P1684" s="55" t="s">
        <v>2363</v>
      </c>
      <c r="Q1684" s="55" t="s">
        <v>362</v>
      </c>
      <c r="R1684" s="55">
        <v>10</v>
      </c>
      <c r="S1684" s="55" t="s">
        <v>332</v>
      </c>
      <c r="T1684" s="55" t="s">
        <v>367</v>
      </c>
    </row>
    <row r="1685" spans="1:20" ht="13" x14ac:dyDescent="0.15">
      <c r="A1685" s="72" t="str">
        <f t="shared" si="26"/>
        <v>Ofsted Social Care Provider Webpage</v>
      </c>
      <c r="B1685" s="55" t="s">
        <v>2364</v>
      </c>
      <c r="D1685" s="55" t="s">
        <v>373</v>
      </c>
      <c r="E1685" s="74">
        <v>37013</v>
      </c>
      <c r="F1685" s="55" t="s">
        <v>344</v>
      </c>
      <c r="G1685" s="55" t="s">
        <v>360</v>
      </c>
      <c r="H1685" s="55" t="s">
        <v>360</v>
      </c>
      <c r="I1685" s="55" t="s">
        <v>360</v>
      </c>
      <c r="J1685" s="55" t="s">
        <v>360</v>
      </c>
      <c r="K1685" s="55" t="s">
        <v>360</v>
      </c>
      <c r="L1685" s="55" t="s">
        <v>360</v>
      </c>
      <c r="M1685" s="55" t="s">
        <v>378</v>
      </c>
      <c r="N1685" s="55" t="s">
        <v>170</v>
      </c>
      <c r="O1685" s="55" t="s">
        <v>169</v>
      </c>
      <c r="P1685" s="55" t="s">
        <v>434</v>
      </c>
      <c r="Q1685" s="55" t="s">
        <v>350</v>
      </c>
      <c r="R1685" s="55">
        <v>4</v>
      </c>
      <c r="S1685" s="55"/>
      <c r="T1685" s="55" t="s">
        <v>2365</v>
      </c>
    </row>
    <row r="1686" spans="1:20" ht="13" x14ac:dyDescent="0.15">
      <c r="A1686" s="72" t="str">
        <f t="shared" si="26"/>
        <v>Ofsted Social Care Provider Webpage</v>
      </c>
      <c r="B1686" s="55" t="s">
        <v>2366</v>
      </c>
      <c r="D1686" s="55" t="s">
        <v>373</v>
      </c>
      <c r="E1686" s="74">
        <v>37070</v>
      </c>
      <c r="F1686" s="55" t="s">
        <v>344</v>
      </c>
      <c r="G1686" s="55" t="s">
        <v>360</v>
      </c>
      <c r="H1686" s="55" t="s">
        <v>360</v>
      </c>
      <c r="I1686" s="55" t="s">
        <v>360</v>
      </c>
      <c r="J1686" s="55" t="s">
        <v>360</v>
      </c>
      <c r="K1686" s="55" t="s">
        <v>360</v>
      </c>
      <c r="L1686" s="55" t="s">
        <v>360</v>
      </c>
      <c r="M1686" s="55" t="s">
        <v>378</v>
      </c>
      <c r="N1686" s="55" t="s">
        <v>170</v>
      </c>
      <c r="O1686" s="55" t="s">
        <v>169</v>
      </c>
      <c r="P1686" s="55" t="s">
        <v>169</v>
      </c>
      <c r="Q1686" s="55" t="s">
        <v>350</v>
      </c>
      <c r="R1686" s="55">
        <v>3</v>
      </c>
      <c r="S1686" s="55"/>
      <c r="T1686" s="55" t="s">
        <v>2367</v>
      </c>
    </row>
    <row r="1687" spans="1:20" ht="13" x14ac:dyDescent="0.15">
      <c r="A1687" s="72" t="str">
        <f t="shared" si="26"/>
        <v>Ofsted Social Care Provider Webpage</v>
      </c>
      <c r="B1687" s="55" t="s">
        <v>2368</v>
      </c>
      <c r="D1687" s="55" t="s">
        <v>373</v>
      </c>
      <c r="E1687" s="74">
        <v>37070</v>
      </c>
      <c r="F1687" s="55" t="s">
        <v>344</v>
      </c>
      <c r="G1687" s="55" t="s">
        <v>360</v>
      </c>
      <c r="H1687" s="55" t="s">
        <v>360</v>
      </c>
      <c r="I1687" s="55" t="s">
        <v>360</v>
      </c>
      <c r="J1687" s="55" t="s">
        <v>360</v>
      </c>
      <c r="K1687" s="55" t="s">
        <v>360</v>
      </c>
      <c r="L1687" s="55" t="s">
        <v>360</v>
      </c>
      <c r="M1687" s="55" t="s">
        <v>378</v>
      </c>
      <c r="N1687" s="55" t="s">
        <v>170</v>
      </c>
      <c r="O1687" s="55" t="s">
        <v>169</v>
      </c>
      <c r="P1687" s="55" t="s">
        <v>169</v>
      </c>
      <c r="Q1687" s="55" t="s">
        <v>350</v>
      </c>
      <c r="R1687" s="55">
        <v>5</v>
      </c>
      <c r="S1687" s="55"/>
      <c r="T1687" s="55" t="s">
        <v>2367</v>
      </c>
    </row>
    <row r="1688" spans="1:20" ht="13" x14ac:dyDescent="0.15">
      <c r="A1688" s="72" t="str">
        <f t="shared" si="26"/>
        <v>Ofsted Social Care Provider Webpage</v>
      </c>
      <c r="B1688" s="55" t="s">
        <v>2369</v>
      </c>
      <c r="D1688" s="55" t="s">
        <v>373</v>
      </c>
      <c r="E1688" s="74">
        <v>36943</v>
      </c>
      <c r="F1688" s="55" t="s">
        <v>344</v>
      </c>
      <c r="G1688" s="55" t="s">
        <v>360</v>
      </c>
      <c r="H1688" s="55" t="s">
        <v>360</v>
      </c>
      <c r="I1688" s="55" t="s">
        <v>360</v>
      </c>
      <c r="J1688" s="55" t="s">
        <v>360</v>
      </c>
      <c r="K1688" s="55" t="s">
        <v>360</v>
      </c>
      <c r="L1688" s="55" t="s">
        <v>360</v>
      </c>
      <c r="M1688" s="55" t="s">
        <v>378</v>
      </c>
      <c r="N1688" s="55" t="s">
        <v>134</v>
      </c>
      <c r="O1688" s="55" t="s">
        <v>158</v>
      </c>
      <c r="P1688" s="55" t="s">
        <v>480</v>
      </c>
      <c r="Q1688" s="55" t="s">
        <v>350</v>
      </c>
      <c r="R1688" s="55">
        <v>4</v>
      </c>
      <c r="S1688" s="55"/>
      <c r="T1688" s="55" t="s">
        <v>442</v>
      </c>
    </row>
    <row r="1689" spans="1:20" ht="13" x14ac:dyDescent="0.15">
      <c r="A1689" s="72" t="str">
        <f t="shared" si="26"/>
        <v>Ofsted Social Care Provider Webpage</v>
      </c>
      <c r="B1689" s="55" t="s">
        <v>2370</v>
      </c>
      <c r="C1689" s="55">
        <v>107589</v>
      </c>
      <c r="D1689" s="55" t="s">
        <v>413</v>
      </c>
      <c r="E1689" s="74">
        <v>37299</v>
      </c>
      <c r="F1689" s="55" t="s">
        <v>344</v>
      </c>
      <c r="G1689" s="55" t="s">
        <v>2371</v>
      </c>
      <c r="H1689" s="55" t="s">
        <v>2371</v>
      </c>
      <c r="I1689" s="55" t="s">
        <v>2372</v>
      </c>
      <c r="J1689" s="55" t="s">
        <v>2373</v>
      </c>
      <c r="K1689" s="55" t="s">
        <v>2374</v>
      </c>
      <c r="L1689" s="55" t="s">
        <v>2375</v>
      </c>
      <c r="M1689" s="55" t="s">
        <v>378</v>
      </c>
      <c r="N1689" s="55" t="s">
        <v>134</v>
      </c>
      <c r="O1689" s="55" t="s">
        <v>158</v>
      </c>
      <c r="P1689" s="55" t="s">
        <v>912</v>
      </c>
      <c r="Q1689" s="55" t="s">
        <v>362</v>
      </c>
      <c r="R1689" s="55">
        <v>80</v>
      </c>
      <c r="S1689" s="55"/>
      <c r="T1689" s="55" t="s">
        <v>2376</v>
      </c>
    </row>
    <row r="1690" spans="1:20" ht="13" x14ac:dyDescent="0.15">
      <c r="A1690" s="72" t="str">
        <f t="shared" si="26"/>
        <v>Ofsted Social Care Provider Webpage</v>
      </c>
      <c r="B1690" s="55" t="s">
        <v>2377</v>
      </c>
      <c r="D1690" s="55" t="s">
        <v>373</v>
      </c>
      <c r="E1690" s="74">
        <v>37347</v>
      </c>
      <c r="F1690" s="55" t="s">
        <v>344</v>
      </c>
      <c r="G1690" s="55" t="s">
        <v>360</v>
      </c>
      <c r="H1690" s="55" t="s">
        <v>360</v>
      </c>
      <c r="I1690" s="55" t="s">
        <v>360</v>
      </c>
      <c r="J1690" s="55" t="s">
        <v>360</v>
      </c>
      <c r="K1690" s="55" t="s">
        <v>360</v>
      </c>
      <c r="L1690" s="55" t="s">
        <v>360</v>
      </c>
      <c r="M1690" s="55" t="s">
        <v>378</v>
      </c>
      <c r="N1690" s="55" t="s">
        <v>134</v>
      </c>
      <c r="O1690" s="55" t="s">
        <v>210</v>
      </c>
      <c r="P1690" s="55" t="s">
        <v>542</v>
      </c>
      <c r="Q1690" s="55" t="s">
        <v>350</v>
      </c>
      <c r="R1690" s="55">
        <v>6</v>
      </c>
      <c r="S1690" s="55"/>
      <c r="T1690" s="55" t="s">
        <v>2197</v>
      </c>
    </row>
    <row r="1691" spans="1:20" ht="13" x14ac:dyDescent="0.15">
      <c r="A1691" s="72" t="str">
        <f t="shared" si="26"/>
        <v>Ofsted Social Care Provider Webpage</v>
      </c>
      <c r="B1691" s="55" t="s">
        <v>2378</v>
      </c>
      <c r="D1691" s="55" t="s">
        <v>373</v>
      </c>
      <c r="E1691" s="74">
        <v>37347</v>
      </c>
      <c r="F1691" s="55" t="s">
        <v>344</v>
      </c>
      <c r="G1691" s="55" t="s">
        <v>360</v>
      </c>
      <c r="H1691" s="55" t="s">
        <v>360</v>
      </c>
      <c r="I1691" s="55" t="s">
        <v>360</v>
      </c>
      <c r="J1691" s="55" t="s">
        <v>360</v>
      </c>
      <c r="K1691" s="55" t="s">
        <v>360</v>
      </c>
      <c r="L1691" s="55" t="s">
        <v>360</v>
      </c>
      <c r="M1691" s="55" t="s">
        <v>378</v>
      </c>
      <c r="N1691" s="55" t="s">
        <v>134</v>
      </c>
      <c r="O1691" s="55" t="s">
        <v>210</v>
      </c>
      <c r="P1691" s="55" t="s">
        <v>624</v>
      </c>
      <c r="Q1691" s="55" t="s">
        <v>362</v>
      </c>
      <c r="R1691" s="55">
        <v>7</v>
      </c>
      <c r="S1691" s="55"/>
      <c r="T1691" s="55" t="s">
        <v>2379</v>
      </c>
    </row>
    <row r="1692" spans="1:20" ht="13" x14ac:dyDescent="0.15">
      <c r="A1692" s="72" t="str">
        <f t="shared" si="26"/>
        <v>Ofsted Social Care Provider Webpage</v>
      </c>
      <c r="B1692" s="55" t="s">
        <v>2380</v>
      </c>
      <c r="C1692" s="55">
        <v>108120</v>
      </c>
      <c r="D1692" s="55" t="s">
        <v>413</v>
      </c>
      <c r="E1692" s="74">
        <v>36982</v>
      </c>
      <c r="F1692" s="55" t="s">
        <v>344</v>
      </c>
      <c r="G1692" s="55" t="s">
        <v>2381</v>
      </c>
      <c r="H1692" s="55" t="s">
        <v>2382</v>
      </c>
      <c r="I1692" s="55" t="s">
        <v>2383</v>
      </c>
      <c r="J1692" s="55" t="s">
        <v>2384</v>
      </c>
      <c r="K1692" s="55" t="s">
        <v>2374</v>
      </c>
      <c r="L1692" s="55" t="s">
        <v>2385</v>
      </c>
      <c r="M1692" s="55" t="s">
        <v>378</v>
      </c>
      <c r="N1692" s="55" t="s">
        <v>134</v>
      </c>
      <c r="O1692" s="55" t="s">
        <v>210</v>
      </c>
      <c r="P1692" s="55" t="s">
        <v>1950</v>
      </c>
      <c r="Q1692" s="55" t="s">
        <v>362</v>
      </c>
      <c r="R1692" s="55">
        <v>17</v>
      </c>
      <c r="S1692" s="55"/>
      <c r="T1692" s="55" t="s">
        <v>2386</v>
      </c>
    </row>
    <row r="1693" spans="1:20" ht="13" x14ac:dyDescent="0.15">
      <c r="A1693" s="72" t="str">
        <f t="shared" si="26"/>
        <v>Ofsted Social Care Provider Webpage</v>
      </c>
      <c r="B1693" s="55" t="s">
        <v>2387</v>
      </c>
      <c r="C1693" s="55">
        <v>120330</v>
      </c>
      <c r="D1693" s="55" t="s">
        <v>413</v>
      </c>
      <c r="E1693" s="74">
        <v>37299</v>
      </c>
      <c r="F1693" s="55" t="s">
        <v>344</v>
      </c>
      <c r="G1693" s="55" t="s">
        <v>2388</v>
      </c>
      <c r="H1693" s="55" t="s">
        <v>2389</v>
      </c>
      <c r="I1693" s="55" t="s">
        <v>2390</v>
      </c>
      <c r="J1693" s="55" t="s">
        <v>2391</v>
      </c>
      <c r="K1693" s="55" t="s">
        <v>212</v>
      </c>
      <c r="L1693" s="55" t="s">
        <v>2392</v>
      </c>
      <c r="M1693" s="55" t="s">
        <v>172</v>
      </c>
      <c r="N1693" s="55" t="s">
        <v>172</v>
      </c>
      <c r="O1693" s="55" t="s">
        <v>212</v>
      </c>
      <c r="P1693" s="55" t="s">
        <v>798</v>
      </c>
      <c r="Q1693" s="55" t="s">
        <v>350</v>
      </c>
      <c r="R1693" s="55">
        <v>14</v>
      </c>
      <c r="S1693" s="55"/>
      <c r="T1693" s="55" t="s">
        <v>881</v>
      </c>
    </row>
    <row r="1694" spans="1:20" ht="13" x14ac:dyDescent="0.15">
      <c r="A1694" s="72" t="str">
        <f t="shared" si="26"/>
        <v>Ofsted Social Care Provider Webpage</v>
      </c>
      <c r="B1694" s="55" t="s">
        <v>2393</v>
      </c>
      <c r="C1694" s="55">
        <v>113044</v>
      </c>
      <c r="D1694" s="55" t="s">
        <v>413</v>
      </c>
      <c r="E1694" s="74">
        <v>37299</v>
      </c>
      <c r="F1694" s="55" t="s">
        <v>344</v>
      </c>
      <c r="G1694" s="55" t="s">
        <v>2394</v>
      </c>
      <c r="H1694" s="55" t="s">
        <v>2395</v>
      </c>
      <c r="I1694" s="55" t="s">
        <v>2396</v>
      </c>
      <c r="J1694" s="55" t="s">
        <v>2397</v>
      </c>
      <c r="L1694" s="55" t="s">
        <v>2398</v>
      </c>
      <c r="M1694" s="55" t="s">
        <v>172</v>
      </c>
      <c r="N1694" s="55" t="s">
        <v>172</v>
      </c>
      <c r="O1694" s="55" t="s">
        <v>171</v>
      </c>
      <c r="P1694" s="55" t="s">
        <v>895</v>
      </c>
      <c r="Q1694" s="55" t="s">
        <v>362</v>
      </c>
      <c r="R1694" s="55">
        <v>63</v>
      </c>
      <c r="S1694" s="55"/>
      <c r="T1694" s="55" t="s">
        <v>2399</v>
      </c>
    </row>
    <row r="1695" spans="1:20" ht="13" x14ac:dyDescent="0.15">
      <c r="A1695" s="72" t="str">
        <f t="shared" si="26"/>
        <v>Ofsted Social Care Provider Webpage</v>
      </c>
      <c r="B1695" s="55" t="s">
        <v>2400</v>
      </c>
      <c r="C1695" s="55">
        <v>131119</v>
      </c>
      <c r="D1695" s="55" t="s">
        <v>398</v>
      </c>
      <c r="E1695" s="74">
        <v>37299</v>
      </c>
      <c r="F1695" s="55" t="s">
        <v>344</v>
      </c>
      <c r="G1695" s="55" t="s">
        <v>2401</v>
      </c>
      <c r="H1695" s="55" t="s">
        <v>2402</v>
      </c>
      <c r="I1695" s="55" t="s">
        <v>2403</v>
      </c>
      <c r="J1695" s="55" t="s">
        <v>2404</v>
      </c>
      <c r="L1695" s="55" t="s">
        <v>2405</v>
      </c>
      <c r="M1695" s="55" t="s">
        <v>172</v>
      </c>
      <c r="N1695" s="55" t="s">
        <v>172</v>
      </c>
      <c r="O1695" s="55" t="s">
        <v>234</v>
      </c>
      <c r="P1695" s="55" t="s">
        <v>965</v>
      </c>
      <c r="Q1695" s="55" t="s">
        <v>362</v>
      </c>
      <c r="R1695" s="55">
        <v>175</v>
      </c>
      <c r="S1695" s="55"/>
      <c r="T1695" s="55" t="s">
        <v>2406</v>
      </c>
    </row>
    <row r="1696" spans="1:20" ht="13" x14ac:dyDescent="0.15">
      <c r="A1696" s="72" t="str">
        <f t="shared" si="26"/>
        <v>Ofsted Social Care Provider Webpage</v>
      </c>
      <c r="B1696" s="55" t="s">
        <v>2407</v>
      </c>
      <c r="D1696" s="55" t="s">
        <v>373</v>
      </c>
      <c r="E1696" s="74">
        <v>37204</v>
      </c>
      <c r="F1696" s="55" t="s">
        <v>344</v>
      </c>
      <c r="G1696" s="55" t="s">
        <v>360</v>
      </c>
      <c r="H1696" s="55" t="s">
        <v>360</v>
      </c>
      <c r="I1696" s="55" t="s">
        <v>360</v>
      </c>
      <c r="J1696" s="55" t="s">
        <v>360</v>
      </c>
      <c r="K1696" s="55" t="s">
        <v>360</v>
      </c>
      <c r="L1696" s="55" t="s">
        <v>360</v>
      </c>
      <c r="M1696" s="55" t="s">
        <v>378</v>
      </c>
      <c r="N1696" s="55" t="s">
        <v>134</v>
      </c>
      <c r="O1696" s="55" t="s">
        <v>251</v>
      </c>
      <c r="P1696" s="55" t="s">
        <v>2408</v>
      </c>
      <c r="Q1696" s="55" t="s">
        <v>350</v>
      </c>
      <c r="R1696" s="55">
        <v>8</v>
      </c>
      <c r="S1696" s="55"/>
      <c r="T1696" s="55" t="s">
        <v>1259</v>
      </c>
    </row>
    <row r="1697" spans="1:20" ht="13" x14ac:dyDescent="0.15">
      <c r="A1697" s="72" t="str">
        <f t="shared" si="26"/>
        <v>Ofsted Social Care Provider Webpage</v>
      </c>
      <c r="B1697" s="55" t="s">
        <v>2409</v>
      </c>
      <c r="D1697" s="55" t="s">
        <v>373</v>
      </c>
      <c r="E1697" s="74">
        <v>36391</v>
      </c>
      <c r="F1697" s="55" t="s">
        <v>344</v>
      </c>
      <c r="G1697" s="55" t="s">
        <v>360</v>
      </c>
      <c r="H1697" s="55" t="s">
        <v>360</v>
      </c>
      <c r="I1697" s="55" t="s">
        <v>360</v>
      </c>
      <c r="J1697" s="55" t="s">
        <v>360</v>
      </c>
      <c r="K1697" s="55" t="s">
        <v>360</v>
      </c>
      <c r="L1697" s="55" t="s">
        <v>360</v>
      </c>
      <c r="M1697" s="55" t="s">
        <v>136</v>
      </c>
      <c r="N1697" s="55" t="s">
        <v>136</v>
      </c>
      <c r="O1697" s="55" t="s">
        <v>174</v>
      </c>
      <c r="P1697" s="55" t="s">
        <v>1975</v>
      </c>
      <c r="Q1697" s="55" t="s">
        <v>362</v>
      </c>
      <c r="R1697" s="55">
        <v>10</v>
      </c>
      <c r="S1697" s="55"/>
      <c r="T1697" s="55" t="s">
        <v>2410</v>
      </c>
    </row>
    <row r="1698" spans="1:20" ht="13" x14ac:dyDescent="0.15">
      <c r="A1698" s="72" t="str">
        <f t="shared" si="26"/>
        <v>Ofsted Social Care Provider Webpage</v>
      </c>
      <c r="B1698" s="55" t="s">
        <v>2411</v>
      </c>
      <c r="D1698" s="55" t="s">
        <v>373</v>
      </c>
      <c r="E1698" s="74">
        <v>37183</v>
      </c>
      <c r="F1698" s="55" t="s">
        <v>344</v>
      </c>
      <c r="G1698" s="55" t="s">
        <v>360</v>
      </c>
      <c r="H1698" s="55" t="s">
        <v>360</v>
      </c>
      <c r="I1698" s="55" t="s">
        <v>360</v>
      </c>
      <c r="J1698" s="55" t="s">
        <v>360</v>
      </c>
      <c r="K1698" s="55" t="s">
        <v>360</v>
      </c>
      <c r="L1698" s="55" t="s">
        <v>360</v>
      </c>
      <c r="M1698" s="55" t="s">
        <v>136</v>
      </c>
      <c r="N1698" s="55" t="s">
        <v>136</v>
      </c>
      <c r="O1698" s="55" t="s">
        <v>174</v>
      </c>
      <c r="P1698" s="55" t="s">
        <v>651</v>
      </c>
      <c r="Q1698" s="55" t="s">
        <v>350</v>
      </c>
      <c r="R1698" s="55">
        <v>1</v>
      </c>
      <c r="S1698" s="55"/>
      <c r="T1698" s="55" t="s">
        <v>652</v>
      </c>
    </row>
    <row r="1699" spans="1:20" ht="13" x14ac:dyDescent="0.15">
      <c r="A1699" s="72" t="str">
        <f t="shared" si="26"/>
        <v>Ofsted Social Care Provider Webpage</v>
      </c>
      <c r="B1699" s="55" t="s">
        <v>2412</v>
      </c>
      <c r="D1699" s="55" t="s">
        <v>413</v>
      </c>
      <c r="E1699" s="74">
        <v>37300</v>
      </c>
      <c r="F1699" s="55" t="s">
        <v>344</v>
      </c>
      <c r="G1699" s="55" t="s">
        <v>2413</v>
      </c>
      <c r="H1699" s="55" t="s">
        <v>2413</v>
      </c>
      <c r="I1699" s="55" t="s">
        <v>2414</v>
      </c>
      <c r="J1699" s="55" t="s">
        <v>2415</v>
      </c>
      <c r="K1699" s="55" t="s">
        <v>174</v>
      </c>
      <c r="L1699" s="55" t="s">
        <v>2416</v>
      </c>
      <c r="M1699" s="55" t="s">
        <v>136</v>
      </c>
      <c r="N1699" s="55" t="s">
        <v>136</v>
      </c>
      <c r="O1699" s="55" t="s">
        <v>174</v>
      </c>
      <c r="P1699" s="55" t="s">
        <v>651</v>
      </c>
      <c r="Q1699" s="55" t="s">
        <v>380</v>
      </c>
      <c r="R1699" s="55">
        <v>35</v>
      </c>
      <c r="S1699" s="55"/>
      <c r="T1699" s="55" t="s">
        <v>1525</v>
      </c>
    </row>
    <row r="1700" spans="1:20" ht="13" x14ac:dyDescent="0.15">
      <c r="A1700" s="72" t="str">
        <f t="shared" si="26"/>
        <v>Ofsted Social Care Provider Webpage</v>
      </c>
      <c r="B1700" s="55" t="s">
        <v>2417</v>
      </c>
      <c r="D1700" s="55" t="s">
        <v>373</v>
      </c>
      <c r="E1700" s="74">
        <v>34946</v>
      </c>
      <c r="F1700" s="55" t="s">
        <v>344</v>
      </c>
      <c r="G1700" s="55" t="s">
        <v>360</v>
      </c>
      <c r="H1700" s="55" t="s">
        <v>360</v>
      </c>
      <c r="I1700" s="55" t="s">
        <v>360</v>
      </c>
      <c r="J1700" s="55" t="s">
        <v>360</v>
      </c>
      <c r="K1700" s="55" t="s">
        <v>360</v>
      </c>
      <c r="L1700" s="55" t="s">
        <v>360</v>
      </c>
      <c r="M1700" s="55" t="s">
        <v>136</v>
      </c>
      <c r="N1700" s="55" t="s">
        <v>136</v>
      </c>
      <c r="O1700" s="55" t="s">
        <v>705</v>
      </c>
      <c r="P1700" s="55" t="s">
        <v>706</v>
      </c>
      <c r="Q1700" s="55" t="s">
        <v>362</v>
      </c>
      <c r="R1700" s="55">
        <v>4</v>
      </c>
      <c r="S1700" s="55" t="s">
        <v>332</v>
      </c>
      <c r="T1700" s="55" t="s">
        <v>2418</v>
      </c>
    </row>
    <row r="1701" spans="1:20" ht="13" x14ac:dyDescent="0.15">
      <c r="A1701" s="72" t="str">
        <f t="shared" si="26"/>
        <v>Ofsted Social Care Provider Webpage</v>
      </c>
      <c r="B1701" s="55" t="s">
        <v>2419</v>
      </c>
      <c r="D1701" s="55" t="s">
        <v>373</v>
      </c>
      <c r="E1701" s="74">
        <v>34365</v>
      </c>
      <c r="F1701" s="55" t="s">
        <v>344</v>
      </c>
      <c r="G1701" s="55" t="s">
        <v>360</v>
      </c>
      <c r="H1701" s="55" t="s">
        <v>360</v>
      </c>
      <c r="I1701" s="55" t="s">
        <v>360</v>
      </c>
      <c r="J1701" s="55" t="s">
        <v>360</v>
      </c>
      <c r="K1701" s="55" t="s">
        <v>360</v>
      </c>
      <c r="L1701" s="55" t="s">
        <v>360</v>
      </c>
      <c r="M1701" s="55" t="s">
        <v>142</v>
      </c>
      <c r="N1701" s="55" t="s">
        <v>142</v>
      </c>
      <c r="O1701" s="55" t="s">
        <v>282</v>
      </c>
      <c r="P1701" s="55" t="s">
        <v>922</v>
      </c>
      <c r="Q1701" s="55" t="s">
        <v>362</v>
      </c>
      <c r="R1701" s="55">
        <v>5</v>
      </c>
      <c r="S1701" s="55" t="s">
        <v>332</v>
      </c>
      <c r="T1701" s="55" t="s">
        <v>367</v>
      </c>
    </row>
    <row r="1702" spans="1:20" ht="13" x14ac:dyDescent="0.15">
      <c r="A1702" s="72" t="str">
        <f t="shared" si="26"/>
        <v>Ofsted Social Care Provider Webpage</v>
      </c>
      <c r="B1702" s="55" t="s">
        <v>2420</v>
      </c>
      <c r="D1702" s="55" t="s">
        <v>373</v>
      </c>
      <c r="E1702" s="74">
        <v>36552</v>
      </c>
      <c r="F1702" s="55" t="s">
        <v>344</v>
      </c>
      <c r="G1702" s="55" t="s">
        <v>360</v>
      </c>
      <c r="H1702" s="55" t="s">
        <v>360</v>
      </c>
      <c r="I1702" s="55" t="s">
        <v>360</v>
      </c>
      <c r="J1702" s="55" t="s">
        <v>360</v>
      </c>
      <c r="K1702" s="55" t="s">
        <v>360</v>
      </c>
      <c r="L1702" s="55" t="s">
        <v>360</v>
      </c>
      <c r="M1702" s="55" t="s">
        <v>142</v>
      </c>
      <c r="N1702" s="55" t="s">
        <v>142</v>
      </c>
      <c r="O1702" s="55" t="s">
        <v>262</v>
      </c>
      <c r="P1702" s="55" t="s">
        <v>618</v>
      </c>
      <c r="Q1702" s="55" t="s">
        <v>350</v>
      </c>
      <c r="R1702" s="55">
        <v>4</v>
      </c>
      <c r="S1702" s="55"/>
      <c r="T1702" s="55" t="s">
        <v>1505</v>
      </c>
    </row>
    <row r="1703" spans="1:20" ht="13" x14ac:dyDescent="0.15">
      <c r="A1703" s="72" t="str">
        <f t="shared" si="26"/>
        <v>Ofsted Social Care Provider Webpage</v>
      </c>
      <c r="B1703" s="55" t="s">
        <v>2421</v>
      </c>
      <c r="D1703" s="55" t="s">
        <v>373</v>
      </c>
      <c r="E1703" s="74">
        <v>35478</v>
      </c>
      <c r="F1703" s="55" t="s">
        <v>344</v>
      </c>
      <c r="G1703" s="55" t="s">
        <v>360</v>
      </c>
      <c r="H1703" s="55" t="s">
        <v>360</v>
      </c>
      <c r="I1703" s="55" t="s">
        <v>360</v>
      </c>
      <c r="J1703" s="55" t="s">
        <v>360</v>
      </c>
      <c r="K1703" s="55" t="s">
        <v>360</v>
      </c>
      <c r="L1703" s="55" t="s">
        <v>360</v>
      </c>
      <c r="M1703" s="55" t="s">
        <v>142</v>
      </c>
      <c r="N1703" s="55" t="s">
        <v>142</v>
      </c>
      <c r="O1703" s="55" t="s">
        <v>262</v>
      </c>
      <c r="P1703" s="55" t="s">
        <v>488</v>
      </c>
      <c r="Q1703" s="55" t="s">
        <v>350</v>
      </c>
      <c r="R1703" s="55">
        <v>10</v>
      </c>
      <c r="S1703" s="55"/>
      <c r="T1703" s="55" t="s">
        <v>2422</v>
      </c>
    </row>
    <row r="1704" spans="1:20" ht="13" x14ac:dyDescent="0.15">
      <c r="A1704" s="72" t="str">
        <f t="shared" si="26"/>
        <v>Ofsted Social Care Provider Webpage</v>
      </c>
      <c r="B1704" s="55" t="s">
        <v>2423</v>
      </c>
      <c r="D1704" s="55" t="s">
        <v>479</v>
      </c>
      <c r="E1704" s="74">
        <v>35863</v>
      </c>
      <c r="F1704" s="55" t="s">
        <v>344</v>
      </c>
      <c r="G1704" s="55" t="s">
        <v>360</v>
      </c>
      <c r="H1704" s="55" t="s">
        <v>360</v>
      </c>
      <c r="I1704" s="55" t="s">
        <v>360</v>
      </c>
      <c r="J1704" s="55" t="s">
        <v>360</v>
      </c>
      <c r="K1704" s="55" t="s">
        <v>360</v>
      </c>
      <c r="L1704" s="55" t="s">
        <v>360</v>
      </c>
      <c r="M1704" s="55" t="s">
        <v>142</v>
      </c>
      <c r="N1704" s="55" t="s">
        <v>142</v>
      </c>
      <c r="O1704" s="55" t="s">
        <v>262</v>
      </c>
      <c r="P1704" s="55" t="s">
        <v>618</v>
      </c>
      <c r="Q1704" s="55" t="s">
        <v>350</v>
      </c>
      <c r="R1704" s="55">
        <v>12</v>
      </c>
      <c r="S1704" s="55"/>
      <c r="T1704" s="55" t="s">
        <v>1505</v>
      </c>
    </row>
    <row r="1705" spans="1:20" ht="13" x14ac:dyDescent="0.15">
      <c r="A1705" s="72" t="str">
        <f t="shared" si="26"/>
        <v>Ofsted Social Care Provider Webpage</v>
      </c>
      <c r="B1705" s="55" t="s">
        <v>2424</v>
      </c>
      <c r="D1705" s="55" t="s">
        <v>373</v>
      </c>
      <c r="E1705" s="74">
        <v>36552</v>
      </c>
      <c r="F1705" s="55" t="s">
        <v>344</v>
      </c>
      <c r="G1705" s="55" t="s">
        <v>360</v>
      </c>
      <c r="H1705" s="55" t="s">
        <v>360</v>
      </c>
      <c r="I1705" s="55" t="s">
        <v>360</v>
      </c>
      <c r="J1705" s="55" t="s">
        <v>360</v>
      </c>
      <c r="K1705" s="55" t="s">
        <v>360</v>
      </c>
      <c r="L1705" s="55" t="s">
        <v>360</v>
      </c>
      <c r="M1705" s="55" t="s">
        <v>142</v>
      </c>
      <c r="N1705" s="55" t="s">
        <v>142</v>
      </c>
      <c r="O1705" s="55" t="s">
        <v>262</v>
      </c>
      <c r="P1705" s="55" t="s">
        <v>618</v>
      </c>
      <c r="Q1705" s="55" t="s">
        <v>350</v>
      </c>
      <c r="R1705" s="55">
        <v>3</v>
      </c>
      <c r="S1705" s="55"/>
      <c r="T1705" s="55" t="s">
        <v>1505</v>
      </c>
    </row>
    <row r="1706" spans="1:20" ht="13" x14ac:dyDescent="0.15">
      <c r="A1706" s="72" t="str">
        <f t="shared" si="26"/>
        <v>Ofsted Social Care Provider Webpage</v>
      </c>
      <c r="B1706" s="55" t="s">
        <v>2425</v>
      </c>
      <c r="D1706" s="55" t="s">
        <v>479</v>
      </c>
      <c r="E1706" s="74">
        <v>35200</v>
      </c>
      <c r="F1706" s="55" t="s">
        <v>344</v>
      </c>
      <c r="G1706" s="55" t="s">
        <v>360</v>
      </c>
      <c r="H1706" s="55" t="s">
        <v>360</v>
      </c>
      <c r="I1706" s="55" t="s">
        <v>360</v>
      </c>
      <c r="J1706" s="55" t="s">
        <v>360</v>
      </c>
      <c r="K1706" s="55" t="s">
        <v>360</v>
      </c>
      <c r="L1706" s="55" t="s">
        <v>360</v>
      </c>
      <c r="M1706" s="55" t="s">
        <v>142</v>
      </c>
      <c r="N1706" s="55" t="s">
        <v>142</v>
      </c>
      <c r="O1706" s="55" t="s">
        <v>262</v>
      </c>
      <c r="P1706" s="55" t="s">
        <v>618</v>
      </c>
      <c r="Q1706" s="55" t="s">
        <v>350</v>
      </c>
      <c r="R1706" s="55">
        <v>8</v>
      </c>
      <c r="S1706" s="55"/>
      <c r="T1706" s="55" t="s">
        <v>1505</v>
      </c>
    </row>
    <row r="1707" spans="1:20" ht="13" x14ac:dyDescent="0.15">
      <c r="A1707" s="72" t="str">
        <f t="shared" si="26"/>
        <v>Ofsted Social Care Provider Webpage</v>
      </c>
      <c r="B1707" s="55" t="s">
        <v>2426</v>
      </c>
      <c r="D1707" s="55" t="s">
        <v>373</v>
      </c>
      <c r="E1707" s="74">
        <v>35200</v>
      </c>
      <c r="F1707" s="55" t="s">
        <v>344</v>
      </c>
      <c r="G1707" s="55" t="s">
        <v>360</v>
      </c>
      <c r="H1707" s="55" t="s">
        <v>360</v>
      </c>
      <c r="I1707" s="55" t="s">
        <v>360</v>
      </c>
      <c r="J1707" s="55" t="s">
        <v>360</v>
      </c>
      <c r="K1707" s="55" t="s">
        <v>360</v>
      </c>
      <c r="L1707" s="55" t="s">
        <v>360</v>
      </c>
      <c r="M1707" s="55" t="s">
        <v>142</v>
      </c>
      <c r="N1707" s="55" t="s">
        <v>142</v>
      </c>
      <c r="O1707" s="55" t="s">
        <v>262</v>
      </c>
      <c r="P1707" s="55" t="s">
        <v>618</v>
      </c>
      <c r="Q1707" s="55" t="s">
        <v>350</v>
      </c>
      <c r="R1707" s="55">
        <v>5</v>
      </c>
      <c r="S1707" s="55"/>
      <c r="T1707" s="55" t="s">
        <v>1505</v>
      </c>
    </row>
    <row r="1708" spans="1:20" ht="13" x14ac:dyDescent="0.15">
      <c r="A1708" s="72" t="str">
        <f t="shared" si="26"/>
        <v>Ofsted Social Care Provider Webpage</v>
      </c>
      <c r="B1708" s="55" t="s">
        <v>2427</v>
      </c>
      <c r="D1708" s="55" t="s">
        <v>373</v>
      </c>
      <c r="E1708" s="74">
        <v>37283</v>
      </c>
      <c r="F1708" s="55" t="s">
        <v>344</v>
      </c>
      <c r="G1708" s="55" t="s">
        <v>360</v>
      </c>
      <c r="H1708" s="55" t="s">
        <v>360</v>
      </c>
      <c r="I1708" s="55" t="s">
        <v>360</v>
      </c>
      <c r="J1708" s="55" t="s">
        <v>360</v>
      </c>
      <c r="K1708" s="55" t="s">
        <v>360</v>
      </c>
      <c r="L1708" s="55" t="s">
        <v>360</v>
      </c>
      <c r="M1708" s="55" t="s">
        <v>142</v>
      </c>
      <c r="N1708" s="55" t="s">
        <v>142</v>
      </c>
      <c r="O1708" s="55" t="s">
        <v>262</v>
      </c>
      <c r="P1708" s="55" t="s">
        <v>618</v>
      </c>
      <c r="Q1708" s="55" t="s">
        <v>350</v>
      </c>
      <c r="R1708" s="55">
        <v>2</v>
      </c>
      <c r="S1708" s="55"/>
      <c r="T1708" s="55" t="s">
        <v>1505</v>
      </c>
    </row>
    <row r="1709" spans="1:20" ht="13" x14ac:dyDescent="0.15">
      <c r="A1709" s="72" t="str">
        <f t="shared" si="26"/>
        <v>Ofsted Social Care Provider Webpage</v>
      </c>
      <c r="B1709" s="55" t="s">
        <v>2428</v>
      </c>
      <c r="D1709" s="55" t="s">
        <v>373</v>
      </c>
      <c r="E1709" s="74">
        <v>36749</v>
      </c>
      <c r="F1709" s="55" t="s">
        <v>344</v>
      </c>
      <c r="G1709" s="55" t="s">
        <v>360</v>
      </c>
      <c r="H1709" s="55" t="s">
        <v>360</v>
      </c>
      <c r="I1709" s="55" t="s">
        <v>360</v>
      </c>
      <c r="J1709" s="55" t="s">
        <v>360</v>
      </c>
      <c r="K1709" s="55" t="s">
        <v>360</v>
      </c>
      <c r="L1709" s="55" t="s">
        <v>360</v>
      </c>
      <c r="M1709" s="55" t="s">
        <v>144</v>
      </c>
      <c r="N1709" s="55" t="s">
        <v>144</v>
      </c>
      <c r="O1709" s="55" t="s">
        <v>188</v>
      </c>
      <c r="P1709" s="55" t="s">
        <v>188</v>
      </c>
      <c r="Q1709" s="55" t="s">
        <v>350</v>
      </c>
      <c r="R1709" s="55">
        <v>6</v>
      </c>
      <c r="S1709" s="55"/>
      <c r="T1709" s="55" t="s">
        <v>1363</v>
      </c>
    </row>
    <row r="1710" spans="1:20" ht="13" x14ac:dyDescent="0.15">
      <c r="A1710" s="72" t="str">
        <f t="shared" si="26"/>
        <v>Ofsted Social Care Provider Webpage</v>
      </c>
      <c r="B1710" s="55" t="s">
        <v>2429</v>
      </c>
      <c r="D1710" s="55" t="s">
        <v>373</v>
      </c>
      <c r="E1710" s="74">
        <v>36312</v>
      </c>
      <c r="F1710" s="55" t="s">
        <v>344</v>
      </c>
      <c r="G1710" s="55" t="s">
        <v>360</v>
      </c>
      <c r="H1710" s="55" t="s">
        <v>360</v>
      </c>
      <c r="I1710" s="55" t="s">
        <v>360</v>
      </c>
      <c r="J1710" s="55" t="s">
        <v>360</v>
      </c>
      <c r="K1710" s="55" t="s">
        <v>360</v>
      </c>
      <c r="L1710" s="55" t="s">
        <v>360</v>
      </c>
      <c r="M1710" s="55" t="s">
        <v>144</v>
      </c>
      <c r="N1710" s="55" t="s">
        <v>144</v>
      </c>
      <c r="O1710" s="55" t="s">
        <v>236</v>
      </c>
      <c r="P1710" s="55" t="s">
        <v>996</v>
      </c>
      <c r="Q1710" s="55" t="s">
        <v>350</v>
      </c>
      <c r="R1710" s="55">
        <v>5</v>
      </c>
      <c r="S1710" s="55"/>
      <c r="T1710" s="55" t="s">
        <v>2430</v>
      </c>
    </row>
    <row r="1711" spans="1:20" ht="13" x14ac:dyDescent="0.15">
      <c r="A1711" s="72" t="str">
        <f t="shared" si="26"/>
        <v>Ofsted Social Care Provider Webpage</v>
      </c>
      <c r="B1711" s="55" t="s">
        <v>2431</v>
      </c>
      <c r="D1711" s="55" t="s">
        <v>373</v>
      </c>
      <c r="E1711" s="74">
        <v>37071</v>
      </c>
      <c r="F1711" s="55" t="s">
        <v>344</v>
      </c>
      <c r="G1711" s="55" t="s">
        <v>360</v>
      </c>
      <c r="H1711" s="55" t="s">
        <v>360</v>
      </c>
      <c r="I1711" s="55" t="s">
        <v>360</v>
      </c>
      <c r="J1711" s="55" t="s">
        <v>360</v>
      </c>
      <c r="K1711" s="55" t="s">
        <v>360</v>
      </c>
      <c r="L1711" s="55" t="s">
        <v>360</v>
      </c>
      <c r="M1711" s="55" t="s">
        <v>144</v>
      </c>
      <c r="N1711" s="55" t="s">
        <v>144</v>
      </c>
      <c r="O1711" s="55" t="s">
        <v>271</v>
      </c>
      <c r="P1711" s="55" t="s">
        <v>870</v>
      </c>
      <c r="Q1711" s="55" t="s">
        <v>350</v>
      </c>
      <c r="R1711" s="55">
        <v>4</v>
      </c>
      <c r="S1711" s="55"/>
      <c r="T1711" s="55" t="s">
        <v>2432</v>
      </c>
    </row>
    <row r="1712" spans="1:20" ht="13" x14ac:dyDescent="0.15">
      <c r="A1712" s="72" t="str">
        <f t="shared" si="26"/>
        <v>Ofsted Social Care Provider Webpage</v>
      </c>
      <c r="B1712" s="55" t="s">
        <v>2433</v>
      </c>
      <c r="D1712" s="55" t="s">
        <v>373</v>
      </c>
      <c r="E1712" s="74">
        <v>37082</v>
      </c>
      <c r="F1712" s="55" t="s">
        <v>344</v>
      </c>
      <c r="G1712" s="55" t="s">
        <v>360</v>
      </c>
      <c r="H1712" s="55" t="s">
        <v>360</v>
      </c>
      <c r="I1712" s="55" t="s">
        <v>360</v>
      </c>
      <c r="J1712" s="55" t="s">
        <v>360</v>
      </c>
      <c r="K1712" s="55" t="s">
        <v>360</v>
      </c>
      <c r="L1712" s="55" t="s">
        <v>360</v>
      </c>
      <c r="M1712" s="55" t="s">
        <v>144</v>
      </c>
      <c r="N1712" s="55" t="s">
        <v>144</v>
      </c>
      <c r="O1712" s="55" t="s">
        <v>271</v>
      </c>
      <c r="P1712" s="55" t="s">
        <v>1122</v>
      </c>
      <c r="Q1712" s="55" t="s">
        <v>350</v>
      </c>
      <c r="R1712" s="55">
        <v>2</v>
      </c>
      <c r="S1712" s="55"/>
      <c r="T1712" s="55" t="s">
        <v>1505</v>
      </c>
    </row>
    <row r="1713" spans="1:20" ht="13" x14ac:dyDescent="0.15">
      <c r="A1713" s="72" t="str">
        <f t="shared" si="26"/>
        <v>Ofsted Social Care Provider Webpage</v>
      </c>
      <c r="B1713" s="55" t="s">
        <v>2434</v>
      </c>
      <c r="D1713" s="55" t="s">
        <v>373</v>
      </c>
      <c r="E1713" s="74">
        <v>37104</v>
      </c>
      <c r="F1713" s="55" t="s">
        <v>344</v>
      </c>
      <c r="G1713" s="55" t="s">
        <v>360</v>
      </c>
      <c r="H1713" s="55" t="s">
        <v>360</v>
      </c>
      <c r="I1713" s="55" t="s">
        <v>360</v>
      </c>
      <c r="J1713" s="55" t="s">
        <v>360</v>
      </c>
      <c r="K1713" s="55" t="s">
        <v>360</v>
      </c>
      <c r="L1713" s="55" t="s">
        <v>360</v>
      </c>
      <c r="M1713" s="55" t="s">
        <v>144</v>
      </c>
      <c r="N1713" s="55" t="s">
        <v>144</v>
      </c>
      <c r="O1713" s="55" t="s">
        <v>287</v>
      </c>
      <c r="P1713" s="55" t="s">
        <v>815</v>
      </c>
      <c r="Q1713" s="55" t="s">
        <v>350</v>
      </c>
      <c r="R1713" s="55">
        <v>1</v>
      </c>
      <c r="S1713" s="55"/>
      <c r="T1713" s="55" t="s">
        <v>2435</v>
      </c>
    </row>
    <row r="1714" spans="1:20" ht="13" x14ac:dyDescent="0.15">
      <c r="A1714" s="72" t="str">
        <f t="shared" si="26"/>
        <v>Ofsted Social Care Provider Webpage</v>
      </c>
      <c r="B1714" s="55" t="s">
        <v>2436</v>
      </c>
      <c r="C1714" s="55">
        <v>131389</v>
      </c>
      <c r="D1714" s="55" t="s">
        <v>398</v>
      </c>
      <c r="E1714" s="74">
        <v>37300</v>
      </c>
      <c r="F1714" s="55" t="s">
        <v>344</v>
      </c>
      <c r="G1714" s="55" t="s">
        <v>2437</v>
      </c>
      <c r="H1714" s="55" t="s">
        <v>2438</v>
      </c>
      <c r="I1714" s="55" t="s">
        <v>354</v>
      </c>
      <c r="J1714" s="55" t="s">
        <v>2439</v>
      </c>
      <c r="K1714" s="55" t="s">
        <v>209</v>
      </c>
      <c r="L1714" s="55" t="s">
        <v>2440</v>
      </c>
      <c r="M1714" s="55" t="s">
        <v>144</v>
      </c>
      <c r="N1714" s="55" t="s">
        <v>144</v>
      </c>
      <c r="O1714" s="55" t="s">
        <v>143</v>
      </c>
      <c r="P1714" s="55" t="s">
        <v>2439</v>
      </c>
      <c r="Q1714" s="55" t="s">
        <v>350</v>
      </c>
      <c r="R1714" s="55">
        <v>250</v>
      </c>
      <c r="S1714" s="55"/>
      <c r="T1714" s="55" t="s">
        <v>2441</v>
      </c>
    </row>
    <row r="1715" spans="1:20" ht="13" x14ac:dyDescent="0.15">
      <c r="A1715" s="72" t="str">
        <f t="shared" si="26"/>
        <v>Ofsted Social Care Provider Webpage</v>
      </c>
      <c r="B1715" s="55" t="s">
        <v>2442</v>
      </c>
      <c r="D1715" s="55" t="s">
        <v>373</v>
      </c>
      <c r="E1715" s="74">
        <v>37062</v>
      </c>
      <c r="F1715" s="55" t="s">
        <v>344</v>
      </c>
      <c r="G1715" s="55" t="s">
        <v>360</v>
      </c>
      <c r="H1715" s="55" t="s">
        <v>360</v>
      </c>
      <c r="I1715" s="55" t="s">
        <v>360</v>
      </c>
      <c r="J1715" s="55" t="s">
        <v>360</v>
      </c>
      <c r="K1715" s="55" t="s">
        <v>360</v>
      </c>
      <c r="L1715" s="55" t="s">
        <v>360</v>
      </c>
      <c r="M1715" s="55" t="s">
        <v>144</v>
      </c>
      <c r="N1715" s="55" t="s">
        <v>144</v>
      </c>
      <c r="O1715" s="55" t="s">
        <v>209</v>
      </c>
      <c r="P1715" s="55" t="s">
        <v>597</v>
      </c>
      <c r="Q1715" s="55" t="s">
        <v>350</v>
      </c>
      <c r="R1715" s="55">
        <v>1</v>
      </c>
      <c r="S1715" s="55"/>
      <c r="T1715" s="55" t="s">
        <v>2435</v>
      </c>
    </row>
    <row r="1716" spans="1:20" ht="13" x14ac:dyDescent="0.15">
      <c r="A1716" s="72" t="str">
        <f t="shared" si="26"/>
        <v>Ofsted Social Care Provider Webpage</v>
      </c>
      <c r="B1716" s="55" t="s">
        <v>2443</v>
      </c>
      <c r="D1716" s="55" t="s">
        <v>373</v>
      </c>
      <c r="E1716" s="74">
        <v>37062</v>
      </c>
      <c r="F1716" s="55" t="s">
        <v>344</v>
      </c>
      <c r="G1716" s="55" t="s">
        <v>360</v>
      </c>
      <c r="H1716" s="55" t="s">
        <v>360</v>
      </c>
      <c r="I1716" s="55" t="s">
        <v>360</v>
      </c>
      <c r="J1716" s="55" t="s">
        <v>360</v>
      </c>
      <c r="K1716" s="55" t="s">
        <v>360</v>
      </c>
      <c r="L1716" s="55" t="s">
        <v>360</v>
      </c>
      <c r="M1716" s="55" t="s">
        <v>144</v>
      </c>
      <c r="N1716" s="55" t="s">
        <v>144</v>
      </c>
      <c r="O1716" s="55" t="s">
        <v>209</v>
      </c>
      <c r="P1716" s="55" t="s">
        <v>597</v>
      </c>
      <c r="Q1716" s="55" t="s">
        <v>350</v>
      </c>
      <c r="R1716" s="55">
        <v>2</v>
      </c>
      <c r="S1716" s="55"/>
      <c r="T1716" s="55" t="s">
        <v>2435</v>
      </c>
    </row>
    <row r="1717" spans="1:20" ht="13" x14ac:dyDescent="0.15">
      <c r="A1717" s="72" t="str">
        <f t="shared" si="26"/>
        <v>Ofsted Social Care Provider Webpage</v>
      </c>
      <c r="B1717" s="55" t="s">
        <v>2444</v>
      </c>
      <c r="D1717" s="55" t="s">
        <v>373</v>
      </c>
      <c r="E1717" s="74">
        <v>37062</v>
      </c>
      <c r="F1717" s="55" t="s">
        <v>344</v>
      </c>
      <c r="G1717" s="55" t="s">
        <v>360</v>
      </c>
      <c r="H1717" s="55" t="s">
        <v>360</v>
      </c>
      <c r="I1717" s="55" t="s">
        <v>360</v>
      </c>
      <c r="J1717" s="55" t="s">
        <v>360</v>
      </c>
      <c r="K1717" s="55" t="s">
        <v>360</v>
      </c>
      <c r="L1717" s="55" t="s">
        <v>360</v>
      </c>
      <c r="M1717" s="55" t="s">
        <v>144</v>
      </c>
      <c r="N1717" s="55" t="s">
        <v>144</v>
      </c>
      <c r="O1717" s="55" t="s">
        <v>209</v>
      </c>
      <c r="P1717" s="55" t="s">
        <v>597</v>
      </c>
      <c r="Q1717" s="55" t="s">
        <v>350</v>
      </c>
      <c r="R1717" s="55">
        <v>1</v>
      </c>
      <c r="S1717" s="55"/>
      <c r="T1717" s="55" t="s">
        <v>2435</v>
      </c>
    </row>
    <row r="1718" spans="1:20" ht="13" x14ac:dyDescent="0.15">
      <c r="A1718" s="72" t="str">
        <f t="shared" si="26"/>
        <v>Ofsted Social Care Provider Webpage</v>
      </c>
      <c r="B1718" s="55" t="s">
        <v>2445</v>
      </c>
      <c r="D1718" s="55" t="s">
        <v>373</v>
      </c>
      <c r="E1718" s="74">
        <v>37062</v>
      </c>
      <c r="F1718" s="55" t="s">
        <v>344</v>
      </c>
      <c r="G1718" s="55" t="s">
        <v>360</v>
      </c>
      <c r="H1718" s="55" t="s">
        <v>360</v>
      </c>
      <c r="I1718" s="55" t="s">
        <v>360</v>
      </c>
      <c r="J1718" s="55" t="s">
        <v>360</v>
      </c>
      <c r="K1718" s="55" t="s">
        <v>360</v>
      </c>
      <c r="L1718" s="55" t="s">
        <v>360</v>
      </c>
      <c r="M1718" s="55" t="s">
        <v>144</v>
      </c>
      <c r="N1718" s="55" t="s">
        <v>144</v>
      </c>
      <c r="O1718" s="55" t="s">
        <v>209</v>
      </c>
      <c r="P1718" s="55" t="s">
        <v>597</v>
      </c>
      <c r="Q1718" s="55" t="s">
        <v>350</v>
      </c>
      <c r="R1718" s="55">
        <v>3</v>
      </c>
      <c r="S1718" s="55"/>
      <c r="T1718" s="55" t="s">
        <v>2435</v>
      </c>
    </row>
    <row r="1719" spans="1:20" ht="13" x14ac:dyDescent="0.15">
      <c r="A1719" s="72" t="str">
        <f t="shared" si="26"/>
        <v>Ofsted Social Care Provider Webpage</v>
      </c>
      <c r="B1719" s="55" t="s">
        <v>2446</v>
      </c>
      <c r="D1719" s="55" t="s">
        <v>373</v>
      </c>
      <c r="E1719" s="74">
        <v>37062</v>
      </c>
      <c r="F1719" s="55" t="s">
        <v>344</v>
      </c>
      <c r="G1719" s="55" t="s">
        <v>360</v>
      </c>
      <c r="H1719" s="55" t="s">
        <v>360</v>
      </c>
      <c r="I1719" s="55" t="s">
        <v>360</v>
      </c>
      <c r="J1719" s="55" t="s">
        <v>360</v>
      </c>
      <c r="K1719" s="55" t="s">
        <v>360</v>
      </c>
      <c r="L1719" s="55" t="s">
        <v>360</v>
      </c>
      <c r="M1719" s="55" t="s">
        <v>144</v>
      </c>
      <c r="N1719" s="55" t="s">
        <v>144</v>
      </c>
      <c r="O1719" s="55" t="s">
        <v>209</v>
      </c>
      <c r="P1719" s="55" t="s">
        <v>597</v>
      </c>
      <c r="Q1719" s="55" t="s">
        <v>350</v>
      </c>
      <c r="R1719" s="55">
        <v>1</v>
      </c>
      <c r="S1719" s="55"/>
      <c r="T1719" s="55" t="s">
        <v>2435</v>
      </c>
    </row>
    <row r="1720" spans="1:20" ht="13" x14ac:dyDescent="0.15">
      <c r="A1720" s="72" t="str">
        <f t="shared" si="26"/>
        <v>Ofsted Social Care Provider Webpage</v>
      </c>
      <c r="B1720" s="55" t="s">
        <v>2447</v>
      </c>
      <c r="D1720" s="55" t="s">
        <v>373</v>
      </c>
      <c r="E1720" s="74">
        <v>35929</v>
      </c>
      <c r="F1720" s="55" t="s">
        <v>344</v>
      </c>
      <c r="G1720" s="55" t="s">
        <v>360</v>
      </c>
      <c r="H1720" s="55" t="s">
        <v>360</v>
      </c>
      <c r="I1720" s="55" t="s">
        <v>360</v>
      </c>
      <c r="J1720" s="55" t="s">
        <v>360</v>
      </c>
      <c r="K1720" s="55" t="s">
        <v>360</v>
      </c>
      <c r="L1720" s="55" t="s">
        <v>360</v>
      </c>
      <c r="M1720" s="55" t="s">
        <v>378</v>
      </c>
      <c r="N1720" s="55" t="s">
        <v>134</v>
      </c>
      <c r="O1720" s="55" t="s">
        <v>277</v>
      </c>
      <c r="P1720" s="55" t="s">
        <v>1362</v>
      </c>
      <c r="Q1720" s="55" t="s">
        <v>350</v>
      </c>
      <c r="R1720" s="55">
        <v>4</v>
      </c>
      <c r="S1720" s="55"/>
      <c r="T1720" s="55" t="s">
        <v>2448</v>
      </c>
    </row>
    <row r="1721" spans="1:20" ht="13" x14ac:dyDescent="0.15">
      <c r="A1721" s="72" t="str">
        <f t="shared" si="26"/>
        <v>Ofsted Social Care Provider Webpage</v>
      </c>
      <c r="B1721" s="55" t="s">
        <v>2449</v>
      </c>
      <c r="C1721" s="55">
        <v>120345</v>
      </c>
      <c r="D1721" s="55" t="s">
        <v>398</v>
      </c>
      <c r="E1721" s="74">
        <v>37300</v>
      </c>
      <c r="F1721" s="55" t="s">
        <v>344</v>
      </c>
      <c r="G1721" s="55" t="s">
        <v>2450</v>
      </c>
      <c r="H1721" s="55" t="s">
        <v>2450</v>
      </c>
      <c r="I1721" s="55" t="s">
        <v>2451</v>
      </c>
      <c r="J1721" s="55" t="s">
        <v>211</v>
      </c>
      <c r="L1721" s="55" t="s">
        <v>2452</v>
      </c>
      <c r="M1721" s="55" t="s">
        <v>172</v>
      </c>
      <c r="N1721" s="55" t="s">
        <v>172</v>
      </c>
      <c r="O1721" s="55" t="s">
        <v>211</v>
      </c>
      <c r="P1721" s="55" t="s">
        <v>1062</v>
      </c>
      <c r="Q1721" s="55" t="s">
        <v>362</v>
      </c>
      <c r="R1721" s="55">
        <v>70</v>
      </c>
      <c r="S1721" s="55"/>
    </row>
    <row r="1722" spans="1:20" ht="13" x14ac:dyDescent="0.15">
      <c r="A1722" s="72" t="str">
        <f t="shared" si="26"/>
        <v>Ofsted Social Care Provider Webpage</v>
      </c>
      <c r="B1722" s="55" t="s">
        <v>2453</v>
      </c>
      <c r="C1722" s="55">
        <v>138094</v>
      </c>
      <c r="D1722" s="55" t="s">
        <v>413</v>
      </c>
      <c r="E1722" s="74">
        <v>37300</v>
      </c>
      <c r="F1722" s="55" t="s">
        <v>344</v>
      </c>
      <c r="G1722" s="55" t="s">
        <v>2454</v>
      </c>
      <c r="H1722" s="55" t="s">
        <v>2455</v>
      </c>
      <c r="I1722" s="55" t="s">
        <v>2456</v>
      </c>
      <c r="J1722" s="55" t="s">
        <v>2457</v>
      </c>
      <c r="L1722" s="55" t="s">
        <v>2458</v>
      </c>
      <c r="M1722" s="55" t="s">
        <v>172</v>
      </c>
      <c r="N1722" s="55" t="s">
        <v>172</v>
      </c>
      <c r="O1722" s="55" t="s">
        <v>211</v>
      </c>
      <c r="P1722" s="55" t="s">
        <v>1062</v>
      </c>
      <c r="Q1722" s="55" t="s">
        <v>420</v>
      </c>
      <c r="R1722" s="55">
        <v>18</v>
      </c>
      <c r="S1722" s="55"/>
      <c r="T1722" s="55" t="s">
        <v>2459</v>
      </c>
    </row>
    <row r="1723" spans="1:20" ht="13" x14ac:dyDescent="0.15">
      <c r="A1723" s="72" t="str">
        <f t="shared" si="26"/>
        <v>Ofsted Social Care Provider Webpage</v>
      </c>
      <c r="B1723" s="55" t="s">
        <v>2460</v>
      </c>
      <c r="D1723" s="55" t="s">
        <v>413</v>
      </c>
      <c r="E1723" s="74">
        <v>37300</v>
      </c>
      <c r="F1723" s="55" t="s">
        <v>344</v>
      </c>
      <c r="G1723" s="55" t="s">
        <v>2461</v>
      </c>
      <c r="H1723" s="55" t="s">
        <v>2461</v>
      </c>
      <c r="I1723" s="55" t="s">
        <v>2462</v>
      </c>
      <c r="J1723" s="55" t="s">
        <v>211</v>
      </c>
      <c r="L1723" s="55" t="s">
        <v>2463</v>
      </c>
      <c r="M1723" s="55" t="s">
        <v>172</v>
      </c>
      <c r="N1723" s="55" t="s">
        <v>172</v>
      </c>
      <c r="O1723" s="55" t="s">
        <v>211</v>
      </c>
      <c r="P1723" s="55" t="s">
        <v>2228</v>
      </c>
      <c r="Q1723" s="55" t="s">
        <v>380</v>
      </c>
      <c r="R1723" s="55">
        <v>8</v>
      </c>
      <c r="S1723" s="55"/>
      <c r="T1723" s="55" t="s">
        <v>2464</v>
      </c>
    </row>
    <row r="1724" spans="1:20" ht="13" x14ac:dyDescent="0.15">
      <c r="A1724" s="72" t="str">
        <f t="shared" si="26"/>
        <v>Ofsted Social Care Provider Webpage</v>
      </c>
      <c r="B1724" s="55" t="s">
        <v>2465</v>
      </c>
      <c r="C1724" s="55">
        <v>111505</v>
      </c>
      <c r="D1724" s="55" t="s">
        <v>413</v>
      </c>
      <c r="E1724" s="74">
        <v>37300</v>
      </c>
      <c r="F1724" s="55" t="s">
        <v>344</v>
      </c>
      <c r="G1724" s="55" t="s">
        <v>2466</v>
      </c>
      <c r="H1724" s="55" t="s">
        <v>2467</v>
      </c>
      <c r="I1724" s="55" t="s">
        <v>354</v>
      </c>
      <c r="J1724" s="55" t="s">
        <v>2468</v>
      </c>
      <c r="K1724" s="55" t="s">
        <v>2469</v>
      </c>
      <c r="L1724" s="55" t="s">
        <v>2470</v>
      </c>
      <c r="M1724" s="55" t="s">
        <v>144</v>
      </c>
      <c r="N1724" s="55" t="s">
        <v>144</v>
      </c>
      <c r="O1724" s="55" t="s">
        <v>163</v>
      </c>
      <c r="P1724" s="55" t="s">
        <v>376</v>
      </c>
      <c r="Q1724" s="55" t="s">
        <v>380</v>
      </c>
      <c r="R1724" s="55">
        <v>14</v>
      </c>
      <c r="S1724" s="55"/>
      <c r="T1724" s="55" t="s">
        <v>473</v>
      </c>
    </row>
    <row r="1725" spans="1:20" ht="13" x14ac:dyDescent="0.15">
      <c r="A1725" s="72" t="str">
        <f t="shared" si="26"/>
        <v>Ofsted Social Care Provider Webpage</v>
      </c>
      <c r="B1725" s="55" t="s">
        <v>2471</v>
      </c>
      <c r="C1725" s="55">
        <v>111517</v>
      </c>
      <c r="D1725" s="55" t="s">
        <v>413</v>
      </c>
      <c r="E1725" s="74">
        <v>37300</v>
      </c>
      <c r="F1725" s="55" t="s">
        <v>344</v>
      </c>
      <c r="G1725" s="55" t="s">
        <v>2472</v>
      </c>
      <c r="H1725" s="55" t="s">
        <v>2473</v>
      </c>
      <c r="I1725" s="55" t="s">
        <v>2474</v>
      </c>
      <c r="J1725" s="55" t="s">
        <v>2475</v>
      </c>
      <c r="K1725" s="55" t="s">
        <v>2469</v>
      </c>
      <c r="L1725" s="55" t="s">
        <v>2476</v>
      </c>
      <c r="M1725" s="55" t="s">
        <v>144</v>
      </c>
      <c r="N1725" s="55" t="s">
        <v>144</v>
      </c>
      <c r="O1725" s="55" t="s">
        <v>163</v>
      </c>
      <c r="P1725" s="55" t="s">
        <v>614</v>
      </c>
      <c r="Q1725" s="55" t="s">
        <v>380</v>
      </c>
      <c r="R1725" s="55">
        <v>18</v>
      </c>
      <c r="S1725" s="55"/>
      <c r="T1725" s="55" t="s">
        <v>473</v>
      </c>
    </row>
    <row r="1726" spans="1:20" ht="13" x14ac:dyDescent="0.15">
      <c r="A1726" s="72" t="str">
        <f t="shared" si="26"/>
        <v>Ofsted Social Care Provider Webpage</v>
      </c>
      <c r="B1726" s="55" t="s">
        <v>2477</v>
      </c>
      <c r="C1726" s="55">
        <v>111503</v>
      </c>
      <c r="D1726" s="55" t="s">
        <v>413</v>
      </c>
      <c r="E1726" s="74">
        <v>37300</v>
      </c>
      <c r="F1726" s="55" t="s">
        <v>344</v>
      </c>
      <c r="G1726" s="55" t="s">
        <v>2478</v>
      </c>
      <c r="H1726" s="55" t="s">
        <v>2479</v>
      </c>
      <c r="I1726" s="55" t="s">
        <v>2480</v>
      </c>
      <c r="J1726" s="55" t="s">
        <v>2481</v>
      </c>
      <c r="K1726" s="55" t="s">
        <v>2469</v>
      </c>
      <c r="L1726" s="55" t="s">
        <v>2482</v>
      </c>
      <c r="M1726" s="55" t="s">
        <v>144</v>
      </c>
      <c r="N1726" s="55" t="s">
        <v>144</v>
      </c>
      <c r="O1726" s="55" t="s">
        <v>163</v>
      </c>
      <c r="P1726" s="55" t="s">
        <v>1997</v>
      </c>
      <c r="Q1726" s="55" t="s">
        <v>380</v>
      </c>
      <c r="R1726" s="55">
        <v>46</v>
      </c>
      <c r="S1726" s="55"/>
      <c r="T1726" s="55" t="s">
        <v>473</v>
      </c>
    </row>
    <row r="1727" spans="1:20" ht="13" x14ac:dyDescent="0.15">
      <c r="A1727" s="72" t="str">
        <f t="shared" si="26"/>
        <v>Ofsted Social Care Provider Webpage</v>
      </c>
      <c r="B1727" s="55" t="s">
        <v>2483</v>
      </c>
      <c r="C1727" s="55">
        <v>140093</v>
      </c>
      <c r="D1727" s="55" t="s">
        <v>413</v>
      </c>
      <c r="E1727" s="74">
        <v>37300</v>
      </c>
      <c r="F1727" s="55" t="s">
        <v>344</v>
      </c>
      <c r="G1727" s="55" t="s">
        <v>2484</v>
      </c>
      <c r="H1727" s="55" t="s">
        <v>2484</v>
      </c>
      <c r="I1727" s="55" t="s">
        <v>2485</v>
      </c>
      <c r="J1727" s="55" t="s">
        <v>2486</v>
      </c>
      <c r="K1727" s="55" t="s">
        <v>2469</v>
      </c>
      <c r="L1727" s="55" t="s">
        <v>2487</v>
      </c>
      <c r="M1727" s="55" t="s">
        <v>144</v>
      </c>
      <c r="N1727" s="55" t="s">
        <v>144</v>
      </c>
      <c r="O1727" s="55" t="s">
        <v>163</v>
      </c>
      <c r="P1727" s="55" t="s">
        <v>1997</v>
      </c>
      <c r="Q1727" s="55" t="s">
        <v>420</v>
      </c>
      <c r="R1727" s="55">
        <v>16</v>
      </c>
      <c r="S1727" s="55"/>
      <c r="T1727" s="55" t="s">
        <v>2488</v>
      </c>
    </row>
    <row r="1728" spans="1:20" ht="13" x14ac:dyDescent="0.15">
      <c r="A1728" s="72" t="str">
        <f t="shared" si="26"/>
        <v>Ofsted Social Care Provider Webpage</v>
      </c>
      <c r="B1728" s="55" t="s">
        <v>2489</v>
      </c>
      <c r="D1728" s="55" t="s">
        <v>373</v>
      </c>
      <c r="E1728" s="74">
        <v>35703</v>
      </c>
      <c r="F1728" s="55" t="s">
        <v>344</v>
      </c>
      <c r="G1728" s="55" t="s">
        <v>360</v>
      </c>
      <c r="H1728" s="55" t="s">
        <v>360</v>
      </c>
      <c r="I1728" s="55" t="s">
        <v>360</v>
      </c>
      <c r="J1728" s="55" t="s">
        <v>360</v>
      </c>
      <c r="K1728" s="55" t="s">
        <v>360</v>
      </c>
      <c r="L1728" s="55" t="s">
        <v>360</v>
      </c>
      <c r="M1728" s="55" t="s">
        <v>129</v>
      </c>
      <c r="N1728" s="55" t="s">
        <v>129</v>
      </c>
      <c r="O1728" s="55" t="s">
        <v>155</v>
      </c>
      <c r="P1728" s="55" t="s">
        <v>2490</v>
      </c>
      <c r="Q1728" s="55" t="s">
        <v>350</v>
      </c>
      <c r="R1728" s="55">
        <v>5</v>
      </c>
      <c r="S1728" s="55"/>
      <c r="T1728" s="55" t="s">
        <v>2197</v>
      </c>
    </row>
    <row r="1729" spans="1:20" ht="13" x14ac:dyDescent="0.15">
      <c r="A1729" s="72" t="str">
        <f t="shared" si="26"/>
        <v>Ofsted Social Care Provider Webpage</v>
      </c>
      <c r="B1729" s="55" t="s">
        <v>2491</v>
      </c>
      <c r="C1729" s="55">
        <v>101695</v>
      </c>
      <c r="D1729" s="55" t="s">
        <v>398</v>
      </c>
      <c r="E1729" s="74">
        <v>37300</v>
      </c>
      <c r="F1729" s="55" t="s">
        <v>344</v>
      </c>
      <c r="G1729" s="55" t="s">
        <v>2492</v>
      </c>
      <c r="H1729" s="55" t="s">
        <v>2493</v>
      </c>
      <c r="I1729" s="55" t="s">
        <v>2494</v>
      </c>
      <c r="J1729" s="55" t="s">
        <v>2495</v>
      </c>
      <c r="K1729" s="55" t="s">
        <v>203</v>
      </c>
      <c r="L1729" s="55" t="s">
        <v>2496</v>
      </c>
      <c r="M1729" s="55" t="s">
        <v>129</v>
      </c>
      <c r="N1729" s="55" t="s">
        <v>129</v>
      </c>
      <c r="O1729" s="55" t="s">
        <v>155</v>
      </c>
      <c r="P1729" s="55" t="s">
        <v>482</v>
      </c>
      <c r="Q1729" s="55" t="s">
        <v>350</v>
      </c>
      <c r="R1729" s="55">
        <v>155</v>
      </c>
      <c r="S1729" s="55"/>
      <c r="T1729" s="55" t="s">
        <v>2497</v>
      </c>
    </row>
    <row r="1730" spans="1:20" ht="13" x14ac:dyDescent="0.15">
      <c r="A1730" s="72" t="str">
        <f t="shared" si="26"/>
        <v>Ofsted Social Care Provider Webpage</v>
      </c>
      <c r="B1730" s="55" t="s">
        <v>2498</v>
      </c>
      <c r="D1730" s="55" t="s">
        <v>373</v>
      </c>
      <c r="E1730" s="74">
        <v>36634</v>
      </c>
      <c r="F1730" s="55" t="s">
        <v>344</v>
      </c>
      <c r="G1730" s="55" t="s">
        <v>360</v>
      </c>
      <c r="H1730" s="55" t="s">
        <v>360</v>
      </c>
      <c r="I1730" s="55" t="s">
        <v>360</v>
      </c>
      <c r="J1730" s="55" t="s">
        <v>360</v>
      </c>
      <c r="K1730" s="55" t="s">
        <v>360</v>
      </c>
      <c r="L1730" s="55" t="s">
        <v>360</v>
      </c>
      <c r="M1730" s="55" t="s">
        <v>129</v>
      </c>
      <c r="N1730" s="55" t="s">
        <v>129</v>
      </c>
      <c r="O1730" s="55" t="s">
        <v>279</v>
      </c>
      <c r="P1730" s="55" t="s">
        <v>2499</v>
      </c>
      <c r="Q1730" s="55" t="s">
        <v>350</v>
      </c>
      <c r="R1730" s="55">
        <v>6</v>
      </c>
      <c r="S1730" s="55"/>
      <c r="T1730" s="55" t="s">
        <v>2500</v>
      </c>
    </row>
    <row r="1731" spans="1:20" ht="13" x14ac:dyDescent="0.15">
      <c r="A1731" s="72" t="str">
        <f t="shared" si="26"/>
        <v>Ofsted Social Care Provider Webpage</v>
      </c>
      <c r="B1731" s="55" t="s">
        <v>2501</v>
      </c>
      <c r="D1731" s="55" t="s">
        <v>373</v>
      </c>
      <c r="E1731" s="74">
        <v>36095</v>
      </c>
      <c r="F1731" s="55" t="s">
        <v>344</v>
      </c>
      <c r="G1731" s="55" t="s">
        <v>360</v>
      </c>
      <c r="H1731" s="55" t="s">
        <v>360</v>
      </c>
      <c r="I1731" s="55" t="s">
        <v>360</v>
      </c>
      <c r="J1731" s="55" t="s">
        <v>360</v>
      </c>
      <c r="K1731" s="55" t="s">
        <v>360</v>
      </c>
      <c r="L1731" s="55" t="s">
        <v>360</v>
      </c>
      <c r="M1731" s="55" t="s">
        <v>129</v>
      </c>
      <c r="N1731" s="55" t="s">
        <v>129</v>
      </c>
      <c r="O1731" s="55" t="s">
        <v>279</v>
      </c>
      <c r="P1731" s="55" t="s">
        <v>1078</v>
      </c>
      <c r="Q1731" s="55" t="s">
        <v>350</v>
      </c>
      <c r="R1731" s="55">
        <v>4</v>
      </c>
      <c r="S1731" s="55"/>
    </row>
    <row r="1732" spans="1:20" ht="13" x14ac:dyDescent="0.15">
      <c r="A1732" s="72" t="str">
        <f t="shared" si="26"/>
        <v>Ofsted Social Care Provider Webpage</v>
      </c>
      <c r="B1732" s="55" t="s">
        <v>2502</v>
      </c>
      <c r="D1732" s="55" t="s">
        <v>373</v>
      </c>
      <c r="E1732" s="74">
        <v>37072</v>
      </c>
      <c r="F1732" s="55" t="s">
        <v>344</v>
      </c>
      <c r="G1732" s="55" t="s">
        <v>360</v>
      </c>
      <c r="H1732" s="55" t="s">
        <v>360</v>
      </c>
      <c r="I1732" s="55" t="s">
        <v>360</v>
      </c>
      <c r="J1732" s="55" t="s">
        <v>360</v>
      </c>
      <c r="K1732" s="55" t="s">
        <v>360</v>
      </c>
      <c r="L1732" s="55" t="s">
        <v>360</v>
      </c>
      <c r="M1732" s="55" t="s">
        <v>378</v>
      </c>
      <c r="N1732" s="55" t="s">
        <v>170</v>
      </c>
      <c r="O1732" s="55" t="s">
        <v>178</v>
      </c>
      <c r="P1732" s="55" t="s">
        <v>1450</v>
      </c>
      <c r="Q1732" s="55" t="s">
        <v>350</v>
      </c>
      <c r="R1732" s="55">
        <v>3</v>
      </c>
      <c r="S1732" s="55"/>
      <c r="T1732" s="55" t="s">
        <v>2367</v>
      </c>
    </row>
    <row r="1733" spans="1:20" ht="13" x14ac:dyDescent="0.15">
      <c r="A1733" s="72" t="str">
        <f t="shared" ref="A1733:A1796" si="27">HYPERLINK(_xlfn.CONCAT("http://reports.ofsted.gov.uk/inspection-reports/find-inspection-report/provider/CARE/",B1733),"Ofsted Social Care Provider Webpage")</f>
        <v>Ofsted Social Care Provider Webpage</v>
      </c>
      <c r="B1733" s="55" t="s">
        <v>2503</v>
      </c>
      <c r="C1733" s="55">
        <v>121735</v>
      </c>
      <c r="D1733" s="55" t="s">
        <v>398</v>
      </c>
      <c r="E1733" s="74">
        <v>37300</v>
      </c>
      <c r="F1733" s="55" t="s">
        <v>344</v>
      </c>
      <c r="G1733" s="55" t="s">
        <v>2504</v>
      </c>
      <c r="H1733" s="55" t="s">
        <v>2504</v>
      </c>
      <c r="I1733" s="55" t="s">
        <v>354</v>
      </c>
      <c r="J1733" s="55" t="s">
        <v>294</v>
      </c>
      <c r="L1733" s="55" t="s">
        <v>2505</v>
      </c>
      <c r="M1733" s="55" t="s">
        <v>378</v>
      </c>
      <c r="N1733" s="55" t="s">
        <v>134</v>
      </c>
      <c r="O1733" s="55" t="s">
        <v>232</v>
      </c>
      <c r="P1733" s="55" t="s">
        <v>2506</v>
      </c>
      <c r="Q1733" s="55" t="s">
        <v>350</v>
      </c>
      <c r="R1733" s="55">
        <v>518</v>
      </c>
      <c r="S1733" s="55"/>
      <c r="T1733" s="55" t="s">
        <v>2507</v>
      </c>
    </row>
    <row r="1734" spans="1:20" ht="13" x14ac:dyDescent="0.15">
      <c r="A1734" s="72" t="str">
        <f t="shared" si="27"/>
        <v>Ofsted Social Care Provider Webpage</v>
      </c>
      <c r="B1734" s="55" t="s">
        <v>2508</v>
      </c>
      <c r="C1734" s="55">
        <v>121765</v>
      </c>
      <c r="D1734" s="55" t="s">
        <v>413</v>
      </c>
      <c r="E1734" s="74">
        <v>37300</v>
      </c>
      <c r="F1734" s="55" t="s">
        <v>344</v>
      </c>
      <c r="G1734" s="55" t="s">
        <v>2509</v>
      </c>
      <c r="H1734" s="55" t="s">
        <v>2510</v>
      </c>
      <c r="I1734" s="55" t="s">
        <v>354</v>
      </c>
      <c r="J1734" s="55" t="s">
        <v>2511</v>
      </c>
      <c r="K1734" s="55" t="s">
        <v>232</v>
      </c>
      <c r="L1734" s="55" t="s">
        <v>2512</v>
      </c>
      <c r="M1734" s="55" t="s">
        <v>378</v>
      </c>
      <c r="N1734" s="55" t="s">
        <v>134</v>
      </c>
      <c r="O1734" s="55" t="s">
        <v>232</v>
      </c>
      <c r="P1734" s="55" t="s">
        <v>2506</v>
      </c>
      <c r="Q1734" s="55" t="s">
        <v>362</v>
      </c>
      <c r="R1734" s="55">
        <v>22</v>
      </c>
      <c r="S1734" s="55"/>
      <c r="T1734" s="55" t="s">
        <v>2509</v>
      </c>
    </row>
    <row r="1735" spans="1:20" ht="13" x14ac:dyDescent="0.15">
      <c r="A1735" s="72" t="str">
        <f t="shared" si="27"/>
        <v>Ofsted Social Care Provider Webpage</v>
      </c>
      <c r="B1735" s="55" t="s">
        <v>2513</v>
      </c>
      <c r="C1735" s="55">
        <v>121764</v>
      </c>
      <c r="D1735" s="55" t="s">
        <v>413</v>
      </c>
      <c r="E1735" s="74">
        <v>37300</v>
      </c>
      <c r="F1735" s="55" t="s">
        <v>344</v>
      </c>
      <c r="G1735" s="55" t="s">
        <v>2514</v>
      </c>
      <c r="H1735" s="55" t="s">
        <v>2514</v>
      </c>
      <c r="I1735" s="55" t="s">
        <v>2515</v>
      </c>
      <c r="J1735" s="55" t="s">
        <v>2516</v>
      </c>
      <c r="K1735" s="55" t="s">
        <v>232</v>
      </c>
      <c r="L1735" s="55" t="s">
        <v>2517</v>
      </c>
      <c r="M1735" s="55" t="s">
        <v>378</v>
      </c>
      <c r="N1735" s="55" t="s">
        <v>134</v>
      </c>
      <c r="O1735" s="55" t="s">
        <v>232</v>
      </c>
      <c r="P1735" s="55" t="s">
        <v>595</v>
      </c>
      <c r="Q1735" s="55" t="s">
        <v>380</v>
      </c>
      <c r="R1735" s="55">
        <v>20</v>
      </c>
      <c r="S1735" s="55"/>
      <c r="T1735" s="55" t="s">
        <v>998</v>
      </c>
    </row>
    <row r="1736" spans="1:20" ht="13" x14ac:dyDescent="0.15">
      <c r="A1736" s="72" t="str">
        <f t="shared" si="27"/>
        <v>Ofsted Social Care Provider Webpage</v>
      </c>
      <c r="B1736" s="55" t="s">
        <v>2518</v>
      </c>
      <c r="C1736" s="55">
        <v>121694</v>
      </c>
      <c r="D1736" s="55" t="s">
        <v>398</v>
      </c>
      <c r="E1736" s="74">
        <v>37300</v>
      </c>
      <c r="F1736" s="55" t="s">
        <v>344</v>
      </c>
      <c r="G1736" s="55" t="s">
        <v>2519</v>
      </c>
      <c r="H1736" s="55" t="s">
        <v>2519</v>
      </c>
      <c r="I1736" s="55" t="s">
        <v>2520</v>
      </c>
      <c r="J1736" s="55" t="s">
        <v>2521</v>
      </c>
      <c r="K1736" s="55" t="s">
        <v>232</v>
      </c>
      <c r="L1736" s="55" t="s">
        <v>2522</v>
      </c>
      <c r="M1736" s="55" t="s">
        <v>378</v>
      </c>
      <c r="N1736" s="55" t="s">
        <v>134</v>
      </c>
      <c r="O1736" s="55" t="s">
        <v>232</v>
      </c>
      <c r="P1736" s="55" t="s">
        <v>496</v>
      </c>
      <c r="Q1736" s="55" t="s">
        <v>380</v>
      </c>
      <c r="R1736" s="55">
        <v>107</v>
      </c>
      <c r="S1736" s="55"/>
      <c r="T1736" s="55" t="s">
        <v>998</v>
      </c>
    </row>
    <row r="1737" spans="1:20" ht="13" x14ac:dyDescent="0.15">
      <c r="A1737" s="72" t="str">
        <f t="shared" si="27"/>
        <v>Ofsted Social Care Provider Webpage</v>
      </c>
      <c r="B1737" s="55" t="s">
        <v>2523</v>
      </c>
      <c r="C1737" s="55">
        <v>121766</v>
      </c>
      <c r="D1737" s="55" t="s">
        <v>413</v>
      </c>
      <c r="E1737" s="74">
        <v>37300</v>
      </c>
      <c r="F1737" s="55" t="s">
        <v>344</v>
      </c>
      <c r="G1737" s="55" t="s">
        <v>2524</v>
      </c>
      <c r="H1737" s="55" t="s">
        <v>2524</v>
      </c>
      <c r="I1737" s="55" t="s">
        <v>2525</v>
      </c>
      <c r="J1737" s="55" t="s">
        <v>2526</v>
      </c>
      <c r="L1737" s="55" t="s">
        <v>2527</v>
      </c>
      <c r="M1737" s="55" t="s">
        <v>378</v>
      </c>
      <c r="N1737" s="55" t="s">
        <v>134</v>
      </c>
      <c r="O1737" s="55" t="s">
        <v>232</v>
      </c>
      <c r="P1737" s="55" t="s">
        <v>2506</v>
      </c>
      <c r="Q1737" s="55" t="s">
        <v>380</v>
      </c>
      <c r="R1737" s="55">
        <v>44</v>
      </c>
      <c r="S1737" s="55"/>
      <c r="T1737" s="55" t="s">
        <v>998</v>
      </c>
    </row>
    <row r="1738" spans="1:20" ht="13" x14ac:dyDescent="0.15">
      <c r="A1738" s="72" t="str">
        <f t="shared" si="27"/>
        <v>Ofsted Social Care Provider Webpage</v>
      </c>
      <c r="B1738" s="55" t="s">
        <v>2528</v>
      </c>
      <c r="C1738" s="55">
        <v>131869</v>
      </c>
      <c r="D1738" s="55" t="s">
        <v>693</v>
      </c>
      <c r="E1738" s="74">
        <v>37300</v>
      </c>
      <c r="F1738" s="55" t="s">
        <v>344</v>
      </c>
      <c r="G1738" s="55" t="s">
        <v>2529</v>
      </c>
      <c r="H1738" s="55" t="s">
        <v>2529</v>
      </c>
      <c r="I1738" s="55" t="s">
        <v>2530</v>
      </c>
      <c r="J1738" s="55" t="s">
        <v>1393</v>
      </c>
      <c r="K1738" s="55" t="s">
        <v>683</v>
      </c>
      <c r="L1738" s="55" t="s">
        <v>2531</v>
      </c>
      <c r="M1738" s="55" t="s">
        <v>378</v>
      </c>
      <c r="N1738" s="55" t="s">
        <v>134</v>
      </c>
      <c r="O1738" s="55" t="s">
        <v>175</v>
      </c>
      <c r="P1738" s="55" t="s">
        <v>666</v>
      </c>
      <c r="Q1738" s="55" t="s">
        <v>350</v>
      </c>
      <c r="R1738" s="55">
        <v>9</v>
      </c>
      <c r="S1738" s="55"/>
      <c r="T1738" s="55" t="s">
        <v>2532</v>
      </c>
    </row>
    <row r="1739" spans="1:20" ht="13" x14ac:dyDescent="0.15">
      <c r="A1739" s="72" t="str">
        <f t="shared" si="27"/>
        <v>Ofsted Social Care Provider Webpage</v>
      </c>
      <c r="B1739" s="55" t="s">
        <v>2533</v>
      </c>
      <c r="D1739" s="55" t="s">
        <v>373</v>
      </c>
      <c r="E1739" s="74">
        <v>36861</v>
      </c>
      <c r="F1739" s="55" t="s">
        <v>344</v>
      </c>
      <c r="G1739" s="55" t="s">
        <v>360</v>
      </c>
      <c r="H1739" s="55" t="s">
        <v>360</v>
      </c>
      <c r="I1739" s="55" t="s">
        <v>360</v>
      </c>
      <c r="J1739" s="55" t="s">
        <v>360</v>
      </c>
      <c r="K1739" s="55" t="s">
        <v>360</v>
      </c>
      <c r="L1739" s="55" t="s">
        <v>360</v>
      </c>
      <c r="M1739" s="55" t="s">
        <v>142</v>
      </c>
      <c r="N1739" s="55" t="s">
        <v>142</v>
      </c>
      <c r="O1739" s="55" t="s">
        <v>265</v>
      </c>
      <c r="P1739" s="55" t="s">
        <v>1215</v>
      </c>
      <c r="Q1739" s="55" t="s">
        <v>350</v>
      </c>
      <c r="R1739" s="55">
        <v>2</v>
      </c>
      <c r="S1739" s="55"/>
      <c r="T1739" s="55" t="s">
        <v>1505</v>
      </c>
    </row>
    <row r="1740" spans="1:20" ht="13" x14ac:dyDescent="0.15">
      <c r="A1740" s="72" t="str">
        <f t="shared" si="27"/>
        <v>Ofsted Social Care Provider Webpage</v>
      </c>
      <c r="B1740" s="55" t="s">
        <v>2534</v>
      </c>
      <c r="D1740" s="55" t="s">
        <v>373</v>
      </c>
      <c r="E1740" s="74">
        <v>36882</v>
      </c>
      <c r="F1740" s="55" t="s">
        <v>344</v>
      </c>
      <c r="G1740" s="55" t="s">
        <v>360</v>
      </c>
      <c r="H1740" s="55" t="s">
        <v>360</v>
      </c>
      <c r="I1740" s="55" t="s">
        <v>360</v>
      </c>
      <c r="J1740" s="55" t="s">
        <v>360</v>
      </c>
      <c r="K1740" s="55" t="s">
        <v>360</v>
      </c>
      <c r="L1740" s="55" t="s">
        <v>360</v>
      </c>
      <c r="M1740" s="55" t="s">
        <v>142</v>
      </c>
      <c r="N1740" s="55" t="s">
        <v>142</v>
      </c>
      <c r="O1740" s="55" t="s">
        <v>265</v>
      </c>
      <c r="P1740" s="55" t="s">
        <v>1066</v>
      </c>
      <c r="Q1740" s="55" t="s">
        <v>350</v>
      </c>
      <c r="R1740" s="55">
        <v>3</v>
      </c>
      <c r="S1740" s="55"/>
      <c r="T1740" s="55" t="s">
        <v>1505</v>
      </c>
    </row>
    <row r="1741" spans="1:20" ht="13" x14ac:dyDescent="0.15">
      <c r="A1741" s="72" t="str">
        <f t="shared" si="27"/>
        <v>Ofsted Social Care Provider Webpage</v>
      </c>
      <c r="B1741" s="55" t="s">
        <v>2535</v>
      </c>
      <c r="D1741" s="55" t="s">
        <v>373</v>
      </c>
      <c r="E1741" s="74">
        <v>36861</v>
      </c>
      <c r="F1741" s="55" t="s">
        <v>344</v>
      </c>
      <c r="G1741" s="55" t="s">
        <v>360</v>
      </c>
      <c r="H1741" s="55" t="s">
        <v>360</v>
      </c>
      <c r="I1741" s="55" t="s">
        <v>360</v>
      </c>
      <c r="J1741" s="55" t="s">
        <v>360</v>
      </c>
      <c r="K1741" s="55" t="s">
        <v>360</v>
      </c>
      <c r="L1741" s="55" t="s">
        <v>360</v>
      </c>
      <c r="M1741" s="55" t="s">
        <v>142</v>
      </c>
      <c r="N1741" s="55" t="s">
        <v>142</v>
      </c>
      <c r="O1741" s="55" t="s">
        <v>265</v>
      </c>
      <c r="P1741" s="55" t="s">
        <v>1215</v>
      </c>
      <c r="Q1741" s="55" t="s">
        <v>350</v>
      </c>
      <c r="R1741" s="55">
        <v>2</v>
      </c>
      <c r="S1741" s="55"/>
      <c r="T1741" s="55" t="s">
        <v>1505</v>
      </c>
    </row>
    <row r="1742" spans="1:20" ht="13" x14ac:dyDescent="0.15">
      <c r="A1742" s="72" t="str">
        <f t="shared" si="27"/>
        <v>Ofsted Social Care Provider Webpage</v>
      </c>
      <c r="B1742" s="55" t="s">
        <v>2536</v>
      </c>
      <c r="D1742" s="55" t="s">
        <v>373</v>
      </c>
      <c r="E1742" s="74">
        <v>36882</v>
      </c>
      <c r="F1742" s="55" t="s">
        <v>344</v>
      </c>
      <c r="G1742" s="55" t="s">
        <v>360</v>
      </c>
      <c r="H1742" s="55" t="s">
        <v>360</v>
      </c>
      <c r="I1742" s="55" t="s">
        <v>360</v>
      </c>
      <c r="J1742" s="55" t="s">
        <v>360</v>
      </c>
      <c r="K1742" s="55" t="s">
        <v>360</v>
      </c>
      <c r="L1742" s="55" t="s">
        <v>360</v>
      </c>
      <c r="M1742" s="55" t="s">
        <v>142</v>
      </c>
      <c r="N1742" s="55" t="s">
        <v>142</v>
      </c>
      <c r="O1742" s="55" t="s">
        <v>265</v>
      </c>
      <c r="P1742" s="55" t="s">
        <v>540</v>
      </c>
      <c r="Q1742" s="55" t="s">
        <v>350</v>
      </c>
      <c r="R1742" s="55">
        <v>2</v>
      </c>
      <c r="S1742" s="55"/>
      <c r="T1742" s="55" t="s">
        <v>1505</v>
      </c>
    </row>
    <row r="1743" spans="1:20" ht="13" x14ac:dyDescent="0.15">
      <c r="A1743" s="72" t="str">
        <f t="shared" si="27"/>
        <v>Ofsted Social Care Provider Webpage</v>
      </c>
      <c r="B1743" s="55" t="s">
        <v>2537</v>
      </c>
      <c r="D1743" s="55" t="s">
        <v>373</v>
      </c>
      <c r="E1743" s="74">
        <v>36999</v>
      </c>
      <c r="F1743" s="55" t="s">
        <v>344</v>
      </c>
      <c r="G1743" s="55" t="s">
        <v>360</v>
      </c>
      <c r="H1743" s="55" t="s">
        <v>360</v>
      </c>
      <c r="I1743" s="55" t="s">
        <v>360</v>
      </c>
      <c r="J1743" s="55" t="s">
        <v>360</v>
      </c>
      <c r="K1743" s="55" t="s">
        <v>360</v>
      </c>
      <c r="L1743" s="55" t="s">
        <v>360</v>
      </c>
      <c r="M1743" s="55" t="s">
        <v>142</v>
      </c>
      <c r="N1743" s="55" t="s">
        <v>142</v>
      </c>
      <c r="O1743" s="55" t="s">
        <v>265</v>
      </c>
      <c r="P1743" s="55" t="s">
        <v>540</v>
      </c>
      <c r="Q1743" s="55" t="s">
        <v>350</v>
      </c>
      <c r="R1743" s="55">
        <v>2</v>
      </c>
      <c r="S1743" s="55"/>
      <c r="T1743" s="55" t="s">
        <v>910</v>
      </c>
    </row>
    <row r="1744" spans="1:20" ht="13" x14ac:dyDescent="0.15">
      <c r="A1744" s="72" t="str">
        <f t="shared" si="27"/>
        <v>Ofsted Social Care Provider Webpage</v>
      </c>
      <c r="B1744" s="55" t="s">
        <v>2538</v>
      </c>
      <c r="D1744" s="55" t="s">
        <v>373</v>
      </c>
      <c r="E1744" s="74">
        <v>36999</v>
      </c>
      <c r="F1744" s="55" t="s">
        <v>344</v>
      </c>
      <c r="G1744" s="55" t="s">
        <v>360</v>
      </c>
      <c r="H1744" s="55" t="s">
        <v>360</v>
      </c>
      <c r="I1744" s="55" t="s">
        <v>360</v>
      </c>
      <c r="J1744" s="55" t="s">
        <v>360</v>
      </c>
      <c r="K1744" s="55" t="s">
        <v>360</v>
      </c>
      <c r="L1744" s="55" t="s">
        <v>360</v>
      </c>
      <c r="M1744" s="55" t="s">
        <v>142</v>
      </c>
      <c r="N1744" s="55" t="s">
        <v>142</v>
      </c>
      <c r="O1744" s="55" t="s">
        <v>265</v>
      </c>
      <c r="P1744" s="55" t="s">
        <v>540</v>
      </c>
      <c r="Q1744" s="55" t="s">
        <v>350</v>
      </c>
      <c r="R1744" s="55">
        <v>1</v>
      </c>
      <c r="S1744" s="55"/>
      <c r="T1744" s="55" t="s">
        <v>910</v>
      </c>
    </row>
    <row r="1745" spans="1:20" ht="13" x14ac:dyDescent="0.15">
      <c r="A1745" s="72" t="str">
        <f t="shared" si="27"/>
        <v>Ofsted Social Care Provider Webpage</v>
      </c>
      <c r="B1745" s="55" t="s">
        <v>2539</v>
      </c>
      <c r="C1745" s="55">
        <v>105372</v>
      </c>
      <c r="D1745" s="55" t="s">
        <v>398</v>
      </c>
      <c r="E1745" s="74">
        <v>37300</v>
      </c>
      <c r="F1745" s="55" t="s">
        <v>344</v>
      </c>
      <c r="G1745" s="55" t="s">
        <v>2493</v>
      </c>
      <c r="H1745" s="55" t="s">
        <v>2540</v>
      </c>
      <c r="I1745" s="55" t="s">
        <v>2541</v>
      </c>
      <c r="J1745" s="55" t="s">
        <v>2542</v>
      </c>
      <c r="K1745" s="55" t="s">
        <v>209</v>
      </c>
      <c r="L1745" s="55" t="s">
        <v>2543</v>
      </c>
      <c r="M1745" s="55" t="s">
        <v>144</v>
      </c>
      <c r="N1745" s="55" t="s">
        <v>144</v>
      </c>
      <c r="O1745" s="55" t="s">
        <v>157</v>
      </c>
      <c r="P1745" s="55" t="s">
        <v>1092</v>
      </c>
      <c r="Q1745" s="55" t="s">
        <v>362</v>
      </c>
      <c r="R1745" s="55">
        <v>155</v>
      </c>
      <c r="S1745" s="55"/>
    </row>
    <row r="1746" spans="1:20" ht="13" x14ac:dyDescent="0.15">
      <c r="A1746" s="72" t="str">
        <f t="shared" si="27"/>
        <v>Ofsted Social Care Provider Webpage</v>
      </c>
      <c r="B1746" s="55" t="s">
        <v>2544</v>
      </c>
      <c r="D1746" s="55" t="s">
        <v>373</v>
      </c>
      <c r="E1746" s="74">
        <v>34352</v>
      </c>
      <c r="F1746" s="55" t="s">
        <v>344</v>
      </c>
      <c r="G1746" s="55" t="s">
        <v>360</v>
      </c>
      <c r="H1746" s="55" t="s">
        <v>360</v>
      </c>
      <c r="I1746" s="55" t="s">
        <v>360</v>
      </c>
      <c r="J1746" s="55" t="s">
        <v>360</v>
      </c>
      <c r="K1746" s="55" t="s">
        <v>360</v>
      </c>
      <c r="L1746" s="55" t="s">
        <v>360</v>
      </c>
      <c r="M1746" s="55" t="s">
        <v>144</v>
      </c>
      <c r="N1746" s="55" t="s">
        <v>144</v>
      </c>
      <c r="O1746" s="55" t="s">
        <v>263</v>
      </c>
      <c r="P1746" s="55" t="s">
        <v>1211</v>
      </c>
      <c r="Q1746" s="55" t="s">
        <v>350</v>
      </c>
      <c r="R1746" s="55">
        <v>6</v>
      </c>
      <c r="S1746" s="55"/>
    </row>
    <row r="1747" spans="1:20" ht="13" x14ac:dyDescent="0.15">
      <c r="A1747" s="72" t="str">
        <f t="shared" si="27"/>
        <v>Ofsted Social Care Provider Webpage</v>
      </c>
      <c r="B1747" s="55" t="s">
        <v>2545</v>
      </c>
      <c r="D1747" s="55" t="s">
        <v>373</v>
      </c>
      <c r="E1747" s="74">
        <v>34900</v>
      </c>
      <c r="F1747" s="55" t="s">
        <v>344</v>
      </c>
      <c r="G1747" s="55" t="s">
        <v>360</v>
      </c>
      <c r="H1747" s="55" t="s">
        <v>360</v>
      </c>
      <c r="I1747" s="55" t="s">
        <v>360</v>
      </c>
      <c r="J1747" s="55" t="s">
        <v>360</v>
      </c>
      <c r="K1747" s="55" t="s">
        <v>360</v>
      </c>
      <c r="L1747" s="55" t="s">
        <v>360</v>
      </c>
      <c r="M1747" s="55" t="s">
        <v>144</v>
      </c>
      <c r="N1747" s="55" t="s">
        <v>144</v>
      </c>
      <c r="O1747" s="55" t="s">
        <v>263</v>
      </c>
      <c r="P1747" s="55" t="s">
        <v>876</v>
      </c>
      <c r="Q1747" s="55" t="s">
        <v>350</v>
      </c>
      <c r="R1747" s="55">
        <v>5</v>
      </c>
      <c r="S1747" s="55"/>
      <c r="T1747" s="55" t="s">
        <v>2359</v>
      </c>
    </row>
    <row r="1748" spans="1:20" ht="13" x14ac:dyDescent="0.15">
      <c r="A1748" s="72" t="str">
        <f t="shared" si="27"/>
        <v>Ofsted Social Care Provider Webpage</v>
      </c>
      <c r="B1748" s="55" t="s">
        <v>2546</v>
      </c>
      <c r="D1748" s="55" t="s">
        <v>373</v>
      </c>
      <c r="E1748" s="74">
        <v>33915</v>
      </c>
      <c r="F1748" s="55" t="s">
        <v>344</v>
      </c>
      <c r="G1748" s="55" t="s">
        <v>360</v>
      </c>
      <c r="H1748" s="55" t="s">
        <v>360</v>
      </c>
      <c r="I1748" s="55" t="s">
        <v>360</v>
      </c>
      <c r="J1748" s="55" t="s">
        <v>360</v>
      </c>
      <c r="K1748" s="55" t="s">
        <v>360</v>
      </c>
      <c r="L1748" s="55" t="s">
        <v>360</v>
      </c>
      <c r="M1748" s="55" t="s">
        <v>144</v>
      </c>
      <c r="N1748" s="55" t="s">
        <v>144</v>
      </c>
      <c r="O1748" s="55" t="s">
        <v>263</v>
      </c>
      <c r="P1748" s="55" t="s">
        <v>263</v>
      </c>
      <c r="Q1748" s="55" t="s">
        <v>350</v>
      </c>
      <c r="R1748" s="55">
        <v>6</v>
      </c>
      <c r="S1748" s="55"/>
      <c r="T1748" s="55" t="s">
        <v>1505</v>
      </c>
    </row>
    <row r="1749" spans="1:20" ht="13" x14ac:dyDescent="0.15">
      <c r="A1749" s="72" t="str">
        <f t="shared" si="27"/>
        <v>Ofsted Social Care Provider Webpage</v>
      </c>
      <c r="B1749" s="55" t="s">
        <v>2547</v>
      </c>
      <c r="D1749" s="55" t="s">
        <v>373</v>
      </c>
      <c r="E1749" s="74">
        <v>33987</v>
      </c>
      <c r="F1749" s="55" t="s">
        <v>344</v>
      </c>
      <c r="G1749" s="55" t="s">
        <v>360</v>
      </c>
      <c r="H1749" s="55" t="s">
        <v>360</v>
      </c>
      <c r="I1749" s="55" t="s">
        <v>360</v>
      </c>
      <c r="J1749" s="55" t="s">
        <v>360</v>
      </c>
      <c r="K1749" s="55" t="s">
        <v>360</v>
      </c>
      <c r="L1749" s="55" t="s">
        <v>360</v>
      </c>
      <c r="M1749" s="55" t="s">
        <v>144</v>
      </c>
      <c r="N1749" s="55" t="s">
        <v>144</v>
      </c>
      <c r="O1749" s="55" t="s">
        <v>263</v>
      </c>
      <c r="P1749" s="55" t="s">
        <v>263</v>
      </c>
      <c r="Q1749" s="55" t="s">
        <v>350</v>
      </c>
      <c r="R1749" s="55">
        <v>6</v>
      </c>
      <c r="S1749" s="55"/>
      <c r="T1749" s="55" t="s">
        <v>1505</v>
      </c>
    </row>
    <row r="1750" spans="1:20" ht="13" x14ac:dyDescent="0.15">
      <c r="A1750" s="72" t="str">
        <f t="shared" si="27"/>
        <v>Ofsted Social Care Provider Webpage</v>
      </c>
      <c r="B1750" s="55" t="s">
        <v>2548</v>
      </c>
      <c r="D1750" s="55" t="s">
        <v>373</v>
      </c>
      <c r="E1750" s="74">
        <v>36404</v>
      </c>
      <c r="F1750" s="55" t="s">
        <v>344</v>
      </c>
      <c r="G1750" s="55" t="s">
        <v>360</v>
      </c>
      <c r="H1750" s="55" t="s">
        <v>360</v>
      </c>
      <c r="I1750" s="55" t="s">
        <v>360</v>
      </c>
      <c r="J1750" s="55" t="s">
        <v>360</v>
      </c>
      <c r="K1750" s="55" t="s">
        <v>360</v>
      </c>
      <c r="L1750" s="55" t="s">
        <v>360</v>
      </c>
      <c r="M1750" s="55" t="s">
        <v>144</v>
      </c>
      <c r="N1750" s="55" t="s">
        <v>144</v>
      </c>
      <c r="O1750" s="55" t="s">
        <v>263</v>
      </c>
      <c r="P1750" s="55" t="s">
        <v>1211</v>
      </c>
      <c r="Q1750" s="55" t="s">
        <v>350</v>
      </c>
      <c r="R1750" s="55">
        <v>8</v>
      </c>
      <c r="S1750" s="55"/>
      <c r="T1750" s="55" t="s">
        <v>630</v>
      </c>
    </row>
    <row r="1751" spans="1:20" ht="13" x14ac:dyDescent="0.15">
      <c r="A1751" s="72" t="str">
        <f t="shared" si="27"/>
        <v>Ofsted Social Care Provider Webpage</v>
      </c>
      <c r="B1751" s="55" t="s">
        <v>2549</v>
      </c>
      <c r="D1751" s="55" t="s">
        <v>373</v>
      </c>
      <c r="E1751" s="74">
        <v>37020</v>
      </c>
      <c r="F1751" s="55" t="s">
        <v>344</v>
      </c>
      <c r="G1751" s="55" t="s">
        <v>360</v>
      </c>
      <c r="H1751" s="55" t="s">
        <v>360</v>
      </c>
      <c r="I1751" s="55" t="s">
        <v>360</v>
      </c>
      <c r="J1751" s="55" t="s">
        <v>360</v>
      </c>
      <c r="K1751" s="55" t="s">
        <v>360</v>
      </c>
      <c r="L1751" s="55" t="s">
        <v>360</v>
      </c>
      <c r="M1751" s="55" t="s">
        <v>144</v>
      </c>
      <c r="N1751" s="55" t="s">
        <v>144</v>
      </c>
      <c r="O1751" s="55" t="s">
        <v>263</v>
      </c>
      <c r="P1751" s="55" t="s">
        <v>876</v>
      </c>
      <c r="Q1751" s="55" t="s">
        <v>350</v>
      </c>
      <c r="R1751" s="55">
        <v>4</v>
      </c>
      <c r="S1751" s="55"/>
      <c r="T1751" s="55" t="s">
        <v>2432</v>
      </c>
    </row>
    <row r="1752" spans="1:20" ht="13" x14ac:dyDescent="0.15">
      <c r="A1752" s="72" t="str">
        <f t="shared" si="27"/>
        <v>Ofsted Social Care Provider Webpage</v>
      </c>
      <c r="B1752" s="55" t="s">
        <v>2550</v>
      </c>
      <c r="D1752" s="55" t="s">
        <v>373</v>
      </c>
      <c r="E1752" s="74">
        <v>36840</v>
      </c>
      <c r="F1752" s="55" t="s">
        <v>344</v>
      </c>
      <c r="G1752" s="55" t="s">
        <v>360</v>
      </c>
      <c r="H1752" s="55" t="s">
        <v>360</v>
      </c>
      <c r="I1752" s="55" t="s">
        <v>360</v>
      </c>
      <c r="J1752" s="55" t="s">
        <v>360</v>
      </c>
      <c r="K1752" s="55" t="s">
        <v>360</v>
      </c>
      <c r="L1752" s="55" t="s">
        <v>360</v>
      </c>
      <c r="M1752" s="55" t="s">
        <v>144</v>
      </c>
      <c r="N1752" s="55" t="s">
        <v>144</v>
      </c>
      <c r="O1752" s="55" t="s">
        <v>263</v>
      </c>
      <c r="P1752" s="55" t="s">
        <v>876</v>
      </c>
      <c r="Q1752" s="55" t="s">
        <v>362</v>
      </c>
      <c r="R1752" s="55">
        <v>5</v>
      </c>
      <c r="S1752" s="55"/>
      <c r="T1752" s="55" t="s">
        <v>2551</v>
      </c>
    </row>
    <row r="1753" spans="1:20" ht="13" x14ac:dyDescent="0.15">
      <c r="A1753" s="72" t="str">
        <f t="shared" si="27"/>
        <v>Ofsted Social Care Provider Webpage</v>
      </c>
      <c r="B1753" s="55" t="s">
        <v>2552</v>
      </c>
      <c r="D1753" s="55" t="s">
        <v>373</v>
      </c>
      <c r="E1753" s="74">
        <v>35858</v>
      </c>
      <c r="F1753" s="55" t="s">
        <v>344</v>
      </c>
      <c r="G1753" s="55" t="s">
        <v>360</v>
      </c>
      <c r="H1753" s="55" t="s">
        <v>360</v>
      </c>
      <c r="I1753" s="55" t="s">
        <v>360</v>
      </c>
      <c r="J1753" s="55" t="s">
        <v>360</v>
      </c>
      <c r="K1753" s="55" t="s">
        <v>360</v>
      </c>
      <c r="L1753" s="55" t="s">
        <v>360</v>
      </c>
      <c r="M1753" s="55" t="s">
        <v>144</v>
      </c>
      <c r="N1753" s="55" t="s">
        <v>144</v>
      </c>
      <c r="O1753" s="55" t="s">
        <v>263</v>
      </c>
      <c r="P1753" s="55" t="s">
        <v>876</v>
      </c>
      <c r="Q1753" s="55" t="s">
        <v>350</v>
      </c>
      <c r="R1753" s="55">
        <v>6</v>
      </c>
      <c r="S1753" s="55"/>
      <c r="T1753" s="55" t="s">
        <v>1093</v>
      </c>
    </row>
    <row r="1754" spans="1:20" ht="13" x14ac:dyDescent="0.15">
      <c r="A1754" s="72" t="str">
        <f t="shared" si="27"/>
        <v>Ofsted Social Care Provider Webpage</v>
      </c>
      <c r="B1754" s="55" t="s">
        <v>2553</v>
      </c>
      <c r="D1754" s="55" t="s">
        <v>373</v>
      </c>
      <c r="E1754" s="74">
        <v>37074</v>
      </c>
      <c r="F1754" s="55" t="s">
        <v>344</v>
      </c>
      <c r="G1754" s="55" t="s">
        <v>360</v>
      </c>
      <c r="H1754" s="55" t="s">
        <v>360</v>
      </c>
      <c r="I1754" s="55" t="s">
        <v>360</v>
      </c>
      <c r="J1754" s="55" t="s">
        <v>360</v>
      </c>
      <c r="K1754" s="55" t="s">
        <v>360</v>
      </c>
      <c r="L1754" s="55" t="s">
        <v>360</v>
      </c>
      <c r="M1754" s="55" t="s">
        <v>144</v>
      </c>
      <c r="N1754" s="55" t="s">
        <v>144</v>
      </c>
      <c r="O1754" s="55" t="s">
        <v>263</v>
      </c>
      <c r="P1754" s="55" t="s">
        <v>263</v>
      </c>
      <c r="Q1754" s="55" t="s">
        <v>350</v>
      </c>
      <c r="R1754" s="55">
        <v>2</v>
      </c>
      <c r="S1754" s="55"/>
      <c r="T1754" s="55" t="s">
        <v>1505</v>
      </c>
    </row>
    <row r="1755" spans="1:20" ht="13" x14ac:dyDescent="0.15">
      <c r="A1755" s="72" t="str">
        <f t="shared" si="27"/>
        <v>Ofsted Social Care Provider Webpage</v>
      </c>
      <c r="B1755" s="55" t="s">
        <v>2554</v>
      </c>
      <c r="D1755" s="55" t="s">
        <v>373</v>
      </c>
      <c r="E1755" s="74">
        <v>37074</v>
      </c>
      <c r="F1755" s="55" t="s">
        <v>344</v>
      </c>
      <c r="G1755" s="55" t="s">
        <v>360</v>
      </c>
      <c r="H1755" s="55" t="s">
        <v>360</v>
      </c>
      <c r="I1755" s="55" t="s">
        <v>360</v>
      </c>
      <c r="J1755" s="55" t="s">
        <v>360</v>
      </c>
      <c r="K1755" s="55" t="s">
        <v>360</v>
      </c>
      <c r="L1755" s="55" t="s">
        <v>360</v>
      </c>
      <c r="M1755" s="55" t="s">
        <v>144</v>
      </c>
      <c r="N1755" s="55" t="s">
        <v>144</v>
      </c>
      <c r="O1755" s="55" t="s">
        <v>263</v>
      </c>
      <c r="P1755" s="55" t="s">
        <v>1120</v>
      </c>
      <c r="Q1755" s="55" t="s">
        <v>350</v>
      </c>
      <c r="R1755" s="55">
        <v>2</v>
      </c>
      <c r="S1755" s="55"/>
      <c r="T1755" s="55" t="s">
        <v>1505</v>
      </c>
    </row>
    <row r="1756" spans="1:20" ht="13" x14ac:dyDescent="0.15">
      <c r="A1756" s="72" t="str">
        <f t="shared" si="27"/>
        <v>Ofsted Social Care Provider Webpage</v>
      </c>
      <c r="B1756" s="55" t="s">
        <v>2555</v>
      </c>
      <c r="C1756" s="55">
        <v>122956</v>
      </c>
      <c r="D1756" s="55" t="s">
        <v>413</v>
      </c>
      <c r="E1756" s="74">
        <v>37300</v>
      </c>
      <c r="F1756" s="55" t="s">
        <v>344</v>
      </c>
      <c r="G1756" s="55" t="s">
        <v>2556</v>
      </c>
      <c r="H1756" s="55" t="s">
        <v>2557</v>
      </c>
      <c r="I1756" s="55" t="s">
        <v>2558</v>
      </c>
      <c r="J1756" s="55" t="s">
        <v>2559</v>
      </c>
      <c r="K1756" s="55" t="s">
        <v>235</v>
      </c>
      <c r="L1756" s="55" t="s">
        <v>2560</v>
      </c>
      <c r="M1756" s="55" t="s">
        <v>172</v>
      </c>
      <c r="N1756" s="55" t="s">
        <v>172</v>
      </c>
      <c r="O1756" s="55" t="s">
        <v>235</v>
      </c>
      <c r="P1756" s="55" t="s">
        <v>1036</v>
      </c>
      <c r="Q1756" s="55" t="s">
        <v>362</v>
      </c>
      <c r="R1756" s="55">
        <v>9</v>
      </c>
      <c r="S1756" s="55"/>
      <c r="T1756" s="55" t="s">
        <v>2561</v>
      </c>
    </row>
    <row r="1757" spans="1:20" ht="13" x14ac:dyDescent="0.15">
      <c r="A1757" s="72" t="str">
        <f t="shared" si="27"/>
        <v>Ofsted Social Care Provider Webpage</v>
      </c>
      <c r="B1757" s="55" t="s">
        <v>2562</v>
      </c>
      <c r="D1757" s="55" t="s">
        <v>373</v>
      </c>
      <c r="E1757" s="74">
        <v>37300</v>
      </c>
      <c r="F1757" s="55" t="s">
        <v>344</v>
      </c>
      <c r="G1757" s="55" t="s">
        <v>360</v>
      </c>
      <c r="H1757" s="55" t="s">
        <v>360</v>
      </c>
      <c r="I1757" s="55" t="s">
        <v>360</v>
      </c>
      <c r="J1757" s="55" t="s">
        <v>360</v>
      </c>
      <c r="K1757" s="55" t="s">
        <v>360</v>
      </c>
      <c r="L1757" s="55" t="s">
        <v>360</v>
      </c>
      <c r="M1757" s="55" t="s">
        <v>172</v>
      </c>
      <c r="N1757" s="55" t="s">
        <v>172</v>
      </c>
      <c r="O1757" s="55" t="s">
        <v>235</v>
      </c>
      <c r="P1757" s="55" t="s">
        <v>494</v>
      </c>
      <c r="Q1757" s="55" t="s">
        <v>350</v>
      </c>
      <c r="R1757" s="55">
        <v>4</v>
      </c>
      <c r="S1757" s="55"/>
      <c r="T1757" s="55" t="s">
        <v>495</v>
      </c>
    </row>
    <row r="1758" spans="1:20" ht="13" x14ac:dyDescent="0.15">
      <c r="A1758" s="72" t="str">
        <f t="shared" si="27"/>
        <v>Ofsted Social Care Provider Webpage</v>
      </c>
      <c r="B1758" s="55" t="s">
        <v>2563</v>
      </c>
      <c r="C1758" s="55">
        <v>130285</v>
      </c>
      <c r="D1758" s="55" t="s">
        <v>398</v>
      </c>
      <c r="E1758" s="74">
        <v>37300</v>
      </c>
      <c r="F1758" s="55" t="s">
        <v>344</v>
      </c>
      <c r="G1758" s="55" t="s">
        <v>2564</v>
      </c>
      <c r="H1758" s="55" t="s">
        <v>2565</v>
      </c>
      <c r="I1758" s="55" t="s">
        <v>354</v>
      </c>
      <c r="J1758" s="55" t="s">
        <v>147</v>
      </c>
      <c r="K1758" s="55" t="s">
        <v>209</v>
      </c>
      <c r="L1758" s="55" t="s">
        <v>2566</v>
      </c>
      <c r="M1758" s="55" t="s">
        <v>144</v>
      </c>
      <c r="N1758" s="55" t="s">
        <v>144</v>
      </c>
      <c r="O1758" s="55" t="s">
        <v>147</v>
      </c>
      <c r="P1758" s="55" t="s">
        <v>387</v>
      </c>
      <c r="Q1758" s="55" t="s">
        <v>362</v>
      </c>
      <c r="R1758" s="55">
        <v>149</v>
      </c>
      <c r="S1758" s="55"/>
      <c r="T1758" s="55" t="s">
        <v>2564</v>
      </c>
    </row>
    <row r="1759" spans="1:20" ht="13" x14ac:dyDescent="0.15">
      <c r="A1759" s="72" t="str">
        <f t="shared" si="27"/>
        <v>Ofsted Social Care Provider Webpage</v>
      </c>
      <c r="B1759" s="55" t="s">
        <v>2567</v>
      </c>
      <c r="D1759" s="55" t="s">
        <v>373</v>
      </c>
      <c r="E1759" s="74">
        <v>35103</v>
      </c>
      <c r="F1759" s="55" t="s">
        <v>344</v>
      </c>
      <c r="G1759" s="55" t="s">
        <v>360</v>
      </c>
      <c r="H1759" s="55" t="s">
        <v>360</v>
      </c>
      <c r="I1759" s="55" t="s">
        <v>360</v>
      </c>
      <c r="J1759" s="55" t="s">
        <v>360</v>
      </c>
      <c r="K1759" s="55" t="s">
        <v>360</v>
      </c>
      <c r="L1759" s="55" t="s">
        <v>360</v>
      </c>
      <c r="M1759" s="55" t="s">
        <v>144</v>
      </c>
      <c r="N1759" s="55" t="s">
        <v>144</v>
      </c>
      <c r="O1759" s="55" t="s">
        <v>209</v>
      </c>
      <c r="P1759" s="55" t="s">
        <v>650</v>
      </c>
      <c r="Q1759" s="55" t="s">
        <v>350</v>
      </c>
      <c r="R1759" s="55">
        <v>4</v>
      </c>
      <c r="S1759" s="55"/>
      <c r="T1759" s="55" t="s">
        <v>1363</v>
      </c>
    </row>
    <row r="1760" spans="1:20" ht="13" x14ac:dyDescent="0.15">
      <c r="A1760" s="72" t="str">
        <f t="shared" si="27"/>
        <v>Ofsted Social Care Provider Webpage</v>
      </c>
      <c r="B1760" s="55" t="s">
        <v>2568</v>
      </c>
      <c r="C1760" s="55">
        <v>119845</v>
      </c>
      <c r="D1760" s="55" t="s">
        <v>413</v>
      </c>
      <c r="E1760" s="74">
        <v>34282</v>
      </c>
      <c r="F1760" s="55" t="s">
        <v>344</v>
      </c>
      <c r="G1760" s="55" t="s">
        <v>2569</v>
      </c>
      <c r="H1760" s="55" t="s">
        <v>2570</v>
      </c>
      <c r="I1760" s="55" t="s">
        <v>2571</v>
      </c>
      <c r="J1760" s="55" t="s">
        <v>2542</v>
      </c>
      <c r="K1760" s="55" t="s">
        <v>209</v>
      </c>
      <c r="L1760" s="55" t="s">
        <v>2572</v>
      </c>
      <c r="M1760" s="55" t="s">
        <v>144</v>
      </c>
      <c r="N1760" s="55" t="s">
        <v>144</v>
      </c>
      <c r="O1760" s="55" t="s">
        <v>209</v>
      </c>
      <c r="P1760" s="55" t="s">
        <v>650</v>
      </c>
      <c r="Q1760" s="55" t="s">
        <v>350</v>
      </c>
      <c r="R1760" s="55">
        <v>12</v>
      </c>
      <c r="S1760" s="55"/>
      <c r="T1760" s="55" t="s">
        <v>450</v>
      </c>
    </row>
    <row r="1761" spans="1:20" ht="13" x14ac:dyDescent="0.15">
      <c r="A1761" s="72" t="str">
        <f t="shared" si="27"/>
        <v>Ofsted Social Care Provider Webpage</v>
      </c>
      <c r="B1761" s="55" t="s">
        <v>2573</v>
      </c>
      <c r="D1761" s="55" t="s">
        <v>373</v>
      </c>
      <c r="E1761" s="74">
        <v>37246</v>
      </c>
      <c r="F1761" s="55" t="s">
        <v>344</v>
      </c>
      <c r="G1761" s="55" t="s">
        <v>360</v>
      </c>
      <c r="H1761" s="55" t="s">
        <v>360</v>
      </c>
      <c r="I1761" s="55" t="s">
        <v>360</v>
      </c>
      <c r="J1761" s="55" t="s">
        <v>360</v>
      </c>
      <c r="K1761" s="55" t="s">
        <v>360</v>
      </c>
      <c r="L1761" s="55" t="s">
        <v>360</v>
      </c>
      <c r="M1761" s="55" t="s">
        <v>144</v>
      </c>
      <c r="N1761" s="55" t="s">
        <v>144</v>
      </c>
      <c r="O1761" s="55" t="s">
        <v>209</v>
      </c>
      <c r="P1761" s="55" t="s">
        <v>364</v>
      </c>
      <c r="Q1761" s="55" t="s">
        <v>350</v>
      </c>
      <c r="R1761" s="55">
        <v>4</v>
      </c>
      <c r="S1761" s="55"/>
      <c r="T1761" s="55" t="s">
        <v>2574</v>
      </c>
    </row>
    <row r="1762" spans="1:20" ht="13" x14ac:dyDescent="0.15">
      <c r="A1762" s="72" t="str">
        <f t="shared" si="27"/>
        <v>Ofsted Social Care Provider Webpage</v>
      </c>
      <c r="B1762" s="55" t="s">
        <v>2575</v>
      </c>
      <c r="C1762" s="55">
        <v>145709</v>
      </c>
      <c r="D1762" s="55" t="s">
        <v>413</v>
      </c>
      <c r="E1762" s="74">
        <v>37300</v>
      </c>
      <c r="F1762" s="55" t="s">
        <v>344</v>
      </c>
      <c r="G1762" s="55" t="s">
        <v>2576</v>
      </c>
      <c r="H1762" s="55" t="s">
        <v>2576</v>
      </c>
      <c r="I1762" s="55" t="s">
        <v>2577</v>
      </c>
      <c r="J1762" s="55" t="s">
        <v>2578</v>
      </c>
      <c r="L1762" s="55" t="s">
        <v>2579</v>
      </c>
      <c r="M1762" s="55" t="s">
        <v>129</v>
      </c>
      <c r="N1762" s="55" t="s">
        <v>129</v>
      </c>
      <c r="O1762" s="55" t="s">
        <v>280</v>
      </c>
      <c r="P1762" s="55" t="s">
        <v>2580</v>
      </c>
      <c r="Q1762" s="55" t="s">
        <v>380</v>
      </c>
      <c r="R1762" s="55">
        <v>29</v>
      </c>
      <c r="S1762" s="55"/>
      <c r="T1762" s="55" t="s">
        <v>2581</v>
      </c>
    </row>
    <row r="1763" spans="1:20" ht="13" x14ac:dyDescent="0.15">
      <c r="A1763" s="72" t="str">
        <f t="shared" si="27"/>
        <v>Ofsted Social Care Provider Webpage</v>
      </c>
      <c r="B1763" s="55" t="s">
        <v>2582</v>
      </c>
      <c r="D1763" s="55" t="s">
        <v>373</v>
      </c>
      <c r="E1763" s="74">
        <v>34448</v>
      </c>
      <c r="F1763" s="55" t="s">
        <v>344</v>
      </c>
      <c r="G1763" s="55" t="s">
        <v>360</v>
      </c>
      <c r="H1763" s="55" t="s">
        <v>360</v>
      </c>
      <c r="I1763" s="55" t="s">
        <v>360</v>
      </c>
      <c r="J1763" s="55" t="s">
        <v>360</v>
      </c>
      <c r="K1763" s="55" t="s">
        <v>360</v>
      </c>
      <c r="L1763" s="55" t="s">
        <v>360</v>
      </c>
      <c r="M1763" s="55" t="s">
        <v>129</v>
      </c>
      <c r="N1763" s="55" t="s">
        <v>129</v>
      </c>
      <c r="O1763" s="55" t="s">
        <v>131</v>
      </c>
      <c r="P1763" s="55" t="s">
        <v>1606</v>
      </c>
      <c r="Q1763" s="55" t="s">
        <v>362</v>
      </c>
      <c r="R1763" s="55">
        <v>9</v>
      </c>
      <c r="S1763" s="55" t="s">
        <v>332</v>
      </c>
      <c r="T1763" s="55" t="s">
        <v>2583</v>
      </c>
    </row>
    <row r="1764" spans="1:20" ht="13" x14ac:dyDescent="0.15">
      <c r="A1764" s="72" t="str">
        <f t="shared" si="27"/>
        <v>Ofsted Social Care Provider Webpage</v>
      </c>
      <c r="B1764" s="55" t="s">
        <v>2584</v>
      </c>
      <c r="D1764" s="55" t="s">
        <v>373</v>
      </c>
      <c r="E1764" s="74">
        <v>37252</v>
      </c>
      <c r="F1764" s="55" t="s">
        <v>344</v>
      </c>
      <c r="G1764" s="55" t="s">
        <v>360</v>
      </c>
      <c r="H1764" s="55" t="s">
        <v>360</v>
      </c>
      <c r="I1764" s="55" t="s">
        <v>360</v>
      </c>
      <c r="J1764" s="55" t="s">
        <v>360</v>
      </c>
      <c r="K1764" s="55" t="s">
        <v>360</v>
      </c>
      <c r="L1764" s="55" t="s">
        <v>360</v>
      </c>
      <c r="M1764" s="55" t="s">
        <v>129</v>
      </c>
      <c r="N1764" s="55" t="s">
        <v>129</v>
      </c>
      <c r="O1764" s="55" t="s">
        <v>182</v>
      </c>
      <c r="P1764" s="55" t="s">
        <v>1660</v>
      </c>
      <c r="Q1764" s="55" t="s">
        <v>350</v>
      </c>
      <c r="R1764" s="55">
        <v>5</v>
      </c>
      <c r="S1764" s="55"/>
    </row>
    <row r="1765" spans="1:20" ht="13" x14ac:dyDescent="0.15">
      <c r="A1765" s="72" t="str">
        <f t="shared" si="27"/>
        <v>Ofsted Social Care Provider Webpage</v>
      </c>
      <c r="B1765" s="55" t="s">
        <v>2585</v>
      </c>
      <c r="C1765" s="55">
        <v>110180</v>
      </c>
      <c r="D1765" s="55" t="s">
        <v>413</v>
      </c>
      <c r="E1765" s="74">
        <v>37300</v>
      </c>
      <c r="F1765" s="55" t="s">
        <v>344</v>
      </c>
      <c r="G1765" s="55" t="s">
        <v>2586</v>
      </c>
      <c r="H1765" s="55" t="s">
        <v>2587</v>
      </c>
      <c r="I1765" s="55" t="s">
        <v>2588</v>
      </c>
      <c r="J1765" s="55" t="s">
        <v>1333</v>
      </c>
      <c r="K1765" s="55" t="s">
        <v>1402</v>
      </c>
      <c r="L1765" s="55" t="s">
        <v>2589</v>
      </c>
      <c r="M1765" s="55" t="s">
        <v>150</v>
      </c>
      <c r="N1765" s="55" t="s">
        <v>150</v>
      </c>
      <c r="O1765" s="55" t="s">
        <v>283</v>
      </c>
      <c r="P1765" s="55" t="s">
        <v>1333</v>
      </c>
      <c r="Q1765" s="55" t="s">
        <v>362</v>
      </c>
      <c r="R1765" s="55">
        <v>247</v>
      </c>
      <c r="S1765" s="55"/>
    </row>
    <row r="1766" spans="1:20" ht="13" x14ac:dyDescent="0.15">
      <c r="A1766" s="72" t="str">
        <f t="shared" si="27"/>
        <v>Ofsted Social Care Provider Webpage</v>
      </c>
      <c r="B1766" s="55" t="s">
        <v>2590</v>
      </c>
      <c r="D1766" s="55" t="s">
        <v>373</v>
      </c>
      <c r="E1766" s="74">
        <v>33967</v>
      </c>
      <c r="F1766" s="55" t="s">
        <v>344</v>
      </c>
      <c r="G1766" s="55" t="s">
        <v>360</v>
      </c>
      <c r="H1766" s="55" t="s">
        <v>360</v>
      </c>
      <c r="I1766" s="55" t="s">
        <v>360</v>
      </c>
      <c r="J1766" s="55" t="s">
        <v>360</v>
      </c>
      <c r="K1766" s="55" t="s">
        <v>360</v>
      </c>
      <c r="L1766" s="55" t="s">
        <v>360</v>
      </c>
      <c r="M1766" s="55" t="s">
        <v>150</v>
      </c>
      <c r="N1766" s="55" t="s">
        <v>150</v>
      </c>
      <c r="O1766" s="55" t="s">
        <v>283</v>
      </c>
      <c r="P1766" s="55" t="s">
        <v>1492</v>
      </c>
      <c r="Q1766" s="55" t="s">
        <v>350</v>
      </c>
      <c r="R1766" s="55">
        <v>7</v>
      </c>
      <c r="S1766" s="55"/>
      <c r="T1766" s="55" t="s">
        <v>755</v>
      </c>
    </row>
    <row r="1767" spans="1:20" ht="13" x14ac:dyDescent="0.15">
      <c r="A1767" s="72" t="str">
        <f t="shared" si="27"/>
        <v>Ofsted Social Care Provider Webpage</v>
      </c>
      <c r="B1767" s="55" t="s">
        <v>2591</v>
      </c>
      <c r="C1767" s="55">
        <v>110181</v>
      </c>
      <c r="D1767" s="55" t="s">
        <v>413</v>
      </c>
      <c r="E1767" s="74">
        <v>37301</v>
      </c>
      <c r="F1767" s="55" t="s">
        <v>344</v>
      </c>
      <c r="G1767" s="55" t="s">
        <v>2592</v>
      </c>
      <c r="H1767" s="55" t="s">
        <v>2593</v>
      </c>
      <c r="I1767" s="55" t="s">
        <v>2594</v>
      </c>
      <c r="J1767" s="55" t="s">
        <v>291</v>
      </c>
      <c r="K1767" s="55" t="s">
        <v>1402</v>
      </c>
      <c r="L1767" s="55" t="s">
        <v>2595</v>
      </c>
      <c r="M1767" s="55" t="s">
        <v>150</v>
      </c>
      <c r="N1767" s="55" t="s">
        <v>150</v>
      </c>
      <c r="O1767" s="55" t="s">
        <v>291</v>
      </c>
      <c r="P1767" s="55" t="s">
        <v>291</v>
      </c>
      <c r="Q1767" s="55" t="s">
        <v>362</v>
      </c>
      <c r="R1767" s="55">
        <v>20</v>
      </c>
      <c r="S1767" s="55"/>
      <c r="T1767" s="55" t="s">
        <v>1884</v>
      </c>
    </row>
    <row r="1768" spans="1:20" ht="13" x14ac:dyDescent="0.15">
      <c r="A1768" s="72" t="str">
        <f t="shared" si="27"/>
        <v>Ofsted Social Care Provider Webpage</v>
      </c>
      <c r="B1768" s="55" t="s">
        <v>2596</v>
      </c>
      <c r="D1768" s="55" t="s">
        <v>373</v>
      </c>
      <c r="E1768" s="74">
        <v>33953</v>
      </c>
      <c r="F1768" s="55" t="s">
        <v>344</v>
      </c>
      <c r="G1768" s="55" t="s">
        <v>360</v>
      </c>
      <c r="H1768" s="55" t="s">
        <v>360</v>
      </c>
      <c r="I1768" s="55" t="s">
        <v>360</v>
      </c>
      <c r="J1768" s="55" t="s">
        <v>360</v>
      </c>
      <c r="K1768" s="55" t="s">
        <v>360</v>
      </c>
      <c r="L1768" s="55" t="s">
        <v>360</v>
      </c>
      <c r="M1768" s="55" t="s">
        <v>150</v>
      </c>
      <c r="N1768" s="55" t="s">
        <v>150</v>
      </c>
      <c r="O1768" s="55" t="s">
        <v>190</v>
      </c>
      <c r="P1768" s="55" t="s">
        <v>830</v>
      </c>
      <c r="Q1768" s="55" t="s">
        <v>350</v>
      </c>
      <c r="R1768" s="55">
        <v>6</v>
      </c>
      <c r="S1768" s="55"/>
      <c r="T1768" s="55" t="s">
        <v>890</v>
      </c>
    </row>
    <row r="1769" spans="1:20" ht="13" x14ac:dyDescent="0.15">
      <c r="A1769" s="72" t="str">
        <f t="shared" si="27"/>
        <v>Ofsted Social Care Provider Webpage</v>
      </c>
      <c r="B1769" s="55" t="s">
        <v>2597</v>
      </c>
      <c r="D1769" s="55" t="s">
        <v>373</v>
      </c>
      <c r="E1769" s="74">
        <v>33954</v>
      </c>
      <c r="F1769" s="55" t="s">
        <v>344</v>
      </c>
      <c r="G1769" s="55" t="s">
        <v>360</v>
      </c>
      <c r="H1769" s="55" t="s">
        <v>360</v>
      </c>
      <c r="I1769" s="55" t="s">
        <v>360</v>
      </c>
      <c r="J1769" s="55" t="s">
        <v>360</v>
      </c>
      <c r="K1769" s="55" t="s">
        <v>360</v>
      </c>
      <c r="L1769" s="55" t="s">
        <v>360</v>
      </c>
      <c r="M1769" s="55" t="s">
        <v>150</v>
      </c>
      <c r="N1769" s="55" t="s">
        <v>150</v>
      </c>
      <c r="O1769" s="55" t="s">
        <v>190</v>
      </c>
      <c r="P1769" s="55" t="s">
        <v>830</v>
      </c>
      <c r="Q1769" s="55" t="s">
        <v>350</v>
      </c>
      <c r="R1769" s="55">
        <v>6</v>
      </c>
      <c r="S1769" s="55"/>
      <c r="T1769" s="55" t="s">
        <v>890</v>
      </c>
    </row>
    <row r="1770" spans="1:20" ht="13" x14ac:dyDescent="0.15">
      <c r="A1770" s="72" t="str">
        <f t="shared" si="27"/>
        <v>Ofsted Social Care Provider Webpage</v>
      </c>
      <c r="B1770" s="55" t="s">
        <v>2598</v>
      </c>
      <c r="C1770" s="55">
        <v>116584</v>
      </c>
      <c r="D1770" s="55" t="s">
        <v>413</v>
      </c>
      <c r="E1770" s="74">
        <v>37301</v>
      </c>
      <c r="F1770" s="55" t="s">
        <v>344</v>
      </c>
      <c r="G1770" s="55" t="s">
        <v>2599</v>
      </c>
      <c r="H1770" s="55" t="s">
        <v>2600</v>
      </c>
      <c r="I1770" s="55" t="s">
        <v>2601</v>
      </c>
      <c r="J1770" s="55" t="s">
        <v>2602</v>
      </c>
      <c r="K1770" s="55" t="s">
        <v>190</v>
      </c>
      <c r="L1770" s="55" t="s">
        <v>2603</v>
      </c>
      <c r="M1770" s="55" t="s">
        <v>150</v>
      </c>
      <c r="N1770" s="55" t="s">
        <v>150</v>
      </c>
      <c r="O1770" s="55" t="s">
        <v>190</v>
      </c>
      <c r="P1770" s="55" t="s">
        <v>887</v>
      </c>
      <c r="Q1770" s="55" t="s">
        <v>362</v>
      </c>
      <c r="R1770" s="55">
        <v>77</v>
      </c>
      <c r="S1770" s="55"/>
      <c r="T1770" s="55" t="s">
        <v>2599</v>
      </c>
    </row>
    <row r="1771" spans="1:20" ht="13" x14ac:dyDescent="0.15">
      <c r="A1771" s="72" t="str">
        <f t="shared" si="27"/>
        <v>Ofsted Social Care Provider Webpage</v>
      </c>
      <c r="B1771" s="55" t="s">
        <v>2604</v>
      </c>
      <c r="C1771" s="55">
        <v>116594</v>
      </c>
      <c r="D1771" s="55" t="s">
        <v>398</v>
      </c>
      <c r="E1771" s="74">
        <v>37301</v>
      </c>
      <c r="F1771" s="55" t="s">
        <v>344</v>
      </c>
      <c r="G1771" s="55" t="s">
        <v>2605</v>
      </c>
      <c r="H1771" s="55" t="s">
        <v>2606</v>
      </c>
      <c r="I1771" s="55" t="s">
        <v>2607</v>
      </c>
      <c r="J1771" s="55" t="s">
        <v>1333</v>
      </c>
      <c r="K1771" s="55" t="s">
        <v>1402</v>
      </c>
      <c r="L1771" s="55" t="s">
        <v>2608</v>
      </c>
      <c r="M1771" s="55" t="s">
        <v>150</v>
      </c>
      <c r="N1771" s="55" t="s">
        <v>150</v>
      </c>
      <c r="O1771" s="55" t="s">
        <v>190</v>
      </c>
      <c r="P1771" s="55" t="s">
        <v>830</v>
      </c>
      <c r="Q1771" s="55" t="s">
        <v>362</v>
      </c>
      <c r="R1771" s="55">
        <v>34</v>
      </c>
      <c r="S1771" s="55"/>
      <c r="T1771" s="55" t="s">
        <v>2609</v>
      </c>
    </row>
    <row r="1772" spans="1:20" ht="13" x14ac:dyDescent="0.15">
      <c r="A1772" s="72" t="str">
        <f t="shared" si="27"/>
        <v>Ofsted Social Care Provider Webpage</v>
      </c>
      <c r="B1772" s="55" t="s">
        <v>2610</v>
      </c>
      <c r="D1772" s="55" t="s">
        <v>479</v>
      </c>
      <c r="E1772" s="74">
        <v>37301</v>
      </c>
      <c r="F1772" s="55" t="s">
        <v>344</v>
      </c>
      <c r="G1772" s="55" t="s">
        <v>360</v>
      </c>
      <c r="H1772" s="55" t="s">
        <v>360</v>
      </c>
      <c r="I1772" s="55" t="s">
        <v>360</v>
      </c>
      <c r="J1772" s="55" t="s">
        <v>360</v>
      </c>
      <c r="K1772" s="55" t="s">
        <v>360</v>
      </c>
      <c r="L1772" s="55" t="s">
        <v>360</v>
      </c>
      <c r="M1772" s="55" t="s">
        <v>150</v>
      </c>
      <c r="N1772" s="55" t="s">
        <v>150</v>
      </c>
      <c r="O1772" s="55" t="s">
        <v>190</v>
      </c>
      <c r="P1772" s="55" t="s">
        <v>1428</v>
      </c>
      <c r="Q1772" s="55" t="s">
        <v>362</v>
      </c>
      <c r="R1772" s="55">
        <v>30</v>
      </c>
      <c r="S1772" s="55"/>
      <c r="T1772" s="55" t="s">
        <v>2611</v>
      </c>
    </row>
    <row r="1773" spans="1:20" ht="13" x14ac:dyDescent="0.15">
      <c r="A1773" s="72" t="str">
        <f t="shared" si="27"/>
        <v>Ofsted Social Care Provider Webpage</v>
      </c>
      <c r="B1773" s="55" t="s">
        <v>2612</v>
      </c>
      <c r="C1773" s="55">
        <v>116636</v>
      </c>
      <c r="D1773" s="55" t="s">
        <v>413</v>
      </c>
      <c r="E1773" s="74">
        <v>37301</v>
      </c>
      <c r="F1773" s="55" t="s">
        <v>344</v>
      </c>
      <c r="G1773" s="55" t="s">
        <v>2613</v>
      </c>
      <c r="H1773" s="55" t="s">
        <v>2614</v>
      </c>
      <c r="I1773" s="55" t="s">
        <v>2615</v>
      </c>
      <c r="J1773" s="55" t="s">
        <v>2616</v>
      </c>
      <c r="K1773" s="55" t="s">
        <v>190</v>
      </c>
      <c r="L1773" s="55" t="s">
        <v>2617</v>
      </c>
      <c r="M1773" s="55" t="s">
        <v>150</v>
      </c>
      <c r="N1773" s="55" t="s">
        <v>150</v>
      </c>
      <c r="O1773" s="55" t="s">
        <v>190</v>
      </c>
      <c r="P1773" s="55" t="s">
        <v>1703</v>
      </c>
      <c r="Q1773" s="55" t="s">
        <v>350</v>
      </c>
      <c r="R1773" s="55">
        <v>45</v>
      </c>
      <c r="S1773" s="55"/>
      <c r="T1773" s="55" t="s">
        <v>2618</v>
      </c>
    </row>
    <row r="1774" spans="1:20" ht="13" x14ac:dyDescent="0.15">
      <c r="A1774" s="72" t="str">
        <f t="shared" si="27"/>
        <v>Ofsted Social Care Provider Webpage</v>
      </c>
      <c r="B1774" s="55" t="s">
        <v>2619</v>
      </c>
      <c r="C1774" s="55">
        <v>116635</v>
      </c>
      <c r="D1774" s="55" t="s">
        <v>413</v>
      </c>
      <c r="E1774" s="74">
        <v>37301</v>
      </c>
      <c r="F1774" s="55" t="s">
        <v>344</v>
      </c>
      <c r="G1774" s="55" t="s">
        <v>2620</v>
      </c>
      <c r="H1774" s="55" t="s">
        <v>2621</v>
      </c>
      <c r="I1774" s="55" t="s">
        <v>2622</v>
      </c>
      <c r="J1774" s="55" t="s">
        <v>2623</v>
      </c>
      <c r="K1774" s="55" t="s">
        <v>190</v>
      </c>
      <c r="L1774" s="55" t="s">
        <v>2624</v>
      </c>
      <c r="M1774" s="55" t="s">
        <v>150</v>
      </c>
      <c r="N1774" s="55" t="s">
        <v>150</v>
      </c>
      <c r="O1774" s="55" t="s">
        <v>190</v>
      </c>
      <c r="P1774" s="55" t="s">
        <v>830</v>
      </c>
      <c r="Q1774" s="55" t="s">
        <v>380</v>
      </c>
      <c r="R1774" s="55">
        <v>10</v>
      </c>
      <c r="S1774" s="55"/>
      <c r="T1774" s="55" t="s">
        <v>967</v>
      </c>
    </row>
    <row r="1775" spans="1:20" ht="13" x14ac:dyDescent="0.15">
      <c r="A1775" s="72" t="str">
        <f t="shared" si="27"/>
        <v>Ofsted Social Care Provider Webpage</v>
      </c>
      <c r="B1775" s="55" t="s">
        <v>2625</v>
      </c>
      <c r="C1775" s="55">
        <v>116588</v>
      </c>
      <c r="D1775" s="55" t="s">
        <v>413</v>
      </c>
      <c r="E1775" s="74">
        <v>37301</v>
      </c>
      <c r="F1775" s="55" t="s">
        <v>344</v>
      </c>
      <c r="G1775" s="55" t="s">
        <v>2626</v>
      </c>
      <c r="H1775" s="55" t="s">
        <v>2626</v>
      </c>
      <c r="I1775" s="55" t="s">
        <v>2627</v>
      </c>
      <c r="J1775" s="55" t="s">
        <v>2623</v>
      </c>
      <c r="K1775" s="55" t="s">
        <v>190</v>
      </c>
      <c r="L1775" s="55" t="s">
        <v>2628</v>
      </c>
      <c r="M1775" s="55" t="s">
        <v>150</v>
      </c>
      <c r="N1775" s="55" t="s">
        <v>150</v>
      </c>
      <c r="O1775" s="55" t="s">
        <v>190</v>
      </c>
      <c r="P1775" s="55" t="s">
        <v>830</v>
      </c>
      <c r="Q1775" s="55" t="s">
        <v>350</v>
      </c>
      <c r="R1775" s="55">
        <v>46</v>
      </c>
      <c r="S1775" s="55"/>
      <c r="T1775" s="55" t="s">
        <v>2629</v>
      </c>
    </row>
    <row r="1776" spans="1:20" ht="13" x14ac:dyDescent="0.15">
      <c r="A1776" s="72" t="str">
        <f t="shared" si="27"/>
        <v>Ofsted Social Care Provider Webpage</v>
      </c>
      <c r="B1776" s="55" t="s">
        <v>2630</v>
      </c>
      <c r="C1776" s="55">
        <v>116603</v>
      </c>
      <c r="D1776" s="55" t="s">
        <v>413</v>
      </c>
      <c r="E1776" s="74">
        <v>37301</v>
      </c>
      <c r="F1776" s="55" t="s">
        <v>344</v>
      </c>
      <c r="G1776" s="55" t="s">
        <v>2631</v>
      </c>
      <c r="H1776" s="55" t="s">
        <v>2631</v>
      </c>
      <c r="I1776" s="55" t="s">
        <v>2632</v>
      </c>
      <c r="J1776" s="55" t="s">
        <v>2633</v>
      </c>
      <c r="K1776" s="55" t="s">
        <v>190</v>
      </c>
      <c r="L1776" s="55" t="s">
        <v>2634</v>
      </c>
      <c r="M1776" s="55" t="s">
        <v>150</v>
      </c>
      <c r="N1776" s="55" t="s">
        <v>150</v>
      </c>
      <c r="O1776" s="55" t="s">
        <v>190</v>
      </c>
      <c r="P1776" s="55" t="s">
        <v>966</v>
      </c>
      <c r="Q1776" s="55" t="s">
        <v>380</v>
      </c>
      <c r="R1776" s="55">
        <v>23</v>
      </c>
      <c r="S1776" s="55"/>
      <c r="T1776" s="55" t="s">
        <v>967</v>
      </c>
    </row>
    <row r="1777" spans="1:20" ht="13" x14ac:dyDescent="0.15">
      <c r="A1777" s="72" t="str">
        <f t="shared" si="27"/>
        <v>Ofsted Social Care Provider Webpage</v>
      </c>
      <c r="B1777" s="55" t="s">
        <v>2635</v>
      </c>
      <c r="C1777" s="55">
        <v>118226</v>
      </c>
      <c r="D1777" s="55" t="s">
        <v>413</v>
      </c>
      <c r="E1777" s="74">
        <v>37301</v>
      </c>
      <c r="F1777" s="55" t="s">
        <v>344</v>
      </c>
      <c r="G1777" s="55" t="s">
        <v>2636</v>
      </c>
      <c r="H1777" s="55" t="s">
        <v>2637</v>
      </c>
      <c r="I1777" s="55" t="s">
        <v>2638</v>
      </c>
      <c r="J1777" s="55" t="s">
        <v>2639</v>
      </c>
      <c r="K1777" s="55" t="s">
        <v>199</v>
      </c>
      <c r="L1777" s="55" t="s">
        <v>2640</v>
      </c>
      <c r="M1777" s="55" t="s">
        <v>150</v>
      </c>
      <c r="N1777" s="55" t="s">
        <v>150</v>
      </c>
      <c r="O1777" s="55" t="s">
        <v>199</v>
      </c>
      <c r="P1777" s="55" t="s">
        <v>199</v>
      </c>
      <c r="Q1777" s="55" t="s">
        <v>362</v>
      </c>
      <c r="R1777" s="55">
        <v>37</v>
      </c>
      <c r="S1777" s="55"/>
    </row>
    <row r="1778" spans="1:20" ht="13" x14ac:dyDescent="0.15">
      <c r="A1778" s="72" t="str">
        <f t="shared" si="27"/>
        <v>Ofsted Social Care Provider Webpage</v>
      </c>
      <c r="B1778" s="55" t="s">
        <v>2641</v>
      </c>
      <c r="C1778" s="55">
        <v>138289</v>
      </c>
      <c r="D1778" s="55" t="s">
        <v>398</v>
      </c>
      <c r="E1778" s="74">
        <v>37301</v>
      </c>
      <c r="F1778" s="55" t="s">
        <v>344</v>
      </c>
      <c r="G1778" s="55" t="s">
        <v>2642</v>
      </c>
      <c r="H1778" s="55" t="s">
        <v>2642</v>
      </c>
      <c r="I1778" s="55" t="s">
        <v>2643</v>
      </c>
      <c r="J1778" s="55" t="s">
        <v>2644</v>
      </c>
      <c r="K1778" s="55" t="s">
        <v>237</v>
      </c>
      <c r="L1778" s="55" t="s">
        <v>2645</v>
      </c>
      <c r="M1778" s="55" t="s">
        <v>150</v>
      </c>
      <c r="N1778" s="55" t="s">
        <v>150</v>
      </c>
      <c r="O1778" s="55" t="s">
        <v>237</v>
      </c>
      <c r="P1778" s="55" t="s">
        <v>869</v>
      </c>
      <c r="Q1778" s="55" t="s">
        <v>420</v>
      </c>
      <c r="R1778" s="55">
        <v>105</v>
      </c>
      <c r="S1778" s="55"/>
      <c r="T1778" s="55" t="s">
        <v>2642</v>
      </c>
    </row>
    <row r="1779" spans="1:20" ht="13" x14ac:dyDescent="0.15">
      <c r="A1779" s="72" t="str">
        <f t="shared" si="27"/>
        <v>Ofsted Social Care Provider Webpage</v>
      </c>
      <c r="B1779" s="55" t="s">
        <v>2646</v>
      </c>
      <c r="C1779" s="55">
        <v>123329</v>
      </c>
      <c r="D1779" s="55" t="s">
        <v>413</v>
      </c>
      <c r="E1779" s="74">
        <v>37301</v>
      </c>
      <c r="F1779" s="55" t="s">
        <v>344</v>
      </c>
      <c r="G1779" s="55" t="s">
        <v>2647</v>
      </c>
      <c r="H1779" s="55" t="s">
        <v>2647</v>
      </c>
      <c r="I1779" s="55" t="s">
        <v>2648</v>
      </c>
      <c r="J1779" s="55" t="s">
        <v>402</v>
      </c>
      <c r="L1779" s="55" t="s">
        <v>2649</v>
      </c>
      <c r="M1779" s="55" t="s">
        <v>150</v>
      </c>
      <c r="N1779" s="55" t="s">
        <v>150</v>
      </c>
      <c r="O1779" s="55" t="s">
        <v>237</v>
      </c>
      <c r="P1779" s="55" t="s">
        <v>635</v>
      </c>
      <c r="Q1779" s="55" t="s">
        <v>380</v>
      </c>
      <c r="R1779" s="55">
        <v>10</v>
      </c>
      <c r="S1779" s="55"/>
      <c r="T1779" s="55" t="s">
        <v>636</v>
      </c>
    </row>
    <row r="1780" spans="1:20" ht="13" x14ac:dyDescent="0.15">
      <c r="A1780" s="72" t="str">
        <f t="shared" si="27"/>
        <v>Ofsted Social Care Provider Webpage</v>
      </c>
      <c r="B1780" s="55" t="s">
        <v>2650</v>
      </c>
      <c r="D1780" s="55" t="s">
        <v>373</v>
      </c>
      <c r="E1780" s="74">
        <v>36892</v>
      </c>
      <c r="F1780" s="55" t="s">
        <v>344</v>
      </c>
      <c r="G1780" s="55" t="s">
        <v>360</v>
      </c>
      <c r="H1780" s="55" t="s">
        <v>360</v>
      </c>
      <c r="I1780" s="55" t="s">
        <v>360</v>
      </c>
      <c r="J1780" s="55" t="s">
        <v>360</v>
      </c>
      <c r="K1780" s="55" t="s">
        <v>360</v>
      </c>
      <c r="L1780" s="55" t="s">
        <v>360</v>
      </c>
      <c r="M1780" s="55" t="s">
        <v>150</v>
      </c>
      <c r="N1780" s="55" t="s">
        <v>150</v>
      </c>
      <c r="O1780" s="55" t="s">
        <v>237</v>
      </c>
      <c r="P1780" s="55" t="s">
        <v>859</v>
      </c>
      <c r="Q1780" s="55" t="s">
        <v>362</v>
      </c>
      <c r="R1780" s="55">
        <v>6</v>
      </c>
      <c r="S1780" s="55"/>
      <c r="T1780" s="55" t="s">
        <v>1884</v>
      </c>
    </row>
    <row r="1781" spans="1:20" ht="13" x14ac:dyDescent="0.15">
      <c r="A1781" s="72" t="str">
        <f t="shared" si="27"/>
        <v>Ofsted Social Care Provider Webpage</v>
      </c>
      <c r="B1781" s="55" t="s">
        <v>2651</v>
      </c>
      <c r="D1781" s="55" t="s">
        <v>373</v>
      </c>
      <c r="E1781" s="74">
        <v>36892</v>
      </c>
      <c r="F1781" s="55" t="s">
        <v>344</v>
      </c>
      <c r="G1781" s="55" t="s">
        <v>360</v>
      </c>
      <c r="H1781" s="55" t="s">
        <v>360</v>
      </c>
      <c r="I1781" s="55" t="s">
        <v>360</v>
      </c>
      <c r="J1781" s="55" t="s">
        <v>360</v>
      </c>
      <c r="K1781" s="55" t="s">
        <v>360</v>
      </c>
      <c r="L1781" s="55" t="s">
        <v>360</v>
      </c>
      <c r="M1781" s="55" t="s">
        <v>150</v>
      </c>
      <c r="N1781" s="55" t="s">
        <v>150</v>
      </c>
      <c r="O1781" s="55" t="s">
        <v>237</v>
      </c>
      <c r="P1781" s="55" t="s">
        <v>990</v>
      </c>
      <c r="Q1781" s="55" t="s">
        <v>362</v>
      </c>
      <c r="R1781" s="55">
        <v>6</v>
      </c>
      <c r="S1781" s="55" t="s">
        <v>332</v>
      </c>
      <c r="T1781" s="55" t="s">
        <v>1884</v>
      </c>
    </row>
    <row r="1782" spans="1:20" ht="13" x14ac:dyDescent="0.15">
      <c r="A1782" s="72" t="str">
        <f t="shared" si="27"/>
        <v>Ofsted Social Care Provider Webpage</v>
      </c>
      <c r="B1782" s="55" t="s">
        <v>2652</v>
      </c>
      <c r="D1782" s="55" t="s">
        <v>373</v>
      </c>
      <c r="E1782" s="74">
        <v>35811</v>
      </c>
      <c r="F1782" s="55" t="s">
        <v>344</v>
      </c>
      <c r="G1782" s="55" t="s">
        <v>360</v>
      </c>
      <c r="H1782" s="55" t="s">
        <v>360</v>
      </c>
      <c r="I1782" s="55" t="s">
        <v>360</v>
      </c>
      <c r="J1782" s="55" t="s">
        <v>360</v>
      </c>
      <c r="K1782" s="55" t="s">
        <v>360</v>
      </c>
      <c r="L1782" s="55" t="s">
        <v>360</v>
      </c>
      <c r="M1782" s="55" t="s">
        <v>150</v>
      </c>
      <c r="N1782" s="55" t="s">
        <v>150</v>
      </c>
      <c r="O1782" s="55" t="s">
        <v>268</v>
      </c>
      <c r="P1782" s="55" t="s">
        <v>2653</v>
      </c>
      <c r="Q1782" s="55" t="s">
        <v>350</v>
      </c>
      <c r="R1782" s="55">
        <v>8</v>
      </c>
      <c r="S1782" s="55"/>
      <c r="T1782" s="55" t="s">
        <v>2654</v>
      </c>
    </row>
    <row r="1783" spans="1:20" ht="13" x14ac:dyDescent="0.15">
      <c r="A1783" s="72" t="str">
        <f t="shared" si="27"/>
        <v>Ofsted Social Care Provider Webpage</v>
      </c>
      <c r="B1783" s="55" t="s">
        <v>2655</v>
      </c>
      <c r="D1783" s="55" t="s">
        <v>373</v>
      </c>
      <c r="E1783" s="74">
        <v>31497</v>
      </c>
      <c r="F1783" s="55" t="s">
        <v>344</v>
      </c>
      <c r="G1783" s="55" t="s">
        <v>360</v>
      </c>
      <c r="H1783" s="55" t="s">
        <v>360</v>
      </c>
      <c r="I1783" s="55" t="s">
        <v>360</v>
      </c>
      <c r="J1783" s="55" t="s">
        <v>360</v>
      </c>
      <c r="K1783" s="55" t="s">
        <v>360</v>
      </c>
      <c r="L1783" s="55" t="s">
        <v>360</v>
      </c>
      <c r="M1783" s="55" t="s">
        <v>150</v>
      </c>
      <c r="N1783" s="55" t="s">
        <v>150</v>
      </c>
      <c r="O1783" s="55" t="s">
        <v>268</v>
      </c>
      <c r="P1783" s="55" t="s">
        <v>1556</v>
      </c>
      <c r="Q1783" s="55" t="s">
        <v>362</v>
      </c>
      <c r="R1783" s="55">
        <v>14</v>
      </c>
      <c r="S1783" s="55" t="s">
        <v>332</v>
      </c>
      <c r="T1783" s="55" t="s">
        <v>2656</v>
      </c>
    </row>
    <row r="1784" spans="1:20" ht="13" x14ac:dyDescent="0.15">
      <c r="A1784" s="72" t="str">
        <f t="shared" si="27"/>
        <v>Ofsted Social Care Provider Webpage</v>
      </c>
      <c r="B1784" s="55" t="s">
        <v>2657</v>
      </c>
      <c r="D1784" s="55" t="s">
        <v>373</v>
      </c>
      <c r="E1784" s="74">
        <v>26780</v>
      </c>
      <c r="F1784" s="55" t="s">
        <v>344</v>
      </c>
      <c r="G1784" s="55" t="s">
        <v>360</v>
      </c>
      <c r="H1784" s="55" t="s">
        <v>360</v>
      </c>
      <c r="I1784" s="55" t="s">
        <v>360</v>
      </c>
      <c r="J1784" s="55" t="s">
        <v>360</v>
      </c>
      <c r="K1784" s="55" t="s">
        <v>360</v>
      </c>
      <c r="L1784" s="55" t="s">
        <v>360</v>
      </c>
      <c r="M1784" s="55" t="s">
        <v>150</v>
      </c>
      <c r="N1784" s="55" t="s">
        <v>150</v>
      </c>
      <c r="O1784" s="55" t="s">
        <v>268</v>
      </c>
      <c r="P1784" s="55" t="s">
        <v>1943</v>
      </c>
      <c r="Q1784" s="55" t="s">
        <v>362</v>
      </c>
      <c r="R1784" s="55">
        <v>16</v>
      </c>
      <c r="S1784" s="55"/>
      <c r="T1784" s="55" t="s">
        <v>367</v>
      </c>
    </row>
    <row r="1785" spans="1:20" ht="13" x14ac:dyDescent="0.15">
      <c r="A1785" s="72" t="str">
        <f t="shared" si="27"/>
        <v>Ofsted Social Care Provider Webpage</v>
      </c>
      <c r="B1785" s="55" t="s">
        <v>2658</v>
      </c>
      <c r="D1785" s="55" t="s">
        <v>373</v>
      </c>
      <c r="E1785" s="74">
        <v>31509</v>
      </c>
      <c r="F1785" s="55" t="s">
        <v>344</v>
      </c>
      <c r="G1785" s="55" t="s">
        <v>360</v>
      </c>
      <c r="H1785" s="55" t="s">
        <v>360</v>
      </c>
      <c r="I1785" s="55" t="s">
        <v>360</v>
      </c>
      <c r="J1785" s="55" t="s">
        <v>360</v>
      </c>
      <c r="K1785" s="55" t="s">
        <v>360</v>
      </c>
      <c r="L1785" s="55" t="s">
        <v>360</v>
      </c>
      <c r="M1785" s="55" t="s">
        <v>150</v>
      </c>
      <c r="N1785" s="55" t="s">
        <v>150</v>
      </c>
      <c r="O1785" s="55" t="s">
        <v>268</v>
      </c>
      <c r="P1785" s="55" t="s">
        <v>2659</v>
      </c>
      <c r="Q1785" s="55" t="s">
        <v>362</v>
      </c>
      <c r="R1785" s="55">
        <v>6</v>
      </c>
      <c r="S1785" s="55" t="s">
        <v>332</v>
      </c>
      <c r="T1785" s="55" t="s">
        <v>2660</v>
      </c>
    </row>
    <row r="1786" spans="1:20" ht="13" x14ac:dyDescent="0.15">
      <c r="A1786" s="72" t="str">
        <f t="shared" si="27"/>
        <v>Ofsted Social Care Provider Webpage</v>
      </c>
      <c r="B1786" s="55" t="s">
        <v>2661</v>
      </c>
      <c r="C1786" s="55">
        <v>144233</v>
      </c>
      <c r="D1786" s="55" t="s">
        <v>413</v>
      </c>
      <c r="E1786" s="74">
        <v>37301</v>
      </c>
      <c r="F1786" s="55" t="s">
        <v>344</v>
      </c>
      <c r="G1786" s="55" t="s">
        <v>2662</v>
      </c>
      <c r="H1786" s="55" t="s">
        <v>2662</v>
      </c>
      <c r="I1786" s="55" t="s">
        <v>2663</v>
      </c>
      <c r="J1786" s="55" t="s">
        <v>2664</v>
      </c>
      <c r="K1786" s="55" t="s">
        <v>268</v>
      </c>
      <c r="L1786" s="55" t="s">
        <v>2665</v>
      </c>
      <c r="M1786" s="55" t="s">
        <v>150</v>
      </c>
      <c r="N1786" s="55" t="s">
        <v>150</v>
      </c>
      <c r="O1786" s="55" t="s">
        <v>268</v>
      </c>
      <c r="P1786" s="55" t="s">
        <v>2666</v>
      </c>
      <c r="Q1786" s="55" t="s">
        <v>420</v>
      </c>
      <c r="R1786" s="55">
        <v>16</v>
      </c>
      <c r="S1786" s="55"/>
      <c r="T1786" s="55" t="s">
        <v>2667</v>
      </c>
    </row>
    <row r="1787" spans="1:20" ht="13" x14ac:dyDescent="0.15">
      <c r="A1787" s="72" t="str">
        <f t="shared" si="27"/>
        <v>Ofsted Social Care Provider Webpage</v>
      </c>
      <c r="B1787" s="55" t="s">
        <v>2668</v>
      </c>
      <c r="C1787" s="55">
        <v>125459</v>
      </c>
      <c r="D1787" s="55" t="s">
        <v>413</v>
      </c>
      <c r="E1787" s="74">
        <v>37301</v>
      </c>
      <c r="F1787" s="55" t="s">
        <v>344</v>
      </c>
      <c r="G1787" s="55" t="s">
        <v>2669</v>
      </c>
      <c r="H1787" s="55" t="s">
        <v>2669</v>
      </c>
      <c r="I1787" s="55" t="s">
        <v>2670</v>
      </c>
      <c r="J1787" s="55" t="s">
        <v>2671</v>
      </c>
      <c r="K1787" s="55" t="s">
        <v>268</v>
      </c>
      <c r="L1787" s="55" t="s">
        <v>2672</v>
      </c>
      <c r="M1787" s="55" t="s">
        <v>150</v>
      </c>
      <c r="N1787" s="55" t="s">
        <v>150</v>
      </c>
      <c r="O1787" s="55" t="s">
        <v>268</v>
      </c>
      <c r="P1787" s="55" t="s">
        <v>1943</v>
      </c>
      <c r="Q1787" s="55" t="s">
        <v>380</v>
      </c>
      <c r="R1787" s="55">
        <v>24</v>
      </c>
      <c r="S1787" s="55"/>
      <c r="T1787" s="55" t="s">
        <v>640</v>
      </c>
    </row>
    <row r="1788" spans="1:20" ht="13" x14ac:dyDescent="0.15">
      <c r="A1788" s="72" t="str">
        <f t="shared" si="27"/>
        <v>Ofsted Social Care Provider Webpage</v>
      </c>
      <c r="B1788" s="55" t="s">
        <v>2673</v>
      </c>
      <c r="C1788" s="55">
        <v>125458</v>
      </c>
      <c r="D1788" s="55" t="s">
        <v>413</v>
      </c>
      <c r="E1788" s="74">
        <v>37301</v>
      </c>
      <c r="F1788" s="55" t="s">
        <v>344</v>
      </c>
      <c r="G1788" s="55" t="s">
        <v>2674</v>
      </c>
      <c r="H1788" s="55" t="s">
        <v>2674</v>
      </c>
      <c r="I1788" s="55" t="s">
        <v>2675</v>
      </c>
      <c r="J1788" s="55" t="s">
        <v>2676</v>
      </c>
      <c r="K1788" s="55" t="s">
        <v>268</v>
      </c>
      <c r="L1788" s="55" t="s">
        <v>2677</v>
      </c>
      <c r="M1788" s="55" t="s">
        <v>150</v>
      </c>
      <c r="N1788" s="55" t="s">
        <v>150</v>
      </c>
      <c r="O1788" s="55" t="s">
        <v>268</v>
      </c>
      <c r="P1788" s="55" t="s">
        <v>1943</v>
      </c>
      <c r="Q1788" s="55" t="s">
        <v>380</v>
      </c>
      <c r="R1788" s="55">
        <v>23</v>
      </c>
      <c r="S1788" s="55"/>
      <c r="T1788" s="55" t="s">
        <v>640</v>
      </c>
    </row>
    <row r="1789" spans="1:20" ht="13" x14ac:dyDescent="0.15">
      <c r="A1789" s="72" t="str">
        <f t="shared" si="27"/>
        <v>Ofsted Social Care Provider Webpage</v>
      </c>
      <c r="B1789" s="55" t="s">
        <v>2678</v>
      </c>
      <c r="C1789" s="55">
        <v>139151</v>
      </c>
      <c r="D1789" s="55" t="s">
        <v>398</v>
      </c>
      <c r="E1789" s="74">
        <v>37301</v>
      </c>
      <c r="F1789" s="55" t="s">
        <v>344</v>
      </c>
      <c r="G1789" s="55" t="s">
        <v>2679</v>
      </c>
      <c r="H1789" s="55" t="s">
        <v>2680</v>
      </c>
      <c r="I1789" s="55" t="s">
        <v>2681</v>
      </c>
      <c r="J1789" s="55" t="s">
        <v>2682</v>
      </c>
      <c r="K1789" s="55" t="s">
        <v>268</v>
      </c>
      <c r="L1789" s="55" t="s">
        <v>2683</v>
      </c>
      <c r="M1789" s="55" t="s">
        <v>150</v>
      </c>
      <c r="N1789" s="55" t="s">
        <v>150</v>
      </c>
      <c r="O1789" s="55" t="s">
        <v>268</v>
      </c>
      <c r="P1789" s="55" t="s">
        <v>1518</v>
      </c>
      <c r="Q1789" s="55" t="s">
        <v>420</v>
      </c>
      <c r="R1789" s="55">
        <v>273</v>
      </c>
      <c r="S1789" s="55"/>
      <c r="T1789" s="55" t="s">
        <v>2684</v>
      </c>
    </row>
    <row r="1790" spans="1:20" ht="13" x14ac:dyDescent="0.15">
      <c r="A1790" s="72" t="str">
        <f t="shared" si="27"/>
        <v>Ofsted Social Care Provider Webpage</v>
      </c>
      <c r="B1790" s="55" t="s">
        <v>2685</v>
      </c>
      <c r="C1790" s="55">
        <v>125478</v>
      </c>
      <c r="D1790" s="55" t="s">
        <v>413</v>
      </c>
      <c r="E1790" s="74">
        <v>37301</v>
      </c>
      <c r="F1790" s="55" t="s">
        <v>344</v>
      </c>
      <c r="G1790" s="55" t="s">
        <v>2686</v>
      </c>
      <c r="H1790" s="55" t="s">
        <v>2687</v>
      </c>
      <c r="I1790" s="55" t="s">
        <v>2688</v>
      </c>
      <c r="J1790" s="55" t="s">
        <v>2689</v>
      </c>
      <c r="K1790" s="55" t="s">
        <v>268</v>
      </c>
      <c r="L1790" s="55" t="s">
        <v>2690</v>
      </c>
      <c r="M1790" s="55" t="s">
        <v>150</v>
      </c>
      <c r="N1790" s="55" t="s">
        <v>150</v>
      </c>
      <c r="O1790" s="55" t="s">
        <v>268</v>
      </c>
      <c r="P1790" s="55" t="s">
        <v>2659</v>
      </c>
      <c r="Q1790" s="55" t="s">
        <v>362</v>
      </c>
      <c r="R1790" s="55">
        <v>15</v>
      </c>
      <c r="S1790" s="55"/>
      <c r="T1790" s="55" t="s">
        <v>2561</v>
      </c>
    </row>
    <row r="1791" spans="1:20" ht="13" x14ac:dyDescent="0.15">
      <c r="A1791" s="72" t="str">
        <f t="shared" si="27"/>
        <v>Ofsted Social Care Provider Webpage</v>
      </c>
      <c r="B1791" s="55" t="s">
        <v>2691</v>
      </c>
      <c r="C1791" s="55">
        <v>125454</v>
      </c>
      <c r="D1791" s="55" t="s">
        <v>413</v>
      </c>
      <c r="E1791" s="74">
        <v>37301</v>
      </c>
      <c r="F1791" s="55" t="s">
        <v>344</v>
      </c>
      <c r="G1791" s="55" t="s">
        <v>2692</v>
      </c>
      <c r="H1791" s="55" t="s">
        <v>2692</v>
      </c>
      <c r="I1791" s="55" t="s">
        <v>2693</v>
      </c>
      <c r="J1791" s="55" t="s">
        <v>2694</v>
      </c>
      <c r="K1791" s="55" t="s">
        <v>268</v>
      </c>
      <c r="L1791" s="55" t="s">
        <v>2695</v>
      </c>
      <c r="M1791" s="55" t="s">
        <v>150</v>
      </c>
      <c r="N1791" s="55" t="s">
        <v>150</v>
      </c>
      <c r="O1791" s="55" t="s">
        <v>268</v>
      </c>
      <c r="P1791" s="55" t="s">
        <v>1943</v>
      </c>
      <c r="Q1791" s="55" t="s">
        <v>362</v>
      </c>
      <c r="R1791" s="55">
        <v>66</v>
      </c>
      <c r="S1791" s="55"/>
      <c r="T1791" s="55" t="s">
        <v>2696</v>
      </c>
    </row>
    <row r="1792" spans="1:20" ht="13" x14ac:dyDescent="0.15">
      <c r="A1792" s="72" t="str">
        <f t="shared" si="27"/>
        <v>Ofsted Social Care Provider Webpage</v>
      </c>
      <c r="B1792" s="55" t="s">
        <v>2697</v>
      </c>
      <c r="C1792" s="55">
        <v>125403</v>
      </c>
      <c r="D1792" s="55" t="s">
        <v>413</v>
      </c>
      <c r="E1792" s="74">
        <v>37301</v>
      </c>
      <c r="F1792" s="55" t="s">
        <v>344</v>
      </c>
      <c r="G1792" s="55" t="s">
        <v>2698</v>
      </c>
      <c r="H1792" s="55" t="s">
        <v>2699</v>
      </c>
      <c r="I1792" s="55" t="s">
        <v>2700</v>
      </c>
      <c r="J1792" s="55" t="s">
        <v>2701</v>
      </c>
      <c r="K1792" s="55" t="s">
        <v>268</v>
      </c>
      <c r="L1792" s="55" t="s">
        <v>2702</v>
      </c>
      <c r="M1792" s="55" t="s">
        <v>150</v>
      </c>
      <c r="N1792" s="55" t="s">
        <v>150</v>
      </c>
      <c r="O1792" s="55" t="s">
        <v>268</v>
      </c>
      <c r="P1792" s="55" t="s">
        <v>2653</v>
      </c>
      <c r="Q1792" s="55" t="s">
        <v>362</v>
      </c>
      <c r="R1792" s="55">
        <v>112</v>
      </c>
      <c r="S1792" s="55"/>
      <c r="T1792" s="55" t="s">
        <v>2703</v>
      </c>
    </row>
    <row r="1793" spans="1:20" ht="13" x14ac:dyDescent="0.15">
      <c r="A1793" s="72" t="str">
        <f t="shared" si="27"/>
        <v>Ofsted Social Care Provider Webpage</v>
      </c>
      <c r="B1793" s="55" t="s">
        <v>2704</v>
      </c>
      <c r="C1793" s="55">
        <v>125279</v>
      </c>
      <c r="D1793" s="55" t="s">
        <v>398</v>
      </c>
      <c r="E1793" s="74">
        <v>37301</v>
      </c>
      <c r="F1793" s="55" t="s">
        <v>344</v>
      </c>
      <c r="G1793" s="55" t="s">
        <v>2705</v>
      </c>
      <c r="H1793" s="55" t="s">
        <v>2706</v>
      </c>
      <c r="I1793" s="55" t="s">
        <v>2707</v>
      </c>
      <c r="J1793" s="55" t="s">
        <v>1771</v>
      </c>
      <c r="K1793" s="55" t="s">
        <v>268</v>
      </c>
      <c r="L1793" s="55" t="s">
        <v>2708</v>
      </c>
      <c r="M1793" s="55" t="s">
        <v>150</v>
      </c>
      <c r="N1793" s="55" t="s">
        <v>150</v>
      </c>
      <c r="O1793" s="55" t="s">
        <v>268</v>
      </c>
      <c r="P1793" s="55" t="s">
        <v>1771</v>
      </c>
      <c r="Q1793" s="55" t="s">
        <v>380</v>
      </c>
      <c r="R1793" s="55">
        <v>567</v>
      </c>
      <c r="S1793" s="55"/>
      <c r="T1793" s="55" t="s">
        <v>2709</v>
      </c>
    </row>
    <row r="1794" spans="1:20" ht="13" x14ac:dyDescent="0.15">
      <c r="A1794" s="72" t="str">
        <f t="shared" si="27"/>
        <v>Ofsted Social Care Provider Webpage</v>
      </c>
      <c r="B1794" s="55" t="s">
        <v>2710</v>
      </c>
      <c r="D1794" s="55" t="s">
        <v>373</v>
      </c>
      <c r="E1794" s="74">
        <v>36108</v>
      </c>
      <c r="F1794" s="55" t="s">
        <v>344</v>
      </c>
      <c r="G1794" s="55" t="s">
        <v>360</v>
      </c>
      <c r="H1794" s="55" t="s">
        <v>360</v>
      </c>
      <c r="I1794" s="55" t="s">
        <v>360</v>
      </c>
      <c r="J1794" s="55" t="s">
        <v>360</v>
      </c>
      <c r="K1794" s="55" t="s">
        <v>360</v>
      </c>
      <c r="L1794" s="55" t="s">
        <v>360</v>
      </c>
      <c r="M1794" s="55" t="s">
        <v>150</v>
      </c>
      <c r="N1794" s="55" t="s">
        <v>150</v>
      </c>
      <c r="O1794" s="55" t="s">
        <v>153</v>
      </c>
      <c r="P1794" s="55" t="s">
        <v>1331</v>
      </c>
      <c r="Q1794" s="55" t="s">
        <v>350</v>
      </c>
      <c r="R1794" s="55">
        <v>7</v>
      </c>
      <c r="S1794" s="55"/>
      <c r="T1794" s="55" t="s">
        <v>1332</v>
      </c>
    </row>
    <row r="1795" spans="1:20" ht="13" x14ac:dyDescent="0.15">
      <c r="A1795" s="72" t="str">
        <f t="shared" si="27"/>
        <v>Ofsted Social Care Provider Webpage</v>
      </c>
      <c r="B1795" s="55" t="s">
        <v>2711</v>
      </c>
      <c r="C1795" s="55">
        <v>126139</v>
      </c>
      <c r="D1795" s="55" t="s">
        <v>413</v>
      </c>
      <c r="E1795" s="74">
        <v>37301</v>
      </c>
      <c r="F1795" s="55" t="s">
        <v>344</v>
      </c>
      <c r="G1795" s="55" t="s">
        <v>2712</v>
      </c>
      <c r="H1795" s="55" t="s">
        <v>2713</v>
      </c>
      <c r="I1795" s="55" t="s">
        <v>2714</v>
      </c>
      <c r="J1795" s="55" t="s">
        <v>2715</v>
      </c>
      <c r="K1795" s="55" t="s">
        <v>285</v>
      </c>
      <c r="L1795" s="55" t="s">
        <v>2716</v>
      </c>
      <c r="M1795" s="55" t="s">
        <v>150</v>
      </c>
      <c r="N1795" s="55" t="s">
        <v>150</v>
      </c>
      <c r="O1795" s="55" t="s">
        <v>285</v>
      </c>
      <c r="P1795" s="55" t="s">
        <v>1810</v>
      </c>
      <c r="Q1795" s="55" t="s">
        <v>362</v>
      </c>
      <c r="R1795" s="55">
        <v>60</v>
      </c>
      <c r="S1795" s="55"/>
      <c r="T1795" s="55" t="s">
        <v>2717</v>
      </c>
    </row>
    <row r="1796" spans="1:20" ht="13" x14ac:dyDescent="0.15">
      <c r="A1796" s="72" t="str">
        <f t="shared" si="27"/>
        <v>Ofsted Social Care Provider Webpage</v>
      </c>
      <c r="B1796" s="55" t="s">
        <v>2718</v>
      </c>
      <c r="C1796" s="55">
        <v>135814</v>
      </c>
      <c r="D1796" s="55" t="s">
        <v>413</v>
      </c>
      <c r="E1796" s="74">
        <v>37301</v>
      </c>
      <c r="F1796" s="55" t="s">
        <v>344</v>
      </c>
      <c r="G1796" s="55" t="s">
        <v>2719</v>
      </c>
      <c r="H1796" s="55" t="s">
        <v>2719</v>
      </c>
      <c r="I1796" s="55" t="s">
        <v>2720</v>
      </c>
      <c r="J1796" s="55" t="s">
        <v>2721</v>
      </c>
      <c r="K1796" s="55" t="s">
        <v>285</v>
      </c>
      <c r="L1796" s="55" t="s">
        <v>2722</v>
      </c>
      <c r="M1796" s="55" t="s">
        <v>150</v>
      </c>
      <c r="N1796" s="55" t="s">
        <v>150</v>
      </c>
      <c r="O1796" s="55" t="s">
        <v>285</v>
      </c>
      <c r="P1796" s="55" t="s">
        <v>796</v>
      </c>
      <c r="Q1796" s="55" t="s">
        <v>362</v>
      </c>
      <c r="R1796" s="55">
        <v>15</v>
      </c>
      <c r="S1796" s="55"/>
      <c r="T1796" s="55" t="s">
        <v>2723</v>
      </c>
    </row>
    <row r="1797" spans="1:20" ht="13" x14ac:dyDescent="0.15">
      <c r="A1797" s="72" t="str">
        <f t="shared" ref="A1797:A1860" si="28">HYPERLINK(_xlfn.CONCAT("http://reports.ofsted.gov.uk/inspection-reports/find-inspection-report/provider/CARE/",B1797),"Ofsted Social Care Provider Webpage")</f>
        <v>Ofsted Social Care Provider Webpage</v>
      </c>
      <c r="B1797" s="55" t="s">
        <v>2724</v>
      </c>
      <c r="C1797" s="55">
        <v>126154</v>
      </c>
      <c r="D1797" s="55" t="s">
        <v>413</v>
      </c>
      <c r="E1797" s="74">
        <v>37301</v>
      </c>
      <c r="F1797" s="55" t="s">
        <v>344</v>
      </c>
      <c r="G1797" s="55" t="s">
        <v>2725</v>
      </c>
      <c r="H1797" s="55" t="s">
        <v>2726</v>
      </c>
      <c r="I1797" s="55" t="s">
        <v>354</v>
      </c>
      <c r="J1797" s="55" t="s">
        <v>2727</v>
      </c>
      <c r="K1797" s="55" t="s">
        <v>285</v>
      </c>
      <c r="L1797" s="55" t="s">
        <v>2728</v>
      </c>
      <c r="M1797" s="55" t="s">
        <v>150</v>
      </c>
      <c r="N1797" s="55" t="s">
        <v>150</v>
      </c>
      <c r="O1797" s="55" t="s">
        <v>285</v>
      </c>
      <c r="P1797" s="55" t="s">
        <v>796</v>
      </c>
      <c r="Q1797" s="55" t="s">
        <v>350</v>
      </c>
      <c r="R1797" s="55">
        <v>43</v>
      </c>
      <c r="S1797" s="55"/>
      <c r="T1797" s="55" t="s">
        <v>2729</v>
      </c>
    </row>
    <row r="1798" spans="1:20" ht="13" x14ac:dyDescent="0.15">
      <c r="A1798" s="72" t="str">
        <f t="shared" si="28"/>
        <v>Ofsted Social Care Provider Webpage</v>
      </c>
      <c r="B1798" s="55" t="s">
        <v>2730</v>
      </c>
      <c r="D1798" s="55" t="s">
        <v>373</v>
      </c>
      <c r="E1798" s="74">
        <v>37073</v>
      </c>
      <c r="F1798" s="55" t="s">
        <v>344</v>
      </c>
      <c r="G1798" s="55" t="s">
        <v>360</v>
      </c>
      <c r="H1798" s="55" t="s">
        <v>360</v>
      </c>
      <c r="I1798" s="55" t="s">
        <v>360</v>
      </c>
      <c r="J1798" s="55" t="s">
        <v>360</v>
      </c>
      <c r="K1798" s="55" t="s">
        <v>360</v>
      </c>
      <c r="L1798" s="55" t="s">
        <v>360</v>
      </c>
      <c r="M1798" s="55" t="s">
        <v>150</v>
      </c>
      <c r="N1798" s="55" t="s">
        <v>150</v>
      </c>
      <c r="O1798" s="55" t="s">
        <v>285</v>
      </c>
      <c r="P1798" s="55" t="s">
        <v>565</v>
      </c>
      <c r="Q1798" s="55" t="s">
        <v>350</v>
      </c>
      <c r="R1798" s="55">
        <v>4</v>
      </c>
      <c r="S1798" s="55"/>
      <c r="T1798" s="55" t="s">
        <v>931</v>
      </c>
    </row>
    <row r="1799" spans="1:20" ht="13" x14ac:dyDescent="0.15">
      <c r="A1799" s="72" t="str">
        <f t="shared" si="28"/>
        <v>Ofsted Social Care Provider Webpage</v>
      </c>
      <c r="B1799" s="55" t="s">
        <v>2731</v>
      </c>
      <c r="C1799" s="55">
        <v>126132</v>
      </c>
      <c r="D1799" s="55" t="s">
        <v>398</v>
      </c>
      <c r="E1799" s="74">
        <v>37301</v>
      </c>
      <c r="F1799" s="55" t="s">
        <v>344</v>
      </c>
      <c r="G1799" s="55" t="s">
        <v>2732</v>
      </c>
      <c r="H1799" s="55" t="s">
        <v>2733</v>
      </c>
      <c r="I1799" s="55" t="s">
        <v>2734</v>
      </c>
      <c r="J1799" s="55" t="s">
        <v>796</v>
      </c>
      <c r="K1799" s="55" t="s">
        <v>285</v>
      </c>
      <c r="L1799" s="55" t="s">
        <v>2735</v>
      </c>
      <c r="M1799" s="55" t="s">
        <v>150</v>
      </c>
      <c r="N1799" s="55" t="s">
        <v>150</v>
      </c>
      <c r="O1799" s="55" t="s">
        <v>285</v>
      </c>
      <c r="P1799" s="55" t="s">
        <v>796</v>
      </c>
      <c r="Q1799" s="55" t="s">
        <v>362</v>
      </c>
      <c r="R1799" s="55">
        <v>205</v>
      </c>
      <c r="S1799" s="55"/>
      <c r="T1799" s="55" t="s">
        <v>2736</v>
      </c>
    </row>
    <row r="1800" spans="1:20" ht="13" x14ac:dyDescent="0.15">
      <c r="A1800" s="72" t="str">
        <f t="shared" si="28"/>
        <v>Ofsted Social Care Provider Webpage</v>
      </c>
      <c r="B1800" s="55" t="s">
        <v>2737</v>
      </c>
      <c r="D1800" s="55" t="s">
        <v>373</v>
      </c>
      <c r="E1800" s="74">
        <v>37073</v>
      </c>
      <c r="F1800" s="55" t="s">
        <v>344</v>
      </c>
      <c r="G1800" s="55" t="s">
        <v>360</v>
      </c>
      <c r="H1800" s="55" t="s">
        <v>360</v>
      </c>
      <c r="I1800" s="55" t="s">
        <v>360</v>
      </c>
      <c r="J1800" s="55" t="s">
        <v>360</v>
      </c>
      <c r="K1800" s="55" t="s">
        <v>360</v>
      </c>
      <c r="L1800" s="55" t="s">
        <v>360</v>
      </c>
      <c r="M1800" s="55" t="s">
        <v>150</v>
      </c>
      <c r="N1800" s="55" t="s">
        <v>150</v>
      </c>
      <c r="O1800" s="55" t="s">
        <v>285</v>
      </c>
      <c r="P1800" s="55" t="s">
        <v>2738</v>
      </c>
      <c r="Q1800" s="55" t="s">
        <v>350</v>
      </c>
      <c r="R1800" s="55">
        <v>6</v>
      </c>
      <c r="S1800" s="55"/>
      <c r="T1800" s="55" t="s">
        <v>2739</v>
      </c>
    </row>
    <row r="1801" spans="1:20" ht="13" x14ac:dyDescent="0.15">
      <c r="A1801" s="72" t="str">
        <f t="shared" si="28"/>
        <v>Ofsted Social Care Provider Webpage</v>
      </c>
      <c r="B1801" s="55" t="s">
        <v>2740</v>
      </c>
      <c r="D1801" s="55" t="s">
        <v>373</v>
      </c>
      <c r="E1801" s="74">
        <v>36373</v>
      </c>
      <c r="F1801" s="55" t="s">
        <v>344</v>
      </c>
      <c r="G1801" s="55" t="s">
        <v>360</v>
      </c>
      <c r="H1801" s="55" t="s">
        <v>360</v>
      </c>
      <c r="I1801" s="55" t="s">
        <v>360</v>
      </c>
      <c r="J1801" s="55" t="s">
        <v>360</v>
      </c>
      <c r="K1801" s="55" t="s">
        <v>360</v>
      </c>
      <c r="L1801" s="55" t="s">
        <v>360</v>
      </c>
      <c r="M1801" s="55" t="s">
        <v>138</v>
      </c>
      <c r="N1801" s="55" t="s">
        <v>138</v>
      </c>
      <c r="O1801" s="55" t="s">
        <v>159</v>
      </c>
      <c r="P1801" s="55" t="s">
        <v>1025</v>
      </c>
      <c r="Q1801" s="55" t="s">
        <v>350</v>
      </c>
      <c r="R1801" s="55">
        <v>5</v>
      </c>
      <c r="S1801" s="55"/>
      <c r="T1801" s="55" t="s">
        <v>2741</v>
      </c>
    </row>
    <row r="1802" spans="1:20" ht="13" x14ac:dyDescent="0.15">
      <c r="A1802" s="72" t="str">
        <f t="shared" si="28"/>
        <v>Ofsted Social Care Provider Webpage</v>
      </c>
      <c r="B1802" s="55" t="s">
        <v>2742</v>
      </c>
      <c r="D1802" s="55" t="s">
        <v>373</v>
      </c>
      <c r="E1802" s="74">
        <v>35839</v>
      </c>
      <c r="F1802" s="55" t="s">
        <v>344</v>
      </c>
      <c r="G1802" s="55" t="s">
        <v>360</v>
      </c>
      <c r="H1802" s="55" t="s">
        <v>360</v>
      </c>
      <c r="I1802" s="55" t="s">
        <v>360</v>
      </c>
      <c r="J1802" s="55" t="s">
        <v>360</v>
      </c>
      <c r="K1802" s="55" t="s">
        <v>360</v>
      </c>
      <c r="L1802" s="55" t="s">
        <v>360</v>
      </c>
      <c r="M1802" s="55" t="s">
        <v>138</v>
      </c>
      <c r="N1802" s="55" t="s">
        <v>138</v>
      </c>
      <c r="O1802" s="55" t="s">
        <v>159</v>
      </c>
      <c r="P1802" s="55" t="s">
        <v>1025</v>
      </c>
      <c r="Q1802" s="55" t="s">
        <v>362</v>
      </c>
      <c r="R1802" s="55">
        <v>6</v>
      </c>
      <c r="S1802" s="55"/>
      <c r="T1802" s="55" t="s">
        <v>2743</v>
      </c>
    </row>
    <row r="1803" spans="1:20" ht="13" x14ac:dyDescent="0.15">
      <c r="A1803" s="72" t="str">
        <f t="shared" si="28"/>
        <v>Ofsted Social Care Provider Webpage</v>
      </c>
      <c r="B1803" s="55" t="s">
        <v>2744</v>
      </c>
      <c r="D1803" s="55" t="s">
        <v>373</v>
      </c>
      <c r="E1803" s="74">
        <v>37231</v>
      </c>
      <c r="F1803" s="55" t="s">
        <v>344</v>
      </c>
      <c r="G1803" s="55" t="s">
        <v>360</v>
      </c>
      <c r="H1803" s="55" t="s">
        <v>360</v>
      </c>
      <c r="I1803" s="55" t="s">
        <v>360</v>
      </c>
      <c r="J1803" s="55" t="s">
        <v>360</v>
      </c>
      <c r="K1803" s="55" t="s">
        <v>360</v>
      </c>
      <c r="L1803" s="55" t="s">
        <v>360</v>
      </c>
      <c r="M1803" s="55" t="s">
        <v>136</v>
      </c>
      <c r="N1803" s="55" t="s">
        <v>136</v>
      </c>
      <c r="O1803" s="55" t="s">
        <v>255</v>
      </c>
      <c r="P1803" s="55" t="s">
        <v>583</v>
      </c>
      <c r="Q1803" s="55" t="s">
        <v>350</v>
      </c>
      <c r="R1803" s="55">
        <v>3</v>
      </c>
      <c r="S1803" s="55"/>
      <c r="T1803" s="55" t="s">
        <v>900</v>
      </c>
    </row>
    <row r="1804" spans="1:20" ht="13" x14ac:dyDescent="0.15">
      <c r="A1804" s="72" t="str">
        <f t="shared" si="28"/>
        <v>Ofsted Social Care Provider Webpage</v>
      </c>
      <c r="B1804" s="55" t="s">
        <v>2745</v>
      </c>
      <c r="D1804" s="55" t="s">
        <v>373</v>
      </c>
      <c r="E1804" s="74">
        <v>33774</v>
      </c>
      <c r="F1804" s="55" t="s">
        <v>344</v>
      </c>
      <c r="G1804" s="55" t="s">
        <v>360</v>
      </c>
      <c r="H1804" s="55" t="s">
        <v>360</v>
      </c>
      <c r="I1804" s="55" t="s">
        <v>360</v>
      </c>
      <c r="J1804" s="55" t="s">
        <v>360</v>
      </c>
      <c r="K1804" s="55" t="s">
        <v>360</v>
      </c>
      <c r="L1804" s="55" t="s">
        <v>360</v>
      </c>
      <c r="M1804" s="55" t="s">
        <v>136</v>
      </c>
      <c r="N1804" s="55" t="s">
        <v>136</v>
      </c>
      <c r="O1804" s="55" t="s">
        <v>185</v>
      </c>
      <c r="P1804" s="55" t="s">
        <v>898</v>
      </c>
      <c r="Q1804" s="55" t="s">
        <v>350</v>
      </c>
      <c r="R1804" s="55">
        <v>5</v>
      </c>
      <c r="S1804" s="55"/>
      <c r="T1804" s="55" t="s">
        <v>2746</v>
      </c>
    </row>
    <row r="1805" spans="1:20" ht="13" x14ac:dyDescent="0.15">
      <c r="A1805" s="72" t="str">
        <f t="shared" si="28"/>
        <v>Ofsted Social Care Provider Webpage</v>
      </c>
      <c r="B1805" s="55" t="s">
        <v>2747</v>
      </c>
      <c r="D1805" s="55" t="s">
        <v>373</v>
      </c>
      <c r="E1805" s="74">
        <v>37103</v>
      </c>
      <c r="F1805" s="55" t="s">
        <v>344</v>
      </c>
      <c r="G1805" s="55" t="s">
        <v>360</v>
      </c>
      <c r="H1805" s="55" t="s">
        <v>360</v>
      </c>
      <c r="I1805" s="55" t="s">
        <v>360</v>
      </c>
      <c r="J1805" s="55" t="s">
        <v>360</v>
      </c>
      <c r="K1805" s="55" t="s">
        <v>360</v>
      </c>
      <c r="L1805" s="55" t="s">
        <v>360</v>
      </c>
      <c r="M1805" s="55" t="s">
        <v>136</v>
      </c>
      <c r="N1805" s="55" t="s">
        <v>136</v>
      </c>
      <c r="O1805" s="55" t="s">
        <v>185</v>
      </c>
      <c r="P1805" s="55" t="s">
        <v>382</v>
      </c>
      <c r="Q1805" s="55" t="s">
        <v>350</v>
      </c>
      <c r="R1805" s="55">
        <v>4</v>
      </c>
      <c r="S1805" s="55"/>
      <c r="T1805" s="55" t="s">
        <v>2748</v>
      </c>
    </row>
    <row r="1806" spans="1:20" ht="13" x14ac:dyDescent="0.15">
      <c r="A1806" s="72" t="str">
        <f t="shared" si="28"/>
        <v>Ofsted Social Care Provider Webpage</v>
      </c>
      <c r="B1806" s="55" t="s">
        <v>2749</v>
      </c>
      <c r="C1806" s="55">
        <v>103606</v>
      </c>
      <c r="D1806" s="55" t="s">
        <v>413</v>
      </c>
      <c r="E1806" s="74">
        <v>37301</v>
      </c>
      <c r="F1806" s="55" t="s">
        <v>344</v>
      </c>
      <c r="G1806" s="55" t="s">
        <v>2750</v>
      </c>
      <c r="H1806" s="55" t="s">
        <v>2751</v>
      </c>
      <c r="I1806" s="55" t="s">
        <v>2752</v>
      </c>
      <c r="J1806" s="55" t="s">
        <v>2753</v>
      </c>
      <c r="L1806" s="55" t="s">
        <v>2754</v>
      </c>
      <c r="M1806" s="55" t="s">
        <v>142</v>
      </c>
      <c r="N1806" s="55" t="s">
        <v>142</v>
      </c>
      <c r="O1806" s="55" t="s">
        <v>141</v>
      </c>
      <c r="P1806" s="55" t="s">
        <v>2048</v>
      </c>
      <c r="Q1806" s="55" t="s">
        <v>380</v>
      </c>
      <c r="R1806" s="55">
        <v>16</v>
      </c>
      <c r="S1806" s="55"/>
      <c r="T1806" s="55" t="s">
        <v>2755</v>
      </c>
    </row>
    <row r="1807" spans="1:20" ht="13" x14ac:dyDescent="0.15">
      <c r="A1807" s="72" t="str">
        <f t="shared" si="28"/>
        <v>Ofsted Social Care Provider Webpage</v>
      </c>
      <c r="B1807" s="55" t="s">
        <v>2756</v>
      </c>
      <c r="C1807" s="55">
        <v>103632</v>
      </c>
      <c r="D1807" s="55" t="s">
        <v>413</v>
      </c>
      <c r="E1807" s="74">
        <v>37301</v>
      </c>
      <c r="F1807" s="55" t="s">
        <v>344</v>
      </c>
      <c r="G1807" s="55" t="s">
        <v>2757</v>
      </c>
      <c r="H1807" s="55" t="s">
        <v>2758</v>
      </c>
      <c r="I1807" s="55" t="s">
        <v>2759</v>
      </c>
      <c r="J1807" s="55" t="s">
        <v>141</v>
      </c>
      <c r="K1807" s="55" t="s">
        <v>142</v>
      </c>
      <c r="L1807" s="55" t="s">
        <v>2760</v>
      </c>
      <c r="M1807" s="55" t="s">
        <v>142</v>
      </c>
      <c r="N1807" s="55" t="s">
        <v>142</v>
      </c>
      <c r="O1807" s="55" t="s">
        <v>141</v>
      </c>
      <c r="P1807" s="55" t="s">
        <v>660</v>
      </c>
      <c r="Q1807" s="55" t="s">
        <v>380</v>
      </c>
      <c r="R1807" s="55">
        <v>12</v>
      </c>
      <c r="S1807" s="55"/>
      <c r="T1807" s="55" t="s">
        <v>2755</v>
      </c>
    </row>
    <row r="1808" spans="1:20" ht="13" x14ac:dyDescent="0.15">
      <c r="A1808" s="72" t="str">
        <f t="shared" si="28"/>
        <v>Ofsted Social Care Provider Webpage</v>
      </c>
      <c r="B1808" s="55" t="s">
        <v>2761</v>
      </c>
      <c r="C1808" s="55">
        <v>102948</v>
      </c>
      <c r="D1808" s="55" t="s">
        <v>398</v>
      </c>
      <c r="E1808" s="74">
        <v>37301</v>
      </c>
      <c r="F1808" s="55" t="s">
        <v>344</v>
      </c>
      <c r="G1808" s="55" t="s">
        <v>2762</v>
      </c>
      <c r="H1808" s="55" t="s">
        <v>2762</v>
      </c>
      <c r="I1808" s="55" t="s">
        <v>2763</v>
      </c>
      <c r="J1808" s="55" t="s">
        <v>129</v>
      </c>
      <c r="L1808" s="55" t="s">
        <v>2764</v>
      </c>
      <c r="M1808" s="55" t="s">
        <v>129</v>
      </c>
      <c r="N1808" s="55" t="s">
        <v>129</v>
      </c>
      <c r="O1808" s="55" t="s">
        <v>1758</v>
      </c>
      <c r="P1808" s="55" t="s">
        <v>2765</v>
      </c>
      <c r="Q1808" s="55" t="s">
        <v>362</v>
      </c>
      <c r="R1808" s="55">
        <v>51</v>
      </c>
      <c r="S1808" s="55"/>
      <c r="T1808" s="55" t="s">
        <v>2766</v>
      </c>
    </row>
    <row r="1809" spans="1:20" ht="13" x14ac:dyDescent="0.15">
      <c r="A1809" s="72" t="str">
        <f t="shared" si="28"/>
        <v>Ofsted Social Care Provider Webpage</v>
      </c>
      <c r="B1809" s="55" t="s">
        <v>2767</v>
      </c>
      <c r="C1809" s="55">
        <v>137814</v>
      </c>
      <c r="D1809" s="55" t="s">
        <v>398</v>
      </c>
      <c r="E1809" s="74">
        <v>37302</v>
      </c>
      <c r="F1809" s="55" t="s">
        <v>344</v>
      </c>
      <c r="G1809" s="55" t="s">
        <v>2768</v>
      </c>
      <c r="H1809" s="55" t="s">
        <v>2768</v>
      </c>
      <c r="I1809" s="55" t="s">
        <v>2769</v>
      </c>
      <c r="J1809" s="55" t="s">
        <v>2770</v>
      </c>
      <c r="L1809" s="55" t="s">
        <v>2771</v>
      </c>
      <c r="M1809" s="55" t="s">
        <v>138</v>
      </c>
      <c r="N1809" s="55" t="s">
        <v>138</v>
      </c>
      <c r="O1809" s="55" t="s">
        <v>183</v>
      </c>
      <c r="P1809" s="55" t="s">
        <v>508</v>
      </c>
      <c r="Q1809" s="55" t="s">
        <v>420</v>
      </c>
      <c r="R1809" s="55">
        <v>31</v>
      </c>
      <c r="S1809" s="55"/>
      <c r="T1809" s="55" t="s">
        <v>2768</v>
      </c>
    </row>
    <row r="1810" spans="1:20" ht="13" x14ac:dyDescent="0.15">
      <c r="A1810" s="72" t="str">
        <f t="shared" si="28"/>
        <v>Ofsted Social Care Provider Webpage</v>
      </c>
      <c r="B1810" s="55" t="s">
        <v>2772</v>
      </c>
      <c r="C1810" s="55">
        <v>115426</v>
      </c>
      <c r="D1810" s="55" t="s">
        <v>413</v>
      </c>
      <c r="E1810" s="74">
        <v>37302</v>
      </c>
      <c r="F1810" s="55" t="s">
        <v>344</v>
      </c>
      <c r="G1810" s="55" t="s">
        <v>2773</v>
      </c>
      <c r="H1810" s="55" t="s">
        <v>2773</v>
      </c>
      <c r="I1810" s="55" t="s">
        <v>2774</v>
      </c>
      <c r="J1810" s="55" t="s">
        <v>508</v>
      </c>
      <c r="K1810" s="55" t="s">
        <v>183</v>
      </c>
      <c r="L1810" s="55" t="s">
        <v>2775</v>
      </c>
      <c r="M1810" s="55" t="s">
        <v>138</v>
      </c>
      <c r="N1810" s="55" t="s">
        <v>138</v>
      </c>
      <c r="O1810" s="55" t="s">
        <v>183</v>
      </c>
      <c r="P1810" s="55" t="s">
        <v>510</v>
      </c>
      <c r="Q1810" s="55" t="s">
        <v>362</v>
      </c>
      <c r="R1810" s="55">
        <v>3</v>
      </c>
      <c r="S1810" s="55"/>
      <c r="T1810" s="55" t="s">
        <v>2776</v>
      </c>
    </row>
    <row r="1811" spans="1:20" ht="13" x14ac:dyDescent="0.15">
      <c r="A1811" s="72" t="str">
        <f t="shared" si="28"/>
        <v>Ofsted Social Care Provider Webpage</v>
      </c>
      <c r="B1811" s="55" t="s">
        <v>2777</v>
      </c>
      <c r="C1811" s="55">
        <v>115450</v>
      </c>
      <c r="D1811" s="55" t="s">
        <v>413</v>
      </c>
      <c r="E1811" s="74">
        <v>37302</v>
      </c>
      <c r="F1811" s="55" t="s">
        <v>344</v>
      </c>
      <c r="G1811" s="55" t="s">
        <v>2778</v>
      </c>
      <c r="H1811" s="55" t="s">
        <v>2778</v>
      </c>
      <c r="I1811" s="55" t="s">
        <v>2779</v>
      </c>
      <c r="J1811" s="55" t="s">
        <v>2780</v>
      </c>
      <c r="K1811" s="55" t="s">
        <v>183</v>
      </c>
      <c r="L1811" s="55" t="s">
        <v>2781</v>
      </c>
      <c r="M1811" s="55" t="s">
        <v>138</v>
      </c>
      <c r="N1811" s="55" t="s">
        <v>138</v>
      </c>
      <c r="O1811" s="55" t="s">
        <v>183</v>
      </c>
      <c r="P1811" s="55" t="s">
        <v>813</v>
      </c>
      <c r="Q1811" s="55" t="s">
        <v>380</v>
      </c>
      <c r="R1811" s="55">
        <v>56</v>
      </c>
      <c r="S1811" s="55"/>
      <c r="T1811" s="55" t="s">
        <v>1795</v>
      </c>
    </row>
    <row r="1812" spans="1:20" ht="13" x14ac:dyDescent="0.15">
      <c r="A1812" s="72" t="str">
        <f t="shared" si="28"/>
        <v>Ofsted Social Care Provider Webpage</v>
      </c>
      <c r="B1812" s="55" t="s">
        <v>2782</v>
      </c>
      <c r="C1812" s="55">
        <v>142612</v>
      </c>
      <c r="D1812" s="55" t="s">
        <v>413</v>
      </c>
      <c r="E1812" s="74">
        <v>37302</v>
      </c>
      <c r="F1812" s="55" t="s">
        <v>344</v>
      </c>
      <c r="G1812" s="55" t="s">
        <v>2783</v>
      </c>
      <c r="H1812" s="55" t="s">
        <v>2783</v>
      </c>
      <c r="I1812" s="55" t="s">
        <v>2784</v>
      </c>
      <c r="J1812" s="55" t="s">
        <v>2785</v>
      </c>
      <c r="K1812" s="55" t="s">
        <v>183</v>
      </c>
      <c r="L1812" s="55" t="s">
        <v>2786</v>
      </c>
      <c r="M1812" s="55" t="s">
        <v>138</v>
      </c>
      <c r="N1812" s="55" t="s">
        <v>138</v>
      </c>
      <c r="O1812" s="55" t="s">
        <v>183</v>
      </c>
      <c r="P1812" s="55" t="s">
        <v>1050</v>
      </c>
      <c r="Q1812" s="55" t="s">
        <v>420</v>
      </c>
      <c r="R1812" s="55">
        <v>40</v>
      </c>
      <c r="S1812" s="55"/>
      <c r="T1812" s="55" t="s">
        <v>2787</v>
      </c>
    </row>
    <row r="1813" spans="1:20" ht="13" x14ac:dyDescent="0.15">
      <c r="A1813" s="72" t="str">
        <f t="shared" si="28"/>
        <v>Ofsted Social Care Provider Webpage</v>
      </c>
      <c r="B1813" s="55" t="s">
        <v>2788</v>
      </c>
      <c r="D1813" s="55" t="s">
        <v>373</v>
      </c>
      <c r="E1813" s="74">
        <v>37062</v>
      </c>
      <c r="F1813" s="55" t="s">
        <v>344</v>
      </c>
      <c r="G1813" s="55" t="s">
        <v>360</v>
      </c>
      <c r="H1813" s="55" t="s">
        <v>360</v>
      </c>
      <c r="I1813" s="55" t="s">
        <v>360</v>
      </c>
      <c r="J1813" s="55" t="s">
        <v>360</v>
      </c>
      <c r="K1813" s="55" t="s">
        <v>360</v>
      </c>
      <c r="L1813" s="55" t="s">
        <v>360</v>
      </c>
      <c r="M1813" s="55" t="s">
        <v>378</v>
      </c>
      <c r="N1813" s="55" t="s">
        <v>134</v>
      </c>
      <c r="O1813" s="55" t="s">
        <v>133</v>
      </c>
      <c r="P1813" s="55" t="s">
        <v>2789</v>
      </c>
      <c r="Q1813" s="55" t="s">
        <v>350</v>
      </c>
      <c r="R1813" s="55">
        <v>1</v>
      </c>
      <c r="S1813" s="55"/>
      <c r="T1813" s="55" t="s">
        <v>2448</v>
      </c>
    </row>
    <row r="1814" spans="1:20" ht="13" x14ac:dyDescent="0.15">
      <c r="A1814" s="72" t="str">
        <f t="shared" si="28"/>
        <v>Ofsted Social Care Provider Webpage</v>
      </c>
      <c r="B1814" s="55" t="s">
        <v>2790</v>
      </c>
      <c r="D1814" s="55" t="s">
        <v>373</v>
      </c>
      <c r="E1814" s="74">
        <v>36796</v>
      </c>
      <c r="F1814" s="55" t="s">
        <v>344</v>
      </c>
      <c r="G1814" s="55" t="s">
        <v>360</v>
      </c>
      <c r="H1814" s="55" t="s">
        <v>360</v>
      </c>
      <c r="I1814" s="55" t="s">
        <v>360</v>
      </c>
      <c r="J1814" s="55" t="s">
        <v>360</v>
      </c>
      <c r="K1814" s="55" t="s">
        <v>360</v>
      </c>
      <c r="L1814" s="55" t="s">
        <v>360</v>
      </c>
      <c r="M1814" s="55" t="s">
        <v>378</v>
      </c>
      <c r="N1814" s="55" t="s">
        <v>134</v>
      </c>
      <c r="O1814" s="55" t="s">
        <v>133</v>
      </c>
      <c r="P1814" s="55" t="s">
        <v>1804</v>
      </c>
      <c r="Q1814" s="55" t="s">
        <v>350</v>
      </c>
      <c r="R1814" s="55">
        <v>4</v>
      </c>
      <c r="S1814" s="55"/>
      <c r="T1814" s="55" t="s">
        <v>2448</v>
      </c>
    </row>
    <row r="1815" spans="1:20" ht="13" x14ac:dyDescent="0.15">
      <c r="A1815" s="72" t="str">
        <f t="shared" si="28"/>
        <v>Ofsted Social Care Provider Webpage</v>
      </c>
      <c r="B1815" s="55" t="s">
        <v>2791</v>
      </c>
      <c r="C1815" s="55">
        <v>105137</v>
      </c>
      <c r="D1815" s="55" t="s">
        <v>413</v>
      </c>
      <c r="E1815" s="74">
        <v>37302</v>
      </c>
      <c r="F1815" s="55" t="s">
        <v>344</v>
      </c>
      <c r="G1815" s="55" t="s">
        <v>2792</v>
      </c>
      <c r="H1815" s="55" t="s">
        <v>2792</v>
      </c>
      <c r="I1815" s="55" t="s">
        <v>2793</v>
      </c>
      <c r="J1815" s="55" t="s">
        <v>2794</v>
      </c>
      <c r="K1815" s="55" t="s">
        <v>1339</v>
      </c>
      <c r="L1815" s="55" t="s">
        <v>2795</v>
      </c>
      <c r="M1815" s="55" t="s">
        <v>144</v>
      </c>
      <c r="N1815" s="55" t="s">
        <v>144</v>
      </c>
      <c r="O1815" s="55" t="s">
        <v>290</v>
      </c>
      <c r="P1815" s="55" t="s">
        <v>909</v>
      </c>
      <c r="Q1815" s="55" t="s">
        <v>362</v>
      </c>
      <c r="R1815" s="55">
        <v>8</v>
      </c>
      <c r="S1815" s="55"/>
      <c r="T1815" s="55" t="s">
        <v>2792</v>
      </c>
    </row>
    <row r="1816" spans="1:20" ht="13" x14ac:dyDescent="0.15">
      <c r="A1816" s="72" t="str">
        <f t="shared" si="28"/>
        <v>Ofsted Social Care Provider Webpage</v>
      </c>
      <c r="B1816" s="55" t="s">
        <v>2796</v>
      </c>
      <c r="D1816" s="55" t="s">
        <v>373</v>
      </c>
      <c r="E1816" s="74">
        <v>36158</v>
      </c>
      <c r="F1816" s="55" t="s">
        <v>344</v>
      </c>
      <c r="G1816" s="55" t="s">
        <v>360</v>
      </c>
      <c r="H1816" s="55" t="s">
        <v>360</v>
      </c>
      <c r="I1816" s="55" t="s">
        <v>360</v>
      </c>
      <c r="J1816" s="55" t="s">
        <v>360</v>
      </c>
      <c r="K1816" s="55" t="s">
        <v>360</v>
      </c>
      <c r="L1816" s="55" t="s">
        <v>360</v>
      </c>
      <c r="M1816" s="55" t="s">
        <v>138</v>
      </c>
      <c r="N1816" s="55" t="s">
        <v>138</v>
      </c>
      <c r="O1816" s="55" t="s">
        <v>196</v>
      </c>
      <c r="P1816" s="55" t="s">
        <v>1506</v>
      </c>
      <c r="Q1816" s="55" t="s">
        <v>362</v>
      </c>
      <c r="R1816" s="55">
        <v>5</v>
      </c>
      <c r="S1816" s="55" t="s">
        <v>332</v>
      </c>
      <c r="T1816" s="55" t="s">
        <v>2797</v>
      </c>
    </row>
    <row r="1817" spans="1:20" ht="13" x14ac:dyDescent="0.15">
      <c r="A1817" s="72" t="str">
        <f t="shared" si="28"/>
        <v>Ofsted Social Care Provider Webpage</v>
      </c>
      <c r="B1817" s="55" t="s">
        <v>2798</v>
      </c>
      <c r="C1817" s="55">
        <v>117646</v>
      </c>
      <c r="D1817" s="55" t="s">
        <v>413</v>
      </c>
      <c r="E1817" s="74">
        <v>30895</v>
      </c>
      <c r="F1817" s="55" t="s">
        <v>344</v>
      </c>
      <c r="G1817" s="55" t="s">
        <v>2799</v>
      </c>
      <c r="H1817" s="55" t="s">
        <v>2800</v>
      </c>
      <c r="I1817" s="55" t="s">
        <v>2801</v>
      </c>
      <c r="J1817" s="55" t="s">
        <v>2802</v>
      </c>
      <c r="K1817" s="55" t="s">
        <v>196</v>
      </c>
      <c r="L1817" s="55" t="s">
        <v>2803</v>
      </c>
      <c r="M1817" s="55" t="s">
        <v>138</v>
      </c>
      <c r="N1817" s="55" t="s">
        <v>138</v>
      </c>
      <c r="O1817" s="55" t="s">
        <v>196</v>
      </c>
      <c r="P1817" s="55" t="s">
        <v>441</v>
      </c>
      <c r="Q1817" s="55" t="s">
        <v>362</v>
      </c>
      <c r="R1817" s="55">
        <v>11</v>
      </c>
      <c r="S1817" s="55"/>
      <c r="T1817" s="55" t="s">
        <v>2804</v>
      </c>
    </row>
    <row r="1818" spans="1:20" ht="13" x14ac:dyDescent="0.15">
      <c r="A1818" s="72" t="str">
        <f t="shared" si="28"/>
        <v>Ofsted Social Care Provider Webpage</v>
      </c>
      <c r="B1818" s="55" t="s">
        <v>2805</v>
      </c>
      <c r="D1818" s="55" t="s">
        <v>373</v>
      </c>
      <c r="E1818" s="74">
        <v>35607</v>
      </c>
      <c r="F1818" s="55" t="s">
        <v>344</v>
      </c>
      <c r="G1818" s="55" t="s">
        <v>360</v>
      </c>
      <c r="H1818" s="55" t="s">
        <v>360</v>
      </c>
      <c r="I1818" s="55" t="s">
        <v>360</v>
      </c>
      <c r="J1818" s="55" t="s">
        <v>360</v>
      </c>
      <c r="K1818" s="55" t="s">
        <v>360</v>
      </c>
      <c r="L1818" s="55" t="s">
        <v>360</v>
      </c>
      <c r="M1818" s="55" t="s">
        <v>172</v>
      </c>
      <c r="N1818" s="55" t="s">
        <v>172</v>
      </c>
      <c r="O1818" s="55" t="s">
        <v>173</v>
      </c>
      <c r="P1818" s="55" t="s">
        <v>1540</v>
      </c>
      <c r="Q1818" s="55" t="s">
        <v>350</v>
      </c>
      <c r="R1818" s="55">
        <v>8</v>
      </c>
      <c r="S1818" s="55"/>
      <c r="T1818" s="55" t="s">
        <v>2267</v>
      </c>
    </row>
    <row r="1819" spans="1:20" ht="13" x14ac:dyDescent="0.15">
      <c r="A1819" s="72" t="str">
        <f t="shared" si="28"/>
        <v>Ofsted Social Care Provider Webpage</v>
      </c>
      <c r="B1819" s="55" t="s">
        <v>2806</v>
      </c>
      <c r="D1819" s="55" t="s">
        <v>373</v>
      </c>
      <c r="E1819" s="74">
        <v>36398</v>
      </c>
      <c r="F1819" s="55" t="s">
        <v>344</v>
      </c>
      <c r="G1819" s="55" t="s">
        <v>360</v>
      </c>
      <c r="H1819" s="55" t="s">
        <v>360</v>
      </c>
      <c r="I1819" s="55" t="s">
        <v>360</v>
      </c>
      <c r="J1819" s="55" t="s">
        <v>360</v>
      </c>
      <c r="K1819" s="55" t="s">
        <v>360</v>
      </c>
      <c r="L1819" s="55" t="s">
        <v>360</v>
      </c>
      <c r="M1819" s="55" t="s">
        <v>172</v>
      </c>
      <c r="N1819" s="55" t="s">
        <v>172</v>
      </c>
      <c r="O1819" s="55" t="s">
        <v>173</v>
      </c>
      <c r="P1819" s="55" t="s">
        <v>1540</v>
      </c>
      <c r="Q1819" s="55" t="s">
        <v>350</v>
      </c>
      <c r="R1819" s="55">
        <v>8</v>
      </c>
      <c r="S1819" s="55"/>
      <c r="T1819" s="55" t="s">
        <v>1848</v>
      </c>
    </row>
    <row r="1820" spans="1:20" ht="13" x14ac:dyDescent="0.15">
      <c r="A1820" s="72" t="str">
        <f t="shared" si="28"/>
        <v>Ofsted Social Care Provider Webpage</v>
      </c>
      <c r="B1820" s="55" t="s">
        <v>2807</v>
      </c>
      <c r="D1820" s="55" t="s">
        <v>373</v>
      </c>
      <c r="E1820" s="74">
        <v>37020</v>
      </c>
      <c r="F1820" s="55" t="s">
        <v>344</v>
      </c>
      <c r="G1820" s="55" t="s">
        <v>360</v>
      </c>
      <c r="H1820" s="55" t="s">
        <v>360</v>
      </c>
      <c r="I1820" s="55" t="s">
        <v>360</v>
      </c>
      <c r="J1820" s="55" t="s">
        <v>360</v>
      </c>
      <c r="K1820" s="55" t="s">
        <v>360</v>
      </c>
      <c r="L1820" s="55" t="s">
        <v>360</v>
      </c>
      <c r="M1820" s="55" t="s">
        <v>172</v>
      </c>
      <c r="N1820" s="55" t="s">
        <v>172</v>
      </c>
      <c r="O1820" s="55" t="s">
        <v>173</v>
      </c>
      <c r="P1820" s="55" t="s">
        <v>1540</v>
      </c>
      <c r="Q1820" s="55" t="s">
        <v>350</v>
      </c>
      <c r="R1820" s="55">
        <v>7</v>
      </c>
      <c r="S1820" s="55"/>
      <c r="T1820" s="55" t="s">
        <v>2267</v>
      </c>
    </row>
    <row r="1821" spans="1:20" ht="13" x14ac:dyDescent="0.15">
      <c r="A1821" s="72" t="str">
        <f t="shared" si="28"/>
        <v>Ofsted Social Care Provider Webpage</v>
      </c>
      <c r="B1821" s="55" t="s">
        <v>2808</v>
      </c>
      <c r="D1821" s="55" t="s">
        <v>479</v>
      </c>
      <c r="E1821" s="74">
        <v>36920</v>
      </c>
      <c r="F1821" s="55" t="s">
        <v>344</v>
      </c>
      <c r="G1821" s="55" t="s">
        <v>360</v>
      </c>
      <c r="H1821" s="55" t="s">
        <v>360</v>
      </c>
      <c r="I1821" s="55" t="s">
        <v>360</v>
      </c>
      <c r="J1821" s="55" t="s">
        <v>360</v>
      </c>
      <c r="K1821" s="55" t="s">
        <v>360</v>
      </c>
      <c r="L1821" s="55" t="s">
        <v>360</v>
      </c>
      <c r="M1821" s="55" t="s">
        <v>172</v>
      </c>
      <c r="N1821" s="55" t="s">
        <v>172</v>
      </c>
      <c r="O1821" s="55" t="s">
        <v>173</v>
      </c>
      <c r="P1821" s="55" t="s">
        <v>1069</v>
      </c>
      <c r="Q1821" s="55" t="s">
        <v>350</v>
      </c>
      <c r="R1821" s="55">
        <v>25</v>
      </c>
      <c r="S1821" s="55"/>
      <c r="T1821" s="55" t="s">
        <v>2809</v>
      </c>
    </row>
    <row r="1822" spans="1:20" ht="13" x14ac:dyDescent="0.15">
      <c r="A1822" s="72" t="str">
        <f t="shared" si="28"/>
        <v>Ofsted Social Care Provider Webpage</v>
      </c>
      <c r="B1822" s="55" t="s">
        <v>2810</v>
      </c>
      <c r="D1822" s="55" t="s">
        <v>373</v>
      </c>
      <c r="E1822" s="74">
        <v>36145</v>
      </c>
      <c r="F1822" s="55" t="s">
        <v>344</v>
      </c>
      <c r="G1822" s="55" t="s">
        <v>360</v>
      </c>
      <c r="H1822" s="55" t="s">
        <v>360</v>
      </c>
      <c r="I1822" s="55" t="s">
        <v>360</v>
      </c>
      <c r="J1822" s="55" t="s">
        <v>360</v>
      </c>
      <c r="K1822" s="55" t="s">
        <v>360</v>
      </c>
      <c r="L1822" s="55" t="s">
        <v>360</v>
      </c>
      <c r="M1822" s="55" t="s">
        <v>142</v>
      </c>
      <c r="N1822" s="55" t="s">
        <v>142</v>
      </c>
      <c r="O1822" s="55" t="s">
        <v>272</v>
      </c>
      <c r="P1822" s="55" t="s">
        <v>653</v>
      </c>
      <c r="Q1822" s="55" t="s">
        <v>350</v>
      </c>
      <c r="R1822" s="55">
        <v>5</v>
      </c>
      <c r="S1822" s="55"/>
      <c r="T1822" s="55" t="s">
        <v>2811</v>
      </c>
    </row>
    <row r="1823" spans="1:20" ht="13" x14ac:dyDescent="0.15">
      <c r="A1823" s="72" t="str">
        <f t="shared" si="28"/>
        <v>Ofsted Social Care Provider Webpage</v>
      </c>
      <c r="B1823" s="55" t="s">
        <v>2812</v>
      </c>
      <c r="D1823" s="55" t="s">
        <v>479</v>
      </c>
      <c r="E1823" s="74">
        <v>36997</v>
      </c>
      <c r="F1823" s="55" t="s">
        <v>344</v>
      </c>
      <c r="G1823" s="55" t="s">
        <v>360</v>
      </c>
      <c r="H1823" s="55" t="s">
        <v>360</v>
      </c>
      <c r="I1823" s="55" t="s">
        <v>360</v>
      </c>
      <c r="J1823" s="55" t="s">
        <v>360</v>
      </c>
      <c r="K1823" s="55" t="s">
        <v>360</v>
      </c>
      <c r="L1823" s="55" t="s">
        <v>360</v>
      </c>
      <c r="M1823" s="55" t="s">
        <v>142</v>
      </c>
      <c r="N1823" s="55" t="s">
        <v>142</v>
      </c>
      <c r="O1823" s="55" t="s">
        <v>272</v>
      </c>
      <c r="P1823" s="55" t="s">
        <v>653</v>
      </c>
      <c r="Q1823" s="55" t="s">
        <v>350</v>
      </c>
      <c r="R1823" s="55">
        <v>22</v>
      </c>
      <c r="S1823" s="55"/>
      <c r="T1823" s="55" t="s">
        <v>2813</v>
      </c>
    </row>
    <row r="1824" spans="1:20" ht="13" x14ac:dyDescent="0.15">
      <c r="A1824" s="72" t="str">
        <f t="shared" si="28"/>
        <v>Ofsted Social Care Provider Webpage</v>
      </c>
      <c r="B1824" s="55" t="s">
        <v>2814</v>
      </c>
      <c r="D1824" s="55" t="s">
        <v>373</v>
      </c>
      <c r="E1824" s="74">
        <v>36210</v>
      </c>
      <c r="F1824" s="55" t="s">
        <v>344</v>
      </c>
      <c r="G1824" s="55" t="s">
        <v>360</v>
      </c>
      <c r="H1824" s="55" t="s">
        <v>360</v>
      </c>
      <c r="I1824" s="55" t="s">
        <v>360</v>
      </c>
      <c r="J1824" s="55" t="s">
        <v>360</v>
      </c>
      <c r="K1824" s="55" t="s">
        <v>360</v>
      </c>
      <c r="L1824" s="55" t="s">
        <v>360</v>
      </c>
      <c r="M1824" s="55" t="s">
        <v>142</v>
      </c>
      <c r="N1824" s="55" t="s">
        <v>142</v>
      </c>
      <c r="O1824" s="55" t="s">
        <v>272</v>
      </c>
      <c r="P1824" s="55" t="s">
        <v>653</v>
      </c>
      <c r="Q1824" s="55" t="s">
        <v>350</v>
      </c>
      <c r="R1824" s="55">
        <v>5</v>
      </c>
      <c r="S1824" s="55"/>
      <c r="T1824" s="55" t="s">
        <v>2811</v>
      </c>
    </row>
    <row r="1825" spans="1:20" ht="13" x14ac:dyDescent="0.15">
      <c r="A1825" s="72" t="str">
        <f t="shared" si="28"/>
        <v>Ofsted Social Care Provider Webpage</v>
      </c>
      <c r="B1825" s="55" t="s">
        <v>2815</v>
      </c>
      <c r="C1825" s="55">
        <v>137446</v>
      </c>
      <c r="D1825" s="55" t="s">
        <v>398</v>
      </c>
      <c r="E1825" s="74">
        <v>37302</v>
      </c>
      <c r="F1825" s="55" t="s">
        <v>344</v>
      </c>
      <c r="G1825" s="55" t="s">
        <v>2816</v>
      </c>
      <c r="H1825" s="55" t="s">
        <v>2817</v>
      </c>
      <c r="I1825" s="55" t="s">
        <v>1573</v>
      </c>
      <c r="J1825" s="55" t="s">
        <v>2818</v>
      </c>
      <c r="K1825" s="55" t="s">
        <v>252</v>
      </c>
      <c r="L1825" s="55" t="s">
        <v>2819</v>
      </c>
      <c r="M1825" s="55" t="s">
        <v>142</v>
      </c>
      <c r="N1825" s="55" t="s">
        <v>142</v>
      </c>
      <c r="O1825" s="55" t="s">
        <v>272</v>
      </c>
      <c r="P1825" s="55" t="s">
        <v>653</v>
      </c>
      <c r="Q1825" s="55" t="s">
        <v>420</v>
      </c>
      <c r="R1825" s="55">
        <v>105</v>
      </c>
      <c r="S1825" s="55"/>
      <c r="T1825" s="55" t="s">
        <v>2820</v>
      </c>
    </row>
    <row r="1826" spans="1:20" ht="13" x14ac:dyDescent="0.15">
      <c r="A1826" s="72" t="str">
        <f t="shared" si="28"/>
        <v>Ofsted Social Care Provider Webpage</v>
      </c>
      <c r="B1826" s="55" t="s">
        <v>2821</v>
      </c>
      <c r="D1826" s="55" t="s">
        <v>373</v>
      </c>
      <c r="E1826" s="74">
        <v>33960</v>
      </c>
      <c r="F1826" s="55" t="s">
        <v>344</v>
      </c>
      <c r="G1826" s="55" t="s">
        <v>360</v>
      </c>
      <c r="H1826" s="55" t="s">
        <v>360</v>
      </c>
      <c r="I1826" s="55" t="s">
        <v>360</v>
      </c>
      <c r="J1826" s="55" t="s">
        <v>360</v>
      </c>
      <c r="K1826" s="55" t="s">
        <v>360</v>
      </c>
      <c r="L1826" s="55" t="s">
        <v>360</v>
      </c>
      <c r="M1826" s="55" t="s">
        <v>142</v>
      </c>
      <c r="N1826" s="55" t="s">
        <v>142</v>
      </c>
      <c r="O1826" s="55" t="s">
        <v>252</v>
      </c>
      <c r="P1826" s="55" t="s">
        <v>503</v>
      </c>
      <c r="Q1826" s="55" t="s">
        <v>350</v>
      </c>
      <c r="R1826" s="55">
        <v>8</v>
      </c>
      <c r="S1826" s="55"/>
      <c r="T1826" s="55" t="s">
        <v>1365</v>
      </c>
    </row>
    <row r="1827" spans="1:20" ht="13" x14ac:dyDescent="0.15">
      <c r="A1827" s="72" t="str">
        <f t="shared" si="28"/>
        <v>Ofsted Social Care Provider Webpage</v>
      </c>
      <c r="B1827" s="55" t="s">
        <v>2822</v>
      </c>
      <c r="D1827" s="55" t="s">
        <v>373</v>
      </c>
      <c r="E1827" s="74">
        <v>34218</v>
      </c>
      <c r="F1827" s="55" t="s">
        <v>344</v>
      </c>
      <c r="G1827" s="55" t="s">
        <v>360</v>
      </c>
      <c r="H1827" s="55" t="s">
        <v>360</v>
      </c>
      <c r="I1827" s="55" t="s">
        <v>360</v>
      </c>
      <c r="J1827" s="55" t="s">
        <v>360</v>
      </c>
      <c r="K1827" s="55" t="s">
        <v>360</v>
      </c>
      <c r="L1827" s="55" t="s">
        <v>360</v>
      </c>
      <c r="M1827" s="55" t="s">
        <v>142</v>
      </c>
      <c r="N1827" s="55" t="s">
        <v>142</v>
      </c>
      <c r="O1827" s="55" t="s">
        <v>252</v>
      </c>
      <c r="P1827" s="55" t="s">
        <v>388</v>
      </c>
      <c r="Q1827" s="55" t="s">
        <v>350</v>
      </c>
      <c r="R1827" s="55">
        <v>4</v>
      </c>
      <c r="S1827" s="55"/>
      <c r="T1827" s="55" t="s">
        <v>1373</v>
      </c>
    </row>
    <row r="1828" spans="1:20" ht="13" x14ac:dyDescent="0.15">
      <c r="A1828" s="72" t="str">
        <f t="shared" si="28"/>
        <v>Ofsted Social Care Provider Webpage</v>
      </c>
      <c r="B1828" s="55" t="s">
        <v>2823</v>
      </c>
      <c r="D1828" s="55" t="s">
        <v>373</v>
      </c>
      <c r="E1828" s="74">
        <v>35244</v>
      </c>
      <c r="F1828" s="55" t="s">
        <v>344</v>
      </c>
      <c r="G1828" s="55" t="s">
        <v>360</v>
      </c>
      <c r="H1828" s="55" t="s">
        <v>360</v>
      </c>
      <c r="I1828" s="55" t="s">
        <v>360</v>
      </c>
      <c r="J1828" s="55" t="s">
        <v>360</v>
      </c>
      <c r="K1828" s="55" t="s">
        <v>360</v>
      </c>
      <c r="L1828" s="55" t="s">
        <v>360</v>
      </c>
      <c r="M1828" s="55" t="s">
        <v>142</v>
      </c>
      <c r="N1828" s="55" t="s">
        <v>142</v>
      </c>
      <c r="O1828" s="55" t="s">
        <v>252</v>
      </c>
      <c r="P1828" s="55" t="s">
        <v>388</v>
      </c>
      <c r="Q1828" s="55" t="s">
        <v>350</v>
      </c>
      <c r="R1828" s="55">
        <v>5</v>
      </c>
      <c r="S1828" s="55"/>
      <c r="T1828" s="55" t="s">
        <v>1182</v>
      </c>
    </row>
    <row r="1829" spans="1:20" ht="13" x14ac:dyDescent="0.15">
      <c r="A1829" s="72" t="str">
        <f t="shared" si="28"/>
        <v>Ofsted Social Care Provider Webpage</v>
      </c>
      <c r="B1829" s="55" t="s">
        <v>2824</v>
      </c>
      <c r="D1829" s="55" t="s">
        <v>373</v>
      </c>
      <c r="E1829" s="74">
        <v>37109</v>
      </c>
      <c r="F1829" s="55" t="s">
        <v>344</v>
      </c>
      <c r="G1829" s="55" t="s">
        <v>360</v>
      </c>
      <c r="H1829" s="55" t="s">
        <v>360</v>
      </c>
      <c r="I1829" s="55" t="s">
        <v>360</v>
      </c>
      <c r="J1829" s="55" t="s">
        <v>360</v>
      </c>
      <c r="K1829" s="55" t="s">
        <v>360</v>
      </c>
      <c r="L1829" s="55" t="s">
        <v>360</v>
      </c>
      <c r="M1829" s="55" t="s">
        <v>142</v>
      </c>
      <c r="N1829" s="55" t="s">
        <v>142</v>
      </c>
      <c r="O1829" s="55" t="s">
        <v>252</v>
      </c>
      <c r="P1829" s="55" t="s">
        <v>388</v>
      </c>
      <c r="Q1829" s="55" t="s">
        <v>350</v>
      </c>
      <c r="R1829" s="55">
        <v>3</v>
      </c>
      <c r="S1829" s="55"/>
      <c r="T1829" s="55" t="s">
        <v>1182</v>
      </c>
    </row>
    <row r="1830" spans="1:20" ht="13" x14ac:dyDescent="0.15">
      <c r="A1830" s="72" t="str">
        <f t="shared" si="28"/>
        <v>Ofsted Social Care Provider Webpage</v>
      </c>
      <c r="B1830" s="55" t="s">
        <v>2825</v>
      </c>
      <c r="D1830" s="55" t="s">
        <v>373</v>
      </c>
      <c r="E1830" s="74">
        <v>37109</v>
      </c>
      <c r="F1830" s="55" t="s">
        <v>344</v>
      </c>
      <c r="G1830" s="55" t="s">
        <v>360</v>
      </c>
      <c r="H1830" s="55" t="s">
        <v>360</v>
      </c>
      <c r="I1830" s="55" t="s">
        <v>360</v>
      </c>
      <c r="J1830" s="55" t="s">
        <v>360</v>
      </c>
      <c r="K1830" s="55" t="s">
        <v>360</v>
      </c>
      <c r="L1830" s="55" t="s">
        <v>360</v>
      </c>
      <c r="M1830" s="55" t="s">
        <v>142</v>
      </c>
      <c r="N1830" s="55" t="s">
        <v>142</v>
      </c>
      <c r="O1830" s="55" t="s">
        <v>252</v>
      </c>
      <c r="P1830" s="55" t="s">
        <v>386</v>
      </c>
      <c r="Q1830" s="55" t="s">
        <v>350</v>
      </c>
      <c r="R1830" s="55">
        <v>3</v>
      </c>
      <c r="S1830" s="55"/>
      <c r="T1830" s="55" t="s">
        <v>1182</v>
      </c>
    </row>
    <row r="1831" spans="1:20" ht="13" x14ac:dyDescent="0.15">
      <c r="A1831" s="72" t="str">
        <f t="shared" si="28"/>
        <v>Ofsted Social Care Provider Webpage</v>
      </c>
      <c r="B1831" s="55" t="s">
        <v>2826</v>
      </c>
      <c r="D1831" s="55" t="s">
        <v>373</v>
      </c>
      <c r="E1831" s="74">
        <v>37109</v>
      </c>
      <c r="F1831" s="55" t="s">
        <v>344</v>
      </c>
      <c r="G1831" s="55" t="s">
        <v>360</v>
      </c>
      <c r="H1831" s="55" t="s">
        <v>360</v>
      </c>
      <c r="I1831" s="55" t="s">
        <v>360</v>
      </c>
      <c r="J1831" s="55" t="s">
        <v>360</v>
      </c>
      <c r="K1831" s="55" t="s">
        <v>360</v>
      </c>
      <c r="L1831" s="55" t="s">
        <v>360</v>
      </c>
      <c r="M1831" s="55" t="s">
        <v>142</v>
      </c>
      <c r="N1831" s="55" t="s">
        <v>142</v>
      </c>
      <c r="O1831" s="55" t="s">
        <v>252</v>
      </c>
      <c r="P1831" s="55" t="s">
        <v>388</v>
      </c>
      <c r="Q1831" s="55" t="s">
        <v>350</v>
      </c>
      <c r="R1831" s="55">
        <v>3</v>
      </c>
      <c r="S1831" s="55"/>
      <c r="T1831" s="55" t="s">
        <v>1182</v>
      </c>
    </row>
    <row r="1832" spans="1:20" ht="13" x14ac:dyDescent="0.15">
      <c r="A1832" s="72" t="str">
        <f t="shared" si="28"/>
        <v>Ofsted Social Care Provider Webpage</v>
      </c>
      <c r="B1832" s="55" t="s">
        <v>2827</v>
      </c>
      <c r="D1832" s="55" t="s">
        <v>373</v>
      </c>
      <c r="E1832" s="74">
        <v>37109</v>
      </c>
      <c r="F1832" s="55" t="s">
        <v>344</v>
      </c>
      <c r="G1832" s="55" t="s">
        <v>360</v>
      </c>
      <c r="H1832" s="55" t="s">
        <v>360</v>
      </c>
      <c r="I1832" s="55" t="s">
        <v>360</v>
      </c>
      <c r="J1832" s="55" t="s">
        <v>360</v>
      </c>
      <c r="K1832" s="55" t="s">
        <v>360</v>
      </c>
      <c r="L1832" s="55" t="s">
        <v>360</v>
      </c>
      <c r="M1832" s="55" t="s">
        <v>142</v>
      </c>
      <c r="N1832" s="55" t="s">
        <v>142</v>
      </c>
      <c r="O1832" s="55" t="s">
        <v>252</v>
      </c>
      <c r="P1832" s="55" t="s">
        <v>388</v>
      </c>
      <c r="Q1832" s="55" t="s">
        <v>350</v>
      </c>
      <c r="R1832" s="55">
        <v>3</v>
      </c>
      <c r="S1832" s="55"/>
      <c r="T1832" s="55" t="s">
        <v>1182</v>
      </c>
    </row>
    <row r="1833" spans="1:20" ht="13" x14ac:dyDescent="0.15">
      <c r="A1833" s="72" t="str">
        <f t="shared" si="28"/>
        <v>Ofsted Social Care Provider Webpage</v>
      </c>
      <c r="B1833" s="55" t="s">
        <v>2828</v>
      </c>
      <c r="D1833" s="55" t="s">
        <v>373</v>
      </c>
      <c r="E1833" s="74">
        <v>37109</v>
      </c>
      <c r="F1833" s="55" t="s">
        <v>344</v>
      </c>
      <c r="G1833" s="55" t="s">
        <v>360</v>
      </c>
      <c r="H1833" s="55" t="s">
        <v>360</v>
      </c>
      <c r="I1833" s="55" t="s">
        <v>360</v>
      </c>
      <c r="J1833" s="55" t="s">
        <v>360</v>
      </c>
      <c r="K1833" s="55" t="s">
        <v>360</v>
      </c>
      <c r="L1833" s="55" t="s">
        <v>360</v>
      </c>
      <c r="M1833" s="55" t="s">
        <v>142</v>
      </c>
      <c r="N1833" s="55" t="s">
        <v>142</v>
      </c>
      <c r="O1833" s="55" t="s">
        <v>252</v>
      </c>
      <c r="P1833" s="55" t="s">
        <v>386</v>
      </c>
      <c r="Q1833" s="55" t="s">
        <v>350</v>
      </c>
      <c r="R1833" s="55">
        <v>3</v>
      </c>
      <c r="S1833" s="55"/>
      <c r="T1833" s="55" t="s">
        <v>1182</v>
      </c>
    </row>
    <row r="1834" spans="1:20" ht="13" x14ac:dyDescent="0.15">
      <c r="A1834" s="72" t="str">
        <f t="shared" si="28"/>
        <v>Ofsted Social Care Provider Webpage</v>
      </c>
      <c r="B1834" s="55" t="s">
        <v>2829</v>
      </c>
      <c r="D1834" s="55" t="s">
        <v>373</v>
      </c>
      <c r="E1834" s="74">
        <v>37208</v>
      </c>
      <c r="F1834" s="55" t="s">
        <v>344</v>
      </c>
      <c r="G1834" s="55" t="s">
        <v>360</v>
      </c>
      <c r="H1834" s="55" t="s">
        <v>360</v>
      </c>
      <c r="I1834" s="55" t="s">
        <v>360</v>
      </c>
      <c r="J1834" s="55" t="s">
        <v>360</v>
      </c>
      <c r="K1834" s="55" t="s">
        <v>360</v>
      </c>
      <c r="L1834" s="55" t="s">
        <v>360</v>
      </c>
      <c r="M1834" s="55" t="s">
        <v>142</v>
      </c>
      <c r="N1834" s="55" t="s">
        <v>142</v>
      </c>
      <c r="O1834" s="55" t="s">
        <v>252</v>
      </c>
      <c r="P1834" s="55" t="s">
        <v>386</v>
      </c>
      <c r="Q1834" s="55" t="s">
        <v>350</v>
      </c>
      <c r="R1834" s="55">
        <v>6</v>
      </c>
      <c r="S1834" s="55"/>
      <c r="T1834" s="55" t="s">
        <v>2811</v>
      </c>
    </row>
    <row r="1835" spans="1:20" ht="13" x14ac:dyDescent="0.15">
      <c r="A1835" s="72" t="str">
        <f t="shared" si="28"/>
        <v>Ofsted Social Care Provider Webpage</v>
      </c>
      <c r="B1835" s="55" t="s">
        <v>2830</v>
      </c>
      <c r="D1835" s="55" t="s">
        <v>373</v>
      </c>
      <c r="E1835" s="74">
        <v>35796</v>
      </c>
      <c r="F1835" s="55" t="s">
        <v>344</v>
      </c>
      <c r="G1835" s="55" t="s">
        <v>360</v>
      </c>
      <c r="H1835" s="55" t="s">
        <v>360</v>
      </c>
      <c r="I1835" s="55" t="s">
        <v>360</v>
      </c>
      <c r="J1835" s="55" t="s">
        <v>360</v>
      </c>
      <c r="K1835" s="55" t="s">
        <v>360</v>
      </c>
      <c r="L1835" s="55" t="s">
        <v>360</v>
      </c>
      <c r="M1835" s="55" t="s">
        <v>142</v>
      </c>
      <c r="N1835" s="55" t="s">
        <v>142</v>
      </c>
      <c r="O1835" s="55" t="s">
        <v>252</v>
      </c>
      <c r="P1835" s="55" t="s">
        <v>388</v>
      </c>
      <c r="Q1835" s="55" t="s">
        <v>362</v>
      </c>
      <c r="R1835" s="55">
        <v>4</v>
      </c>
      <c r="S1835" s="55" t="s">
        <v>332</v>
      </c>
      <c r="T1835" s="55" t="s">
        <v>367</v>
      </c>
    </row>
    <row r="1836" spans="1:20" ht="13" x14ac:dyDescent="0.15">
      <c r="A1836" s="72" t="str">
        <f t="shared" si="28"/>
        <v>Ofsted Social Care Provider Webpage</v>
      </c>
      <c r="B1836" s="55" t="s">
        <v>2831</v>
      </c>
      <c r="C1836" s="55">
        <v>147508</v>
      </c>
      <c r="D1836" s="55" t="s">
        <v>398</v>
      </c>
      <c r="E1836" s="74">
        <v>37302</v>
      </c>
      <c r="F1836" s="55" t="s">
        <v>344</v>
      </c>
      <c r="G1836" s="55" t="s">
        <v>2832</v>
      </c>
      <c r="H1836" s="55" t="s">
        <v>2833</v>
      </c>
      <c r="I1836" s="55" t="s">
        <v>2834</v>
      </c>
      <c r="J1836" s="55" t="s">
        <v>2835</v>
      </c>
      <c r="L1836" s="55" t="s">
        <v>2836</v>
      </c>
      <c r="M1836" s="55" t="s">
        <v>142</v>
      </c>
      <c r="N1836" s="55" t="s">
        <v>142</v>
      </c>
      <c r="O1836" s="55" t="s">
        <v>252</v>
      </c>
      <c r="P1836" s="55" t="s">
        <v>386</v>
      </c>
      <c r="Q1836" s="55" t="s">
        <v>380</v>
      </c>
      <c r="R1836" s="55">
        <v>34</v>
      </c>
      <c r="S1836" s="55"/>
      <c r="T1836" s="55" t="s">
        <v>2832</v>
      </c>
    </row>
    <row r="1837" spans="1:20" ht="13" x14ac:dyDescent="0.15">
      <c r="A1837" s="72" t="str">
        <f t="shared" si="28"/>
        <v>Ofsted Social Care Provider Webpage</v>
      </c>
      <c r="B1837" s="55" t="s">
        <v>2837</v>
      </c>
      <c r="D1837" s="55" t="s">
        <v>373</v>
      </c>
      <c r="E1837" s="74">
        <v>44503</v>
      </c>
      <c r="F1837" s="55" t="s">
        <v>344</v>
      </c>
      <c r="G1837" s="55" t="s">
        <v>360</v>
      </c>
      <c r="H1837" s="55" t="s">
        <v>360</v>
      </c>
      <c r="I1837" s="55" t="s">
        <v>360</v>
      </c>
      <c r="J1837" s="55" t="s">
        <v>360</v>
      </c>
      <c r="K1837" s="55" t="s">
        <v>360</v>
      </c>
      <c r="L1837" s="55" t="s">
        <v>360</v>
      </c>
      <c r="M1837" s="55" t="s">
        <v>142</v>
      </c>
      <c r="N1837" s="55" t="s">
        <v>142</v>
      </c>
      <c r="O1837" s="55" t="s">
        <v>278</v>
      </c>
      <c r="P1837" s="55" t="s">
        <v>611</v>
      </c>
      <c r="Q1837" s="55" t="s">
        <v>350</v>
      </c>
      <c r="R1837" s="55">
        <v>6</v>
      </c>
      <c r="S1837" s="55"/>
      <c r="T1837" s="55" t="s">
        <v>1164</v>
      </c>
    </row>
    <row r="1838" spans="1:20" ht="13" x14ac:dyDescent="0.15">
      <c r="A1838" s="72" t="str">
        <f t="shared" si="28"/>
        <v>Ofsted Social Care Provider Webpage</v>
      </c>
      <c r="B1838" s="55" t="s">
        <v>2838</v>
      </c>
      <c r="D1838" s="55" t="s">
        <v>373</v>
      </c>
      <c r="E1838" s="74">
        <v>37127</v>
      </c>
      <c r="F1838" s="55" t="s">
        <v>344</v>
      </c>
      <c r="G1838" s="55" t="s">
        <v>360</v>
      </c>
      <c r="H1838" s="55" t="s">
        <v>360</v>
      </c>
      <c r="I1838" s="55" t="s">
        <v>360</v>
      </c>
      <c r="J1838" s="55" t="s">
        <v>360</v>
      </c>
      <c r="K1838" s="55" t="s">
        <v>360</v>
      </c>
      <c r="L1838" s="55" t="s">
        <v>360</v>
      </c>
      <c r="M1838" s="55" t="s">
        <v>144</v>
      </c>
      <c r="N1838" s="55" t="s">
        <v>144</v>
      </c>
      <c r="O1838" s="55" t="s">
        <v>217</v>
      </c>
      <c r="P1838" s="55" t="s">
        <v>903</v>
      </c>
      <c r="Q1838" s="55" t="s">
        <v>350</v>
      </c>
      <c r="R1838" s="55">
        <v>4</v>
      </c>
      <c r="S1838" s="55"/>
      <c r="T1838" s="55" t="s">
        <v>1505</v>
      </c>
    </row>
    <row r="1839" spans="1:20" ht="13" x14ac:dyDescent="0.15">
      <c r="A1839" s="72" t="str">
        <f t="shared" si="28"/>
        <v>Ofsted Social Care Provider Webpage</v>
      </c>
      <c r="B1839" s="55" t="s">
        <v>2839</v>
      </c>
      <c r="D1839" s="55" t="s">
        <v>373</v>
      </c>
      <c r="E1839" s="74">
        <v>34859</v>
      </c>
      <c r="F1839" s="55" t="s">
        <v>344</v>
      </c>
      <c r="G1839" s="55" t="s">
        <v>360</v>
      </c>
      <c r="H1839" s="55" t="s">
        <v>360</v>
      </c>
      <c r="I1839" s="55" t="s">
        <v>360</v>
      </c>
      <c r="J1839" s="55" t="s">
        <v>360</v>
      </c>
      <c r="K1839" s="55" t="s">
        <v>360</v>
      </c>
      <c r="L1839" s="55" t="s">
        <v>360</v>
      </c>
      <c r="M1839" s="55" t="s">
        <v>144</v>
      </c>
      <c r="N1839" s="55" t="s">
        <v>144</v>
      </c>
      <c r="O1839" s="55" t="s">
        <v>217</v>
      </c>
      <c r="P1839" s="55" t="s">
        <v>384</v>
      </c>
      <c r="Q1839" s="55" t="s">
        <v>350</v>
      </c>
      <c r="R1839" s="55">
        <v>4</v>
      </c>
      <c r="S1839" s="55"/>
      <c r="T1839" s="55" t="s">
        <v>1505</v>
      </c>
    </row>
    <row r="1840" spans="1:20" ht="13" x14ac:dyDescent="0.15">
      <c r="A1840" s="72" t="str">
        <f t="shared" si="28"/>
        <v>Ofsted Social Care Provider Webpage</v>
      </c>
      <c r="B1840" s="55" t="s">
        <v>2840</v>
      </c>
      <c r="D1840" s="55" t="s">
        <v>373</v>
      </c>
      <c r="E1840" s="74">
        <v>37127</v>
      </c>
      <c r="F1840" s="55" t="s">
        <v>344</v>
      </c>
      <c r="G1840" s="55" t="s">
        <v>360</v>
      </c>
      <c r="H1840" s="55" t="s">
        <v>360</v>
      </c>
      <c r="I1840" s="55" t="s">
        <v>360</v>
      </c>
      <c r="J1840" s="55" t="s">
        <v>360</v>
      </c>
      <c r="K1840" s="55" t="s">
        <v>360</v>
      </c>
      <c r="L1840" s="55" t="s">
        <v>360</v>
      </c>
      <c r="M1840" s="55" t="s">
        <v>144</v>
      </c>
      <c r="N1840" s="55" t="s">
        <v>144</v>
      </c>
      <c r="O1840" s="55" t="s">
        <v>217</v>
      </c>
      <c r="P1840" s="55" t="s">
        <v>384</v>
      </c>
      <c r="Q1840" s="55" t="s">
        <v>350</v>
      </c>
      <c r="R1840" s="55">
        <v>4</v>
      </c>
      <c r="S1840" s="55"/>
      <c r="T1840" s="55" t="s">
        <v>1505</v>
      </c>
    </row>
    <row r="1841" spans="1:20" ht="13" x14ac:dyDescent="0.15">
      <c r="A1841" s="72" t="str">
        <f t="shared" si="28"/>
        <v>Ofsted Social Care Provider Webpage</v>
      </c>
      <c r="B1841" s="55" t="s">
        <v>2841</v>
      </c>
      <c r="D1841" s="55" t="s">
        <v>373</v>
      </c>
      <c r="E1841" s="74">
        <v>37229</v>
      </c>
      <c r="F1841" s="55" t="s">
        <v>344</v>
      </c>
      <c r="G1841" s="55" t="s">
        <v>360</v>
      </c>
      <c r="H1841" s="55" t="s">
        <v>360</v>
      </c>
      <c r="I1841" s="55" t="s">
        <v>360</v>
      </c>
      <c r="J1841" s="55" t="s">
        <v>360</v>
      </c>
      <c r="K1841" s="55" t="s">
        <v>360</v>
      </c>
      <c r="L1841" s="55" t="s">
        <v>360</v>
      </c>
      <c r="M1841" s="55" t="s">
        <v>144</v>
      </c>
      <c r="N1841" s="55" t="s">
        <v>144</v>
      </c>
      <c r="O1841" s="55" t="s">
        <v>217</v>
      </c>
      <c r="P1841" s="55" t="s">
        <v>384</v>
      </c>
      <c r="Q1841" s="55" t="s">
        <v>350</v>
      </c>
      <c r="R1841" s="55">
        <v>6</v>
      </c>
      <c r="S1841" s="55"/>
      <c r="T1841" s="55" t="s">
        <v>2842</v>
      </c>
    </row>
    <row r="1842" spans="1:20" ht="13" x14ac:dyDescent="0.15">
      <c r="A1842" s="72" t="str">
        <f t="shared" si="28"/>
        <v>Ofsted Social Care Provider Webpage</v>
      </c>
      <c r="B1842" s="55" t="s">
        <v>2843</v>
      </c>
      <c r="C1842" s="55">
        <v>113654</v>
      </c>
      <c r="D1842" s="55" t="s">
        <v>413</v>
      </c>
      <c r="E1842" s="74">
        <v>37305</v>
      </c>
      <c r="F1842" s="55" t="s">
        <v>344</v>
      </c>
      <c r="G1842" s="55" t="s">
        <v>2844</v>
      </c>
      <c r="H1842" s="55" t="s">
        <v>2845</v>
      </c>
      <c r="I1842" s="55" t="s">
        <v>2846</v>
      </c>
      <c r="J1842" s="55" t="s">
        <v>2847</v>
      </c>
      <c r="K1842" s="55" t="s">
        <v>174</v>
      </c>
      <c r="L1842" s="55" t="s">
        <v>2848</v>
      </c>
      <c r="M1842" s="55" t="s">
        <v>136</v>
      </c>
      <c r="N1842" s="55" t="s">
        <v>136</v>
      </c>
      <c r="O1842" s="55" t="s">
        <v>174</v>
      </c>
      <c r="P1842" s="55" t="s">
        <v>572</v>
      </c>
      <c r="Q1842" s="55" t="s">
        <v>362</v>
      </c>
      <c r="R1842" s="55">
        <v>24</v>
      </c>
      <c r="S1842" s="55"/>
      <c r="T1842" s="55" t="s">
        <v>1797</v>
      </c>
    </row>
    <row r="1843" spans="1:20" ht="13" x14ac:dyDescent="0.15">
      <c r="A1843" s="72" t="str">
        <f t="shared" si="28"/>
        <v>Ofsted Social Care Provider Webpage</v>
      </c>
      <c r="B1843" s="55" t="s">
        <v>2849</v>
      </c>
      <c r="C1843" s="55">
        <v>113652</v>
      </c>
      <c r="D1843" s="55" t="s">
        <v>413</v>
      </c>
      <c r="E1843" s="74">
        <v>37305</v>
      </c>
      <c r="F1843" s="55" t="s">
        <v>344</v>
      </c>
      <c r="G1843" s="55" t="s">
        <v>2850</v>
      </c>
      <c r="H1843" s="55" t="s">
        <v>2850</v>
      </c>
      <c r="I1843" s="55" t="s">
        <v>2851</v>
      </c>
      <c r="J1843" s="55" t="s">
        <v>2852</v>
      </c>
      <c r="L1843" s="55" t="s">
        <v>2853</v>
      </c>
      <c r="M1843" s="55" t="s">
        <v>136</v>
      </c>
      <c r="N1843" s="55" t="s">
        <v>136</v>
      </c>
      <c r="O1843" s="55" t="s">
        <v>174</v>
      </c>
      <c r="P1843" s="55" t="s">
        <v>572</v>
      </c>
      <c r="Q1843" s="55" t="s">
        <v>362</v>
      </c>
      <c r="R1843" s="55">
        <v>30</v>
      </c>
      <c r="S1843" s="55"/>
      <c r="T1843" s="55" t="s">
        <v>2850</v>
      </c>
    </row>
    <row r="1844" spans="1:20" ht="13" x14ac:dyDescent="0.15">
      <c r="A1844" s="72" t="str">
        <f t="shared" si="28"/>
        <v>Ofsted Social Care Provider Webpage</v>
      </c>
      <c r="B1844" s="55" t="s">
        <v>2854</v>
      </c>
      <c r="C1844" s="55">
        <v>131552</v>
      </c>
      <c r="D1844" s="55" t="s">
        <v>413</v>
      </c>
      <c r="E1844" s="74">
        <v>37305</v>
      </c>
      <c r="F1844" s="55" t="s">
        <v>344</v>
      </c>
      <c r="G1844" s="55" t="s">
        <v>2855</v>
      </c>
      <c r="H1844" s="55" t="s">
        <v>1525</v>
      </c>
      <c r="I1844" s="55" t="s">
        <v>2856</v>
      </c>
      <c r="J1844" s="55" t="s">
        <v>2857</v>
      </c>
      <c r="K1844" s="55" t="s">
        <v>174</v>
      </c>
      <c r="L1844" s="55" t="s">
        <v>2858</v>
      </c>
      <c r="M1844" s="55" t="s">
        <v>136</v>
      </c>
      <c r="N1844" s="55" t="s">
        <v>136</v>
      </c>
      <c r="O1844" s="55" t="s">
        <v>174</v>
      </c>
      <c r="P1844" s="55" t="s">
        <v>857</v>
      </c>
      <c r="Q1844" s="55" t="s">
        <v>380</v>
      </c>
      <c r="R1844" s="55">
        <v>40</v>
      </c>
      <c r="S1844" s="55"/>
      <c r="T1844" s="55" t="s">
        <v>1525</v>
      </c>
    </row>
    <row r="1845" spans="1:20" ht="13" x14ac:dyDescent="0.15">
      <c r="A1845" s="72" t="str">
        <f t="shared" si="28"/>
        <v>Ofsted Social Care Provider Webpage</v>
      </c>
      <c r="B1845" s="55" t="s">
        <v>2859</v>
      </c>
      <c r="D1845" s="55" t="s">
        <v>373</v>
      </c>
      <c r="E1845" s="74">
        <v>37092</v>
      </c>
      <c r="F1845" s="55" t="s">
        <v>344</v>
      </c>
      <c r="G1845" s="55" t="s">
        <v>360</v>
      </c>
      <c r="H1845" s="55" t="s">
        <v>360</v>
      </c>
      <c r="I1845" s="55" t="s">
        <v>360</v>
      </c>
      <c r="J1845" s="55" t="s">
        <v>360</v>
      </c>
      <c r="K1845" s="55" t="s">
        <v>360</v>
      </c>
      <c r="L1845" s="55" t="s">
        <v>360</v>
      </c>
      <c r="M1845" s="55" t="s">
        <v>144</v>
      </c>
      <c r="N1845" s="55" t="s">
        <v>144</v>
      </c>
      <c r="O1845" s="55" t="s">
        <v>261</v>
      </c>
      <c r="P1845" s="55" t="s">
        <v>512</v>
      </c>
      <c r="Q1845" s="55" t="s">
        <v>350</v>
      </c>
      <c r="R1845" s="55">
        <v>1</v>
      </c>
      <c r="S1845" s="55"/>
      <c r="T1845" s="55" t="s">
        <v>2860</v>
      </c>
    </row>
    <row r="1846" spans="1:20" ht="13" x14ac:dyDescent="0.15">
      <c r="A1846" s="72" t="str">
        <f t="shared" si="28"/>
        <v>Ofsted Social Care Provider Webpage</v>
      </c>
      <c r="B1846" s="55" t="s">
        <v>2861</v>
      </c>
      <c r="D1846" s="55" t="s">
        <v>373</v>
      </c>
      <c r="E1846" s="74">
        <v>37092</v>
      </c>
      <c r="F1846" s="55" t="s">
        <v>344</v>
      </c>
      <c r="G1846" s="55" t="s">
        <v>360</v>
      </c>
      <c r="H1846" s="55" t="s">
        <v>360</v>
      </c>
      <c r="I1846" s="55" t="s">
        <v>360</v>
      </c>
      <c r="J1846" s="55" t="s">
        <v>360</v>
      </c>
      <c r="K1846" s="55" t="s">
        <v>360</v>
      </c>
      <c r="L1846" s="55" t="s">
        <v>360</v>
      </c>
      <c r="M1846" s="55" t="s">
        <v>144</v>
      </c>
      <c r="N1846" s="55" t="s">
        <v>144</v>
      </c>
      <c r="O1846" s="55" t="s">
        <v>261</v>
      </c>
      <c r="P1846" s="55" t="s">
        <v>512</v>
      </c>
      <c r="Q1846" s="55" t="s">
        <v>350</v>
      </c>
      <c r="R1846" s="55">
        <v>1</v>
      </c>
      <c r="S1846" s="55"/>
      <c r="T1846" s="55" t="s">
        <v>2860</v>
      </c>
    </row>
    <row r="1847" spans="1:20" ht="13" x14ac:dyDescent="0.15">
      <c r="A1847" s="72" t="str">
        <f t="shared" si="28"/>
        <v>Ofsted Social Care Provider Webpage</v>
      </c>
      <c r="B1847" s="55" t="s">
        <v>2862</v>
      </c>
      <c r="D1847" s="55" t="s">
        <v>373</v>
      </c>
      <c r="E1847" s="74">
        <v>37305</v>
      </c>
      <c r="F1847" s="55" t="s">
        <v>344</v>
      </c>
      <c r="G1847" s="55" t="s">
        <v>360</v>
      </c>
      <c r="H1847" s="55" t="s">
        <v>360</v>
      </c>
      <c r="I1847" s="55" t="s">
        <v>360</v>
      </c>
      <c r="J1847" s="55" t="s">
        <v>360</v>
      </c>
      <c r="K1847" s="55" t="s">
        <v>360</v>
      </c>
      <c r="L1847" s="55" t="s">
        <v>360</v>
      </c>
      <c r="M1847" s="55" t="s">
        <v>144</v>
      </c>
      <c r="N1847" s="55" t="s">
        <v>144</v>
      </c>
      <c r="O1847" s="55" t="s">
        <v>261</v>
      </c>
      <c r="P1847" s="55" t="s">
        <v>512</v>
      </c>
      <c r="Q1847" s="55" t="s">
        <v>362</v>
      </c>
      <c r="R1847" s="55">
        <v>3</v>
      </c>
      <c r="S1847" s="55"/>
      <c r="T1847" s="55" t="s">
        <v>2360</v>
      </c>
    </row>
    <row r="1848" spans="1:20" ht="13" x14ac:dyDescent="0.15">
      <c r="A1848" s="72" t="str">
        <f t="shared" si="28"/>
        <v>Ofsted Social Care Provider Webpage</v>
      </c>
      <c r="B1848" s="55" t="s">
        <v>2863</v>
      </c>
      <c r="D1848" s="55" t="s">
        <v>2864</v>
      </c>
      <c r="E1848" s="74">
        <v>37305</v>
      </c>
      <c r="F1848" s="55" t="s">
        <v>344</v>
      </c>
      <c r="G1848" s="55" t="s">
        <v>360</v>
      </c>
      <c r="H1848" s="55" t="s">
        <v>360</v>
      </c>
      <c r="I1848" s="55" t="s">
        <v>360</v>
      </c>
      <c r="J1848" s="55" t="s">
        <v>360</v>
      </c>
      <c r="K1848" s="55" t="s">
        <v>360</v>
      </c>
      <c r="L1848" s="55" t="s">
        <v>360</v>
      </c>
      <c r="M1848" s="55" t="s">
        <v>144</v>
      </c>
      <c r="N1848" s="55" t="s">
        <v>144</v>
      </c>
      <c r="O1848" s="55" t="s">
        <v>261</v>
      </c>
      <c r="P1848" s="55" t="s">
        <v>512</v>
      </c>
      <c r="Q1848" s="55" t="s">
        <v>362</v>
      </c>
      <c r="R1848" s="55">
        <v>12</v>
      </c>
      <c r="S1848" s="55"/>
      <c r="T1848" s="55" t="s">
        <v>2360</v>
      </c>
    </row>
    <row r="1849" spans="1:20" ht="13" x14ac:dyDescent="0.15">
      <c r="A1849" s="72" t="str">
        <f t="shared" si="28"/>
        <v>Ofsted Social Care Provider Webpage</v>
      </c>
      <c r="B1849" s="55" t="s">
        <v>2865</v>
      </c>
      <c r="D1849" s="55" t="s">
        <v>373</v>
      </c>
      <c r="E1849" s="74">
        <v>37305</v>
      </c>
      <c r="F1849" s="55" t="s">
        <v>344</v>
      </c>
      <c r="G1849" s="55" t="s">
        <v>360</v>
      </c>
      <c r="H1849" s="55" t="s">
        <v>360</v>
      </c>
      <c r="I1849" s="55" t="s">
        <v>360</v>
      </c>
      <c r="J1849" s="55" t="s">
        <v>360</v>
      </c>
      <c r="K1849" s="55" t="s">
        <v>360</v>
      </c>
      <c r="L1849" s="55" t="s">
        <v>360</v>
      </c>
      <c r="M1849" s="55" t="s">
        <v>144</v>
      </c>
      <c r="N1849" s="55" t="s">
        <v>144</v>
      </c>
      <c r="O1849" s="55" t="s">
        <v>261</v>
      </c>
      <c r="P1849" s="55" t="s">
        <v>792</v>
      </c>
      <c r="Q1849" s="55" t="s">
        <v>350</v>
      </c>
      <c r="R1849" s="55">
        <v>1</v>
      </c>
      <c r="S1849" s="55"/>
      <c r="T1849" s="55" t="s">
        <v>2860</v>
      </c>
    </row>
    <row r="1850" spans="1:20" ht="13" x14ac:dyDescent="0.15">
      <c r="A1850" s="72" t="str">
        <f t="shared" si="28"/>
        <v>Ofsted Social Care Provider Webpage</v>
      </c>
      <c r="B1850" s="55" t="s">
        <v>2866</v>
      </c>
      <c r="C1850" s="55">
        <v>137934</v>
      </c>
      <c r="D1850" s="55" t="s">
        <v>413</v>
      </c>
      <c r="E1850" s="74">
        <v>37305</v>
      </c>
      <c r="F1850" s="55" t="s">
        <v>344</v>
      </c>
      <c r="G1850" s="55" t="s">
        <v>2867</v>
      </c>
      <c r="H1850" s="55" t="s">
        <v>2867</v>
      </c>
      <c r="I1850" s="55" t="s">
        <v>2868</v>
      </c>
      <c r="J1850" s="55" t="s">
        <v>2094</v>
      </c>
      <c r="K1850" s="55" t="s">
        <v>156</v>
      </c>
      <c r="L1850" s="55" t="s">
        <v>2869</v>
      </c>
      <c r="M1850" s="55" t="s">
        <v>150</v>
      </c>
      <c r="N1850" s="55" t="s">
        <v>150</v>
      </c>
      <c r="O1850" s="55" t="s">
        <v>156</v>
      </c>
      <c r="P1850" s="55" t="s">
        <v>2870</v>
      </c>
      <c r="Q1850" s="55" t="s">
        <v>420</v>
      </c>
      <c r="R1850" s="55">
        <v>20</v>
      </c>
      <c r="S1850" s="55"/>
      <c r="T1850" s="55" t="s">
        <v>2867</v>
      </c>
    </row>
    <row r="1851" spans="1:20" ht="13" x14ac:dyDescent="0.15">
      <c r="A1851" s="72" t="str">
        <f t="shared" si="28"/>
        <v>Ofsted Social Care Provider Webpage</v>
      </c>
      <c r="B1851" s="55" t="s">
        <v>2871</v>
      </c>
      <c r="D1851" s="55" t="s">
        <v>373</v>
      </c>
      <c r="E1851" s="74">
        <v>37224</v>
      </c>
      <c r="F1851" s="55" t="s">
        <v>344</v>
      </c>
      <c r="G1851" s="55" t="s">
        <v>360</v>
      </c>
      <c r="H1851" s="55" t="s">
        <v>360</v>
      </c>
      <c r="I1851" s="55" t="s">
        <v>360</v>
      </c>
      <c r="J1851" s="55" t="s">
        <v>360</v>
      </c>
      <c r="K1851" s="55" t="s">
        <v>360</v>
      </c>
      <c r="L1851" s="55" t="s">
        <v>360</v>
      </c>
      <c r="M1851" s="55" t="s">
        <v>150</v>
      </c>
      <c r="N1851" s="55" t="s">
        <v>150</v>
      </c>
      <c r="O1851" s="55" t="s">
        <v>203</v>
      </c>
      <c r="P1851" s="55" t="s">
        <v>1038</v>
      </c>
      <c r="Q1851" s="55" t="s">
        <v>362</v>
      </c>
      <c r="R1851" s="55">
        <v>10</v>
      </c>
      <c r="S1851" s="55"/>
      <c r="T1851" s="55" t="s">
        <v>1119</v>
      </c>
    </row>
    <row r="1852" spans="1:20" ht="13" x14ac:dyDescent="0.15">
      <c r="A1852" s="72" t="str">
        <f t="shared" si="28"/>
        <v>Ofsted Social Care Provider Webpage</v>
      </c>
      <c r="B1852" s="55" t="s">
        <v>2872</v>
      </c>
      <c r="D1852" s="55" t="s">
        <v>373</v>
      </c>
      <c r="E1852" s="74">
        <v>37091</v>
      </c>
      <c r="F1852" s="55" t="s">
        <v>344</v>
      </c>
      <c r="G1852" s="55" t="s">
        <v>360</v>
      </c>
      <c r="H1852" s="55" t="s">
        <v>360</v>
      </c>
      <c r="I1852" s="55" t="s">
        <v>360</v>
      </c>
      <c r="J1852" s="55" t="s">
        <v>360</v>
      </c>
      <c r="K1852" s="55" t="s">
        <v>360</v>
      </c>
      <c r="L1852" s="55" t="s">
        <v>360</v>
      </c>
      <c r="M1852" s="55" t="s">
        <v>150</v>
      </c>
      <c r="N1852" s="55" t="s">
        <v>150</v>
      </c>
      <c r="O1852" s="55" t="s">
        <v>203</v>
      </c>
      <c r="P1852" s="55" t="s">
        <v>1268</v>
      </c>
      <c r="Q1852" s="55" t="s">
        <v>350</v>
      </c>
      <c r="R1852" s="55">
        <v>8</v>
      </c>
      <c r="S1852" s="55"/>
      <c r="T1852" s="55" t="s">
        <v>2873</v>
      </c>
    </row>
    <row r="1853" spans="1:20" ht="13" x14ac:dyDescent="0.15">
      <c r="A1853" s="72" t="str">
        <f t="shared" si="28"/>
        <v>Ofsted Social Care Provider Webpage</v>
      </c>
      <c r="B1853" s="55" t="s">
        <v>2874</v>
      </c>
      <c r="D1853" s="55" t="s">
        <v>373</v>
      </c>
      <c r="E1853" s="74">
        <v>36712</v>
      </c>
      <c r="F1853" s="55" t="s">
        <v>344</v>
      </c>
      <c r="G1853" s="55" t="s">
        <v>360</v>
      </c>
      <c r="H1853" s="55" t="s">
        <v>360</v>
      </c>
      <c r="I1853" s="55" t="s">
        <v>360</v>
      </c>
      <c r="J1853" s="55" t="s">
        <v>360</v>
      </c>
      <c r="K1853" s="55" t="s">
        <v>360</v>
      </c>
      <c r="L1853" s="55" t="s">
        <v>360</v>
      </c>
      <c r="M1853" s="55" t="s">
        <v>150</v>
      </c>
      <c r="N1853" s="55" t="s">
        <v>150</v>
      </c>
      <c r="O1853" s="55" t="s">
        <v>203</v>
      </c>
      <c r="P1853" s="55" t="s">
        <v>1263</v>
      </c>
      <c r="Q1853" s="55" t="s">
        <v>350</v>
      </c>
      <c r="R1853" s="55">
        <v>7</v>
      </c>
      <c r="S1853" s="55"/>
      <c r="T1853" s="55" t="s">
        <v>483</v>
      </c>
    </row>
    <row r="1854" spans="1:20" ht="13" x14ac:dyDescent="0.15">
      <c r="A1854" s="72" t="str">
        <f t="shared" si="28"/>
        <v>Ofsted Social Care Provider Webpage</v>
      </c>
      <c r="B1854" s="55" t="s">
        <v>2875</v>
      </c>
      <c r="D1854" s="55" t="s">
        <v>373</v>
      </c>
      <c r="E1854" s="74">
        <v>35982</v>
      </c>
      <c r="F1854" s="55" t="s">
        <v>344</v>
      </c>
      <c r="G1854" s="55" t="s">
        <v>360</v>
      </c>
      <c r="H1854" s="55" t="s">
        <v>360</v>
      </c>
      <c r="I1854" s="55" t="s">
        <v>360</v>
      </c>
      <c r="J1854" s="55" t="s">
        <v>360</v>
      </c>
      <c r="K1854" s="55" t="s">
        <v>360</v>
      </c>
      <c r="L1854" s="55" t="s">
        <v>360</v>
      </c>
      <c r="M1854" s="55" t="s">
        <v>150</v>
      </c>
      <c r="N1854" s="55" t="s">
        <v>150</v>
      </c>
      <c r="O1854" s="55" t="s">
        <v>203</v>
      </c>
      <c r="P1854" s="55" t="s">
        <v>800</v>
      </c>
      <c r="Q1854" s="55" t="s">
        <v>350</v>
      </c>
      <c r="R1854" s="55">
        <v>7</v>
      </c>
      <c r="S1854" s="55"/>
      <c r="T1854" s="55" t="s">
        <v>483</v>
      </c>
    </row>
    <row r="1855" spans="1:20" ht="13" x14ac:dyDescent="0.15">
      <c r="A1855" s="72" t="str">
        <f t="shared" si="28"/>
        <v>Ofsted Social Care Provider Webpage</v>
      </c>
      <c r="B1855" s="55" t="s">
        <v>2876</v>
      </c>
      <c r="D1855" s="55" t="s">
        <v>373</v>
      </c>
      <c r="E1855" s="74">
        <v>34684</v>
      </c>
      <c r="F1855" s="55" t="s">
        <v>344</v>
      </c>
      <c r="G1855" s="55" t="s">
        <v>360</v>
      </c>
      <c r="H1855" s="55" t="s">
        <v>360</v>
      </c>
      <c r="I1855" s="55" t="s">
        <v>360</v>
      </c>
      <c r="J1855" s="55" t="s">
        <v>360</v>
      </c>
      <c r="K1855" s="55" t="s">
        <v>360</v>
      </c>
      <c r="L1855" s="55" t="s">
        <v>360</v>
      </c>
      <c r="M1855" s="55" t="s">
        <v>150</v>
      </c>
      <c r="N1855" s="55" t="s">
        <v>150</v>
      </c>
      <c r="O1855" s="55" t="s">
        <v>203</v>
      </c>
      <c r="P1855" s="55" t="s">
        <v>1038</v>
      </c>
      <c r="Q1855" s="55" t="s">
        <v>350</v>
      </c>
      <c r="R1855" s="55">
        <v>8</v>
      </c>
      <c r="S1855" s="55"/>
      <c r="T1855" s="55" t="s">
        <v>2877</v>
      </c>
    </row>
    <row r="1856" spans="1:20" ht="13" x14ac:dyDescent="0.15">
      <c r="A1856" s="72" t="str">
        <f t="shared" si="28"/>
        <v>Ofsted Social Care Provider Webpage</v>
      </c>
      <c r="B1856" s="55" t="s">
        <v>2878</v>
      </c>
      <c r="C1856" s="55">
        <v>136177</v>
      </c>
      <c r="D1856" s="55" t="s">
        <v>398</v>
      </c>
      <c r="E1856" s="74">
        <v>37305</v>
      </c>
      <c r="F1856" s="55" t="s">
        <v>344</v>
      </c>
      <c r="G1856" s="55" t="s">
        <v>2879</v>
      </c>
      <c r="H1856" s="55" t="s">
        <v>2880</v>
      </c>
      <c r="I1856" s="55" t="s">
        <v>2881</v>
      </c>
      <c r="J1856" s="55" t="s">
        <v>593</v>
      </c>
      <c r="K1856" s="55" t="s">
        <v>203</v>
      </c>
      <c r="L1856" s="55" t="s">
        <v>2882</v>
      </c>
      <c r="M1856" s="55" t="s">
        <v>150</v>
      </c>
      <c r="N1856" s="55" t="s">
        <v>150</v>
      </c>
      <c r="O1856" s="55" t="s">
        <v>203</v>
      </c>
      <c r="P1856" s="55" t="s">
        <v>593</v>
      </c>
      <c r="Q1856" s="55" t="s">
        <v>420</v>
      </c>
      <c r="R1856" s="55">
        <v>499</v>
      </c>
      <c r="S1856" s="55"/>
      <c r="T1856" s="55" t="s">
        <v>2883</v>
      </c>
    </row>
    <row r="1857" spans="1:20" ht="13" x14ac:dyDescent="0.15">
      <c r="A1857" s="72" t="str">
        <f t="shared" si="28"/>
        <v>Ofsted Social Care Provider Webpage</v>
      </c>
      <c r="B1857" s="55" t="s">
        <v>2884</v>
      </c>
      <c r="C1857" s="55">
        <v>119056</v>
      </c>
      <c r="D1857" s="55" t="s">
        <v>413</v>
      </c>
      <c r="E1857" s="74">
        <v>37305</v>
      </c>
      <c r="F1857" s="55" t="s">
        <v>344</v>
      </c>
      <c r="G1857" s="55" t="s">
        <v>2885</v>
      </c>
      <c r="H1857" s="55" t="s">
        <v>2886</v>
      </c>
      <c r="I1857" s="55" t="s">
        <v>2887</v>
      </c>
      <c r="J1857" s="55" t="s">
        <v>2888</v>
      </c>
      <c r="K1857" s="55" t="s">
        <v>203</v>
      </c>
      <c r="L1857" s="55" t="s">
        <v>2889</v>
      </c>
      <c r="M1857" s="55" t="s">
        <v>150</v>
      </c>
      <c r="N1857" s="55" t="s">
        <v>150</v>
      </c>
      <c r="O1857" s="55" t="s">
        <v>203</v>
      </c>
      <c r="P1857" s="55" t="s">
        <v>1263</v>
      </c>
      <c r="Q1857" s="55" t="s">
        <v>380</v>
      </c>
      <c r="R1857" s="55">
        <v>19</v>
      </c>
      <c r="S1857" s="55"/>
      <c r="T1857" s="55" t="s">
        <v>1547</v>
      </c>
    </row>
    <row r="1858" spans="1:20" ht="13" x14ac:dyDescent="0.15">
      <c r="A1858" s="72" t="str">
        <f t="shared" si="28"/>
        <v>Ofsted Social Care Provider Webpage</v>
      </c>
      <c r="B1858" s="55" t="s">
        <v>2890</v>
      </c>
      <c r="D1858" s="55" t="s">
        <v>373</v>
      </c>
      <c r="E1858" s="74">
        <v>37089</v>
      </c>
      <c r="F1858" s="55" t="s">
        <v>344</v>
      </c>
      <c r="G1858" s="55" t="s">
        <v>360</v>
      </c>
      <c r="H1858" s="55" t="s">
        <v>360</v>
      </c>
      <c r="I1858" s="55" t="s">
        <v>360</v>
      </c>
      <c r="J1858" s="55" t="s">
        <v>360</v>
      </c>
      <c r="K1858" s="55" t="s">
        <v>360</v>
      </c>
      <c r="L1858" s="55" t="s">
        <v>360</v>
      </c>
      <c r="M1858" s="55" t="s">
        <v>150</v>
      </c>
      <c r="N1858" s="55" t="s">
        <v>150</v>
      </c>
      <c r="O1858" s="55" t="s">
        <v>203</v>
      </c>
      <c r="P1858" s="55" t="s">
        <v>800</v>
      </c>
      <c r="Q1858" s="55" t="s">
        <v>350</v>
      </c>
      <c r="R1858" s="55">
        <v>3</v>
      </c>
      <c r="S1858" s="55"/>
      <c r="T1858" s="55" t="s">
        <v>2891</v>
      </c>
    </row>
    <row r="1859" spans="1:20" ht="13" x14ac:dyDescent="0.15">
      <c r="A1859" s="72" t="str">
        <f t="shared" si="28"/>
        <v>Ofsted Social Care Provider Webpage</v>
      </c>
      <c r="B1859" s="55" t="s">
        <v>2892</v>
      </c>
      <c r="D1859" s="55" t="s">
        <v>373</v>
      </c>
      <c r="E1859" s="74">
        <v>37068</v>
      </c>
      <c r="F1859" s="55" t="s">
        <v>344</v>
      </c>
      <c r="G1859" s="55" t="s">
        <v>360</v>
      </c>
      <c r="H1859" s="55" t="s">
        <v>360</v>
      </c>
      <c r="I1859" s="55" t="s">
        <v>360</v>
      </c>
      <c r="J1859" s="55" t="s">
        <v>360</v>
      </c>
      <c r="K1859" s="55" t="s">
        <v>360</v>
      </c>
      <c r="L1859" s="55" t="s">
        <v>360</v>
      </c>
      <c r="M1859" s="55" t="s">
        <v>150</v>
      </c>
      <c r="N1859" s="55" t="s">
        <v>150</v>
      </c>
      <c r="O1859" s="55" t="s">
        <v>203</v>
      </c>
      <c r="P1859" s="55" t="s">
        <v>800</v>
      </c>
      <c r="Q1859" s="55" t="s">
        <v>350</v>
      </c>
      <c r="R1859" s="55">
        <v>3</v>
      </c>
      <c r="S1859" s="55"/>
      <c r="T1859" s="55" t="s">
        <v>2891</v>
      </c>
    </row>
    <row r="1860" spans="1:20" ht="13" x14ac:dyDescent="0.15">
      <c r="A1860" s="72" t="str">
        <f t="shared" si="28"/>
        <v>Ofsted Social Care Provider Webpage</v>
      </c>
      <c r="B1860" s="55" t="s">
        <v>2893</v>
      </c>
      <c r="D1860" s="55" t="s">
        <v>373</v>
      </c>
      <c r="E1860" s="74">
        <v>37083</v>
      </c>
      <c r="F1860" s="55" t="s">
        <v>344</v>
      </c>
      <c r="G1860" s="55" t="s">
        <v>360</v>
      </c>
      <c r="H1860" s="55" t="s">
        <v>360</v>
      </c>
      <c r="I1860" s="55" t="s">
        <v>360</v>
      </c>
      <c r="J1860" s="55" t="s">
        <v>360</v>
      </c>
      <c r="K1860" s="55" t="s">
        <v>360</v>
      </c>
      <c r="L1860" s="55" t="s">
        <v>360</v>
      </c>
      <c r="M1860" s="55" t="s">
        <v>150</v>
      </c>
      <c r="N1860" s="55" t="s">
        <v>150</v>
      </c>
      <c r="O1860" s="55" t="s">
        <v>203</v>
      </c>
      <c r="P1860" s="55" t="s">
        <v>1263</v>
      </c>
      <c r="Q1860" s="55" t="s">
        <v>350</v>
      </c>
      <c r="R1860" s="55">
        <v>3</v>
      </c>
      <c r="S1860" s="55"/>
      <c r="T1860" s="55" t="s">
        <v>2891</v>
      </c>
    </row>
    <row r="1861" spans="1:20" ht="13" x14ac:dyDescent="0.15">
      <c r="A1861" s="72" t="str">
        <f t="shared" ref="A1861:A1924" si="29">HYPERLINK(_xlfn.CONCAT("http://reports.ofsted.gov.uk/inspection-reports/find-inspection-report/provider/CARE/",B1861),"Ofsted Social Care Provider Webpage")</f>
        <v>Ofsted Social Care Provider Webpage</v>
      </c>
      <c r="B1861" s="55" t="s">
        <v>2894</v>
      </c>
      <c r="D1861" s="55" t="s">
        <v>373</v>
      </c>
      <c r="E1861" s="74">
        <v>37089</v>
      </c>
      <c r="F1861" s="55" t="s">
        <v>344</v>
      </c>
      <c r="G1861" s="55" t="s">
        <v>360</v>
      </c>
      <c r="H1861" s="55" t="s">
        <v>360</v>
      </c>
      <c r="I1861" s="55" t="s">
        <v>360</v>
      </c>
      <c r="J1861" s="55" t="s">
        <v>360</v>
      </c>
      <c r="K1861" s="55" t="s">
        <v>360</v>
      </c>
      <c r="L1861" s="55" t="s">
        <v>360</v>
      </c>
      <c r="M1861" s="55" t="s">
        <v>150</v>
      </c>
      <c r="N1861" s="55" t="s">
        <v>150</v>
      </c>
      <c r="O1861" s="55" t="s">
        <v>203</v>
      </c>
      <c r="P1861" s="55" t="s">
        <v>800</v>
      </c>
      <c r="Q1861" s="55" t="s">
        <v>350</v>
      </c>
      <c r="R1861" s="55">
        <v>3</v>
      </c>
      <c r="S1861" s="55"/>
      <c r="T1861" s="55" t="s">
        <v>2891</v>
      </c>
    </row>
    <row r="1862" spans="1:20" ht="13" x14ac:dyDescent="0.15">
      <c r="A1862" s="72" t="str">
        <f t="shared" si="29"/>
        <v>Ofsted Social Care Provider Webpage</v>
      </c>
      <c r="B1862" s="55" t="s">
        <v>2895</v>
      </c>
      <c r="D1862" s="55" t="s">
        <v>373</v>
      </c>
      <c r="E1862" s="74">
        <v>37068</v>
      </c>
      <c r="F1862" s="55" t="s">
        <v>344</v>
      </c>
      <c r="G1862" s="55" t="s">
        <v>360</v>
      </c>
      <c r="H1862" s="55" t="s">
        <v>360</v>
      </c>
      <c r="I1862" s="55" t="s">
        <v>360</v>
      </c>
      <c r="J1862" s="55" t="s">
        <v>360</v>
      </c>
      <c r="K1862" s="55" t="s">
        <v>360</v>
      </c>
      <c r="L1862" s="55" t="s">
        <v>360</v>
      </c>
      <c r="M1862" s="55" t="s">
        <v>150</v>
      </c>
      <c r="N1862" s="55" t="s">
        <v>150</v>
      </c>
      <c r="O1862" s="55" t="s">
        <v>203</v>
      </c>
      <c r="P1862" s="55" t="s">
        <v>800</v>
      </c>
      <c r="Q1862" s="55" t="s">
        <v>350</v>
      </c>
      <c r="R1862" s="55">
        <v>3</v>
      </c>
      <c r="S1862" s="55"/>
      <c r="T1862" s="55" t="s">
        <v>2891</v>
      </c>
    </row>
    <row r="1863" spans="1:20" ht="13" x14ac:dyDescent="0.15">
      <c r="A1863" s="72" t="str">
        <f t="shared" si="29"/>
        <v>Ofsted Social Care Provider Webpage</v>
      </c>
      <c r="B1863" s="55" t="s">
        <v>2896</v>
      </c>
      <c r="D1863" s="55" t="s">
        <v>373</v>
      </c>
      <c r="E1863" s="74">
        <v>37068</v>
      </c>
      <c r="F1863" s="55" t="s">
        <v>344</v>
      </c>
      <c r="G1863" s="55" t="s">
        <v>360</v>
      </c>
      <c r="H1863" s="55" t="s">
        <v>360</v>
      </c>
      <c r="I1863" s="55" t="s">
        <v>360</v>
      </c>
      <c r="J1863" s="55" t="s">
        <v>360</v>
      </c>
      <c r="K1863" s="55" t="s">
        <v>360</v>
      </c>
      <c r="L1863" s="55" t="s">
        <v>360</v>
      </c>
      <c r="M1863" s="55" t="s">
        <v>150</v>
      </c>
      <c r="N1863" s="55" t="s">
        <v>150</v>
      </c>
      <c r="O1863" s="55" t="s">
        <v>203</v>
      </c>
      <c r="P1863" s="55" t="s">
        <v>1263</v>
      </c>
      <c r="Q1863" s="55" t="s">
        <v>350</v>
      </c>
      <c r="R1863" s="55">
        <v>3</v>
      </c>
      <c r="S1863" s="55"/>
      <c r="T1863" s="55" t="s">
        <v>2891</v>
      </c>
    </row>
    <row r="1864" spans="1:20" ht="13" x14ac:dyDescent="0.15">
      <c r="A1864" s="72" t="str">
        <f t="shared" si="29"/>
        <v>Ofsted Social Care Provider Webpage</v>
      </c>
      <c r="B1864" s="55" t="s">
        <v>2897</v>
      </c>
      <c r="D1864" s="55" t="s">
        <v>373</v>
      </c>
      <c r="E1864" s="74">
        <v>37088</v>
      </c>
      <c r="F1864" s="55" t="s">
        <v>344</v>
      </c>
      <c r="G1864" s="55" t="s">
        <v>360</v>
      </c>
      <c r="H1864" s="55" t="s">
        <v>360</v>
      </c>
      <c r="I1864" s="55" t="s">
        <v>360</v>
      </c>
      <c r="J1864" s="55" t="s">
        <v>360</v>
      </c>
      <c r="K1864" s="55" t="s">
        <v>360</v>
      </c>
      <c r="L1864" s="55" t="s">
        <v>360</v>
      </c>
      <c r="M1864" s="55" t="s">
        <v>150</v>
      </c>
      <c r="N1864" s="55" t="s">
        <v>150</v>
      </c>
      <c r="O1864" s="55" t="s">
        <v>203</v>
      </c>
      <c r="P1864" s="55" t="s">
        <v>1263</v>
      </c>
      <c r="Q1864" s="55" t="s">
        <v>350</v>
      </c>
      <c r="R1864" s="55">
        <v>3</v>
      </c>
      <c r="S1864" s="55"/>
      <c r="T1864" s="55" t="s">
        <v>2891</v>
      </c>
    </row>
    <row r="1865" spans="1:20" ht="13" x14ac:dyDescent="0.15">
      <c r="A1865" s="72" t="str">
        <f t="shared" si="29"/>
        <v>Ofsted Social Care Provider Webpage</v>
      </c>
      <c r="B1865" s="55" t="s">
        <v>2898</v>
      </c>
      <c r="D1865" s="55" t="s">
        <v>373</v>
      </c>
      <c r="E1865" s="74">
        <v>37068</v>
      </c>
      <c r="F1865" s="55" t="s">
        <v>344</v>
      </c>
      <c r="G1865" s="55" t="s">
        <v>360</v>
      </c>
      <c r="H1865" s="55" t="s">
        <v>360</v>
      </c>
      <c r="I1865" s="55" t="s">
        <v>360</v>
      </c>
      <c r="J1865" s="55" t="s">
        <v>360</v>
      </c>
      <c r="K1865" s="55" t="s">
        <v>360</v>
      </c>
      <c r="L1865" s="55" t="s">
        <v>360</v>
      </c>
      <c r="M1865" s="55" t="s">
        <v>150</v>
      </c>
      <c r="N1865" s="55" t="s">
        <v>150</v>
      </c>
      <c r="O1865" s="55" t="s">
        <v>203</v>
      </c>
      <c r="P1865" s="55" t="s">
        <v>1263</v>
      </c>
      <c r="Q1865" s="55" t="s">
        <v>350</v>
      </c>
      <c r="R1865" s="55">
        <v>3</v>
      </c>
      <c r="S1865" s="55"/>
      <c r="T1865" s="55" t="s">
        <v>2891</v>
      </c>
    </row>
    <row r="1866" spans="1:20" ht="13" x14ac:dyDescent="0.15">
      <c r="A1866" s="72" t="str">
        <f t="shared" si="29"/>
        <v>Ofsted Social Care Provider Webpage</v>
      </c>
      <c r="B1866" s="55" t="s">
        <v>2899</v>
      </c>
      <c r="D1866" s="55" t="s">
        <v>373</v>
      </c>
      <c r="E1866" s="74">
        <v>37068</v>
      </c>
      <c r="F1866" s="55" t="s">
        <v>344</v>
      </c>
      <c r="G1866" s="55" t="s">
        <v>360</v>
      </c>
      <c r="H1866" s="55" t="s">
        <v>360</v>
      </c>
      <c r="I1866" s="55" t="s">
        <v>360</v>
      </c>
      <c r="J1866" s="55" t="s">
        <v>360</v>
      </c>
      <c r="K1866" s="55" t="s">
        <v>360</v>
      </c>
      <c r="L1866" s="55" t="s">
        <v>360</v>
      </c>
      <c r="M1866" s="55" t="s">
        <v>150</v>
      </c>
      <c r="N1866" s="55" t="s">
        <v>150</v>
      </c>
      <c r="O1866" s="55" t="s">
        <v>203</v>
      </c>
      <c r="P1866" s="55" t="s">
        <v>1263</v>
      </c>
      <c r="Q1866" s="55" t="s">
        <v>350</v>
      </c>
      <c r="R1866" s="55">
        <v>3</v>
      </c>
      <c r="S1866" s="55"/>
      <c r="T1866" s="55" t="s">
        <v>2891</v>
      </c>
    </row>
    <row r="1867" spans="1:20" ht="13" x14ac:dyDescent="0.15">
      <c r="A1867" s="72" t="str">
        <f t="shared" si="29"/>
        <v>Ofsted Social Care Provider Webpage</v>
      </c>
      <c r="B1867" s="55" t="s">
        <v>2900</v>
      </c>
      <c r="C1867" s="55">
        <v>131611</v>
      </c>
      <c r="D1867" s="55" t="s">
        <v>413</v>
      </c>
      <c r="E1867" s="74">
        <v>37305</v>
      </c>
      <c r="F1867" s="55" t="s">
        <v>344</v>
      </c>
      <c r="G1867" s="55" t="s">
        <v>2901</v>
      </c>
      <c r="H1867" s="55" t="s">
        <v>2902</v>
      </c>
      <c r="I1867" s="55" t="s">
        <v>2903</v>
      </c>
      <c r="J1867" s="55" t="s">
        <v>419</v>
      </c>
      <c r="K1867" s="55" t="s">
        <v>203</v>
      </c>
      <c r="L1867" s="55" t="s">
        <v>2904</v>
      </c>
      <c r="M1867" s="55" t="s">
        <v>150</v>
      </c>
      <c r="N1867" s="55" t="s">
        <v>150</v>
      </c>
      <c r="O1867" s="55" t="s">
        <v>203</v>
      </c>
      <c r="P1867" s="55" t="s">
        <v>419</v>
      </c>
      <c r="Q1867" s="55" t="s">
        <v>362</v>
      </c>
      <c r="R1867" s="55">
        <v>22</v>
      </c>
      <c r="S1867" s="55"/>
    </row>
    <row r="1868" spans="1:20" ht="13" x14ac:dyDescent="0.15">
      <c r="A1868" s="72" t="str">
        <f t="shared" si="29"/>
        <v>Ofsted Social Care Provider Webpage</v>
      </c>
      <c r="B1868" s="55" t="s">
        <v>2905</v>
      </c>
      <c r="D1868" s="55" t="s">
        <v>373</v>
      </c>
      <c r="E1868" s="74">
        <v>37064</v>
      </c>
      <c r="F1868" s="55" t="s">
        <v>344</v>
      </c>
      <c r="G1868" s="55" t="s">
        <v>360</v>
      </c>
      <c r="H1868" s="55" t="s">
        <v>360</v>
      </c>
      <c r="I1868" s="55" t="s">
        <v>360</v>
      </c>
      <c r="J1868" s="55" t="s">
        <v>360</v>
      </c>
      <c r="K1868" s="55" t="s">
        <v>360</v>
      </c>
      <c r="L1868" s="55" t="s">
        <v>360</v>
      </c>
      <c r="M1868" s="55" t="s">
        <v>150</v>
      </c>
      <c r="N1868" s="55" t="s">
        <v>150</v>
      </c>
      <c r="O1868" s="55" t="s">
        <v>203</v>
      </c>
      <c r="P1868" s="55" t="s">
        <v>563</v>
      </c>
      <c r="Q1868" s="55" t="s">
        <v>350</v>
      </c>
      <c r="R1868" s="55">
        <v>3</v>
      </c>
      <c r="S1868" s="55"/>
      <c r="T1868" s="55" t="s">
        <v>2906</v>
      </c>
    </row>
    <row r="1869" spans="1:20" ht="13" x14ac:dyDescent="0.15">
      <c r="A1869" s="72" t="str">
        <f t="shared" si="29"/>
        <v>Ofsted Social Care Provider Webpage</v>
      </c>
      <c r="B1869" s="55" t="s">
        <v>2907</v>
      </c>
      <c r="C1869" s="55">
        <v>137459</v>
      </c>
      <c r="D1869" s="55" t="s">
        <v>413</v>
      </c>
      <c r="E1869" s="74">
        <v>37305</v>
      </c>
      <c r="F1869" s="55" t="s">
        <v>344</v>
      </c>
      <c r="G1869" s="55" t="s">
        <v>2908</v>
      </c>
      <c r="H1869" s="55" t="s">
        <v>2908</v>
      </c>
      <c r="I1869" s="55" t="s">
        <v>2909</v>
      </c>
      <c r="J1869" s="55" t="s">
        <v>2910</v>
      </c>
      <c r="K1869" s="55" t="s">
        <v>266</v>
      </c>
      <c r="L1869" s="55" t="s">
        <v>2911</v>
      </c>
      <c r="M1869" s="55" t="s">
        <v>138</v>
      </c>
      <c r="N1869" s="55" t="s">
        <v>138</v>
      </c>
      <c r="O1869" s="55" t="s">
        <v>266</v>
      </c>
      <c r="P1869" s="55" t="s">
        <v>2912</v>
      </c>
      <c r="Q1869" s="55" t="s">
        <v>420</v>
      </c>
      <c r="R1869" s="55">
        <v>16</v>
      </c>
      <c r="S1869" s="55"/>
      <c r="T1869" s="55" t="s">
        <v>2908</v>
      </c>
    </row>
    <row r="1870" spans="1:20" ht="13" x14ac:dyDescent="0.15">
      <c r="A1870" s="72" t="str">
        <f t="shared" si="29"/>
        <v>Ofsted Social Care Provider Webpage</v>
      </c>
      <c r="B1870" s="55" t="s">
        <v>2913</v>
      </c>
      <c r="C1870" s="55">
        <v>124879</v>
      </c>
      <c r="D1870" s="55" t="s">
        <v>413</v>
      </c>
      <c r="E1870" s="74">
        <v>37305</v>
      </c>
      <c r="F1870" s="55" t="s">
        <v>344</v>
      </c>
      <c r="G1870" s="55" t="s">
        <v>2914</v>
      </c>
      <c r="H1870" s="55" t="s">
        <v>2914</v>
      </c>
      <c r="I1870" s="55" t="s">
        <v>2915</v>
      </c>
      <c r="J1870" s="55" t="s">
        <v>2916</v>
      </c>
      <c r="K1870" s="55" t="s">
        <v>266</v>
      </c>
      <c r="L1870" s="55" t="s">
        <v>2917</v>
      </c>
      <c r="M1870" s="55" t="s">
        <v>138</v>
      </c>
      <c r="N1870" s="55" t="s">
        <v>138</v>
      </c>
      <c r="O1870" s="55" t="s">
        <v>266</v>
      </c>
      <c r="P1870" s="55" t="s">
        <v>1522</v>
      </c>
      <c r="Q1870" s="55" t="s">
        <v>350</v>
      </c>
      <c r="R1870" s="55">
        <v>16</v>
      </c>
      <c r="S1870" s="55"/>
    </row>
    <row r="1871" spans="1:20" ht="13" x14ac:dyDescent="0.15">
      <c r="A1871" s="72" t="str">
        <f t="shared" si="29"/>
        <v>Ofsted Social Care Provider Webpage</v>
      </c>
      <c r="B1871" s="55" t="s">
        <v>2918</v>
      </c>
      <c r="C1871" s="55">
        <v>124899</v>
      </c>
      <c r="D1871" s="55" t="s">
        <v>398</v>
      </c>
      <c r="E1871" s="74">
        <v>37305</v>
      </c>
      <c r="F1871" s="55" t="s">
        <v>344</v>
      </c>
      <c r="G1871" s="55" t="s">
        <v>2919</v>
      </c>
      <c r="H1871" s="55" t="s">
        <v>2919</v>
      </c>
      <c r="I1871" s="55" t="s">
        <v>2920</v>
      </c>
      <c r="J1871" s="55" t="s">
        <v>2921</v>
      </c>
      <c r="K1871" s="55" t="s">
        <v>266</v>
      </c>
      <c r="L1871" s="55" t="s">
        <v>2922</v>
      </c>
      <c r="M1871" s="55" t="s">
        <v>138</v>
      </c>
      <c r="N1871" s="55" t="s">
        <v>138</v>
      </c>
      <c r="O1871" s="55" t="s">
        <v>266</v>
      </c>
      <c r="P1871" s="55" t="s">
        <v>1522</v>
      </c>
      <c r="Q1871" s="55" t="s">
        <v>350</v>
      </c>
      <c r="R1871" s="55">
        <v>20</v>
      </c>
      <c r="S1871" s="55"/>
      <c r="T1871" s="55" t="s">
        <v>2919</v>
      </c>
    </row>
    <row r="1872" spans="1:20" ht="13" x14ac:dyDescent="0.15">
      <c r="A1872" s="72" t="str">
        <f t="shared" si="29"/>
        <v>Ofsted Social Care Provider Webpage</v>
      </c>
      <c r="B1872" s="55" t="s">
        <v>2923</v>
      </c>
      <c r="C1872" s="55">
        <v>124890</v>
      </c>
      <c r="D1872" s="55" t="s">
        <v>413</v>
      </c>
      <c r="E1872" s="74">
        <v>37305</v>
      </c>
      <c r="F1872" s="55" t="s">
        <v>344</v>
      </c>
      <c r="G1872" s="55" t="s">
        <v>2924</v>
      </c>
      <c r="H1872" s="55" t="s">
        <v>2925</v>
      </c>
      <c r="I1872" s="55" t="s">
        <v>2926</v>
      </c>
      <c r="J1872" s="55" t="s">
        <v>2927</v>
      </c>
      <c r="L1872" s="55" t="s">
        <v>2928</v>
      </c>
      <c r="M1872" s="55" t="s">
        <v>138</v>
      </c>
      <c r="N1872" s="55" t="s">
        <v>138</v>
      </c>
      <c r="O1872" s="55" t="s">
        <v>266</v>
      </c>
      <c r="P1872" s="55" t="s">
        <v>1622</v>
      </c>
      <c r="Q1872" s="55" t="s">
        <v>350</v>
      </c>
      <c r="R1872" s="55">
        <v>10</v>
      </c>
      <c r="S1872" s="55"/>
      <c r="T1872" s="55" t="s">
        <v>2929</v>
      </c>
    </row>
    <row r="1873" spans="1:20" ht="13" x14ac:dyDescent="0.15">
      <c r="A1873" s="72" t="str">
        <f t="shared" si="29"/>
        <v>Ofsted Social Care Provider Webpage</v>
      </c>
      <c r="B1873" s="55" t="s">
        <v>2930</v>
      </c>
      <c r="C1873" s="55">
        <v>137433</v>
      </c>
      <c r="D1873" s="55" t="s">
        <v>413</v>
      </c>
      <c r="E1873" s="74">
        <v>37305</v>
      </c>
      <c r="F1873" s="55" t="s">
        <v>344</v>
      </c>
      <c r="G1873" s="55" t="s">
        <v>2931</v>
      </c>
      <c r="H1873" s="55" t="s">
        <v>2931</v>
      </c>
      <c r="I1873" s="55" t="s">
        <v>2932</v>
      </c>
      <c r="J1873" s="55" t="s">
        <v>2933</v>
      </c>
      <c r="K1873" s="55" t="s">
        <v>266</v>
      </c>
      <c r="L1873" s="55" t="s">
        <v>2934</v>
      </c>
      <c r="M1873" s="55" t="s">
        <v>138</v>
      </c>
      <c r="N1873" s="55" t="s">
        <v>138</v>
      </c>
      <c r="O1873" s="55" t="s">
        <v>266</v>
      </c>
      <c r="P1873" s="55" t="s">
        <v>934</v>
      </c>
      <c r="Q1873" s="55" t="s">
        <v>420</v>
      </c>
      <c r="R1873" s="55">
        <v>23</v>
      </c>
      <c r="S1873" s="55"/>
      <c r="T1873" s="55" t="s">
        <v>2187</v>
      </c>
    </row>
    <row r="1874" spans="1:20" ht="13" x14ac:dyDescent="0.15">
      <c r="A1874" s="72" t="str">
        <f t="shared" si="29"/>
        <v>Ofsted Social Care Provider Webpage</v>
      </c>
      <c r="B1874" s="55" t="s">
        <v>2935</v>
      </c>
      <c r="D1874" s="55" t="s">
        <v>373</v>
      </c>
      <c r="E1874" s="74">
        <v>34430</v>
      </c>
      <c r="F1874" s="55" t="s">
        <v>344</v>
      </c>
      <c r="G1874" s="55" t="s">
        <v>360</v>
      </c>
      <c r="H1874" s="55" t="s">
        <v>360</v>
      </c>
      <c r="I1874" s="55" t="s">
        <v>360</v>
      </c>
      <c r="J1874" s="55" t="s">
        <v>360</v>
      </c>
      <c r="K1874" s="55" t="s">
        <v>360</v>
      </c>
      <c r="L1874" s="55" t="s">
        <v>360</v>
      </c>
      <c r="M1874" s="55" t="s">
        <v>142</v>
      </c>
      <c r="N1874" s="55" t="s">
        <v>142</v>
      </c>
      <c r="O1874" s="55" t="s">
        <v>195</v>
      </c>
      <c r="P1874" s="55" t="s">
        <v>747</v>
      </c>
      <c r="Q1874" s="55" t="s">
        <v>350</v>
      </c>
      <c r="R1874" s="55">
        <v>4</v>
      </c>
      <c r="S1874" s="55"/>
      <c r="T1874" s="55" t="s">
        <v>1365</v>
      </c>
    </row>
    <row r="1875" spans="1:20" ht="13" x14ac:dyDescent="0.15">
      <c r="A1875" s="72" t="str">
        <f t="shared" si="29"/>
        <v>Ofsted Social Care Provider Webpage</v>
      </c>
      <c r="B1875" s="55" t="s">
        <v>2936</v>
      </c>
      <c r="C1875" s="55">
        <v>103876</v>
      </c>
      <c r="D1875" s="55" t="s">
        <v>398</v>
      </c>
      <c r="E1875" s="74">
        <v>37306</v>
      </c>
      <c r="F1875" s="55" t="s">
        <v>344</v>
      </c>
      <c r="G1875" s="55" t="s">
        <v>2937</v>
      </c>
      <c r="H1875" s="55" t="s">
        <v>2938</v>
      </c>
      <c r="I1875" s="55" t="s">
        <v>2939</v>
      </c>
      <c r="J1875" s="55" t="s">
        <v>2940</v>
      </c>
      <c r="K1875" s="55" t="s">
        <v>142</v>
      </c>
      <c r="L1875" s="55" t="s">
        <v>2941</v>
      </c>
      <c r="M1875" s="55" t="s">
        <v>142</v>
      </c>
      <c r="N1875" s="55" t="s">
        <v>142</v>
      </c>
      <c r="O1875" s="55" t="s">
        <v>177</v>
      </c>
      <c r="P1875" s="55" t="s">
        <v>885</v>
      </c>
      <c r="Q1875" s="55" t="s">
        <v>362</v>
      </c>
      <c r="R1875" s="55">
        <v>3</v>
      </c>
      <c r="S1875" s="55"/>
      <c r="T1875" s="55" t="s">
        <v>2942</v>
      </c>
    </row>
    <row r="1876" spans="1:20" ht="13" x14ac:dyDescent="0.15">
      <c r="A1876" s="72" t="str">
        <f t="shared" si="29"/>
        <v>Ofsted Social Care Provider Webpage</v>
      </c>
      <c r="B1876" s="55" t="s">
        <v>2943</v>
      </c>
      <c r="D1876" s="55" t="s">
        <v>373</v>
      </c>
      <c r="E1876" s="74">
        <v>37306</v>
      </c>
      <c r="F1876" s="55" t="s">
        <v>344</v>
      </c>
      <c r="G1876" s="55" t="s">
        <v>360</v>
      </c>
      <c r="H1876" s="55" t="s">
        <v>360</v>
      </c>
      <c r="I1876" s="55" t="s">
        <v>360</v>
      </c>
      <c r="J1876" s="55" t="s">
        <v>360</v>
      </c>
      <c r="K1876" s="55" t="s">
        <v>360</v>
      </c>
      <c r="L1876" s="55" t="s">
        <v>360</v>
      </c>
      <c r="M1876" s="55" t="s">
        <v>144</v>
      </c>
      <c r="N1876" s="55" t="s">
        <v>144</v>
      </c>
      <c r="O1876" s="55" t="s">
        <v>250</v>
      </c>
      <c r="P1876" s="55" t="s">
        <v>1372</v>
      </c>
      <c r="Q1876" s="55" t="s">
        <v>362</v>
      </c>
      <c r="R1876" s="55">
        <v>19</v>
      </c>
      <c r="S1876" s="55"/>
      <c r="T1876" s="55" t="s">
        <v>2360</v>
      </c>
    </row>
    <row r="1877" spans="1:20" ht="13" x14ac:dyDescent="0.15">
      <c r="A1877" s="72" t="str">
        <f t="shared" si="29"/>
        <v>Ofsted Social Care Provider Webpage</v>
      </c>
      <c r="B1877" s="55" t="s">
        <v>2944</v>
      </c>
      <c r="D1877" s="55" t="s">
        <v>373</v>
      </c>
      <c r="E1877" s="74">
        <v>37175</v>
      </c>
      <c r="F1877" s="55" t="s">
        <v>344</v>
      </c>
      <c r="G1877" s="55" t="s">
        <v>360</v>
      </c>
      <c r="H1877" s="55" t="s">
        <v>360</v>
      </c>
      <c r="I1877" s="55" t="s">
        <v>360</v>
      </c>
      <c r="J1877" s="55" t="s">
        <v>360</v>
      </c>
      <c r="K1877" s="55" t="s">
        <v>360</v>
      </c>
      <c r="L1877" s="55" t="s">
        <v>360</v>
      </c>
      <c r="M1877" s="55" t="s">
        <v>144</v>
      </c>
      <c r="N1877" s="55" t="s">
        <v>144</v>
      </c>
      <c r="O1877" s="55" t="s">
        <v>215</v>
      </c>
      <c r="P1877" s="55" t="s">
        <v>1440</v>
      </c>
      <c r="Q1877" s="55" t="s">
        <v>350</v>
      </c>
      <c r="R1877" s="55">
        <v>3</v>
      </c>
      <c r="S1877" s="55"/>
      <c r="T1877" s="55" t="s">
        <v>1505</v>
      </c>
    </row>
    <row r="1878" spans="1:20" ht="13" x14ac:dyDescent="0.15">
      <c r="A1878" s="72" t="str">
        <f t="shared" si="29"/>
        <v>Ofsted Social Care Provider Webpage</v>
      </c>
      <c r="B1878" s="55" t="s">
        <v>2945</v>
      </c>
      <c r="D1878" s="55" t="s">
        <v>373</v>
      </c>
      <c r="E1878" s="74">
        <v>37071</v>
      </c>
      <c r="F1878" s="55" t="s">
        <v>344</v>
      </c>
      <c r="G1878" s="55" t="s">
        <v>360</v>
      </c>
      <c r="H1878" s="55" t="s">
        <v>360</v>
      </c>
      <c r="I1878" s="55" t="s">
        <v>360</v>
      </c>
      <c r="J1878" s="55" t="s">
        <v>360</v>
      </c>
      <c r="K1878" s="55" t="s">
        <v>360</v>
      </c>
      <c r="L1878" s="55" t="s">
        <v>360</v>
      </c>
      <c r="M1878" s="55" t="s">
        <v>144</v>
      </c>
      <c r="N1878" s="55" t="s">
        <v>144</v>
      </c>
      <c r="O1878" s="55" t="s">
        <v>215</v>
      </c>
      <c r="P1878" s="55" t="s">
        <v>1440</v>
      </c>
      <c r="Q1878" s="55" t="s">
        <v>350</v>
      </c>
      <c r="R1878" s="55">
        <v>4</v>
      </c>
      <c r="S1878" s="55"/>
      <c r="T1878" s="55" t="s">
        <v>1505</v>
      </c>
    </row>
    <row r="1879" spans="1:20" ht="13" x14ac:dyDescent="0.15">
      <c r="A1879" s="72" t="str">
        <f t="shared" si="29"/>
        <v>Ofsted Social Care Provider Webpage</v>
      </c>
      <c r="B1879" s="55" t="s">
        <v>2946</v>
      </c>
      <c r="D1879" s="55" t="s">
        <v>373</v>
      </c>
      <c r="E1879" s="74">
        <v>36844</v>
      </c>
      <c r="F1879" s="55" t="s">
        <v>344</v>
      </c>
      <c r="G1879" s="55" t="s">
        <v>360</v>
      </c>
      <c r="H1879" s="55" t="s">
        <v>360</v>
      </c>
      <c r="I1879" s="55" t="s">
        <v>360</v>
      </c>
      <c r="J1879" s="55" t="s">
        <v>360</v>
      </c>
      <c r="K1879" s="55" t="s">
        <v>360</v>
      </c>
      <c r="L1879" s="55" t="s">
        <v>360</v>
      </c>
      <c r="M1879" s="55" t="s">
        <v>144</v>
      </c>
      <c r="N1879" s="55" t="s">
        <v>144</v>
      </c>
      <c r="O1879" s="55" t="s">
        <v>215</v>
      </c>
      <c r="P1879" s="55" t="s">
        <v>1207</v>
      </c>
      <c r="Q1879" s="55" t="s">
        <v>350</v>
      </c>
      <c r="R1879" s="55">
        <v>6</v>
      </c>
      <c r="S1879" s="55"/>
      <c r="T1879" s="55" t="s">
        <v>2947</v>
      </c>
    </row>
    <row r="1880" spans="1:20" ht="13" x14ac:dyDescent="0.15">
      <c r="A1880" s="72" t="str">
        <f t="shared" si="29"/>
        <v>Ofsted Social Care Provider Webpage</v>
      </c>
      <c r="B1880" s="55" t="s">
        <v>2948</v>
      </c>
      <c r="D1880" s="55" t="s">
        <v>373</v>
      </c>
      <c r="E1880" s="74">
        <v>37102</v>
      </c>
      <c r="F1880" s="55" t="s">
        <v>344</v>
      </c>
      <c r="G1880" s="55" t="s">
        <v>360</v>
      </c>
      <c r="H1880" s="55" t="s">
        <v>360</v>
      </c>
      <c r="I1880" s="55" t="s">
        <v>360</v>
      </c>
      <c r="J1880" s="55" t="s">
        <v>360</v>
      </c>
      <c r="K1880" s="55" t="s">
        <v>360</v>
      </c>
      <c r="L1880" s="55" t="s">
        <v>360</v>
      </c>
      <c r="M1880" s="55" t="s">
        <v>129</v>
      </c>
      <c r="N1880" s="55" t="s">
        <v>129</v>
      </c>
      <c r="O1880" s="55" t="s">
        <v>213</v>
      </c>
      <c r="P1880" s="55" t="s">
        <v>1020</v>
      </c>
      <c r="Q1880" s="55" t="s">
        <v>350</v>
      </c>
      <c r="R1880" s="55">
        <v>11</v>
      </c>
      <c r="S1880" s="55"/>
      <c r="T1880" s="55" t="s">
        <v>2196</v>
      </c>
    </row>
    <row r="1881" spans="1:20" ht="13" x14ac:dyDescent="0.15">
      <c r="A1881" s="72" t="str">
        <f t="shared" si="29"/>
        <v>Ofsted Social Care Provider Webpage</v>
      </c>
      <c r="B1881" s="55" t="s">
        <v>2949</v>
      </c>
      <c r="D1881" s="55" t="s">
        <v>373</v>
      </c>
      <c r="E1881" s="74">
        <v>37068</v>
      </c>
      <c r="F1881" s="55" t="s">
        <v>344</v>
      </c>
      <c r="G1881" s="55" t="s">
        <v>360</v>
      </c>
      <c r="H1881" s="55" t="s">
        <v>360</v>
      </c>
      <c r="I1881" s="55" t="s">
        <v>360</v>
      </c>
      <c r="J1881" s="55" t="s">
        <v>360</v>
      </c>
      <c r="K1881" s="55" t="s">
        <v>360</v>
      </c>
      <c r="L1881" s="55" t="s">
        <v>360</v>
      </c>
      <c r="M1881" s="55" t="s">
        <v>129</v>
      </c>
      <c r="N1881" s="55" t="s">
        <v>129</v>
      </c>
      <c r="O1881" s="55" t="s">
        <v>213</v>
      </c>
      <c r="P1881" s="55" t="s">
        <v>1160</v>
      </c>
      <c r="Q1881" s="55" t="s">
        <v>350</v>
      </c>
      <c r="R1881" s="55">
        <v>3</v>
      </c>
      <c r="S1881" s="55"/>
      <c r="T1881" s="55" t="s">
        <v>1597</v>
      </c>
    </row>
    <row r="1882" spans="1:20" ht="13" x14ac:dyDescent="0.15">
      <c r="A1882" s="72" t="str">
        <f t="shared" si="29"/>
        <v>Ofsted Social Care Provider Webpage</v>
      </c>
      <c r="B1882" s="55" t="s">
        <v>2950</v>
      </c>
      <c r="D1882" s="55" t="s">
        <v>373</v>
      </c>
      <c r="E1882" s="74">
        <v>37228</v>
      </c>
      <c r="F1882" s="55" t="s">
        <v>344</v>
      </c>
      <c r="G1882" s="55" t="s">
        <v>360</v>
      </c>
      <c r="H1882" s="55" t="s">
        <v>360</v>
      </c>
      <c r="I1882" s="55" t="s">
        <v>360</v>
      </c>
      <c r="J1882" s="55" t="s">
        <v>360</v>
      </c>
      <c r="K1882" s="55" t="s">
        <v>360</v>
      </c>
      <c r="L1882" s="55" t="s">
        <v>360</v>
      </c>
      <c r="M1882" s="55" t="s">
        <v>129</v>
      </c>
      <c r="N1882" s="55" t="s">
        <v>129</v>
      </c>
      <c r="O1882" s="55" t="s">
        <v>160</v>
      </c>
      <c r="P1882" s="55" t="s">
        <v>2951</v>
      </c>
      <c r="Q1882" s="55" t="s">
        <v>362</v>
      </c>
      <c r="R1882" s="55">
        <v>8</v>
      </c>
      <c r="S1882" s="55"/>
      <c r="T1882" s="55" t="s">
        <v>432</v>
      </c>
    </row>
    <row r="1883" spans="1:20" ht="13" x14ac:dyDescent="0.15">
      <c r="A1883" s="72" t="str">
        <f t="shared" si="29"/>
        <v>Ofsted Social Care Provider Webpage</v>
      </c>
      <c r="B1883" s="55" t="s">
        <v>2952</v>
      </c>
      <c r="D1883" s="55" t="s">
        <v>373</v>
      </c>
      <c r="E1883" s="74">
        <v>36364</v>
      </c>
      <c r="F1883" s="55" t="s">
        <v>344</v>
      </c>
      <c r="G1883" s="55" t="s">
        <v>360</v>
      </c>
      <c r="H1883" s="55" t="s">
        <v>360</v>
      </c>
      <c r="I1883" s="55" t="s">
        <v>360</v>
      </c>
      <c r="J1883" s="55" t="s">
        <v>360</v>
      </c>
      <c r="K1883" s="55" t="s">
        <v>360</v>
      </c>
      <c r="L1883" s="55" t="s">
        <v>360</v>
      </c>
      <c r="M1883" s="55" t="s">
        <v>138</v>
      </c>
      <c r="N1883" s="55" t="s">
        <v>138</v>
      </c>
      <c r="O1883" s="55" t="s">
        <v>224</v>
      </c>
      <c r="P1883" s="55" t="s">
        <v>1294</v>
      </c>
      <c r="Q1883" s="55" t="s">
        <v>362</v>
      </c>
      <c r="R1883" s="55">
        <v>11</v>
      </c>
      <c r="S1883" s="55"/>
      <c r="T1883" s="55" t="s">
        <v>1119</v>
      </c>
    </row>
    <row r="1884" spans="1:20" ht="13" x14ac:dyDescent="0.15">
      <c r="A1884" s="72" t="str">
        <f t="shared" si="29"/>
        <v>Ofsted Social Care Provider Webpage</v>
      </c>
      <c r="B1884" s="55" t="s">
        <v>2953</v>
      </c>
      <c r="D1884" s="55" t="s">
        <v>373</v>
      </c>
      <c r="E1884" s="74">
        <v>35765</v>
      </c>
      <c r="F1884" s="55" t="s">
        <v>344</v>
      </c>
      <c r="G1884" s="55" t="s">
        <v>360</v>
      </c>
      <c r="H1884" s="55" t="s">
        <v>360</v>
      </c>
      <c r="I1884" s="55" t="s">
        <v>360</v>
      </c>
      <c r="J1884" s="55" t="s">
        <v>360</v>
      </c>
      <c r="K1884" s="55" t="s">
        <v>360</v>
      </c>
      <c r="L1884" s="55" t="s">
        <v>360</v>
      </c>
      <c r="M1884" s="55" t="s">
        <v>144</v>
      </c>
      <c r="N1884" s="55" t="s">
        <v>144</v>
      </c>
      <c r="O1884" s="55" t="s">
        <v>263</v>
      </c>
      <c r="P1884" s="55" t="s">
        <v>1120</v>
      </c>
      <c r="Q1884" s="55" t="s">
        <v>362</v>
      </c>
      <c r="R1884" s="55">
        <v>2</v>
      </c>
      <c r="S1884" s="55"/>
      <c r="T1884" s="55" t="s">
        <v>2551</v>
      </c>
    </row>
    <row r="1885" spans="1:20" ht="13" x14ac:dyDescent="0.15">
      <c r="A1885" s="72" t="str">
        <f t="shared" si="29"/>
        <v>Ofsted Social Care Provider Webpage</v>
      </c>
      <c r="B1885" s="55" t="s">
        <v>2954</v>
      </c>
      <c r="D1885" s="55" t="s">
        <v>373</v>
      </c>
      <c r="E1885" s="74">
        <v>36206</v>
      </c>
      <c r="F1885" s="55" t="s">
        <v>344</v>
      </c>
      <c r="G1885" s="55" t="s">
        <v>360</v>
      </c>
      <c r="H1885" s="55" t="s">
        <v>360</v>
      </c>
      <c r="I1885" s="55" t="s">
        <v>360</v>
      </c>
      <c r="J1885" s="55" t="s">
        <v>360</v>
      </c>
      <c r="K1885" s="55" t="s">
        <v>360</v>
      </c>
      <c r="L1885" s="55" t="s">
        <v>360</v>
      </c>
      <c r="M1885" s="55" t="s">
        <v>144</v>
      </c>
      <c r="N1885" s="55" t="s">
        <v>144</v>
      </c>
      <c r="O1885" s="55" t="s">
        <v>263</v>
      </c>
      <c r="P1885" s="55" t="s">
        <v>1211</v>
      </c>
      <c r="Q1885" s="55" t="s">
        <v>362</v>
      </c>
      <c r="R1885" s="55">
        <v>3</v>
      </c>
      <c r="S1885" s="55"/>
      <c r="T1885" s="55" t="s">
        <v>2551</v>
      </c>
    </row>
    <row r="1886" spans="1:20" ht="13" x14ac:dyDescent="0.15">
      <c r="A1886" s="72" t="str">
        <f t="shared" si="29"/>
        <v>Ofsted Social Care Provider Webpage</v>
      </c>
      <c r="B1886" s="55" t="s">
        <v>2955</v>
      </c>
      <c r="D1886" s="55" t="s">
        <v>373</v>
      </c>
      <c r="E1886" s="74">
        <v>36300</v>
      </c>
      <c r="F1886" s="55" t="s">
        <v>344</v>
      </c>
      <c r="G1886" s="55" t="s">
        <v>360</v>
      </c>
      <c r="H1886" s="55" t="s">
        <v>360</v>
      </c>
      <c r="I1886" s="55" t="s">
        <v>360</v>
      </c>
      <c r="J1886" s="55" t="s">
        <v>360</v>
      </c>
      <c r="K1886" s="55" t="s">
        <v>360</v>
      </c>
      <c r="L1886" s="55" t="s">
        <v>360</v>
      </c>
      <c r="M1886" s="55" t="s">
        <v>144</v>
      </c>
      <c r="N1886" s="55" t="s">
        <v>144</v>
      </c>
      <c r="O1886" s="55" t="s">
        <v>263</v>
      </c>
      <c r="P1886" s="55" t="s">
        <v>263</v>
      </c>
      <c r="Q1886" s="55" t="s">
        <v>362</v>
      </c>
      <c r="R1886" s="55">
        <v>5</v>
      </c>
      <c r="S1886" s="55"/>
      <c r="T1886" s="55" t="s">
        <v>2551</v>
      </c>
    </row>
    <row r="1887" spans="1:20" ht="13" x14ac:dyDescent="0.15">
      <c r="A1887" s="72" t="str">
        <f t="shared" si="29"/>
        <v>Ofsted Social Care Provider Webpage</v>
      </c>
      <c r="B1887" s="55" t="s">
        <v>2956</v>
      </c>
      <c r="D1887" s="55" t="s">
        <v>373</v>
      </c>
      <c r="E1887" s="74">
        <v>36580</v>
      </c>
      <c r="F1887" s="55" t="s">
        <v>344</v>
      </c>
      <c r="G1887" s="55" t="s">
        <v>360</v>
      </c>
      <c r="H1887" s="55" t="s">
        <v>360</v>
      </c>
      <c r="I1887" s="55" t="s">
        <v>360</v>
      </c>
      <c r="J1887" s="55" t="s">
        <v>360</v>
      </c>
      <c r="K1887" s="55" t="s">
        <v>360</v>
      </c>
      <c r="L1887" s="55" t="s">
        <v>360</v>
      </c>
      <c r="M1887" s="55" t="s">
        <v>144</v>
      </c>
      <c r="N1887" s="55" t="s">
        <v>144</v>
      </c>
      <c r="O1887" s="55" t="s">
        <v>263</v>
      </c>
      <c r="P1887" s="55" t="s">
        <v>1211</v>
      </c>
      <c r="Q1887" s="55" t="s">
        <v>362</v>
      </c>
      <c r="R1887" s="55">
        <v>3</v>
      </c>
      <c r="S1887" s="55"/>
      <c r="T1887" s="55" t="s">
        <v>2551</v>
      </c>
    </row>
    <row r="1888" spans="1:20" ht="13" x14ac:dyDescent="0.15">
      <c r="A1888" s="72" t="str">
        <f t="shared" si="29"/>
        <v>Ofsted Social Care Provider Webpage</v>
      </c>
      <c r="B1888" s="55" t="s">
        <v>2957</v>
      </c>
      <c r="D1888" s="55" t="s">
        <v>373</v>
      </c>
      <c r="E1888" s="74">
        <v>35019</v>
      </c>
      <c r="F1888" s="55" t="s">
        <v>344</v>
      </c>
      <c r="G1888" s="55" t="s">
        <v>360</v>
      </c>
      <c r="H1888" s="55" t="s">
        <v>360</v>
      </c>
      <c r="I1888" s="55" t="s">
        <v>360</v>
      </c>
      <c r="J1888" s="55" t="s">
        <v>360</v>
      </c>
      <c r="K1888" s="55" t="s">
        <v>360</v>
      </c>
      <c r="L1888" s="55" t="s">
        <v>360</v>
      </c>
      <c r="M1888" s="55" t="s">
        <v>138</v>
      </c>
      <c r="N1888" s="55" t="s">
        <v>138</v>
      </c>
      <c r="O1888" s="55" t="s">
        <v>224</v>
      </c>
      <c r="P1888" s="55" t="s">
        <v>1552</v>
      </c>
      <c r="Q1888" s="55" t="s">
        <v>362</v>
      </c>
      <c r="R1888" s="55">
        <v>4</v>
      </c>
      <c r="S1888" s="55"/>
      <c r="T1888" s="55" t="s">
        <v>557</v>
      </c>
    </row>
    <row r="1889" spans="1:20" ht="13" x14ac:dyDescent="0.15">
      <c r="A1889" s="72" t="str">
        <f t="shared" si="29"/>
        <v>Ofsted Social Care Provider Webpage</v>
      </c>
      <c r="B1889" s="55" t="s">
        <v>2958</v>
      </c>
      <c r="D1889" s="55" t="s">
        <v>373</v>
      </c>
      <c r="E1889" s="74">
        <v>26834</v>
      </c>
      <c r="F1889" s="55" t="s">
        <v>344</v>
      </c>
      <c r="G1889" s="55" t="s">
        <v>360</v>
      </c>
      <c r="H1889" s="55" t="s">
        <v>360</v>
      </c>
      <c r="I1889" s="55" t="s">
        <v>360</v>
      </c>
      <c r="J1889" s="55" t="s">
        <v>360</v>
      </c>
      <c r="K1889" s="55" t="s">
        <v>360</v>
      </c>
      <c r="L1889" s="55" t="s">
        <v>360</v>
      </c>
      <c r="M1889" s="55" t="s">
        <v>138</v>
      </c>
      <c r="N1889" s="55" t="s">
        <v>138</v>
      </c>
      <c r="O1889" s="55" t="s">
        <v>159</v>
      </c>
      <c r="P1889" s="55" t="s">
        <v>1985</v>
      </c>
      <c r="Q1889" s="55" t="s">
        <v>362</v>
      </c>
      <c r="R1889" s="55">
        <v>17</v>
      </c>
      <c r="S1889" s="55"/>
      <c r="T1889" s="55" t="s">
        <v>2959</v>
      </c>
    </row>
    <row r="1890" spans="1:20" ht="13" x14ac:dyDescent="0.15">
      <c r="A1890" s="72" t="str">
        <f t="shared" si="29"/>
        <v>Ofsted Social Care Provider Webpage</v>
      </c>
      <c r="B1890" s="55" t="s">
        <v>2960</v>
      </c>
      <c r="D1890" s="55" t="s">
        <v>373</v>
      </c>
      <c r="E1890" s="74">
        <v>36000</v>
      </c>
      <c r="F1890" s="55" t="s">
        <v>344</v>
      </c>
      <c r="G1890" s="55" t="s">
        <v>360</v>
      </c>
      <c r="H1890" s="55" t="s">
        <v>360</v>
      </c>
      <c r="I1890" s="55" t="s">
        <v>360</v>
      </c>
      <c r="J1890" s="55" t="s">
        <v>360</v>
      </c>
      <c r="K1890" s="55" t="s">
        <v>360</v>
      </c>
      <c r="L1890" s="55" t="s">
        <v>360</v>
      </c>
      <c r="M1890" s="55" t="s">
        <v>144</v>
      </c>
      <c r="N1890" s="55" t="s">
        <v>144</v>
      </c>
      <c r="O1890" s="55" t="s">
        <v>263</v>
      </c>
      <c r="P1890" s="55" t="s">
        <v>1211</v>
      </c>
      <c r="Q1890" s="55" t="s">
        <v>362</v>
      </c>
      <c r="R1890" s="55">
        <v>4</v>
      </c>
      <c r="S1890" s="55"/>
      <c r="T1890" s="55" t="s">
        <v>2551</v>
      </c>
    </row>
    <row r="1891" spans="1:20" ht="13" x14ac:dyDescent="0.15">
      <c r="A1891" s="72" t="str">
        <f t="shared" si="29"/>
        <v>Ofsted Social Care Provider Webpage</v>
      </c>
      <c r="B1891" s="55" t="s">
        <v>2961</v>
      </c>
      <c r="D1891" s="55" t="s">
        <v>373</v>
      </c>
      <c r="E1891" s="74">
        <v>35726</v>
      </c>
      <c r="F1891" s="55" t="s">
        <v>344</v>
      </c>
      <c r="G1891" s="55" t="s">
        <v>360</v>
      </c>
      <c r="H1891" s="55" t="s">
        <v>360</v>
      </c>
      <c r="I1891" s="55" t="s">
        <v>360</v>
      </c>
      <c r="J1891" s="55" t="s">
        <v>360</v>
      </c>
      <c r="K1891" s="55" t="s">
        <v>360</v>
      </c>
      <c r="L1891" s="55" t="s">
        <v>360</v>
      </c>
      <c r="M1891" s="55" t="s">
        <v>144</v>
      </c>
      <c r="N1891" s="55" t="s">
        <v>144</v>
      </c>
      <c r="O1891" s="55" t="s">
        <v>263</v>
      </c>
      <c r="P1891" s="55" t="s">
        <v>876</v>
      </c>
      <c r="Q1891" s="55" t="s">
        <v>362</v>
      </c>
      <c r="R1891" s="55">
        <v>6</v>
      </c>
      <c r="S1891" s="55"/>
      <c r="T1891" s="55" t="s">
        <v>2551</v>
      </c>
    </row>
    <row r="1892" spans="1:20" ht="13" x14ac:dyDescent="0.15">
      <c r="A1892" s="72" t="str">
        <f t="shared" si="29"/>
        <v>Ofsted Social Care Provider Webpage</v>
      </c>
      <c r="B1892" s="55" t="s">
        <v>2962</v>
      </c>
      <c r="D1892" s="55" t="s">
        <v>373</v>
      </c>
      <c r="E1892" s="74">
        <v>34443</v>
      </c>
      <c r="F1892" s="55" t="s">
        <v>344</v>
      </c>
      <c r="G1892" s="55" t="s">
        <v>360</v>
      </c>
      <c r="H1892" s="55" t="s">
        <v>360</v>
      </c>
      <c r="I1892" s="55" t="s">
        <v>360</v>
      </c>
      <c r="J1892" s="55" t="s">
        <v>360</v>
      </c>
      <c r="K1892" s="55" t="s">
        <v>360</v>
      </c>
      <c r="L1892" s="55" t="s">
        <v>360</v>
      </c>
      <c r="M1892" s="55" t="s">
        <v>144</v>
      </c>
      <c r="N1892" s="55" t="s">
        <v>144</v>
      </c>
      <c r="O1892" s="55" t="s">
        <v>263</v>
      </c>
      <c r="P1892" s="55" t="s">
        <v>263</v>
      </c>
      <c r="Q1892" s="55" t="s">
        <v>362</v>
      </c>
      <c r="R1892" s="55">
        <v>6</v>
      </c>
      <c r="S1892" s="55"/>
      <c r="T1892" s="55" t="s">
        <v>2551</v>
      </c>
    </row>
    <row r="1893" spans="1:20" ht="13" x14ac:dyDescent="0.15">
      <c r="A1893" s="72" t="str">
        <f t="shared" si="29"/>
        <v>Ofsted Social Care Provider Webpage</v>
      </c>
      <c r="B1893" s="55" t="s">
        <v>2963</v>
      </c>
      <c r="D1893" s="55" t="s">
        <v>373</v>
      </c>
      <c r="E1893" s="74">
        <v>34788</v>
      </c>
      <c r="F1893" s="55" t="s">
        <v>344</v>
      </c>
      <c r="G1893" s="55" t="s">
        <v>360</v>
      </c>
      <c r="H1893" s="55" t="s">
        <v>360</v>
      </c>
      <c r="I1893" s="55" t="s">
        <v>360</v>
      </c>
      <c r="J1893" s="55" t="s">
        <v>360</v>
      </c>
      <c r="K1893" s="55" t="s">
        <v>360</v>
      </c>
      <c r="L1893" s="55" t="s">
        <v>360</v>
      </c>
      <c r="M1893" s="55" t="s">
        <v>144</v>
      </c>
      <c r="N1893" s="55" t="s">
        <v>144</v>
      </c>
      <c r="O1893" s="55" t="s">
        <v>263</v>
      </c>
      <c r="P1893" s="55" t="s">
        <v>1211</v>
      </c>
      <c r="Q1893" s="55" t="s">
        <v>362</v>
      </c>
      <c r="R1893" s="55">
        <v>5</v>
      </c>
      <c r="S1893" s="55" t="s">
        <v>332</v>
      </c>
      <c r="T1893" s="55" t="s">
        <v>2551</v>
      </c>
    </row>
    <row r="1894" spans="1:20" ht="13" x14ac:dyDescent="0.15">
      <c r="A1894" s="72" t="str">
        <f t="shared" si="29"/>
        <v>Ofsted Social Care Provider Webpage</v>
      </c>
      <c r="B1894" s="55" t="s">
        <v>2964</v>
      </c>
      <c r="D1894" s="55" t="s">
        <v>373</v>
      </c>
      <c r="E1894" s="74">
        <v>34390</v>
      </c>
      <c r="F1894" s="55" t="s">
        <v>344</v>
      </c>
      <c r="G1894" s="55" t="s">
        <v>360</v>
      </c>
      <c r="H1894" s="55" t="s">
        <v>360</v>
      </c>
      <c r="I1894" s="55" t="s">
        <v>360</v>
      </c>
      <c r="J1894" s="55" t="s">
        <v>360</v>
      </c>
      <c r="K1894" s="55" t="s">
        <v>360</v>
      </c>
      <c r="L1894" s="55" t="s">
        <v>360</v>
      </c>
      <c r="M1894" s="55" t="s">
        <v>144</v>
      </c>
      <c r="N1894" s="55" t="s">
        <v>144</v>
      </c>
      <c r="O1894" s="55" t="s">
        <v>263</v>
      </c>
      <c r="P1894" s="55" t="s">
        <v>263</v>
      </c>
      <c r="Q1894" s="55" t="s">
        <v>362</v>
      </c>
      <c r="R1894" s="55">
        <v>3</v>
      </c>
      <c r="S1894" s="55"/>
      <c r="T1894" s="55" t="s">
        <v>2551</v>
      </c>
    </row>
    <row r="1895" spans="1:20" ht="13" x14ac:dyDescent="0.15">
      <c r="A1895" s="72" t="str">
        <f t="shared" si="29"/>
        <v>Ofsted Social Care Provider Webpage</v>
      </c>
      <c r="B1895" s="55" t="s">
        <v>2965</v>
      </c>
      <c r="D1895" s="55" t="s">
        <v>373</v>
      </c>
      <c r="E1895" s="74">
        <v>35222</v>
      </c>
      <c r="F1895" s="55" t="s">
        <v>344</v>
      </c>
      <c r="G1895" s="55" t="s">
        <v>360</v>
      </c>
      <c r="H1895" s="55" t="s">
        <v>360</v>
      </c>
      <c r="I1895" s="55" t="s">
        <v>360</v>
      </c>
      <c r="J1895" s="55" t="s">
        <v>360</v>
      </c>
      <c r="K1895" s="55" t="s">
        <v>360</v>
      </c>
      <c r="L1895" s="55" t="s">
        <v>360</v>
      </c>
      <c r="M1895" s="55" t="s">
        <v>129</v>
      </c>
      <c r="N1895" s="55" t="s">
        <v>129</v>
      </c>
      <c r="O1895" s="55" t="s">
        <v>167</v>
      </c>
      <c r="P1895" s="55" t="s">
        <v>866</v>
      </c>
      <c r="Q1895" s="55" t="s">
        <v>350</v>
      </c>
      <c r="R1895" s="55">
        <v>4</v>
      </c>
      <c r="S1895" s="55"/>
      <c r="T1895" s="55" t="s">
        <v>2966</v>
      </c>
    </row>
    <row r="1896" spans="1:20" ht="13" x14ac:dyDescent="0.15">
      <c r="A1896" s="72" t="str">
        <f t="shared" si="29"/>
        <v>Ofsted Social Care Provider Webpage</v>
      </c>
      <c r="B1896" s="55" t="s">
        <v>2967</v>
      </c>
      <c r="D1896" s="55" t="s">
        <v>373</v>
      </c>
      <c r="E1896" s="74">
        <v>35436</v>
      </c>
      <c r="F1896" s="55" t="s">
        <v>344</v>
      </c>
      <c r="G1896" s="55" t="s">
        <v>360</v>
      </c>
      <c r="H1896" s="55" t="s">
        <v>360</v>
      </c>
      <c r="I1896" s="55" t="s">
        <v>360</v>
      </c>
      <c r="J1896" s="55" t="s">
        <v>360</v>
      </c>
      <c r="K1896" s="55" t="s">
        <v>360</v>
      </c>
      <c r="L1896" s="55" t="s">
        <v>360</v>
      </c>
      <c r="M1896" s="55" t="s">
        <v>129</v>
      </c>
      <c r="N1896" s="55" t="s">
        <v>129</v>
      </c>
      <c r="O1896" s="55" t="s">
        <v>167</v>
      </c>
      <c r="P1896" s="55" t="s">
        <v>866</v>
      </c>
      <c r="Q1896" s="55" t="s">
        <v>350</v>
      </c>
      <c r="R1896" s="55">
        <v>8</v>
      </c>
      <c r="S1896" s="55"/>
      <c r="T1896" s="55" t="s">
        <v>2966</v>
      </c>
    </row>
    <row r="1897" spans="1:20" ht="13" x14ac:dyDescent="0.15">
      <c r="A1897" s="72" t="str">
        <f t="shared" si="29"/>
        <v>Ofsted Social Care Provider Webpage</v>
      </c>
      <c r="B1897" s="55" t="s">
        <v>2968</v>
      </c>
      <c r="D1897" s="55" t="s">
        <v>373</v>
      </c>
      <c r="E1897" s="74">
        <v>33921</v>
      </c>
      <c r="F1897" s="55" t="s">
        <v>344</v>
      </c>
      <c r="G1897" s="55" t="s">
        <v>360</v>
      </c>
      <c r="H1897" s="55" t="s">
        <v>360</v>
      </c>
      <c r="I1897" s="55" t="s">
        <v>360</v>
      </c>
      <c r="J1897" s="55" t="s">
        <v>360</v>
      </c>
      <c r="K1897" s="55" t="s">
        <v>360</v>
      </c>
      <c r="L1897" s="55" t="s">
        <v>360</v>
      </c>
      <c r="M1897" s="55" t="s">
        <v>129</v>
      </c>
      <c r="N1897" s="55" t="s">
        <v>129</v>
      </c>
      <c r="O1897" s="55" t="s">
        <v>242</v>
      </c>
      <c r="P1897" s="55" t="s">
        <v>1519</v>
      </c>
      <c r="Q1897" s="55" t="s">
        <v>362</v>
      </c>
      <c r="R1897" s="55">
        <v>6</v>
      </c>
      <c r="S1897" s="55"/>
      <c r="T1897" s="55" t="s">
        <v>1884</v>
      </c>
    </row>
    <row r="1898" spans="1:20" ht="13" x14ac:dyDescent="0.15">
      <c r="A1898" s="72" t="str">
        <f t="shared" si="29"/>
        <v>Ofsted Social Care Provider Webpage</v>
      </c>
      <c r="B1898" s="55" t="s">
        <v>2969</v>
      </c>
      <c r="D1898" s="55" t="s">
        <v>479</v>
      </c>
      <c r="E1898" s="74">
        <v>37306</v>
      </c>
      <c r="F1898" s="55" t="s">
        <v>344</v>
      </c>
      <c r="G1898" s="55" t="s">
        <v>360</v>
      </c>
      <c r="H1898" s="55" t="s">
        <v>360</v>
      </c>
      <c r="I1898" s="55" t="s">
        <v>360</v>
      </c>
      <c r="J1898" s="55" t="s">
        <v>360</v>
      </c>
      <c r="K1898" s="55" t="s">
        <v>360</v>
      </c>
      <c r="L1898" s="55" t="s">
        <v>360</v>
      </c>
      <c r="M1898" s="55" t="s">
        <v>136</v>
      </c>
      <c r="N1898" s="55" t="s">
        <v>136</v>
      </c>
      <c r="O1898" s="55" t="s">
        <v>176</v>
      </c>
      <c r="P1898" s="55" t="s">
        <v>2060</v>
      </c>
      <c r="Q1898" s="55" t="s">
        <v>350</v>
      </c>
      <c r="R1898" s="55">
        <v>68</v>
      </c>
      <c r="S1898" s="55"/>
      <c r="T1898" s="55" t="s">
        <v>596</v>
      </c>
    </row>
    <row r="1899" spans="1:20" ht="13" x14ac:dyDescent="0.15">
      <c r="A1899" s="72" t="str">
        <f t="shared" si="29"/>
        <v>Ofsted Social Care Provider Webpage</v>
      </c>
      <c r="B1899" s="55" t="s">
        <v>2970</v>
      </c>
      <c r="D1899" s="55" t="s">
        <v>373</v>
      </c>
      <c r="E1899" s="74">
        <v>36067</v>
      </c>
      <c r="F1899" s="55" t="s">
        <v>344</v>
      </c>
      <c r="G1899" s="55" t="s">
        <v>360</v>
      </c>
      <c r="H1899" s="55" t="s">
        <v>360</v>
      </c>
      <c r="I1899" s="55" t="s">
        <v>360</v>
      </c>
      <c r="J1899" s="55" t="s">
        <v>360</v>
      </c>
      <c r="K1899" s="55" t="s">
        <v>360</v>
      </c>
      <c r="L1899" s="55" t="s">
        <v>360</v>
      </c>
      <c r="M1899" s="55" t="s">
        <v>144</v>
      </c>
      <c r="N1899" s="55" t="s">
        <v>144</v>
      </c>
      <c r="O1899" s="55" t="s">
        <v>281</v>
      </c>
      <c r="P1899" s="55" t="s">
        <v>556</v>
      </c>
      <c r="Q1899" s="55" t="s">
        <v>350</v>
      </c>
      <c r="R1899" s="55">
        <v>4</v>
      </c>
      <c r="S1899" s="55"/>
      <c r="T1899" s="55" t="s">
        <v>1363</v>
      </c>
    </row>
    <row r="1900" spans="1:20" ht="13" x14ac:dyDescent="0.15">
      <c r="A1900" s="72" t="str">
        <f t="shared" si="29"/>
        <v>Ofsted Social Care Provider Webpage</v>
      </c>
      <c r="B1900" s="55" t="s">
        <v>2971</v>
      </c>
      <c r="C1900" s="55">
        <v>102464</v>
      </c>
      <c r="D1900" s="55" t="s">
        <v>413</v>
      </c>
      <c r="E1900" s="74">
        <v>37306</v>
      </c>
      <c r="F1900" s="55" t="s">
        <v>344</v>
      </c>
      <c r="G1900" s="55" t="s">
        <v>2972</v>
      </c>
      <c r="H1900" s="55" t="s">
        <v>2973</v>
      </c>
      <c r="I1900" s="55" t="s">
        <v>2974</v>
      </c>
      <c r="J1900" s="55" t="s">
        <v>2975</v>
      </c>
      <c r="K1900" s="55" t="s">
        <v>1746</v>
      </c>
      <c r="L1900" s="55" t="s">
        <v>2976</v>
      </c>
      <c r="M1900" s="55" t="s">
        <v>129</v>
      </c>
      <c r="N1900" s="55" t="s">
        <v>129</v>
      </c>
      <c r="O1900" s="55" t="s">
        <v>197</v>
      </c>
      <c r="P1900" s="55" t="s">
        <v>532</v>
      </c>
      <c r="Q1900" s="55" t="s">
        <v>350</v>
      </c>
      <c r="R1900" s="55">
        <v>22</v>
      </c>
      <c r="S1900" s="55"/>
      <c r="T1900" s="55" t="s">
        <v>2972</v>
      </c>
    </row>
    <row r="1901" spans="1:20" ht="13" x14ac:dyDescent="0.15">
      <c r="A1901" s="89" t="str">
        <f t="shared" si="29"/>
        <v>Ofsted Social Care Provider Webpage</v>
      </c>
      <c r="B1901" s="90" t="s">
        <v>2977</v>
      </c>
      <c r="C1901" s="90">
        <v>121221</v>
      </c>
      <c r="D1901" s="90" t="s">
        <v>398</v>
      </c>
      <c r="E1901" s="91">
        <v>37306</v>
      </c>
      <c r="F1901" s="90" t="s">
        <v>344</v>
      </c>
      <c r="G1901" s="90" t="s">
        <v>2978</v>
      </c>
      <c r="H1901" s="90" t="s">
        <v>2979</v>
      </c>
      <c r="I1901" s="90" t="s">
        <v>2980</v>
      </c>
      <c r="J1901" s="90" t="s">
        <v>2981</v>
      </c>
      <c r="K1901" s="90" t="s">
        <v>224</v>
      </c>
      <c r="L1901" s="90" t="s">
        <v>2982</v>
      </c>
      <c r="M1901" s="90" t="s">
        <v>138</v>
      </c>
      <c r="N1901" s="90" t="s">
        <v>138</v>
      </c>
      <c r="O1901" s="90" t="s">
        <v>224</v>
      </c>
      <c r="P1901" s="90" t="s">
        <v>374</v>
      </c>
      <c r="Q1901" s="90" t="s">
        <v>350</v>
      </c>
      <c r="R1901" s="90">
        <v>17</v>
      </c>
      <c r="S1901" s="90"/>
      <c r="T1901" s="90"/>
    </row>
    <row r="1902" spans="1:20" ht="13" x14ac:dyDescent="0.15">
      <c r="A1902" s="72" t="str">
        <f t="shared" si="29"/>
        <v>Ofsted Social Care Provider Webpage</v>
      </c>
      <c r="B1902" s="55" t="s">
        <v>2983</v>
      </c>
      <c r="D1902" s="55" t="s">
        <v>373</v>
      </c>
      <c r="E1902" s="74">
        <v>37370</v>
      </c>
      <c r="F1902" s="55" t="s">
        <v>344</v>
      </c>
      <c r="G1902" s="55" t="s">
        <v>360</v>
      </c>
      <c r="H1902" s="55" t="s">
        <v>360</v>
      </c>
      <c r="I1902" s="55" t="s">
        <v>360</v>
      </c>
      <c r="J1902" s="55" t="s">
        <v>360</v>
      </c>
      <c r="K1902" s="55" t="s">
        <v>360</v>
      </c>
      <c r="L1902" s="55" t="s">
        <v>360</v>
      </c>
      <c r="M1902" s="55" t="s">
        <v>172</v>
      </c>
      <c r="N1902" s="55" t="s">
        <v>172</v>
      </c>
      <c r="O1902" s="55" t="s">
        <v>214</v>
      </c>
      <c r="P1902" s="55" t="s">
        <v>790</v>
      </c>
      <c r="Q1902" s="55" t="s">
        <v>350</v>
      </c>
      <c r="R1902" s="55">
        <v>4</v>
      </c>
      <c r="S1902" s="55"/>
      <c r="T1902" s="55" t="s">
        <v>791</v>
      </c>
    </row>
    <row r="1903" spans="1:20" ht="13" x14ac:dyDescent="0.15">
      <c r="A1903" s="72" t="str">
        <f t="shared" si="29"/>
        <v>Ofsted Social Care Provider Webpage</v>
      </c>
      <c r="B1903" s="55" t="s">
        <v>2984</v>
      </c>
      <c r="D1903" s="55" t="s">
        <v>373</v>
      </c>
      <c r="E1903" s="74">
        <v>37376</v>
      </c>
      <c r="F1903" s="55" t="s">
        <v>344</v>
      </c>
      <c r="G1903" s="55" t="s">
        <v>360</v>
      </c>
      <c r="H1903" s="55" t="s">
        <v>360</v>
      </c>
      <c r="I1903" s="55" t="s">
        <v>360</v>
      </c>
      <c r="J1903" s="55" t="s">
        <v>360</v>
      </c>
      <c r="K1903" s="55" t="s">
        <v>360</v>
      </c>
      <c r="L1903" s="55" t="s">
        <v>360</v>
      </c>
      <c r="M1903" s="55" t="s">
        <v>129</v>
      </c>
      <c r="N1903" s="55" t="s">
        <v>129</v>
      </c>
      <c r="O1903" s="55" t="s">
        <v>191</v>
      </c>
      <c r="P1903" s="55" t="s">
        <v>2985</v>
      </c>
      <c r="Q1903" s="55" t="s">
        <v>350</v>
      </c>
      <c r="R1903" s="55">
        <v>4</v>
      </c>
      <c r="S1903" s="55"/>
    </row>
    <row r="1904" spans="1:20" ht="13" x14ac:dyDescent="0.15">
      <c r="A1904" s="72" t="str">
        <f t="shared" si="29"/>
        <v>Ofsted Social Care Provider Webpage</v>
      </c>
      <c r="B1904" s="55" t="s">
        <v>2986</v>
      </c>
      <c r="D1904" s="55" t="s">
        <v>373</v>
      </c>
      <c r="E1904" s="74">
        <v>37376</v>
      </c>
      <c r="F1904" s="55" t="s">
        <v>344</v>
      </c>
      <c r="G1904" s="55" t="s">
        <v>360</v>
      </c>
      <c r="H1904" s="55" t="s">
        <v>360</v>
      </c>
      <c r="I1904" s="55" t="s">
        <v>360</v>
      </c>
      <c r="J1904" s="55" t="s">
        <v>360</v>
      </c>
      <c r="K1904" s="55" t="s">
        <v>360</v>
      </c>
      <c r="L1904" s="55" t="s">
        <v>360</v>
      </c>
      <c r="M1904" s="55" t="s">
        <v>150</v>
      </c>
      <c r="N1904" s="55" t="s">
        <v>150</v>
      </c>
      <c r="O1904" s="55" t="s">
        <v>268</v>
      </c>
      <c r="P1904" s="55" t="s">
        <v>639</v>
      </c>
      <c r="Q1904" s="55" t="s">
        <v>350</v>
      </c>
      <c r="R1904" s="55">
        <v>4</v>
      </c>
      <c r="S1904" s="55"/>
      <c r="T1904" s="55" t="s">
        <v>2654</v>
      </c>
    </row>
    <row r="1905" spans="1:20" ht="13" x14ac:dyDescent="0.15">
      <c r="A1905" s="72" t="str">
        <f t="shared" si="29"/>
        <v>Ofsted Social Care Provider Webpage</v>
      </c>
      <c r="B1905" s="55" t="s">
        <v>2987</v>
      </c>
      <c r="D1905" s="55" t="s">
        <v>373</v>
      </c>
      <c r="E1905" s="74">
        <v>37377</v>
      </c>
      <c r="F1905" s="55" t="s">
        <v>344</v>
      </c>
      <c r="G1905" s="55" t="s">
        <v>360</v>
      </c>
      <c r="H1905" s="55" t="s">
        <v>360</v>
      </c>
      <c r="I1905" s="55" t="s">
        <v>360</v>
      </c>
      <c r="J1905" s="55" t="s">
        <v>360</v>
      </c>
      <c r="K1905" s="55" t="s">
        <v>360</v>
      </c>
      <c r="L1905" s="55" t="s">
        <v>360</v>
      </c>
      <c r="M1905" s="55" t="s">
        <v>150</v>
      </c>
      <c r="N1905" s="55" t="s">
        <v>150</v>
      </c>
      <c r="O1905" s="55" t="s">
        <v>181</v>
      </c>
      <c r="P1905" s="55" t="s">
        <v>626</v>
      </c>
      <c r="Q1905" s="55" t="s">
        <v>350</v>
      </c>
      <c r="R1905" s="55">
        <v>2</v>
      </c>
      <c r="S1905" s="55"/>
      <c r="T1905" s="55" t="s">
        <v>627</v>
      </c>
    </row>
    <row r="1906" spans="1:20" ht="13" x14ac:dyDescent="0.15">
      <c r="A1906" s="72" t="str">
        <f t="shared" si="29"/>
        <v>Ofsted Social Care Provider Webpage</v>
      </c>
      <c r="B1906" s="55" t="s">
        <v>2988</v>
      </c>
      <c r="D1906" s="55" t="s">
        <v>373</v>
      </c>
      <c r="E1906" s="74">
        <v>37377</v>
      </c>
      <c r="F1906" s="55" t="s">
        <v>344</v>
      </c>
      <c r="G1906" s="55" t="s">
        <v>360</v>
      </c>
      <c r="H1906" s="55" t="s">
        <v>360</v>
      </c>
      <c r="I1906" s="55" t="s">
        <v>360</v>
      </c>
      <c r="J1906" s="55" t="s">
        <v>360</v>
      </c>
      <c r="K1906" s="55" t="s">
        <v>360</v>
      </c>
      <c r="L1906" s="55" t="s">
        <v>360</v>
      </c>
      <c r="M1906" s="55" t="s">
        <v>150</v>
      </c>
      <c r="N1906" s="55" t="s">
        <v>150</v>
      </c>
      <c r="O1906" s="55" t="s">
        <v>181</v>
      </c>
      <c r="P1906" s="55" t="s">
        <v>429</v>
      </c>
      <c r="Q1906" s="55" t="s">
        <v>350</v>
      </c>
      <c r="R1906" s="55">
        <v>2</v>
      </c>
      <c r="S1906" s="55"/>
      <c r="T1906" s="55" t="s">
        <v>627</v>
      </c>
    </row>
    <row r="1907" spans="1:20" ht="13" x14ac:dyDescent="0.15">
      <c r="A1907" s="72" t="str">
        <f t="shared" si="29"/>
        <v>Ofsted Social Care Provider Webpage</v>
      </c>
      <c r="B1907" s="55" t="s">
        <v>2989</v>
      </c>
      <c r="D1907" s="55" t="s">
        <v>373</v>
      </c>
      <c r="E1907" s="74">
        <v>37377</v>
      </c>
      <c r="F1907" s="55" t="s">
        <v>344</v>
      </c>
      <c r="G1907" s="55" t="s">
        <v>360</v>
      </c>
      <c r="H1907" s="55" t="s">
        <v>360</v>
      </c>
      <c r="I1907" s="55" t="s">
        <v>360</v>
      </c>
      <c r="J1907" s="55" t="s">
        <v>360</v>
      </c>
      <c r="K1907" s="55" t="s">
        <v>360</v>
      </c>
      <c r="L1907" s="55" t="s">
        <v>360</v>
      </c>
      <c r="M1907" s="55" t="s">
        <v>129</v>
      </c>
      <c r="N1907" s="55" t="s">
        <v>129</v>
      </c>
      <c r="O1907" s="55" t="s">
        <v>279</v>
      </c>
      <c r="P1907" s="55" t="s">
        <v>2499</v>
      </c>
      <c r="Q1907" s="55" t="s">
        <v>350</v>
      </c>
      <c r="R1907" s="55">
        <v>5</v>
      </c>
      <c r="S1907" s="55"/>
      <c r="T1907" s="55" t="s">
        <v>2990</v>
      </c>
    </row>
    <row r="1908" spans="1:20" ht="13" x14ac:dyDescent="0.15">
      <c r="A1908" s="72" t="str">
        <f t="shared" si="29"/>
        <v>Ofsted Social Care Provider Webpage</v>
      </c>
      <c r="B1908" s="55" t="s">
        <v>2991</v>
      </c>
      <c r="D1908" s="55" t="s">
        <v>373</v>
      </c>
      <c r="E1908" s="74">
        <v>37377</v>
      </c>
      <c r="F1908" s="55" t="s">
        <v>344</v>
      </c>
      <c r="G1908" s="55" t="s">
        <v>360</v>
      </c>
      <c r="H1908" s="55" t="s">
        <v>360</v>
      </c>
      <c r="I1908" s="55" t="s">
        <v>360</v>
      </c>
      <c r="J1908" s="55" t="s">
        <v>360</v>
      </c>
      <c r="K1908" s="55" t="s">
        <v>360</v>
      </c>
      <c r="L1908" s="55" t="s">
        <v>360</v>
      </c>
      <c r="M1908" s="55" t="s">
        <v>138</v>
      </c>
      <c r="N1908" s="55" t="s">
        <v>138</v>
      </c>
      <c r="O1908" s="55" t="s">
        <v>216</v>
      </c>
      <c r="P1908" s="55" t="s">
        <v>1918</v>
      </c>
      <c r="Q1908" s="55" t="s">
        <v>350</v>
      </c>
      <c r="R1908" s="55">
        <v>7</v>
      </c>
      <c r="S1908" s="55"/>
      <c r="T1908" s="55" t="s">
        <v>2992</v>
      </c>
    </row>
    <row r="1909" spans="1:20" ht="13" x14ac:dyDescent="0.15">
      <c r="A1909" s="72" t="str">
        <f t="shared" si="29"/>
        <v>Ofsted Social Care Provider Webpage</v>
      </c>
      <c r="B1909" s="55" t="s">
        <v>2993</v>
      </c>
      <c r="D1909" s="55" t="s">
        <v>373</v>
      </c>
      <c r="E1909" s="74">
        <v>37385</v>
      </c>
      <c r="F1909" s="55" t="s">
        <v>344</v>
      </c>
      <c r="G1909" s="55" t="s">
        <v>360</v>
      </c>
      <c r="H1909" s="55" t="s">
        <v>360</v>
      </c>
      <c r="I1909" s="55" t="s">
        <v>360</v>
      </c>
      <c r="J1909" s="55" t="s">
        <v>360</v>
      </c>
      <c r="K1909" s="55" t="s">
        <v>360</v>
      </c>
      <c r="L1909" s="55" t="s">
        <v>360</v>
      </c>
      <c r="M1909" s="55" t="s">
        <v>136</v>
      </c>
      <c r="N1909" s="55" t="s">
        <v>136</v>
      </c>
      <c r="O1909" s="55" t="s">
        <v>185</v>
      </c>
      <c r="P1909" s="55" t="s">
        <v>1292</v>
      </c>
      <c r="Q1909" s="55" t="s">
        <v>350</v>
      </c>
      <c r="R1909" s="55">
        <v>4</v>
      </c>
      <c r="S1909" s="55"/>
      <c r="T1909" s="55" t="s">
        <v>2994</v>
      </c>
    </row>
    <row r="1910" spans="1:20" ht="13" x14ac:dyDescent="0.15">
      <c r="A1910" s="72" t="str">
        <f t="shared" si="29"/>
        <v>Ofsted Social Care Provider Webpage</v>
      </c>
      <c r="B1910" s="55" t="s">
        <v>2995</v>
      </c>
      <c r="D1910" s="55" t="s">
        <v>373</v>
      </c>
      <c r="E1910" s="74">
        <v>37805</v>
      </c>
      <c r="F1910" s="55" t="s">
        <v>344</v>
      </c>
      <c r="G1910" s="55" t="s">
        <v>360</v>
      </c>
      <c r="H1910" s="55" t="s">
        <v>360</v>
      </c>
      <c r="I1910" s="55" t="s">
        <v>360</v>
      </c>
      <c r="J1910" s="55" t="s">
        <v>360</v>
      </c>
      <c r="K1910" s="55" t="s">
        <v>360</v>
      </c>
      <c r="L1910" s="55" t="s">
        <v>360</v>
      </c>
      <c r="M1910" s="55" t="s">
        <v>142</v>
      </c>
      <c r="N1910" s="55" t="s">
        <v>142</v>
      </c>
      <c r="O1910" s="55" t="s">
        <v>262</v>
      </c>
      <c r="P1910" s="55" t="s">
        <v>1035</v>
      </c>
      <c r="Q1910" s="55" t="s">
        <v>380</v>
      </c>
      <c r="R1910" s="55">
        <v>5</v>
      </c>
      <c r="S1910" s="55"/>
      <c r="T1910" s="55" t="s">
        <v>2996</v>
      </c>
    </row>
    <row r="1911" spans="1:20" ht="13" x14ac:dyDescent="0.15">
      <c r="A1911" s="72" t="str">
        <f t="shared" si="29"/>
        <v>Ofsted Social Care Provider Webpage</v>
      </c>
      <c r="B1911" s="55" t="s">
        <v>2997</v>
      </c>
      <c r="D1911" s="55" t="s">
        <v>373</v>
      </c>
      <c r="E1911" s="74">
        <v>37665</v>
      </c>
      <c r="F1911" s="55" t="s">
        <v>344</v>
      </c>
      <c r="G1911" s="55" t="s">
        <v>360</v>
      </c>
      <c r="H1911" s="55" t="s">
        <v>360</v>
      </c>
      <c r="I1911" s="55" t="s">
        <v>360</v>
      </c>
      <c r="J1911" s="55" t="s">
        <v>360</v>
      </c>
      <c r="K1911" s="55" t="s">
        <v>360</v>
      </c>
      <c r="L1911" s="55" t="s">
        <v>360</v>
      </c>
      <c r="M1911" s="55" t="s">
        <v>172</v>
      </c>
      <c r="N1911" s="55" t="s">
        <v>172</v>
      </c>
      <c r="O1911" s="55" t="s">
        <v>234</v>
      </c>
      <c r="P1911" s="55" t="s">
        <v>965</v>
      </c>
      <c r="Q1911" s="55" t="s">
        <v>350</v>
      </c>
      <c r="R1911" s="55">
        <v>4</v>
      </c>
      <c r="S1911" s="55"/>
      <c r="T1911" s="55" t="s">
        <v>495</v>
      </c>
    </row>
    <row r="1912" spans="1:20" ht="13" x14ac:dyDescent="0.15">
      <c r="A1912" s="72" t="str">
        <f t="shared" si="29"/>
        <v>Ofsted Social Care Provider Webpage</v>
      </c>
      <c r="B1912" s="55" t="s">
        <v>2998</v>
      </c>
      <c r="D1912" s="55" t="s">
        <v>373</v>
      </c>
      <c r="E1912" s="74">
        <v>37398</v>
      </c>
      <c r="F1912" s="55" t="s">
        <v>344</v>
      </c>
      <c r="G1912" s="55" t="s">
        <v>360</v>
      </c>
      <c r="H1912" s="55" t="s">
        <v>360</v>
      </c>
      <c r="I1912" s="55" t="s">
        <v>360</v>
      </c>
      <c r="J1912" s="55" t="s">
        <v>360</v>
      </c>
      <c r="K1912" s="55" t="s">
        <v>360</v>
      </c>
      <c r="L1912" s="55" t="s">
        <v>360</v>
      </c>
      <c r="M1912" s="55" t="s">
        <v>138</v>
      </c>
      <c r="N1912" s="55" t="s">
        <v>138</v>
      </c>
      <c r="O1912" s="55" t="s">
        <v>259</v>
      </c>
      <c r="P1912" s="55" t="s">
        <v>1914</v>
      </c>
      <c r="Q1912" s="55" t="s">
        <v>350</v>
      </c>
      <c r="R1912" s="55">
        <v>6</v>
      </c>
      <c r="S1912" s="55"/>
      <c r="T1912" s="55" t="s">
        <v>638</v>
      </c>
    </row>
    <row r="1913" spans="1:20" ht="13" x14ac:dyDescent="0.15">
      <c r="A1913" s="72" t="str">
        <f t="shared" si="29"/>
        <v>Ofsted Social Care Provider Webpage</v>
      </c>
      <c r="B1913" s="55" t="s">
        <v>2999</v>
      </c>
      <c r="D1913" s="55" t="s">
        <v>373</v>
      </c>
      <c r="E1913" s="74">
        <v>37620</v>
      </c>
      <c r="F1913" s="55" t="s">
        <v>344</v>
      </c>
      <c r="G1913" s="55" t="s">
        <v>360</v>
      </c>
      <c r="H1913" s="55" t="s">
        <v>360</v>
      </c>
      <c r="I1913" s="55" t="s">
        <v>360</v>
      </c>
      <c r="J1913" s="55" t="s">
        <v>360</v>
      </c>
      <c r="K1913" s="55" t="s">
        <v>360</v>
      </c>
      <c r="L1913" s="55" t="s">
        <v>360</v>
      </c>
      <c r="M1913" s="55" t="s">
        <v>150</v>
      </c>
      <c r="N1913" s="55" t="s">
        <v>150</v>
      </c>
      <c r="O1913" s="55" t="s">
        <v>285</v>
      </c>
      <c r="P1913" s="55" t="s">
        <v>1810</v>
      </c>
      <c r="Q1913" s="55" t="s">
        <v>350</v>
      </c>
      <c r="R1913" s="55">
        <v>4</v>
      </c>
      <c r="S1913" s="55"/>
      <c r="T1913" s="55" t="s">
        <v>931</v>
      </c>
    </row>
    <row r="1914" spans="1:20" ht="13" x14ac:dyDescent="0.15">
      <c r="A1914" s="72" t="str">
        <f t="shared" si="29"/>
        <v>Ofsted Social Care Provider Webpage</v>
      </c>
      <c r="B1914" s="55" t="s">
        <v>3000</v>
      </c>
      <c r="D1914" s="55" t="s">
        <v>373</v>
      </c>
      <c r="E1914" s="74">
        <v>38114</v>
      </c>
      <c r="F1914" s="55" t="s">
        <v>344</v>
      </c>
      <c r="G1914" s="55" t="s">
        <v>360</v>
      </c>
      <c r="H1914" s="55" t="s">
        <v>360</v>
      </c>
      <c r="I1914" s="55" t="s">
        <v>360</v>
      </c>
      <c r="J1914" s="55" t="s">
        <v>360</v>
      </c>
      <c r="K1914" s="55" t="s">
        <v>360</v>
      </c>
      <c r="L1914" s="55" t="s">
        <v>360</v>
      </c>
      <c r="M1914" s="55" t="s">
        <v>136</v>
      </c>
      <c r="N1914" s="55" t="s">
        <v>136</v>
      </c>
      <c r="O1914" s="55" t="s">
        <v>255</v>
      </c>
      <c r="P1914" s="55" t="s">
        <v>609</v>
      </c>
      <c r="Q1914" s="55" t="s">
        <v>380</v>
      </c>
      <c r="R1914" s="55">
        <v>6</v>
      </c>
      <c r="S1914" s="55" t="s">
        <v>332</v>
      </c>
      <c r="T1914" s="55" t="s">
        <v>3001</v>
      </c>
    </row>
    <row r="1915" spans="1:20" ht="13" x14ac:dyDescent="0.15">
      <c r="A1915" s="72" t="str">
        <f t="shared" si="29"/>
        <v>Ofsted Social Care Provider Webpage</v>
      </c>
      <c r="B1915" s="55" t="s">
        <v>3002</v>
      </c>
      <c r="D1915" s="55" t="s">
        <v>479</v>
      </c>
      <c r="E1915" s="74">
        <v>37895</v>
      </c>
      <c r="F1915" s="55" t="s">
        <v>344</v>
      </c>
      <c r="G1915" s="55" t="s">
        <v>360</v>
      </c>
      <c r="H1915" s="55" t="s">
        <v>360</v>
      </c>
      <c r="I1915" s="55" t="s">
        <v>360</v>
      </c>
      <c r="J1915" s="55" t="s">
        <v>360</v>
      </c>
      <c r="K1915" s="55" t="s">
        <v>360</v>
      </c>
      <c r="L1915" s="55" t="s">
        <v>360</v>
      </c>
      <c r="M1915" s="55" t="s">
        <v>136</v>
      </c>
      <c r="N1915" s="55" t="s">
        <v>136</v>
      </c>
      <c r="O1915" s="55" t="s">
        <v>185</v>
      </c>
      <c r="P1915" s="55" t="s">
        <v>3003</v>
      </c>
      <c r="Q1915" s="55" t="s">
        <v>362</v>
      </c>
      <c r="R1915" s="55">
        <v>42</v>
      </c>
      <c r="S1915" s="55"/>
      <c r="T1915" s="55" t="s">
        <v>3004</v>
      </c>
    </row>
    <row r="1916" spans="1:20" ht="13" x14ac:dyDescent="0.15">
      <c r="A1916" s="72" t="str">
        <f t="shared" si="29"/>
        <v>Ofsted Social Care Provider Webpage</v>
      </c>
      <c r="B1916" s="55" t="s">
        <v>3005</v>
      </c>
      <c r="D1916" s="55" t="s">
        <v>373</v>
      </c>
      <c r="E1916" s="74">
        <v>38114</v>
      </c>
      <c r="F1916" s="55" t="s">
        <v>344</v>
      </c>
      <c r="G1916" s="55" t="s">
        <v>360</v>
      </c>
      <c r="H1916" s="55" t="s">
        <v>360</v>
      </c>
      <c r="I1916" s="55" t="s">
        <v>360</v>
      </c>
      <c r="J1916" s="55" t="s">
        <v>360</v>
      </c>
      <c r="K1916" s="55" t="s">
        <v>360</v>
      </c>
      <c r="L1916" s="55" t="s">
        <v>360</v>
      </c>
      <c r="M1916" s="55" t="s">
        <v>136</v>
      </c>
      <c r="N1916" s="55" t="s">
        <v>136</v>
      </c>
      <c r="O1916" s="55" t="s">
        <v>255</v>
      </c>
      <c r="P1916" s="55" t="s">
        <v>583</v>
      </c>
      <c r="Q1916" s="55" t="s">
        <v>380</v>
      </c>
      <c r="R1916" s="55">
        <v>6</v>
      </c>
      <c r="S1916" s="55"/>
      <c r="T1916" s="55" t="s">
        <v>3001</v>
      </c>
    </row>
    <row r="1917" spans="1:20" ht="13" x14ac:dyDescent="0.15">
      <c r="A1917" s="72" t="str">
        <f t="shared" si="29"/>
        <v>Ofsted Social Care Provider Webpage</v>
      </c>
      <c r="B1917" s="55" t="s">
        <v>3006</v>
      </c>
      <c r="D1917" s="55" t="s">
        <v>373</v>
      </c>
      <c r="E1917" s="74">
        <v>37610</v>
      </c>
      <c r="F1917" s="55" t="s">
        <v>344</v>
      </c>
      <c r="G1917" s="55" t="s">
        <v>360</v>
      </c>
      <c r="H1917" s="55" t="s">
        <v>360</v>
      </c>
      <c r="I1917" s="55" t="s">
        <v>360</v>
      </c>
      <c r="J1917" s="55" t="s">
        <v>360</v>
      </c>
      <c r="K1917" s="55" t="s">
        <v>360</v>
      </c>
      <c r="L1917" s="55" t="s">
        <v>360</v>
      </c>
      <c r="M1917" s="55" t="s">
        <v>136</v>
      </c>
      <c r="N1917" s="55" t="s">
        <v>136</v>
      </c>
      <c r="O1917" s="55" t="s">
        <v>185</v>
      </c>
      <c r="P1917" s="55" t="s">
        <v>1292</v>
      </c>
      <c r="Q1917" s="55" t="s">
        <v>350</v>
      </c>
      <c r="R1917" s="55">
        <v>5</v>
      </c>
      <c r="S1917" s="55"/>
      <c r="T1917" s="55" t="s">
        <v>2994</v>
      </c>
    </row>
    <row r="1918" spans="1:20" ht="13" x14ac:dyDescent="0.15">
      <c r="A1918" s="72" t="str">
        <f t="shared" si="29"/>
        <v>Ofsted Social Care Provider Webpage</v>
      </c>
      <c r="B1918" s="55" t="s">
        <v>3007</v>
      </c>
      <c r="D1918" s="55" t="s">
        <v>373</v>
      </c>
      <c r="E1918" s="74">
        <v>38302</v>
      </c>
      <c r="F1918" s="55" t="s">
        <v>344</v>
      </c>
      <c r="G1918" s="55" t="s">
        <v>360</v>
      </c>
      <c r="H1918" s="55" t="s">
        <v>360</v>
      </c>
      <c r="I1918" s="55" t="s">
        <v>360</v>
      </c>
      <c r="J1918" s="55" t="s">
        <v>360</v>
      </c>
      <c r="K1918" s="55" t="s">
        <v>360</v>
      </c>
      <c r="L1918" s="55" t="s">
        <v>360</v>
      </c>
      <c r="M1918" s="55" t="s">
        <v>150</v>
      </c>
      <c r="N1918" s="55" t="s">
        <v>150</v>
      </c>
      <c r="O1918" s="55" t="s">
        <v>283</v>
      </c>
      <c r="P1918" s="55" t="s">
        <v>1333</v>
      </c>
      <c r="Q1918" s="55" t="s">
        <v>380</v>
      </c>
      <c r="R1918" s="55">
        <v>6</v>
      </c>
      <c r="S1918" s="55" t="s">
        <v>332</v>
      </c>
      <c r="T1918" s="55" t="s">
        <v>3008</v>
      </c>
    </row>
    <row r="1919" spans="1:20" ht="13" x14ac:dyDescent="0.15">
      <c r="A1919" s="72" t="str">
        <f t="shared" si="29"/>
        <v>Ofsted Social Care Provider Webpage</v>
      </c>
      <c r="B1919" s="55" t="s">
        <v>3009</v>
      </c>
      <c r="D1919" s="55" t="s">
        <v>373</v>
      </c>
      <c r="E1919" s="74">
        <v>38120</v>
      </c>
      <c r="F1919" s="55" t="s">
        <v>344</v>
      </c>
      <c r="G1919" s="55" t="s">
        <v>360</v>
      </c>
      <c r="H1919" s="55" t="s">
        <v>360</v>
      </c>
      <c r="I1919" s="55" t="s">
        <v>360</v>
      </c>
      <c r="J1919" s="55" t="s">
        <v>360</v>
      </c>
      <c r="K1919" s="55" t="s">
        <v>360</v>
      </c>
      <c r="L1919" s="55" t="s">
        <v>360</v>
      </c>
      <c r="M1919" s="55" t="s">
        <v>150</v>
      </c>
      <c r="N1919" s="55" t="s">
        <v>150</v>
      </c>
      <c r="O1919" s="55" t="s">
        <v>291</v>
      </c>
      <c r="P1919" s="55" t="s">
        <v>486</v>
      </c>
      <c r="Q1919" s="55" t="s">
        <v>380</v>
      </c>
      <c r="R1919" s="55">
        <v>5</v>
      </c>
      <c r="S1919" s="55" t="s">
        <v>332</v>
      </c>
      <c r="T1919" s="55" t="s">
        <v>3010</v>
      </c>
    </row>
    <row r="1920" spans="1:20" ht="13" x14ac:dyDescent="0.15">
      <c r="A1920" s="72" t="str">
        <f t="shared" si="29"/>
        <v>Ofsted Social Care Provider Webpage</v>
      </c>
      <c r="B1920" s="55" t="s">
        <v>3011</v>
      </c>
      <c r="D1920" s="55" t="s">
        <v>373</v>
      </c>
      <c r="E1920" s="74">
        <v>37530</v>
      </c>
      <c r="F1920" s="55" t="s">
        <v>344</v>
      </c>
      <c r="G1920" s="55" t="s">
        <v>360</v>
      </c>
      <c r="H1920" s="55" t="s">
        <v>360</v>
      </c>
      <c r="I1920" s="55" t="s">
        <v>360</v>
      </c>
      <c r="J1920" s="55" t="s">
        <v>360</v>
      </c>
      <c r="K1920" s="55" t="s">
        <v>360</v>
      </c>
      <c r="L1920" s="55" t="s">
        <v>360</v>
      </c>
      <c r="M1920" s="55" t="s">
        <v>150</v>
      </c>
      <c r="N1920" s="55" t="s">
        <v>150</v>
      </c>
      <c r="O1920" s="55" t="s">
        <v>203</v>
      </c>
      <c r="P1920" s="55" t="s">
        <v>1268</v>
      </c>
      <c r="Q1920" s="55" t="s">
        <v>350</v>
      </c>
      <c r="R1920" s="55">
        <v>9</v>
      </c>
      <c r="S1920" s="55"/>
      <c r="T1920" s="55" t="s">
        <v>2891</v>
      </c>
    </row>
    <row r="1921" spans="1:20" ht="13" x14ac:dyDescent="0.15">
      <c r="A1921" s="72" t="str">
        <f t="shared" si="29"/>
        <v>Ofsted Social Care Provider Webpage</v>
      </c>
      <c r="B1921" s="55" t="s">
        <v>3012</v>
      </c>
      <c r="D1921" s="55" t="s">
        <v>373</v>
      </c>
      <c r="E1921" s="74">
        <v>37697</v>
      </c>
      <c r="F1921" s="55" t="s">
        <v>344</v>
      </c>
      <c r="G1921" s="55" t="s">
        <v>360</v>
      </c>
      <c r="H1921" s="55" t="s">
        <v>360</v>
      </c>
      <c r="I1921" s="55" t="s">
        <v>360</v>
      </c>
      <c r="J1921" s="55" t="s">
        <v>360</v>
      </c>
      <c r="K1921" s="55" t="s">
        <v>360</v>
      </c>
      <c r="L1921" s="55" t="s">
        <v>360</v>
      </c>
      <c r="M1921" s="55" t="s">
        <v>378</v>
      </c>
      <c r="N1921" s="55" t="s">
        <v>170</v>
      </c>
      <c r="O1921" s="55" t="s">
        <v>193</v>
      </c>
      <c r="P1921" s="55" t="s">
        <v>193</v>
      </c>
      <c r="Q1921" s="55" t="s">
        <v>380</v>
      </c>
      <c r="R1921" s="55">
        <v>8</v>
      </c>
      <c r="S1921" s="55"/>
      <c r="T1921" s="55" t="s">
        <v>1353</v>
      </c>
    </row>
    <row r="1922" spans="1:20" ht="13" x14ac:dyDescent="0.15">
      <c r="A1922" s="72" t="str">
        <f t="shared" si="29"/>
        <v>Ofsted Social Care Provider Webpage</v>
      </c>
      <c r="B1922" s="55" t="s">
        <v>3013</v>
      </c>
      <c r="D1922" s="55" t="s">
        <v>389</v>
      </c>
      <c r="E1922" s="74">
        <v>37649</v>
      </c>
      <c r="F1922" s="55" t="s">
        <v>344</v>
      </c>
      <c r="G1922" s="55" t="s">
        <v>3014</v>
      </c>
      <c r="H1922" s="55" t="s">
        <v>3015</v>
      </c>
      <c r="I1922" s="55" t="s">
        <v>3016</v>
      </c>
      <c r="J1922" s="55" t="s">
        <v>3017</v>
      </c>
      <c r="L1922" s="55" t="s">
        <v>3018</v>
      </c>
      <c r="M1922" s="55" t="s">
        <v>136</v>
      </c>
      <c r="N1922" s="55" t="s">
        <v>136</v>
      </c>
      <c r="O1922" s="55" t="s">
        <v>154</v>
      </c>
      <c r="P1922" s="55" t="s">
        <v>1818</v>
      </c>
      <c r="Q1922" s="55" t="s">
        <v>362</v>
      </c>
      <c r="R1922" s="55"/>
      <c r="S1922" s="55"/>
      <c r="T1922" s="55" t="s">
        <v>367</v>
      </c>
    </row>
    <row r="1923" spans="1:20" ht="13" x14ac:dyDescent="0.15">
      <c r="A1923" s="72" t="str">
        <f t="shared" si="29"/>
        <v>Ofsted Social Care Provider Webpage</v>
      </c>
      <c r="B1923" s="55" t="s">
        <v>3019</v>
      </c>
      <c r="D1923" s="55" t="s">
        <v>373</v>
      </c>
      <c r="E1923" s="74">
        <v>37523</v>
      </c>
      <c r="F1923" s="55" t="s">
        <v>344</v>
      </c>
      <c r="G1923" s="55" t="s">
        <v>360</v>
      </c>
      <c r="H1923" s="55" t="s">
        <v>360</v>
      </c>
      <c r="I1923" s="55" t="s">
        <v>360</v>
      </c>
      <c r="J1923" s="55" t="s">
        <v>360</v>
      </c>
      <c r="K1923" s="55" t="s">
        <v>360</v>
      </c>
      <c r="L1923" s="55" t="s">
        <v>360</v>
      </c>
      <c r="M1923" s="55" t="s">
        <v>378</v>
      </c>
      <c r="N1923" s="55" t="s">
        <v>134</v>
      </c>
      <c r="O1923" s="55" t="s">
        <v>158</v>
      </c>
      <c r="P1923" s="55" t="s">
        <v>912</v>
      </c>
      <c r="Q1923" s="55" t="s">
        <v>350</v>
      </c>
      <c r="R1923" s="55">
        <v>6</v>
      </c>
      <c r="S1923" s="55"/>
      <c r="T1923" s="55" t="s">
        <v>574</v>
      </c>
    </row>
    <row r="1924" spans="1:20" ht="13" x14ac:dyDescent="0.15">
      <c r="A1924" s="72" t="str">
        <f t="shared" si="29"/>
        <v>Ofsted Social Care Provider Webpage</v>
      </c>
      <c r="B1924" s="55" t="s">
        <v>3020</v>
      </c>
      <c r="D1924" s="55" t="s">
        <v>389</v>
      </c>
      <c r="E1924" s="74">
        <v>37866</v>
      </c>
      <c r="F1924" s="55" t="s">
        <v>344</v>
      </c>
      <c r="G1924" s="55" t="s">
        <v>3021</v>
      </c>
      <c r="H1924" s="55" t="s">
        <v>3022</v>
      </c>
      <c r="I1924" s="55" t="s">
        <v>3023</v>
      </c>
      <c r="J1924" s="55" t="s">
        <v>1211</v>
      </c>
      <c r="K1924" s="55" t="s">
        <v>2469</v>
      </c>
      <c r="L1924" s="55" t="s">
        <v>3024</v>
      </c>
      <c r="M1924" s="55" t="s">
        <v>144</v>
      </c>
      <c r="N1924" s="55" t="s">
        <v>144</v>
      </c>
      <c r="O1924" s="55" t="s">
        <v>263</v>
      </c>
      <c r="P1924" s="55" t="s">
        <v>1211</v>
      </c>
      <c r="Q1924" s="55" t="s">
        <v>362</v>
      </c>
      <c r="R1924" s="55"/>
      <c r="S1924" s="55"/>
      <c r="T1924" s="55" t="s">
        <v>2551</v>
      </c>
    </row>
    <row r="1925" spans="1:20" ht="13" x14ac:dyDescent="0.15">
      <c r="A1925" s="72" t="str">
        <f t="shared" ref="A1925:A1988" si="30">HYPERLINK(_xlfn.CONCAT("http://reports.ofsted.gov.uk/inspection-reports/find-inspection-report/provider/CARE/",B1925),"Ofsted Social Care Provider Webpage")</f>
        <v>Ofsted Social Care Provider Webpage</v>
      </c>
      <c r="B1925" s="55" t="s">
        <v>3025</v>
      </c>
      <c r="D1925" s="55" t="s">
        <v>373</v>
      </c>
      <c r="E1925" s="74">
        <v>37833</v>
      </c>
      <c r="F1925" s="55" t="s">
        <v>344</v>
      </c>
      <c r="G1925" s="55" t="s">
        <v>360</v>
      </c>
      <c r="H1925" s="55" t="s">
        <v>360</v>
      </c>
      <c r="I1925" s="55" t="s">
        <v>360</v>
      </c>
      <c r="J1925" s="55" t="s">
        <v>360</v>
      </c>
      <c r="K1925" s="55" t="s">
        <v>360</v>
      </c>
      <c r="L1925" s="55" t="s">
        <v>360</v>
      </c>
      <c r="M1925" s="55" t="s">
        <v>150</v>
      </c>
      <c r="N1925" s="55" t="s">
        <v>150</v>
      </c>
      <c r="O1925" s="55" t="s">
        <v>181</v>
      </c>
      <c r="P1925" s="55" t="s">
        <v>2066</v>
      </c>
      <c r="Q1925" s="55" t="s">
        <v>380</v>
      </c>
      <c r="R1925" s="55">
        <v>7</v>
      </c>
      <c r="S1925" s="55"/>
      <c r="T1925" s="55" t="s">
        <v>3026</v>
      </c>
    </row>
    <row r="1926" spans="1:20" ht="13" x14ac:dyDescent="0.15">
      <c r="A1926" s="72" t="str">
        <f t="shared" si="30"/>
        <v>Ofsted Social Care Provider Webpage</v>
      </c>
      <c r="B1926" s="55" t="s">
        <v>3027</v>
      </c>
      <c r="D1926" s="55" t="s">
        <v>373</v>
      </c>
      <c r="E1926" s="74">
        <v>37708</v>
      </c>
      <c r="F1926" s="55" t="s">
        <v>344</v>
      </c>
      <c r="G1926" s="55" t="s">
        <v>360</v>
      </c>
      <c r="H1926" s="55" t="s">
        <v>360</v>
      </c>
      <c r="I1926" s="55" t="s">
        <v>360</v>
      </c>
      <c r="J1926" s="55" t="s">
        <v>360</v>
      </c>
      <c r="K1926" s="55" t="s">
        <v>360</v>
      </c>
      <c r="L1926" s="55" t="s">
        <v>360</v>
      </c>
      <c r="M1926" s="55" t="s">
        <v>129</v>
      </c>
      <c r="N1926" s="55" t="s">
        <v>129</v>
      </c>
      <c r="O1926" s="55" t="s">
        <v>260</v>
      </c>
      <c r="P1926" s="55" t="s">
        <v>753</v>
      </c>
      <c r="Q1926" s="55" t="s">
        <v>380</v>
      </c>
      <c r="R1926" s="55">
        <v>5</v>
      </c>
      <c r="S1926" s="55" t="s">
        <v>332</v>
      </c>
      <c r="T1926" s="55" t="s">
        <v>3028</v>
      </c>
    </row>
    <row r="1927" spans="1:20" ht="13" x14ac:dyDescent="0.15">
      <c r="A1927" s="72" t="str">
        <f t="shared" si="30"/>
        <v>Ofsted Social Care Provider Webpage</v>
      </c>
      <c r="B1927" s="55" t="s">
        <v>3029</v>
      </c>
      <c r="D1927" s="55" t="s">
        <v>2864</v>
      </c>
      <c r="E1927" s="74">
        <v>37844</v>
      </c>
      <c r="F1927" s="55" t="s">
        <v>344</v>
      </c>
      <c r="G1927" s="55" t="s">
        <v>360</v>
      </c>
      <c r="H1927" s="55" t="s">
        <v>360</v>
      </c>
      <c r="I1927" s="55" t="s">
        <v>360</v>
      </c>
      <c r="J1927" s="55" t="s">
        <v>360</v>
      </c>
      <c r="K1927" s="55" t="s">
        <v>360</v>
      </c>
      <c r="L1927" s="55" t="s">
        <v>360</v>
      </c>
      <c r="M1927" s="55" t="s">
        <v>150</v>
      </c>
      <c r="N1927" s="55" t="s">
        <v>150</v>
      </c>
      <c r="O1927" s="55" t="s">
        <v>181</v>
      </c>
      <c r="P1927" s="55" t="s">
        <v>1142</v>
      </c>
      <c r="Q1927" s="55" t="s">
        <v>380</v>
      </c>
      <c r="R1927" s="55">
        <v>7</v>
      </c>
      <c r="S1927" s="55"/>
      <c r="T1927" s="55" t="s">
        <v>3026</v>
      </c>
    </row>
    <row r="1928" spans="1:20" ht="13" x14ac:dyDescent="0.15">
      <c r="A1928" s="72" t="str">
        <f t="shared" si="30"/>
        <v>Ofsted Social Care Provider Webpage</v>
      </c>
      <c r="B1928" s="55" t="s">
        <v>3030</v>
      </c>
      <c r="D1928" s="55" t="s">
        <v>373</v>
      </c>
      <c r="E1928" s="74">
        <v>37728</v>
      </c>
      <c r="F1928" s="55" t="s">
        <v>344</v>
      </c>
      <c r="G1928" s="55" t="s">
        <v>360</v>
      </c>
      <c r="H1928" s="55" t="s">
        <v>360</v>
      </c>
      <c r="I1928" s="55" t="s">
        <v>360</v>
      </c>
      <c r="J1928" s="55" t="s">
        <v>360</v>
      </c>
      <c r="K1928" s="55" t="s">
        <v>360</v>
      </c>
      <c r="L1928" s="55" t="s">
        <v>360</v>
      </c>
      <c r="M1928" s="55" t="s">
        <v>136</v>
      </c>
      <c r="N1928" s="55" t="s">
        <v>136</v>
      </c>
      <c r="O1928" s="55" t="s">
        <v>154</v>
      </c>
      <c r="P1928" s="55" t="s">
        <v>2290</v>
      </c>
      <c r="Q1928" s="55" t="s">
        <v>380</v>
      </c>
      <c r="R1928" s="55">
        <v>6</v>
      </c>
      <c r="S1928" s="55" t="s">
        <v>332</v>
      </c>
      <c r="T1928" s="55" t="s">
        <v>1687</v>
      </c>
    </row>
    <row r="1929" spans="1:20" ht="13" x14ac:dyDescent="0.15">
      <c r="A1929" s="72" t="str">
        <f t="shared" si="30"/>
        <v>Ofsted Social Care Provider Webpage</v>
      </c>
      <c r="B1929" s="55" t="s">
        <v>3031</v>
      </c>
      <c r="D1929" s="55" t="s">
        <v>389</v>
      </c>
      <c r="E1929" s="74">
        <v>37873</v>
      </c>
      <c r="F1929" s="55" t="s">
        <v>344</v>
      </c>
      <c r="G1929" s="55" t="s">
        <v>3032</v>
      </c>
      <c r="H1929" s="55" t="s">
        <v>3033</v>
      </c>
      <c r="I1929" s="55" t="s">
        <v>3034</v>
      </c>
      <c r="J1929" s="55" t="s">
        <v>3035</v>
      </c>
      <c r="K1929" s="55" t="s">
        <v>1746</v>
      </c>
      <c r="L1929" s="55" t="s">
        <v>3036</v>
      </c>
      <c r="M1929" s="55" t="s">
        <v>129</v>
      </c>
      <c r="N1929" s="55" t="s">
        <v>129</v>
      </c>
      <c r="O1929" s="55" t="s">
        <v>192</v>
      </c>
      <c r="P1929" s="55" t="s">
        <v>718</v>
      </c>
      <c r="Q1929" s="55" t="s">
        <v>350</v>
      </c>
      <c r="R1929" s="55"/>
      <c r="S1929" s="55"/>
      <c r="T1929" s="55" t="s">
        <v>3037</v>
      </c>
    </row>
    <row r="1930" spans="1:20" ht="13" x14ac:dyDescent="0.15">
      <c r="A1930" s="72" t="str">
        <f t="shared" si="30"/>
        <v>Ofsted Social Care Provider Webpage</v>
      </c>
      <c r="B1930" s="55" t="s">
        <v>3038</v>
      </c>
      <c r="D1930" s="55" t="s">
        <v>373</v>
      </c>
      <c r="E1930" s="74">
        <v>37833</v>
      </c>
      <c r="F1930" s="55" t="s">
        <v>344</v>
      </c>
      <c r="G1930" s="55" t="s">
        <v>360</v>
      </c>
      <c r="H1930" s="55" t="s">
        <v>360</v>
      </c>
      <c r="I1930" s="55" t="s">
        <v>360</v>
      </c>
      <c r="J1930" s="55" t="s">
        <v>360</v>
      </c>
      <c r="K1930" s="55" t="s">
        <v>360</v>
      </c>
      <c r="L1930" s="55" t="s">
        <v>360</v>
      </c>
      <c r="M1930" s="55" t="s">
        <v>150</v>
      </c>
      <c r="N1930" s="55" t="s">
        <v>150</v>
      </c>
      <c r="O1930" s="55" t="s">
        <v>181</v>
      </c>
      <c r="P1930" s="55" t="s">
        <v>626</v>
      </c>
      <c r="Q1930" s="55" t="s">
        <v>380</v>
      </c>
      <c r="R1930" s="55">
        <v>8</v>
      </c>
      <c r="S1930" s="55"/>
      <c r="T1930" s="55" t="s">
        <v>3026</v>
      </c>
    </row>
    <row r="1931" spans="1:20" ht="13" x14ac:dyDescent="0.15">
      <c r="A1931" s="72" t="str">
        <f t="shared" si="30"/>
        <v>Ofsted Social Care Provider Webpage</v>
      </c>
      <c r="B1931" s="55" t="s">
        <v>3039</v>
      </c>
      <c r="D1931" s="55" t="s">
        <v>373</v>
      </c>
      <c r="E1931" s="74">
        <v>37847</v>
      </c>
      <c r="F1931" s="55" t="s">
        <v>344</v>
      </c>
      <c r="G1931" s="55" t="s">
        <v>360</v>
      </c>
      <c r="H1931" s="55" t="s">
        <v>360</v>
      </c>
      <c r="I1931" s="55" t="s">
        <v>360</v>
      </c>
      <c r="J1931" s="55" t="s">
        <v>360</v>
      </c>
      <c r="K1931" s="55" t="s">
        <v>360</v>
      </c>
      <c r="L1931" s="55" t="s">
        <v>360</v>
      </c>
      <c r="M1931" s="55" t="s">
        <v>150</v>
      </c>
      <c r="N1931" s="55" t="s">
        <v>150</v>
      </c>
      <c r="O1931" s="55" t="s">
        <v>156</v>
      </c>
      <c r="P1931" s="55" t="s">
        <v>1277</v>
      </c>
      <c r="Q1931" s="55" t="s">
        <v>380</v>
      </c>
      <c r="R1931" s="55">
        <v>6</v>
      </c>
      <c r="S1931" s="55"/>
      <c r="T1931" s="55" t="s">
        <v>1278</v>
      </c>
    </row>
    <row r="1932" spans="1:20" ht="13" x14ac:dyDescent="0.15">
      <c r="A1932" s="72" t="str">
        <f t="shared" si="30"/>
        <v>Ofsted Social Care Provider Webpage</v>
      </c>
      <c r="B1932" s="55" t="s">
        <v>3040</v>
      </c>
      <c r="D1932" s="55" t="s">
        <v>373</v>
      </c>
      <c r="E1932" s="74">
        <v>37469</v>
      </c>
      <c r="F1932" s="55" t="s">
        <v>344</v>
      </c>
      <c r="G1932" s="55" t="s">
        <v>360</v>
      </c>
      <c r="H1932" s="55" t="s">
        <v>360</v>
      </c>
      <c r="I1932" s="55" t="s">
        <v>360</v>
      </c>
      <c r="J1932" s="55" t="s">
        <v>360</v>
      </c>
      <c r="K1932" s="55" t="s">
        <v>360</v>
      </c>
      <c r="L1932" s="55" t="s">
        <v>360</v>
      </c>
      <c r="M1932" s="55" t="s">
        <v>172</v>
      </c>
      <c r="N1932" s="55" t="s">
        <v>172</v>
      </c>
      <c r="O1932" s="55" t="s">
        <v>212</v>
      </c>
      <c r="P1932" s="55" t="s">
        <v>547</v>
      </c>
      <c r="Q1932" s="55" t="s">
        <v>362</v>
      </c>
      <c r="R1932" s="55">
        <v>8</v>
      </c>
      <c r="S1932" s="55" t="s">
        <v>332</v>
      </c>
      <c r="T1932" s="55" t="s">
        <v>3041</v>
      </c>
    </row>
    <row r="1933" spans="1:20" ht="13" x14ac:dyDescent="0.15">
      <c r="A1933" s="72" t="str">
        <f t="shared" si="30"/>
        <v>Ofsted Social Care Provider Webpage</v>
      </c>
      <c r="B1933" s="55" t="s">
        <v>3042</v>
      </c>
      <c r="D1933" s="55" t="s">
        <v>373</v>
      </c>
      <c r="E1933" s="74">
        <v>37434</v>
      </c>
      <c r="F1933" s="55" t="s">
        <v>344</v>
      </c>
      <c r="G1933" s="55" t="s">
        <v>360</v>
      </c>
      <c r="H1933" s="55" t="s">
        <v>360</v>
      </c>
      <c r="I1933" s="55" t="s">
        <v>360</v>
      </c>
      <c r="J1933" s="55" t="s">
        <v>360</v>
      </c>
      <c r="K1933" s="55" t="s">
        <v>360</v>
      </c>
      <c r="L1933" s="55" t="s">
        <v>360</v>
      </c>
      <c r="M1933" s="55" t="s">
        <v>144</v>
      </c>
      <c r="N1933" s="55" t="s">
        <v>144</v>
      </c>
      <c r="O1933" s="55" t="s">
        <v>163</v>
      </c>
      <c r="P1933" s="55" t="s">
        <v>1587</v>
      </c>
      <c r="Q1933" s="55" t="s">
        <v>350</v>
      </c>
      <c r="R1933" s="55">
        <v>3</v>
      </c>
      <c r="S1933" s="55"/>
      <c r="T1933" s="55" t="s">
        <v>2811</v>
      </c>
    </row>
    <row r="1934" spans="1:20" ht="13" x14ac:dyDescent="0.15">
      <c r="A1934" s="72" t="str">
        <f t="shared" si="30"/>
        <v>Ofsted Social Care Provider Webpage</v>
      </c>
      <c r="B1934" s="55" t="s">
        <v>3043</v>
      </c>
      <c r="D1934" s="55" t="s">
        <v>479</v>
      </c>
      <c r="E1934" s="74">
        <v>38217</v>
      </c>
      <c r="F1934" s="55" t="s">
        <v>344</v>
      </c>
      <c r="G1934" s="55" t="s">
        <v>360</v>
      </c>
      <c r="H1934" s="55" t="s">
        <v>360</v>
      </c>
      <c r="I1934" s="55" t="s">
        <v>360</v>
      </c>
      <c r="J1934" s="55" t="s">
        <v>360</v>
      </c>
      <c r="K1934" s="55" t="s">
        <v>360</v>
      </c>
      <c r="L1934" s="55" t="s">
        <v>360</v>
      </c>
      <c r="M1934" s="55" t="s">
        <v>378</v>
      </c>
      <c r="N1934" s="55" t="s">
        <v>134</v>
      </c>
      <c r="O1934" s="55" t="s">
        <v>133</v>
      </c>
      <c r="P1934" s="55" t="s">
        <v>685</v>
      </c>
      <c r="Q1934" s="55" t="s">
        <v>362</v>
      </c>
      <c r="R1934" s="55">
        <v>8</v>
      </c>
      <c r="S1934" s="55"/>
      <c r="T1934" s="55" t="s">
        <v>2804</v>
      </c>
    </row>
    <row r="1935" spans="1:20" ht="13" x14ac:dyDescent="0.15">
      <c r="A1935" s="72" t="str">
        <f t="shared" si="30"/>
        <v>Ofsted Social Care Provider Webpage</v>
      </c>
      <c r="B1935" s="55" t="s">
        <v>3044</v>
      </c>
      <c r="D1935" s="55" t="s">
        <v>373</v>
      </c>
      <c r="E1935" s="74">
        <v>37820</v>
      </c>
      <c r="F1935" s="55" t="s">
        <v>344</v>
      </c>
      <c r="G1935" s="55" t="s">
        <v>360</v>
      </c>
      <c r="H1935" s="55" t="s">
        <v>360</v>
      </c>
      <c r="I1935" s="55" t="s">
        <v>360</v>
      </c>
      <c r="J1935" s="55" t="s">
        <v>360</v>
      </c>
      <c r="K1935" s="55" t="s">
        <v>360</v>
      </c>
      <c r="L1935" s="55" t="s">
        <v>360</v>
      </c>
      <c r="M1935" s="55" t="s">
        <v>136</v>
      </c>
      <c r="N1935" s="55" t="s">
        <v>136</v>
      </c>
      <c r="O1935" s="55" t="s">
        <v>176</v>
      </c>
      <c r="P1935" s="55" t="s">
        <v>526</v>
      </c>
      <c r="Q1935" s="55" t="s">
        <v>380</v>
      </c>
      <c r="R1935" s="55">
        <v>9</v>
      </c>
      <c r="S1935" s="55"/>
      <c r="T1935" s="55" t="s">
        <v>2074</v>
      </c>
    </row>
    <row r="1936" spans="1:20" ht="13" x14ac:dyDescent="0.15">
      <c r="A1936" s="72" t="str">
        <f t="shared" si="30"/>
        <v>Ofsted Social Care Provider Webpage</v>
      </c>
      <c r="B1936" s="55" t="s">
        <v>3045</v>
      </c>
      <c r="D1936" s="55" t="s">
        <v>373</v>
      </c>
      <c r="E1936" s="74">
        <v>37734</v>
      </c>
      <c r="F1936" s="55" t="s">
        <v>344</v>
      </c>
      <c r="G1936" s="55" t="s">
        <v>360</v>
      </c>
      <c r="H1936" s="55" t="s">
        <v>360</v>
      </c>
      <c r="I1936" s="55" t="s">
        <v>360</v>
      </c>
      <c r="J1936" s="55" t="s">
        <v>360</v>
      </c>
      <c r="K1936" s="55" t="s">
        <v>360</v>
      </c>
      <c r="L1936" s="55" t="s">
        <v>360</v>
      </c>
      <c r="M1936" s="55" t="s">
        <v>378</v>
      </c>
      <c r="N1936" s="55" t="s">
        <v>134</v>
      </c>
      <c r="O1936" s="55" t="s">
        <v>175</v>
      </c>
      <c r="P1936" s="55" t="s">
        <v>678</v>
      </c>
      <c r="Q1936" s="55" t="s">
        <v>362</v>
      </c>
      <c r="R1936" s="55">
        <v>10</v>
      </c>
      <c r="S1936" s="55" t="s">
        <v>332</v>
      </c>
      <c r="T1936" s="55" t="s">
        <v>1049</v>
      </c>
    </row>
    <row r="1937" spans="1:20" ht="13" x14ac:dyDescent="0.15">
      <c r="A1937" s="72" t="str">
        <f t="shared" si="30"/>
        <v>Ofsted Social Care Provider Webpage</v>
      </c>
      <c r="B1937" s="55" t="s">
        <v>3046</v>
      </c>
      <c r="D1937" s="55" t="s">
        <v>373</v>
      </c>
      <c r="E1937" s="74">
        <v>37838</v>
      </c>
      <c r="F1937" s="55" t="s">
        <v>344</v>
      </c>
      <c r="G1937" s="55" t="s">
        <v>360</v>
      </c>
      <c r="H1937" s="55" t="s">
        <v>360</v>
      </c>
      <c r="I1937" s="55" t="s">
        <v>360</v>
      </c>
      <c r="J1937" s="55" t="s">
        <v>360</v>
      </c>
      <c r="K1937" s="55" t="s">
        <v>360</v>
      </c>
      <c r="L1937" s="55" t="s">
        <v>360</v>
      </c>
      <c r="M1937" s="55" t="s">
        <v>150</v>
      </c>
      <c r="N1937" s="55" t="s">
        <v>150</v>
      </c>
      <c r="O1937" s="55" t="s">
        <v>153</v>
      </c>
      <c r="P1937" s="55" t="s">
        <v>829</v>
      </c>
      <c r="Q1937" s="55" t="s">
        <v>380</v>
      </c>
      <c r="R1937" s="55">
        <v>5</v>
      </c>
      <c r="S1937" s="55"/>
      <c r="T1937" s="55" t="s">
        <v>3047</v>
      </c>
    </row>
    <row r="1938" spans="1:20" ht="13" x14ac:dyDescent="0.15">
      <c r="A1938" s="72" t="str">
        <f t="shared" si="30"/>
        <v>Ofsted Social Care Provider Webpage</v>
      </c>
      <c r="B1938" s="55" t="s">
        <v>3048</v>
      </c>
      <c r="D1938" s="55" t="s">
        <v>373</v>
      </c>
      <c r="E1938" s="74">
        <v>38036</v>
      </c>
      <c r="F1938" s="55" t="s">
        <v>344</v>
      </c>
      <c r="G1938" s="55" t="s">
        <v>360</v>
      </c>
      <c r="H1938" s="55" t="s">
        <v>360</v>
      </c>
      <c r="I1938" s="55" t="s">
        <v>360</v>
      </c>
      <c r="J1938" s="55" t="s">
        <v>360</v>
      </c>
      <c r="K1938" s="55" t="s">
        <v>360</v>
      </c>
      <c r="L1938" s="55" t="s">
        <v>360</v>
      </c>
      <c r="M1938" s="55" t="s">
        <v>136</v>
      </c>
      <c r="N1938" s="55" t="s">
        <v>136</v>
      </c>
      <c r="O1938" s="55" t="s">
        <v>288</v>
      </c>
      <c r="P1938" s="55" t="s">
        <v>1487</v>
      </c>
      <c r="Q1938" s="55" t="s">
        <v>380</v>
      </c>
      <c r="R1938" s="55">
        <v>7</v>
      </c>
      <c r="S1938" s="55" t="s">
        <v>332</v>
      </c>
      <c r="T1938" s="55" t="s">
        <v>1389</v>
      </c>
    </row>
    <row r="1939" spans="1:20" ht="13" x14ac:dyDescent="0.15">
      <c r="A1939" s="72" t="str">
        <f t="shared" si="30"/>
        <v>Ofsted Social Care Provider Webpage</v>
      </c>
      <c r="B1939" s="55" t="s">
        <v>3049</v>
      </c>
      <c r="D1939" s="55" t="s">
        <v>373</v>
      </c>
      <c r="E1939" s="74">
        <v>37931</v>
      </c>
      <c r="F1939" s="55" t="s">
        <v>344</v>
      </c>
      <c r="G1939" s="55" t="s">
        <v>360</v>
      </c>
      <c r="H1939" s="55" t="s">
        <v>360</v>
      </c>
      <c r="I1939" s="55" t="s">
        <v>360</v>
      </c>
      <c r="J1939" s="55" t="s">
        <v>360</v>
      </c>
      <c r="K1939" s="55" t="s">
        <v>360</v>
      </c>
      <c r="L1939" s="55" t="s">
        <v>360</v>
      </c>
      <c r="M1939" s="55" t="s">
        <v>129</v>
      </c>
      <c r="N1939" s="55" t="s">
        <v>129</v>
      </c>
      <c r="O1939" s="55" t="s">
        <v>279</v>
      </c>
      <c r="P1939" s="55" t="s">
        <v>1078</v>
      </c>
      <c r="Q1939" s="55" t="s">
        <v>350</v>
      </c>
      <c r="R1939" s="55">
        <v>4</v>
      </c>
      <c r="S1939" s="55"/>
      <c r="T1939" s="55" t="s">
        <v>3050</v>
      </c>
    </row>
    <row r="1940" spans="1:20" ht="13" x14ac:dyDescent="0.15">
      <c r="A1940" s="72" t="str">
        <f t="shared" si="30"/>
        <v>Ofsted Social Care Provider Webpage</v>
      </c>
      <c r="B1940" s="55" t="s">
        <v>3051</v>
      </c>
      <c r="D1940" s="55" t="s">
        <v>373</v>
      </c>
      <c r="E1940" s="74">
        <v>37964</v>
      </c>
      <c r="F1940" s="55" t="s">
        <v>344</v>
      </c>
      <c r="G1940" s="55" t="s">
        <v>360</v>
      </c>
      <c r="H1940" s="55" t="s">
        <v>360</v>
      </c>
      <c r="I1940" s="55" t="s">
        <v>360</v>
      </c>
      <c r="J1940" s="55" t="s">
        <v>360</v>
      </c>
      <c r="K1940" s="55" t="s">
        <v>360</v>
      </c>
      <c r="L1940" s="55" t="s">
        <v>360</v>
      </c>
      <c r="M1940" s="55" t="s">
        <v>144</v>
      </c>
      <c r="N1940" s="55" t="s">
        <v>144</v>
      </c>
      <c r="O1940" s="55" t="s">
        <v>276</v>
      </c>
      <c r="P1940" s="55" t="s">
        <v>3052</v>
      </c>
      <c r="Q1940" s="55" t="s">
        <v>380</v>
      </c>
      <c r="R1940" s="55">
        <v>5</v>
      </c>
      <c r="S1940" s="55"/>
      <c r="T1940" s="55" t="s">
        <v>3053</v>
      </c>
    </row>
    <row r="1941" spans="1:20" ht="13" x14ac:dyDescent="0.15">
      <c r="A1941" s="72" t="str">
        <f t="shared" si="30"/>
        <v>Ofsted Social Care Provider Webpage</v>
      </c>
      <c r="B1941" s="55" t="s">
        <v>3054</v>
      </c>
      <c r="D1941" s="55" t="s">
        <v>373</v>
      </c>
      <c r="E1941" s="74">
        <v>38022</v>
      </c>
      <c r="F1941" s="55" t="s">
        <v>344</v>
      </c>
      <c r="G1941" s="55" t="s">
        <v>360</v>
      </c>
      <c r="H1941" s="55" t="s">
        <v>360</v>
      </c>
      <c r="I1941" s="55" t="s">
        <v>360</v>
      </c>
      <c r="J1941" s="55" t="s">
        <v>360</v>
      </c>
      <c r="K1941" s="55" t="s">
        <v>360</v>
      </c>
      <c r="L1941" s="55" t="s">
        <v>360</v>
      </c>
      <c r="M1941" s="55" t="s">
        <v>144</v>
      </c>
      <c r="N1941" s="55" t="s">
        <v>144</v>
      </c>
      <c r="O1941" s="55" t="s">
        <v>276</v>
      </c>
      <c r="P1941" s="55" t="s">
        <v>3052</v>
      </c>
      <c r="Q1941" s="55" t="s">
        <v>380</v>
      </c>
      <c r="R1941" s="55">
        <v>6</v>
      </c>
      <c r="S1941" s="55"/>
      <c r="T1941" s="55" t="s">
        <v>3053</v>
      </c>
    </row>
    <row r="1942" spans="1:20" ht="13" x14ac:dyDescent="0.15">
      <c r="A1942" s="72" t="str">
        <f t="shared" si="30"/>
        <v>Ofsted Social Care Provider Webpage</v>
      </c>
      <c r="B1942" s="55" t="s">
        <v>3055</v>
      </c>
      <c r="D1942" s="55" t="s">
        <v>373</v>
      </c>
      <c r="E1942" s="74">
        <v>37942</v>
      </c>
      <c r="F1942" s="55" t="s">
        <v>344</v>
      </c>
      <c r="G1942" s="55" t="s">
        <v>360</v>
      </c>
      <c r="H1942" s="55" t="s">
        <v>360</v>
      </c>
      <c r="I1942" s="55" t="s">
        <v>360</v>
      </c>
      <c r="J1942" s="55" t="s">
        <v>360</v>
      </c>
      <c r="K1942" s="55" t="s">
        <v>360</v>
      </c>
      <c r="L1942" s="55" t="s">
        <v>360</v>
      </c>
      <c r="M1942" s="55" t="s">
        <v>129</v>
      </c>
      <c r="N1942" s="55" t="s">
        <v>129</v>
      </c>
      <c r="O1942" s="55" t="s">
        <v>197</v>
      </c>
      <c r="P1942" s="55" t="s">
        <v>3056</v>
      </c>
      <c r="Q1942" s="55" t="s">
        <v>380</v>
      </c>
      <c r="R1942" s="55">
        <v>13</v>
      </c>
      <c r="S1942" s="55"/>
      <c r="T1942" s="55" t="s">
        <v>3057</v>
      </c>
    </row>
    <row r="1943" spans="1:20" ht="13" x14ac:dyDescent="0.15">
      <c r="A1943" s="72" t="str">
        <f t="shared" si="30"/>
        <v>Ofsted Social Care Provider Webpage</v>
      </c>
      <c r="B1943" s="55" t="s">
        <v>3058</v>
      </c>
      <c r="D1943" s="55" t="s">
        <v>373</v>
      </c>
      <c r="E1943" s="74">
        <v>37788</v>
      </c>
      <c r="F1943" s="55" t="s">
        <v>344</v>
      </c>
      <c r="G1943" s="55" t="s">
        <v>360</v>
      </c>
      <c r="H1943" s="55" t="s">
        <v>360</v>
      </c>
      <c r="I1943" s="55" t="s">
        <v>360</v>
      </c>
      <c r="J1943" s="55" t="s">
        <v>360</v>
      </c>
      <c r="K1943" s="55" t="s">
        <v>360</v>
      </c>
      <c r="L1943" s="55" t="s">
        <v>360</v>
      </c>
      <c r="M1943" s="55" t="s">
        <v>142</v>
      </c>
      <c r="N1943" s="55" t="s">
        <v>142</v>
      </c>
      <c r="O1943" s="55" t="s">
        <v>265</v>
      </c>
      <c r="P1943" s="55" t="s">
        <v>540</v>
      </c>
      <c r="Q1943" s="55" t="s">
        <v>380</v>
      </c>
      <c r="R1943" s="55">
        <v>6</v>
      </c>
      <c r="S1943" s="55" t="s">
        <v>332</v>
      </c>
      <c r="T1943" s="55" t="s">
        <v>1067</v>
      </c>
    </row>
    <row r="1944" spans="1:20" ht="13" x14ac:dyDescent="0.15">
      <c r="A1944" s="72" t="str">
        <f t="shared" si="30"/>
        <v>Ofsted Social Care Provider Webpage</v>
      </c>
      <c r="B1944" s="55" t="s">
        <v>3059</v>
      </c>
      <c r="D1944" s="55" t="s">
        <v>373</v>
      </c>
      <c r="E1944" s="74">
        <v>37834</v>
      </c>
      <c r="F1944" s="55" t="s">
        <v>344</v>
      </c>
      <c r="G1944" s="55" t="s">
        <v>360</v>
      </c>
      <c r="H1944" s="55" t="s">
        <v>360</v>
      </c>
      <c r="I1944" s="55" t="s">
        <v>360</v>
      </c>
      <c r="J1944" s="55" t="s">
        <v>360</v>
      </c>
      <c r="K1944" s="55" t="s">
        <v>360</v>
      </c>
      <c r="L1944" s="55" t="s">
        <v>360</v>
      </c>
      <c r="M1944" s="55" t="s">
        <v>129</v>
      </c>
      <c r="N1944" s="55" t="s">
        <v>129</v>
      </c>
      <c r="O1944" s="55" t="s">
        <v>198</v>
      </c>
      <c r="P1944" s="55" t="s">
        <v>1287</v>
      </c>
      <c r="Q1944" s="55" t="s">
        <v>380</v>
      </c>
      <c r="R1944" s="55">
        <v>6</v>
      </c>
      <c r="S1944" s="55"/>
      <c r="T1944" s="55" t="s">
        <v>3060</v>
      </c>
    </row>
    <row r="1945" spans="1:20" ht="13" x14ac:dyDescent="0.15">
      <c r="A1945" s="72" t="str">
        <f t="shared" si="30"/>
        <v>Ofsted Social Care Provider Webpage</v>
      </c>
      <c r="B1945" s="55" t="s">
        <v>3061</v>
      </c>
      <c r="D1945" s="55" t="s">
        <v>373</v>
      </c>
      <c r="E1945" s="74">
        <v>37795</v>
      </c>
      <c r="F1945" s="55" t="s">
        <v>344</v>
      </c>
      <c r="G1945" s="55" t="s">
        <v>360</v>
      </c>
      <c r="H1945" s="55" t="s">
        <v>360</v>
      </c>
      <c r="I1945" s="55" t="s">
        <v>360</v>
      </c>
      <c r="J1945" s="55" t="s">
        <v>360</v>
      </c>
      <c r="K1945" s="55" t="s">
        <v>360</v>
      </c>
      <c r="L1945" s="55" t="s">
        <v>360</v>
      </c>
      <c r="M1945" s="55" t="s">
        <v>378</v>
      </c>
      <c r="N1945" s="55" t="s">
        <v>170</v>
      </c>
      <c r="O1945" s="55" t="s">
        <v>257</v>
      </c>
      <c r="P1945" s="55" t="s">
        <v>3062</v>
      </c>
      <c r="Q1945" s="55" t="s">
        <v>380</v>
      </c>
      <c r="R1945" s="55">
        <v>6</v>
      </c>
      <c r="S1945" s="55"/>
      <c r="T1945" s="55" t="s">
        <v>1184</v>
      </c>
    </row>
    <row r="1946" spans="1:20" ht="13" x14ac:dyDescent="0.15">
      <c r="A1946" s="72" t="str">
        <f t="shared" si="30"/>
        <v>Ofsted Social Care Provider Webpage</v>
      </c>
      <c r="B1946" s="55" t="s">
        <v>3063</v>
      </c>
      <c r="D1946" s="55" t="s">
        <v>373</v>
      </c>
      <c r="E1946" s="74">
        <v>37783</v>
      </c>
      <c r="F1946" s="55" t="s">
        <v>344</v>
      </c>
      <c r="G1946" s="55" t="s">
        <v>360</v>
      </c>
      <c r="H1946" s="55" t="s">
        <v>360</v>
      </c>
      <c r="I1946" s="55" t="s">
        <v>360</v>
      </c>
      <c r="J1946" s="55" t="s">
        <v>360</v>
      </c>
      <c r="K1946" s="55" t="s">
        <v>360</v>
      </c>
      <c r="L1946" s="55" t="s">
        <v>360</v>
      </c>
      <c r="M1946" s="55" t="s">
        <v>378</v>
      </c>
      <c r="N1946" s="55" t="s">
        <v>170</v>
      </c>
      <c r="O1946" s="55" t="s">
        <v>257</v>
      </c>
      <c r="P1946" s="55" t="s">
        <v>1183</v>
      </c>
      <c r="Q1946" s="55" t="s">
        <v>380</v>
      </c>
      <c r="R1946" s="55">
        <v>5</v>
      </c>
      <c r="S1946" s="55"/>
      <c r="T1946" s="55" t="s">
        <v>1184</v>
      </c>
    </row>
    <row r="1947" spans="1:20" ht="13" x14ac:dyDescent="0.15">
      <c r="A1947" s="72" t="str">
        <f t="shared" si="30"/>
        <v>Ofsted Social Care Provider Webpage</v>
      </c>
      <c r="B1947" s="55" t="s">
        <v>3064</v>
      </c>
      <c r="D1947" s="55" t="s">
        <v>389</v>
      </c>
      <c r="E1947" s="74">
        <v>37547</v>
      </c>
      <c r="F1947" s="55" t="s">
        <v>344</v>
      </c>
      <c r="G1947" s="55" t="s">
        <v>3065</v>
      </c>
      <c r="H1947" s="55" t="s">
        <v>3066</v>
      </c>
      <c r="I1947" s="55" t="s">
        <v>3067</v>
      </c>
      <c r="J1947" s="55" t="s">
        <v>3068</v>
      </c>
      <c r="K1947" s="55" t="s">
        <v>185</v>
      </c>
      <c r="L1947" s="55" t="s">
        <v>3069</v>
      </c>
      <c r="M1947" s="55" t="s">
        <v>136</v>
      </c>
      <c r="N1947" s="55" t="s">
        <v>136</v>
      </c>
      <c r="O1947" s="55" t="s">
        <v>185</v>
      </c>
      <c r="P1947" s="55" t="s">
        <v>898</v>
      </c>
      <c r="Q1947" s="55" t="s">
        <v>350</v>
      </c>
      <c r="R1947" s="55"/>
      <c r="S1947" s="55"/>
      <c r="T1947" s="55" t="s">
        <v>3070</v>
      </c>
    </row>
    <row r="1948" spans="1:20" ht="13" x14ac:dyDescent="0.15">
      <c r="A1948" s="72" t="str">
        <f t="shared" si="30"/>
        <v>Ofsted Social Care Provider Webpage</v>
      </c>
      <c r="B1948" s="55" t="s">
        <v>3071</v>
      </c>
      <c r="D1948" s="55" t="s">
        <v>479</v>
      </c>
      <c r="E1948" s="74">
        <v>38042</v>
      </c>
      <c r="F1948" s="55" t="s">
        <v>344</v>
      </c>
      <c r="G1948" s="55" t="s">
        <v>360</v>
      </c>
      <c r="H1948" s="55" t="s">
        <v>360</v>
      </c>
      <c r="I1948" s="55" t="s">
        <v>360</v>
      </c>
      <c r="J1948" s="55" t="s">
        <v>360</v>
      </c>
      <c r="K1948" s="55" t="s">
        <v>360</v>
      </c>
      <c r="L1948" s="55" t="s">
        <v>360</v>
      </c>
      <c r="M1948" s="55" t="s">
        <v>144</v>
      </c>
      <c r="N1948" s="55" t="s">
        <v>144</v>
      </c>
      <c r="O1948" s="55" t="s">
        <v>168</v>
      </c>
      <c r="P1948" s="55" t="s">
        <v>834</v>
      </c>
      <c r="Q1948" s="55" t="s">
        <v>350</v>
      </c>
      <c r="R1948" s="55">
        <v>8</v>
      </c>
      <c r="S1948" s="55"/>
      <c r="T1948" s="55" t="s">
        <v>3072</v>
      </c>
    </row>
    <row r="1949" spans="1:20" ht="13" x14ac:dyDescent="0.15">
      <c r="A1949" s="72" t="str">
        <f t="shared" si="30"/>
        <v>Ofsted Social Care Provider Webpage</v>
      </c>
      <c r="B1949" s="55" t="s">
        <v>3073</v>
      </c>
      <c r="C1949" s="55">
        <v>131975</v>
      </c>
      <c r="D1949" s="55" t="s">
        <v>413</v>
      </c>
      <c r="E1949" s="74">
        <v>37447</v>
      </c>
      <c r="F1949" s="55" t="s">
        <v>344</v>
      </c>
      <c r="G1949" s="55" t="s">
        <v>3074</v>
      </c>
      <c r="H1949" s="55" t="s">
        <v>3074</v>
      </c>
      <c r="I1949" s="55" t="s">
        <v>3075</v>
      </c>
      <c r="J1949" s="55" t="s">
        <v>3076</v>
      </c>
      <c r="K1949" s="55" t="s">
        <v>255</v>
      </c>
      <c r="L1949" s="55" t="s">
        <v>3077</v>
      </c>
      <c r="M1949" s="55" t="s">
        <v>136</v>
      </c>
      <c r="N1949" s="55" t="s">
        <v>136</v>
      </c>
      <c r="O1949" s="55" t="s">
        <v>255</v>
      </c>
      <c r="P1949" s="55" t="s">
        <v>609</v>
      </c>
      <c r="Q1949" s="55" t="s">
        <v>350</v>
      </c>
      <c r="R1949" s="55">
        <v>20</v>
      </c>
      <c r="S1949" s="55"/>
      <c r="T1949" s="55" t="s">
        <v>450</v>
      </c>
    </row>
    <row r="1950" spans="1:20" ht="13" x14ac:dyDescent="0.15">
      <c r="A1950" s="72" t="str">
        <f t="shared" si="30"/>
        <v>Ofsted Social Care Provider Webpage</v>
      </c>
      <c r="B1950" s="55" t="s">
        <v>3078</v>
      </c>
      <c r="C1950" s="55">
        <v>131016</v>
      </c>
      <c r="D1950" s="55" t="s">
        <v>413</v>
      </c>
      <c r="E1950" s="74">
        <v>37447</v>
      </c>
      <c r="F1950" s="55" t="s">
        <v>344</v>
      </c>
      <c r="G1950" s="55" t="s">
        <v>3079</v>
      </c>
      <c r="H1950" s="55" t="s">
        <v>1333</v>
      </c>
      <c r="I1950" s="55" t="s">
        <v>3080</v>
      </c>
      <c r="J1950" s="55" t="s">
        <v>3081</v>
      </c>
      <c r="K1950" s="55" t="s">
        <v>255</v>
      </c>
      <c r="L1950" s="55" t="s">
        <v>3082</v>
      </c>
      <c r="M1950" s="55" t="s">
        <v>136</v>
      </c>
      <c r="N1950" s="55" t="s">
        <v>136</v>
      </c>
      <c r="O1950" s="55" t="s">
        <v>255</v>
      </c>
      <c r="P1950" s="55" t="s">
        <v>609</v>
      </c>
      <c r="Q1950" s="55" t="s">
        <v>350</v>
      </c>
      <c r="R1950" s="55">
        <v>8</v>
      </c>
      <c r="S1950" s="55"/>
      <c r="T1950" s="55" t="s">
        <v>450</v>
      </c>
    </row>
    <row r="1951" spans="1:20" ht="13" x14ac:dyDescent="0.15">
      <c r="A1951" s="72" t="str">
        <f t="shared" si="30"/>
        <v>Ofsted Social Care Provider Webpage</v>
      </c>
      <c r="B1951" s="55" t="s">
        <v>3083</v>
      </c>
      <c r="D1951" s="55" t="s">
        <v>373</v>
      </c>
      <c r="E1951" s="74">
        <v>37711</v>
      </c>
      <c r="F1951" s="55" t="s">
        <v>344</v>
      </c>
      <c r="G1951" s="55" t="s">
        <v>360</v>
      </c>
      <c r="H1951" s="55" t="s">
        <v>360</v>
      </c>
      <c r="I1951" s="55" t="s">
        <v>360</v>
      </c>
      <c r="J1951" s="55" t="s">
        <v>360</v>
      </c>
      <c r="K1951" s="55" t="s">
        <v>360</v>
      </c>
      <c r="L1951" s="55" t="s">
        <v>360</v>
      </c>
      <c r="M1951" s="55" t="s">
        <v>142</v>
      </c>
      <c r="N1951" s="55" t="s">
        <v>142</v>
      </c>
      <c r="O1951" s="55" t="s">
        <v>166</v>
      </c>
      <c r="P1951" s="55" t="s">
        <v>1476</v>
      </c>
      <c r="Q1951" s="55" t="s">
        <v>380</v>
      </c>
      <c r="R1951" s="55">
        <v>4</v>
      </c>
      <c r="S1951" s="55" t="s">
        <v>332</v>
      </c>
      <c r="T1951" s="55" t="s">
        <v>1302</v>
      </c>
    </row>
    <row r="1952" spans="1:20" ht="13" x14ac:dyDescent="0.15">
      <c r="A1952" s="72" t="str">
        <f t="shared" si="30"/>
        <v>Ofsted Social Care Provider Webpage</v>
      </c>
      <c r="B1952" s="55" t="s">
        <v>3084</v>
      </c>
      <c r="C1952" s="55">
        <v>123920</v>
      </c>
      <c r="D1952" s="55" t="s">
        <v>413</v>
      </c>
      <c r="E1952" s="74">
        <v>37448</v>
      </c>
      <c r="F1952" s="55" t="s">
        <v>344</v>
      </c>
      <c r="G1952" s="55" t="s">
        <v>3085</v>
      </c>
      <c r="H1952" s="55" t="s">
        <v>3086</v>
      </c>
      <c r="I1952" s="55" t="s">
        <v>3087</v>
      </c>
      <c r="J1952" s="55" t="s">
        <v>3088</v>
      </c>
      <c r="K1952" s="55" t="s">
        <v>255</v>
      </c>
      <c r="L1952" s="55" t="s">
        <v>3089</v>
      </c>
      <c r="M1952" s="55" t="s">
        <v>136</v>
      </c>
      <c r="N1952" s="55" t="s">
        <v>136</v>
      </c>
      <c r="O1952" s="55" t="s">
        <v>255</v>
      </c>
      <c r="P1952" s="55" t="s">
        <v>609</v>
      </c>
      <c r="Q1952" s="55" t="s">
        <v>362</v>
      </c>
      <c r="R1952" s="55">
        <v>23</v>
      </c>
      <c r="S1952" s="55"/>
    </row>
    <row r="1953" spans="1:20" ht="13" x14ac:dyDescent="0.15">
      <c r="A1953" s="72" t="str">
        <f t="shared" si="30"/>
        <v>Ofsted Social Care Provider Webpage</v>
      </c>
      <c r="B1953" s="55" t="s">
        <v>3090</v>
      </c>
      <c r="D1953" s="55" t="s">
        <v>373</v>
      </c>
      <c r="E1953" s="74">
        <v>37994</v>
      </c>
      <c r="F1953" s="55" t="s">
        <v>344</v>
      </c>
      <c r="G1953" s="55" t="s">
        <v>360</v>
      </c>
      <c r="H1953" s="55" t="s">
        <v>360</v>
      </c>
      <c r="I1953" s="55" t="s">
        <v>360</v>
      </c>
      <c r="J1953" s="55" t="s">
        <v>360</v>
      </c>
      <c r="K1953" s="55" t="s">
        <v>360</v>
      </c>
      <c r="L1953" s="55" t="s">
        <v>360</v>
      </c>
      <c r="M1953" s="55" t="s">
        <v>138</v>
      </c>
      <c r="N1953" s="55" t="s">
        <v>138</v>
      </c>
      <c r="O1953" s="55" t="s">
        <v>216</v>
      </c>
      <c r="P1953" s="55" t="s">
        <v>1968</v>
      </c>
      <c r="Q1953" s="55" t="s">
        <v>380</v>
      </c>
      <c r="R1953" s="55">
        <v>5</v>
      </c>
      <c r="S1953" s="55" t="s">
        <v>332</v>
      </c>
      <c r="T1953" s="55" t="s">
        <v>3091</v>
      </c>
    </row>
    <row r="1954" spans="1:20" ht="13" x14ac:dyDescent="0.15">
      <c r="A1954" s="72" t="str">
        <f t="shared" si="30"/>
        <v>Ofsted Social Care Provider Webpage</v>
      </c>
      <c r="B1954" s="55" t="s">
        <v>3092</v>
      </c>
      <c r="D1954" s="55" t="s">
        <v>373</v>
      </c>
      <c r="E1954" s="74">
        <v>38006</v>
      </c>
      <c r="F1954" s="55" t="s">
        <v>344</v>
      </c>
      <c r="G1954" s="55" t="s">
        <v>360</v>
      </c>
      <c r="H1954" s="55" t="s">
        <v>360</v>
      </c>
      <c r="I1954" s="55" t="s">
        <v>360</v>
      </c>
      <c r="J1954" s="55" t="s">
        <v>360</v>
      </c>
      <c r="K1954" s="55" t="s">
        <v>360</v>
      </c>
      <c r="L1954" s="55" t="s">
        <v>360</v>
      </c>
      <c r="M1954" s="55" t="s">
        <v>378</v>
      </c>
      <c r="N1954" s="55" t="s">
        <v>134</v>
      </c>
      <c r="O1954" s="55" t="s">
        <v>225</v>
      </c>
      <c r="P1954" s="55" t="s">
        <v>1667</v>
      </c>
      <c r="Q1954" s="55" t="s">
        <v>380</v>
      </c>
      <c r="R1954" s="55">
        <v>11</v>
      </c>
      <c r="S1954" s="55" t="s">
        <v>332</v>
      </c>
      <c r="T1954" s="55" t="s">
        <v>1668</v>
      </c>
    </row>
    <row r="1955" spans="1:20" ht="13" x14ac:dyDescent="0.15">
      <c r="A1955" s="72" t="str">
        <f t="shared" si="30"/>
        <v>Ofsted Social Care Provider Webpage</v>
      </c>
      <c r="B1955" s="55" t="s">
        <v>3093</v>
      </c>
      <c r="D1955" s="55" t="s">
        <v>373</v>
      </c>
      <c r="E1955" s="74">
        <v>38125</v>
      </c>
      <c r="F1955" s="55" t="s">
        <v>344</v>
      </c>
      <c r="G1955" s="55" t="s">
        <v>360</v>
      </c>
      <c r="H1955" s="55" t="s">
        <v>360</v>
      </c>
      <c r="I1955" s="55" t="s">
        <v>360</v>
      </c>
      <c r="J1955" s="55" t="s">
        <v>360</v>
      </c>
      <c r="K1955" s="55" t="s">
        <v>360</v>
      </c>
      <c r="L1955" s="55" t="s">
        <v>360</v>
      </c>
      <c r="M1955" s="55" t="s">
        <v>378</v>
      </c>
      <c r="N1955" s="55" t="s">
        <v>134</v>
      </c>
      <c r="O1955" s="55" t="s">
        <v>226</v>
      </c>
      <c r="P1955" s="55" t="s">
        <v>3094</v>
      </c>
      <c r="Q1955" s="55" t="s">
        <v>380</v>
      </c>
      <c r="R1955" s="55">
        <v>6</v>
      </c>
      <c r="S1955" s="55" t="s">
        <v>332</v>
      </c>
      <c r="T1955" s="55" t="s">
        <v>3095</v>
      </c>
    </row>
    <row r="1956" spans="1:20" ht="13" x14ac:dyDescent="0.15">
      <c r="A1956" s="72" t="str">
        <f t="shared" si="30"/>
        <v>Ofsted Social Care Provider Webpage</v>
      </c>
      <c r="B1956" s="55" t="s">
        <v>3096</v>
      </c>
      <c r="D1956" s="55" t="s">
        <v>373</v>
      </c>
      <c r="E1956" s="74">
        <v>37960</v>
      </c>
      <c r="F1956" s="55" t="s">
        <v>344</v>
      </c>
      <c r="G1956" s="55" t="s">
        <v>360</v>
      </c>
      <c r="H1956" s="55" t="s">
        <v>360</v>
      </c>
      <c r="I1956" s="55" t="s">
        <v>360</v>
      </c>
      <c r="J1956" s="55" t="s">
        <v>360</v>
      </c>
      <c r="K1956" s="55" t="s">
        <v>360</v>
      </c>
      <c r="L1956" s="55" t="s">
        <v>360</v>
      </c>
      <c r="M1956" s="55" t="s">
        <v>150</v>
      </c>
      <c r="N1956" s="55" t="s">
        <v>150</v>
      </c>
      <c r="O1956" s="55" t="s">
        <v>190</v>
      </c>
      <c r="P1956" s="55" t="s">
        <v>1428</v>
      </c>
      <c r="Q1956" s="55" t="s">
        <v>380</v>
      </c>
      <c r="R1956" s="55">
        <v>5</v>
      </c>
      <c r="S1956" s="55"/>
      <c r="T1956" s="55" t="s">
        <v>967</v>
      </c>
    </row>
    <row r="1957" spans="1:20" ht="13" x14ac:dyDescent="0.15">
      <c r="A1957" s="72" t="str">
        <f t="shared" si="30"/>
        <v>Ofsted Social Care Provider Webpage</v>
      </c>
      <c r="B1957" s="55" t="s">
        <v>3097</v>
      </c>
      <c r="D1957" s="55" t="s">
        <v>389</v>
      </c>
      <c r="E1957" s="74">
        <v>38077</v>
      </c>
      <c r="F1957" s="55" t="s">
        <v>344</v>
      </c>
      <c r="G1957" s="55" t="s">
        <v>3098</v>
      </c>
      <c r="H1957" s="55" t="s">
        <v>3098</v>
      </c>
      <c r="I1957" s="55" t="s">
        <v>3099</v>
      </c>
      <c r="J1957" s="55" t="s">
        <v>3100</v>
      </c>
      <c r="K1957" s="55" t="s">
        <v>3101</v>
      </c>
      <c r="L1957" s="55" t="s">
        <v>3102</v>
      </c>
      <c r="M1957" s="55" t="s">
        <v>378</v>
      </c>
      <c r="N1957" s="55" t="s">
        <v>134</v>
      </c>
      <c r="O1957" s="55" t="s">
        <v>225</v>
      </c>
      <c r="P1957" s="55" t="s">
        <v>1667</v>
      </c>
      <c r="Q1957" s="55" t="s">
        <v>350</v>
      </c>
      <c r="R1957" s="55"/>
      <c r="S1957" s="55"/>
      <c r="T1957" s="55" t="s">
        <v>3103</v>
      </c>
    </row>
    <row r="1958" spans="1:20" ht="13" x14ac:dyDescent="0.15">
      <c r="A1958" s="72" t="str">
        <f t="shared" si="30"/>
        <v>Ofsted Social Care Provider Webpage</v>
      </c>
      <c r="B1958" s="55" t="s">
        <v>3104</v>
      </c>
      <c r="D1958" s="55" t="s">
        <v>389</v>
      </c>
      <c r="E1958" s="74">
        <v>37928</v>
      </c>
      <c r="F1958" s="55" t="s">
        <v>344</v>
      </c>
      <c r="G1958" s="55" t="s">
        <v>3105</v>
      </c>
      <c r="H1958" s="55" t="s">
        <v>3106</v>
      </c>
      <c r="I1958" s="55" t="s">
        <v>3107</v>
      </c>
      <c r="J1958" s="55" t="s">
        <v>3108</v>
      </c>
      <c r="L1958" s="55" t="s">
        <v>3109</v>
      </c>
      <c r="M1958" s="55" t="s">
        <v>144</v>
      </c>
      <c r="N1958" s="55" t="s">
        <v>144</v>
      </c>
      <c r="O1958" s="55" t="s">
        <v>147</v>
      </c>
      <c r="P1958" s="55" t="s">
        <v>387</v>
      </c>
      <c r="Q1958" s="55" t="s">
        <v>350</v>
      </c>
      <c r="R1958" s="55"/>
      <c r="S1958" s="55"/>
      <c r="T1958" s="55" t="s">
        <v>3110</v>
      </c>
    </row>
    <row r="1959" spans="1:20" ht="13" x14ac:dyDescent="0.15">
      <c r="A1959" s="72" t="str">
        <f t="shared" si="30"/>
        <v>Ofsted Social Care Provider Webpage</v>
      </c>
      <c r="B1959" s="55" t="s">
        <v>3111</v>
      </c>
      <c r="D1959" s="55" t="s">
        <v>479</v>
      </c>
      <c r="E1959" s="74">
        <v>38022</v>
      </c>
      <c r="F1959" s="55" t="s">
        <v>344</v>
      </c>
      <c r="G1959" s="55" t="s">
        <v>360</v>
      </c>
      <c r="H1959" s="55" t="s">
        <v>360</v>
      </c>
      <c r="I1959" s="55" t="s">
        <v>360</v>
      </c>
      <c r="J1959" s="55" t="s">
        <v>360</v>
      </c>
      <c r="K1959" s="55" t="s">
        <v>360</v>
      </c>
      <c r="L1959" s="55" t="s">
        <v>360</v>
      </c>
      <c r="M1959" s="55" t="s">
        <v>144</v>
      </c>
      <c r="N1959" s="55" t="s">
        <v>144</v>
      </c>
      <c r="O1959" s="55" t="s">
        <v>168</v>
      </c>
      <c r="P1959" s="55" t="s">
        <v>834</v>
      </c>
      <c r="Q1959" s="55" t="s">
        <v>350</v>
      </c>
      <c r="R1959" s="55">
        <v>12</v>
      </c>
      <c r="S1959" s="55"/>
      <c r="T1959" s="55" t="s">
        <v>3072</v>
      </c>
    </row>
    <row r="1960" spans="1:20" ht="13" x14ac:dyDescent="0.15">
      <c r="A1960" s="72" t="str">
        <f t="shared" si="30"/>
        <v>Ofsted Social Care Provider Webpage</v>
      </c>
      <c r="B1960" s="55" t="s">
        <v>3112</v>
      </c>
      <c r="D1960" s="55" t="s">
        <v>373</v>
      </c>
      <c r="E1960" s="74">
        <v>37901</v>
      </c>
      <c r="F1960" s="55" t="s">
        <v>344</v>
      </c>
      <c r="G1960" s="55" t="s">
        <v>360</v>
      </c>
      <c r="H1960" s="55" t="s">
        <v>360</v>
      </c>
      <c r="I1960" s="55" t="s">
        <v>360</v>
      </c>
      <c r="J1960" s="55" t="s">
        <v>360</v>
      </c>
      <c r="K1960" s="55" t="s">
        <v>360</v>
      </c>
      <c r="L1960" s="55" t="s">
        <v>360</v>
      </c>
      <c r="M1960" s="55" t="s">
        <v>378</v>
      </c>
      <c r="N1960" s="55" t="s">
        <v>134</v>
      </c>
      <c r="O1960" s="55" t="s">
        <v>206</v>
      </c>
      <c r="P1960" s="55" t="s">
        <v>1655</v>
      </c>
      <c r="Q1960" s="55" t="s">
        <v>380</v>
      </c>
      <c r="R1960" s="55">
        <v>4</v>
      </c>
      <c r="S1960" s="55"/>
      <c r="T1960" s="55" t="s">
        <v>3113</v>
      </c>
    </row>
    <row r="1961" spans="1:20" ht="13" x14ac:dyDescent="0.15">
      <c r="A1961" s="72" t="str">
        <f t="shared" si="30"/>
        <v>Ofsted Social Care Provider Webpage</v>
      </c>
      <c r="B1961" s="55" t="s">
        <v>3114</v>
      </c>
      <c r="D1961" s="55" t="s">
        <v>2864</v>
      </c>
      <c r="E1961" s="74">
        <v>37781</v>
      </c>
      <c r="F1961" s="55" t="s">
        <v>344</v>
      </c>
      <c r="G1961" s="55" t="s">
        <v>360</v>
      </c>
      <c r="H1961" s="55" t="s">
        <v>360</v>
      </c>
      <c r="I1961" s="55" t="s">
        <v>360</v>
      </c>
      <c r="J1961" s="55" t="s">
        <v>360</v>
      </c>
      <c r="K1961" s="55" t="s">
        <v>360</v>
      </c>
      <c r="L1961" s="55" t="s">
        <v>360</v>
      </c>
      <c r="M1961" s="55" t="s">
        <v>138</v>
      </c>
      <c r="N1961" s="55" t="s">
        <v>138</v>
      </c>
      <c r="O1961" s="55" t="s">
        <v>238</v>
      </c>
      <c r="P1961" s="55" t="s">
        <v>1080</v>
      </c>
      <c r="Q1961" s="55" t="s">
        <v>380</v>
      </c>
      <c r="R1961" s="55">
        <v>16</v>
      </c>
      <c r="S1961" s="55"/>
      <c r="T1961" s="55" t="s">
        <v>3115</v>
      </c>
    </row>
    <row r="1962" spans="1:20" ht="13" x14ac:dyDescent="0.15">
      <c r="A1962" s="72" t="str">
        <f t="shared" si="30"/>
        <v>Ofsted Social Care Provider Webpage</v>
      </c>
      <c r="B1962" s="55" t="s">
        <v>3116</v>
      </c>
      <c r="D1962" s="55" t="s">
        <v>373</v>
      </c>
      <c r="E1962" s="74">
        <v>37901</v>
      </c>
      <c r="F1962" s="55" t="s">
        <v>344</v>
      </c>
      <c r="G1962" s="55" t="s">
        <v>360</v>
      </c>
      <c r="H1962" s="55" t="s">
        <v>360</v>
      </c>
      <c r="I1962" s="55" t="s">
        <v>360</v>
      </c>
      <c r="J1962" s="55" t="s">
        <v>360</v>
      </c>
      <c r="K1962" s="55" t="s">
        <v>360</v>
      </c>
      <c r="L1962" s="55" t="s">
        <v>360</v>
      </c>
      <c r="M1962" s="55" t="s">
        <v>378</v>
      </c>
      <c r="N1962" s="55" t="s">
        <v>134</v>
      </c>
      <c r="O1962" s="55" t="s">
        <v>206</v>
      </c>
      <c r="P1962" s="55" t="s">
        <v>760</v>
      </c>
      <c r="Q1962" s="55" t="s">
        <v>380</v>
      </c>
      <c r="R1962" s="55">
        <v>4</v>
      </c>
      <c r="S1962" s="55"/>
      <c r="T1962" s="55" t="s">
        <v>3113</v>
      </c>
    </row>
    <row r="1963" spans="1:20" ht="13" x14ac:dyDescent="0.15">
      <c r="A1963" s="72" t="str">
        <f t="shared" si="30"/>
        <v>Ofsted Social Care Provider Webpage</v>
      </c>
      <c r="B1963" s="55" t="s">
        <v>3117</v>
      </c>
      <c r="D1963" s="55" t="s">
        <v>373</v>
      </c>
      <c r="E1963" s="74">
        <v>37819</v>
      </c>
      <c r="F1963" s="55" t="s">
        <v>344</v>
      </c>
      <c r="G1963" s="55" t="s">
        <v>360</v>
      </c>
      <c r="H1963" s="55" t="s">
        <v>360</v>
      </c>
      <c r="I1963" s="55" t="s">
        <v>360</v>
      </c>
      <c r="J1963" s="55" t="s">
        <v>360</v>
      </c>
      <c r="K1963" s="55" t="s">
        <v>360</v>
      </c>
      <c r="L1963" s="55" t="s">
        <v>360</v>
      </c>
      <c r="M1963" s="55" t="s">
        <v>378</v>
      </c>
      <c r="N1963" s="55" t="s">
        <v>134</v>
      </c>
      <c r="O1963" s="55" t="s">
        <v>210</v>
      </c>
      <c r="P1963" s="55" t="s">
        <v>1250</v>
      </c>
      <c r="Q1963" s="55" t="s">
        <v>380</v>
      </c>
      <c r="R1963" s="55">
        <v>5</v>
      </c>
      <c r="S1963" s="55"/>
      <c r="T1963" s="55" t="s">
        <v>543</v>
      </c>
    </row>
    <row r="1964" spans="1:20" ht="13" x14ac:dyDescent="0.15">
      <c r="A1964" s="72" t="str">
        <f t="shared" si="30"/>
        <v>Ofsted Social Care Provider Webpage</v>
      </c>
      <c r="B1964" s="55" t="s">
        <v>3118</v>
      </c>
      <c r="D1964" s="55" t="s">
        <v>373</v>
      </c>
      <c r="E1964" s="74">
        <v>37895</v>
      </c>
      <c r="F1964" s="55" t="s">
        <v>344</v>
      </c>
      <c r="G1964" s="55" t="s">
        <v>360</v>
      </c>
      <c r="H1964" s="55" t="s">
        <v>360</v>
      </c>
      <c r="I1964" s="55" t="s">
        <v>360</v>
      </c>
      <c r="J1964" s="55" t="s">
        <v>360</v>
      </c>
      <c r="K1964" s="55" t="s">
        <v>360</v>
      </c>
      <c r="L1964" s="55" t="s">
        <v>360</v>
      </c>
      <c r="M1964" s="55" t="s">
        <v>378</v>
      </c>
      <c r="N1964" s="55" t="s">
        <v>134</v>
      </c>
      <c r="O1964" s="55" t="s">
        <v>206</v>
      </c>
      <c r="P1964" s="55" t="s">
        <v>750</v>
      </c>
      <c r="Q1964" s="55" t="s">
        <v>380</v>
      </c>
      <c r="R1964" s="55">
        <v>8</v>
      </c>
      <c r="S1964" s="55"/>
      <c r="T1964" s="55" t="s">
        <v>3113</v>
      </c>
    </row>
    <row r="1965" spans="1:20" ht="13" x14ac:dyDescent="0.15">
      <c r="A1965" s="72" t="str">
        <f t="shared" si="30"/>
        <v>Ofsted Social Care Provider Webpage</v>
      </c>
      <c r="B1965" s="55" t="s">
        <v>3119</v>
      </c>
      <c r="D1965" s="55" t="s">
        <v>373</v>
      </c>
      <c r="E1965" s="74">
        <v>37819</v>
      </c>
      <c r="F1965" s="55" t="s">
        <v>344</v>
      </c>
      <c r="G1965" s="55" t="s">
        <v>360</v>
      </c>
      <c r="H1965" s="55" t="s">
        <v>360</v>
      </c>
      <c r="I1965" s="55" t="s">
        <v>360</v>
      </c>
      <c r="J1965" s="55" t="s">
        <v>360</v>
      </c>
      <c r="K1965" s="55" t="s">
        <v>360</v>
      </c>
      <c r="L1965" s="55" t="s">
        <v>360</v>
      </c>
      <c r="M1965" s="55" t="s">
        <v>378</v>
      </c>
      <c r="N1965" s="55" t="s">
        <v>134</v>
      </c>
      <c r="O1965" s="55" t="s">
        <v>210</v>
      </c>
      <c r="P1965" s="55" t="s">
        <v>3120</v>
      </c>
      <c r="Q1965" s="55" t="s">
        <v>380</v>
      </c>
      <c r="R1965" s="55">
        <v>5</v>
      </c>
      <c r="S1965" s="55"/>
      <c r="T1965" s="55" t="s">
        <v>543</v>
      </c>
    </row>
    <row r="1966" spans="1:20" ht="13" x14ac:dyDescent="0.15">
      <c r="A1966" s="72" t="str">
        <f t="shared" si="30"/>
        <v>Ofsted Social Care Provider Webpage</v>
      </c>
      <c r="B1966" s="55" t="s">
        <v>3121</v>
      </c>
      <c r="D1966" s="55" t="s">
        <v>389</v>
      </c>
      <c r="E1966" s="74">
        <v>37889</v>
      </c>
      <c r="F1966" s="55" t="s">
        <v>344</v>
      </c>
      <c r="G1966" s="55" t="s">
        <v>3122</v>
      </c>
      <c r="H1966" s="55" t="s">
        <v>3123</v>
      </c>
      <c r="I1966" s="55" t="s">
        <v>3124</v>
      </c>
      <c r="J1966" s="55" t="s">
        <v>3125</v>
      </c>
      <c r="K1966" s="55" t="s">
        <v>3126</v>
      </c>
      <c r="L1966" s="55" t="s">
        <v>3127</v>
      </c>
      <c r="M1966" s="55" t="s">
        <v>378</v>
      </c>
      <c r="N1966" s="55" t="s">
        <v>170</v>
      </c>
      <c r="O1966" s="55" t="s">
        <v>231</v>
      </c>
      <c r="P1966" s="55" t="s">
        <v>3128</v>
      </c>
      <c r="Q1966" s="55" t="s">
        <v>362</v>
      </c>
      <c r="R1966" s="55"/>
      <c r="S1966" s="55"/>
      <c r="T1966" s="55" t="s">
        <v>3122</v>
      </c>
    </row>
    <row r="1967" spans="1:20" ht="13" x14ac:dyDescent="0.15">
      <c r="A1967" s="72" t="str">
        <f t="shared" si="30"/>
        <v>Ofsted Social Care Provider Webpage</v>
      </c>
      <c r="B1967" s="55" t="s">
        <v>3129</v>
      </c>
      <c r="D1967" s="55" t="s">
        <v>2864</v>
      </c>
      <c r="E1967" s="74">
        <v>37812</v>
      </c>
      <c r="F1967" s="55" t="s">
        <v>344</v>
      </c>
      <c r="G1967" s="55" t="s">
        <v>360</v>
      </c>
      <c r="H1967" s="55" t="s">
        <v>360</v>
      </c>
      <c r="I1967" s="55" t="s">
        <v>360</v>
      </c>
      <c r="J1967" s="55" t="s">
        <v>360</v>
      </c>
      <c r="K1967" s="55" t="s">
        <v>360</v>
      </c>
      <c r="L1967" s="55" t="s">
        <v>360</v>
      </c>
      <c r="M1967" s="55" t="s">
        <v>378</v>
      </c>
      <c r="N1967" s="55" t="s">
        <v>134</v>
      </c>
      <c r="O1967" s="55" t="s">
        <v>210</v>
      </c>
      <c r="P1967" s="55" t="s">
        <v>3120</v>
      </c>
      <c r="Q1967" s="55" t="s">
        <v>380</v>
      </c>
      <c r="R1967" s="55">
        <v>24</v>
      </c>
      <c r="S1967" s="55"/>
      <c r="T1967" s="55" t="s">
        <v>543</v>
      </c>
    </row>
    <row r="1968" spans="1:20" ht="13" x14ac:dyDescent="0.15">
      <c r="A1968" s="72" t="str">
        <f t="shared" si="30"/>
        <v>Ofsted Social Care Provider Webpage</v>
      </c>
      <c r="B1968" s="55" t="s">
        <v>3130</v>
      </c>
      <c r="D1968" s="55" t="s">
        <v>373</v>
      </c>
      <c r="E1968" s="74">
        <v>37797</v>
      </c>
      <c r="F1968" s="55" t="s">
        <v>344</v>
      </c>
      <c r="G1968" s="55" t="s">
        <v>360</v>
      </c>
      <c r="H1968" s="55" t="s">
        <v>360</v>
      </c>
      <c r="I1968" s="55" t="s">
        <v>360</v>
      </c>
      <c r="J1968" s="55" t="s">
        <v>360</v>
      </c>
      <c r="K1968" s="55" t="s">
        <v>360</v>
      </c>
      <c r="L1968" s="55" t="s">
        <v>360</v>
      </c>
      <c r="M1968" s="55" t="s">
        <v>378</v>
      </c>
      <c r="N1968" s="55" t="s">
        <v>170</v>
      </c>
      <c r="O1968" s="55" t="s">
        <v>222</v>
      </c>
      <c r="P1968" s="55" t="s">
        <v>3131</v>
      </c>
      <c r="Q1968" s="55" t="s">
        <v>362</v>
      </c>
      <c r="R1968" s="55">
        <v>8</v>
      </c>
      <c r="S1968" s="55"/>
      <c r="T1968" s="55" t="s">
        <v>3132</v>
      </c>
    </row>
    <row r="1969" spans="1:20" ht="13" x14ac:dyDescent="0.15">
      <c r="A1969" s="72" t="str">
        <f t="shared" si="30"/>
        <v>Ofsted Social Care Provider Webpage</v>
      </c>
      <c r="B1969" s="55" t="s">
        <v>3133</v>
      </c>
      <c r="D1969" s="55" t="s">
        <v>389</v>
      </c>
      <c r="E1969" s="74">
        <v>37699</v>
      </c>
      <c r="F1969" s="55" t="s">
        <v>344</v>
      </c>
      <c r="G1969" s="55" t="s">
        <v>3134</v>
      </c>
      <c r="H1969" s="55" t="s">
        <v>3135</v>
      </c>
      <c r="I1969" s="55" t="s">
        <v>3136</v>
      </c>
      <c r="J1969" s="55" t="s">
        <v>237</v>
      </c>
      <c r="L1969" s="55" t="s">
        <v>3137</v>
      </c>
      <c r="M1969" s="55" t="s">
        <v>150</v>
      </c>
      <c r="N1969" s="55" t="s">
        <v>150</v>
      </c>
      <c r="O1969" s="55" t="s">
        <v>237</v>
      </c>
      <c r="P1969" s="55" t="s">
        <v>3138</v>
      </c>
      <c r="Q1969" s="55" t="s">
        <v>350</v>
      </c>
      <c r="R1969" s="55"/>
      <c r="S1969" s="55"/>
      <c r="T1969" s="55" t="s">
        <v>3139</v>
      </c>
    </row>
    <row r="1970" spans="1:20" ht="13" x14ac:dyDescent="0.15">
      <c r="A1970" s="72" t="str">
        <f t="shared" si="30"/>
        <v>Ofsted Social Care Provider Webpage</v>
      </c>
      <c r="B1970" s="55" t="s">
        <v>3140</v>
      </c>
      <c r="D1970" s="55" t="s">
        <v>373</v>
      </c>
      <c r="E1970" s="74">
        <v>37798</v>
      </c>
      <c r="F1970" s="55" t="s">
        <v>344</v>
      </c>
      <c r="G1970" s="55" t="s">
        <v>360</v>
      </c>
      <c r="H1970" s="55" t="s">
        <v>360</v>
      </c>
      <c r="I1970" s="55" t="s">
        <v>360</v>
      </c>
      <c r="J1970" s="55" t="s">
        <v>360</v>
      </c>
      <c r="K1970" s="55" t="s">
        <v>360</v>
      </c>
      <c r="L1970" s="55" t="s">
        <v>360</v>
      </c>
      <c r="M1970" s="55" t="s">
        <v>378</v>
      </c>
      <c r="N1970" s="55" t="s">
        <v>134</v>
      </c>
      <c r="O1970" s="55" t="s">
        <v>151</v>
      </c>
      <c r="P1970" s="55" t="s">
        <v>3141</v>
      </c>
      <c r="Q1970" s="55" t="s">
        <v>380</v>
      </c>
      <c r="R1970" s="55">
        <v>7</v>
      </c>
      <c r="S1970" s="55"/>
      <c r="T1970" s="55" t="s">
        <v>1220</v>
      </c>
    </row>
    <row r="1971" spans="1:20" ht="13" x14ac:dyDescent="0.15">
      <c r="A1971" s="72" t="str">
        <f t="shared" si="30"/>
        <v>Ofsted Social Care Provider Webpage</v>
      </c>
      <c r="B1971" s="55" t="s">
        <v>3142</v>
      </c>
      <c r="D1971" s="55" t="s">
        <v>373</v>
      </c>
      <c r="E1971" s="74">
        <v>37798</v>
      </c>
      <c r="F1971" s="55" t="s">
        <v>344</v>
      </c>
      <c r="G1971" s="55" t="s">
        <v>360</v>
      </c>
      <c r="H1971" s="55" t="s">
        <v>360</v>
      </c>
      <c r="I1971" s="55" t="s">
        <v>360</v>
      </c>
      <c r="J1971" s="55" t="s">
        <v>360</v>
      </c>
      <c r="K1971" s="55" t="s">
        <v>360</v>
      </c>
      <c r="L1971" s="55" t="s">
        <v>360</v>
      </c>
      <c r="M1971" s="55" t="s">
        <v>378</v>
      </c>
      <c r="N1971" s="55" t="s">
        <v>134</v>
      </c>
      <c r="O1971" s="55" t="s">
        <v>151</v>
      </c>
      <c r="P1971" s="55" t="s">
        <v>1778</v>
      </c>
      <c r="Q1971" s="55" t="s">
        <v>380</v>
      </c>
      <c r="R1971" s="55">
        <v>6</v>
      </c>
      <c r="S1971" s="55"/>
      <c r="T1971" s="55" t="s">
        <v>1220</v>
      </c>
    </row>
    <row r="1972" spans="1:20" ht="13" x14ac:dyDescent="0.15">
      <c r="A1972" s="72" t="str">
        <f t="shared" si="30"/>
        <v>Ofsted Social Care Provider Webpage</v>
      </c>
      <c r="B1972" s="55" t="s">
        <v>3143</v>
      </c>
      <c r="D1972" s="55" t="s">
        <v>389</v>
      </c>
      <c r="E1972" s="74">
        <v>37910</v>
      </c>
      <c r="F1972" s="55" t="s">
        <v>344</v>
      </c>
      <c r="G1972" s="55" t="s">
        <v>3144</v>
      </c>
      <c r="H1972" s="55" t="s">
        <v>3145</v>
      </c>
      <c r="I1972" s="55" t="s">
        <v>3146</v>
      </c>
      <c r="J1972" s="55" t="s">
        <v>3147</v>
      </c>
      <c r="L1972" s="55" t="s">
        <v>3148</v>
      </c>
      <c r="M1972" s="55" t="s">
        <v>378</v>
      </c>
      <c r="N1972" s="55" t="s">
        <v>170</v>
      </c>
      <c r="O1972" s="55" t="s">
        <v>222</v>
      </c>
      <c r="P1972" s="55" t="s">
        <v>2188</v>
      </c>
      <c r="Q1972" s="55" t="s">
        <v>362</v>
      </c>
      <c r="R1972" s="55"/>
      <c r="S1972" s="55"/>
      <c r="T1972" s="55" t="s">
        <v>3132</v>
      </c>
    </row>
    <row r="1973" spans="1:20" ht="13" x14ac:dyDescent="0.15">
      <c r="A1973" s="72" t="str">
        <f t="shared" si="30"/>
        <v>Ofsted Social Care Provider Webpage</v>
      </c>
      <c r="B1973" s="55" t="s">
        <v>3149</v>
      </c>
      <c r="D1973" s="55" t="s">
        <v>373</v>
      </c>
      <c r="E1973" s="74">
        <v>37925</v>
      </c>
      <c r="F1973" s="55" t="s">
        <v>344</v>
      </c>
      <c r="G1973" s="55" t="s">
        <v>360</v>
      </c>
      <c r="H1973" s="55" t="s">
        <v>360</v>
      </c>
      <c r="I1973" s="55" t="s">
        <v>360</v>
      </c>
      <c r="J1973" s="55" t="s">
        <v>360</v>
      </c>
      <c r="K1973" s="55" t="s">
        <v>360</v>
      </c>
      <c r="L1973" s="55" t="s">
        <v>360</v>
      </c>
      <c r="M1973" s="55" t="s">
        <v>144</v>
      </c>
      <c r="N1973" s="55" t="s">
        <v>144</v>
      </c>
      <c r="O1973" s="55" t="s">
        <v>145</v>
      </c>
      <c r="P1973" s="55" t="s">
        <v>525</v>
      </c>
      <c r="Q1973" s="55" t="s">
        <v>380</v>
      </c>
      <c r="R1973" s="55">
        <v>7</v>
      </c>
      <c r="S1973" s="55" t="s">
        <v>332</v>
      </c>
      <c r="T1973" s="55" t="s">
        <v>3150</v>
      </c>
    </row>
    <row r="1974" spans="1:20" ht="13" x14ac:dyDescent="0.15">
      <c r="A1974" s="72" t="str">
        <f t="shared" si="30"/>
        <v>Ofsted Social Care Provider Webpage</v>
      </c>
      <c r="B1974" s="55" t="s">
        <v>3151</v>
      </c>
      <c r="D1974" s="55" t="s">
        <v>373</v>
      </c>
      <c r="E1974" s="74">
        <v>37798</v>
      </c>
      <c r="F1974" s="55" t="s">
        <v>344</v>
      </c>
      <c r="G1974" s="55" t="s">
        <v>360</v>
      </c>
      <c r="H1974" s="55" t="s">
        <v>360</v>
      </c>
      <c r="I1974" s="55" t="s">
        <v>360</v>
      </c>
      <c r="J1974" s="55" t="s">
        <v>360</v>
      </c>
      <c r="K1974" s="55" t="s">
        <v>360</v>
      </c>
      <c r="L1974" s="55" t="s">
        <v>360</v>
      </c>
      <c r="M1974" s="55" t="s">
        <v>378</v>
      </c>
      <c r="N1974" s="55" t="s">
        <v>134</v>
      </c>
      <c r="O1974" s="55" t="s">
        <v>151</v>
      </c>
      <c r="P1974" s="55" t="s">
        <v>1921</v>
      </c>
      <c r="Q1974" s="55" t="s">
        <v>380</v>
      </c>
      <c r="R1974" s="55">
        <v>6</v>
      </c>
      <c r="S1974" s="55" t="s">
        <v>332</v>
      </c>
      <c r="T1974" s="55" t="s">
        <v>1220</v>
      </c>
    </row>
    <row r="1975" spans="1:20" ht="13" x14ac:dyDescent="0.15">
      <c r="A1975" s="72" t="str">
        <f t="shared" si="30"/>
        <v>Ofsted Social Care Provider Webpage</v>
      </c>
      <c r="B1975" s="55" t="s">
        <v>3152</v>
      </c>
      <c r="D1975" s="55" t="s">
        <v>373</v>
      </c>
      <c r="E1975" s="74">
        <v>37679</v>
      </c>
      <c r="F1975" s="55" t="s">
        <v>344</v>
      </c>
      <c r="G1975" s="55" t="s">
        <v>360</v>
      </c>
      <c r="H1975" s="55" t="s">
        <v>360</v>
      </c>
      <c r="I1975" s="55" t="s">
        <v>360</v>
      </c>
      <c r="J1975" s="55" t="s">
        <v>360</v>
      </c>
      <c r="K1975" s="55" t="s">
        <v>360</v>
      </c>
      <c r="L1975" s="55" t="s">
        <v>360</v>
      </c>
      <c r="M1975" s="55" t="s">
        <v>378</v>
      </c>
      <c r="N1975" s="55" t="s">
        <v>170</v>
      </c>
      <c r="O1975" s="55" t="s">
        <v>222</v>
      </c>
      <c r="P1975" s="55" t="s">
        <v>2188</v>
      </c>
      <c r="Q1975" s="55" t="s">
        <v>380</v>
      </c>
      <c r="R1975" s="55">
        <v>6</v>
      </c>
      <c r="S1975" s="55"/>
      <c r="T1975" s="55" t="s">
        <v>687</v>
      </c>
    </row>
    <row r="1976" spans="1:20" ht="13" x14ac:dyDescent="0.15">
      <c r="A1976" s="72" t="str">
        <f t="shared" si="30"/>
        <v>Ofsted Social Care Provider Webpage</v>
      </c>
      <c r="B1976" s="55" t="s">
        <v>3153</v>
      </c>
      <c r="D1976" s="55" t="s">
        <v>373</v>
      </c>
      <c r="E1976" s="74">
        <v>37720</v>
      </c>
      <c r="F1976" s="55" t="s">
        <v>344</v>
      </c>
      <c r="G1976" s="55" t="s">
        <v>360</v>
      </c>
      <c r="H1976" s="55" t="s">
        <v>360</v>
      </c>
      <c r="I1976" s="55" t="s">
        <v>360</v>
      </c>
      <c r="J1976" s="55" t="s">
        <v>360</v>
      </c>
      <c r="K1976" s="55" t="s">
        <v>360</v>
      </c>
      <c r="L1976" s="55" t="s">
        <v>360</v>
      </c>
      <c r="M1976" s="55" t="s">
        <v>378</v>
      </c>
      <c r="N1976" s="55" t="s">
        <v>170</v>
      </c>
      <c r="O1976" s="55" t="s">
        <v>222</v>
      </c>
      <c r="P1976" s="55" t="s">
        <v>3131</v>
      </c>
      <c r="Q1976" s="55" t="s">
        <v>380</v>
      </c>
      <c r="R1976" s="55">
        <v>6</v>
      </c>
      <c r="S1976" s="55" t="s">
        <v>332</v>
      </c>
      <c r="T1976" s="55" t="s">
        <v>687</v>
      </c>
    </row>
    <row r="1977" spans="1:20" ht="13" x14ac:dyDescent="0.15">
      <c r="A1977" s="72" t="str">
        <f t="shared" si="30"/>
        <v>Ofsted Social Care Provider Webpage</v>
      </c>
      <c r="B1977" s="55" t="s">
        <v>3154</v>
      </c>
      <c r="D1977" s="55" t="s">
        <v>373</v>
      </c>
      <c r="E1977" s="74">
        <v>37812</v>
      </c>
      <c r="F1977" s="55" t="s">
        <v>344</v>
      </c>
      <c r="G1977" s="55" t="s">
        <v>360</v>
      </c>
      <c r="H1977" s="55" t="s">
        <v>360</v>
      </c>
      <c r="I1977" s="55" t="s">
        <v>360</v>
      </c>
      <c r="J1977" s="55" t="s">
        <v>360</v>
      </c>
      <c r="K1977" s="55" t="s">
        <v>360</v>
      </c>
      <c r="L1977" s="55" t="s">
        <v>360</v>
      </c>
      <c r="M1977" s="55" t="s">
        <v>378</v>
      </c>
      <c r="N1977" s="55" t="s">
        <v>134</v>
      </c>
      <c r="O1977" s="55" t="s">
        <v>210</v>
      </c>
      <c r="P1977" s="55" t="s">
        <v>1989</v>
      </c>
      <c r="Q1977" s="55" t="s">
        <v>380</v>
      </c>
      <c r="R1977" s="55">
        <v>5</v>
      </c>
      <c r="S1977" s="55"/>
      <c r="T1977" s="55" t="s">
        <v>543</v>
      </c>
    </row>
    <row r="1978" spans="1:20" ht="13" x14ac:dyDescent="0.15">
      <c r="A1978" s="72" t="str">
        <f t="shared" si="30"/>
        <v>Ofsted Social Care Provider Webpage</v>
      </c>
      <c r="B1978" s="55" t="s">
        <v>3155</v>
      </c>
      <c r="D1978" s="55" t="s">
        <v>373</v>
      </c>
      <c r="E1978" s="74">
        <v>37819</v>
      </c>
      <c r="F1978" s="55" t="s">
        <v>344</v>
      </c>
      <c r="G1978" s="55" t="s">
        <v>360</v>
      </c>
      <c r="H1978" s="55" t="s">
        <v>360</v>
      </c>
      <c r="I1978" s="55" t="s">
        <v>360</v>
      </c>
      <c r="J1978" s="55" t="s">
        <v>360</v>
      </c>
      <c r="K1978" s="55" t="s">
        <v>360</v>
      </c>
      <c r="L1978" s="55" t="s">
        <v>360</v>
      </c>
      <c r="M1978" s="55" t="s">
        <v>378</v>
      </c>
      <c r="N1978" s="55" t="s">
        <v>134</v>
      </c>
      <c r="O1978" s="55" t="s">
        <v>210</v>
      </c>
      <c r="P1978" s="55" t="s">
        <v>624</v>
      </c>
      <c r="Q1978" s="55" t="s">
        <v>380</v>
      </c>
      <c r="R1978" s="55">
        <v>5</v>
      </c>
      <c r="S1978" s="55"/>
      <c r="T1978" s="55" t="s">
        <v>543</v>
      </c>
    </row>
    <row r="1979" spans="1:20" ht="13" x14ac:dyDescent="0.15">
      <c r="A1979" s="72" t="str">
        <f t="shared" si="30"/>
        <v>Ofsted Social Care Provider Webpage</v>
      </c>
      <c r="B1979" s="55" t="s">
        <v>3156</v>
      </c>
      <c r="D1979" s="55" t="s">
        <v>389</v>
      </c>
      <c r="E1979" s="74">
        <v>37719</v>
      </c>
      <c r="F1979" s="55" t="s">
        <v>344</v>
      </c>
      <c r="G1979" s="55" t="s">
        <v>3157</v>
      </c>
      <c r="H1979" s="55" t="s">
        <v>3158</v>
      </c>
      <c r="I1979" s="55" t="s">
        <v>3159</v>
      </c>
      <c r="J1979" s="55" t="s">
        <v>3160</v>
      </c>
      <c r="L1979" s="55" t="s">
        <v>3161</v>
      </c>
      <c r="M1979" s="55" t="s">
        <v>172</v>
      </c>
      <c r="N1979" s="55" t="s">
        <v>172</v>
      </c>
      <c r="O1979" s="55" t="s">
        <v>284</v>
      </c>
      <c r="P1979" s="55" t="s">
        <v>357</v>
      </c>
      <c r="Q1979" s="55" t="s">
        <v>350</v>
      </c>
      <c r="R1979" s="55"/>
      <c r="S1979" s="55"/>
      <c r="T1979" s="55" t="s">
        <v>3162</v>
      </c>
    </row>
    <row r="1980" spans="1:20" ht="13" x14ac:dyDescent="0.15">
      <c r="A1980" s="72" t="str">
        <f t="shared" si="30"/>
        <v>Ofsted Social Care Provider Webpage</v>
      </c>
      <c r="B1980" s="55" t="s">
        <v>3163</v>
      </c>
      <c r="D1980" s="55" t="s">
        <v>373</v>
      </c>
      <c r="E1980" s="74">
        <v>38266</v>
      </c>
      <c r="F1980" s="55" t="s">
        <v>344</v>
      </c>
      <c r="G1980" s="55" t="s">
        <v>360</v>
      </c>
      <c r="H1980" s="55" t="s">
        <v>360</v>
      </c>
      <c r="I1980" s="55" t="s">
        <v>360</v>
      </c>
      <c r="J1980" s="55" t="s">
        <v>360</v>
      </c>
      <c r="K1980" s="55" t="s">
        <v>360</v>
      </c>
      <c r="L1980" s="55" t="s">
        <v>360</v>
      </c>
      <c r="M1980" s="55" t="s">
        <v>129</v>
      </c>
      <c r="N1980" s="55" t="s">
        <v>129</v>
      </c>
      <c r="O1980" s="55" t="s">
        <v>131</v>
      </c>
      <c r="P1980" s="55" t="s">
        <v>1721</v>
      </c>
      <c r="Q1980" s="55" t="s">
        <v>380</v>
      </c>
      <c r="R1980" s="55">
        <v>6</v>
      </c>
      <c r="S1980" s="55"/>
      <c r="T1980" s="55" t="s">
        <v>3164</v>
      </c>
    </row>
    <row r="1981" spans="1:20" ht="13" x14ac:dyDescent="0.15">
      <c r="A1981" s="72" t="str">
        <f t="shared" si="30"/>
        <v>Ofsted Social Care Provider Webpage</v>
      </c>
      <c r="B1981" s="55" t="s">
        <v>3165</v>
      </c>
      <c r="D1981" s="55" t="s">
        <v>389</v>
      </c>
      <c r="E1981" s="74">
        <v>37694</v>
      </c>
      <c r="F1981" s="55" t="s">
        <v>344</v>
      </c>
      <c r="G1981" s="55" t="s">
        <v>3166</v>
      </c>
      <c r="H1981" s="55" t="s">
        <v>3167</v>
      </c>
      <c r="I1981" s="55" t="s">
        <v>354</v>
      </c>
      <c r="J1981" s="55" t="s">
        <v>3168</v>
      </c>
      <c r="K1981" s="55" t="s">
        <v>183</v>
      </c>
      <c r="L1981" s="55" t="s">
        <v>3169</v>
      </c>
      <c r="M1981" s="55" t="s">
        <v>129</v>
      </c>
      <c r="N1981" s="55" t="s">
        <v>129</v>
      </c>
      <c r="O1981" s="55" t="s">
        <v>194</v>
      </c>
      <c r="P1981" s="55" t="s">
        <v>1833</v>
      </c>
      <c r="Q1981" s="55" t="s">
        <v>350</v>
      </c>
      <c r="R1981" s="55"/>
      <c r="S1981" s="55"/>
      <c r="T1981" s="55" t="s">
        <v>3170</v>
      </c>
    </row>
    <row r="1982" spans="1:20" ht="13" x14ac:dyDescent="0.15">
      <c r="A1982" s="72" t="str">
        <f t="shared" si="30"/>
        <v>Ofsted Social Care Provider Webpage</v>
      </c>
      <c r="B1982" s="55" t="s">
        <v>3171</v>
      </c>
      <c r="D1982" s="55" t="s">
        <v>373</v>
      </c>
      <c r="E1982" s="74">
        <v>37872</v>
      </c>
      <c r="F1982" s="55" t="s">
        <v>344</v>
      </c>
      <c r="G1982" s="55" t="s">
        <v>360</v>
      </c>
      <c r="H1982" s="55" t="s">
        <v>360</v>
      </c>
      <c r="I1982" s="55" t="s">
        <v>360</v>
      </c>
      <c r="J1982" s="55" t="s">
        <v>360</v>
      </c>
      <c r="K1982" s="55" t="s">
        <v>360</v>
      </c>
      <c r="L1982" s="55" t="s">
        <v>360</v>
      </c>
      <c r="M1982" s="55" t="s">
        <v>378</v>
      </c>
      <c r="N1982" s="55" t="s">
        <v>134</v>
      </c>
      <c r="O1982" s="55" t="s">
        <v>277</v>
      </c>
      <c r="P1982" s="55" t="s">
        <v>277</v>
      </c>
      <c r="Q1982" s="55" t="s">
        <v>380</v>
      </c>
      <c r="R1982" s="55">
        <v>7</v>
      </c>
      <c r="S1982" s="55" t="s">
        <v>332</v>
      </c>
      <c r="T1982" s="55" t="s">
        <v>1575</v>
      </c>
    </row>
    <row r="1983" spans="1:20" ht="13" x14ac:dyDescent="0.15">
      <c r="A1983" s="72" t="str">
        <f t="shared" si="30"/>
        <v>Ofsted Social Care Provider Webpage</v>
      </c>
      <c r="B1983" s="55" t="s">
        <v>3172</v>
      </c>
      <c r="D1983" s="55" t="s">
        <v>373</v>
      </c>
      <c r="E1983" s="74">
        <v>37547</v>
      </c>
      <c r="F1983" s="55" t="s">
        <v>344</v>
      </c>
      <c r="G1983" s="55" t="s">
        <v>360</v>
      </c>
      <c r="H1983" s="55" t="s">
        <v>360</v>
      </c>
      <c r="I1983" s="55" t="s">
        <v>360</v>
      </c>
      <c r="J1983" s="55" t="s">
        <v>360</v>
      </c>
      <c r="K1983" s="55" t="s">
        <v>360</v>
      </c>
      <c r="L1983" s="55" t="s">
        <v>360</v>
      </c>
      <c r="M1983" s="55" t="s">
        <v>172</v>
      </c>
      <c r="N1983" s="55" t="s">
        <v>172</v>
      </c>
      <c r="O1983" s="55" t="s">
        <v>228</v>
      </c>
      <c r="P1983" s="55" t="s">
        <v>991</v>
      </c>
      <c r="Q1983" s="55" t="s">
        <v>350</v>
      </c>
      <c r="R1983" s="55">
        <v>4</v>
      </c>
      <c r="S1983" s="55"/>
      <c r="T1983" s="55" t="s">
        <v>791</v>
      </c>
    </row>
    <row r="1984" spans="1:20" ht="13" x14ac:dyDescent="0.15">
      <c r="A1984" s="72" t="str">
        <f t="shared" si="30"/>
        <v>Ofsted Social Care Provider Webpage</v>
      </c>
      <c r="B1984" s="55" t="s">
        <v>3173</v>
      </c>
      <c r="D1984" s="55" t="s">
        <v>389</v>
      </c>
      <c r="E1984" s="74">
        <v>37784</v>
      </c>
      <c r="F1984" s="55" t="s">
        <v>344</v>
      </c>
      <c r="G1984" s="55" t="s">
        <v>3174</v>
      </c>
      <c r="H1984" s="55" t="s">
        <v>3175</v>
      </c>
      <c r="I1984" s="55" t="s">
        <v>3176</v>
      </c>
      <c r="J1984" s="55" t="s">
        <v>2578</v>
      </c>
      <c r="L1984" s="55" t="s">
        <v>3177</v>
      </c>
      <c r="M1984" s="55" t="s">
        <v>129</v>
      </c>
      <c r="N1984" s="55" t="s">
        <v>129</v>
      </c>
      <c r="O1984" s="55" t="s">
        <v>260</v>
      </c>
      <c r="P1984" s="55" t="s">
        <v>3178</v>
      </c>
      <c r="Q1984" s="55" t="s">
        <v>350</v>
      </c>
      <c r="R1984" s="55"/>
      <c r="S1984" s="55"/>
      <c r="T1984" s="55" t="s">
        <v>3179</v>
      </c>
    </row>
    <row r="1985" spans="1:20" ht="13" x14ac:dyDescent="0.15">
      <c r="A1985" s="72" t="str">
        <f t="shared" si="30"/>
        <v>Ofsted Social Care Provider Webpage</v>
      </c>
      <c r="B1985" s="55" t="s">
        <v>3180</v>
      </c>
      <c r="D1985" s="55" t="s">
        <v>373</v>
      </c>
      <c r="E1985" s="74">
        <v>37740</v>
      </c>
      <c r="F1985" s="55" t="s">
        <v>344</v>
      </c>
      <c r="G1985" s="55" t="s">
        <v>360</v>
      </c>
      <c r="H1985" s="55" t="s">
        <v>360</v>
      </c>
      <c r="I1985" s="55" t="s">
        <v>360</v>
      </c>
      <c r="J1985" s="55" t="s">
        <v>360</v>
      </c>
      <c r="K1985" s="55" t="s">
        <v>360</v>
      </c>
      <c r="L1985" s="55" t="s">
        <v>360</v>
      </c>
      <c r="M1985" s="55" t="s">
        <v>378</v>
      </c>
      <c r="N1985" s="55" t="s">
        <v>170</v>
      </c>
      <c r="O1985" s="55" t="s">
        <v>220</v>
      </c>
      <c r="P1985" s="55" t="s">
        <v>220</v>
      </c>
      <c r="Q1985" s="55" t="s">
        <v>380</v>
      </c>
      <c r="R1985" s="55">
        <v>9</v>
      </c>
      <c r="S1985" s="55" t="s">
        <v>332</v>
      </c>
      <c r="T1985" s="55" t="s">
        <v>1674</v>
      </c>
    </row>
    <row r="1986" spans="1:20" ht="13" x14ac:dyDescent="0.15">
      <c r="A1986" s="72" t="str">
        <f t="shared" si="30"/>
        <v>Ofsted Social Care Provider Webpage</v>
      </c>
      <c r="B1986" s="55" t="s">
        <v>3181</v>
      </c>
      <c r="D1986" s="55" t="s">
        <v>373</v>
      </c>
      <c r="E1986" s="74">
        <v>37686</v>
      </c>
      <c r="F1986" s="55" t="s">
        <v>344</v>
      </c>
      <c r="G1986" s="55" t="s">
        <v>360</v>
      </c>
      <c r="H1986" s="55" t="s">
        <v>360</v>
      </c>
      <c r="I1986" s="55" t="s">
        <v>360</v>
      </c>
      <c r="J1986" s="55" t="s">
        <v>360</v>
      </c>
      <c r="K1986" s="55" t="s">
        <v>360</v>
      </c>
      <c r="L1986" s="55" t="s">
        <v>360</v>
      </c>
      <c r="M1986" s="55" t="s">
        <v>150</v>
      </c>
      <c r="N1986" s="55" t="s">
        <v>150</v>
      </c>
      <c r="O1986" s="55" t="s">
        <v>237</v>
      </c>
      <c r="P1986" s="55" t="s">
        <v>859</v>
      </c>
      <c r="Q1986" s="55" t="s">
        <v>380</v>
      </c>
      <c r="R1986" s="55">
        <v>6</v>
      </c>
      <c r="S1986" s="55"/>
      <c r="T1986" s="55" t="s">
        <v>636</v>
      </c>
    </row>
    <row r="1987" spans="1:20" ht="13" x14ac:dyDescent="0.15">
      <c r="A1987" s="72" t="str">
        <f t="shared" si="30"/>
        <v>Ofsted Social Care Provider Webpage</v>
      </c>
      <c r="B1987" s="55" t="s">
        <v>3182</v>
      </c>
      <c r="D1987" s="55" t="s">
        <v>373</v>
      </c>
      <c r="E1987" s="74">
        <v>37942</v>
      </c>
      <c r="F1987" s="55" t="s">
        <v>344</v>
      </c>
      <c r="G1987" s="55" t="s">
        <v>360</v>
      </c>
      <c r="H1987" s="55" t="s">
        <v>360</v>
      </c>
      <c r="I1987" s="55" t="s">
        <v>360</v>
      </c>
      <c r="J1987" s="55" t="s">
        <v>360</v>
      </c>
      <c r="K1987" s="55" t="s">
        <v>360</v>
      </c>
      <c r="L1987" s="55" t="s">
        <v>360</v>
      </c>
      <c r="M1987" s="55" t="s">
        <v>129</v>
      </c>
      <c r="N1987" s="55" t="s">
        <v>129</v>
      </c>
      <c r="O1987" s="55" t="s">
        <v>192</v>
      </c>
      <c r="P1987" s="55" t="s">
        <v>718</v>
      </c>
      <c r="Q1987" s="55" t="s">
        <v>380</v>
      </c>
      <c r="R1987" s="55">
        <v>5</v>
      </c>
      <c r="S1987" s="55" t="s">
        <v>332</v>
      </c>
      <c r="T1987" s="55" t="s">
        <v>3183</v>
      </c>
    </row>
    <row r="1988" spans="1:20" ht="13" x14ac:dyDescent="0.15">
      <c r="A1988" s="72" t="str">
        <f t="shared" si="30"/>
        <v>Ofsted Social Care Provider Webpage</v>
      </c>
      <c r="B1988" s="55" t="s">
        <v>3184</v>
      </c>
      <c r="D1988" s="55" t="s">
        <v>389</v>
      </c>
      <c r="E1988" s="74">
        <v>37865</v>
      </c>
      <c r="F1988" s="55" t="s">
        <v>344</v>
      </c>
      <c r="G1988" s="55" t="s">
        <v>3185</v>
      </c>
      <c r="H1988" s="55" t="s">
        <v>3186</v>
      </c>
      <c r="I1988" s="55" t="s">
        <v>3187</v>
      </c>
      <c r="J1988" s="55" t="s">
        <v>3188</v>
      </c>
      <c r="K1988" s="55" t="s">
        <v>293</v>
      </c>
      <c r="L1988" s="55" t="s">
        <v>3189</v>
      </c>
      <c r="M1988" s="55" t="s">
        <v>142</v>
      </c>
      <c r="N1988" s="55" t="s">
        <v>142</v>
      </c>
      <c r="O1988" s="55" t="s">
        <v>195</v>
      </c>
      <c r="P1988" s="55" t="s">
        <v>518</v>
      </c>
      <c r="Q1988" s="55" t="s">
        <v>350</v>
      </c>
      <c r="R1988" s="55"/>
      <c r="S1988" s="55"/>
      <c r="T1988" s="55" t="s">
        <v>450</v>
      </c>
    </row>
    <row r="1989" spans="1:20" ht="13" x14ac:dyDescent="0.15">
      <c r="A1989" s="72" t="str">
        <f t="shared" ref="A1989:A2052" si="31">HYPERLINK(_xlfn.CONCAT("http://reports.ofsted.gov.uk/inspection-reports/find-inspection-report/provider/CARE/",B1989),"Ofsted Social Care Provider Webpage")</f>
        <v>Ofsted Social Care Provider Webpage</v>
      </c>
      <c r="B1989" s="55" t="s">
        <v>3190</v>
      </c>
      <c r="D1989" s="55" t="s">
        <v>389</v>
      </c>
      <c r="E1989" s="74">
        <v>37706</v>
      </c>
      <c r="F1989" s="55" t="s">
        <v>344</v>
      </c>
      <c r="G1989" s="55" t="s">
        <v>3191</v>
      </c>
      <c r="H1989" s="55" t="s">
        <v>3192</v>
      </c>
      <c r="I1989" s="55" t="s">
        <v>3193</v>
      </c>
      <c r="J1989" s="55" t="s">
        <v>3194</v>
      </c>
      <c r="L1989" s="55" t="s">
        <v>3195</v>
      </c>
      <c r="M1989" s="55" t="s">
        <v>378</v>
      </c>
      <c r="N1989" s="55" t="s">
        <v>170</v>
      </c>
      <c r="O1989" s="55" t="s">
        <v>233</v>
      </c>
      <c r="P1989" s="55" t="s">
        <v>1376</v>
      </c>
      <c r="Q1989" s="55" t="s">
        <v>362</v>
      </c>
      <c r="R1989" s="55"/>
      <c r="S1989" s="55"/>
      <c r="T1989" s="55" t="s">
        <v>3196</v>
      </c>
    </row>
    <row r="1990" spans="1:20" ht="13" x14ac:dyDescent="0.15">
      <c r="A1990" s="72" t="str">
        <f t="shared" si="31"/>
        <v>Ofsted Social Care Provider Webpage</v>
      </c>
      <c r="B1990" s="55" t="s">
        <v>3197</v>
      </c>
      <c r="D1990" s="55" t="s">
        <v>373</v>
      </c>
      <c r="E1990" s="74">
        <v>37874</v>
      </c>
      <c r="F1990" s="55" t="s">
        <v>344</v>
      </c>
      <c r="G1990" s="55" t="s">
        <v>360</v>
      </c>
      <c r="H1990" s="55" t="s">
        <v>360</v>
      </c>
      <c r="I1990" s="55" t="s">
        <v>360</v>
      </c>
      <c r="J1990" s="55" t="s">
        <v>360</v>
      </c>
      <c r="K1990" s="55" t="s">
        <v>360</v>
      </c>
      <c r="L1990" s="55" t="s">
        <v>360</v>
      </c>
      <c r="M1990" s="55" t="s">
        <v>144</v>
      </c>
      <c r="N1990" s="55" t="s">
        <v>144</v>
      </c>
      <c r="O1990" s="55" t="s">
        <v>271</v>
      </c>
      <c r="P1990" s="55" t="s">
        <v>870</v>
      </c>
      <c r="Q1990" s="55" t="s">
        <v>380</v>
      </c>
      <c r="R1990" s="55">
        <v>3</v>
      </c>
      <c r="S1990" s="55"/>
      <c r="T1990" s="55" t="s">
        <v>1121</v>
      </c>
    </row>
    <row r="1991" spans="1:20" ht="13" x14ac:dyDescent="0.15">
      <c r="A1991" s="72" t="str">
        <f t="shared" si="31"/>
        <v>Ofsted Social Care Provider Webpage</v>
      </c>
      <c r="B1991" s="55" t="s">
        <v>3198</v>
      </c>
      <c r="D1991" s="55" t="s">
        <v>373</v>
      </c>
      <c r="E1991" s="74">
        <v>37824</v>
      </c>
      <c r="F1991" s="55" t="s">
        <v>344</v>
      </c>
      <c r="G1991" s="55" t="s">
        <v>360</v>
      </c>
      <c r="H1991" s="55" t="s">
        <v>360</v>
      </c>
      <c r="I1991" s="55" t="s">
        <v>360</v>
      </c>
      <c r="J1991" s="55" t="s">
        <v>360</v>
      </c>
      <c r="K1991" s="55" t="s">
        <v>360</v>
      </c>
      <c r="L1991" s="55" t="s">
        <v>360</v>
      </c>
      <c r="M1991" s="55" t="s">
        <v>144</v>
      </c>
      <c r="N1991" s="55" t="s">
        <v>144</v>
      </c>
      <c r="O1991" s="55" t="s">
        <v>168</v>
      </c>
      <c r="P1991" s="55" t="s">
        <v>3199</v>
      </c>
      <c r="Q1991" s="55" t="s">
        <v>380</v>
      </c>
      <c r="R1991" s="55">
        <v>6</v>
      </c>
      <c r="S1991" s="55"/>
      <c r="T1991" s="55" t="s">
        <v>1432</v>
      </c>
    </row>
    <row r="1992" spans="1:20" ht="13" x14ac:dyDescent="0.15">
      <c r="A1992" s="72" t="str">
        <f t="shared" si="31"/>
        <v>Ofsted Social Care Provider Webpage</v>
      </c>
      <c r="B1992" s="55" t="s">
        <v>3200</v>
      </c>
      <c r="D1992" s="55" t="s">
        <v>389</v>
      </c>
      <c r="E1992" s="74">
        <v>37834</v>
      </c>
      <c r="F1992" s="55" t="s">
        <v>344</v>
      </c>
      <c r="G1992" s="55" t="s">
        <v>3201</v>
      </c>
      <c r="H1992" s="55" t="s">
        <v>3202</v>
      </c>
      <c r="I1992" s="55" t="s">
        <v>3203</v>
      </c>
      <c r="J1992" s="55" t="s">
        <v>2578</v>
      </c>
      <c r="L1992" s="55" t="s">
        <v>3204</v>
      </c>
      <c r="M1992" s="55" t="s">
        <v>129</v>
      </c>
      <c r="N1992" s="55" t="s">
        <v>129</v>
      </c>
      <c r="O1992" s="55" t="s">
        <v>160</v>
      </c>
      <c r="P1992" s="55" t="s">
        <v>447</v>
      </c>
      <c r="Q1992" s="55" t="s">
        <v>362</v>
      </c>
      <c r="R1992" s="55"/>
      <c r="S1992" s="55"/>
      <c r="T1992" s="55" t="s">
        <v>3205</v>
      </c>
    </row>
    <row r="1993" spans="1:20" ht="13" x14ac:dyDescent="0.15">
      <c r="A1993" s="72" t="str">
        <f t="shared" si="31"/>
        <v>Ofsted Social Care Provider Webpage</v>
      </c>
      <c r="B1993" s="55" t="s">
        <v>3206</v>
      </c>
      <c r="D1993" s="55" t="s">
        <v>373</v>
      </c>
      <c r="E1993" s="74">
        <v>37874</v>
      </c>
      <c r="F1993" s="55" t="s">
        <v>344</v>
      </c>
      <c r="G1993" s="55" t="s">
        <v>360</v>
      </c>
      <c r="H1993" s="55" t="s">
        <v>360</v>
      </c>
      <c r="I1993" s="55" t="s">
        <v>360</v>
      </c>
      <c r="J1993" s="55" t="s">
        <v>360</v>
      </c>
      <c r="K1993" s="55" t="s">
        <v>360</v>
      </c>
      <c r="L1993" s="55" t="s">
        <v>360</v>
      </c>
      <c r="M1993" s="55" t="s">
        <v>144</v>
      </c>
      <c r="N1993" s="55" t="s">
        <v>144</v>
      </c>
      <c r="O1993" s="55" t="s">
        <v>271</v>
      </c>
      <c r="P1993" s="55" t="s">
        <v>1120</v>
      </c>
      <c r="Q1993" s="55" t="s">
        <v>380</v>
      </c>
      <c r="R1993" s="55">
        <v>6</v>
      </c>
      <c r="S1993" s="55" t="s">
        <v>332</v>
      </c>
      <c r="T1993" s="55" t="s">
        <v>1121</v>
      </c>
    </row>
    <row r="1994" spans="1:20" ht="13" x14ac:dyDescent="0.15">
      <c r="A1994" s="72" t="str">
        <f t="shared" si="31"/>
        <v>Ofsted Social Care Provider Webpage</v>
      </c>
      <c r="B1994" s="55" t="s">
        <v>3207</v>
      </c>
      <c r="D1994" s="55" t="s">
        <v>373</v>
      </c>
      <c r="E1994" s="74">
        <v>37830</v>
      </c>
      <c r="F1994" s="55" t="s">
        <v>344</v>
      </c>
      <c r="G1994" s="55" t="s">
        <v>360</v>
      </c>
      <c r="H1994" s="55" t="s">
        <v>360</v>
      </c>
      <c r="I1994" s="55" t="s">
        <v>360</v>
      </c>
      <c r="J1994" s="55" t="s">
        <v>360</v>
      </c>
      <c r="K1994" s="55" t="s">
        <v>360</v>
      </c>
      <c r="L1994" s="55" t="s">
        <v>360</v>
      </c>
      <c r="M1994" s="55" t="s">
        <v>144</v>
      </c>
      <c r="N1994" s="55" t="s">
        <v>144</v>
      </c>
      <c r="O1994" s="55" t="s">
        <v>168</v>
      </c>
      <c r="P1994" s="55" t="s">
        <v>834</v>
      </c>
      <c r="Q1994" s="55" t="s">
        <v>380</v>
      </c>
      <c r="R1994" s="55">
        <v>4</v>
      </c>
      <c r="S1994" s="55" t="s">
        <v>332</v>
      </c>
      <c r="T1994" s="55" t="s">
        <v>1432</v>
      </c>
    </row>
    <row r="1995" spans="1:20" ht="13" x14ac:dyDescent="0.15">
      <c r="A1995" s="72" t="str">
        <f t="shared" si="31"/>
        <v>Ofsted Social Care Provider Webpage</v>
      </c>
      <c r="B1995" s="55" t="s">
        <v>3208</v>
      </c>
      <c r="D1995" s="55" t="s">
        <v>373</v>
      </c>
      <c r="E1995" s="74">
        <v>37826</v>
      </c>
      <c r="F1995" s="55" t="s">
        <v>344</v>
      </c>
      <c r="G1995" s="55" t="s">
        <v>360</v>
      </c>
      <c r="H1995" s="55" t="s">
        <v>360</v>
      </c>
      <c r="I1995" s="55" t="s">
        <v>360</v>
      </c>
      <c r="J1995" s="55" t="s">
        <v>360</v>
      </c>
      <c r="K1995" s="55" t="s">
        <v>360</v>
      </c>
      <c r="L1995" s="55" t="s">
        <v>360</v>
      </c>
      <c r="M1995" s="55" t="s">
        <v>378</v>
      </c>
      <c r="N1995" s="55" t="s">
        <v>134</v>
      </c>
      <c r="O1995" s="55" t="s">
        <v>277</v>
      </c>
      <c r="P1995" s="55" t="s">
        <v>1362</v>
      </c>
      <c r="Q1995" s="55" t="s">
        <v>380</v>
      </c>
      <c r="R1995" s="55">
        <v>7</v>
      </c>
      <c r="S1995" s="55"/>
      <c r="T1995" s="55" t="s">
        <v>1575</v>
      </c>
    </row>
    <row r="1996" spans="1:20" ht="13" x14ac:dyDescent="0.15">
      <c r="A1996" s="72" t="str">
        <f t="shared" si="31"/>
        <v>Ofsted Social Care Provider Webpage</v>
      </c>
      <c r="B1996" s="55" t="s">
        <v>3209</v>
      </c>
      <c r="D1996" s="55" t="s">
        <v>373</v>
      </c>
      <c r="E1996" s="74">
        <v>37908</v>
      </c>
      <c r="F1996" s="55" t="s">
        <v>344</v>
      </c>
      <c r="G1996" s="55" t="s">
        <v>360</v>
      </c>
      <c r="H1996" s="55" t="s">
        <v>360</v>
      </c>
      <c r="I1996" s="55" t="s">
        <v>360</v>
      </c>
      <c r="J1996" s="55" t="s">
        <v>360</v>
      </c>
      <c r="K1996" s="55" t="s">
        <v>360</v>
      </c>
      <c r="L1996" s="55" t="s">
        <v>360</v>
      </c>
      <c r="M1996" s="55" t="s">
        <v>378</v>
      </c>
      <c r="N1996" s="55" t="s">
        <v>134</v>
      </c>
      <c r="O1996" s="55" t="s">
        <v>232</v>
      </c>
      <c r="P1996" s="55" t="s">
        <v>3210</v>
      </c>
      <c r="Q1996" s="55" t="s">
        <v>380</v>
      </c>
      <c r="R1996" s="55">
        <v>6</v>
      </c>
      <c r="S1996" s="55"/>
      <c r="T1996" s="55" t="s">
        <v>998</v>
      </c>
    </row>
    <row r="1997" spans="1:20" ht="13" x14ac:dyDescent="0.15">
      <c r="A1997" s="72" t="str">
        <f t="shared" si="31"/>
        <v>Ofsted Social Care Provider Webpage</v>
      </c>
      <c r="B1997" s="55" t="s">
        <v>3211</v>
      </c>
      <c r="D1997" s="55" t="s">
        <v>373</v>
      </c>
      <c r="E1997" s="74">
        <v>37908</v>
      </c>
      <c r="F1997" s="55" t="s">
        <v>344</v>
      </c>
      <c r="G1997" s="55" t="s">
        <v>360</v>
      </c>
      <c r="H1997" s="55" t="s">
        <v>360</v>
      </c>
      <c r="I1997" s="55" t="s">
        <v>360</v>
      </c>
      <c r="J1997" s="55" t="s">
        <v>360</v>
      </c>
      <c r="K1997" s="55" t="s">
        <v>360</v>
      </c>
      <c r="L1997" s="55" t="s">
        <v>360</v>
      </c>
      <c r="M1997" s="55" t="s">
        <v>378</v>
      </c>
      <c r="N1997" s="55" t="s">
        <v>134</v>
      </c>
      <c r="O1997" s="55" t="s">
        <v>232</v>
      </c>
      <c r="P1997" s="55" t="s">
        <v>3210</v>
      </c>
      <c r="Q1997" s="55" t="s">
        <v>380</v>
      </c>
      <c r="R1997" s="55">
        <v>9</v>
      </c>
      <c r="S1997" s="55" t="s">
        <v>332</v>
      </c>
      <c r="T1997" s="55" t="s">
        <v>998</v>
      </c>
    </row>
    <row r="1998" spans="1:20" ht="13" x14ac:dyDescent="0.15">
      <c r="A1998" s="72" t="str">
        <f t="shared" si="31"/>
        <v>Ofsted Social Care Provider Webpage</v>
      </c>
      <c r="B1998" s="55" t="s">
        <v>3212</v>
      </c>
      <c r="D1998" s="55" t="s">
        <v>373</v>
      </c>
      <c r="E1998" s="74">
        <v>37728</v>
      </c>
      <c r="F1998" s="55" t="s">
        <v>344</v>
      </c>
      <c r="G1998" s="55" t="s">
        <v>360</v>
      </c>
      <c r="H1998" s="55" t="s">
        <v>360</v>
      </c>
      <c r="I1998" s="55" t="s">
        <v>360</v>
      </c>
      <c r="J1998" s="55" t="s">
        <v>360</v>
      </c>
      <c r="K1998" s="55" t="s">
        <v>360</v>
      </c>
      <c r="L1998" s="55" t="s">
        <v>360</v>
      </c>
      <c r="M1998" s="55" t="s">
        <v>136</v>
      </c>
      <c r="N1998" s="55" t="s">
        <v>136</v>
      </c>
      <c r="O1998" s="55" t="s">
        <v>154</v>
      </c>
      <c r="P1998" s="55" t="s">
        <v>1686</v>
      </c>
      <c r="Q1998" s="55" t="s">
        <v>380</v>
      </c>
      <c r="R1998" s="55">
        <v>4</v>
      </c>
      <c r="S1998" s="55"/>
      <c r="T1998" s="55" t="s">
        <v>1687</v>
      </c>
    </row>
    <row r="1999" spans="1:20" ht="13" x14ac:dyDescent="0.15">
      <c r="A1999" s="72" t="str">
        <f t="shared" si="31"/>
        <v>Ofsted Social Care Provider Webpage</v>
      </c>
      <c r="B1999" s="55" t="s">
        <v>3213</v>
      </c>
      <c r="D1999" s="55" t="s">
        <v>373</v>
      </c>
      <c r="E1999" s="74">
        <v>37908</v>
      </c>
      <c r="F1999" s="55" t="s">
        <v>344</v>
      </c>
      <c r="G1999" s="55" t="s">
        <v>360</v>
      </c>
      <c r="H1999" s="55" t="s">
        <v>360</v>
      </c>
      <c r="I1999" s="55" t="s">
        <v>360</v>
      </c>
      <c r="J1999" s="55" t="s">
        <v>360</v>
      </c>
      <c r="K1999" s="55" t="s">
        <v>360</v>
      </c>
      <c r="L1999" s="55" t="s">
        <v>360</v>
      </c>
      <c r="M1999" s="55" t="s">
        <v>378</v>
      </c>
      <c r="N1999" s="55" t="s">
        <v>134</v>
      </c>
      <c r="O1999" s="55" t="s">
        <v>232</v>
      </c>
      <c r="P1999" s="55" t="s">
        <v>491</v>
      </c>
      <c r="Q1999" s="55" t="s">
        <v>380</v>
      </c>
      <c r="R1999" s="55">
        <v>7</v>
      </c>
      <c r="S1999" s="55" t="s">
        <v>332</v>
      </c>
      <c r="T1999" s="55" t="s">
        <v>998</v>
      </c>
    </row>
    <row r="2000" spans="1:20" ht="13" x14ac:dyDescent="0.15">
      <c r="A2000" s="72" t="str">
        <f t="shared" si="31"/>
        <v>Ofsted Social Care Provider Webpage</v>
      </c>
      <c r="B2000" s="55" t="s">
        <v>3214</v>
      </c>
      <c r="C2000" s="55">
        <v>130835</v>
      </c>
      <c r="D2000" s="55" t="s">
        <v>693</v>
      </c>
      <c r="E2000" s="74">
        <v>37460</v>
      </c>
      <c r="F2000" s="55" t="s">
        <v>344</v>
      </c>
      <c r="G2000" s="55" t="s">
        <v>3215</v>
      </c>
      <c r="H2000" s="55" t="s">
        <v>3215</v>
      </c>
      <c r="I2000" s="55" t="s">
        <v>3216</v>
      </c>
      <c r="J2000" s="55" t="s">
        <v>3217</v>
      </c>
      <c r="K2000" s="55" t="s">
        <v>282</v>
      </c>
      <c r="L2000" s="55" t="s">
        <v>3218</v>
      </c>
      <c r="M2000" s="55" t="s">
        <v>142</v>
      </c>
      <c r="N2000" s="55" t="s">
        <v>142</v>
      </c>
      <c r="O2000" s="55" t="s">
        <v>282</v>
      </c>
      <c r="P2000" s="55" t="s">
        <v>3219</v>
      </c>
      <c r="Q2000" s="55" t="s">
        <v>362</v>
      </c>
      <c r="R2000" s="55">
        <v>76</v>
      </c>
      <c r="S2000" s="55"/>
      <c r="T2000" s="55" t="s">
        <v>3215</v>
      </c>
    </row>
    <row r="2001" spans="1:20" ht="13" x14ac:dyDescent="0.15">
      <c r="A2001" s="72" t="str">
        <f t="shared" si="31"/>
        <v>Ofsted Social Care Provider Webpage</v>
      </c>
      <c r="B2001" s="55" t="s">
        <v>3220</v>
      </c>
      <c r="D2001" s="55" t="s">
        <v>373</v>
      </c>
      <c r="E2001" s="74">
        <v>37908</v>
      </c>
      <c r="F2001" s="55" t="s">
        <v>344</v>
      </c>
      <c r="G2001" s="55" t="s">
        <v>360</v>
      </c>
      <c r="H2001" s="55" t="s">
        <v>360</v>
      </c>
      <c r="I2001" s="55" t="s">
        <v>360</v>
      </c>
      <c r="J2001" s="55" t="s">
        <v>360</v>
      </c>
      <c r="K2001" s="55" t="s">
        <v>360</v>
      </c>
      <c r="L2001" s="55" t="s">
        <v>360</v>
      </c>
      <c r="M2001" s="55" t="s">
        <v>378</v>
      </c>
      <c r="N2001" s="55" t="s">
        <v>134</v>
      </c>
      <c r="O2001" s="55" t="s">
        <v>232</v>
      </c>
      <c r="P2001" s="55" t="s">
        <v>595</v>
      </c>
      <c r="Q2001" s="55" t="s">
        <v>380</v>
      </c>
      <c r="R2001" s="55">
        <v>6</v>
      </c>
      <c r="S2001" s="55"/>
      <c r="T2001" s="55" t="s">
        <v>998</v>
      </c>
    </row>
    <row r="2002" spans="1:20" ht="13" x14ac:dyDescent="0.15">
      <c r="A2002" s="72" t="str">
        <f t="shared" si="31"/>
        <v>Ofsted Social Care Provider Webpage</v>
      </c>
      <c r="B2002" s="55" t="s">
        <v>3221</v>
      </c>
      <c r="D2002" s="55" t="s">
        <v>479</v>
      </c>
      <c r="E2002" s="74">
        <v>37617</v>
      </c>
      <c r="F2002" s="55" t="s">
        <v>344</v>
      </c>
      <c r="G2002" s="55" t="s">
        <v>360</v>
      </c>
      <c r="H2002" s="55" t="s">
        <v>360</v>
      </c>
      <c r="I2002" s="55" t="s">
        <v>360</v>
      </c>
      <c r="J2002" s="55" t="s">
        <v>360</v>
      </c>
      <c r="K2002" s="55" t="s">
        <v>360</v>
      </c>
      <c r="L2002" s="55" t="s">
        <v>360</v>
      </c>
      <c r="M2002" s="55" t="s">
        <v>172</v>
      </c>
      <c r="N2002" s="55" t="s">
        <v>172</v>
      </c>
      <c r="O2002" s="55" t="s">
        <v>214</v>
      </c>
      <c r="P2002" s="55" t="s">
        <v>1426</v>
      </c>
      <c r="Q2002" s="55" t="s">
        <v>350</v>
      </c>
      <c r="R2002" s="55">
        <v>55</v>
      </c>
      <c r="S2002" s="55"/>
      <c r="T2002" s="55" t="s">
        <v>1290</v>
      </c>
    </row>
    <row r="2003" spans="1:20" ht="13" x14ac:dyDescent="0.15">
      <c r="A2003" s="72" t="str">
        <f t="shared" si="31"/>
        <v>Ofsted Social Care Provider Webpage</v>
      </c>
      <c r="B2003" s="55" t="s">
        <v>3222</v>
      </c>
      <c r="D2003" s="55" t="s">
        <v>389</v>
      </c>
      <c r="E2003" s="74">
        <v>37804</v>
      </c>
      <c r="F2003" s="55" t="s">
        <v>344</v>
      </c>
      <c r="G2003" s="55" t="s">
        <v>3223</v>
      </c>
      <c r="H2003" s="55" t="s">
        <v>3224</v>
      </c>
      <c r="I2003" s="55" t="s">
        <v>3225</v>
      </c>
      <c r="J2003" s="55" t="s">
        <v>3226</v>
      </c>
      <c r="K2003" s="55" t="s">
        <v>183</v>
      </c>
      <c r="L2003" s="55" t="s">
        <v>3227</v>
      </c>
      <c r="M2003" s="55" t="s">
        <v>138</v>
      </c>
      <c r="N2003" s="55" t="s">
        <v>138</v>
      </c>
      <c r="O2003" s="55" t="s">
        <v>183</v>
      </c>
      <c r="P2003" s="55" t="s">
        <v>584</v>
      </c>
      <c r="Q2003" s="55" t="s">
        <v>350</v>
      </c>
      <c r="R2003" s="55"/>
      <c r="S2003" s="55"/>
      <c r="T2003" s="55" t="s">
        <v>3228</v>
      </c>
    </row>
    <row r="2004" spans="1:20" ht="13" x14ac:dyDescent="0.15">
      <c r="A2004" s="72" t="str">
        <f t="shared" si="31"/>
        <v>Ofsted Social Care Provider Webpage</v>
      </c>
      <c r="B2004" s="55" t="s">
        <v>3229</v>
      </c>
      <c r="D2004" s="55" t="s">
        <v>373</v>
      </c>
      <c r="E2004" s="74">
        <v>37726</v>
      </c>
      <c r="F2004" s="55" t="s">
        <v>344</v>
      </c>
      <c r="G2004" s="55" t="s">
        <v>360</v>
      </c>
      <c r="H2004" s="55" t="s">
        <v>360</v>
      </c>
      <c r="I2004" s="55" t="s">
        <v>360</v>
      </c>
      <c r="J2004" s="55" t="s">
        <v>360</v>
      </c>
      <c r="K2004" s="55" t="s">
        <v>360</v>
      </c>
      <c r="L2004" s="55" t="s">
        <v>360</v>
      </c>
      <c r="M2004" s="55" t="s">
        <v>136</v>
      </c>
      <c r="N2004" s="55" t="s">
        <v>136</v>
      </c>
      <c r="O2004" s="55" t="s">
        <v>154</v>
      </c>
      <c r="P2004" s="55" t="s">
        <v>2290</v>
      </c>
      <c r="Q2004" s="55" t="s">
        <v>380</v>
      </c>
      <c r="R2004" s="55">
        <v>5</v>
      </c>
      <c r="S2004" s="55"/>
      <c r="T2004" s="55" t="s">
        <v>1687</v>
      </c>
    </row>
    <row r="2005" spans="1:20" ht="13" x14ac:dyDescent="0.15">
      <c r="A2005" s="72" t="str">
        <f t="shared" si="31"/>
        <v>Ofsted Social Care Provider Webpage</v>
      </c>
      <c r="B2005" s="55" t="s">
        <v>3230</v>
      </c>
      <c r="D2005" s="55" t="s">
        <v>373</v>
      </c>
      <c r="E2005" s="74">
        <v>37712</v>
      </c>
      <c r="F2005" s="55" t="s">
        <v>344</v>
      </c>
      <c r="G2005" s="55" t="s">
        <v>360</v>
      </c>
      <c r="H2005" s="55" t="s">
        <v>360</v>
      </c>
      <c r="I2005" s="55" t="s">
        <v>360</v>
      </c>
      <c r="J2005" s="55" t="s">
        <v>360</v>
      </c>
      <c r="K2005" s="55" t="s">
        <v>360</v>
      </c>
      <c r="L2005" s="55" t="s">
        <v>360</v>
      </c>
      <c r="M2005" s="55" t="s">
        <v>378</v>
      </c>
      <c r="N2005" s="55" t="s">
        <v>134</v>
      </c>
      <c r="O2005" s="55" t="s">
        <v>204</v>
      </c>
      <c r="P2005" s="55" t="s">
        <v>1920</v>
      </c>
      <c r="Q2005" s="55" t="s">
        <v>380</v>
      </c>
      <c r="R2005" s="55">
        <v>6</v>
      </c>
      <c r="S2005" s="55"/>
      <c r="T2005" s="55" t="s">
        <v>1479</v>
      </c>
    </row>
    <row r="2006" spans="1:20" ht="13" x14ac:dyDescent="0.15">
      <c r="A2006" s="72" t="str">
        <f t="shared" si="31"/>
        <v>Ofsted Social Care Provider Webpage</v>
      </c>
      <c r="B2006" s="55" t="s">
        <v>3231</v>
      </c>
      <c r="C2006" s="55">
        <v>115813</v>
      </c>
      <c r="D2006" s="55" t="s">
        <v>413</v>
      </c>
      <c r="E2006" s="74">
        <v>37461</v>
      </c>
      <c r="F2006" s="55" t="s">
        <v>344</v>
      </c>
      <c r="G2006" s="55" t="s">
        <v>3232</v>
      </c>
      <c r="H2006" s="55" t="s">
        <v>3233</v>
      </c>
      <c r="I2006" s="55" t="s">
        <v>3234</v>
      </c>
      <c r="J2006" s="55" t="s">
        <v>3235</v>
      </c>
      <c r="K2006" s="55" t="s">
        <v>185</v>
      </c>
      <c r="L2006" s="55" t="s">
        <v>3236</v>
      </c>
      <c r="M2006" s="55" t="s">
        <v>136</v>
      </c>
      <c r="N2006" s="55" t="s">
        <v>136</v>
      </c>
      <c r="O2006" s="55" t="s">
        <v>185</v>
      </c>
      <c r="P2006" s="55" t="s">
        <v>898</v>
      </c>
      <c r="Q2006" s="55" t="s">
        <v>362</v>
      </c>
      <c r="R2006" s="55">
        <v>15</v>
      </c>
      <c r="S2006" s="55"/>
      <c r="T2006" s="55" t="s">
        <v>3237</v>
      </c>
    </row>
    <row r="2007" spans="1:20" ht="13" x14ac:dyDescent="0.15">
      <c r="A2007" s="72" t="str">
        <f t="shared" si="31"/>
        <v>Ofsted Social Care Provider Webpage</v>
      </c>
      <c r="B2007" s="55" t="s">
        <v>3238</v>
      </c>
      <c r="D2007" s="55" t="s">
        <v>373</v>
      </c>
      <c r="E2007" s="74">
        <v>37628</v>
      </c>
      <c r="F2007" s="55" t="s">
        <v>344</v>
      </c>
      <c r="G2007" s="55" t="s">
        <v>360</v>
      </c>
      <c r="H2007" s="55" t="s">
        <v>360</v>
      </c>
      <c r="I2007" s="55" t="s">
        <v>360</v>
      </c>
      <c r="J2007" s="55" t="s">
        <v>360</v>
      </c>
      <c r="K2007" s="55" t="s">
        <v>360</v>
      </c>
      <c r="L2007" s="55" t="s">
        <v>360</v>
      </c>
      <c r="M2007" s="55" t="s">
        <v>378</v>
      </c>
      <c r="N2007" s="55" t="s">
        <v>134</v>
      </c>
      <c r="O2007" s="55" t="s">
        <v>206</v>
      </c>
      <c r="P2007" s="55" t="s">
        <v>760</v>
      </c>
      <c r="Q2007" s="55" t="s">
        <v>362</v>
      </c>
      <c r="R2007" s="55">
        <v>7</v>
      </c>
      <c r="S2007" s="55"/>
      <c r="T2007" s="55" t="s">
        <v>3239</v>
      </c>
    </row>
    <row r="2008" spans="1:20" ht="13" x14ac:dyDescent="0.15">
      <c r="A2008" s="72" t="str">
        <f t="shared" si="31"/>
        <v>Ofsted Social Care Provider Webpage</v>
      </c>
      <c r="B2008" s="55" t="s">
        <v>3240</v>
      </c>
      <c r="D2008" s="55" t="s">
        <v>373</v>
      </c>
      <c r="E2008" s="74">
        <v>37874</v>
      </c>
      <c r="F2008" s="55" t="s">
        <v>344</v>
      </c>
      <c r="G2008" s="55" t="s">
        <v>360</v>
      </c>
      <c r="H2008" s="55" t="s">
        <v>360</v>
      </c>
      <c r="I2008" s="55" t="s">
        <v>360</v>
      </c>
      <c r="J2008" s="55" t="s">
        <v>360</v>
      </c>
      <c r="K2008" s="55" t="s">
        <v>360</v>
      </c>
      <c r="L2008" s="55" t="s">
        <v>360</v>
      </c>
      <c r="M2008" s="55" t="s">
        <v>138</v>
      </c>
      <c r="N2008" s="55" t="s">
        <v>138</v>
      </c>
      <c r="O2008" s="55" t="s">
        <v>224</v>
      </c>
      <c r="P2008" s="55" t="s">
        <v>1872</v>
      </c>
      <c r="Q2008" s="55" t="s">
        <v>380</v>
      </c>
      <c r="R2008" s="55">
        <v>4</v>
      </c>
      <c r="S2008" s="55" t="s">
        <v>332</v>
      </c>
      <c r="T2008" s="55" t="s">
        <v>2272</v>
      </c>
    </row>
    <row r="2009" spans="1:20" ht="13" x14ac:dyDescent="0.15">
      <c r="A2009" s="72" t="str">
        <f t="shared" si="31"/>
        <v>Ofsted Social Care Provider Webpage</v>
      </c>
      <c r="B2009" s="55" t="s">
        <v>3241</v>
      </c>
      <c r="D2009" s="55" t="s">
        <v>373</v>
      </c>
      <c r="E2009" s="74">
        <v>37895</v>
      </c>
      <c r="F2009" s="55" t="s">
        <v>344</v>
      </c>
      <c r="G2009" s="55" t="s">
        <v>360</v>
      </c>
      <c r="H2009" s="55" t="s">
        <v>360</v>
      </c>
      <c r="I2009" s="55" t="s">
        <v>360</v>
      </c>
      <c r="J2009" s="55" t="s">
        <v>360</v>
      </c>
      <c r="K2009" s="55" t="s">
        <v>360</v>
      </c>
      <c r="L2009" s="55" t="s">
        <v>360</v>
      </c>
      <c r="M2009" s="55" t="s">
        <v>378</v>
      </c>
      <c r="N2009" s="55" t="s">
        <v>134</v>
      </c>
      <c r="O2009" s="55" t="s">
        <v>206</v>
      </c>
      <c r="P2009" s="55" t="s">
        <v>760</v>
      </c>
      <c r="Q2009" s="55" t="s">
        <v>380</v>
      </c>
      <c r="R2009" s="55">
        <v>8</v>
      </c>
      <c r="S2009" s="55"/>
      <c r="T2009" s="55" t="s">
        <v>3113</v>
      </c>
    </row>
    <row r="2010" spans="1:20" ht="13" x14ac:dyDescent="0.15">
      <c r="A2010" s="72" t="str">
        <f t="shared" si="31"/>
        <v>Ofsted Social Care Provider Webpage</v>
      </c>
      <c r="B2010" s="55" t="s">
        <v>3242</v>
      </c>
      <c r="D2010" s="55" t="s">
        <v>373</v>
      </c>
      <c r="E2010" s="74">
        <v>37979</v>
      </c>
      <c r="F2010" s="55" t="s">
        <v>344</v>
      </c>
      <c r="G2010" s="55" t="s">
        <v>360</v>
      </c>
      <c r="H2010" s="55" t="s">
        <v>360</v>
      </c>
      <c r="I2010" s="55" t="s">
        <v>360</v>
      </c>
      <c r="J2010" s="55" t="s">
        <v>360</v>
      </c>
      <c r="K2010" s="55" t="s">
        <v>360</v>
      </c>
      <c r="L2010" s="55" t="s">
        <v>360</v>
      </c>
      <c r="M2010" s="55" t="s">
        <v>138</v>
      </c>
      <c r="N2010" s="55" t="s">
        <v>138</v>
      </c>
      <c r="O2010" s="55" t="s">
        <v>224</v>
      </c>
      <c r="P2010" s="55" t="s">
        <v>1294</v>
      </c>
      <c r="Q2010" s="55" t="s">
        <v>380</v>
      </c>
      <c r="R2010" s="55">
        <v>4</v>
      </c>
      <c r="S2010" s="55" t="s">
        <v>332</v>
      </c>
      <c r="T2010" s="55" t="s">
        <v>2272</v>
      </c>
    </row>
    <row r="2011" spans="1:20" ht="13" x14ac:dyDescent="0.15">
      <c r="A2011" s="72" t="str">
        <f t="shared" si="31"/>
        <v>Ofsted Social Care Provider Webpage</v>
      </c>
      <c r="B2011" s="55" t="s">
        <v>3243</v>
      </c>
      <c r="D2011" s="55" t="s">
        <v>373</v>
      </c>
      <c r="E2011" s="74">
        <v>37712</v>
      </c>
      <c r="F2011" s="55" t="s">
        <v>344</v>
      </c>
      <c r="G2011" s="55" t="s">
        <v>360</v>
      </c>
      <c r="H2011" s="55" t="s">
        <v>360</v>
      </c>
      <c r="I2011" s="55" t="s">
        <v>360</v>
      </c>
      <c r="J2011" s="55" t="s">
        <v>360</v>
      </c>
      <c r="K2011" s="55" t="s">
        <v>360</v>
      </c>
      <c r="L2011" s="55" t="s">
        <v>360</v>
      </c>
      <c r="M2011" s="55" t="s">
        <v>378</v>
      </c>
      <c r="N2011" s="55" t="s">
        <v>134</v>
      </c>
      <c r="O2011" s="55" t="s">
        <v>204</v>
      </c>
      <c r="P2011" s="55" t="s">
        <v>1920</v>
      </c>
      <c r="Q2011" s="55" t="s">
        <v>380</v>
      </c>
      <c r="R2011" s="55">
        <v>8</v>
      </c>
      <c r="S2011" s="55"/>
      <c r="T2011" s="55" t="s">
        <v>1479</v>
      </c>
    </row>
    <row r="2012" spans="1:20" ht="13" x14ac:dyDescent="0.15">
      <c r="A2012" s="72" t="str">
        <f t="shared" si="31"/>
        <v>Ofsted Social Care Provider Webpage</v>
      </c>
      <c r="B2012" s="55" t="s">
        <v>3244</v>
      </c>
      <c r="D2012" s="55" t="s">
        <v>373</v>
      </c>
      <c r="E2012" s="74">
        <v>37869</v>
      </c>
      <c r="F2012" s="55" t="s">
        <v>344</v>
      </c>
      <c r="G2012" s="55" t="s">
        <v>360</v>
      </c>
      <c r="H2012" s="55" t="s">
        <v>360</v>
      </c>
      <c r="I2012" s="55" t="s">
        <v>360</v>
      </c>
      <c r="J2012" s="55" t="s">
        <v>360</v>
      </c>
      <c r="K2012" s="55" t="s">
        <v>360</v>
      </c>
      <c r="L2012" s="55" t="s">
        <v>360</v>
      </c>
      <c r="M2012" s="55" t="s">
        <v>378</v>
      </c>
      <c r="N2012" s="55" t="s">
        <v>170</v>
      </c>
      <c r="O2012" s="55" t="s">
        <v>178</v>
      </c>
      <c r="P2012" s="55" t="s">
        <v>2014</v>
      </c>
      <c r="Q2012" s="55" t="s">
        <v>380</v>
      </c>
      <c r="R2012" s="55">
        <v>5</v>
      </c>
      <c r="S2012" s="55"/>
      <c r="T2012" s="55" t="s">
        <v>2068</v>
      </c>
    </row>
    <row r="2013" spans="1:20" ht="13" x14ac:dyDescent="0.15">
      <c r="A2013" s="72" t="str">
        <f t="shared" si="31"/>
        <v>Ofsted Social Care Provider Webpage</v>
      </c>
      <c r="B2013" s="55" t="s">
        <v>3245</v>
      </c>
      <c r="D2013" s="55" t="s">
        <v>373</v>
      </c>
      <c r="E2013" s="74">
        <v>37712</v>
      </c>
      <c r="F2013" s="55" t="s">
        <v>344</v>
      </c>
      <c r="G2013" s="55" t="s">
        <v>360</v>
      </c>
      <c r="H2013" s="55" t="s">
        <v>360</v>
      </c>
      <c r="I2013" s="55" t="s">
        <v>360</v>
      </c>
      <c r="J2013" s="55" t="s">
        <v>360</v>
      </c>
      <c r="K2013" s="55" t="s">
        <v>360</v>
      </c>
      <c r="L2013" s="55" t="s">
        <v>360</v>
      </c>
      <c r="M2013" s="55" t="s">
        <v>378</v>
      </c>
      <c r="N2013" s="55" t="s">
        <v>134</v>
      </c>
      <c r="O2013" s="55" t="s">
        <v>204</v>
      </c>
      <c r="P2013" s="55" t="s">
        <v>1920</v>
      </c>
      <c r="Q2013" s="55" t="s">
        <v>380</v>
      </c>
      <c r="R2013" s="55">
        <v>4</v>
      </c>
      <c r="S2013" s="55"/>
      <c r="T2013" s="55" t="s">
        <v>1479</v>
      </c>
    </row>
    <row r="2014" spans="1:20" ht="13" x14ac:dyDescent="0.15">
      <c r="A2014" s="72" t="str">
        <f t="shared" si="31"/>
        <v>Ofsted Social Care Provider Webpage</v>
      </c>
      <c r="B2014" s="55" t="s">
        <v>3246</v>
      </c>
      <c r="D2014" s="55" t="s">
        <v>373</v>
      </c>
      <c r="E2014" s="74">
        <v>37712</v>
      </c>
      <c r="F2014" s="55" t="s">
        <v>344</v>
      </c>
      <c r="G2014" s="55" t="s">
        <v>360</v>
      </c>
      <c r="H2014" s="55" t="s">
        <v>360</v>
      </c>
      <c r="I2014" s="55" t="s">
        <v>360</v>
      </c>
      <c r="J2014" s="55" t="s">
        <v>360</v>
      </c>
      <c r="K2014" s="55" t="s">
        <v>360</v>
      </c>
      <c r="L2014" s="55" t="s">
        <v>360</v>
      </c>
      <c r="M2014" s="55" t="s">
        <v>378</v>
      </c>
      <c r="N2014" s="55" t="s">
        <v>134</v>
      </c>
      <c r="O2014" s="55" t="s">
        <v>204</v>
      </c>
      <c r="P2014" s="55" t="s">
        <v>1478</v>
      </c>
      <c r="Q2014" s="55" t="s">
        <v>380</v>
      </c>
      <c r="R2014" s="55">
        <v>4</v>
      </c>
      <c r="S2014" s="55"/>
      <c r="T2014" s="55" t="s">
        <v>1479</v>
      </c>
    </row>
    <row r="2015" spans="1:20" ht="13" x14ac:dyDescent="0.15">
      <c r="A2015" s="72" t="str">
        <f t="shared" si="31"/>
        <v>Ofsted Social Care Provider Webpage</v>
      </c>
      <c r="B2015" s="55" t="s">
        <v>3247</v>
      </c>
      <c r="D2015" s="55" t="s">
        <v>389</v>
      </c>
      <c r="E2015" s="74">
        <v>38050</v>
      </c>
      <c r="F2015" s="55" t="s">
        <v>344</v>
      </c>
      <c r="G2015" s="55" t="s">
        <v>3248</v>
      </c>
      <c r="H2015" s="55" t="s">
        <v>621</v>
      </c>
      <c r="I2015" s="55" t="s">
        <v>3249</v>
      </c>
      <c r="J2015" s="55" t="s">
        <v>3250</v>
      </c>
      <c r="K2015" s="55" t="s">
        <v>293</v>
      </c>
      <c r="L2015" s="55" t="s">
        <v>3251</v>
      </c>
      <c r="M2015" s="55" t="s">
        <v>142</v>
      </c>
      <c r="N2015" s="55" t="s">
        <v>142</v>
      </c>
      <c r="O2015" s="55" t="s">
        <v>293</v>
      </c>
      <c r="P2015" s="55" t="s">
        <v>984</v>
      </c>
      <c r="Q2015" s="55" t="s">
        <v>350</v>
      </c>
      <c r="R2015" s="55"/>
      <c r="S2015" s="55"/>
      <c r="T2015" s="55" t="s">
        <v>3252</v>
      </c>
    </row>
    <row r="2016" spans="1:20" ht="13" x14ac:dyDescent="0.15">
      <c r="A2016" s="72" t="str">
        <f t="shared" si="31"/>
        <v>Ofsted Social Care Provider Webpage</v>
      </c>
      <c r="B2016" s="55" t="s">
        <v>3253</v>
      </c>
      <c r="D2016" s="55" t="s">
        <v>373</v>
      </c>
      <c r="E2016" s="74">
        <v>37979</v>
      </c>
      <c r="F2016" s="55" t="s">
        <v>344</v>
      </c>
      <c r="G2016" s="55" t="s">
        <v>360</v>
      </c>
      <c r="H2016" s="55" t="s">
        <v>360</v>
      </c>
      <c r="I2016" s="55" t="s">
        <v>360</v>
      </c>
      <c r="J2016" s="55" t="s">
        <v>360</v>
      </c>
      <c r="K2016" s="55" t="s">
        <v>360</v>
      </c>
      <c r="L2016" s="55" t="s">
        <v>360</v>
      </c>
      <c r="M2016" s="55" t="s">
        <v>138</v>
      </c>
      <c r="N2016" s="55" t="s">
        <v>138</v>
      </c>
      <c r="O2016" s="55" t="s">
        <v>224</v>
      </c>
      <c r="P2016" s="55" t="s">
        <v>1675</v>
      </c>
      <c r="Q2016" s="55" t="s">
        <v>380</v>
      </c>
      <c r="R2016" s="55">
        <v>4</v>
      </c>
      <c r="S2016" s="55"/>
      <c r="T2016" s="55" t="s">
        <v>2272</v>
      </c>
    </row>
    <row r="2017" spans="1:20" ht="13" x14ac:dyDescent="0.15">
      <c r="A2017" s="72" t="str">
        <f t="shared" si="31"/>
        <v>Ofsted Social Care Provider Webpage</v>
      </c>
      <c r="B2017" s="55" t="s">
        <v>3254</v>
      </c>
      <c r="D2017" s="55" t="s">
        <v>389</v>
      </c>
      <c r="E2017" s="74">
        <v>38140</v>
      </c>
      <c r="F2017" s="55" t="s">
        <v>344</v>
      </c>
      <c r="G2017" s="55" t="s">
        <v>3255</v>
      </c>
      <c r="H2017" s="55" t="s">
        <v>3256</v>
      </c>
      <c r="I2017" s="55" t="s">
        <v>3257</v>
      </c>
      <c r="J2017" s="55" t="s">
        <v>1641</v>
      </c>
      <c r="K2017" s="55" t="s">
        <v>293</v>
      </c>
      <c r="L2017" s="55" t="s">
        <v>3258</v>
      </c>
      <c r="M2017" s="55" t="s">
        <v>142</v>
      </c>
      <c r="N2017" s="55" t="s">
        <v>142</v>
      </c>
      <c r="O2017" s="55" t="s">
        <v>293</v>
      </c>
      <c r="P2017" s="55" t="s">
        <v>1641</v>
      </c>
      <c r="Q2017" s="55" t="s">
        <v>362</v>
      </c>
      <c r="R2017" s="55"/>
      <c r="S2017" s="55"/>
      <c r="T2017" s="55" t="s">
        <v>3255</v>
      </c>
    </row>
    <row r="2018" spans="1:20" ht="13" x14ac:dyDescent="0.15">
      <c r="A2018" s="72" t="str">
        <f t="shared" si="31"/>
        <v>Ofsted Social Care Provider Webpage</v>
      </c>
      <c r="B2018" s="55" t="s">
        <v>3259</v>
      </c>
      <c r="D2018" s="55" t="s">
        <v>373</v>
      </c>
      <c r="E2018" s="74">
        <v>37347</v>
      </c>
      <c r="F2018" s="55" t="s">
        <v>344</v>
      </c>
      <c r="G2018" s="55" t="s">
        <v>360</v>
      </c>
      <c r="H2018" s="55" t="s">
        <v>360</v>
      </c>
      <c r="I2018" s="55" t="s">
        <v>360</v>
      </c>
      <c r="J2018" s="55" t="s">
        <v>360</v>
      </c>
      <c r="K2018" s="55" t="s">
        <v>360</v>
      </c>
      <c r="L2018" s="55" t="s">
        <v>360</v>
      </c>
      <c r="M2018" s="55" t="s">
        <v>144</v>
      </c>
      <c r="N2018" s="55" t="s">
        <v>144</v>
      </c>
      <c r="O2018" s="55" t="s">
        <v>163</v>
      </c>
      <c r="P2018" s="55" t="s">
        <v>376</v>
      </c>
      <c r="Q2018" s="55" t="s">
        <v>380</v>
      </c>
      <c r="R2018" s="55">
        <v>3</v>
      </c>
      <c r="S2018" s="55" t="s">
        <v>332</v>
      </c>
      <c r="T2018" s="55" t="s">
        <v>473</v>
      </c>
    </row>
    <row r="2019" spans="1:20" ht="13" x14ac:dyDescent="0.15">
      <c r="A2019" s="72" t="str">
        <f t="shared" si="31"/>
        <v>Ofsted Social Care Provider Webpage</v>
      </c>
      <c r="B2019" s="55" t="s">
        <v>3260</v>
      </c>
      <c r="D2019" s="55" t="s">
        <v>373</v>
      </c>
      <c r="E2019" s="74">
        <v>37883</v>
      </c>
      <c r="F2019" s="55" t="s">
        <v>344</v>
      </c>
      <c r="G2019" s="55" t="s">
        <v>360</v>
      </c>
      <c r="H2019" s="55" t="s">
        <v>360</v>
      </c>
      <c r="I2019" s="55" t="s">
        <v>360</v>
      </c>
      <c r="J2019" s="55" t="s">
        <v>360</v>
      </c>
      <c r="K2019" s="55" t="s">
        <v>360</v>
      </c>
      <c r="L2019" s="55" t="s">
        <v>360</v>
      </c>
      <c r="M2019" s="55" t="s">
        <v>144</v>
      </c>
      <c r="N2019" s="55" t="s">
        <v>144</v>
      </c>
      <c r="O2019" s="55" t="s">
        <v>245</v>
      </c>
      <c r="P2019" s="55" t="s">
        <v>245</v>
      </c>
      <c r="Q2019" s="55" t="s">
        <v>380</v>
      </c>
      <c r="R2019" s="55">
        <v>5</v>
      </c>
      <c r="S2019" s="55"/>
      <c r="T2019" s="55" t="s">
        <v>776</v>
      </c>
    </row>
    <row r="2020" spans="1:20" ht="13" x14ac:dyDescent="0.15">
      <c r="A2020" s="72" t="str">
        <f t="shared" si="31"/>
        <v>Ofsted Social Care Provider Webpage</v>
      </c>
      <c r="B2020" s="55" t="s">
        <v>3261</v>
      </c>
      <c r="D2020" s="55" t="s">
        <v>389</v>
      </c>
      <c r="E2020" s="74">
        <v>38001</v>
      </c>
      <c r="F2020" s="55" t="s">
        <v>344</v>
      </c>
      <c r="G2020" s="55" t="s">
        <v>3262</v>
      </c>
      <c r="H2020" s="55" t="s">
        <v>3263</v>
      </c>
      <c r="I2020" s="55" t="s">
        <v>3264</v>
      </c>
      <c r="J2020" s="55" t="s">
        <v>2753</v>
      </c>
      <c r="L2020" s="55" t="s">
        <v>3265</v>
      </c>
      <c r="M2020" s="55" t="s">
        <v>142</v>
      </c>
      <c r="N2020" s="55" t="s">
        <v>142</v>
      </c>
      <c r="O2020" s="55" t="s">
        <v>282</v>
      </c>
      <c r="P2020" s="55" t="s">
        <v>3266</v>
      </c>
      <c r="Q2020" s="55" t="s">
        <v>362</v>
      </c>
      <c r="R2020" s="55"/>
      <c r="S2020" s="55"/>
      <c r="T2020" s="55" t="s">
        <v>3263</v>
      </c>
    </row>
    <row r="2021" spans="1:20" ht="13" x14ac:dyDescent="0.15">
      <c r="A2021" s="72" t="str">
        <f t="shared" si="31"/>
        <v>Ofsted Social Care Provider Webpage</v>
      </c>
      <c r="B2021" s="55" t="s">
        <v>3267</v>
      </c>
      <c r="D2021" s="55" t="s">
        <v>373</v>
      </c>
      <c r="E2021" s="74">
        <v>37953</v>
      </c>
      <c r="F2021" s="55" t="s">
        <v>344</v>
      </c>
      <c r="G2021" s="55" t="s">
        <v>360</v>
      </c>
      <c r="H2021" s="55" t="s">
        <v>360</v>
      </c>
      <c r="I2021" s="55" t="s">
        <v>360</v>
      </c>
      <c r="J2021" s="55" t="s">
        <v>360</v>
      </c>
      <c r="K2021" s="55" t="s">
        <v>360</v>
      </c>
      <c r="L2021" s="55" t="s">
        <v>360</v>
      </c>
      <c r="M2021" s="55" t="s">
        <v>172</v>
      </c>
      <c r="N2021" s="55" t="s">
        <v>172</v>
      </c>
      <c r="O2021" s="55" t="s">
        <v>234</v>
      </c>
      <c r="P2021" s="55" t="s">
        <v>369</v>
      </c>
      <c r="Q2021" s="55" t="s">
        <v>380</v>
      </c>
      <c r="R2021" s="55">
        <v>11</v>
      </c>
      <c r="S2021" s="55" t="s">
        <v>332</v>
      </c>
      <c r="T2021" s="55" t="s">
        <v>1271</v>
      </c>
    </row>
    <row r="2022" spans="1:20" ht="13" x14ac:dyDescent="0.15">
      <c r="A2022" s="72" t="str">
        <f t="shared" si="31"/>
        <v>Ofsted Social Care Provider Webpage</v>
      </c>
      <c r="B2022" s="55" t="s">
        <v>3268</v>
      </c>
      <c r="C2022" s="55">
        <v>136902</v>
      </c>
      <c r="D2022" s="55" t="s">
        <v>398</v>
      </c>
      <c r="E2022" s="74">
        <v>37468</v>
      </c>
      <c r="F2022" s="55" t="s">
        <v>344</v>
      </c>
      <c r="G2022" s="55" t="s">
        <v>3269</v>
      </c>
      <c r="H2022" s="55" t="s">
        <v>3270</v>
      </c>
      <c r="I2022" s="55" t="s">
        <v>354</v>
      </c>
      <c r="J2022" s="55" t="s">
        <v>3271</v>
      </c>
      <c r="K2022" s="55" t="s">
        <v>168</v>
      </c>
      <c r="L2022" s="55" t="s">
        <v>3272</v>
      </c>
      <c r="M2022" s="55" t="s">
        <v>144</v>
      </c>
      <c r="N2022" s="55" t="s">
        <v>144</v>
      </c>
      <c r="O2022" s="55" t="s">
        <v>168</v>
      </c>
      <c r="P2022" s="55" t="s">
        <v>3199</v>
      </c>
      <c r="Q2022" s="55" t="s">
        <v>420</v>
      </c>
      <c r="R2022" s="55">
        <v>53</v>
      </c>
      <c r="S2022" s="55"/>
      <c r="T2022" s="55" t="s">
        <v>3273</v>
      </c>
    </row>
    <row r="2023" spans="1:20" ht="13" x14ac:dyDescent="0.15">
      <c r="A2023" s="72" t="str">
        <f t="shared" si="31"/>
        <v>Ofsted Social Care Provider Webpage</v>
      </c>
      <c r="B2023" s="55" t="s">
        <v>3274</v>
      </c>
      <c r="D2023" s="55" t="s">
        <v>389</v>
      </c>
      <c r="E2023" s="74">
        <v>37945</v>
      </c>
      <c r="F2023" s="55" t="s">
        <v>344</v>
      </c>
      <c r="G2023" s="55" t="s">
        <v>3275</v>
      </c>
      <c r="H2023" s="55" t="s">
        <v>3276</v>
      </c>
      <c r="I2023" s="55" t="s">
        <v>3277</v>
      </c>
      <c r="J2023" s="55" t="s">
        <v>3278</v>
      </c>
      <c r="K2023" s="55" t="s">
        <v>129</v>
      </c>
      <c r="L2023" s="55" t="s">
        <v>3279</v>
      </c>
      <c r="M2023" s="55" t="s">
        <v>129</v>
      </c>
      <c r="N2023" s="55" t="s">
        <v>129</v>
      </c>
      <c r="O2023" s="55" t="s">
        <v>152</v>
      </c>
      <c r="P2023" s="55" t="s">
        <v>1130</v>
      </c>
      <c r="Q2023" s="55" t="s">
        <v>350</v>
      </c>
      <c r="R2023" s="55"/>
      <c r="S2023" s="55"/>
      <c r="T2023" s="55" t="s">
        <v>3280</v>
      </c>
    </row>
    <row r="2024" spans="1:20" ht="13" x14ac:dyDescent="0.15">
      <c r="A2024" s="72" t="str">
        <f t="shared" si="31"/>
        <v>Ofsted Social Care Provider Webpage</v>
      </c>
      <c r="B2024" s="55" t="s">
        <v>3281</v>
      </c>
      <c r="D2024" s="55" t="s">
        <v>373</v>
      </c>
      <c r="E2024" s="74">
        <v>37883</v>
      </c>
      <c r="F2024" s="55" t="s">
        <v>344</v>
      </c>
      <c r="G2024" s="55" t="s">
        <v>360</v>
      </c>
      <c r="H2024" s="55" t="s">
        <v>360</v>
      </c>
      <c r="I2024" s="55" t="s">
        <v>360</v>
      </c>
      <c r="J2024" s="55" t="s">
        <v>360</v>
      </c>
      <c r="K2024" s="55" t="s">
        <v>360</v>
      </c>
      <c r="L2024" s="55" t="s">
        <v>360</v>
      </c>
      <c r="M2024" s="55" t="s">
        <v>144</v>
      </c>
      <c r="N2024" s="55" t="s">
        <v>144</v>
      </c>
      <c r="O2024" s="55" t="s">
        <v>245</v>
      </c>
      <c r="P2024" s="55" t="s">
        <v>1796</v>
      </c>
      <c r="Q2024" s="55" t="s">
        <v>380</v>
      </c>
      <c r="R2024" s="55">
        <v>4</v>
      </c>
      <c r="S2024" s="55"/>
      <c r="T2024" s="55" t="s">
        <v>776</v>
      </c>
    </row>
    <row r="2025" spans="1:20" ht="13" x14ac:dyDescent="0.15">
      <c r="A2025" s="72" t="str">
        <f t="shared" si="31"/>
        <v>Ofsted Social Care Provider Webpage</v>
      </c>
      <c r="B2025" s="55" t="s">
        <v>3282</v>
      </c>
      <c r="D2025" s="55" t="s">
        <v>373</v>
      </c>
      <c r="E2025" s="74">
        <v>37686</v>
      </c>
      <c r="F2025" s="55" t="s">
        <v>344</v>
      </c>
      <c r="G2025" s="55" t="s">
        <v>360</v>
      </c>
      <c r="H2025" s="55" t="s">
        <v>360</v>
      </c>
      <c r="I2025" s="55" t="s">
        <v>360</v>
      </c>
      <c r="J2025" s="55" t="s">
        <v>360</v>
      </c>
      <c r="K2025" s="55" t="s">
        <v>360</v>
      </c>
      <c r="L2025" s="55" t="s">
        <v>360</v>
      </c>
      <c r="M2025" s="55" t="s">
        <v>144</v>
      </c>
      <c r="N2025" s="55" t="s">
        <v>144</v>
      </c>
      <c r="O2025" s="55" t="s">
        <v>209</v>
      </c>
      <c r="P2025" s="55" t="s">
        <v>629</v>
      </c>
      <c r="Q2025" s="55" t="s">
        <v>350</v>
      </c>
      <c r="R2025" s="55">
        <v>4</v>
      </c>
      <c r="S2025" s="55"/>
      <c r="T2025" s="55" t="s">
        <v>1363</v>
      </c>
    </row>
    <row r="2026" spans="1:20" ht="13" x14ac:dyDescent="0.15">
      <c r="A2026" s="72" t="str">
        <f t="shared" si="31"/>
        <v>Ofsted Social Care Provider Webpage</v>
      </c>
      <c r="B2026" s="55" t="s">
        <v>3283</v>
      </c>
      <c r="D2026" s="55" t="s">
        <v>373</v>
      </c>
      <c r="E2026" s="74">
        <v>37838</v>
      </c>
      <c r="F2026" s="55" t="s">
        <v>344</v>
      </c>
      <c r="G2026" s="55" t="s">
        <v>360</v>
      </c>
      <c r="H2026" s="55" t="s">
        <v>360</v>
      </c>
      <c r="I2026" s="55" t="s">
        <v>360</v>
      </c>
      <c r="J2026" s="55" t="s">
        <v>360</v>
      </c>
      <c r="K2026" s="55" t="s">
        <v>360</v>
      </c>
      <c r="L2026" s="55" t="s">
        <v>360</v>
      </c>
      <c r="M2026" s="55" t="s">
        <v>378</v>
      </c>
      <c r="N2026" s="55" t="s">
        <v>134</v>
      </c>
      <c r="O2026" s="55" t="s">
        <v>158</v>
      </c>
      <c r="P2026" s="55" t="s">
        <v>480</v>
      </c>
      <c r="Q2026" s="55" t="s">
        <v>380</v>
      </c>
      <c r="R2026" s="55">
        <v>5</v>
      </c>
      <c r="S2026" s="55"/>
      <c r="T2026" s="55" t="s">
        <v>756</v>
      </c>
    </row>
    <row r="2027" spans="1:20" ht="13" x14ac:dyDescent="0.15">
      <c r="A2027" s="72" t="str">
        <f t="shared" si="31"/>
        <v>Ofsted Social Care Provider Webpage</v>
      </c>
      <c r="B2027" s="55" t="s">
        <v>3284</v>
      </c>
      <c r="D2027" s="55" t="s">
        <v>373</v>
      </c>
      <c r="E2027" s="74">
        <v>37953</v>
      </c>
      <c r="F2027" s="55" t="s">
        <v>344</v>
      </c>
      <c r="G2027" s="55" t="s">
        <v>360</v>
      </c>
      <c r="H2027" s="55" t="s">
        <v>360</v>
      </c>
      <c r="I2027" s="55" t="s">
        <v>360</v>
      </c>
      <c r="J2027" s="55" t="s">
        <v>360</v>
      </c>
      <c r="K2027" s="55" t="s">
        <v>360</v>
      </c>
      <c r="L2027" s="55" t="s">
        <v>360</v>
      </c>
      <c r="M2027" s="55" t="s">
        <v>172</v>
      </c>
      <c r="N2027" s="55" t="s">
        <v>172</v>
      </c>
      <c r="O2027" s="55" t="s">
        <v>234</v>
      </c>
      <c r="P2027" s="55" t="s">
        <v>457</v>
      </c>
      <c r="Q2027" s="55" t="s">
        <v>380</v>
      </c>
      <c r="R2027" s="55">
        <v>4</v>
      </c>
      <c r="S2027" s="55"/>
      <c r="T2027" s="55" t="s">
        <v>1271</v>
      </c>
    </row>
    <row r="2028" spans="1:20" ht="13" x14ac:dyDescent="0.15">
      <c r="A2028" s="72" t="str">
        <f t="shared" si="31"/>
        <v>Ofsted Social Care Provider Webpage</v>
      </c>
      <c r="B2028" s="55" t="s">
        <v>3285</v>
      </c>
      <c r="D2028" s="55" t="s">
        <v>389</v>
      </c>
      <c r="E2028" s="74">
        <v>37838</v>
      </c>
      <c r="F2028" s="55" t="s">
        <v>344</v>
      </c>
      <c r="G2028" s="55" t="s">
        <v>3286</v>
      </c>
      <c r="H2028" s="55" t="s">
        <v>3287</v>
      </c>
      <c r="I2028" s="55" t="s">
        <v>3288</v>
      </c>
      <c r="J2028" s="55" t="s">
        <v>253</v>
      </c>
      <c r="L2028" s="55" t="s">
        <v>3289</v>
      </c>
      <c r="M2028" s="55" t="s">
        <v>150</v>
      </c>
      <c r="N2028" s="55" t="s">
        <v>150</v>
      </c>
      <c r="O2028" s="55" t="s">
        <v>253</v>
      </c>
      <c r="P2028" s="55" t="s">
        <v>253</v>
      </c>
      <c r="Q2028" s="55" t="s">
        <v>350</v>
      </c>
      <c r="R2028" s="55"/>
      <c r="S2028" s="55"/>
      <c r="T2028" s="55" t="s">
        <v>3290</v>
      </c>
    </row>
    <row r="2029" spans="1:20" ht="13" x14ac:dyDescent="0.15">
      <c r="A2029" s="72" t="str">
        <f t="shared" si="31"/>
        <v>Ofsted Social Care Provider Webpage</v>
      </c>
      <c r="B2029" s="55" t="s">
        <v>3291</v>
      </c>
      <c r="D2029" s="55" t="s">
        <v>373</v>
      </c>
      <c r="E2029" s="74">
        <v>37481</v>
      </c>
      <c r="F2029" s="55" t="s">
        <v>344</v>
      </c>
      <c r="G2029" s="55" t="s">
        <v>360</v>
      </c>
      <c r="H2029" s="55" t="s">
        <v>360</v>
      </c>
      <c r="I2029" s="55" t="s">
        <v>360</v>
      </c>
      <c r="J2029" s="55" t="s">
        <v>360</v>
      </c>
      <c r="K2029" s="55" t="s">
        <v>360</v>
      </c>
      <c r="L2029" s="55" t="s">
        <v>360</v>
      </c>
      <c r="M2029" s="55" t="s">
        <v>144</v>
      </c>
      <c r="N2029" s="55" t="s">
        <v>144</v>
      </c>
      <c r="O2029" s="55" t="s">
        <v>168</v>
      </c>
      <c r="P2029" s="55" t="s">
        <v>834</v>
      </c>
      <c r="Q2029" s="55" t="s">
        <v>350</v>
      </c>
      <c r="R2029" s="55">
        <v>3</v>
      </c>
      <c r="S2029" s="55"/>
      <c r="T2029" s="55" t="s">
        <v>2574</v>
      </c>
    </row>
    <row r="2030" spans="1:20" ht="13" x14ac:dyDescent="0.15">
      <c r="A2030" s="72" t="str">
        <f t="shared" si="31"/>
        <v>Ofsted Social Care Provider Webpage</v>
      </c>
      <c r="B2030" s="55" t="s">
        <v>3292</v>
      </c>
      <c r="D2030" s="55" t="s">
        <v>373</v>
      </c>
      <c r="E2030" s="74">
        <v>37868</v>
      </c>
      <c r="F2030" s="55" t="s">
        <v>344</v>
      </c>
      <c r="G2030" s="55" t="s">
        <v>360</v>
      </c>
      <c r="H2030" s="55" t="s">
        <v>360</v>
      </c>
      <c r="I2030" s="55" t="s">
        <v>360</v>
      </c>
      <c r="J2030" s="55" t="s">
        <v>360</v>
      </c>
      <c r="K2030" s="55" t="s">
        <v>360</v>
      </c>
      <c r="L2030" s="55" t="s">
        <v>360</v>
      </c>
      <c r="M2030" s="55" t="s">
        <v>378</v>
      </c>
      <c r="N2030" s="55" t="s">
        <v>170</v>
      </c>
      <c r="O2030" s="55" t="s">
        <v>178</v>
      </c>
      <c r="P2030" s="55" t="s">
        <v>1450</v>
      </c>
      <c r="Q2030" s="55" t="s">
        <v>380</v>
      </c>
      <c r="R2030" s="55">
        <v>3</v>
      </c>
      <c r="S2030" s="55"/>
      <c r="T2030" s="55" t="s">
        <v>2068</v>
      </c>
    </row>
    <row r="2031" spans="1:20" ht="13" x14ac:dyDescent="0.15">
      <c r="A2031" s="72" t="str">
        <f t="shared" si="31"/>
        <v>Ofsted Social Care Provider Webpage</v>
      </c>
      <c r="B2031" s="55" t="s">
        <v>3293</v>
      </c>
      <c r="D2031" s="55" t="s">
        <v>373</v>
      </c>
      <c r="E2031" s="74">
        <v>37866</v>
      </c>
      <c r="F2031" s="55" t="s">
        <v>344</v>
      </c>
      <c r="G2031" s="55" t="s">
        <v>360</v>
      </c>
      <c r="H2031" s="55" t="s">
        <v>360</v>
      </c>
      <c r="I2031" s="55" t="s">
        <v>360</v>
      </c>
      <c r="J2031" s="55" t="s">
        <v>360</v>
      </c>
      <c r="K2031" s="55" t="s">
        <v>360</v>
      </c>
      <c r="L2031" s="55" t="s">
        <v>360</v>
      </c>
      <c r="M2031" s="55" t="s">
        <v>378</v>
      </c>
      <c r="N2031" s="55" t="s">
        <v>134</v>
      </c>
      <c r="O2031" s="55" t="s">
        <v>158</v>
      </c>
      <c r="P2031" s="55" t="s">
        <v>480</v>
      </c>
      <c r="Q2031" s="55" t="s">
        <v>380</v>
      </c>
      <c r="R2031" s="55">
        <v>5</v>
      </c>
      <c r="S2031" s="55" t="s">
        <v>332</v>
      </c>
      <c r="T2031" s="55" t="s">
        <v>756</v>
      </c>
    </row>
    <row r="2032" spans="1:20" ht="13" x14ac:dyDescent="0.15">
      <c r="A2032" s="72" t="str">
        <f t="shared" si="31"/>
        <v>Ofsted Social Care Provider Webpage</v>
      </c>
      <c r="B2032" s="55" t="s">
        <v>3294</v>
      </c>
      <c r="D2032" s="55" t="s">
        <v>373</v>
      </c>
      <c r="E2032" s="74">
        <v>37873</v>
      </c>
      <c r="F2032" s="55" t="s">
        <v>344</v>
      </c>
      <c r="G2032" s="55" t="s">
        <v>360</v>
      </c>
      <c r="H2032" s="55" t="s">
        <v>360</v>
      </c>
      <c r="I2032" s="55" t="s">
        <v>360</v>
      </c>
      <c r="J2032" s="55" t="s">
        <v>360</v>
      </c>
      <c r="K2032" s="55" t="s">
        <v>360</v>
      </c>
      <c r="L2032" s="55" t="s">
        <v>360</v>
      </c>
      <c r="M2032" s="55" t="s">
        <v>378</v>
      </c>
      <c r="N2032" s="55" t="s">
        <v>134</v>
      </c>
      <c r="O2032" s="55" t="s">
        <v>158</v>
      </c>
      <c r="P2032" s="55" t="s">
        <v>480</v>
      </c>
      <c r="Q2032" s="55" t="s">
        <v>380</v>
      </c>
      <c r="R2032" s="55">
        <v>7</v>
      </c>
      <c r="S2032" s="55" t="s">
        <v>332</v>
      </c>
      <c r="T2032" s="55" t="s">
        <v>756</v>
      </c>
    </row>
    <row r="2033" spans="1:20" ht="13" x14ac:dyDescent="0.15">
      <c r="A2033" s="72" t="str">
        <f t="shared" si="31"/>
        <v>Ofsted Social Care Provider Webpage</v>
      </c>
      <c r="B2033" s="55" t="s">
        <v>3295</v>
      </c>
      <c r="D2033" s="55" t="s">
        <v>373</v>
      </c>
      <c r="E2033" s="74">
        <v>37868</v>
      </c>
      <c r="F2033" s="55" t="s">
        <v>344</v>
      </c>
      <c r="G2033" s="55" t="s">
        <v>360</v>
      </c>
      <c r="H2033" s="55" t="s">
        <v>360</v>
      </c>
      <c r="I2033" s="55" t="s">
        <v>360</v>
      </c>
      <c r="J2033" s="55" t="s">
        <v>360</v>
      </c>
      <c r="K2033" s="55" t="s">
        <v>360</v>
      </c>
      <c r="L2033" s="55" t="s">
        <v>360</v>
      </c>
      <c r="M2033" s="55" t="s">
        <v>378</v>
      </c>
      <c r="N2033" s="55" t="s">
        <v>170</v>
      </c>
      <c r="O2033" s="55" t="s">
        <v>178</v>
      </c>
      <c r="P2033" s="55" t="s">
        <v>1450</v>
      </c>
      <c r="Q2033" s="55" t="s">
        <v>380</v>
      </c>
      <c r="R2033" s="55">
        <v>5</v>
      </c>
      <c r="S2033" s="55"/>
      <c r="T2033" s="55" t="s">
        <v>2068</v>
      </c>
    </row>
    <row r="2034" spans="1:20" ht="13" x14ac:dyDescent="0.15">
      <c r="A2034" s="72" t="str">
        <f t="shared" si="31"/>
        <v>Ofsted Social Care Provider Webpage</v>
      </c>
      <c r="B2034" s="55" t="s">
        <v>3296</v>
      </c>
      <c r="D2034" s="55" t="s">
        <v>373</v>
      </c>
      <c r="E2034" s="74">
        <v>37869</v>
      </c>
      <c r="F2034" s="55" t="s">
        <v>344</v>
      </c>
      <c r="G2034" s="55" t="s">
        <v>360</v>
      </c>
      <c r="H2034" s="55" t="s">
        <v>360</v>
      </c>
      <c r="I2034" s="55" t="s">
        <v>360</v>
      </c>
      <c r="J2034" s="55" t="s">
        <v>360</v>
      </c>
      <c r="K2034" s="55" t="s">
        <v>360</v>
      </c>
      <c r="L2034" s="55" t="s">
        <v>360</v>
      </c>
      <c r="M2034" s="55" t="s">
        <v>378</v>
      </c>
      <c r="N2034" s="55" t="s">
        <v>170</v>
      </c>
      <c r="O2034" s="55" t="s">
        <v>178</v>
      </c>
      <c r="P2034" s="55" t="s">
        <v>2014</v>
      </c>
      <c r="Q2034" s="55" t="s">
        <v>380</v>
      </c>
      <c r="R2034" s="55">
        <v>3</v>
      </c>
      <c r="S2034" s="55"/>
      <c r="T2034" s="55" t="s">
        <v>2068</v>
      </c>
    </row>
    <row r="2035" spans="1:20" ht="13" x14ac:dyDescent="0.15">
      <c r="A2035" s="72" t="str">
        <f t="shared" si="31"/>
        <v>Ofsted Social Care Provider Webpage</v>
      </c>
      <c r="B2035" s="55" t="s">
        <v>3297</v>
      </c>
      <c r="D2035" s="55" t="s">
        <v>373</v>
      </c>
      <c r="E2035" s="74">
        <v>37662</v>
      </c>
      <c r="F2035" s="55" t="s">
        <v>344</v>
      </c>
      <c r="G2035" s="55" t="s">
        <v>360</v>
      </c>
      <c r="H2035" s="55" t="s">
        <v>360</v>
      </c>
      <c r="I2035" s="55" t="s">
        <v>360</v>
      </c>
      <c r="J2035" s="55" t="s">
        <v>360</v>
      </c>
      <c r="K2035" s="55" t="s">
        <v>360</v>
      </c>
      <c r="L2035" s="55" t="s">
        <v>360</v>
      </c>
      <c r="M2035" s="55" t="s">
        <v>378</v>
      </c>
      <c r="N2035" s="55" t="s">
        <v>170</v>
      </c>
      <c r="O2035" s="55" t="s">
        <v>264</v>
      </c>
      <c r="P2035" s="55" t="s">
        <v>437</v>
      </c>
      <c r="Q2035" s="55" t="s">
        <v>380</v>
      </c>
      <c r="R2035" s="55">
        <v>3</v>
      </c>
      <c r="S2035" s="55"/>
      <c r="T2035" s="55" t="s">
        <v>1696</v>
      </c>
    </row>
    <row r="2036" spans="1:20" ht="13" x14ac:dyDescent="0.15">
      <c r="A2036" s="72" t="str">
        <f t="shared" si="31"/>
        <v>Ofsted Social Care Provider Webpage</v>
      </c>
      <c r="B2036" s="55" t="s">
        <v>3298</v>
      </c>
      <c r="D2036" s="55" t="s">
        <v>373</v>
      </c>
      <c r="E2036" s="74">
        <v>37868</v>
      </c>
      <c r="F2036" s="55" t="s">
        <v>344</v>
      </c>
      <c r="G2036" s="55" t="s">
        <v>360</v>
      </c>
      <c r="H2036" s="55" t="s">
        <v>360</v>
      </c>
      <c r="I2036" s="55" t="s">
        <v>360</v>
      </c>
      <c r="J2036" s="55" t="s">
        <v>360</v>
      </c>
      <c r="K2036" s="55" t="s">
        <v>360</v>
      </c>
      <c r="L2036" s="55" t="s">
        <v>360</v>
      </c>
      <c r="M2036" s="55" t="s">
        <v>378</v>
      </c>
      <c r="N2036" s="55" t="s">
        <v>170</v>
      </c>
      <c r="O2036" s="55" t="s">
        <v>178</v>
      </c>
      <c r="P2036" s="55" t="s">
        <v>2014</v>
      </c>
      <c r="Q2036" s="55" t="s">
        <v>380</v>
      </c>
      <c r="R2036" s="55">
        <v>3</v>
      </c>
      <c r="S2036" s="55"/>
      <c r="T2036" s="55" t="s">
        <v>2068</v>
      </c>
    </row>
    <row r="2037" spans="1:20" ht="13" x14ac:dyDescent="0.15">
      <c r="A2037" s="72" t="str">
        <f t="shared" si="31"/>
        <v>Ofsted Social Care Provider Webpage</v>
      </c>
      <c r="B2037" s="55" t="s">
        <v>3299</v>
      </c>
      <c r="D2037" s="55" t="s">
        <v>479</v>
      </c>
      <c r="E2037" s="74">
        <v>37785</v>
      </c>
      <c r="F2037" s="55" t="s">
        <v>344</v>
      </c>
      <c r="G2037" s="55" t="s">
        <v>360</v>
      </c>
      <c r="H2037" s="55" t="s">
        <v>360</v>
      </c>
      <c r="I2037" s="55" t="s">
        <v>360</v>
      </c>
      <c r="J2037" s="55" t="s">
        <v>360</v>
      </c>
      <c r="K2037" s="55" t="s">
        <v>360</v>
      </c>
      <c r="L2037" s="55" t="s">
        <v>360</v>
      </c>
      <c r="M2037" s="55" t="s">
        <v>378</v>
      </c>
      <c r="N2037" s="55" t="s">
        <v>134</v>
      </c>
      <c r="O2037" s="55" t="s">
        <v>175</v>
      </c>
      <c r="P2037" s="55" t="s">
        <v>666</v>
      </c>
      <c r="Q2037" s="55" t="s">
        <v>350</v>
      </c>
      <c r="R2037" s="55">
        <v>9</v>
      </c>
      <c r="S2037" s="55"/>
      <c r="T2037" s="55" t="s">
        <v>2532</v>
      </c>
    </row>
    <row r="2038" spans="1:20" ht="13" x14ac:dyDescent="0.15">
      <c r="A2038" s="72" t="str">
        <f t="shared" si="31"/>
        <v>Ofsted Social Care Provider Webpage</v>
      </c>
      <c r="B2038" s="55" t="s">
        <v>3300</v>
      </c>
      <c r="D2038" s="55" t="s">
        <v>373</v>
      </c>
      <c r="E2038" s="74">
        <v>37869</v>
      </c>
      <c r="F2038" s="55" t="s">
        <v>344</v>
      </c>
      <c r="G2038" s="55" t="s">
        <v>360</v>
      </c>
      <c r="H2038" s="55" t="s">
        <v>360</v>
      </c>
      <c r="I2038" s="55" t="s">
        <v>360</v>
      </c>
      <c r="J2038" s="55" t="s">
        <v>360</v>
      </c>
      <c r="K2038" s="55" t="s">
        <v>360</v>
      </c>
      <c r="L2038" s="55" t="s">
        <v>360</v>
      </c>
      <c r="M2038" s="55" t="s">
        <v>378</v>
      </c>
      <c r="N2038" s="55" t="s">
        <v>170</v>
      </c>
      <c r="O2038" s="55" t="s">
        <v>178</v>
      </c>
      <c r="P2038" s="55" t="s">
        <v>2014</v>
      </c>
      <c r="Q2038" s="55" t="s">
        <v>380</v>
      </c>
      <c r="R2038" s="55">
        <v>7</v>
      </c>
      <c r="S2038" s="55" t="s">
        <v>332</v>
      </c>
      <c r="T2038" s="55" t="s">
        <v>2068</v>
      </c>
    </row>
    <row r="2039" spans="1:20" ht="13" x14ac:dyDescent="0.15">
      <c r="A2039" s="72" t="str">
        <f t="shared" si="31"/>
        <v>Ofsted Social Care Provider Webpage</v>
      </c>
      <c r="B2039" s="55" t="s">
        <v>3301</v>
      </c>
      <c r="D2039" s="55" t="s">
        <v>389</v>
      </c>
      <c r="E2039" s="74">
        <v>38063</v>
      </c>
      <c r="F2039" s="55" t="s">
        <v>344</v>
      </c>
      <c r="G2039" s="55" t="s">
        <v>3302</v>
      </c>
      <c r="H2039" s="55" t="s">
        <v>3303</v>
      </c>
      <c r="I2039" s="55" t="s">
        <v>3304</v>
      </c>
      <c r="J2039" s="55" t="s">
        <v>3305</v>
      </c>
      <c r="K2039" s="55" t="s">
        <v>203</v>
      </c>
      <c r="L2039" s="55" t="s">
        <v>3306</v>
      </c>
      <c r="M2039" s="55" t="s">
        <v>150</v>
      </c>
      <c r="N2039" s="55" t="s">
        <v>150</v>
      </c>
      <c r="O2039" s="55" t="s">
        <v>203</v>
      </c>
      <c r="P2039" s="55" t="s">
        <v>1268</v>
      </c>
      <c r="Q2039" s="55" t="s">
        <v>350</v>
      </c>
      <c r="R2039" s="55"/>
      <c r="S2039" s="55"/>
      <c r="T2039" s="55" t="s">
        <v>3307</v>
      </c>
    </row>
    <row r="2040" spans="1:20" ht="13" x14ac:dyDescent="0.15">
      <c r="A2040" s="72" t="str">
        <f t="shared" si="31"/>
        <v>Ofsted Social Care Provider Webpage</v>
      </c>
      <c r="B2040" s="55" t="s">
        <v>3308</v>
      </c>
      <c r="D2040" s="55" t="s">
        <v>389</v>
      </c>
      <c r="E2040" s="74">
        <v>38041</v>
      </c>
      <c r="F2040" s="55" t="s">
        <v>344</v>
      </c>
      <c r="G2040" s="55" t="s">
        <v>3309</v>
      </c>
      <c r="H2040" s="55" t="s">
        <v>3310</v>
      </c>
      <c r="I2040" s="55" t="s">
        <v>354</v>
      </c>
      <c r="J2040" s="55" t="s">
        <v>129</v>
      </c>
      <c r="L2040" s="55" t="s">
        <v>3311</v>
      </c>
      <c r="M2040" s="55" t="s">
        <v>129</v>
      </c>
      <c r="N2040" s="55" t="s">
        <v>129</v>
      </c>
      <c r="O2040" s="55" t="s">
        <v>208</v>
      </c>
      <c r="P2040" s="55" t="s">
        <v>3178</v>
      </c>
      <c r="Q2040" s="55" t="s">
        <v>350</v>
      </c>
      <c r="R2040" s="55"/>
      <c r="S2040" s="55"/>
      <c r="T2040" s="55" t="s">
        <v>3312</v>
      </c>
    </row>
    <row r="2041" spans="1:20" ht="13" x14ac:dyDescent="0.15">
      <c r="A2041" s="72" t="str">
        <f t="shared" si="31"/>
        <v>Ofsted Social Care Provider Webpage</v>
      </c>
      <c r="B2041" s="55" t="s">
        <v>3313</v>
      </c>
      <c r="D2041" s="55" t="s">
        <v>373</v>
      </c>
      <c r="E2041" s="74">
        <v>38008</v>
      </c>
      <c r="F2041" s="55" t="s">
        <v>344</v>
      </c>
      <c r="G2041" s="55" t="s">
        <v>360</v>
      </c>
      <c r="H2041" s="55" t="s">
        <v>360</v>
      </c>
      <c r="I2041" s="55" t="s">
        <v>360</v>
      </c>
      <c r="J2041" s="55" t="s">
        <v>360</v>
      </c>
      <c r="K2041" s="55" t="s">
        <v>360</v>
      </c>
      <c r="L2041" s="55" t="s">
        <v>360</v>
      </c>
      <c r="M2041" s="55" t="s">
        <v>144</v>
      </c>
      <c r="N2041" s="55" t="s">
        <v>144</v>
      </c>
      <c r="O2041" s="55" t="s">
        <v>236</v>
      </c>
      <c r="P2041" s="55" t="s">
        <v>2088</v>
      </c>
      <c r="Q2041" s="55" t="s">
        <v>380</v>
      </c>
      <c r="R2041" s="55">
        <v>7</v>
      </c>
      <c r="S2041" s="55"/>
      <c r="T2041" s="55" t="s">
        <v>3314</v>
      </c>
    </row>
    <row r="2042" spans="1:20" ht="13" x14ac:dyDescent="0.15">
      <c r="A2042" s="72" t="str">
        <f t="shared" si="31"/>
        <v>Ofsted Social Care Provider Webpage</v>
      </c>
      <c r="B2042" s="55" t="s">
        <v>3315</v>
      </c>
      <c r="D2042" s="55" t="s">
        <v>373</v>
      </c>
      <c r="E2042" s="74">
        <v>37705</v>
      </c>
      <c r="F2042" s="55" t="s">
        <v>344</v>
      </c>
      <c r="G2042" s="55" t="s">
        <v>360</v>
      </c>
      <c r="H2042" s="55" t="s">
        <v>360</v>
      </c>
      <c r="I2042" s="55" t="s">
        <v>360</v>
      </c>
      <c r="J2042" s="55" t="s">
        <v>360</v>
      </c>
      <c r="K2042" s="55" t="s">
        <v>360</v>
      </c>
      <c r="L2042" s="55" t="s">
        <v>360</v>
      </c>
      <c r="M2042" s="55" t="s">
        <v>378</v>
      </c>
      <c r="N2042" s="55" t="s">
        <v>170</v>
      </c>
      <c r="O2042" s="55" t="s">
        <v>264</v>
      </c>
      <c r="P2042" s="55" t="s">
        <v>1334</v>
      </c>
      <c r="Q2042" s="55" t="s">
        <v>380</v>
      </c>
      <c r="R2042" s="55">
        <v>6</v>
      </c>
      <c r="S2042" s="55" t="s">
        <v>332</v>
      </c>
      <c r="T2042" s="55" t="s">
        <v>1696</v>
      </c>
    </row>
    <row r="2043" spans="1:20" ht="13" x14ac:dyDescent="0.15">
      <c r="A2043" s="72" t="str">
        <f t="shared" si="31"/>
        <v>Ofsted Social Care Provider Webpage</v>
      </c>
      <c r="B2043" s="55" t="s">
        <v>3316</v>
      </c>
      <c r="D2043" s="55" t="s">
        <v>373</v>
      </c>
      <c r="E2043" s="74">
        <v>37662</v>
      </c>
      <c r="F2043" s="55" t="s">
        <v>344</v>
      </c>
      <c r="G2043" s="55" t="s">
        <v>360</v>
      </c>
      <c r="H2043" s="55" t="s">
        <v>360</v>
      </c>
      <c r="I2043" s="55" t="s">
        <v>360</v>
      </c>
      <c r="J2043" s="55" t="s">
        <v>360</v>
      </c>
      <c r="K2043" s="55" t="s">
        <v>360</v>
      </c>
      <c r="L2043" s="55" t="s">
        <v>360</v>
      </c>
      <c r="M2043" s="55" t="s">
        <v>378</v>
      </c>
      <c r="N2043" s="55" t="s">
        <v>170</v>
      </c>
      <c r="O2043" s="55" t="s">
        <v>264</v>
      </c>
      <c r="P2043" s="55" t="s">
        <v>437</v>
      </c>
      <c r="Q2043" s="55" t="s">
        <v>380</v>
      </c>
      <c r="R2043" s="55">
        <v>6</v>
      </c>
      <c r="S2043" s="55"/>
      <c r="T2043" s="55" t="s">
        <v>1696</v>
      </c>
    </row>
    <row r="2044" spans="1:20" ht="13" x14ac:dyDescent="0.15">
      <c r="A2044" s="72" t="str">
        <f t="shared" si="31"/>
        <v>Ofsted Social Care Provider Webpage</v>
      </c>
      <c r="B2044" s="55" t="s">
        <v>3317</v>
      </c>
      <c r="D2044" s="55" t="s">
        <v>2864</v>
      </c>
      <c r="E2044" s="74">
        <v>37733</v>
      </c>
      <c r="F2044" s="55" t="s">
        <v>344</v>
      </c>
      <c r="G2044" s="55" t="s">
        <v>360</v>
      </c>
      <c r="H2044" s="55" t="s">
        <v>360</v>
      </c>
      <c r="I2044" s="55" t="s">
        <v>360</v>
      </c>
      <c r="J2044" s="55" t="s">
        <v>360</v>
      </c>
      <c r="K2044" s="55" t="s">
        <v>360</v>
      </c>
      <c r="L2044" s="55" t="s">
        <v>360</v>
      </c>
      <c r="M2044" s="55" t="s">
        <v>378</v>
      </c>
      <c r="N2044" s="55" t="s">
        <v>170</v>
      </c>
      <c r="O2044" s="55" t="s">
        <v>233</v>
      </c>
      <c r="P2044" s="55" t="s">
        <v>2363</v>
      </c>
      <c r="Q2044" s="55" t="s">
        <v>380</v>
      </c>
      <c r="R2044" s="55">
        <v>12</v>
      </c>
      <c r="S2044" s="55"/>
      <c r="T2044" s="55" t="s">
        <v>381</v>
      </c>
    </row>
    <row r="2045" spans="1:20" ht="13" x14ac:dyDescent="0.15">
      <c r="A2045" s="72" t="str">
        <f t="shared" si="31"/>
        <v>Ofsted Social Care Provider Webpage</v>
      </c>
      <c r="B2045" s="55" t="s">
        <v>3318</v>
      </c>
      <c r="D2045" s="55" t="s">
        <v>389</v>
      </c>
      <c r="E2045" s="74">
        <v>38055</v>
      </c>
      <c r="F2045" s="55" t="s">
        <v>344</v>
      </c>
      <c r="G2045" s="55" t="s">
        <v>3319</v>
      </c>
      <c r="H2045" s="55" t="s">
        <v>587</v>
      </c>
      <c r="I2045" s="55" t="s">
        <v>3320</v>
      </c>
      <c r="J2045" s="55" t="s">
        <v>382</v>
      </c>
      <c r="L2045" s="55" t="s">
        <v>3321</v>
      </c>
      <c r="M2045" s="55" t="s">
        <v>136</v>
      </c>
      <c r="N2045" s="55" t="s">
        <v>136</v>
      </c>
      <c r="O2045" s="55" t="s">
        <v>185</v>
      </c>
      <c r="P2045" s="55" t="s">
        <v>382</v>
      </c>
      <c r="Q2045" s="55" t="s">
        <v>362</v>
      </c>
      <c r="R2045" s="55"/>
      <c r="S2045" s="55"/>
      <c r="T2045" s="55" t="s">
        <v>3319</v>
      </c>
    </row>
    <row r="2046" spans="1:20" ht="13" x14ac:dyDescent="0.15">
      <c r="A2046" s="72" t="str">
        <f t="shared" si="31"/>
        <v>Ofsted Social Care Provider Webpage</v>
      </c>
      <c r="B2046" s="55" t="s">
        <v>3322</v>
      </c>
      <c r="D2046" s="55" t="s">
        <v>373</v>
      </c>
      <c r="E2046" s="74">
        <v>37991</v>
      </c>
      <c r="F2046" s="55" t="s">
        <v>344</v>
      </c>
      <c r="G2046" s="55" t="s">
        <v>360</v>
      </c>
      <c r="H2046" s="55" t="s">
        <v>360</v>
      </c>
      <c r="I2046" s="55" t="s">
        <v>360</v>
      </c>
      <c r="J2046" s="55" t="s">
        <v>360</v>
      </c>
      <c r="K2046" s="55" t="s">
        <v>360</v>
      </c>
      <c r="L2046" s="55" t="s">
        <v>360</v>
      </c>
      <c r="M2046" s="55" t="s">
        <v>144</v>
      </c>
      <c r="N2046" s="55" t="s">
        <v>144</v>
      </c>
      <c r="O2046" s="55" t="s">
        <v>209</v>
      </c>
      <c r="P2046" s="55" t="s">
        <v>777</v>
      </c>
      <c r="Q2046" s="55" t="s">
        <v>380</v>
      </c>
      <c r="R2046" s="55">
        <v>1</v>
      </c>
      <c r="S2046" s="55"/>
      <c r="T2046" s="55" t="s">
        <v>657</v>
      </c>
    </row>
    <row r="2047" spans="1:20" ht="13" x14ac:dyDescent="0.15">
      <c r="A2047" s="72" t="str">
        <f t="shared" si="31"/>
        <v>Ofsted Social Care Provider Webpage</v>
      </c>
      <c r="B2047" s="55" t="s">
        <v>3323</v>
      </c>
      <c r="D2047" s="55" t="s">
        <v>373</v>
      </c>
      <c r="E2047" s="74">
        <v>37928</v>
      </c>
      <c r="F2047" s="55" t="s">
        <v>344</v>
      </c>
      <c r="G2047" s="55" t="s">
        <v>360</v>
      </c>
      <c r="H2047" s="55" t="s">
        <v>360</v>
      </c>
      <c r="I2047" s="55" t="s">
        <v>360</v>
      </c>
      <c r="J2047" s="55" t="s">
        <v>360</v>
      </c>
      <c r="K2047" s="55" t="s">
        <v>360</v>
      </c>
      <c r="L2047" s="55" t="s">
        <v>360</v>
      </c>
      <c r="M2047" s="55" t="s">
        <v>144</v>
      </c>
      <c r="N2047" s="55" t="s">
        <v>144</v>
      </c>
      <c r="O2047" s="55" t="s">
        <v>209</v>
      </c>
      <c r="P2047" s="55" t="s">
        <v>777</v>
      </c>
      <c r="Q2047" s="55" t="s">
        <v>380</v>
      </c>
      <c r="R2047" s="55">
        <v>6</v>
      </c>
      <c r="S2047" s="55"/>
      <c r="T2047" s="55" t="s">
        <v>657</v>
      </c>
    </row>
    <row r="2048" spans="1:20" ht="13" x14ac:dyDescent="0.15">
      <c r="A2048" s="72" t="str">
        <f t="shared" si="31"/>
        <v>Ofsted Social Care Provider Webpage</v>
      </c>
      <c r="B2048" s="55" t="s">
        <v>3324</v>
      </c>
      <c r="D2048" s="55" t="s">
        <v>373</v>
      </c>
      <c r="E2048" s="74">
        <v>37928</v>
      </c>
      <c r="F2048" s="55" t="s">
        <v>344</v>
      </c>
      <c r="G2048" s="55" t="s">
        <v>360</v>
      </c>
      <c r="H2048" s="55" t="s">
        <v>360</v>
      </c>
      <c r="I2048" s="55" t="s">
        <v>360</v>
      </c>
      <c r="J2048" s="55" t="s">
        <v>360</v>
      </c>
      <c r="K2048" s="55" t="s">
        <v>360</v>
      </c>
      <c r="L2048" s="55" t="s">
        <v>360</v>
      </c>
      <c r="M2048" s="55" t="s">
        <v>144</v>
      </c>
      <c r="N2048" s="55" t="s">
        <v>144</v>
      </c>
      <c r="O2048" s="55" t="s">
        <v>209</v>
      </c>
      <c r="P2048" s="55" t="s">
        <v>474</v>
      </c>
      <c r="Q2048" s="55" t="s">
        <v>380</v>
      </c>
      <c r="R2048" s="55">
        <v>6</v>
      </c>
      <c r="S2048" s="55" t="s">
        <v>332</v>
      </c>
      <c r="T2048" s="55" t="s">
        <v>657</v>
      </c>
    </row>
    <row r="2049" spans="1:20" ht="13" x14ac:dyDescent="0.15">
      <c r="A2049" s="72" t="str">
        <f t="shared" si="31"/>
        <v>Ofsted Social Care Provider Webpage</v>
      </c>
      <c r="B2049" s="55" t="s">
        <v>3325</v>
      </c>
      <c r="D2049" s="55" t="s">
        <v>373</v>
      </c>
      <c r="E2049" s="74">
        <v>37966</v>
      </c>
      <c r="F2049" s="55" t="s">
        <v>344</v>
      </c>
      <c r="G2049" s="55" t="s">
        <v>360</v>
      </c>
      <c r="H2049" s="55" t="s">
        <v>360</v>
      </c>
      <c r="I2049" s="55" t="s">
        <v>360</v>
      </c>
      <c r="J2049" s="55" t="s">
        <v>360</v>
      </c>
      <c r="K2049" s="55" t="s">
        <v>360</v>
      </c>
      <c r="L2049" s="55" t="s">
        <v>360</v>
      </c>
      <c r="M2049" s="55" t="s">
        <v>144</v>
      </c>
      <c r="N2049" s="55" t="s">
        <v>144</v>
      </c>
      <c r="O2049" s="55" t="s">
        <v>209</v>
      </c>
      <c r="P2049" s="55" t="s">
        <v>555</v>
      </c>
      <c r="Q2049" s="55" t="s">
        <v>380</v>
      </c>
      <c r="R2049" s="55">
        <v>3</v>
      </c>
      <c r="S2049" s="55"/>
      <c r="T2049" s="55" t="s">
        <v>657</v>
      </c>
    </row>
    <row r="2050" spans="1:20" ht="13" x14ac:dyDescent="0.15">
      <c r="A2050" s="72" t="str">
        <f t="shared" si="31"/>
        <v>Ofsted Social Care Provider Webpage</v>
      </c>
      <c r="B2050" s="55" t="s">
        <v>3326</v>
      </c>
      <c r="D2050" s="55" t="s">
        <v>373</v>
      </c>
      <c r="E2050" s="74">
        <v>37922</v>
      </c>
      <c r="F2050" s="55" t="s">
        <v>344</v>
      </c>
      <c r="G2050" s="55" t="s">
        <v>360</v>
      </c>
      <c r="H2050" s="55" t="s">
        <v>360</v>
      </c>
      <c r="I2050" s="55" t="s">
        <v>360</v>
      </c>
      <c r="J2050" s="55" t="s">
        <v>360</v>
      </c>
      <c r="K2050" s="55" t="s">
        <v>360</v>
      </c>
      <c r="L2050" s="55" t="s">
        <v>360</v>
      </c>
      <c r="M2050" s="55" t="s">
        <v>144</v>
      </c>
      <c r="N2050" s="55" t="s">
        <v>144</v>
      </c>
      <c r="O2050" s="55" t="s">
        <v>236</v>
      </c>
      <c r="P2050" s="55" t="s">
        <v>1122</v>
      </c>
      <c r="Q2050" s="55" t="s">
        <v>380</v>
      </c>
      <c r="R2050" s="55">
        <v>4</v>
      </c>
      <c r="S2050" s="55"/>
      <c r="T2050" s="55" t="s">
        <v>3314</v>
      </c>
    </row>
    <row r="2051" spans="1:20" ht="13" x14ac:dyDescent="0.15">
      <c r="A2051" s="72" t="str">
        <f t="shared" si="31"/>
        <v>Ofsted Social Care Provider Webpage</v>
      </c>
      <c r="B2051" s="55" t="s">
        <v>3327</v>
      </c>
      <c r="D2051" s="55" t="s">
        <v>373</v>
      </c>
      <c r="E2051" s="74">
        <v>37712</v>
      </c>
      <c r="F2051" s="55" t="s">
        <v>344</v>
      </c>
      <c r="G2051" s="55" t="s">
        <v>360</v>
      </c>
      <c r="H2051" s="55" t="s">
        <v>360</v>
      </c>
      <c r="I2051" s="55" t="s">
        <v>360</v>
      </c>
      <c r="J2051" s="55" t="s">
        <v>360</v>
      </c>
      <c r="K2051" s="55" t="s">
        <v>360</v>
      </c>
      <c r="L2051" s="55" t="s">
        <v>360</v>
      </c>
      <c r="M2051" s="55" t="s">
        <v>378</v>
      </c>
      <c r="N2051" s="55" t="s">
        <v>134</v>
      </c>
      <c r="O2051" s="55" t="s">
        <v>180</v>
      </c>
      <c r="P2051" s="55" t="s">
        <v>1483</v>
      </c>
      <c r="Q2051" s="55" t="s">
        <v>380</v>
      </c>
      <c r="R2051" s="55">
        <v>6</v>
      </c>
      <c r="S2051" s="55"/>
      <c r="T2051" s="55" t="s">
        <v>2361</v>
      </c>
    </row>
    <row r="2052" spans="1:20" ht="13" x14ac:dyDescent="0.15">
      <c r="A2052" s="72" t="str">
        <f t="shared" si="31"/>
        <v>Ofsted Social Care Provider Webpage</v>
      </c>
      <c r="B2052" s="55" t="s">
        <v>3328</v>
      </c>
      <c r="D2052" s="55" t="s">
        <v>2864</v>
      </c>
      <c r="E2052" s="74">
        <v>37636</v>
      </c>
      <c r="F2052" s="55" t="s">
        <v>344</v>
      </c>
      <c r="G2052" s="55" t="s">
        <v>360</v>
      </c>
      <c r="H2052" s="55" t="s">
        <v>360</v>
      </c>
      <c r="I2052" s="55" t="s">
        <v>360</v>
      </c>
      <c r="J2052" s="55" t="s">
        <v>360</v>
      </c>
      <c r="K2052" s="55" t="s">
        <v>360</v>
      </c>
      <c r="L2052" s="55" t="s">
        <v>360</v>
      </c>
      <c r="M2052" s="55" t="s">
        <v>136</v>
      </c>
      <c r="N2052" s="55" t="s">
        <v>136</v>
      </c>
      <c r="O2052" s="55" t="s">
        <v>256</v>
      </c>
      <c r="P2052" s="55" t="s">
        <v>3329</v>
      </c>
      <c r="Q2052" s="55" t="s">
        <v>380</v>
      </c>
      <c r="R2052" s="55">
        <v>24</v>
      </c>
      <c r="S2052" s="55"/>
      <c r="T2052" s="55" t="s">
        <v>3330</v>
      </c>
    </row>
    <row r="2053" spans="1:20" ht="13" x14ac:dyDescent="0.15">
      <c r="A2053" s="72" t="str">
        <f t="shared" ref="A2053:A2116" si="32">HYPERLINK(_xlfn.CONCAT("http://reports.ofsted.gov.uk/inspection-reports/find-inspection-report/provider/CARE/",B2053),"Ofsted Social Care Provider Webpage")</f>
        <v>Ofsted Social Care Provider Webpage</v>
      </c>
      <c r="B2053" s="55" t="s">
        <v>3331</v>
      </c>
      <c r="D2053" s="55" t="s">
        <v>479</v>
      </c>
      <c r="E2053" s="74">
        <v>38005</v>
      </c>
      <c r="F2053" s="55" t="s">
        <v>344</v>
      </c>
      <c r="G2053" s="55" t="s">
        <v>360</v>
      </c>
      <c r="H2053" s="55" t="s">
        <v>360</v>
      </c>
      <c r="I2053" s="55" t="s">
        <v>360</v>
      </c>
      <c r="J2053" s="55" t="s">
        <v>360</v>
      </c>
      <c r="K2053" s="55" t="s">
        <v>360</v>
      </c>
      <c r="L2053" s="55" t="s">
        <v>360</v>
      </c>
      <c r="M2053" s="55" t="s">
        <v>144</v>
      </c>
      <c r="N2053" s="55" t="s">
        <v>144</v>
      </c>
      <c r="O2053" s="55" t="s">
        <v>263</v>
      </c>
      <c r="P2053" s="55" t="s">
        <v>1211</v>
      </c>
      <c r="Q2053" s="55" t="s">
        <v>362</v>
      </c>
      <c r="R2053" s="55">
        <v>24</v>
      </c>
      <c r="S2053" s="55"/>
      <c r="T2053" s="55" t="s">
        <v>1847</v>
      </c>
    </row>
    <row r="2054" spans="1:20" ht="13" x14ac:dyDescent="0.15">
      <c r="A2054" s="72" t="str">
        <f t="shared" si="32"/>
        <v>Ofsted Social Care Provider Webpage</v>
      </c>
      <c r="B2054" s="55" t="s">
        <v>3332</v>
      </c>
      <c r="D2054" s="55" t="s">
        <v>373</v>
      </c>
      <c r="E2054" s="74">
        <v>37712</v>
      </c>
      <c r="F2054" s="55" t="s">
        <v>344</v>
      </c>
      <c r="G2054" s="55" t="s">
        <v>360</v>
      </c>
      <c r="H2054" s="55" t="s">
        <v>360</v>
      </c>
      <c r="I2054" s="55" t="s">
        <v>360</v>
      </c>
      <c r="J2054" s="55" t="s">
        <v>360</v>
      </c>
      <c r="K2054" s="55" t="s">
        <v>360</v>
      </c>
      <c r="L2054" s="55" t="s">
        <v>360</v>
      </c>
      <c r="M2054" s="55" t="s">
        <v>378</v>
      </c>
      <c r="N2054" s="55" t="s">
        <v>134</v>
      </c>
      <c r="O2054" s="55" t="s">
        <v>180</v>
      </c>
      <c r="P2054" s="55" t="s">
        <v>1483</v>
      </c>
      <c r="Q2054" s="55" t="s">
        <v>380</v>
      </c>
      <c r="R2054" s="55">
        <v>6</v>
      </c>
      <c r="S2054" s="55"/>
      <c r="T2054" s="55" t="s">
        <v>2361</v>
      </c>
    </row>
    <row r="2055" spans="1:20" ht="13" x14ac:dyDescent="0.15">
      <c r="A2055" s="72" t="str">
        <f t="shared" si="32"/>
        <v>Ofsted Social Care Provider Webpage</v>
      </c>
      <c r="B2055" s="55" t="s">
        <v>3333</v>
      </c>
      <c r="D2055" s="55" t="s">
        <v>389</v>
      </c>
      <c r="E2055" s="74">
        <v>37838</v>
      </c>
      <c r="F2055" s="55" t="s">
        <v>344</v>
      </c>
      <c r="G2055" s="55" t="s">
        <v>3334</v>
      </c>
      <c r="H2055" s="55" t="s">
        <v>3335</v>
      </c>
      <c r="I2055" s="55" t="s">
        <v>3336</v>
      </c>
      <c r="J2055" s="55" t="s">
        <v>2738</v>
      </c>
      <c r="K2055" s="55" t="s">
        <v>285</v>
      </c>
      <c r="L2055" s="55" t="s">
        <v>3337</v>
      </c>
      <c r="M2055" s="55" t="s">
        <v>150</v>
      </c>
      <c r="N2055" s="55" t="s">
        <v>150</v>
      </c>
      <c r="O2055" s="55" t="s">
        <v>285</v>
      </c>
      <c r="P2055" s="55" t="s">
        <v>2738</v>
      </c>
      <c r="Q2055" s="55" t="s">
        <v>350</v>
      </c>
      <c r="R2055" s="55"/>
      <c r="S2055" s="55"/>
      <c r="T2055" s="55" t="s">
        <v>726</v>
      </c>
    </row>
    <row r="2056" spans="1:20" ht="13" x14ac:dyDescent="0.15">
      <c r="A2056" s="72" t="str">
        <f t="shared" si="32"/>
        <v>Ofsted Social Care Provider Webpage</v>
      </c>
      <c r="B2056" s="55" t="s">
        <v>3338</v>
      </c>
      <c r="D2056" s="55" t="s">
        <v>373</v>
      </c>
      <c r="E2056" s="74">
        <v>37707</v>
      </c>
      <c r="F2056" s="55" t="s">
        <v>344</v>
      </c>
      <c r="G2056" s="55" t="s">
        <v>360</v>
      </c>
      <c r="H2056" s="55" t="s">
        <v>360</v>
      </c>
      <c r="I2056" s="55" t="s">
        <v>360</v>
      </c>
      <c r="J2056" s="55" t="s">
        <v>360</v>
      </c>
      <c r="K2056" s="55" t="s">
        <v>360</v>
      </c>
      <c r="L2056" s="55" t="s">
        <v>360</v>
      </c>
      <c r="M2056" s="55" t="s">
        <v>150</v>
      </c>
      <c r="N2056" s="55" t="s">
        <v>150</v>
      </c>
      <c r="O2056" s="55" t="s">
        <v>190</v>
      </c>
      <c r="P2056" s="55" t="s">
        <v>749</v>
      </c>
      <c r="Q2056" s="55" t="s">
        <v>350</v>
      </c>
      <c r="R2056" s="55">
        <v>4</v>
      </c>
      <c r="S2056" s="55"/>
      <c r="T2056" s="55" t="s">
        <v>888</v>
      </c>
    </row>
    <row r="2057" spans="1:20" ht="13" x14ac:dyDescent="0.15">
      <c r="A2057" s="72" t="str">
        <f t="shared" si="32"/>
        <v>Ofsted Social Care Provider Webpage</v>
      </c>
      <c r="B2057" s="55" t="s">
        <v>3339</v>
      </c>
      <c r="D2057" s="55" t="s">
        <v>479</v>
      </c>
      <c r="E2057" s="74">
        <v>37741</v>
      </c>
      <c r="F2057" s="55" t="s">
        <v>344</v>
      </c>
      <c r="G2057" s="55" t="s">
        <v>360</v>
      </c>
      <c r="H2057" s="55" t="s">
        <v>360</v>
      </c>
      <c r="I2057" s="55" t="s">
        <v>360</v>
      </c>
      <c r="J2057" s="55" t="s">
        <v>360</v>
      </c>
      <c r="K2057" s="55" t="s">
        <v>360</v>
      </c>
      <c r="L2057" s="55" t="s">
        <v>360</v>
      </c>
      <c r="M2057" s="55" t="s">
        <v>142</v>
      </c>
      <c r="N2057" s="55" t="s">
        <v>142</v>
      </c>
      <c r="O2057" s="55" t="s">
        <v>195</v>
      </c>
      <c r="P2057" s="55" t="s">
        <v>518</v>
      </c>
      <c r="Q2057" s="55" t="s">
        <v>350</v>
      </c>
      <c r="R2057" s="55">
        <v>30</v>
      </c>
      <c r="S2057" s="55"/>
      <c r="T2057" s="55" t="s">
        <v>3340</v>
      </c>
    </row>
    <row r="2058" spans="1:20" ht="13" x14ac:dyDescent="0.15">
      <c r="A2058" s="72" t="str">
        <f t="shared" si="32"/>
        <v>Ofsted Social Care Provider Webpage</v>
      </c>
      <c r="B2058" s="55" t="s">
        <v>3341</v>
      </c>
      <c r="D2058" s="55" t="s">
        <v>2864</v>
      </c>
      <c r="E2058" s="74">
        <v>37868</v>
      </c>
      <c r="F2058" s="55" t="s">
        <v>344</v>
      </c>
      <c r="G2058" s="55" t="s">
        <v>360</v>
      </c>
      <c r="H2058" s="55" t="s">
        <v>360</v>
      </c>
      <c r="I2058" s="55" t="s">
        <v>360</v>
      </c>
      <c r="J2058" s="55" t="s">
        <v>360</v>
      </c>
      <c r="K2058" s="55" t="s">
        <v>360</v>
      </c>
      <c r="L2058" s="55" t="s">
        <v>360</v>
      </c>
      <c r="M2058" s="55" t="s">
        <v>378</v>
      </c>
      <c r="N2058" s="55" t="s">
        <v>170</v>
      </c>
      <c r="O2058" s="55" t="s">
        <v>178</v>
      </c>
      <c r="P2058" s="55" t="s">
        <v>434</v>
      </c>
      <c r="Q2058" s="55" t="s">
        <v>380</v>
      </c>
      <c r="R2058" s="55">
        <v>38</v>
      </c>
      <c r="S2058" s="55"/>
      <c r="T2058" s="55" t="s">
        <v>2068</v>
      </c>
    </row>
    <row r="2059" spans="1:20" ht="13" x14ac:dyDescent="0.15">
      <c r="A2059" s="72" t="str">
        <f t="shared" si="32"/>
        <v>Ofsted Social Care Provider Webpage</v>
      </c>
      <c r="B2059" s="55" t="s">
        <v>3342</v>
      </c>
      <c r="D2059" s="55" t="s">
        <v>373</v>
      </c>
      <c r="E2059" s="74">
        <v>37642</v>
      </c>
      <c r="F2059" s="55" t="s">
        <v>344</v>
      </c>
      <c r="G2059" s="55" t="s">
        <v>360</v>
      </c>
      <c r="H2059" s="55" t="s">
        <v>360</v>
      </c>
      <c r="I2059" s="55" t="s">
        <v>360</v>
      </c>
      <c r="J2059" s="55" t="s">
        <v>360</v>
      </c>
      <c r="K2059" s="55" t="s">
        <v>360</v>
      </c>
      <c r="L2059" s="55" t="s">
        <v>360</v>
      </c>
      <c r="M2059" s="55" t="s">
        <v>144</v>
      </c>
      <c r="N2059" s="55" t="s">
        <v>144</v>
      </c>
      <c r="O2059" s="55" t="s">
        <v>236</v>
      </c>
      <c r="P2059" s="55" t="s">
        <v>996</v>
      </c>
      <c r="Q2059" s="55" t="s">
        <v>350</v>
      </c>
      <c r="R2059" s="55">
        <v>7</v>
      </c>
      <c r="S2059" s="55"/>
      <c r="T2059" s="55" t="s">
        <v>385</v>
      </c>
    </row>
    <row r="2060" spans="1:20" ht="13" x14ac:dyDescent="0.15">
      <c r="A2060" s="72" t="str">
        <f t="shared" si="32"/>
        <v>Ofsted Social Care Provider Webpage</v>
      </c>
      <c r="B2060" s="55" t="s">
        <v>3343</v>
      </c>
      <c r="C2060" s="55">
        <v>119873</v>
      </c>
      <c r="D2060" s="55" t="s">
        <v>413</v>
      </c>
      <c r="E2060" s="74">
        <v>37480</v>
      </c>
      <c r="F2060" s="55" t="s">
        <v>344</v>
      </c>
      <c r="G2060" s="55" t="s">
        <v>3344</v>
      </c>
      <c r="H2060" s="55" t="s">
        <v>3345</v>
      </c>
      <c r="I2060" s="55" t="s">
        <v>3346</v>
      </c>
      <c r="J2060" s="55" t="s">
        <v>3347</v>
      </c>
      <c r="L2060" s="55" t="s">
        <v>3348</v>
      </c>
      <c r="M2060" s="55" t="s">
        <v>144</v>
      </c>
      <c r="N2060" s="55" t="s">
        <v>144</v>
      </c>
      <c r="O2060" s="55" t="s">
        <v>209</v>
      </c>
      <c r="P2060" s="55" t="s">
        <v>364</v>
      </c>
      <c r="Q2060" s="55" t="s">
        <v>380</v>
      </c>
      <c r="R2060" s="55">
        <v>20</v>
      </c>
      <c r="S2060" s="55"/>
      <c r="T2060" s="55" t="s">
        <v>657</v>
      </c>
    </row>
    <row r="2061" spans="1:20" ht="13" x14ac:dyDescent="0.15">
      <c r="A2061" s="72" t="str">
        <f t="shared" si="32"/>
        <v>Ofsted Social Care Provider Webpage</v>
      </c>
      <c r="B2061" s="55" t="s">
        <v>3349</v>
      </c>
      <c r="D2061" s="55" t="s">
        <v>373</v>
      </c>
      <c r="E2061" s="74">
        <v>37876</v>
      </c>
      <c r="F2061" s="55" t="s">
        <v>344</v>
      </c>
      <c r="G2061" s="55" t="s">
        <v>360</v>
      </c>
      <c r="H2061" s="55" t="s">
        <v>360</v>
      </c>
      <c r="I2061" s="55" t="s">
        <v>360</v>
      </c>
      <c r="J2061" s="55" t="s">
        <v>360</v>
      </c>
      <c r="K2061" s="55" t="s">
        <v>360</v>
      </c>
      <c r="L2061" s="55" t="s">
        <v>360</v>
      </c>
      <c r="M2061" s="55" t="s">
        <v>144</v>
      </c>
      <c r="N2061" s="55" t="s">
        <v>144</v>
      </c>
      <c r="O2061" s="55" t="s">
        <v>290</v>
      </c>
      <c r="P2061" s="55" t="s">
        <v>1099</v>
      </c>
      <c r="Q2061" s="55" t="s">
        <v>380</v>
      </c>
      <c r="R2061" s="55">
        <v>9</v>
      </c>
      <c r="S2061" s="55"/>
      <c r="T2061" s="55" t="s">
        <v>3350</v>
      </c>
    </row>
    <row r="2062" spans="1:20" ht="13" x14ac:dyDescent="0.15">
      <c r="A2062" s="72" t="str">
        <f t="shared" si="32"/>
        <v>Ofsted Social Care Provider Webpage</v>
      </c>
      <c r="B2062" s="55" t="s">
        <v>3351</v>
      </c>
      <c r="D2062" s="55" t="s">
        <v>373</v>
      </c>
      <c r="E2062" s="74">
        <v>37876</v>
      </c>
      <c r="F2062" s="55" t="s">
        <v>344</v>
      </c>
      <c r="G2062" s="55" t="s">
        <v>360</v>
      </c>
      <c r="H2062" s="55" t="s">
        <v>360</v>
      </c>
      <c r="I2062" s="55" t="s">
        <v>360</v>
      </c>
      <c r="J2062" s="55" t="s">
        <v>360</v>
      </c>
      <c r="K2062" s="55" t="s">
        <v>360</v>
      </c>
      <c r="L2062" s="55" t="s">
        <v>360</v>
      </c>
      <c r="M2062" s="55" t="s">
        <v>144</v>
      </c>
      <c r="N2062" s="55" t="s">
        <v>144</v>
      </c>
      <c r="O2062" s="55" t="s">
        <v>215</v>
      </c>
      <c r="P2062" s="55" t="s">
        <v>1440</v>
      </c>
      <c r="Q2062" s="55" t="s">
        <v>380</v>
      </c>
      <c r="R2062" s="55">
        <v>7</v>
      </c>
      <c r="S2062" s="55" t="s">
        <v>332</v>
      </c>
      <c r="T2062" s="55" t="s">
        <v>3352</v>
      </c>
    </row>
    <row r="2063" spans="1:20" ht="13" x14ac:dyDescent="0.15">
      <c r="A2063" s="72" t="str">
        <f t="shared" si="32"/>
        <v>Ofsted Social Care Provider Webpage</v>
      </c>
      <c r="B2063" s="55" t="s">
        <v>3353</v>
      </c>
      <c r="D2063" s="55" t="s">
        <v>373</v>
      </c>
      <c r="E2063" s="74">
        <v>37648</v>
      </c>
      <c r="F2063" s="55" t="s">
        <v>344</v>
      </c>
      <c r="G2063" s="55" t="s">
        <v>360</v>
      </c>
      <c r="H2063" s="55" t="s">
        <v>360</v>
      </c>
      <c r="I2063" s="55" t="s">
        <v>360</v>
      </c>
      <c r="J2063" s="55" t="s">
        <v>360</v>
      </c>
      <c r="K2063" s="55" t="s">
        <v>360</v>
      </c>
      <c r="L2063" s="55" t="s">
        <v>360</v>
      </c>
      <c r="M2063" s="55" t="s">
        <v>144</v>
      </c>
      <c r="N2063" s="55" t="s">
        <v>144</v>
      </c>
      <c r="O2063" s="55" t="s">
        <v>261</v>
      </c>
      <c r="P2063" s="55" t="s">
        <v>512</v>
      </c>
      <c r="Q2063" s="55" t="s">
        <v>380</v>
      </c>
      <c r="R2063" s="55">
        <v>4</v>
      </c>
      <c r="S2063" s="55" t="s">
        <v>332</v>
      </c>
      <c r="T2063" s="55" t="s">
        <v>3354</v>
      </c>
    </row>
    <row r="2064" spans="1:20" ht="13" x14ac:dyDescent="0.15">
      <c r="A2064" s="72" t="str">
        <f t="shared" si="32"/>
        <v>Ofsted Social Care Provider Webpage</v>
      </c>
      <c r="B2064" s="55" t="s">
        <v>3355</v>
      </c>
      <c r="D2064" s="55" t="s">
        <v>373</v>
      </c>
      <c r="E2064" s="74">
        <v>37977</v>
      </c>
      <c r="F2064" s="55" t="s">
        <v>344</v>
      </c>
      <c r="G2064" s="55" t="s">
        <v>360</v>
      </c>
      <c r="H2064" s="55" t="s">
        <v>360</v>
      </c>
      <c r="I2064" s="55" t="s">
        <v>360</v>
      </c>
      <c r="J2064" s="55" t="s">
        <v>360</v>
      </c>
      <c r="K2064" s="55" t="s">
        <v>360</v>
      </c>
      <c r="L2064" s="55" t="s">
        <v>360</v>
      </c>
      <c r="M2064" s="55" t="s">
        <v>172</v>
      </c>
      <c r="N2064" s="55" t="s">
        <v>172</v>
      </c>
      <c r="O2064" s="55" t="s">
        <v>173</v>
      </c>
      <c r="P2064" s="55" t="s">
        <v>961</v>
      </c>
      <c r="Q2064" s="55" t="s">
        <v>380</v>
      </c>
      <c r="R2064" s="55">
        <v>4</v>
      </c>
      <c r="S2064" s="55"/>
      <c r="T2064" s="55" t="s">
        <v>1431</v>
      </c>
    </row>
    <row r="2065" spans="1:20" ht="13" x14ac:dyDescent="0.15">
      <c r="A2065" s="72" t="str">
        <f t="shared" si="32"/>
        <v>Ofsted Social Care Provider Webpage</v>
      </c>
      <c r="B2065" s="55" t="s">
        <v>3356</v>
      </c>
      <c r="D2065" s="55" t="s">
        <v>373</v>
      </c>
      <c r="E2065" s="74">
        <v>37733</v>
      </c>
      <c r="F2065" s="55" t="s">
        <v>344</v>
      </c>
      <c r="G2065" s="55" t="s">
        <v>360</v>
      </c>
      <c r="H2065" s="55" t="s">
        <v>360</v>
      </c>
      <c r="I2065" s="55" t="s">
        <v>360</v>
      </c>
      <c r="J2065" s="55" t="s">
        <v>360</v>
      </c>
      <c r="K2065" s="55" t="s">
        <v>360</v>
      </c>
      <c r="L2065" s="55" t="s">
        <v>360</v>
      </c>
      <c r="M2065" s="55" t="s">
        <v>378</v>
      </c>
      <c r="N2065" s="55" t="s">
        <v>134</v>
      </c>
      <c r="O2065" s="55" t="s">
        <v>251</v>
      </c>
      <c r="P2065" s="55" t="s">
        <v>3357</v>
      </c>
      <c r="Q2065" s="55" t="s">
        <v>380</v>
      </c>
      <c r="R2065" s="55">
        <v>6</v>
      </c>
      <c r="S2065" s="55" t="s">
        <v>332</v>
      </c>
      <c r="T2065" s="55" t="s">
        <v>3358</v>
      </c>
    </row>
    <row r="2066" spans="1:20" ht="13" x14ac:dyDescent="0.15">
      <c r="A2066" s="72" t="str">
        <f t="shared" si="32"/>
        <v>Ofsted Social Care Provider Webpage</v>
      </c>
      <c r="B2066" s="55" t="s">
        <v>3359</v>
      </c>
      <c r="D2066" s="55" t="s">
        <v>373</v>
      </c>
      <c r="E2066" s="74">
        <v>38063</v>
      </c>
      <c r="F2066" s="55" t="s">
        <v>344</v>
      </c>
      <c r="G2066" s="55" t="s">
        <v>360</v>
      </c>
      <c r="H2066" s="55" t="s">
        <v>360</v>
      </c>
      <c r="I2066" s="55" t="s">
        <v>360</v>
      </c>
      <c r="J2066" s="55" t="s">
        <v>360</v>
      </c>
      <c r="K2066" s="55" t="s">
        <v>360</v>
      </c>
      <c r="L2066" s="55" t="s">
        <v>360</v>
      </c>
      <c r="M2066" s="55" t="s">
        <v>172</v>
      </c>
      <c r="N2066" s="55" t="s">
        <v>172</v>
      </c>
      <c r="O2066" s="55" t="s">
        <v>171</v>
      </c>
      <c r="P2066" s="55" t="s">
        <v>983</v>
      </c>
      <c r="Q2066" s="55" t="s">
        <v>380</v>
      </c>
      <c r="R2066" s="55">
        <v>5</v>
      </c>
      <c r="S2066" s="55"/>
      <c r="T2066" s="55" t="s">
        <v>3360</v>
      </c>
    </row>
    <row r="2067" spans="1:20" ht="13" x14ac:dyDescent="0.15">
      <c r="A2067" s="72" t="str">
        <f t="shared" si="32"/>
        <v>Ofsted Social Care Provider Webpage</v>
      </c>
      <c r="B2067" s="55" t="s">
        <v>3361</v>
      </c>
      <c r="D2067" s="55" t="s">
        <v>373</v>
      </c>
      <c r="E2067" s="74">
        <v>37707</v>
      </c>
      <c r="F2067" s="55" t="s">
        <v>344</v>
      </c>
      <c r="G2067" s="55" t="s">
        <v>360</v>
      </c>
      <c r="H2067" s="55" t="s">
        <v>360</v>
      </c>
      <c r="I2067" s="55" t="s">
        <v>360</v>
      </c>
      <c r="J2067" s="55" t="s">
        <v>360</v>
      </c>
      <c r="K2067" s="55" t="s">
        <v>360</v>
      </c>
      <c r="L2067" s="55" t="s">
        <v>360</v>
      </c>
      <c r="M2067" s="55" t="s">
        <v>378</v>
      </c>
      <c r="N2067" s="55" t="s">
        <v>134</v>
      </c>
      <c r="O2067" s="55" t="s">
        <v>251</v>
      </c>
      <c r="P2067" s="55" t="s">
        <v>1709</v>
      </c>
      <c r="Q2067" s="55" t="s">
        <v>380</v>
      </c>
      <c r="R2067" s="55">
        <v>8</v>
      </c>
      <c r="S2067" s="55" t="s">
        <v>332</v>
      </c>
      <c r="T2067" s="55" t="s">
        <v>3358</v>
      </c>
    </row>
    <row r="2068" spans="1:20" ht="13" x14ac:dyDescent="0.15">
      <c r="A2068" s="72" t="str">
        <f t="shared" si="32"/>
        <v>Ofsted Social Care Provider Webpage</v>
      </c>
      <c r="B2068" s="55" t="s">
        <v>3362</v>
      </c>
      <c r="D2068" s="55" t="s">
        <v>373</v>
      </c>
      <c r="E2068" s="74">
        <v>37741</v>
      </c>
      <c r="F2068" s="55" t="s">
        <v>344</v>
      </c>
      <c r="G2068" s="55" t="s">
        <v>360</v>
      </c>
      <c r="H2068" s="55" t="s">
        <v>360</v>
      </c>
      <c r="I2068" s="55" t="s">
        <v>360</v>
      </c>
      <c r="J2068" s="55" t="s">
        <v>360</v>
      </c>
      <c r="K2068" s="55" t="s">
        <v>360</v>
      </c>
      <c r="L2068" s="55" t="s">
        <v>360</v>
      </c>
      <c r="M2068" s="55" t="s">
        <v>378</v>
      </c>
      <c r="N2068" s="55" t="s">
        <v>134</v>
      </c>
      <c r="O2068" s="55" t="s">
        <v>251</v>
      </c>
      <c r="P2068" s="55" t="s">
        <v>3363</v>
      </c>
      <c r="Q2068" s="55" t="s">
        <v>380</v>
      </c>
      <c r="R2068" s="55">
        <v>5</v>
      </c>
      <c r="S2068" s="55"/>
      <c r="T2068" s="55" t="s">
        <v>3358</v>
      </c>
    </row>
    <row r="2069" spans="1:20" ht="13" x14ac:dyDescent="0.15">
      <c r="A2069" s="72" t="str">
        <f t="shared" si="32"/>
        <v>Ofsted Social Care Provider Webpage</v>
      </c>
      <c r="B2069" s="55" t="s">
        <v>3364</v>
      </c>
      <c r="D2069" s="55" t="s">
        <v>389</v>
      </c>
      <c r="E2069" s="74">
        <v>37916</v>
      </c>
      <c r="F2069" s="55" t="s">
        <v>344</v>
      </c>
      <c r="G2069" s="55" t="s">
        <v>3365</v>
      </c>
      <c r="H2069" s="55" t="s">
        <v>3365</v>
      </c>
      <c r="I2069" s="55" t="s">
        <v>3366</v>
      </c>
      <c r="J2069" s="55" t="s">
        <v>3367</v>
      </c>
      <c r="K2069" s="55" t="s">
        <v>3368</v>
      </c>
      <c r="L2069" s="55" t="s">
        <v>3369</v>
      </c>
      <c r="M2069" s="55" t="s">
        <v>378</v>
      </c>
      <c r="N2069" s="55" t="s">
        <v>170</v>
      </c>
      <c r="O2069" s="55" t="s">
        <v>178</v>
      </c>
      <c r="P2069" s="55" t="s">
        <v>952</v>
      </c>
      <c r="Q2069" s="55" t="s">
        <v>350</v>
      </c>
      <c r="R2069" s="55"/>
      <c r="S2069" s="55"/>
      <c r="T2069" s="55" t="s">
        <v>3370</v>
      </c>
    </row>
    <row r="2070" spans="1:20" ht="13" x14ac:dyDescent="0.15">
      <c r="A2070" s="72" t="str">
        <f t="shared" si="32"/>
        <v>Ofsted Social Care Provider Webpage</v>
      </c>
      <c r="B2070" s="55" t="s">
        <v>3371</v>
      </c>
      <c r="D2070" s="55" t="s">
        <v>389</v>
      </c>
      <c r="E2070" s="74">
        <v>38153</v>
      </c>
      <c r="F2070" s="55" t="s">
        <v>344</v>
      </c>
      <c r="G2070" s="55" t="s">
        <v>3372</v>
      </c>
      <c r="H2070" s="55" t="s">
        <v>3373</v>
      </c>
      <c r="I2070" s="55" t="s">
        <v>3374</v>
      </c>
      <c r="J2070" s="55" t="s">
        <v>178</v>
      </c>
      <c r="L2070" s="55" t="s">
        <v>3375</v>
      </c>
      <c r="M2070" s="55" t="s">
        <v>378</v>
      </c>
      <c r="N2070" s="55" t="s">
        <v>170</v>
      </c>
      <c r="O2070" s="55" t="s">
        <v>178</v>
      </c>
      <c r="P2070" s="55" t="s">
        <v>2014</v>
      </c>
      <c r="Q2070" s="55" t="s">
        <v>350</v>
      </c>
      <c r="R2070" s="55"/>
      <c r="S2070" s="55"/>
      <c r="T2070" s="55" t="s">
        <v>3372</v>
      </c>
    </row>
    <row r="2071" spans="1:20" ht="13" x14ac:dyDescent="0.15">
      <c r="A2071" s="72" t="str">
        <f t="shared" si="32"/>
        <v>Ofsted Social Care Provider Webpage</v>
      </c>
      <c r="B2071" s="55" t="s">
        <v>3376</v>
      </c>
      <c r="D2071" s="55" t="s">
        <v>373</v>
      </c>
      <c r="E2071" s="74">
        <v>37712</v>
      </c>
      <c r="F2071" s="55" t="s">
        <v>344</v>
      </c>
      <c r="G2071" s="55" t="s">
        <v>360</v>
      </c>
      <c r="H2071" s="55" t="s">
        <v>360</v>
      </c>
      <c r="I2071" s="55" t="s">
        <v>360</v>
      </c>
      <c r="J2071" s="55" t="s">
        <v>360</v>
      </c>
      <c r="K2071" s="55" t="s">
        <v>360</v>
      </c>
      <c r="L2071" s="55" t="s">
        <v>360</v>
      </c>
      <c r="M2071" s="55" t="s">
        <v>378</v>
      </c>
      <c r="N2071" s="55" t="s">
        <v>134</v>
      </c>
      <c r="O2071" s="55" t="s">
        <v>204</v>
      </c>
      <c r="P2071" s="55" t="s">
        <v>929</v>
      </c>
      <c r="Q2071" s="55" t="s">
        <v>380</v>
      </c>
      <c r="R2071" s="55">
        <v>8</v>
      </c>
      <c r="S2071" s="55"/>
      <c r="T2071" s="55" t="s">
        <v>1479</v>
      </c>
    </row>
    <row r="2072" spans="1:20" ht="13" x14ac:dyDescent="0.15">
      <c r="A2072" s="72" t="str">
        <f t="shared" si="32"/>
        <v>Ofsted Social Care Provider Webpage</v>
      </c>
      <c r="B2072" s="55" t="s">
        <v>3377</v>
      </c>
      <c r="D2072" s="55" t="s">
        <v>373</v>
      </c>
      <c r="E2072" s="74">
        <v>37966</v>
      </c>
      <c r="F2072" s="55" t="s">
        <v>344</v>
      </c>
      <c r="G2072" s="55" t="s">
        <v>360</v>
      </c>
      <c r="H2072" s="55" t="s">
        <v>360</v>
      </c>
      <c r="I2072" s="55" t="s">
        <v>360</v>
      </c>
      <c r="J2072" s="55" t="s">
        <v>360</v>
      </c>
      <c r="K2072" s="55" t="s">
        <v>360</v>
      </c>
      <c r="L2072" s="55" t="s">
        <v>360</v>
      </c>
      <c r="M2072" s="55" t="s">
        <v>172</v>
      </c>
      <c r="N2072" s="55" t="s">
        <v>172</v>
      </c>
      <c r="O2072" s="55" t="s">
        <v>173</v>
      </c>
      <c r="P2072" s="55" t="s">
        <v>961</v>
      </c>
      <c r="Q2072" s="55" t="s">
        <v>380</v>
      </c>
      <c r="R2072" s="55">
        <v>8</v>
      </c>
      <c r="S2072" s="55" t="s">
        <v>332</v>
      </c>
      <c r="T2072" s="55" t="s">
        <v>1431</v>
      </c>
    </row>
    <row r="2073" spans="1:20" ht="13" x14ac:dyDescent="0.15">
      <c r="A2073" s="72" t="str">
        <f t="shared" si="32"/>
        <v>Ofsted Social Care Provider Webpage</v>
      </c>
      <c r="B2073" s="55" t="s">
        <v>3378</v>
      </c>
      <c r="D2073" s="55" t="s">
        <v>389</v>
      </c>
      <c r="E2073" s="74">
        <v>37916</v>
      </c>
      <c r="F2073" s="55" t="s">
        <v>344</v>
      </c>
      <c r="G2073" s="55" t="s">
        <v>3379</v>
      </c>
      <c r="H2073" s="55" t="s">
        <v>3380</v>
      </c>
      <c r="I2073" s="55" t="s">
        <v>3381</v>
      </c>
      <c r="J2073" s="55" t="s">
        <v>3382</v>
      </c>
      <c r="K2073" s="55" t="s">
        <v>3368</v>
      </c>
      <c r="L2073" s="55" t="s">
        <v>3383</v>
      </c>
      <c r="M2073" s="55" t="s">
        <v>378</v>
      </c>
      <c r="N2073" s="55" t="s">
        <v>170</v>
      </c>
      <c r="O2073" s="55" t="s">
        <v>178</v>
      </c>
      <c r="P2073" s="55" t="s">
        <v>434</v>
      </c>
      <c r="Q2073" s="55" t="s">
        <v>362</v>
      </c>
      <c r="R2073" s="55"/>
      <c r="S2073" s="55"/>
      <c r="T2073" s="55" t="s">
        <v>3384</v>
      </c>
    </row>
    <row r="2074" spans="1:20" ht="13" x14ac:dyDescent="0.15">
      <c r="A2074" s="72" t="str">
        <f t="shared" si="32"/>
        <v>Ofsted Social Care Provider Webpage</v>
      </c>
      <c r="B2074" s="55" t="s">
        <v>3385</v>
      </c>
      <c r="D2074" s="55" t="s">
        <v>373</v>
      </c>
      <c r="E2074" s="74">
        <v>37938</v>
      </c>
      <c r="F2074" s="55" t="s">
        <v>344</v>
      </c>
      <c r="G2074" s="55" t="s">
        <v>360</v>
      </c>
      <c r="H2074" s="55" t="s">
        <v>360</v>
      </c>
      <c r="I2074" s="55" t="s">
        <v>360</v>
      </c>
      <c r="J2074" s="55" t="s">
        <v>360</v>
      </c>
      <c r="K2074" s="55" t="s">
        <v>360</v>
      </c>
      <c r="L2074" s="55" t="s">
        <v>360</v>
      </c>
      <c r="M2074" s="55" t="s">
        <v>172</v>
      </c>
      <c r="N2074" s="55" t="s">
        <v>172</v>
      </c>
      <c r="O2074" s="55" t="s">
        <v>171</v>
      </c>
      <c r="P2074" s="55" t="s">
        <v>983</v>
      </c>
      <c r="Q2074" s="55" t="s">
        <v>380</v>
      </c>
      <c r="R2074" s="55">
        <v>6</v>
      </c>
      <c r="S2074" s="55"/>
      <c r="T2074" s="55" t="s">
        <v>3360</v>
      </c>
    </row>
    <row r="2075" spans="1:20" ht="13" x14ac:dyDescent="0.15">
      <c r="A2075" s="72" t="str">
        <f t="shared" si="32"/>
        <v>Ofsted Social Care Provider Webpage</v>
      </c>
      <c r="B2075" s="55" t="s">
        <v>3386</v>
      </c>
      <c r="D2075" s="55" t="s">
        <v>389</v>
      </c>
      <c r="E2075" s="74">
        <v>37712</v>
      </c>
      <c r="F2075" s="55" t="s">
        <v>344</v>
      </c>
      <c r="G2075" s="55" t="s">
        <v>3387</v>
      </c>
      <c r="H2075" s="55" t="s">
        <v>3388</v>
      </c>
      <c r="I2075" s="55" t="s">
        <v>3389</v>
      </c>
      <c r="J2075" s="55" t="s">
        <v>3390</v>
      </c>
      <c r="L2075" s="55" t="s">
        <v>3391</v>
      </c>
      <c r="M2075" s="55" t="s">
        <v>378</v>
      </c>
      <c r="N2075" s="55" t="s">
        <v>170</v>
      </c>
      <c r="O2075" s="55" t="s">
        <v>243</v>
      </c>
      <c r="P2075" s="55" t="s">
        <v>1786</v>
      </c>
      <c r="Q2075" s="55" t="s">
        <v>362</v>
      </c>
      <c r="R2075" s="55"/>
      <c r="S2075" s="55"/>
      <c r="T2075" s="55" t="s">
        <v>367</v>
      </c>
    </row>
    <row r="2076" spans="1:20" ht="13" x14ac:dyDescent="0.15">
      <c r="A2076" s="72" t="str">
        <f t="shared" si="32"/>
        <v>Ofsted Social Care Provider Webpage</v>
      </c>
      <c r="B2076" s="55" t="s">
        <v>3392</v>
      </c>
      <c r="D2076" s="55" t="s">
        <v>373</v>
      </c>
      <c r="E2076" s="74">
        <v>38029</v>
      </c>
      <c r="F2076" s="55" t="s">
        <v>344</v>
      </c>
      <c r="G2076" s="55" t="s">
        <v>360</v>
      </c>
      <c r="H2076" s="55" t="s">
        <v>360</v>
      </c>
      <c r="I2076" s="55" t="s">
        <v>360</v>
      </c>
      <c r="J2076" s="55" t="s">
        <v>360</v>
      </c>
      <c r="K2076" s="55" t="s">
        <v>360</v>
      </c>
      <c r="L2076" s="55" t="s">
        <v>360</v>
      </c>
      <c r="M2076" s="55" t="s">
        <v>172</v>
      </c>
      <c r="N2076" s="55" t="s">
        <v>172</v>
      </c>
      <c r="O2076" s="55" t="s">
        <v>171</v>
      </c>
      <c r="P2076" s="55" t="s">
        <v>983</v>
      </c>
      <c r="Q2076" s="55" t="s">
        <v>380</v>
      </c>
      <c r="R2076" s="55">
        <v>6</v>
      </c>
      <c r="S2076" s="55"/>
      <c r="T2076" s="55" t="s">
        <v>3360</v>
      </c>
    </row>
    <row r="2077" spans="1:20" ht="13" x14ac:dyDescent="0.15">
      <c r="A2077" s="72" t="str">
        <f t="shared" si="32"/>
        <v>Ofsted Social Care Provider Webpage</v>
      </c>
      <c r="B2077" s="55" t="s">
        <v>3393</v>
      </c>
      <c r="D2077" s="55" t="s">
        <v>373</v>
      </c>
      <c r="E2077" s="74">
        <v>37966</v>
      </c>
      <c r="F2077" s="55" t="s">
        <v>344</v>
      </c>
      <c r="G2077" s="55" t="s">
        <v>360</v>
      </c>
      <c r="H2077" s="55" t="s">
        <v>360</v>
      </c>
      <c r="I2077" s="55" t="s">
        <v>360</v>
      </c>
      <c r="J2077" s="55" t="s">
        <v>360</v>
      </c>
      <c r="K2077" s="55" t="s">
        <v>360</v>
      </c>
      <c r="L2077" s="55" t="s">
        <v>360</v>
      </c>
      <c r="M2077" s="55" t="s">
        <v>172</v>
      </c>
      <c r="N2077" s="55" t="s">
        <v>172</v>
      </c>
      <c r="O2077" s="55" t="s">
        <v>173</v>
      </c>
      <c r="P2077" s="55" t="s">
        <v>860</v>
      </c>
      <c r="Q2077" s="55" t="s">
        <v>380</v>
      </c>
      <c r="R2077" s="55">
        <v>5</v>
      </c>
      <c r="S2077" s="55"/>
      <c r="T2077" s="55" t="s">
        <v>1431</v>
      </c>
    </row>
    <row r="2078" spans="1:20" ht="13" x14ac:dyDescent="0.15">
      <c r="A2078" s="72" t="str">
        <f t="shared" si="32"/>
        <v>Ofsted Social Care Provider Webpage</v>
      </c>
      <c r="B2078" s="55" t="s">
        <v>3394</v>
      </c>
      <c r="D2078" s="55" t="s">
        <v>389</v>
      </c>
      <c r="E2078" s="74">
        <v>37931</v>
      </c>
      <c r="F2078" s="55" t="s">
        <v>344</v>
      </c>
      <c r="G2078" s="55" t="s">
        <v>3395</v>
      </c>
      <c r="H2078" s="55" t="s">
        <v>3396</v>
      </c>
      <c r="I2078" s="55" t="s">
        <v>3397</v>
      </c>
      <c r="J2078" s="55" t="s">
        <v>2614</v>
      </c>
      <c r="K2078" s="55" t="s">
        <v>1037</v>
      </c>
      <c r="L2078" s="55" t="s">
        <v>3398</v>
      </c>
      <c r="M2078" s="55" t="s">
        <v>136</v>
      </c>
      <c r="N2078" s="55" t="s">
        <v>136</v>
      </c>
      <c r="O2078" s="55" t="s">
        <v>288</v>
      </c>
      <c r="P2078" s="55" t="s">
        <v>1037</v>
      </c>
      <c r="Q2078" s="55" t="s">
        <v>350</v>
      </c>
      <c r="R2078" s="55"/>
      <c r="S2078" s="55"/>
      <c r="T2078" s="55" t="s">
        <v>2197</v>
      </c>
    </row>
    <row r="2079" spans="1:20" ht="13" x14ac:dyDescent="0.15">
      <c r="A2079" s="72" t="str">
        <f t="shared" si="32"/>
        <v>Ofsted Social Care Provider Webpage</v>
      </c>
      <c r="B2079" s="55" t="s">
        <v>3399</v>
      </c>
      <c r="D2079" s="55" t="s">
        <v>373</v>
      </c>
      <c r="E2079" s="74">
        <v>38071</v>
      </c>
      <c r="F2079" s="55" t="s">
        <v>344</v>
      </c>
      <c r="G2079" s="55" t="s">
        <v>360</v>
      </c>
      <c r="H2079" s="55" t="s">
        <v>360</v>
      </c>
      <c r="I2079" s="55" t="s">
        <v>360</v>
      </c>
      <c r="J2079" s="55" t="s">
        <v>360</v>
      </c>
      <c r="K2079" s="55" t="s">
        <v>360</v>
      </c>
      <c r="L2079" s="55" t="s">
        <v>360</v>
      </c>
      <c r="M2079" s="55" t="s">
        <v>172</v>
      </c>
      <c r="N2079" s="55" t="s">
        <v>172</v>
      </c>
      <c r="O2079" s="55" t="s">
        <v>173</v>
      </c>
      <c r="P2079" s="55" t="s">
        <v>2307</v>
      </c>
      <c r="Q2079" s="55" t="s">
        <v>380</v>
      </c>
      <c r="R2079" s="55">
        <v>3</v>
      </c>
      <c r="S2079" s="55"/>
      <c r="T2079" s="55" t="s">
        <v>1431</v>
      </c>
    </row>
    <row r="2080" spans="1:20" ht="13" x14ac:dyDescent="0.15">
      <c r="A2080" s="72" t="str">
        <f t="shared" si="32"/>
        <v>Ofsted Social Care Provider Webpage</v>
      </c>
      <c r="B2080" s="55" t="s">
        <v>3400</v>
      </c>
      <c r="D2080" s="55" t="s">
        <v>373</v>
      </c>
      <c r="E2080" s="74">
        <v>38006</v>
      </c>
      <c r="F2080" s="55" t="s">
        <v>344</v>
      </c>
      <c r="G2080" s="55" t="s">
        <v>360</v>
      </c>
      <c r="H2080" s="55" t="s">
        <v>360</v>
      </c>
      <c r="I2080" s="55" t="s">
        <v>360</v>
      </c>
      <c r="J2080" s="55" t="s">
        <v>360</v>
      </c>
      <c r="K2080" s="55" t="s">
        <v>360</v>
      </c>
      <c r="L2080" s="55" t="s">
        <v>360</v>
      </c>
      <c r="M2080" s="55" t="s">
        <v>144</v>
      </c>
      <c r="N2080" s="55" t="s">
        <v>144</v>
      </c>
      <c r="O2080" s="55" t="s">
        <v>250</v>
      </c>
      <c r="P2080" s="55" t="s">
        <v>759</v>
      </c>
      <c r="Q2080" s="55" t="s">
        <v>380</v>
      </c>
      <c r="R2080" s="55">
        <v>5</v>
      </c>
      <c r="S2080" s="55" t="s">
        <v>332</v>
      </c>
      <c r="T2080" s="55" t="s">
        <v>3401</v>
      </c>
    </row>
    <row r="2081" spans="1:20" ht="13" x14ac:dyDescent="0.15">
      <c r="A2081" s="72" t="str">
        <f t="shared" si="32"/>
        <v>Ofsted Social Care Provider Webpage</v>
      </c>
      <c r="B2081" s="55" t="s">
        <v>3402</v>
      </c>
      <c r="D2081" s="55" t="s">
        <v>373</v>
      </c>
      <c r="E2081" s="74">
        <v>37705</v>
      </c>
      <c r="F2081" s="55" t="s">
        <v>344</v>
      </c>
      <c r="G2081" s="55" t="s">
        <v>360</v>
      </c>
      <c r="H2081" s="55" t="s">
        <v>360</v>
      </c>
      <c r="I2081" s="55" t="s">
        <v>360</v>
      </c>
      <c r="J2081" s="55" t="s">
        <v>360</v>
      </c>
      <c r="K2081" s="55" t="s">
        <v>360</v>
      </c>
      <c r="L2081" s="55" t="s">
        <v>360</v>
      </c>
      <c r="M2081" s="55" t="s">
        <v>144</v>
      </c>
      <c r="N2081" s="55" t="s">
        <v>144</v>
      </c>
      <c r="O2081" s="55" t="s">
        <v>250</v>
      </c>
      <c r="P2081" s="55" t="s">
        <v>759</v>
      </c>
      <c r="Q2081" s="55" t="s">
        <v>380</v>
      </c>
      <c r="R2081" s="55">
        <v>2</v>
      </c>
      <c r="S2081" s="55"/>
      <c r="T2081" s="55" t="s">
        <v>3401</v>
      </c>
    </row>
    <row r="2082" spans="1:20" ht="13" x14ac:dyDescent="0.15">
      <c r="A2082" s="72" t="str">
        <f t="shared" si="32"/>
        <v>Ofsted Social Care Provider Webpage</v>
      </c>
      <c r="B2082" s="55" t="s">
        <v>3403</v>
      </c>
      <c r="D2082" s="55" t="s">
        <v>389</v>
      </c>
      <c r="E2082" s="74">
        <v>38352</v>
      </c>
      <c r="F2082" s="55" t="s">
        <v>344</v>
      </c>
      <c r="G2082" s="55" t="s">
        <v>3395</v>
      </c>
      <c r="H2082" s="55" t="s">
        <v>3404</v>
      </c>
      <c r="I2082" s="55" t="s">
        <v>3405</v>
      </c>
      <c r="J2082" s="55" t="s">
        <v>3017</v>
      </c>
      <c r="L2082" s="55" t="s">
        <v>3406</v>
      </c>
      <c r="M2082" s="55" t="s">
        <v>136</v>
      </c>
      <c r="N2082" s="55" t="s">
        <v>136</v>
      </c>
      <c r="O2082" s="55" t="s">
        <v>154</v>
      </c>
      <c r="P2082" s="55" t="s">
        <v>1818</v>
      </c>
      <c r="Q2082" s="55" t="s">
        <v>350</v>
      </c>
      <c r="R2082" s="55"/>
      <c r="S2082" s="55"/>
      <c r="T2082" s="55" t="s">
        <v>2197</v>
      </c>
    </row>
    <row r="2083" spans="1:20" ht="13" x14ac:dyDescent="0.15">
      <c r="A2083" s="72" t="str">
        <f t="shared" si="32"/>
        <v>Ofsted Social Care Provider Webpage</v>
      </c>
      <c r="B2083" s="55" t="s">
        <v>3407</v>
      </c>
      <c r="D2083" s="55" t="s">
        <v>389</v>
      </c>
      <c r="E2083" s="74">
        <v>37930</v>
      </c>
      <c r="F2083" s="55" t="s">
        <v>344</v>
      </c>
      <c r="G2083" s="55" t="s">
        <v>3408</v>
      </c>
      <c r="H2083" s="55" t="s">
        <v>3409</v>
      </c>
      <c r="I2083" s="55" t="s">
        <v>3410</v>
      </c>
      <c r="J2083" s="55" t="s">
        <v>3411</v>
      </c>
      <c r="K2083" s="55" t="s">
        <v>203</v>
      </c>
      <c r="L2083" s="55" t="s">
        <v>3412</v>
      </c>
      <c r="M2083" s="55" t="s">
        <v>150</v>
      </c>
      <c r="N2083" s="55" t="s">
        <v>150</v>
      </c>
      <c r="O2083" s="55" t="s">
        <v>203</v>
      </c>
      <c r="P2083" s="55" t="s">
        <v>563</v>
      </c>
      <c r="Q2083" s="55" t="s">
        <v>350</v>
      </c>
      <c r="R2083" s="55"/>
      <c r="S2083" s="55"/>
      <c r="T2083" s="55" t="s">
        <v>3413</v>
      </c>
    </row>
    <row r="2084" spans="1:20" ht="13" x14ac:dyDescent="0.15">
      <c r="A2084" s="72" t="str">
        <f t="shared" si="32"/>
        <v>Ofsted Social Care Provider Webpage</v>
      </c>
      <c r="B2084" s="55" t="s">
        <v>3414</v>
      </c>
      <c r="D2084" s="55" t="s">
        <v>389</v>
      </c>
      <c r="E2084" s="74">
        <v>37833</v>
      </c>
      <c r="F2084" s="55" t="s">
        <v>344</v>
      </c>
      <c r="G2084" s="55" t="s">
        <v>3415</v>
      </c>
      <c r="H2084" s="55" t="s">
        <v>3416</v>
      </c>
      <c r="I2084" s="55" t="s">
        <v>3417</v>
      </c>
      <c r="J2084" s="55" t="s">
        <v>3418</v>
      </c>
      <c r="K2084" s="55" t="s">
        <v>203</v>
      </c>
      <c r="L2084" s="55" t="s">
        <v>3419</v>
      </c>
      <c r="M2084" s="55" t="s">
        <v>150</v>
      </c>
      <c r="N2084" s="55" t="s">
        <v>150</v>
      </c>
      <c r="O2084" s="55" t="s">
        <v>203</v>
      </c>
      <c r="P2084" s="55" t="s">
        <v>1835</v>
      </c>
      <c r="Q2084" s="55" t="s">
        <v>362</v>
      </c>
      <c r="R2084" s="55"/>
      <c r="S2084" s="55"/>
      <c r="T2084" s="55" t="s">
        <v>3420</v>
      </c>
    </row>
    <row r="2085" spans="1:20" ht="13" x14ac:dyDescent="0.15">
      <c r="A2085" s="72" t="str">
        <f t="shared" si="32"/>
        <v>Ofsted Social Care Provider Webpage</v>
      </c>
      <c r="B2085" s="55" t="s">
        <v>3421</v>
      </c>
      <c r="D2085" s="55" t="s">
        <v>389</v>
      </c>
      <c r="E2085" s="74">
        <v>38019</v>
      </c>
      <c r="F2085" s="55" t="s">
        <v>344</v>
      </c>
      <c r="G2085" s="55" t="s">
        <v>3422</v>
      </c>
      <c r="H2085" s="55" t="s">
        <v>3423</v>
      </c>
      <c r="I2085" s="55" t="s">
        <v>354</v>
      </c>
      <c r="J2085" s="55" t="s">
        <v>3424</v>
      </c>
      <c r="L2085" s="55" t="s">
        <v>3425</v>
      </c>
      <c r="M2085" s="55" t="s">
        <v>150</v>
      </c>
      <c r="N2085" s="55" t="s">
        <v>150</v>
      </c>
      <c r="O2085" s="55" t="s">
        <v>203</v>
      </c>
      <c r="P2085" s="55" t="s">
        <v>2078</v>
      </c>
      <c r="Q2085" s="55" t="s">
        <v>350</v>
      </c>
      <c r="R2085" s="55"/>
      <c r="S2085" s="55"/>
      <c r="T2085" s="55" t="s">
        <v>3426</v>
      </c>
    </row>
    <row r="2086" spans="1:20" ht="13" x14ac:dyDescent="0.15">
      <c r="A2086" s="72" t="str">
        <f t="shared" si="32"/>
        <v>Ofsted Social Care Provider Webpage</v>
      </c>
      <c r="B2086" s="55" t="s">
        <v>3427</v>
      </c>
      <c r="D2086" s="55" t="s">
        <v>389</v>
      </c>
      <c r="E2086" s="74">
        <v>38063</v>
      </c>
      <c r="F2086" s="55" t="s">
        <v>344</v>
      </c>
      <c r="G2086" s="55" t="s">
        <v>3428</v>
      </c>
      <c r="H2086" s="55" t="s">
        <v>3429</v>
      </c>
      <c r="I2086" s="55" t="s">
        <v>354</v>
      </c>
      <c r="J2086" s="55" t="s">
        <v>3430</v>
      </c>
      <c r="K2086" s="55" t="s">
        <v>203</v>
      </c>
      <c r="L2086" s="55" t="s">
        <v>3431</v>
      </c>
      <c r="M2086" s="55" t="s">
        <v>150</v>
      </c>
      <c r="N2086" s="55" t="s">
        <v>150</v>
      </c>
      <c r="O2086" s="55" t="s">
        <v>203</v>
      </c>
      <c r="P2086" s="55" t="s">
        <v>1263</v>
      </c>
      <c r="Q2086" s="55" t="s">
        <v>350</v>
      </c>
      <c r="R2086" s="55"/>
      <c r="S2086" s="55"/>
      <c r="T2086" s="55" t="s">
        <v>2891</v>
      </c>
    </row>
    <row r="2087" spans="1:20" ht="13" x14ac:dyDescent="0.15">
      <c r="A2087" s="72" t="str">
        <f t="shared" si="32"/>
        <v>Ofsted Social Care Provider Webpage</v>
      </c>
      <c r="B2087" s="55" t="s">
        <v>3432</v>
      </c>
      <c r="D2087" s="55" t="s">
        <v>373</v>
      </c>
      <c r="E2087" s="74">
        <v>37711</v>
      </c>
      <c r="F2087" s="55" t="s">
        <v>344</v>
      </c>
      <c r="G2087" s="55" t="s">
        <v>360</v>
      </c>
      <c r="H2087" s="55" t="s">
        <v>360</v>
      </c>
      <c r="I2087" s="55" t="s">
        <v>360</v>
      </c>
      <c r="J2087" s="55" t="s">
        <v>360</v>
      </c>
      <c r="K2087" s="55" t="s">
        <v>360</v>
      </c>
      <c r="L2087" s="55" t="s">
        <v>360</v>
      </c>
      <c r="M2087" s="55" t="s">
        <v>142</v>
      </c>
      <c r="N2087" s="55" t="s">
        <v>142</v>
      </c>
      <c r="O2087" s="55" t="s">
        <v>278</v>
      </c>
      <c r="P2087" s="55" t="s">
        <v>1042</v>
      </c>
      <c r="Q2087" s="55" t="s">
        <v>380</v>
      </c>
      <c r="R2087" s="55">
        <v>4</v>
      </c>
      <c r="S2087" s="55"/>
      <c r="T2087" s="55" t="s">
        <v>3433</v>
      </c>
    </row>
    <row r="2088" spans="1:20" ht="13" x14ac:dyDescent="0.15">
      <c r="A2088" s="72" t="str">
        <f t="shared" si="32"/>
        <v>Ofsted Social Care Provider Webpage</v>
      </c>
      <c r="B2088" s="55" t="s">
        <v>3434</v>
      </c>
      <c r="D2088" s="55" t="s">
        <v>389</v>
      </c>
      <c r="E2088" s="74">
        <v>37928</v>
      </c>
      <c r="F2088" s="55" t="s">
        <v>344</v>
      </c>
      <c r="G2088" s="55" t="s">
        <v>3435</v>
      </c>
      <c r="H2088" s="55" t="s">
        <v>3435</v>
      </c>
      <c r="I2088" s="55" t="s">
        <v>3436</v>
      </c>
      <c r="J2088" s="55" t="s">
        <v>3437</v>
      </c>
      <c r="K2088" s="55" t="s">
        <v>203</v>
      </c>
      <c r="L2088" s="55" t="s">
        <v>3438</v>
      </c>
      <c r="M2088" s="55" t="s">
        <v>129</v>
      </c>
      <c r="N2088" s="55" t="s">
        <v>129</v>
      </c>
      <c r="O2088" s="55" t="s">
        <v>139</v>
      </c>
      <c r="P2088" s="55" t="s">
        <v>1015</v>
      </c>
      <c r="Q2088" s="55" t="s">
        <v>350</v>
      </c>
      <c r="R2088" s="55"/>
      <c r="S2088" s="55"/>
      <c r="T2088" s="55" t="s">
        <v>3439</v>
      </c>
    </row>
    <row r="2089" spans="1:20" ht="13" x14ac:dyDescent="0.15">
      <c r="A2089" s="72" t="str">
        <f t="shared" si="32"/>
        <v>Ofsted Social Care Provider Webpage</v>
      </c>
      <c r="B2089" s="55" t="s">
        <v>3440</v>
      </c>
      <c r="D2089" s="55" t="s">
        <v>389</v>
      </c>
      <c r="E2089" s="74">
        <v>37923</v>
      </c>
      <c r="F2089" s="55" t="s">
        <v>344</v>
      </c>
      <c r="G2089" s="55" t="s">
        <v>3441</v>
      </c>
      <c r="H2089" s="55" t="s">
        <v>3442</v>
      </c>
      <c r="I2089" s="55" t="s">
        <v>354</v>
      </c>
      <c r="J2089" s="55" t="s">
        <v>3443</v>
      </c>
      <c r="L2089" s="55" t="s">
        <v>3444</v>
      </c>
      <c r="M2089" s="55" t="s">
        <v>150</v>
      </c>
      <c r="N2089" s="55" t="s">
        <v>150</v>
      </c>
      <c r="O2089" s="55" t="s">
        <v>218</v>
      </c>
      <c r="P2089" s="55" t="s">
        <v>1644</v>
      </c>
      <c r="Q2089" s="55" t="s">
        <v>362</v>
      </c>
      <c r="R2089" s="55"/>
      <c r="S2089" s="55"/>
      <c r="T2089" s="55" t="s">
        <v>3445</v>
      </c>
    </row>
    <row r="2090" spans="1:20" ht="13" x14ac:dyDescent="0.15">
      <c r="A2090" s="72" t="str">
        <f t="shared" si="32"/>
        <v>Ofsted Social Care Provider Webpage</v>
      </c>
      <c r="B2090" s="55" t="s">
        <v>3446</v>
      </c>
      <c r="D2090" s="55" t="s">
        <v>389</v>
      </c>
      <c r="E2090" s="74">
        <v>37852</v>
      </c>
      <c r="F2090" s="55" t="s">
        <v>344</v>
      </c>
      <c r="G2090" s="55" t="s">
        <v>3447</v>
      </c>
      <c r="H2090" s="55" t="s">
        <v>3448</v>
      </c>
      <c r="I2090" s="55" t="s">
        <v>3449</v>
      </c>
      <c r="J2090" s="55" t="s">
        <v>1833</v>
      </c>
      <c r="K2090" s="55" t="s">
        <v>183</v>
      </c>
      <c r="L2090" s="55" t="s">
        <v>3450</v>
      </c>
      <c r="M2090" s="55" t="s">
        <v>129</v>
      </c>
      <c r="N2090" s="55" t="s">
        <v>129</v>
      </c>
      <c r="O2090" s="55" t="s">
        <v>194</v>
      </c>
      <c r="P2090" s="55" t="s">
        <v>1012</v>
      </c>
      <c r="Q2090" s="55" t="s">
        <v>350</v>
      </c>
      <c r="R2090" s="55"/>
      <c r="S2090" s="55"/>
      <c r="T2090" s="55" t="s">
        <v>2197</v>
      </c>
    </row>
    <row r="2091" spans="1:20" ht="13" x14ac:dyDescent="0.15">
      <c r="A2091" s="72" t="str">
        <f t="shared" si="32"/>
        <v>Ofsted Social Care Provider Webpage</v>
      </c>
      <c r="B2091" s="55" t="s">
        <v>3451</v>
      </c>
      <c r="D2091" s="55" t="s">
        <v>389</v>
      </c>
      <c r="E2091" s="74">
        <v>37859</v>
      </c>
      <c r="F2091" s="55" t="s">
        <v>344</v>
      </c>
      <c r="G2091" s="55" t="s">
        <v>3452</v>
      </c>
      <c r="H2091" s="55" t="s">
        <v>3453</v>
      </c>
      <c r="I2091" s="55" t="s">
        <v>3454</v>
      </c>
      <c r="J2091" s="55" t="s">
        <v>3455</v>
      </c>
      <c r="L2091" s="55" t="s">
        <v>3456</v>
      </c>
      <c r="M2091" s="55" t="s">
        <v>142</v>
      </c>
      <c r="N2091" s="55" t="s">
        <v>142</v>
      </c>
      <c r="O2091" s="55" t="s">
        <v>292</v>
      </c>
      <c r="P2091" s="55" t="s">
        <v>1052</v>
      </c>
      <c r="Q2091" s="55" t="s">
        <v>350</v>
      </c>
      <c r="R2091" s="55"/>
      <c r="S2091" s="55"/>
      <c r="T2091" s="55" t="s">
        <v>1164</v>
      </c>
    </row>
    <row r="2092" spans="1:20" ht="13" x14ac:dyDescent="0.15">
      <c r="A2092" s="72" t="str">
        <f t="shared" si="32"/>
        <v>Ofsted Social Care Provider Webpage</v>
      </c>
      <c r="B2092" s="55" t="s">
        <v>3457</v>
      </c>
      <c r="D2092" s="55" t="s">
        <v>389</v>
      </c>
      <c r="E2092" s="74">
        <v>37847</v>
      </c>
      <c r="F2092" s="55" t="s">
        <v>344</v>
      </c>
      <c r="G2092" s="55" t="s">
        <v>3458</v>
      </c>
      <c r="H2092" s="55" t="s">
        <v>3459</v>
      </c>
      <c r="I2092" s="55" t="s">
        <v>3460</v>
      </c>
      <c r="J2092" s="55" t="s">
        <v>129</v>
      </c>
      <c r="L2092" s="55" t="s">
        <v>3461</v>
      </c>
      <c r="M2092" s="55" t="s">
        <v>129</v>
      </c>
      <c r="N2092" s="55" t="s">
        <v>129</v>
      </c>
      <c r="O2092" s="55" t="s">
        <v>279</v>
      </c>
      <c r="P2092" s="55" t="s">
        <v>1078</v>
      </c>
      <c r="Q2092" s="55" t="s">
        <v>350</v>
      </c>
      <c r="R2092" s="55"/>
      <c r="S2092" s="55"/>
      <c r="T2092" s="55" t="s">
        <v>3462</v>
      </c>
    </row>
    <row r="2093" spans="1:20" ht="13" x14ac:dyDescent="0.15">
      <c r="A2093" s="72" t="str">
        <f t="shared" si="32"/>
        <v>Ofsted Social Care Provider Webpage</v>
      </c>
      <c r="B2093" s="55" t="s">
        <v>3463</v>
      </c>
      <c r="D2093" s="55" t="s">
        <v>389</v>
      </c>
      <c r="E2093" s="74">
        <v>37951</v>
      </c>
      <c r="F2093" s="55" t="s">
        <v>344</v>
      </c>
      <c r="G2093" s="55" t="s">
        <v>3464</v>
      </c>
      <c r="H2093" s="55" t="s">
        <v>3465</v>
      </c>
      <c r="I2093" s="55" t="s">
        <v>3466</v>
      </c>
      <c r="J2093" s="55" t="s">
        <v>3467</v>
      </c>
      <c r="L2093" s="55" t="s">
        <v>3468</v>
      </c>
      <c r="M2093" s="55" t="s">
        <v>150</v>
      </c>
      <c r="N2093" s="55" t="s">
        <v>150</v>
      </c>
      <c r="O2093" s="55" t="s">
        <v>203</v>
      </c>
      <c r="P2093" s="55" t="s">
        <v>3469</v>
      </c>
      <c r="Q2093" s="55" t="s">
        <v>350</v>
      </c>
      <c r="R2093" s="55"/>
      <c r="S2093" s="55"/>
      <c r="T2093" s="55" t="s">
        <v>3470</v>
      </c>
    </row>
    <row r="2094" spans="1:20" ht="13" x14ac:dyDescent="0.15">
      <c r="A2094" s="72" t="str">
        <f t="shared" si="32"/>
        <v>Ofsted Social Care Provider Webpage</v>
      </c>
      <c r="B2094" s="55" t="s">
        <v>3471</v>
      </c>
      <c r="D2094" s="55" t="s">
        <v>389</v>
      </c>
      <c r="E2094" s="74">
        <v>37924</v>
      </c>
      <c r="F2094" s="55" t="s">
        <v>344</v>
      </c>
      <c r="G2094" s="55" t="s">
        <v>3472</v>
      </c>
      <c r="H2094" s="55" t="s">
        <v>3473</v>
      </c>
      <c r="I2094" s="55" t="s">
        <v>354</v>
      </c>
      <c r="J2094" s="55" t="s">
        <v>3467</v>
      </c>
      <c r="K2094" s="55" t="s">
        <v>203</v>
      </c>
      <c r="L2094" s="55" t="s">
        <v>3474</v>
      </c>
      <c r="M2094" s="55" t="s">
        <v>150</v>
      </c>
      <c r="N2094" s="55" t="s">
        <v>150</v>
      </c>
      <c r="O2094" s="55" t="s">
        <v>203</v>
      </c>
      <c r="P2094" s="55" t="s">
        <v>3469</v>
      </c>
      <c r="Q2094" s="55" t="s">
        <v>350</v>
      </c>
      <c r="R2094" s="55"/>
      <c r="S2094" s="55"/>
      <c r="T2094" s="55" t="s">
        <v>3475</v>
      </c>
    </row>
    <row r="2095" spans="1:20" ht="13" x14ac:dyDescent="0.15">
      <c r="A2095" s="72" t="str">
        <f t="shared" si="32"/>
        <v>Ofsted Social Care Provider Webpage</v>
      </c>
      <c r="B2095" s="55" t="s">
        <v>3476</v>
      </c>
      <c r="D2095" s="55" t="s">
        <v>373</v>
      </c>
      <c r="E2095" s="74">
        <v>37659</v>
      </c>
      <c r="F2095" s="55" t="s">
        <v>344</v>
      </c>
      <c r="G2095" s="55" t="s">
        <v>360</v>
      </c>
      <c r="H2095" s="55" t="s">
        <v>360</v>
      </c>
      <c r="I2095" s="55" t="s">
        <v>360</v>
      </c>
      <c r="J2095" s="55" t="s">
        <v>360</v>
      </c>
      <c r="K2095" s="55" t="s">
        <v>360</v>
      </c>
      <c r="L2095" s="55" t="s">
        <v>360</v>
      </c>
      <c r="M2095" s="55" t="s">
        <v>172</v>
      </c>
      <c r="N2095" s="55" t="s">
        <v>172</v>
      </c>
      <c r="O2095" s="55" t="s">
        <v>235</v>
      </c>
      <c r="P2095" s="55" t="s">
        <v>2338</v>
      </c>
      <c r="Q2095" s="55" t="s">
        <v>380</v>
      </c>
      <c r="R2095" s="55">
        <v>8</v>
      </c>
      <c r="S2095" s="55" t="s">
        <v>332</v>
      </c>
      <c r="T2095" s="55" t="s">
        <v>3477</v>
      </c>
    </row>
    <row r="2096" spans="1:20" ht="13" x14ac:dyDescent="0.15">
      <c r="A2096" s="72" t="str">
        <f t="shared" si="32"/>
        <v>Ofsted Social Care Provider Webpage</v>
      </c>
      <c r="B2096" s="55" t="s">
        <v>3478</v>
      </c>
      <c r="D2096" s="55" t="s">
        <v>373</v>
      </c>
      <c r="E2096" s="74">
        <v>37953</v>
      </c>
      <c r="F2096" s="55" t="s">
        <v>344</v>
      </c>
      <c r="G2096" s="55" t="s">
        <v>360</v>
      </c>
      <c r="H2096" s="55" t="s">
        <v>360</v>
      </c>
      <c r="I2096" s="55" t="s">
        <v>360</v>
      </c>
      <c r="J2096" s="55" t="s">
        <v>360</v>
      </c>
      <c r="K2096" s="55" t="s">
        <v>360</v>
      </c>
      <c r="L2096" s="55" t="s">
        <v>360</v>
      </c>
      <c r="M2096" s="55" t="s">
        <v>172</v>
      </c>
      <c r="N2096" s="55" t="s">
        <v>172</v>
      </c>
      <c r="O2096" s="55" t="s">
        <v>235</v>
      </c>
      <c r="P2096" s="55" t="s">
        <v>628</v>
      </c>
      <c r="Q2096" s="55" t="s">
        <v>380</v>
      </c>
      <c r="R2096" s="55">
        <v>16</v>
      </c>
      <c r="S2096" s="55"/>
      <c r="T2096" s="55" t="s">
        <v>3477</v>
      </c>
    </row>
    <row r="2097" spans="1:20" ht="13" x14ac:dyDescent="0.15">
      <c r="A2097" s="72" t="str">
        <f t="shared" si="32"/>
        <v>Ofsted Social Care Provider Webpage</v>
      </c>
      <c r="B2097" s="55" t="s">
        <v>3479</v>
      </c>
      <c r="D2097" s="55" t="s">
        <v>2864</v>
      </c>
      <c r="E2097" s="74">
        <v>37953</v>
      </c>
      <c r="F2097" s="55" t="s">
        <v>344</v>
      </c>
      <c r="G2097" s="55" t="s">
        <v>360</v>
      </c>
      <c r="H2097" s="55" t="s">
        <v>360</v>
      </c>
      <c r="I2097" s="55" t="s">
        <v>360</v>
      </c>
      <c r="J2097" s="55" t="s">
        <v>360</v>
      </c>
      <c r="K2097" s="55" t="s">
        <v>360</v>
      </c>
      <c r="L2097" s="55" t="s">
        <v>360</v>
      </c>
      <c r="M2097" s="55" t="s">
        <v>172</v>
      </c>
      <c r="N2097" s="55" t="s">
        <v>172</v>
      </c>
      <c r="O2097" s="55" t="s">
        <v>235</v>
      </c>
      <c r="P2097" s="55" t="s">
        <v>1355</v>
      </c>
      <c r="Q2097" s="55" t="s">
        <v>380</v>
      </c>
      <c r="R2097" s="55">
        <v>20</v>
      </c>
      <c r="S2097" s="55"/>
      <c r="T2097" s="55" t="s">
        <v>3477</v>
      </c>
    </row>
    <row r="2098" spans="1:20" ht="13" x14ac:dyDescent="0.15">
      <c r="A2098" s="72" t="str">
        <f t="shared" si="32"/>
        <v>Ofsted Social Care Provider Webpage</v>
      </c>
      <c r="B2098" s="55" t="s">
        <v>3480</v>
      </c>
      <c r="D2098" s="55" t="s">
        <v>373</v>
      </c>
      <c r="E2098" s="74">
        <v>37762</v>
      </c>
      <c r="F2098" s="55" t="s">
        <v>344</v>
      </c>
      <c r="G2098" s="55" t="s">
        <v>360</v>
      </c>
      <c r="H2098" s="55" t="s">
        <v>360</v>
      </c>
      <c r="I2098" s="55" t="s">
        <v>360</v>
      </c>
      <c r="J2098" s="55" t="s">
        <v>360</v>
      </c>
      <c r="K2098" s="55" t="s">
        <v>360</v>
      </c>
      <c r="L2098" s="55" t="s">
        <v>360</v>
      </c>
      <c r="M2098" s="55" t="s">
        <v>378</v>
      </c>
      <c r="N2098" s="55" t="s">
        <v>170</v>
      </c>
      <c r="O2098" s="55" t="s">
        <v>184</v>
      </c>
      <c r="P2098" s="55" t="s">
        <v>676</v>
      </c>
      <c r="Q2098" s="55" t="s">
        <v>380</v>
      </c>
      <c r="R2098" s="55">
        <v>5</v>
      </c>
      <c r="S2098" s="55"/>
      <c r="T2098" s="55" t="s">
        <v>1711</v>
      </c>
    </row>
    <row r="2099" spans="1:20" ht="13" x14ac:dyDescent="0.15">
      <c r="A2099" s="72" t="str">
        <f t="shared" si="32"/>
        <v>Ofsted Social Care Provider Webpage</v>
      </c>
      <c r="B2099" s="55" t="s">
        <v>3481</v>
      </c>
      <c r="D2099" s="55" t="s">
        <v>373</v>
      </c>
      <c r="E2099" s="74">
        <v>37762</v>
      </c>
      <c r="F2099" s="55" t="s">
        <v>344</v>
      </c>
      <c r="G2099" s="55" t="s">
        <v>360</v>
      </c>
      <c r="H2099" s="55" t="s">
        <v>360</v>
      </c>
      <c r="I2099" s="55" t="s">
        <v>360</v>
      </c>
      <c r="J2099" s="55" t="s">
        <v>360</v>
      </c>
      <c r="K2099" s="55" t="s">
        <v>360</v>
      </c>
      <c r="L2099" s="55" t="s">
        <v>360</v>
      </c>
      <c r="M2099" s="55" t="s">
        <v>378</v>
      </c>
      <c r="N2099" s="55" t="s">
        <v>170</v>
      </c>
      <c r="O2099" s="55" t="s">
        <v>184</v>
      </c>
      <c r="P2099" s="55" t="s">
        <v>184</v>
      </c>
      <c r="Q2099" s="55" t="s">
        <v>380</v>
      </c>
      <c r="R2099" s="55">
        <v>6</v>
      </c>
      <c r="S2099" s="55" t="s">
        <v>332</v>
      </c>
      <c r="T2099" s="55" t="s">
        <v>1711</v>
      </c>
    </row>
    <row r="2100" spans="1:20" ht="13" x14ac:dyDescent="0.15">
      <c r="A2100" s="72" t="str">
        <f t="shared" si="32"/>
        <v>Ofsted Social Care Provider Webpage</v>
      </c>
      <c r="B2100" s="55" t="s">
        <v>3482</v>
      </c>
      <c r="D2100" s="55" t="s">
        <v>389</v>
      </c>
      <c r="E2100" s="74">
        <v>37946</v>
      </c>
      <c r="F2100" s="55" t="s">
        <v>344</v>
      </c>
      <c r="G2100" s="55" t="s">
        <v>3483</v>
      </c>
      <c r="H2100" s="55" t="s">
        <v>3484</v>
      </c>
      <c r="I2100" s="55" t="s">
        <v>3485</v>
      </c>
      <c r="J2100" s="55" t="s">
        <v>224</v>
      </c>
      <c r="L2100" s="55" t="s">
        <v>3486</v>
      </c>
      <c r="M2100" s="55" t="s">
        <v>138</v>
      </c>
      <c r="N2100" s="55" t="s">
        <v>138</v>
      </c>
      <c r="O2100" s="55" t="s">
        <v>224</v>
      </c>
      <c r="P2100" s="55" t="s">
        <v>374</v>
      </c>
      <c r="Q2100" s="55" t="s">
        <v>350</v>
      </c>
      <c r="R2100" s="55"/>
      <c r="S2100" s="55"/>
      <c r="T2100" s="55" t="s">
        <v>3487</v>
      </c>
    </row>
    <row r="2101" spans="1:20" ht="13" x14ac:dyDescent="0.15">
      <c r="A2101" s="72" t="str">
        <f t="shared" si="32"/>
        <v>Ofsted Social Care Provider Webpage</v>
      </c>
      <c r="B2101" s="55" t="s">
        <v>3488</v>
      </c>
      <c r="D2101" s="55" t="s">
        <v>373</v>
      </c>
      <c r="E2101" s="74">
        <v>37722</v>
      </c>
      <c r="F2101" s="55" t="s">
        <v>344</v>
      </c>
      <c r="G2101" s="55" t="s">
        <v>360</v>
      </c>
      <c r="H2101" s="55" t="s">
        <v>360</v>
      </c>
      <c r="I2101" s="55" t="s">
        <v>360</v>
      </c>
      <c r="J2101" s="55" t="s">
        <v>360</v>
      </c>
      <c r="K2101" s="55" t="s">
        <v>360</v>
      </c>
      <c r="L2101" s="55" t="s">
        <v>360</v>
      </c>
      <c r="M2101" s="55" t="s">
        <v>129</v>
      </c>
      <c r="N2101" s="55" t="s">
        <v>129</v>
      </c>
      <c r="O2101" s="55" t="s">
        <v>186</v>
      </c>
      <c r="P2101" s="55" t="s">
        <v>769</v>
      </c>
      <c r="Q2101" s="55" t="s">
        <v>380</v>
      </c>
      <c r="R2101" s="55">
        <v>5</v>
      </c>
      <c r="S2101" s="55"/>
      <c r="T2101" s="55" t="s">
        <v>3489</v>
      </c>
    </row>
    <row r="2102" spans="1:20" ht="13" x14ac:dyDescent="0.15">
      <c r="A2102" s="72" t="str">
        <f t="shared" si="32"/>
        <v>Ofsted Social Care Provider Webpage</v>
      </c>
      <c r="B2102" s="55" t="s">
        <v>3490</v>
      </c>
      <c r="D2102" s="55" t="s">
        <v>389</v>
      </c>
      <c r="E2102" s="74">
        <v>38104</v>
      </c>
      <c r="F2102" s="55" t="s">
        <v>344</v>
      </c>
      <c r="G2102" s="55" t="s">
        <v>3491</v>
      </c>
      <c r="H2102" s="55" t="s">
        <v>3492</v>
      </c>
      <c r="I2102" s="55" t="s">
        <v>3493</v>
      </c>
      <c r="J2102" s="55" t="s">
        <v>3494</v>
      </c>
      <c r="K2102" s="55" t="s">
        <v>293</v>
      </c>
      <c r="L2102" s="55" t="s">
        <v>3495</v>
      </c>
      <c r="M2102" s="55" t="s">
        <v>142</v>
      </c>
      <c r="N2102" s="55" t="s">
        <v>142</v>
      </c>
      <c r="O2102" s="55" t="s">
        <v>293</v>
      </c>
      <c r="P2102" s="55" t="s">
        <v>984</v>
      </c>
      <c r="Q2102" s="55" t="s">
        <v>362</v>
      </c>
      <c r="R2102" s="55"/>
      <c r="S2102" s="55"/>
      <c r="T2102" s="55" t="s">
        <v>3496</v>
      </c>
    </row>
    <row r="2103" spans="1:20" ht="13" x14ac:dyDescent="0.15">
      <c r="A2103" s="72" t="str">
        <f t="shared" si="32"/>
        <v>Ofsted Social Care Provider Webpage</v>
      </c>
      <c r="B2103" s="55" t="s">
        <v>3497</v>
      </c>
      <c r="D2103" s="55" t="s">
        <v>389</v>
      </c>
      <c r="E2103" s="74">
        <v>37928</v>
      </c>
      <c r="F2103" s="55" t="s">
        <v>344</v>
      </c>
      <c r="G2103" s="55" t="s">
        <v>3498</v>
      </c>
      <c r="H2103" s="55" t="s">
        <v>3499</v>
      </c>
      <c r="I2103" s="55" t="s">
        <v>3500</v>
      </c>
      <c r="J2103" s="55" t="s">
        <v>2439</v>
      </c>
      <c r="K2103" s="55" t="s">
        <v>209</v>
      </c>
      <c r="L2103" s="55" t="s">
        <v>3501</v>
      </c>
      <c r="M2103" s="55" t="s">
        <v>144</v>
      </c>
      <c r="N2103" s="55" t="s">
        <v>144</v>
      </c>
      <c r="O2103" s="55" t="s">
        <v>209</v>
      </c>
      <c r="P2103" s="55" t="s">
        <v>534</v>
      </c>
      <c r="Q2103" s="55" t="s">
        <v>362</v>
      </c>
      <c r="R2103" s="55"/>
      <c r="S2103" s="55"/>
      <c r="T2103" s="55" t="s">
        <v>3498</v>
      </c>
    </row>
    <row r="2104" spans="1:20" ht="13" x14ac:dyDescent="0.15">
      <c r="A2104" s="72" t="str">
        <f t="shared" si="32"/>
        <v>Ofsted Social Care Provider Webpage</v>
      </c>
      <c r="B2104" s="55" t="s">
        <v>3502</v>
      </c>
      <c r="D2104" s="55" t="s">
        <v>389</v>
      </c>
      <c r="E2104" s="74">
        <v>38135</v>
      </c>
      <c r="F2104" s="55" t="s">
        <v>344</v>
      </c>
      <c r="G2104" s="55" t="s">
        <v>3503</v>
      </c>
      <c r="H2104" s="55" t="s">
        <v>3503</v>
      </c>
      <c r="I2104" s="55" t="s">
        <v>3504</v>
      </c>
      <c r="J2104" s="55" t="s">
        <v>2753</v>
      </c>
      <c r="L2104" s="55" t="s">
        <v>3505</v>
      </c>
      <c r="M2104" s="55" t="s">
        <v>142</v>
      </c>
      <c r="N2104" s="55" t="s">
        <v>142</v>
      </c>
      <c r="O2104" s="55" t="s">
        <v>141</v>
      </c>
      <c r="P2104" s="55" t="s">
        <v>2048</v>
      </c>
      <c r="Q2104" s="55" t="s">
        <v>350</v>
      </c>
      <c r="R2104" s="55"/>
      <c r="S2104" s="55"/>
      <c r="T2104" s="55" t="s">
        <v>3372</v>
      </c>
    </row>
    <row r="2105" spans="1:20" ht="13" x14ac:dyDescent="0.15">
      <c r="A2105" s="72" t="str">
        <f t="shared" si="32"/>
        <v>Ofsted Social Care Provider Webpage</v>
      </c>
      <c r="B2105" s="55" t="s">
        <v>3506</v>
      </c>
      <c r="D2105" s="55" t="s">
        <v>373</v>
      </c>
      <c r="E2105" s="74">
        <v>37568</v>
      </c>
      <c r="F2105" s="55" t="s">
        <v>344</v>
      </c>
      <c r="G2105" s="55" t="s">
        <v>360</v>
      </c>
      <c r="H2105" s="55" t="s">
        <v>360</v>
      </c>
      <c r="I2105" s="55" t="s">
        <v>360</v>
      </c>
      <c r="J2105" s="55" t="s">
        <v>360</v>
      </c>
      <c r="K2105" s="55" t="s">
        <v>360</v>
      </c>
      <c r="L2105" s="55" t="s">
        <v>360</v>
      </c>
      <c r="M2105" s="55" t="s">
        <v>144</v>
      </c>
      <c r="N2105" s="55" t="s">
        <v>144</v>
      </c>
      <c r="O2105" s="55" t="s">
        <v>250</v>
      </c>
      <c r="P2105" s="55" t="s">
        <v>759</v>
      </c>
      <c r="Q2105" s="55" t="s">
        <v>350</v>
      </c>
      <c r="R2105" s="55">
        <v>2</v>
      </c>
      <c r="S2105" s="55"/>
      <c r="T2105" s="55" t="s">
        <v>1600</v>
      </c>
    </row>
    <row r="2106" spans="1:20" ht="13" x14ac:dyDescent="0.15">
      <c r="A2106" s="72" t="str">
        <f t="shared" si="32"/>
        <v>Ofsted Social Care Provider Webpage</v>
      </c>
      <c r="B2106" s="55" t="s">
        <v>3507</v>
      </c>
      <c r="D2106" s="55" t="s">
        <v>373</v>
      </c>
      <c r="E2106" s="74">
        <v>37938</v>
      </c>
      <c r="F2106" s="55" t="s">
        <v>344</v>
      </c>
      <c r="G2106" s="55" t="s">
        <v>360</v>
      </c>
      <c r="H2106" s="55" t="s">
        <v>360</v>
      </c>
      <c r="I2106" s="55" t="s">
        <v>360</v>
      </c>
      <c r="J2106" s="55" t="s">
        <v>360</v>
      </c>
      <c r="K2106" s="55" t="s">
        <v>360</v>
      </c>
      <c r="L2106" s="55" t="s">
        <v>360</v>
      </c>
      <c r="M2106" s="55" t="s">
        <v>129</v>
      </c>
      <c r="N2106" s="55" t="s">
        <v>129</v>
      </c>
      <c r="O2106" s="55" t="s">
        <v>128</v>
      </c>
      <c r="P2106" s="55" t="s">
        <v>1467</v>
      </c>
      <c r="Q2106" s="55" t="s">
        <v>350</v>
      </c>
      <c r="R2106" s="55">
        <v>6</v>
      </c>
      <c r="S2106" s="55"/>
      <c r="T2106" s="55" t="s">
        <v>3508</v>
      </c>
    </row>
    <row r="2107" spans="1:20" ht="13" x14ac:dyDescent="0.15">
      <c r="A2107" s="72" t="str">
        <f t="shared" si="32"/>
        <v>Ofsted Social Care Provider Webpage</v>
      </c>
      <c r="B2107" s="55" t="s">
        <v>3509</v>
      </c>
      <c r="D2107" s="55" t="s">
        <v>373</v>
      </c>
      <c r="E2107" s="74">
        <v>37697</v>
      </c>
      <c r="F2107" s="55" t="s">
        <v>344</v>
      </c>
      <c r="G2107" s="55" t="s">
        <v>360</v>
      </c>
      <c r="H2107" s="55" t="s">
        <v>360</v>
      </c>
      <c r="I2107" s="55" t="s">
        <v>360</v>
      </c>
      <c r="J2107" s="55" t="s">
        <v>360</v>
      </c>
      <c r="K2107" s="55" t="s">
        <v>360</v>
      </c>
      <c r="L2107" s="55" t="s">
        <v>360</v>
      </c>
      <c r="M2107" s="55" t="s">
        <v>138</v>
      </c>
      <c r="N2107" s="55" t="s">
        <v>138</v>
      </c>
      <c r="O2107" s="55" t="s">
        <v>266</v>
      </c>
      <c r="P2107" s="55" t="s">
        <v>2912</v>
      </c>
      <c r="Q2107" s="55" t="s">
        <v>380</v>
      </c>
      <c r="R2107" s="55">
        <v>7</v>
      </c>
      <c r="S2107" s="55"/>
      <c r="T2107" s="55" t="s">
        <v>3510</v>
      </c>
    </row>
    <row r="2108" spans="1:20" ht="13" x14ac:dyDescent="0.15">
      <c r="A2108" s="72" t="str">
        <f t="shared" si="32"/>
        <v>Ofsted Social Care Provider Webpage</v>
      </c>
      <c r="B2108" s="55" t="s">
        <v>3511</v>
      </c>
      <c r="D2108" s="55" t="s">
        <v>373</v>
      </c>
      <c r="E2108" s="74">
        <v>37683</v>
      </c>
      <c r="F2108" s="55" t="s">
        <v>344</v>
      </c>
      <c r="G2108" s="55" t="s">
        <v>360</v>
      </c>
      <c r="H2108" s="55" t="s">
        <v>360</v>
      </c>
      <c r="I2108" s="55" t="s">
        <v>360</v>
      </c>
      <c r="J2108" s="55" t="s">
        <v>360</v>
      </c>
      <c r="K2108" s="55" t="s">
        <v>360</v>
      </c>
      <c r="L2108" s="55" t="s">
        <v>360</v>
      </c>
      <c r="M2108" s="55" t="s">
        <v>138</v>
      </c>
      <c r="N2108" s="55" t="s">
        <v>138</v>
      </c>
      <c r="O2108" s="55" t="s">
        <v>266</v>
      </c>
      <c r="P2108" s="55" t="s">
        <v>2912</v>
      </c>
      <c r="Q2108" s="55" t="s">
        <v>380</v>
      </c>
      <c r="R2108" s="55">
        <v>7</v>
      </c>
      <c r="S2108" s="55"/>
      <c r="T2108" s="55" t="s">
        <v>3510</v>
      </c>
    </row>
    <row r="2109" spans="1:20" ht="13" x14ac:dyDescent="0.15">
      <c r="A2109" s="72" t="str">
        <f t="shared" si="32"/>
        <v>Ofsted Social Care Provider Webpage</v>
      </c>
      <c r="B2109" s="55" t="s">
        <v>3512</v>
      </c>
      <c r="D2109" s="55" t="s">
        <v>373</v>
      </c>
      <c r="E2109" s="74">
        <v>37502</v>
      </c>
      <c r="F2109" s="55" t="s">
        <v>344</v>
      </c>
      <c r="G2109" s="55" t="s">
        <v>360</v>
      </c>
      <c r="H2109" s="55" t="s">
        <v>360</v>
      </c>
      <c r="I2109" s="55" t="s">
        <v>360</v>
      </c>
      <c r="J2109" s="55" t="s">
        <v>360</v>
      </c>
      <c r="K2109" s="55" t="s">
        <v>360</v>
      </c>
      <c r="L2109" s="55" t="s">
        <v>360</v>
      </c>
      <c r="M2109" s="55" t="s">
        <v>150</v>
      </c>
      <c r="N2109" s="55" t="s">
        <v>150</v>
      </c>
      <c r="O2109" s="55" t="s">
        <v>203</v>
      </c>
      <c r="P2109" s="55" t="s">
        <v>1038</v>
      </c>
      <c r="Q2109" s="55" t="s">
        <v>380</v>
      </c>
      <c r="R2109" s="55">
        <v>7</v>
      </c>
      <c r="S2109" s="55" t="s">
        <v>332</v>
      </c>
      <c r="T2109" s="55" t="s">
        <v>1547</v>
      </c>
    </row>
    <row r="2110" spans="1:20" ht="13" x14ac:dyDescent="0.15">
      <c r="A2110" s="72" t="str">
        <f t="shared" si="32"/>
        <v>Ofsted Social Care Provider Webpage</v>
      </c>
      <c r="B2110" s="55" t="s">
        <v>3513</v>
      </c>
      <c r="D2110" s="55" t="s">
        <v>373</v>
      </c>
      <c r="E2110" s="74">
        <v>37883</v>
      </c>
      <c r="F2110" s="55" t="s">
        <v>344</v>
      </c>
      <c r="G2110" s="55" t="s">
        <v>360</v>
      </c>
      <c r="H2110" s="55" t="s">
        <v>360</v>
      </c>
      <c r="I2110" s="55" t="s">
        <v>360</v>
      </c>
      <c r="J2110" s="55" t="s">
        <v>360</v>
      </c>
      <c r="K2110" s="55" t="s">
        <v>360</v>
      </c>
      <c r="L2110" s="55" t="s">
        <v>360</v>
      </c>
      <c r="M2110" s="55" t="s">
        <v>144</v>
      </c>
      <c r="N2110" s="55" t="s">
        <v>144</v>
      </c>
      <c r="O2110" s="55" t="s">
        <v>281</v>
      </c>
      <c r="P2110" s="55" t="s">
        <v>556</v>
      </c>
      <c r="Q2110" s="55" t="s">
        <v>380</v>
      </c>
      <c r="R2110" s="55">
        <v>3</v>
      </c>
      <c r="S2110" s="55"/>
      <c r="T2110" s="55" t="s">
        <v>2081</v>
      </c>
    </row>
    <row r="2111" spans="1:20" ht="13" x14ac:dyDescent="0.15">
      <c r="A2111" s="72" t="str">
        <f t="shared" si="32"/>
        <v>Ofsted Social Care Provider Webpage</v>
      </c>
      <c r="B2111" s="55" t="s">
        <v>3514</v>
      </c>
      <c r="D2111" s="55" t="s">
        <v>389</v>
      </c>
      <c r="E2111" s="74">
        <v>37973</v>
      </c>
      <c r="F2111" s="55" t="s">
        <v>344</v>
      </c>
      <c r="G2111" s="55" t="s">
        <v>3515</v>
      </c>
      <c r="H2111" s="55" t="s">
        <v>3516</v>
      </c>
      <c r="I2111" s="55" t="s">
        <v>354</v>
      </c>
      <c r="J2111" s="55" t="s">
        <v>3455</v>
      </c>
      <c r="L2111" s="55" t="s">
        <v>3517</v>
      </c>
      <c r="M2111" s="55" t="s">
        <v>142</v>
      </c>
      <c r="N2111" s="55" t="s">
        <v>142</v>
      </c>
      <c r="O2111" s="55" t="s">
        <v>292</v>
      </c>
      <c r="P2111" s="55" t="s">
        <v>976</v>
      </c>
      <c r="Q2111" s="55" t="s">
        <v>362</v>
      </c>
      <c r="R2111" s="55"/>
      <c r="S2111" s="55"/>
      <c r="T2111" s="55" t="s">
        <v>3518</v>
      </c>
    </row>
    <row r="2112" spans="1:20" ht="13" x14ac:dyDescent="0.15">
      <c r="A2112" s="72" t="str">
        <f t="shared" si="32"/>
        <v>Ofsted Social Care Provider Webpage</v>
      </c>
      <c r="B2112" s="55" t="s">
        <v>3519</v>
      </c>
      <c r="D2112" s="55" t="s">
        <v>373</v>
      </c>
      <c r="E2112" s="74">
        <v>37503</v>
      </c>
      <c r="F2112" s="55" t="s">
        <v>344</v>
      </c>
      <c r="G2112" s="55" t="s">
        <v>360</v>
      </c>
      <c r="H2112" s="55" t="s">
        <v>360</v>
      </c>
      <c r="I2112" s="55" t="s">
        <v>360</v>
      </c>
      <c r="J2112" s="55" t="s">
        <v>360</v>
      </c>
      <c r="K2112" s="55" t="s">
        <v>360</v>
      </c>
      <c r="L2112" s="55" t="s">
        <v>360</v>
      </c>
      <c r="M2112" s="55" t="s">
        <v>150</v>
      </c>
      <c r="N2112" s="55" t="s">
        <v>150</v>
      </c>
      <c r="O2112" s="55" t="s">
        <v>203</v>
      </c>
      <c r="P2112" s="55" t="s">
        <v>1268</v>
      </c>
      <c r="Q2112" s="55" t="s">
        <v>362</v>
      </c>
      <c r="R2112" s="55">
        <v>9</v>
      </c>
      <c r="S2112" s="55"/>
      <c r="T2112" s="55" t="s">
        <v>824</v>
      </c>
    </row>
    <row r="2113" spans="1:20" ht="13" x14ac:dyDescent="0.15">
      <c r="A2113" s="72" t="str">
        <f t="shared" si="32"/>
        <v>Ofsted Social Care Provider Webpage</v>
      </c>
      <c r="B2113" s="55" t="s">
        <v>3520</v>
      </c>
      <c r="D2113" s="55" t="s">
        <v>373</v>
      </c>
      <c r="E2113" s="74">
        <v>37503</v>
      </c>
      <c r="F2113" s="55" t="s">
        <v>344</v>
      </c>
      <c r="G2113" s="55" t="s">
        <v>360</v>
      </c>
      <c r="H2113" s="55" t="s">
        <v>360</v>
      </c>
      <c r="I2113" s="55" t="s">
        <v>360</v>
      </c>
      <c r="J2113" s="55" t="s">
        <v>360</v>
      </c>
      <c r="K2113" s="55" t="s">
        <v>360</v>
      </c>
      <c r="L2113" s="55" t="s">
        <v>360</v>
      </c>
      <c r="M2113" s="55" t="s">
        <v>150</v>
      </c>
      <c r="N2113" s="55" t="s">
        <v>150</v>
      </c>
      <c r="O2113" s="55" t="s">
        <v>203</v>
      </c>
      <c r="P2113" s="55" t="s">
        <v>1268</v>
      </c>
      <c r="Q2113" s="55" t="s">
        <v>362</v>
      </c>
      <c r="R2113" s="55">
        <v>8</v>
      </c>
      <c r="S2113" s="55"/>
      <c r="T2113" s="55" t="s">
        <v>824</v>
      </c>
    </row>
    <row r="2114" spans="1:20" ht="13" x14ac:dyDescent="0.15">
      <c r="A2114" s="72" t="str">
        <f t="shared" si="32"/>
        <v>Ofsted Social Care Provider Webpage</v>
      </c>
      <c r="B2114" s="55" t="s">
        <v>3521</v>
      </c>
      <c r="D2114" s="55" t="s">
        <v>373</v>
      </c>
      <c r="E2114" s="74">
        <v>37673</v>
      </c>
      <c r="F2114" s="55" t="s">
        <v>344</v>
      </c>
      <c r="G2114" s="55" t="s">
        <v>360</v>
      </c>
      <c r="H2114" s="55" t="s">
        <v>360</v>
      </c>
      <c r="I2114" s="55" t="s">
        <v>360</v>
      </c>
      <c r="J2114" s="55" t="s">
        <v>360</v>
      </c>
      <c r="K2114" s="55" t="s">
        <v>360</v>
      </c>
      <c r="L2114" s="55" t="s">
        <v>360</v>
      </c>
      <c r="M2114" s="55" t="s">
        <v>150</v>
      </c>
      <c r="N2114" s="55" t="s">
        <v>150</v>
      </c>
      <c r="O2114" s="55" t="s">
        <v>285</v>
      </c>
      <c r="P2114" s="55" t="s">
        <v>2738</v>
      </c>
      <c r="Q2114" s="55" t="s">
        <v>380</v>
      </c>
      <c r="R2114" s="55">
        <v>4</v>
      </c>
      <c r="S2114" s="55"/>
      <c r="T2114" s="55" t="s">
        <v>2238</v>
      </c>
    </row>
    <row r="2115" spans="1:20" ht="13" x14ac:dyDescent="0.15">
      <c r="A2115" s="72" t="str">
        <f t="shared" si="32"/>
        <v>Ofsted Social Care Provider Webpage</v>
      </c>
      <c r="B2115" s="55" t="s">
        <v>3522</v>
      </c>
      <c r="D2115" s="55" t="s">
        <v>373</v>
      </c>
      <c r="E2115" s="74">
        <v>37673</v>
      </c>
      <c r="F2115" s="55" t="s">
        <v>344</v>
      </c>
      <c r="G2115" s="55" t="s">
        <v>360</v>
      </c>
      <c r="H2115" s="55" t="s">
        <v>360</v>
      </c>
      <c r="I2115" s="55" t="s">
        <v>360</v>
      </c>
      <c r="J2115" s="55" t="s">
        <v>360</v>
      </c>
      <c r="K2115" s="55" t="s">
        <v>360</v>
      </c>
      <c r="L2115" s="55" t="s">
        <v>360</v>
      </c>
      <c r="M2115" s="55" t="s">
        <v>150</v>
      </c>
      <c r="N2115" s="55" t="s">
        <v>150</v>
      </c>
      <c r="O2115" s="55" t="s">
        <v>285</v>
      </c>
      <c r="P2115" s="55" t="s">
        <v>1810</v>
      </c>
      <c r="Q2115" s="55" t="s">
        <v>380</v>
      </c>
      <c r="R2115" s="55">
        <v>16</v>
      </c>
      <c r="S2115" s="55"/>
      <c r="T2115" s="55" t="s">
        <v>2238</v>
      </c>
    </row>
    <row r="2116" spans="1:20" ht="13" x14ac:dyDescent="0.15">
      <c r="A2116" s="72" t="str">
        <f t="shared" si="32"/>
        <v>Ofsted Social Care Provider Webpage</v>
      </c>
      <c r="B2116" s="55" t="s">
        <v>3523</v>
      </c>
      <c r="D2116" s="55" t="s">
        <v>373</v>
      </c>
      <c r="E2116" s="74">
        <v>37673</v>
      </c>
      <c r="F2116" s="55" t="s">
        <v>344</v>
      </c>
      <c r="G2116" s="55" t="s">
        <v>360</v>
      </c>
      <c r="H2116" s="55" t="s">
        <v>360</v>
      </c>
      <c r="I2116" s="55" t="s">
        <v>360</v>
      </c>
      <c r="J2116" s="55" t="s">
        <v>360</v>
      </c>
      <c r="K2116" s="55" t="s">
        <v>360</v>
      </c>
      <c r="L2116" s="55" t="s">
        <v>360</v>
      </c>
      <c r="M2116" s="55" t="s">
        <v>150</v>
      </c>
      <c r="N2116" s="55" t="s">
        <v>150</v>
      </c>
      <c r="O2116" s="55" t="s">
        <v>285</v>
      </c>
      <c r="P2116" s="55" t="s">
        <v>2738</v>
      </c>
      <c r="Q2116" s="55" t="s">
        <v>380</v>
      </c>
      <c r="R2116" s="55">
        <v>5</v>
      </c>
      <c r="S2116" s="55"/>
      <c r="T2116" s="55" t="s">
        <v>2238</v>
      </c>
    </row>
    <row r="2117" spans="1:20" ht="13" x14ac:dyDescent="0.15">
      <c r="A2117" s="72" t="str">
        <f t="shared" ref="A2117:A2180" si="33">HYPERLINK(_xlfn.CONCAT("http://reports.ofsted.gov.uk/inspection-reports/find-inspection-report/provider/CARE/",B2117),"Ofsted Social Care Provider Webpage")</f>
        <v>Ofsted Social Care Provider Webpage</v>
      </c>
      <c r="B2117" s="55" t="s">
        <v>3524</v>
      </c>
      <c r="D2117" s="55" t="s">
        <v>373</v>
      </c>
      <c r="E2117" s="74">
        <v>37735</v>
      </c>
      <c r="F2117" s="55" t="s">
        <v>344</v>
      </c>
      <c r="G2117" s="55" t="s">
        <v>360</v>
      </c>
      <c r="H2117" s="55" t="s">
        <v>360</v>
      </c>
      <c r="I2117" s="55" t="s">
        <v>360</v>
      </c>
      <c r="J2117" s="55" t="s">
        <v>360</v>
      </c>
      <c r="K2117" s="55" t="s">
        <v>360</v>
      </c>
      <c r="L2117" s="55" t="s">
        <v>360</v>
      </c>
      <c r="M2117" s="55" t="s">
        <v>378</v>
      </c>
      <c r="N2117" s="55" t="s">
        <v>134</v>
      </c>
      <c r="O2117" s="55" t="s">
        <v>246</v>
      </c>
      <c r="P2117" s="55" t="s">
        <v>246</v>
      </c>
      <c r="Q2117" s="55" t="s">
        <v>380</v>
      </c>
      <c r="R2117" s="55">
        <v>9</v>
      </c>
      <c r="S2117" s="55" t="s">
        <v>332</v>
      </c>
      <c r="T2117" s="55" t="s">
        <v>1916</v>
      </c>
    </row>
    <row r="2118" spans="1:20" ht="13" x14ac:dyDescent="0.15">
      <c r="A2118" s="72" t="str">
        <f t="shared" si="33"/>
        <v>Ofsted Social Care Provider Webpage</v>
      </c>
      <c r="B2118" s="55" t="s">
        <v>3525</v>
      </c>
      <c r="D2118" s="55" t="s">
        <v>389</v>
      </c>
      <c r="E2118" s="74">
        <v>38062</v>
      </c>
      <c r="F2118" s="55" t="s">
        <v>344</v>
      </c>
      <c r="G2118" s="55" t="s">
        <v>3526</v>
      </c>
      <c r="H2118" s="55" t="s">
        <v>3527</v>
      </c>
      <c r="I2118" s="55" t="s">
        <v>3528</v>
      </c>
      <c r="J2118" s="55" t="s">
        <v>178</v>
      </c>
      <c r="L2118" s="55" t="s">
        <v>3375</v>
      </c>
      <c r="M2118" s="55" t="s">
        <v>378</v>
      </c>
      <c r="N2118" s="55" t="s">
        <v>170</v>
      </c>
      <c r="O2118" s="55" t="s">
        <v>178</v>
      </c>
      <c r="P2118" s="55" t="s">
        <v>2014</v>
      </c>
      <c r="Q2118" s="55" t="s">
        <v>350</v>
      </c>
      <c r="R2118" s="55"/>
      <c r="S2118" s="55"/>
      <c r="T2118" s="55" t="s">
        <v>3529</v>
      </c>
    </row>
    <row r="2119" spans="1:20" ht="13" x14ac:dyDescent="0.15">
      <c r="A2119" s="72" t="str">
        <f t="shared" si="33"/>
        <v>Ofsted Social Care Provider Webpage</v>
      </c>
      <c r="B2119" s="55" t="s">
        <v>3530</v>
      </c>
      <c r="D2119" s="55" t="s">
        <v>373</v>
      </c>
      <c r="E2119" s="74">
        <v>37900</v>
      </c>
      <c r="F2119" s="55" t="s">
        <v>344</v>
      </c>
      <c r="G2119" s="55" t="s">
        <v>360</v>
      </c>
      <c r="H2119" s="55" t="s">
        <v>360</v>
      </c>
      <c r="I2119" s="55" t="s">
        <v>360</v>
      </c>
      <c r="J2119" s="55" t="s">
        <v>360</v>
      </c>
      <c r="K2119" s="55" t="s">
        <v>360</v>
      </c>
      <c r="L2119" s="55" t="s">
        <v>360</v>
      </c>
      <c r="M2119" s="55" t="s">
        <v>150</v>
      </c>
      <c r="N2119" s="55" t="s">
        <v>150</v>
      </c>
      <c r="O2119" s="55" t="s">
        <v>240</v>
      </c>
      <c r="P2119" s="55" t="s">
        <v>1784</v>
      </c>
      <c r="Q2119" s="55" t="s">
        <v>380</v>
      </c>
      <c r="R2119" s="55">
        <v>6</v>
      </c>
      <c r="S2119" s="55" t="s">
        <v>332</v>
      </c>
      <c r="T2119" s="55" t="s">
        <v>788</v>
      </c>
    </row>
    <row r="2120" spans="1:20" ht="13" x14ac:dyDescent="0.15">
      <c r="A2120" s="72" t="str">
        <f t="shared" si="33"/>
        <v>Ofsted Social Care Provider Webpage</v>
      </c>
      <c r="B2120" s="55" t="s">
        <v>3531</v>
      </c>
      <c r="D2120" s="55" t="s">
        <v>373</v>
      </c>
      <c r="E2120" s="74">
        <v>37575</v>
      </c>
      <c r="F2120" s="55" t="s">
        <v>344</v>
      </c>
      <c r="G2120" s="55" t="s">
        <v>360</v>
      </c>
      <c r="H2120" s="55" t="s">
        <v>360</v>
      </c>
      <c r="I2120" s="55" t="s">
        <v>360</v>
      </c>
      <c r="J2120" s="55" t="s">
        <v>360</v>
      </c>
      <c r="K2120" s="55" t="s">
        <v>360</v>
      </c>
      <c r="L2120" s="55" t="s">
        <v>360</v>
      </c>
      <c r="M2120" s="55" t="s">
        <v>136</v>
      </c>
      <c r="N2120" s="55" t="s">
        <v>136</v>
      </c>
      <c r="O2120" s="55" t="s">
        <v>288</v>
      </c>
      <c r="P2120" s="55" t="s">
        <v>1037</v>
      </c>
      <c r="Q2120" s="55" t="s">
        <v>350</v>
      </c>
      <c r="R2120" s="55">
        <v>4</v>
      </c>
      <c r="S2120" s="55"/>
      <c r="T2120" s="55" t="s">
        <v>832</v>
      </c>
    </row>
    <row r="2121" spans="1:20" ht="13" x14ac:dyDescent="0.15">
      <c r="A2121" s="72" t="str">
        <f t="shared" si="33"/>
        <v>Ofsted Social Care Provider Webpage</v>
      </c>
      <c r="B2121" s="55" t="s">
        <v>3532</v>
      </c>
      <c r="D2121" s="55" t="s">
        <v>373</v>
      </c>
      <c r="E2121" s="74">
        <v>37683</v>
      </c>
      <c r="F2121" s="55" t="s">
        <v>344</v>
      </c>
      <c r="G2121" s="55" t="s">
        <v>360</v>
      </c>
      <c r="H2121" s="55" t="s">
        <v>360</v>
      </c>
      <c r="I2121" s="55" t="s">
        <v>360</v>
      </c>
      <c r="J2121" s="55" t="s">
        <v>360</v>
      </c>
      <c r="K2121" s="55" t="s">
        <v>360</v>
      </c>
      <c r="L2121" s="55" t="s">
        <v>360</v>
      </c>
      <c r="M2121" s="55" t="s">
        <v>144</v>
      </c>
      <c r="N2121" s="55" t="s">
        <v>144</v>
      </c>
      <c r="O2121" s="55" t="s">
        <v>207</v>
      </c>
      <c r="P2121" s="55" t="s">
        <v>207</v>
      </c>
      <c r="Q2121" s="55" t="s">
        <v>380</v>
      </c>
      <c r="R2121" s="55">
        <v>4</v>
      </c>
      <c r="S2121" s="55" t="s">
        <v>332</v>
      </c>
      <c r="T2121" s="55" t="s">
        <v>841</v>
      </c>
    </row>
    <row r="2122" spans="1:20" ht="13" x14ac:dyDescent="0.15">
      <c r="A2122" s="72" t="str">
        <f t="shared" si="33"/>
        <v>Ofsted Social Care Provider Webpage</v>
      </c>
      <c r="B2122" s="55" t="s">
        <v>3533</v>
      </c>
      <c r="D2122" s="55" t="s">
        <v>373</v>
      </c>
      <c r="E2122" s="74">
        <v>37952</v>
      </c>
      <c r="F2122" s="55" t="s">
        <v>344</v>
      </c>
      <c r="G2122" s="55" t="s">
        <v>360</v>
      </c>
      <c r="H2122" s="55" t="s">
        <v>360</v>
      </c>
      <c r="I2122" s="55" t="s">
        <v>360</v>
      </c>
      <c r="J2122" s="55" t="s">
        <v>360</v>
      </c>
      <c r="K2122" s="55" t="s">
        <v>360</v>
      </c>
      <c r="L2122" s="55" t="s">
        <v>360</v>
      </c>
      <c r="M2122" s="55" t="s">
        <v>144</v>
      </c>
      <c r="N2122" s="55" t="s">
        <v>144</v>
      </c>
      <c r="O2122" s="55" t="s">
        <v>207</v>
      </c>
      <c r="P2122" s="55" t="s">
        <v>207</v>
      </c>
      <c r="Q2122" s="55" t="s">
        <v>380</v>
      </c>
      <c r="R2122" s="55">
        <v>3</v>
      </c>
      <c r="S2122" s="55"/>
      <c r="T2122" s="55" t="s">
        <v>841</v>
      </c>
    </row>
    <row r="2123" spans="1:20" ht="13" x14ac:dyDescent="0.15">
      <c r="A2123" s="72" t="str">
        <f t="shared" si="33"/>
        <v>Ofsted Social Care Provider Webpage</v>
      </c>
      <c r="B2123" s="55" t="s">
        <v>3534</v>
      </c>
      <c r="D2123" s="55" t="s">
        <v>373</v>
      </c>
      <c r="E2123" s="74">
        <v>37656</v>
      </c>
      <c r="F2123" s="55" t="s">
        <v>344</v>
      </c>
      <c r="G2123" s="55" t="s">
        <v>360</v>
      </c>
      <c r="H2123" s="55" t="s">
        <v>360</v>
      </c>
      <c r="I2123" s="55" t="s">
        <v>360</v>
      </c>
      <c r="J2123" s="55" t="s">
        <v>360</v>
      </c>
      <c r="K2123" s="55" t="s">
        <v>360</v>
      </c>
      <c r="L2123" s="55" t="s">
        <v>360</v>
      </c>
      <c r="M2123" s="55" t="s">
        <v>144</v>
      </c>
      <c r="N2123" s="55" t="s">
        <v>144</v>
      </c>
      <c r="O2123" s="55" t="s">
        <v>207</v>
      </c>
      <c r="P2123" s="55" t="s">
        <v>207</v>
      </c>
      <c r="Q2123" s="55" t="s">
        <v>380</v>
      </c>
      <c r="R2123" s="55">
        <v>2</v>
      </c>
      <c r="S2123" s="55"/>
      <c r="T2123" s="55" t="s">
        <v>841</v>
      </c>
    </row>
    <row r="2124" spans="1:20" ht="13" x14ac:dyDescent="0.15">
      <c r="A2124" s="72" t="str">
        <f t="shared" si="33"/>
        <v>Ofsted Social Care Provider Webpage</v>
      </c>
      <c r="B2124" s="55" t="s">
        <v>3535</v>
      </c>
      <c r="D2124" s="55" t="s">
        <v>373</v>
      </c>
      <c r="E2124" s="74">
        <v>37900</v>
      </c>
      <c r="F2124" s="55" t="s">
        <v>344</v>
      </c>
      <c r="G2124" s="55" t="s">
        <v>360</v>
      </c>
      <c r="H2124" s="55" t="s">
        <v>360</v>
      </c>
      <c r="I2124" s="55" t="s">
        <v>360</v>
      </c>
      <c r="J2124" s="55" t="s">
        <v>360</v>
      </c>
      <c r="K2124" s="55" t="s">
        <v>360</v>
      </c>
      <c r="L2124" s="55" t="s">
        <v>360</v>
      </c>
      <c r="M2124" s="55" t="s">
        <v>150</v>
      </c>
      <c r="N2124" s="55" t="s">
        <v>150</v>
      </c>
      <c r="O2124" s="55" t="s">
        <v>240</v>
      </c>
      <c r="P2124" s="55" t="s">
        <v>1784</v>
      </c>
      <c r="Q2124" s="55" t="s">
        <v>380</v>
      </c>
      <c r="R2124" s="55">
        <v>5</v>
      </c>
      <c r="S2124" s="55"/>
      <c r="T2124" s="55" t="s">
        <v>788</v>
      </c>
    </row>
    <row r="2125" spans="1:20" ht="13" x14ac:dyDescent="0.15">
      <c r="A2125" s="72" t="str">
        <f t="shared" si="33"/>
        <v>Ofsted Social Care Provider Webpage</v>
      </c>
      <c r="B2125" s="55" t="s">
        <v>3536</v>
      </c>
      <c r="D2125" s="55" t="s">
        <v>389</v>
      </c>
      <c r="E2125" s="74">
        <v>37938</v>
      </c>
      <c r="F2125" s="55" t="s">
        <v>344</v>
      </c>
      <c r="G2125" s="55" t="s">
        <v>3537</v>
      </c>
      <c r="H2125" s="55" t="s">
        <v>3538</v>
      </c>
      <c r="I2125" s="55" t="s">
        <v>3539</v>
      </c>
      <c r="J2125" s="55" t="s">
        <v>3540</v>
      </c>
      <c r="L2125" s="55" t="s">
        <v>3541</v>
      </c>
      <c r="M2125" s="55" t="s">
        <v>144</v>
      </c>
      <c r="N2125" s="55" t="s">
        <v>144</v>
      </c>
      <c r="O2125" s="55" t="s">
        <v>209</v>
      </c>
      <c r="P2125" s="55" t="s">
        <v>555</v>
      </c>
      <c r="Q2125" s="55" t="s">
        <v>362</v>
      </c>
      <c r="R2125" s="55"/>
      <c r="S2125" s="55"/>
      <c r="T2125" s="55" t="s">
        <v>3542</v>
      </c>
    </row>
    <row r="2126" spans="1:20" ht="13" x14ac:dyDescent="0.15">
      <c r="A2126" s="72" t="str">
        <f t="shared" si="33"/>
        <v>Ofsted Social Care Provider Webpage</v>
      </c>
      <c r="B2126" s="55" t="s">
        <v>3543</v>
      </c>
      <c r="D2126" s="55" t="s">
        <v>373</v>
      </c>
      <c r="E2126" s="74">
        <v>37869</v>
      </c>
      <c r="F2126" s="55" t="s">
        <v>344</v>
      </c>
      <c r="G2126" s="55" t="s">
        <v>360</v>
      </c>
      <c r="H2126" s="55" t="s">
        <v>360</v>
      </c>
      <c r="I2126" s="55" t="s">
        <v>360</v>
      </c>
      <c r="J2126" s="55" t="s">
        <v>360</v>
      </c>
      <c r="K2126" s="55" t="s">
        <v>360</v>
      </c>
      <c r="L2126" s="55" t="s">
        <v>360</v>
      </c>
      <c r="M2126" s="55" t="s">
        <v>378</v>
      </c>
      <c r="N2126" s="55" t="s">
        <v>170</v>
      </c>
      <c r="O2126" s="55" t="s">
        <v>169</v>
      </c>
      <c r="P2126" s="55" t="s">
        <v>169</v>
      </c>
      <c r="Q2126" s="55" t="s">
        <v>380</v>
      </c>
      <c r="R2126" s="55">
        <v>3</v>
      </c>
      <c r="S2126" s="55"/>
      <c r="T2126" s="55" t="s">
        <v>3544</v>
      </c>
    </row>
    <row r="2127" spans="1:20" ht="13" x14ac:dyDescent="0.15">
      <c r="A2127" s="72" t="str">
        <f t="shared" si="33"/>
        <v>Ofsted Social Care Provider Webpage</v>
      </c>
      <c r="B2127" s="55" t="s">
        <v>3545</v>
      </c>
      <c r="D2127" s="55" t="s">
        <v>373</v>
      </c>
      <c r="E2127" s="74">
        <v>37964</v>
      </c>
      <c r="F2127" s="55" t="s">
        <v>344</v>
      </c>
      <c r="G2127" s="55" t="s">
        <v>360</v>
      </c>
      <c r="H2127" s="55" t="s">
        <v>360</v>
      </c>
      <c r="I2127" s="55" t="s">
        <v>360</v>
      </c>
      <c r="J2127" s="55" t="s">
        <v>360</v>
      </c>
      <c r="K2127" s="55" t="s">
        <v>360</v>
      </c>
      <c r="L2127" s="55" t="s">
        <v>360</v>
      </c>
      <c r="M2127" s="55" t="s">
        <v>150</v>
      </c>
      <c r="N2127" s="55" t="s">
        <v>150</v>
      </c>
      <c r="O2127" s="55" t="s">
        <v>190</v>
      </c>
      <c r="P2127" s="55" t="s">
        <v>936</v>
      </c>
      <c r="Q2127" s="55" t="s">
        <v>380</v>
      </c>
      <c r="R2127" s="55">
        <v>4</v>
      </c>
      <c r="S2127" s="55"/>
      <c r="T2127" s="55" t="s">
        <v>967</v>
      </c>
    </row>
    <row r="2128" spans="1:20" ht="13" x14ac:dyDescent="0.15">
      <c r="A2128" s="72" t="str">
        <f t="shared" si="33"/>
        <v>Ofsted Social Care Provider Webpage</v>
      </c>
      <c r="B2128" s="55" t="s">
        <v>3546</v>
      </c>
      <c r="D2128" s="55" t="s">
        <v>373</v>
      </c>
      <c r="E2128" s="74">
        <v>37869</v>
      </c>
      <c r="F2128" s="55" t="s">
        <v>344</v>
      </c>
      <c r="G2128" s="55" t="s">
        <v>360</v>
      </c>
      <c r="H2128" s="55" t="s">
        <v>360</v>
      </c>
      <c r="I2128" s="55" t="s">
        <v>360</v>
      </c>
      <c r="J2128" s="55" t="s">
        <v>360</v>
      </c>
      <c r="K2128" s="55" t="s">
        <v>360</v>
      </c>
      <c r="L2128" s="55" t="s">
        <v>360</v>
      </c>
      <c r="M2128" s="55" t="s">
        <v>378</v>
      </c>
      <c r="N2128" s="55" t="s">
        <v>170</v>
      </c>
      <c r="O2128" s="55" t="s">
        <v>169</v>
      </c>
      <c r="P2128" s="55" t="s">
        <v>169</v>
      </c>
      <c r="Q2128" s="55" t="s">
        <v>380</v>
      </c>
      <c r="R2128" s="55">
        <v>3</v>
      </c>
      <c r="S2128" s="55"/>
      <c r="T2128" s="55" t="s">
        <v>3544</v>
      </c>
    </row>
    <row r="2129" spans="1:20" ht="13" x14ac:dyDescent="0.15">
      <c r="A2129" s="72" t="str">
        <f t="shared" si="33"/>
        <v>Ofsted Social Care Provider Webpage</v>
      </c>
      <c r="B2129" s="55" t="s">
        <v>3547</v>
      </c>
      <c r="D2129" s="55" t="s">
        <v>373</v>
      </c>
      <c r="E2129" s="74">
        <v>37964</v>
      </c>
      <c r="F2129" s="55" t="s">
        <v>344</v>
      </c>
      <c r="G2129" s="55" t="s">
        <v>360</v>
      </c>
      <c r="H2129" s="55" t="s">
        <v>360</v>
      </c>
      <c r="I2129" s="55" t="s">
        <v>360</v>
      </c>
      <c r="J2129" s="55" t="s">
        <v>360</v>
      </c>
      <c r="K2129" s="55" t="s">
        <v>360</v>
      </c>
      <c r="L2129" s="55" t="s">
        <v>360</v>
      </c>
      <c r="M2129" s="55" t="s">
        <v>150</v>
      </c>
      <c r="N2129" s="55" t="s">
        <v>150</v>
      </c>
      <c r="O2129" s="55" t="s">
        <v>149</v>
      </c>
      <c r="P2129" s="55" t="s">
        <v>3548</v>
      </c>
      <c r="Q2129" s="55" t="s">
        <v>380</v>
      </c>
      <c r="R2129" s="55">
        <v>5</v>
      </c>
      <c r="S2129" s="55" t="s">
        <v>332</v>
      </c>
      <c r="T2129" s="55" t="s">
        <v>3549</v>
      </c>
    </row>
    <row r="2130" spans="1:20" ht="13" x14ac:dyDescent="0.15">
      <c r="A2130" s="72" t="str">
        <f t="shared" si="33"/>
        <v>Ofsted Social Care Provider Webpage</v>
      </c>
      <c r="B2130" s="55" t="s">
        <v>3550</v>
      </c>
      <c r="D2130" s="55" t="s">
        <v>389</v>
      </c>
      <c r="E2130" s="74">
        <v>37984</v>
      </c>
      <c r="F2130" s="55" t="s">
        <v>344</v>
      </c>
      <c r="G2130" s="55" t="s">
        <v>3551</v>
      </c>
      <c r="H2130" s="55" t="s">
        <v>3175</v>
      </c>
      <c r="I2130" s="55" t="s">
        <v>3552</v>
      </c>
      <c r="J2130" s="55" t="s">
        <v>3553</v>
      </c>
      <c r="L2130" s="55" t="s">
        <v>3554</v>
      </c>
      <c r="M2130" s="55" t="s">
        <v>136</v>
      </c>
      <c r="N2130" s="55" t="s">
        <v>136</v>
      </c>
      <c r="O2130" s="55" t="s">
        <v>174</v>
      </c>
      <c r="P2130" s="55" t="s">
        <v>3555</v>
      </c>
      <c r="Q2130" s="55" t="s">
        <v>350</v>
      </c>
      <c r="R2130" s="55"/>
      <c r="S2130" s="55"/>
      <c r="T2130" s="55" t="s">
        <v>3529</v>
      </c>
    </row>
    <row r="2131" spans="1:20" ht="13" x14ac:dyDescent="0.15">
      <c r="A2131" s="72" t="str">
        <f t="shared" si="33"/>
        <v>Ofsted Social Care Provider Webpage</v>
      </c>
      <c r="B2131" s="55" t="s">
        <v>3556</v>
      </c>
      <c r="D2131" s="55" t="s">
        <v>389</v>
      </c>
      <c r="E2131" s="74">
        <v>37802</v>
      </c>
      <c r="F2131" s="55" t="s">
        <v>344</v>
      </c>
      <c r="G2131" s="55" t="s">
        <v>770</v>
      </c>
      <c r="H2131" s="55" t="s">
        <v>3557</v>
      </c>
      <c r="I2131" s="55" t="s">
        <v>3558</v>
      </c>
      <c r="J2131" s="55" t="s">
        <v>3559</v>
      </c>
      <c r="L2131" s="55" t="s">
        <v>3560</v>
      </c>
      <c r="M2131" s="55" t="s">
        <v>150</v>
      </c>
      <c r="N2131" s="55" t="s">
        <v>150</v>
      </c>
      <c r="O2131" s="55" t="s">
        <v>203</v>
      </c>
      <c r="P2131" s="55" t="s">
        <v>3559</v>
      </c>
      <c r="Q2131" s="55" t="s">
        <v>350</v>
      </c>
      <c r="R2131" s="55"/>
      <c r="S2131" s="55"/>
      <c r="T2131" s="55" t="s">
        <v>775</v>
      </c>
    </row>
    <row r="2132" spans="1:20" ht="13" x14ac:dyDescent="0.15">
      <c r="A2132" s="72" t="str">
        <f t="shared" si="33"/>
        <v>Ofsted Social Care Provider Webpage</v>
      </c>
      <c r="B2132" s="55" t="s">
        <v>3561</v>
      </c>
      <c r="D2132" s="55" t="s">
        <v>373</v>
      </c>
      <c r="E2132" s="74">
        <v>37869</v>
      </c>
      <c r="F2132" s="55" t="s">
        <v>344</v>
      </c>
      <c r="G2132" s="55" t="s">
        <v>360</v>
      </c>
      <c r="H2132" s="55" t="s">
        <v>360</v>
      </c>
      <c r="I2132" s="55" t="s">
        <v>360</v>
      </c>
      <c r="J2132" s="55" t="s">
        <v>360</v>
      </c>
      <c r="K2132" s="55" t="s">
        <v>360</v>
      </c>
      <c r="L2132" s="55" t="s">
        <v>360</v>
      </c>
      <c r="M2132" s="55" t="s">
        <v>378</v>
      </c>
      <c r="N2132" s="55" t="s">
        <v>170</v>
      </c>
      <c r="O2132" s="55" t="s">
        <v>169</v>
      </c>
      <c r="P2132" s="55" t="s">
        <v>169</v>
      </c>
      <c r="Q2132" s="55" t="s">
        <v>380</v>
      </c>
      <c r="R2132" s="55">
        <v>5</v>
      </c>
      <c r="S2132" s="55" t="s">
        <v>332</v>
      </c>
      <c r="T2132" s="55" t="s">
        <v>3544</v>
      </c>
    </row>
    <row r="2133" spans="1:20" ht="13" x14ac:dyDescent="0.15">
      <c r="A2133" s="72" t="str">
        <f t="shared" si="33"/>
        <v>Ofsted Social Care Provider Webpage</v>
      </c>
      <c r="B2133" s="55" t="s">
        <v>3562</v>
      </c>
      <c r="D2133" s="55" t="s">
        <v>389</v>
      </c>
      <c r="E2133" s="74">
        <v>38002</v>
      </c>
      <c r="F2133" s="55" t="s">
        <v>344</v>
      </c>
      <c r="G2133" s="55" t="s">
        <v>3563</v>
      </c>
      <c r="H2133" s="55" t="s">
        <v>3564</v>
      </c>
      <c r="I2133" s="55" t="s">
        <v>3565</v>
      </c>
      <c r="J2133" s="55" t="s">
        <v>251</v>
      </c>
      <c r="L2133" s="55" t="s">
        <v>3566</v>
      </c>
      <c r="M2133" s="55" t="s">
        <v>378</v>
      </c>
      <c r="N2133" s="55" t="s">
        <v>134</v>
      </c>
      <c r="O2133" s="55" t="s">
        <v>251</v>
      </c>
      <c r="P2133" s="55" t="s">
        <v>3363</v>
      </c>
      <c r="Q2133" s="55" t="s">
        <v>350</v>
      </c>
      <c r="R2133" s="55"/>
      <c r="S2133" s="55"/>
      <c r="T2133" s="55" t="s">
        <v>3529</v>
      </c>
    </row>
    <row r="2134" spans="1:20" ht="13" x14ac:dyDescent="0.15">
      <c r="A2134" s="72" t="str">
        <f t="shared" si="33"/>
        <v>Ofsted Social Care Provider Webpage</v>
      </c>
      <c r="B2134" s="55" t="s">
        <v>3567</v>
      </c>
      <c r="D2134" s="55" t="s">
        <v>479</v>
      </c>
      <c r="E2134" s="74">
        <v>37795</v>
      </c>
      <c r="F2134" s="55" t="s">
        <v>344</v>
      </c>
      <c r="G2134" s="55" t="s">
        <v>360</v>
      </c>
      <c r="H2134" s="55" t="s">
        <v>360</v>
      </c>
      <c r="I2134" s="55" t="s">
        <v>360</v>
      </c>
      <c r="J2134" s="55" t="s">
        <v>360</v>
      </c>
      <c r="K2134" s="55" t="s">
        <v>360</v>
      </c>
      <c r="L2134" s="55" t="s">
        <v>360</v>
      </c>
      <c r="M2134" s="55" t="s">
        <v>144</v>
      </c>
      <c r="N2134" s="55" t="s">
        <v>144</v>
      </c>
      <c r="O2134" s="55" t="s">
        <v>168</v>
      </c>
      <c r="P2134" s="55" t="s">
        <v>834</v>
      </c>
      <c r="Q2134" s="55" t="s">
        <v>350</v>
      </c>
      <c r="R2134" s="55">
        <v>48</v>
      </c>
      <c r="S2134" s="55"/>
      <c r="T2134" s="55" t="s">
        <v>3568</v>
      </c>
    </row>
    <row r="2135" spans="1:20" ht="13" x14ac:dyDescent="0.15">
      <c r="A2135" s="72" t="str">
        <f t="shared" si="33"/>
        <v>Ofsted Social Care Provider Webpage</v>
      </c>
      <c r="B2135" s="55" t="s">
        <v>3569</v>
      </c>
      <c r="C2135" s="55">
        <v>121256</v>
      </c>
      <c r="D2135" s="55" t="s">
        <v>413</v>
      </c>
      <c r="E2135" s="74">
        <v>37523</v>
      </c>
      <c r="F2135" s="55" t="s">
        <v>344</v>
      </c>
      <c r="G2135" s="55" t="s">
        <v>3570</v>
      </c>
      <c r="H2135" s="55" t="s">
        <v>3570</v>
      </c>
      <c r="I2135" s="55" t="s">
        <v>3571</v>
      </c>
      <c r="J2135" s="55" t="s">
        <v>3572</v>
      </c>
      <c r="K2135" s="55" t="s">
        <v>224</v>
      </c>
      <c r="L2135" s="55" t="s">
        <v>3573</v>
      </c>
      <c r="M2135" s="55" t="s">
        <v>138</v>
      </c>
      <c r="N2135" s="55" t="s">
        <v>138</v>
      </c>
      <c r="O2135" s="55" t="s">
        <v>224</v>
      </c>
      <c r="P2135" s="55" t="s">
        <v>1294</v>
      </c>
      <c r="Q2135" s="55" t="s">
        <v>380</v>
      </c>
      <c r="R2135" s="55">
        <v>28</v>
      </c>
      <c r="S2135" s="55"/>
      <c r="T2135" s="55" t="s">
        <v>2272</v>
      </c>
    </row>
    <row r="2136" spans="1:20" ht="13" x14ac:dyDescent="0.15">
      <c r="A2136" s="72" t="str">
        <f t="shared" si="33"/>
        <v>Ofsted Social Care Provider Webpage</v>
      </c>
      <c r="B2136" s="55" t="s">
        <v>3574</v>
      </c>
      <c r="C2136" s="55">
        <v>139099</v>
      </c>
      <c r="D2136" s="55" t="s">
        <v>413</v>
      </c>
      <c r="E2136" s="74">
        <v>37525</v>
      </c>
      <c r="F2136" s="55" t="s">
        <v>344</v>
      </c>
      <c r="G2136" s="55" t="s">
        <v>3575</v>
      </c>
      <c r="H2136" s="55" t="s">
        <v>3576</v>
      </c>
      <c r="I2136" s="55" t="s">
        <v>3577</v>
      </c>
      <c r="J2136" s="55" t="s">
        <v>3578</v>
      </c>
      <c r="L2136" s="55" t="s">
        <v>3579</v>
      </c>
      <c r="M2136" s="55" t="s">
        <v>138</v>
      </c>
      <c r="N2136" s="55" t="s">
        <v>138</v>
      </c>
      <c r="O2136" s="55" t="s">
        <v>224</v>
      </c>
      <c r="P2136" s="55" t="s">
        <v>1530</v>
      </c>
      <c r="Q2136" s="55" t="s">
        <v>420</v>
      </c>
      <c r="R2136" s="55">
        <v>31</v>
      </c>
      <c r="S2136" s="55"/>
      <c r="T2136" s="55" t="s">
        <v>3580</v>
      </c>
    </row>
    <row r="2137" spans="1:20" ht="13" x14ac:dyDescent="0.15">
      <c r="A2137" s="72" t="str">
        <f t="shared" si="33"/>
        <v>Ofsted Social Care Provider Webpage</v>
      </c>
      <c r="B2137" s="55" t="s">
        <v>3581</v>
      </c>
      <c r="D2137" s="55" t="s">
        <v>479</v>
      </c>
      <c r="E2137" s="74">
        <v>37895</v>
      </c>
      <c r="F2137" s="55" t="s">
        <v>344</v>
      </c>
      <c r="G2137" s="55" t="s">
        <v>360</v>
      </c>
      <c r="H2137" s="55" t="s">
        <v>360</v>
      </c>
      <c r="I2137" s="55" t="s">
        <v>360</v>
      </c>
      <c r="J2137" s="55" t="s">
        <v>360</v>
      </c>
      <c r="K2137" s="55" t="s">
        <v>360</v>
      </c>
      <c r="L2137" s="55" t="s">
        <v>360</v>
      </c>
      <c r="M2137" s="55" t="s">
        <v>142</v>
      </c>
      <c r="N2137" s="55" t="s">
        <v>142</v>
      </c>
      <c r="O2137" s="55" t="s">
        <v>293</v>
      </c>
      <c r="P2137" s="55" t="s">
        <v>1641</v>
      </c>
      <c r="Q2137" s="55" t="s">
        <v>362</v>
      </c>
      <c r="R2137" s="55">
        <v>61</v>
      </c>
      <c r="S2137" s="55"/>
      <c r="T2137" s="55" t="s">
        <v>3582</v>
      </c>
    </row>
    <row r="2138" spans="1:20" ht="13" x14ac:dyDescent="0.15">
      <c r="A2138" s="72" t="str">
        <f t="shared" si="33"/>
        <v>Ofsted Social Care Provider Webpage</v>
      </c>
      <c r="B2138" s="55" t="s">
        <v>3583</v>
      </c>
      <c r="D2138" s="55" t="s">
        <v>373</v>
      </c>
      <c r="E2138" s="74">
        <v>37733</v>
      </c>
      <c r="F2138" s="55" t="s">
        <v>344</v>
      </c>
      <c r="G2138" s="55" t="s">
        <v>360</v>
      </c>
      <c r="H2138" s="55" t="s">
        <v>360</v>
      </c>
      <c r="I2138" s="55" t="s">
        <v>360</v>
      </c>
      <c r="J2138" s="55" t="s">
        <v>360</v>
      </c>
      <c r="K2138" s="55" t="s">
        <v>360</v>
      </c>
      <c r="L2138" s="55" t="s">
        <v>360</v>
      </c>
      <c r="M2138" s="55" t="s">
        <v>142</v>
      </c>
      <c r="N2138" s="55" t="s">
        <v>142</v>
      </c>
      <c r="O2138" s="55" t="s">
        <v>177</v>
      </c>
      <c r="P2138" s="55" t="s">
        <v>835</v>
      </c>
      <c r="Q2138" s="55" t="s">
        <v>380</v>
      </c>
      <c r="R2138" s="55">
        <v>4</v>
      </c>
      <c r="S2138" s="55"/>
      <c r="T2138" s="55" t="s">
        <v>3584</v>
      </c>
    </row>
    <row r="2139" spans="1:20" ht="13" x14ac:dyDescent="0.15">
      <c r="A2139" s="72" t="str">
        <f t="shared" si="33"/>
        <v>Ofsted Social Care Provider Webpage</v>
      </c>
      <c r="B2139" s="55" t="s">
        <v>3585</v>
      </c>
      <c r="D2139" s="55" t="s">
        <v>373</v>
      </c>
      <c r="E2139" s="74">
        <v>37573</v>
      </c>
      <c r="F2139" s="55" t="s">
        <v>344</v>
      </c>
      <c r="G2139" s="55" t="s">
        <v>360</v>
      </c>
      <c r="H2139" s="55" t="s">
        <v>360</v>
      </c>
      <c r="I2139" s="55" t="s">
        <v>360</v>
      </c>
      <c r="J2139" s="55" t="s">
        <v>360</v>
      </c>
      <c r="K2139" s="55" t="s">
        <v>360</v>
      </c>
      <c r="L2139" s="55" t="s">
        <v>360</v>
      </c>
      <c r="M2139" s="55" t="s">
        <v>150</v>
      </c>
      <c r="N2139" s="55" t="s">
        <v>150</v>
      </c>
      <c r="O2139" s="55" t="s">
        <v>285</v>
      </c>
      <c r="P2139" s="55" t="s">
        <v>2738</v>
      </c>
      <c r="Q2139" s="55" t="s">
        <v>350</v>
      </c>
      <c r="R2139" s="55">
        <v>5</v>
      </c>
      <c r="S2139" s="55"/>
      <c r="T2139" s="55" t="s">
        <v>3586</v>
      </c>
    </row>
    <row r="2140" spans="1:20" ht="13" x14ac:dyDescent="0.15">
      <c r="A2140" s="72" t="str">
        <f t="shared" si="33"/>
        <v>Ofsted Social Care Provider Webpage</v>
      </c>
      <c r="B2140" s="55" t="s">
        <v>3587</v>
      </c>
      <c r="D2140" s="55" t="s">
        <v>373</v>
      </c>
      <c r="E2140" s="74">
        <v>37631</v>
      </c>
      <c r="F2140" s="55" t="s">
        <v>344</v>
      </c>
      <c r="G2140" s="55" t="s">
        <v>360</v>
      </c>
      <c r="H2140" s="55" t="s">
        <v>360</v>
      </c>
      <c r="I2140" s="55" t="s">
        <v>360</v>
      </c>
      <c r="J2140" s="55" t="s">
        <v>360</v>
      </c>
      <c r="K2140" s="55" t="s">
        <v>360</v>
      </c>
      <c r="L2140" s="55" t="s">
        <v>360</v>
      </c>
      <c r="M2140" s="55" t="s">
        <v>142</v>
      </c>
      <c r="N2140" s="55" t="s">
        <v>142</v>
      </c>
      <c r="O2140" s="55" t="s">
        <v>278</v>
      </c>
      <c r="P2140" s="55" t="s">
        <v>611</v>
      </c>
      <c r="Q2140" s="55" t="s">
        <v>350</v>
      </c>
      <c r="R2140" s="55">
        <v>9</v>
      </c>
      <c r="S2140" s="55"/>
      <c r="T2140" s="55" t="s">
        <v>1164</v>
      </c>
    </row>
    <row r="2141" spans="1:20" ht="13" x14ac:dyDescent="0.15">
      <c r="A2141" s="72" t="str">
        <f t="shared" si="33"/>
        <v>Ofsted Social Care Provider Webpage</v>
      </c>
      <c r="B2141" s="55" t="s">
        <v>3588</v>
      </c>
      <c r="D2141" s="55" t="s">
        <v>389</v>
      </c>
      <c r="E2141" s="74">
        <v>37971</v>
      </c>
      <c r="F2141" s="55" t="s">
        <v>344</v>
      </c>
      <c r="G2141" s="55" t="s">
        <v>3589</v>
      </c>
      <c r="H2141" s="55" t="s">
        <v>3590</v>
      </c>
      <c r="I2141" s="55" t="s">
        <v>3591</v>
      </c>
      <c r="J2141" s="55" t="s">
        <v>3430</v>
      </c>
      <c r="K2141" s="55" t="s">
        <v>203</v>
      </c>
      <c r="L2141" s="55" t="s">
        <v>3592</v>
      </c>
      <c r="M2141" s="55" t="s">
        <v>150</v>
      </c>
      <c r="N2141" s="55" t="s">
        <v>150</v>
      </c>
      <c r="O2141" s="55" t="s">
        <v>203</v>
      </c>
      <c r="P2141" s="55" t="s">
        <v>1263</v>
      </c>
      <c r="Q2141" s="55" t="s">
        <v>362</v>
      </c>
      <c r="R2141" s="55"/>
      <c r="S2141" s="55"/>
      <c r="T2141" s="55" t="s">
        <v>367</v>
      </c>
    </row>
    <row r="2142" spans="1:20" ht="13" x14ac:dyDescent="0.15">
      <c r="A2142" s="72" t="str">
        <f t="shared" si="33"/>
        <v>Ofsted Social Care Provider Webpage</v>
      </c>
      <c r="B2142" s="55" t="s">
        <v>3593</v>
      </c>
      <c r="D2142" s="55" t="s">
        <v>373</v>
      </c>
      <c r="E2142" s="74">
        <v>37778</v>
      </c>
      <c r="F2142" s="55" t="s">
        <v>344</v>
      </c>
      <c r="G2142" s="55" t="s">
        <v>360</v>
      </c>
      <c r="H2142" s="55" t="s">
        <v>360</v>
      </c>
      <c r="I2142" s="55" t="s">
        <v>360</v>
      </c>
      <c r="J2142" s="55" t="s">
        <v>360</v>
      </c>
      <c r="K2142" s="55" t="s">
        <v>360</v>
      </c>
      <c r="L2142" s="55" t="s">
        <v>360</v>
      </c>
      <c r="M2142" s="55" t="s">
        <v>378</v>
      </c>
      <c r="N2142" s="55" t="s">
        <v>170</v>
      </c>
      <c r="O2142" s="55" t="s">
        <v>231</v>
      </c>
      <c r="P2142" s="55" t="s">
        <v>231</v>
      </c>
      <c r="Q2142" s="55" t="s">
        <v>380</v>
      </c>
      <c r="R2142" s="55">
        <v>5</v>
      </c>
      <c r="S2142" s="55" t="s">
        <v>332</v>
      </c>
      <c r="T2142" s="55" t="s">
        <v>1945</v>
      </c>
    </row>
    <row r="2143" spans="1:20" ht="13" x14ac:dyDescent="0.15">
      <c r="A2143" s="72" t="str">
        <f t="shared" si="33"/>
        <v>Ofsted Social Care Provider Webpage</v>
      </c>
      <c r="B2143" s="55" t="s">
        <v>3594</v>
      </c>
      <c r="D2143" s="55" t="s">
        <v>373</v>
      </c>
      <c r="E2143" s="74">
        <v>37797</v>
      </c>
      <c r="F2143" s="55" t="s">
        <v>344</v>
      </c>
      <c r="G2143" s="55" t="s">
        <v>360</v>
      </c>
      <c r="H2143" s="55" t="s">
        <v>360</v>
      </c>
      <c r="I2143" s="55" t="s">
        <v>360</v>
      </c>
      <c r="J2143" s="55" t="s">
        <v>360</v>
      </c>
      <c r="K2143" s="55" t="s">
        <v>360</v>
      </c>
      <c r="L2143" s="55" t="s">
        <v>360</v>
      </c>
      <c r="M2143" s="55" t="s">
        <v>378</v>
      </c>
      <c r="N2143" s="55" t="s">
        <v>170</v>
      </c>
      <c r="O2143" s="55" t="s">
        <v>231</v>
      </c>
      <c r="P2143" s="55" t="s">
        <v>231</v>
      </c>
      <c r="Q2143" s="55" t="s">
        <v>380</v>
      </c>
      <c r="R2143" s="55">
        <v>5</v>
      </c>
      <c r="S2143" s="55"/>
      <c r="T2143" s="55" t="s">
        <v>1945</v>
      </c>
    </row>
    <row r="2144" spans="1:20" ht="13" x14ac:dyDescent="0.15">
      <c r="A2144" s="72" t="str">
        <f t="shared" si="33"/>
        <v>Ofsted Social Care Provider Webpage</v>
      </c>
      <c r="B2144" s="55" t="s">
        <v>3595</v>
      </c>
      <c r="D2144" s="55" t="s">
        <v>2864</v>
      </c>
      <c r="E2144" s="74">
        <v>38077</v>
      </c>
      <c r="F2144" s="55" t="s">
        <v>344</v>
      </c>
      <c r="G2144" s="55" t="s">
        <v>360</v>
      </c>
      <c r="H2144" s="55" t="s">
        <v>360</v>
      </c>
      <c r="I2144" s="55" t="s">
        <v>360</v>
      </c>
      <c r="J2144" s="55" t="s">
        <v>360</v>
      </c>
      <c r="K2144" s="55" t="s">
        <v>360</v>
      </c>
      <c r="L2144" s="55" t="s">
        <v>360</v>
      </c>
      <c r="M2144" s="55" t="s">
        <v>150</v>
      </c>
      <c r="N2144" s="55" t="s">
        <v>150</v>
      </c>
      <c r="O2144" s="55" t="s">
        <v>190</v>
      </c>
      <c r="P2144" s="55" t="s">
        <v>500</v>
      </c>
      <c r="Q2144" s="55" t="s">
        <v>380</v>
      </c>
      <c r="R2144" s="55">
        <v>16</v>
      </c>
      <c r="S2144" s="55"/>
      <c r="T2144" s="55" t="s">
        <v>967</v>
      </c>
    </row>
    <row r="2145" spans="1:20" ht="13" x14ac:dyDescent="0.15">
      <c r="A2145" s="72" t="str">
        <f t="shared" si="33"/>
        <v>Ofsted Social Care Provider Webpage</v>
      </c>
      <c r="B2145" s="55" t="s">
        <v>3596</v>
      </c>
      <c r="C2145" s="55">
        <v>140997</v>
      </c>
      <c r="D2145" s="55" t="s">
        <v>413</v>
      </c>
      <c r="E2145" s="74">
        <v>37537</v>
      </c>
      <c r="F2145" s="55" t="s">
        <v>344</v>
      </c>
      <c r="G2145" s="55" t="s">
        <v>3597</v>
      </c>
      <c r="H2145" s="55" t="s">
        <v>3598</v>
      </c>
      <c r="I2145" s="55" t="s">
        <v>3599</v>
      </c>
      <c r="J2145" s="55" t="s">
        <v>3600</v>
      </c>
      <c r="L2145" s="55" t="s">
        <v>3601</v>
      </c>
      <c r="M2145" s="55" t="s">
        <v>142</v>
      </c>
      <c r="N2145" s="55" t="s">
        <v>142</v>
      </c>
      <c r="O2145" s="55" t="s">
        <v>262</v>
      </c>
      <c r="P2145" s="55" t="s">
        <v>916</v>
      </c>
      <c r="Q2145" s="55" t="s">
        <v>420</v>
      </c>
      <c r="R2145" s="55">
        <v>63</v>
      </c>
      <c r="S2145" s="55"/>
      <c r="T2145" s="55" t="s">
        <v>3602</v>
      </c>
    </row>
    <row r="2146" spans="1:20" ht="13" x14ac:dyDescent="0.15">
      <c r="A2146" s="72" t="str">
        <f t="shared" si="33"/>
        <v>Ofsted Social Care Provider Webpage</v>
      </c>
      <c r="B2146" s="55" t="s">
        <v>3603</v>
      </c>
      <c r="C2146" s="55">
        <v>147347</v>
      </c>
      <c r="D2146" s="55" t="s">
        <v>413</v>
      </c>
      <c r="E2146" s="74">
        <v>37537</v>
      </c>
      <c r="F2146" s="55" t="s">
        <v>344</v>
      </c>
      <c r="G2146" s="55" t="s">
        <v>3604</v>
      </c>
      <c r="H2146" s="55" t="s">
        <v>3604</v>
      </c>
      <c r="I2146" s="55" t="s">
        <v>3605</v>
      </c>
      <c r="J2146" s="55" t="s">
        <v>1859</v>
      </c>
      <c r="K2146" s="55" t="s">
        <v>262</v>
      </c>
      <c r="L2146" s="55" t="s">
        <v>3606</v>
      </c>
      <c r="M2146" s="55" t="s">
        <v>142</v>
      </c>
      <c r="N2146" s="55" t="s">
        <v>142</v>
      </c>
      <c r="O2146" s="55" t="s">
        <v>262</v>
      </c>
      <c r="P2146" s="55" t="s">
        <v>1035</v>
      </c>
      <c r="Q2146" s="55" t="s">
        <v>380</v>
      </c>
      <c r="R2146" s="55">
        <v>4</v>
      </c>
      <c r="S2146" s="55"/>
      <c r="T2146" s="55" t="s">
        <v>1145</v>
      </c>
    </row>
    <row r="2147" spans="1:20" ht="13" x14ac:dyDescent="0.15">
      <c r="A2147" s="72" t="str">
        <f t="shared" si="33"/>
        <v>Ofsted Social Care Provider Webpage</v>
      </c>
      <c r="B2147" s="55" t="s">
        <v>3607</v>
      </c>
      <c r="C2147" s="55">
        <v>124496</v>
      </c>
      <c r="D2147" s="55" t="s">
        <v>413</v>
      </c>
      <c r="E2147" s="74">
        <v>37537</v>
      </c>
      <c r="F2147" s="55" t="s">
        <v>344</v>
      </c>
      <c r="G2147" s="55" t="s">
        <v>3608</v>
      </c>
      <c r="H2147" s="55" t="s">
        <v>2996</v>
      </c>
      <c r="I2147" s="55" t="s">
        <v>3609</v>
      </c>
      <c r="J2147" s="55" t="s">
        <v>3610</v>
      </c>
      <c r="K2147" s="55" t="s">
        <v>262</v>
      </c>
      <c r="L2147" s="55" t="s">
        <v>3611</v>
      </c>
      <c r="M2147" s="55" t="s">
        <v>142</v>
      </c>
      <c r="N2147" s="55" t="s">
        <v>142</v>
      </c>
      <c r="O2147" s="55" t="s">
        <v>262</v>
      </c>
      <c r="P2147" s="55" t="s">
        <v>618</v>
      </c>
      <c r="Q2147" s="55" t="s">
        <v>380</v>
      </c>
      <c r="R2147" s="55">
        <v>18</v>
      </c>
      <c r="S2147" s="55"/>
      <c r="T2147" s="55" t="s">
        <v>2996</v>
      </c>
    </row>
    <row r="2148" spans="1:20" ht="13" x14ac:dyDescent="0.15">
      <c r="A2148" s="72" t="str">
        <f t="shared" si="33"/>
        <v>Ofsted Social Care Provider Webpage</v>
      </c>
      <c r="B2148" s="55" t="s">
        <v>3612</v>
      </c>
      <c r="C2148" s="55">
        <v>142094</v>
      </c>
      <c r="D2148" s="55" t="s">
        <v>413</v>
      </c>
      <c r="E2148" s="74">
        <v>37537</v>
      </c>
      <c r="F2148" s="55" t="s">
        <v>344</v>
      </c>
      <c r="G2148" s="55" t="s">
        <v>3613</v>
      </c>
      <c r="H2148" s="55" t="s">
        <v>3614</v>
      </c>
      <c r="I2148" s="55" t="s">
        <v>3615</v>
      </c>
      <c r="J2148" s="55" t="s">
        <v>3616</v>
      </c>
      <c r="K2148" s="55" t="s">
        <v>262</v>
      </c>
      <c r="L2148" s="55" t="s">
        <v>3617</v>
      </c>
      <c r="M2148" s="55" t="s">
        <v>142</v>
      </c>
      <c r="N2148" s="55" t="s">
        <v>142</v>
      </c>
      <c r="O2148" s="55" t="s">
        <v>262</v>
      </c>
      <c r="P2148" s="55" t="s">
        <v>1859</v>
      </c>
      <c r="Q2148" s="55" t="s">
        <v>420</v>
      </c>
      <c r="R2148" s="55">
        <v>32</v>
      </c>
      <c r="S2148" s="55"/>
      <c r="T2148" s="55" t="s">
        <v>3602</v>
      </c>
    </row>
    <row r="2149" spans="1:20" ht="13" x14ac:dyDescent="0.15">
      <c r="A2149" s="72" t="str">
        <f t="shared" si="33"/>
        <v>Ofsted Social Care Provider Webpage</v>
      </c>
      <c r="B2149" s="55" t="s">
        <v>3618</v>
      </c>
      <c r="C2149" s="55">
        <v>142170</v>
      </c>
      <c r="D2149" s="55" t="s">
        <v>413</v>
      </c>
      <c r="E2149" s="74">
        <v>37537</v>
      </c>
      <c r="F2149" s="55" t="s">
        <v>344</v>
      </c>
      <c r="G2149" s="55" t="s">
        <v>3619</v>
      </c>
      <c r="H2149" s="55" t="s">
        <v>3620</v>
      </c>
      <c r="I2149" s="55" t="s">
        <v>3621</v>
      </c>
      <c r="J2149" s="55" t="s">
        <v>3622</v>
      </c>
      <c r="K2149" s="55" t="s">
        <v>262</v>
      </c>
      <c r="L2149" s="55" t="s">
        <v>3623</v>
      </c>
      <c r="M2149" s="55" t="s">
        <v>142</v>
      </c>
      <c r="N2149" s="55" t="s">
        <v>142</v>
      </c>
      <c r="O2149" s="55" t="s">
        <v>262</v>
      </c>
      <c r="P2149" s="55" t="s">
        <v>949</v>
      </c>
      <c r="Q2149" s="55" t="s">
        <v>420</v>
      </c>
      <c r="R2149" s="55">
        <v>10</v>
      </c>
      <c r="S2149" s="55"/>
      <c r="T2149" s="55" t="s">
        <v>3624</v>
      </c>
    </row>
    <row r="2150" spans="1:20" ht="13" x14ac:dyDescent="0.15">
      <c r="A2150" s="72" t="str">
        <f t="shared" si="33"/>
        <v>Ofsted Social Care Provider Webpage</v>
      </c>
      <c r="B2150" s="55" t="s">
        <v>3625</v>
      </c>
      <c r="C2150" s="55">
        <v>142169</v>
      </c>
      <c r="D2150" s="55" t="s">
        <v>413</v>
      </c>
      <c r="E2150" s="74">
        <v>37537</v>
      </c>
      <c r="F2150" s="55" t="s">
        <v>344</v>
      </c>
      <c r="G2150" s="55" t="s">
        <v>3626</v>
      </c>
      <c r="H2150" s="55" t="s">
        <v>3627</v>
      </c>
      <c r="I2150" s="55" t="s">
        <v>3628</v>
      </c>
      <c r="J2150" s="55" t="s">
        <v>265</v>
      </c>
      <c r="K2150" s="55" t="s">
        <v>262</v>
      </c>
      <c r="L2150" s="55" t="s">
        <v>3629</v>
      </c>
      <c r="M2150" s="55" t="s">
        <v>142</v>
      </c>
      <c r="N2150" s="55" t="s">
        <v>142</v>
      </c>
      <c r="O2150" s="55" t="s">
        <v>262</v>
      </c>
      <c r="P2150" s="55" t="s">
        <v>618</v>
      </c>
      <c r="Q2150" s="55" t="s">
        <v>420</v>
      </c>
      <c r="R2150" s="55">
        <v>7</v>
      </c>
      <c r="S2150" s="55"/>
      <c r="T2150" s="55" t="s">
        <v>3624</v>
      </c>
    </row>
    <row r="2151" spans="1:20" ht="13" x14ac:dyDescent="0.15">
      <c r="A2151" s="72" t="str">
        <f t="shared" si="33"/>
        <v>Ofsted Social Care Provider Webpage</v>
      </c>
      <c r="B2151" s="55" t="s">
        <v>3630</v>
      </c>
      <c r="C2151" s="55">
        <v>148378</v>
      </c>
      <c r="D2151" s="55" t="s">
        <v>413</v>
      </c>
      <c r="E2151" s="74">
        <v>37538</v>
      </c>
      <c r="F2151" s="55" t="s">
        <v>344</v>
      </c>
      <c r="G2151" s="55" t="s">
        <v>3631</v>
      </c>
      <c r="H2151" s="55" t="s">
        <v>3632</v>
      </c>
      <c r="I2151" s="55" t="s">
        <v>354</v>
      </c>
      <c r="J2151" s="55" t="s">
        <v>581</v>
      </c>
      <c r="K2151" s="55" t="s">
        <v>255</v>
      </c>
      <c r="L2151" s="55" t="s">
        <v>3633</v>
      </c>
      <c r="M2151" s="55" t="s">
        <v>136</v>
      </c>
      <c r="N2151" s="55" t="s">
        <v>136</v>
      </c>
      <c r="O2151" s="55" t="s">
        <v>255</v>
      </c>
      <c r="P2151" s="55" t="s">
        <v>583</v>
      </c>
      <c r="Q2151" s="55" t="s">
        <v>380</v>
      </c>
      <c r="R2151" s="55">
        <v>8</v>
      </c>
      <c r="S2151" s="55"/>
      <c r="T2151" s="55" t="s">
        <v>3634</v>
      </c>
    </row>
    <row r="2152" spans="1:20" ht="13" x14ac:dyDescent="0.15">
      <c r="A2152" s="72" t="str">
        <f t="shared" si="33"/>
        <v>Ofsted Social Care Provider Webpage</v>
      </c>
      <c r="B2152" s="55" t="s">
        <v>3635</v>
      </c>
      <c r="D2152" s="55" t="s">
        <v>373</v>
      </c>
      <c r="E2152" s="74">
        <v>37554</v>
      </c>
      <c r="F2152" s="55" t="s">
        <v>344</v>
      </c>
      <c r="G2152" s="55" t="s">
        <v>360</v>
      </c>
      <c r="H2152" s="55" t="s">
        <v>360</v>
      </c>
      <c r="I2152" s="55" t="s">
        <v>360</v>
      </c>
      <c r="J2152" s="55" t="s">
        <v>360</v>
      </c>
      <c r="K2152" s="55" t="s">
        <v>360</v>
      </c>
      <c r="L2152" s="55" t="s">
        <v>360</v>
      </c>
      <c r="M2152" s="55" t="s">
        <v>138</v>
      </c>
      <c r="N2152" s="55" t="s">
        <v>138</v>
      </c>
      <c r="O2152" s="55" t="s">
        <v>266</v>
      </c>
      <c r="P2152" s="55" t="s">
        <v>934</v>
      </c>
      <c r="Q2152" s="55" t="s">
        <v>380</v>
      </c>
      <c r="R2152" s="55">
        <v>6</v>
      </c>
      <c r="S2152" s="55"/>
      <c r="T2152" s="55" t="s">
        <v>3510</v>
      </c>
    </row>
    <row r="2153" spans="1:20" ht="13" x14ac:dyDescent="0.15">
      <c r="A2153" s="72" t="str">
        <f t="shared" si="33"/>
        <v>Ofsted Social Care Provider Webpage</v>
      </c>
      <c r="B2153" s="55" t="s">
        <v>3636</v>
      </c>
      <c r="D2153" s="55" t="s">
        <v>373</v>
      </c>
      <c r="E2153" s="74">
        <v>37806</v>
      </c>
      <c r="F2153" s="55" t="s">
        <v>344</v>
      </c>
      <c r="G2153" s="55" t="s">
        <v>360</v>
      </c>
      <c r="H2153" s="55" t="s">
        <v>360</v>
      </c>
      <c r="I2153" s="55" t="s">
        <v>360</v>
      </c>
      <c r="J2153" s="55" t="s">
        <v>360</v>
      </c>
      <c r="K2153" s="55" t="s">
        <v>360</v>
      </c>
      <c r="L2153" s="55" t="s">
        <v>360</v>
      </c>
      <c r="M2153" s="55" t="s">
        <v>172</v>
      </c>
      <c r="N2153" s="55" t="s">
        <v>172</v>
      </c>
      <c r="O2153" s="55" t="s">
        <v>171</v>
      </c>
      <c r="P2153" s="55" t="s">
        <v>895</v>
      </c>
      <c r="Q2153" s="55" t="s">
        <v>350</v>
      </c>
      <c r="R2153" s="55">
        <v>4</v>
      </c>
      <c r="S2153" s="55"/>
      <c r="T2153" s="55" t="s">
        <v>861</v>
      </c>
    </row>
    <row r="2154" spans="1:20" ht="13" x14ac:dyDescent="0.15">
      <c r="A2154" s="72" t="str">
        <f t="shared" si="33"/>
        <v>Ofsted Social Care Provider Webpage</v>
      </c>
      <c r="B2154" s="55" t="s">
        <v>3637</v>
      </c>
      <c r="D2154" s="55" t="s">
        <v>389</v>
      </c>
      <c r="E2154" s="74">
        <v>37826</v>
      </c>
      <c r="F2154" s="55" t="s">
        <v>344</v>
      </c>
      <c r="G2154" s="55" t="s">
        <v>722</v>
      </c>
      <c r="H2154" s="55" t="s">
        <v>3638</v>
      </c>
      <c r="I2154" s="55" t="s">
        <v>3639</v>
      </c>
      <c r="J2154" s="55" t="s">
        <v>3640</v>
      </c>
      <c r="K2154" s="55" t="s">
        <v>266</v>
      </c>
      <c r="L2154" s="55" t="s">
        <v>3641</v>
      </c>
      <c r="M2154" s="55" t="s">
        <v>138</v>
      </c>
      <c r="N2154" s="55" t="s">
        <v>138</v>
      </c>
      <c r="O2154" s="55" t="s">
        <v>266</v>
      </c>
      <c r="P2154" s="55" t="s">
        <v>2912</v>
      </c>
      <c r="Q2154" s="55" t="s">
        <v>350</v>
      </c>
      <c r="R2154" s="55"/>
      <c r="S2154" s="55"/>
      <c r="T2154" s="55" t="s">
        <v>726</v>
      </c>
    </row>
    <row r="2155" spans="1:20" ht="13" x14ac:dyDescent="0.15">
      <c r="A2155" s="72" t="str">
        <f t="shared" si="33"/>
        <v>Ofsted Social Care Provider Webpage</v>
      </c>
      <c r="B2155" s="55" t="s">
        <v>3642</v>
      </c>
      <c r="D2155" s="55" t="s">
        <v>373</v>
      </c>
      <c r="E2155" s="74">
        <v>37543</v>
      </c>
      <c r="F2155" s="55" t="s">
        <v>344</v>
      </c>
      <c r="G2155" s="55" t="s">
        <v>360</v>
      </c>
      <c r="H2155" s="55" t="s">
        <v>360</v>
      </c>
      <c r="I2155" s="55" t="s">
        <v>360</v>
      </c>
      <c r="J2155" s="55" t="s">
        <v>360</v>
      </c>
      <c r="K2155" s="55" t="s">
        <v>360</v>
      </c>
      <c r="L2155" s="55" t="s">
        <v>360</v>
      </c>
      <c r="M2155" s="55" t="s">
        <v>129</v>
      </c>
      <c r="N2155" s="55" t="s">
        <v>129</v>
      </c>
      <c r="O2155" s="55" t="s">
        <v>192</v>
      </c>
      <c r="P2155" s="55" t="s">
        <v>1191</v>
      </c>
      <c r="Q2155" s="55" t="s">
        <v>350</v>
      </c>
      <c r="R2155" s="55">
        <v>3</v>
      </c>
      <c r="S2155" s="55"/>
    </row>
    <row r="2156" spans="1:20" ht="13" x14ac:dyDescent="0.15">
      <c r="A2156" s="72" t="str">
        <f t="shared" si="33"/>
        <v>Ofsted Social Care Provider Webpage</v>
      </c>
      <c r="B2156" s="55" t="s">
        <v>3643</v>
      </c>
      <c r="D2156" s="55" t="s">
        <v>389</v>
      </c>
      <c r="E2156" s="74">
        <v>37621</v>
      </c>
      <c r="F2156" s="55" t="s">
        <v>344</v>
      </c>
      <c r="G2156" s="55" t="s">
        <v>3644</v>
      </c>
      <c r="H2156" s="55" t="s">
        <v>3645</v>
      </c>
      <c r="I2156" s="55" t="s">
        <v>3646</v>
      </c>
      <c r="J2156" s="55" t="s">
        <v>240</v>
      </c>
      <c r="K2156" s="55" t="s">
        <v>190</v>
      </c>
      <c r="L2156" s="55" t="s">
        <v>1783</v>
      </c>
      <c r="M2156" s="55" t="s">
        <v>150</v>
      </c>
      <c r="N2156" s="55" t="s">
        <v>150</v>
      </c>
      <c r="O2156" s="55" t="s">
        <v>240</v>
      </c>
      <c r="P2156" s="55" t="s">
        <v>1784</v>
      </c>
      <c r="Q2156" s="55" t="s">
        <v>350</v>
      </c>
      <c r="R2156" s="55"/>
      <c r="S2156" s="55"/>
      <c r="T2156" s="55" t="s">
        <v>456</v>
      </c>
    </row>
    <row r="2157" spans="1:20" ht="13" x14ac:dyDescent="0.15">
      <c r="A2157" s="72" t="str">
        <f t="shared" si="33"/>
        <v>Ofsted Social Care Provider Webpage</v>
      </c>
      <c r="B2157" s="55" t="s">
        <v>3647</v>
      </c>
      <c r="D2157" s="55" t="s">
        <v>373</v>
      </c>
      <c r="E2157" s="74">
        <v>37711</v>
      </c>
      <c r="F2157" s="55" t="s">
        <v>344</v>
      </c>
      <c r="G2157" s="55" t="s">
        <v>360</v>
      </c>
      <c r="H2157" s="55" t="s">
        <v>360</v>
      </c>
      <c r="I2157" s="55" t="s">
        <v>360</v>
      </c>
      <c r="J2157" s="55" t="s">
        <v>360</v>
      </c>
      <c r="K2157" s="55" t="s">
        <v>360</v>
      </c>
      <c r="L2157" s="55" t="s">
        <v>360</v>
      </c>
      <c r="M2157" s="55" t="s">
        <v>172</v>
      </c>
      <c r="N2157" s="55" t="s">
        <v>172</v>
      </c>
      <c r="O2157" s="55" t="s">
        <v>211</v>
      </c>
      <c r="P2157" s="55" t="s">
        <v>2228</v>
      </c>
      <c r="Q2157" s="55" t="s">
        <v>380</v>
      </c>
      <c r="R2157" s="55">
        <v>10</v>
      </c>
      <c r="S2157" s="55"/>
      <c r="T2157" s="55" t="s">
        <v>2464</v>
      </c>
    </row>
    <row r="2158" spans="1:20" ht="13" x14ac:dyDescent="0.15">
      <c r="A2158" s="72" t="str">
        <f t="shared" si="33"/>
        <v>Ofsted Social Care Provider Webpage</v>
      </c>
      <c r="B2158" s="55" t="s">
        <v>3648</v>
      </c>
      <c r="D2158" s="55" t="s">
        <v>373</v>
      </c>
      <c r="E2158" s="74">
        <v>37711</v>
      </c>
      <c r="F2158" s="55" t="s">
        <v>344</v>
      </c>
      <c r="G2158" s="55" t="s">
        <v>360</v>
      </c>
      <c r="H2158" s="55" t="s">
        <v>360</v>
      </c>
      <c r="I2158" s="55" t="s">
        <v>360</v>
      </c>
      <c r="J2158" s="55" t="s">
        <v>360</v>
      </c>
      <c r="K2158" s="55" t="s">
        <v>360</v>
      </c>
      <c r="L2158" s="55" t="s">
        <v>360</v>
      </c>
      <c r="M2158" s="55" t="s">
        <v>172</v>
      </c>
      <c r="N2158" s="55" t="s">
        <v>172</v>
      </c>
      <c r="O2158" s="55" t="s">
        <v>211</v>
      </c>
      <c r="P2158" s="55" t="s">
        <v>1062</v>
      </c>
      <c r="Q2158" s="55" t="s">
        <v>380</v>
      </c>
      <c r="R2158" s="55">
        <v>7</v>
      </c>
      <c r="S2158" s="55"/>
      <c r="T2158" s="55" t="s">
        <v>2464</v>
      </c>
    </row>
    <row r="2159" spans="1:20" ht="13" x14ac:dyDescent="0.15">
      <c r="A2159" s="72" t="str">
        <f t="shared" si="33"/>
        <v>Ofsted Social Care Provider Webpage</v>
      </c>
      <c r="B2159" s="55" t="s">
        <v>3649</v>
      </c>
      <c r="D2159" s="55" t="s">
        <v>373</v>
      </c>
      <c r="E2159" s="74">
        <v>37711</v>
      </c>
      <c r="F2159" s="55" t="s">
        <v>344</v>
      </c>
      <c r="G2159" s="55" t="s">
        <v>360</v>
      </c>
      <c r="H2159" s="55" t="s">
        <v>360</v>
      </c>
      <c r="I2159" s="55" t="s">
        <v>360</v>
      </c>
      <c r="J2159" s="55" t="s">
        <v>360</v>
      </c>
      <c r="K2159" s="55" t="s">
        <v>360</v>
      </c>
      <c r="L2159" s="55" t="s">
        <v>360</v>
      </c>
      <c r="M2159" s="55" t="s">
        <v>172</v>
      </c>
      <c r="N2159" s="55" t="s">
        <v>172</v>
      </c>
      <c r="O2159" s="55" t="s">
        <v>211</v>
      </c>
      <c r="P2159" s="55" t="s">
        <v>1343</v>
      </c>
      <c r="Q2159" s="55" t="s">
        <v>380</v>
      </c>
      <c r="R2159" s="55">
        <v>6</v>
      </c>
      <c r="S2159" s="55"/>
      <c r="T2159" s="55" t="s">
        <v>2464</v>
      </c>
    </row>
    <row r="2160" spans="1:20" ht="13" x14ac:dyDescent="0.15">
      <c r="A2160" s="72" t="str">
        <f t="shared" si="33"/>
        <v>Ofsted Social Care Provider Webpage</v>
      </c>
      <c r="B2160" s="55" t="s">
        <v>3650</v>
      </c>
      <c r="D2160" s="55" t="s">
        <v>373</v>
      </c>
      <c r="E2160" s="74">
        <v>37711</v>
      </c>
      <c r="F2160" s="55" t="s">
        <v>344</v>
      </c>
      <c r="G2160" s="55" t="s">
        <v>360</v>
      </c>
      <c r="H2160" s="55" t="s">
        <v>360</v>
      </c>
      <c r="I2160" s="55" t="s">
        <v>360</v>
      </c>
      <c r="J2160" s="55" t="s">
        <v>360</v>
      </c>
      <c r="K2160" s="55" t="s">
        <v>360</v>
      </c>
      <c r="L2160" s="55" t="s">
        <v>360</v>
      </c>
      <c r="M2160" s="55" t="s">
        <v>172</v>
      </c>
      <c r="N2160" s="55" t="s">
        <v>172</v>
      </c>
      <c r="O2160" s="55" t="s">
        <v>211</v>
      </c>
      <c r="P2160" s="55" t="s">
        <v>1062</v>
      </c>
      <c r="Q2160" s="55" t="s">
        <v>380</v>
      </c>
      <c r="R2160" s="55">
        <v>7</v>
      </c>
      <c r="S2160" s="55"/>
      <c r="T2160" s="55" t="s">
        <v>2464</v>
      </c>
    </row>
    <row r="2161" spans="1:20" ht="13" x14ac:dyDescent="0.15">
      <c r="A2161" s="72" t="str">
        <f t="shared" si="33"/>
        <v>Ofsted Social Care Provider Webpage</v>
      </c>
      <c r="B2161" s="55" t="s">
        <v>3651</v>
      </c>
      <c r="D2161" s="55" t="s">
        <v>373</v>
      </c>
      <c r="E2161" s="74">
        <v>37711</v>
      </c>
      <c r="F2161" s="55" t="s">
        <v>344</v>
      </c>
      <c r="G2161" s="55" t="s">
        <v>360</v>
      </c>
      <c r="H2161" s="55" t="s">
        <v>360</v>
      </c>
      <c r="I2161" s="55" t="s">
        <v>360</v>
      </c>
      <c r="J2161" s="55" t="s">
        <v>360</v>
      </c>
      <c r="K2161" s="55" t="s">
        <v>360</v>
      </c>
      <c r="L2161" s="55" t="s">
        <v>360</v>
      </c>
      <c r="M2161" s="55" t="s">
        <v>172</v>
      </c>
      <c r="N2161" s="55" t="s">
        <v>172</v>
      </c>
      <c r="O2161" s="55" t="s">
        <v>211</v>
      </c>
      <c r="P2161" s="55" t="s">
        <v>1062</v>
      </c>
      <c r="Q2161" s="55" t="s">
        <v>380</v>
      </c>
      <c r="R2161" s="55">
        <v>9</v>
      </c>
      <c r="S2161" s="55"/>
      <c r="T2161" s="55" t="s">
        <v>2464</v>
      </c>
    </row>
    <row r="2162" spans="1:20" ht="13" x14ac:dyDescent="0.15">
      <c r="A2162" s="72" t="str">
        <f t="shared" si="33"/>
        <v>Ofsted Social Care Provider Webpage</v>
      </c>
      <c r="B2162" s="55" t="s">
        <v>3652</v>
      </c>
      <c r="D2162" s="55" t="s">
        <v>373</v>
      </c>
      <c r="E2162" s="74">
        <v>37924</v>
      </c>
      <c r="F2162" s="55" t="s">
        <v>344</v>
      </c>
      <c r="G2162" s="55" t="s">
        <v>360</v>
      </c>
      <c r="H2162" s="55" t="s">
        <v>360</v>
      </c>
      <c r="I2162" s="55" t="s">
        <v>360</v>
      </c>
      <c r="J2162" s="55" t="s">
        <v>360</v>
      </c>
      <c r="K2162" s="55" t="s">
        <v>360</v>
      </c>
      <c r="L2162" s="55" t="s">
        <v>360</v>
      </c>
      <c r="M2162" s="55" t="s">
        <v>144</v>
      </c>
      <c r="N2162" s="55" t="s">
        <v>144</v>
      </c>
      <c r="O2162" s="55" t="s">
        <v>263</v>
      </c>
      <c r="P2162" s="55" t="s">
        <v>876</v>
      </c>
      <c r="Q2162" s="55" t="s">
        <v>380</v>
      </c>
      <c r="R2162" s="55">
        <v>5</v>
      </c>
      <c r="S2162" s="55"/>
      <c r="T2162" s="55" t="s">
        <v>1212</v>
      </c>
    </row>
    <row r="2163" spans="1:20" ht="13" x14ac:dyDescent="0.15">
      <c r="A2163" s="72" t="str">
        <f t="shared" si="33"/>
        <v>Ofsted Social Care Provider Webpage</v>
      </c>
      <c r="B2163" s="55" t="s">
        <v>3653</v>
      </c>
      <c r="D2163" s="55" t="s">
        <v>373</v>
      </c>
      <c r="E2163" s="74">
        <v>38366</v>
      </c>
      <c r="F2163" s="55" t="s">
        <v>344</v>
      </c>
      <c r="G2163" s="55" t="s">
        <v>360</v>
      </c>
      <c r="H2163" s="55" t="s">
        <v>360</v>
      </c>
      <c r="I2163" s="55" t="s">
        <v>360</v>
      </c>
      <c r="J2163" s="55" t="s">
        <v>360</v>
      </c>
      <c r="K2163" s="55" t="s">
        <v>360</v>
      </c>
      <c r="L2163" s="55" t="s">
        <v>360</v>
      </c>
      <c r="M2163" s="55" t="s">
        <v>144</v>
      </c>
      <c r="N2163" s="55" t="s">
        <v>144</v>
      </c>
      <c r="O2163" s="55" t="s">
        <v>209</v>
      </c>
      <c r="P2163" s="55" t="s">
        <v>597</v>
      </c>
      <c r="Q2163" s="55" t="s">
        <v>350</v>
      </c>
      <c r="R2163" s="55">
        <v>1</v>
      </c>
      <c r="S2163" s="55"/>
      <c r="T2163" s="55" t="s">
        <v>2435</v>
      </c>
    </row>
    <row r="2164" spans="1:20" ht="13" x14ac:dyDescent="0.15">
      <c r="A2164" s="72" t="str">
        <f t="shared" si="33"/>
        <v>Ofsted Social Care Provider Webpage</v>
      </c>
      <c r="B2164" s="55" t="s">
        <v>3654</v>
      </c>
      <c r="C2164" s="55">
        <v>145198</v>
      </c>
      <c r="D2164" s="55" t="s">
        <v>413</v>
      </c>
      <c r="E2164" s="74">
        <v>37546</v>
      </c>
      <c r="F2164" s="55" t="s">
        <v>344</v>
      </c>
      <c r="G2164" s="55" t="s">
        <v>3655</v>
      </c>
      <c r="H2164" s="55" t="s">
        <v>3656</v>
      </c>
      <c r="I2164" s="55" t="s">
        <v>3657</v>
      </c>
      <c r="J2164" s="55" t="s">
        <v>3658</v>
      </c>
      <c r="K2164" s="55" t="s">
        <v>288</v>
      </c>
      <c r="L2164" s="55" t="s">
        <v>3659</v>
      </c>
      <c r="M2164" s="55" t="s">
        <v>136</v>
      </c>
      <c r="N2164" s="55" t="s">
        <v>136</v>
      </c>
      <c r="O2164" s="55" t="s">
        <v>288</v>
      </c>
      <c r="P2164" s="55" t="s">
        <v>1235</v>
      </c>
      <c r="Q2164" s="55" t="s">
        <v>420</v>
      </c>
      <c r="R2164" s="55">
        <v>14</v>
      </c>
      <c r="S2164" s="55"/>
      <c r="T2164" s="55" t="s">
        <v>3660</v>
      </c>
    </row>
    <row r="2165" spans="1:20" ht="13" x14ac:dyDescent="0.15">
      <c r="A2165" s="72" t="str">
        <f t="shared" si="33"/>
        <v>Ofsted Social Care Provider Webpage</v>
      </c>
      <c r="B2165" s="55" t="s">
        <v>3661</v>
      </c>
      <c r="C2165" s="55">
        <v>130759</v>
      </c>
      <c r="D2165" s="55" t="s">
        <v>693</v>
      </c>
      <c r="E2165" s="74">
        <v>37546</v>
      </c>
      <c r="F2165" s="55" t="s">
        <v>344</v>
      </c>
      <c r="G2165" s="55" t="s">
        <v>3662</v>
      </c>
      <c r="H2165" s="55" t="s">
        <v>3663</v>
      </c>
      <c r="I2165" s="55" t="s">
        <v>354</v>
      </c>
      <c r="J2165" s="55" t="s">
        <v>3664</v>
      </c>
      <c r="K2165" s="55" t="s">
        <v>214</v>
      </c>
      <c r="L2165" s="55" t="s">
        <v>3665</v>
      </c>
      <c r="M2165" s="55" t="s">
        <v>172</v>
      </c>
      <c r="N2165" s="55" t="s">
        <v>172</v>
      </c>
      <c r="O2165" s="55" t="s">
        <v>214</v>
      </c>
      <c r="P2165" s="55" t="s">
        <v>1345</v>
      </c>
      <c r="Q2165" s="55" t="s">
        <v>362</v>
      </c>
      <c r="R2165" s="55">
        <v>49</v>
      </c>
      <c r="S2165" s="55"/>
      <c r="T2165" s="55" t="s">
        <v>3662</v>
      </c>
    </row>
    <row r="2166" spans="1:20" ht="13" x14ac:dyDescent="0.15">
      <c r="A2166" s="72" t="str">
        <f t="shared" si="33"/>
        <v>Ofsted Social Care Provider Webpage</v>
      </c>
      <c r="B2166" s="55" t="s">
        <v>3666</v>
      </c>
      <c r="C2166" s="55">
        <v>144286</v>
      </c>
      <c r="D2166" s="55" t="s">
        <v>413</v>
      </c>
      <c r="E2166" s="74">
        <v>37546</v>
      </c>
      <c r="F2166" s="55" t="s">
        <v>344</v>
      </c>
      <c r="G2166" s="55" t="s">
        <v>3667</v>
      </c>
      <c r="H2166" s="55" t="s">
        <v>3668</v>
      </c>
      <c r="I2166" s="55" t="s">
        <v>3669</v>
      </c>
      <c r="J2166" s="55" t="s">
        <v>3670</v>
      </c>
      <c r="K2166" s="55" t="s">
        <v>288</v>
      </c>
      <c r="L2166" s="55" t="s">
        <v>3671</v>
      </c>
      <c r="M2166" s="55" t="s">
        <v>136</v>
      </c>
      <c r="N2166" s="55" t="s">
        <v>136</v>
      </c>
      <c r="O2166" s="55" t="s">
        <v>288</v>
      </c>
      <c r="P2166" s="55" t="s">
        <v>1101</v>
      </c>
      <c r="Q2166" s="55" t="s">
        <v>420</v>
      </c>
      <c r="R2166" s="55">
        <v>40</v>
      </c>
      <c r="S2166" s="55"/>
      <c r="T2166" s="55" t="s">
        <v>3672</v>
      </c>
    </row>
    <row r="2167" spans="1:20" ht="13" x14ac:dyDescent="0.15">
      <c r="A2167" s="72" t="str">
        <f t="shared" si="33"/>
        <v>Ofsted Social Care Provider Webpage</v>
      </c>
      <c r="B2167" s="55" t="s">
        <v>3673</v>
      </c>
      <c r="C2167" s="55">
        <v>126535</v>
      </c>
      <c r="D2167" s="55" t="s">
        <v>413</v>
      </c>
      <c r="E2167" s="74">
        <v>37547</v>
      </c>
      <c r="F2167" s="55" t="s">
        <v>344</v>
      </c>
      <c r="G2167" s="55" t="s">
        <v>3674</v>
      </c>
      <c r="H2167" s="55" t="s">
        <v>3674</v>
      </c>
      <c r="I2167" s="55" t="s">
        <v>3675</v>
      </c>
      <c r="J2167" s="55" t="s">
        <v>3676</v>
      </c>
      <c r="L2167" s="55" t="s">
        <v>3677</v>
      </c>
      <c r="M2167" s="55" t="s">
        <v>136</v>
      </c>
      <c r="N2167" s="55" t="s">
        <v>136</v>
      </c>
      <c r="O2167" s="55" t="s">
        <v>288</v>
      </c>
      <c r="P2167" s="55" t="s">
        <v>1037</v>
      </c>
      <c r="Q2167" s="55" t="s">
        <v>350</v>
      </c>
      <c r="R2167" s="55">
        <v>160</v>
      </c>
      <c r="S2167" s="55"/>
    </row>
    <row r="2168" spans="1:20" ht="13" x14ac:dyDescent="0.15">
      <c r="A2168" s="72" t="str">
        <f t="shared" si="33"/>
        <v>Ofsted Social Care Provider Webpage</v>
      </c>
      <c r="B2168" s="55" t="s">
        <v>3678</v>
      </c>
      <c r="D2168" s="55" t="s">
        <v>373</v>
      </c>
      <c r="E2168" s="74">
        <v>37820</v>
      </c>
      <c r="F2168" s="55" t="s">
        <v>344</v>
      </c>
      <c r="G2168" s="55" t="s">
        <v>360</v>
      </c>
      <c r="H2168" s="55" t="s">
        <v>360</v>
      </c>
      <c r="I2168" s="55" t="s">
        <v>360</v>
      </c>
      <c r="J2168" s="55" t="s">
        <v>360</v>
      </c>
      <c r="K2168" s="55" t="s">
        <v>360</v>
      </c>
      <c r="L2168" s="55" t="s">
        <v>360</v>
      </c>
      <c r="M2168" s="55" t="s">
        <v>129</v>
      </c>
      <c r="N2168" s="55" t="s">
        <v>129</v>
      </c>
      <c r="O2168" s="55" t="s">
        <v>191</v>
      </c>
      <c r="P2168" s="55" t="s">
        <v>1224</v>
      </c>
      <c r="Q2168" s="55" t="s">
        <v>350</v>
      </c>
      <c r="R2168" s="55">
        <v>6</v>
      </c>
      <c r="S2168" s="55"/>
    </row>
    <row r="2169" spans="1:20" ht="13" x14ac:dyDescent="0.15">
      <c r="A2169" s="72" t="str">
        <f t="shared" si="33"/>
        <v>Ofsted Social Care Provider Webpage</v>
      </c>
      <c r="B2169" s="55" t="s">
        <v>3679</v>
      </c>
      <c r="D2169" s="55" t="s">
        <v>373</v>
      </c>
      <c r="E2169" s="74">
        <v>37945</v>
      </c>
      <c r="F2169" s="55" t="s">
        <v>344</v>
      </c>
      <c r="G2169" s="55" t="s">
        <v>360</v>
      </c>
      <c r="H2169" s="55" t="s">
        <v>360</v>
      </c>
      <c r="I2169" s="55" t="s">
        <v>360</v>
      </c>
      <c r="J2169" s="55" t="s">
        <v>360</v>
      </c>
      <c r="K2169" s="55" t="s">
        <v>360</v>
      </c>
      <c r="L2169" s="55" t="s">
        <v>360</v>
      </c>
      <c r="M2169" s="55" t="s">
        <v>144</v>
      </c>
      <c r="N2169" s="55" t="s">
        <v>144</v>
      </c>
      <c r="O2169" s="55" t="s">
        <v>209</v>
      </c>
      <c r="P2169" s="55" t="s">
        <v>597</v>
      </c>
      <c r="Q2169" s="55" t="s">
        <v>380</v>
      </c>
      <c r="R2169" s="55">
        <v>6</v>
      </c>
      <c r="S2169" s="55"/>
      <c r="T2169" s="55" t="s">
        <v>657</v>
      </c>
    </row>
    <row r="2170" spans="1:20" ht="13" x14ac:dyDescent="0.15">
      <c r="A2170" s="72" t="str">
        <f t="shared" si="33"/>
        <v>Ofsted Social Care Provider Webpage</v>
      </c>
      <c r="B2170" s="55" t="s">
        <v>3680</v>
      </c>
      <c r="D2170" s="55" t="s">
        <v>389</v>
      </c>
      <c r="E2170" s="74">
        <v>38194</v>
      </c>
      <c r="F2170" s="55" t="s">
        <v>344</v>
      </c>
      <c r="G2170" s="55" t="s">
        <v>3681</v>
      </c>
      <c r="H2170" s="55" t="s">
        <v>3682</v>
      </c>
      <c r="I2170" s="55" t="s">
        <v>3683</v>
      </c>
      <c r="J2170" s="55" t="s">
        <v>1523</v>
      </c>
      <c r="K2170" s="55" t="s">
        <v>190</v>
      </c>
      <c r="L2170" s="55" t="s">
        <v>3684</v>
      </c>
      <c r="M2170" s="55" t="s">
        <v>150</v>
      </c>
      <c r="N2170" s="55" t="s">
        <v>150</v>
      </c>
      <c r="O2170" s="55" t="s">
        <v>190</v>
      </c>
      <c r="P2170" s="55" t="s">
        <v>1523</v>
      </c>
      <c r="Q2170" s="55" t="s">
        <v>350</v>
      </c>
      <c r="R2170" s="55"/>
      <c r="S2170" s="55"/>
      <c r="T2170" s="55" t="s">
        <v>3529</v>
      </c>
    </row>
    <row r="2171" spans="1:20" ht="13" x14ac:dyDescent="0.15">
      <c r="A2171" s="72" t="str">
        <f t="shared" si="33"/>
        <v>Ofsted Social Care Provider Webpage</v>
      </c>
      <c r="B2171" s="55" t="s">
        <v>3685</v>
      </c>
      <c r="C2171" s="55">
        <v>131355</v>
      </c>
      <c r="D2171" s="55" t="s">
        <v>398</v>
      </c>
      <c r="E2171" s="74">
        <v>37550</v>
      </c>
      <c r="F2171" s="55" t="s">
        <v>344</v>
      </c>
      <c r="G2171" s="55" t="s">
        <v>3686</v>
      </c>
      <c r="H2171" s="55" t="s">
        <v>3686</v>
      </c>
      <c r="I2171" s="55" t="s">
        <v>3687</v>
      </c>
      <c r="J2171" s="55" t="s">
        <v>3347</v>
      </c>
      <c r="L2171" s="55" t="s">
        <v>3688</v>
      </c>
      <c r="M2171" s="55" t="s">
        <v>144</v>
      </c>
      <c r="N2171" s="55" t="s">
        <v>144</v>
      </c>
      <c r="O2171" s="55" t="s">
        <v>209</v>
      </c>
      <c r="P2171" s="55" t="s">
        <v>474</v>
      </c>
      <c r="Q2171" s="55" t="s">
        <v>350</v>
      </c>
      <c r="R2171" s="55">
        <v>295</v>
      </c>
      <c r="S2171" s="55"/>
      <c r="T2171" s="55" t="s">
        <v>3689</v>
      </c>
    </row>
    <row r="2172" spans="1:20" ht="13" x14ac:dyDescent="0.15">
      <c r="A2172" s="72" t="str">
        <f t="shared" si="33"/>
        <v>Ofsted Social Care Provider Webpage</v>
      </c>
      <c r="B2172" s="55" t="s">
        <v>3690</v>
      </c>
      <c r="D2172" s="55" t="s">
        <v>373</v>
      </c>
      <c r="E2172" s="74">
        <v>37928</v>
      </c>
      <c r="F2172" s="55" t="s">
        <v>344</v>
      </c>
      <c r="G2172" s="55" t="s">
        <v>360</v>
      </c>
      <c r="H2172" s="55" t="s">
        <v>360</v>
      </c>
      <c r="I2172" s="55" t="s">
        <v>360</v>
      </c>
      <c r="J2172" s="55" t="s">
        <v>360</v>
      </c>
      <c r="K2172" s="55" t="s">
        <v>360</v>
      </c>
      <c r="L2172" s="55" t="s">
        <v>360</v>
      </c>
      <c r="M2172" s="55" t="s">
        <v>378</v>
      </c>
      <c r="N2172" s="55" t="s">
        <v>134</v>
      </c>
      <c r="O2172" s="55" t="s">
        <v>251</v>
      </c>
      <c r="P2172" s="55" t="s">
        <v>1709</v>
      </c>
      <c r="Q2172" s="55" t="s">
        <v>380</v>
      </c>
      <c r="R2172" s="55">
        <v>4</v>
      </c>
      <c r="S2172" s="55"/>
      <c r="T2172" s="55" t="s">
        <v>3358</v>
      </c>
    </row>
    <row r="2173" spans="1:20" ht="13" x14ac:dyDescent="0.15">
      <c r="A2173" s="72" t="str">
        <f t="shared" si="33"/>
        <v>Ofsted Social Care Provider Webpage</v>
      </c>
      <c r="B2173" s="55" t="s">
        <v>3691</v>
      </c>
      <c r="D2173" s="55" t="s">
        <v>373</v>
      </c>
      <c r="E2173" s="74">
        <v>37879</v>
      </c>
      <c r="F2173" s="55" t="s">
        <v>344</v>
      </c>
      <c r="G2173" s="55" t="s">
        <v>360</v>
      </c>
      <c r="H2173" s="55" t="s">
        <v>360</v>
      </c>
      <c r="I2173" s="55" t="s">
        <v>360</v>
      </c>
      <c r="J2173" s="55" t="s">
        <v>360</v>
      </c>
      <c r="K2173" s="55" t="s">
        <v>360</v>
      </c>
      <c r="L2173" s="55" t="s">
        <v>360</v>
      </c>
      <c r="M2173" s="55" t="s">
        <v>144</v>
      </c>
      <c r="N2173" s="55" t="s">
        <v>144</v>
      </c>
      <c r="O2173" s="55" t="s">
        <v>188</v>
      </c>
      <c r="P2173" s="55" t="s">
        <v>188</v>
      </c>
      <c r="Q2173" s="55" t="s">
        <v>380</v>
      </c>
      <c r="R2173" s="55">
        <v>4</v>
      </c>
      <c r="S2173" s="55" t="s">
        <v>332</v>
      </c>
      <c r="T2173" s="55" t="s">
        <v>3692</v>
      </c>
    </row>
    <row r="2174" spans="1:20" ht="13" x14ac:dyDescent="0.15">
      <c r="A2174" s="72" t="str">
        <f t="shared" si="33"/>
        <v>Ofsted Social Care Provider Webpage</v>
      </c>
      <c r="B2174" s="55" t="s">
        <v>3693</v>
      </c>
      <c r="D2174" s="55" t="s">
        <v>389</v>
      </c>
      <c r="E2174" s="74">
        <v>37995</v>
      </c>
      <c r="F2174" s="55" t="s">
        <v>344</v>
      </c>
      <c r="G2174" s="55" t="s">
        <v>3694</v>
      </c>
      <c r="H2174" s="55" t="s">
        <v>3695</v>
      </c>
      <c r="I2174" s="55" t="s">
        <v>3696</v>
      </c>
      <c r="J2174" s="55" t="s">
        <v>3697</v>
      </c>
      <c r="K2174" s="55" t="s">
        <v>190</v>
      </c>
      <c r="L2174" s="55" t="s">
        <v>3698</v>
      </c>
      <c r="M2174" s="55" t="s">
        <v>150</v>
      </c>
      <c r="N2174" s="55" t="s">
        <v>150</v>
      </c>
      <c r="O2174" s="55" t="s">
        <v>190</v>
      </c>
      <c r="P2174" s="55" t="s">
        <v>3699</v>
      </c>
      <c r="Q2174" s="55" t="s">
        <v>362</v>
      </c>
      <c r="R2174" s="55"/>
      <c r="S2174" s="55"/>
      <c r="T2174" s="55" t="s">
        <v>367</v>
      </c>
    </row>
    <row r="2175" spans="1:20" ht="13" x14ac:dyDescent="0.15">
      <c r="A2175" s="72" t="str">
        <f t="shared" si="33"/>
        <v>Ofsted Social Care Provider Webpage</v>
      </c>
      <c r="B2175" s="55" t="s">
        <v>3700</v>
      </c>
      <c r="D2175" s="55" t="s">
        <v>373</v>
      </c>
      <c r="E2175" s="74">
        <v>37852</v>
      </c>
      <c r="F2175" s="55" t="s">
        <v>344</v>
      </c>
      <c r="G2175" s="55" t="s">
        <v>360</v>
      </c>
      <c r="H2175" s="55" t="s">
        <v>360</v>
      </c>
      <c r="I2175" s="55" t="s">
        <v>360</v>
      </c>
      <c r="J2175" s="55" t="s">
        <v>360</v>
      </c>
      <c r="K2175" s="55" t="s">
        <v>360</v>
      </c>
      <c r="L2175" s="55" t="s">
        <v>360</v>
      </c>
      <c r="M2175" s="55" t="s">
        <v>144</v>
      </c>
      <c r="N2175" s="55" t="s">
        <v>144</v>
      </c>
      <c r="O2175" s="55" t="s">
        <v>209</v>
      </c>
      <c r="P2175" s="55" t="s">
        <v>650</v>
      </c>
      <c r="Q2175" s="55" t="s">
        <v>380</v>
      </c>
      <c r="R2175" s="55">
        <v>6</v>
      </c>
      <c r="S2175" s="55"/>
      <c r="T2175" s="55" t="s">
        <v>657</v>
      </c>
    </row>
    <row r="2176" spans="1:20" ht="13" x14ac:dyDescent="0.15">
      <c r="A2176" s="72" t="str">
        <f t="shared" si="33"/>
        <v>Ofsted Social Care Provider Webpage</v>
      </c>
      <c r="B2176" s="55" t="s">
        <v>3701</v>
      </c>
      <c r="D2176" s="55" t="s">
        <v>373</v>
      </c>
      <c r="E2176" s="74">
        <v>37992</v>
      </c>
      <c r="F2176" s="55" t="s">
        <v>344</v>
      </c>
      <c r="G2176" s="55" t="s">
        <v>360</v>
      </c>
      <c r="H2176" s="55" t="s">
        <v>360</v>
      </c>
      <c r="I2176" s="55" t="s">
        <v>360</v>
      </c>
      <c r="J2176" s="55" t="s">
        <v>360</v>
      </c>
      <c r="K2176" s="55" t="s">
        <v>360</v>
      </c>
      <c r="L2176" s="55" t="s">
        <v>360</v>
      </c>
      <c r="M2176" s="55" t="s">
        <v>144</v>
      </c>
      <c r="N2176" s="55" t="s">
        <v>144</v>
      </c>
      <c r="O2176" s="55" t="s">
        <v>209</v>
      </c>
      <c r="P2176" s="55" t="s">
        <v>629</v>
      </c>
      <c r="Q2176" s="55" t="s">
        <v>380</v>
      </c>
      <c r="R2176" s="55">
        <v>6</v>
      </c>
      <c r="S2176" s="55" t="s">
        <v>332</v>
      </c>
      <c r="T2176" s="55" t="s">
        <v>657</v>
      </c>
    </row>
    <row r="2177" spans="1:20" ht="13" x14ac:dyDescent="0.15">
      <c r="A2177" s="72" t="str">
        <f t="shared" si="33"/>
        <v>Ofsted Social Care Provider Webpage</v>
      </c>
      <c r="B2177" s="55" t="s">
        <v>3702</v>
      </c>
      <c r="D2177" s="55" t="s">
        <v>373</v>
      </c>
      <c r="E2177" s="74">
        <v>37852</v>
      </c>
      <c r="F2177" s="55" t="s">
        <v>344</v>
      </c>
      <c r="G2177" s="55" t="s">
        <v>360</v>
      </c>
      <c r="H2177" s="55" t="s">
        <v>360</v>
      </c>
      <c r="I2177" s="55" t="s">
        <v>360</v>
      </c>
      <c r="J2177" s="55" t="s">
        <v>360</v>
      </c>
      <c r="K2177" s="55" t="s">
        <v>360</v>
      </c>
      <c r="L2177" s="55" t="s">
        <v>360</v>
      </c>
      <c r="M2177" s="55" t="s">
        <v>144</v>
      </c>
      <c r="N2177" s="55" t="s">
        <v>144</v>
      </c>
      <c r="O2177" s="55" t="s">
        <v>209</v>
      </c>
      <c r="P2177" s="55" t="s">
        <v>629</v>
      </c>
      <c r="Q2177" s="55" t="s">
        <v>380</v>
      </c>
      <c r="R2177" s="55">
        <v>6</v>
      </c>
      <c r="S2177" s="55"/>
      <c r="T2177" s="55" t="s">
        <v>657</v>
      </c>
    </row>
    <row r="2178" spans="1:20" ht="13" x14ac:dyDescent="0.15">
      <c r="A2178" s="72" t="str">
        <f t="shared" si="33"/>
        <v>Ofsted Social Care Provider Webpage</v>
      </c>
      <c r="B2178" s="55" t="s">
        <v>3703</v>
      </c>
      <c r="D2178" s="55" t="s">
        <v>373</v>
      </c>
      <c r="E2178" s="74">
        <v>37939</v>
      </c>
      <c r="F2178" s="55" t="s">
        <v>344</v>
      </c>
      <c r="G2178" s="55" t="s">
        <v>360</v>
      </c>
      <c r="H2178" s="55" t="s">
        <v>360</v>
      </c>
      <c r="I2178" s="55" t="s">
        <v>360</v>
      </c>
      <c r="J2178" s="55" t="s">
        <v>360</v>
      </c>
      <c r="K2178" s="55" t="s">
        <v>360</v>
      </c>
      <c r="L2178" s="55" t="s">
        <v>360</v>
      </c>
      <c r="M2178" s="55" t="s">
        <v>144</v>
      </c>
      <c r="N2178" s="55" t="s">
        <v>144</v>
      </c>
      <c r="O2178" s="55" t="s">
        <v>209</v>
      </c>
      <c r="P2178" s="55" t="s">
        <v>545</v>
      </c>
      <c r="Q2178" s="55" t="s">
        <v>380</v>
      </c>
      <c r="R2178" s="55">
        <v>6</v>
      </c>
      <c r="S2178" s="55"/>
      <c r="T2178" s="55" t="s">
        <v>657</v>
      </c>
    </row>
    <row r="2179" spans="1:20" ht="13" x14ac:dyDescent="0.15">
      <c r="A2179" s="72" t="str">
        <f t="shared" si="33"/>
        <v>Ofsted Social Care Provider Webpage</v>
      </c>
      <c r="B2179" s="55" t="s">
        <v>3704</v>
      </c>
      <c r="C2179" s="55">
        <v>137313</v>
      </c>
      <c r="D2179" s="55" t="s">
        <v>398</v>
      </c>
      <c r="E2179" s="74">
        <v>37567</v>
      </c>
      <c r="F2179" s="55" t="s">
        <v>344</v>
      </c>
      <c r="G2179" s="55" t="s">
        <v>3705</v>
      </c>
      <c r="H2179" s="55" t="s">
        <v>3706</v>
      </c>
      <c r="I2179" s="55" t="s">
        <v>354</v>
      </c>
      <c r="J2179" s="55" t="s">
        <v>3707</v>
      </c>
      <c r="K2179" s="55" t="s">
        <v>255</v>
      </c>
      <c r="L2179" s="55" t="s">
        <v>3708</v>
      </c>
      <c r="M2179" s="55" t="s">
        <v>136</v>
      </c>
      <c r="N2179" s="55" t="s">
        <v>136</v>
      </c>
      <c r="O2179" s="55" t="s">
        <v>255</v>
      </c>
      <c r="P2179" s="55" t="s">
        <v>609</v>
      </c>
      <c r="Q2179" s="55" t="s">
        <v>420</v>
      </c>
      <c r="R2179" s="55">
        <v>164</v>
      </c>
      <c r="S2179" s="55"/>
      <c r="T2179" s="55" t="s">
        <v>3709</v>
      </c>
    </row>
    <row r="2180" spans="1:20" ht="13" x14ac:dyDescent="0.15">
      <c r="A2180" s="72" t="str">
        <f t="shared" si="33"/>
        <v>Ofsted Social Care Provider Webpage</v>
      </c>
      <c r="B2180" s="55" t="s">
        <v>3710</v>
      </c>
      <c r="D2180" s="55" t="s">
        <v>373</v>
      </c>
      <c r="E2180" s="74">
        <v>37733</v>
      </c>
      <c r="F2180" s="55" t="s">
        <v>344</v>
      </c>
      <c r="G2180" s="55" t="s">
        <v>360</v>
      </c>
      <c r="H2180" s="55" t="s">
        <v>360</v>
      </c>
      <c r="I2180" s="55" t="s">
        <v>360</v>
      </c>
      <c r="J2180" s="55" t="s">
        <v>360</v>
      </c>
      <c r="K2180" s="55" t="s">
        <v>360</v>
      </c>
      <c r="L2180" s="55" t="s">
        <v>360</v>
      </c>
      <c r="M2180" s="55" t="s">
        <v>142</v>
      </c>
      <c r="N2180" s="55" t="s">
        <v>142</v>
      </c>
      <c r="O2180" s="55" t="s">
        <v>177</v>
      </c>
      <c r="P2180" s="55" t="s">
        <v>835</v>
      </c>
      <c r="Q2180" s="55" t="s">
        <v>380</v>
      </c>
      <c r="R2180" s="55">
        <v>4</v>
      </c>
      <c r="S2180" s="55"/>
      <c r="T2180" s="55" t="s">
        <v>3584</v>
      </c>
    </row>
    <row r="2181" spans="1:20" ht="13" x14ac:dyDescent="0.15">
      <c r="A2181" s="72" t="str">
        <f t="shared" ref="A2181:A2244" si="34">HYPERLINK(_xlfn.CONCAT("http://reports.ofsted.gov.uk/inspection-reports/find-inspection-report/provider/CARE/",B2181),"Ofsted Social Care Provider Webpage")</f>
        <v>Ofsted Social Care Provider Webpage</v>
      </c>
      <c r="B2181" s="55" t="s">
        <v>3711</v>
      </c>
      <c r="D2181" s="55" t="s">
        <v>373</v>
      </c>
      <c r="E2181" s="74">
        <v>37733</v>
      </c>
      <c r="F2181" s="55" t="s">
        <v>344</v>
      </c>
      <c r="G2181" s="55" t="s">
        <v>360</v>
      </c>
      <c r="H2181" s="55" t="s">
        <v>360</v>
      </c>
      <c r="I2181" s="55" t="s">
        <v>360</v>
      </c>
      <c r="J2181" s="55" t="s">
        <v>360</v>
      </c>
      <c r="K2181" s="55" t="s">
        <v>360</v>
      </c>
      <c r="L2181" s="55" t="s">
        <v>360</v>
      </c>
      <c r="M2181" s="55" t="s">
        <v>142</v>
      </c>
      <c r="N2181" s="55" t="s">
        <v>142</v>
      </c>
      <c r="O2181" s="55" t="s">
        <v>177</v>
      </c>
      <c r="P2181" s="55" t="s">
        <v>835</v>
      </c>
      <c r="Q2181" s="55" t="s">
        <v>380</v>
      </c>
      <c r="R2181" s="55">
        <v>7</v>
      </c>
      <c r="S2181" s="55"/>
      <c r="T2181" s="55" t="s">
        <v>3584</v>
      </c>
    </row>
    <row r="2182" spans="1:20" ht="13" x14ac:dyDescent="0.15">
      <c r="A2182" s="72" t="str">
        <f t="shared" si="34"/>
        <v>Ofsted Social Care Provider Webpage</v>
      </c>
      <c r="B2182" s="55" t="s">
        <v>3712</v>
      </c>
      <c r="C2182" s="55">
        <v>112456</v>
      </c>
      <c r="D2182" s="55" t="s">
        <v>413</v>
      </c>
      <c r="E2182" s="74">
        <v>37573</v>
      </c>
      <c r="F2182" s="55" t="s">
        <v>344</v>
      </c>
      <c r="G2182" s="55" t="s">
        <v>3713</v>
      </c>
      <c r="H2182" s="55" t="s">
        <v>3713</v>
      </c>
      <c r="I2182" s="55" t="s">
        <v>3714</v>
      </c>
      <c r="J2182" s="55" t="s">
        <v>3715</v>
      </c>
      <c r="L2182" s="55" t="s">
        <v>3716</v>
      </c>
      <c r="M2182" s="55" t="s">
        <v>378</v>
      </c>
      <c r="N2182" s="55" t="s">
        <v>134</v>
      </c>
      <c r="O2182" s="55" t="s">
        <v>232</v>
      </c>
      <c r="P2182" s="55" t="s">
        <v>496</v>
      </c>
      <c r="Q2182" s="55" t="s">
        <v>350</v>
      </c>
      <c r="R2182" s="55">
        <v>28</v>
      </c>
      <c r="S2182" s="55"/>
      <c r="T2182" s="55" t="s">
        <v>3717</v>
      </c>
    </row>
    <row r="2183" spans="1:20" ht="13" x14ac:dyDescent="0.15">
      <c r="A2183" s="72" t="str">
        <f t="shared" si="34"/>
        <v>Ofsted Social Care Provider Webpage</v>
      </c>
      <c r="B2183" s="55" t="s">
        <v>3718</v>
      </c>
      <c r="C2183" s="55">
        <v>112452</v>
      </c>
      <c r="D2183" s="55" t="s">
        <v>413</v>
      </c>
      <c r="E2183" s="74">
        <v>37573</v>
      </c>
      <c r="F2183" s="55" t="s">
        <v>344</v>
      </c>
      <c r="G2183" s="55" t="s">
        <v>3719</v>
      </c>
      <c r="H2183" s="55" t="s">
        <v>3720</v>
      </c>
      <c r="I2183" s="55" t="s">
        <v>3721</v>
      </c>
      <c r="J2183" s="55" t="s">
        <v>3722</v>
      </c>
      <c r="K2183" s="55" t="s">
        <v>168</v>
      </c>
      <c r="L2183" s="55" t="s">
        <v>3723</v>
      </c>
      <c r="M2183" s="55" t="s">
        <v>144</v>
      </c>
      <c r="N2183" s="55" t="s">
        <v>144</v>
      </c>
      <c r="O2183" s="55" t="s">
        <v>168</v>
      </c>
      <c r="P2183" s="55" t="s">
        <v>834</v>
      </c>
      <c r="Q2183" s="55" t="s">
        <v>350</v>
      </c>
      <c r="R2183" s="55">
        <v>16</v>
      </c>
      <c r="S2183" s="55"/>
      <c r="T2183" s="55" t="s">
        <v>3717</v>
      </c>
    </row>
    <row r="2184" spans="1:20" ht="13" x14ac:dyDescent="0.15">
      <c r="A2184" s="72" t="str">
        <f t="shared" si="34"/>
        <v>Ofsted Social Care Provider Webpage</v>
      </c>
      <c r="B2184" s="55" t="s">
        <v>3724</v>
      </c>
      <c r="C2184" s="55">
        <v>137205</v>
      </c>
      <c r="D2184" s="55" t="s">
        <v>398</v>
      </c>
      <c r="E2184" s="74">
        <v>37573</v>
      </c>
      <c r="F2184" s="55" t="s">
        <v>344</v>
      </c>
      <c r="G2184" s="55" t="s">
        <v>3725</v>
      </c>
      <c r="H2184" s="55" t="s">
        <v>3726</v>
      </c>
      <c r="I2184" s="55" t="s">
        <v>354</v>
      </c>
      <c r="J2184" s="55" t="s">
        <v>3727</v>
      </c>
      <c r="K2184" s="55" t="s">
        <v>168</v>
      </c>
      <c r="L2184" s="55" t="s">
        <v>3728</v>
      </c>
      <c r="M2184" s="55" t="s">
        <v>144</v>
      </c>
      <c r="N2184" s="55" t="s">
        <v>144</v>
      </c>
      <c r="O2184" s="55" t="s">
        <v>168</v>
      </c>
      <c r="P2184" s="55" t="s">
        <v>834</v>
      </c>
      <c r="Q2184" s="55" t="s">
        <v>420</v>
      </c>
      <c r="R2184" s="55">
        <v>139</v>
      </c>
      <c r="S2184" s="55"/>
      <c r="T2184" s="55" t="s">
        <v>3729</v>
      </c>
    </row>
    <row r="2185" spans="1:20" ht="13" x14ac:dyDescent="0.15">
      <c r="A2185" s="72" t="str">
        <f t="shared" si="34"/>
        <v>Ofsted Social Care Provider Webpage</v>
      </c>
      <c r="B2185" s="55" t="s">
        <v>3730</v>
      </c>
      <c r="D2185" s="55" t="s">
        <v>373</v>
      </c>
      <c r="E2185" s="74">
        <v>37712</v>
      </c>
      <c r="F2185" s="55" t="s">
        <v>344</v>
      </c>
      <c r="G2185" s="55" t="s">
        <v>360</v>
      </c>
      <c r="H2185" s="55" t="s">
        <v>360</v>
      </c>
      <c r="I2185" s="55" t="s">
        <v>360</v>
      </c>
      <c r="J2185" s="55" t="s">
        <v>360</v>
      </c>
      <c r="K2185" s="55" t="s">
        <v>360</v>
      </c>
      <c r="L2185" s="55" t="s">
        <v>360</v>
      </c>
      <c r="M2185" s="55" t="s">
        <v>378</v>
      </c>
      <c r="N2185" s="55" t="s">
        <v>134</v>
      </c>
      <c r="O2185" s="55" t="s">
        <v>204</v>
      </c>
      <c r="P2185" s="55" t="s">
        <v>1478</v>
      </c>
      <c r="Q2185" s="55" t="s">
        <v>380</v>
      </c>
      <c r="R2185" s="55">
        <v>6</v>
      </c>
      <c r="S2185" s="55"/>
      <c r="T2185" s="55" t="s">
        <v>1479</v>
      </c>
    </row>
    <row r="2186" spans="1:20" ht="13" x14ac:dyDescent="0.15">
      <c r="A2186" s="72" t="str">
        <f t="shared" si="34"/>
        <v>Ofsted Social Care Provider Webpage</v>
      </c>
      <c r="B2186" s="55" t="s">
        <v>3731</v>
      </c>
      <c r="D2186" s="55" t="s">
        <v>373</v>
      </c>
      <c r="E2186" s="74">
        <v>37817</v>
      </c>
      <c r="F2186" s="55" t="s">
        <v>344</v>
      </c>
      <c r="G2186" s="55" t="s">
        <v>360</v>
      </c>
      <c r="H2186" s="55" t="s">
        <v>360</v>
      </c>
      <c r="I2186" s="55" t="s">
        <v>360</v>
      </c>
      <c r="J2186" s="55" t="s">
        <v>360</v>
      </c>
      <c r="K2186" s="55" t="s">
        <v>360</v>
      </c>
      <c r="L2186" s="55" t="s">
        <v>360</v>
      </c>
      <c r="M2186" s="55" t="s">
        <v>136</v>
      </c>
      <c r="N2186" s="55" t="s">
        <v>136</v>
      </c>
      <c r="O2186" s="55" t="s">
        <v>165</v>
      </c>
      <c r="P2186" s="55" t="s">
        <v>2318</v>
      </c>
      <c r="Q2186" s="55" t="s">
        <v>380</v>
      </c>
      <c r="R2186" s="55">
        <v>4</v>
      </c>
      <c r="S2186" s="55" t="s">
        <v>332</v>
      </c>
      <c r="T2186" s="55" t="s">
        <v>2120</v>
      </c>
    </row>
    <row r="2187" spans="1:20" ht="13" x14ac:dyDescent="0.15">
      <c r="A2187" s="72" t="str">
        <f t="shared" si="34"/>
        <v>Ofsted Social Care Provider Webpage</v>
      </c>
      <c r="B2187" s="55" t="s">
        <v>3732</v>
      </c>
      <c r="D2187" s="55" t="s">
        <v>373</v>
      </c>
      <c r="E2187" s="74">
        <v>37956</v>
      </c>
      <c r="F2187" s="55" t="s">
        <v>344</v>
      </c>
      <c r="G2187" s="55" t="s">
        <v>360</v>
      </c>
      <c r="H2187" s="55" t="s">
        <v>360</v>
      </c>
      <c r="I2187" s="55" t="s">
        <v>360</v>
      </c>
      <c r="J2187" s="55" t="s">
        <v>360</v>
      </c>
      <c r="K2187" s="55" t="s">
        <v>360</v>
      </c>
      <c r="L2187" s="55" t="s">
        <v>360</v>
      </c>
      <c r="M2187" s="55" t="s">
        <v>150</v>
      </c>
      <c r="N2187" s="55" t="s">
        <v>150</v>
      </c>
      <c r="O2187" s="55" t="s">
        <v>203</v>
      </c>
      <c r="P2187" s="55" t="s">
        <v>419</v>
      </c>
      <c r="Q2187" s="55" t="s">
        <v>350</v>
      </c>
      <c r="R2187" s="55">
        <v>8</v>
      </c>
      <c r="S2187" s="55"/>
      <c r="T2187" s="55" t="s">
        <v>1016</v>
      </c>
    </row>
    <row r="2188" spans="1:20" ht="13" x14ac:dyDescent="0.15">
      <c r="A2188" s="72" t="str">
        <f t="shared" si="34"/>
        <v>Ofsted Social Care Provider Webpage</v>
      </c>
      <c r="B2188" s="55" t="s">
        <v>3733</v>
      </c>
      <c r="D2188" s="55" t="s">
        <v>373</v>
      </c>
      <c r="E2188" s="74">
        <v>37578</v>
      </c>
      <c r="F2188" s="55" t="s">
        <v>344</v>
      </c>
      <c r="G2188" s="55" t="s">
        <v>360</v>
      </c>
      <c r="H2188" s="55" t="s">
        <v>360</v>
      </c>
      <c r="I2188" s="55" t="s">
        <v>360</v>
      </c>
      <c r="J2188" s="55" t="s">
        <v>360</v>
      </c>
      <c r="K2188" s="55" t="s">
        <v>360</v>
      </c>
      <c r="L2188" s="55" t="s">
        <v>360</v>
      </c>
      <c r="M2188" s="55" t="s">
        <v>138</v>
      </c>
      <c r="N2188" s="55" t="s">
        <v>138</v>
      </c>
      <c r="O2188" s="55" t="s">
        <v>224</v>
      </c>
      <c r="P2188" s="55" t="s">
        <v>2271</v>
      </c>
      <c r="Q2188" s="55" t="s">
        <v>362</v>
      </c>
      <c r="R2188" s="55">
        <v>4</v>
      </c>
      <c r="S2188" s="55"/>
      <c r="T2188" s="55" t="s">
        <v>557</v>
      </c>
    </row>
    <row r="2189" spans="1:20" ht="13" x14ac:dyDescent="0.15">
      <c r="A2189" s="72" t="str">
        <f t="shared" si="34"/>
        <v>Ofsted Social Care Provider Webpage</v>
      </c>
      <c r="B2189" s="55" t="s">
        <v>3734</v>
      </c>
      <c r="D2189" s="55" t="s">
        <v>373</v>
      </c>
      <c r="E2189" s="74">
        <v>37848</v>
      </c>
      <c r="F2189" s="55" t="s">
        <v>344</v>
      </c>
      <c r="G2189" s="55" t="s">
        <v>360</v>
      </c>
      <c r="H2189" s="55" t="s">
        <v>360</v>
      </c>
      <c r="I2189" s="55" t="s">
        <v>360</v>
      </c>
      <c r="J2189" s="55" t="s">
        <v>360</v>
      </c>
      <c r="K2189" s="55" t="s">
        <v>360</v>
      </c>
      <c r="L2189" s="55" t="s">
        <v>360</v>
      </c>
      <c r="M2189" s="55" t="s">
        <v>144</v>
      </c>
      <c r="N2189" s="55" t="s">
        <v>144</v>
      </c>
      <c r="O2189" s="55" t="s">
        <v>287</v>
      </c>
      <c r="P2189" s="55" t="s">
        <v>287</v>
      </c>
      <c r="Q2189" s="55" t="s">
        <v>380</v>
      </c>
      <c r="R2189" s="55">
        <v>5</v>
      </c>
      <c r="S2189" s="55"/>
      <c r="T2189" s="55" t="s">
        <v>882</v>
      </c>
    </row>
    <row r="2190" spans="1:20" ht="13" x14ac:dyDescent="0.15">
      <c r="A2190" s="72" t="str">
        <f t="shared" si="34"/>
        <v>Ofsted Social Care Provider Webpage</v>
      </c>
      <c r="B2190" s="55" t="s">
        <v>3735</v>
      </c>
      <c r="D2190" s="55" t="s">
        <v>389</v>
      </c>
      <c r="E2190" s="74">
        <v>38195</v>
      </c>
      <c r="F2190" s="55" t="s">
        <v>344</v>
      </c>
      <c r="G2190" s="55" t="s">
        <v>3736</v>
      </c>
      <c r="H2190" s="55" t="s">
        <v>3737</v>
      </c>
      <c r="I2190" s="55" t="s">
        <v>3738</v>
      </c>
      <c r="J2190" s="55" t="s">
        <v>129</v>
      </c>
      <c r="L2190" s="55" t="s">
        <v>3739</v>
      </c>
      <c r="M2190" s="55" t="s">
        <v>129</v>
      </c>
      <c r="N2190" s="55" t="s">
        <v>129</v>
      </c>
      <c r="O2190" s="55" t="s">
        <v>191</v>
      </c>
      <c r="P2190" s="55" t="s">
        <v>2985</v>
      </c>
      <c r="Q2190" s="55" t="s">
        <v>350</v>
      </c>
      <c r="R2190" s="55"/>
      <c r="S2190" s="55"/>
      <c r="T2190" s="55" t="s">
        <v>3736</v>
      </c>
    </row>
    <row r="2191" spans="1:20" ht="13" x14ac:dyDescent="0.15">
      <c r="A2191" s="72" t="str">
        <f t="shared" si="34"/>
        <v>Ofsted Social Care Provider Webpage</v>
      </c>
      <c r="B2191" s="55" t="s">
        <v>3740</v>
      </c>
      <c r="D2191" s="55" t="s">
        <v>389</v>
      </c>
      <c r="E2191" s="74">
        <v>38104</v>
      </c>
      <c r="F2191" s="55" t="s">
        <v>344</v>
      </c>
      <c r="G2191" s="55" t="s">
        <v>3741</v>
      </c>
      <c r="H2191" s="55" t="s">
        <v>3742</v>
      </c>
      <c r="I2191" s="55" t="s">
        <v>3743</v>
      </c>
      <c r="J2191" s="55" t="s">
        <v>561</v>
      </c>
      <c r="K2191" s="55" t="s">
        <v>209</v>
      </c>
      <c r="L2191" s="55" t="s">
        <v>3744</v>
      </c>
      <c r="M2191" s="55" t="s">
        <v>144</v>
      </c>
      <c r="N2191" s="55" t="s">
        <v>144</v>
      </c>
      <c r="O2191" s="55" t="s">
        <v>209</v>
      </c>
      <c r="P2191" s="55" t="s">
        <v>561</v>
      </c>
      <c r="Q2191" s="55" t="s">
        <v>350</v>
      </c>
      <c r="R2191" s="55"/>
      <c r="S2191" s="55"/>
      <c r="T2191" s="55" t="s">
        <v>3529</v>
      </c>
    </row>
    <row r="2192" spans="1:20" ht="13" x14ac:dyDescent="0.15">
      <c r="A2192" s="72" t="str">
        <f t="shared" si="34"/>
        <v>Ofsted Social Care Provider Webpage</v>
      </c>
      <c r="B2192" s="55" t="s">
        <v>3745</v>
      </c>
      <c r="D2192" s="55" t="s">
        <v>373</v>
      </c>
      <c r="E2192" s="74">
        <v>37950</v>
      </c>
      <c r="F2192" s="55" t="s">
        <v>344</v>
      </c>
      <c r="G2192" s="55" t="s">
        <v>360</v>
      </c>
      <c r="H2192" s="55" t="s">
        <v>360</v>
      </c>
      <c r="I2192" s="55" t="s">
        <v>360</v>
      </c>
      <c r="J2192" s="55" t="s">
        <v>360</v>
      </c>
      <c r="K2192" s="55" t="s">
        <v>360</v>
      </c>
      <c r="L2192" s="55" t="s">
        <v>360</v>
      </c>
      <c r="M2192" s="55" t="s">
        <v>144</v>
      </c>
      <c r="N2192" s="55" t="s">
        <v>144</v>
      </c>
      <c r="O2192" s="55" t="s">
        <v>143</v>
      </c>
      <c r="P2192" s="55" t="s">
        <v>2439</v>
      </c>
      <c r="Q2192" s="55" t="s">
        <v>380</v>
      </c>
      <c r="R2192" s="55">
        <v>5</v>
      </c>
      <c r="S2192" s="55"/>
      <c r="T2192" s="55" t="s">
        <v>3746</v>
      </c>
    </row>
    <row r="2193" spans="1:20" ht="13" x14ac:dyDescent="0.15">
      <c r="A2193" s="72" t="str">
        <f t="shared" si="34"/>
        <v>Ofsted Social Care Provider Webpage</v>
      </c>
      <c r="B2193" s="55" t="s">
        <v>3747</v>
      </c>
      <c r="D2193" s="55" t="s">
        <v>373</v>
      </c>
      <c r="E2193" s="74">
        <v>37817</v>
      </c>
      <c r="F2193" s="55" t="s">
        <v>344</v>
      </c>
      <c r="G2193" s="55" t="s">
        <v>360</v>
      </c>
      <c r="H2193" s="55" t="s">
        <v>360</v>
      </c>
      <c r="I2193" s="55" t="s">
        <v>360</v>
      </c>
      <c r="J2193" s="55" t="s">
        <v>360</v>
      </c>
      <c r="K2193" s="55" t="s">
        <v>360</v>
      </c>
      <c r="L2193" s="55" t="s">
        <v>360</v>
      </c>
      <c r="M2193" s="55" t="s">
        <v>136</v>
      </c>
      <c r="N2193" s="55" t="s">
        <v>136</v>
      </c>
      <c r="O2193" s="55" t="s">
        <v>165</v>
      </c>
      <c r="P2193" s="55" t="s">
        <v>748</v>
      </c>
      <c r="Q2193" s="55" t="s">
        <v>380</v>
      </c>
      <c r="R2193" s="55">
        <v>5</v>
      </c>
      <c r="S2193" s="55" t="s">
        <v>332</v>
      </c>
      <c r="T2193" s="55" t="s">
        <v>2120</v>
      </c>
    </row>
    <row r="2194" spans="1:20" ht="13" x14ac:dyDescent="0.15">
      <c r="A2194" s="72" t="str">
        <f t="shared" si="34"/>
        <v>Ofsted Social Care Provider Webpage</v>
      </c>
      <c r="B2194" s="55" t="s">
        <v>3748</v>
      </c>
      <c r="D2194" s="55" t="s">
        <v>2864</v>
      </c>
      <c r="E2194" s="74">
        <v>38125</v>
      </c>
      <c r="F2194" s="55" t="s">
        <v>344</v>
      </c>
      <c r="G2194" s="55" t="s">
        <v>360</v>
      </c>
      <c r="H2194" s="55" t="s">
        <v>360</v>
      </c>
      <c r="I2194" s="55" t="s">
        <v>360</v>
      </c>
      <c r="J2194" s="55" t="s">
        <v>360</v>
      </c>
      <c r="K2194" s="55" t="s">
        <v>360</v>
      </c>
      <c r="L2194" s="55" t="s">
        <v>360</v>
      </c>
      <c r="M2194" s="55" t="s">
        <v>144</v>
      </c>
      <c r="N2194" s="55" t="s">
        <v>144</v>
      </c>
      <c r="O2194" s="55" t="s">
        <v>248</v>
      </c>
      <c r="P2194" s="55" t="s">
        <v>492</v>
      </c>
      <c r="Q2194" s="55" t="s">
        <v>380</v>
      </c>
      <c r="R2194" s="55">
        <v>27</v>
      </c>
      <c r="S2194" s="55"/>
      <c r="T2194" s="55" t="s">
        <v>3749</v>
      </c>
    </row>
    <row r="2195" spans="1:20" ht="13" x14ac:dyDescent="0.15">
      <c r="A2195" s="72" t="str">
        <f t="shared" si="34"/>
        <v>Ofsted Social Care Provider Webpage</v>
      </c>
      <c r="B2195" s="55" t="s">
        <v>3750</v>
      </c>
      <c r="C2195" s="55">
        <v>114337</v>
      </c>
      <c r="D2195" s="55" t="s">
        <v>413</v>
      </c>
      <c r="E2195" s="74">
        <v>37586</v>
      </c>
      <c r="F2195" s="55" t="s">
        <v>344</v>
      </c>
      <c r="G2195" s="55" t="s">
        <v>3751</v>
      </c>
      <c r="H2195" s="55" t="s">
        <v>3751</v>
      </c>
      <c r="I2195" s="55" t="s">
        <v>3752</v>
      </c>
      <c r="J2195" s="55" t="s">
        <v>178</v>
      </c>
      <c r="L2195" s="55" t="s">
        <v>3753</v>
      </c>
      <c r="M2195" s="55" t="s">
        <v>378</v>
      </c>
      <c r="N2195" s="55" t="s">
        <v>170</v>
      </c>
      <c r="O2195" s="55" t="s">
        <v>178</v>
      </c>
      <c r="P2195" s="55" t="s">
        <v>2014</v>
      </c>
      <c r="Q2195" s="55" t="s">
        <v>380</v>
      </c>
      <c r="R2195" s="55">
        <v>45</v>
      </c>
      <c r="S2195" s="55"/>
      <c r="T2195" s="55" t="s">
        <v>2068</v>
      </c>
    </row>
    <row r="2196" spans="1:20" ht="13" x14ac:dyDescent="0.15">
      <c r="A2196" s="72" t="str">
        <f t="shared" si="34"/>
        <v>Ofsted Social Care Provider Webpage</v>
      </c>
      <c r="B2196" s="55" t="s">
        <v>3754</v>
      </c>
      <c r="D2196" s="55" t="s">
        <v>373</v>
      </c>
      <c r="E2196" s="74">
        <v>38042</v>
      </c>
      <c r="F2196" s="55" t="s">
        <v>344</v>
      </c>
      <c r="G2196" s="55" t="s">
        <v>360</v>
      </c>
      <c r="H2196" s="55" t="s">
        <v>360</v>
      </c>
      <c r="I2196" s="55" t="s">
        <v>360</v>
      </c>
      <c r="J2196" s="55" t="s">
        <v>360</v>
      </c>
      <c r="K2196" s="55" t="s">
        <v>360</v>
      </c>
      <c r="L2196" s="55" t="s">
        <v>360</v>
      </c>
      <c r="M2196" s="55" t="s">
        <v>144</v>
      </c>
      <c r="N2196" s="55" t="s">
        <v>144</v>
      </c>
      <c r="O2196" s="55" t="s">
        <v>248</v>
      </c>
      <c r="P2196" s="55" t="s">
        <v>397</v>
      </c>
      <c r="Q2196" s="55" t="s">
        <v>380</v>
      </c>
      <c r="R2196" s="55">
        <v>3</v>
      </c>
      <c r="S2196" s="55"/>
      <c r="T2196" s="55" t="s">
        <v>3749</v>
      </c>
    </row>
    <row r="2197" spans="1:20" ht="13" x14ac:dyDescent="0.15">
      <c r="A2197" s="72" t="str">
        <f t="shared" si="34"/>
        <v>Ofsted Social Care Provider Webpage</v>
      </c>
      <c r="B2197" s="55" t="s">
        <v>3755</v>
      </c>
      <c r="C2197" s="55">
        <v>114341</v>
      </c>
      <c r="D2197" s="55" t="s">
        <v>413</v>
      </c>
      <c r="E2197" s="74">
        <v>37586</v>
      </c>
      <c r="F2197" s="55" t="s">
        <v>344</v>
      </c>
      <c r="G2197" s="55" t="s">
        <v>3756</v>
      </c>
      <c r="H2197" s="55" t="s">
        <v>3756</v>
      </c>
      <c r="I2197" s="55" t="s">
        <v>3757</v>
      </c>
      <c r="J2197" s="55" t="s">
        <v>3382</v>
      </c>
      <c r="K2197" s="55" t="s">
        <v>3368</v>
      </c>
      <c r="L2197" s="55" t="s">
        <v>3758</v>
      </c>
      <c r="M2197" s="55" t="s">
        <v>378</v>
      </c>
      <c r="N2197" s="55" t="s">
        <v>170</v>
      </c>
      <c r="O2197" s="55" t="s">
        <v>178</v>
      </c>
      <c r="P2197" s="55" t="s">
        <v>434</v>
      </c>
      <c r="Q2197" s="55" t="s">
        <v>380</v>
      </c>
      <c r="R2197" s="55">
        <v>10</v>
      </c>
      <c r="S2197" s="55"/>
      <c r="T2197" s="55" t="s">
        <v>2068</v>
      </c>
    </row>
    <row r="2198" spans="1:20" ht="13" x14ac:dyDescent="0.15">
      <c r="A2198" s="72" t="str">
        <f t="shared" si="34"/>
        <v>Ofsted Social Care Provider Webpage</v>
      </c>
      <c r="B2198" s="55" t="s">
        <v>3759</v>
      </c>
      <c r="D2198" s="55" t="s">
        <v>373</v>
      </c>
      <c r="E2198" s="74">
        <v>38075</v>
      </c>
      <c r="F2198" s="55" t="s">
        <v>344</v>
      </c>
      <c r="G2198" s="55" t="s">
        <v>360</v>
      </c>
      <c r="H2198" s="55" t="s">
        <v>360</v>
      </c>
      <c r="I2198" s="55" t="s">
        <v>360</v>
      </c>
      <c r="J2198" s="55" t="s">
        <v>360</v>
      </c>
      <c r="K2198" s="55" t="s">
        <v>360</v>
      </c>
      <c r="L2198" s="55" t="s">
        <v>360</v>
      </c>
      <c r="M2198" s="55" t="s">
        <v>144</v>
      </c>
      <c r="N2198" s="55" t="s">
        <v>144</v>
      </c>
      <c r="O2198" s="55" t="s">
        <v>248</v>
      </c>
      <c r="P2198" s="55" t="s">
        <v>492</v>
      </c>
      <c r="Q2198" s="55" t="s">
        <v>380</v>
      </c>
      <c r="R2198" s="55">
        <v>6</v>
      </c>
      <c r="S2198" s="55"/>
      <c r="T2198" s="55" t="s">
        <v>3749</v>
      </c>
    </row>
    <row r="2199" spans="1:20" ht="13" x14ac:dyDescent="0.15">
      <c r="A2199" s="72" t="str">
        <f t="shared" si="34"/>
        <v>Ofsted Social Care Provider Webpage</v>
      </c>
      <c r="B2199" s="55" t="s">
        <v>3760</v>
      </c>
      <c r="D2199" s="55" t="s">
        <v>389</v>
      </c>
      <c r="E2199" s="74">
        <v>37874</v>
      </c>
      <c r="F2199" s="55" t="s">
        <v>344</v>
      </c>
      <c r="G2199" s="55" t="s">
        <v>3761</v>
      </c>
      <c r="H2199" s="55" t="s">
        <v>3762</v>
      </c>
      <c r="I2199" s="55" t="s">
        <v>354</v>
      </c>
      <c r="J2199" s="55" t="s">
        <v>3763</v>
      </c>
      <c r="L2199" s="55" t="s">
        <v>3764</v>
      </c>
      <c r="M2199" s="55" t="s">
        <v>144</v>
      </c>
      <c r="N2199" s="55" t="s">
        <v>144</v>
      </c>
      <c r="O2199" s="55" t="s">
        <v>215</v>
      </c>
      <c r="P2199" s="55" t="s">
        <v>1203</v>
      </c>
      <c r="Q2199" s="55" t="s">
        <v>362</v>
      </c>
      <c r="R2199" s="55"/>
      <c r="S2199" s="55"/>
      <c r="T2199" s="55" t="s">
        <v>1884</v>
      </c>
    </row>
    <row r="2200" spans="1:20" ht="13" x14ac:dyDescent="0.15">
      <c r="A2200" s="72" t="str">
        <f t="shared" si="34"/>
        <v>Ofsted Social Care Provider Webpage</v>
      </c>
      <c r="B2200" s="55" t="s">
        <v>3765</v>
      </c>
      <c r="D2200" s="55" t="s">
        <v>373</v>
      </c>
      <c r="E2200" s="74">
        <v>37650</v>
      </c>
      <c r="F2200" s="55" t="s">
        <v>344</v>
      </c>
      <c r="G2200" s="55" t="s">
        <v>360</v>
      </c>
      <c r="H2200" s="55" t="s">
        <v>360</v>
      </c>
      <c r="I2200" s="55" t="s">
        <v>360</v>
      </c>
      <c r="J2200" s="55" t="s">
        <v>360</v>
      </c>
      <c r="K2200" s="55" t="s">
        <v>360</v>
      </c>
      <c r="L2200" s="55" t="s">
        <v>360</v>
      </c>
      <c r="M2200" s="55" t="s">
        <v>378</v>
      </c>
      <c r="N2200" s="55" t="s">
        <v>170</v>
      </c>
      <c r="O2200" s="55" t="s">
        <v>264</v>
      </c>
      <c r="P2200" s="55" t="s">
        <v>437</v>
      </c>
      <c r="Q2200" s="55" t="s">
        <v>380</v>
      </c>
      <c r="R2200" s="55">
        <v>3</v>
      </c>
      <c r="S2200" s="55"/>
      <c r="T2200" s="55" t="s">
        <v>1696</v>
      </c>
    </row>
    <row r="2201" spans="1:20" ht="13" x14ac:dyDescent="0.15">
      <c r="A2201" s="72" t="str">
        <f t="shared" si="34"/>
        <v>Ofsted Social Care Provider Webpage</v>
      </c>
      <c r="B2201" s="55" t="s">
        <v>3766</v>
      </c>
      <c r="D2201" s="55" t="s">
        <v>373</v>
      </c>
      <c r="E2201" s="74">
        <v>37943</v>
      </c>
      <c r="F2201" s="55" t="s">
        <v>344</v>
      </c>
      <c r="G2201" s="55" t="s">
        <v>360</v>
      </c>
      <c r="H2201" s="55" t="s">
        <v>360</v>
      </c>
      <c r="I2201" s="55" t="s">
        <v>360</v>
      </c>
      <c r="J2201" s="55" t="s">
        <v>360</v>
      </c>
      <c r="K2201" s="55" t="s">
        <v>360</v>
      </c>
      <c r="L2201" s="55" t="s">
        <v>360</v>
      </c>
      <c r="M2201" s="55" t="s">
        <v>150</v>
      </c>
      <c r="N2201" s="55" t="s">
        <v>150</v>
      </c>
      <c r="O2201" s="55" t="s">
        <v>268</v>
      </c>
      <c r="P2201" s="55" t="s">
        <v>395</v>
      </c>
      <c r="Q2201" s="55" t="s">
        <v>380</v>
      </c>
      <c r="R2201" s="55">
        <v>4</v>
      </c>
      <c r="S2201" s="55"/>
      <c r="T2201" s="55" t="s">
        <v>640</v>
      </c>
    </row>
    <row r="2202" spans="1:20" ht="13" x14ac:dyDescent="0.15">
      <c r="A2202" s="72" t="str">
        <f t="shared" si="34"/>
        <v>Ofsted Social Care Provider Webpage</v>
      </c>
      <c r="B2202" s="55" t="s">
        <v>3767</v>
      </c>
      <c r="D2202" s="55" t="s">
        <v>373</v>
      </c>
      <c r="E2202" s="74">
        <v>37960</v>
      </c>
      <c r="F2202" s="55" t="s">
        <v>344</v>
      </c>
      <c r="G2202" s="55" t="s">
        <v>360</v>
      </c>
      <c r="H2202" s="55" t="s">
        <v>360</v>
      </c>
      <c r="I2202" s="55" t="s">
        <v>360</v>
      </c>
      <c r="J2202" s="55" t="s">
        <v>360</v>
      </c>
      <c r="K2202" s="55" t="s">
        <v>360</v>
      </c>
      <c r="L2202" s="55" t="s">
        <v>360</v>
      </c>
      <c r="M2202" s="55" t="s">
        <v>150</v>
      </c>
      <c r="N2202" s="55" t="s">
        <v>150</v>
      </c>
      <c r="O2202" s="55" t="s">
        <v>268</v>
      </c>
      <c r="P2202" s="55" t="s">
        <v>2682</v>
      </c>
      <c r="Q2202" s="55" t="s">
        <v>380</v>
      </c>
      <c r="R2202" s="55">
        <v>5</v>
      </c>
      <c r="S2202" s="55"/>
      <c r="T2202" s="55" t="s">
        <v>640</v>
      </c>
    </row>
    <row r="2203" spans="1:20" ht="13" x14ac:dyDescent="0.15">
      <c r="A2203" s="72" t="str">
        <f t="shared" si="34"/>
        <v>Ofsted Social Care Provider Webpage</v>
      </c>
      <c r="B2203" s="55" t="s">
        <v>3768</v>
      </c>
      <c r="D2203" s="55" t="s">
        <v>373</v>
      </c>
      <c r="E2203" s="74">
        <v>37943</v>
      </c>
      <c r="F2203" s="55" t="s">
        <v>344</v>
      </c>
      <c r="G2203" s="55" t="s">
        <v>360</v>
      </c>
      <c r="H2203" s="55" t="s">
        <v>360</v>
      </c>
      <c r="I2203" s="55" t="s">
        <v>360</v>
      </c>
      <c r="J2203" s="55" t="s">
        <v>360</v>
      </c>
      <c r="K2203" s="55" t="s">
        <v>360</v>
      </c>
      <c r="L2203" s="55" t="s">
        <v>360</v>
      </c>
      <c r="M2203" s="55" t="s">
        <v>150</v>
      </c>
      <c r="N2203" s="55" t="s">
        <v>150</v>
      </c>
      <c r="O2203" s="55" t="s">
        <v>268</v>
      </c>
      <c r="P2203" s="55" t="s">
        <v>1943</v>
      </c>
      <c r="Q2203" s="55" t="s">
        <v>380</v>
      </c>
      <c r="R2203" s="55">
        <v>6</v>
      </c>
      <c r="S2203" s="55"/>
      <c r="T2203" s="55" t="s">
        <v>640</v>
      </c>
    </row>
    <row r="2204" spans="1:20" ht="13" x14ac:dyDescent="0.15">
      <c r="A2204" s="72" t="str">
        <f t="shared" si="34"/>
        <v>Ofsted Social Care Provider Webpage</v>
      </c>
      <c r="B2204" s="55" t="s">
        <v>3769</v>
      </c>
      <c r="D2204" s="55" t="s">
        <v>373</v>
      </c>
      <c r="E2204" s="74">
        <v>37944</v>
      </c>
      <c r="F2204" s="55" t="s">
        <v>344</v>
      </c>
      <c r="G2204" s="55" t="s">
        <v>360</v>
      </c>
      <c r="H2204" s="55" t="s">
        <v>360</v>
      </c>
      <c r="I2204" s="55" t="s">
        <v>360</v>
      </c>
      <c r="J2204" s="55" t="s">
        <v>360</v>
      </c>
      <c r="K2204" s="55" t="s">
        <v>360</v>
      </c>
      <c r="L2204" s="55" t="s">
        <v>360</v>
      </c>
      <c r="M2204" s="55" t="s">
        <v>150</v>
      </c>
      <c r="N2204" s="55" t="s">
        <v>150</v>
      </c>
      <c r="O2204" s="55" t="s">
        <v>268</v>
      </c>
      <c r="P2204" s="55" t="s">
        <v>639</v>
      </c>
      <c r="Q2204" s="55" t="s">
        <v>380</v>
      </c>
      <c r="R2204" s="55">
        <v>5</v>
      </c>
      <c r="S2204" s="55"/>
      <c r="T2204" s="55" t="s">
        <v>640</v>
      </c>
    </row>
    <row r="2205" spans="1:20" ht="13" x14ac:dyDescent="0.15">
      <c r="A2205" s="72" t="str">
        <f t="shared" si="34"/>
        <v>Ofsted Social Care Provider Webpage</v>
      </c>
      <c r="B2205" s="55" t="s">
        <v>3770</v>
      </c>
      <c r="D2205" s="55" t="s">
        <v>373</v>
      </c>
      <c r="E2205" s="74">
        <v>37820</v>
      </c>
      <c r="F2205" s="55" t="s">
        <v>344</v>
      </c>
      <c r="G2205" s="55" t="s">
        <v>360</v>
      </c>
      <c r="H2205" s="55" t="s">
        <v>360</v>
      </c>
      <c r="I2205" s="55" t="s">
        <v>360</v>
      </c>
      <c r="J2205" s="55" t="s">
        <v>360</v>
      </c>
      <c r="K2205" s="55" t="s">
        <v>360</v>
      </c>
      <c r="L2205" s="55" t="s">
        <v>360</v>
      </c>
      <c r="M2205" s="55" t="s">
        <v>144</v>
      </c>
      <c r="N2205" s="55" t="s">
        <v>144</v>
      </c>
      <c r="O2205" s="55" t="s">
        <v>147</v>
      </c>
      <c r="P2205" s="55" t="s">
        <v>674</v>
      </c>
      <c r="Q2205" s="55" t="s">
        <v>380</v>
      </c>
      <c r="R2205" s="55">
        <v>3</v>
      </c>
      <c r="S2205" s="55"/>
      <c r="T2205" s="55" t="s">
        <v>3771</v>
      </c>
    </row>
    <row r="2206" spans="1:20" ht="13" x14ac:dyDescent="0.15">
      <c r="A2206" s="72" t="str">
        <f t="shared" si="34"/>
        <v>Ofsted Social Care Provider Webpage</v>
      </c>
      <c r="B2206" s="55" t="s">
        <v>3772</v>
      </c>
      <c r="C2206" s="55">
        <v>104735</v>
      </c>
      <c r="D2206" s="55" t="s">
        <v>413</v>
      </c>
      <c r="E2206" s="74">
        <v>37589</v>
      </c>
      <c r="F2206" s="55" t="s">
        <v>344</v>
      </c>
      <c r="G2206" s="55" t="s">
        <v>3773</v>
      </c>
      <c r="H2206" s="55" t="s">
        <v>3774</v>
      </c>
      <c r="I2206" s="55" t="s">
        <v>3775</v>
      </c>
      <c r="J2206" s="55" t="s">
        <v>3763</v>
      </c>
      <c r="L2206" s="55" t="s">
        <v>3776</v>
      </c>
      <c r="M2206" s="55" t="s">
        <v>144</v>
      </c>
      <c r="N2206" s="55" t="s">
        <v>144</v>
      </c>
      <c r="O2206" s="55" t="s">
        <v>215</v>
      </c>
      <c r="P2206" s="55" t="s">
        <v>1440</v>
      </c>
      <c r="Q2206" s="55" t="s">
        <v>362</v>
      </c>
      <c r="R2206" s="55">
        <v>10</v>
      </c>
      <c r="S2206" s="55"/>
      <c r="T2206" s="55" t="s">
        <v>3777</v>
      </c>
    </row>
    <row r="2207" spans="1:20" ht="13" x14ac:dyDescent="0.15">
      <c r="A2207" s="72" t="str">
        <f t="shared" si="34"/>
        <v>Ofsted Social Care Provider Webpage</v>
      </c>
      <c r="B2207" s="55" t="s">
        <v>3778</v>
      </c>
      <c r="D2207" s="55" t="s">
        <v>373</v>
      </c>
      <c r="E2207" s="74">
        <v>37820</v>
      </c>
      <c r="F2207" s="55" t="s">
        <v>344</v>
      </c>
      <c r="G2207" s="55" t="s">
        <v>360</v>
      </c>
      <c r="H2207" s="55" t="s">
        <v>360</v>
      </c>
      <c r="I2207" s="55" t="s">
        <v>360</v>
      </c>
      <c r="J2207" s="55" t="s">
        <v>360</v>
      </c>
      <c r="K2207" s="55" t="s">
        <v>360</v>
      </c>
      <c r="L2207" s="55" t="s">
        <v>360</v>
      </c>
      <c r="M2207" s="55" t="s">
        <v>144</v>
      </c>
      <c r="N2207" s="55" t="s">
        <v>144</v>
      </c>
      <c r="O2207" s="55" t="s">
        <v>147</v>
      </c>
      <c r="P2207" s="55" t="s">
        <v>674</v>
      </c>
      <c r="Q2207" s="55" t="s">
        <v>380</v>
      </c>
      <c r="R2207" s="55">
        <v>4</v>
      </c>
      <c r="S2207" s="55"/>
      <c r="T2207" s="55" t="s">
        <v>3771</v>
      </c>
    </row>
    <row r="2208" spans="1:20" ht="13" x14ac:dyDescent="0.15">
      <c r="A2208" s="72" t="str">
        <f t="shared" si="34"/>
        <v>Ofsted Social Care Provider Webpage</v>
      </c>
      <c r="B2208" s="55" t="s">
        <v>3779</v>
      </c>
      <c r="C2208" s="55">
        <v>104734</v>
      </c>
      <c r="D2208" s="55" t="s">
        <v>413</v>
      </c>
      <c r="E2208" s="74">
        <v>37589</v>
      </c>
      <c r="F2208" s="55" t="s">
        <v>344</v>
      </c>
      <c r="G2208" s="55" t="s">
        <v>3780</v>
      </c>
      <c r="H2208" s="55" t="s">
        <v>3781</v>
      </c>
      <c r="I2208" s="55" t="s">
        <v>3782</v>
      </c>
      <c r="J2208" s="55" t="s">
        <v>3763</v>
      </c>
      <c r="L2208" s="55" t="s">
        <v>3783</v>
      </c>
      <c r="M2208" s="55" t="s">
        <v>144</v>
      </c>
      <c r="N2208" s="55" t="s">
        <v>144</v>
      </c>
      <c r="O2208" s="55" t="s">
        <v>215</v>
      </c>
      <c r="P2208" s="55" t="s">
        <v>1008</v>
      </c>
      <c r="Q2208" s="55" t="s">
        <v>362</v>
      </c>
      <c r="R2208" s="55">
        <v>20</v>
      </c>
      <c r="S2208" s="55"/>
      <c r="T2208" s="55" t="s">
        <v>3784</v>
      </c>
    </row>
    <row r="2209" spans="1:20" ht="13" x14ac:dyDescent="0.15">
      <c r="A2209" s="72" t="str">
        <f t="shared" si="34"/>
        <v>Ofsted Social Care Provider Webpage</v>
      </c>
      <c r="B2209" s="55" t="s">
        <v>3785</v>
      </c>
      <c r="D2209" s="55" t="s">
        <v>373</v>
      </c>
      <c r="E2209" s="74">
        <v>38042</v>
      </c>
      <c r="F2209" s="55" t="s">
        <v>344</v>
      </c>
      <c r="G2209" s="55" t="s">
        <v>360</v>
      </c>
      <c r="H2209" s="55" t="s">
        <v>360</v>
      </c>
      <c r="I2209" s="55" t="s">
        <v>360</v>
      </c>
      <c r="J2209" s="55" t="s">
        <v>360</v>
      </c>
      <c r="K2209" s="55" t="s">
        <v>360</v>
      </c>
      <c r="L2209" s="55" t="s">
        <v>360</v>
      </c>
      <c r="M2209" s="55" t="s">
        <v>144</v>
      </c>
      <c r="N2209" s="55" t="s">
        <v>144</v>
      </c>
      <c r="O2209" s="55" t="s">
        <v>248</v>
      </c>
      <c r="P2209" s="55" t="s">
        <v>492</v>
      </c>
      <c r="Q2209" s="55" t="s">
        <v>380</v>
      </c>
      <c r="R2209" s="55">
        <v>4</v>
      </c>
      <c r="S2209" s="55"/>
      <c r="T2209" s="55" t="s">
        <v>3749</v>
      </c>
    </row>
    <row r="2210" spans="1:20" ht="13" x14ac:dyDescent="0.15">
      <c r="A2210" s="72" t="str">
        <f t="shared" si="34"/>
        <v>Ofsted Social Care Provider Webpage</v>
      </c>
      <c r="B2210" s="55" t="s">
        <v>3786</v>
      </c>
      <c r="D2210" s="55" t="s">
        <v>373</v>
      </c>
      <c r="E2210" s="74">
        <v>37685</v>
      </c>
      <c r="F2210" s="55" t="s">
        <v>344</v>
      </c>
      <c r="G2210" s="55" t="s">
        <v>360</v>
      </c>
      <c r="H2210" s="55" t="s">
        <v>360</v>
      </c>
      <c r="I2210" s="55" t="s">
        <v>360</v>
      </c>
      <c r="J2210" s="55" t="s">
        <v>360</v>
      </c>
      <c r="K2210" s="55" t="s">
        <v>360</v>
      </c>
      <c r="L2210" s="55" t="s">
        <v>360</v>
      </c>
      <c r="M2210" s="55" t="s">
        <v>144</v>
      </c>
      <c r="N2210" s="55" t="s">
        <v>144</v>
      </c>
      <c r="O2210" s="55" t="s">
        <v>250</v>
      </c>
      <c r="P2210" s="55" t="s">
        <v>361</v>
      </c>
      <c r="Q2210" s="55" t="s">
        <v>350</v>
      </c>
      <c r="R2210" s="55">
        <v>2</v>
      </c>
      <c r="S2210" s="55"/>
      <c r="T2210" s="55" t="s">
        <v>2860</v>
      </c>
    </row>
    <row r="2211" spans="1:20" ht="13" x14ac:dyDescent="0.15">
      <c r="A2211" s="72" t="str">
        <f t="shared" si="34"/>
        <v>Ofsted Social Care Provider Webpage</v>
      </c>
      <c r="B2211" s="55" t="s">
        <v>3787</v>
      </c>
      <c r="D2211" s="55" t="s">
        <v>373</v>
      </c>
      <c r="E2211" s="74">
        <v>37771</v>
      </c>
      <c r="F2211" s="55" t="s">
        <v>344</v>
      </c>
      <c r="G2211" s="55" t="s">
        <v>360</v>
      </c>
      <c r="H2211" s="55" t="s">
        <v>360</v>
      </c>
      <c r="I2211" s="55" t="s">
        <v>360</v>
      </c>
      <c r="J2211" s="55" t="s">
        <v>360</v>
      </c>
      <c r="K2211" s="55" t="s">
        <v>360</v>
      </c>
      <c r="L2211" s="55" t="s">
        <v>360</v>
      </c>
      <c r="M2211" s="55" t="s">
        <v>144</v>
      </c>
      <c r="N2211" s="55" t="s">
        <v>144</v>
      </c>
      <c r="O2211" s="55" t="s">
        <v>287</v>
      </c>
      <c r="P2211" s="55" t="s">
        <v>815</v>
      </c>
      <c r="Q2211" s="55" t="s">
        <v>380</v>
      </c>
      <c r="R2211" s="55">
        <v>5</v>
      </c>
      <c r="S2211" s="55"/>
      <c r="T2211" s="55" t="s">
        <v>882</v>
      </c>
    </row>
    <row r="2212" spans="1:20" ht="13" x14ac:dyDescent="0.15">
      <c r="A2212" s="72" t="str">
        <f t="shared" si="34"/>
        <v>Ofsted Social Care Provider Webpage</v>
      </c>
      <c r="B2212" s="55" t="s">
        <v>3788</v>
      </c>
      <c r="C2212" s="55">
        <v>130595</v>
      </c>
      <c r="D2212" s="55" t="s">
        <v>693</v>
      </c>
      <c r="E2212" s="74">
        <v>37596</v>
      </c>
      <c r="F2212" s="55" t="s">
        <v>344</v>
      </c>
      <c r="G2212" s="55" t="s">
        <v>3789</v>
      </c>
      <c r="H2212" s="55" t="s">
        <v>3789</v>
      </c>
      <c r="I2212" s="55" t="s">
        <v>3790</v>
      </c>
      <c r="J2212" s="55" t="s">
        <v>2526</v>
      </c>
      <c r="L2212" s="55" t="s">
        <v>3791</v>
      </c>
      <c r="M2212" s="55" t="s">
        <v>378</v>
      </c>
      <c r="N2212" s="55" t="s">
        <v>134</v>
      </c>
      <c r="O2212" s="55" t="s">
        <v>294</v>
      </c>
      <c r="P2212" s="55" t="s">
        <v>2320</v>
      </c>
      <c r="Q2212" s="55" t="s">
        <v>362</v>
      </c>
      <c r="R2212" s="55">
        <v>177</v>
      </c>
      <c r="S2212" s="55"/>
      <c r="T2212" s="55" t="s">
        <v>3792</v>
      </c>
    </row>
    <row r="2213" spans="1:20" ht="13" x14ac:dyDescent="0.15">
      <c r="A2213" s="72" t="str">
        <f t="shared" si="34"/>
        <v>Ofsted Social Care Provider Webpage</v>
      </c>
      <c r="B2213" s="55" t="s">
        <v>3793</v>
      </c>
      <c r="D2213" s="55" t="s">
        <v>373</v>
      </c>
      <c r="E2213" s="74">
        <v>37771</v>
      </c>
      <c r="F2213" s="55" t="s">
        <v>344</v>
      </c>
      <c r="G2213" s="55" t="s">
        <v>360</v>
      </c>
      <c r="H2213" s="55" t="s">
        <v>360</v>
      </c>
      <c r="I2213" s="55" t="s">
        <v>360</v>
      </c>
      <c r="J2213" s="55" t="s">
        <v>360</v>
      </c>
      <c r="K2213" s="55" t="s">
        <v>360</v>
      </c>
      <c r="L2213" s="55" t="s">
        <v>360</v>
      </c>
      <c r="M2213" s="55" t="s">
        <v>144</v>
      </c>
      <c r="N2213" s="55" t="s">
        <v>144</v>
      </c>
      <c r="O2213" s="55" t="s">
        <v>287</v>
      </c>
      <c r="P2213" s="55" t="s">
        <v>815</v>
      </c>
      <c r="Q2213" s="55" t="s">
        <v>380</v>
      </c>
      <c r="R2213" s="55">
        <v>5</v>
      </c>
      <c r="S2213" s="55" t="s">
        <v>332</v>
      </c>
      <c r="T2213" s="55" t="s">
        <v>882</v>
      </c>
    </row>
    <row r="2214" spans="1:20" ht="13" x14ac:dyDescent="0.15">
      <c r="A2214" s="72" t="str">
        <f t="shared" si="34"/>
        <v>Ofsted Social Care Provider Webpage</v>
      </c>
      <c r="B2214" s="55" t="s">
        <v>3794</v>
      </c>
      <c r="C2214" s="55">
        <v>137478</v>
      </c>
      <c r="D2214" s="55" t="s">
        <v>413</v>
      </c>
      <c r="E2214" s="74">
        <v>37603</v>
      </c>
      <c r="F2214" s="55" t="s">
        <v>344</v>
      </c>
      <c r="G2214" s="55" t="s">
        <v>3795</v>
      </c>
      <c r="H2214" s="55" t="s">
        <v>3796</v>
      </c>
      <c r="I2214" s="55" t="s">
        <v>3797</v>
      </c>
      <c r="J2214" s="55" t="s">
        <v>3798</v>
      </c>
      <c r="K2214" s="55" t="s">
        <v>165</v>
      </c>
      <c r="L2214" s="55" t="s">
        <v>3799</v>
      </c>
      <c r="M2214" s="55" t="s">
        <v>136</v>
      </c>
      <c r="N2214" s="55" t="s">
        <v>136</v>
      </c>
      <c r="O2214" s="55" t="s">
        <v>165</v>
      </c>
      <c r="P2214" s="55" t="s">
        <v>2318</v>
      </c>
      <c r="Q2214" s="55" t="s">
        <v>420</v>
      </c>
      <c r="R2214" s="55">
        <v>23</v>
      </c>
      <c r="S2214" s="55"/>
      <c r="T2214" s="55" t="s">
        <v>3800</v>
      </c>
    </row>
    <row r="2215" spans="1:20" ht="13" x14ac:dyDescent="0.15">
      <c r="A2215" s="72" t="str">
        <f t="shared" si="34"/>
        <v>Ofsted Social Care Provider Webpage</v>
      </c>
      <c r="B2215" s="55" t="s">
        <v>3801</v>
      </c>
      <c r="C2215" s="55">
        <v>107791</v>
      </c>
      <c r="D2215" s="55" t="s">
        <v>398</v>
      </c>
      <c r="E2215" s="74">
        <v>37607</v>
      </c>
      <c r="F2215" s="55" t="s">
        <v>344</v>
      </c>
      <c r="G2215" s="55" t="s">
        <v>3802</v>
      </c>
      <c r="H2215" s="55" t="s">
        <v>3802</v>
      </c>
      <c r="I2215" s="55" t="s">
        <v>3803</v>
      </c>
      <c r="J2215" s="55" t="s">
        <v>750</v>
      </c>
      <c r="K2215" s="55" t="s">
        <v>2374</v>
      </c>
      <c r="L2215" s="55" t="s">
        <v>3804</v>
      </c>
      <c r="M2215" s="55" t="s">
        <v>378</v>
      </c>
      <c r="N2215" s="55" t="s">
        <v>134</v>
      </c>
      <c r="O2215" s="55" t="s">
        <v>206</v>
      </c>
      <c r="P2215" s="55" t="s">
        <v>750</v>
      </c>
      <c r="Q2215" s="55" t="s">
        <v>362</v>
      </c>
      <c r="R2215" s="55">
        <v>205</v>
      </c>
      <c r="S2215" s="55"/>
      <c r="T2215" s="55" t="s">
        <v>3805</v>
      </c>
    </row>
    <row r="2216" spans="1:20" ht="13" x14ac:dyDescent="0.15">
      <c r="A2216" s="72" t="str">
        <f t="shared" si="34"/>
        <v>Ofsted Social Care Provider Webpage</v>
      </c>
      <c r="B2216" s="55" t="s">
        <v>3806</v>
      </c>
      <c r="D2216" s="55" t="s">
        <v>389</v>
      </c>
      <c r="E2216" s="74">
        <v>37834</v>
      </c>
      <c r="F2216" s="55" t="s">
        <v>344</v>
      </c>
      <c r="G2216" s="55" t="s">
        <v>3807</v>
      </c>
      <c r="H2216" s="55" t="s">
        <v>3808</v>
      </c>
      <c r="I2216" s="55" t="s">
        <v>354</v>
      </c>
      <c r="J2216" s="55" t="s">
        <v>3809</v>
      </c>
      <c r="K2216" s="55" t="s">
        <v>2578</v>
      </c>
      <c r="L2216" s="55" t="s">
        <v>3810</v>
      </c>
      <c r="M2216" s="55" t="s">
        <v>129</v>
      </c>
      <c r="N2216" s="55" t="s">
        <v>129</v>
      </c>
      <c r="O2216" s="55" t="s">
        <v>242</v>
      </c>
      <c r="P2216" s="55" t="s">
        <v>1078</v>
      </c>
      <c r="Q2216" s="55" t="s">
        <v>350</v>
      </c>
      <c r="R2216" s="55"/>
      <c r="S2216" s="55"/>
      <c r="T2216" s="55" t="s">
        <v>3811</v>
      </c>
    </row>
    <row r="2217" spans="1:20" ht="13" x14ac:dyDescent="0.15">
      <c r="A2217" s="72" t="str">
        <f t="shared" si="34"/>
        <v>Ofsted Social Care Provider Webpage</v>
      </c>
      <c r="B2217" s="55" t="s">
        <v>3812</v>
      </c>
      <c r="C2217" s="55">
        <v>137493</v>
      </c>
      <c r="D2217" s="55" t="s">
        <v>413</v>
      </c>
      <c r="E2217" s="74">
        <v>37610</v>
      </c>
      <c r="F2217" s="55" t="s">
        <v>344</v>
      </c>
      <c r="G2217" s="55" t="s">
        <v>3813</v>
      </c>
      <c r="H2217" s="55" t="s">
        <v>3813</v>
      </c>
      <c r="I2217" s="55" t="s">
        <v>3814</v>
      </c>
      <c r="J2217" s="55" t="s">
        <v>3815</v>
      </c>
      <c r="L2217" s="55" t="s">
        <v>3816</v>
      </c>
      <c r="M2217" s="55" t="s">
        <v>136</v>
      </c>
      <c r="N2217" s="55" t="s">
        <v>136</v>
      </c>
      <c r="O2217" s="55" t="s">
        <v>135</v>
      </c>
      <c r="P2217" s="55" t="s">
        <v>831</v>
      </c>
      <c r="Q2217" s="55" t="s">
        <v>420</v>
      </c>
      <c r="R2217" s="55">
        <v>11</v>
      </c>
      <c r="S2217" s="55"/>
      <c r="T2217" s="55" t="s">
        <v>3817</v>
      </c>
    </row>
    <row r="2218" spans="1:20" ht="13" x14ac:dyDescent="0.15">
      <c r="A2218" s="72" t="str">
        <f t="shared" si="34"/>
        <v>Ofsted Social Care Provider Webpage</v>
      </c>
      <c r="B2218" s="55" t="s">
        <v>3818</v>
      </c>
      <c r="C2218" s="55">
        <v>122384</v>
      </c>
      <c r="D2218" s="55" t="s">
        <v>413</v>
      </c>
      <c r="E2218" s="74">
        <v>37610</v>
      </c>
      <c r="F2218" s="55" t="s">
        <v>344</v>
      </c>
      <c r="G2218" s="55" t="s">
        <v>3819</v>
      </c>
      <c r="H2218" s="55" t="s">
        <v>3820</v>
      </c>
      <c r="I2218" s="55" t="s">
        <v>3821</v>
      </c>
      <c r="J2218" s="55" t="s">
        <v>3822</v>
      </c>
      <c r="K2218" s="55" t="s">
        <v>233</v>
      </c>
      <c r="L2218" s="55" t="s">
        <v>3823</v>
      </c>
      <c r="M2218" s="55" t="s">
        <v>378</v>
      </c>
      <c r="N2218" s="55" t="s">
        <v>170</v>
      </c>
      <c r="O2218" s="55" t="s">
        <v>233</v>
      </c>
      <c r="P2218" s="55" t="s">
        <v>1999</v>
      </c>
      <c r="Q2218" s="55" t="s">
        <v>380</v>
      </c>
      <c r="R2218" s="55">
        <v>9</v>
      </c>
      <c r="S2218" s="55"/>
      <c r="T2218" s="55" t="s">
        <v>381</v>
      </c>
    </row>
    <row r="2219" spans="1:20" ht="13" x14ac:dyDescent="0.15">
      <c r="A2219" s="72" t="str">
        <f t="shared" si="34"/>
        <v>Ofsted Social Care Provider Webpage</v>
      </c>
      <c r="B2219" s="55" t="s">
        <v>3824</v>
      </c>
      <c r="C2219" s="55">
        <v>131878</v>
      </c>
      <c r="D2219" s="55" t="s">
        <v>693</v>
      </c>
      <c r="E2219" s="74">
        <v>37621</v>
      </c>
      <c r="F2219" s="55" t="s">
        <v>344</v>
      </c>
      <c r="G2219" s="55" t="s">
        <v>3825</v>
      </c>
      <c r="H2219" s="55" t="s">
        <v>3826</v>
      </c>
      <c r="I2219" s="55" t="s">
        <v>3827</v>
      </c>
      <c r="J2219" s="55" t="s">
        <v>3076</v>
      </c>
      <c r="K2219" s="55" t="s">
        <v>255</v>
      </c>
      <c r="L2219" s="55" t="s">
        <v>3828</v>
      </c>
      <c r="M2219" s="55" t="s">
        <v>136</v>
      </c>
      <c r="N2219" s="55" t="s">
        <v>136</v>
      </c>
      <c r="O2219" s="55" t="s">
        <v>255</v>
      </c>
      <c r="P2219" s="55" t="s">
        <v>609</v>
      </c>
      <c r="Q2219" s="55" t="s">
        <v>350</v>
      </c>
      <c r="R2219" s="55">
        <v>54</v>
      </c>
      <c r="S2219" s="55"/>
      <c r="T2219" s="55" t="s">
        <v>450</v>
      </c>
    </row>
    <row r="2220" spans="1:20" ht="13" x14ac:dyDescent="0.15">
      <c r="A2220" s="72" t="str">
        <f t="shared" si="34"/>
        <v>Ofsted Social Care Provider Webpage</v>
      </c>
      <c r="B2220" s="55" t="s">
        <v>3829</v>
      </c>
      <c r="C2220" s="55">
        <v>119026</v>
      </c>
      <c r="D2220" s="55" t="s">
        <v>413</v>
      </c>
      <c r="E2220" s="74">
        <v>37629</v>
      </c>
      <c r="F2220" s="55" t="s">
        <v>344</v>
      </c>
      <c r="G2220" s="55" t="s">
        <v>3830</v>
      </c>
      <c r="H2220" s="55" t="s">
        <v>3831</v>
      </c>
      <c r="I2220" s="55" t="s">
        <v>354</v>
      </c>
      <c r="J2220" s="55" t="s">
        <v>417</v>
      </c>
      <c r="K2220" s="55" t="s">
        <v>203</v>
      </c>
      <c r="L2220" s="55" t="s">
        <v>3832</v>
      </c>
      <c r="M2220" s="55" t="s">
        <v>150</v>
      </c>
      <c r="N2220" s="55" t="s">
        <v>150</v>
      </c>
      <c r="O2220" s="55" t="s">
        <v>203</v>
      </c>
      <c r="P2220" s="55" t="s">
        <v>419</v>
      </c>
      <c r="Q2220" s="55" t="s">
        <v>380</v>
      </c>
      <c r="R2220" s="55">
        <v>19</v>
      </c>
      <c r="S2220" s="55"/>
      <c r="T2220" s="55" t="s">
        <v>1547</v>
      </c>
    </row>
    <row r="2221" spans="1:20" ht="13" x14ac:dyDescent="0.15">
      <c r="A2221" s="72" t="str">
        <f t="shared" si="34"/>
        <v>Ofsted Social Care Provider Webpage</v>
      </c>
      <c r="B2221" s="55" t="s">
        <v>3833</v>
      </c>
      <c r="C2221" s="55">
        <v>119032</v>
      </c>
      <c r="D2221" s="55" t="s">
        <v>413</v>
      </c>
      <c r="E2221" s="74">
        <v>37629</v>
      </c>
      <c r="F2221" s="55" t="s">
        <v>344</v>
      </c>
      <c r="G2221" s="55" t="s">
        <v>3834</v>
      </c>
      <c r="H2221" s="55" t="s">
        <v>3834</v>
      </c>
      <c r="I2221" s="55" t="s">
        <v>3835</v>
      </c>
      <c r="J2221" s="55" t="s">
        <v>3836</v>
      </c>
      <c r="K2221" s="55" t="s">
        <v>203</v>
      </c>
      <c r="L2221" s="55" t="s">
        <v>3837</v>
      </c>
      <c r="M2221" s="55" t="s">
        <v>150</v>
      </c>
      <c r="N2221" s="55" t="s">
        <v>150</v>
      </c>
      <c r="O2221" s="55" t="s">
        <v>203</v>
      </c>
      <c r="P2221" s="55" t="s">
        <v>419</v>
      </c>
      <c r="Q2221" s="55" t="s">
        <v>380</v>
      </c>
      <c r="R2221" s="55">
        <v>54</v>
      </c>
      <c r="S2221" s="55"/>
      <c r="T2221" s="55" t="s">
        <v>1547</v>
      </c>
    </row>
    <row r="2222" spans="1:20" ht="13" x14ac:dyDescent="0.15">
      <c r="A2222" s="72" t="str">
        <f t="shared" si="34"/>
        <v>Ofsted Social Care Provider Webpage</v>
      </c>
      <c r="B2222" s="55" t="s">
        <v>3838</v>
      </c>
      <c r="C2222" s="55">
        <v>130652</v>
      </c>
      <c r="D2222" s="55" t="s">
        <v>693</v>
      </c>
      <c r="E2222" s="74">
        <v>37631</v>
      </c>
      <c r="F2222" s="55" t="s">
        <v>344</v>
      </c>
      <c r="G2222" s="55" t="s">
        <v>3839</v>
      </c>
      <c r="H2222" s="55" t="s">
        <v>3840</v>
      </c>
      <c r="I2222" s="55" t="s">
        <v>3841</v>
      </c>
      <c r="J2222" s="55" t="s">
        <v>703</v>
      </c>
      <c r="K2222" s="55" t="s">
        <v>176</v>
      </c>
      <c r="L2222" s="55" t="s">
        <v>3842</v>
      </c>
      <c r="M2222" s="55" t="s">
        <v>136</v>
      </c>
      <c r="N2222" s="55" t="s">
        <v>136</v>
      </c>
      <c r="O2222" s="55" t="s">
        <v>705</v>
      </c>
      <c r="P2222" s="55" t="s">
        <v>706</v>
      </c>
      <c r="Q2222" s="55" t="s">
        <v>362</v>
      </c>
      <c r="R2222" s="55">
        <v>60</v>
      </c>
      <c r="S2222" s="55"/>
      <c r="T2222" s="55" t="s">
        <v>3840</v>
      </c>
    </row>
    <row r="2223" spans="1:20" ht="13" x14ac:dyDescent="0.15">
      <c r="A2223" s="72" t="str">
        <f t="shared" si="34"/>
        <v>Ofsted Social Care Provider Webpage</v>
      </c>
      <c r="B2223" s="55" t="s">
        <v>3843</v>
      </c>
      <c r="D2223" s="55" t="s">
        <v>373</v>
      </c>
      <c r="E2223" s="74">
        <v>37952</v>
      </c>
      <c r="F2223" s="55" t="s">
        <v>344</v>
      </c>
      <c r="G2223" s="55" t="s">
        <v>360</v>
      </c>
      <c r="H2223" s="55" t="s">
        <v>360</v>
      </c>
      <c r="I2223" s="55" t="s">
        <v>360</v>
      </c>
      <c r="J2223" s="55" t="s">
        <v>360</v>
      </c>
      <c r="K2223" s="55" t="s">
        <v>360</v>
      </c>
      <c r="L2223" s="55" t="s">
        <v>360</v>
      </c>
      <c r="M2223" s="55" t="s">
        <v>129</v>
      </c>
      <c r="N2223" s="55" t="s">
        <v>129</v>
      </c>
      <c r="O2223" s="55" t="s">
        <v>167</v>
      </c>
      <c r="P2223" s="55" t="s">
        <v>553</v>
      </c>
      <c r="Q2223" s="55" t="s">
        <v>380</v>
      </c>
      <c r="R2223" s="55">
        <v>7</v>
      </c>
      <c r="S2223" s="55" t="s">
        <v>332</v>
      </c>
      <c r="T2223" s="55" t="s">
        <v>3844</v>
      </c>
    </row>
    <row r="2224" spans="1:20" ht="13" x14ac:dyDescent="0.15">
      <c r="A2224" s="72" t="str">
        <f t="shared" si="34"/>
        <v>Ofsted Social Care Provider Webpage</v>
      </c>
      <c r="B2224" s="55" t="s">
        <v>3845</v>
      </c>
      <c r="C2224" s="55">
        <v>130597</v>
      </c>
      <c r="D2224" s="55" t="s">
        <v>693</v>
      </c>
      <c r="E2224" s="74">
        <v>37634</v>
      </c>
      <c r="F2224" s="55" t="s">
        <v>344</v>
      </c>
      <c r="G2224" s="55" t="s">
        <v>3846</v>
      </c>
      <c r="H2224" s="55" t="s">
        <v>3847</v>
      </c>
      <c r="I2224" s="55" t="s">
        <v>3848</v>
      </c>
      <c r="J2224" s="55" t="s">
        <v>3849</v>
      </c>
      <c r="K2224" s="55" t="s">
        <v>820</v>
      </c>
      <c r="L2224" s="55" t="s">
        <v>3850</v>
      </c>
      <c r="M2224" s="55" t="s">
        <v>138</v>
      </c>
      <c r="N2224" s="55" t="s">
        <v>138</v>
      </c>
      <c r="O2224" s="55" t="s">
        <v>161</v>
      </c>
      <c r="P2224" s="55" t="s">
        <v>822</v>
      </c>
      <c r="Q2224" s="55" t="s">
        <v>362</v>
      </c>
      <c r="R2224" s="55">
        <v>47</v>
      </c>
      <c r="S2224" s="55"/>
      <c r="T2224" s="55" t="s">
        <v>3851</v>
      </c>
    </row>
    <row r="2225" spans="1:20" ht="13" x14ac:dyDescent="0.15">
      <c r="A2225" s="72" t="str">
        <f t="shared" si="34"/>
        <v>Ofsted Social Care Provider Webpage</v>
      </c>
      <c r="B2225" s="55" t="s">
        <v>3852</v>
      </c>
      <c r="C2225" s="55">
        <v>130623</v>
      </c>
      <c r="D2225" s="55" t="s">
        <v>693</v>
      </c>
      <c r="E2225" s="74">
        <v>37634</v>
      </c>
      <c r="F2225" s="55" t="s">
        <v>344</v>
      </c>
      <c r="G2225" s="55" t="s">
        <v>3853</v>
      </c>
      <c r="H2225" s="55" t="s">
        <v>3854</v>
      </c>
      <c r="I2225" s="55" t="s">
        <v>354</v>
      </c>
      <c r="J2225" s="55" t="s">
        <v>3855</v>
      </c>
      <c r="K2225" s="55" t="s">
        <v>2469</v>
      </c>
      <c r="L2225" s="55" t="s">
        <v>3856</v>
      </c>
      <c r="M2225" s="55" t="s">
        <v>144</v>
      </c>
      <c r="N2225" s="55" t="s">
        <v>144</v>
      </c>
      <c r="O2225" s="55" t="s">
        <v>162</v>
      </c>
      <c r="P2225" s="55" t="s">
        <v>376</v>
      </c>
      <c r="Q2225" s="55" t="s">
        <v>362</v>
      </c>
      <c r="R2225" s="55">
        <v>808</v>
      </c>
      <c r="S2225" s="55"/>
      <c r="T2225" s="55" t="s">
        <v>3857</v>
      </c>
    </row>
    <row r="2226" spans="1:20" ht="13" x14ac:dyDescent="0.15">
      <c r="A2226" s="72" t="str">
        <f t="shared" si="34"/>
        <v>Ofsted Social Care Provider Webpage</v>
      </c>
      <c r="B2226" s="55" t="s">
        <v>3858</v>
      </c>
      <c r="C2226" s="55">
        <v>103870</v>
      </c>
      <c r="D2226" s="55" t="s">
        <v>398</v>
      </c>
      <c r="E2226" s="74">
        <v>37637</v>
      </c>
      <c r="F2226" s="55" t="s">
        <v>344</v>
      </c>
      <c r="G2226" s="55" t="s">
        <v>3859</v>
      </c>
      <c r="H2226" s="55" t="s">
        <v>3859</v>
      </c>
      <c r="I2226" s="55" t="s">
        <v>3860</v>
      </c>
      <c r="J2226" s="55" t="s">
        <v>2940</v>
      </c>
      <c r="K2226" s="55" t="s">
        <v>142</v>
      </c>
      <c r="L2226" s="55" t="s">
        <v>3861</v>
      </c>
      <c r="M2226" s="55" t="s">
        <v>142</v>
      </c>
      <c r="N2226" s="55" t="s">
        <v>142</v>
      </c>
      <c r="O2226" s="55" t="s">
        <v>177</v>
      </c>
      <c r="P2226" s="55" t="s">
        <v>885</v>
      </c>
      <c r="Q2226" s="55" t="s">
        <v>380</v>
      </c>
      <c r="R2226" s="55">
        <v>470</v>
      </c>
      <c r="S2226" s="55"/>
      <c r="T2226" s="55" t="s">
        <v>3584</v>
      </c>
    </row>
    <row r="2227" spans="1:20" ht="13" x14ac:dyDescent="0.15">
      <c r="A2227" s="72" t="str">
        <f t="shared" si="34"/>
        <v>Ofsted Social Care Provider Webpage</v>
      </c>
      <c r="B2227" s="55" t="s">
        <v>3862</v>
      </c>
      <c r="C2227" s="55">
        <v>144638</v>
      </c>
      <c r="D2227" s="55" t="s">
        <v>398</v>
      </c>
      <c r="E2227" s="74">
        <v>37637</v>
      </c>
      <c r="F2227" s="55" t="s">
        <v>344</v>
      </c>
      <c r="G2227" s="55" t="s">
        <v>3863</v>
      </c>
      <c r="H2227" s="55" t="s">
        <v>2925</v>
      </c>
      <c r="I2227" s="55" t="s">
        <v>3864</v>
      </c>
      <c r="J2227" s="55" t="s">
        <v>200</v>
      </c>
      <c r="L2227" s="55" t="s">
        <v>3865</v>
      </c>
      <c r="M2227" s="55" t="s">
        <v>136</v>
      </c>
      <c r="N2227" s="55" t="s">
        <v>136</v>
      </c>
      <c r="O2227" s="55" t="s">
        <v>200</v>
      </c>
      <c r="P2227" s="55" t="s">
        <v>3866</v>
      </c>
      <c r="Q2227" s="55" t="s">
        <v>380</v>
      </c>
      <c r="R2227" s="55">
        <v>24</v>
      </c>
      <c r="S2227" s="55"/>
      <c r="T2227" s="55" t="s">
        <v>3867</v>
      </c>
    </row>
    <row r="2228" spans="1:20" ht="13" x14ac:dyDescent="0.15">
      <c r="A2228" s="72" t="str">
        <f t="shared" si="34"/>
        <v>Ofsted Social Care Provider Webpage</v>
      </c>
      <c r="B2228" s="55" t="s">
        <v>3868</v>
      </c>
      <c r="C2228" s="55">
        <v>130772</v>
      </c>
      <c r="D2228" s="55" t="s">
        <v>693</v>
      </c>
      <c r="E2228" s="74">
        <v>37638</v>
      </c>
      <c r="F2228" s="55" t="s">
        <v>344</v>
      </c>
      <c r="G2228" s="55" t="s">
        <v>3869</v>
      </c>
      <c r="H2228" s="55" t="s">
        <v>3869</v>
      </c>
      <c r="I2228" s="55" t="s">
        <v>3870</v>
      </c>
      <c r="J2228" s="55" t="s">
        <v>3160</v>
      </c>
      <c r="L2228" s="55" t="s">
        <v>3871</v>
      </c>
      <c r="M2228" s="55" t="s">
        <v>172</v>
      </c>
      <c r="N2228" s="55" t="s">
        <v>172</v>
      </c>
      <c r="O2228" s="55" t="s">
        <v>284</v>
      </c>
      <c r="P2228" s="55" t="s">
        <v>357</v>
      </c>
      <c r="Q2228" s="55" t="s">
        <v>350</v>
      </c>
      <c r="R2228" s="55">
        <v>50</v>
      </c>
      <c r="S2228" s="55"/>
      <c r="T2228" s="55" t="s">
        <v>3869</v>
      </c>
    </row>
    <row r="2229" spans="1:20" ht="13" x14ac:dyDescent="0.15">
      <c r="A2229" s="72" t="str">
        <f t="shared" si="34"/>
        <v>Ofsted Social Care Provider Webpage</v>
      </c>
      <c r="B2229" s="55" t="s">
        <v>3872</v>
      </c>
      <c r="C2229" s="55">
        <v>101094</v>
      </c>
      <c r="D2229" s="55" t="s">
        <v>413</v>
      </c>
      <c r="E2229" s="74">
        <v>37638</v>
      </c>
      <c r="F2229" s="55" t="s">
        <v>344</v>
      </c>
      <c r="G2229" s="55" t="s">
        <v>3873</v>
      </c>
      <c r="H2229" s="55" t="s">
        <v>3874</v>
      </c>
      <c r="I2229" s="55" t="s">
        <v>354</v>
      </c>
      <c r="J2229" s="55" t="s">
        <v>2578</v>
      </c>
      <c r="L2229" s="55" t="s">
        <v>3875</v>
      </c>
      <c r="M2229" s="55" t="s">
        <v>129</v>
      </c>
      <c r="N2229" s="55" t="s">
        <v>129</v>
      </c>
      <c r="O2229" s="55" t="s">
        <v>280</v>
      </c>
      <c r="P2229" s="55" t="s">
        <v>1367</v>
      </c>
      <c r="Q2229" s="55" t="s">
        <v>380</v>
      </c>
      <c r="R2229" s="55">
        <v>17</v>
      </c>
      <c r="S2229" s="55"/>
      <c r="T2229" s="55" t="s">
        <v>2581</v>
      </c>
    </row>
    <row r="2230" spans="1:20" ht="13" x14ac:dyDescent="0.15">
      <c r="A2230" s="72" t="str">
        <f t="shared" si="34"/>
        <v>Ofsted Social Care Provider Webpage</v>
      </c>
      <c r="B2230" s="55" t="s">
        <v>3876</v>
      </c>
      <c r="D2230" s="55" t="s">
        <v>373</v>
      </c>
      <c r="E2230" s="74">
        <v>37700</v>
      </c>
      <c r="F2230" s="55" t="s">
        <v>344</v>
      </c>
      <c r="G2230" s="55" t="s">
        <v>360</v>
      </c>
      <c r="H2230" s="55" t="s">
        <v>360</v>
      </c>
      <c r="I2230" s="55" t="s">
        <v>360</v>
      </c>
      <c r="J2230" s="55" t="s">
        <v>360</v>
      </c>
      <c r="K2230" s="55" t="s">
        <v>360</v>
      </c>
      <c r="L2230" s="55" t="s">
        <v>360</v>
      </c>
      <c r="M2230" s="55" t="s">
        <v>150</v>
      </c>
      <c r="N2230" s="55" t="s">
        <v>150</v>
      </c>
      <c r="O2230" s="55" t="s">
        <v>285</v>
      </c>
      <c r="P2230" s="55" t="s">
        <v>575</v>
      </c>
      <c r="Q2230" s="55" t="s">
        <v>350</v>
      </c>
      <c r="R2230" s="55">
        <v>6</v>
      </c>
      <c r="S2230" s="55"/>
      <c r="T2230" s="55" t="s">
        <v>1962</v>
      </c>
    </row>
    <row r="2231" spans="1:20" ht="13" x14ac:dyDescent="0.15">
      <c r="A2231" s="72" t="str">
        <f t="shared" si="34"/>
        <v>Ofsted Social Care Provider Webpage</v>
      </c>
      <c r="B2231" s="55" t="s">
        <v>3877</v>
      </c>
      <c r="C2231" s="55">
        <v>139655</v>
      </c>
      <c r="D2231" s="55" t="s">
        <v>398</v>
      </c>
      <c r="E2231" s="74">
        <v>37641</v>
      </c>
      <c r="F2231" s="55" t="s">
        <v>344</v>
      </c>
      <c r="G2231" s="55" t="s">
        <v>3878</v>
      </c>
      <c r="H2231" s="55" t="s">
        <v>3879</v>
      </c>
      <c r="I2231" s="55" t="s">
        <v>354</v>
      </c>
      <c r="J2231" s="55" t="s">
        <v>3880</v>
      </c>
      <c r="K2231" s="55" t="s">
        <v>255</v>
      </c>
      <c r="L2231" s="55" t="s">
        <v>3881</v>
      </c>
      <c r="M2231" s="55" t="s">
        <v>136</v>
      </c>
      <c r="N2231" s="55" t="s">
        <v>136</v>
      </c>
      <c r="O2231" s="55" t="s">
        <v>255</v>
      </c>
      <c r="P2231" s="55" t="s">
        <v>757</v>
      </c>
      <c r="Q2231" s="55" t="s">
        <v>420</v>
      </c>
      <c r="R2231" s="55">
        <v>131</v>
      </c>
      <c r="S2231" s="55"/>
      <c r="T2231" s="55" t="s">
        <v>3882</v>
      </c>
    </row>
    <row r="2232" spans="1:20" ht="13" x14ac:dyDescent="0.15">
      <c r="A2232" s="72" t="str">
        <f t="shared" si="34"/>
        <v>Ofsted Social Care Provider Webpage</v>
      </c>
      <c r="B2232" s="55" t="s">
        <v>3883</v>
      </c>
      <c r="C2232" s="55">
        <v>140898</v>
      </c>
      <c r="D2232" s="55" t="s">
        <v>398</v>
      </c>
      <c r="E2232" s="74">
        <v>37648</v>
      </c>
      <c r="F2232" s="55" t="s">
        <v>344</v>
      </c>
      <c r="G2232" s="55" t="s">
        <v>3884</v>
      </c>
      <c r="H2232" s="55" t="s">
        <v>3884</v>
      </c>
      <c r="I2232" s="55" t="s">
        <v>3885</v>
      </c>
      <c r="J2232" s="55" t="s">
        <v>3886</v>
      </c>
      <c r="K2232" s="55" t="s">
        <v>176</v>
      </c>
      <c r="L2232" s="55" t="s">
        <v>3887</v>
      </c>
      <c r="M2232" s="55" t="s">
        <v>136</v>
      </c>
      <c r="N2232" s="55" t="s">
        <v>136</v>
      </c>
      <c r="O2232" s="55" t="s">
        <v>176</v>
      </c>
      <c r="P2232" s="55" t="s">
        <v>2060</v>
      </c>
      <c r="Q2232" s="55" t="s">
        <v>420</v>
      </c>
      <c r="R2232" s="55">
        <v>110</v>
      </c>
      <c r="S2232" s="55"/>
      <c r="T2232" s="55" t="s">
        <v>3888</v>
      </c>
    </row>
    <row r="2233" spans="1:20" ht="13" x14ac:dyDescent="0.15">
      <c r="A2233" s="72" t="str">
        <f t="shared" si="34"/>
        <v>Ofsted Social Care Provider Webpage</v>
      </c>
      <c r="B2233" s="55" t="s">
        <v>3889</v>
      </c>
      <c r="C2233" s="55">
        <v>103623</v>
      </c>
      <c r="D2233" s="55" t="s">
        <v>413</v>
      </c>
      <c r="E2233" s="74">
        <v>37649</v>
      </c>
      <c r="F2233" s="55" t="s">
        <v>344</v>
      </c>
      <c r="G2233" s="55" t="s">
        <v>3890</v>
      </c>
      <c r="H2233" s="55" t="s">
        <v>3890</v>
      </c>
      <c r="I2233" s="55" t="s">
        <v>3891</v>
      </c>
      <c r="J2233" s="55" t="s">
        <v>254</v>
      </c>
      <c r="K2233" s="55" t="s">
        <v>142</v>
      </c>
      <c r="L2233" s="55" t="s">
        <v>3892</v>
      </c>
      <c r="M2233" s="55" t="s">
        <v>142</v>
      </c>
      <c r="N2233" s="55" t="s">
        <v>142</v>
      </c>
      <c r="O2233" s="55" t="s">
        <v>254</v>
      </c>
      <c r="P2233" s="55" t="s">
        <v>1048</v>
      </c>
      <c r="Q2233" s="55" t="s">
        <v>380</v>
      </c>
      <c r="R2233" s="55">
        <v>12</v>
      </c>
      <c r="S2233" s="55"/>
      <c r="T2233" s="55" t="s">
        <v>2755</v>
      </c>
    </row>
    <row r="2234" spans="1:20" ht="13" x14ac:dyDescent="0.15">
      <c r="A2234" s="72" t="str">
        <f t="shared" si="34"/>
        <v>Ofsted Social Care Provider Webpage</v>
      </c>
      <c r="B2234" s="55" t="s">
        <v>3893</v>
      </c>
      <c r="D2234" s="55" t="s">
        <v>373</v>
      </c>
      <c r="E2234" s="74">
        <v>37963</v>
      </c>
      <c r="F2234" s="55" t="s">
        <v>344</v>
      </c>
      <c r="G2234" s="55" t="s">
        <v>360</v>
      </c>
      <c r="H2234" s="55" t="s">
        <v>360</v>
      </c>
      <c r="I2234" s="55" t="s">
        <v>360</v>
      </c>
      <c r="J2234" s="55" t="s">
        <v>360</v>
      </c>
      <c r="K2234" s="55" t="s">
        <v>360</v>
      </c>
      <c r="L2234" s="55" t="s">
        <v>360</v>
      </c>
      <c r="M2234" s="55" t="s">
        <v>150</v>
      </c>
      <c r="N2234" s="55" t="s">
        <v>150</v>
      </c>
      <c r="O2234" s="55" t="s">
        <v>258</v>
      </c>
      <c r="P2234" s="55" t="s">
        <v>455</v>
      </c>
      <c r="Q2234" s="55" t="s">
        <v>362</v>
      </c>
      <c r="R2234" s="55">
        <v>8</v>
      </c>
      <c r="S2234" s="55" t="s">
        <v>332</v>
      </c>
      <c r="T2234" s="55" t="s">
        <v>3894</v>
      </c>
    </row>
    <row r="2235" spans="1:20" ht="13" x14ac:dyDescent="0.15">
      <c r="A2235" s="72" t="str">
        <f t="shared" si="34"/>
        <v>Ofsted Social Care Provider Webpage</v>
      </c>
      <c r="B2235" s="55" t="s">
        <v>3895</v>
      </c>
      <c r="D2235" s="55" t="s">
        <v>389</v>
      </c>
      <c r="E2235" s="74">
        <v>38007</v>
      </c>
      <c r="F2235" s="55" t="s">
        <v>344</v>
      </c>
      <c r="G2235" s="55" t="s">
        <v>3896</v>
      </c>
      <c r="H2235" s="55" t="s">
        <v>3897</v>
      </c>
      <c r="I2235" s="55" t="s">
        <v>3898</v>
      </c>
      <c r="J2235" s="55" t="s">
        <v>3899</v>
      </c>
      <c r="K2235" s="55" t="s">
        <v>3900</v>
      </c>
      <c r="L2235" s="55" t="s">
        <v>3901</v>
      </c>
      <c r="M2235" s="55" t="s">
        <v>142</v>
      </c>
      <c r="N2235" s="55" t="s">
        <v>142</v>
      </c>
      <c r="O2235" s="55" t="s">
        <v>177</v>
      </c>
      <c r="P2235" s="55" t="s">
        <v>1406</v>
      </c>
      <c r="Q2235" s="55" t="s">
        <v>362</v>
      </c>
      <c r="R2235" s="55"/>
      <c r="S2235" s="55"/>
      <c r="T2235" s="55" t="s">
        <v>1884</v>
      </c>
    </row>
    <row r="2236" spans="1:20" ht="13" x14ac:dyDescent="0.15">
      <c r="A2236" s="72" t="str">
        <f t="shared" si="34"/>
        <v>Ofsted Social Care Provider Webpage</v>
      </c>
      <c r="B2236" s="55" t="s">
        <v>3902</v>
      </c>
      <c r="C2236" s="55">
        <v>121254</v>
      </c>
      <c r="D2236" s="55" t="s">
        <v>413</v>
      </c>
      <c r="E2236" s="74">
        <v>37656</v>
      </c>
      <c r="F2236" s="55" t="s">
        <v>344</v>
      </c>
      <c r="G2236" s="55" t="s">
        <v>3903</v>
      </c>
      <c r="H2236" s="55" t="s">
        <v>3903</v>
      </c>
      <c r="I2236" s="55" t="s">
        <v>3904</v>
      </c>
      <c r="J2236" s="55" t="s">
        <v>3905</v>
      </c>
      <c r="K2236" s="55" t="s">
        <v>224</v>
      </c>
      <c r="L2236" s="55" t="s">
        <v>3906</v>
      </c>
      <c r="M2236" s="55" t="s">
        <v>138</v>
      </c>
      <c r="N2236" s="55" t="s">
        <v>138</v>
      </c>
      <c r="O2236" s="55" t="s">
        <v>224</v>
      </c>
      <c r="P2236" s="55" t="s">
        <v>1552</v>
      </c>
      <c r="Q2236" s="55" t="s">
        <v>380</v>
      </c>
      <c r="R2236" s="55">
        <v>26</v>
      </c>
      <c r="S2236" s="55"/>
      <c r="T2236" s="55" t="s">
        <v>2272</v>
      </c>
    </row>
    <row r="2237" spans="1:20" ht="13" x14ac:dyDescent="0.15">
      <c r="A2237" s="72" t="str">
        <f t="shared" si="34"/>
        <v>Ofsted Social Care Provider Webpage</v>
      </c>
      <c r="B2237" s="55" t="s">
        <v>3907</v>
      </c>
      <c r="D2237" s="55" t="s">
        <v>693</v>
      </c>
      <c r="E2237" s="74">
        <v>37657</v>
      </c>
      <c r="F2237" s="55" t="s">
        <v>344</v>
      </c>
      <c r="G2237" s="55" t="s">
        <v>3908</v>
      </c>
      <c r="H2237" s="55" t="s">
        <v>3908</v>
      </c>
      <c r="I2237" s="55" t="s">
        <v>3909</v>
      </c>
      <c r="J2237" s="55" t="s">
        <v>1902</v>
      </c>
      <c r="K2237" s="55" t="s">
        <v>285</v>
      </c>
      <c r="L2237" s="55" t="s">
        <v>3910</v>
      </c>
      <c r="M2237" s="55" t="s">
        <v>150</v>
      </c>
      <c r="N2237" s="55" t="s">
        <v>150</v>
      </c>
      <c r="O2237" s="55" t="s">
        <v>285</v>
      </c>
      <c r="P2237" s="55" t="s">
        <v>1902</v>
      </c>
      <c r="Q2237" s="55" t="s">
        <v>362</v>
      </c>
      <c r="R2237" s="55">
        <v>90</v>
      </c>
      <c r="S2237" s="55"/>
      <c r="T2237" s="55" t="s">
        <v>3911</v>
      </c>
    </row>
    <row r="2238" spans="1:20" ht="13" x14ac:dyDescent="0.15">
      <c r="A2238" s="72" t="str">
        <f t="shared" si="34"/>
        <v>Ofsted Social Care Provider Webpage</v>
      </c>
      <c r="B2238" s="55" t="s">
        <v>3912</v>
      </c>
      <c r="D2238" s="55" t="s">
        <v>373</v>
      </c>
      <c r="E2238" s="74">
        <v>37700</v>
      </c>
      <c r="F2238" s="55" t="s">
        <v>344</v>
      </c>
      <c r="G2238" s="55" t="s">
        <v>360</v>
      </c>
      <c r="H2238" s="55" t="s">
        <v>360</v>
      </c>
      <c r="I2238" s="55" t="s">
        <v>360</v>
      </c>
      <c r="J2238" s="55" t="s">
        <v>360</v>
      </c>
      <c r="K2238" s="55" t="s">
        <v>360</v>
      </c>
      <c r="L2238" s="55" t="s">
        <v>360</v>
      </c>
      <c r="M2238" s="55" t="s">
        <v>144</v>
      </c>
      <c r="N2238" s="55" t="s">
        <v>144</v>
      </c>
      <c r="O2238" s="55" t="s">
        <v>250</v>
      </c>
      <c r="P2238" s="55" t="s">
        <v>759</v>
      </c>
      <c r="Q2238" s="55" t="s">
        <v>350</v>
      </c>
      <c r="R2238" s="55">
        <v>3</v>
      </c>
      <c r="S2238" s="55"/>
      <c r="T2238" s="55" t="s">
        <v>1600</v>
      </c>
    </row>
    <row r="2239" spans="1:20" ht="13" x14ac:dyDescent="0.15">
      <c r="A2239" s="72" t="str">
        <f t="shared" si="34"/>
        <v>Ofsted Social Care Provider Webpage</v>
      </c>
      <c r="B2239" s="55" t="s">
        <v>3913</v>
      </c>
      <c r="D2239" s="55" t="s">
        <v>398</v>
      </c>
      <c r="E2239" s="74">
        <v>37657</v>
      </c>
      <c r="F2239" s="55" t="s">
        <v>344</v>
      </c>
      <c r="G2239" s="55" t="s">
        <v>3914</v>
      </c>
      <c r="H2239" s="55" t="s">
        <v>3914</v>
      </c>
      <c r="I2239" s="55" t="s">
        <v>3915</v>
      </c>
      <c r="J2239" s="55" t="s">
        <v>3916</v>
      </c>
      <c r="K2239" s="55" t="s">
        <v>285</v>
      </c>
      <c r="L2239" s="55" t="s">
        <v>3917</v>
      </c>
      <c r="M2239" s="55" t="s">
        <v>150</v>
      </c>
      <c r="N2239" s="55" t="s">
        <v>150</v>
      </c>
      <c r="O2239" s="55" t="s">
        <v>285</v>
      </c>
      <c r="P2239" s="55" t="s">
        <v>565</v>
      </c>
      <c r="Q2239" s="55" t="s">
        <v>380</v>
      </c>
      <c r="R2239" s="55">
        <v>125</v>
      </c>
      <c r="S2239" s="55"/>
      <c r="T2239" s="55" t="s">
        <v>2238</v>
      </c>
    </row>
    <row r="2240" spans="1:20" ht="13" x14ac:dyDescent="0.15">
      <c r="A2240" s="72" t="str">
        <f t="shared" si="34"/>
        <v>Ofsted Social Care Provider Webpage</v>
      </c>
      <c r="B2240" s="55" t="s">
        <v>3918</v>
      </c>
      <c r="D2240" s="55" t="s">
        <v>389</v>
      </c>
      <c r="E2240" s="74">
        <v>37916</v>
      </c>
      <c r="F2240" s="55" t="s">
        <v>344</v>
      </c>
      <c r="G2240" s="55" t="s">
        <v>3919</v>
      </c>
      <c r="H2240" s="55" t="s">
        <v>3920</v>
      </c>
      <c r="I2240" s="55" t="s">
        <v>3921</v>
      </c>
      <c r="J2240" s="55" t="s">
        <v>3922</v>
      </c>
      <c r="K2240" s="55" t="s">
        <v>3368</v>
      </c>
      <c r="L2240" s="55" t="s">
        <v>3923</v>
      </c>
      <c r="M2240" s="55" t="s">
        <v>378</v>
      </c>
      <c r="N2240" s="55" t="s">
        <v>170</v>
      </c>
      <c r="O2240" s="55" t="s">
        <v>178</v>
      </c>
      <c r="P2240" s="55" t="s">
        <v>905</v>
      </c>
      <c r="Q2240" s="55" t="s">
        <v>362</v>
      </c>
      <c r="R2240" s="55"/>
      <c r="S2240" s="55"/>
      <c r="T2240" s="55" t="s">
        <v>1884</v>
      </c>
    </row>
    <row r="2241" spans="1:20" ht="13" x14ac:dyDescent="0.15">
      <c r="A2241" s="72" t="str">
        <f t="shared" si="34"/>
        <v>Ofsted Social Care Provider Webpage</v>
      </c>
      <c r="B2241" s="55" t="s">
        <v>3924</v>
      </c>
      <c r="C2241" s="55">
        <v>136742</v>
      </c>
      <c r="D2241" s="55" t="s">
        <v>398</v>
      </c>
      <c r="E2241" s="74">
        <v>37659</v>
      </c>
      <c r="F2241" s="55" t="s">
        <v>344</v>
      </c>
      <c r="G2241" s="55" t="s">
        <v>3925</v>
      </c>
      <c r="H2241" s="55" t="s">
        <v>3925</v>
      </c>
      <c r="I2241" s="55" t="s">
        <v>3926</v>
      </c>
      <c r="J2241" s="55" t="s">
        <v>3347</v>
      </c>
      <c r="L2241" s="55" t="s">
        <v>3927</v>
      </c>
      <c r="M2241" s="55" t="s">
        <v>144</v>
      </c>
      <c r="N2241" s="55" t="s">
        <v>144</v>
      </c>
      <c r="O2241" s="55" t="s">
        <v>209</v>
      </c>
      <c r="P2241" s="55" t="s">
        <v>474</v>
      </c>
      <c r="Q2241" s="55" t="s">
        <v>420</v>
      </c>
      <c r="R2241" s="55">
        <v>195</v>
      </c>
      <c r="S2241" s="55"/>
      <c r="T2241" s="55" t="s">
        <v>3925</v>
      </c>
    </row>
    <row r="2242" spans="1:20" ht="13" x14ac:dyDescent="0.15">
      <c r="A2242" s="72" t="str">
        <f t="shared" si="34"/>
        <v>Ofsted Social Care Provider Webpage</v>
      </c>
      <c r="B2242" s="55" t="s">
        <v>3928</v>
      </c>
      <c r="C2242" s="55">
        <v>132779</v>
      </c>
      <c r="D2242" s="55" t="s">
        <v>693</v>
      </c>
      <c r="E2242" s="74">
        <v>37663</v>
      </c>
      <c r="F2242" s="55" t="s">
        <v>344</v>
      </c>
      <c r="G2242" s="55" t="s">
        <v>3929</v>
      </c>
      <c r="H2242" s="55" t="s">
        <v>3929</v>
      </c>
      <c r="I2242" s="55" t="s">
        <v>3930</v>
      </c>
      <c r="J2242" s="55" t="s">
        <v>3670</v>
      </c>
      <c r="K2242" s="55" t="s">
        <v>288</v>
      </c>
      <c r="L2242" s="55" t="s">
        <v>3931</v>
      </c>
      <c r="M2242" s="55" t="s">
        <v>136</v>
      </c>
      <c r="N2242" s="55" t="s">
        <v>136</v>
      </c>
      <c r="O2242" s="55" t="s">
        <v>288</v>
      </c>
      <c r="P2242" s="55" t="s">
        <v>1101</v>
      </c>
      <c r="Q2242" s="55" t="s">
        <v>362</v>
      </c>
      <c r="R2242" s="55">
        <v>219</v>
      </c>
      <c r="S2242" s="55"/>
      <c r="T2242" s="55" t="s">
        <v>3929</v>
      </c>
    </row>
    <row r="2243" spans="1:20" ht="13" x14ac:dyDescent="0.15">
      <c r="A2243" s="72" t="str">
        <f t="shared" si="34"/>
        <v>Ofsted Social Care Provider Webpage</v>
      </c>
      <c r="B2243" s="55" t="s">
        <v>3932</v>
      </c>
      <c r="D2243" s="55" t="s">
        <v>2864</v>
      </c>
      <c r="E2243" s="74">
        <v>37923</v>
      </c>
      <c r="F2243" s="55" t="s">
        <v>344</v>
      </c>
      <c r="G2243" s="55" t="s">
        <v>360</v>
      </c>
      <c r="H2243" s="55" t="s">
        <v>360</v>
      </c>
      <c r="I2243" s="55" t="s">
        <v>360</v>
      </c>
      <c r="J2243" s="55" t="s">
        <v>360</v>
      </c>
      <c r="K2243" s="55" t="s">
        <v>360</v>
      </c>
      <c r="L2243" s="55" t="s">
        <v>360</v>
      </c>
      <c r="M2243" s="55" t="s">
        <v>172</v>
      </c>
      <c r="N2243" s="55" t="s">
        <v>172</v>
      </c>
      <c r="O2243" s="55" t="s">
        <v>214</v>
      </c>
      <c r="P2243" s="55" t="s">
        <v>1426</v>
      </c>
      <c r="Q2243" s="55" t="s">
        <v>380</v>
      </c>
      <c r="R2243" s="55">
        <v>12</v>
      </c>
      <c r="S2243" s="55"/>
      <c r="T2243" s="55" t="s">
        <v>3933</v>
      </c>
    </row>
    <row r="2244" spans="1:20" ht="13" x14ac:dyDescent="0.15">
      <c r="A2244" s="72" t="str">
        <f t="shared" si="34"/>
        <v>Ofsted Social Care Provider Webpage</v>
      </c>
      <c r="B2244" s="55" t="s">
        <v>3934</v>
      </c>
      <c r="D2244" s="55" t="s">
        <v>373</v>
      </c>
      <c r="E2244" s="74">
        <v>38015</v>
      </c>
      <c r="F2244" s="55" t="s">
        <v>344</v>
      </c>
      <c r="G2244" s="55" t="s">
        <v>360</v>
      </c>
      <c r="H2244" s="55" t="s">
        <v>360</v>
      </c>
      <c r="I2244" s="55" t="s">
        <v>360</v>
      </c>
      <c r="J2244" s="55" t="s">
        <v>360</v>
      </c>
      <c r="K2244" s="55" t="s">
        <v>360</v>
      </c>
      <c r="L2244" s="55" t="s">
        <v>360</v>
      </c>
      <c r="M2244" s="55" t="s">
        <v>172</v>
      </c>
      <c r="N2244" s="55" t="s">
        <v>172</v>
      </c>
      <c r="O2244" s="55" t="s">
        <v>214</v>
      </c>
      <c r="P2244" s="55" t="s">
        <v>1561</v>
      </c>
      <c r="Q2244" s="55" t="s">
        <v>380</v>
      </c>
      <c r="R2244" s="55">
        <v>6</v>
      </c>
      <c r="S2244" s="55"/>
      <c r="T2244" s="55" t="s">
        <v>3933</v>
      </c>
    </row>
    <row r="2245" spans="1:20" ht="13" x14ac:dyDescent="0.15">
      <c r="A2245" s="72" t="str">
        <f t="shared" ref="A2245:A2308" si="35">HYPERLINK(_xlfn.CONCAT("http://reports.ofsted.gov.uk/inspection-reports/find-inspection-report/provider/CARE/",B2245),"Ofsted Social Care Provider Webpage")</f>
        <v>Ofsted Social Care Provider Webpage</v>
      </c>
      <c r="B2245" s="55" t="s">
        <v>3935</v>
      </c>
      <c r="D2245" s="55" t="s">
        <v>373</v>
      </c>
      <c r="E2245" s="74">
        <v>38037</v>
      </c>
      <c r="F2245" s="55" t="s">
        <v>344</v>
      </c>
      <c r="G2245" s="55" t="s">
        <v>360</v>
      </c>
      <c r="H2245" s="55" t="s">
        <v>360</v>
      </c>
      <c r="I2245" s="55" t="s">
        <v>360</v>
      </c>
      <c r="J2245" s="55" t="s">
        <v>360</v>
      </c>
      <c r="K2245" s="55" t="s">
        <v>360</v>
      </c>
      <c r="L2245" s="55" t="s">
        <v>360</v>
      </c>
      <c r="M2245" s="55" t="s">
        <v>172</v>
      </c>
      <c r="N2245" s="55" t="s">
        <v>172</v>
      </c>
      <c r="O2245" s="55" t="s">
        <v>214</v>
      </c>
      <c r="P2245" s="55" t="s">
        <v>790</v>
      </c>
      <c r="Q2245" s="55" t="s">
        <v>380</v>
      </c>
      <c r="R2245" s="55">
        <v>7</v>
      </c>
      <c r="S2245" s="55"/>
      <c r="T2245" s="55" t="s">
        <v>3933</v>
      </c>
    </row>
    <row r="2246" spans="1:20" ht="13" x14ac:dyDescent="0.15">
      <c r="A2246" s="72" t="str">
        <f t="shared" si="35"/>
        <v>Ofsted Social Care Provider Webpage</v>
      </c>
      <c r="B2246" s="55" t="s">
        <v>3936</v>
      </c>
      <c r="D2246" s="55" t="s">
        <v>373</v>
      </c>
      <c r="E2246" s="74">
        <v>37949</v>
      </c>
      <c r="F2246" s="55" t="s">
        <v>344</v>
      </c>
      <c r="G2246" s="55" t="s">
        <v>360</v>
      </c>
      <c r="H2246" s="55" t="s">
        <v>360</v>
      </c>
      <c r="I2246" s="55" t="s">
        <v>360</v>
      </c>
      <c r="J2246" s="55" t="s">
        <v>360</v>
      </c>
      <c r="K2246" s="55" t="s">
        <v>360</v>
      </c>
      <c r="L2246" s="55" t="s">
        <v>360</v>
      </c>
      <c r="M2246" s="55" t="s">
        <v>172</v>
      </c>
      <c r="N2246" s="55" t="s">
        <v>172</v>
      </c>
      <c r="O2246" s="55" t="s">
        <v>214</v>
      </c>
      <c r="P2246" s="55" t="s">
        <v>3937</v>
      </c>
      <c r="Q2246" s="55" t="s">
        <v>380</v>
      </c>
      <c r="R2246" s="55">
        <v>5</v>
      </c>
      <c r="S2246" s="55" t="s">
        <v>332</v>
      </c>
      <c r="T2246" s="55" t="s">
        <v>3933</v>
      </c>
    </row>
    <row r="2247" spans="1:20" ht="13" x14ac:dyDescent="0.15">
      <c r="A2247" s="72" t="str">
        <f t="shared" si="35"/>
        <v>Ofsted Social Care Provider Webpage</v>
      </c>
      <c r="B2247" s="55" t="s">
        <v>3938</v>
      </c>
      <c r="D2247" s="55" t="s">
        <v>373</v>
      </c>
      <c r="E2247" s="74">
        <v>37903</v>
      </c>
      <c r="F2247" s="55" t="s">
        <v>344</v>
      </c>
      <c r="G2247" s="55" t="s">
        <v>360</v>
      </c>
      <c r="H2247" s="55" t="s">
        <v>360</v>
      </c>
      <c r="I2247" s="55" t="s">
        <v>360</v>
      </c>
      <c r="J2247" s="55" t="s">
        <v>360</v>
      </c>
      <c r="K2247" s="55" t="s">
        <v>360</v>
      </c>
      <c r="L2247" s="55" t="s">
        <v>360</v>
      </c>
      <c r="M2247" s="55" t="s">
        <v>172</v>
      </c>
      <c r="N2247" s="55" t="s">
        <v>172</v>
      </c>
      <c r="O2247" s="55" t="s">
        <v>214</v>
      </c>
      <c r="P2247" s="55" t="s">
        <v>1632</v>
      </c>
      <c r="Q2247" s="55" t="s">
        <v>380</v>
      </c>
      <c r="R2247" s="55">
        <v>6</v>
      </c>
      <c r="S2247" s="55" t="s">
        <v>332</v>
      </c>
      <c r="T2247" s="55" t="s">
        <v>3933</v>
      </c>
    </row>
    <row r="2248" spans="1:20" ht="13" x14ac:dyDescent="0.15">
      <c r="A2248" s="72" t="str">
        <f t="shared" si="35"/>
        <v>Ofsted Social Care Provider Webpage</v>
      </c>
      <c r="B2248" s="55" t="s">
        <v>3939</v>
      </c>
      <c r="C2248" s="55">
        <v>117044</v>
      </c>
      <c r="D2248" s="55" t="s">
        <v>398</v>
      </c>
      <c r="E2248" s="74">
        <v>37666</v>
      </c>
      <c r="F2248" s="55" t="s">
        <v>344</v>
      </c>
      <c r="G2248" s="55" t="s">
        <v>3940</v>
      </c>
      <c r="H2248" s="55" t="s">
        <v>3941</v>
      </c>
      <c r="I2248" s="55" t="s">
        <v>3942</v>
      </c>
      <c r="J2248" s="55" t="s">
        <v>3943</v>
      </c>
      <c r="K2248" s="55" t="s">
        <v>293</v>
      </c>
      <c r="L2248" s="55" t="s">
        <v>3944</v>
      </c>
      <c r="M2248" s="55" t="s">
        <v>142</v>
      </c>
      <c r="N2248" s="55" t="s">
        <v>142</v>
      </c>
      <c r="O2248" s="55" t="s">
        <v>293</v>
      </c>
      <c r="P2248" s="55" t="s">
        <v>1422</v>
      </c>
      <c r="Q2248" s="55" t="s">
        <v>362</v>
      </c>
      <c r="R2248" s="55">
        <v>189</v>
      </c>
      <c r="S2248" s="55"/>
      <c r="T2248" s="55" t="s">
        <v>3945</v>
      </c>
    </row>
    <row r="2249" spans="1:20" ht="13" x14ac:dyDescent="0.15">
      <c r="A2249" s="72" t="str">
        <f t="shared" si="35"/>
        <v>Ofsted Social Care Provider Webpage</v>
      </c>
      <c r="B2249" s="55" t="s">
        <v>3946</v>
      </c>
      <c r="C2249" s="55">
        <v>117064</v>
      </c>
      <c r="D2249" s="55" t="s">
        <v>413</v>
      </c>
      <c r="E2249" s="74">
        <v>37666</v>
      </c>
      <c r="F2249" s="55" t="s">
        <v>344</v>
      </c>
      <c r="G2249" s="55" t="s">
        <v>3947</v>
      </c>
      <c r="H2249" s="55" t="s">
        <v>3948</v>
      </c>
      <c r="I2249" s="55" t="s">
        <v>3949</v>
      </c>
      <c r="J2249" s="55" t="s">
        <v>2226</v>
      </c>
      <c r="L2249" s="55" t="s">
        <v>3950</v>
      </c>
      <c r="M2249" s="55" t="s">
        <v>142</v>
      </c>
      <c r="N2249" s="55" t="s">
        <v>142</v>
      </c>
      <c r="O2249" s="55" t="s">
        <v>293</v>
      </c>
      <c r="P2249" s="55" t="s">
        <v>1060</v>
      </c>
      <c r="Q2249" s="55" t="s">
        <v>350</v>
      </c>
      <c r="R2249" s="55">
        <v>74</v>
      </c>
      <c r="S2249" s="55"/>
      <c r="T2249" s="55" t="s">
        <v>3947</v>
      </c>
    </row>
    <row r="2250" spans="1:20" ht="13" x14ac:dyDescent="0.15">
      <c r="A2250" s="72" t="str">
        <f t="shared" si="35"/>
        <v>Ofsted Social Care Provider Webpage</v>
      </c>
      <c r="B2250" s="55" t="s">
        <v>3951</v>
      </c>
      <c r="C2250" s="55">
        <v>148347</v>
      </c>
      <c r="D2250" s="55" t="s">
        <v>413</v>
      </c>
      <c r="E2250" s="74">
        <v>37666</v>
      </c>
      <c r="F2250" s="55" t="s">
        <v>344</v>
      </c>
      <c r="G2250" s="55" t="s">
        <v>3952</v>
      </c>
      <c r="H2250" s="55" t="s">
        <v>3952</v>
      </c>
      <c r="I2250" s="55" t="s">
        <v>3953</v>
      </c>
      <c r="J2250" s="55" t="s">
        <v>3954</v>
      </c>
      <c r="K2250" s="55" t="s">
        <v>293</v>
      </c>
      <c r="L2250" s="55" t="s">
        <v>3955</v>
      </c>
      <c r="M2250" s="55" t="s">
        <v>142</v>
      </c>
      <c r="N2250" s="55" t="s">
        <v>142</v>
      </c>
      <c r="O2250" s="55" t="s">
        <v>293</v>
      </c>
      <c r="P2250" s="55" t="s">
        <v>1136</v>
      </c>
      <c r="Q2250" s="55" t="s">
        <v>420</v>
      </c>
      <c r="R2250" s="55">
        <v>15</v>
      </c>
      <c r="S2250" s="55"/>
      <c r="T2250" s="55" t="s">
        <v>3956</v>
      </c>
    </row>
    <row r="2251" spans="1:20" ht="13" x14ac:dyDescent="0.15">
      <c r="A2251" s="72" t="str">
        <f t="shared" si="35"/>
        <v>Ofsted Social Care Provider Webpage</v>
      </c>
      <c r="B2251" s="55" t="s">
        <v>3957</v>
      </c>
      <c r="D2251" s="55" t="s">
        <v>389</v>
      </c>
      <c r="E2251" s="74">
        <v>37736</v>
      </c>
      <c r="F2251" s="55" t="s">
        <v>344</v>
      </c>
      <c r="G2251" s="55" t="s">
        <v>3958</v>
      </c>
      <c r="H2251" s="55" t="s">
        <v>3192</v>
      </c>
      <c r="I2251" s="55" t="s">
        <v>3193</v>
      </c>
      <c r="J2251" s="55" t="s">
        <v>3194</v>
      </c>
      <c r="L2251" s="55" t="s">
        <v>3195</v>
      </c>
      <c r="M2251" s="55" t="s">
        <v>378</v>
      </c>
      <c r="N2251" s="55" t="s">
        <v>170</v>
      </c>
      <c r="O2251" s="55" t="s">
        <v>233</v>
      </c>
      <c r="P2251" s="55" t="s">
        <v>1376</v>
      </c>
      <c r="Q2251" s="55" t="s">
        <v>362</v>
      </c>
      <c r="R2251" s="55"/>
      <c r="S2251" s="55"/>
      <c r="T2251" s="55" t="s">
        <v>3196</v>
      </c>
    </row>
    <row r="2252" spans="1:20" ht="13" x14ac:dyDescent="0.15">
      <c r="A2252" s="72" t="str">
        <f t="shared" si="35"/>
        <v>Ofsted Social Care Provider Webpage</v>
      </c>
      <c r="B2252" s="55" t="s">
        <v>3959</v>
      </c>
      <c r="C2252" s="55">
        <v>104417</v>
      </c>
      <c r="D2252" s="55" t="s">
        <v>413</v>
      </c>
      <c r="E2252" s="74">
        <v>37670</v>
      </c>
      <c r="F2252" s="55" t="s">
        <v>344</v>
      </c>
      <c r="G2252" s="55" t="s">
        <v>3960</v>
      </c>
      <c r="H2252" s="55" t="s">
        <v>3960</v>
      </c>
      <c r="I2252" s="55" t="s">
        <v>3961</v>
      </c>
      <c r="J2252" s="55" t="s">
        <v>3455</v>
      </c>
      <c r="L2252" s="55" t="s">
        <v>3962</v>
      </c>
      <c r="M2252" s="55" t="s">
        <v>142</v>
      </c>
      <c r="N2252" s="55" t="s">
        <v>142</v>
      </c>
      <c r="O2252" s="55" t="s">
        <v>292</v>
      </c>
      <c r="P2252" s="55" t="s">
        <v>976</v>
      </c>
      <c r="Q2252" s="55" t="s">
        <v>380</v>
      </c>
      <c r="R2252" s="55">
        <v>6</v>
      </c>
      <c r="S2252" s="55"/>
      <c r="T2252" s="55" t="s">
        <v>3963</v>
      </c>
    </row>
    <row r="2253" spans="1:20" ht="13" x14ac:dyDescent="0.15">
      <c r="A2253" s="72" t="str">
        <f t="shared" si="35"/>
        <v>Ofsted Social Care Provider Webpage</v>
      </c>
      <c r="B2253" s="55" t="s">
        <v>3964</v>
      </c>
      <c r="D2253" s="55" t="s">
        <v>373</v>
      </c>
      <c r="E2253" s="74">
        <v>37736</v>
      </c>
      <c r="F2253" s="55" t="s">
        <v>344</v>
      </c>
      <c r="G2253" s="55" t="s">
        <v>360</v>
      </c>
      <c r="H2253" s="55" t="s">
        <v>360</v>
      </c>
      <c r="I2253" s="55" t="s">
        <v>360</v>
      </c>
      <c r="J2253" s="55" t="s">
        <v>360</v>
      </c>
      <c r="K2253" s="55" t="s">
        <v>360</v>
      </c>
      <c r="L2253" s="55" t="s">
        <v>360</v>
      </c>
      <c r="M2253" s="55" t="s">
        <v>136</v>
      </c>
      <c r="N2253" s="55" t="s">
        <v>136</v>
      </c>
      <c r="O2253" s="55" t="s">
        <v>288</v>
      </c>
      <c r="P2253" s="55" t="s">
        <v>1388</v>
      </c>
      <c r="Q2253" s="55" t="s">
        <v>350</v>
      </c>
      <c r="R2253" s="55">
        <v>4</v>
      </c>
      <c r="S2253" s="55"/>
      <c r="T2253" s="55" t="s">
        <v>832</v>
      </c>
    </row>
    <row r="2254" spans="1:20" ht="13" x14ac:dyDescent="0.15">
      <c r="A2254" s="72" t="str">
        <f t="shared" si="35"/>
        <v>Ofsted Social Care Provider Webpage</v>
      </c>
      <c r="B2254" s="55" t="s">
        <v>3965</v>
      </c>
      <c r="D2254" s="55" t="s">
        <v>373</v>
      </c>
      <c r="E2254" s="74">
        <v>38006</v>
      </c>
      <c r="F2254" s="55" t="s">
        <v>344</v>
      </c>
      <c r="G2254" s="55" t="s">
        <v>360</v>
      </c>
      <c r="H2254" s="55" t="s">
        <v>360</v>
      </c>
      <c r="I2254" s="55" t="s">
        <v>360</v>
      </c>
      <c r="J2254" s="55" t="s">
        <v>360</v>
      </c>
      <c r="K2254" s="55" t="s">
        <v>360</v>
      </c>
      <c r="L2254" s="55" t="s">
        <v>360</v>
      </c>
      <c r="M2254" s="55" t="s">
        <v>172</v>
      </c>
      <c r="N2254" s="55" t="s">
        <v>172</v>
      </c>
      <c r="O2254" s="55" t="s">
        <v>214</v>
      </c>
      <c r="P2254" s="55" t="s">
        <v>1426</v>
      </c>
      <c r="Q2254" s="55" t="s">
        <v>380</v>
      </c>
      <c r="R2254" s="55">
        <v>6</v>
      </c>
      <c r="S2254" s="55"/>
      <c r="T2254" s="55" t="s">
        <v>3933</v>
      </c>
    </row>
    <row r="2255" spans="1:20" ht="13" x14ac:dyDescent="0.15">
      <c r="A2255" s="72" t="str">
        <f t="shared" si="35"/>
        <v>Ofsted Social Care Provider Webpage</v>
      </c>
      <c r="B2255" s="55" t="s">
        <v>3966</v>
      </c>
      <c r="D2255" s="55" t="s">
        <v>389</v>
      </c>
      <c r="E2255" s="74">
        <v>38043</v>
      </c>
      <c r="F2255" s="55" t="s">
        <v>344</v>
      </c>
      <c r="G2255" s="55" t="s">
        <v>3967</v>
      </c>
      <c r="H2255" s="55" t="s">
        <v>3968</v>
      </c>
      <c r="I2255" s="55" t="s">
        <v>3969</v>
      </c>
      <c r="J2255" s="55" t="s">
        <v>129</v>
      </c>
      <c r="L2255" s="55" t="s">
        <v>3970</v>
      </c>
      <c r="M2255" s="55" t="s">
        <v>129</v>
      </c>
      <c r="N2255" s="55" t="s">
        <v>129</v>
      </c>
      <c r="O2255" s="55" t="s">
        <v>260</v>
      </c>
      <c r="P2255" s="55" t="s">
        <v>753</v>
      </c>
      <c r="Q2255" s="55" t="s">
        <v>350</v>
      </c>
      <c r="R2255" s="55"/>
      <c r="S2255" s="55"/>
      <c r="T2255" s="55" t="s">
        <v>3968</v>
      </c>
    </row>
    <row r="2256" spans="1:20" ht="13" x14ac:dyDescent="0.15">
      <c r="A2256" s="72" t="str">
        <f t="shared" si="35"/>
        <v>Ofsted Social Care Provider Webpage</v>
      </c>
      <c r="B2256" s="55" t="s">
        <v>3971</v>
      </c>
      <c r="D2256" s="55" t="s">
        <v>389</v>
      </c>
      <c r="E2256" s="74">
        <v>38187</v>
      </c>
      <c r="F2256" s="55" t="s">
        <v>344</v>
      </c>
      <c r="G2256" s="55" t="s">
        <v>3372</v>
      </c>
      <c r="H2256" s="55" t="s">
        <v>3972</v>
      </c>
      <c r="I2256" s="55" t="s">
        <v>3973</v>
      </c>
      <c r="J2256" s="55" t="s">
        <v>3974</v>
      </c>
      <c r="L2256" s="55" t="s">
        <v>3975</v>
      </c>
      <c r="M2256" s="55" t="s">
        <v>144</v>
      </c>
      <c r="N2256" s="55" t="s">
        <v>144</v>
      </c>
      <c r="O2256" s="55" t="s">
        <v>276</v>
      </c>
      <c r="P2256" s="55" t="s">
        <v>3052</v>
      </c>
      <c r="Q2256" s="55" t="s">
        <v>350</v>
      </c>
      <c r="R2256" s="55"/>
      <c r="S2256" s="55"/>
      <c r="T2256" s="55" t="s">
        <v>3372</v>
      </c>
    </row>
    <row r="2257" spans="1:20" ht="13" x14ac:dyDescent="0.15">
      <c r="A2257" s="72" t="str">
        <f t="shared" si="35"/>
        <v>Ofsted Social Care Provider Webpage</v>
      </c>
      <c r="B2257" s="55" t="s">
        <v>3976</v>
      </c>
      <c r="D2257" s="55" t="s">
        <v>389</v>
      </c>
      <c r="E2257" s="74">
        <v>38006</v>
      </c>
      <c r="F2257" s="55" t="s">
        <v>344</v>
      </c>
      <c r="G2257" s="55" t="s">
        <v>3977</v>
      </c>
      <c r="H2257" s="55" t="s">
        <v>3978</v>
      </c>
      <c r="I2257" s="55" t="s">
        <v>3979</v>
      </c>
      <c r="J2257" s="55" t="s">
        <v>1650</v>
      </c>
      <c r="K2257" s="55" t="s">
        <v>183</v>
      </c>
      <c r="L2257" s="55" t="s">
        <v>3980</v>
      </c>
      <c r="M2257" s="55" t="s">
        <v>129</v>
      </c>
      <c r="N2257" s="55" t="s">
        <v>129</v>
      </c>
      <c r="O2257" s="55" t="s">
        <v>242</v>
      </c>
      <c r="P2257" s="55" t="s">
        <v>1192</v>
      </c>
      <c r="Q2257" s="55" t="s">
        <v>362</v>
      </c>
      <c r="R2257" s="55"/>
      <c r="S2257" s="55"/>
      <c r="T2257" s="55" t="s">
        <v>1884</v>
      </c>
    </row>
    <row r="2258" spans="1:20" ht="13" x14ac:dyDescent="0.15">
      <c r="A2258" s="72" t="str">
        <f t="shared" si="35"/>
        <v>Ofsted Social Care Provider Webpage</v>
      </c>
      <c r="B2258" s="55" t="s">
        <v>3981</v>
      </c>
      <c r="D2258" s="55" t="s">
        <v>389</v>
      </c>
      <c r="E2258" s="74">
        <v>37700</v>
      </c>
      <c r="F2258" s="55" t="s">
        <v>344</v>
      </c>
      <c r="G2258" s="55" t="s">
        <v>3982</v>
      </c>
      <c r="H2258" s="55" t="s">
        <v>3983</v>
      </c>
      <c r="I2258" s="55" t="s">
        <v>354</v>
      </c>
      <c r="J2258" s="55" t="s">
        <v>3411</v>
      </c>
      <c r="K2258" s="55" t="s">
        <v>203</v>
      </c>
      <c r="L2258" s="55" t="s">
        <v>3984</v>
      </c>
      <c r="M2258" s="55" t="s">
        <v>150</v>
      </c>
      <c r="N2258" s="55" t="s">
        <v>150</v>
      </c>
      <c r="O2258" s="55" t="s">
        <v>203</v>
      </c>
      <c r="P2258" s="55" t="s">
        <v>563</v>
      </c>
      <c r="Q2258" s="55" t="s">
        <v>350</v>
      </c>
      <c r="R2258" s="55"/>
      <c r="S2258" s="55"/>
      <c r="T2258" s="55" t="s">
        <v>3985</v>
      </c>
    </row>
    <row r="2259" spans="1:20" ht="13" x14ac:dyDescent="0.15">
      <c r="A2259" s="72" t="str">
        <f t="shared" si="35"/>
        <v>Ofsted Social Care Provider Webpage</v>
      </c>
      <c r="B2259" s="55" t="s">
        <v>3986</v>
      </c>
      <c r="C2259" s="55">
        <v>130748</v>
      </c>
      <c r="D2259" s="55" t="s">
        <v>693</v>
      </c>
      <c r="E2259" s="74">
        <v>37684</v>
      </c>
      <c r="F2259" s="55" t="s">
        <v>344</v>
      </c>
      <c r="G2259" s="55" t="s">
        <v>3987</v>
      </c>
      <c r="H2259" s="55" t="s">
        <v>3988</v>
      </c>
      <c r="I2259" s="55" t="s">
        <v>3989</v>
      </c>
      <c r="J2259" s="55" t="s">
        <v>3990</v>
      </c>
      <c r="K2259" s="55" t="s">
        <v>212</v>
      </c>
      <c r="L2259" s="55" t="s">
        <v>3991</v>
      </c>
      <c r="M2259" s="55" t="s">
        <v>172</v>
      </c>
      <c r="N2259" s="55" t="s">
        <v>172</v>
      </c>
      <c r="O2259" s="55" t="s">
        <v>212</v>
      </c>
      <c r="P2259" s="55" t="s">
        <v>714</v>
      </c>
      <c r="Q2259" s="55" t="s">
        <v>380</v>
      </c>
      <c r="R2259" s="55">
        <v>187</v>
      </c>
      <c r="S2259" s="55"/>
      <c r="T2259" s="55" t="s">
        <v>3992</v>
      </c>
    </row>
    <row r="2260" spans="1:20" ht="13" x14ac:dyDescent="0.15">
      <c r="A2260" s="72" t="str">
        <f t="shared" si="35"/>
        <v>Ofsted Social Care Provider Webpage</v>
      </c>
      <c r="B2260" s="55" t="s">
        <v>3993</v>
      </c>
      <c r="D2260" s="55" t="s">
        <v>373</v>
      </c>
      <c r="E2260" s="74">
        <v>37932</v>
      </c>
      <c r="F2260" s="55" t="s">
        <v>344</v>
      </c>
      <c r="G2260" s="55" t="s">
        <v>360</v>
      </c>
      <c r="H2260" s="55" t="s">
        <v>360</v>
      </c>
      <c r="I2260" s="55" t="s">
        <v>360</v>
      </c>
      <c r="J2260" s="55" t="s">
        <v>360</v>
      </c>
      <c r="K2260" s="55" t="s">
        <v>360</v>
      </c>
      <c r="L2260" s="55" t="s">
        <v>360</v>
      </c>
      <c r="M2260" s="55" t="s">
        <v>144</v>
      </c>
      <c r="N2260" s="55" t="s">
        <v>144</v>
      </c>
      <c r="O2260" s="55" t="s">
        <v>271</v>
      </c>
      <c r="P2260" s="55" t="s">
        <v>870</v>
      </c>
      <c r="Q2260" s="55" t="s">
        <v>350</v>
      </c>
      <c r="R2260" s="55">
        <v>7</v>
      </c>
      <c r="S2260" s="55"/>
      <c r="T2260" s="55" t="s">
        <v>630</v>
      </c>
    </row>
    <row r="2261" spans="1:20" ht="13" x14ac:dyDescent="0.15">
      <c r="A2261" s="72" t="str">
        <f t="shared" si="35"/>
        <v>Ofsted Social Care Provider Webpage</v>
      </c>
      <c r="B2261" s="55" t="s">
        <v>3994</v>
      </c>
      <c r="D2261" s="55" t="s">
        <v>373</v>
      </c>
      <c r="E2261" s="74">
        <v>37903</v>
      </c>
      <c r="F2261" s="55" t="s">
        <v>344</v>
      </c>
      <c r="G2261" s="55" t="s">
        <v>360</v>
      </c>
      <c r="H2261" s="55" t="s">
        <v>360</v>
      </c>
      <c r="I2261" s="55" t="s">
        <v>360</v>
      </c>
      <c r="J2261" s="55" t="s">
        <v>360</v>
      </c>
      <c r="K2261" s="55" t="s">
        <v>360</v>
      </c>
      <c r="L2261" s="55" t="s">
        <v>360</v>
      </c>
      <c r="M2261" s="55" t="s">
        <v>172</v>
      </c>
      <c r="N2261" s="55" t="s">
        <v>172</v>
      </c>
      <c r="O2261" s="55" t="s">
        <v>214</v>
      </c>
      <c r="P2261" s="55" t="s">
        <v>1345</v>
      </c>
      <c r="Q2261" s="55" t="s">
        <v>380</v>
      </c>
      <c r="R2261" s="55">
        <v>11</v>
      </c>
      <c r="S2261" s="55"/>
      <c r="T2261" s="55" t="s">
        <v>3933</v>
      </c>
    </row>
    <row r="2262" spans="1:20" ht="13" x14ac:dyDescent="0.15">
      <c r="A2262" s="72" t="str">
        <f t="shared" si="35"/>
        <v>Ofsted Social Care Provider Webpage</v>
      </c>
      <c r="B2262" s="55" t="s">
        <v>3995</v>
      </c>
      <c r="D2262" s="55" t="s">
        <v>389</v>
      </c>
      <c r="E2262" s="74">
        <v>37763</v>
      </c>
      <c r="F2262" s="55" t="s">
        <v>344</v>
      </c>
      <c r="G2262" s="55" t="s">
        <v>3996</v>
      </c>
      <c r="H2262" s="55" t="s">
        <v>3996</v>
      </c>
      <c r="I2262" s="55" t="s">
        <v>3997</v>
      </c>
      <c r="J2262" s="55" t="s">
        <v>234</v>
      </c>
      <c r="L2262" s="55" t="s">
        <v>3998</v>
      </c>
      <c r="M2262" s="55" t="s">
        <v>172</v>
      </c>
      <c r="N2262" s="55" t="s">
        <v>172</v>
      </c>
      <c r="O2262" s="55" t="s">
        <v>235</v>
      </c>
      <c r="P2262" s="55" t="s">
        <v>948</v>
      </c>
      <c r="Q2262" s="55" t="s">
        <v>350</v>
      </c>
      <c r="R2262" s="55"/>
      <c r="S2262" s="55"/>
      <c r="T2262" s="55" t="s">
        <v>3999</v>
      </c>
    </row>
    <row r="2263" spans="1:20" ht="13" x14ac:dyDescent="0.15">
      <c r="A2263" s="72" t="str">
        <f t="shared" si="35"/>
        <v>Ofsted Social Care Provider Webpage</v>
      </c>
      <c r="B2263" s="55" t="s">
        <v>4000</v>
      </c>
      <c r="D2263" s="55" t="s">
        <v>373</v>
      </c>
      <c r="E2263" s="74">
        <v>37802</v>
      </c>
      <c r="F2263" s="55" t="s">
        <v>344</v>
      </c>
      <c r="G2263" s="55" t="s">
        <v>360</v>
      </c>
      <c r="H2263" s="55" t="s">
        <v>360</v>
      </c>
      <c r="I2263" s="55" t="s">
        <v>360</v>
      </c>
      <c r="J2263" s="55" t="s">
        <v>360</v>
      </c>
      <c r="K2263" s="55" t="s">
        <v>360</v>
      </c>
      <c r="L2263" s="55" t="s">
        <v>360</v>
      </c>
      <c r="M2263" s="55" t="s">
        <v>144</v>
      </c>
      <c r="N2263" s="55" t="s">
        <v>144</v>
      </c>
      <c r="O2263" s="55" t="s">
        <v>217</v>
      </c>
      <c r="P2263" s="55" t="s">
        <v>384</v>
      </c>
      <c r="Q2263" s="55" t="s">
        <v>350</v>
      </c>
      <c r="R2263" s="55">
        <v>5</v>
      </c>
      <c r="S2263" s="55"/>
      <c r="T2263" s="55" t="s">
        <v>385</v>
      </c>
    </row>
    <row r="2264" spans="1:20" ht="13" x14ac:dyDescent="0.15">
      <c r="A2264" s="72" t="str">
        <f t="shared" si="35"/>
        <v>Ofsted Social Care Provider Webpage</v>
      </c>
      <c r="B2264" s="55" t="s">
        <v>4001</v>
      </c>
      <c r="D2264" s="55" t="s">
        <v>479</v>
      </c>
      <c r="E2264" s="74">
        <v>38481</v>
      </c>
      <c r="F2264" s="55" t="s">
        <v>344</v>
      </c>
      <c r="G2264" s="55" t="s">
        <v>360</v>
      </c>
      <c r="H2264" s="55" t="s">
        <v>360</v>
      </c>
      <c r="I2264" s="55" t="s">
        <v>360</v>
      </c>
      <c r="J2264" s="55" t="s">
        <v>360</v>
      </c>
      <c r="K2264" s="55" t="s">
        <v>360</v>
      </c>
      <c r="L2264" s="55" t="s">
        <v>360</v>
      </c>
      <c r="M2264" s="55" t="s">
        <v>150</v>
      </c>
      <c r="N2264" s="55" t="s">
        <v>150</v>
      </c>
      <c r="O2264" s="55" t="s">
        <v>156</v>
      </c>
      <c r="P2264" s="55" t="s">
        <v>1576</v>
      </c>
      <c r="Q2264" s="55" t="s">
        <v>362</v>
      </c>
      <c r="R2264" s="55">
        <v>20</v>
      </c>
      <c r="S2264" s="55"/>
      <c r="T2264" s="55" t="s">
        <v>1459</v>
      </c>
    </row>
    <row r="2265" spans="1:20" ht="13" x14ac:dyDescent="0.15">
      <c r="A2265" s="72" t="str">
        <f t="shared" si="35"/>
        <v>Ofsted Social Care Provider Webpage</v>
      </c>
      <c r="B2265" s="55" t="s">
        <v>4002</v>
      </c>
      <c r="C2265" s="55">
        <v>138547</v>
      </c>
      <c r="D2265" s="55" t="s">
        <v>413</v>
      </c>
      <c r="E2265" s="74">
        <v>37697</v>
      </c>
      <c r="F2265" s="55" t="s">
        <v>344</v>
      </c>
      <c r="G2265" s="55" t="s">
        <v>4003</v>
      </c>
      <c r="H2265" s="55" t="s">
        <v>4004</v>
      </c>
      <c r="I2265" s="55" t="s">
        <v>354</v>
      </c>
      <c r="J2265" s="55" t="s">
        <v>129</v>
      </c>
      <c r="K2265" s="55" t="s">
        <v>2578</v>
      </c>
      <c r="L2265" s="55" t="s">
        <v>4005</v>
      </c>
      <c r="M2265" s="55" t="s">
        <v>129</v>
      </c>
      <c r="N2265" s="55" t="s">
        <v>129</v>
      </c>
      <c r="O2265" s="55" t="s">
        <v>186</v>
      </c>
      <c r="P2265" s="55" t="s">
        <v>2125</v>
      </c>
      <c r="Q2265" s="55" t="s">
        <v>420</v>
      </c>
      <c r="R2265" s="55">
        <v>11</v>
      </c>
      <c r="S2265" s="55"/>
      <c r="T2265" s="55" t="s">
        <v>4003</v>
      </c>
    </row>
    <row r="2266" spans="1:20" ht="13" x14ac:dyDescent="0.15">
      <c r="A2266" s="72" t="str">
        <f t="shared" si="35"/>
        <v>Ofsted Social Care Provider Webpage</v>
      </c>
      <c r="B2266" s="55" t="s">
        <v>4006</v>
      </c>
      <c r="D2266" s="55" t="s">
        <v>373</v>
      </c>
      <c r="E2266" s="74">
        <v>37904</v>
      </c>
      <c r="F2266" s="55" t="s">
        <v>344</v>
      </c>
      <c r="G2266" s="55" t="s">
        <v>360</v>
      </c>
      <c r="H2266" s="55" t="s">
        <v>360</v>
      </c>
      <c r="I2266" s="55" t="s">
        <v>360</v>
      </c>
      <c r="J2266" s="55" t="s">
        <v>360</v>
      </c>
      <c r="K2266" s="55" t="s">
        <v>360</v>
      </c>
      <c r="L2266" s="55" t="s">
        <v>360</v>
      </c>
      <c r="M2266" s="55" t="s">
        <v>144</v>
      </c>
      <c r="N2266" s="55" t="s">
        <v>144</v>
      </c>
      <c r="O2266" s="55" t="s">
        <v>209</v>
      </c>
      <c r="P2266" s="55" t="s">
        <v>736</v>
      </c>
      <c r="Q2266" s="55" t="s">
        <v>350</v>
      </c>
      <c r="R2266" s="55">
        <v>4</v>
      </c>
      <c r="S2266" s="55"/>
      <c r="T2266" s="55" t="s">
        <v>4007</v>
      </c>
    </row>
    <row r="2267" spans="1:20" ht="13" x14ac:dyDescent="0.15">
      <c r="A2267" s="72" t="str">
        <f t="shared" si="35"/>
        <v>Ofsted Social Care Provider Webpage</v>
      </c>
      <c r="B2267" s="55" t="s">
        <v>4008</v>
      </c>
      <c r="D2267" s="55" t="s">
        <v>373</v>
      </c>
      <c r="E2267" s="74">
        <v>37904</v>
      </c>
      <c r="F2267" s="55" t="s">
        <v>344</v>
      </c>
      <c r="G2267" s="55" t="s">
        <v>360</v>
      </c>
      <c r="H2267" s="55" t="s">
        <v>360</v>
      </c>
      <c r="I2267" s="55" t="s">
        <v>360</v>
      </c>
      <c r="J2267" s="55" t="s">
        <v>360</v>
      </c>
      <c r="K2267" s="55" t="s">
        <v>360</v>
      </c>
      <c r="L2267" s="55" t="s">
        <v>360</v>
      </c>
      <c r="M2267" s="55" t="s">
        <v>144</v>
      </c>
      <c r="N2267" s="55" t="s">
        <v>144</v>
      </c>
      <c r="O2267" s="55" t="s">
        <v>209</v>
      </c>
      <c r="P2267" s="55" t="s">
        <v>534</v>
      </c>
      <c r="Q2267" s="55" t="s">
        <v>350</v>
      </c>
      <c r="R2267" s="55">
        <v>4</v>
      </c>
      <c r="S2267" s="55"/>
      <c r="T2267" s="55" t="s">
        <v>4007</v>
      </c>
    </row>
    <row r="2268" spans="1:20" ht="13" x14ac:dyDescent="0.15">
      <c r="A2268" s="72" t="str">
        <f t="shared" si="35"/>
        <v>Ofsted Social Care Provider Webpage</v>
      </c>
      <c r="B2268" s="55" t="s">
        <v>4009</v>
      </c>
      <c r="D2268" s="55" t="s">
        <v>373</v>
      </c>
      <c r="E2268" s="74">
        <v>37804</v>
      </c>
      <c r="F2268" s="55" t="s">
        <v>344</v>
      </c>
      <c r="G2268" s="55" t="s">
        <v>360</v>
      </c>
      <c r="H2268" s="55" t="s">
        <v>360</v>
      </c>
      <c r="I2268" s="55" t="s">
        <v>360</v>
      </c>
      <c r="J2268" s="55" t="s">
        <v>360</v>
      </c>
      <c r="K2268" s="55" t="s">
        <v>360</v>
      </c>
      <c r="L2268" s="55" t="s">
        <v>360</v>
      </c>
      <c r="M2268" s="55" t="s">
        <v>150</v>
      </c>
      <c r="N2268" s="55" t="s">
        <v>150</v>
      </c>
      <c r="O2268" s="55" t="s">
        <v>285</v>
      </c>
      <c r="P2268" s="55" t="s">
        <v>2001</v>
      </c>
      <c r="Q2268" s="55" t="s">
        <v>350</v>
      </c>
      <c r="R2268" s="55">
        <v>5</v>
      </c>
      <c r="S2268" s="55"/>
      <c r="T2268" s="55" t="s">
        <v>1962</v>
      </c>
    </row>
    <row r="2269" spans="1:20" ht="13" x14ac:dyDescent="0.15">
      <c r="A2269" s="72" t="str">
        <f t="shared" si="35"/>
        <v>Ofsted Social Care Provider Webpage</v>
      </c>
      <c r="B2269" s="55" t="s">
        <v>4010</v>
      </c>
      <c r="D2269" s="55" t="s">
        <v>373</v>
      </c>
      <c r="E2269" s="74">
        <v>37789</v>
      </c>
      <c r="F2269" s="55" t="s">
        <v>344</v>
      </c>
      <c r="G2269" s="55" t="s">
        <v>360</v>
      </c>
      <c r="H2269" s="55" t="s">
        <v>360</v>
      </c>
      <c r="I2269" s="55" t="s">
        <v>360</v>
      </c>
      <c r="J2269" s="55" t="s">
        <v>360</v>
      </c>
      <c r="K2269" s="55" t="s">
        <v>360</v>
      </c>
      <c r="L2269" s="55" t="s">
        <v>360</v>
      </c>
      <c r="M2269" s="55" t="s">
        <v>144</v>
      </c>
      <c r="N2269" s="55" t="s">
        <v>144</v>
      </c>
      <c r="O2269" s="55" t="s">
        <v>215</v>
      </c>
      <c r="P2269" s="55" t="s">
        <v>1440</v>
      </c>
      <c r="Q2269" s="55" t="s">
        <v>350</v>
      </c>
      <c r="R2269" s="55">
        <v>6</v>
      </c>
      <c r="S2269" s="55"/>
      <c r="T2269" s="55" t="s">
        <v>4011</v>
      </c>
    </row>
    <row r="2270" spans="1:20" ht="13" x14ac:dyDescent="0.15">
      <c r="A2270" s="72" t="str">
        <f t="shared" si="35"/>
        <v>Ofsted Social Care Provider Webpage</v>
      </c>
      <c r="B2270" s="55" t="s">
        <v>4012</v>
      </c>
      <c r="D2270" s="55" t="s">
        <v>373</v>
      </c>
      <c r="E2270" s="74">
        <v>37960</v>
      </c>
      <c r="F2270" s="55" t="s">
        <v>344</v>
      </c>
      <c r="G2270" s="55" t="s">
        <v>360</v>
      </c>
      <c r="H2270" s="55" t="s">
        <v>360</v>
      </c>
      <c r="I2270" s="55" t="s">
        <v>360</v>
      </c>
      <c r="J2270" s="55" t="s">
        <v>360</v>
      </c>
      <c r="K2270" s="55" t="s">
        <v>360</v>
      </c>
      <c r="L2270" s="55" t="s">
        <v>360</v>
      </c>
      <c r="M2270" s="55" t="s">
        <v>172</v>
      </c>
      <c r="N2270" s="55" t="s">
        <v>172</v>
      </c>
      <c r="O2270" s="55" t="s">
        <v>235</v>
      </c>
      <c r="P2270" s="55" t="s">
        <v>2338</v>
      </c>
      <c r="Q2270" s="55" t="s">
        <v>380</v>
      </c>
      <c r="R2270" s="55">
        <v>3</v>
      </c>
      <c r="S2270" s="55"/>
      <c r="T2270" s="55" t="s">
        <v>3477</v>
      </c>
    </row>
    <row r="2271" spans="1:20" ht="13" x14ac:dyDescent="0.15">
      <c r="A2271" s="72" t="str">
        <f t="shared" si="35"/>
        <v>Ofsted Social Care Provider Webpage</v>
      </c>
      <c r="B2271" s="55" t="s">
        <v>4013</v>
      </c>
      <c r="D2271" s="55" t="s">
        <v>479</v>
      </c>
      <c r="E2271" s="74">
        <v>37827</v>
      </c>
      <c r="F2271" s="55" t="s">
        <v>344</v>
      </c>
      <c r="G2271" s="55" t="s">
        <v>360</v>
      </c>
      <c r="H2271" s="55" t="s">
        <v>360</v>
      </c>
      <c r="I2271" s="55" t="s">
        <v>360</v>
      </c>
      <c r="J2271" s="55" t="s">
        <v>360</v>
      </c>
      <c r="K2271" s="55" t="s">
        <v>360</v>
      </c>
      <c r="L2271" s="55" t="s">
        <v>360</v>
      </c>
      <c r="M2271" s="55" t="s">
        <v>172</v>
      </c>
      <c r="N2271" s="55" t="s">
        <v>172</v>
      </c>
      <c r="O2271" s="55" t="s">
        <v>214</v>
      </c>
      <c r="P2271" s="55" t="s">
        <v>1561</v>
      </c>
      <c r="Q2271" s="55" t="s">
        <v>350</v>
      </c>
      <c r="R2271" s="55">
        <v>39</v>
      </c>
      <c r="S2271" s="55"/>
      <c r="T2271" s="55" t="s">
        <v>1290</v>
      </c>
    </row>
    <row r="2272" spans="1:20" ht="13" x14ac:dyDescent="0.15">
      <c r="A2272" s="72" t="str">
        <f t="shared" si="35"/>
        <v>Ofsted Social Care Provider Webpage</v>
      </c>
      <c r="B2272" s="55" t="s">
        <v>4014</v>
      </c>
      <c r="D2272" s="55" t="s">
        <v>373</v>
      </c>
      <c r="E2272" s="74">
        <v>38476</v>
      </c>
      <c r="F2272" s="55" t="s">
        <v>344</v>
      </c>
      <c r="G2272" s="55" t="s">
        <v>360</v>
      </c>
      <c r="H2272" s="55" t="s">
        <v>360</v>
      </c>
      <c r="I2272" s="55" t="s">
        <v>360</v>
      </c>
      <c r="J2272" s="55" t="s">
        <v>360</v>
      </c>
      <c r="K2272" s="55" t="s">
        <v>360</v>
      </c>
      <c r="L2272" s="55" t="s">
        <v>360</v>
      </c>
      <c r="M2272" s="55" t="s">
        <v>172</v>
      </c>
      <c r="N2272" s="55" t="s">
        <v>172</v>
      </c>
      <c r="O2272" s="55" t="s">
        <v>235</v>
      </c>
      <c r="P2272" s="55" t="s">
        <v>1036</v>
      </c>
      <c r="Q2272" s="55" t="s">
        <v>380</v>
      </c>
      <c r="R2272" s="55">
        <v>4</v>
      </c>
      <c r="S2272" s="55"/>
      <c r="T2272" s="55" t="s">
        <v>3477</v>
      </c>
    </row>
    <row r="2273" spans="1:20" ht="13" x14ac:dyDescent="0.15">
      <c r="A2273" s="72" t="str">
        <f t="shared" si="35"/>
        <v>Ofsted Social Care Provider Webpage</v>
      </c>
      <c r="B2273" s="55" t="s">
        <v>4015</v>
      </c>
      <c r="D2273" s="55" t="s">
        <v>373</v>
      </c>
      <c r="E2273" s="74">
        <v>37893</v>
      </c>
      <c r="F2273" s="55" t="s">
        <v>344</v>
      </c>
      <c r="G2273" s="55" t="s">
        <v>360</v>
      </c>
      <c r="H2273" s="55" t="s">
        <v>360</v>
      </c>
      <c r="I2273" s="55" t="s">
        <v>360</v>
      </c>
      <c r="J2273" s="55" t="s">
        <v>360</v>
      </c>
      <c r="K2273" s="55" t="s">
        <v>360</v>
      </c>
      <c r="L2273" s="55" t="s">
        <v>360</v>
      </c>
      <c r="M2273" s="55" t="s">
        <v>142</v>
      </c>
      <c r="N2273" s="55" t="s">
        <v>142</v>
      </c>
      <c r="O2273" s="55" t="s">
        <v>262</v>
      </c>
      <c r="P2273" s="55" t="s">
        <v>618</v>
      </c>
      <c r="Q2273" s="55" t="s">
        <v>350</v>
      </c>
      <c r="R2273" s="55">
        <v>6</v>
      </c>
      <c r="S2273" s="55"/>
      <c r="T2273" s="55" t="s">
        <v>1505</v>
      </c>
    </row>
    <row r="2274" spans="1:20" ht="13" x14ac:dyDescent="0.15">
      <c r="A2274" s="72" t="str">
        <f t="shared" si="35"/>
        <v>Ofsted Social Care Provider Webpage</v>
      </c>
      <c r="B2274" s="55" t="s">
        <v>4016</v>
      </c>
      <c r="D2274" s="55" t="s">
        <v>373</v>
      </c>
      <c r="E2274" s="74">
        <v>37838</v>
      </c>
      <c r="F2274" s="55" t="s">
        <v>344</v>
      </c>
      <c r="G2274" s="55" t="s">
        <v>360</v>
      </c>
      <c r="H2274" s="55" t="s">
        <v>360</v>
      </c>
      <c r="I2274" s="55" t="s">
        <v>360</v>
      </c>
      <c r="J2274" s="55" t="s">
        <v>360</v>
      </c>
      <c r="K2274" s="55" t="s">
        <v>360</v>
      </c>
      <c r="L2274" s="55" t="s">
        <v>360</v>
      </c>
      <c r="M2274" s="55" t="s">
        <v>150</v>
      </c>
      <c r="N2274" s="55" t="s">
        <v>150</v>
      </c>
      <c r="O2274" s="55" t="s">
        <v>153</v>
      </c>
      <c r="P2274" s="55" t="s">
        <v>1331</v>
      </c>
      <c r="Q2274" s="55" t="s">
        <v>380</v>
      </c>
      <c r="R2274" s="55">
        <v>8</v>
      </c>
      <c r="S2274" s="55"/>
      <c r="T2274" s="55" t="s">
        <v>3047</v>
      </c>
    </row>
    <row r="2275" spans="1:20" ht="13" x14ac:dyDescent="0.15">
      <c r="A2275" s="72" t="str">
        <f t="shared" si="35"/>
        <v>Ofsted Social Care Provider Webpage</v>
      </c>
      <c r="B2275" s="55" t="s">
        <v>4017</v>
      </c>
      <c r="D2275" s="55" t="s">
        <v>373</v>
      </c>
      <c r="E2275" s="74">
        <v>38187</v>
      </c>
      <c r="F2275" s="55" t="s">
        <v>344</v>
      </c>
      <c r="G2275" s="55" t="s">
        <v>360</v>
      </c>
      <c r="H2275" s="55" t="s">
        <v>360</v>
      </c>
      <c r="I2275" s="55" t="s">
        <v>360</v>
      </c>
      <c r="J2275" s="55" t="s">
        <v>360</v>
      </c>
      <c r="K2275" s="55" t="s">
        <v>360</v>
      </c>
      <c r="L2275" s="55" t="s">
        <v>360</v>
      </c>
      <c r="M2275" s="55" t="s">
        <v>138</v>
      </c>
      <c r="N2275" s="55" t="s">
        <v>138</v>
      </c>
      <c r="O2275" s="55" t="s">
        <v>183</v>
      </c>
      <c r="P2275" s="55" t="s">
        <v>616</v>
      </c>
      <c r="Q2275" s="55" t="s">
        <v>380</v>
      </c>
      <c r="R2275" s="55">
        <v>12</v>
      </c>
      <c r="S2275" s="55" t="s">
        <v>332</v>
      </c>
      <c r="T2275" s="55" t="s">
        <v>1795</v>
      </c>
    </row>
    <row r="2276" spans="1:20" ht="13" x14ac:dyDescent="0.15">
      <c r="A2276" s="72" t="str">
        <f t="shared" si="35"/>
        <v>Ofsted Social Care Provider Webpage</v>
      </c>
      <c r="B2276" s="55" t="s">
        <v>4018</v>
      </c>
      <c r="D2276" s="55" t="s">
        <v>373</v>
      </c>
      <c r="E2276" s="74">
        <v>38092</v>
      </c>
      <c r="F2276" s="55" t="s">
        <v>344</v>
      </c>
      <c r="G2276" s="55" t="s">
        <v>360</v>
      </c>
      <c r="H2276" s="55" t="s">
        <v>360</v>
      </c>
      <c r="I2276" s="55" t="s">
        <v>360</v>
      </c>
      <c r="J2276" s="55" t="s">
        <v>360</v>
      </c>
      <c r="K2276" s="55" t="s">
        <v>360</v>
      </c>
      <c r="L2276" s="55" t="s">
        <v>360</v>
      </c>
      <c r="M2276" s="55" t="s">
        <v>136</v>
      </c>
      <c r="N2276" s="55" t="s">
        <v>136</v>
      </c>
      <c r="O2276" s="55" t="s">
        <v>255</v>
      </c>
      <c r="P2276" s="55" t="s">
        <v>757</v>
      </c>
      <c r="Q2276" s="55" t="s">
        <v>350</v>
      </c>
      <c r="R2276" s="55">
        <v>5</v>
      </c>
      <c r="S2276" s="55"/>
      <c r="T2276" s="55" t="s">
        <v>4019</v>
      </c>
    </row>
    <row r="2277" spans="1:20" ht="13" x14ac:dyDescent="0.15">
      <c r="A2277" s="72" t="str">
        <f t="shared" si="35"/>
        <v>Ofsted Social Care Provider Webpage</v>
      </c>
      <c r="B2277" s="55" t="s">
        <v>4020</v>
      </c>
      <c r="C2277" s="55">
        <v>130803</v>
      </c>
      <c r="D2277" s="55" t="s">
        <v>693</v>
      </c>
      <c r="E2277" s="74">
        <v>37721</v>
      </c>
      <c r="F2277" s="55" t="s">
        <v>344</v>
      </c>
      <c r="G2277" s="55" t="s">
        <v>4021</v>
      </c>
      <c r="H2277" s="55" t="s">
        <v>4022</v>
      </c>
      <c r="I2277" s="55" t="s">
        <v>4023</v>
      </c>
      <c r="J2277" s="55" t="s">
        <v>4024</v>
      </c>
      <c r="K2277" s="55" t="s">
        <v>255</v>
      </c>
      <c r="L2277" s="55" t="s">
        <v>4025</v>
      </c>
      <c r="M2277" s="55" t="s">
        <v>136</v>
      </c>
      <c r="N2277" s="55" t="s">
        <v>136</v>
      </c>
      <c r="O2277" s="55" t="s">
        <v>255</v>
      </c>
      <c r="P2277" s="55" t="s">
        <v>757</v>
      </c>
      <c r="Q2277" s="55" t="s">
        <v>380</v>
      </c>
      <c r="R2277" s="55">
        <v>218</v>
      </c>
      <c r="S2277" s="55"/>
      <c r="T2277" s="55" t="s">
        <v>4021</v>
      </c>
    </row>
    <row r="2278" spans="1:20" ht="13" x14ac:dyDescent="0.15">
      <c r="A2278" s="72" t="str">
        <f t="shared" si="35"/>
        <v>Ofsted Social Care Provider Webpage</v>
      </c>
      <c r="B2278" s="55" t="s">
        <v>4026</v>
      </c>
      <c r="D2278" s="55" t="s">
        <v>389</v>
      </c>
      <c r="E2278" s="74">
        <v>38148</v>
      </c>
      <c r="F2278" s="55" t="s">
        <v>344</v>
      </c>
      <c r="G2278" s="55" t="s">
        <v>4027</v>
      </c>
      <c r="H2278" s="55" t="s">
        <v>4028</v>
      </c>
      <c r="I2278" s="55" t="s">
        <v>4029</v>
      </c>
      <c r="J2278" s="55" t="s">
        <v>4030</v>
      </c>
      <c r="K2278" s="55" t="s">
        <v>293</v>
      </c>
      <c r="L2278" s="55" t="s">
        <v>4031</v>
      </c>
      <c r="M2278" s="55" t="s">
        <v>142</v>
      </c>
      <c r="N2278" s="55" t="s">
        <v>142</v>
      </c>
      <c r="O2278" s="55" t="s">
        <v>293</v>
      </c>
      <c r="P2278" s="55" t="s">
        <v>1641</v>
      </c>
      <c r="Q2278" s="55" t="s">
        <v>350</v>
      </c>
      <c r="R2278" s="55"/>
      <c r="S2278" s="55"/>
      <c r="T2278" s="55" t="s">
        <v>3529</v>
      </c>
    </row>
    <row r="2279" spans="1:20" ht="13" x14ac:dyDescent="0.15">
      <c r="A2279" s="72" t="str">
        <f t="shared" si="35"/>
        <v>Ofsted Social Care Provider Webpage</v>
      </c>
      <c r="B2279" s="55" t="s">
        <v>4032</v>
      </c>
      <c r="D2279" s="55" t="s">
        <v>373</v>
      </c>
      <c r="E2279" s="74">
        <v>37944</v>
      </c>
      <c r="F2279" s="55" t="s">
        <v>344</v>
      </c>
      <c r="G2279" s="55" t="s">
        <v>360</v>
      </c>
      <c r="H2279" s="55" t="s">
        <v>360</v>
      </c>
      <c r="I2279" s="55" t="s">
        <v>360</v>
      </c>
      <c r="J2279" s="55" t="s">
        <v>360</v>
      </c>
      <c r="K2279" s="55" t="s">
        <v>360</v>
      </c>
      <c r="L2279" s="55" t="s">
        <v>360</v>
      </c>
      <c r="M2279" s="55" t="s">
        <v>150</v>
      </c>
      <c r="N2279" s="55" t="s">
        <v>150</v>
      </c>
      <c r="O2279" s="55" t="s">
        <v>268</v>
      </c>
      <c r="P2279" s="55" t="s">
        <v>1771</v>
      </c>
      <c r="Q2279" s="55" t="s">
        <v>380</v>
      </c>
      <c r="R2279" s="55">
        <v>2</v>
      </c>
      <c r="S2279" s="55"/>
      <c r="T2279" s="55" t="s">
        <v>640</v>
      </c>
    </row>
    <row r="2280" spans="1:20" ht="13" x14ac:dyDescent="0.15">
      <c r="A2280" s="72" t="str">
        <f t="shared" si="35"/>
        <v>Ofsted Social Care Provider Webpage</v>
      </c>
      <c r="B2280" s="55" t="s">
        <v>4033</v>
      </c>
      <c r="D2280" s="55" t="s">
        <v>389</v>
      </c>
      <c r="E2280" s="74">
        <v>38019</v>
      </c>
      <c r="F2280" s="55" t="s">
        <v>344</v>
      </c>
      <c r="G2280" s="55" t="s">
        <v>4034</v>
      </c>
      <c r="H2280" s="55" t="s">
        <v>4035</v>
      </c>
      <c r="I2280" s="55" t="s">
        <v>4036</v>
      </c>
      <c r="J2280" s="55" t="s">
        <v>1331</v>
      </c>
      <c r="L2280" s="55" t="s">
        <v>1879</v>
      </c>
      <c r="M2280" s="55" t="s">
        <v>150</v>
      </c>
      <c r="N2280" s="55" t="s">
        <v>150</v>
      </c>
      <c r="O2280" s="55" t="s">
        <v>153</v>
      </c>
      <c r="P2280" s="55" t="s">
        <v>1331</v>
      </c>
      <c r="Q2280" s="55" t="s">
        <v>362</v>
      </c>
      <c r="R2280" s="55"/>
      <c r="S2280" s="55"/>
      <c r="T2280" s="55" t="s">
        <v>1884</v>
      </c>
    </row>
    <row r="2281" spans="1:20" ht="13" x14ac:dyDescent="0.15">
      <c r="A2281" s="72" t="str">
        <f t="shared" si="35"/>
        <v>Ofsted Social Care Provider Webpage</v>
      </c>
      <c r="B2281" s="55" t="s">
        <v>4037</v>
      </c>
      <c r="D2281" s="55" t="s">
        <v>693</v>
      </c>
      <c r="E2281" s="74">
        <v>37741</v>
      </c>
      <c r="F2281" s="55" t="s">
        <v>344</v>
      </c>
      <c r="G2281" s="55" t="s">
        <v>4038</v>
      </c>
      <c r="H2281" s="55" t="s">
        <v>4038</v>
      </c>
      <c r="I2281" s="55" t="s">
        <v>4039</v>
      </c>
      <c r="J2281" s="55" t="s">
        <v>4040</v>
      </c>
      <c r="L2281" s="55" t="s">
        <v>4041</v>
      </c>
      <c r="M2281" s="55" t="s">
        <v>378</v>
      </c>
      <c r="N2281" s="55" t="s">
        <v>170</v>
      </c>
      <c r="O2281" s="55" t="s">
        <v>233</v>
      </c>
      <c r="P2281" s="55" t="s">
        <v>2363</v>
      </c>
      <c r="Q2281" s="55" t="s">
        <v>362</v>
      </c>
      <c r="R2281" s="55">
        <v>30</v>
      </c>
      <c r="S2281" s="55"/>
      <c r="T2281" s="55" t="s">
        <v>4042</v>
      </c>
    </row>
    <row r="2282" spans="1:20" ht="13" x14ac:dyDescent="0.15">
      <c r="A2282" s="72" t="str">
        <f t="shared" si="35"/>
        <v>Ofsted Social Care Provider Webpage</v>
      </c>
      <c r="B2282" s="55" t="s">
        <v>4043</v>
      </c>
      <c r="D2282" s="55" t="s">
        <v>2864</v>
      </c>
      <c r="E2282" s="74">
        <v>38065</v>
      </c>
      <c r="F2282" s="55" t="s">
        <v>344</v>
      </c>
      <c r="G2282" s="55" t="s">
        <v>360</v>
      </c>
      <c r="H2282" s="55" t="s">
        <v>360</v>
      </c>
      <c r="I2282" s="55" t="s">
        <v>360</v>
      </c>
      <c r="J2282" s="55" t="s">
        <v>360</v>
      </c>
      <c r="K2282" s="55" t="s">
        <v>360</v>
      </c>
      <c r="L2282" s="55" t="s">
        <v>360</v>
      </c>
      <c r="M2282" s="55" t="s">
        <v>136</v>
      </c>
      <c r="N2282" s="55" t="s">
        <v>136</v>
      </c>
      <c r="O2282" s="55" t="s">
        <v>174</v>
      </c>
      <c r="P2282" s="55" t="s">
        <v>570</v>
      </c>
      <c r="Q2282" s="55" t="s">
        <v>380</v>
      </c>
      <c r="R2282" s="55">
        <v>12</v>
      </c>
      <c r="S2282" s="55"/>
      <c r="T2282" s="55" t="s">
        <v>1525</v>
      </c>
    </row>
    <row r="2283" spans="1:20" ht="13" x14ac:dyDescent="0.15">
      <c r="A2283" s="72" t="str">
        <f t="shared" si="35"/>
        <v>Ofsted Social Care Provider Webpage</v>
      </c>
      <c r="B2283" s="55" t="s">
        <v>4044</v>
      </c>
      <c r="D2283" s="55" t="s">
        <v>373</v>
      </c>
      <c r="E2283" s="74">
        <v>37806</v>
      </c>
      <c r="F2283" s="55" t="s">
        <v>344</v>
      </c>
      <c r="G2283" s="55" t="s">
        <v>360</v>
      </c>
      <c r="H2283" s="55" t="s">
        <v>360</v>
      </c>
      <c r="I2283" s="55" t="s">
        <v>360</v>
      </c>
      <c r="J2283" s="55" t="s">
        <v>360</v>
      </c>
      <c r="K2283" s="55" t="s">
        <v>360</v>
      </c>
      <c r="L2283" s="55" t="s">
        <v>360</v>
      </c>
      <c r="M2283" s="55" t="s">
        <v>136</v>
      </c>
      <c r="N2283" s="55" t="s">
        <v>136</v>
      </c>
      <c r="O2283" s="55" t="s">
        <v>705</v>
      </c>
      <c r="P2283" s="55" t="s">
        <v>891</v>
      </c>
      <c r="Q2283" s="55" t="s">
        <v>350</v>
      </c>
      <c r="R2283" s="55">
        <v>3</v>
      </c>
      <c r="S2283" s="55"/>
      <c r="T2283" s="55" t="s">
        <v>892</v>
      </c>
    </row>
    <row r="2284" spans="1:20" ht="13" x14ac:dyDescent="0.15">
      <c r="A2284" s="72" t="str">
        <f t="shared" si="35"/>
        <v>Ofsted Social Care Provider Webpage</v>
      </c>
      <c r="B2284" s="55" t="s">
        <v>4045</v>
      </c>
      <c r="D2284" s="55" t="s">
        <v>2864</v>
      </c>
      <c r="E2284" s="74">
        <v>37914</v>
      </c>
      <c r="F2284" s="55" t="s">
        <v>344</v>
      </c>
      <c r="G2284" s="55" t="s">
        <v>360</v>
      </c>
      <c r="H2284" s="55" t="s">
        <v>360</v>
      </c>
      <c r="I2284" s="55" t="s">
        <v>360</v>
      </c>
      <c r="J2284" s="55" t="s">
        <v>360</v>
      </c>
      <c r="K2284" s="55" t="s">
        <v>360</v>
      </c>
      <c r="L2284" s="55" t="s">
        <v>360</v>
      </c>
      <c r="M2284" s="55" t="s">
        <v>378</v>
      </c>
      <c r="N2284" s="55" t="s">
        <v>134</v>
      </c>
      <c r="O2284" s="55" t="s">
        <v>251</v>
      </c>
      <c r="P2284" s="55" t="s">
        <v>4046</v>
      </c>
      <c r="Q2284" s="55" t="s">
        <v>380</v>
      </c>
      <c r="R2284" s="55">
        <v>10</v>
      </c>
      <c r="S2284" s="55"/>
      <c r="T2284" s="55" t="s">
        <v>3358</v>
      </c>
    </row>
    <row r="2285" spans="1:20" ht="13" x14ac:dyDescent="0.15">
      <c r="A2285" s="72" t="str">
        <f t="shared" si="35"/>
        <v>Ofsted Social Care Provider Webpage</v>
      </c>
      <c r="B2285" s="55" t="s">
        <v>4047</v>
      </c>
      <c r="C2285" s="55">
        <v>146555</v>
      </c>
      <c r="D2285" s="55" t="s">
        <v>693</v>
      </c>
      <c r="E2285" s="74">
        <v>37754</v>
      </c>
      <c r="F2285" s="55" t="s">
        <v>344</v>
      </c>
      <c r="G2285" s="55" t="s">
        <v>4048</v>
      </c>
      <c r="H2285" s="55" t="s">
        <v>4048</v>
      </c>
      <c r="I2285" s="55" t="s">
        <v>4049</v>
      </c>
      <c r="J2285" s="55" t="s">
        <v>4050</v>
      </c>
      <c r="L2285" s="55" t="s">
        <v>4051</v>
      </c>
      <c r="M2285" s="55" t="s">
        <v>136</v>
      </c>
      <c r="N2285" s="55" t="s">
        <v>136</v>
      </c>
      <c r="O2285" s="55" t="s">
        <v>185</v>
      </c>
      <c r="P2285" s="55" t="s">
        <v>1292</v>
      </c>
      <c r="Q2285" s="55" t="s">
        <v>350</v>
      </c>
      <c r="R2285" s="55">
        <v>697</v>
      </c>
      <c r="S2285" s="55"/>
      <c r="T2285" s="55" t="s">
        <v>4052</v>
      </c>
    </row>
    <row r="2286" spans="1:20" ht="13" x14ac:dyDescent="0.15">
      <c r="A2286" s="72" t="str">
        <f t="shared" si="35"/>
        <v>Ofsted Social Care Provider Webpage</v>
      </c>
      <c r="B2286" s="55" t="s">
        <v>4053</v>
      </c>
      <c r="D2286" s="55" t="s">
        <v>451</v>
      </c>
      <c r="E2286" s="74">
        <v>38266</v>
      </c>
      <c r="F2286" s="55" t="s">
        <v>344</v>
      </c>
      <c r="G2286" s="55" t="s">
        <v>4054</v>
      </c>
      <c r="H2286" s="55" t="s">
        <v>4055</v>
      </c>
      <c r="I2286" s="55" t="s">
        <v>4056</v>
      </c>
      <c r="J2286" s="55" t="s">
        <v>4057</v>
      </c>
      <c r="K2286" s="55" t="s">
        <v>885</v>
      </c>
      <c r="L2286" s="55" t="s">
        <v>4058</v>
      </c>
      <c r="M2286" s="55" t="s">
        <v>142</v>
      </c>
      <c r="N2286" s="55" t="s">
        <v>142</v>
      </c>
      <c r="O2286" s="55" t="s">
        <v>262</v>
      </c>
      <c r="P2286" s="55" t="s">
        <v>692</v>
      </c>
      <c r="Q2286" s="55" t="s">
        <v>362</v>
      </c>
      <c r="R2286" s="55">
        <v>9</v>
      </c>
      <c r="S2286" s="55"/>
      <c r="T2286" s="55" t="s">
        <v>4054</v>
      </c>
    </row>
    <row r="2287" spans="1:20" ht="13" x14ac:dyDescent="0.15">
      <c r="A2287" s="72" t="str">
        <f t="shared" si="35"/>
        <v>Ofsted Social Care Provider Webpage</v>
      </c>
      <c r="B2287" s="55" t="s">
        <v>4059</v>
      </c>
      <c r="D2287" s="55" t="s">
        <v>451</v>
      </c>
      <c r="E2287" s="74">
        <v>38070</v>
      </c>
      <c r="F2287" s="55" t="s">
        <v>344</v>
      </c>
      <c r="G2287" s="55" t="s">
        <v>4060</v>
      </c>
      <c r="H2287" s="55" t="s">
        <v>4061</v>
      </c>
      <c r="I2287" s="55" t="s">
        <v>354</v>
      </c>
      <c r="J2287" s="55" t="s">
        <v>2578</v>
      </c>
      <c r="L2287" s="55" t="s">
        <v>4062</v>
      </c>
      <c r="M2287" s="55" t="s">
        <v>129</v>
      </c>
      <c r="N2287" s="55" t="s">
        <v>129</v>
      </c>
      <c r="O2287" s="55" t="s">
        <v>208</v>
      </c>
      <c r="P2287" s="55" t="s">
        <v>3178</v>
      </c>
      <c r="Q2287" s="55" t="s">
        <v>362</v>
      </c>
      <c r="R2287" s="55">
        <v>4</v>
      </c>
      <c r="S2287" s="55"/>
      <c r="T2287" s="55" t="s">
        <v>4063</v>
      </c>
    </row>
    <row r="2288" spans="1:20" ht="13" x14ac:dyDescent="0.15">
      <c r="A2288" s="72" t="str">
        <f t="shared" si="35"/>
        <v>Ofsted Social Care Provider Webpage</v>
      </c>
      <c r="B2288" s="55" t="s">
        <v>4064</v>
      </c>
      <c r="D2288" s="55" t="s">
        <v>451</v>
      </c>
      <c r="E2288" s="74">
        <v>38023</v>
      </c>
      <c r="F2288" s="55" t="s">
        <v>344</v>
      </c>
      <c r="G2288" s="55" t="s">
        <v>4065</v>
      </c>
      <c r="H2288" s="55" t="s">
        <v>4066</v>
      </c>
      <c r="I2288" s="55" t="s">
        <v>354</v>
      </c>
      <c r="J2288" s="55" t="s">
        <v>2578</v>
      </c>
      <c r="L2288" s="55" t="s">
        <v>4067</v>
      </c>
      <c r="M2288" s="55" t="s">
        <v>129</v>
      </c>
      <c r="N2288" s="55" t="s">
        <v>129</v>
      </c>
      <c r="O2288" s="55" t="s">
        <v>208</v>
      </c>
      <c r="P2288" s="55" t="s">
        <v>4068</v>
      </c>
      <c r="Q2288" s="55" t="s">
        <v>362</v>
      </c>
      <c r="R2288" s="55">
        <v>6</v>
      </c>
      <c r="S2288" s="55"/>
      <c r="T2288" s="55" t="s">
        <v>4063</v>
      </c>
    </row>
    <row r="2289" spans="1:20" ht="13" x14ac:dyDescent="0.15">
      <c r="A2289" s="72" t="str">
        <f t="shared" si="35"/>
        <v>Ofsted Social Care Provider Webpage</v>
      </c>
      <c r="B2289" s="55" t="s">
        <v>4069</v>
      </c>
      <c r="D2289" s="55" t="s">
        <v>451</v>
      </c>
      <c r="E2289" s="74">
        <v>38169</v>
      </c>
      <c r="F2289" s="55" t="s">
        <v>344</v>
      </c>
      <c r="G2289" s="55" t="s">
        <v>4060</v>
      </c>
      <c r="H2289" s="55" t="s">
        <v>4070</v>
      </c>
      <c r="I2289" s="55" t="s">
        <v>4071</v>
      </c>
      <c r="J2289" s="55" t="s">
        <v>129</v>
      </c>
      <c r="L2289" s="55" t="s">
        <v>4072</v>
      </c>
      <c r="M2289" s="55" t="s">
        <v>129</v>
      </c>
      <c r="N2289" s="55" t="s">
        <v>129</v>
      </c>
      <c r="O2289" s="55" t="s">
        <v>280</v>
      </c>
      <c r="P2289" s="55" t="s">
        <v>1367</v>
      </c>
      <c r="Q2289" s="55" t="s">
        <v>362</v>
      </c>
      <c r="R2289" s="55">
        <v>4</v>
      </c>
      <c r="S2289" s="55"/>
      <c r="T2289" s="55" t="s">
        <v>4063</v>
      </c>
    </row>
    <row r="2290" spans="1:20" ht="13" x14ac:dyDescent="0.15">
      <c r="A2290" s="72" t="str">
        <f t="shared" si="35"/>
        <v>Ofsted Social Care Provider Webpage</v>
      </c>
      <c r="B2290" s="55" t="s">
        <v>4073</v>
      </c>
      <c r="D2290" s="55" t="s">
        <v>389</v>
      </c>
      <c r="E2290" s="74">
        <v>38016</v>
      </c>
      <c r="F2290" s="55" t="s">
        <v>344</v>
      </c>
      <c r="G2290" s="55" t="s">
        <v>4074</v>
      </c>
      <c r="H2290" s="55" t="s">
        <v>4075</v>
      </c>
      <c r="I2290" s="55" t="s">
        <v>4076</v>
      </c>
      <c r="J2290" s="55" t="s">
        <v>4077</v>
      </c>
      <c r="K2290" s="55" t="s">
        <v>203</v>
      </c>
      <c r="L2290" s="55" t="s">
        <v>4078</v>
      </c>
      <c r="M2290" s="55" t="s">
        <v>150</v>
      </c>
      <c r="N2290" s="55" t="s">
        <v>150</v>
      </c>
      <c r="O2290" s="55" t="s">
        <v>203</v>
      </c>
      <c r="P2290" s="55" t="s">
        <v>563</v>
      </c>
      <c r="Q2290" s="55" t="s">
        <v>350</v>
      </c>
      <c r="R2290" s="55"/>
      <c r="S2290" s="55"/>
      <c r="T2290" s="55" t="s">
        <v>4079</v>
      </c>
    </row>
    <row r="2291" spans="1:20" ht="13" x14ac:dyDescent="0.15">
      <c r="A2291" s="72" t="str">
        <f t="shared" si="35"/>
        <v>Ofsted Social Care Provider Webpage</v>
      </c>
      <c r="B2291" s="55" t="s">
        <v>4080</v>
      </c>
      <c r="D2291" s="55" t="s">
        <v>373</v>
      </c>
      <c r="E2291" s="74">
        <v>37852</v>
      </c>
      <c r="F2291" s="55" t="s">
        <v>344</v>
      </c>
      <c r="G2291" s="55" t="s">
        <v>360</v>
      </c>
      <c r="H2291" s="55" t="s">
        <v>360</v>
      </c>
      <c r="I2291" s="55" t="s">
        <v>360</v>
      </c>
      <c r="J2291" s="55" t="s">
        <v>360</v>
      </c>
      <c r="K2291" s="55" t="s">
        <v>360</v>
      </c>
      <c r="L2291" s="55" t="s">
        <v>360</v>
      </c>
      <c r="M2291" s="55" t="s">
        <v>142</v>
      </c>
      <c r="N2291" s="55" t="s">
        <v>142</v>
      </c>
      <c r="O2291" s="55" t="s">
        <v>262</v>
      </c>
      <c r="P2291" s="55" t="s">
        <v>523</v>
      </c>
      <c r="Q2291" s="55" t="s">
        <v>350</v>
      </c>
      <c r="R2291" s="55">
        <v>2</v>
      </c>
      <c r="S2291" s="55"/>
      <c r="T2291" s="55" t="s">
        <v>4081</v>
      </c>
    </row>
    <row r="2292" spans="1:20" ht="13" x14ac:dyDescent="0.15">
      <c r="A2292" s="72" t="str">
        <f t="shared" si="35"/>
        <v>Ofsted Social Care Provider Webpage</v>
      </c>
      <c r="B2292" s="55" t="s">
        <v>4082</v>
      </c>
      <c r="D2292" s="55" t="s">
        <v>451</v>
      </c>
      <c r="E2292" s="74">
        <v>38173</v>
      </c>
      <c r="F2292" s="55" t="s">
        <v>344</v>
      </c>
      <c r="G2292" s="55" t="s">
        <v>4083</v>
      </c>
      <c r="H2292" s="55" t="s">
        <v>4084</v>
      </c>
      <c r="I2292" s="55" t="s">
        <v>4085</v>
      </c>
      <c r="J2292" s="55" t="s">
        <v>4086</v>
      </c>
      <c r="L2292" s="55" t="s">
        <v>4087</v>
      </c>
      <c r="M2292" s="55" t="s">
        <v>142</v>
      </c>
      <c r="N2292" s="55" t="s">
        <v>142</v>
      </c>
      <c r="O2292" s="55" t="s">
        <v>166</v>
      </c>
      <c r="P2292" s="55" t="s">
        <v>1152</v>
      </c>
      <c r="Q2292" s="55" t="s">
        <v>362</v>
      </c>
      <c r="R2292" s="55">
        <v>12</v>
      </c>
      <c r="S2292" s="55"/>
      <c r="T2292" s="55" t="s">
        <v>4083</v>
      </c>
    </row>
    <row r="2293" spans="1:20" ht="13" x14ac:dyDescent="0.15">
      <c r="A2293" s="72" t="str">
        <f t="shared" si="35"/>
        <v>Ofsted Social Care Provider Webpage</v>
      </c>
      <c r="B2293" s="55" t="s">
        <v>4088</v>
      </c>
      <c r="D2293" s="55" t="s">
        <v>389</v>
      </c>
      <c r="E2293" s="74">
        <v>37861</v>
      </c>
      <c r="F2293" s="55" t="s">
        <v>344</v>
      </c>
      <c r="G2293" s="55" t="s">
        <v>4089</v>
      </c>
      <c r="H2293" s="55" t="s">
        <v>3192</v>
      </c>
      <c r="I2293" s="55" t="s">
        <v>3193</v>
      </c>
      <c r="J2293" s="55" t="s">
        <v>3194</v>
      </c>
      <c r="L2293" s="55" t="s">
        <v>3195</v>
      </c>
      <c r="M2293" s="55" t="s">
        <v>378</v>
      </c>
      <c r="N2293" s="55" t="s">
        <v>170</v>
      </c>
      <c r="O2293" s="55" t="s">
        <v>233</v>
      </c>
      <c r="P2293" s="55" t="s">
        <v>1376</v>
      </c>
      <c r="Q2293" s="55" t="s">
        <v>362</v>
      </c>
      <c r="R2293" s="55"/>
      <c r="S2293" s="55"/>
      <c r="T2293" s="55" t="s">
        <v>3196</v>
      </c>
    </row>
    <row r="2294" spans="1:20" ht="13" x14ac:dyDescent="0.15">
      <c r="A2294" s="72" t="str">
        <f t="shared" si="35"/>
        <v>Ofsted Social Care Provider Webpage</v>
      </c>
      <c r="B2294" s="55" t="s">
        <v>4090</v>
      </c>
      <c r="D2294" s="55" t="s">
        <v>389</v>
      </c>
      <c r="E2294" s="74">
        <v>37992</v>
      </c>
      <c r="F2294" s="55" t="s">
        <v>344</v>
      </c>
      <c r="G2294" s="55" t="s">
        <v>4091</v>
      </c>
      <c r="H2294" s="55" t="s">
        <v>4092</v>
      </c>
      <c r="I2294" s="55" t="s">
        <v>4093</v>
      </c>
      <c r="J2294" s="55" t="s">
        <v>221</v>
      </c>
      <c r="L2294" s="55" t="s">
        <v>4094</v>
      </c>
      <c r="M2294" s="55" t="s">
        <v>150</v>
      </c>
      <c r="N2294" s="55" t="s">
        <v>150</v>
      </c>
      <c r="O2294" s="55" t="s">
        <v>221</v>
      </c>
      <c r="P2294" s="55" t="s">
        <v>349</v>
      </c>
      <c r="Q2294" s="55" t="s">
        <v>350</v>
      </c>
      <c r="R2294" s="55"/>
      <c r="S2294" s="55"/>
      <c r="T2294" s="55" t="s">
        <v>3529</v>
      </c>
    </row>
    <row r="2295" spans="1:20" ht="13" x14ac:dyDescent="0.15">
      <c r="A2295" s="72" t="str">
        <f t="shared" si="35"/>
        <v>Ofsted Social Care Provider Webpage</v>
      </c>
      <c r="B2295" s="55" t="s">
        <v>4095</v>
      </c>
      <c r="D2295" s="55" t="s">
        <v>373</v>
      </c>
      <c r="E2295" s="74">
        <v>37890</v>
      </c>
      <c r="F2295" s="55" t="s">
        <v>344</v>
      </c>
      <c r="G2295" s="55" t="s">
        <v>360</v>
      </c>
      <c r="H2295" s="55" t="s">
        <v>360</v>
      </c>
      <c r="I2295" s="55" t="s">
        <v>360</v>
      </c>
      <c r="J2295" s="55" t="s">
        <v>360</v>
      </c>
      <c r="K2295" s="55" t="s">
        <v>360</v>
      </c>
      <c r="L2295" s="55" t="s">
        <v>360</v>
      </c>
      <c r="M2295" s="55" t="s">
        <v>138</v>
      </c>
      <c r="N2295" s="55" t="s">
        <v>138</v>
      </c>
      <c r="O2295" s="55" t="s">
        <v>266</v>
      </c>
      <c r="P2295" s="55" t="s">
        <v>1622</v>
      </c>
      <c r="Q2295" s="55" t="s">
        <v>350</v>
      </c>
      <c r="R2295" s="55">
        <v>4</v>
      </c>
      <c r="S2295" s="55"/>
      <c r="T2295" s="55" t="s">
        <v>1623</v>
      </c>
    </row>
    <row r="2296" spans="1:20" ht="13" x14ac:dyDescent="0.15">
      <c r="A2296" s="72" t="str">
        <f t="shared" si="35"/>
        <v>Ofsted Social Care Provider Webpage</v>
      </c>
      <c r="B2296" s="55" t="s">
        <v>4096</v>
      </c>
      <c r="D2296" s="55" t="s">
        <v>373</v>
      </c>
      <c r="E2296" s="74">
        <v>37799</v>
      </c>
      <c r="F2296" s="55" t="s">
        <v>344</v>
      </c>
      <c r="G2296" s="55" t="s">
        <v>360</v>
      </c>
      <c r="H2296" s="55" t="s">
        <v>360</v>
      </c>
      <c r="I2296" s="55" t="s">
        <v>360</v>
      </c>
      <c r="J2296" s="55" t="s">
        <v>360</v>
      </c>
      <c r="K2296" s="55" t="s">
        <v>360</v>
      </c>
      <c r="L2296" s="55" t="s">
        <v>360</v>
      </c>
      <c r="M2296" s="55" t="s">
        <v>172</v>
      </c>
      <c r="N2296" s="55" t="s">
        <v>172</v>
      </c>
      <c r="O2296" s="55" t="s">
        <v>235</v>
      </c>
      <c r="P2296" s="55" t="s">
        <v>1355</v>
      </c>
      <c r="Q2296" s="55" t="s">
        <v>350</v>
      </c>
      <c r="R2296" s="55">
        <v>5</v>
      </c>
      <c r="S2296" s="55"/>
      <c r="T2296" s="55" t="s">
        <v>861</v>
      </c>
    </row>
    <row r="2297" spans="1:20" ht="13" x14ac:dyDescent="0.15">
      <c r="A2297" s="72" t="str">
        <f t="shared" si="35"/>
        <v>Ofsted Social Care Provider Webpage</v>
      </c>
      <c r="B2297" s="55" t="s">
        <v>4097</v>
      </c>
      <c r="D2297" s="55" t="s">
        <v>468</v>
      </c>
      <c r="E2297" s="74">
        <v>37741</v>
      </c>
      <c r="F2297" s="55" t="s">
        <v>344</v>
      </c>
      <c r="G2297" s="55" t="s">
        <v>4098</v>
      </c>
      <c r="H2297" s="55" t="s">
        <v>4099</v>
      </c>
      <c r="I2297" s="55" t="s">
        <v>354</v>
      </c>
      <c r="J2297" s="55" t="s">
        <v>4100</v>
      </c>
      <c r="L2297" s="55" t="s">
        <v>4101</v>
      </c>
      <c r="M2297" s="55" t="s">
        <v>144</v>
      </c>
      <c r="N2297" s="55" t="s">
        <v>144</v>
      </c>
      <c r="O2297" s="55" t="s">
        <v>163</v>
      </c>
      <c r="P2297" s="55" t="s">
        <v>472</v>
      </c>
      <c r="Q2297" s="55" t="s">
        <v>362</v>
      </c>
      <c r="R2297" s="55"/>
      <c r="S2297" s="55"/>
      <c r="T2297" s="55" t="s">
        <v>4102</v>
      </c>
    </row>
    <row r="2298" spans="1:20" ht="13" x14ac:dyDescent="0.15">
      <c r="A2298" s="72" t="str">
        <f t="shared" si="35"/>
        <v>Ofsted Social Care Provider Webpage</v>
      </c>
      <c r="B2298" s="55" t="s">
        <v>4103</v>
      </c>
      <c r="D2298" s="55" t="s">
        <v>468</v>
      </c>
      <c r="E2298" s="74">
        <v>37790</v>
      </c>
      <c r="F2298" s="55" t="s">
        <v>344</v>
      </c>
      <c r="G2298" s="55" t="s">
        <v>4104</v>
      </c>
      <c r="H2298" s="55" t="s">
        <v>3538</v>
      </c>
      <c r="I2298" s="55" t="s">
        <v>3539</v>
      </c>
      <c r="J2298" s="55" t="s">
        <v>3540</v>
      </c>
      <c r="L2298" s="55" t="s">
        <v>3541</v>
      </c>
      <c r="M2298" s="55" t="s">
        <v>144</v>
      </c>
      <c r="N2298" s="55" t="s">
        <v>144</v>
      </c>
      <c r="O2298" s="55" t="s">
        <v>209</v>
      </c>
      <c r="P2298" s="55" t="s">
        <v>555</v>
      </c>
      <c r="Q2298" s="55" t="s">
        <v>362</v>
      </c>
      <c r="R2298" s="55"/>
      <c r="S2298" s="55"/>
      <c r="T2298" s="55" t="s">
        <v>3542</v>
      </c>
    </row>
    <row r="2299" spans="1:20" ht="13" x14ac:dyDescent="0.15">
      <c r="A2299" s="72" t="str">
        <f t="shared" si="35"/>
        <v>Ofsted Social Care Provider Webpage</v>
      </c>
      <c r="B2299" s="55" t="s">
        <v>4105</v>
      </c>
      <c r="D2299" s="55" t="s">
        <v>468</v>
      </c>
      <c r="E2299" s="74">
        <v>37790</v>
      </c>
      <c r="F2299" s="55" t="s">
        <v>344</v>
      </c>
      <c r="G2299" s="55" t="s">
        <v>4106</v>
      </c>
      <c r="H2299" s="55" t="s">
        <v>4106</v>
      </c>
      <c r="I2299" s="55" t="s">
        <v>4107</v>
      </c>
      <c r="J2299" s="55" t="s">
        <v>3017</v>
      </c>
      <c r="L2299" s="55" t="s">
        <v>4108</v>
      </c>
      <c r="M2299" s="55" t="s">
        <v>136</v>
      </c>
      <c r="N2299" s="55" t="s">
        <v>136</v>
      </c>
      <c r="O2299" s="55" t="s">
        <v>154</v>
      </c>
      <c r="P2299" s="55" t="s">
        <v>4109</v>
      </c>
      <c r="Q2299" s="55" t="s">
        <v>362</v>
      </c>
      <c r="R2299" s="55"/>
      <c r="S2299" s="55"/>
      <c r="T2299" s="55" t="s">
        <v>4106</v>
      </c>
    </row>
    <row r="2300" spans="1:20" ht="13" x14ac:dyDescent="0.15">
      <c r="A2300" s="72" t="str">
        <f t="shared" si="35"/>
        <v>Ofsted Social Care Provider Webpage</v>
      </c>
      <c r="B2300" s="55" t="s">
        <v>4110</v>
      </c>
      <c r="D2300" s="55" t="s">
        <v>468</v>
      </c>
      <c r="E2300" s="74">
        <v>37790</v>
      </c>
      <c r="F2300" s="55" t="s">
        <v>344</v>
      </c>
      <c r="G2300" s="55" t="s">
        <v>3205</v>
      </c>
      <c r="H2300" s="55" t="s">
        <v>4111</v>
      </c>
      <c r="I2300" s="55" t="s">
        <v>354</v>
      </c>
      <c r="J2300" s="55" t="s">
        <v>129</v>
      </c>
      <c r="L2300" s="55" t="s">
        <v>3204</v>
      </c>
      <c r="M2300" s="55" t="s">
        <v>129</v>
      </c>
      <c r="N2300" s="55" t="s">
        <v>129</v>
      </c>
      <c r="O2300" s="55" t="s">
        <v>160</v>
      </c>
      <c r="P2300" s="55" t="s">
        <v>447</v>
      </c>
      <c r="Q2300" s="55" t="s">
        <v>362</v>
      </c>
      <c r="R2300" s="55"/>
      <c r="S2300" s="55"/>
      <c r="T2300" s="55" t="s">
        <v>3205</v>
      </c>
    </row>
    <row r="2301" spans="1:20" ht="13" x14ac:dyDescent="0.15">
      <c r="A2301" s="72" t="str">
        <f t="shared" si="35"/>
        <v>Ofsted Social Care Provider Webpage</v>
      </c>
      <c r="B2301" s="55" t="s">
        <v>4112</v>
      </c>
      <c r="D2301" s="55" t="s">
        <v>389</v>
      </c>
      <c r="E2301" s="74">
        <v>38005</v>
      </c>
      <c r="F2301" s="55" t="s">
        <v>344</v>
      </c>
      <c r="G2301" s="55" t="s">
        <v>4113</v>
      </c>
      <c r="H2301" s="55" t="s">
        <v>4114</v>
      </c>
      <c r="I2301" s="55" t="s">
        <v>4115</v>
      </c>
      <c r="J2301" s="55" t="s">
        <v>2210</v>
      </c>
      <c r="K2301" s="55" t="s">
        <v>183</v>
      </c>
      <c r="L2301" s="55" t="s">
        <v>4116</v>
      </c>
      <c r="M2301" s="55" t="s">
        <v>138</v>
      </c>
      <c r="N2301" s="55" t="s">
        <v>138</v>
      </c>
      <c r="O2301" s="55" t="s">
        <v>183</v>
      </c>
      <c r="P2301" s="55" t="s">
        <v>2051</v>
      </c>
      <c r="Q2301" s="55" t="s">
        <v>350</v>
      </c>
      <c r="R2301" s="55"/>
      <c r="S2301" s="55"/>
      <c r="T2301" s="55" t="s">
        <v>4117</v>
      </c>
    </row>
    <row r="2302" spans="1:20" ht="13" x14ac:dyDescent="0.15">
      <c r="A2302" s="72" t="str">
        <f t="shared" si="35"/>
        <v>Ofsted Social Care Provider Webpage</v>
      </c>
      <c r="B2302" s="55" t="s">
        <v>4118</v>
      </c>
      <c r="D2302" s="55" t="s">
        <v>479</v>
      </c>
      <c r="E2302" s="74">
        <v>37862</v>
      </c>
      <c r="F2302" s="55" t="s">
        <v>344</v>
      </c>
      <c r="G2302" s="55" t="s">
        <v>360</v>
      </c>
      <c r="H2302" s="55" t="s">
        <v>360</v>
      </c>
      <c r="I2302" s="55" t="s">
        <v>360</v>
      </c>
      <c r="J2302" s="55" t="s">
        <v>360</v>
      </c>
      <c r="K2302" s="55" t="s">
        <v>360</v>
      </c>
      <c r="L2302" s="55" t="s">
        <v>360</v>
      </c>
      <c r="M2302" s="55" t="s">
        <v>144</v>
      </c>
      <c r="N2302" s="55" t="s">
        <v>144</v>
      </c>
      <c r="O2302" s="55" t="s">
        <v>168</v>
      </c>
      <c r="P2302" s="55" t="s">
        <v>834</v>
      </c>
      <c r="Q2302" s="55" t="s">
        <v>350</v>
      </c>
      <c r="R2302" s="55">
        <v>50</v>
      </c>
      <c r="S2302" s="55"/>
      <c r="T2302" s="55" t="s">
        <v>4119</v>
      </c>
    </row>
    <row r="2303" spans="1:20" ht="13" x14ac:dyDescent="0.15">
      <c r="A2303" s="72" t="str">
        <f t="shared" si="35"/>
        <v>Ofsted Social Care Provider Webpage</v>
      </c>
      <c r="B2303" s="55" t="s">
        <v>4120</v>
      </c>
      <c r="D2303" s="55" t="s">
        <v>451</v>
      </c>
      <c r="E2303" s="74">
        <v>37995</v>
      </c>
      <c r="F2303" s="55" t="s">
        <v>344</v>
      </c>
      <c r="G2303" s="55" t="s">
        <v>4121</v>
      </c>
      <c r="H2303" s="55" t="s">
        <v>4122</v>
      </c>
      <c r="I2303" s="55" t="s">
        <v>4123</v>
      </c>
      <c r="J2303" s="55" t="s">
        <v>203</v>
      </c>
      <c r="L2303" s="55" t="s">
        <v>4124</v>
      </c>
      <c r="M2303" s="55" t="s">
        <v>129</v>
      </c>
      <c r="N2303" s="55" t="s">
        <v>129</v>
      </c>
      <c r="O2303" s="55" t="s">
        <v>155</v>
      </c>
      <c r="P2303" s="55" t="s">
        <v>482</v>
      </c>
      <c r="Q2303" s="55" t="s">
        <v>350</v>
      </c>
      <c r="R2303" s="55">
        <v>9</v>
      </c>
      <c r="S2303" s="55"/>
      <c r="T2303" s="55" t="s">
        <v>4125</v>
      </c>
    </row>
    <row r="2304" spans="1:20" ht="13" x14ac:dyDescent="0.15">
      <c r="A2304" s="72" t="str">
        <f t="shared" si="35"/>
        <v>Ofsted Social Care Provider Webpage</v>
      </c>
      <c r="B2304" s="55" t="s">
        <v>4126</v>
      </c>
      <c r="D2304" s="55" t="s">
        <v>468</v>
      </c>
      <c r="E2304" s="74">
        <v>37802</v>
      </c>
      <c r="F2304" s="55" t="s">
        <v>344</v>
      </c>
      <c r="G2304" s="55" t="s">
        <v>4127</v>
      </c>
      <c r="H2304" s="55" t="s">
        <v>4128</v>
      </c>
      <c r="I2304" s="55" t="s">
        <v>4129</v>
      </c>
      <c r="J2304" s="55" t="s">
        <v>4130</v>
      </c>
      <c r="K2304" s="55" t="s">
        <v>175</v>
      </c>
      <c r="L2304" s="55" t="s">
        <v>4131</v>
      </c>
      <c r="M2304" s="55" t="s">
        <v>378</v>
      </c>
      <c r="N2304" s="55" t="s">
        <v>134</v>
      </c>
      <c r="O2304" s="55" t="s">
        <v>175</v>
      </c>
      <c r="P2304" s="55" t="s">
        <v>666</v>
      </c>
      <c r="Q2304" s="55" t="s">
        <v>362</v>
      </c>
      <c r="R2304" s="55"/>
      <c r="S2304" s="55"/>
      <c r="T2304" s="55" t="s">
        <v>4127</v>
      </c>
    </row>
    <row r="2305" spans="1:20" ht="13" x14ac:dyDescent="0.15">
      <c r="A2305" s="72" t="str">
        <f t="shared" si="35"/>
        <v>Ofsted Social Care Provider Webpage</v>
      </c>
      <c r="B2305" s="55" t="s">
        <v>4132</v>
      </c>
      <c r="D2305" s="55" t="s">
        <v>468</v>
      </c>
      <c r="E2305" s="74">
        <v>37802</v>
      </c>
      <c r="F2305" s="55" t="s">
        <v>344</v>
      </c>
      <c r="G2305" s="55" t="s">
        <v>4133</v>
      </c>
      <c r="H2305" s="55" t="s">
        <v>4134</v>
      </c>
      <c r="I2305" s="55" t="s">
        <v>4135</v>
      </c>
      <c r="J2305" s="55" t="s">
        <v>4136</v>
      </c>
      <c r="K2305" s="55" t="s">
        <v>174</v>
      </c>
      <c r="L2305" s="55" t="s">
        <v>4137</v>
      </c>
      <c r="M2305" s="55" t="s">
        <v>136</v>
      </c>
      <c r="N2305" s="55" t="s">
        <v>136</v>
      </c>
      <c r="O2305" s="55" t="s">
        <v>174</v>
      </c>
      <c r="P2305" s="55" t="s">
        <v>1526</v>
      </c>
      <c r="Q2305" s="55" t="s">
        <v>362</v>
      </c>
      <c r="R2305" s="55"/>
      <c r="S2305" s="55"/>
      <c r="T2305" s="55" t="s">
        <v>4138</v>
      </c>
    </row>
    <row r="2306" spans="1:20" ht="13" x14ac:dyDescent="0.15">
      <c r="A2306" s="72" t="str">
        <f t="shared" si="35"/>
        <v>Ofsted Social Care Provider Webpage</v>
      </c>
      <c r="B2306" s="55" t="s">
        <v>4139</v>
      </c>
      <c r="D2306" s="55" t="s">
        <v>468</v>
      </c>
      <c r="E2306" s="74">
        <v>37803</v>
      </c>
      <c r="F2306" s="55" t="s">
        <v>344</v>
      </c>
      <c r="G2306" s="55" t="s">
        <v>4140</v>
      </c>
      <c r="H2306" s="55" t="s">
        <v>4141</v>
      </c>
      <c r="I2306" s="55" t="s">
        <v>354</v>
      </c>
      <c r="J2306" s="55" t="s">
        <v>4142</v>
      </c>
      <c r="K2306" s="55" t="s">
        <v>1339</v>
      </c>
      <c r="L2306" s="55" t="s">
        <v>4143</v>
      </c>
      <c r="M2306" s="55" t="s">
        <v>144</v>
      </c>
      <c r="N2306" s="55" t="s">
        <v>144</v>
      </c>
      <c r="O2306" s="55" t="s">
        <v>261</v>
      </c>
      <c r="P2306" s="55" t="s">
        <v>512</v>
      </c>
      <c r="Q2306" s="55" t="s">
        <v>362</v>
      </c>
      <c r="R2306" s="55"/>
      <c r="S2306" s="55"/>
      <c r="T2306" s="55" t="s">
        <v>2360</v>
      </c>
    </row>
    <row r="2307" spans="1:20" ht="13" x14ac:dyDescent="0.15">
      <c r="A2307" s="72" t="str">
        <f t="shared" si="35"/>
        <v>Ofsted Social Care Provider Webpage</v>
      </c>
      <c r="B2307" s="55" t="s">
        <v>4144</v>
      </c>
      <c r="D2307" s="55" t="s">
        <v>468</v>
      </c>
      <c r="E2307" s="74">
        <v>37803</v>
      </c>
      <c r="F2307" s="55" t="s">
        <v>344</v>
      </c>
      <c r="G2307" s="55" t="s">
        <v>4145</v>
      </c>
      <c r="H2307" s="55" t="s">
        <v>4146</v>
      </c>
      <c r="I2307" s="55" t="s">
        <v>4147</v>
      </c>
      <c r="J2307" s="55" t="s">
        <v>241</v>
      </c>
      <c r="L2307" s="55" t="s">
        <v>4148</v>
      </c>
      <c r="M2307" s="55" t="s">
        <v>150</v>
      </c>
      <c r="N2307" s="55" t="s">
        <v>150</v>
      </c>
      <c r="O2307" s="55" t="s">
        <v>241</v>
      </c>
      <c r="P2307" s="55" t="s">
        <v>486</v>
      </c>
      <c r="Q2307" s="55" t="s">
        <v>362</v>
      </c>
      <c r="R2307" s="55"/>
      <c r="S2307" s="55"/>
      <c r="T2307" s="55" t="s">
        <v>4149</v>
      </c>
    </row>
    <row r="2308" spans="1:20" ht="13" x14ac:dyDescent="0.15">
      <c r="A2308" s="72" t="str">
        <f t="shared" si="35"/>
        <v>Ofsted Social Care Provider Webpage</v>
      </c>
      <c r="B2308" s="55" t="s">
        <v>4150</v>
      </c>
      <c r="D2308" s="55" t="s">
        <v>389</v>
      </c>
      <c r="E2308" s="74">
        <v>38044</v>
      </c>
      <c r="F2308" s="55" t="s">
        <v>344</v>
      </c>
      <c r="G2308" s="55" t="s">
        <v>4151</v>
      </c>
      <c r="H2308" s="55" t="s">
        <v>4152</v>
      </c>
      <c r="I2308" s="55" t="s">
        <v>4153</v>
      </c>
      <c r="J2308" s="55" t="s">
        <v>129</v>
      </c>
      <c r="L2308" s="55" t="s">
        <v>4154</v>
      </c>
      <c r="M2308" s="55" t="s">
        <v>129</v>
      </c>
      <c r="N2308" s="55" t="s">
        <v>129</v>
      </c>
      <c r="O2308" s="55" t="s">
        <v>187</v>
      </c>
      <c r="P2308" s="55" t="s">
        <v>4155</v>
      </c>
      <c r="Q2308" s="55" t="s">
        <v>350</v>
      </c>
      <c r="R2308" s="55"/>
      <c r="S2308" s="55"/>
    </row>
    <row r="2309" spans="1:20" ht="13" x14ac:dyDescent="0.15">
      <c r="A2309" s="72" t="str">
        <f t="shared" ref="A2309:A2372" si="36">HYPERLINK(_xlfn.CONCAT("http://reports.ofsted.gov.uk/inspection-reports/find-inspection-report/provider/CARE/",B2309),"Ofsted Social Care Provider Webpage")</f>
        <v>Ofsted Social Care Provider Webpage</v>
      </c>
      <c r="B2309" s="55" t="s">
        <v>4156</v>
      </c>
      <c r="D2309" s="55" t="s">
        <v>468</v>
      </c>
      <c r="E2309" s="74">
        <v>37803</v>
      </c>
      <c r="F2309" s="55" t="s">
        <v>344</v>
      </c>
      <c r="G2309" s="55" t="s">
        <v>4157</v>
      </c>
      <c r="H2309" s="55" t="s">
        <v>4158</v>
      </c>
      <c r="I2309" s="55" t="s">
        <v>4159</v>
      </c>
      <c r="J2309" s="55" t="s">
        <v>129</v>
      </c>
      <c r="L2309" s="55" t="s">
        <v>4160</v>
      </c>
      <c r="M2309" s="55" t="s">
        <v>129</v>
      </c>
      <c r="N2309" s="55" t="s">
        <v>129</v>
      </c>
      <c r="O2309" s="55" t="s">
        <v>164</v>
      </c>
      <c r="P2309" s="55" t="s">
        <v>4161</v>
      </c>
      <c r="Q2309" s="55" t="s">
        <v>362</v>
      </c>
      <c r="R2309" s="55"/>
      <c r="S2309" s="55"/>
      <c r="T2309" s="55" t="s">
        <v>4162</v>
      </c>
    </row>
    <row r="2310" spans="1:20" ht="13" x14ac:dyDescent="0.15">
      <c r="A2310" s="72" t="str">
        <f t="shared" si="36"/>
        <v>Ofsted Social Care Provider Webpage</v>
      </c>
      <c r="B2310" s="55" t="s">
        <v>4163</v>
      </c>
      <c r="D2310" s="55" t="s">
        <v>468</v>
      </c>
      <c r="E2310" s="74">
        <v>37803</v>
      </c>
      <c r="F2310" s="55" t="s">
        <v>344</v>
      </c>
      <c r="G2310" s="55" t="s">
        <v>4164</v>
      </c>
      <c r="H2310" s="55" t="s">
        <v>4165</v>
      </c>
      <c r="I2310" s="55" t="s">
        <v>4166</v>
      </c>
      <c r="J2310" s="55" t="s">
        <v>4167</v>
      </c>
      <c r="L2310" s="55" t="s">
        <v>4168</v>
      </c>
      <c r="M2310" s="55" t="s">
        <v>150</v>
      </c>
      <c r="N2310" s="55" t="s">
        <v>150</v>
      </c>
      <c r="O2310" s="55" t="s">
        <v>221</v>
      </c>
      <c r="P2310" s="55" t="s">
        <v>4169</v>
      </c>
      <c r="Q2310" s="55" t="s">
        <v>362</v>
      </c>
      <c r="R2310" s="55"/>
      <c r="S2310" s="55"/>
      <c r="T2310" s="55" t="s">
        <v>4170</v>
      </c>
    </row>
    <row r="2311" spans="1:20" ht="13" x14ac:dyDescent="0.15">
      <c r="A2311" s="72" t="str">
        <f t="shared" si="36"/>
        <v>Ofsted Social Care Provider Webpage</v>
      </c>
      <c r="B2311" s="55" t="s">
        <v>4171</v>
      </c>
      <c r="D2311" s="55" t="s">
        <v>373</v>
      </c>
      <c r="E2311" s="74">
        <v>38253</v>
      </c>
      <c r="F2311" s="55" t="s">
        <v>344</v>
      </c>
      <c r="G2311" s="55" t="s">
        <v>360</v>
      </c>
      <c r="H2311" s="55" t="s">
        <v>360</v>
      </c>
      <c r="I2311" s="55" t="s">
        <v>360</v>
      </c>
      <c r="J2311" s="55" t="s">
        <v>360</v>
      </c>
      <c r="K2311" s="55" t="s">
        <v>360</v>
      </c>
      <c r="L2311" s="55" t="s">
        <v>360</v>
      </c>
      <c r="M2311" s="55" t="s">
        <v>144</v>
      </c>
      <c r="N2311" s="55" t="s">
        <v>144</v>
      </c>
      <c r="O2311" s="55" t="s">
        <v>245</v>
      </c>
      <c r="P2311" s="55" t="s">
        <v>1796</v>
      </c>
      <c r="Q2311" s="55" t="s">
        <v>350</v>
      </c>
      <c r="R2311" s="55">
        <v>3</v>
      </c>
      <c r="S2311" s="55"/>
      <c r="T2311" s="55" t="s">
        <v>1505</v>
      </c>
    </row>
    <row r="2312" spans="1:20" ht="13" x14ac:dyDescent="0.15">
      <c r="A2312" s="72" t="str">
        <f t="shared" si="36"/>
        <v>Ofsted Social Care Provider Webpage</v>
      </c>
      <c r="B2312" s="55" t="s">
        <v>4172</v>
      </c>
      <c r="C2312" s="55">
        <v>136484</v>
      </c>
      <c r="D2312" s="55" t="s">
        <v>398</v>
      </c>
      <c r="E2312" s="74">
        <v>37805</v>
      </c>
      <c r="F2312" s="55" t="s">
        <v>344</v>
      </c>
      <c r="G2312" s="55" t="s">
        <v>4173</v>
      </c>
      <c r="H2312" s="55" t="s">
        <v>4173</v>
      </c>
      <c r="I2312" s="55" t="s">
        <v>4174</v>
      </c>
      <c r="J2312" s="55" t="s">
        <v>4175</v>
      </c>
      <c r="K2312" s="55" t="s">
        <v>156</v>
      </c>
      <c r="L2312" s="55" t="s">
        <v>4176</v>
      </c>
      <c r="M2312" s="55" t="s">
        <v>150</v>
      </c>
      <c r="N2312" s="55" t="s">
        <v>150</v>
      </c>
      <c r="O2312" s="55" t="s">
        <v>156</v>
      </c>
      <c r="P2312" s="55" t="s">
        <v>1217</v>
      </c>
      <c r="Q2312" s="55" t="s">
        <v>420</v>
      </c>
      <c r="R2312" s="55">
        <v>70</v>
      </c>
      <c r="S2312" s="55"/>
      <c r="T2312" s="55" t="s">
        <v>4177</v>
      </c>
    </row>
    <row r="2313" spans="1:20" ht="13" x14ac:dyDescent="0.15">
      <c r="A2313" s="72" t="str">
        <f t="shared" si="36"/>
        <v>Ofsted Social Care Provider Webpage</v>
      </c>
      <c r="B2313" s="55" t="s">
        <v>4178</v>
      </c>
      <c r="C2313" s="55">
        <v>114635</v>
      </c>
      <c r="D2313" s="55" t="s">
        <v>413</v>
      </c>
      <c r="E2313" s="74">
        <v>37806</v>
      </c>
      <c r="F2313" s="55" t="s">
        <v>344</v>
      </c>
      <c r="G2313" s="55" t="s">
        <v>4179</v>
      </c>
      <c r="H2313" s="55" t="s">
        <v>4180</v>
      </c>
      <c r="I2313" s="55" t="s">
        <v>4181</v>
      </c>
      <c r="J2313" s="55" t="s">
        <v>4182</v>
      </c>
      <c r="K2313" s="55" t="s">
        <v>181</v>
      </c>
      <c r="L2313" s="55" t="s">
        <v>4183</v>
      </c>
      <c r="M2313" s="55" t="s">
        <v>150</v>
      </c>
      <c r="N2313" s="55" t="s">
        <v>150</v>
      </c>
      <c r="O2313" s="55" t="s">
        <v>181</v>
      </c>
      <c r="P2313" s="55" t="s">
        <v>626</v>
      </c>
      <c r="Q2313" s="55" t="s">
        <v>362</v>
      </c>
      <c r="R2313" s="55">
        <v>26</v>
      </c>
      <c r="S2313" s="55"/>
      <c r="T2313" s="55" t="s">
        <v>4184</v>
      </c>
    </row>
    <row r="2314" spans="1:20" ht="13" x14ac:dyDescent="0.15">
      <c r="A2314" s="72" t="str">
        <f t="shared" si="36"/>
        <v>Ofsted Social Care Provider Webpage</v>
      </c>
      <c r="B2314" s="55" t="s">
        <v>4185</v>
      </c>
      <c r="D2314" s="55" t="s">
        <v>451</v>
      </c>
      <c r="E2314" s="74">
        <v>38002</v>
      </c>
      <c r="F2314" s="55" t="s">
        <v>344</v>
      </c>
      <c r="G2314" s="55" t="s">
        <v>4186</v>
      </c>
      <c r="H2314" s="55" t="s">
        <v>4187</v>
      </c>
      <c r="I2314" s="55" t="s">
        <v>354</v>
      </c>
      <c r="J2314" s="55" t="s">
        <v>251</v>
      </c>
      <c r="K2314" s="55" t="s">
        <v>683</v>
      </c>
      <c r="L2314" s="55" t="s">
        <v>4188</v>
      </c>
      <c r="M2314" s="55" t="s">
        <v>378</v>
      </c>
      <c r="N2314" s="55" t="s">
        <v>134</v>
      </c>
      <c r="O2314" s="55" t="s">
        <v>251</v>
      </c>
      <c r="P2314" s="55" t="s">
        <v>2408</v>
      </c>
      <c r="Q2314" s="55" t="s">
        <v>350</v>
      </c>
      <c r="R2314" s="55">
        <v>12</v>
      </c>
      <c r="S2314" s="55"/>
      <c r="T2314" s="55" t="s">
        <v>1259</v>
      </c>
    </row>
    <row r="2315" spans="1:20" ht="13" x14ac:dyDescent="0.15">
      <c r="A2315" s="72" t="str">
        <f t="shared" si="36"/>
        <v>Ofsted Social Care Provider Webpage</v>
      </c>
      <c r="B2315" s="55" t="s">
        <v>4189</v>
      </c>
      <c r="D2315" s="55" t="s">
        <v>398</v>
      </c>
      <c r="E2315" s="74">
        <v>37819</v>
      </c>
      <c r="F2315" s="55" t="s">
        <v>344</v>
      </c>
      <c r="G2315" s="55" t="s">
        <v>4190</v>
      </c>
      <c r="H2315" s="55" t="s">
        <v>4191</v>
      </c>
      <c r="I2315" s="55" t="s">
        <v>4192</v>
      </c>
      <c r="J2315" s="55" t="s">
        <v>827</v>
      </c>
      <c r="K2315" s="55" t="s">
        <v>181</v>
      </c>
      <c r="L2315" s="55" t="s">
        <v>4193</v>
      </c>
      <c r="M2315" s="55" t="s">
        <v>150</v>
      </c>
      <c r="N2315" s="55" t="s">
        <v>150</v>
      </c>
      <c r="O2315" s="55" t="s">
        <v>153</v>
      </c>
      <c r="P2315" s="55" t="s">
        <v>829</v>
      </c>
      <c r="Q2315" s="55" t="s">
        <v>350</v>
      </c>
      <c r="R2315" s="55">
        <v>688</v>
      </c>
      <c r="S2315" s="55"/>
      <c r="T2315" s="55" t="s">
        <v>4194</v>
      </c>
    </row>
    <row r="2316" spans="1:20" ht="13" x14ac:dyDescent="0.15">
      <c r="A2316" s="72" t="str">
        <f t="shared" si="36"/>
        <v>Ofsted Social Care Provider Webpage</v>
      </c>
      <c r="B2316" s="55" t="s">
        <v>4195</v>
      </c>
      <c r="C2316" s="55">
        <v>100986</v>
      </c>
      <c r="D2316" s="55" t="s">
        <v>413</v>
      </c>
      <c r="E2316" s="74">
        <v>37819</v>
      </c>
      <c r="F2316" s="55" t="s">
        <v>344</v>
      </c>
      <c r="G2316" s="55" t="s">
        <v>4196</v>
      </c>
      <c r="H2316" s="55" t="s">
        <v>4196</v>
      </c>
      <c r="I2316" s="55" t="s">
        <v>4197</v>
      </c>
      <c r="J2316" s="55" t="s">
        <v>4198</v>
      </c>
      <c r="K2316" s="55" t="s">
        <v>181</v>
      </c>
      <c r="L2316" s="55" t="s">
        <v>4199</v>
      </c>
      <c r="M2316" s="55" t="s">
        <v>150</v>
      </c>
      <c r="N2316" s="55" t="s">
        <v>150</v>
      </c>
      <c r="O2316" s="55" t="s">
        <v>181</v>
      </c>
      <c r="P2316" s="55" t="s">
        <v>937</v>
      </c>
      <c r="Q2316" s="55" t="s">
        <v>380</v>
      </c>
      <c r="R2316" s="55">
        <v>33</v>
      </c>
      <c r="S2316" s="55"/>
      <c r="T2316" s="55" t="s">
        <v>3026</v>
      </c>
    </row>
    <row r="2317" spans="1:20" ht="13" x14ac:dyDescent="0.15">
      <c r="A2317" s="72" t="str">
        <f t="shared" si="36"/>
        <v>Ofsted Social Care Provider Webpage</v>
      </c>
      <c r="B2317" s="55" t="s">
        <v>4200</v>
      </c>
      <c r="C2317" s="55">
        <v>114625</v>
      </c>
      <c r="D2317" s="55" t="s">
        <v>398</v>
      </c>
      <c r="E2317" s="74">
        <v>37824</v>
      </c>
      <c r="F2317" s="55" t="s">
        <v>344</v>
      </c>
      <c r="G2317" s="55" t="s">
        <v>4201</v>
      </c>
      <c r="H2317" s="55" t="s">
        <v>4201</v>
      </c>
      <c r="I2317" s="55" t="s">
        <v>4202</v>
      </c>
      <c r="J2317" s="55" t="s">
        <v>4203</v>
      </c>
      <c r="K2317" s="55" t="s">
        <v>181</v>
      </c>
      <c r="L2317" s="55" t="s">
        <v>4204</v>
      </c>
      <c r="M2317" s="55" t="s">
        <v>150</v>
      </c>
      <c r="N2317" s="55" t="s">
        <v>150</v>
      </c>
      <c r="O2317" s="55" t="s">
        <v>181</v>
      </c>
      <c r="P2317" s="55" t="s">
        <v>1142</v>
      </c>
      <c r="Q2317" s="55" t="s">
        <v>362</v>
      </c>
      <c r="R2317" s="55">
        <v>117</v>
      </c>
      <c r="S2317" s="55"/>
      <c r="T2317" s="55" t="s">
        <v>4205</v>
      </c>
    </row>
    <row r="2318" spans="1:20" ht="13" x14ac:dyDescent="0.15">
      <c r="A2318" s="72" t="str">
        <f t="shared" si="36"/>
        <v>Ofsted Social Care Provider Webpage</v>
      </c>
      <c r="B2318" s="55" t="s">
        <v>4206</v>
      </c>
      <c r="C2318" s="55">
        <v>114677</v>
      </c>
      <c r="D2318" s="55" t="s">
        <v>413</v>
      </c>
      <c r="E2318" s="74">
        <v>37824</v>
      </c>
      <c r="F2318" s="55" t="s">
        <v>344</v>
      </c>
      <c r="G2318" s="55" t="s">
        <v>4207</v>
      </c>
      <c r="H2318" s="55" t="s">
        <v>4208</v>
      </c>
      <c r="I2318" s="55" t="s">
        <v>354</v>
      </c>
      <c r="J2318" s="55" t="s">
        <v>4198</v>
      </c>
      <c r="K2318" s="55" t="s">
        <v>181</v>
      </c>
      <c r="L2318" s="55" t="s">
        <v>4209</v>
      </c>
      <c r="M2318" s="55" t="s">
        <v>150</v>
      </c>
      <c r="N2318" s="55" t="s">
        <v>150</v>
      </c>
      <c r="O2318" s="55" t="s">
        <v>181</v>
      </c>
      <c r="P2318" s="55" t="s">
        <v>937</v>
      </c>
      <c r="Q2318" s="55" t="s">
        <v>362</v>
      </c>
      <c r="R2318" s="55">
        <v>22</v>
      </c>
      <c r="S2318" s="55"/>
      <c r="T2318" s="55" t="s">
        <v>4210</v>
      </c>
    </row>
    <row r="2319" spans="1:20" ht="13" x14ac:dyDescent="0.15">
      <c r="A2319" s="72" t="str">
        <f t="shared" si="36"/>
        <v>Ofsted Social Care Provider Webpage</v>
      </c>
      <c r="B2319" s="55" t="s">
        <v>4211</v>
      </c>
      <c r="C2319" s="55">
        <v>133653</v>
      </c>
      <c r="D2319" s="55" t="s">
        <v>413</v>
      </c>
      <c r="E2319" s="74">
        <v>37824</v>
      </c>
      <c r="F2319" s="55" t="s">
        <v>344</v>
      </c>
      <c r="G2319" s="55" t="s">
        <v>4212</v>
      </c>
      <c r="H2319" s="55" t="s">
        <v>4213</v>
      </c>
      <c r="I2319" s="55" t="s">
        <v>354</v>
      </c>
      <c r="J2319" s="55" t="s">
        <v>4214</v>
      </c>
      <c r="K2319" s="55" t="s">
        <v>181</v>
      </c>
      <c r="L2319" s="55" t="s">
        <v>4215</v>
      </c>
      <c r="M2319" s="55" t="s">
        <v>150</v>
      </c>
      <c r="N2319" s="55" t="s">
        <v>150</v>
      </c>
      <c r="O2319" s="55" t="s">
        <v>181</v>
      </c>
      <c r="P2319" s="55" t="s">
        <v>626</v>
      </c>
      <c r="Q2319" s="55" t="s">
        <v>362</v>
      </c>
      <c r="R2319" s="55">
        <v>40</v>
      </c>
      <c r="S2319" s="55"/>
      <c r="T2319" s="55" t="s">
        <v>4216</v>
      </c>
    </row>
    <row r="2320" spans="1:20" ht="13" x14ac:dyDescent="0.15">
      <c r="A2320" s="72" t="str">
        <f t="shared" si="36"/>
        <v>Ofsted Social Care Provider Webpage</v>
      </c>
      <c r="B2320" s="55" t="s">
        <v>4217</v>
      </c>
      <c r="C2320" s="55">
        <v>114619</v>
      </c>
      <c r="D2320" s="55" t="s">
        <v>413</v>
      </c>
      <c r="E2320" s="74">
        <v>37824</v>
      </c>
      <c r="F2320" s="55" t="s">
        <v>344</v>
      </c>
      <c r="G2320" s="55" t="s">
        <v>4218</v>
      </c>
      <c r="H2320" s="55" t="s">
        <v>4218</v>
      </c>
      <c r="I2320" s="55" t="s">
        <v>4219</v>
      </c>
      <c r="J2320" s="55" t="s">
        <v>827</v>
      </c>
      <c r="L2320" s="55" t="s">
        <v>4220</v>
      </c>
      <c r="M2320" s="55" t="s">
        <v>150</v>
      </c>
      <c r="N2320" s="55" t="s">
        <v>150</v>
      </c>
      <c r="O2320" s="55" t="s">
        <v>153</v>
      </c>
      <c r="P2320" s="55" t="s">
        <v>2323</v>
      </c>
      <c r="Q2320" s="55" t="s">
        <v>362</v>
      </c>
      <c r="R2320" s="55">
        <v>36</v>
      </c>
      <c r="S2320" s="55"/>
      <c r="T2320" s="55" t="s">
        <v>4218</v>
      </c>
    </row>
    <row r="2321" spans="1:20" ht="13" x14ac:dyDescent="0.15">
      <c r="A2321" s="72" t="str">
        <f t="shared" si="36"/>
        <v>Ofsted Social Care Provider Webpage</v>
      </c>
      <c r="B2321" s="55" t="s">
        <v>4221</v>
      </c>
      <c r="D2321" s="55" t="s">
        <v>389</v>
      </c>
      <c r="E2321" s="74">
        <v>37966</v>
      </c>
      <c r="F2321" s="55" t="s">
        <v>344</v>
      </c>
      <c r="G2321" s="55" t="s">
        <v>4222</v>
      </c>
      <c r="H2321" s="55" t="s">
        <v>4223</v>
      </c>
      <c r="I2321" s="55" t="s">
        <v>4224</v>
      </c>
      <c r="J2321" s="55" t="s">
        <v>3017</v>
      </c>
      <c r="L2321" s="55" t="s">
        <v>4225</v>
      </c>
      <c r="M2321" s="55" t="s">
        <v>136</v>
      </c>
      <c r="N2321" s="55" t="s">
        <v>136</v>
      </c>
      <c r="O2321" s="55" t="s">
        <v>154</v>
      </c>
      <c r="P2321" s="55" t="s">
        <v>1686</v>
      </c>
      <c r="Q2321" s="55" t="s">
        <v>362</v>
      </c>
      <c r="R2321" s="55"/>
      <c r="S2321" s="55"/>
      <c r="T2321" s="55" t="s">
        <v>3196</v>
      </c>
    </row>
    <row r="2322" spans="1:20" ht="13" x14ac:dyDescent="0.15">
      <c r="A2322" s="72" t="str">
        <f t="shared" si="36"/>
        <v>Ofsted Social Care Provider Webpage</v>
      </c>
      <c r="B2322" s="55" t="s">
        <v>4226</v>
      </c>
      <c r="C2322" s="55">
        <v>133108</v>
      </c>
      <c r="D2322" s="55" t="s">
        <v>693</v>
      </c>
      <c r="E2322" s="74">
        <v>37826</v>
      </c>
      <c r="F2322" s="55" t="s">
        <v>344</v>
      </c>
      <c r="G2322" s="55" t="s">
        <v>4227</v>
      </c>
      <c r="H2322" s="55" t="s">
        <v>4227</v>
      </c>
      <c r="I2322" s="55" t="s">
        <v>4228</v>
      </c>
      <c r="J2322" s="55" t="s">
        <v>1457</v>
      </c>
      <c r="L2322" s="55" t="s">
        <v>4229</v>
      </c>
      <c r="M2322" s="55" t="s">
        <v>142</v>
      </c>
      <c r="N2322" s="55" t="s">
        <v>142</v>
      </c>
      <c r="O2322" s="55" t="s">
        <v>195</v>
      </c>
      <c r="P2322" s="55" t="s">
        <v>747</v>
      </c>
      <c r="Q2322" s="55" t="s">
        <v>362</v>
      </c>
      <c r="R2322" s="55">
        <v>77</v>
      </c>
      <c r="S2322" s="55"/>
      <c r="T2322" s="55" t="s">
        <v>4227</v>
      </c>
    </row>
    <row r="2323" spans="1:20" ht="13" x14ac:dyDescent="0.15">
      <c r="A2323" s="72" t="str">
        <f t="shared" si="36"/>
        <v>Ofsted Social Care Provider Webpage</v>
      </c>
      <c r="B2323" s="55" t="s">
        <v>4230</v>
      </c>
      <c r="C2323" s="55">
        <v>130667</v>
      </c>
      <c r="D2323" s="55" t="s">
        <v>693</v>
      </c>
      <c r="E2323" s="74">
        <v>37832</v>
      </c>
      <c r="F2323" s="55" t="s">
        <v>344</v>
      </c>
      <c r="G2323" s="55" t="s">
        <v>4231</v>
      </c>
      <c r="H2323" s="55" t="s">
        <v>4231</v>
      </c>
      <c r="I2323" s="55" t="s">
        <v>4232</v>
      </c>
      <c r="J2323" s="55" t="s">
        <v>4233</v>
      </c>
      <c r="K2323" s="55" t="s">
        <v>181</v>
      </c>
      <c r="L2323" s="55" t="s">
        <v>4234</v>
      </c>
      <c r="M2323" s="55" t="s">
        <v>150</v>
      </c>
      <c r="N2323" s="55" t="s">
        <v>150</v>
      </c>
      <c r="O2323" s="55" t="s">
        <v>181</v>
      </c>
      <c r="P2323" s="55" t="s">
        <v>937</v>
      </c>
      <c r="Q2323" s="55" t="s">
        <v>362</v>
      </c>
      <c r="R2323" s="55">
        <v>117</v>
      </c>
      <c r="S2323" s="55"/>
      <c r="T2323" s="55" t="s">
        <v>4231</v>
      </c>
    </row>
    <row r="2324" spans="1:20" ht="13" x14ac:dyDescent="0.15">
      <c r="A2324" s="72" t="str">
        <f t="shared" si="36"/>
        <v>Ofsted Social Care Provider Webpage</v>
      </c>
      <c r="B2324" s="55" t="s">
        <v>4235</v>
      </c>
      <c r="D2324" s="55" t="s">
        <v>468</v>
      </c>
      <c r="E2324" s="74">
        <v>37838</v>
      </c>
      <c r="F2324" s="55" t="s">
        <v>344</v>
      </c>
      <c r="G2324" s="55" t="s">
        <v>4236</v>
      </c>
      <c r="H2324" s="55" t="s">
        <v>4237</v>
      </c>
      <c r="I2324" s="55" t="s">
        <v>354</v>
      </c>
      <c r="J2324" s="55" t="s">
        <v>2753</v>
      </c>
      <c r="L2324" s="55" t="s">
        <v>4238</v>
      </c>
      <c r="M2324" s="55" t="s">
        <v>142</v>
      </c>
      <c r="N2324" s="55" t="s">
        <v>142</v>
      </c>
      <c r="O2324" s="55" t="s">
        <v>254</v>
      </c>
      <c r="P2324" s="55" t="s">
        <v>1048</v>
      </c>
      <c r="Q2324" s="55" t="s">
        <v>362</v>
      </c>
      <c r="R2324" s="55"/>
      <c r="S2324" s="55"/>
      <c r="T2324" s="55" t="s">
        <v>367</v>
      </c>
    </row>
    <row r="2325" spans="1:20" ht="13" x14ac:dyDescent="0.15">
      <c r="A2325" s="72" t="str">
        <f t="shared" si="36"/>
        <v>Ofsted Social Care Provider Webpage</v>
      </c>
      <c r="B2325" s="55" t="s">
        <v>4239</v>
      </c>
      <c r="D2325" s="55" t="s">
        <v>373</v>
      </c>
      <c r="E2325" s="74">
        <v>38019</v>
      </c>
      <c r="F2325" s="55" t="s">
        <v>344</v>
      </c>
      <c r="G2325" s="55" t="s">
        <v>360</v>
      </c>
      <c r="H2325" s="55" t="s">
        <v>360</v>
      </c>
      <c r="I2325" s="55" t="s">
        <v>360</v>
      </c>
      <c r="J2325" s="55" t="s">
        <v>360</v>
      </c>
      <c r="K2325" s="55" t="s">
        <v>360</v>
      </c>
      <c r="L2325" s="55" t="s">
        <v>360</v>
      </c>
      <c r="M2325" s="55" t="s">
        <v>172</v>
      </c>
      <c r="N2325" s="55" t="s">
        <v>172</v>
      </c>
      <c r="O2325" s="55" t="s">
        <v>173</v>
      </c>
      <c r="P2325" s="55" t="s">
        <v>2307</v>
      </c>
      <c r="Q2325" s="55" t="s">
        <v>380</v>
      </c>
      <c r="R2325" s="55">
        <v>4</v>
      </c>
      <c r="S2325" s="55"/>
      <c r="T2325" s="55" t="s">
        <v>3477</v>
      </c>
    </row>
    <row r="2326" spans="1:20" ht="13" x14ac:dyDescent="0.15">
      <c r="A2326" s="72" t="str">
        <f t="shared" si="36"/>
        <v>Ofsted Social Care Provider Webpage</v>
      </c>
      <c r="B2326" s="55" t="s">
        <v>4240</v>
      </c>
      <c r="D2326" s="55" t="s">
        <v>373</v>
      </c>
      <c r="E2326" s="74">
        <v>37949</v>
      </c>
      <c r="F2326" s="55" t="s">
        <v>344</v>
      </c>
      <c r="G2326" s="55" t="s">
        <v>360</v>
      </c>
      <c r="H2326" s="55" t="s">
        <v>360</v>
      </c>
      <c r="I2326" s="55" t="s">
        <v>360</v>
      </c>
      <c r="J2326" s="55" t="s">
        <v>360</v>
      </c>
      <c r="K2326" s="55" t="s">
        <v>360</v>
      </c>
      <c r="L2326" s="55" t="s">
        <v>360</v>
      </c>
      <c r="M2326" s="55" t="s">
        <v>172</v>
      </c>
      <c r="N2326" s="55" t="s">
        <v>172</v>
      </c>
      <c r="O2326" s="55" t="s">
        <v>235</v>
      </c>
      <c r="P2326" s="55" t="s">
        <v>1355</v>
      </c>
      <c r="Q2326" s="55" t="s">
        <v>350</v>
      </c>
      <c r="R2326" s="55">
        <v>3</v>
      </c>
      <c r="S2326" s="55"/>
      <c r="T2326" s="55" t="s">
        <v>1105</v>
      </c>
    </row>
    <row r="2327" spans="1:20" ht="13" x14ac:dyDescent="0.15">
      <c r="A2327" s="72" t="str">
        <f t="shared" si="36"/>
        <v>Ofsted Social Care Provider Webpage</v>
      </c>
      <c r="B2327" s="55" t="s">
        <v>4241</v>
      </c>
      <c r="D2327" s="55" t="s">
        <v>468</v>
      </c>
      <c r="E2327" s="74">
        <v>37844</v>
      </c>
      <c r="F2327" s="55" t="s">
        <v>344</v>
      </c>
      <c r="G2327" s="55" t="s">
        <v>4242</v>
      </c>
      <c r="H2327" s="55" t="s">
        <v>4243</v>
      </c>
      <c r="I2327" s="55" t="s">
        <v>4244</v>
      </c>
      <c r="J2327" s="55" t="s">
        <v>2578</v>
      </c>
      <c r="L2327" s="55" t="s">
        <v>4245</v>
      </c>
      <c r="M2327" s="55" t="s">
        <v>129</v>
      </c>
      <c r="N2327" s="55" t="s">
        <v>129</v>
      </c>
      <c r="O2327" s="55" t="s">
        <v>260</v>
      </c>
      <c r="P2327" s="55" t="s">
        <v>4246</v>
      </c>
      <c r="Q2327" s="55" t="s">
        <v>362</v>
      </c>
      <c r="R2327" s="55"/>
      <c r="S2327" s="55"/>
      <c r="T2327" s="55" t="s">
        <v>367</v>
      </c>
    </row>
    <row r="2328" spans="1:20" ht="13" x14ac:dyDescent="0.15">
      <c r="A2328" s="72" t="str">
        <f t="shared" si="36"/>
        <v>Ofsted Social Care Provider Webpage</v>
      </c>
      <c r="B2328" s="55" t="s">
        <v>4247</v>
      </c>
      <c r="D2328" s="55" t="s">
        <v>468</v>
      </c>
      <c r="E2328" s="74">
        <v>37844</v>
      </c>
      <c r="F2328" s="55" t="s">
        <v>344</v>
      </c>
      <c r="G2328" s="55" t="s">
        <v>4248</v>
      </c>
      <c r="H2328" s="55" t="s">
        <v>3015</v>
      </c>
      <c r="I2328" s="55" t="s">
        <v>3016</v>
      </c>
      <c r="J2328" s="55" t="s">
        <v>3017</v>
      </c>
      <c r="L2328" s="55" t="s">
        <v>3018</v>
      </c>
      <c r="M2328" s="55" t="s">
        <v>136</v>
      </c>
      <c r="N2328" s="55" t="s">
        <v>136</v>
      </c>
      <c r="O2328" s="55" t="s">
        <v>154</v>
      </c>
      <c r="P2328" s="55" t="s">
        <v>1818</v>
      </c>
      <c r="Q2328" s="55" t="s">
        <v>362</v>
      </c>
      <c r="R2328" s="55"/>
      <c r="S2328" s="55"/>
      <c r="T2328" s="55" t="s">
        <v>367</v>
      </c>
    </row>
    <row r="2329" spans="1:20" ht="13" x14ac:dyDescent="0.15">
      <c r="A2329" s="72" t="str">
        <f t="shared" si="36"/>
        <v>Ofsted Social Care Provider Webpage</v>
      </c>
      <c r="B2329" s="55" t="s">
        <v>4249</v>
      </c>
      <c r="D2329" s="55" t="s">
        <v>468</v>
      </c>
      <c r="E2329" s="74">
        <v>37844</v>
      </c>
      <c r="F2329" s="55" t="s">
        <v>344</v>
      </c>
      <c r="G2329" s="55" t="s">
        <v>4250</v>
      </c>
      <c r="H2329" s="55" t="s">
        <v>2593</v>
      </c>
      <c r="I2329" s="55" t="s">
        <v>4251</v>
      </c>
      <c r="J2329" s="55" t="s">
        <v>4252</v>
      </c>
      <c r="K2329" s="55" t="s">
        <v>3368</v>
      </c>
      <c r="L2329" s="55" t="s">
        <v>3923</v>
      </c>
      <c r="M2329" s="55" t="s">
        <v>378</v>
      </c>
      <c r="N2329" s="55" t="s">
        <v>170</v>
      </c>
      <c r="O2329" s="55" t="s">
        <v>178</v>
      </c>
      <c r="P2329" s="55" t="s">
        <v>905</v>
      </c>
      <c r="Q2329" s="55" t="s">
        <v>362</v>
      </c>
      <c r="R2329" s="55"/>
      <c r="S2329" s="55"/>
      <c r="T2329" s="55" t="s">
        <v>1884</v>
      </c>
    </row>
    <row r="2330" spans="1:20" ht="13" x14ac:dyDescent="0.15">
      <c r="A2330" s="72" t="str">
        <f t="shared" si="36"/>
        <v>Ofsted Social Care Provider Webpage</v>
      </c>
      <c r="B2330" s="55" t="s">
        <v>4253</v>
      </c>
      <c r="D2330" s="55" t="s">
        <v>468</v>
      </c>
      <c r="E2330" s="74">
        <v>37844</v>
      </c>
      <c r="F2330" s="55" t="s">
        <v>344</v>
      </c>
      <c r="G2330" s="55" t="s">
        <v>4254</v>
      </c>
      <c r="H2330" s="55" t="s">
        <v>4255</v>
      </c>
      <c r="I2330" s="55" t="s">
        <v>4256</v>
      </c>
      <c r="J2330" s="55" t="s">
        <v>210</v>
      </c>
      <c r="K2330" s="55" t="s">
        <v>2374</v>
      </c>
      <c r="L2330" s="55" t="s">
        <v>4257</v>
      </c>
      <c r="M2330" s="55" t="s">
        <v>378</v>
      </c>
      <c r="N2330" s="55" t="s">
        <v>134</v>
      </c>
      <c r="O2330" s="55" t="s">
        <v>210</v>
      </c>
      <c r="P2330" s="55" t="s">
        <v>1250</v>
      </c>
      <c r="Q2330" s="55" t="s">
        <v>362</v>
      </c>
      <c r="R2330" s="55"/>
      <c r="S2330" s="55"/>
      <c r="T2330" s="55" t="s">
        <v>1884</v>
      </c>
    </row>
    <row r="2331" spans="1:20" ht="13" x14ac:dyDescent="0.15">
      <c r="A2331" s="72" t="str">
        <f t="shared" si="36"/>
        <v>Ofsted Social Care Provider Webpage</v>
      </c>
      <c r="B2331" s="55" t="s">
        <v>4258</v>
      </c>
      <c r="D2331" s="55" t="s">
        <v>468</v>
      </c>
      <c r="E2331" s="74">
        <v>37844</v>
      </c>
      <c r="F2331" s="55" t="s">
        <v>344</v>
      </c>
      <c r="G2331" s="55" t="s">
        <v>4259</v>
      </c>
      <c r="H2331" s="55" t="s">
        <v>2593</v>
      </c>
      <c r="I2331" s="55" t="s">
        <v>4260</v>
      </c>
      <c r="J2331" s="55" t="s">
        <v>2770</v>
      </c>
      <c r="L2331" s="55" t="s">
        <v>4261</v>
      </c>
      <c r="M2331" s="55" t="s">
        <v>138</v>
      </c>
      <c r="N2331" s="55" t="s">
        <v>138</v>
      </c>
      <c r="O2331" s="55" t="s">
        <v>183</v>
      </c>
      <c r="P2331" s="55" t="s">
        <v>508</v>
      </c>
      <c r="Q2331" s="55" t="s">
        <v>362</v>
      </c>
      <c r="R2331" s="55"/>
      <c r="S2331" s="55"/>
      <c r="T2331" s="55" t="s">
        <v>1884</v>
      </c>
    </row>
    <row r="2332" spans="1:20" ht="13" x14ac:dyDescent="0.15">
      <c r="A2332" s="72" t="str">
        <f t="shared" si="36"/>
        <v>Ofsted Social Care Provider Webpage</v>
      </c>
      <c r="B2332" s="55" t="s">
        <v>4262</v>
      </c>
      <c r="D2332" s="55" t="s">
        <v>468</v>
      </c>
      <c r="E2332" s="74">
        <v>37844</v>
      </c>
      <c r="F2332" s="55" t="s">
        <v>344</v>
      </c>
      <c r="G2332" s="55" t="s">
        <v>4263</v>
      </c>
      <c r="H2332" s="55" t="s">
        <v>4264</v>
      </c>
      <c r="I2332" s="55" t="s">
        <v>4265</v>
      </c>
      <c r="J2332" s="55" t="s">
        <v>129</v>
      </c>
      <c r="L2332" s="55" t="s">
        <v>4266</v>
      </c>
      <c r="M2332" s="55" t="s">
        <v>129</v>
      </c>
      <c r="N2332" s="55" t="s">
        <v>129</v>
      </c>
      <c r="O2332" s="55" t="s">
        <v>223</v>
      </c>
      <c r="P2332" s="55" t="s">
        <v>712</v>
      </c>
      <c r="Q2332" s="55" t="s">
        <v>362</v>
      </c>
      <c r="R2332" s="55"/>
      <c r="S2332" s="55"/>
      <c r="T2332" s="55" t="s">
        <v>1884</v>
      </c>
    </row>
    <row r="2333" spans="1:20" ht="13" x14ac:dyDescent="0.15">
      <c r="A2333" s="72" t="str">
        <f t="shared" si="36"/>
        <v>Ofsted Social Care Provider Webpage</v>
      </c>
      <c r="B2333" s="55" t="s">
        <v>4267</v>
      </c>
      <c r="D2333" s="55" t="s">
        <v>373</v>
      </c>
      <c r="E2333" s="74">
        <v>38008</v>
      </c>
      <c r="F2333" s="55" t="s">
        <v>344</v>
      </c>
      <c r="G2333" s="55" t="s">
        <v>360</v>
      </c>
      <c r="H2333" s="55" t="s">
        <v>360</v>
      </c>
      <c r="I2333" s="55" t="s">
        <v>360</v>
      </c>
      <c r="J2333" s="55" t="s">
        <v>360</v>
      </c>
      <c r="K2333" s="55" t="s">
        <v>360</v>
      </c>
      <c r="L2333" s="55" t="s">
        <v>360</v>
      </c>
      <c r="M2333" s="55" t="s">
        <v>144</v>
      </c>
      <c r="N2333" s="55" t="s">
        <v>144</v>
      </c>
      <c r="O2333" s="55" t="s">
        <v>287</v>
      </c>
      <c r="P2333" s="55" t="s">
        <v>1103</v>
      </c>
      <c r="Q2333" s="55" t="s">
        <v>380</v>
      </c>
      <c r="R2333" s="55">
        <v>4</v>
      </c>
      <c r="S2333" s="55" t="s">
        <v>332</v>
      </c>
      <c r="T2333" s="55" t="s">
        <v>882</v>
      </c>
    </row>
    <row r="2334" spans="1:20" ht="13" x14ac:dyDescent="0.15">
      <c r="A2334" s="72" t="str">
        <f t="shared" si="36"/>
        <v>Ofsted Social Care Provider Webpage</v>
      </c>
      <c r="B2334" s="55" t="s">
        <v>4268</v>
      </c>
      <c r="D2334" s="55" t="s">
        <v>451</v>
      </c>
      <c r="E2334" s="74">
        <v>37970</v>
      </c>
      <c r="F2334" s="55" t="s">
        <v>344</v>
      </c>
      <c r="G2334" s="55" t="s">
        <v>4269</v>
      </c>
      <c r="H2334" s="55" t="s">
        <v>4270</v>
      </c>
      <c r="I2334" s="55" t="s">
        <v>354</v>
      </c>
      <c r="J2334" s="55" t="s">
        <v>3188</v>
      </c>
      <c r="K2334" s="55" t="s">
        <v>293</v>
      </c>
      <c r="L2334" s="55" t="s">
        <v>4271</v>
      </c>
      <c r="M2334" s="55" t="s">
        <v>142</v>
      </c>
      <c r="N2334" s="55" t="s">
        <v>142</v>
      </c>
      <c r="O2334" s="55" t="s">
        <v>293</v>
      </c>
      <c r="P2334" s="55" t="s">
        <v>984</v>
      </c>
      <c r="Q2334" s="55" t="s">
        <v>350</v>
      </c>
      <c r="R2334" s="55">
        <v>8</v>
      </c>
      <c r="S2334" s="55"/>
      <c r="T2334" s="55" t="s">
        <v>1423</v>
      </c>
    </row>
    <row r="2335" spans="1:20" ht="13" x14ac:dyDescent="0.15">
      <c r="A2335" s="72" t="str">
        <f t="shared" si="36"/>
        <v>Ofsted Social Care Provider Webpage</v>
      </c>
      <c r="B2335" s="55" t="s">
        <v>4272</v>
      </c>
      <c r="D2335" s="55" t="s">
        <v>373</v>
      </c>
      <c r="E2335" s="74">
        <v>37881</v>
      </c>
      <c r="F2335" s="55" t="s">
        <v>344</v>
      </c>
      <c r="G2335" s="55" t="s">
        <v>360</v>
      </c>
      <c r="H2335" s="55" t="s">
        <v>360</v>
      </c>
      <c r="I2335" s="55" t="s">
        <v>360</v>
      </c>
      <c r="J2335" s="55" t="s">
        <v>360</v>
      </c>
      <c r="K2335" s="55" t="s">
        <v>360</v>
      </c>
      <c r="L2335" s="55" t="s">
        <v>360</v>
      </c>
      <c r="M2335" s="55" t="s">
        <v>144</v>
      </c>
      <c r="N2335" s="55" t="s">
        <v>144</v>
      </c>
      <c r="O2335" s="55" t="s">
        <v>250</v>
      </c>
      <c r="P2335" s="55" t="s">
        <v>759</v>
      </c>
      <c r="Q2335" s="55" t="s">
        <v>350</v>
      </c>
      <c r="R2335" s="55">
        <v>2</v>
      </c>
      <c r="S2335" s="55"/>
      <c r="T2335" s="55" t="s">
        <v>1600</v>
      </c>
    </row>
    <row r="2336" spans="1:20" ht="13" x14ac:dyDescent="0.15">
      <c r="A2336" s="72" t="str">
        <f t="shared" si="36"/>
        <v>Ofsted Social Care Provider Webpage</v>
      </c>
      <c r="B2336" s="55" t="s">
        <v>4273</v>
      </c>
      <c r="D2336" s="55" t="s">
        <v>373</v>
      </c>
      <c r="E2336" s="74">
        <v>38064</v>
      </c>
      <c r="F2336" s="55" t="s">
        <v>344</v>
      </c>
      <c r="G2336" s="55" t="s">
        <v>360</v>
      </c>
      <c r="H2336" s="55" t="s">
        <v>360</v>
      </c>
      <c r="I2336" s="55" t="s">
        <v>360</v>
      </c>
      <c r="J2336" s="55" t="s">
        <v>360</v>
      </c>
      <c r="K2336" s="55" t="s">
        <v>360</v>
      </c>
      <c r="L2336" s="55" t="s">
        <v>360</v>
      </c>
      <c r="M2336" s="55" t="s">
        <v>138</v>
      </c>
      <c r="N2336" s="55" t="s">
        <v>138</v>
      </c>
      <c r="O2336" s="55" t="s">
        <v>259</v>
      </c>
      <c r="P2336" s="55" t="s">
        <v>637</v>
      </c>
      <c r="Q2336" s="55" t="s">
        <v>362</v>
      </c>
      <c r="R2336" s="55">
        <v>6</v>
      </c>
      <c r="S2336" s="55" t="s">
        <v>332</v>
      </c>
      <c r="T2336" s="55" t="s">
        <v>4274</v>
      </c>
    </row>
    <row r="2337" spans="1:20" ht="13" x14ac:dyDescent="0.15">
      <c r="A2337" s="72" t="str">
        <f t="shared" si="36"/>
        <v>Ofsted Social Care Provider Webpage</v>
      </c>
      <c r="B2337" s="55" t="s">
        <v>4275</v>
      </c>
      <c r="D2337" s="55" t="s">
        <v>451</v>
      </c>
      <c r="E2337" s="74">
        <v>38323</v>
      </c>
      <c r="F2337" s="55" t="s">
        <v>344</v>
      </c>
      <c r="G2337" s="55" t="s">
        <v>4121</v>
      </c>
      <c r="H2337" s="55" t="s">
        <v>4276</v>
      </c>
      <c r="I2337" s="55" t="s">
        <v>354</v>
      </c>
      <c r="J2337" s="55" t="s">
        <v>4277</v>
      </c>
      <c r="K2337" s="55" t="s">
        <v>268</v>
      </c>
      <c r="L2337" s="55" t="s">
        <v>4278</v>
      </c>
      <c r="M2337" s="55" t="s">
        <v>129</v>
      </c>
      <c r="N2337" s="55" t="s">
        <v>129</v>
      </c>
      <c r="O2337" s="55" t="s">
        <v>167</v>
      </c>
      <c r="P2337" s="55" t="s">
        <v>2239</v>
      </c>
      <c r="Q2337" s="55" t="s">
        <v>350</v>
      </c>
      <c r="R2337" s="55">
        <v>9</v>
      </c>
      <c r="S2337" s="55"/>
      <c r="T2337" s="55" t="s">
        <v>4125</v>
      </c>
    </row>
    <row r="2338" spans="1:20" ht="13" x14ac:dyDescent="0.15">
      <c r="A2338" s="72" t="str">
        <f t="shared" si="36"/>
        <v>Ofsted Social Care Provider Webpage</v>
      </c>
      <c r="B2338" s="55" t="s">
        <v>4279</v>
      </c>
      <c r="D2338" s="55" t="s">
        <v>373</v>
      </c>
      <c r="E2338" s="74">
        <v>38072</v>
      </c>
      <c r="F2338" s="55" t="s">
        <v>344</v>
      </c>
      <c r="G2338" s="55" t="s">
        <v>360</v>
      </c>
      <c r="H2338" s="55" t="s">
        <v>360</v>
      </c>
      <c r="I2338" s="55" t="s">
        <v>360</v>
      </c>
      <c r="J2338" s="55" t="s">
        <v>360</v>
      </c>
      <c r="K2338" s="55" t="s">
        <v>360</v>
      </c>
      <c r="L2338" s="55" t="s">
        <v>360</v>
      </c>
      <c r="M2338" s="55" t="s">
        <v>150</v>
      </c>
      <c r="N2338" s="55" t="s">
        <v>150</v>
      </c>
      <c r="O2338" s="55" t="s">
        <v>221</v>
      </c>
      <c r="P2338" s="55" t="s">
        <v>349</v>
      </c>
      <c r="Q2338" s="55" t="s">
        <v>380</v>
      </c>
      <c r="R2338" s="55">
        <v>10</v>
      </c>
      <c r="S2338" s="55" t="s">
        <v>332</v>
      </c>
      <c r="T2338" s="55" t="s">
        <v>4280</v>
      </c>
    </row>
    <row r="2339" spans="1:20" ht="13" x14ac:dyDescent="0.15">
      <c r="A2339" s="72" t="str">
        <f t="shared" si="36"/>
        <v>Ofsted Social Care Provider Webpage</v>
      </c>
      <c r="B2339" s="55" t="s">
        <v>4281</v>
      </c>
      <c r="D2339" s="55" t="s">
        <v>373</v>
      </c>
      <c r="E2339" s="74">
        <v>37945</v>
      </c>
      <c r="F2339" s="55" t="s">
        <v>344</v>
      </c>
      <c r="G2339" s="55" t="s">
        <v>360</v>
      </c>
      <c r="H2339" s="55" t="s">
        <v>360</v>
      </c>
      <c r="I2339" s="55" t="s">
        <v>360</v>
      </c>
      <c r="J2339" s="55" t="s">
        <v>360</v>
      </c>
      <c r="K2339" s="55" t="s">
        <v>360</v>
      </c>
      <c r="L2339" s="55" t="s">
        <v>360</v>
      </c>
      <c r="M2339" s="55" t="s">
        <v>144</v>
      </c>
      <c r="N2339" s="55" t="s">
        <v>144</v>
      </c>
      <c r="O2339" s="55" t="s">
        <v>207</v>
      </c>
      <c r="P2339" s="55" t="s">
        <v>207</v>
      </c>
      <c r="Q2339" s="55" t="s">
        <v>350</v>
      </c>
      <c r="R2339" s="55">
        <v>5</v>
      </c>
      <c r="S2339" s="55"/>
      <c r="T2339" s="55" t="s">
        <v>2947</v>
      </c>
    </row>
    <row r="2340" spans="1:20" ht="13" x14ac:dyDescent="0.15">
      <c r="A2340" s="72" t="str">
        <f t="shared" si="36"/>
        <v>Ofsted Social Care Provider Webpage</v>
      </c>
      <c r="B2340" s="55" t="s">
        <v>4282</v>
      </c>
      <c r="D2340" s="55" t="s">
        <v>373</v>
      </c>
      <c r="E2340" s="74">
        <v>37963</v>
      </c>
      <c r="F2340" s="55" t="s">
        <v>344</v>
      </c>
      <c r="G2340" s="55" t="s">
        <v>360</v>
      </c>
      <c r="H2340" s="55" t="s">
        <v>360</v>
      </c>
      <c r="I2340" s="55" t="s">
        <v>360</v>
      </c>
      <c r="J2340" s="55" t="s">
        <v>360</v>
      </c>
      <c r="K2340" s="55" t="s">
        <v>360</v>
      </c>
      <c r="L2340" s="55" t="s">
        <v>360</v>
      </c>
      <c r="M2340" s="55" t="s">
        <v>129</v>
      </c>
      <c r="N2340" s="55" t="s">
        <v>129</v>
      </c>
      <c r="O2340" s="55" t="s">
        <v>242</v>
      </c>
      <c r="P2340" s="55" t="s">
        <v>1192</v>
      </c>
      <c r="Q2340" s="55" t="s">
        <v>350</v>
      </c>
      <c r="R2340" s="55">
        <v>5</v>
      </c>
      <c r="S2340" s="55"/>
      <c r="T2340" s="55" t="s">
        <v>4283</v>
      </c>
    </row>
    <row r="2341" spans="1:20" ht="13" x14ac:dyDescent="0.15">
      <c r="A2341" s="72" t="str">
        <f t="shared" si="36"/>
        <v>Ofsted Social Care Provider Webpage</v>
      </c>
      <c r="B2341" s="55" t="s">
        <v>4284</v>
      </c>
      <c r="D2341" s="55" t="s">
        <v>373</v>
      </c>
      <c r="E2341" s="74">
        <v>37896</v>
      </c>
      <c r="F2341" s="55" t="s">
        <v>344</v>
      </c>
      <c r="G2341" s="55" t="s">
        <v>360</v>
      </c>
      <c r="H2341" s="55" t="s">
        <v>360</v>
      </c>
      <c r="I2341" s="55" t="s">
        <v>360</v>
      </c>
      <c r="J2341" s="55" t="s">
        <v>360</v>
      </c>
      <c r="K2341" s="55" t="s">
        <v>360</v>
      </c>
      <c r="L2341" s="55" t="s">
        <v>360</v>
      </c>
      <c r="M2341" s="55" t="s">
        <v>144</v>
      </c>
      <c r="N2341" s="55" t="s">
        <v>144</v>
      </c>
      <c r="O2341" s="55" t="s">
        <v>209</v>
      </c>
      <c r="P2341" s="55" t="s">
        <v>364</v>
      </c>
      <c r="Q2341" s="55" t="s">
        <v>350</v>
      </c>
      <c r="R2341" s="55">
        <v>3</v>
      </c>
      <c r="S2341" s="55"/>
      <c r="T2341" s="55" t="s">
        <v>2574</v>
      </c>
    </row>
    <row r="2342" spans="1:20" ht="13" x14ac:dyDescent="0.15">
      <c r="A2342" s="72" t="str">
        <f t="shared" si="36"/>
        <v>Ofsted Social Care Provider Webpage</v>
      </c>
      <c r="B2342" s="55" t="s">
        <v>4285</v>
      </c>
      <c r="C2342" s="55">
        <v>147132</v>
      </c>
      <c r="D2342" s="55" t="s">
        <v>413</v>
      </c>
      <c r="E2342" s="74">
        <v>37865</v>
      </c>
      <c r="F2342" s="55" t="s">
        <v>344</v>
      </c>
      <c r="G2342" s="55" t="s">
        <v>4286</v>
      </c>
      <c r="H2342" s="55" t="s">
        <v>4287</v>
      </c>
      <c r="I2342" s="55" t="s">
        <v>4288</v>
      </c>
      <c r="J2342" s="55" t="s">
        <v>2397</v>
      </c>
      <c r="L2342" s="55" t="s">
        <v>4289</v>
      </c>
      <c r="M2342" s="55" t="s">
        <v>172</v>
      </c>
      <c r="N2342" s="55" t="s">
        <v>172</v>
      </c>
      <c r="O2342" s="55" t="s">
        <v>171</v>
      </c>
      <c r="P2342" s="55" t="s">
        <v>895</v>
      </c>
      <c r="Q2342" s="55" t="s">
        <v>380</v>
      </c>
      <c r="R2342" s="55">
        <v>12</v>
      </c>
      <c r="S2342" s="55"/>
      <c r="T2342" s="55" t="s">
        <v>3360</v>
      </c>
    </row>
    <row r="2343" spans="1:20" ht="13" x14ac:dyDescent="0.15">
      <c r="A2343" s="72" t="str">
        <f t="shared" si="36"/>
        <v>Ofsted Social Care Provider Webpage</v>
      </c>
      <c r="B2343" s="55" t="s">
        <v>4290</v>
      </c>
      <c r="D2343" s="55" t="s">
        <v>373</v>
      </c>
      <c r="E2343" s="74">
        <v>37973</v>
      </c>
      <c r="F2343" s="55" t="s">
        <v>344</v>
      </c>
      <c r="G2343" s="55" t="s">
        <v>360</v>
      </c>
      <c r="H2343" s="55" t="s">
        <v>360</v>
      </c>
      <c r="I2343" s="55" t="s">
        <v>360</v>
      </c>
      <c r="J2343" s="55" t="s">
        <v>360</v>
      </c>
      <c r="K2343" s="55" t="s">
        <v>360</v>
      </c>
      <c r="L2343" s="55" t="s">
        <v>360</v>
      </c>
      <c r="M2343" s="55" t="s">
        <v>138</v>
      </c>
      <c r="N2343" s="55" t="s">
        <v>138</v>
      </c>
      <c r="O2343" s="55" t="s">
        <v>238</v>
      </c>
      <c r="P2343" s="55" t="s">
        <v>238</v>
      </c>
      <c r="Q2343" s="55" t="s">
        <v>350</v>
      </c>
      <c r="R2343" s="55">
        <v>8</v>
      </c>
      <c r="S2343" s="55"/>
      <c r="T2343" s="55" t="s">
        <v>1899</v>
      </c>
    </row>
    <row r="2344" spans="1:20" ht="13" x14ac:dyDescent="0.15">
      <c r="A2344" s="72" t="str">
        <f t="shared" si="36"/>
        <v>Ofsted Social Care Provider Webpage</v>
      </c>
      <c r="B2344" s="55" t="s">
        <v>4291</v>
      </c>
      <c r="D2344" s="55" t="s">
        <v>389</v>
      </c>
      <c r="E2344" s="74">
        <v>37957</v>
      </c>
      <c r="F2344" s="55" t="s">
        <v>344</v>
      </c>
      <c r="G2344" s="55" t="s">
        <v>4292</v>
      </c>
      <c r="H2344" s="55" t="s">
        <v>4293</v>
      </c>
      <c r="I2344" s="55" t="s">
        <v>4294</v>
      </c>
      <c r="J2344" s="55" t="s">
        <v>2457</v>
      </c>
      <c r="L2344" s="55" t="s">
        <v>4295</v>
      </c>
      <c r="M2344" s="55" t="s">
        <v>172</v>
      </c>
      <c r="N2344" s="55" t="s">
        <v>172</v>
      </c>
      <c r="O2344" s="55" t="s">
        <v>212</v>
      </c>
      <c r="P2344" s="55" t="s">
        <v>883</v>
      </c>
      <c r="Q2344" s="55" t="s">
        <v>350</v>
      </c>
      <c r="R2344" s="55"/>
      <c r="S2344" s="55"/>
      <c r="T2344" s="55" t="s">
        <v>4296</v>
      </c>
    </row>
    <row r="2345" spans="1:20" ht="13" x14ac:dyDescent="0.15">
      <c r="A2345" s="72" t="str">
        <f t="shared" si="36"/>
        <v>Ofsted Social Care Provider Webpage</v>
      </c>
      <c r="B2345" s="55" t="s">
        <v>4297</v>
      </c>
      <c r="C2345" s="55">
        <v>136449</v>
      </c>
      <c r="D2345" s="55" t="s">
        <v>398</v>
      </c>
      <c r="E2345" s="74">
        <v>37874</v>
      </c>
      <c r="F2345" s="55" t="s">
        <v>344</v>
      </c>
      <c r="G2345" s="55" t="s">
        <v>4298</v>
      </c>
      <c r="H2345" s="55" t="s">
        <v>4298</v>
      </c>
      <c r="I2345" s="55" t="s">
        <v>4299</v>
      </c>
      <c r="J2345" s="55" t="s">
        <v>4300</v>
      </c>
      <c r="L2345" s="55" t="s">
        <v>4301</v>
      </c>
      <c r="M2345" s="55" t="s">
        <v>150</v>
      </c>
      <c r="N2345" s="55" t="s">
        <v>150</v>
      </c>
      <c r="O2345" s="55" t="s">
        <v>241</v>
      </c>
      <c r="P2345" s="55" t="s">
        <v>486</v>
      </c>
      <c r="Q2345" s="55" t="s">
        <v>420</v>
      </c>
      <c r="R2345" s="55">
        <v>84</v>
      </c>
      <c r="S2345" s="55"/>
      <c r="T2345" s="55" t="s">
        <v>4298</v>
      </c>
    </row>
    <row r="2346" spans="1:20" ht="13" x14ac:dyDescent="0.15">
      <c r="A2346" s="72" t="str">
        <f t="shared" si="36"/>
        <v>Ofsted Social Care Provider Webpage</v>
      </c>
      <c r="B2346" s="55" t="s">
        <v>4302</v>
      </c>
      <c r="D2346" s="55" t="s">
        <v>373</v>
      </c>
      <c r="E2346" s="74">
        <v>37958</v>
      </c>
      <c r="F2346" s="55" t="s">
        <v>344</v>
      </c>
      <c r="G2346" s="55" t="s">
        <v>360</v>
      </c>
      <c r="H2346" s="55" t="s">
        <v>360</v>
      </c>
      <c r="I2346" s="55" t="s">
        <v>360</v>
      </c>
      <c r="J2346" s="55" t="s">
        <v>360</v>
      </c>
      <c r="K2346" s="55" t="s">
        <v>360</v>
      </c>
      <c r="L2346" s="55" t="s">
        <v>360</v>
      </c>
      <c r="M2346" s="55" t="s">
        <v>150</v>
      </c>
      <c r="N2346" s="55" t="s">
        <v>150</v>
      </c>
      <c r="O2346" s="55" t="s">
        <v>291</v>
      </c>
      <c r="P2346" s="55" t="s">
        <v>291</v>
      </c>
      <c r="Q2346" s="55" t="s">
        <v>350</v>
      </c>
      <c r="R2346" s="55">
        <v>4</v>
      </c>
      <c r="S2346" s="55"/>
      <c r="T2346" s="55" t="s">
        <v>755</v>
      </c>
    </row>
    <row r="2347" spans="1:20" ht="13" x14ac:dyDescent="0.15">
      <c r="A2347" s="72" t="str">
        <f t="shared" si="36"/>
        <v>Ofsted Social Care Provider Webpage</v>
      </c>
      <c r="B2347" s="55" t="s">
        <v>4303</v>
      </c>
      <c r="C2347" s="55">
        <v>108426</v>
      </c>
      <c r="D2347" s="55" t="s">
        <v>413</v>
      </c>
      <c r="E2347" s="74">
        <v>37879</v>
      </c>
      <c r="F2347" s="55" t="s">
        <v>344</v>
      </c>
      <c r="G2347" s="55" t="s">
        <v>4304</v>
      </c>
      <c r="H2347" s="55" t="s">
        <v>4305</v>
      </c>
      <c r="I2347" s="55" t="s">
        <v>4306</v>
      </c>
      <c r="J2347" s="55" t="s">
        <v>4307</v>
      </c>
      <c r="K2347" s="55" t="s">
        <v>3126</v>
      </c>
      <c r="L2347" s="55" t="s">
        <v>4308</v>
      </c>
      <c r="M2347" s="55" t="s">
        <v>378</v>
      </c>
      <c r="N2347" s="55" t="s">
        <v>170</v>
      </c>
      <c r="O2347" s="55" t="s">
        <v>184</v>
      </c>
      <c r="P2347" s="55" t="s">
        <v>184</v>
      </c>
      <c r="Q2347" s="55" t="s">
        <v>380</v>
      </c>
      <c r="R2347" s="55">
        <v>14</v>
      </c>
      <c r="S2347" s="55"/>
      <c r="T2347" s="55" t="s">
        <v>1711</v>
      </c>
    </row>
    <row r="2348" spans="1:20" ht="13" x14ac:dyDescent="0.15">
      <c r="A2348" s="72" t="str">
        <f t="shared" si="36"/>
        <v>Ofsted Social Care Provider Webpage</v>
      </c>
      <c r="B2348" s="55" t="s">
        <v>4309</v>
      </c>
      <c r="C2348" s="55">
        <v>130555</v>
      </c>
      <c r="D2348" s="55" t="s">
        <v>693</v>
      </c>
      <c r="E2348" s="74">
        <v>37879</v>
      </c>
      <c r="F2348" s="55" t="s">
        <v>344</v>
      </c>
      <c r="G2348" s="55" t="s">
        <v>4310</v>
      </c>
      <c r="H2348" s="55" t="s">
        <v>4311</v>
      </c>
      <c r="I2348" s="55" t="s">
        <v>354</v>
      </c>
      <c r="J2348" s="55" t="s">
        <v>4312</v>
      </c>
      <c r="K2348" s="55" t="s">
        <v>3126</v>
      </c>
      <c r="L2348" s="55" t="s">
        <v>4313</v>
      </c>
      <c r="M2348" s="55" t="s">
        <v>378</v>
      </c>
      <c r="N2348" s="55" t="s">
        <v>170</v>
      </c>
      <c r="O2348" s="55" t="s">
        <v>257</v>
      </c>
      <c r="P2348" s="55" t="s">
        <v>1183</v>
      </c>
      <c r="Q2348" s="55" t="s">
        <v>380</v>
      </c>
      <c r="R2348" s="55">
        <v>19</v>
      </c>
      <c r="S2348" s="55"/>
      <c r="T2348" s="55" t="s">
        <v>1184</v>
      </c>
    </row>
    <row r="2349" spans="1:20" ht="13" x14ac:dyDescent="0.15">
      <c r="A2349" s="72" t="str">
        <f t="shared" si="36"/>
        <v>Ofsted Social Care Provider Webpage</v>
      </c>
      <c r="B2349" s="55" t="s">
        <v>4314</v>
      </c>
      <c r="C2349" s="55">
        <v>136481</v>
      </c>
      <c r="D2349" s="55" t="s">
        <v>398</v>
      </c>
      <c r="E2349" s="74">
        <v>37888</v>
      </c>
      <c r="F2349" s="55" t="s">
        <v>344</v>
      </c>
      <c r="G2349" s="55" t="s">
        <v>4315</v>
      </c>
      <c r="H2349" s="55" t="s">
        <v>4315</v>
      </c>
      <c r="I2349" s="55" t="s">
        <v>4316</v>
      </c>
      <c r="J2349" s="55" t="s">
        <v>4317</v>
      </c>
      <c r="K2349" s="55" t="s">
        <v>224</v>
      </c>
      <c r="L2349" s="55" t="s">
        <v>4318</v>
      </c>
      <c r="M2349" s="55" t="s">
        <v>138</v>
      </c>
      <c r="N2349" s="55" t="s">
        <v>138</v>
      </c>
      <c r="O2349" s="55" t="s">
        <v>224</v>
      </c>
      <c r="P2349" s="55" t="s">
        <v>1294</v>
      </c>
      <c r="Q2349" s="55" t="s">
        <v>420</v>
      </c>
      <c r="R2349" s="55">
        <v>630</v>
      </c>
      <c r="S2349" s="55"/>
      <c r="T2349" s="55" t="s">
        <v>4319</v>
      </c>
    </row>
    <row r="2350" spans="1:20" ht="13" x14ac:dyDescent="0.15">
      <c r="A2350" s="72" t="str">
        <f t="shared" si="36"/>
        <v>Ofsted Social Care Provider Webpage</v>
      </c>
      <c r="B2350" s="55" t="s">
        <v>4320</v>
      </c>
      <c r="D2350" s="55" t="s">
        <v>373</v>
      </c>
      <c r="E2350" s="74">
        <v>37978</v>
      </c>
      <c r="F2350" s="55" t="s">
        <v>344</v>
      </c>
      <c r="G2350" s="55" t="s">
        <v>360</v>
      </c>
      <c r="H2350" s="55" t="s">
        <v>360</v>
      </c>
      <c r="I2350" s="55" t="s">
        <v>360</v>
      </c>
      <c r="J2350" s="55" t="s">
        <v>360</v>
      </c>
      <c r="K2350" s="55" t="s">
        <v>360</v>
      </c>
      <c r="L2350" s="55" t="s">
        <v>360</v>
      </c>
      <c r="M2350" s="55" t="s">
        <v>144</v>
      </c>
      <c r="N2350" s="55" t="s">
        <v>144</v>
      </c>
      <c r="O2350" s="55" t="s">
        <v>209</v>
      </c>
      <c r="P2350" s="55" t="s">
        <v>597</v>
      </c>
      <c r="Q2350" s="55" t="s">
        <v>350</v>
      </c>
      <c r="R2350" s="55">
        <v>3</v>
      </c>
      <c r="S2350" s="55"/>
      <c r="T2350" s="55" t="s">
        <v>4321</v>
      </c>
    </row>
    <row r="2351" spans="1:20" ht="13" x14ac:dyDescent="0.15">
      <c r="A2351" s="72" t="str">
        <f t="shared" si="36"/>
        <v>Ofsted Social Care Provider Webpage</v>
      </c>
      <c r="B2351" s="55" t="s">
        <v>4322</v>
      </c>
      <c r="C2351" s="55">
        <v>130584</v>
      </c>
      <c r="D2351" s="55" t="s">
        <v>693</v>
      </c>
      <c r="E2351" s="74">
        <v>37890</v>
      </c>
      <c r="F2351" s="55" t="s">
        <v>344</v>
      </c>
      <c r="G2351" s="55" t="s">
        <v>4323</v>
      </c>
      <c r="H2351" s="55" t="s">
        <v>4323</v>
      </c>
      <c r="I2351" s="55" t="s">
        <v>4324</v>
      </c>
      <c r="J2351" s="55" t="s">
        <v>4325</v>
      </c>
      <c r="K2351" s="55" t="s">
        <v>4326</v>
      </c>
      <c r="L2351" s="55" t="s">
        <v>4327</v>
      </c>
      <c r="M2351" s="55" t="s">
        <v>378</v>
      </c>
      <c r="N2351" s="55" t="s">
        <v>134</v>
      </c>
      <c r="O2351" s="55" t="s">
        <v>180</v>
      </c>
      <c r="P2351" s="55" t="s">
        <v>1892</v>
      </c>
      <c r="Q2351" s="55" t="s">
        <v>362</v>
      </c>
      <c r="R2351" s="55">
        <v>181</v>
      </c>
      <c r="S2351" s="55"/>
    </row>
    <row r="2352" spans="1:20" ht="13" x14ac:dyDescent="0.15">
      <c r="A2352" s="72" t="str">
        <f t="shared" si="36"/>
        <v>Ofsted Social Care Provider Webpage</v>
      </c>
      <c r="B2352" s="55" t="s">
        <v>4328</v>
      </c>
      <c r="C2352" s="55">
        <v>130761</v>
      </c>
      <c r="D2352" s="55" t="s">
        <v>693</v>
      </c>
      <c r="E2352" s="74">
        <v>37900</v>
      </c>
      <c r="F2352" s="55" t="s">
        <v>344</v>
      </c>
      <c r="G2352" s="55" t="s">
        <v>4329</v>
      </c>
      <c r="H2352" s="55" t="s">
        <v>4329</v>
      </c>
      <c r="I2352" s="55" t="s">
        <v>4330</v>
      </c>
      <c r="J2352" s="55" t="s">
        <v>4331</v>
      </c>
      <c r="K2352" s="55" t="s">
        <v>214</v>
      </c>
      <c r="L2352" s="55" t="s">
        <v>4332</v>
      </c>
      <c r="M2352" s="55" t="s">
        <v>172</v>
      </c>
      <c r="N2352" s="55" t="s">
        <v>172</v>
      </c>
      <c r="O2352" s="55" t="s">
        <v>214</v>
      </c>
      <c r="P2352" s="55" t="s">
        <v>1632</v>
      </c>
      <c r="Q2352" s="55" t="s">
        <v>362</v>
      </c>
      <c r="R2352" s="55">
        <v>8</v>
      </c>
      <c r="S2352" s="55"/>
      <c r="T2352" s="55" t="s">
        <v>4329</v>
      </c>
    </row>
    <row r="2353" spans="1:20" ht="13" x14ac:dyDescent="0.15">
      <c r="A2353" s="72" t="str">
        <f t="shared" si="36"/>
        <v>Ofsted Social Care Provider Webpage</v>
      </c>
      <c r="B2353" s="55" t="s">
        <v>4333</v>
      </c>
      <c r="D2353" s="55" t="s">
        <v>389</v>
      </c>
      <c r="E2353" s="74">
        <v>38160</v>
      </c>
      <c r="F2353" s="55" t="s">
        <v>344</v>
      </c>
      <c r="G2353" s="55" t="s">
        <v>4334</v>
      </c>
      <c r="H2353" s="55" t="s">
        <v>4335</v>
      </c>
      <c r="I2353" s="55" t="s">
        <v>4336</v>
      </c>
      <c r="J2353" s="55" t="s">
        <v>4337</v>
      </c>
      <c r="L2353" s="55" t="s">
        <v>4338</v>
      </c>
      <c r="M2353" s="55" t="s">
        <v>142</v>
      </c>
      <c r="N2353" s="55" t="s">
        <v>142</v>
      </c>
      <c r="O2353" s="55" t="s">
        <v>262</v>
      </c>
      <c r="P2353" s="55" t="s">
        <v>850</v>
      </c>
      <c r="Q2353" s="55" t="s">
        <v>350</v>
      </c>
      <c r="R2353" s="55"/>
      <c r="S2353" s="55"/>
      <c r="T2353" s="55" t="s">
        <v>4335</v>
      </c>
    </row>
    <row r="2354" spans="1:20" ht="13" x14ac:dyDescent="0.15">
      <c r="A2354" s="72" t="str">
        <f t="shared" si="36"/>
        <v>Ofsted Social Care Provider Webpage</v>
      </c>
      <c r="B2354" s="55" t="s">
        <v>4339</v>
      </c>
      <c r="C2354" s="55">
        <v>118144</v>
      </c>
      <c r="D2354" s="55" t="s">
        <v>413</v>
      </c>
      <c r="E2354" s="74">
        <v>37904</v>
      </c>
      <c r="F2354" s="55" t="s">
        <v>344</v>
      </c>
      <c r="G2354" s="55" t="s">
        <v>4340</v>
      </c>
      <c r="H2354" s="55" t="s">
        <v>4341</v>
      </c>
      <c r="I2354" s="55" t="s">
        <v>354</v>
      </c>
      <c r="J2354" s="55" t="s">
        <v>4342</v>
      </c>
      <c r="L2354" s="55" t="s">
        <v>4343</v>
      </c>
      <c r="M2354" s="55" t="s">
        <v>378</v>
      </c>
      <c r="N2354" s="55" t="s">
        <v>134</v>
      </c>
      <c r="O2354" s="55" t="s">
        <v>180</v>
      </c>
      <c r="P2354" s="55" t="s">
        <v>1483</v>
      </c>
      <c r="Q2354" s="55" t="s">
        <v>380</v>
      </c>
      <c r="R2354" s="55">
        <v>12</v>
      </c>
      <c r="S2354" s="55"/>
      <c r="T2354" s="55" t="s">
        <v>2361</v>
      </c>
    </row>
    <row r="2355" spans="1:20" ht="13" x14ac:dyDescent="0.15">
      <c r="A2355" s="72" t="str">
        <f t="shared" si="36"/>
        <v>Ofsted Social Care Provider Webpage</v>
      </c>
      <c r="B2355" s="55" t="s">
        <v>4344</v>
      </c>
      <c r="C2355" s="55">
        <v>131322</v>
      </c>
      <c r="D2355" s="55" t="s">
        <v>413</v>
      </c>
      <c r="E2355" s="74">
        <v>37910</v>
      </c>
      <c r="F2355" s="55" t="s">
        <v>344</v>
      </c>
      <c r="G2355" s="55" t="s">
        <v>4345</v>
      </c>
      <c r="H2355" s="55" t="s">
        <v>4345</v>
      </c>
      <c r="I2355" s="55" t="s">
        <v>4346</v>
      </c>
      <c r="J2355" s="55" t="s">
        <v>4347</v>
      </c>
      <c r="K2355" s="55" t="s">
        <v>173</v>
      </c>
      <c r="L2355" s="55" t="s">
        <v>4348</v>
      </c>
      <c r="M2355" s="55" t="s">
        <v>172</v>
      </c>
      <c r="N2355" s="55" t="s">
        <v>172</v>
      </c>
      <c r="O2355" s="55" t="s">
        <v>173</v>
      </c>
      <c r="P2355" s="55" t="s">
        <v>961</v>
      </c>
      <c r="Q2355" s="55" t="s">
        <v>380</v>
      </c>
      <c r="R2355" s="55">
        <v>8</v>
      </c>
      <c r="S2355" s="55"/>
      <c r="T2355" s="55" t="s">
        <v>1431</v>
      </c>
    </row>
    <row r="2356" spans="1:20" ht="13" x14ac:dyDescent="0.15">
      <c r="A2356" s="72" t="str">
        <f t="shared" si="36"/>
        <v>Ofsted Social Care Provider Webpage</v>
      </c>
      <c r="B2356" s="55" t="s">
        <v>4349</v>
      </c>
      <c r="D2356" s="55" t="s">
        <v>373</v>
      </c>
      <c r="E2356" s="74">
        <v>38163</v>
      </c>
      <c r="F2356" s="55" t="s">
        <v>344</v>
      </c>
      <c r="G2356" s="55" t="s">
        <v>360</v>
      </c>
      <c r="H2356" s="55" t="s">
        <v>360</v>
      </c>
      <c r="I2356" s="55" t="s">
        <v>360</v>
      </c>
      <c r="J2356" s="55" t="s">
        <v>360</v>
      </c>
      <c r="K2356" s="55" t="s">
        <v>360</v>
      </c>
      <c r="L2356" s="55" t="s">
        <v>360</v>
      </c>
      <c r="M2356" s="55" t="s">
        <v>378</v>
      </c>
      <c r="N2356" s="55" t="s">
        <v>134</v>
      </c>
      <c r="O2356" s="55" t="s">
        <v>180</v>
      </c>
      <c r="P2356" s="55" t="s">
        <v>1892</v>
      </c>
      <c r="Q2356" s="55" t="s">
        <v>350</v>
      </c>
      <c r="R2356" s="55">
        <v>6</v>
      </c>
      <c r="S2356" s="55"/>
      <c r="T2356" s="55" t="s">
        <v>1251</v>
      </c>
    </row>
    <row r="2357" spans="1:20" ht="13" x14ac:dyDescent="0.15">
      <c r="A2357" s="72" t="str">
        <f t="shared" si="36"/>
        <v>Ofsted Social Care Provider Webpage</v>
      </c>
      <c r="B2357" s="55" t="s">
        <v>4350</v>
      </c>
      <c r="C2357" s="55">
        <v>117685</v>
      </c>
      <c r="D2357" s="55" t="s">
        <v>413</v>
      </c>
      <c r="E2357" s="74">
        <v>37914</v>
      </c>
      <c r="F2357" s="55" t="s">
        <v>344</v>
      </c>
      <c r="G2357" s="55" t="s">
        <v>4351</v>
      </c>
      <c r="H2357" s="55" t="s">
        <v>4352</v>
      </c>
      <c r="I2357" s="55" t="s">
        <v>4353</v>
      </c>
      <c r="J2357" s="55" t="s">
        <v>4354</v>
      </c>
      <c r="K2357" s="55" t="s">
        <v>196</v>
      </c>
      <c r="L2357" s="55" t="s">
        <v>4355</v>
      </c>
      <c r="M2357" s="55" t="s">
        <v>138</v>
      </c>
      <c r="N2357" s="55" t="s">
        <v>138</v>
      </c>
      <c r="O2357" s="55" t="s">
        <v>196</v>
      </c>
      <c r="P2357" s="55" t="s">
        <v>441</v>
      </c>
      <c r="Q2357" s="55" t="s">
        <v>380</v>
      </c>
      <c r="R2357" s="55">
        <v>15</v>
      </c>
      <c r="S2357" s="55"/>
      <c r="T2357" s="55" t="s">
        <v>2082</v>
      </c>
    </row>
    <row r="2358" spans="1:20" ht="13" x14ac:dyDescent="0.15">
      <c r="A2358" s="72" t="str">
        <f t="shared" si="36"/>
        <v>Ofsted Social Care Provider Webpage</v>
      </c>
      <c r="B2358" s="55" t="s">
        <v>4356</v>
      </c>
      <c r="C2358" s="55">
        <v>142257</v>
      </c>
      <c r="D2358" s="55" t="s">
        <v>413</v>
      </c>
      <c r="E2358" s="74">
        <v>37914</v>
      </c>
      <c r="F2358" s="55" t="s">
        <v>344</v>
      </c>
      <c r="G2358" s="55" t="s">
        <v>4357</v>
      </c>
      <c r="H2358" s="55" t="s">
        <v>4358</v>
      </c>
      <c r="I2358" s="55" t="s">
        <v>4359</v>
      </c>
      <c r="J2358" s="55" t="s">
        <v>4360</v>
      </c>
      <c r="L2358" s="55" t="s">
        <v>4361</v>
      </c>
      <c r="M2358" s="55" t="s">
        <v>138</v>
      </c>
      <c r="N2358" s="55" t="s">
        <v>138</v>
      </c>
      <c r="O2358" s="55" t="s">
        <v>196</v>
      </c>
      <c r="P2358" s="55" t="s">
        <v>1059</v>
      </c>
      <c r="Q2358" s="55" t="s">
        <v>420</v>
      </c>
      <c r="R2358" s="55">
        <v>33</v>
      </c>
      <c r="S2358" s="55"/>
      <c r="T2358" s="55" t="s">
        <v>4362</v>
      </c>
    </row>
    <row r="2359" spans="1:20" ht="13" x14ac:dyDescent="0.15">
      <c r="A2359" s="72" t="str">
        <f t="shared" si="36"/>
        <v>Ofsted Social Care Provider Webpage</v>
      </c>
      <c r="B2359" s="55" t="s">
        <v>4363</v>
      </c>
      <c r="C2359" s="55">
        <v>117686</v>
      </c>
      <c r="D2359" s="55" t="s">
        <v>413</v>
      </c>
      <c r="E2359" s="74">
        <v>37915</v>
      </c>
      <c r="F2359" s="55" t="s">
        <v>344</v>
      </c>
      <c r="G2359" s="55" t="s">
        <v>4364</v>
      </c>
      <c r="H2359" s="55" t="s">
        <v>4364</v>
      </c>
      <c r="I2359" s="55" t="s">
        <v>4365</v>
      </c>
      <c r="J2359" s="55" t="s">
        <v>4366</v>
      </c>
      <c r="L2359" s="55" t="s">
        <v>4367</v>
      </c>
      <c r="M2359" s="55" t="s">
        <v>138</v>
      </c>
      <c r="N2359" s="55" t="s">
        <v>138</v>
      </c>
      <c r="O2359" s="55" t="s">
        <v>196</v>
      </c>
      <c r="P2359" s="55" t="s">
        <v>848</v>
      </c>
      <c r="Q2359" s="55" t="s">
        <v>380</v>
      </c>
      <c r="R2359" s="55">
        <v>8</v>
      </c>
      <c r="S2359" s="55"/>
      <c r="T2359" s="55" t="s">
        <v>2082</v>
      </c>
    </row>
    <row r="2360" spans="1:20" ht="13" x14ac:dyDescent="0.15">
      <c r="A2360" s="72" t="str">
        <f t="shared" si="36"/>
        <v>Ofsted Social Care Provider Webpage</v>
      </c>
      <c r="B2360" s="55" t="s">
        <v>4368</v>
      </c>
      <c r="C2360" s="55">
        <v>117679</v>
      </c>
      <c r="D2360" s="55" t="s">
        <v>413</v>
      </c>
      <c r="E2360" s="74">
        <v>37915</v>
      </c>
      <c r="F2360" s="55" t="s">
        <v>344</v>
      </c>
      <c r="G2360" s="55" t="s">
        <v>4369</v>
      </c>
      <c r="H2360" s="55" t="s">
        <v>4370</v>
      </c>
      <c r="I2360" s="55" t="s">
        <v>354</v>
      </c>
      <c r="J2360" s="55" t="s">
        <v>4371</v>
      </c>
      <c r="K2360" s="55" t="s">
        <v>196</v>
      </c>
      <c r="L2360" s="55" t="s">
        <v>4372</v>
      </c>
      <c r="M2360" s="55" t="s">
        <v>138</v>
      </c>
      <c r="N2360" s="55" t="s">
        <v>138</v>
      </c>
      <c r="O2360" s="55" t="s">
        <v>196</v>
      </c>
      <c r="P2360" s="55" t="s">
        <v>4371</v>
      </c>
      <c r="Q2360" s="55" t="s">
        <v>380</v>
      </c>
      <c r="R2360" s="55">
        <v>18</v>
      </c>
      <c r="S2360" s="55"/>
      <c r="T2360" s="55" t="s">
        <v>2082</v>
      </c>
    </row>
    <row r="2361" spans="1:20" ht="13" x14ac:dyDescent="0.15">
      <c r="A2361" s="72" t="str">
        <f t="shared" si="36"/>
        <v>Ofsted Social Care Provider Webpage</v>
      </c>
      <c r="B2361" s="55" t="s">
        <v>4373</v>
      </c>
      <c r="D2361" s="55" t="s">
        <v>389</v>
      </c>
      <c r="E2361" s="74">
        <v>38127</v>
      </c>
      <c r="F2361" s="55" t="s">
        <v>344</v>
      </c>
      <c r="G2361" s="55" t="s">
        <v>4374</v>
      </c>
      <c r="H2361" s="55" t="s">
        <v>3192</v>
      </c>
      <c r="I2361" s="55" t="s">
        <v>3193</v>
      </c>
      <c r="J2361" s="55" t="s">
        <v>3194</v>
      </c>
      <c r="L2361" s="55" t="s">
        <v>3195</v>
      </c>
      <c r="M2361" s="55" t="s">
        <v>378</v>
      </c>
      <c r="N2361" s="55" t="s">
        <v>170</v>
      </c>
      <c r="O2361" s="55" t="s">
        <v>233</v>
      </c>
      <c r="P2361" s="55" t="s">
        <v>1376</v>
      </c>
      <c r="Q2361" s="55" t="s">
        <v>362</v>
      </c>
      <c r="R2361" s="55"/>
      <c r="S2361" s="55"/>
      <c r="T2361" s="55" t="s">
        <v>3196</v>
      </c>
    </row>
    <row r="2362" spans="1:20" ht="13" x14ac:dyDescent="0.15">
      <c r="A2362" s="72" t="str">
        <f t="shared" si="36"/>
        <v>Ofsted Social Care Provider Webpage</v>
      </c>
      <c r="B2362" s="55" t="s">
        <v>4375</v>
      </c>
      <c r="C2362" s="55">
        <v>118145</v>
      </c>
      <c r="D2362" s="55" t="s">
        <v>413</v>
      </c>
      <c r="E2362" s="74">
        <v>37921</v>
      </c>
      <c r="F2362" s="55" t="s">
        <v>344</v>
      </c>
      <c r="G2362" s="55" t="s">
        <v>4376</v>
      </c>
      <c r="H2362" s="55" t="s">
        <v>4377</v>
      </c>
      <c r="I2362" s="55" t="s">
        <v>354</v>
      </c>
      <c r="J2362" s="55" t="s">
        <v>4378</v>
      </c>
      <c r="K2362" s="55" t="s">
        <v>4379</v>
      </c>
      <c r="L2362" s="55" t="s">
        <v>4380</v>
      </c>
      <c r="M2362" s="55" t="s">
        <v>378</v>
      </c>
      <c r="N2362" s="55" t="s">
        <v>134</v>
      </c>
      <c r="O2362" s="55" t="s">
        <v>180</v>
      </c>
      <c r="P2362" s="55" t="s">
        <v>1249</v>
      </c>
      <c r="Q2362" s="55" t="s">
        <v>380</v>
      </c>
      <c r="R2362" s="55">
        <v>18</v>
      </c>
      <c r="S2362" s="55"/>
      <c r="T2362" s="55" t="s">
        <v>2361</v>
      </c>
    </row>
    <row r="2363" spans="1:20" ht="13" x14ac:dyDescent="0.15">
      <c r="A2363" s="72" t="str">
        <f t="shared" si="36"/>
        <v>Ofsted Social Care Provider Webpage</v>
      </c>
      <c r="B2363" s="55" t="s">
        <v>4381</v>
      </c>
      <c r="D2363" s="55" t="s">
        <v>389</v>
      </c>
      <c r="E2363" s="74">
        <v>38132</v>
      </c>
      <c r="F2363" s="55" t="s">
        <v>344</v>
      </c>
      <c r="G2363" s="55" t="s">
        <v>4382</v>
      </c>
      <c r="H2363" s="55" t="s">
        <v>4383</v>
      </c>
      <c r="I2363" s="55" t="s">
        <v>354</v>
      </c>
      <c r="J2363" s="55" t="s">
        <v>167</v>
      </c>
      <c r="K2363" s="55" t="s">
        <v>129</v>
      </c>
      <c r="L2363" s="55" t="s">
        <v>4384</v>
      </c>
      <c r="M2363" s="55" t="s">
        <v>129</v>
      </c>
      <c r="N2363" s="55" t="s">
        <v>129</v>
      </c>
      <c r="O2363" s="55" t="s">
        <v>167</v>
      </c>
      <c r="P2363" s="55" t="s">
        <v>866</v>
      </c>
      <c r="Q2363" s="55" t="s">
        <v>350</v>
      </c>
      <c r="R2363" s="55"/>
      <c r="S2363" s="55"/>
      <c r="T2363" s="55" t="s">
        <v>4385</v>
      </c>
    </row>
    <row r="2364" spans="1:20" ht="13" x14ac:dyDescent="0.15">
      <c r="A2364" s="72" t="str">
        <f t="shared" si="36"/>
        <v>Ofsted Social Care Provider Webpage</v>
      </c>
      <c r="B2364" s="55" t="s">
        <v>4386</v>
      </c>
      <c r="D2364" s="55" t="s">
        <v>373</v>
      </c>
      <c r="E2364" s="74">
        <v>38063</v>
      </c>
      <c r="F2364" s="55" t="s">
        <v>344</v>
      </c>
      <c r="G2364" s="55" t="s">
        <v>360</v>
      </c>
      <c r="H2364" s="55" t="s">
        <v>360</v>
      </c>
      <c r="I2364" s="55" t="s">
        <v>360</v>
      </c>
      <c r="J2364" s="55" t="s">
        <v>360</v>
      </c>
      <c r="K2364" s="55" t="s">
        <v>360</v>
      </c>
      <c r="L2364" s="55" t="s">
        <v>360</v>
      </c>
      <c r="M2364" s="55" t="s">
        <v>378</v>
      </c>
      <c r="N2364" s="55" t="s">
        <v>134</v>
      </c>
      <c r="O2364" s="55" t="s">
        <v>133</v>
      </c>
      <c r="P2364" s="55" t="s">
        <v>1804</v>
      </c>
      <c r="Q2364" s="55" t="s">
        <v>350</v>
      </c>
      <c r="R2364" s="55">
        <v>2</v>
      </c>
      <c r="S2364" s="55"/>
      <c r="T2364" s="55" t="s">
        <v>2448</v>
      </c>
    </row>
    <row r="2365" spans="1:20" ht="13" x14ac:dyDescent="0.15">
      <c r="A2365" s="72" t="str">
        <f t="shared" si="36"/>
        <v>Ofsted Social Care Provider Webpage</v>
      </c>
      <c r="B2365" s="55" t="s">
        <v>4387</v>
      </c>
      <c r="D2365" s="55" t="s">
        <v>373</v>
      </c>
      <c r="E2365" s="74">
        <v>38152</v>
      </c>
      <c r="F2365" s="55" t="s">
        <v>344</v>
      </c>
      <c r="G2365" s="55" t="s">
        <v>360</v>
      </c>
      <c r="H2365" s="55" t="s">
        <v>360</v>
      </c>
      <c r="I2365" s="55" t="s">
        <v>360</v>
      </c>
      <c r="J2365" s="55" t="s">
        <v>360</v>
      </c>
      <c r="K2365" s="55" t="s">
        <v>360</v>
      </c>
      <c r="L2365" s="55" t="s">
        <v>360</v>
      </c>
      <c r="M2365" s="55" t="s">
        <v>144</v>
      </c>
      <c r="N2365" s="55" t="s">
        <v>144</v>
      </c>
      <c r="O2365" s="55" t="s">
        <v>147</v>
      </c>
      <c r="P2365" s="55" t="s">
        <v>807</v>
      </c>
      <c r="Q2365" s="55" t="s">
        <v>362</v>
      </c>
      <c r="R2365" s="55">
        <v>5</v>
      </c>
      <c r="S2365" s="55"/>
      <c r="T2365" s="55" t="s">
        <v>2551</v>
      </c>
    </row>
    <row r="2366" spans="1:20" ht="13" x14ac:dyDescent="0.15">
      <c r="A2366" s="72" t="str">
        <f t="shared" si="36"/>
        <v>Ofsted Social Care Provider Webpage</v>
      </c>
      <c r="B2366" s="55" t="s">
        <v>4388</v>
      </c>
      <c r="D2366" s="55" t="s">
        <v>373</v>
      </c>
      <c r="E2366" s="74">
        <v>38077</v>
      </c>
      <c r="F2366" s="55" t="s">
        <v>344</v>
      </c>
      <c r="G2366" s="55" t="s">
        <v>360</v>
      </c>
      <c r="H2366" s="55" t="s">
        <v>360</v>
      </c>
      <c r="I2366" s="55" t="s">
        <v>360</v>
      </c>
      <c r="J2366" s="55" t="s">
        <v>360</v>
      </c>
      <c r="K2366" s="55" t="s">
        <v>360</v>
      </c>
      <c r="L2366" s="55" t="s">
        <v>360</v>
      </c>
      <c r="M2366" s="55" t="s">
        <v>142</v>
      </c>
      <c r="N2366" s="55" t="s">
        <v>142</v>
      </c>
      <c r="O2366" s="55" t="s">
        <v>262</v>
      </c>
      <c r="P2366" s="55" t="s">
        <v>850</v>
      </c>
      <c r="Q2366" s="55" t="s">
        <v>362</v>
      </c>
      <c r="R2366" s="55">
        <v>5</v>
      </c>
      <c r="S2366" s="55" t="s">
        <v>332</v>
      </c>
      <c r="T2366" s="55" t="s">
        <v>367</v>
      </c>
    </row>
    <row r="2367" spans="1:20" ht="13" x14ac:dyDescent="0.15">
      <c r="A2367" s="72" t="str">
        <f t="shared" si="36"/>
        <v>Ofsted Social Care Provider Webpage</v>
      </c>
      <c r="B2367" s="55" t="s">
        <v>4389</v>
      </c>
      <c r="D2367" s="55" t="s">
        <v>389</v>
      </c>
      <c r="E2367" s="74">
        <v>38238</v>
      </c>
      <c r="F2367" s="55" t="s">
        <v>344</v>
      </c>
      <c r="G2367" s="55" t="s">
        <v>4390</v>
      </c>
      <c r="H2367" s="55" t="s">
        <v>4391</v>
      </c>
      <c r="I2367" s="55" t="s">
        <v>4392</v>
      </c>
      <c r="J2367" s="55" t="s">
        <v>4393</v>
      </c>
      <c r="K2367" s="55" t="s">
        <v>183</v>
      </c>
      <c r="L2367" s="55" t="s">
        <v>4394</v>
      </c>
      <c r="M2367" s="55" t="s">
        <v>138</v>
      </c>
      <c r="N2367" s="55" t="s">
        <v>138</v>
      </c>
      <c r="O2367" s="55" t="s">
        <v>183</v>
      </c>
      <c r="P2367" s="55" t="s">
        <v>907</v>
      </c>
      <c r="Q2367" s="55" t="s">
        <v>350</v>
      </c>
      <c r="R2367" s="55"/>
      <c r="S2367" s="55"/>
      <c r="T2367" s="55" t="s">
        <v>3470</v>
      </c>
    </row>
    <row r="2368" spans="1:20" ht="13" x14ac:dyDescent="0.15">
      <c r="A2368" s="72" t="str">
        <f t="shared" si="36"/>
        <v>Ofsted Social Care Provider Webpage</v>
      </c>
      <c r="B2368" s="55" t="s">
        <v>4395</v>
      </c>
      <c r="C2368" s="55">
        <v>119861</v>
      </c>
      <c r="D2368" s="55" t="s">
        <v>413</v>
      </c>
      <c r="E2368" s="74">
        <v>37945</v>
      </c>
      <c r="F2368" s="55" t="s">
        <v>344</v>
      </c>
      <c r="G2368" s="55" t="s">
        <v>4396</v>
      </c>
      <c r="H2368" s="55" t="s">
        <v>4396</v>
      </c>
      <c r="I2368" s="55" t="s">
        <v>4397</v>
      </c>
      <c r="J2368" s="55" t="s">
        <v>4398</v>
      </c>
      <c r="K2368" s="55" t="s">
        <v>209</v>
      </c>
      <c r="L2368" s="55" t="s">
        <v>4399</v>
      </c>
      <c r="M2368" s="55" t="s">
        <v>144</v>
      </c>
      <c r="N2368" s="55" t="s">
        <v>144</v>
      </c>
      <c r="O2368" s="55" t="s">
        <v>209</v>
      </c>
      <c r="P2368" s="55" t="s">
        <v>364</v>
      </c>
      <c r="Q2368" s="55" t="s">
        <v>380</v>
      </c>
      <c r="R2368" s="55">
        <v>19</v>
      </c>
      <c r="S2368" s="55"/>
      <c r="T2368" s="55" t="s">
        <v>657</v>
      </c>
    </row>
    <row r="2369" spans="1:20" ht="13" x14ac:dyDescent="0.15">
      <c r="A2369" s="72" t="str">
        <f t="shared" si="36"/>
        <v>Ofsted Social Care Provider Webpage</v>
      </c>
      <c r="B2369" s="55" t="s">
        <v>4400</v>
      </c>
      <c r="D2369" s="55" t="s">
        <v>373</v>
      </c>
      <c r="E2369" s="74">
        <v>38418</v>
      </c>
      <c r="F2369" s="55" t="s">
        <v>344</v>
      </c>
      <c r="G2369" s="55" t="s">
        <v>360</v>
      </c>
      <c r="H2369" s="55" t="s">
        <v>360</v>
      </c>
      <c r="I2369" s="55" t="s">
        <v>360</v>
      </c>
      <c r="J2369" s="55" t="s">
        <v>360</v>
      </c>
      <c r="K2369" s="55" t="s">
        <v>360</v>
      </c>
      <c r="L2369" s="55" t="s">
        <v>360</v>
      </c>
      <c r="M2369" s="55" t="s">
        <v>129</v>
      </c>
      <c r="N2369" s="55" t="s">
        <v>129</v>
      </c>
      <c r="O2369" s="55" t="s">
        <v>194</v>
      </c>
      <c r="P2369" s="55" t="s">
        <v>1833</v>
      </c>
      <c r="Q2369" s="55" t="s">
        <v>350</v>
      </c>
      <c r="R2369" s="55">
        <v>6</v>
      </c>
      <c r="S2369" s="55"/>
      <c r="T2369" s="55" t="s">
        <v>4401</v>
      </c>
    </row>
    <row r="2370" spans="1:20" ht="13" x14ac:dyDescent="0.15">
      <c r="A2370" s="72" t="str">
        <f t="shared" si="36"/>
        <v>Ofsted Social Care Provider Webpage</v>
      </c>
      <c r="B2370" s="55" t="s">
        <v>4402</v>
      </c>
      <c r="D2370" s="55" t="s">
        <v>373</v>
      </c>
      <c r="E2370" s="74">
        <v>38076</v>
      </c>
      <c r="F2370" s="55" t="s">
        <v>344</v>
      </c>
      <c r="G2370" s="55" t="s">
        <v>360</v>
      </c>
      <c r="H2370" s="55" t="s">
        <v>360</v>
      </c>
      <c r="I2370" s="55" t="s">
        <v>360</v>
      </c>
      <c r="J2370" s="55" t="s">
        <v>360</v>
      </c>
      <c r="K2370" s="55" t="s">
        <v>360</v>
      </c>
      <c r="L2370" s="55" t="s">
        <v>360</v>
      </c>
      <c r="M2370" s="55" t="s">
        <v>138</v>
      </c>
      <c r="N2370" s="55" t="s">
        <v>138</v>
      </c>
      <c r="O2370" s="55" t="s">
        <v>238</v>
      </c>
      <c r="P2370" s="55" t="s">
        <v>1080</v>
      </c>
      <c r="Q2370" s="55" t="s">
        <v>380</v>
      </c>
      <c r="R2370" s="55">
        <v>8</v>
      </c>
      <c r="S2370" s="55" t="s">
        <v>332</v>
      </c>
      <c r="T2370" s="55" t="s">
        <v>3115</v>
      </c>
    </row>
    <row r="2371" spans="1:20" ht="13" x14ac:dyDescent="0.15">
      <c r="A2371" s="72" t="str">
        <f t="shared" si="36"/>
        <v>Ofsted Social Care Provider Webpage</v>
      </c>
      <c r="B2371" s="55" t="s">
        <v>4403</v>
      </c>
      <c r="C2371" s="55">
        <v>146058</v>
      </c>
      <c r="D2371" s="55" t="s">
        <v>413</v>
      </c>
      <c r="E2371" s="74">
        <v>37965</v>
      </c>
      <c r="F2371" s="55" t="s">
        <v>344</v>
      </c>
      <c r="G2371" s="55" t="s">
        <v>4404</v>
      </c>
      <c r="H2371" s="55" t="s">
        <v>4404</v>
      </c>
      <c r="I2371" s="55" t="s">
        <v>4405</v>
      </c>
      <c r="J2371" s="55" t="s">
        <v>4406</v>
      </c>
      <c r="K2371" s="55" t="s">
        <v>173</v>
      </c>
      <c r="L2371" s="55" t="s">
        <v>4407</v>
      </c>
      <c r="M2371" s="55" t="s">
        <v>172</v>
      </c>
      <c r="N2371" s="55" t="s">
        <v>172</v>
      </c>
      <c r="O2371" s="55" t="s">
        <v>173</v>
      </c>
      <c r="P2371" s="55" t="s">
        <v>1305</v>
      </c>
      <c r="Q2371" s="55" t="s">
        <v>380</v>
      </c>
      <c r="R2371" s="55">
        <v>28</v>
      </c>
      <c r="S2371" s="55"/>
      <c r="T2371" s="55" t="s">
        <v>4404</v>
      </c>
    </row>
    <row r="2372" spans="1:20" ht="13" x14ac:dyDescent="0.15">
      <c r="A2372" s="72" t="str">
        <f t="shared" si="36"/>
        <v>Ofsted Social Care Provider Webpage</v>
      </c>
      <c r="B2372" s="55" t="s">
        <v>4408</v>
      </c>
      <c r="D2372" s="55" t="s">
        <v>373</v>
      </c>
      <c r="E2372" s="74">
        <v>38054</v>
      </c>
      <c r="F2372" s="55" t="s">
        <v>344</v>
      </c>
      <c r="G2372" s="55" t="s">
        <v>360</v>
      </c>
      <c r="H2372" s="55" t="s">
        <v>360</v>
      </c>
      <c r="I2372" s="55" t="s">
        <v>360</v>
      </c>
      <c r="J2372" s="55" t="s">
        <v>360</v>
      </c>
      <c r="K2372" s="55" t="s">
        <v>360</v>
      </c>
      <c r="L2372" s="55" t="s">
        <v>360</v>
      </c>
      <c r="M2372" s="55" t="s">
        <v>150</v>
      </c>
      <c r="N2372" s="55" t="s">
        <v>150</v>
      </c>
      <c r="O2372" s="55" t="s">
        <v>203</v>
      </c>
      <c r="P2372" s="55" t="s">
        <v>563</v>
      </c>
      <c r="Q2372" s="55" t="s">
        <v>350</v>
      </c>
      <c r="R2372" s="55">
        <v>4</v>
      </c>
      <c r="S2372" s="55"/>
      <c r="T2372" s="55" t="s">
        <v>2906</v>
      </c>
    </row>
    <row r="2373" spans="1:20" ht="13" x14ac:dyDescent="0.15">
      <c r="A2373" s="72" t="str">
        <f t="shared" ref="A2373:A2436" si="37">HYPERLINK(_xlfn.CONCAT("http://reports.ofsted.gov.uk/inspection-reports/find-inspection-report/provider/CARE/",B2373),"Ofsted Social Care Provider Webpage")</f>
        <v>Ofsted Social Care Provider Webpage</v>
      </c>
      <c r="B2373" s="55" t="s">
        <v>4409</v>
      </c>
      <c r="D2373" s="55" t="s">
        <v>373</v>
      </c>
      <c r="E2373" s="74">
        <v>38077</v>
      </c>
      <c r="F2373" s="55" t="s">
        <v>344</v>
      </c>
      <c r="G2373" s="55" t="s">
        <v>360</v>
      </c>
      <c r="H2373" s="55" t="s">
        <v>360</v>
      </c>
      <c r="I2373" s="55" t="s">
        <v>360</v>
      </c>
      <c r="J2373" s="55" t="s">
        <v>360</v>
      </c>
      <c r="K2373" s="55" t="s">
        <v>360</v>
      </c>
      <c r="L2373" s="55" t="s">
        <v>360</v>
      </c>
      <c r="M2373" s="55" t="s">
        <v>378</v>
      </c>
      <c r="N2373" s="55" t="s">
        <v>170</v>
      </c>
      <c r="O2373" s="55" t="s">
        <v>178</v>
      </c>
      <c r="P2373" s="55" t="s">
        <v>1374</v>
      </c>
      <c r="Q2373" s="55" t="s">
        <v>350</v>
      </c>
      <c r="R2373" s="55">
        <v>5</v>
      </c>
      <c r="S2373" s="55"/>
      <c r="T2373" s="55" t="s">
        <v>385</v>
      </c>
    </row>
    <row r="2374" spans="1:20" ht="13" x14ac:dyDescent="0.15">
      <c r="A2374" s="72" t="str">
        <f t="shared" si="37"/>
        <v>Ofsted Social Care Provider Webpage</v>
      </c>
      <c r="B2374" s="55" t="s">
        <v>4410</v>
      </c>
      <c r="D2374" s="55" t="s">
        <v>373</v>
      </c>
      <c r="E2374" s="74">
        <v>38153</v>
      </c>
      <c r="F2374" s="55" t="s">
        <v>344</v>
      </c>
      <c r="G2374" s="55" t="s">
        <v>360</v>
      </c>
      <c r="H2374" s="55" t="s">
        <v>360</v>
      </c>
      <c r="I2374" s="55" t="s">
        <v>360</v>
      </c>
      <c r="J2374" s="55" t="s">
        <v>360</v>
      </c>
      <c r="K2374" s="55" t="s">
        <v>360</v>
      </c>
      <c r="L2374" s="55" t="s">
        <v>360</v>
      </c>
      <c r="M2374" s="55" t="s">
        <v>378</v>
      </c>
      <c r="N2374" s="55" t="s">
        <v>170</v>
      </c>
      <c r="O2374" s="55" t="s">
        <v>233</v>
      </c>
      <c r="P2374" s="55" t="s">
        <v>1999</v>
      </c>
      <c r="Q2374" s="55" t="s">
        <v>380</v>
      </c>
      <c r="R2374" s="55">
        <v>6</v>
      </c>
      <c r="S2374" s="55" t="s">
        <v>332</v>
      </c>
      <c r="T2374" s="55" t="s">
        <v>381</v>
      </c>
    </row>
    <row r="2375" spans="1:20" ht="13" x14ac:dyDescent="0.15">
      <c r="A2375" s="72" t="str">
        <f t="shared" si="37"/>
        <v>Ofsted Social Care Provider Webpage</v>
      </c>
      <c r="B2375" s="55" t="s">
        <v>4411</v>
      </c>
      <c r="D2375" s="55" t="s">
        <v>373</v>
      </c>
      <c r="E2375" s="74">
        <v>38068</v>
      </c>
      <c r="F2375" s="55" t="s">
        <v>344</v>
      </c>
      <c r="G2375" s="55" t="s">
        <v>360</v>
      </c>
      <c r="H2375" s="55" t="s">
        <v>360</v>
      </c>
      <c r="I2375" s="55" t="s">
        <v>360</v>
      </c>
      <c r="J2375" s="55" t="s">
        <v>360</v>
      </c>
      <c r="K2375" s="55" t="s">
        <v>360</v>
      </c>
      <c r="L2375" s="55" t="s">
        <v>360</v>
      </c>
      <c r="M2375" s="55" t="s">
        <v>150</v>
      </c>
      <c r="N2375" s="55" t="s">
        <v>150</v>
      </c>
      <c r="O2375" s="55" t="s">
        <v>241</v>
      </c>
      <c r="P2375" s="55" t="s">
        <v>1492</v>
      </c>
      <c r="Q2375" s="55" t="s">
        <v>350</v>
      </c>
      <c r="R2375" s="55">
        <v>3</v>
      </c>
      <c r="S2375" s="55"/>
      <c r="T2375" s="55" t="s">
        <v>4412</v>
      </c>
    </row>
    <row r="2376" spans="1:20" ht="13" x14ac:dyDescent="0.15">
      <c r="A2376" s="72" t="str">
        <f t="shared" si="37"/>
        <v>Ofsted Social Care Provider Webpage</v>
      </c>
      <c r="B2376" s="55" t="s">
        <v>4413</v>
      </c>
      <c r="D2376" s="55" t="s">
        <v>373</v>
      </c>
      <c r="E2376" s="74">
        <v>38132</v>
      </c>
      <c r="F2376" s="55" t="s">
        <v>344</v>
      </c>
      <c r="G2376" s="55" t="s">
        <v>360</v>
      </c>
      <c r="H2376" s="55" t="s">
        <v>360</v>
      </c>
      <c r="I2376" s="55" t="s">
        <v>360</v>
      </c>
      <c r="J2376" s="55" t="s">
        <v>360</v>
      </c>
      <c r="K2376" s="55" t="s">
        <v>360</v>
      </c>
      <c r="L2376" s="55" t="s">
        <v>360</v>
      </c>
      <c r="M2376" s="55" t="s">
        <v>144</v>
      </c>
      <c r="N2376" s="55" t="s">
        <v>144</v>
      </c>
      <c r="O2376" s="55" t="s">
        <v>215</v>
      </c>
      <c r="P2376" s="55" t="s">
        <v>1440</v>
      </c>
      <c r="Q2376" s="55" t="s">
        <v>350</v>
      </c>
      <c r="R2376" s="55">
        <v>5</v>
      </c>
      <c r="S2376" s="55"/>
      <c r="T2376" s="55" t="s">
        <v>4414</v>
      </c>
    </row>
    <row r="2377" spans="1:20" ht="13" x14ac:dyDescent="0.15">
      <c r="A2377" s="72" t="str">
        <f t="shared" si="37"/>
        <v>Ofsted Social Care Provider Webpage</v>
      </c>
      <c r="B2377" s="55" t="s">
        <v>4415</v>
      </c>
      <c r="D2377" s="55" t="s">
        <v>373</v>
      </c>
      <c r="E2377" s="74">
        <v>38057</v>
      </c>
      <c r="F2377" s="55" t="s">
        <v>344</v>
      </c>
      <c r="G2377" s="55" t="s">
        <v>360</v>
      </c>
      <c r="H2377" s="55" t="s">
        <v>360</v>
      </c>
      <c r="I2377" s="55" t="s">
        <v>360</v>
      </c>
      <c r="J2377" s="55" t="s">
        <v>360</v>
      </c>
      <c r="K2377" s="55" t="s">
        <v>360</v>
      </c>
      <c r="L2377" s="55" t="s">
        <v>360</v>
      </c>
      <c r="M2377" s="55" t="s">
        <v>378</v>
      </c>
      <c r="N2377" s="55" t="s">
        <v>134</v>
      </c>
      <c r="O2377" s="55" t="s">
        <v>151</v>
      </c>
      <c r="P2377" s="55" t="s">
        <v>884</v>
      </c>
      <c r="Q2377" s="55" t="s">
        <v>380</v>
      </c>
      <c r="R2377" s="55">
        <v>6</v>
      </c>
      <c r="S2377" s="55"/>
      <c r="T2377" s="55" t="s">
        <v>1220</v>
      </c>
    </row>
    <row r="2378" spans="1:20" ht="13" x14ac:dyDescent="0.15">
      <c r="A2378" s="72" t="str">
        <f t="shared" si="37"/>
        <v>Ofsted Social Care Provider Webpage</v>
      </c>
      <c r="B2378" s="55" t="s">
        <v>4416</v>
      </c>
      <c r="C2378" s="55">
        <v>130743</v>
      </c>
      <c r="D2378" s="55" t="s">
        <v>693</v>
      </c>
      <c r="E2378" s="74">
        <v>38012</v>
      </c>
      <c r="F2378" s="55" t="s">
        <v>344</v>
      </c>
      <c r="G2378" s="55" t="s">
        <v>4417</v>
      </c>
      <c r="H2378" s="55" t="s">
        <v>4417</v>
      </c>
      <c r="I2378" s="55" t="s">
        <v>4418</v>
      </c>
      <c r="J2378" s="55" t="s">
        <v>3540</v>
      </c>
      <c r="L2378" s="55" t="s">
        <v>4419</v>
      </c>
      <c r="M2378" s="55" t="s">
        <v>144</v>
      </c>
      <c r="N2378" s="55" t="s">
        <v>144</v>
      </c>
      <c r="O2378" s="55" t="s">
        <v>209</v>
      </c>
      <c r="P2378" s="55" t="s">
        <v>777</v>
      </c>
      <c r="Q2378" s="55" t="s">
        <v>380</v>
      </c>
      <c r="R2378" s="55">
        <v>590</v>
      </c>
      <c r="S2378" s="55"/>
      <c r="T2378" s="55" t="s">
        <v>657</v>
      </c>
    </row>
    <row r="2379" spans="1:20" ht="13" x14ac:dyDescent="0.15">
      <c r="A2379" s="72" t="str">
        <f t="shared" si="37"/>
        <v>Ofsted Social Care Provider Webpage</v>
      </c>
      <c r="B2379" s="55" t="s">
        <v>4420</v>
      </c>
      <c r="D2379" s="55" t="s">
        <v>373</v>
      </c>
      <c r="E2379" s="74">
        <v>39170</v>
      </c>
      <c r="F2379" s="55" t="s">
        <v>344</v>
      </c>
      <c r="G2379" s="55" t="s">
        <v>360</v>
      </c>
      <c r="H2379" s="55" t="s">
        <v>360</v>
      </c>
      <c r="I2379" s="55" t="s">
        <v>360</v>
      </c>
      <c r="J2379" s="55" t="s">
        <v>360</v>
      </c>
      <c r="K2379" s="55" t="s">
        <v>360</v>
      </c>
      <c r="L2379" s="55" t="s">
        <v>360</v>
      </c>
      <c r="M2379" s="55" t="s">
        <v>136</v>
      </c>
      <c r="N2379" s="55" t="s">
        <v>136</v>
      </c>
      <c r="O2379" s="55" t="s">
        <v>288</v>
      </c>
      <c r="P2379" s="55" t="s">
        <v>1037</v>
      </c>
      <c r="Q2379" s="55" t="s">
        <v>350</v>
      </c>
      <c r="R2379" s="55">
        <v>6</v>
      </c>
      <c r="S2379" s="55"/>
      <c r="T2379" s="55" t="s">
        <v>2197</v>
      </c>
    </row>
    <row r="2380" spans="1:20" ht="13" x14ac:dyDescent="0.15">
      <c r="A2380" s="72" t="str">
        <f t="shared" si="37"/>
        <v>Ofsted Social Care Provider Webpage</v>
      </c>
      <c r="B2380" s="55" t="s">
        <v>4421</v>
      </c>
      <c r="D2380" s="55" t="s">
        <v>389</v>
      </c>
      <c r="E2380" s="74">
        <v>38170</v>
      </c>
      <c r="F2380" s="55" t="s">
        <v>344</v>
      </c>
      <c r="G2380" s="55" t="s">
        <v>4422</v>
      </c>
      <c r="H2380" s="55" t="s">
        <v>4423</v>
      </c>
      <c r="I2380" s="55" t="s">
        <v>354</v>
      </c>
      <c r="J2380" s="55" t="s">
        <v>4424</v>
      </c>
      <c r="K2380" s="55" t="s">
        <v>2469</v>
      </c>
      <c r="L2380" s="55" t="s">
        <v>4425</v>
      </c>
      <c r="M2380" s="55" t="s">
        <v>144</v>
      </c>
      <c r="N2380" s="55" t="s">
        <v>144</v>
      </c>
      <c r="O2380" s="55" t="s">
        <v>276</v>
      </c>
      <c r="P2380" s="55" t="s">
        <v>1562</v>
      </c>
      <c r="Q2380" s="55" t="s">
        <v>350</v>
      </c>
      <c r="R2380" s="55"/>
      <c r="S2380" s="55"/>
      <c r="T2380" s="55" t="s">
        <v>4426</v>
      </c>
    </row>
    <row r="2381" spans="1:20" ht="13" x14ac:dyDescent="0.15">
      <c r="A2381" s="72" t="str">
        <f t="shared" si="37"/>
        <v>Ofsted Social Care Provider Webpage</v>
      </c>
      <c r="B2381" s="55" t="s">
        <v>4427</v>
      </c>
      <c r="D2381" s="55" t="s">
        <v>373</v>
      </c>
      <c r="E2381" s="74">
        <v>38020</v>
      </c>
      <c r="F2381" s="55" t="s">
        <v>344</v>
      </c>
      <c r="G2381" s="55" t="s">
        <v>360</v>
      </c>
      <c r="H2381" s="55" t="s">
        <v>360</v>
      </c>
      <c r="I2381" s="55" t="s">
        <v>360</v>
      </c>
      <c r="J2381" s="55" t="s">
        <v>360</v>
      </c>
      <c r="K2381" s="55" t="s">
        <v>360</v>
      </c>
      <c r="L2381" s="55" t="s">
        <v>360</v>
      </c>
      <c r="M2381" s="55" t="s">
        <v>136</v>
      </c>
      <c r="N2381" s="55" t="s">
        <v>136</v>
      </c>
      <c r="O2381" s="55" t="s">
        <v>288</v>
      </c>
      <c r="P2381" s="55" t="s">
        <v>1487</v>
      </c>
      <c r="Q2381" s="55" t="s">
        <v>350</v>
      </c>
      <c r="R2381" s="55">
        <v>2</v>
      </c>
      <c r="S2381" s="55"/>
      <c r="T2381" s="55" t="s">
        <v>2197</v>
      </c>
    </row>
    <row r="2382" spans="1:20" ht="13" x14ac:dyDescent="0.15">
      <c r="A2382" s="72" t="str">
        <f t="shared" si="37"/>
        <v>Ofsted Social Care Provider Webpage</v>
      </c>
      <c r="B2382" s="55" t="s">
        <v>4428</v>
      </c>
      <c r="D2382" s="55" t="s">
        <v>373</v>
      </c>
      <c r="E2382" s="74">
        <v>38020</v>
      </c>
      <c r="F2382" s="55" t="s">
        <v>344</v>
      </c>
      <c r="G2382" s="55" t="s">
        <v>360</v>
      </c>
      <c r="H2382" s="55" t="s">
        <v>360</v>
      </c>
      <c r="I2382" s="55" t="s">
        <v>360</v>
      </c>
      <c r="J2382" s="55" t="s">
        <v>360</v>
      </c>
      <c r="K2382" s="55" t="s">
        <v>360</v>
      </c>
      <c r="L2382" s="55" t="s">
        <v>360</v>
      </c>
      <c r="M2382" s="55" t="s">
        <v>136</v>
      </c>
      <c r="N2382" s="55" t="s">
        <v>136</v>
      </c>
      <c r="O2382" s="55" t="s">
        <v>288</v>
      </c>
      <c r="P2382" s="55" t="s">
        <v>1037</v>
      </c>
      <c r="Q2382" s="55" t="s">
        <v>350</v>
      </c>
      <c r="R2382" s="55">
        <v>5</v>
      </c>
      <c r="S2382" s="55"/>
      <c r="T2382" s="55" t="s">
        <v>2197</v>
      </c>
    </row>
    <row r="2383" spans="1:20" ht="13" x14ac:dyDescent="0.15">
      <c r="A2383" s="72" t="str">
        <f t="shared" si="37"/>
        <v>Ofsted Social Care Provider Webpage</v>
      </c>
      <c r="B2383" s="55" t="s">
        <v>4429</v>
      </c>
      <c r="C2383" s="55">
        <v>130723</v>
      </c>
      <c r="D2383" s="55" t="s">
        <v>693</v>
      </c>
      <c r="E2383" s="74">
        <v>38016</v>
      </c>
      <c r="F2383" s="55" t="s">
        <v>344</v>
      </c>
      <c r="G2383" s="55" t="s">
        <v>4430</v>
      </c>
      <c r="H2383" s="55" t="s">
        <v>4430</v>
      </c>
      <c r="I2383" s="55" t="s">
        <v>4431</v>
      </c>
      <c r="J2383" s="55" t="s">
        <v>4354</v>
      </c>
      <c r="K2383" s="55" t="s">
        <v>196</v>
      </c>
      <c r="L2383" s="55" t="s">
        <v>4432</v>
      </c>
      <c r="M2383" s="55" t="s">
        <v>138</v>
      </c>
      <c r="N2383" s="55" t="s">
        <v>138</v>
      </c>
      <c r="O2383" s="55" t="s">
        <v>196</v>
      </c>
      <c r="P2383" s="55" t="s">
        <v>441</v>
      </c>
      <c r="Q2383" s="55" t="s">
        <v>362</v>
      </c>
      <c r="R2383" s="55">
        <v>80</v>
      </c>
      <c r="S2383" s="55"/>
      <c r="T2383" s="55" t="s">
        <v>4433</v>
      </c>
    </row>
    <row r="2384" spans="1:20" ht="13" x14ac:dyDescent="0.15">
      <c r="A2384" s="72" t="str">
        <f t="shared" si="37"/>
        <v>Ofsted Social Care Provider Webpage</v>
      </c>
      <c r="B2384" s="55" t="s">
        <v>4434</v>
      </c>
      <c r="D2384" s="55" t="s">
        <v>373</v>
      </c>
      <c r="E2384" s="74">
        <v>38056</v>
      </c>
      <c r="F2384" s="55" t="s">
        <v>344</v>
      </c>
      <c r="G2384" s="55" t="s">
        <v>360</v>
      </c>
      <c r="H2384" s="55" t="s">
        <v>360</v>
      </c>
      <c r="I2384" s="55" t="s">
        <v>360</v>
      </c>
      <c r="J2384" s="55" t="s">
        <v>360</v>
      </c>
      <c r="K2384" s="55" t="s">
        <v>360</v>
      </c>
      <c r="L2384" s="55" t="s">
        <v>360</v>
      </c>
      <c r="M2384" s="55" t="s">
        <v>144</v>
      </c>
      <c r="N2384" s="55" t="s">
        <v>144</v>
      </c>
      <c r="O2384" s="55" t="s">
        <v>147</v>
      </c>
      <c r="P2384" s="55" t="s">
        <v>807</v>
      </c>
      <c r="Q2384" s="55" t="s">
        <v>380</v>
      </c>
      <c r="R2384" s="55">
        <v>5</v>
      </c>
      <c r="S2384" s="55" t="s">
        <v>332</v>
      </c>
      <c r="T2384" s="55" t="s">
        <v>3771</v>
      </c>
    </row>
    <row r="2385" spans="1:20" ht="13" x14ac:dyDescent="0.15">
      <c r="A2385" s="72" t="str">
        <f t="shared" si="37"/>
        <v>Ofsted Social Care Provider Webpage</v>
      </c>
      <c r="B2385" s="55" t="s">
        <v>4435</v>
      </c>
      <c r="D2385" s="55" t="s">
        <v>373</v>
      </c>
      <c r="E2385" s="74">
        <v>38133</v>
      </c>
      <c r="F2385" s="55" t="s">
        <v>344</v>
      </c>
      <c r="G2385" s="55" t="s">
        <v>360</v>
      </c>
      <c r="H2385" s="55" t="s">
        <v>360</v>
      </c>
      <c r="I2385" s="55" t="s">
        <v>360</v>
      </c>
      <c r="J2385" s="55" t="s">
        <v>360</v>
      </c>
      <c r="K2385" s="55" t="s">
        <v>360</v>
      </c>
      <c r="L2385" s="55" t="s">
        <v>360</v>
      </c>
      <c r="M2385" s="55" t="s">
        <v>144</v>
      </c>
      <c r="N2385" s="55" t="s">
        <v>144</v>
      </c>
      <c r="O2385" s="55" t="s">
        <v>147</v>
      </c>
      <c r="P2385" s="55" t="s">
        <v>674</v>
      </c>
      <c r="Q2385" s="55" t="s">
        <v>380</v>
      </c>
      <c r="R2385" s="55">
        <v>6</v>
      </c>
      <c r="S2385" s="55" t="s">
        <v>332</v>
      </c>
      <c r="T2385" s="55" t="s">
        <v>3771</v>
      </c>
    </row>
    <row r="2386" spans="1:20" ht="13" x14ac:dyDescent="0.15">
      <c r="A2386" s="72" t="str">
        <f t="shared" si="37"/>
        <v>Ofsted Social Care Provider Webpage</v>
      </c>
      <c r="B2386" s="55" t="s">
        <v>4436</v>
      </c>
      <c r="D2386" s="55" t="s">
        <v>373</v>
      </c>
      <c r="E2386" s="74">
        <v>38027</v>
      </c>
      <c r="F2386" s="55" t="s">
        <v>344</v>
      </c>
      <c r="G2386" s="55" t="s">
        <v>360</v>
      </c>
      <c r="H2386" s="55" t="s">
        <v>360</v>
      </c>
      <c r="I2386" s="55" t="s">
        <v>360</v>
      </c>
      <c r="J2386" s="55" t="s">
        <v>360</v>
      </c>
      <c r="K2386" s="55" t="s">
        <v>360</v>
      </c>
      <c r="L2386" s="55" t="s">
        <v>360</v>
      </c>
      <c r="M2386" s="55" t="s">
        <v>172</v>
      </c>
      <c r="N2386" s="55" t="s">
        <v>172</v>
      </c>
      <c r="O2386" s="55" t="s">
        <v>171</v>
      </c>
      <c r="P2386" s="55" t="s">
        <v>983</v>
      </c>
      <c r="Q2386" s="55" t="s">
        <v>350</v>
      </c>
      <c r="R2386" s="55">
        <v>4</v>
      </c>
      <c r="S2386" s="55"/>
      <c r="T2386" s="55" t="s">
        <v>861</v>
      </c>
    </row>
    <row r="2387" spans="1:20" ht="13" x14ac:dyDescent="0.15">
      <c r="A2387" s="72" t="str">
        <f t="shared" si="37"/>
        <v>Ofsted Social Care Provider Webpage</v>
      </c>
      <c r="B2387" s="55" t="s">
        <v>4437</v>
      </c>
      <c r="D2387" s="55" t="s">
        <v>373</v>
      </c>
      <c r="E2387" s="74">
        <v>38212</v>
      </c>
      <c r="F2387" s="55" t="s">
        <v>344</v>
      </c>
      <c r="G2387" s="55" t="s">
        <v>360</v>
      </c>
      <c r="H2387" s="55" t="s">
        <v>360</v>
      </c>
      <c r="I2387" s="55" t="s">
        <v>360</v>
      </c>
      <c r="J2387" s="55" t="s">
        <v>360</v>
      </c>
      <c r="K2387" s="55" t="s">
        <v>360</v>
      </c>
      <c r="L2387" s="55" t="s">
        <v>360</v>
      </c>
      <c r="M2387" s="55" t="s">
        <v>138</v>
      </c>
      <c r="N2387" s="55" t="s">
        <v>138</v>
      </c>
      <c r="O2387" s="55" t="s">
        <v>224</v>
      </c>
      <c r="P2387" s="55" t="s">
        <v>1675</v>
      </c>
      <c r="Q2387" s="55" t="s">
        <v>362</v>
      </c>
      <c r="R2387" s="55">
        <v>6</v>
      </c>
      <c r="S2387" s="55" t="s">
        <v>332</v>
      </c>
      <c r="T2387" s="55" t="s">
        <v>557</v>
      </c>
    </row>
    <row r="2388" spans="1:20" ht="13" x14ac:dyDescent="0.15">
      <c r="A2388" s="72" t="str">
        <f t="shared" si="37"/>
        <v>Ofsted Social Care Provider Webpage</v>
      </c>
      <c r="B2388" s="55" t="s">
        <v>4438</v>
      </c>
      <c r="D2388" s="55" t="s">
        <v>389</v>
      </c>
      <c r="E2388" s="74">
        <v>38176</v>
      </c>
      <c r="F2388" s="55" t="s">
        <v>344</v>
      </c>
      <c r="G2388" s="55" t="s">
        <v>4439</v>
      </c>
      <c r="H2388" s="55" t="s">
        <v>4440</v>
      </c>
      <c r="I2388" s="55" t="s">
        <v>354</v>
      </c>
      <c r="J2388" s="55" t="s">
        <v>2457</v>
      </c>
      <c r="L2388" s="55" t="s">
        <v>4441</v>
      </c>
      <c r="M2388" s="55" t="s">
        <v>172</v>
      </c>
      <c r="N2388" s="55" t="s">
        <v>172</v>
      </c>
      <c r="O2388" s="55" t="s">
        <v>211</v>
      </c>
      <c r="P2388" s="55" t="s">
        <v>2228</v>
      </c>
      <c r="Q2388" s="55" t="s">
        <v>350</v>
      </c>
      <c r="R2388" s="55"/>
      <c r="S2388" s="55"/>
      <c r="T2388" s="55" t="s">
        <v>4439</v>
      </c>
    </row>
    <row r="2389" spans="1:20" ht="13" x14ac:dyDescent="0.15">
      <c r="A2389" s="72" t="str">
        <f t="shared" si="37"/>
        <v>Ofsted Social Care Provider Webpage</v>
      </c>
      <c r="B2389" s="55" t="s">
        <v>4442</v>
      </c>
      <c r="C2389" s="55">
        <v>137739</v>
      </c>
      <c r="D2389" s="55" t="s">
        <v>398</v>
      </c>
      <c r="E2389" s="74">
        <v>38041</v>
      </c>
      <c r="F2389" s="55" t="s">
        <v>344</v>
      </c>
      <c r="G2389" s="55" t="s">
        <v>4443</v>
      </c>
      <c r="H2389" s="55" t="s">
        <v>4443</v>
      </c>
      <c r="I2389" s="55" t="s">
        <v>4444</v>
      </c>
      <c r="J2389" s="55" t="s">
        <v>4445</v>
      </c>
      <c r="K2389" s="55" t="s">
        <v>203</v>
      </c>
      <c r="L2389" s="55" t="s">
        <v>4446</v>
      </c>
      <c r="M2389" s="55" t="s">
        <v>150</v>
      </c>
      <c r="N2389" s="55" t="s">
        <v>150</v>
      </c>
      <c r="O2389" s="55" t="s">
        <v>203</v>
      </c>
      <c r="P2389" s="55" t="s">
        <v>3469</v>
      </c>
      <c r="Q2389" s="55" t="s">
        <v>420</v>
      </c>
      <c r="R2389" s="55">
        <v>260</v>
      </c>
      <c r="S2389" s="55"/>
      <c r="T2389" s="55" t="s">
        <v>4447</v>
      </c>
    </row>
    <row r="2390" spans="1:20" ht="13" x14ac:dyDescent="0.15">
      <c r="A2390" s="72" t="str">
        <f t="shared" si="37"/>
        <v>Ofsted Social Care Provider Webpage</v>
      </c>
      <c r="B2390" s="55" t="s">
        <v>4448</v>
      </c>
      <c r="D2390" s="55" t="s">
        <v>389</v>
      </c>
      <c r="E2390" s="74">
        <v>38119</v>
      </c>
      <c r="F2390" s="55" t="s">
        <v>344</v>
      </c>
      <c r="G2390" s="55" t="s">
        <v>4449</v>
      </c>
      <c r="H2390" s="55" t="s">
        <v>4450</v>
      </c>
      <c r="I2390" s="55" t="s">
        <v>4451</v>
      </c>
      <c r="J2390" s="55" t="s">
        <v>1936</v>
      </c>
      <c r="K2390" s="55" t="s">
        <v>203</v>
      </c>
      <c r="L2390" s="55" t="s">
        <v>4452</v>
      </c>
      <c r="M2390" s="55" t="s">
        <v>150</v>
      </c>
      <c r="N2390" s="55" t="s">
        <v>150</v>
      </c>
      <c r="O2390" s="55" t="s">
        <v>203</v>
      </c>
      <c r="P2390" s="55" t="s">
        <v>1835</v>
      </c>
      <c r="Q2390" s="55" t="s">
        <v>350</v>
      </c>
      <c r="R2390" s="55"/>
      <c r="S2390" s="55"/>
      <c r="T2390" s="55" t="s">
        <v>4453</v>
      </c>
    </row>
    <row r="2391" spans="1:20" ht="13" x14ac:dyDescent="0.15">
      <c r="A2391" s="72" t="str">
        <f t="shared" si="37"/>
        <v>Ofsted Social Care Provider Webpage</v>
      </c>
      <c r="B2391" s="55" t="s">
        <v>4454</v>
      </c>
      <c r="D2391" s="55" t="s">
        <v>373</v>
      </c>
      <c r="E2391" s="74">
        <v>38462</v>
      </c>
      <c r="F2391" s="55" t="s">
        <v>344</v>
      </c>
      <c r="G2391" s="55" t="s">
        <v>360</v>
      </c>
      <c r="H2391" s="55" t="s">
        <v>360</v>
      </c>
      <c r="I2391" s="55" t="s">
        <v>360</v>
      </c>
      <c r="J2391" s="55" t="s">
        <v>360</v>
      </c>
      <c r="K2391" s="55" t="s">
        <v>360</v>
      </c>
      <c r="L2391" s="55" t="s">
        <v>360</v>
      </c>
      <c r="M2391" s="55" t="s">
        <v>129</v>
      </c>
      <c r="N2391" s="55" t="s">
        <v>129</v>
      </c>
      <c r="O2391" s="55" t="s">
        <v>223</v>
      </c>
      <c r="P2391" s="55" t="s">
        <v>1602</v>
      </c>
      <c r="Q2391" s="55" t="s">
        <v>350</v>
      </c>
      <c r="R2391" s="55">
        <v>8</v>
      </c>
      <c r="S2391" s="55"/>
      <c r="T2391" s="55" t="s">
        <v>4455</v>
      </c>
    </row>
    <row r="2392" spans="1:20" ht="13" x14ac:dyDescent="0.15">
      <c r="A2392" s="72" t="str">
        <f t="shared" si="37"/>
        <v>Ofsted Social Care Provider Webpage</v>
      </c>
      <c r="B2392" s="55" t="s">
        <v>4456</v>
      </c>
      <c r="D2392" s="55" t="s">
        <v>373</v>
      </c>
      <c r="E2392" s="74">
        <v>38135</v>
      </c>
      <c r="F2392" s="55" t="s">
        <v>344</v>
      </c>
      <c r="G2392" s="55" t="s">
        <v>360</v>
      </c>
      <c r="H2392" s="55" t="s">
        <v>360</v>
      </c>
      <c r="I2392" s="55" t="s">
        <v>360</v>
      </c>
      <c r="J2392" s="55" t="s">
        <v>360</v>
      </c>
      <c r="K2392" s="55" t="s">
        <v>360</v>
      </c>
      <c r="L2392" s="55" t="s">
        <v>360</v>
      </c>
      <c r="M2392" s="55" t="s">
        <v>142</v>
      </c>
      <c r="N2392" s="55" t="s">
        <v>142</v>
      </c>
      <c r="O2392" s="55" t="s">
        <v>262</v>
      </c>
      <c r="P2392" s="55" t="s">
        <v>488</v>
      </c>
      <c r="Q2392" s="55" t="s">
        <v>350</v>
      </c>
      <c r="R2392" s="55">
        <v>3</v>
      </c>
      <c r="S2392" s="55"/>
      <c r="T2392" s="55" t="s">
        <v>4081</v>
      </c>
    </row>
    <row r="2393" spans="1:20" ht="13" x14ac:dyDescent="0.15">
      <c r="A2393" s="72" t="str">
        <f t="shared" si="37"/>
        <v>Ofsted Social Care Provider Webpage</v>
      </c>
      <c r="B2393" s="55" t="s">
        <v>4457</v>
      </c>
      <c r="D2393" s="55" t="s">
        <v>373</v>
      </c>
      <c r="E2393" s="74">
        <v>38250</v>
      </c>
      <c r="F2393" s="55" t="s">
        <v>344</v>
      </c>
      <c r="G2393" s="55" t="s">
        <v>360</v>
      </c>
      <c r="H2393" s="55" t="s">
        <v>360</v>
      </c>
      <c r="I2393" s="55" t="s">
        <v>360</v>
      </c>
      <c r="J2393" s="55" t="s">
        <v>360</v>
      </c>
      <c r="K2393" s="55" t="s">
        <v>360</v>
      </c>
      <c r="L2393" s="55" t="s">
        <v>360</v>
      </c>
      <c r="M2393" s="55" t="s">
        <v>144</v>
      </c>
      <c r="N2393" s="55" t="s">
        <v>144</v>
      </c>
      <c r="O2393" s="55" t="s">
        <v>162</v>
      </c>
      <c r="P2393" s="55" t="s">
        <v>686</v>
      </c>
      <c r="Q2393" s="55" t="s">
        <v>350</v>
      </c>
      <c r="R2393" s="55">
        <v>3</v>
      </c>
      <c r="S2393" s="55"/>
      <c r="T2393" s="55" t="s">
        <v>2811</v>
      </c>
    </row>
    <row r="2394" spans="1:20" ht="13" x14ac:dyDescent="0.15">
      <c r="A2394" s="72" t="str">
        <f t="shared" si="37"/>
        <v>Ofsted Social Care Provider Webpage</v>
      </c>
      <c r="B2394" s="55" t="s">
        <v>4458</v>
      </c>
      <c r="D2394" s="55" t="s">
        <v>389</v>
      </c>
      <c r="E2394" s="74">
        <v>38456</v>
      </c>
      <c r="F2394" s="55" t="s">
        <v>344</v>
      </c>
      <c r="G2394" s="55" t="s">
        <v>3110</v>
      </c>
      <c r="H2394" s="55" t="s">
        <v>4459</v>
      </c>
      <c r="I2394" s="55" t="s">
        <v>4460</v>
      </c>
      <c r="J2394" s="55" t="s">
        <v>523</v>
      </c>
      <c r="K2394" s="55" t="s">
        <v>262</v>
      </c>
      <c r="L2394" s="55" t="s">
        <v>4461</v>
      </c>
      <c r="M2394" s="55" t="s">
        <v>142</v>
      </c>
      <c r="N2394" s="55" t="s">
        <v>142</v>
      </c>
      <c r="O2394" s="55" t="s">
        <v>262</v>
      </c>
      <c r="P2394" s="55" t="s">
        <v>523</v>
      </c>
      <c r="Q2394" s="55" t="s">
        <v>350</v>
      </c>
      <c r="R2394" s="55"/>
      <c r="S2394" s="55"/>
      <c r="T2394" s="55" t="s">
        <v>3110</v>
      </c>
    </row>
    <row r="2395" spans="1:20" ht="13" x14ac:dyDescent="0.15">
      <c r="A2395" s="72" t="str">
        <f t="shared" si="37"/>
        <v>Ofsted Social Care Provider Webpage</v>
      </c>
      <c r="B2395" s="55" t="s">
        <v>4462</v>
      </c>
      <c r="D2395" s="55" t="s">
        <v>389</v>
      </c>
      <c r="E2395" s="74">
        <v>38061</v>
      </c>
      <c r="F2395" s="55" t="s">
        <v>344</v>
      </c>
      <c r="G2395" s="55" t="s">
        <v>3122</v>
      </c>
      <c r="H2395" s="55" t="s">
        <v>4463</v>
      </c>
      <c r="I2395" s="55" t="s">
        <v>4464</v>
      </c>
      <c r="J2395" s="55" t="s">
        <v>251</v>
      </c>
      <c r="L2395" s="55" t="s">
        <v>4465</v>
      </c>
      <c r="M2395" s="55" t="s">
        <v>378</v>
      </c>
      <c r="N2395" s="55" t="s">
        <v>134</v>
      </c>
      <c r="O2395" s="55" t="s">
        <v>251</v>
      </c>
      <c r="P2395" s="55" t="s">
        <v>3363</v>
      </c>
      <c r="Q2395" s="55" t="s">
        <v>362</v>
      </c>
      <c r="R2395" s="55"/>
      <c r="S2395" s="55"/>
      <c r="T2395" s="55" t="s">
        <v>3122</v>
      </c>
    </row>
    <row r="2396" spans="1:20" ht="13" x14ac:dyDescent="0.15">
      <c r="A2396" s="72" t="str">
        <f t="shared" si="37"/>
        <v>Ofsted Social Care Provider Webpage</v>
      </c>
      <c r="B2396" s="55" t="s">
        <v>4466</v>
      </c>
      <c r="D2396" s="55" t="s">
        <v>373</v>
      </c>
      <c r="E2396" s="74">
        <v>38160</v>
      </c>
      <c r="F2396" s="55" t="s">
        <v>344</v>
      </c>
      <c r="G2396" s="55" t="s">
        <v>360</v>
      </c>
      <c r="H2396" s="55" t="s">
        <v>360</v>
      </c>
      <c r="I2396" s="55" t="s">
        <v>360</v>
      </c>
      <c r="J2396" s="55" t="s">
        <v>360</v>
      </c>
      <c r="K2396" s="55" t="s">
        <v>360</v>
      </c>
      <c r="L2396" s="55" t="s">
        <v>360</v>
      </c>
      <c r="M2396" s="55" t="s">
        <v>138</v>
      </c>
      <c r="N2396" s="55" t="s">
        <v>138</v>
      </c>
      <c r="O2396" s="55" t="s">
        <v>224</v>
      </c>
      <c r="P2396" s="55" t="s">
        <v>1552</v>
      </c>
      <c r="Q2396" s="55" t="s">
        <v>362</v>
      </c>
      <c r="R2396" s="55">
        <v>4</v>
      </c>
      <c r="S2396" s="55"/>
      <c r="T2396" s="55" t="s">
        <v>557</v>
      </c>
    </row>
    <row r="2397" spans="1:20" ht="13" x14ac:dyDescent="0.15">
      <c r="A2397" s="72" t="str">
        <f t="shared" si="37"/>
        <v>Ofsted Social Care Provider Webpage</v>
      </c>
      <c r="B2397" s="55" t="s">
        <v>4467</v>
      </c>
      <c r="D2397" s="55" t="s">
        <v>373</v>
      </c>
      <c r="E2397" s="74">
        <v>38162</v>
      </c>
      <c r="F2397" s="55" t="s">
        <v>344</v>
      </c>
      <c r="G2397" s="55" t="s">
        <v>360</v>
      </c>
      <c r="H2397" s="55" t="s">
        <v>360</v>
      </c>
      <c r="I2397" s="55" t="s">
        <v>360</v>
      </c>
      <c r="J2397" s="55" t="s">
        <v>360</v>
      </c>
      <c r="K2397" s="55" t="s">
        <v>360</v>
      </c>
      <c r="L2397" s="55" t="s">
        <v>360</v>
      </c>
      <c r="M2397" s="55" t="s">
        <v>144</v>
      </c>
      <c r="N2397" s="55" t="s">
        <v>144</v>
      </c>
      <c r="O2397" s="55" t="s">
        <v>209</v>
      </c>
      <c r="P2397" s="55" t="s">
        <v>650</v>
      </c>
      <c r="Q2397" s="55" t="s">
        <v>350</v>
      </c>
      <c r="R2397" s="55">
        <v>3</v>
      </c>
      <c r="S2397" s="55"/>
      <c r="T2397" s="55" t="s">
        <v>4468</v>
      </c>
    </row>
    <row r="2398" spans="1:20" ht="13" x14ac:dyDescent="0.15">
      <c r="A2398" s="72" t="str">
        <f t="shared" si="37"/>
        <v>Ofsted Social Care Provider Webpage</v>
      </c>
      <c r="B2398" s="55" t="s">
        <v>4469</v>
      </c>
      <c r="D2398" s="55" t="s">
        <v>373</v>
      </c>
      <c r="E2398" s="74">
        <v>38244</v>
      </c>
      <c r="F2398" s="55" t="s">
        <v>344</v>
      </c>
      <c r="G2398" s="55" t="s">
        <v>360</v>
      </c>
      <c r="H2398" s="55" t="s">
        <v>360</v>
      </c>
      <c r="I2398" s="55" t="s">
        <v>360</v>
      </c>
      <c r="J2398" s="55" t="s">
        <v>360</v>
      </c>
      <c r="K2398" s="55" t="s">
        <v>360</v>
      </c>
      <c r="L2398" s="55" t="s">
        <v>360</v>
      </c>
      <c r="M2398" s="55" t="s">
        <v>378</v>
      </c>
      <c r="N2398" s="55" t="s">
        <v>134</v>
      </c>
      <c r="O2398" s="55" t="s">
        <v>277</v>
      </c>
      <c r="P2398" s="55" t="s">
        <v>461</v>
      </c>
      <c r="Q2398" s="55" t="s">
        <v>350</v>
      </c>
      <c r="R2398" s="55">
        <v>2</v>
      </c>
      <c r="S2398" s="55"/>
      <c r="T2398" s="55" t="s">
        <v>2448</v>
      </c>
    </row>
    <row r="2399" spans="1:20" ht="13" x14ac:dyDescent="0.15">
      <c r="A2399" s="72" t="str">
        <f t="shared" si="37"/>
        <v>Ofsted Social Care Provider Webpage</v>
      </c>
      <c r="B2399" s="55" t="s">
        <v>4470</v>
      </c>
      <c r="D2399" s="55" t="s">
        <v>373</v>
      </c>
      <c r="E2399" s="74">
        <v>38090</v>
      </c>
      <c r="F2399" s="55" t="s">
        <v>344</v>
      </c>
      <c r="G2399" s="55" t="s">
        <v>360</v>
      </c>
      <c r="H2399" s="55" t="s">
        <v>360</v>
      </c>
      <c r="I2399" s="55" t="s">
        <v>360</v>
      </c>
      <c r="J2399" s="55" t="s">
        <v>360</v>
      </c>
      <c r="K2399" s="55" t="s">
        <v>360</v>
      </c>
      <c r="L2399" s="55" t="s">
        <v>360</v>
      </c>
      <c r="M2399" s="55" t="s">
        <v>136</v>
      </c>
      <c r="N2399" s="55" t="s">
        <v>136</v>
      </c>
      <c r="O2399" s="55" t="s">
        <v>255</v>
      </c>
      <c r="P2399" s="55" t="s">
        <v>757</v>
      </c>
      <c r="Q2399" s="55" t="s">
        <v>350</v>
      </c>
      <c r="R2399" s="55">
        <v>3</v>
      </c>
      <c r="S2399" s="55"/>
      <c r="T2399" s="55" t="s">
        <v>4019</v>
      </c>
    </row>
    <row r="2400" spans="1:20" ht="13" x14ac:dyDescent="0.15">
      <c r="A2400" s="72" t="str">
        <f t="shared" si="37"/>
        <v>Ofsted Social Care Provider Webpage</v>
      </c>
      <c r="B2400" s="55" t="s">
        <v>4471</v>
      </c>
      <c r="D2400" s="55" t="s">
        <v>373</v>
      </c>
      <c r="E2400" s="74">
        <v>38252</v>
      </c>
      <c r="F2400" s="55" t="s">
        <v>344</v>
      </c>
      <c r="G2400" s="55" t="s">
        <v>360</v>
      </c>
      <c r="H2400" s="55" t="s">
        <v>360</v>
      </c>
      <c r="I2400" s="55" t="s">
        <v>360</v>
      </c>
      <c r="J2400" s="55" t="s">
        <v>360</v>
      </c>
      <c r="K2400" s="55" t="s">
        <v>360</v>
      </c>
      <c r="L2400" s="55" t="s">
        <v>360</v>
      </c>
      <c r="M2400" s="55" t="s">
        <v>138</v>
      </c>
      <c r="N2400" s="55" t="s">
        <v>138</v>
      </c>
      <c r="O2400" s="55" t="s">
        <v>266</v>
      </c>
      <c r="P2400" s="55" t="s">
        <v>4472</v>
      </c>
      <c r="Q2400" s="55" t="s">
        <v>350</v>
      </c>
      <c r="R2400" s="55">
        <v>8</v>
      </c>
      <c r="S2400" s="55"/>
      <c r="T2400" s="55" t="s">
        <v>4473</v>
      </c>
    </row>
    <row r="2401" spans="1:20" ht="13" x14ac:dyDescent="0.15">
      <c r="A2401" s="72" t="str">
        <f t="shared" si="37"/>
        <v>Ofsted Social Care Provider Webpage</v>
      </c>
      <c r="B2401" s="55" t="s">
        <v>4474</v>
      </c>
      <c r="D2401" s="55" t="s">
        <v>389</v>
      </c>
      <c r="E2401" s="74">
        <v>38221</v>
      </c>
      <c r="F2401" s="55" t="s">
        <v>344</v>
      </c>
      <c r="G2401" s="55" t="s">
        <v>4475</v>
      </c>
      <c r="H2401" s="55" t="s">
        <v>4476</v>
      </c>
      <c r="I2401" s="55" t="s">
        <v>354</v>
      </c>
      <c r="J2401" s="55" t="s">
        <v>4477</v>
      </c>
      <c r="K2401" s="55" t="s">
        <v>285</v>
      </c>
      <c r="L2401" s="55" t="s">
        <v>4478</v>
      </c>
      <c r="M2401" s="55" t="s">
        <v>150</v>
      </c>
      <c r="N2401" s="55" t="s">
        <v>150</v>
      </c>
      <c r="O2401" s="55" t="s">
        <v>285</v>
      </c>
      <c r="P2401" s="55" t="s">
        <v>2001</v>
      </c>
      <c r="Q2401" s="55" t="s">
        <v>350</v>
      </c>
      <c r="R2401" s="55"/>
      <c r="S2401" s="55"/>
      <c r="T2401" s="55" t="s">
        <v>4475</v>
      </c>
    </row>
    <row r="2402" spans="1:20" ht="13" x14ac:dyDescent="0.15">
      <c r="A2402" s="72" t="str">
        <f t="shared" si="37"/>
        <v>Ofsted Social Care Provider Webpage</v>
      </c>
      <c r="B2402" s="55" t="s">
        <v>4479</v>
      </c>
      <c r="D2402" s="55" t="s">
        <v>373</v>
      </c>
      <c r="E2402" s="74">
        <v>38162</v>
      </c>
      <c r="F2402" s="55" t="s">
        <v>344</v>
      </c>
      <c r="G2402" s="55" t="s">
        <v>360</v>
      </c>
      <c r="H2402" s="55" t="s">
        <v>360</v>
      </c>
      <c r="I2402" s="55" t="s">
        <v>360</v>
      </c>
      <c r="J2402" s="55" t="s">
        <v>360</v>
      </c>
      <c r="K2402" s="55" t="s">
        <v>360</v>
      </c>
      <c r="L2402" s="55" t="s">
        <v>360</v>
      </c>
      <c r="M2402" s="55" t="s">
        <v>378</v>
      </c>
      <c r="N2402" s="55" t="s">
        <v>134</v>
      </c>
      <c r="O2402" s="55" t="s">
        <v>151</v>
      </c>
      <c r="P2402" s="55" t="s">
        <v>3141</v>
      </c>
      <c r="Q2402" s="55" t="s">
        <v>380</v>
      </c>
      <c r="R2402" s="55">
        <v>6</v>
      </c>
      <c r="S2402" s="55"/>
      <c r="T2402" s="55" t="s">
        <v>1220</v>
      </c>
    </row>
    <row r="2403" spans="1:20" ht="13" x14ac:dyDescent="0.15">
      <c r="A2403" s="72" t="str">
        <f t="shared" si="37"/>
        <v>Ofsted Social Care Provider Webpage</v>
      </c>
      <c r="B2403" s="55" t="s">
        <v>4480</v>
      </c>
      <c r="D2403" s="55" t="s">
        <v>373</v>
      </c>
      <c r="E2403" s="74">
        <v>38127</v>
      </c>
      <c r="F2403" s="55" t="s">
        <v>344</v>
      </c>
      <c r="G2403" s="55" t="s">
        <v>360</v>
      </c>
      <c r="H2403" s="55" t="s">
        <v>360</v>
      </c>
      <c r="I2403" s="55" t="s">
        <v>360</v>
      </c>
      <c r="J2403" s="55" t="s">
        <v>360</v>
      </c>
      <c r="K2403" s="55" t="s">
        <v>360</v>
      </c>
      <c r="L2403" s="55" t="s">
        <v>360</v>
      </c>
      <c r="M2403" s="55" t="s">
        <v>144</v>
      </c>
      <c r="N2403" s="55" t="s">
        <v>144</v>
      </c>
      <c r="O2403" s="55" t="s">
        <v>168</v>
      </c>
      <c r="P2403" s="55" t="s">
        <v>913</v>
      </c>
      <c r="Q2403" s="55" t="s">
        <v>350</v>
      </c>
      <c r="R2403" s="55">
        <v>1</v>
      </c>
      <c r="S2403" s="55"/>
      <c r="T2403" s="55" t="s">
        <v>915</v>
      </c>
    </row>
    <row r="2404" spans="1:20" ht="13" x14ac:dyDescent="0.15">
      <c r="A2404" s="72" t="str">
        <f t="shared" si="37"/>
        <v>Ofsted Social Care Provider Webpage</v>
      </c>
      <c r="B2404" s="55" t="s">
        <v>4481</v>
      </c>
      <c r="C2404" s="55">
        <v>130698</v>
      </c>
      <c r="D2404" s="55" t="s">
        <v>693</v>
      </c>
      <c r="E2404" s="74">
        <v>38097</v>
      </c>
      <c r="F2404" s="55" t="s">
        <v>344</v>
      </c>
      <c r="G2404" s="55" t="s">
        <v>4482</v>
      </c>
      <c r="H2404" s="55" t="s">
        <v>4483</v>
      </c>
      <c r="I2404" s="55" t="s">
        <v>4484</v>
      </c>
      <c r="J2404" s="55" t="s">
        <v>966</v>
      </c>
      <c r="K2404" s="55" t="s">
        <v>190</v>
      </c>
      <c r="L2404" s="55" t="s">
        <v>4485</v>
      </c>
      <c r="M2404" s="55" t="s">
        <v>150</v>
      </c>
      <c r="N2404" s="55" t="s">
        <v>150</v>
      </c>
      <c r="O2404" s="55" t="s">
        <v>190</v>
      </c>
      <c r="P2404" s="55" t="s">
        <v>966</v>
      </c>
      <c r="Q2404" s="55" t="s">
        <v>362</v>
      </c>
      <c r="R2404" s="55">
        <v>192</v>
      </c>
      <c r="S2404" s="55"/>
      <c r="T2404" s="55" t="s">
        <v>4486</v>
      </c>
    </row>
    <row r="2405" spans="1:20" ht="13" x14ac:dyDescent="0.15">
      <c r="A2405" s="72" t="str">
        <f t="shared" si="37"/>
        <v>Ofsted Social Care Provider Webpage</v>
      </c>
      <c r="B2405" s="55" t="s">
        <v>4487</v>
      </c>
      <c r="C2405" s="55">
        <v>138356</v>
      </c>
      <c r="D2405" s="55" t="s">
        <v>398</v>
      </c>
      <c r="E2405" s="74">
        <v>38103</v>
      </c>
      <c r="F2405" s="55" t="s">
        <v>344</v>
      </c>
      <c r="G2405" s="55" t="s">
        <v>4488</v>
      </c>
      <c r="H2405" s="55" t="s">
        <v>4489</v>
      </c>
      <c r="I2405" s="55" t="s">
        <v>354</v>
      </c>
      <c r="J2405" s="55" t="s">
        <v>4490</v>
      </c>
      <c r="K2405" s="55" t="s">
        <v>196</v>
      </c>
      <c r="L2405" s="55" t="s">
        <v>4491</v>
      </c>
      <c r="M2405" s="55" t="s">
        <v>138</v>
      </c>
      <c r="N2405" s="55" t="s">
        <v>138</v>
      </c>
      <c r="O2405" s="55" t="s">
        <v>196</v>
      </c>
      <c r="P2405" s="55" t="s">
        <v>1360</v>
      </c>
      <c r="Q2405" s="55" t="s">
        <v>420</v>
      </c>
      <c r="R2405" s="55">
        <v>137</v>
      </c>
      <c r="S2405" s="55"/>
      <c r="T2405" s="55" t="s">
        <v>4492</v>
      </c>
    </row>
    <row r="2406" spans="1:20" ht="13" x14ac:dyDescent="0.15">
      <c r="A2406" s="72" t="str">
        <f t="shared" si="37"/>
        <v>Ofsted Social Care Provider Webpage</v>
      </c>
      <c r="B2406" s="55" t="s">
        <v>4493</v>
      </c>
      <c r="D2406" s="55" t="s">
        <v>373</v>
      </c>
      <c r="E2406" s="74">
        <v>38145</v>
      </c>
      <c r="F2406" s="55" t="s">
        <v>344</v>
      </c>
      <c r="G2406" s="55" t="s">
        <v>360</v>
      </c>
      <c r="H2406" s="55" t="s">
        <v>360</v>
      </c>
      <c r="I2406" s="55" t="s">
        <v>360</v>
      </c>
      <c r="J2406" s="55" t="s">
        <v>360</v>
      </c>
      <c r="K2406" s="55" t="s">
        <v>360</v>
      </c>
      <c r="L2406" s="55" t="s">
        <v>360</v>
      </c>
      <c r="M2406" s="55" t="s">
        <v>136</v>
      </c>
      <c r="N2406" s="55" t="s">
        <v>136</v>
      </c>
      <c r="O2406" s="55" t="s">
        <v>154</v>
      </c>
      <c r="P2406" s="55" t="s">
        <v>2290</v>
      </c>
      <c r="Q2406" s="55" t="s">
        <v>380</v>
      </c>
      <c r="R2406" s="55">
        <v>5</v>
      </c>
      <c r="S2406" s="55"/>
      <c r="T2406" s="55" t="s">
        <v>1687</v>
      </c>
    </row>
    <row r="2407" spans="1:20" ht="13" x14ac:dyDescent="0.15">
      <c r="A2407" s="72" t="str">
        <f t="shared" si="37"/>
        <v>Ofsted Social Care Provider Webpage</v>
      </c>
      <c r="B2407" s="55" t="s">
        <v>4494</v>
      </c>
      <c r="C2407" s="55">
        <v>130692</v>
      </c>
      <c r="D2407" s="55" t="s">
        <v>693</v>
      </c>
      <c r="E2407" s="74">
        <v>38105</v>
      </c>
      <c r="F2407" s="55" t="s">
        <v>344</v>
      </c>
      <c r="G2407" s="55" t="s">
        <v>4495</v>
      </c>
      <c r="H2407" s="55" t="s">
        <v>4496</v>
      </c>
      <c r="I2407" s="55" t="s">
        <v>4497</v>
      </c>
      <c r="J2407" s="55" t="s">
        <v>966</v>
      </c>
      <c r="K2407" s="55" t="s">
        <v>190</v>
      </c>
      <c r="L2407" s="55" t="s">
        <v>4498</v>
      </c>
      <c r="M2407" s="55" t="s">
        <v>150</v>
      </c>
      <c r="N2407" s="55" t="s">
        <v>150</v>
      </c>
      <c r="O2407" s="55" t="s">
        <v>190</v>
      </c>
      <c r="P2407" s="55" t="s">
        <v>966</v>
      </c>
      <c r="Q2407" s="55" t="s">
        <v>362</v>
      </c>
      <c r="R2407" s="55">
        <v>15</v>
      </c>
      <c r="S2407" s="55"/>
      <c r="T2407" s="55" t="s">
        <v>4495</v>
      </c>
    </row>
    <row r="2408" spans="1:20" ht="13" x14ac:dyDescent="0.15">
      <c r="A2408" s="72" t="str">
        <f t="shared" si="37"/>
        <v>Ofsted Social Care Provider Webpage</v>
      </c>
      <c r="B2408" s="55" t="s">
        <v>4499</v>
      </c>
      <c r="D2408" s="55" t="s">
        <v>389</v>
      </c>
      <c r="E2408" s="74">
        <v>38272</v>
      </c>
      <c r="F2408" s="55" t="s">
        <v>344</v>
      </c>
      <c r="G2408" s="55" t="s">
        <v>4500</v>
      </c>
      <c r="H2408" s="55" t="s">
        <v>4501</v>
      </c>
      <c r="I2408" s="55" t="s">
        <v>4502</v>
      </c>
      <c r="J2408" s="55" t="s">
        <v>2176</v>
      </c>
      <c r="K2408" s="55" t="s">
        <v>224</v>
      </c>
      <c r="L2408" s="55" t="s">
        <v>4503</v>
      </c>
      <c r="M2408" s="55" t="s">
        <v>138</v>
      </c>
      <c r="N2408" s="55" t="s">
        <v>138</v>
      </c>
      <c r="O2408" s="55" t="s">
        <v>224</v>
      </c>
      <c r="P2408" s="55" t="s">
        <v>2176</v>
      </c>
      <c r="Q2408" s="55" t="s">
        <v>350</v>
      </c>
      <c r="R2408" s="55"/>
      <c r="S2408" s="55"/>
      <c r="T2408" s="55" t="s">
        <v>3529</v>
      </c>
    </row>
    <row r="2409" spans="1:20" ht="13" x14ac:dyDescent="0.15">
      <c r="A2409" s="72" t="str">
        <f t="shared" si="37"/>
        <v>Ofsted Social Care Provider Webpage</v>
      </c>
      <c r="B2409" s="55" t="s">
        <v>4504</v>
      </c>
      <c r="D2409" s="55" t="s">
        <v>373</v>
      </c>
      <c r="E2409" s="74">
        <v>38232</v>
      </c>
      <c r="F2409" s="55" t="s">
        <v>344</v>
      </c>
      <c r="G2409" s="55" t="s">
        <v>360</v>
      </c>
      <c r="H2409" s="55" t="s">
        <v>360</v>
      </c>
      <c r="I2409" s="55" t="s">
        <v>360</v>
      </c>
      <c r="J2409" s="55" t="s">
        <v>360</v>
      </c>
      <c r="K2409" s="55" t="s">
        <v>360</v>
      </c>
      <c r="L2409" s="55" t="s">
        <v>360</v>
      </c>
      <c r="M2409" s="55" t="s">
        <v>144</v>
      </c>
      <c r="N2409" s="55" t="s">
        <v>144</v>
      </c>
      <c r="O2409" s="55" t="s">
        <v>261</v>
      </c>
      <c r="P2409" s="55" t="s">
        <v>792</v>
      </c>
      <c r="Q2409" s="55" t="s">
        <v>350</v>
      </c>
      <c r="R2409" s="55">
        <v>1</v>
      </c>
      <c r="S2409" s="55"/>
      <c r="T2409" s="55" t="s">
        <v>4505</v>
      </c>
    </row>
    <row r="2410" spans="1:20" ht="13" x14ac:dyDescent="0.15">
      <c r="A2410" s="72" t="str">
        <f t="shared" si="37"/>
        <v>Ofsted Social Care Provider Webpage</v>
      </c>
      <c r="B2410" s="55" t="s">
        <v>4506</v>
      </c>
      <c r="D2410" s="55" t="s">
        <v>373</v>
      </c>
      <c r="E2410" s="74">
        <v>38296</v>
      </c>
      <c r="F2410" s="55" t="s">
        <v>344</v>
      </c>
      <c r="G2410" s="55" t="s">
        <v>360</v>
      </c>
      <c r="H2410" s="55" t="s">
        <v>360</v>
      </c>
      <c r="I2410" s="55" t="s">
        <v>360</v>
      </c>
      <c r="J2410" s="55" t="s">
        <v>360</v>
      </c>
      <c r="K2410" s="55" t="s">
        <v>360</v>
      </c>
      <c r="L2410" s="55" t="s">
        <v>360</v>
      </c>
      <c r="M2410" s="55" t="s">
        <v>378</v>
      </c>
      <c r="N2410" s="55" t="s">
        <v>170</v>
      </c>
      <c r="O2410" s="55" t="s">
        <v>169</v>
      </c>
      <c r="P2410" s="55" t="s">
        <v>169</v>
      </c>
      <c r="Q2410" s="55" t="s">
        <v>350</v>
      </c>
      <c r="R2410" s="55">
        <v>5</v>
      </c>
      <c r="S2410" s="55"/>
      <c r="T2410" s="55" t="s">
        <v>481</v>
      </c>
    </row>
    <row r="2411" spans="1:20" ht="13" x14ac:dyDescent="0.15">
      <c r="A2411" s="72" t="str">
        <f t="shared" si="37"/>
        <v>Ofsted Social Care Provider Webpage</v>
      </c>
      <c r="B2411" s="55" t="s">
        <v>4507</v>
      </c>
      <c r="D2411" s="55" t="s">
        <v>373</v>
      </c>
      <c r="E2411" s="74">
        <v>38216</v>
      </c>
      <c r="F2411" s="55" t="s">
        <v>344</v>
      </c>
      <c r="G2411" s="55" t="s">
        <v>360</v>
      </c>
      <c r="H2411" s="55" t="s">
        <v>360</v>
      </c>
      <c r="I2411" s="55" t="s">
        <v>360</v>
      </c>
      <c r="J2411" s="55" t="s">
        <v>360</v>
      </c>
      <c r="K2411" s="55" t="s">
        <v>360</v>
      </c>
      <c r="L2411" s="55" t="s">
        <v>360</v>
      </c>
      <c r="M2411" s="55" t="s">
        <v>144</v>
      </c>
      <c r="N2411" s="55" t="s">
        <v>144</v>
      </c>
      <c r="O2411" s="55" t="s">
        <v>215</v>
      </c>
      <c r="P2411" s="55" t="s">
        <v>655</v>
      </c>
      <c r="Q2411" s="55" t="s">
        <v>350</v>
      </c>
      <c r="R2411" s="55">
        <v>4</v>
      </c>
      <c r="S2411" s="55"/>
      <c r="T2411" s="55" t="s">
        <v>4508</v>
      </c>
    </row>
    <row r="2412" spans="1:20" ht="13" x14ac:dyDescent="0.15">
      <c r="A2412" s="72" t="str">
        <f t="shared" si="37"/>
        <v>Ofsted Social Care Provider Webpage</v>
      </c>
      <c r="B2412" s="55" t="s">
        <v>4509</v>
      </c>
      <c r="C2412" s="55">
        <v>133540</v>
      </c>
      <c r="D2412" s="55" t="s">
        <v>413</v>
      </c>
      <c r="E2412" s="74">
        <v>38152</v>
      </c>
      <c r="F2412" s="55" t="s">
        <v>344</v>
      </c>
      <c r="G2412" s="55" t="s">
        <v>4510</v>
      </c>
      <c r="H2412" s="55" t="s">
        <v>4511</v>
      </c>
      <c r="I2412" s="55" t="s">
        <v>4512</v>
      </c>
      <c r="J2412" s="55" t="s">
        <v>4513</v>
      </c>
      <c r="K2412" s="55" t="s">
        <v>209</v>
      </c>
      <c r="L2412" s="55" t="s">
        <v>4514</v>
      </c>
      <c r="M2412" s="55" t="s">
        <v>144</v>
      </c>
      <c r="N2412" s="55" t="s">
        <v>144</v>
      </c>
      <c r="O2412" s="55" t="s">
        <v>209</v>
      </c>
      <c r="P2412" s="55" t="s">
        <v>597</v>
      </c>
      <c r="Q2412" s="55" t="s">
        <v>350</v>
      </c>
      <c r="R2412" s="55">
        <v>140</v>
      </c>
      <c r="S2412" s="55"/>
      <c r="T2412" s="55" t="s">
        <v>3717</v>
      </c>
    </row>
    <row r="2413" spans="1:20" ht="13" x14ac:dyDescent="0.15">
      <c r="A2413" s="72" t="str">
        <f t="shared" si="37"/>
        <v>Ofsted Social Care Provider Webpage</v>
      </c>
      <c r="B2413" s="55" t="s">
        <v>4515</v>
      </c>
      <c r="C2413" s="55">
        <v>136482</v>
      </c>
      <c r="D2413" s="55" t="s">
        <v>398</v>
      </c>
      <c r="E2413" s="74">
        <v>38152</v>
      </c>
      <c r="F2413" s="55" t="s">
        <v>344</v>
      </c>
      <c r="G2413" s="55" t="s">
        <v>4516</v>
      </c>
      <c r="H2413" s="55" t="s">
        <v>4517</v>
      </c>
      <c r="I2413" s="55" t="s">
        <v>1929</v>
      </c>
      <c r="J2413" s="55" t="s">
        <v>4518</v>
      </c>
      <c r="K2413" s="55" t="s">
        <v>196</v>
      </c>
      <c r="L2413" s="55" t="s">
        <v>4519</v>
      </c>
      <c r="M2413" s="55" t="s">
        <v>138</v>
      </c>
      <c r="N2413" s="55" t="s">
        <v>138</v>
      </c>
      <c r="O2413" s="55" t="s">
        <v>196</v>
      </c>
      <c r="P2413" s="55" t="s">
        <v>1368</v>
      </c>
      <c r="Q2413" s="55" t="s">
        <v>420</v>
      </c>
      <c r="R2413" s="55">
        <v>280</v>
      </c>
      <c r="S2413" s="55"/>
      <c r="T2413" s="55" t="s">
        <v>4520</v>
      </c>
    </row>
    <row r="2414" spans="1:20" ht="13" x14ac:dyDescent="0.15">
      <c r="A2414" s="72" t="str">
        <f t="shared" si="37"/>
        <v>Ofsted Social Care Provider Webpage</v>
      </c>
      <c r="B2414" s="55" t="s">
        <v>4521</v>
      </c>
      <c r="D2414" s="55" t="s">
        <v>389</v>
      </c>
      <c r="E2414" s="74">
        <v>38219</v>
      </c>
      <c r="F2414" s="55" t="s">
        <v>344</v>
      </c>
      <c r="G2414" s="55" t="s">
        <v>4522</v>
      </c>
      <c r="H2414" s="55" t="s">
        <v>4523</v>
      </c>
      <c r="I2414" s="55" t="s">
        <v>4524</v>
      </c>
      <c r="J2414" s="55" t="s">
        <v>382</v>
      </c>
      <c r="K2414" s="55" t="s">
        <v>382</v>
      </c>
      <c r="L2414" s="55" t="s">
        <v>4525</v>
      </c>
      <c r="M2414" s="55" t="s">
        <v>136</v>
      </c>
      <c r="N2414" s="55" t="s">
        <v>136</v>
      </c>
      <c r="O2414" s="55" t="s">
        <v>185</v>
      </c>
      <c r="P2414" s="55" t="s">
        <v>382</v>
      </c>
      <c r="Q2414" s="55" t="s">
        <v>350</v>
      </c>
      <c r="R2414" s="55"/>
      <c r="S2414" s="55"/>
      <c r="T2414" s="55" t="s">
        <v>4526</v>
      </c>
    </row>
    <row r="2415" spans="1:20" ht="13" x14ac:dyDescent="0.15">
      <c r="A2415" s="72" t="str">
        <f t="shared" si="37"/>
        <v>Ofsted Social Care Provider Webpage</v>
      </c>
      <c r="B2415" s="55" t="s">
        <v>4527</v>
      </c>
      <c r="D2415" s="55" t="s">
        <v>373</v>
      </c>
      <c r="E2415" s="74">
        <v>38238</v>
      </c>
      <c r="F2415" s="55" t="s">
        <v>344</v>
      </c>
      <c r="G2415" s="55" t="s">
        <v>360</v>
      </c>
      <c r="H2415" s="55" t="s">
        <v>360</v>
      </c>
      <c r="I2415" s="55" t="s">
        <v>360</v>
      </c>
      <c r="J2415" s="55" t="s">
        <v>360</v>
      </c>
      <c r="K2415" s="55" t="s">
        <v>360</v>
      </c>
      <c r="L2415" s="55" t="s">
        <v>360</v>
      </c>
      <c r="M2415" s="55" t="s">
        <v>150</v>
      </c>
      <c r="N2415" s="55" t="s">
        <v>150</v>
      </c>
      <c r="O2415" s="55" t="s">
        <v>285</v>
      </c>
      <c r="P2415" s="55" t="s">
        <v>2738</v>
      </c>
      <c r="Q2415" s="55" t="s">
        <v>350</v>
      </c>
      <c r="R2415" s="55">
        <v>6</v>
      </c>
      <c r="S2415" s="55"/>
      <c r="T2415" s="55" t="s">
        <v>3586</v>
      </c>
    </row>
    <row r="2416" spans="1:20" ht="13" x14ac:dyDescent="0.15">
      <c r="A2416" s="72" t="str">
        <f t="shared" si="37"/>
        <v>Ofsted Social Care Provider Webpage</v>
      </c>
      <c r="B2416" s="55" t="s">
        <v>4528</v>
      </c>
      <c r="D2416" s="55" t="s">
        <v>373</v>
      </c>
      <c r="E2416" s="74">
        <v>38244</v>
      </c>
      <c r="F2416" s="55" t="s">
        <v>344</v>
      </c>
      <c r="G2416" s="55" t="s">
        <v>360</v>
      </c>
      <c r="H2416" s="55" t="s">
        <v>360</v>
      </c>
      <c r="I2416" s="55" t="s">
        <v>360</v>
      </c>
      <c r="J2416" s="55" t="s">
        <v>360</v>
      </c>
      <c r="K2416" s="55" t="s">
        <v>360</v>
      </c>
      <c r="L2416" s="55" t="s">
        <v>360</v>
      </c>
      <c r="M2416" s="55" t="s">
        <v>144</v>
      </c>
      <c r="N2416" s="55" t="s">
        <v>144</v>
      </c>
      <c r="O2416" s="55" t="s">
        <v>209</v>
      </c>
      <c r="P2416" s="55" t="s">
        <v>484</v>
      </c>
      <c r="Q2416" s="55" t="s">
        <v>350</v>
      </c>
      <c r="R2416" s="55">
        <v>4</v>
      </c>
      <c r="S2416" s="55"/>
      <c r="T2416" s="55" t="s">
        <v>485</v>
      </c>
    </row>
    <row r="2417" spans="1:20" ht="13" x14ac:dyDescent="0.15">
      <c r="A2417" s="72" t="str">
        <f t="shared" si="37"/>
        <v>Ofsted Social Care Provider Webpage</v>
      </c>
      <c r="B2417" s="55" t="s">
        <v>4529</v>
      </c>
      <c r="D2417" s="55" t="s">
        <v>373</v>
      </c>
      <c r="E2417" s="74">
        <v>38337</v>
      </c>
      <c r="F2417" s="55" t="s">
        <v>344</v>
      </c>
      <c r="G2417" s="55" t="s">
        <v>360</v>
      </c>
      <c r="H2417" s="55" t="s">
        <v>360</v>
      </c>
      <c r="I2417" s="55" t="s">
        <v>360</v>
      </c>
      <c r="J2417" s="55" t="s">
        <v>360</v>
      </c>
      <c r="K2417" s="55" t="s">
        <v>360</v>
      </c>
      <c r="L2417" s="55" t="s">
        <v>360</v>
      </c>
      <c r="M2417" s="55" t="s">
        <v>144</v>
      </c>
      <c r="N2417" s="55" t="s">
        <v>144</v>
      </c>
      <c r="O2417" s="55" t="s">
        <v>168</v>
      </c>
      <c r="P2417" s="55" t="s">
        <v>2110</v>
      </c>
      <c r="Q2417" s="55" t="s">
        <v>380</v>
      </c>
      <c r="R2417" s="55">
        <v>6</v>
      </c>
      <c r="S2417" s="55"/>
      <c r="T2417" s="55" t="s">
        <v>1432</v>
      </c>
    </row>
    <row r="2418" spans="1:20" ht="13" x14ac:dyDescent="0.15">
      <c r="A2418" s="72" t="str">
        <f t="shared" si="37"/>
        <v>Ofsted Social Care Provider Webpage</v>
      </c>
      <c r="B2418" s="55" t="s">
        <v>4530</v>
      </c>
      <c r="D2418" s="55" t="s">
        <v>373</v>
      </c>
      <c r="E2418" s="74">
        <v>38511</v>
      </c>
      <c r="F2418" s="55" t="s">
        <v>344</v>
      </c>
      <c r="G2418" s="55" t="s">
        <v>360</v>
      </c>
      <c r="H2418" s="55" t="s">
        <v>360</v>
      </c>
      <c r="I2418" s="55" t="s">
        <v>360</v>
      </c>
      <c r="J2418" s="55" t="s">
        <v>360</v>
      </c>
      <c r="K2418" s="55" t="s">
        <v>360</v>
      </c>
      <c r="L2418" s="55" t="s">
        <v>360</v>
      </c>
      <c r="M2418" s="55" t="s">
        <v>142</v>
      </c>
      <c r="N2418" s="55" t="s">
        <v>142</v>
      </c>
      <c r="O2418" s="55" t="s">
        <v>282</v>
      </c>
      <c r="P2418" s="55" t="s">
        <v>3266</v>
      </c>
      <c r="Q2418" s="55" t="s">
        <v>350</v>
      </c>
      <c r="R2418" s="55">
        <v>4</v>
      </c>
      <c r="S2418" s="55"/>
      <c r="T2418" s="55" t="s">
        <v>4531</v>
      </c>
    </row>
    <row r="2419" spans="1:20" ht="13" x14ac:dyDescent="0.15">
      <c r="A2419" s="72" t="str">
        <f t="shared" si="37"/>
        <v>Ofsted Social Care Provider Webpage</v>
      </c>
      <c r="B2419" s="55" t="s">
        <v>4532</v>
      </c>
      <c r="D2419" s="55" t="s">
        <v>373</v>
      </c>
      <c r="E2419" s="74">
        <v>38275</v>
      </c>
      <c r="F2419" s="55" t="s">
        <v>344</v>
      </c>
      <c r="G2419" s="55" t="s">
        <v>360</v>
      </c>
      <c r="H2419" s="55" t="s">
        <v>360</v>
      </c>
      <c r="I2419" s="55" t="s">
        <v>360</v>
      </c>
      <c r="J2419" s="55" t="s">
        <v>360</v>
      </c>
      <c r="K2419" s="55" t="s">
        <v>360</v>
      </c>
      <c r="L2419" s="55" t="s">
        <v>360</v>
      </c>
      <c r="M2419" s="55" t="s">
        <v>136</v>
      </c>
      <c r="N2419" s="55" t="s">
        <v>136</v>
      </c>
      <c r="O2419" s="55" t="s">
        <v>185</v>
      </c>
      <c r="P2419" s="55" t="s">
        <v>1292</v>
      </c>
      <c r="Q2419" s="55" t="s">
        <v>350</v>
      </c>
      <c r="R2419" s="55">
        <v>4</v>
      </c>
      <c r="S2419" s="55"/>
      <c r="T2419" s="55" t="s">
        <v>914</v>
      </c>
    </row>
    <row r="2420" spans="1:20" ht="13" x14ac:dyDescent="0.15">
      <c r="A2420" s="72" t="str">
        <f t="shared" si="37"/>
        <v>Ofsted Social Care Provider Webpage</v>
      </c>
      <c r="B2420" s="55" t="s">
        <v>4533</v>
      </c>
      <c r="D2420" s="55" t="s">
        <v>373</v>
      </c>
      <c r="E2420" s="74">
        <v>38265</v>
      </c>
      <c r="F2420" s="55" t="s">
        <v>344</v>
      </c>
      <c r="G2420" s="55" t="s">
        <v>360</v>
      </c>
      <c r="H2420" s="55" t="s">
        <v>360</v>
      </c>
      <c r="I2420" s="55" t="s">
        <v>360</v>
      </c>
      <c r="J2420" s="55" t="s">
        <v>360</v>
      </c>
      <c r="K2420" s="55" t="s">
        <v>360</v>
      </c>
      <c r="L2420" s="55" t="s">
        <v>360</v>
      </c>
      <c r="M2420" s="55" t="s">
        <v>144</v>
      </c>
      <c r="N2420" s="55" t="s">
        <v>144</v>
      </c>
      <c r="O2420" s="55" t="s">
        <v>250</v>
      </c>
      <c r="P2420" s="55" t="s">
        <v>1372</v>
      </c>
      <c r="Q2420" s="55" t="s">
        <v>350</v>
      </c>
      <c r="R2420" s="55">
        <v>3</v>
      </c>
      <c r="S2420" s="55"/>
      <c r="T2420" s="55" t="s">
        <v>4534</v>
      </c>
    </row>
    <row r="2421" spans="1:20" ht="13" x14ac:dyDescent="0.15">
      <c r="A2421" s="72" t="str">
        <f t="shared" si="37"/>
        <v>Ofsted Social Care Provider Webpage</v>
      </c>
      <c r="B2421" s="55" t="s">
        <v>4535</v>
      </c>
      <c r="D2421" s="55" t="s">
        <v>389</v>
      </c>
      <c r="E2421" s="74">
        <v>38273</v>
      </c>
      <c r="F2421" s="55" t="s">
        <v>344</v>
      </c>
      <c r="G2421" s="55" t="s">
        <v>4536</v>
      </c>
      <c r="H2421" s="55" t="s">
        <v>4537</v>
      </c>
      <c r="I2421" s="55" t="s">
        <v>1649</v>
      </c>
      <c r="J2421" s="55" t="s">
        <v>1650</v>
      </c>
      <c r="L2421" s="55" t="s">
        <v>1651</v>
      </c>
      <c r="M2421" s="55" t="s">
        <v>129</v>
      </c>
      <c r="N2421" s="55" t="s">
        <v>129</v>
      </c>
      <c r="O2421" s="55" t="s">
        <v>242</v>
      </c>
      <c r="P2421" s="55" t="s">
        <v>1519</v>
      </c>
      <c r="Q2421" s="55" t="s">
        <v>350</v>
      </c>
      <c r="R2421" s="55"/>
      <c r="S2421" s="55"/>
      <c r="T2421" s="55" t="s">
        <v>4538</v>
      </c>
    </row>
    <row r="2422" spans="1:20" ht="13" x14ac:dyDescent="0.15">
      <c r="A2422" s="72" t="str">
        <f t="shared" si="37"/>
        <v>Ofsted Social Care Provider Webpage</v>
      </c>
      <c r="B2422" s="55" t="s">
        <v>4539</v>
      </c>
      <c r="D2422" s="55" t="s">
        <v>373</v>
      </c>
      <c r="E2422" s="74">
        <v>38238</v>
      </c>
      <c r="F2422" s="55" t="s">
        <v>344</v>
      </c>
      <c r="G2422" s="55" t="s">
        <v>360</v>
      </c>
      <c r="H2422" s="55" t="s">
        <v>360</v>
      </c>
      <c r="I2422" s="55" t="s">
        <v>360</v>
      </c>
      <c r="J2422" s="55" t="s">
        <v>360</v>
      </c>
      <c r="K2422" s="55" t="s">
        <v>360</v>
      </c>
      <c r="L2422" s="55" t="s">
        <v>360</v>
      </c>
      <c r="M2422" s="55" t="s">
        <v>144</v>
      </c>
      <c r="N2422" s="55" t="s">
        <v>144</v>
      </c>
      <c r="O2422" s="55" t="s">
        <v>250</v>
      </c>
      <c r="P2422" s="55" t="s">
        <v>759</v>
      </c>
      <c r="Q2422" s="55" t="s">
        <v>350</v>
      </c>
      <c r="R2422" s="55">
        <v>3</v>
      </c>
      <c r="S2422" s="55"/>
      <c r="T2422" s="55" t="s">
        <v>1600</v>
      </c>
    </row>
    <row r="2423" spans="1:20" ht="13" x14ac:dyDescent="0.15">
      <c r="A2423" s="72" t="str">
        <f t="shared" si="37"/>
        <v>Ofsted Social Care Provider Webpage</v>
      </c>
      <c r="B2423" s="55" t="s">
        <v>4540</v>
      </c>
      <c r="D2423" s="55" t="s">
        <v>373</v>
      </c>
      <c r="E2423" s="74">
        <v>38344</v>
      </c>
      <c r="F2423" s="55" t="s">
        <v>344</v>
      </c>
      <c r="G2423" s="55" t="s">
        <v>360</v>
      </c>
      <c r="H2423" s="55" t="s">
        <v>360</v>
      </c>
      <c r="I2423" s="55" t="s">
        <v>360</v>
      </c>
      <c r="J2423" s="55" t="s">
        <v>360</v>
      </c>
      <c r="K2423" s="55" t="s">
        <v>360</v>
      </c>
      <c r="L2423" s="55" t="s">
        <v>360</v>
      </c>
      <c r="M2423" s="55" t="s">
        <v>142</v>
      </c>
      <c r="N2423" s="55" t="s">
        <v>142</v>
      </c>
      <c r="O2423" s="55" t="s">
        <v>195</v>
      </c>
      <c r="P2423" s="55" t="s">
        <v>518</v>
      </c>
      <c r="Q2423" s="55" t="s">
        <v>350</v>
      </c>
      <c r="R2423" s="55">
        <v>4</v>
      </c>
      <c r="S2423" s="55"/>
      <c r="T2423" s="55" t="s">
        <v>1365</v>
      </c>
    </row>
    <row r="2424" spans="1:20" ht="13" x14ac:dyDescent="0.15">
      <c r="A2424" s="72" t="str">
        <f t="shared" si="37"/>
        <v>Ofsted Social Care Provider Webpage</v>
      </c>
      <c r="B2424" s="55" t="s">
        <v>4541</v>
      </c>
      <c r="D2424" s="55" t="s">
        <v>479</v>
      </c>
      <c r="E2424" s="74">
        <v>38715</v>
      </c>
      <c r="F2424" s="55" t="s">
        <v>344</v>
      </c>
      <c r="G2424" s="55" t="s">
        <v>360</v>
      </c>
      <c r="H2424" s="55" t="s">
        <v>360</v>
      </c>
      <c r="I2424" s="55" t="s">
        <v>360</v>
      </c>
      <c r="J2424" s="55" t="s">
        <v>360</v>
      </c>
      <c r="K2424" s="55" t="s">
        <v>360</v>
      </c>
      <c r="L2424" s="55" t="s">
        <v>360</v>
      </c>
      <c r="M2424" s="55" t="s">
        <v>150</v>
      </c>
      <c r="N2424" s="55" t="s">
        <v>150</v>
      </c>
      <c r="O2424" s="55" t="s">
        <v>268</v>
      </c>
      <c r="P2424" s="55" t="s">
        <v>1771</v>
      </c>
      <c r="Q2424" s="55" t="s">
        <v>362</v>
      </c>
      <c r="R2424" s="55">
        <v>66</v>
      </c>
      <c r="S2424" s="55"/>
      <c r="T2424" s="55" t="s">
        <v>4542</v>
      </c>
    </row>
    <row r="2425" spans="1:20" ht="13" x14ac:dyDescent="0.15">
      <c r="A2425" s="72" t="str">
        <f t="shared" si="37"/>
        <v>Ofsted Social Care Provider Webpage</v>
      </c>
      <c r="B2425" s="55" t="s">
        <v>4543</v>
      </c>
      <c r="D2425" s="55" t="s">
        <v>389</v>
      </c>
      <c r="E2425" s="74">
        <v>38594</v>
      </c>
      <c r="F2425" s="55" t="s">
        <v>344</v>
      </c>
      <c r="G2425" s="55" t="s">
        <v>4544</v>
      </c>
      <c r="H2425" s="55" t="s">
        <v>4545</v>
      </c>
      <c r="I2425" s="55" t="s">
        <v>4546</v>
      </c>
      <c r="J2425" s="55" t="s">
        <v>3430</v>
      </c>
      <c r="L2425" s="55" t="s">
        <v>4547</v>
      </c>
      <c r="M2425" s="55" t="s">
        <v>150</v>
      </c>
      <c r="N2425" s="55" t="s">
        <v>150</v>
      </c>
      <c r="O2425" s="55" t="s">
        <v>203</v>
      </c>
      <c r="P2425" s="55" t="s">
        <v>800</v>
      </c>
      <c r="Q2425" s="55" t="s">
        <v>362</v>
      </c>
      <c r="R2425" s="55"/>
      <c r="S2425" s="55"/>
      <c r="T2425" s="55" t="s">
        <v>4548</v>
      </c>
    </row>
    <row r="2426" spans="1:20" ht="13" x14ac:dyDescent="0.15">
      <c r="A2426" s="72" t="str">
        <f t="shared" si="37"/>
        <v>Ofsted Social Care Provider Webpage</v>
      </c>
      <c r="B2426" s="55" t="s">
        <v>4549</v>
      </c>
      <c r="D2426" s="55" t="s">
        <v>373</v>
      </c>
      <c r="E2426" s="74">
        <v>38303</v>
      </c>
      <c r="F2426" s="55" t="s">
        <v>344</v>
      </c>
      <c r="G2426" s="55" t="s">
        <v>360</v>
      </c>
      <c r="H2426" s="55" t="s">
        <v>360</v>
      </c>
      <c r="I2426" s="55" t="s">
        <v>360</v>
      </c>
      <c r="J2426" s="55" t="s">
        <v>360</v>
      </c>
      <c r="K2426" s="55" t="s">
        <v>360</v>
      </c>
      <c r="L2426" s="55" t="s">
        <v>360</v>
      </c>
      <c r="M2426" s="55" t="s">
        <v>129</v>
      </c>
      <c r="N2426" s="55" t="s">
        <v>129</v>
      </c>
      <c r="O2426" s="55" t="s">
        <v>198</v>
      </c>
      <c r="P2426" s="55" t="s">
        <v>4550</v>
      </c>
      <c r="Q2426" s="55" t="s">
        <v>380</v>
      </c>
      <c r="R2426" s="55">
        <v>6</v>
      </c>
      <c r="S2426" s="55"/>
      <c r="T2426" s="55" t="s">
        <v>3060</v>
      </c>
    </row>
    <row r="2427" spans="1:20" ht="13" x14ac:dyDescent="0.15">
      <c r="A2427" s="72" t="str">
        <f t="shared" si="37"/>
        <v>Ofsted Social Care Provider Webpage</v>
      </c>
      <c r="B2427" s="55" t="s">
        <v>4551</v>
      </c>
      <c r="D2427" s="55" t="s">
        <v>373</v>
      </c>
      <c r="E2427" s="74">
        <v>38205</v>
      </c>
      <c r="F2427" s="55" t="s">
        <v>344</v>
      </c>
      <c r="G2427" s="55" t="s">
        <v>360</v>
      </c>
      <c r="H2427" s="55" t="s">
        <v>360</v>
      </c>
      <c r="I2427" s="55" t="s">
        <v>360</v>
      </c>
      <c r="J2427" s="55" t="s">
        <v>360</v>
      </c>
      <c r="K2427" s="55" t="s">
        <v>360</v>
      </c>
      <c r="L2427" s="55" t="s">
        <v>360</v>
      </c>
      <c r="M2427" s="55" t="s">
        <v>142</v>
      </c>
      <c r="N2427" s="55" t="s">
        <v>142</v>
      </c>
      <c r="O2427" s="55" t="s">
        <v>195</v>
      </c>
      <c r="P2427" s="55" t="s">
        <v>518</v>
      </c>
      <c r="Q2427" s="55" t="s">
        <v>350</v>
      </c>
      <c r="R2427" s="55">
        <v>5</v>
      </c>
      <c r="S2427" s="55"/>
      <c r="T2427" s="55" t="s">
        <v>450</v>
      </c>
    </row>
    <row r="2428" spans="1:20" ht="13" x14ac:dyDescent="0.15">
      <c r="A2428" s="72" t="str">
        <f t="shared" si="37"/>
        <v>Ofsted Social Care Provider Webpage</v>
      </c>
      <c r="B2428" s="55" t="s">
        <v>4552</v>
      </c>
      <c r="D2428" s="55" t="s">
        <v>373</v>
      </c>
      <c r="E2428" s="74">
        <v>38369</v>
      </c>
      <c r="F2428" s="55" t="s">
        <v>344</v>
      </c>
      <c r="G2428" s="55" t="s">
        <v>360</v>
      </c>
      <c r="H2428" s="55" t="s">
        <v>360</v>
      </c>
      <c r="I2428" s="55" t="s">
        <v>360</v>
      </c>
      <c r="J2428" s="55" t="s">
        <v>360</v>
      </c>
      <c r="K2428" s="55" t="s">
        <v>360</v>
      </c>
      <c r="L2428" s="55" t="s">
        <v>360</v>
      </c>
      <c r="M2428" s="55" t="s">
        <v>144</v>
      </c>
      <c r="N2428" s="55" t="s">
        <v>144</v>
      </c>
      <c r="O2428" s="55" t="s">
        <v>207</v>
      </c>
      <c r="P2428" s="55" t="s">
        <v>207</v>
      </c>
      <c r="Q2428" s="55" t="s">
        <v>350</v>
      </c>
      <c r="R2428" s="55">
        <v>4</v>
      </c>
      <c r="S2428" s="55"/>
      <c r="T2428" s="55" t="s">
        <v>2947</v>
      </c>
    </row>
    <row r="2429" spans="1:20" ht="13" x14ac:dyDescent="0.15">
      <c r="A2429" s="72" t="str">
        <f t="shared" si="37"/>
        <v>Ofsted Social Care Provider Webpage</v>
      </c>
      <c r="B2429" s="55" t="s">
        <v>4553</v>
      </c>
      <c r="D2429" s="55" t="s">
        <v>373</v>
      </c>
      <c r="E2429" s="74">
        <v>38239</v>
      </c>
      <c r="F2429" s="55" t="s">
        <v>344</v>
      </c>
      <c r="G2429" s="55" t="s">
        <v>360</v>
      </c>
      <c r="H2429" s="55" t="s">
        <v>360</v>
      </c>
      <c r="I2429" s="55" t="s">
        <v>360</v>
      </c>
      <c r="J2429" s="55" t="s">
        <v>360</v>
      </c>
      <c r="K2429" s="55" t="s">
        <v>360</v>
      </c>
      <c r="L2429" s="55" t="s">
        <v>360</v>
      </c>
      <c r="M2429" s="55" t="s">
        <v>144</v>
      </c>
      <c r="N2429" s="55" t="s">
        <v>144</v>
      </c>
      <c r="O2429" s="55" t="s">
        <v>245</v>
      </c>
      <c r="P2429" s="55" t="s">
        <v>245</v>
      </c>
      <c r="Q2429" s="55" t="s">
        <v>350</v>
      </c>
      <c r="R2429" s="55">
        <v>1</v>
      </c>
      <c r="S2429" s="55"/>
      <c r="T2429" s="55" t="s">
        <v>711</v>
      </c>
    </row>
    <row r="2430" spans="1:20" ht="13" x14ac:dyDescent="0.15">
      <c r="A2430" s="72" t="str">
        <f t="shared" si="37"/>
        <v>Ofsted Social Care Provider Webpage</v>
      </c>
      <c r="B2430" s="55" t="s">
        <v>4554</v>
      </c>
      <c r="D2430" s="55" t="s">
        <v>373</v>
      </c>
      <c r="E2430" s="74">
        <v>38793</v>
      </c>
      <c r="F2430" s="55" t="s">
        <v>344</v>
      </c>
      <c r="G2430" s="55" t="s">
        <v>360</v>
      </c>
      <c r="H2430" s="55" t="s">
        <v>360</v>
      </c>
      <c r="I2430" s="55" t="s">
        <v>360</v>
      </c>
      <c r="J2430" s="55" t="s">
        <v>360</v>
      </c>
      <c r="K2430" s="55" t="s">
        <v>360</v>
      </c>
      <c r="L2430" s="55" t="s">
        <v>360</v>
      </c>
      <c r="M2430" s="55" t="s">
        <v>144</v>
      </c>
      <c r="N2430" s="55" t="s">
        <v>144</v>
      </c>
      <c r="O2430" s="55" t="s">
        <v>209</v>
      </c>
      <c r="P2430" s="55" t="s">
        <v>597</v>
      </c>
      <c r="Q2430" s="55" t="s">
        <v>350</v>
      </c>
      <c r="R2430" s="55">
        <v>3</v>
      </c>
      <c r="S2430" s="55"/>
      <c r="T2430" s="55" t="s">
        <v>2435</v>
      </c>
    </row>
    <row r="2431" spans="1:20" ht="13" x14ac:dyDescent="0.15">
      <c r="A2431" s="72" t="str">
        <f t="shared" si="37"/>
        <v>Ofsted Social Care Provider Webpage</v>
      </c>
      <c r="B2431" s="55" t="s">
        <v>4555</v>
      </c>
      <c r="D2431" s="55" t="s">
        <v>373</v>
      </c>
      <c r="E2431" s="74">
        <v>38427</v>
      </c>
      <c r="F2431" s="55" t="s">
        <v>344</v>
      </c>
      <c r="G2431" s="55" t="s">
        <v>360</v>
      </c>
      <c r="H2431" s="55" t="s">
        <v>360</v>
      </c>
      <c r="I2431" s="55" t="s">
        <v>360</v>
      </c>
      <c r="J2431" s="55" t="s">
        <v>360</v>
      </c>
      <c r="K2431" s="55" t="s">
        <v>360</v>
      </c>
      <c r="L2431" s="55" t="s">
        <v>360</v>
      </c>
      <c r="M2431" s="55" t="s">
        <v>144</v>
      </c>
      <c r="N2431" s="55" t="s">
        <v>144</v>
      </c>
      <c r="O2431" s="55" t="s">
        <v>271</v>
      </c>
      <c r="P2431" s="55" t="s">
        <v>1122</v>
      </c>
      <c r="Q2431" s="55" t="s">
        <v>350</v>
      </c>
      <c r="R2431" s="55">
        <v>6</v>
      </c>
      <c r="S2431" s="55"/>
      <c r="T2431" s="55" t="s">
        <v>656</v>
      </c>
    </row>
    <row r="2432" spans="1:20" ht="13" x14ac:dyDescent="0.15">
      <c r="A2432" s="72" t="str">
        <f t="shared" si="37"/>
        <v>Ofsted Social Care Provider Webpage</v>
      </c>
      <c r="B2432" s="55" t="s">
        <v>4556</v>
      </c>
      <c r="D2432" s="55" t="s">
        <v>373</v>
      </c>
      <c r="E2432" s="74">
        <v>38467</v>
      </c>
      <c r="F2432" s="55" t="s">
        <v>344</v>
      </c>
      <c r="G2432" s="55" t="s">
        <v>360</v>
      </c>
      <c r="H2432" s="55" t="s">
        <v>360</v>
      </c>
      <c r="I2432" s="55" t="s">
        <v>360</v>
      </c>
      <c r="J2432" s="55" t="s">
        <v>360</v>
      </c>
      <c r="K2432" s="55" t="s">
        <v>360</v>
      </c>
      <c r="L2432" s="55" t="s">
        <v>360</v>
      </c>
      <c r="M2432" s="55" t="s">
        <v>150</v>
      </c>
      <c r="N2432" s="55" t="s">
        <v>150</v>
      </c>
      <c r="O2432" s="55" t="s">
        <v>156</v>
      </c>
      <c r="P2432" s="55" t="s">
        <v>1277</v>
      </c>
      <c r="Q2432" s="55" t="s">
        <v>350</v>
      </c>
      <c r="R2432" s="55">
        <v>4</v>
      </c>
      <c r="S2432" s="55"/>
      <c r="T2432" s="55" t="s">
        <v>762</v>
      </c>
    </row>
    <row r="2433" spans="1:20" ht="13" x14ac:dyDescent="0.15">
      <c r="A2433" s="72" t="str">
        <f t="shared" si="37"/>
        <v>Ofsted Social Care Provider Webpage</v>
      </c>
      <c r="B2433" s="55" t="s">
        <v>4557</v>
      </c>
      <c r="C2433" s="55">
        <v>130588</v>
      </c>
      <c r="D2433" s="55" t="s">
        <v>693</v>
      </c>
      <c r="E2433" s="74">
        <v>38231</v>
      </c>
      <c r="F2433" s="55" t="s">
        <v>344</v>
      </c>
      <c r="G2433" s="55" t="s">
        <v>4558</v>
      </c>
      <c r="H2433" s="55" t="s">
        <v>4558</v>
      </c>
      <c r="I2433" s="55" t="s">
        <v>4559</v>
      </c>
      <c r="J2433" s="55" t="s">
        <v>3094</v>
      </c>
      <c r="K2433" s="55" t="s">
        <v>214</v>
      </c>
      <c r="L2433" s="55" t="s">
        <v>4560</v>
      </c>
      <c r="M2433" s="55" t="s">
        <v>378</v>
      </c>
      <c r="N2433" s="55" t="s">
        <v>134</v>
      </c>
      <c r="O2433" s="55" t="s">
        <v>226</v>
      </c>
      <c r="P2433" s="55" t="s">
        <v>3094</v>
      </c>
      <c r="Q2433" s="55" t="s">
        <v>362</v>
      </c>
      <c r="R2433" s="55">
        <v>48</v>
      </c>
      <c r="S2433" s="55"/>
      <c r="T2433" s="55" t="s">
        <v>4558</v>
      </c>
    </row>
    <row r="2434" spans="1:20" ht="13" x14ac:dyDescent="0.15">
      <c r="A2434" s="72" t="str">
        <f t="shared" si="37"/>
        <v>Ofsted Social Care Provider Webpage</v>
      </c>
      <c r="B2434" s="55" t="s">
        <v>4561</v>
      </c>
      <c r="D2434" s="55" t="s">
        <v>389</v>
      </c>
      <c r="E2434" s="74">
        <v>38447</v>
      </c>
      <c r="F2434" s="55" t="s">
        <v>344</v>
      </c>
      <c r="G2434" s="55" t="s">
        <v>4562</v>
      </c>
      <c r="H2434" s="55" t="s">
        <v>2150</v>
      </c>
      <c r="I2434" s="55" t="s">
        <v>4563</v>
      </c>
      <c r="J2434" s="55" t="s">
        <v>3798</v>
      </c>
      <c r="K2434" s="55" t="s">
        <v>165</v>
      </c>
      <c r="L2434" s="55" t="s">
        <v>4564</v>
      </c>
      <c r="M2434" s="55" t="s">
        <v>136</v>
      </c>
      <c r="N2434" s="55" t="s">
        <v>136</v>
      </c>
      <c r="O2434" s="55" t="s">
        <v>165</v>
      </c>
      <c r="P2434" s="55" t="s">
        <v>2318</v>
      </c>
      <c r="Q2434" s="55" t="s">
        <v>350</v>
      </c>
      <c r="R2434" s="55"/>
      <c r="S2434" s="55"/>
      <c r="T2434" s="55" t="s">
        <v>2197</v>
      </c>
    </row>
    <row r="2435" spans="1:20" ht="13" x14ac:dyDescent="0.15">
      <c r="A2435" s="72" t="str">
        <f t="shared" si="37"/>
        <v>Ofsted Social Care Provider Webpage</v>
      </c>
      <c r="B2435" s="55" t="s">
        <v>4565</v>
      </c>
      <c r="D2435" s="55" t="s">
        <v>373</v>
      </c>
      <c r="E2435" s="74">
        <v>38372</v>
      </c>
      <c r="F2435" s="55" t="s">
        <v>344</v>
      </c>
      <c r="G2435" s="55" t="s">
        <v>360</v>
      </c>
      <c r="H2435" s="55" t="s">
        <v>360</v>
      </c>
      <c r="I2435" s="55" t="s">
        <v>360</v>
      </c>
      <c r="J2435" s="55" t="s">
        <v>360</v>
      </c>
      <c r="K2435" s="55" t="s">
        <v>360</v>
      </c>
      <c r="L2435" s="55" t="s">
        <v>360</v>
      </c>
      <c r="M2435" s="55" t="s">
        <v>172</v>
      </c>
      <c r="N2435" s="55" t="s">
        <v>172</v>
      </c>
      <c r="O2435" s="55" t="s">
        <v>173</v>
      </c>
      <c r="P2435" s="55" t="s">
        <v>1540</v>
      </c>
      <c r="Q2435" s="55" t="s">
        <v>380</v>
      </c>
      <c r="R2435" s="55">
        <v>6</v>
      </c>
      <c r="S2435" s="55"/>
      <c r="T2435" s="55" t="s">
        <v>1431</v>
      </c>
    </row>
    <row r="2436" spans="1:20" ht="13" x14ac:dyDescent="0.15">
      <c r="A2436" s="72" t="str">
        <f t="shared" si="37"/>
        <v>Ofsted Social Care Provider Webpage</v>
      </c>
      <c r="B2436" s="55" t="s">
        <v>4566</v>
      </c>
      <c r="D2436" s="55" t="s">
        <v>373</v>
      </c>
      <c r="E2436" s="74">
        <v>38372</v>
      </c>
      <c r="F2436" s="55" t="s">
        <v>344</v>
      </c>
      <c r="G2436" s="55" t="s">
        <v>360</v>
      </c>
      <c r="H2436" s="55" t="s">
        <v>360</v>
      </c>
      <c r="I2436" s="55" t="s">
        <v>360</v>
      </c>
      <c r="J2436" s="55" t="s">
        <v>360</v>
      </c>
      <c r="K2436" s="55" t="s">
        <v>360</v>
      </c>
      <c r="L2436" s="55" t="s">
        <v>360</v>
      </c>
      <c r="M2436" s="55" t="s">
        <v>378</v>
      </c>
      <c r="N2436" s="55" t="s">
        <v>134</v>
      </c>
      <c r="O2436" s="55" t="s">
        <v>277</v>
      </c>
      <c r="P2436" s="55" t="s">
        <v>1362</v>
      </c>
      <c r="Q2436" s="55" t="s">
        <v>380</v>
      </c>
      <c r="R2436" s="55">
        <v>4</v>
      </c>
      <c r="S2436" s="55"/>
      <c r="T2436" s="55" t="s">
        <v>1575</v>
      </c>
    </row>
    <row r="2437" spans="1:20" ht="13" x14ac:dyDescent="0.15">
      <c r="A2437" s="72" t="str">
        <f t="shared" ref="A2437:A2500" si="38">HYPERLINK(_xlfn.CONCAT("http://reports.ofsted.gov.uk/inspection-reports/find-inspection-report/provider/CARE/",B2437),"Ofsted Social Care Provider Webpage")</f>
        <v>Ofsted Social Care Provider Webpage</v>
      </c>
      <c r="B2437" s="55" t="s">
        <v>4567</v>
      </c>
      <c r="D2437" s="55" t="s">
        <v>373</v>
      </c>
      <c r="E2437" s="74">
        <v>38331</v>
      </c>
      <c r="F2437" s="55" t="s">
        <v>344</v>
      </c>
      <c r="G2437" s="55" t="s">
        <v>360</v>
      </c>
      <c r="H2437" s="55" t="s">
        <v>360</v>
      </c>
      <c r="I2437" s="55" t="s">
        <v>360</v>
      </c>
      <c r="J2437" s="55" t="s">
        <v>360</v>
      </c>
      <c r="K2437" s="55" t="s">
        <v>360</v>
      </c>
      <c r="L2437" s="55" t="s">
        <v>360</v>
      </c>
      <c r="M2437" s="55" t="s">
        <v>138</v>
      </c>
      <c r="N2437" s="55" t="s">
        <v>138</v>
      </c>
      <c r="O2437" s="55" t="s">
        <v>266</v>
      </c>
      <c r="P2437" s="55" t="s">
        <v>1622</v>
      </c>
      <c r="Q2437" s="55" t="s">
        <v>350</v>
      </c>
      <c r="R2437" s="55">
        <v>4</v>
      </c>
      <c r="S2437" s="55"/>
      <c r="T2437" s="55" t="s">
        <v>1623</v>
      </c>
    </row>
    <row r="2438" spans="1:20" ht="13" x14ac:dyDescent="0.15">
      <c r="A2438" s="72" t="str">
        <f t="shared" si="38"/>
        <v>Ofsted Social Care Provider Webpage</v>
      </c>
      <c r="B2438" s="55" t="s">
        <v>4568</v>
      </c>
      <c r="D2438" s="55" t="s">
        <v>373</v>
      </c>
      <c r="E2438" s="74">
        <v>38758</v>
      </c>
      <c r="F2438" s="55" t="s">
        <v>344</v>
      </c>
      <c r="G2438" s="55" t="s">
        <v>360</v>
      </c>
      <c r="H2438" s="55" t="s">
        <v>360</v>
      </c>
      <c r="I2438" s="55" t="s">
        <v>360</v>
      </c>
      <c r="J2438" s="55" t="s">
        <v>360</v>
      </c>
      <c r="K2438" s="55" t="s">
        <v>360</v>
      </c>
      <c r="L2438" s="55" t="s">
        <v>360</v>
      </c>
      <c r="M2438" s="55" t="s">
        <v>144</v>
      </c>
      <c r="N2438" s="55" t="s">
        <v>144</v>
      </c>
      <c r="O2438" s="55" t="s">
        <v>215</v>
      </c>
      <c r="P2438" s="55" t="s">
        <v>1008</v>
      </c>
      <c r="Q2438" s="55" t="s">
        <v>350</v>
      </c>
      <c r="R2438" s="55">
        <v>4</v>
      </c>
      <c r="S2438" s="55"/>
      <c r="T2438" s="55" t="s">
        <v>4414</v>
      </c>
    </row>
    <row r="2439" spans="1:20" ht="13" x14ac:dyDescent="0.15">
      <c r="A2439" s="72" t="str">
        <f t="shared" si="38"/>
        <v>Ofsted Social Care Provider Webpage</v>
      </c>
      <c r="B2439" s="55" t="s">
        <v>4569</v>
      </c>
      <c r="D2439" s="55" t="s">
        <v>389</v>
      </c>
      <c r="E2439" s="74">
        <v>38323</v>
      </c>
      <c r="F2439" s="55" t="s">
        <v>344</v>
      </c>
      <c r="G2439" s="55" t="s">
        <v>4570</v>
      </c>
      <c r="H2439" s="55" t="s">
        <v>4571</v>
      </c>
      <c r="I2439" s="55" t="s">
        <v>4572</v>
      </c>
      <c r="J2439" s="55" t="s">
        <v>3443</v>
      </c>
      <c r="L2439" s="55" t="s">
        <v>4573</v>
      </c>
      <c r="M2439" s="55" t="s">
        <v>150</v>
      </c>
      <c r="N2439" s="55" t="s">
        <v>150</v>
      </c>
      <c r="O2439" s="55" t="s">
        <v>218</v>
      </c>
      <c r="P2439" s="55" t="s">
        <v>1086</v>
      </c>
      <c r="Q2439" s="55" t="s">
        <v>350</v>
      </c>
      <c r="R2439" s="55"/>
      <c r="S2439" s="55"/>
      <c r="T2439" s="55" t="s">
        <v>4574</v>
      </c>
    </row>
    <row r="2440" spans="1:20" ht="13" x14ac:dyDescent="0.15">
      <c r="A2440" s="72" t="str">
        <f t="shared" si="38"/>
        <v>Ofsted Social Care Provider Webpage</v>
      </c>
      <c r="B2440" s="55" t="s">
        <v>4575</v>
      </c>
      <c r="D2440" s="55" t="s">
        <v>373</v>
      </c>
      <c r="E2440" s="74">
        <v>38411</v>
      </c>
      <c r="F2440" s="55" t="s">
        <v>344</v>
      </c>
      <c r="G2440" s="55" t="s">
        <v>360</v>
      </c>
      <c r="H2440" s="55" t="s">
        <v>360</v>
      </c>
      <c r="I2440" s="55" t="s">
        <v>360</v>
      </c>
      <c r="J2440" s="55" t="s">
        <v>360</v>
      </c>
      <c r="K2440" s="55" t="s">
        <v>360</v>
      </c>
      <c r="L2440" s="55" t="s">
        <v>360</v>
      </c>
      <c r="M2440" s="55" t="s">
        <v>129</v>
      </c>
      <c r="N2440" s="55" t="s">
        <v>129</v>
      </c>
      <c r="O2440" s="55" t="s">
        <v>279</v>
      </c>
      <c r="P2440" s="55" t="s">
        <v>1078</v>
      </c>
      <c r="Q2440" s="55" t="s">
        <v>350</v>
      </c>
      <c r="R2440" s="55">
        <v>9</v>
      </c>
      <c r="S2440" s="55"/>
      <c r="T2440" s="55" t="s">
        <v>1303</v>
      </c>
    </row>
    <row r="2441" spans="1:20" ht="13" x14ac:dyDescent="0.15">
      <c r="A2441" s="72" t="str">
        <f t="shared" si="38"/>
        <v>Ofsted Social Care Provider Webpage</v>
      </c>
      <c r="B2441" s="55" t="s">
        <v>4576</v>
      </c>
      <c r="D2441" s="55" t="s">
        <v>389</v>
      </c>
      <c r="E2441" s="74">
        <v>38302</v>
      </c>
      <c r="F2441" s="55" t="s">
        <v>344</v>
      </c>
      <c r="G2441" s="55" t="s">
        <v>4577</v>
      </c>
      <c r="H2441" s="55" t="s">
        <v>4578</v>
      </c>
      <c r="I2441" s="55" t="s">
        <v>4579</v>
      </c>
      <c r="J2441" s="55" t="s">
        <v>4347</v>
      </c>
      <c r="K2441" s="55" t="s">
        <v>173</v>
      </c>
      <c r="L2441" s="55" t="s">
        <v>4580</v>
      </c>
      <c r="M2441" s="55" t="s">
        <v>172</v>
      </c>
      <c r="N2441" s="55" t="s">
        <v>172</v>
      </c>
      <c r="O2441" s="55" t="s">
        <v>173</v>
      </c>
      <c r="P2441" s="55" t="s">
        <v>961</v>
      </c>
      <c r="Q2441" s="55" t="s">
        <v>350</v>
      </c>
      <c r="R2441" s="55"/>
      <c r="S2441" s="55"/>
      <c r="T2441" s="55" t="s">
        <v>2197</v>
      </c>
    </row>
    <row r="2442" spans="1:20" ht="13" x14ac:dyDescent="0.15">
      <c r="A2442" s="72" t="str">
        <f t="shared" si="38"/>
        <v>Ofsted Social Care Provider Webpage</v>
      </c>
      <c r="B2442" s="55" t="s">
        <v>4581</v>
      </c>
      <c r="C2442" s="55">
        <v>130708</v>
      </c>
      <c r="D2442" s="55" t="s">
        <v>693</v>
      </c>
      <c r="E2442" s="74">
        <v>38274</v>
      </c>
      <c r="F2442" s="55" t="s">
        <v>344</v>
      </c>
      <c r="G2442" s="55" t="s">
        <v>4582</v>
      </c>
      <c r="H2442" s="55" t="s">
        <v>4582</v>
      </c>
      <c r="I2442" s="55" t="s">
        <v>4583</v>
      </c>
      <c r="J2442" s="55" t="s">
        <v>4584</v>
      </c>
      <c r="K2442" s="55" t="s">
        <v>190</v>
      </c>
      <c r="L2442" s="55" t="s">
        <v>4585</v>
      </c>
      <c r="M2442" s="55" t="s">
        <v>150</v>
      </c>
      <c r="N2442" s="55" t="s">
        <v>150</v>
      </c>
      <c r="O2442" s="55" t="s">
        <v>190</v>
      </c>
      <c r="P2442" s="55" t="s">
        <v>966</v>
      </c>
      <c r="Q2442" s="55" t="s">
        <v>362</v>
      </c>
      <c r="R2442" s="55">
        <v>79</v>
      </c>
      <c r="S2442" s="55"/>
      <c r="T2442" s="55" t="s">
        <v>4582</v>
      </c>
    </row>
    <row r="2443" spans="1:20" ht="13" x14ac:dyDescent="0.15">
      <c r="A2443" s="72" t="str">
        <f t="shared" si="38"/>
        <v>Ofsted Social Care Provider Webpage</v>
      </c>
      <c r="B2443" s="55" t="s">
        <v>4586</v>
      </c>
      <c r="D2443" s="55" t="s">
        <v>373</v>
      </c>
      <c r="E2443" s="74">
        <v>38450</v>
      </c>
      <c r="F2443" s="55" t="s">
        <v>344</v>
      </c>
      <c r="G2443" s="55" t="s">
        <v>360</v>
      </c>
      <c r="H2443" s="55" t="s">
        <v>360</v>
      </c>
      <c r="I2443" s="55" t="s">
        <v>360</v>
      </c>
      <c r="J2443" s="55" t="s">
        <v>360</v>
      </c>
      <c r="K2443" s="55" t="s">
        <v>360</v>
      </c>
      <c r="L2443" s="55" t="s">
        <v>360</v>
      </c>
      <c r="M2443" s="55" t="s">
        <v>150</v>
      </c>
      <c r="N2443" s="55" t="s">
        <v>150</v>
      </c>
      <c r="O2443" s="55" t="s">
        <v>203</v>
      </c>
      <c r="P2443" s="55" t="s">
        <v>593</v>
      </c>
      <c r="Q2443" s="55" t="s">
        <v>350</v>
      </c>
      <c r="R2443" s="55">
        <v>4</v>
      </c>
      <c r="S2443" s="55"/>
      <c r="T2443" s="55" t="s">
        <v>2070</v>
      </c>
    </row>
    <row r="2444" spans="1:20" ht="13" x14ac:dyDescent="0.15">
      <c r="A2444" s="72" t="str">
        <f t="shared" si="38"/>
        <v>Ofsted Social Care Provider Webpage</v>
      </c>
      <c r="B2444" s="55" t="s">
        <v>4587</v>
      </c>
      <c r="D2444" s="55" t="s">
        <v>389</v>
      </c>
      <c r="E2444" s="74">
        <v>38943</v>
      </c>
      <c r="F2444" s="55" t="s">
        <v>344</v>
      </c>
      <c r="G2444" s="55" t="s">
        <v>4588</v>
      </c>
      <c r="H2444" s="55" t="s">
        <v>3135</v>
      </c>
      <c r="I2444" s="55" t="s">
        <v>4589</v>
      </c>
      <c r="J2444" s="55" t="s">
        <v>239</v>
      </c>
      <c r="K2444" s="55" t="s">
        <v>174</v>
      </c>
      <c r="L2444" s="55" t="s">
        <v>4590</v>
      </c>
      <c r="M2444" s="55" t="s">
        <v>136</v>
      </c>
      <c r="N2444" s="55" t="s">
        <v>136</v>
      </c>
      <c r="O2444" s="55" t="s">
        <v>239</v>
      </c>
      <c r="P2444" s="55" t="s">
        <v>964</v>
      </c>
      <c r="Q2444" s="55" t="s">
        <v>350</v>
      </c>
      <c r="R2444" s="55"/>
      <c r="S2444" s="55"/>
      <c r="T2444" s="55" t="s">
        <v>4591</v>
      </c>
    </row>
    <row r="2445" spans="1:20" ht="13" x14ac:dyDescent="0.15">
      <c r="A2445" s="72" t="str">
        <f t="shared" si="38"/>
        <v>Ofsted Social Care Provider Webpage</v>
      </c>
      <c r="B2445" s="55" t="s">
        <v>4592</v>
      </c>
      <c r="D2445" s="55" t="s">
        <v>373</v>
      </c>
      <c r="E2445" s="74">
        <v>38432</v>
      </c>
      <c r="F2445" s="55" t="s">
        <v>344</v>
      </c>
      <c r="G2445" s="55" t="s">
        <v>360</v>
      </c>
      <c r="H2445" s="55" t="s">
        <v>360</v>
      </c>
      <c r="I2445" s="55" t="s">
        <v>360</v>
      </c>
      <c r="J2445" s="55" t="s">
        <v>360</v>
      </c>
      <c r="K2445" s="55" t="s">
        <v>360</v>
      </c>
      <c r="L2445" s="55" t="s">
        <v>360</v>
      </c>
      <c r="M2445" s="55" t="s">
        <v>144</v>
      </c>
      <c r="N2445" s="55" t="s">
        <v>144</v>
      </c>
      <c r="O2445" s="55" t="s">
        <v>209</v>
      </c>
      <c r="P2445" s="55" t="s">
        <v>650</v>
      </c>
      <c r="Q2445" s="55" t="s">
        <v>350</v>
      </c>
      <c r="R2445" s="55">
        <v>5</v>
      </c>
      <c r="S2445" s="55"/>
      <c r="T2445" s="55" t="s">
        <v>4468</v>
      </c>
    </row>
    <row r="2446" spans="1:20" ht="13" x14ac:dyDescent="0.15">
      <c r="A2446" s="72" t="str">
        <f t="shared" si="38"/>
        <v>Ofsted Social Care Provider Webpage</v>
      </c>
      <c r="B2446" s="55" t="s">
        <v>4593</v>
      </c>
      <c r="D2446" s="55" t="s">
        <v>373</v>
      </c>
      <c r="E2446" s="74">
        <v>38419</v>
      </c>
      <c r="F2446" s="55" t="s">
        <v>344</v>
      </c>
      <c r="G2446" s="55" t="s">
        <v>360</v>
      </c>
      <c r="H2446" s="55" t="s">
        <v>360</v>
      </c>
      <c r="I2446" s="55" t="s">
        <v>360</v>
      </c>
      <c r="J2446" s="55" t="s">
        <v>360</v>
      </c>
      <c r="K2446" s="55" t="s">
        <v>360</v>
      </c>
      <c r="L2446" s="55" t="s">
        <v>360</v>
      </c>
      <c r="M2446" s="55" t="s">
        <v>138</v>
      </c>
      <c r="N2446" s="55" t="s">
        <v>138</v>
      </c>
      <c r="O2446" s="55" t="s">
        <v>266</v>
      </c>
      <c r="P2446" s="55" t="s">
        <v>1522</v>
      </c>
      <c r="Q2446" s="55" t="s">
        <v>380</v>
      </c>
      <c r="R2446" s="55">
        <v>4</v>
      </c>
      <c r="S2446" s="55"/>
      <c r="T2446" s="55" t="s">
        <v>3510</v>
      </c>
    </row>
    <row r="2447" spans="1:20" ht="13" x14ac:dyDescent="0.15">
      <c r="A2447" s="72" t="str">
        <f t="shared" si="38"/>
        <v>Ofsted Social Care Provider Webpage</v>
      </c>
      <c r="B2447" s="55" t="s">
        <v>4594</v>
      </c>
      <c r="D2447" s="55" t="s">
        <v>373</v>
      </c>
      <c r="E2447" s="74">
        <v>38322</v>
      </c>
      <c r="F2447" s="55" t="s">
        <v>344</v>
      </c>
      <c r="G2447" s="55" t="s">
        <v>360</v>
      </c>
      <c r="H2447" s="55" t="s">
        <v>360</v>
      </c>
      <c r="I2447" s="55" t="s">
        <v>360</v>
      </c>
      <c r="J2447" s="55" t="s">
        <v>360</v>
      </c>
      <c r="K2447" s="55" t="s">
        <v>360</v>
      </c>
      <c r="L2447" s="55" t="s">
        <v>360</v>
      </c>
      <c r="M2447" s="55" t="s">
        <v>150</v>
      </c>
      <c r="N2447" s="55" t="s">
        <v>150</v>
      </c>
      <c r="O2447" s="55" t="s">
        <v>203</v>
      </c>
      <c r="P2447" s="55" t="s">
        <v>1263</v>
      </c>
      <c r="Q2447" s="55" t="s">
        <v>350</v>
      </c>
      <c r="R2447" s="55">
        <v>6</v>
      </c>
      <c r="S2447" s="55"/>
      <c r="T2447" s="55" t="s">
        <v>2891</v>
      </c>
    </row>
    <row r="2448" spans="1:20" ht="13" x14ac:dyDescent="0.15">
      <c r="A2448" s="72" t="str">
        <f t="shared" si="38"/>
        <v>Ofsted Social Care Provider Webpage</v>
      </c>
      <c r="B2448" s="55" t="s">
        <v>4595</v>
      </c>
      <c r="D2448" s="55" t="s">
        <v>373</v>
      </c>
      <c r="E2448" s="74">
        <v>38555</v>
      </c>
      <c r="F2448" s="55" t="s">
        <v>344</v>
      </c>
      <c r="G2448" s="55" t="s">
        <v>360</v>
      </c>
      <c r="H2448" s="55" t="s">
        <v>360</v>
      </c>
      <c r="I2448" s="55" t="s">
        <v>360</v>
      </c>
      <c r="J2448" s="55" t="s">
        <v>360</v>
      </c>
      <c r="K2448" s="55" t="s">
        <v>360</v>
      </c>
      <c r="L2448" s="55" t="s">
        <v>360</v>
      </c>
      <c r="M2448" s="55" t="s">
        <v>129</v>
      </c>
      <c r="N2448" s="55" t="s">
        <v>129</v>
      </c>
      <c r="O2448" s="55" t="s">
        <v>223</v>
      </c>
      <c r="P2448" s="55" t="s">
        <v>712</v>
      </c>
      <c r="Q2448" s="55" t="s">
        <v>350</v>
      </c>
      <c r="R2448" s="55">
        <v>5</v>
      </c>
      <c r="S2448" s="55"/>
      <c r="T2448" s="55" t="s">
        <v>1013</v>
      </c>
    </row>
    <row r="2449" spans="1:20" ht="13" x14ac:dyDescent="0.15">
      <c r="A2449" s="72" t="str">
        <f t="shared" si="38"/>
        <v>Ofsted Social Care Provider Webpage</v>
      </c>
      <c r="B2449" s="55" t="s">
        <v>4596</v>
      </c>
      <c r="D2449" s="55" t="s">
        <v>479</v>
      </c>
      <c r="E2449" s="74">
        <v>38467</v>
      </c>
      <c r="F2449" s="55" t="s">
        <v>344</v>
      </c>
      <c r="G2449" s="55" t="s">
        <v>360</v>
      </c>
      <c r="H2449" s="55" t="s">
        <v>360</v>
      </c>
      <c r="I2449" s="55" t="s">
        <v>360</v>
      </c>
      <c r="J2449" s="55" t="s">
        <v>360</v>
      </c>
      <c r="K2449" s="55" t="s">
        <v>360</v>
      </c>
      <c r="L2449" s="55" t="s">
        <v>360</v>
      </c>
      <c r="M2449" s="55" t="s">
        <v>138</v>
      </c>
      <c r="N2449" s="55" t="s">
        <v>138</v>
      </c>
      <c r="O2449" s="55" t="s">
        <v>224</v>
      </c>
      <c r="P2449" s="55" t="s">
        <v>1675</v>
      </c>
      <c r="Q2449" s="55" t="s">
        <v>350</v>
      </c>
      <c r="R2449" s="55">
        <v>8</v>
      </c>
      <c r="S2449" s="55"/>
      <c r="T2449" s="55" t="s">
        <v>4597</v>
      </c>
    </row>
    <row r="2450" spans="1:20" ht="13" x14ac:dyDescent="0.15">
      <c r="A2450" s="72" t="str">
        <f t="shared" si="38"/>
        <v>Ofsted Social Care Provider Webpage</v>
      </c>
      <c r="B2450" s="55" t="s">
        <v>4598</v>
      </c>
      <c r="D2450" s="55" t="s">
        <v>373</v>
      </c>
      <c r="E2450" s="74">
        <v>38511</v>
      </c>
      <c r="F2450" s="55" t="s">
        <v>344</v>
      </c>
      <c r="G2450" s="55" t="s">
        <v>360</v>
      </c>
      <c r="H2450" s="55" t="s">
        <v>360</v>
      </c>
      <c r="I2450" s="55" t="s">
        <v>360</v>
      </c>
      <c r="J2450" s="55" t="s">
        <v>360</v>
      </c>
      <c r="K2450" s="55" t="s">
        <v>360</v>
      </c>
      <c r="L2450" s="55" t="s">
        <v>360</v>
      </c>
      <c r="M2450" s="55" t="s">
        <v>144</v>
      </c>
      <c r="N2450" s="55" t="s">
        <v>144</v>
      </c>
      <c r="O2450" s="55" t="s">
        <v>261</v>
      </c>
      <c r="P2450" s="55" t="s">
        <v>512</v>
      </c>
      <c r="Q2450" s="55" t="s">
        <v>350</v>
      </c>
      <c r="R2450" s="55">
        <v>5</v>
      </c>
      <c r="S2450" s="55"/>
      <c r="T2450" s="55" t="s">
        <v>923</v>
      </c>
    </row>
    <row r="2451" spans="1:20" ht="13" x14ac:dyDescent="0.15">
      <c r="A2451" s="72" t="str">
        <f t="shared" si="38"/>
        <v>Ofsted Social Care Provider Webpage</v>
      </c>
      <c r="B2451" s="55" t="s">
        <v>4599</v>
      </c>
      <c r="D2451" s="55" t="s">
        <v>373</v>
      </c>
      <c r="E2451" s="74">
        <v>38390</v>
      </c>
      <c r="F2451" s="55" t="s">
        <v>344</v>
      </c>
      <c r="G2451" s="55" t="s">
        <v>360</v>
      </c>
      <c r="H2451" s="55" t="s">
        <v>360</v>
      </c>
      <c r="I2451" s="55" t="s">
        <v>360</v>
      </c>
      <c r="J2451" s="55" t="s">
        <v>360</v>
      </c>
      <c r="K2451" s="55" t="s">
        <v>360</v>
      </c>
      <c r="L2451" s="55" t="s">
        <v>360</v>
      </c>
      <c r="M2451" s="55" t="s">
        <v>144</v>
      </c>
      <c r="N2451" s="55" t="s">
        <v>144</v>
      </c>
      <c r="O2451" s="55" t="s">
        <v>290</v>
      </c>
      <c r="P2451" s="55" t="s">
        <v>1512</v>
      </c>
      <c r="Q2451" s="55" t="s">
        <v>350</v>
      </c>
      <c r="R2451" s="55">
        <v>4</v>
      </c>
      <c r="S2451" s="55"/>
      <c r="T2451" s="55" t="s">
        <v>4600</v>
      </c>
    </row>
    <row r="2452" spans="1:20" ht="13" x14ac:dyDescent="0.15">
      <c r="A2452" s="72" t="str">
        <f t="shared" si="38"/>
        <v>Ofsted Social Care Provider Webpage</v>
      </c>
      <c r="B2452" s="55" t="s">
        <v>4601</v>
      </c>
      <c r="D2452" s="55" t="s">
        <v>373</v>
      </c>
      <c r="E2452" s="74">
        <v>38427</v>
      </c>
      <c r="F2452" s="55" t="s">
        <v>344</v>
      </c>
      <c r="G2452" s="55" t="s">
        <v>360</v>
      </c>
      <c r="H2452" s="55" t="s">
        <v>360</v>
      </c>
      <c r="I2452" s="55" t="s">
        <v>360</v>
      </c>
      <c r="J2452" s="55" t="s">
        <v>360</v>
      </c>
      <c r="K2452" s="55" t="s">
        <v>360</v>
      </c>
      <c r="L2452" s="55" t="s">
        <v>360</v>
      </c>
      <c r="M2452" s="55" t="s">
        <v>142</v>
      </c>
      <c r="N2452" s="55" t="s">
        <v>142</v>
      </c>
      <c r="O2452" s="55" t="s">
        <v>272</v>
      </c>
      <c r="P2452" s="55" t="s">
        <v>1291</v>
      </c>
      <c r="Q2452" s="55" t="s">
        <v>350</v>
      </c>
      <c r="R2452" s="55">
        <v>4</v>
      </c>
      <c r="S2452" s="55"/>
      <c r="T2452" s="55" t="s">
        <v>1373</v>
      </c>
    </row>
    <row r="2453" spans="1:20" ht="13" x14ac:dyDescent="0.15">
      <c r="A2453" s="72" t="str">
        <f t="shared" si="38"/>
        <v>Ofsted Social Care Provider Webpage</v>
      </c>
      <c r="B2453" s="55" t="s">
        <v>4602</v>
      </c>
      <c r="D2453" s="55" t="s">
        <v>373</v>
      </c>
      <c r="E2453" s="74">
        <v>38369</v>
      </c>
      <c r="F2453" s="55" t="s">
        <v>344</v>
      </c>
      <c r="G2453" s="55" t="s">
        <v>360</v>
      </c>
      <c r="H2453" s="55" t="s">
        <v>360</v>
      </c>
      <c r="I2453" s="55" t="s">
        <v>360</v>
      </c>
      <c r="J2453" s="55" t="s">
        <v>360</v>
      </c>
      <c r="K2453" s="55" t="s">
        <v>360</v>
      </c>
      <c r="L2453" s="55" t="s">
        <v>360</v>
      </c>
      <c r="M2453" s="55" t="s">
        <v>144</v>
      </c>
      <c r="N2453" s="55" t="s">
        <v>144</v>
      </c>
      <c r="O2453" s="55" t="s">
        <v>261</v>
      </c>
      <c r="P2453" s="55" t="s">
        <v>792</v>
      </c>
      <c r="Q2453" s="55" t="s">
        <v>350</v>
      </c>
      <c r="R2453" s="55">
        <v>1</v>
      </c>
      <c r="S2453" s="55"/>
      <c r="T2453" s="55" t="s">
        <v>4505</v>
      </c>
    </row>
    <row r="2454" spans="1:20" ht="13" x14ac:dyDescent="0.15">
      <c r="A2454" s="72" t="str">
        <f t="shared" si="38"/>
        <v>Ofsted Social Care Provider Webpage</v>
      </c>
      <c r="B2454" s="55" t="s">
        <v>4603</v>
      </c>
      <c r="D2454" s="55" t="s">
        <v>373</v>
      </c>
      <c r="E2454" s="74">
        <v>38433</v>
      </c>
      <c r="F2454" s="55" t="s">
        <v>344</v>
      </c>
      <c r="G2454" s="55" t="s">
        <v>360</v>
      </c>
      <c r="H2454" s="55" t="s">
        <v>360</v>
      </c>
      <c r="I2454" s="55" t="s">
        <v>360</v>
      </c>
      <c r="J2454" s="55" t="s">
        <v>360</v>
      </c>
      <c r="K2454" s="55" t="s">
        <v>360</v>
      </c>
      <c r="L2454" s="55" t="s">
        <v>360</v>
      </c>
      <c r="M2454" s="55" t="s">
        <v>144</v>
      </c>
      <c r="N2454" s="55" t="s">
        <v>144</v>
      </c>
      <c r="O2454" s="55" t="s">
        <v>261</v>
      </c>
      <c r="P2454" s="55" t="s">
        <v>512</v>
      </c>
      <c r="Q2454" s="55" t="s">
        <v>380</v>
      </c>
      <c r="R2454" s="55">
        <v>4</v>
      </c>
      <c r="S2454" s="55"/>
      <c r="T2454" s="55" t="s">
        <v>3354</v>
      </c>
    </row>
    <row r="2455" spans="1:20" ht="13" x14ac:dyDescent="0.15">
      <c r="A2455" s="72" t="str">
        <f t="shared" si="38"/>
        <v>Ofsted Social Care Provider Webpage</v>
      </c>
      <c r="B2455" s="55" t="s">
        <v>4604</v>
      </c>
      <c r="D2455" s="55" t="s">
        <v>389</v>
      </c>
      <c r="E2455" s="74">
        <v>38506</v>
      </c>
      <c r="F2455" s="55" t="s">
        <v>344</v>
      </c>
      <c r="G2455" s="55" t="s">
        <v>4605</v>
      </c>
      <c r="H2455" s="55" t="s">
        <v>4606</v>
      </c>
      <c r="I2455" s="55" t="s">
        <v>4607</v>
      </c>
      <c r="J2455" s="55" t="s">
        <v>4167</v>
      </c>
      <c r="L2455" s="55" t="s">
        <v>4608</v>
      </c>
      <c r="M2455" s="55" t="s">
        <v>138</v>
      </c>
      <c r="N2455" s="55" t="s">
        <v>138</v>
      </c>
      <c r="O2455" s="55" t="s">
        <v>161</v>
      </c>
      <c r="P2455" s="55" t="s">
        <v>822</v>
      </c>
      <c r="Q2455" s="55" t="s">
        <v>350</v>
      </c>
      <c r="R2455" s="55"/>
      <c r="S2455" s="55"/>
      <c r="T2455" s="55" t="s">
        <v>4609</v>
      </c>
    </row>
    <row r="2456" spans="1:20" ht="13" x14ac:dyDescent="0.15">
      <c r="A2456" s="72" t="str">
        <f t="shared" si="38"/>
        <v>Ofsted Social Care Provider Webpage</v>
      </c>
      <c r="B2456" s="55" t="s">
        <v>4610</v>
      </c>
      <c r="D2456" s="55" t="s">
        <v>373</v>
      </c>
      <c r="E2456" s="74">
        <v>38481</v>
      </c>
      <c r="F2456" s="55" t="s">
        <v>344</v>
      </c>
      <c r="G2456" s="55" t="s">
        <v>360</v>
      </c>
      <c r="H2456" s="55" t="s">
        <v>360</v>
      </c>
      <c r="I2456" s="55" t="s">
        <v>360</v>
      </c>
      <c r="J2456" s="55" t="s">
        <v>360</v>
      </c>
      <c r="K2456" s="55" t="s">
        <v>360</v>
      </c>
      <c r="L2456" s="55" t="s">
        <v>360</v>
      </c>
      <c r="M2456" s="55" t="s">
        <v>142</v>
      </c>
      <c r="N2456" s="55" t="s">
        <v>142</v>
      </c>
      <c r="O2456" s="55" t="s">
        <v>262</v>
      </c>
      <c r="P2456" s="55" t="s">
        <v>488</v>
      </c>
      <c r="Q2456" s="55" t="s">
        <v>350</v>
      </c>
      <c r="R2456" s="55">
        <v>2</v>
      </c>
      <c r="S2456" s="55"/>
      <c r="T2456" s="55" t="s">
        <v>1430</v>
      </c>
    </row>
    <row r="2457" spans="1:20" ht="13" x14ac:dyDescent="0.15">
      <c r="A2457" s="72" t="str">
        <f t="shared" si="38"/>
        <v>Ofsted Social Care Provider Webpage</v>
      </c>
      <c r="B2457" s="55" t="s">
        <v>4611</v>
      </c>
      <c r="D2457" s="55" t="s">
        <v>373</v>
      </c>
      <c r="E2457" s="74">
        <v>38404</v>
      </c>
      <c r="F2457" s="55" t="s">
        <v>344</v>
      </c>
      <c r="G2457" s="55" t="s">
        <v>360</v>
      </c>
      <c r="H2457" s="55" t="s">
        <v>360</v>
      </c>
      <c r="I2457" s="55" t="s">
        <v>360</v>
      </c>
      <c r="J2457" s="55" t="s">
        <v>360</v>
      </c>
      <c r="K2457" s="55" t="s">
        <v>360</v>
      </c>
      <c r="L2457" s="55" t="s">
        <v>360</v>
      </c>
      <c r="M2457" s="55" t="s">
        <v>144</v>
      </c>
      <c r="N2457" s="55" t="s">
        <v>144</v>
      </c>
      <c r="O2457" s="55" t="s">
        <v>250</v>
      </c>
      <c r="P2457" s="55" t="s">
        <v>759</v>
      </c>
      <c r="Q2457" s="55" t="s">
        <v>350</v>
      </c>
      <c r="R2457" s="55">
        <v>4</v>
      </c>
      <c r="S2457" s="55"/>
      <c r="T2457" s="55" t="s">
        <v>1600</v>
      </c>
    </row>
    <row r="2458" spans="1:20" ht="13" x14ac:dyDescent="0.15">
      <c r="A2458" s="72" t="str">
        <f t="shared" si="38"/>
        <v>Ofsted Social Care Provider Webpage</v>
      </c>
      <c r="B2458" s="55" t="s">
        <v>4612</v>
      </c>
      <c r="D2458" s="55" t="s">
        <v>373</v>
      </c>
      <c r="E2458" s="74">
        <v>38702</v>
      </c>
      <c r="F2458" s="55" t="s">
        <v>344</v>
      </c>
      <c r="G2458" s="55" t="s">
        <v>360</v>
      </c>
      <c r="H2458" s="55" t="s">
        <v>360</v>
      </c>
      <c r="I2458" s="55" t="s">
        <v>360</v>
      </c>
      <c r="J2458" s="55" t="s">
        <v>360</v>
      </c>
      <c r="K2458" s="55" t="s">
        <v>360</v>
      </c>
      <c r="L2458" s="55" t="s">
        <v>360</v>
      </c>
      <c r="M2458" s="55" t="s">
        <v>144</v>
      </c>
      <c r="N2458" s="55" t="s">
        <v>144</v>
      </c>
      <c r="O2458" s="55" t="s">
        <v>217</v>
      </c>
      <c r="P2458" s="55" t="s">
        <v>384</v>
      </c>
      <c r="Q2458" s="55" t="s">
        <v>380</v>
      </c>
      <c r="R2458" s="55">
        <v>6</v>
      </c>
      <c r="S2458" s="55"/>
      <c r="T2458" s="55" t="s">
        <v>938</v>
      </c>
    </row>
    <row r="2459" spans="1:20" ht="13" x14ac:dyDescent="0.15">
      <c r="A2459" s="72" t="str">
        <f t="shared" si="38"/>
        <v>Ofsted Social Care Provider Webpage</v>
      </c>
      <c r="B2459" s="55" t="s">
        <v>4613</v>
      </c>
      <c r="D2459" s="55" t="s">
        <v>389</v>
      </c>
      <c r="E2459" s="74">
        <v>38519</v>
      </c>
      <c r="F2459" s="55" t="s">
        <v>344</v>
      </c>
      <c r="G2459" s="55" t="s">
        <v>4614</v>
      </c>
      <c r="H2459" s="55" t="s">
        <v>4615</v>
      </c>
      <c r="I2459" s="55" t="s">
        <v>354</v>
      </c>
      <c r="J2459" s="55" t="s">
        <v>129</v>
      </c>
      <c r="L2459" s="55" t="s">
        <v>4616</v>
      </c>
      <c r="M2459" s="55" t="s">
        <v>129</v>
      </c>
      <c r="N2459" s="55" t="s">
        <v>129</v>
      </c>
      <c r="O2459" s="55" t="s">
        <v>213</v>
      </c>
      <c r="P2459" s="55" t="s">
        <v>1160</v>
      </c>
      <c r="Q2459" s="55" t="s">
        <v>362</v>
      </c>
      <c r="R2459" s="55"/>
      <c r="S2459" s="55"/>
      <c r="T2459" s="55" t="s">
        <v>3196</v>
      </c>
    </row>
    <row r="2460" spans="1:20" ht="13" x14ac:dyDescent="0.15">
      <c r="A2460" s="72" t="str">
        <f t="shared" si="38"/>
        <v>Ofsted Social Care Provider Webpage</v>
      </c>
      <c r="B2460" s="55" t="s">
        <v>4617</v>
      </c>
      <c r="D2460" s="55" t="s">
        <v>373</v>
      </c>
      <c r="E2460" s="74">
        <v>38624</v>
      </c>
      <c r="F2460" s="55" t="s">
        <v>344</v>
      </c>
      <c r="G2460" s="55" t="s">
        <v>360</v>
      </c>
      <c r="H2460" s="55" t="s">
        <v>360</v>
      </c>
      <c r="I2460" s="55" t="s">
        <v>360</v>
      </c>
      <c r="J2460" s="55" t="s">
        <v>360</v>
      </c>
      <c r="K2460" s="55" t="s">
        <v>360</v>
      </c>
      <c r="L2460" s="55" t="s">
        <v>360</v>
      </c>
      <c r="M2460" s="55" t="s">
        <v>150</v>
      </c>
      <c r="N2460" s="55" t="s">
        <v>150</v>
      </c>
      <c r="O2460" s="55" t="s">
        <v>203</v>
      </c>
      <c r="P2460" s="55" t="s">
        <v>3559</v>
      </c>
      <c r="Q2460" s="55" t="s">
        <v>350</v>
      </c>
      <c r="R2460" s="55">
        <v>6</v>
      </c>
      <c r="S2460" s="55"/>
      <c r="T2460" s="55" t="s">
        <v>1016</v>
      </c>
    </row>
    <row r="2461" spans="1:20" ht="13" x14ac:dyDescent="0.15">
      <c r="A2461" s="72" t="str">
        <f t="shared" si="38"/>
        <v>Ofsted Social Care Provider Webpage</v>
      </c>
      <c r="B2461" s="55" t="s">
        <v>4618</v>
      </c>
      <c r="D2461" s="55" t="s">
        <v>373</v>
      </c>
      <c r="E2461" s="74">
        <v>38525</v>
      </c>
      <c r="F2461" s="55" t="s">
        <v>344</v>
      </c>
      <c r="G2461" s="55" t="s">
        <v>360</v>
      </c>
      <c r="H2461" s="55" t="s">
        <v>360</v>
      </c>
      <c r="I2461" s="55" t="s">
        <v>360</v>
      </c>
      <c r="J2461" s="55" t="s">
        <v>360</v>
      </c>
      <c r="K2461" s="55" t="s">
        <v>360</v>
      </c>
      <c r="L2461" s="55" t="s">
        <v>360</v>
      </c>
      <c r="M2461" s="55" t="s">
        <v>150</v>
      </c>
      <c r="N2461" s="55" t="s">
        <v>150</v>
      </c>
      <c r="O2461" s="55" t="s">
        <v>190</v>
      </c>
      <c r="P2461" s="55" t="s">
        <v>749</v>
      </c>
      <c r="Q2461" s="55" t="s">
        <v>350</v>
      </c>
      <c r="R2461" s="55">
        <v>4</v>
      </c>
      <c r="S2461" s="55"/>
      <c r="T2461" s="55" t="s">
        <v>888</v>
      </c>
    </row>
    <row r="2462" spans="1:20" ht="13" x14ac:dyDescent="0.15">
      <c r="A2462" s="72" t="str">
        <f t="shared" si="38"/>
        <v>Ofsted Social Care Provider Webpage</v>
      </c>
      <c r="B2462" s="55" t="s">
        <v>4619</v>
      </c>
      <c r="D2462" s="55" t="s">
        <v>373</v>
      </c>
      <c r="E2462" s="74">
        <v>38483</v>
      </c>
      <c r="F2462" s="55" t="s">
        <v>344</v>
      </c>
      <c r="G2462" s="55" t="s">
        <v>360</v>
      </c>
      <c r="H2462" s="55" t="s">
        <v>360</v>
      </c>
      <c r="I2462" s="55" t="s">
        <v>360</v>
      </c>
      <c r="J2462" s="55" t="s">
        <v>360</v>
      </c>
      <c r="K2462" s="55" t="s">
        <v>360</v>
      </c>
      <c r="L2462" s="55" t="s">
        <v>360</v>
      </c>
      <c r="M2462" s="55" t="s">
        <v>142</v>
      </c>
      <c r="N2462" s="55" t="s">
        <v>142</v>
      </c>
      <c r="O2462" s="55" t="s">
        <v>262</v>
      </c>
      <c r="P2462" s="55" t="s">
        <v>618</v>
      </c>
      <c r="Q2462" s="55" t="s">
        <v>350</v>
      </c>
      <c r="R2462" s="55">
        <v>3</v>
      </c>
      <c r="S2462" s="55"/>
      <c r="T2462" s="55" t="s">
        <v>517</v>
      </c>
    </row>
    <row r="2463" spans="1:20" ht="13" x14ac:dyDescent="0.15">
      <c r="A2463" s="72" t="str">
        <f t="shared" si="38"/>
        <v>Ofsted Social Care Provider Webpage</v>
      </c>
      <c r="B2463" s="55" t="s">
        <v>4620</v>
      </c>
      <c r="D2463" s="55" t="s">
        <v>373</v>
      </c>
      <c r="E2463" s="74">
        <v>38516</v>
      </c>
      <c r="F2463" s="55" t="s">
        <v>344</v>
      </c>
      <c r="G2463" s="55" t="s">
        <v>360</v>
      </c>
      <c r="H2463" s="55" t="s">
        <v>360</v>
      </c>
      <c r="I2463" s="55" t="s">
        <v>360</v>
      </c>
      <c r="J2463" s="55" t="s">
        <v>360</v>
      </c>
      <c r="K2463" s="55" t="s">
        <v>360</v>
      </c>
      <c r="L2463" s="55" t="s">
        <v>360</v>
      </c>
      <c r="M2463" s="55" t="s">
        <v>142</v>
      </c>
      <c r="N2463" s="55" t="s">
        <v>142</v>
      </c>
      <c r="O2463" s="55" t="s">
        <v>262</v>
      </c>
      <c r="P2463" s="55" t="s">
        <v>1859</v>
      </c>
      <c r="Q2463" s="55" t="s">
        <v>350</v>
      </c>
      <c r="R2463" s="55">
        <v>6</v>
      </c>
      <c r="S2463" s="55"/>
      <c r="T2463" s="55" t="s">
        <v>960</v>
      </c>
    </row>
    <row r="2464" spans="1:20" ht="13" x14ac:dyDescent="0.15">
      <c r="A2464" s="72" t="str">
        <f t="shared" si="38"/>
        <v>Ofsted Social Care Provider Webpage</v>
      </c>
      <c r="B2464" s="55" t="s">
        <v>4621</v>
      </c>
      <c r="D2464" s="55" t="s">
        <v>373</v>
      </c>
      <c r="E2464" s="74">
        <v>38544</v>
      </c>
      <c r="F2464" s="55" t="s">
        <v>344</v>
      </c>
      <c r="G2464" s="55" t="s">
        <v>360</v>
      </c>
      <c r="H2464" s="55" t="s">
        <v>360</v>
      </c>
      <c r="I2464" s="55" t="s">
        <v>360</v>
      </c>
      <c r="J2464" s="55" t="s">
        <v>360</v>
      </c>
      <c r="K2464" s="55" t="s">
        <v>360</v>
      </c>
      <c r="L2464" s="55" t="s">
        <v>360</v>
      </c>
      <c r="M2464" s="55" t="s">
        <v>138</v>
      </c>
      <c r="N2464" s="55" t="s">
        <v>138</v>
      </c>
      <c r="O2464" s="55" t="s">
        <v>224</v>
      </c>
      <c r="P2464" s="55" t="s">
        <v>1872</v>
      </c>
      <c r="Q2464" s="55" t="s">
        <v>362</v>
      </c>
      <c r="R2464" s="55">
        <v>4</v>
      </c>
      <c r="S2464" s="55"/>
      <c r="T2464" s="55" t="s">
        <v>557</v>
      </c>
    </row>
    <row r="2465" spans="1:20" ht="13" x14ac:dyDescent="0.15">
      <c r="A2465" s="72" t="str">
        <f t="shared" si="38"/>
        <v>Ofsted Social Care Provider Webpage</v>
      </c>
      <c r="B2465" s="55" t="s">
        <v>4622</v>
      </c>
      <c r="D2465" s="55" t="s">
        <v>373</v>
      </c>
      <c r="E2465" s="74">
        <v>38588</v>
      </c>
      <c r="F2465" s="55" t="s">
        <v>344</v>
      </c>
      <c r="G2465" s="55" t="s">
        <v>360</v>
      </c>
      <c r="H2465" s="55" t="s">
        <v>360</v>
      </c>
      <c r="I2465" s="55" t="s">
        <v>360</v>
      </c>
      <c r="J2465" s="55" t="s">
        <v>360</v>
      </c>
      <c r="K2465" s="55" t="s">
        <v>360</v>
      </c>
      <c r="L2465" s="55" t="s">
        <v>360</v>
      </c>
      <c r="M2465" s="55" t="s">
        <v>142</v>
      </c>
      <c r="N2465" s="55" t="s">
        <v>142</v>
      </c>
      <c r="O2465" s="55" t="s">
        <v>278</v>
      </c>
      <c r="P2465" s="55" t="s">
        <v>1126</v>
      </c>
      <c r="Q2465" s="55" t="s">
        <v>380</v>
      </c>
      <c r="R2465" s="55">
        <v>4</v>
      </c>
      <c r="S2465" s="55"/>
      <c r="T2465" s="55" t="s">
        <v>3433</v>
      </c>
    </row>
    <row r="2466" spans="1:20" ht="13" x14ac:dyDescent="0.15">
      <c r="A2466" s="72" t="str">
        <f t="shared" si="38"/>
        <v>Ofsted Social Care Provider Webpage</v>
      </c>
      <c r="B2466" s="55" t="s">
        <v>4623</v>
      </c>
      <c r="D2466" s="55" t="s">
        <v>373</v>
      </c>
      <c r="E2466" s="74">
        <v>38443</v>
      </c>
      <c r="F2466" s="55" t="s">
        <v>344</v>
      </c>
      <c r="G2466" s="55" t="s">
        <v>360</v>
      </c>
      <c r="H2466" s="55" t="s">
        <v>360</v>
      </c>
      <c r="I2466" s="55" t="s">
        <v>360</v>
      </c>
      <c r="J2466" s="55" t="s">
        <v>360</v>
      </c>
      <c r="K2466" s="55" t="s">
        <v>360</v>
      </c>
      <c r="L2466" s="55" t="s">
        <v>360</v>
      </c>
      <c r="M2466" s="55" t="s">
        <v>378</v>
      </c>
      <c r="N2466" s="55" t="s">
        <v>134</v>
      </c>
      <c r="O2466" s="55" t="s">
        <v>206</v>
      </c>
      <c r="P2466" s="55" t="s">
        <v>750</v>
      </c>
      <c r="Q2466" s="55" t="s">
        <v>350</v>
      </c>
      <c r="R2466" s="55">
        <v>3</v>
      </c>
      <c r="S2466" s="55"/>
      <c r="T2466" s="55" t="s">
        <v>843</v>
      </c>
    </row>
    <row r="2467" spans="1:20" ht="13" x14ac:dyDescent="0.15">
      <c r="A2467" s="72" t="str">
        <f t="shared" si="38"/>
        <v>Ofsted Social Care Provider Webpage</v>
      </c>
      <c r="B2467" s="55" t="s">
        <v>4624</v>
      </c>
      <c r="D2467" s="55" t="s">
        <v>373</v>
      </c>
      <c r="E2467" s="74">
        <v>38470</v>
      </c>
      <c r="F2467" s="55" t="s">
        <v>344</v>
      </c>
      <c r="G2467" s="55" t="s">
        <v>360</v>
      </c>
      <c r="H2467" s="55" t="s">
        <v>360</v>
      </c>
      <c r="I2467" s="55" t="s">
        <v>360</v>
      </c>
      <c r="J2467" s="55" t="s">
        <v>360</v>
      </c>
      <c r="K2467" s="55" t="s">
        <v>360</v>
      </c>
      <c r="L2467" s="55" t="s">
        <v>360</v>
      </c>
      <c r="M2467" s="55" t="s">
        <v>172</v>
      </c>
      <c r="N2467" s="55" t="s">
        <v>172</v>
      </c>
      <c r="O2467" s="55" t="s">
        <v>235</v>
      </c>
      <c r="P2467" s="55" t="s">
        <v>2338</v>
      </c>
      <c r="Q2467" s="55" t="s">
        <v>350</v>
      </c>
      <c r="R2467" s="55">
        <v>4</v>
      </c>
      <c r="S2467" s="55"/>
      <c r="T2467" s="55" t="s">
        <v>2811</v>
      </c>
    </row>
    <row r="2468" spans="1:20" ht="13" x14ac:dyDescent="0.15">
      <c r="A2468" s="72" t="str">
        <f t="shared" si="38"/>
        <v>Ofsted Social Care Provider Webpage</v>
      </c>
      <c r="B2468" s="55" t="s">
        <v>4625</v>
      </c>
      <c r="D2468" s="55" t="s">
        <v>373</v>
      </c>
      <c r="E2468" s="74">
        <v>38532</v>
      </c>
      <c r="F2468" s="55" t="s">
        <v>344</v>
      </c>
      <c r="G2468" s="55" t="s">
        <v>360</v>
      </c>
      <c r="H2468" s="55" t="s">
        <v>360</v>
      </c>
      <c r="I2468" s="55" t="s">
        <v>360</v>
      </c>
      <c r="J2468" s="55" t="s">
        <v>360</v>
      </c>
      <c r="K2468" s="55" t="s">
        <v>360</v>
      </c>
      <c r="L2468" s="55" t="s">
        <v>360</v>
      </c>
      <c r="M2468" s="55" t="s">
        <v>378</v>
      </c>
      <c r="N2468" s="55" t="s">
        <v>134</v>
      </c>
      <c r="O2468" s="55" t="s">
        <v>151</v>
      </c>
      <c r="P2468" s="55" t="s">
        <v>1921</v>
      </c>
      <c r="Q2468" s="55" t="s">
        <v>380</v>
      </c>
      <c r="R2468" s="55">
        <v>6</v>
      </c>
      <c r="S2468" s="55"/>
      <c r="T2468" s="55" t="s">
        <v>1220</v>
      </c>
    </row>
    <row r="2469" spans="1:20" ht="13" x14ac:dyDescent="0.15">
      <c r="A2469" s="72" t="str">
        <f t="shared" si="38"/>
        <v>Ofsted Social Care Provider Webpage</v>
      </c>
      <c r="B2469" s="55" t="s">
        <v>4626</v>
      </c>
      <c r="D2469" s="55" t="s">
        <v>373</v>
      </c>
      <c r="E2469" s="74">
        <v>38443</v>
      </c>
      <c r="F2469" s="55" t="s">
        <v>344</v>
      </c>
      <c r="G2469" s="55" t="s">
        <v>360</v>
      </c>
      <c r="H2469" s="55" t="s">
        <v>360</v>
      </c>
      <c r="I2469" s="55" t="s">
        <v>360</v>
      </c>
      <c r="J2469" s="55" t="s">
        <v>360</v>
      </c>
      <c r="K2469" s="55" t="s">
        <v>360</v>
      </c>
      <c r="L2469" s="55" t="s">
        <v>360</v>
      </c>
      <c r="M2469" s="55" t="s">
        <v>172</v>
      </c>
      <c r="N2469" s="55" t="s">
        <v>172</v>
      </c>
      <c r="O2469" s="55" t="s">
        <v>212</v>
      </c>
      <c r="P2469" s="55" t="s">
        <v>592</v>
      </c>
      <c r="Q2469" s="55" t="s">
        <v>350</v>
      </c>
      <c r="R2469" s="55">
        <v>3</v>
      </c>
      <c r="S2469" s="55"/>
      <c r="T2469" s="55" t="s">
        <v>843</v>
      </c>
    </row>
    <row r="2470" spans="1:20" ht="13" x14ac:dyDescent="0.15">
      <c r="A2470" s="72" t="str">
        <f t="shared" si="38"/>
        <v>Ofsted Social Care Provider Webpage</v>
      </c>
      <c r="B2470" s="55" t="s">
        <v>4627</v>
      </c>
      <c r="D2470" s="55" t="s">
        <v>373</v>
      </c>
      <c r="E2470" s="74">
        <v>38453</v>
      </c>
      <c r="F2470" s="55" t="s">
        <v>344</v>
      </c>
      <c r="G2470" s="55" t="s">
        <v>360</v>
      </c>
      <c r="H2470" s="55" t="s">
        <v>360</v>
      </c>
      <c r="I2470" s="55" t="s">
        <v>360</v>
      </c>
      <c r="J2470" s="55" t="s">
        <v>360</v>
      </c>
      <c r="K2470" s="55" t="s">
        <v>360</v>
      </c>
      <c r="L2470" s="55" t="s">
        <v>360</v>
      </c>
      <c r="M2470" s="55" t="s">
        <v>150</v>
      </c>
      <c r="N2470" s="55" t="s">
        <v>150</v>
      </c>
      <c r="O2470" s="55" t="s">
        <v>181</v>
      </c>
      <c r="P2470" s="55" t="s">
        <v>429</v>
      </c>
      <c r="Q2470" s="55" t="s">
        <v>350</v>
      </c>
      <c r="R2470" s="55">
        <v>4</v>
      </c>
      <c r="S2470" s="55"/>
      <c r="T2470" s="55" t="s">
        <v>931</v>
      </c>
    </row>
    <row r="2471" spans="1:20" ht="13" x14ac:dyDescent="0.15">
      <c r="A2471" s="72" t="str">
        <f t="shared" si="38"/>
        <v>Ofsted Social Care Provider Webpage</v>
      </c>
      <c r="B2471" s="55" t="s">
        <v>4628</v>
      </c>
      <c r="D2471" s="55" t="s">
        <v>373</v>
      </c>
      <c r="E2471" s="74">
        <v>38475</v>
      </c>
      <c r="F2471" s="55" t="s">
        <v>344</v>
      </c>
      <c r="G2471" s="55" t="s">
        <v>360</v>
      </c>
      <c r="H2471" s="55" t="s">
        <v>360</v>
      </c>
      <c r="I2471" s="55" t="s">
        <v>360</v>
      </c>
      <c r="J2471" s="55" t="s">
        <v>360</v>
      </c>
      <c r="K2471" s="55" t="s">
        <v>360</v>
      </c>
      <c r="L2471" s="55" t="s">
        <v>360</v>
      </c>
      <c r="M2471" s="55" t="s">
        <v>142</v>
      </c>
      <c r="N2471" s="55" t="s">
        <v>142</v>
      </c>
      <c r="O2471" s="55" t="s">
        <v>262</v>
      </c>
      <c r="P2471" s="55" t="s">
        <v>618</v>
      </c>
      <c r="Q2471" s="55" t="s">
        <v>350</v>
      </c>
      <c r="R2471" s="55">
        <v>6</v>
      </c>
      <c r="S2471" s="55"/>
      <c r="T2471" s="55" t="s">
        <v>4629</v>
      </c>
    </row>
    <row r="2472" spans="1:20" ht="13" x14ac:dyDescent="0.15">
      <c r="A2472" s="72" t="str">
        <f t="shared" si="38"/>
        <v>Ofsted Social Care Provider Webpage</v>
      </c>
      <c r="B2472" s="55" t="s">
        <v>4630</v>
      </c>
      <c r="D2472" s="55" t="s">
        <v>373</v>
      </c>
      <c r="E2472" s="74">
        <v>38517</v>
      </c>
      <c r="F2472" s="55" t="s">
        <v>344</v>
      </c>
      <c r="G2472" s="55" t="s">
        <v>360</v>
      </c>
      <c r="H2472" s="55" t="s">
        <v>360</v>
      </c>
      <c r="I2472" s="55" t="s">
        <v>360</v>
      </c>
      <c r="J2472" s="55" t="s">
        <v>360</v>
      </c>
      <c r="K2472" s="55" t="s">
        <v>360</v>
      </c>
      <c r="L2472" s="55" t="s">
        <v>360</v>
      </c>
      <c r="M2472" s="55" t="s">
        <v>378</v>
      </c>
      <c r="N2472" s="55" t="s">
        <v>134</v>
      </c>
      <c r="O2472" s="55" t="s">
        <v>206</v>
      </c>
      <c r="P2472" s="55" t="s">
        <v>710</v>
      </c>
      <c r="Q2472" s="55" t="s">
        <v>350</v>
      </c>
      <c r="R2472" s="55">
        <v>3</v>
      </c>
      <c r="S2472" s="55"/>
      <c r="T2472" s="55" t="s">
        <v>442</v>
      </c>
    </row>
    <row r="2473" spans="1:20" ht="13" x14ac:dyDescent="0.15">
      <c r="A2473" s="72" t="str">
        <f t="shared" si="38"/>
        <v>Ofsted Social Care Provider Webpage</v>
      </c>
      <c r="B2473" s="55" t="s">
        <v>4631</v>
      </c>
      <c r="D2473" s="55" t="s">
        <v>373</v>
      </c>
      <c r="E2473" s="74">
        <v>38341</v>
      </c>
      <c r="F2473" s="55" t="s">
        <v>344</v>
      </c>
      <c r="G2473" s="55" t="s">
        <v>360</v>
      </c>
      <c r="H2473" s="55" t="s">
        <v>360</v>
      </c>
      <c r="I2473" s="55" t="s">
        <v>360</v>
      </c>
      <c r="J2473" s="55" t="s">
        <v>360</v>
      </c>
      <c r="K2473" s="55" t="s">
        <v>360</v>
      </c>
      <c r="L2473" s="55" t="s">
        <v>360</v>
      </c>
      <c r="M2473" s="55" t="s">
        <v>150</v>
      </c>
      <c r="N2473" s="55" t="s">
        <v>150</v>
      </c>
      <c r="O2473" s="55" t="s">
        <v>203</v>
      </c>
      <c r="P2473" s="55" t="s">
        <v>1038</v>
      </c>
      <c r="Q2473" s="55" t="s">
        <v>362</v>
      </c>
      <c r="R2473" s="55">
        <v>7</v>
      </c>
      <c r="S2473" s="55"/>
      <c r="T2473" s="55" t="s">
        <v>824</v>
      </c>
    </row>
    <row r="2474" spans="1:20" ht="13" x14ac:dyDescent="0.15">
      <c r="A2474" s="72" t="str">
        <f t="shared" si="38"/>
        <v>Ofsted Social Care Provider Webpage</v>
      </c>
      <c r="B2474" s="55" t="s">
        <v>4632</v>
      </c>
      <c r="D2474" s="55" t="s">
        <v>389</v>
      </c>
      <c r="E2474" s="74">
        <v>38509</v>
      </c>
      <c r="F2474" s="55" t="s">
        <v>344</v>
      </c>
      <c r="G2474" s="55" t="s">
        <v>4633</v>
      </c>
      <c r="H2474" s="55" t="s">
        <v>4634</v>
      </c>
      <c r="I2474" s="55" t="s">
        <v>4635</v>
      </c>
      <c r="J2474" s="55" t="s">
        <v>4477</v>
      </c>
      <c r="L2474" s="55" t="s">
        <v>4636</v>
      </c>
      <c r="M2474" s="55" t="s">
        <v>150</v>
      </c>
      <c r="N2474" s="55" t="s">
        <v>150</v>
      </c>
      <c r="O2474" s="55" t="s">
        <v>285</v>
      </c>
      <c r="P2474" s="55" t="s">
        <v>2001</v>
      </c>
      <c r="Q2474" s="55" t="s">
        <v>350</v>
      </c>
      <c r="R2474" s="55"/>
      <c r="S2474" s="55"/>
      <c r="T2474" s="55" t="s">
        <v>4637</v>
      </c>
    </row>
    <row r="2475" spans="1:20" ht="13" x14ac:dyDescent="0.15">
      <c r="A2475" s="72" t="str">
        <f t="shared" si="38"/>
        <v>Ofsted Social Care Provider Webpage</v>
      </c>
      <c r="B2475" s="55" t="s">
        <v>4638</v>
      </c>
      <c r="D2475" s="55" t="s">
        <v>373</v>
      </c>
      <c r="E2475" s="74">
        <v>38589</v>
      </c>
      <c r="F2475" s="55" t="s">
        <v>344</v>
      </c>
      <c r="G2475" s="55" t="s">
        <v>360</v>
      </c>
      <c r="H2475" s="55" t="s">
        <v>360</v>
      </c>
      <c r="I2475" s="55" t="s">
        <v>360</v>
      </c>
      <c r="J2475" s="55" t="s">
        <v>360</v>
      </c>
      <c r="K2475" s="55" t="s">
        <v>360</v>
      </c>
      <c r="L2475" s="55" t="s">
        <v>360</v>
      </c>
      <c r="M2475" s="55" t="s">
        <v>142</v>
      </c>
      <c r="N2475" s="55" t="s">
        <v>142</v>
      </c>
      <c r="O2475" s="55" t="s">
        <v>166</v>
      </c>
      <c r="P2475" s="55" t="s">
        <v>1476</v>
      </c>
      <c r="Q2475" s="55" t="s">
        <v>350</v>
      </c>
      <c r="R2475" s="55">
        <v>4</v>
      </c>
      <c r="S2475" s="55"/>
      <c r="T2475" s="55" t="s">
        <v>1164</v>
      </c>
    </row>
    <row r="2476" spans="1:20" ht="13" x14ac:dyDescent="0.15">
      <c r="A2476" s="72" t="str">
        <f t="shared" si="38"/>
        <v>Ofsted Social Care Provider Webpage</v>
      </c>
      <c r="B2476" s="55" t="s">
        <v>4639</v>
      </c>
      <c r="D2476" s="55" t="s">
        <v>373</v>
      </c>
      <c r="E2476" s="74">
        <v>38531</v>
      </c>
      <c r="F2476" s="55" t="s">
        <v>344</v>
      </c>
      <c r="G2476" s="55" t="s">
        <v>360</v>
      </c>
      <c r="H2476" s="55" t="s">
        <v>360</v>
      </c>
      <c r="I2476" s="55" t="s">
        <v>360</v>
      </c>
      <c r="J2476" s="55" t="s">
        <v>360</v>
      </c>
      <c r="K2476" s="55" t="s">
        <v>360</v>
      </c>
      <c r="L2476" s="55" t="s">
        <v>360</v>
      </c>
      <c r="M2476" s="55" t="s">
        <v>129</v>
      </c>
      <c r="N2476" s="55" t="s">
        <v>129</v>
      </c>
      <c r="O2476" s="55" t="s">
        <v>242</v>
      </c>
      <c r="P2476" s="55" t="s">
        <v>1519</v>
      </c>
      <c r="Q2476" s="55" t="s">
        <v>350</v>
      </c>
      <c r="R2476" s="55">
        <v>6</v>
      </c>
      <c r="S2476" s="55"/>
      <c r="T2476" s="55" t="s">
        <v>4640</v>
      </c>
    </row>
    <row r="2477" spans="1:20" ht="13" x14ac:dyDescent="0.15">
      <c r="A2477" s="72" t="str">
        <f t="shared" si="38"/>
        <v>Ofsted Social Care Provider Webpage</v>
      </c>
      <c r="B2477" s="55" t="s">
        <v>4641</v>
      </c>
      <c r="D2477" s="55" t="s">
        <v>389</v>
      </c>
      <c r="E2477" s="74">
        <v>38569</v>
      </c>
      <c r="F2477" s="55" t="s">
        <v>344</v>
      </c>
      <c r="G2477" s="55" t="s">
        <v>4642</v>
      </c>
      <c r="H2477" s="55" t="s">
        <v>4643</v>
      </c>
      <c r="I2477" s="55" t="s">
        <v>4644</v>
      </c>
      <c r="J2477" s="55" t="s">
        <v>2602</v>
      </c>
      <c r="K2477" s="55" t="s">
        <v>190</v>
      </c>
      <c r="L2477" s="55" t="s">
        <v>4645</v>
      </c>
      <c r="M2477" s="55" t="s">
        <v>150</v>
      </c>
      <c r="N2477" s="55" t="s">
        <v>150</v>
      </c>
      <c r="O2477" s="55" t="s">
        <v>190</v>
      </c>
      <c r="P2477" s="55" t="s">
        <v>887</v>
      </c>
      <c r="Q2477" s="55" t="s">
        <v>350</v>
      </c>
      <c r="R2477" s="55"/>
      <c r="S2477" s="55"/>
      <c r="T2477" s="55" t="s">
        <v>4646</v>
      </c>
    </row>
    <row r="2478" spans="1:20" ht="13" x14ac:dyDescent="0.15">
      <c r="A2478" s="72" t="str">
        <f t="shared" si="38"/>
        <v>Ofsted Social Care Provider Webpage</v>
      </c>
      <c r="B2478" s="55" t="s">
        <v>4647</v>
      </c>
      <c r="D2478" s="55" t="s">
        <v>389</v>
      </c>
      <c r="E2478" s="74">
        <v>38435</v>
      </c>
      <c r="F2478" s="55" t="s">
        <v>344</v>
      </c>
      <c r="G2478" s="55" t="s">
        <v>4648</v>
      </c>
      <c r="H2478" s="55" t="s">
        <v>4649</v>
      </c>
      <c r="I2478" s="55" t="s">
        <v>4650</v>
      </c>
      <c r="J2478" s="55" t="s">
        <v>570</v>
      </c>
      <c r="L2478" s="55" t="s">
        <v>4651</v>
      </c>
      <c r="M2478" s="55" t="s">
        <v>136</v>
      </c>
      <c r="N2478" s="55" t="s">
        <v>136</v>
      </c>
      <c r="O2478" s="55" t="s">
        <v>174</v>
      </c>
      <c r="P2478" s="55" t="s">
        <v>572</v>
      </c>
      <c r="Q2478" s="55" t="s">
        <v>362</v>
      </c>
      <c r="R2478" s="55"/>
      <c r="S2478" s="55"/>
      <c r="T2478" s="55" t="s">
        <v>367</v>
      </c>
    </row>
    <row r="2479" spans="1:20" ht="13" x14ac:dyDescent="0.15">
      <c r="A2479" s="72" t="str">
        <f t="shared" si="38"/>
        <v>Ofsted Social Care Provider Webpage</v>
      </c>
      <c r="B2479" s="55" t="s">
        <v>4652</v>
      </c>
      <c r="D2479" s="55" t="s">
        <v>373</v>
      </c>
      <c r="E2479" s="74">
        <v>38484</v>
      </c>
      <c r="F2479" s="55" t="s">
        <v>344</v>
      </c>
      <c r="G2479" s="55" t="s">
        <v>360</v>
      </c>
      <c r="H2479" s="55" t="s">
        <v>360</v>
      </c>
      <c r="I2479" s="55" t="s">
        <v>360</v>
      </c>
      <c r="J2479" s="55" t="s">
        <v>360</v>
      </c>
      <c r="K2479" s="55" t="s">
        <v>360</v>
      </c>
      <c r="L2479" s="55" t="s">
        <v>360</v>
      </c>
      <c r="M2479" s="55" t="s">
        <v>144</v>
      </c>
      <c r="N2479" s="55" t="s">
        <v>144</v>
      </c>
      <c r="O2479" s="55" t="s">
        <v>287</v>
      </c>
      <c r="P2479" s="55" t="s">
        <v>287</v>
      </c>
      <c r="Q2479" s="55" t="s">
        <v>350</v>
      </c>
      <c r="R2479" s="55">
        <v>4</v>
      </c>
      <c r="S2479" s="55"/>
      <c r="T2479" s="55" t="s">
        <v>4653</v>
      </c>
    </row>
    <row r="2480" spans="1:20" ht="13" x14ac:dyDescent="0.15">
      <c r="A2480" s="72" t="str">
        <f t="shared" si="38"/>
        <v>Ofsted Social Care Provider Webpage</v>
      </c>
      <c r="B2480" s="55" t="s">
        <v>4654</v>
      </c>
      <c r="D2480" s="55" t="s">
        <v>373</v>
      </c>
      <c r="E2480" s="74">
        <v>38714</v>
      </c>
      <c r="F2480" s="55" t="s">
        <v>344</v>
      </c>
      <c r="G2480" s="55" t="s">
        <v>360</v>
      </c>
      <c r="H2480" s="55" t="s">
        <v>360</v>
      </c>
      <c r="I2480" s="55" t="s">
        <v>360</v>
      </c>
      <c r="J2480" s="55" t="s">
        <v>360</v>
      </c>
      <c r="K2480" s="55" t="s">
        <v>360</v>
      </c>
      <c r="L2480" s="55" t="s">
        <v>360</v>
      </c>
      <c r="M2480" s="55" t="s">
        <v>378</v>
      </c>
      <c r="N2480" s="55" t="s">
        <v>134</v>
      </c>
      <c r="O2480" s="55" t="s">
        <v>133</v>
      </c>
      <c r="P2480" s="55" t="s">
        <v>4655</v>
      </c>
      <c r="Q2480" s="55" t="s">
        <v>350</v>
      </c>
      <c r="R2480" s="55">
        <v>2</v>
      </c>
      <c r="S2480" s="55"/>
      <c r="T2480" s="55" t="s">
        <v>2448</v>
      </c>
    </row>
    <row r="2481" spans="1:20" ht="13" x14ac:dyDescent="0.15">
      <c r="A2481" s="72" t="str">
        <f t="shared" si="38"/>
        <v>Ofsted Social Care Provider Webpage</v>
      </c>
      <c r="B2481" s="55" t="s">
        <v>4656</v>
      </c>
      <c r="D2481" s="55" t="s">
        <v>373</v>
      </c>
      <c r="E2481" s="74">
        <v>38623</v>
      </c>
      <c r="F2481" s="55" t="s">
        <v>344</v>
      </c>
      <c r="G2481" s="55" t="s">
        <v>360</v>
      </c>
      <c r="H2481" s="55" t="s">
        <v>360</v>
      </c>
      <c r="I2481" s="55" t="s">
        <v>360</v>
      </c>
      <c r="J2481" s="55" t="s">
        <v>360</v>
      </c>
      <c r="K2481" s="55" t="s">
        <v>360</v>
      </c>
      <c r="L2481" s="55" t="s">
        <v>360</v>
      </c>
      <c r="M2481" s="55" t="s">
        <v>136</v>
      </c>
      <c r="N2481" s="55" t="s">
        <v>136</v>
      </c>
      <c r="O2481" s="55" t="s">
        <v>174</v>
      </c>
      <c r="P2481" s="55" t="s">
        <v>982</v>
      </c>
      <c r="Q2481" s="55" t="s">
        <v>350</v>
      </c>
      <c r="R2481" s="55">
        <v>3</v>
      </c>
      <c r="S2481" s="55"/>
      <c r="T2481" s="55" t="s">
        <v>1917</v>
      </c>
    </row>
    <row r="2482" spans="1:20" ht="13" x14ac:dyDescent="0.15">
      <c r="A2482" s="72" t="str">
        <f t="shared" si="38"/>
        <v>Ofsted Social Care Provider Webpage</v>
      </c>
      <c r="B2482" s="55" t="s">
        <v>4657</v>
      </c>
      <c r="D2482" s="55" t="s">
        <v>373</v>
      </c>
      <c r="E2482" s="74">
        <v>38728</v>
      </c>
      <c r="F2482" s="55" t="s">
        <v>344</v>
      </c>
      <c r="G2482" s="55" t="s">
        <v>360</v>
      </c>
      <c r="H2482" s="55" t="s">
        <v>360</v>
      </c>
      <c r="I2482" s="55" t="s">
        <v>360</v>
      </c>
      <c r="J2482" s="55" t="s">
        <v>360</v>
      </c>
      <c r="K2482" s="55" t="s">
        <v>360</v>
      </c>
      <c r="L2482" s="55" t="s">
        <v>360</v>
      </c>
      <c r="M2482" s="55" t="s">
        <v>144</v>
      </c>
      <c r="N2482" s="55" t="s">
        <v>144</v>
      </c>
      <c r="O2482" s="55" t="s">
        <v>209</v>
      </c>
      <c r="P2482" s="55" t="s">
        <v>629</v>
      </c>
      <c r="Q2482" s="55" t="s">
        <v>350</v>
      </c>
      <c r="R2482" s="55">
        <v>3</v>
      </c>
      <c r="S2482" s="55"/>
      <c r="T2482" s="55" t="s">
        <v>1363</v>
      </c>
    </row>
    <row r="2483" spans="1:20" ht="13" x14ac:dyDescent="0.15">
      <c r="A2483" s="72" t="str">
        <f t="shared" si="38"/>
        <v>Ofsted Social Care Provider Webpage</v>
      </c>
      <c r="B2483" s="55" t="s">
        <v>4658</v>
      </c>
      <c r="D2483" s="55" t="s">
        <v>373</v>
      </c>
      <c r="E2483" s="74">
        <v>38677</v>
      </c>
      <c r="F2483" s="55" t="s">
        <v>344</v>
      </c>
      <c r="G2483" s="55" t="s">
        <v>360</v>
      </c>
      <c r="H2483" s="55" t="s">
        <v>360</v>
      </c>
      <c r="I2483" s="55" t="s">
        <v>360</v>
      </c>
      <c r="J2483" s="55" t="s">
        <v>360</v>
      </c>
      <c r="K2483" s="55" t="s">
        <v>360</v>
      </c>
      <c r="L2483" s="55" t="s">
        <v>360</v>
      </c>
      <c r="M2483" s="55" t="s">
        <v>144</v>
      </c>
      <c r="N2483" s="55" t="s">
        <v>144</v>
      </c>
      <c r="O2483" s="55" t="s">
        <v>236</v>
      </c>
      <c r="P2483" s="55" t="s">
        <v>996</v>
      </c>
      <c r="Q2483" s="55" t="s">
        <v>350</v>
      </c>
      <c r="R2483" s="55">
        <v>2</v>
      </c>
      <c r="S2483" s="55"/>
      <c r="T2483" s="55" t="s">
        <v>711</v>
      </c>
    </row>
    <row r="2484" spans="1:20" ht="13" x14ac:dyDescent="0.15">
      <c r="A2484" s="72" t="str">
        <f t="shared" si="38"/>
        <v>Ofsted Social Care Provider Webpage</v>
      </c>
      <c r="B2484" s="55" t="s">
        <v>4659</v>
      </c>
      <c r="D2484" s="55" t="s">
        <v>373</v>
      </c>
      <c r="E2484" s="74">
        <v>38629</v>
      </c>
      <c r="F2484" s="55" t="s">
        <v>344</v>
      </c>
      <c r="G2484" s="55" t="s">
        <v>360</v>
      </c>
      <c r="H2484" s="55" t="s">
        <v>360</v>
      </c>
      <c r="I2484" s="55" t="s">
        <v>360</v>
      </c>
      <c r="J2484" s="55" t="s">
        <v>360</v>
      </c>
      <c r="K2484" s="55" t="s">
        <v>360</v>
      </c>
      <c r="L2484" s="55" t="s">
        <v>360</v>
      </c>
      <c r="M2484" s="55" t="s">
        <v>138</v>
      </c>
      <c r="N2484" s="55" t="s">
        <v>138</v>
      </c>
      <c r="O2484" s="55" t="s">
        <v>159</v>
      </c>
      <c r="P2484" s="55" t="s">
        <v>1025</v>
      </c>
      <c r="Q2484" s="55" t="s">
        <v>350</v>
      </c>
      <c r="R2484" s="55">
        <v>6</v>
      </c>
      <c r="S2484" s="55"/>
      <c r="T2484" s="55" t="s">
        <v>1221</v>
      </c>
    </row>
    <row r="2485" spans="1:20" ht="13" x14ac:dyDescent="0.15">
      <c r="A2485" s="72" t="str">
        <f t="shared" si="38"/>
        <v>Ofsted Social Care Provider Webpage</v>
      </c>
      <c r="B2485" s="55" t="s">
        <v>4660</v>
      </c>
      <c r="D2485" s="55" t="s">
        <v>373</v>
      </c>
      <c r="E2485" s="74">
        <v>38523</v>
      </c>
      <c r="F2485" s="55" t="s">
        <v>344</v>
      </c>
      <c r="G2485" s="55" t="s">
        <v>360</v>
      </c>
      <c r="H2485" s="55" t="s">
        <v>360</v>
      </c>
      <c r="I2485" s="55" t="s">
        <v>360</v>
      </c>
      <c r="J2485" s="55" t="s">
        <v>360</v>
      </c>
      <c r="K2485" s="55" t="s">
        <v>360</v>
      </c>
      <c r="L2485" s="55" t="s">
        <v>360</v>
      </c>
      <c r="M2485" s="55" t="s">
        <v>144</v>
      </c>
      <c r="N2485" s="55" t="s">
        <v>144</v>
      </c>
      <c r="O2485" s="55" t="s">
        <v>261</v>
      </c>
      <c r="P2485" s="55" t="s">
        <v>792</v>
      </c>
      <c r="Q2485" s="55" t="s">
        <v>350</v>
      </c>
      <c r="R2485" s="55">
        <v>1</v>
      </c>
      <c r="S2485" s="55"/>
      <c r="T2485" s="55" t="s">
        <v>4505</v>
      </c>
    </row>
    <row r="2486" spans="1:20" ht="13" x14ac:dyDescent="0.15">
      <c r="A2486" s="72" t="str">
        <f t="shared" si="38"/>
        <v>Ofsted Social Care Provider Webpage</v>
      </c>
      <c r="B2486" s="55" t="s">
        <v>4661</v>
      </c>
      <c r="D2486" s="55" t="s">
        <v>373</v>
      </c>
      <c r="E2486" s="74">
        <v>38579</v>
      </c>
      <c r="F2486" s="55" t="s">
        <v>344</v>
      </c>
      <c r="G2486" s="55" t="s">
        <v>360</v>
      </c>
      <c r="H2486" s="55" t="s">
        <v>360</v>
      </c>
      <c r="I2486" s="55" t="s">
        <v>360</v>
      </c>
      <c r="J2486" s="55" t="s">
        <v>360</v>
      </c>
      <c r="K2486" s="55" t="s">
        <v>360</v>
      </c>
      <c r="L2486" s="55" t="s">
        <v>360</v>
      </c>
      <c r="M2486" s="55" t="s">
        <v>144</v>
      </c>
      <c r="N2486" s="55" t="s">
        <v>144</v>
      </c>
      <c r="O2486" s="55" t="s">
        <v>250</v>
      </c>
      <c r="P2486" s="55" t="s">
        <v>1372</v>
      </c>
      <c r="Q2486" s="55" t="s">
        <v>350</v>
      </c>
      <c r="R2486" s="55">
        <v>7</v>
      </c>
      <c r="S2486" s="55"/>
      <c r="T2486" s="55" t="s">
        <v>4662</v>
      </c>
    </row>
    <row r="2487" spans="1:20" ht="13" x14ac:dyDescent="0.15">
      <c r="A2487" s="72" t="str">
        <f t="shared" si="38"/>
        <v>Ofsted Social Care Provider Webpage</v>
      </c>
      <c r="B2487" s="55" t="s">
        <v>4663</v>
      </c>
      <c r="D2487" s="55" t="s">
        <v>373</v>
      </c>
      <c r="E2487" s="74">
        <v>38797</v>
      </c>
      <c r="F2487" s="55" t="s">
        <v>344</v>
      </c>
      <c r="G2487" s="55" t="s">
        <v>360</v>
      </c>
      <c r="H2487" s="55" t="s">
        <v>360</v>
      </c>
      <c r="I2487" s="55" t="s">
        <v>360</v>
      </c>
      <c r="J2487" s="55" t="s">
        <v>360</v>
      </c>
      <c r="K2487" s="55" t="s">
        <v>360</v>
      </c>
      <c r="L2487" s="55" t="s">
        <v>360</v>
      </c>
      <c r="M2487" s="55" t="s">
        <v>144</v>
      </c>
      <c r="N2487" s="55" t="s">
        <v>144</v>
      </c>
      <c r="O2487" s="55" t="s">
        <v>217</v>
      </c>
      <c r="P2487" s="55" t="s">
        <v>397</v>
      </c>
      <c r="Q2487" s="55" t="s">
        <v>350</v>
      </c>
      <c r="R2487" s="55">
        <v>2</v>
      </c>
      <c r="S2487" s="55"/>
      <c r="T2487" s="55" t="s">
        <v>385</v>
      </c>
    </row>
    <row r="2488" spans="1:20" ht="13" x14ac:dyDescent="0.15">
      <c r="A2488" s="72" t="str">
        <f t="shared" si="38"/>
        <v>Ofsted Social Care Provider Webpage</v>
      </c>
      <c r="B2488" s="55" t="s">
        <v>4664</v>
      </c>
      <c r="D2488" s="55" t="s">
        <v>373</v>
      </c>
      <c r="E2488" s="74">
        <v>38622</v>
      </c>
      <c r="F2488" s="55" t="s">
        <v>344</v>
      </c>
      <c r="G2488" s="55" t="s">
        <v>360</v>
      </c>
      <c r="H2488" s="55" t="s">
        <v>360</v>
      </c>
      <c r="I2488" s="55" t="s">
        <v>360</v>
      </c>
      <c r="J2488" s="55" t="s">
        <v>360</v>
      </c>
      <c r="K2488" s="55" t="s">
        <v>360</v>
      </c>
      <c r="L2488" s="55" t="s">
        <v>360</v>
      </c>
      <c r="M2488" s="55" t="s">
        <v>144</v>
      </c>
      <c r="N2488" s="55" t="s">
        <v>144</v>
      </c>
      <c r="O2488" s="55" t="s">
        <v>209</v>
      </c>
      <c r="P2488" s="55" t="s">
        <v>1858</v>
      </c>
      <c r="Q2488" s="55" t="s">
        <v>380</v>
      </c>
      <c r="R2488" s="55">
        <v>4</v>
      </c>
      <c r="S2488" s="55"/>
      <c r="T2488" s="55" t="s">
        <v>657</v>
      </c>
    </row>
    <row r="2489" spans="1:20" ht="13" x14ac:dyDescent="0.15">
      <c r="A2489" s="72" t="str">
        <f t="shared" si="38"/>
        <v>Ofsted Social Care Provider Webpage</v>
      </c>
      <c r="B2489" s="55" t="s">
        <v>4665</v>
      </c>
      <c r="D2489" s="55" t="s">
        <v>373</v>
      </c>
      <c r="E2489" s="74">
        <v>38540</v>
      </c>
      <c r="F2489" s="55" t="s">
        <v>344</v>
      </c>
      <c r="G2489" s="55" t="s">
        <v>360</v>
      </c>
      <c r="H2489" s="55" t="s">
        <v>360</v>
      </c>
      <c r="I2489" s="55" t="s">
        <v>360</v>
      </c>
      <c r="J2489" s="55" t="s">
        <v>360</v>
      </c>
      <c r="K2489" s="55" t="s">
        <v>360</v>
      </c>
      <c r="L2489" s="55" t="s">
        <v>360</v>
      </c>
      <c r="M2489" s="55" t="s">
        <v>144</v>
      </c>
      <c r="N2489" s="55" t="s">
        <v>144</v>
      </c>
      <c r="O2489" s="55" t="s">
        <v>245</v>
      </c>
      <c r="P2489" s="55" t="s">
        <v>1796</v>
      </c>
      <c r="Q2489" s="55" t="s">
        <v>350</v>
      </c>
      <c r="R2489" s="55">
        <v>3</v>
      </c>
      <c r="S2489" s="55"/>
      <c r="T2489" s="55" t="s">
        <v>613</v>
      </c>
    </row>
    <row r="2490" spans="1:20" ht="13" x14ac:dyDescent="0.15">
      <c r="A2490" s="72" t="str">
        <f t="shared" si="38"/>
        <v>Ofsted Social Care Provider Webpage</v>
      </c>
      <c r="B2490" s="55" t="s">
        <v>4666</v>
      </c>
      <c r="D2490" s="55" t="s">
        <v>373</v>
      </c>
      <c r="E2490" s="74">
        <v>38527</v>
      </c>
      <c r="F2490" s="55" t="s">
        <v>344</v>
      </c>
      <c r="G2490" s="55" t="s">
        <v>360</v>
      </c>
      <c r="H2490" s="55" t="s">
        <v>360</v>
      </c>
      <c r="I2490" s="55" t="s">
        <v>360</v>
      </c>
      <c r="J2490" s="55" t="s">
        <v>360</v>
      </c>
      <c r="K2490" s="55" t="s">
        <v>360</v>
      </c>
      <c r="L2490" s="55" t="s">
        <v>360</v>
      </c>
      <c r="M2490" s="55" t="s">
        <v>144</v>
      </c>
      <c r="N2490" s="55" t="s">
        <v>144</v>
      </c>
      <c r="O2490" s="55" t="s">
        <v>248</v>
      </c>
      <c r="P2490" s="55" t="s">
        <v>439</v>
      </c>
      <c r="Q2490" s="55" t="s">
        <v>380</v>
      </c>
      <c r="R2490" s="55">
        <v>4</v>
      </c>
      <c r="S2490" s="55"/>
      <c r="T2490" s="55" t="s">
        <v>3749</v>
      </c>
    </row>
    <row r="2491" spans="1:20" ht="13" x14ac:dyDescent="0.15">
      <c r="A2491" s="72" t="str">
        <f t="shared" si="38"/>
        <v>Ofsted Social Care Provider Webpage</v>
      </c>
      <c r="B2491" s="55" t="s">
        <v>4667</v>
      </c>
      <c r="D2491" s="55" t="s">
        <v>389</v>
      </c>
      <c r="E2491" s="74">
        <v>38709</v>
      </c>
      <c r="F2491" s="55" t="s">
        <v>344</v>
      </c>
      <c r="G2491" s="55" t="s">
        <v>4668</v>
      </c>
      <c r="H2491" s="55" t="s">
        <v>4669</v>
      </c>
      <c r="I2491" s="55" t="s">
        <v>354</v>
      </c>
      <c r="J2491" s="55" t="s">
        <v>4670</v>
      </c>
      <c r="K2491" s="55" t="s">
        <v>1746</v>
      </c>
      <c r="L2491" s="55" t="s">
        <v>4671</v>
      </c>
      <c r="M2491" s="55" t="s">
        <v>129</v>
      </c>
      <c r="N2491" s="55" t="s">
        <v>129</v>
      </c>
      <c r="O2491" s="55" t="s">
        <v>182</v>
      </c>
      <c r="P2491" s="55" t="s">
        <v>1660</v>
      </c>
      <c r="Q2491" s="55" t="s">
        <v>350</v>
      </c>
      <c r="R2491" s="55"/>
      <c r="S2491" s="55"/>
      <c r="T2491" s="55" t="s">
        <v>4672</v>
      </c>
    </row>
    <row r="2492" spans="1:20" ht="13" x14ac:dyDescent="0.15">
      <c r="A2492" s="72" t="str">
        <f t="shared" si="38"/>
        <v>Ofsted Social Care Provider Webpage</v>
      </c>
      <c r="B2492" s="55" t="s">
        <v>4673</v>
      </c>
      <c r="D2492" s="55" t="s">
        <v>373</v>
      </c>
      <c r="E2492" s="74">
        <v>38617</v>
      </c>
      <c r="F2492" s="55" t="s">
        <v>344</v>
      </c>
      <c r="G2492" s="55" t="s">
        <v>360</v>
      </c>
      <c r="H2492" s="55" t="s">
        <v>360</v>
      </c>
      <c r="I2492" s="55" t="s">
        <v>360</v>
      </c>
      <c r="J2492" s="55" t="s">
        <v>360</v>
      </c>
      <c r="K2492" s="55" t="s">
        <v>360</v>
      </c>
      <c r="L2492" s="55" t="s">
        <v>360</v>
      </c>
      <c r="M2492" s="55" t="s">
        <v>378</v>
      </c>
      <c r="N2492" s="55" t="s">
        <v>170</v>
      </c>
      <c r="O2492" s="55" t="s">
        <v>169</v>
      </c>
      <c r="P2492" s="55" t="s">
        <v>169</v>
      </c>
      <c r="Q2492" s="55" t="s">
        <v>350</v>
      </c>
      <c r="R2492" s="55">
        <v>8</v>
      </c>
      <c r="S2492" s="55"/>
      <c r="T2492" s="55" t="s">
        <v>2367</v>
      </c>
    </row>
    <row r="2493" spans="1:20" ht="13" x14ac:dyDescent="0.15">
      <c r="A2493" s="72" t="str">
        <f t="shared" si="38"/>
        <v>Ofsted Social Care Provider Webpage</v>
      </c>
      <c r="B2493" s="55" t="s">
        <v>4674</v>
      </c>
      <c r="D2493" s="55" t="s">
        <v>373</v>
      </c>
      <c r="E2493" s="74">
        <v>38714</v>
      </c>
      <c r="F2493" s="55" t="s">
        <v>344</v>
      </c>
      <c r="G2493" s="55" t="s">
        <v>360</v>
      </c>
      <c r="H2493" s="55" t="s">
        <v>360</v>
      </c>
      <c r="I2493" s="55" t="s">
        <v>360</v>
      </c>
      <c r="J2493" s="55" t="s">
        <v>360</v>
      </c>
      <c r="K2493" s="55" t="s">
        <v>360</v>
      </c>
      <c r="L2493" s="55" t="s">
        <v>360</v>
      </c>
      <c r="M2493" s="55" t="s">
        <v>378</v>
      </c>
      <c r="N2493" s="55" t="s">
        <v>134</v>
      </c>
      <c r="O2493" s="55" t="s">
        <v>133</v>
      </c>
      <c r="P2493" s="55" t="s">
        <v>2789</v>
      </c>
      <c r="Q2493" s="55" t="s">
        <v>350</v>
      </c>
      <c r="R2493" s="55">
        <v>3</v>
      </c>
      <c r="S2493" s="55"/>
      <c r="T2493" s="55" t="s">
        <v>2448</v>
      </c>
    </row>
    <row r="2494" spans="1:20" ht="13" x14ac:dyDescent="0.15">
      <c r="A2494" s="72" t="str">
        <f t="shared" si="38"/>
        <v>Ofsted Social Care Provider Webpage</v>
      </c>
      <c r="B2494" s="55" t="s">
        <v>4675</v>
      </c>
      <c r="D2494" s="55" t="s">
        <v>373</v>
      </c>
      <c r="E2494" s="74">
        <v>38611</v>
      </c>
      <c r="F2494" s="55" t="s">
        <v>344</v>
      </c>
      <c r="G2494" s="55" t="s">
        <v>360</v>
      </c>
      <c r="H2494" s="55" t="s">
        <v>360</v>
      </c>
      <c r="I2494" s="55" t="s">
        <v>360</v>
      </c>
      <c r="J2494" s="55" t="s">
        <v>360</v>
      </c>
      <c r="K2494" s="55" t="s">
        <v>360</v>
      </c>
      <c r="L2494" s="55" t="s">
        <v>360</v>
      </c>
      <c r="M2494" s="55" t="s">
        <v>136</v>
      </c>
      <c r="N2494" s="55" t="s">
        <v>136</v>
      </c>
      <c r="O2494" s="55" t="s">
        <v>705</v>
      </c>
      <c r="P2494" s="55" t="s">
        <v>891</v>
      </c>
      <c r="Q2494" s="55" t="s">
        <v>350</v>
      </c>
      <c r="R2494" s="55">
        <v>3</v>
      </c>
      <c r="S2494" s="55"/>
      <c r="T2494" s="55" t="s">
        <v>892</v>
      </c>
    </row>
    <row r="2495" spans="1:20" ht="13" x14ac:dyDescent="0.15">
      <c r="A2495" s="72" t="str">
        <f t="shared" si="38"/>
        <v>Ofsted Social Care Provider Webpage</v>
      </c>
      <c r="B2495" s="55" t="s">
        <v>4676</v>
      </c>
      <c r="D2495" s="55" t="s">
        <v>373</v>
      </c>
      <c r="E2495" s="74">
        <v>38770</v>
      </c>
      <c r="F2495" s="55" t="s">
        <v>344</v>
      </c>
      <c r="G2495" s="55" t="s">
        <v>360</v>
      </c>
      <c r="H2495" s="55" t="s">
        <v>360</v>
      </c>
      <c r="I2495" s="55" t="s">
        <v>360</v>
      </c>
      <c r="J2495" s="55" t="s">
        <v>360</v>
      </c>
      <c r="K2495" s="55" t="s">
        <v>360</v>
      </c>
      <c r="L2495" s="55" t="s">
        <v>360</v>
      </c>
      <c r="M2495" s="55" t="s">
        <v>142</v>
      </c>
      <c r="N2495" s="55" t="s">
        <v>142</v>
      </c>
      <c r="O2495" s="55" t="s">
        <v>265</v>
      </c>
      <c r="P2495" s="55" t="s">
        <v>540</v>
      </c>
      <c r="Q2495" s="55" t="s">
        <v>380</v>
      </c>
      <c r="R2495" s="55">
        <v>2</v>
      </c>
      <c r="S2495" s="55"/>
      <c r="T2495" s="55" t="s">
        <v>1067</v>
      </c>
    </row>
    <row r="2496" spans="1:20" ht="13" x14ac:dyDescent="0.15">
      <c r="A2496" s="72" t="str">
        <f t="shared" si="38"/>
        <v>Ofsted Social Care Provider Webpage</v>
      </c>
      <c r="B2496" s="55" t="s">
        <v>4677</v>
      </c>
      <c r="D2496" s="55" t="s">
        <v>373</v>
      </c>
      <c r="E2496" s="74">
        <v>38596</v>
      </c>
      <c r="F2496" s="55" t="s">
        <v>344</v>
      </c>
      <c r="G2496" s="55" t="s">
        <v>360</v>
      </c>
      <c r="H2496" s="55" t="s">
        <v>360</v>
      </c>
      <c r="I2496" s="55" t="s">
        <v>360</v>
      </c>
      <c r="J2496" s="55" t="s">
        <v>360</v>
      </c>
      <c r="K2496" s="55" t="s">
        <v>360</v>
      </c>
      <c r="L2496" s="55" t="s">
        <v>360</v>
      </c>
      <c r="M2496" s="55" t="s">
        <v>144</v>
      </c>
      <c r="N2496" s="55" t="s">
        <v>144</v>
      </c>
      <c r="O2496" s="55" t="s">
        <v>248</v>
      </c>
      <c r="P2496" s="55" t="s">
        <v>439</v>
      </c>
      <c r="Q2496" s="55" t="s">
        <v>380</v>
      </c>
      <c r="R2496" s="55">
        <v>5</v>
      </c>
      <c r="S2496" s="55"/>
      <c r="T2496" s="55" t="s">
        <v>3749</v>
      </c>
    </row>
    <row r="2497" spans="1:20" ht="13" x14ac:dyDescent="0.15">
      <c r="A2497" s="72" t="str">
        <f t="shared" si="38"/>
        <v>Ofsted Social Care Provider Webpage</v>
      </c>
      <c r="B2497" s="55" t="s">
        <v>4678</v>
      </c>
      <c r="D2497" s="55" t="s">
        <v>479</v>
      </c>
      <c r="E2497" s="74">
        <v>38656</v>
      </c>
      <c r="F2497" s="55" t="s">
        <v>344</v>
      </c>
      <c r="G2497" s="55" t="s">
        <v>360</v>
      </c>
      <c r="H2497" s="55" t="s">
        <v>360</v>
      </c>
      <c r="I2497" s="55" t="s">
        <v>360</v>
      </c>
      <c r="J2497" s="55" t="s">
        <v>360</v>
      </c>
      <c r="K2497" s="55" t="s">
        <v>360</v>
      </c>
      <c r="L2497" s="55" t="s">
        <v>360</v>
      </c>
      <c r="M2497" s="55" t="s">
        <v>172</v>
      </c>
      <c r="N2497" s="55" t="s">
        <v>172</v>
      </c>
      <c r="O2497" s="55" t="s">
        <v>247</v>
      </c>
      <c r="P2497" s="55" t="s">
        <v>798</v>
      </c>
      <c r="Q2497" s="55" t="s">
        <v>350</v>
      </c>
      <c r="R2497" s="55">
        <v>12</v>
      </c>
      <c r="S2497" s="55"/>
      <c r="T2497" s="55" t="s">
        <v>4679</v>
      </c>
    </row>
    <row r="2498" spans="1:20" ht="13" x14ac:dyDescent="0.15">
      <c r="A2498" s="72" t="str">
        <f t="shared" si="38"/>
        <v>Ofsted Social Care Provider Webpage</v>
      </c>
      <c r="B2498" s="55" t="s">
        <v>4680</v>
      </c>
      <c r="D2498" s="55" t="s">
        <v>373</v>
      </c>
      <c r="E2498" s="74">
        <v>38588</v>
      </c>
      <c r="F2498" s="55" t="s">
        <v>344</v>
      </c>
      <c r="G2498" s="55" t="s">
        <v>360</v>
      </c>
      <c r="H2498" s="55" t="s">
        <v>360</v>
      </c>
      <c r="I2498" s="55" t="s">
        <v>360</v>
      </c>
      <c r="J2498" s="55" t="s">
        <v>360</v>
      </c>
      <c r="K2498" s="55" t="s">
        <v>360</v>
      </c>
      <c r="L2498" s="55" t="s">
        <v>360</v>
      </c>
      <c r="M2498" s="55" t="s">
        <v>144</v>
      </c>
      <c r="N2498" s="55" t="s">
        <v>144</v>
      </c>
      <c r="O2498" s="55" t="s">
        <v>245</v>
      </c>
      <c r="P2498" s="55" t="s">
        <v>245</v>
      </c>
      <c r="Q2498" s="55" t="s">
        <v>350</v>
      </c>
      <c r="R2498" s="55">
        <v>2</v>
      </c>
      <c r="S2498" s="55"/>
      <c r="T2498" s="55" t="s">
        <v>711</v>
      </c>
    </row>
    <row r="2499" spans="1:20" ht="13" x14ac:dyDescent="0.15">
      <c r="A2499" s="72" t="str">
        <f t="shared" si="38"/>
        <v>Ofsted Social Care Provider Webpage</v>
      </c>
      <c r="B2499" s="55" t="s">
        <v>4681</v>
      </c>
      <c r="C2499" s="55">
        <v>142309</v>
      </c>
      <c r="D2499" s="55" t="s">
        <v>413</v>
      </c>
      <c r="E2499" s="74">
        <v>38530</v>
      </c>
      <c r="F2499" s="55" t="s">
        <v>344</v>
      </c>
      <c r="G2499" s="55" t="s">
        <v>4682</v>
      </c>
      <c r="H2499" s="55" t="s">
        <v>4683</v>
      </c>
      <c r="I2499" s="55" t="s">
        <v>4684</v>
      </c>
      <c r="J2499" s="55" t="s">
        <v>4685</v>
      </c>
      <c r="K2499" s="55" t="s">
        <v>214</v>
      </c>
      <c r="L2499" s="55" t="s">
        <v>4686</v>
      </c>
      <c r="M2499" s="55" t="s">
        <v>172</v>
      </c>
      <c r="N2499" s="55" t="s">
        <v>172</v>
      </c>
      <c r="O2499" s="55" t="s">
        <v>214</v>
      </c>
      <c r="P2499" s="55" t="s">
        <v>4687</v>
      </c>
      <c r="Q2499" s="55" t="s">
        <v>420</v>
      </c>
      <c r="R2499" s="55">
        <v>5</v>
      </c>
      <c r="S2499" s="55"/>
      <c r="T2499" s="55" t="s">
        <v>4688</v>
      </c>
    </row>
    <row r="2500" spans="1:20" ht="13" x14ac:dyDescent="0.15">
      <c r="A2500" s="72" t="str">
        <f t="shared" si="38"/>
        <v>Ofsted Social Care Provider Webpage</v>
      </c>
      <c r="B2500" s="55" t="s">
        <v>4689</v>
      </c>
      <c r="D2500" s="55" t="s">
        <v>389</v>
      </c>
      <c r="E2500" s="74">
        <v>38637</v>
      </c>
      <c r="F2500" s="55" t="s">
        <v>344</v>
      </c>
      <c r="G2500" s="55" t="s">
        <v>4690</v>
      </c>
      <c r="H2500" s="55" t="s">
        <v>4691</v>
      </c>
      <c r="I2500" s="55" t="s">
        <v>4692</v>
      </c>
      <c r="J2500" s="55" t="s">
        <v>4693</v>
      </c>
      <c r="L2500" s="55" t="s">
        <v>4694</v>
      </c>
      <c r="M2500" s="55" t="s">
        <v>378</v>
      </c>
      <c r="N2500" s="55" t="s">
        <v>170</v>
      </c>
      <c r="O2500" s="55" t="s">
        <v>178</v>
      </c>
      <c r="P2500" s="55" t="s">
        <v>2014</v>
      </c>
      <c r="Q2500" s="55" t="s">
        <v>350</v>
      </c>
      <c r="R2500" s="55"/>
      <c r="S2500" s="55"/>
      <c r="T2500" s="55" t="s">
        <v>4695</v>
      </c>
    </row>
    <row r="2501" spans="1:20" ht="13" x14ac:dyDescent="0.15">
      <c r="A2501" s="72" t="str">
        <f t="shared" ref="A2501:A2564" si="39">HYPERLINK(_xlfn.CONCAT("http://reports.ofsted.gov.uk/inspection-reports/find-inspection-report/provider/CARE/",B2501),"Ofsted Social Care Provider Webpage")</f>
        <v>Ofsted Social Care Provider Webpage</v>
      </c>
      <c r="B2501" s="55" t="s">
        <v>4696</v>
      </c>
      <c r="D2501" s="55" t="s">
        <v>373</v>
      </c>
      <c r="E2501" s="74">
        <v>38551</v>
      </c>
      <c r="F2501" s="55" t="s">
        <v>344</v>
      </c>
      <c r="G2501" s="55" t="s">
        <v>360</v>
      </c>
      <c r="H2501" s="55" t="s">
        <v>360</v>
      </c>
      <c r="I2501" s="55" t="s">
        <v>360</v>
      </c>
      <c r="J2501" s="55" t="s">
        <v>360</v>
      </c>
      <c r="K2501" s="55" t="s">
        <v>360</v>
      </c>
      <c r="L2501" s="55" t="s">
        <v>360</v>
      </c>
      <c r="M2501" s="55" t="s">
        <v>150</v>
      </c>
      <c r="N2501" s="55" t="s">
        <v>150</v>
      </c>
      <c r="O2501" s="55" t="s">
        <v>203</v>
      </c>
      <c r="P2501" s="55" t="s">
        <v>1038</v>
      </c>
      <c r="Q2501" s="55" t="s">
        <v>362</v>
      </c>
      <c r="R2501" s="55">
        <v>4</v>
      </c>
      <c r="S2501" s="55"/>
      <c r="T2501" s="55" t="s">
        <v>824</v>
      </c>
    </row>
    <row r="2502" spans="1:20" ht="13" x14ac:dyDescent="0.15">
      <c r="A2502" s="72" t="str">
        <f t="shared" si="39"/>
        <v>Ofsted Social Care Provider Webpage</v>
      </c>
      <c r="B2502" s="55" t="s">
        <v>4697</v>
      </c>
      <c r="D2502" s="55" t="s">
        <v>373</v>
      </c>
      <c r="E2502" s="74">
        <v>38600</v>
      </c>
      <c r="F2502" s="55" t="s">
        <v>344</v>
      </c>
      <c r="G2502" s="55" t="s">
        <v>360</v>
      </c>
      <c r="H2502" s="55" t="s">
        <v>360</v>
      </c>
      <c r="I2502" s="55" t="s">
        <v>360</v>
      </c>
      <c r="J2502" s="55" t="s">
        <v>360</v>
      </c>
      <c r="K2502" s="55" t="s">
        <v>360</v>
      </c>
      <c r="L2502" s="55" t="s">
        <v>360</v>
      </c>
      <c r="M2502" s="55" t="s">
        <v>144</v>
      </c>
      <c r="N2502" s="55" t="s">
        <v>144</v>
      </c>
      <c r="O2502" s="55" t="s">
        <v>245</v>
      </c>
      <c r="P2502" s="55" t="s">
        <v>1796</v>
      </c>
      <c r="Q2502" s="55" t="s">
        <v>350</v>
      </c>
      <c r="R2502" s="55">
        <v>3</v>
      </c>
      <c r="S2502" s="55"/>
      <c r="T2502" s="55" t="s">
        <v>613</v>
      </c>
    </row>
    <row r="2503" spans="1:20" ht="13" x14ac:dyDescent="0.15">
      <c r="A2503" s="72" t="str">
        <f t="shared" si="39"/>
        <v>Ofsted Social Care Provider Webpage</v>
      </c>
      <c r="B2503" s="55" t="s">
        <v>4698</v>
      </c>
      <c r="D2503" s="55" t="s">
        <v>479</v>
      </c>
      <c r="E2503" s="74">
        <v>38651</v>
      </c>
      <c r="F2503" s="55" t="s">
        <v>344</v>
      </c>
      <c r="G2503" s="55" t="s">
        <v>360</v>
      </c>
      <c r="H2503" s="55" t="s">
        <v>360</v>
      </c>
      <c r="I2503" s="55" t="s">
        <v>360</v>
      </c>
      <c r="J2503" s="55" t="s">
        <v>360</v>
      </c>
      <c r="K2503" s="55" t="s">
        <v>360</v>
      </c>
      <c r="L2503" s="55" t="s">
        <v>360</v>
      </c>
      <c r="M2503" s="55" t="s">
        <v>136</v>
      </c>
      <c r="N2503" s="55" t="s">
        <v>136</v>
      </c>
      <c r="O2503" s="55" t="s">
        <v>176</v>
      </c>
      <c r="P2503" s="55" t="s">
        <v>526</v>
      </c>
      <c r="Q2503" s="55" t="s">
        <v>350</v>
      </c>
      <c r="R2503" s="55">
        <v>60</v>
      </c>
      <c r="S2503" s="55"/>
      <c r="T2503" s="55" t="s">
        <v>596</v>
      </c>
    </row>
    <row r="2504" spans="1:20" ht="13" x14ac:dyDescent="0.15">
      <c r="A2504" s="72" t="str">
        <f t="shared" si="39"/>
        <v>Ofsted Social Care Provider Webpage</v>
      </c>
      <c r="B2504" s="55" t="s">
        <v>4699</v>
      </c>
      <c r="D2504" s="55" t="s">
        <v>373</v>
      </c>
      <c r="E2504" s="74">
        <v>38628</v>
      </c>
      <c r="F2504" s="55" t="s">
        <v>344</v>
      </c>
      <c r="G2504" s="55" t="s">
        <v>360</v>
      </c>
      <c r="H2504" s="55" t="s">
        <v>360</v>
      </c>
      <c r="I2504" s="55" t="s">
        <v>360</v>
      </c>
      <c r="J2504" s="55" t="s">
        <v>360</v>
      </c>
      <c r="K2504" s="55" t="s">
        <v>360</v>
      </c>
      <c r="L2504" s="55" t="s">
        <v>360</v>
      </c>
      <c r="M2504" s="55" t="s">
        <v>144</v>
      </c>
      <c r="N2504" s="55" t="s">
        <v>144</v>
      </c>
      <c r="O2504" s="55" t="s">
        <v>145</v>
      </c>
      <c r="P2504" s="55" t="s">
        <v>484</v>
      </c>
      <c r="Q2504" s="55" t="s">
        <v>350</v>
      </c>
      <c r="R2504" s="55">
        <v>2</v>
      </c>
      <c r="S2504" s="55"/>
      <c r="T2504" s="55" t="s">
        <v>485</v>
      </c>
    </row>
    <row r="2505" spans="1:20" ht="13" x14ac:dyDescent="0.15">
      <c r="A2505" s="72" t="str">
        <f t="shared" si="39"/>
        <v>Ofsted Social Care Provider Webpage</v>
      </c>
      <c r="B2505" s="55" t="s">
        <v>4700</v>
      </c>
      <c r="D2505" s="55" t="s">
        <v>389</v>
      </c>
      <c r="E2505" s="74">
        <v>38649</v>
      </c>
      <c r="F2505" s="55" t="s">
        <v>344</v>
      </c>
      <c r="G2505" s="55" t="s">
        <v>771</v>
      </c>
      <c r="H2505" s="55" t="s">
        <v>4701</v>
      </c>
      <c r="I2505" s="55" t="s">
        <v>4702</v>
      </c>
      <c r="J2505" s="55" t="s">
        <v>4703</v>
      </c>
      <c r="K2505" s="55" t="s">
        <v>209</v>
      </c>
      <c r="L2505" s="55" t="s">
        <v>4704</v>
      </c>
      <c r="M2505" s="55" t="s">
        <v>144</v>
      </c>
      <c r="N2505" s="55" t="s">
        <v>144</v>
      </c>
      <c r="O2505" s="55" t="s">
        <v>245</v>
      </c>
      <c r="P2505" s="55" t="s">
        <v>1796</v>
      </c>
      <c r="Q2505" s="55" t="s">
        <v>350</v>
      </c>
      <c r="R2505" s="55"/>
      <c r="S2505" s="55"/>
      <c r="T2505" s="55" t="s">
        <v>4705</v>
      </c>
    </row>
    <row r="2506" spans="1:20" ht="13" x14ac:dyDescent="0.15">
      <c r="A2506" s="72" t="str">
        <f t="shared" si="39"/>
        <v>Ofsted Social Care Provider Webpage</v>
      </c>
      <c r="B2506" s="55" t="s">
        <v>4706</v>
      </c>
      <c r="D2506" s="55" t="s">
        <v>373</v>
      </c>
      <c r="E2506" s="74">
        <v>38567</v>
      </c>
      <c r="F2506" s="55" t="s">
        <v>344</v>
      </c>
      <c r="G2506" s="55" t="s">
        <v>360</v>
      </c>
      <c r="H2506" s="55" t="s">
        <v>360</v>
      </c>
      <c r="I2506" s="55" t="s">
        <v>360</v>
      </c>
      <c r="J2506" s="55" t="s">
        <v>360</v>
      </c>
      <c r="K2506" s="55" t="s">
        <v>360</v>
      </c>
      <c r="L2506" s="55" t="s">
        <v>360</v>
      </c>
      <c r="M2506" s="55" t="s">
        <v>144</v>
      </c>
      <c r="N2506" s="55" t="s">
        <v>144</v>
      </c>
      <c r="O2506" s="55" t="s">
        <v>263</v>
      </c>
      <c r="P2506" s="55" t="s">
        <v>263</v>
      </c>
      <c r="Q2506" s="55" t="s">
        <v>350</v>
      </c>
      <c r="R2506" s="55">
        <v>5</v>
      </c>
      <c r="S2506" s="55"/>
      <c r="T2506" s="55" t="s">
        <v>4707</v>
      </c>
    </row>
    <row r="2507" spans="1:20" ht="13" x14ac:dyDescent="0.15">
      <c r="A2507" s="72" t="str">
        <f t="shared" si="39"/>
        <v>Ofsted Social Care Provider Webpage</v>
      </c>
      <c r="B2507" s="55" t="s">
        <v>4708</v>
      </c>
      <c r="D2507" s="55" t="s">
        <v>373</v>
      </c>
      <c r="E2507" s="74">
        <v>38700</v>
      </c>
      <c r="F2507" s="55" t="s">
        <v>344</v>
      </c>
      <c r="G2507" s="55" t="s">
        <v>360</v>
      </c>
      <c r="H2507" s="55" t="s">
        <v>360</v>
      </c>
      <c r="I2507" s="55" t="s">
        <v>360</v>
      </c>
      <c r="J2507" s="55" t="s">
        <v>360</v>
      </c>
      <c r="K2507" s="55" t="s">
        <v>360</v>
      </c>
      <c r="L2507" s="55" t="s">
        <v>360</v>
      </c>
      <c r="M2507" s="55" t="s">
        <v>142</v>
      </c>
      <c r="N2507" s="55" t="s">
        <v>142</v>
      </c>
      <c r="O2507" s="55" t="s">
        <v>141</v>
      </c>
      <c r="P2507" s="55" t="s">
        <v>1226</v>
      </c>
      <c r="Q2507" s="55" t="s">
        <v>350</v>
      </c>
      <c r="R2507" s="55">
        <v>3</v>
      </c>
      <c r="S2507" s="55"/>
      <c r="T2507" s="55" t="s">
        <v>2811</v>
      </c>
    </row>
    <row r="2508" spans="1:20" ht="13" x14ac:dyDescent="0.15">
      <c r="A2508" s="72" t="str">
        <f t="shared" si="39"/>
        <v>Ofsted Social Care Provider Webpage</v>
      </c>
      <c r="B2508" s="55" t="s">
        <v>4709</v>
      </c>
      <c r="D2508" s="55" t="s">
        <v>373</v>
      </c>
      <c r="E2508" s="74">
        <v>38670</v>
      </c>
      <c r="F2508" s="55" t="s">
        <v>344</v>
      </c>
      <c r="G2508" s="55" t="s">
        <v>360</v>
      </c>
      <c r="H2508" s="55" t="s">
        <v>360</v>
      </c>
      <c r="I2508" s="55" t="s">
        <v>360</v>
      </c>
      <c r="J2508" s="55" t="s">
        <v>360</v>
      </c>
      <c r="K2508" s="55" t="s">
        <v>360</v>
      </c>
      <c r="L2508" s="55" t="s">
        <v>360</v>
      </c>
      <c r="M2508" s="55" t="s">
        <v>129</v>
      </c>
      <c r="N2508" s="55" t="s">
        <v>129</v>
      </c>
      <c r="O2508" s="55" t="s">
        <v>280</v>
      </c>
      <c r="P2508" s="55" t="s">
        <v>1367</v>
      </c>
      <c r="Q2508" s="55" t="s">
        <v>380</v>
      </c>
      <c r="R2508" s="55">
        <v>13</v>
      </c>
      <c r="S2508" s="55"/>
      <c r="T2508" s="55" t="s">
        <v>2581</v>
      </c>
    </row>
    <row r="2509" spans="1:20" ht="13" x14ac:dyDescent="0.15">
      <c r="A2509" s="72" t="str">
        <f t="shared" si="39"/>
        <v>Ofsted Social Care Provider Webpage</v>
      </c>
      <c r="B2509" s="55" t="s">
        <v>4710</v>
      </c>
      <c r="D2509" s="55" t="s">
        <v>373</v>
      </c>
      <c r="E2509" s="74">
        <v>38589</v>
      </c>
      <c r="F2509" s="55" t="s">
        <v>344</v>
      </c>
      <c r="G2509" s="55" t="s">
        <v>360</v>
      </c>
      <c r="H2509" s="55" t="s">
        <v>360</v>
      </c>
      <c r="I2509" s="55" t="s">
        <v>360</v>
      </c>
      <c r="J2509" s="55" t="s">
        <v>360</v>
      </c>
      <c r="K2509" s="55" t="s">
        <v>360</v>
      </c>
      <c r="L2509" s="55" t="s">
        <v>360</v>
      </c>
      <c r="M2509" s="55" t="s">
        <v>150</v>
      </c>
      <c r="N2509" s="55" t="s">
        <v>150</v>
      </c>
      <c r="O2509" s="55" t="s">
        <v>203</v>
      </c>
      <c r="P2509" s="55" t="s">
        <v>593</v>
      </c>
      <c r="Q2509" s="55" t="s">
        <v>350</v>
      </c>
      <c r="R2509" s="55">
        <v>6</v>
      </c>
      <c r="S2509" s="55"/>
      <c r="T2509" s="55" t="s">
        <v>2891</v>
      </c>
    </row>
    <row r="2510" spans="1:20" ht="13" x14ac:dyDescent="0.15">
      <c r="A2510" s="72" t="str">
        <f t="shared" si="39"/>
        <v>Ofsted Social Care Provider Webpage</v>
      </c>
      <c r="B2510" s="55" t="s">
        <v>4711</v>
      </c>
      <c r="D2510" s="55" t="s">
        <v>373</v>
      </c>
      <c r="E2510" s="74">
        <v>38625</v>
      </c>
      <c r="F2510" s="55" t="s">
        <v>344</v>
      </c>
      <c r="G2510" s="55" t="s">
        <v>360</v>
      </c>
      <c r="H2510" s="55" t="s">
        <v>360</v>
      </c>
      <c r="I2510" s="55" t="s">
        <v>360</v>
      </c>
      <c r="J2510" s="55" t="s">
        <v>360</v>
      </c>
      <c r="K2510" s="55" t="s">
        <v>360</v>
      </c>
      <c r="L2510" s="55" t="s">
        <v>360</v>
      </c>
      <c r="M2510" s="55" t="s">
        <v>129</v>
      </c>
      <c r="N2510" s="55" t="s">
        <v>129</v>
      </c>
      <c r="O2510" s="55" t="s">
        <v>208</v>
      </c>
      <c r="P2510" s="55" t="s">
        <v>3178</v>
      </c>
      <c r="Q2510" s="55" t="s">
        <v>350</v>
      </c>
      <c r="R2510" s="55">
        <v>6</v>
      </c>
      <c r="S2510" s="55"/>
      <c r="T2510" s="55" t="s">
        <v>4712</v>
      </c>
    </row>
    <row r="2511" spans="1:20" ht="13" x14ac:dyDescent="0.15">
      <c r="A2511" s="72" t="str">
        <f t="shared" si="39"/>
        <v>Ofsted Social Care Provider Webpage</v>
      </c>
      <c r="B2511" s="55" t="s">
        <v>4713</v>
      </c>
      <c r="D2511" s="55" t="s">
        <v>373</v>
      </c>
      <c r="E2511" s="74">
        <v>38658</v>
      </c>
      <c r="F2511" s="55" t="s">
        <v>344</v>
      </c>
      <c r="G2511" s="55" t="s">
        <v>360</v>
      </c>
      <c r="H2511" s="55" t="s">
        <v>360</v>
      </c>
      <c r="I2511" s="55" t="s">
        <v>360</v>
      </c>
      <c r="J2511" s="55" t="s">
        <v>360</v>
      </c>
      <c r="K2511" s="55" t="s">
        <v>360</v>
      </c>
      <c r="L2511" s="55" t="s">
        <v>360</v>
      </c>
      <c r="M2511" s="55" t="s">
        <v>378</v>
      </c>
      <c r="N2511" s="55" t="s">
        <v>134</v>
      </c>
      <c r="O2511" s="55" t="s">
        <v>151</v>
      </c>
      <c r="P2511" s="55" t="s">
        <v>862</v>
      </c>
      <c r="Q2511" s="55" t="s">
        <v>380</v>
      </c>
      <c r="R2511" s="55">
        <v>6</v>
      </c>
      <c r="S2511" s="55"/>
      <c r="T2511" s="55" t="s">
        <v>1220</v>
      </c>
    </row>
    <row r="2512" spans="1:20" ht="13" x14ac:dyDescent="0.15">
      <c r="A2512" s="72" t="str">
        <f t="shared" si="39"/>
        <v>Ofsted Social Care Provider Webpage</v>
      </c>
      <c r="B2512" s="55" t="s">
        <v>4714</v>
      </c>
      <c r="D2512" s="55" t="s">
        <v>373</v>
      </c>
      <c r="E2512" s="74">
        <v>38649</v>
      </c>
      <c r="F2512" s="55" t="s">
        <v>344</v>
      </c>
      <c r="G2512" s="55" t="s">
        <v>360</v>
      </c>
      <c r="H2512" s="55" t="s">
        <v>360</v>
      </c>
      <c r="I2512" s="55" t="s">
        <v>360</v>
      </c>
      <c r="J2512" s="55" t="s">
        <v>360</v>
      </c>
      <c r="K2512" s="55" t="s">
        <v>360</v>
      </c>
      <c r="L2512" s="55" t="s">
        <v>360</v>
      </c>
      <c r="M2512" s="55" t="s">
        <v>172</v>
      </c>
      <c r="N2512" s="55" t="s">
        <v>172</v>
      </c>
      <c r="O2512" s="55" t="s">
        <v>173</v>
      </c>
      <c r="P2512" s="55" t="s">
        <v>1540</v>
      </c>
      <c r="Q2512" s="55" t="s">
        <v>380</v>
      </c>
      <c r="R2512" s="55">
        <v>4</v>
      </c>
      <c r="S2512" s="55"/>
      <c r="T2512" s="55" t="s">
        <v>1431</v>
      </c>
    </row>
    <row r="2513" spans="1:20" ht="13" x14ac:dyDescent="0.15">
      <c r="A2513" s="72" t="str">
        <f t="shared" si="39"/>
        <v>Ofsted Social Care Provider Webpage</v>
      </c>
      <c r="B2513" s="55" t="s">
        <v>4715</v>
      </c>
      <c r="D2513" s="55" t="s">
        <v>389</v>
      </c>
      <c r="E2513" s="74">
        <v>38756</v>
      </c>
      <c r="F2513" s="55" t="s">
        <v>344</v>
      </c>
      <c r="G2513" s="55" t="s">
        <v>4716</v>
      </c>
      <c r="H2513" s="55" t="s">
        <v>4717</v>
      </c>
      <c r="I2513" s="55" t="s">
        <v>4718</v>
      </c>
      <c r="J2513" s="55" t="s">
        <v>4167</v>
      </c>
      <c r="L2513" s="55" t="s">
        <v>4094</v>
      </c>
      <c r="M2513" s="55" t="s">
        <v>150</v>
      </c>
      <c r="N2513" s="55" t="s">
        <v>150</v>
      </c>
      <c r="O2513" s="55" t="s">
        <v>221</v>
      </c>
      <c r="P2513" s="55" t="s">
        <v>349</v>
      </c>
      <c r="Q2513" s="55" t="s">
        <v>350</v>
      </c>
      <c r="R2513" s="55"/>
      <c r="S2513" s="55"/>
      <c r="T2513" s="55" t="s">
        <v>4717</v>
      </c>
    </row>
    <row r="2514" spans="1:20" ht="13" x14ac:dyDescent="0.15">
      <c r="A2514" s="72" t="str">
        <f t="shared" si="39"/>
        <v>Ofsted Social Care Provider Webpage</v>
      </c>
      <c r="B2514" s="55" t="s">
        <v>4719</v>
      </c>
      <c r="D2514" s="55" t="s">
        <v>373</v>
      </c>
      <c r="E2514" s="74">
        <v>39045</v>
      </c>
      <c r="F2514" s="55" t="s">
        <v>344</v>
      </c>
      <c r="G2514" s="55" t="s">
        <v>360</v>
      </c>
      <c r="H2514" s="55" t="s">
        <v>360</v>
      </c>
      <c r="I2514" s="55" t="s">
        <v>360</v>
      </c>
      <c r="J2514" s="55" t="s">
        <v>360</v>
      </c>
      <c r="K2514" s="55" t="s">
        <v>360</v>
      </c>
      <c r="L2514" s="55" t="s">
        <v>360</v>
      </c>
      <c r="M2514" s="55" t="s">
        <v>142</v>
      </c>
      <c r="N2514" s="55" t="s">
        <v>142</v>
      </c>
      <c r="O2514" s="55" t="s">
        <v>262</v>
      </c>
      <c r="P2514" s="55" t="s">
        <v>523</v>
      </c>
      <c r="Q2514" s="55" t="s">
        <v>380</v>
      </c>
      <c r="R2514" s="55">
        <v>5</v>
      </c>
      <c r="S2514" s="55" t="s">
        <v>332</v>
      </c>
      <c r="T2514" s="55" t="s">
        <v>2996</v>
      </c>
    </row>
    <row r="2515" spans="1:20" ht="13" x14ac:dyDescent="0.15">
      <c r="A2515" s="72" t="str">
        <f t="shared" si="39"/>
        <v>Ofsted Social Care Provider Webpage</v>
      </c>
      <c r="B2515" s="55" t="s">
        <v>4720</v>
      </c>
      <c r="D2515" s="55" t="s">
        <v>373</v>
      </c>
      <c r="E2515" s="74">
        <v>38700</v>
      </c>
      <c r="F2515" s="55" t="s">
        <v>344</v>
      </c>
      <c r="G2515" s="55" t="s">
        <v>360</v>
      </c>
      <c r="H2515" s="55" t="s">
        <v>360</v>
      </c>
      <c r="I2515" s="55" t="s">
        <v>360</v>
      </c>
      <c r="J2515" s="55" t="s">
        <v>360</v>
      </c>
      <c r="K2515" s="55" t="s">
        <v>360</v>
      </c>
      <c r="L2515" s="55" t="s">
        <v>360</v>
      </c>
      <c r="M2515" s="55" t="s">
        <v>150</v>
      </c>
      <c r="N2515" s="55" t="s">
        <v>150</v>
      </c>
      <c r="O2515" s="55" t="s">
        <v>203</v>
      </c>
      <c r="P2515" s="55" t="s">
        <v>419</v>
      </c>
      <c r="Q2515" s="55" t="s">
        <v>350</v>
      </c>
      <c r="R2515" s="55">
        <v>6</v>
      </c>
      <c r="S2515" s="55"/>
      <c r="T2515" s="55" t="s">
        <v>1861</v>
      </c>
    </row>
    <row r="2516" spans="1:20" ht="13" x14ac:dyDescent="0.15">
      <c r="A2516" s="72" t="str">
        <f t="shared" si="39"/>
        <v>Ofsted Social Care Provider Webpage</v>
      </c>
      <c r="B2516" s="55" t="s">
        <v>4721</v>
      </c>
      <c r="D2516" s="55" t="s">
        <v>373</v>
      </c>
      <c r="E2516" s="74">
        <v>38771</v>
      </c>
      <c r="F2516" s="55" t="s">
        <v>344</v>
      </c>
      <c r="G2516" s="55" t="s">
        <v>360</v>
      </c>
      <c r="H2516" s="55" t="s">
        <v>360</v>
      </c>
      <c r="I2516" s="55" t="s">
        <v>360</v>
      </c>
      <c r="J2516" s="55" t="s">
        <v>360</v>
      </c>
      <c r="K2516" s="55" t="s">
        <v>360</v>
      </c>
      <c r="L2516" s="55" t="s">
        <v>360</v>
      </c>
      <c r="M2516" s="55" t="s">
        <v>172</v>
      </c>
      <c r="N2516" s="55" t="s">
        <v>172</v>
      </c>
      <c r="O2516" s="55" t="s">
        <v>171</v>
      </c>
      <c r="P2516" s="55" t="s">
        <v>895</v>
      </c>
      <c r="Q2516" s="55" t="s">
        <v>380</v>
      </c>
      <c r="R2516" s="55">
        <v>10</v>
      </c>
      <c r="S2516" s="55" t="s">
        <v>332</v>
      </c>
      <c r="T2516" s="55" t="s">
        <v>3360</v>
      </c>
    </row>
    <row r="2517" spans="1:20" ht="13" x14ac:dyDescent="0.15">
      <c r="A2517" s="72" t="str">
        <f t="shared" si="39"/>
        <v>Ofsted Social Care Provider Webpage</v>
      </c>
      <c r="B2517" s="55" t="s">
        <v>4722</v>
      </c>
      <c r="D2517" s="55" t="s">
        <v>389</v>
      </c>
      <c r="E2517" s="74">
        <v>38628</v>
      </c>
      <c r="F2517" s="55" t="s">
        <v>344</v>
      </c>
      <c r="G2517" s="55" t="s">
        <v>4723</v>
      </c>
      <c r="H2517" s="55" t="s">
        <v>4724</v>
      </c>
      <c r="I2517" s="55" t="s">
        <v>4725</v>
      </c>
      <c r="J2517" s="55" t="s">
        <v>211</v>
      </c>
      <c r="K2517" s="55" t="s">
        <v>212</v>
      </c>
      <c r="L2517" s="55" t="s">
        <v>4726</v>
      </c>
      <c r="M2517" s="55" t="s">
        <v>172</v>
      </c>
      <c r="N2517" s="55" t="s">
        <v>172</v>
      </c>
      <c r="O2517" s="55" t="s">
        <v>212</v>
      </c>
      <c r="P2517" s="55" t="s">
        <v>547</v>
      </c>
      <c r="Q2517" s="55" t="s">
        <v>350</v>
      </c>
      <c r="R2517" s="55"/>
      <c r="S2517" s="55"/>
      <c r="T2517" s="55" t="s">
        <v>4727</v>
      </c>
    </row>
    <row r="2518" spans="1:20" ht="13" x14ac:dyDescent="0.15">
      <c r="A2518" s="72" t="str">
        <f t="shared" si="39"/>
        <v>Ofsted Social Care Provider Webpage</v>
      </c>
      <c r="B2518" s="55" t="s">
        <v>4728</v>
      </c>
      <c r="D2518" s="55" t="s">
        <v>373</v>
      </c>
      <c r="E2518" s="74">
        <v>39030</v>
      </c>
      <c r="F2518" s="55" t="s">
        <v>344</v>
      </c>
      <c r="G2518" s="55" t="s">
        <v>360</v>
      </c>
      <c r="H2518" s="55" t="s">
        <v>360</v>
      </c>
      <c r="I2518" s="55" t="s">
        <v>360</v>
      </c>
      <c r="J2518" s="55" t="s">
        <v>360</v>
      </c>
      <c r="K2518" s="55" t="s">
        <v>360</v>
      </c>
      <c r="L2518" s="55" t="s">
        <v>360</v>
      </c>
      <c r="M2518" s="55" t="s">
        <v>144</v>
      </c>
      <c r="N2518" s="55" t="s">
        <v>144</v>
      </c>
      <c r="O2518" s="55" t="s">
        <v>290</v>
      </c>
      <c r="P2518" s="55" t="s">
        <v>603</v>
      </c>
      <c r="Q2518" s="55" t="s">
        <v>350</v>
      </c>
      <c r="R2518" s="55">
        <v>3</v>
      </c>
      <c r="S2518" s="55"/>
      <c r="T2518" s="55" t="s">
        <v>1342</v>
      </c>
    </row>
    <row r="2519" spans="1:20" ht="13" x14ac:dyDescent="0.15">
      <c r="A2519" s="72" t="str">
        <f t="shared" si="39"/>
        <v>Ofsted Social Care Provider Webpage</v>
      </c>
      <c r="B2519" s="55" t="s">
        <v>4729</v>
      </c>
      <c r="D2519" s="55" t="s">
        <v>373</v>
      </c>
      <c r="E2519" s="74">
        <v>38650</v>
      </c>
      <c r="F2519" s="55" t="s">
        <v>344</v>
      </c>
      <c r="G2519" s="55" t="s">
        <v>360</v>
      </c>
      <c r="H2519" s="55" t="s">
        <v>360</v>
      </c>
      <c r="I2519" s="55" t="s">
        <v>360</v>
      </c>
      <c r="J2519" s="55" t="s">
        <v>360</v>
      </c>
      <c r="K2519" s="55" t="s">
        <v>360</v>
      </c>
      <c r="L2519" s="55" t="s">
        <v>360</v>
      </c>
      <c r="M2519" s="55" t="s">
        <v>144</v>
      </c>
      <c r="N2519" s="55" t="s">
        <v>144</v>
      </c>
      <c r="O2519" s="55" t="s">
        <v>290</v>
      </c>
      <c r="P2519" s="55" t="s">
        <v>1512</v>
      </c>
      <c r="Q2519" s="55" t="s">
        <v>350</v>
      </c>
      <c r="R2519" s="55">
        <v>3</v>
      </c>
      <c r="S2519" s="55"/>
      <c r="T2519" s="55" t="s">
        <v>4600</v>
      </c>
    </row>
    <row r="2520" spans="1:20" ht="13" x14ac:dyDescent="0.15">
      <c r="A2520" s="72" t="str">
        <f t="shared" si="39"/>
        <v>Ofsted Social Care Provider Webpage</v>
      </c>
      <c r="B2520" s="55" t="s">
        <v>4730</v>
      </c>
      <c r="D2520" s="55" t="s">
        <v>373</v>
      </c>
      <c r="E2520" s="74">
        <v>38631</v>
      </c>
      <c r="F2520" s="55" t="s">
        <v>344</v>
      </c>
      <c r="G2520" s="55" t="s">
        <v>360</v>
      </c>
      <c r="H2520" s="55" t="s">
        <v>360</v>
      </c>
      <c r="I2520" s="55" t="s">
        <v>360</v>
      </c>
      <c r="J2520" s="55" t="s">
        <v>360</v>
      </c>
      <c r="K2520" s="55" t="s">
        <v>360</v>
      </c>
      <c r="L2520" s="55" t="s">
        <v>360</v>
      </c>
      <c r="M2520" s="55" t="s">
        <v>138</v>
      </c>
      <c r="N2520" s="55" t="s">
        <v>138</v>
      </c>
      <c r="O2520" s="55" t="s">
        <v>224</v>
      </c>
      <c r="P2520" s="55" t="s">
        <v>1294</v>
      </c>
      <c r="Q2520" s="55" t="s">
        <v>362</v>
      </c>
      <c r="R2520" s="55">
        <v>6</v>
      </c>
      <c r="S2520" s="55"/>
      <c r="T2520" s="55" t="s">
        <v>1119</v>
      </c>
    </row>
    <row r="2521" spans="1:20" ht="13" x14ac:dyDescent="0.15">
      <c r="A2521" s="72" t="str">
        <f t="shared" si="39"/>
        <v>Ofsted Social Care Provider Webpage</v>
      </c>
      <c r="B2521" s="55" t="s">
        <v>4731</v>
      </c>
      <c r="D2521" s="55" t="s">
        <v>373</v>
      </c>
      <c r="E2521" s="74">
        <v>38721</v>
      </c>
      <c r="F2521" s="55" t="s">
        <v>344</v>
      </c>
      <c r="G2521" s="55" t="s">
        <v>360</v>
      </c>
      <c r="H2521" s="55" t="s">
        <v>360</v>
      </c>
      <c r="I2521" s="55" t="s">
        <v>360</v>
      </c>
      <c r="J2521" s="55" t="s">
        <v>360</v>
      </c>
      <c r="K2521" s="55" t="s">
        <v>360</v>
      </c>
      <c r="L2521" s="55" t="s">
        <v>360</v>
      </c>
      <c r="M2521" s="55" t="s">
        <v>142</v>
      </c>
      <c r="N2521" s="55" t="s">
        <v>142</v>
      </c>
      <c r="O2521" s="55" t="s">
        <v>141</v>
      </c>
      <c r="P2521" s="55" t="s">
        <v>864</v>
      </c>
      <c r="Q2521" s="55" t="s">
        <v>350</v>
      </c>
      <c r="R2521" s="55">
        <v>3</v>
      </c>
      <c r="S2521" s="55"/>
      <c r="T2521" s="55" t="s">
        <v>385</v>
      </c>
    </row>
    <row r="2522" spans="1:20" ht="13" x14ac:dyDescent="0.15">
      <c r="A2522" s="72" t="str">
        <f t="shared" si="39"/>
        <v>Ofsted Social Care Provider Webpage</v>
      </c>
      <c r="B2522" s="55" t="s">
        <v>4732</v>
      </c>
      <c r="D2522" s="55" t="s">
        <v>373</v>
      </c>
      <c r="E2522" s="74">
        <v>38639</v>
      </c>
      <c r="F2522" s="55" t="s">
        <v>344</v>
      </c>
      <c r="G2522" s="55" t="s">
        <v>360</v>
      </c>
      <c r="H2522" s="55" t="s">
        <v>360</v>
      </c>
      <c r="I2522" s="55" t="s">
        <v>360</v>
      </c>
      <c r="J2522" s="55" t="s">
        <v>360</v>
      </c>
      <c r="K2522" s="55" t="s">
        <v>360</v>
      </c>
      <c r="L2522" s="55" t="s">
        <v>360</v>
      </c>
      <c r="M2522" s="55" t="s">
        <v>138</v>
      </c>
      <c r="N2522" s="55" t="s">
        <v>138</v>
      </c>
      <c r="O2522" s="55" t="s">
        <v>224</v>
      </c>
      <c r="P2522" s="55" t="s">
        <v>2271</v>
      </c>
      <c r="Q2522" s="55" t="s">
        <v>380</v>
      </c>
      <c r="R2522" s="55">
        <v>9</v>
      </c>
      <c r="S2522" s="55" t="s">
        <v>332</v>
      </c>
      <c r="T2522" s="55" t="s">
        <v>2272</v>
      </c>
    </row>
    <row r="2523" spans="1:20" ht="13" x14ac:dyDescent="0.15">
      <c r="A2523" s="72" t="str">
        <f t="shared" si="39"/>
        <v>Ofsted Social Care Provider Webpage</v>
      </c>
      <c r="B2523" s="55" t="s">
        <v>4733</v>
      </c>
      <c r="D2523" s="55" t="s">
        <v>373</v>
      </c>
      <c r="E2523" s="74">
        <v>38769</v>
      </c>
      <c r="F2523" s="55" t="s">
        <v>344</v>
      </c>
      <c r="G2523" s="55" t="s">
        <v>360</v>
      </c>
      <c r="H2523" s="55" t="s">
        <v>360</v>
      </c>
      <c r="I2523" s="55" t="s">
        <v>360</v>
      </c>
      <c r="J2523" s="55" t="s">
        <v>360</v>
      </c>
      <c r="K2523" s="55" t="s">
        <v>360</v>
      </c>
      <c r="L2523" s="55" t="s">
        <v>360</v>
      </c>
      <c r="M2523" s="55" t="s">
        <v>378</v>
      </c>
      <c r="N2523" s="55" t="s">
        <v>134</v>
      </c>
      <c r="O2523" s="55" t="s">
        <v>251</v>
      </c>
      <c r="P2523" s="55" t="s">
        <v>3357</v>
      </c>
      <c r="Q2523" s="55" t="s">
        <v>350</v>
      </c>
      <c r="R2523" s="55">
        <v>4</v>
      </c>
      <c r="S2523" s="55"/>
      <c r="T2523" s="55" t="s">
        <v>2947</v>
      </c>
    </row>
    <row r="2524" spans="1:20" ht="13" x14ac:dyDescent="0.15">
      <c r="A2524" s="72" t="str">
        <f t="shared" si="39"/>
        <v>Ofsted Social Care Provider Webpage</v>
      </c>
      <c r="B2524" s="55" t="s">
        <v>4734</v>
      </c>
      <c r="D2524" s="55" t="s">
        <v>373</v>
      </c>
      <c r="E2524" s="74">
        <v>38621</v>
      </c>
      <c r="F2524" s="55" t="s">
        <v>344</v>
      </c>
      <c r="G2524" s="55" t="s">
        <v>360</v>
      </c>
      <c r="H2524" s="55" t="s">
        <v>360</v>
      </c>
      <c r="I2524" s="55" t="s">
        <v>360</v>
      </c>
      <c r="J2524" s="55" t="s">
        <v>360</v>
      </c>
      <c r="K2524" s="55" t="s">
        <v>360</v>
      </c>
      <c r="L2524" s="55" t="s">
        <v>360</v>
      </c>
      <c r="M2524" s="55" t="s">
        <v>150</v>
      </c>
      <c r="N2524" s="55" t="s">
        <v>150</v>
      </c>
      <c r="O2524" s="55" t="s">
        <v>181</v>
      </c>
      <c r="P2524" s="55" t="s">
        <v>2066</v>
      </c>
      <c r="Q2524" s="55" t="s">
        <v>350</v>
      </c>
      <c r="R2524" s="55">
        <v>1</v>
      </c>
      <c r="S2524" s="55"/>
      <c r="T2524" s="55" t="s">
        <v>627</v>
      </c>
    </row>
    <row r="2525" spans="1:20" ht="13" x14ac:dyDescent="0.15">
      <c r="A2525" s="72" t="str">
        <f t="shared" si="39"/>
        <v>Ofsted Social Care Provider Webpage</v>
      </c>
      <c r="B2525" s="55" t="s">
        <v>4735</v>
      </c>
      <c r="D2525" s="55" t="s">
        <v>373</v>
      </c>
      <c r="E2525" s="74">
        <v>38775</v>
      </c>
      <c r="F2525" s="55" t="s">
        <v>344</v>
      </c>
      <c r="G2525" s="55" t="s">
        <v>360</v>
      </c>
      <c r="H2525" s="55" t="s">
        <v>360</v>
      </c>
      <c r="I2525" s="55" t="s">
        <v>360</v>
      </c>
      <c r="J2525" s="55" t="s">
        <v>360</v>
      </c>
      <c r="K2525" s="55" t="s">
        <v>360</v>
      </c>
      <c r="L2525" s="55" t="s">
        <v>360</v>
      </c>
      <c r="M2525" s="55" t="s">
        <v>136</v>
      </c>
      <c r="N2525" s="55" t="s">
        <v>136</v>
      </c>
      <c r="O2525" s="55" t="s">
        <v>255</v>
      </c>
      <c r="P2525" s="55" t="s">
        <v>583</v>
      </c>
      <c r="Q2525" s="55" t="s">
        <v>380</v>
      </c>
      <c r="R2525" s="55">
        <v>2</v>
      </c>
      <c r="S2525" s="55"/>
      <c r="T2525" s="55" t="s">
        <v>3001</v>
      </c>
    </row>
    <row r="2526" spans="1:20" ht="13" x14ac:dyDescent="0.15">
      <c r="A2526" s="72" t="str">
        <f t="shared" si="39"/>
        <v>Ofsted Social Care Provider Webpage</v>
      </c>
      <c r="B2526" s="55" t="s">
        <v>4736</v>
      </c>
      <c r="D2526" s="55" t="s">
        <v>373</v>
      </c>
      <c r="E2526" s="74">
        <v>38744</v>
      </c>
      <c r="F2526" s="55" t="s">
        <v>344</v>
      </c>
      <c r="G2526" s="55" t="s">
        <v>360</v>
      </c>
      <c r="H2526" s="55" t="s">
        <v>360</v>
      </c>
      <c r="I2526" s="55" t="s">
        <v>360</v>
      </c>
      <c r="J2526" s="55" t="s">
        <v>360</v>
      </c>
      <c r="K2526" s="55" t="s">
        <v>360</v>
      </c>
      <c r="L2526" s="55" t="s">
        <v>360</v>
      </c>
      <c r="M2526" s="55" t="s">
        <v>144</v>
      </c>
      <c r="N2526" s="55" t="s">
        <v>144</v>
      </c>
      <c r="O2526" s="55" t="s">
        <v>236</v>
      </c>
      <c r="P2526" s="55" t="s">
        <v>996</v>
      </c>
      <c r="Q2526" s="55" t="s">
        <v>350</v>
      </c>
      <c r="R2526" s="55">
        <v>3</v>
      </c>
      <c r="S2526" s="55"/>
      <c r="T2526" s="55" t="s">
        <v>613</v>
      </c>
    </row>
    <row r="2527" spans="1:20" ht="13" x14ac:dyDescent="0.15">
      <c r="A2527" s="72" t="str">
        <f t="shared" si="39"/>
        <v>Ofsted Social Care Provider Webpage</v>
      </c>
      <c r="B2527" s="55" t="s">
        <v>4737</v>
      </c>
      <c r="D2527" s="55" t="s">
        <v>373</v>
      </c>
      <c r="E2527" s="74">
        <v>38868</v>
      </c>
      <c r="F2527" s="55" t="s">
        <v>344</v>
      </c>
      <c r="G2527" s="55" t="s">
        <v>360</v>
      </c>
      <c r="H2527" s="55" t="s">
        <v>360</v>
      </c>
      <c r="I2527" s="55" t="s">
        <v>360</v>
      </c>
      <c r="J2527" s="55" t="s">
        <v>360</v>
      </c>
      <c r="K2527" s="55" t="s">
        <v>360</v>
      </c>
      <c r="L2527" s="55" t="s">
        <v>360</v>
      </c>
      <c r="M2527" s="55" t="s">
        <v>144</v>
      </c>
      <c r="N2527" s="55" t="s">
        <v>144</v>
      </c>
      <c r="O2527" s="55" t="s">
        <v>209</v>
      </c>
      <c r="P2527" s="55" t="s">
        <v>650</v>
      </c>
      <c r="Q2527" s="55" t="s">
        <v>350</v>
      </c>
      <c r="R2527" s="55">
        <v>4</v>
      </c>
      <c r="S2527" s="55"/>
      <c r="T2527" s="55" t="s">
        <v>4738</v>
      </c>
    </row>
    <row r="2528" spans="1:20" ht="13" x14ac:dyDescent="0.15">
      <c r="A2528" s="72" t="str">
        <f t="shared" si="39"/>
        <v>Ofsted Social Care Provider Webpage</v>
      </c>
      <c r="B2528" s="55" t="s">
        <v>4739</v>
      </c>
      <c r="D2528" s="55" t="s">
        <v>373</v>
      </c>
      <c r="E2528" s="74">
        <v>38698</v>
      </c>
      <c r="F2528" s="55" t="s">
        <v>344</v>
      </c>
      <c r="G2528" s="55" t="s">
        <v>360</v>
      </c>
      <c r="H2528" s="55" t="s">
        <v>360</v>
      </c>
      <c r="I2528" s="55" t="s">
        <v>360</v>
      </c>
      <c r="J2528" s="55" t="s">
        <v>360</v>
      </c>
      <c r="K2528" s="55" t="s">
        <v>360</v>
      </c>
      <c r="L2528" s="55" t="s">
        <v>360</v>
      </c>
      <c r="M2528" s="55" t="s">
        <v>378</v>
      </c>
      <c r="N2528" s="55" t="s">
        <v>134</v>
      </c>
      <c r="O2528" s="55" t="s">
        <v>210</v>
      </c>
      <c r="P2528" s="55" t="s">
        <v>1250</v>
      </c>
      <c r="Q2528" s="55" t="s">
        <v>380</v>
      </c>
      <c r="R2528" s="55">
        <v>6</v>
      </c>
      <c r="S2528" s="55"/>
      <c r="T2528" s="55" t="s">
        <v>543</v>
      </c>
    </row>
    <row r="2529" spans="1:20" ht="13" x14ac:dyDescent="0.15">
      <c r="A2529" s="72" t="str">
        <f t="shared" si="39"/>
        <v>Ofsted Social Care Provider Webpage</v>
      </c>
      <c r="B2529" s="55" t="s">
        <v>4740</v>
      </c>
      <c r="D2529" s="55" t="s">
        <v>373</v>
      </c>
      <c r="E2529" s="74">
        <v>39003</v>
      </c>
      <c r="F2529" s="55" t="s">
        <v>344</v>
      </c>
      <c r="G2529" s="55" t="s">
        <v>360</v>
      </c>
      <c r="H2529" s="55" t="s">
        <v>360</v>
      </c>
      <c r="I2529" s="55" t="s">
        <v>360</v>
      </c>
      <c r="J2529" s="55" t="s">
        <v>360</v>
      </c>
      <c r="K2529" s="55" t="s">
        <v>360</v>
      </c>
      <c r="L2529" s="55" t="s">
        <v>360</v>
      </c>
      <c r="M2529" s="55" t="s">
        <v>378</v>
      </c>
      <c r="N2529" s="55" t="s">
        <v>170</v>
      </c>
      <c r="O2529" s="55" t="s">
        <v>233</v>
      </c>
      <c r="P2529" s="55" t="s">
        <v>2363</v>
      </c>
      <c r="Q2529" s="55" t="s">
        <v>350</v>
      </c>
      <c r="R2529" s="55">
        <v>4</v>
      </c>
      <c r="S2529" s="55"/>
      <c r="T2529" s="55" t="s">
        <v>385</v>
      </c>
    </row>
    <row r="2530" spans="1:20" ht="13" x14ac:dyDescent="0.15">
      <c r="A2530" s="72" t="str">
        <f t="shared" si="39"/>
        <v>Ofsted Social Care Provider Webpage</v>
      </c>
      <c r="B2530" s="55" t="s">
        <v>4741</v>
      </c>
      <c r="D2530" s="55" t="s">
        <v>373</v>
      </c>
      <c r="E2530" s="74">
        <v>38856</v>
      </c>
      <c r="F2530" s="55" t="s">
        <v>344</v>
      </c>
      <c r="G2530" s="55" t="s">
        <v>360</v>
      </c>
      <c r="H2530" s="55" t="s">
        <v>360</v>
      </c>
      <c r="I2530" s="55" t="s">
        <v>360</v>
      </c>
      <c r="J2530" s="55" t="s">
        <v>360</v>
      </c>
      <c r="K2530" s="55" t="s">
        <v>360</v>
      </c>
      <c r="L2530" s="55" t="s">
        <v>360</v>
      </c>
      <c r="M2530" s="55" t="s">
        <v>150</v>
      </c>
      <c r="N2530" s="55" t="s">
        <v>150</v>
      </c>
      <c r="O2530" s="55" t="s">
        <v>203</v>
      </c>
      <c r="P2530" s="55" t="s">
        <v>1263</v>
      </c>
      <c r="Q2530" s="55" t="s">
        <v>350</v>
      </c>
      <c r="R2530" s="55">
        <v>5</v>
      </c>
      <c r="S2530" s="55"/>
      <c r="T2530" s="55" t="s">
        <v>4742</v>
      </c>
    </row>
    <row r="2531" spans="1:20" ht="13" x14ac:dyDescent="0.15">
      <c r="A2531" s="72" t="str">
        <f t="shared" si="39"/>
        <v>Ofsted Social Care Provider Webpage</v>
      </c>
      <c r="B2531" s="55" t="s">
        <v>4743</v>
      </c>
      <c r="D2531" s="55" t="s">
        <v>373</v>
      </c>
      <c r="E2531" s="74">
        <v>38757</v>
      </c>
      <c r="F2531" s="55" t="s">
        <v>344</v>
      </c>
      <c r="G2531" s="55" t="s">
        <v>360</v>
      </c>
      <c r="H2531" s="55" t="s">
        <v>360</v>
      </c>
      <c r="I2531" s="55" t="s">
        <v>360</v>
      </c>
      <c r="J2531" s="55" t="s">
        <v>360</v>
      </c>
      <c r="K2531" s="55" t="s">
        <v>360</v>
      </c>
      <c r="L2531" s="55" t="s">
        <v>360</v>
      </c>
      <c r="M2531" s="55" t="s">
        <v>136</v>
      </c>
      <c r="N2531" s="55" t="s">
        <v>136</v>
      </c>
      <c r="O2531" s="55" t="s">
        <v>174</v>
      </c>
      <c r="P2531" s="55" t="s">
        <v>1010</v>
      </c>
      <c r="Q2531" s="55" t="s">
        <v>350</v>
      </c>
      <c r="R2531" s="55">
        <v>5</v>
      </c>
      <c r="S2531" s="55"/>
      <c r="T2531" s="55" t="s">
        <v>721</v>
      </c>
    </row>
    <row r="2532" spans="1:20" ht="13" x14ac:dyDescent="0.15">
      <c r="A2532" s="72" t="str">
        <f t="shared" si="39"/>
        <v>Ofsted Social Care Provider Webpage</v>
      </c>
      <c r="B2532" s="55" t="s">
        <v>4744</v>
      </c>
      <c r="D2532" s="55" t="s">
        <v>373</v>
      </c>
      <c r="E2532" s="74">
        <v>38721</v>
      </c>
      <c r="F2532" s="55" t="s">
        <v>344</v>
      </c>
      <c r="G2532" s="55" t="s">
        <v>360</v>
      </c>
      <c r="H2532" s="55" t="s">
        <v>360</v>
      </c>
      <c r="I2532" s="55" t="s">
        <v>360</v>
      </c>
      <c r="J2532" s="55" t="s">
        <v>360</v>
      </c>
      <c r="K2532" s="55" t="s">
        <v>360</v>
      </c>
      <c r="L2532" s="55" t="s">
        <v>360</v>
      </c>
      <c r="M2532" s="55" t="s">
        <v>142</v>
      </c>
      <c r="N2532" s="55" t="s">
        <v>142</v>
      </c>
      <c r="O2532" s="55" t="s">
        <v>141</v>
      </c>
      <c r="P2532" s="55" t="s">
        <v>774</v>
      </c>
      <c r="Q2532" s="55" t="s">
        <v>350</v>
      </c>
      <c r="R2532" s="55">
        <v>3</v>
      </c>
      <c r="S2532" s="55"/>
      <c r="T2532" s="55" t="s">
        <v>385</v>
      </c>
    </row>
    <row r="2533" spans="1:20" ht="13" x14ac:dyDescent="0.15">
      <c r="A2533" s="72" t="str">
        <f t="shared" si="39"/>
        <v>Ofsted Social Care Provider Webpage</v>
      </c>
      <c r="B2533" s="55" t="s">
        <v>4745</v>
      </c>
      <c r="D2533" s="55" t="s">
        <v>373</v>
      </c>
      <c r="E2533" s="74">
        <v>38889</v>
      </c>
      <c r="F2533" s="55" t="s">
        <v>344</v>
      </c>
      <c r="G2533" s="55" t="s">
        <v>360</v>
      </c>
      <c r="H2533" s="55" t="s">
        <v>360</v>
      </c>
      <c r="I2533" s="55" t="s">
        <v>360</v>
      </c>
      <c r="J2533" s="55" t="s">
        <v>360</v>
      </c>
      <c r="K2533" s="55" t="s">
        <v>360</v>
      </c>
      <c r="L2533" s="55" t="s">
        <v>360</v>
      </c>
      <c r="M2533" s="55" t="s">
        <v>150</v>
      </c>
      <c r="N2533" s="55" t="s">
        <v>150</v>
      </c>
      <c r="O2533" s="55" t="s">
        <v>203</v>
      </c>
      <c r="P2533" s="55" t="s">
        <v>800</v>
      </c>
      <c r="Q2533" s="55" t="s">
        <v>350</v>
      </c>
      <c r="R2533" s="55">
        <v>5</v>
      </c>
      <c r="S2533" s="55"/>
      <c r="T2533" s="55" t="s">
        <v>2891</v>
      </c>
    </row>
    <row r="2534" spans="1:20" ht="13" x14ac:dyDescent="0.15">
      <c r="A2534" s="72" t="str">
        <f t="shared" si="39"/>
        <v>Ofsted Social Care Provider Webpage</v>
      </c>
      <c r="B2534" s="55" t="s">
        <v>4746</v>
      </c>
      <c r="D2534" s="55" t="s">
        <v>373</v>
      </c>
      <c r="E2534" s="74">
        <v>38754</v>
      </c>
      <c r="F2534" s="55" t="s">
        <v>344</v>
      </c>
      <c r="G2534" s="55" t="s">
        <v>360</v>
      </c>
      <c r="H2534" s="55" t="s">
        <v>360</v>
      </c>
      <c r="I2534" s="55" t="s">
        <v>360</v>
      </c>
      <c r="J2534" s="55" t="s">
        <v>360</v>
      </c>
      <c r="K2534" s="55" t="s">
        <v>360</v>
      </c>
      <c r="L2534" s="55" t="s">
        <v>360</v>
      </c>
      <c r="M2534" s="55" t="s">
        <v>142</v>
      </c>
      <c r="N2534" s="55" t="s">
        <v>142</v>
      </c>
      <c r="O2534" s="55" t="s">
        <v>141</v>
      </c>
      <c r="P2534" s="55" t="s">
        <v>641</v>
      </c>
      <c r="Q2534" s="55" t="s">
        <v>350</v>
      </c>
      <c r="R2534" s="55">
        <v>3</v>
      </c>
      <c r="S2534" s="55"/>
      <c r="T2534" s="55" t="s">
        <v>385</v>
      </c>
    </row>
    <row r="2535" spans="1:20" ht="13" x14ac:dyDescent="0.15">
      <c r="A2535" s="72" t="str">
        <f t="shared" si="39"/>
        <v>Ofsted Social Care Provider Webpage</v>
      </c>
      <c r="B2535" s="55" t="s">
        <v>4747</v>
      </c>
      <c r="D2535" s="55" t="s">
        <v>373</v>
      </c>
      <c r="E2535" s="74">
        <v>38791</v>
      </c>
      <c r="F2535" s="55" t="s">
        <v>344</v>
      </c>
      <c r="G2535" s="55" t="s">
        <v>360</v>
      </c>
      <c r="H2535" s="55" t="s">
        <v>360</v>
      </c>
      <c r="I2535" s="55" t="s">
        <v>360</v>
      </c>
      <c r="J2535" s="55" t="s">
        <v>360</v>
      </c>
      <c r="K2535" s="55" t="s">
        <v>360</v>
      </c>
      <c r="L2535" s="55" t="s">
        <v>360</v>
      </c>
      <c r="M2535" s="55" t="s">
        <v>144</v>
      </c>
      <c r="N2535" s="55" t="s">
        <v>144</v>
      </c>
      <c r="O2535" s="55" t="s">
        <v>261</v>
      </c>
      <c r="P2535" s="55" t="s">
        <v>512</v>
      </c>
      <c r="Q2535" s="55" t="s">
        <v>350</v>
      </c>
      <c r="R2535" s="55">
        <v>5</v>
      </c>
      <c r="S2535" s="55"/>
      <c r="T2535" s="55" t="s">
        <v>4748</v>
      </c>
    </row>
    <row r="2536" spans="1:20" ht="13" x14ac:dyDescent="0.15">
      <c r="A2536" s="72" t="str">
        <f t="shared" si="39"/>
        <v>Ofsted Social Care Provider Webpage</v>
      </c>
      <c r="B2536" s="55" t="s">
        <v>4749</v>
      </c>
      <c r="D2536" s="55" t="s">
        <v>373</v>
      </c>
      <c r="E2536" s="74">
        <v>38806</v>
      </c>
      <c r="F2536" s="55" t="s">
        <v>344</v>
      </c>
      <c r="G2536" s="55" t="s">
        <v>360</v>
      </c>
      <c r="H2536" s="55" t="s">
        <v>360</v>
      </c>
      <c r="I2536" s="55" t="s">
        <v>360</v>
      </c>
      <c r="J2536" s="55" t="s">
        <v>360</v>
      </c>
      <c r="K2536" s="55" t="s">
        <v>360</v>
      </c>
      <c r="L2536" s="55" t="s">
        <v>360</v>
      </c>
      <c r="M2536" s="55" t="s">
        <v>144</v>
      </c>
      <c r="N2536" s="55" t="s">
        <v>144</v>
      </c>
      <c r="O2536" s="55" t="s">
        <v>250</v>
      </c>
      <c r="P2536" s="55" t="s">
        <v>1372</v>
      </c>
      <c r="Q2536" s="55" t="s">
        <v>350</v>
      </c>
      <c r="R2536" s="55">
        <v>2</v>
      </c>
      <c r="S2536" s="55"/>
      <c r="T2536" s="55" t="s">
        <v>4534</v>
      </c>
    </row>
    <row r="2537" spans="1:20" ht="13" x14ac:dyDescent="0.15">
      <c r="A2537" s="72" t="str">
        <f t="shared" si="39"/>
        <v>Ofsted Social Care Provider Webpage</v>
      </c>
      <c r="B2537" s="55" t="s">
        <v>4750</v>
      </c>
      <c r="D2537" s="55" t="s">
        <v>373</v>
      </c>
      <c r="E2537" s="74">
        <v>38687</v>
      </c>
      <c r="F2537" s="55" t="s">
        <v>344</v>
      </c>
      <c r="G2537" s="55" t="s">
        <v>360</v>
      </c>
      <c r="H2537" s="55" t="s">
        <v>360</v>
      </c>
      <c r="I2537" s="55" t="s">
        <v>360</v>
      </c>
      <c r="J2537" s="55" t="s">
        <v>360</v>
      </c>
      <c r="K2537" s="55" t="s">
        <v>360</v>
      </c>
      <c r="L2537" s="55" t="s">
        <v>360</v>
      </c>
      <c r="M2537" s="55" t="s">
        <v>136</v>
      </c>
      <c r="N2537" s="55" t="s">
        <v>136</v>
      </c>
      <c r="O2537" s="55" t="s">
        <v>154</v>
      </c>
      <c r="P2537" s="55" t="s">
        <v>1686</v>
      </c>
      <c r="Q2537" s="55" t="s">
        <v>350</v>
      </c>
      <c r="R2537" s="55">
        <v>3</v>
      </c>
      <c r="S2537" s="55"/>
      <c r="T2537" s="55" t="s">
        <v>914</v>
      </c>
    </row>
    <row r="2538" spans="1:20" ht="13" x14ac:dyDescent="0.15">
      <c r="A2538" s="72" t="str">
        <f t="shared" si="39"/>
        <v>Ofsted Social Care Provider Webpage</v>
      </c>
      <c r="B2538" s="55" t="s">
        <v>4751</v>
      </c>
      <c r="D2538" s="55" t="s">
        <v>373</v>
      </c>
      <c r="E2538" s="74">
        <v>38764</v>
      </c>
      <c r="F2538" s="55" t="s">
        <v>344</v>
      </c>
      <c r="G2538" s="55" t="s">
        <v>360</v>
      </c>
      <c r="H2538" s="55" t="s">
        <v>360</v>
      </c>
      <c r="I2538" s="55" t="s">
        <v>360</v>
      </c>
      <c r="J2538" s="55" t="s">
        <v>360</v>
      </c>
      <c r="K2538" s="55" t="s">
        <v>360</v>
      </c>
      <c r="L2538" s="55" t="s">
        <v>360</v>
      </c>
      <c r="M2538" s="55" t="s">
        <v>150</v>
      </c>
      <c r="N2538" s="55" t="s">
        <v>150</v>
      </c>
      <c r="O2538" s="55" t="s">
        <v>190</v>
      </c>
      <c r="P2538" s="55" t="s">
        <v>936</v>
      </c>
      <c r="Q2538" s="55" t="s">
        <v>380</v>
      </c>
      <c r="R2538" s="55">
        <v>9</v>
      </c>
      <c r="S2538" s="55" t="s">
        <v>332</v>
      </c>
      <c r="T2538" s="55" t="s">
        <v>967</v>
      </c>
    </row>
    <row r="2539" spans="1:20" ht="13" x14ac:dyDescent="0.15">
      <c r="A2539" s="72" t="str">
        <f t="shared" si="39"/>
        <v>Ofsted Social Care Provider Webpage</v>
      </c>
      <c r="B2539" s="55" t="s">
        <v>4752</v>
      </c>
      <c r="D2539" s="55" t="s">
        <v>373</v>
      </c>
      <c r="E2539" s="74">
        <v>38735</v>
      </c>
      <c r="F2539" s="55" t="s">
        <v>344</v>
      </c>
      <c r="G2539" s="55" t="s">
        <v>360</v>
      </c>
      <c r="H2539" s="55" t="s">
        <v>360</v>
      </c>
      <c r="I2539" s="55" t="s">
        <v>360</v>
      </c>
      <c r="J2539" s="55" t="s">
        <v>360</v>
      </c>
      <c r="K2539" s="55" t="s">
        <v>360</v>
      </c>
      <c r="L2539" s="55" t="s">
        <v>360</v>
      </c>
      <c r="M2539" s="55" t="s">
        <v>142</v>
      </c>
      <c r="N2539" s="55" t="s">
        <v>142</v>
      </c>
      <c r="O2539" s="55" t="s">
        <v>141</v>
      </c>
      <c r="P2539" s="55" t="s">
        <v>864</v>
      </c>
      <c r="Q2539" s="55" t="s">
        <v>350</v>
      </c>
      <c r="R2539" s="55">
        <v>3</v>
      </c>
      <c r="S2539" s="55"/>
      <c r="T2539" s="55" t="s">
        <v>385</v>
      </c>
    </row>
    <row r="2540" spans="1:20" ht="13" x14ac:dyDescent="0.15">
      <c r="A2540" s="72" t="str">
        <f t="shared" si="39"/>
        <v>Ofsted Social Care Provider Webpage</v>
      </c>
      <c r="B2540" s="55" t="s">
        <v>4753</v>
      </c>
      <c r="D2540" s="55" t="s">
        <v>389</v>
      </c>
      <c r="E2540" s="74">
        <v>38807</v>
      </c>
      <c r="F2540" s="55" t="s">
        <v>344</v>
      </c>
      <c r="G2540" s="55" t="s">
        <v>4754</v>
      </c>
      <c r="H2540" s="55" t="s">
        <v>4755</v>
      </c>
      <c r="I2540" s="55" t="s">
        <v>354</v>
      </c>
      <c r="J2540" s="55" t="s">
        <v>4756</v>
      </c>
      <c r="K2540" s="55" t="s">
        <v>192</v>
      </c>
      <c r="L2540" s="55" t="s">
        <v>4757</v>
      </c>
      <c r="M2540" s="55" t="s">
        <v>129</v>
      </c>
      <c r="N2540" s="55" t="s">
        <v>129</v>
      </c>
      <c r="O2540" s="55" t="s">
        <v>192</v>
      </c>
      <c r="P2540" s="55" t="s">
        <v>718</v>
      </c>
      <c r="Q2540" s="55" t="s">
        <v>350</v>
      </c>
      <c r="R2540" s="55"/>
      <c r="S2540" s="55"/>
      <c r="T2540" s="55" t="s">
        <v>4758</v>
      </c>
    </row>
    <row r="2541" spans="1:20" ht="13" x14ac:dyDescent="0.15">
      <c r="A2541" s="72" t="str">
        <f t="shared" si="39"/>
        <v>Ofsted Social Care Provider Webpage</v>
      </c>
      <c r="B2541" s="55" t="s">
        <v>4759</v>
      </c>
      <c r="D2541" s="55" t="s">
        <v>373</v>
      </c>
      <c r="E2541" s="74">
        <v>38777</v>
      </c>
      <c r="F2541" s="55" t="s">
        <v>344</v>
      </c>
      <c r="G2541" s="55" t="s">
        <v>360</v>
      </c>
      <c r="H2541" s="55" t="s">
        <v>360</v>
      </c>
      <c r="I2541" s="55" t="s">
        <v>360</v>
      </c>
      <c r="J2541" s="55" t="s">
        <v>360</v>
      </c>
      <c r="K2541" s="55" t="s">
        <v>360</v>
      </c>
      <c r="L2541" s="55" t="s">
        <v>360</v>
      </c>
      <c r="M2541" s="55" t="s">
        <v>144</v>
      </c>
      <c r="N2541" s="55" t="s">
        <v>144</v>
      </c>
      <c r="O2541" s="55" t="s">
        <v>209</v>
      </c>
      <c r="P2541" s="55" t="s">
        <v>474</v>
      </c>
      <c r="Q2541" s="55" t="s">
        <v>350</v>
      </c>
      <c r="R2541" s="55">
        <v>5</v>
      </c>
      <c r="S2541" s="55"/>
      <c r="T2541" s="55" t="s">
        <v>863</v>
      </c>
    </row>
    <row r="2542" spans="1:20" ht="13" x14ac:dyDescent="0.15">
      <c r="A2542" s="72" t="str">
        <f t="shared" si="39"/>
        <v>Ofsted Social Care Provider Webpage</v>
      </c>
      <c r="B2542" s="55" t="s">
        <v>4760</v>
      </c>
      <c r="D2542" s="55" t="s">
        <v>373</v>
      </c>
      <c r="E2542" s="74">
        <v>38806</v>
      </c>
      <c r="F2542" s="55" t="s">
        <v>344</v>
      </c>
      <c r="G2542" s="55" t="s">
        <v>360</v>
      </c>
      <c r="H2542" s="55" t="s">
        <v>360</v>
      </c>
      <c r="I2542" s="55" t="s">
        <v>360</v>
      </c>
      <c r="J2542" s="55" t="s">
        <v>360</v>
      </c>
      <c r="K2542" s="55" t="s">
        <v>360</v>
      </c>
      <c r="L2542" s="55" t="s">
        <v>360</v>
      </c>
      <c r="M2542" s="55" t="s">
        <v>378</v>
      </c>
      <c r="N2542" s="55" t="s">
        <v>134</v>
      </c>
      <c r="O2542" s="55" t="s">
        <v>210</v>
      </c>
      <c r="P2542" s="55" t="s">
        <v>1989</v>
      </c>
      <c r="Q2542" s="55" t="s">
        <v>350</v>
      </c>
      <c r="R2542" s="55">
        <v>3</v>
      </c>
      <c r="S2542" s="55"/>
      <c r="T2542" s="55" t="s">
        <v>1251</v>
      </c>
    </row>
    <row r="2543" spans="1:20" ht="13" x14ac:dyDescent="0.15">
      <c r="A2543" s="72" t="str">
        <f t="shared" si="39"/>
        <v>Ofsted Social Care Provider Webpage</v>
      </c>
      <c r="B2543" s="55" t="s">
        <v>4761</v>
      </c>
      <c r="D2543" s="55" t="s">
        <v>373</v>
      </c>
      <c r="E2543" s="74">
        <v>38769</v>
      </c>
      <c r="F2543" s="55" t="s">
        <v>344</v>
      </c>
      <c r="G2543" s="55" t="s">
        <v>360</v>
      </c>
      <c r="H2543" s="55" t="s">
        <v>360</v>
      </c>
      <c r="I2543" s="55" t="s">
        <v>360</v>
      </c>
      <c r="J2543" s="55" t="s">
        <v>360</v>
      </c>
      <c r="K2543" s="55" t="s">
        <v>360</v>
      </c>
      <c r="L2543" s="55" t="s">
        <v>360</v>
      </c>
      <c r="M2543" s="55" t="s">
        <v>150</v>
      </c>
      <c r="N2543" s="55" t="s">
        <v>150</v>
      </c>
      <c r="O2543" s="55" t="s">
        <v>285</v>
      </c>
      <c r="P2543" s="55" t="s">
        <v>2738</v>
      </c>
      <c r="Q2543" s="55" t="s">
        <v>350</v>
      </c>
      <c r="R2543" s="55">
        <v>6</v>
      </c>
      <c r="S2543" s="55"/>
      <c r="T2543" s="55" t="s">
        <v>4762</v>
      </c>
    </row>
    <row r="2544" spans="1:20" ht="13" x14ac:dyDescent="0.15">
      <c r="A2544" s="72" t="str">
        <f t="shared" si="39"/>
        <v>Ofsted Social Care Provider Webpage</v>
      </c>
      <c r="B2544" s="55" t="s">
        <v>4763</v>
      </c>
      <c r="D2544" s="55" t="s">
        <v>373</v>
      </c>
      <c r="E2544" s="74">
        <v>38729</v>
      </c>
      <c r="F2544" s="55" t="s">
        <v>344</v>
      </c>
      <c r="G2544" s="55" t="s">
        <v>360</v>
      </c>
      <c r="H2544" s="55" t="s">
        <v>360</v>
      </c>
      <c r="I2544" s="55" t="s">
        <v>360</v>
      </c>
      <c r="J2544" s="55" t="s">
        <v>360</v>
      </c>
      <c r="K2544" s="55" t="s">
        <v>360</v>
      </c>
      <c r="L2544" s="55" t="s">
        <v>360</v>
      </c>
      <c r="M2544" s="55" t="s">
        <v>378</v>
      </c>
      <c r="N2544" s="55" t="s">
        <v>134</v>
      </c>
      <c r="O2544" s="55" t="s">
        <v>251</v>
      </c>
      <c r="P2544" s="55" t="s">
        <v>4655</v>
      </c>
      <c r="Q2544" s="55" t="s">
        <v>350</v>
      </c>
      <c r="R2544" s="55">
        <v>3</v>
      </c>
      <c r="S2544" s="55"/>
      <c r="T2544" s="55" t="s">
        <v>843</v>
      </c>
    </row>
    <row r="2545" spans="1:20" ht="13" x14ac:dyDescent="0.15">
      <c r="A2545" s="72" t="str">
        <f t="shared" si="39"/>
        <v>Ofsted Social Care Provider Webpage</v>
      </c>
      <c r="B2545" s="55" t="s">
        <v>4764</v>
      </c>
      <c r="D2545" s="55" t="s">
        <v>373</v>
      </c>
      <c r="E2545" s="74">
        <v>38774</v>
      </c>
      <c r="F2545" s="55" t="s">
        <v>344</v>
      </c>
      <c r="G2545" s="55" t="s">
        <v>360</v>
      </c>
      <c r="H2545" s="55" t="s">
        <v>360</v>
      </c>
      <c r="I2545" s="55" t="s">
        <v>360</v>
      </c>
      <c r="J2545" s="55" t="s">
        <v>360</v>
      </c>
      <c r="K2545" s="55" t="s">
        <v>360</v>
      </c>
      <c r="L2545" s="55" t="s">
        <v>360</v>
      </c>
      <c r="M2545" s="55" t="s">
        <v>150</v>
      </c>
      <c r="N2545" s="55" t="s">
        <v>150</v>
      </c>
      <c r="O2545" s="55" t="s">
        <v>190</v>
      </c>
      <c r="P2545" s="55" t="s">
        <v>500</v>
      </c>
      <c r="Q2545" s="55" t="s">
        <v>350</v>
      </c>
      <c r="R2545" s="55">
        <v>5</v>
      </c>
      <c r="S2545" s="55"/>
      <c r="T2545" s="55" t="s">
        <v>456</v>
      </c>
    </row>
    <row r="2546" spans="1:20" ht="13" x14ac:dyDescent="0.15">
      <c r="A2546" s="72" t="str">
        <f t="shared" si="39"/>
        <v>Ofsted Social Care Provider Webpage</v>
      </c>
      <c r="B2546" s="55" t="s">
        <v>4765</v>
      </c>
      <c r="D2546" s="55" t="s">
        <v>389</v>
      </c>
      <c r="E2546" s="74">
        <v>38727</v>
      </c>
      <c r="F2546" s="55" t="s">
        <v>344</v>
      </c>
      <c r="G2546" s="55" t="s">
        <v>4766</v>
      </c>
      <c r="H2546" s="55" t="s">
        <v>4767</v>
      </c>
      <c r="I2546" s="55" t="s">
        <v>4768</v>
      </c>
      <c r="J2546" s="55" t="s">
        <v>4769</v>
      </c>
      <c r="K2546" s="55" t="s">
        <v>2469</v>
      </c>
      <c r="L2546" s="55" t="s">
        <v>4770</v>
      </c>
      <c r="M2546" s="55" t="s">
        <v>144</v>
      </c>
      <c r="N2546" s="55" t="s">
        <v>144</v>
      </c>
      <c r="O2546" s="55" t="s">
        <v>162</v>
      </c>
      <c r="P2546" s="55" t="s">
        <v>1587</v>
      </c>
      <c r="Q2546" s="55" t="s">
        <v>350</v>
      </c>
      <c r="R2546" s="55"/>
      <c r="S2546" s="55"/>
      <c r="T2546" s="55" t="s">
        <v>4771</v>
      </c>
    </row>
    <row r="2547" spans="1:20" ht="13" x14ac:dyDescent="0.15">
      <c r="A2547" s="72" t="str">
        <f t="shared" si="39"/>
        <v>Ofsted Social Care Provider Webpage</v>
      </c>
      <c r="B2547" s="55" t="s">
        <v>4772</v>
      </c>
      <c r="D2547" s="55" t="s">
        <v>451</v>
      </c>
      <c r="E2547" s="74">
        <v>38771</v>
      </c>
      <c r="F2547" s="55" t="s">
        <v>344</v>
      </c>
      <c r="G2547" s="55" t="s">
        <v>4773</v>
      </c>
      <c r="H2547" s="55" t="s">
        <v>4774</v>
      </c>
      <c r="I2547" s="55" t="s">
        <v>354</v>
      </c>
      <c r="J2547" s="55" t="s">
        <v>4775</v>
      </c>
      <c r="K2547" s="55" t="s">
        <v>683</v>
      </c>
      <c r="L2547" s="55" t="s">
        <v>4776</v>
      </c>
      <c r="M2547" s="55" t="s">
        <v>378</v>
      </c>
      <c r="N2547" s="55" t="s">
        <v>134</v>
      </c>
      <c r="O2547" s="55" t="s">
        <v>133</v>
      </c>
      <c r="P2547" s="55" t="s">
        <v>1804</v>
      </c>
      <c r="Q2547" s="55" t="s">
        <v>350</v>
      </c>
      <c r="R2547" s="55">
        <v>10</v>
      </c>
      <c r="S2547" s="55"/>
      <c r="T2547" s="55" t="s">
        <v>4777</v>
      </c>
    </row>
    <row r="2548" spans="1:20" ht="13" x14ac:dyDescent="0.15">
      <c r="A2548" s="72" t="str">
        <f t="shared" si="39"/>
        <v>Ofsted Social Care Provider Webpage</v>
      </c>
      <c r="B2548" s="55" t="s">
        <v>4778</v>
      </c>
      <c r="D2548" s="55" t="s">
        <v>451</v>
      </c>
      <c r="E2548" s="74">
        <v>38758</v>
      </c>
      <c r="F2548" s="55" t="s">
        <v>344</v>
      </c>
      <c r="G2548" s="55" t="s">
        <v>4779</v>
      </c>
      <c r="H2548" s="55" t="s">
        <v>4780</v>
      </c>
      <c r="I2548" s="55" t="s">
        <v>4781</v>
      </c>
      <c r="J2548" s="55" t="s">
        <v>4782</v>
      </c>
      <c r="K2548" s="55" t="s">
        <v>255</v>
      </c>
      <c r="L2548" s="55" t="s">
        <v>4783</v>
      </c>
      <c r="M2548" s="55" t="s">
        <v>136</v>
      </c>
      <c r="N2548" s="55" t="s">
        <v>136</v>
      </c>
      <c r="O2548" s="55" t="s">
        <v>255</v>
      </c>
      <c r="P2548" s="55" t="s">
        <v>583</v>
      </c>
      <c r="Q2548" s="55" t="s">
        <v>350</v>
      </c>
      <c r="R2548" s="55">
        <v>6</v>
      </c>
      <c r="S2548" s="55"/>
      <c r="T2548" s="55" t="s">
        <v>4784</v>
      </c>
    </row>
    <row r="2549" spans="1:20" ht="13" x14ac:dyDescent="0.15">
      <c r="A2549" s="72" t="str">
        <f t="shared" si="39"/>
        <v>Ofsted Social Care Provider Webpage</v>
      </c>
      <c r="B2549" s="55" t="s">
        <v>4785</v>
      </c>
      <c r="D2549" s="55" t="s">
        <v>373</v>
      </c>
      <c r="E2549" s="74">
        <v>38763</v>
      </c>
      <c r="F2549" s="55" t="s">
        <v>344</v>
      </c>
      <c r="G2549" s="55" t="s">
        <v>360</v>
      </c>
      <c r="H2549" s="55" t="s">
        <v>360</v>
      </c>
      <c r="I2549" s="55" t="s">
        <v>360</v>
      </c>
      <c r="J2549" s="55" t="s">
        <v>360</v>
      </c>
      <c r="K2549" s="55" t="s">
        <v>360</v>
      </c>
      <c r="L2549" s="55" t="s">
        <v>360</v>
      </c>
      <c r="M2549" s="55" t="s">
        <v>144</v>
      </c>
      <c r="N2549" s="55" t="s">
        <v>144</v>
      </c>
      <c r="O2549" s="55" t="s">
        <v>245</v>
      </c>
      <c r="P2549" s="55" t="s">
        <v>245</v>
      </c>
      <c r="Q2549" s="55" t="s">
        <v>350</v>
      </c>
      <c r="R2549" s="55">
        <v>3</v>
      </c>
      <c r="S2549" s="55"/>
      <c r="T2549" s="55" t="s">
        <v>613</v>
      </c>
    </row>
    <row r="2550" spans="1:20" ht="13" x14ac:dyDescent="0.15">
      <c r="A2550" s="72" t="str">
        <f t="shared" si="39"/>
        <v>Ofsted Social Care Provider Webpage</v>
      </c>
      <c r="B2550" s="55" t="s">
        <v>4786</v>
      </c>
      <c r="D2550" s="55" t="s">
        <v>479</v>
      </c>
      <c r="E2550" s="74">
        <v>38916</v>
      </c>
      <c r="F2550" s="55" t="s">
        <v>344</v>
      </c>
      <c r="G2550" s="55" t="s">
        <v>360</v>
      </c>
      <c r="H2550" s="55" t="s">
        <v>360</v>
      </c>
      <c r="I2550" s="55" t="s">
        <v>360</v>
      </c>
      <c r="J2550" s="55" t="s">
        <v>360</v>
      </c>
      <c r="K2550" s="55" t="s">
        <v>360</v>
      </c>
      <c r="L2550" s="55" t="s">
        <v>360</v>
      </c>
      <c r="M2550" s="55" t="s">
        <v>378</v>
      </c>
      <c r="N2550" s="55" t="s">
        <v>134</v>
      </c>
      <c r="O2550" s="55" t="s">
        <v>226</v>
      </c>
      <c r="P2550" s="55" t="s">
        <v>1889</v>
      </c>
      <c r="Q2550" s="55" t="s">
        <v>350</v>
      </c>
      <c r="R2550" s="55">
        <v>26</v>
      </c>
      <c r="S2550" s="55"/>
      <c r="T2550" s="55" t="s">
        <v>4787</v>
      </c>
    </row>
    <row r="2551" spans="1:20" ht="13" x14ac:dyDescent="0.15">
      <c r="A2551" s="72" t="str">
        <f t="shared" si="39"/>
        <v>Ofsted Social Care Provider Webpage</v>
      </c>
      <c r="B2551" s="55" t="s">
        <v>4788</v>
      </c>
      <c r="D2551" s="55" t="s">
        <v>373</v>
      </c>
      <c r="E2551" s="74">
        <v>38806</v>
      </c>
      <c r="F2551" s="55" t="s">
        <v>344</v>
      </c>
      <c r="G2551" s="55" t="s">
        <v>360</v>
      </c>
      <c r="H2551" s="55" t="s">
        <v>360</v>
      </c>
      <c r="I2551" s="55" t="s">
        <v>360</v>
      </c>
      <c r="J2551" s="55" t="s">
        <v>360</v>
      </c>
      <c r="K2551" s="55" t="s">
        <v>360</v>
      </c>
      <c r="L2551" s="55" t="s">
        <v>360</v>
      </c>
      <c r="M2551" s="55" t="s">
        <v>378</v>
      </c>
      <c r="N2551" s="55" t="s">
        <v>134</v>
      </c>
      <c r="O2551" s="55" t="s">
        <v>251</v>
      </c>
      <c r="P2551" s="55" t="s">
        <v>3363</v>
      </c>
      <c r="Q2551" s="55" t="s">
        <v>380</v>
      </c>
      <c r="R2551" s="55">
        <v>6</v>
      </c>
      <c r="S2551" s="55" t="s">
        <v>332</v>
      </c>
      <c r="T2551" s="55" t="s">
        <v>3358</v>
      </c>
    </row>
    <row r="2552" spans="1:20" ht="13" x14ac:dyDescent="0.15">
      <c r="A2552" s="72" t="str">
        <f t="shared" si="39"/>
        <v>Ofsted Social Care Provider Webpage</v>
      </c>
      <c r="B2552" s="55" t="s">
        <v>4789</v>
      </c>
      <c r="D2552" s="55" t="s">
        <v>389</v>
      </c>
      <c r="E2552" s="74">
        <v>38742</v>
      </c>
      <c r="F2552" s="55" t="s">
        <v>344</v>
      </c>
      <c r="G2552" s="55" t="s">
        <v>4790</v>
      </c>
      <c r="H2552" s="55" t="s">
        <v>4791</v>
      </c>
      <c r="I2552" s="55" t="s">
        <v>4792</v>
      </c>
      <c r="J2552" s="55" t="s">
        <v>236</v>
      </c>
      <c r="L2552" s="55" t="s">
        <v>4793</v>
      </c>
      <c r="M2552" s="55" t="s">
        <v>144</v>
      </c>
      <c r="N2552" s="55" t="s">
        <v>144</v>
      </c>
      <c r="O2552" s="55" t="s">
        <v>236</v>
      </c>
      <c r="P2552" s="55" t="s">
        <v>996</v>
      </c>
      <c r="Q2552" s="55" t="s">
        <v>350</v>
      </c>
      <c r="R2552" s="55"/>
      <c r="S2552" s="55"/>
      <c r="T2552" s="55" t="s">
        <v>4794</v>
      </c>
    </row>
    <row r="2553" spans="1:20" ht="13" x14ac:dyDescent="0.15">
      <c r="A2553" s="72" t="str">
        <f t="shared" si="39"/>
        <v>Ofsted Social Care Provider Webpage</v>
      </c>
      <c r="B2553" s="55" t="s">
        <v>4795</v>
      </c>
      <c r="D2553" s="55" t="s">
        <v>693</v>
      </c>
      <c r="E2553" s="74">
        <v>38721</v>
      </c>
      <c r="F2553" s="55" t="s">
        <v>344</v>
      </c>
      <c r="G2553" s="55" t="s">
        <v>4796</v>
      </c>
      <c r="H2553" s="55" t="s">
        <v>4797</v>
      </c>
      <c r="I2553" s="55" t="s">
        <v>4798</v>
      </c>
      <c r="J2553" s="55" t="s">
        <v>639</v>
      </c>
      <c r="K2553" s="55" t="s">
        <v>268</v>
      </c>
      <c r="L2553" s="55" t="s">
        <v>4799</v>
      </c>
      <c r="M2553" s="55" t="s">
        <v>150</v>
      </c>
      <c r="N2553" s="55" t="s">
        <v>150</v>
      </c>
      <c r="O2553" s="55" t="s">
        <v>268</v>
      </c>
      <c r="P2553" s="55" t="s">
        <v>639</v>
      </c>
      <c r="Q2553" s="55" t="s">
        <v>362</v>
      </c>
      <c r="R2553" s="55">
        <v>93</v>
      </c>
      <c r="S2553" s="55"/>
      <c r="T2553" s="55" t="s">
        <v>4800</v>
      </c>
    </row>
    <row r="2554" spans="1:20" ht="13" x14ac:dyDescent="0.15">
      <c r="A2554" s="72" t="str">
        <f t="shared" si="39"/>
        <v>Ofsted Social Care Provider Webpage</v>
      </c>
      <c r="B2554" s="55" t="s">
        <v>4801</v>
      </c>
      <c r="D2554" s="55" t="s">
        <v>373</v>
      </c>
      <c r="E2554" s="74">
        <v>38806</v>
      </c>
      <c r="F2554" s="55" t="s">
        <v>344</v>
      </c>
      <c r="G2554" s="55" t="s">
        <v>360</v>
      </c>
      <c r="H2554" s="55" t="s">
        <v>360</v>
      </c>
      <c r="I2554" s="55" t="s">
        <v>360</v>
      </c>
      <c r="J2554" s="55" t="s">
        <v>360</v>
      </c>
      <c r="K2554" s="55" t="s">
        <v>360</v>
      </c>
      <c r="L2554" s="55" t="s">
        <v>360</v>
      </c>
      <c r="M2554" s="55" t="s">
        <v>378</v>
      </c>
      <c r="N2554" s="55" t="s">
        <v>134</v>
      </c>
      <c r="O2554" s="55" t="s">
        <v>251</v>
      </c>
      <c r="P2554" s="55" t="s">
        <v>3363</v>
      </c>
      <c r="Q2554" s="55" t="s">
        <v>380</v>
      </c>
      <c r="R2554" s="55">
        <v>5</v>
      </c>
      <c r="S2554" s="55"/>
      <c r="T2554" s="55" t="s">
        <v>3358</v>
      </c>
    </row>
    <row r="2555" spans="1:20" ht="13" x14ac:dyDescent="0.15">
      <c r="A2555" s="72" t="str">
        <f t="shared" si="39"/>
        <v>Ofsted Social Care Provider Webpage</v>
      </c>
      <c r="B2555" s="55" t="s">
        <v>4802</v>
      </c>
      <c r="D2555" s="55" t="s">
        <v>373</v>
      </c>
      <c r="E2555" s="74">
        <v>38754</v>
      </c>
      <c r="F2555" s="55" t="s">
        <v>344</v>
      </c>
      <c r="G2555" s="55" t="s">
        <v>360</v>
      </c>
      <c r="H2555" s="55" t="s">
        <v>360</v>
      </c>
      <c r="I2555" s="55" t="s">
        <v>360</v>
      </c>
      <c r="J2555" s="55" t="s">
        <v>360</v>
      </c>
      <c r="K2555" s="55" t="s">
        <v>360</v>
      </c>
      <c r="L2555" s="55" t="s">
        <v>360</v>
      </c>
      <c r="M2555" s="55" t="s">
        <v>378</v>
      </c>
      <c r="N2555" s="55" t="s">
        <v>134</v>
      </c>
      <c r="O2555" s="55" t="s">
        <v>277</v>
      </c>
      <c r="P2555" s="55" t="s">
        <v>277</v>
      </c>
      <c r="Q2555" s="55" t="s">
        <v>380</v>
      </c>
      <c r="R2555" s="55">
        <v>4</v>
      </c>
      <c r="S2555" s="55"/>
      <c r="T2555" s="55" t="s">
        <v>1575</v>
      </c>
    </row>
    <row r="2556" spans="1:20" ht="13" x14ac:dyDescent="0.15">
      <c r="A2556" s="72" t="str">
        <f t="shared" si="39"/>
        <v>Ofsted Social Care Provider Webpage</v>
      </c>
      <c r="B2556" s="55" t="s">
        <v>4803</v>
      </c>
      <c r="D2556" s="55" t="s">
        <v>389</v>
      </c>
      <c r="E2556" s="74">
        <v>38805</v>
      </c>
      <c r="F2556" s="55" t="s">
        <v>344</v>
      </c>
      <c r="G2556" s="55" t="s">
        <v>4804</v>
      </c>
      <c r="H2556" s="55" t="s">
        <v>4805</v>
      </c>
      <c r="I2556" s="55" t="s">
        <v>4806</v>
      </c>
      <c r="J2556" s="55" t="s">
        <v>175</v>
      </c>
      <c r="L2556" s="55" t="s">
        <v>4807</v>
      </c>
      <c r="M2556" s="55" t="s">
        <v>378</v>
      </c>
      <c r="N2556" s="55" t="s">
        <v>134</v>
      </c>
      <c r="O2556" s="55" t="s">
        <v>175</v>
      </c>
      <c r="P2556" s="55" t="s">
        <v>678</v>
      </c>
      <c r="Q2556" s="55" t="s">
        <v>362</v>
      </c>
      <c r="R2556" s="55"/>
      <c r="S2556" s="55"/>
      <c r="T2556" s="55" t="s">
        <v>4808</v>
      </c>
    </row>
    <row r="2557" spans="1:20" ht="13" x14ac:dyDescent="0.15">
      <c r="A2557" s="72" t="str">
        <f t="shared" si="39"/>
        <v>Ofsted Social Care Provider Webpage</v>
      </c>
      <c r="B2557" s="55" t="s">
        <v>4809</v>
      </c>
      <c r="D2557" s="55" t="s">
        <v>479</v>
      </c>
      <c r="E2557" s="74">
        <v>38825</v>
      </c>
      <c r="F2557" s="55" t="s">
        <v>344</v>
      </c>
      <c r="G2557" s="55" t="s">
        <v>360</v>
      </c>
      <c r="H2557" s="55" t="s">
        <v>360</v>
      </c>
      <c r="I2557" s="55" t="s">
        <v>360</v>
      </c>
      <c r="J2557" s="55" t="s">
        <v>360</v>
      </c>
      <c r="K2557" s="55" t="s">
        <v>360</v>
      </c>
      <c r="L2557" s="55" t="s">
        <v>360</v>
      </c>
      <c r="M2557" s="55" t="s">
        <v>144</v>
      </c>
      <c r="N2557" s="55" t="s">
        <v>144</v>
      </c>
      <c r="O2557" s="55" t="s">
        <v>168</v>
      </c>
      <c r="P2557" s="55" t="s">
        <v>834</v>
      </c>
      <c r="Q2557" s="55" t="s">
        <v>350</v>
      </c>
      <c r="R2557" s="55">
        <v>14</v>
      </c>
      <c r="S2557" s="55"/>
      <c r="T2557" s="55" t="s">
        <v>4810</v>
      </c>
    </row>
    <row r="2558" spans="1:20" ht="13" x14ac:dyDescent="0.15">
      <c r="A2558" s="72" t="str">
        <f t="shared" si="39"/>
        <v>Ofsted Social Care Provider Webpage</v>
      </c>
      <c r="B2558" s="55" t="s">
        <v>4811</v>
      </c>
      <c r="D2558" s="55" t="s">
        <v>443</v>
      </c>
      <c r="E2558" s="74">
        <v>38891</v>
      </c>
      <c r="F2558" s="55" t="s">
        <v>344</v>
      </c>
      <c r="G2558" s="55" t="s">
        <v>4812</v>
      </c>
      <c r="H2558" s="55" t="s">
        <v>4813</v>
      </c>
      <c r="I2558" s="55" t="s">
        <v>4814</v>
      </c>
      <c r="J2558" s="55" t="s">
        <v>4815</v>
      </c>
      <c r="K2558" s="55" t="s">
        <v>268</v>
      </c>
      <c r="L2558" s="55" t="s">
        <v>4816</v>
      </c>
      <c r="M2558" s="55" t="s">
        <v>150</v>
      </c>
      <c r="N2558" s="55" t="s">
        <v>150</v>
      </c>
      <c r="O2558" s="55" t="s">
        <v>268</v>
      </c>
      <c r="P2558" s="55" t="s">
        <v>2659</v>
      </c>
      <c r="Q2558" s="55" t="s">
        <v>350</v>
      </c>
      <c r="R2558" s="55"/>
      <c r="S2558" s="55"/>
    </row>
    <row r="2559" spans="1:20" ht="13" x14ac:dyDescent="0.15">
      <c r="A2559" s="72" t="str">
        <f t="shared" si="39"/>
        <v>Ofsted Social Care Provider Webpage</v>
      </c>
      <c r="B2559" s="55" t="s">
        <v>4817</v>
      </c>
      <c r="D2559" s="55" t="s">
        <v>479</v>
      </c>
      <c r="E2559" s="74">
        <v>38820</v>
      </c>
      <c r="F2559" s="55" t="s">
        <v>344</v>
      </c>
      <c r="G2559" s="55" t="s">
        <v>360</v>
      </c>
      <c r="H2559" s="55" t="s">
        <v>360</v>
      </c>
      <c r="I2559" s="55" t="s">
        <v>360</v>
      </c>
      <c r="J2559" s="55" t="s">
        <v>360</v>
      </c>
      <c r="K2559" s="55" t="s">
        <v>360</v>
      </c>
      <c r="L2559" s="55" t="s">
        <v>360</v>
      </c>
      <c r="M2559" s="55" t="s">
        <v>150</v>
      </c>
      <c r="N2559" s="55" t="s">
        <v>150</v>
      </c>
      <c r="O2559" s="55" t="s">
        <v>190</v>
      </c>
      <c r="P2559" s="55" t="s">
        <v>749</v>
      </c>
      <c r="Q2559" s="55" t="s">
        <v>350</v>
      </c>
      <c r="R2559" s="55">
        <v>31</v>
      </c>
      <c r="S2559" s="55"/>
      <c r="T2559" s="55" t="s">
        <v>596</v>
      </c>
    </row>
    <row r="2560" spans="1:20" ht="13" x14ac:dyDescent="0.15">
      <c r="A2560" s="72" t="str">
        <f t="shared" si="39"/>
        <v>Ofsted Social Care Provider Webpage</v>
      </c>
      <c r="B2560" s="55" t="s">
        <v>4818</v>
      </c>
      <c r="D2560" s="55" t="s">
        <v>373</v>
      </c>
      <c r="E2560" s="74">
        <v>38862</v>
      </c>
      <c r="F2560" s="55" t="s">
        <v>344</v>
      </c>
      <c r="G2560" s="55" t="s">
        <v>360</v>
      </c>
      <c r="H2560" s="55" t="s">
        <v>360</v>
      </c>
      <c r="I2560" s="55" t="s">
        <v>360</v>
      </c>
      <c r="J2560" s="55" t="s">
        <v>360</v>
      </c>
      <c r="K2560" s="55" t="s">
        <v>360</v>
      </c>
      <c r="L2560" s="55" t="s">
        <v>360</v>
      </c>
      <c r="M2560" s="55" t="s">
        <v>142</v>
      </c>
      <c r="N2560" s="55" t="s">
        <v>142</v>
      </c>
      <c r="O2560" s="55" t="s">
        <v>262</v>
      </c>
      <c r="P2560" s="55" t="s">
        <v>1215</v>
      </c>
      <c r="Q2560" s="55" t="s">
        <v>350</v>
      </c>
      <c r="R2560" s="55">
        <v>2</v>
      </c>
      <c r="S2560" s="55"/>
      <c r="T2560" s="55" t="s">
        <v>4819</v>
      </c>
    </row>
    <row r="2561" spans="1:20" ht="13" x14ac:dyDescent="0.15">
      <c r="A2561" s="72" t="str">
        <f t="shared" si="39"/>
        <v>Ofsted Social Care Provider Webpage</v>
      </c>
      <c r="B2561" s="55" t="s">
        <v>4820</v>
      </c>
      <c r="D2561" s="55" t="s">
        <v>373</v>
      </c>
      <c r="E2561" s="74">
        <v>38947</v>
      </c>
      <c r="F2561" s="55" t="s">
        <v>344</v>
      </c>
      <c r="G2561" s="55" t="s">
        <v>360</v>
      </c>
      <c r="H2561" s="55" t="s">
        <v>360</v>
      </c>
      <c r="I2561" s="55" t="s">
        <v>360</v>
      </c>
      <c r="J2561" s="55" t="s">
        <v>360</v>
      </c>
      <c r="K2561" s="55" t="s">
        <v>360</v>
      </c>
      <c r="L2561" s="55" t="s">
        <v>360</v>
      </c>
      <c r="M2561" s="55" t="s">
        <v>144</v>
      </c>
      <c r="N2561" s="55" t="s">
        <v>144</v>
      </c>
      <c r="O2561" s="55" t="s">
        <v>215</v>
      </c>
      <c r="P2561" s="55" t="s">
        <v>1207</v>
      </c>
      <c r="Q2561" s="55" t="s">
        <v>350</v>
      </c>
      <c r="R2561" s="55">
        <v>4</v>
      </c>
      <c r="S2561" s="55"/>
    </row>
    <row r="2562" spans="1:20" ht="13" x14ac:dyDescent="0.15">
      <c r="A2562" s="72" t="str">
        <f t="shared" si="39"/>
        <v>Ofsted Social Care Provider Webpage</v>
      </c>
      <c r="B2562" s="55" t="s">
        <v>4821</v>
      </c>
      <c r="D2562" s="55" t="s">
        <v>373</v>
      </c>
      <c r="E2562" s="74">
        <v>38867</v>
      </c>
      <c r="F2562" s="55" t="s">
        <v>344</v>
      </c>
      <c r="G2562" s="55" t="s">
        <v>360</v>
      </c>
      <c r="H2562" s="55" t="s">
        <v>360</v>
      </c>
      <c r="I2562" s="55" t="s">
        <v>360</v>
      </c>
      <c r="J2562" s="55" t="s">
        <v>360</v>
      </c>
      <c r="K2562" s="55" t="s">
        <v>360</v>
      </c>
      <c r="L2562" s="55" t="s">
        <v>360</v>
      </c>
      <c r="M2562" s="55" t="s">
        <v>142</v>
      </c>
      <c r="N2562" s="55" t="s">
        <v>142</v>
      </c>
      <c r="O2562" s="55" t="s">
        <v>262</v>
      </c>
      <c r="P2562" s="55" t="s">
        <v>618</v>
      </c>
      <c r="Q2562" s="55" t="s">
        <v>350</v>
      </c>
      <c r="R2562" s="55">
        <v>2</v>
      </c>
      <c r="S2562" s="55"/>
      <c r="T2562" s="55" t="s">
        <v>4819</v>
      </c>
    </row>
    <row r="2563" spans="1:20" ht="13" x14ac:dyDescent="0.15">
      <c r="A2563" s="72" t="str">
        <f t="shared" si="39"/>
        <v>Ofsted Social Care Provider Webpage</v>
      </c>
      <c r="B2563" s="55" t="s">
        <v>4822</v>
      </c>
      <c r="D2563" s="55" t="s">
        <v>443</v>
      </c>
      <c r="E2563" s="74">
        <v>38887</v>
      </c>
      <c r="F2563" s="55" t="s">
        <v>344</v>
      </c>
      <c r="G2563" s="55" t="s">
        <v>4823</v>
      </c>
      <c r="H2563" s="55" t="s">
        <v>4805</v>
      </c>
      <c r="I2563" s="55" t="s">
        <v>4806</v>
      </c>
      <c r="J2563" s="55" t="s">
        <v>175</v>
      </c>
      <c r="L2563" s="55" t="s">
        <v>4807</v>
      </c>
      <c r="M2563" s="55" t="s">
        <v>378</v>
      </c>
      <c r="N2563" s="55" t="s">
        <v>134</v>
      </c>
      <c r="O2563" s="55" t="s">
        <v>175</v>
      </c>
      <c r="P2563" s="55" t="s">
        <v>678</v>
      </c>
      <c r="Q2563" s="55" t="s">
        <v>362</v>
      </c>
      <c r="R2563" s="55"/>
      <c r="S2563" s="55"/>
      <c r="T2563" s="55" t="s">
        <v>4808</v>
      </c>
    </row>
    <row r="2564" spans="1:20" ht="13" x14ac:dyDescent="0.15">
      <c r="A2564" s="72" t="str">
        <f t="shared" si="39"/>
        <v>Ofsted Social Care Provider Webpage</v>
      </c>
      <c r="B2564" s="55" t="s">
        <v>4824</v>
      </c>
      <c r="D2564" s="55" t="s">
        <v>443</v>
      </c>
      <c r="E2564" s="74">
        <v>38832</v>
      </c>
      <c r="F2564" s="55" t="s">
        <v>344</v>
      </c>
      <c r="G2564" s="55" t="s">
        <v>4825</v>
      </c>
      <c r="H2564" s="55" t="s">
        <v>4826</v>
      </c>
      <c r="I2564" s="55" t="s">
        <v>4827</v>
      </c>
      <c r="J2564" s="55" t="s">
        <v>4828</v>
      </c>
      <c r="L2564" s="55" t="s">
        <v>4829</v>
      </c>
      <c r="M2564" s="55" t="s">
        <v>378</v>
      </c>
      <c r="N2564" s="55" t="s">
        <v>134</v>
      </c>
      <c r="O2564" s="55" t="s">
        <v>210</v>
      </c>
      <c r="P2564" s="55" t="s">
        <v>624</v>
      </c>
      <c r="Q2564" s="55" t="s">
        <v>362</v>
      </c>
      <c r="R2564" s="55"/>
      <c r="S2564" s="55"/>
      <c r="T2564" s="55" t="s">
        <v>4830</v>
      </c>
    </row>
    <row r="2565" spans="1:20" ht="13" x14ac:dyDescent="0.15">
      <c r="A2565" s="72" t="str">
        <f t="shared" ref="A2565:A2628" si="40">HYPERLINK(_xlfn.CONCAT("http://reports.ofsted.gov.uk/inspection-reports/find-inspection-report/provider/CARE/",B2565),"Ofsted Social Care Provider Webpage")</f>
        <v>Ofsted Social Care Provider Webpage</v>
      </c>
      <c r="B2565" s="55" t="s">
        <v>4831</v>
      </c>
      <c r="D2565" s="55" t="s">
        <v>373</v>
      </c>
      <c r="E2565" s="74">
        <v>38845</v>
      </c>
      <c r="F2565" s="55" t="s">
        <v>344</v>
      </c>
      <c r="G2565" s="55" t="s">
        <v>360</v>
      </c>
      <c r="H2565" s="55" t="s">
        <v>360</v>
      </c>
      <c r="I2565" s="55" t="s">
        <v>360</v>
      </c>
      <c r="J2565" s="55" t="s">
        <v>360</v>
      </c>
      <c r="K2565" s="55" t="s">
        <v>360</v>
      </c>
      <c r="L2565" s="55" t="s">
        <v>360</v>
      </c>
      <c r="M2565" s="55" t="s">
        <v>136</v>
      </c>
      <c r="N2565" s="55" t="s">
        <v>136</v>
      </c>
      <c r="O2565" s="55" t="s">
        <v>154</v>
      </c>
      <c r="P2565" s="55" t="s">
        <v>1818</v>
      </c>
      <c r="Q2565" s="55" t="s">
        <v>380</v>
      </c>
      <c r="R2565" s="55">
        <v>5</v>
      </c>
      <c r="S2565" s="55" t="s">
        <v>332</v>
      </c>
      <c r="T2565" s="55" t="s">
        <v>1687</v>
      </c>
    </row>
    <row r="2566" spans="1:20" ht="13" x14ac:dyDescent="0.15">
      <c r="A2566" s="72" t="str">
        <f t="shared" si="40"/>
        <v>Ofsted Social Care Provider Webpage</v>
      </c>
      <c r="B2566" s="55" t="s">
        <v>4832</v>
      </c>
      <c r="D2566" s="55" t="s">
        <v>443</v>
      </c>
      <c r="E2566" s="74">
        <v>38772</v>
      </c>
      <c r="F2566" s="55" t="s">
        <v>344</v>
      </c>
      <c r="G2566" s="55" t="s">
        <v>4833</v>
      </c>
      <c r="H2566" s="55" t="s">
        <v>4834</v>
      </c>
      <c r="I2566" s="55" t="s">
        <v>4835</v>
      </c>
      <c r="J2566" s="55" t="s">
        <v>129</v>
      </c>
      <c r="L2566" s="55" t="s">
        <v>4836</v>
      </c>
      <c r="M2566" s="55" t="s">
        <v>129</v>
      </c>
      <c r="N2566" s="55" t="s">
        <v>129</v>
      </c>
      <c r="O2566" s="55" t="s">
        <v>201</v>
      </c>
      <c r="P2566" s="55" t="s">
        <v>431</v>
      </c>
      <c r="Q2566" s="55" t="s">
        <v>362</v>
      </c>
      <c r="R2566" s="55"/>
      <c r="S2566" s="55"/>
      <c r="T2566" s="55" t="s">
        <v>4837</v>
      </c>
    </row>
    <row r="2567" spans="1:20" ht="13" x14ac:dyDescent="0.15">
      <c r="A2567" s="72" t="str">
        <f t="shared" si="40"/>
        <v>Ofsted Social Care Provider Webpage</v>
      </c>
      <c r="B2567" s="55" t="s">
        <v>4838</v>
      </c>
      <c r="D2567" s="55" t="s">
        <v>451</v>
      </c>
      <c r="E2567" s="74">
        <v>38846</v>
      </c>
      <c r="F2567" s="55" t="s">
        <v>344</v>
      </c>
      <c r="G2567" s="55" t="s">
        <v>4839</v>
      </c>
      <c r="H2567" s="55" t="s">
        <v>4840</v>
      </c>
      <c r="I2567" s="55" t="s">
        <v>4841</v>
      </c>
      <c r="J2567" s="55" t="s">
        <v>2578</v>
      </c>
      <c r="L2567" s="55" t="s">
        <v>4842</v>
      </c>
      <c r="M2567" s="55" t="s">
        <v>129</v>
      </c>
      <c r="N2567" s="55" t="s">
        <v>129</v>
      </c>
      <c r="O2567" s="55" t="s">
        <v>279</v>
      </c>
      <c r="P2567" s="55" t="s">
        <v>2499</v>
      </c>
      <c r="Q2567" s="55" t="s">
        <v>350</v>
      </c>
      <c r="R2567" s="55">
        <v>6</v>
      </c>
      <c r="S2567" s="55"/>
      <c r="T2567" s="55" t="s">
        <v>1129</v>
      </c>
    </row>
    <row r="2568" spans="1:20" ht="13" x14ac:dyDescent="0.15">
      <c r="A2568" s="72" t="str">
        <f t="shared" si="40"/>
        <v>Ofsted Social Care Provider Webpage</v>
      </c>
      <c r="B2568" s="55" t="s">
        <v>4843</v>
      </c>
      <c r="D2568" s="55" t="s">
        <v>389</v>
      </c>
      <c r="E2568" s="74">
        <v>38926</v>
      </c>
      <c r="F2568" s="55" t="s">
        <v>344</v>
      </c>
      <c r="G2568" s="55" t="s">
        <v>1109</v>
      </c>
      <c r="H2568" s="55" t="s">
        <v>1109</v>
      </c>
      <c r="I2568" s="55" t="s">
        <v>4844</v>
      </c>
      <c r="J2568" s="55" t="s">
        <v>4845</v>
      </c>
      <c r="K2568" s="55" t="s">
        <v>156</v>
      </c>
      <c r="L2568" s="55" t="s">
        <v>4846</v>
      </c>
      <c r="M2568" s="55" t="s">
        <v>150</v>
      </c>
      <c r="N2568" s="55" t="s">
        <v>150</v>
      </c>
      <c r="O2568" s="55" t="s">
        <v>156</v>
      </c>
      <c r="P2568" s="55" t="s">
        <v>2870</v>
      </c>
      <c r="Q2568" s="55" t="s">
        <v>350</v>
      </c>
      <c r="R2568" s="55"/>
      <c r="S2568" s="55"/>
      <c r="T2568" s="55" t="s">
        <v>1004</v>
      </c>
    </row>
    <row r="2569" spans="1:20" ht="13" x14ac:dyDescent="0.15">
      <c r="A2569" s="72" t="str">
        <f t="shared" si="40"/>
        <v>Ofsted Social Care Provider Webpage</v>
      </c>
      <c r="B2569" s="55" t="s">
        <v>4847</v>
      </c>
      <c r="D2569" s="55" t="s">
        <v>443</v>
      </c>
      <c r="E2569" s="74">
        <v>38846</v>
      </c>
      <c r="F2569" s="55" t="s">
        <v>344</v>
      </c>
      <c r="G2569" s="55" t="s">
        <v>4848</v>
      </c>
      <c r="H2569" s="55" t="s">
        <v>4849</v>
      </c>
      <c r="I2569" s="55" t="s">
        <v>354</v>
      </c>
      <c r="J2569" s="55" t="s">
        <v>4850</v>
      </c>
      <c r="L2569" s="55" t="s">
        <v>4851</v>
      </c>
      <c r="M2569" s="55" t="s">
        <v>150</v>
      </c>
      <c r="N2569" s="55" t="s">
        <v>150</v>
      </c>
      <c r="O2569" s="55" t="s">
        <v>153</v>
      </c>
      <c r="P2569" s="55" t="s">
        <v>829</v>
      </c>
      <c r="Q2569" s="55" t="s">
        <v>350</v>
      </c>
      <c r="R2569" s="55"/>
      <c r="S2569" s="55"/>
    </row>
    <row r="2570" spans="1:20" ht="13" x14ac:dyDescent="0.15">
      <c r="A2570" s="72" t="str">
        <f t="shared" si="40"/>
        <v>Ofsted Social Care Provider Webpage</v>
      </c>
      <c r="B2570" s="55" t="s">
        <v>4852</v>
      </c>
      <c r="D2570" s="55" t="s">
        <v>389</v>
      </c>
      <c r="E2570" s="74">
        <v>38854</v>
      </c>
      <c r="F2570" s="55" t="s">
        <v>344</v>
      </c>
      <c r="G2570" s="55" t="s">
        <v>4853</v>
      </c>
      <c r="H2570" s="55" t="s">
        <v>4854</v>
      </c>
      <c r="I2570" s="55" t="s">
        <v>4855</v>
      </c>
      <c r="J2570" s="55" t="s">
        <v>4670</v>
      </c>
      <c r="K2570" s="55" t="s">
        <v>1746</v>
      </c>
      <c r="L2570" s="55" t="s">
        <v>4856</v>
      </c>
      <c r="M2570" s="55" t="s">
        <v>129</v>
      </c>
      <c r="N2570" s="55" t="s">
        <v>129</v>
      </c>
      <c r="O2570" s="55" t="s">
        <v>182</v>
      </c>
      <c r="P2570" s="55" t="s">
        <v>4857</v>
      </c>
      <c r="Q2570" s="55" t="s">
        <v>350</v>
      </c>
      <c r="R2570" s="55"/>
      <c r="S2570" s="55"/>
      <c r="T2570" s="55" t="s">
        <v>1109</v>
      </c>
    </row>
    <row r="2571" spans="1:20" ht="13" x14ac:dyDescent="0.15">
      <c r="A2571" s="72" t="str">
        <f t="shared" si="40"/>
        <v>Ofsted Social Care Provider Webpage</v>
      </c>
      <c r="B2571" s="55" t="s">
        <v>4858</v>
      </c>
      <c r="D2571" s="55" t="s">
        <v>373</v>
      </c>
      <c r="E2571" s="74">
        <v>38890</v>
      </c>
      <c r="F2571" s="55" t="s">
        <v>344</v>
      </c>
      <c r="G2571" s="55" t="s">
        <v>360</v>
      </c>
      <c r="H2571" s="55" t="s">
        <v>360</v>
      </c>
      <c r="I2571" s="55" t="s">
        <v>360</v>
      </c>
      <c r="J2571" s="55" t="s">
        <v>360</v>
      </c>
      <c r="K2571" s="55" t="s">
        <v>360</v>
      </c>
      <c r="L2571" s="55" t="s">
        <v>360</v>
      </c>
      <c r="M2571" s="55" t="s">
        <v>136</v>
      </c>
      <c r="N2571" s="55" t="s">
        <v>136</v>
      </c>
      <c r="O2571" s="55" t="s">
        <v>256</v>
      </c>
      <c r="P2571" s="55" t="s">
        <v>590</v>
      </c>
      <c r="Q2571" s="55" t="s">
        <v>350</v>
      </c>
      <c r="R2571" s="55">
        <v>3</v>
      </c>
      <c r="S2571" s="55"/>
      <c r="T2571" s="55" t="s">
        <v>1365</v>
      </c>
    </row>
    <row r="2572" spans="1:20" ht="13" x14ac:dyDescent="0.15">
      <c r="A2572" s="72" t="str">
        <f t="shared" si="40"/>
        <v>Ofsted Social Care Provider Webpage</v>
      </c>
      <c r="B2572" s="55" t="s">
        <v>4859</v>
      </c>
      <c r="D2572" s="55" t="s">
        <v>443</v>
      </c>
      <c r="E2572" s="74">
        <v>38922</v>
      </c>
      <c r="F2572" s="55" t="s">
        <v>344</v>
      </c>
      <c r="G2572" s="55" t="s">
        <v>4860</v>
      </c>
      <c r="H2572" s="55" t="s">
        <v>2028</v>
      </c>
      <c r="I2572" s="55" t="s">
        <v>2029</v>
      </c>
      <c r="J2572" s="55" t="s">
        <v>2030</v>
      </c>
      <c r="K2572" s="55" t="s">
        <v>174</v>
      </c>
      <c r="L2572" s="55" t="s">
        <v>2031</v>
      </c>
      <c r="M2572" s="55" t="s">
        <v>136</v>
      </c>
      <c r="N2572" s="55" t="s">
        <v>136</v>
      </c>
      <c r="O2572" s="55" t="s">
        <v>174</v>
      </c>
      <c r="P2572" s="55" t="s">
        <v>982</v>
      </c>
      <c r="Q2572" s="55" t="s">
        <v>350</v>
      </c>
      <c r="R2572" s="55"/>
      <c r="S2572" s="55"/>
      <c r="T2572" s="55" t="s">
        <v>4861</v>
      </c>
    </row>
    <row r="2573" spans="1:20" ht="13" x14ac:dyDescent="0.15">
      <c r="A2573" s="72" t="str">
        <f t="shared" si="40"/>
        <v>Ofsted Social Care Provider Webpage</v>
      </c>
      <c r="B2573" s="55" t="s">
        <v>4862</v>
      </c>
      <c r="D2573" s="55" t="s">
        <v>373</v>
      </c>
      <c r="E2573" s="74">
        <v>38882</v>
      </c>
      <c r="F2573" s="55" t="s">
        <v>344</v>
      </c>
      <c r="G2573" s="55" t="s">
        <v>360</v>
      </c>
      <c r="H2573" s="55" t="s">
        <v>360</v>
      </c>
      <c r="I2573" s="55" t="s">
        <v>360</v>
      </c>
      <c r="J2573" s="55" t="s">
        <v>360</v>
      </c>
      <c r="K2573" s="55" t="s">
        <v>360</v>
      </c>
      <c r="L2573" s="55" t="s">
        <v>360</v>
      </c>
      <c r="M2573" s="55" t="s">
        <v>150</v>
      </c>
      <c r="N2573" s="55" t="s">
        <v>150</v>
      </c>
      <c r="O2573" s="55" t="s">
        <v>285</v>
      </c>
      <c r="P2573" s="55" t="s">
        <v>2001</v>
      </c>
      <c r="Q2573" s="55" t="s">
        <v>380</v>
      </c>
      <c r="R2573" s="55">
        <v>10</v>
      </c>
      <c r="S2573" s="55"/>
      <c r="T2573" s="55" t="s">
        <v>2238</v>
      </c>
    </row>
    <row r="2574" spans="1:20" ht="13" x14ac:dyDescent="0.15">
      <c r="A2574" s="72" t="str">
        <f t="shared" si="40"/>
        <v>Ofsted Social Care Provider Webpage</v>
      </c>
      <c r="B2574" s="55" t="s">
        <v>4863</v>
      </c>
      <c r="D2574" s="55" t="s">
        <v>373</v>
      </c>
      <c r="E2574" s="74">
        <v>38981</v>
      </c>
      <c r="F2574" s="55" t="s">
        <v>344</v>
      </c>
      <c r="G2574" s="55" t="s">
        <v>360</v>
      </c>
      <c r="H2574" s="55" t="s">
        <v>360</v>
      </c>
      <c r="I2574" s="55" t="s">
        <v>360</v>
      </c>
      <c r="J2574" s="55" t="s">
        <v>360</v>
      </c>
      <c r="K2574" s="55" t="s">
        <v>360</v>
      </c>
      <c r="L2574" s="55" t="s">
        <v>360</v>
      </c>
      <c r="M2574" s="55" t="s">
        <v>150</v>
      </c>
      <c r="N2574" s="55" t="s">
        <v>150</v>
      </c>
      <c r="O2574" s="55" t="s">
        <v>156</v>
      </c>
      <c r="P2574" s="55" t="s">
        <v>1277</v>
      </c>
      <c r="Q2574" s="55" t="s">
        <v>350</v>
      </c>
      <c r="R2574" s="55">
        <v>4</v>
      </c>
      <c r="S2574" s="55"/>
      <c r="T2574" s="55" t="s">
        <v>762</v>
      </c>
    </row>
    <row r="2575" spans="1:20" ht="13" x14ac:dyDescent="0.15">
      <c r="A2575" s="72" t="str">
        <f t="shared" si="40"/>
        <v>Ofsted Social Care Provider Webpage</v>
      </c>
      <c r="B2575" s="55" t="s">
        <v>4864</v>
      </c>
      <c r="D2575" s="55" t="s">
        <v>373</v>
      </c>
      <c r="E2575" s="74">
        <v>38926</v>
      </c>
      <c r="F2575" s="55" t="s">
        <v>344</v>
      </c>
      <c r="G2575" s="55" t="s">
        <v>360</v>
      </c>
      <c r="H2575" s="55" t="s">
        <v>360</v>
      </c>
      <c r="I2575" s="55" t="s">
        <v>360</v>
      </c>
      <c r="J2575" s="55" t="s">
        <v>360</v>
      </c>
      <c r="K2575" s="55" t="s">
        <v>360</v>
      </c>
      <c r="L2575" s="55" t="s">
        <v>360</v>
      </c>
      <c r="M2575" s="55" t="s">
        <v>144</v>
      </c>
      <c r="N2575" s="55" t="s">
        <v>144</v>
      </c>
      <c r="O2575" s="55" t="s">
        <v>290</v>
      </c>
      <c r="P2575" s="55" t="s">
        <v>1099</v>
      </c>
      <c r="Q2575" s="55" t="s">
        <v>350</v>
      </c>
      <c r="R2575" s="55">
        <v>4</v>
      </c>
      <c r="S2575" s="55"/>
      <c r="T2575" s="55" t="s">
        <v>4600</v>
      </c>
    </row>
    <row r="2576" spans="1:20" ht="13" x14ac:dyDescent="0.15">
      <c r="A2576" s="72" t="str">
        <f t="shared" si="40"/>
        <v>Ofsted Social Care Provider Webpage</v>
      </c>
      <c r="B2576" s="55" t="s">
        <v>4865</v>
      </c>
      <c r="D2576" s="55" t="s">
        <v>389</v>
      </c>
      <c r="E2576" s="74">
        <v>38867</v>
      </c>
      <c r="F2576" s="55" t="s">
        <v>344</v>
      </c>
      <c r="G2576" s="55" t="s">
        <v>4866</v>
      </c>
      <c r="H2576" s="55" t="s">
        <v>4867</v>
      </c>
      <c r="I2576" s="55" t="s">
        <v>4868</v>
      </c>
      <c r="J2576" s="55" t="s">
        <v>263</v>
      </c>
      <c r="K2576" s="55" t="s">
        <v>2469</v>
      </c>
      <c r="L2576" s="55" t="s">
        <v>4869</v>
      </c>
      <c r="M2576" s="55" t="s">
        <v>144</v>
      </c>
      <c r="N2576" s="55" t="s">
        <v>144</v>
      </c>
      <c r="O2576" s="55" t="s">
        <v>263</v>
      </c>
      <c r="P2576" s="55" t="s">
        <v>263</v>
      </c>
      <c r="Q2576" s="55" t="s">
        <v>350</v>
      </c>
      <c r="R2576" s="55"/>
      <c r="S2576" s="55"/>
      <c r="T2576" s="55" t="s">
        <v>2077</v>
      </c>
    </row>
    <row r="2577" spans="1:20" ht="13" x14ac:dyDescent="0.15">
      <c r="A2577" s="72" t="str">
        <f t="shared" si="40"/>
        <v>Ofsted Social Care Provider Webpage</v>
      </c>
      <c r="B2577" s="55" t="s">
        <v>4870</v>
      </c>
      <c r="D2577" s="55" t="s">
        <v>443</v>
      </c>
      <c r="E2577" s="74">
        <v>39014</v>
      </c>
      <c r="F2577" s="55" t="s">
        <v>344</v>
      </c>
      <c r="G2577" s="55" t="s">
        <v>4871</v>
      </c>
      <c r="H2577" s="55" t="s">
        <v>3145</v>
      </c>
      <c r="I2577" s="55" t="s">
        <v>3146</v>
      </c>
      <c r="J2577" s="55" t="s">
        <v>3147</v>
      </c>
      <c r="L2577" s="55" t="s">
        <v>3148</v>
      </c>
      <c r="M2577" s="55" t="s">
        <v>378</v>
      </c>
      <c r="N2577" s="55" t="s">
        <v>170</v>
      </c>
      <c r="O2577" s="55" t="s">
        <v>222</v>
      </c>
      <c r="P2577" s="55" t="s">
        <v>2188</v>
      </c>
      <c r="Q2577" s="55" t="s">
        <v>362</v>
      </c>
      <c r="R2577" s="55"/>
      <c r="S2577" s="55"/>
      <c r="T2577" s="55" t="s">
        <v>3132</v>
      </c>
    </row>
    <row r="2578" spans="1:20" ht="13" x14ac:dyDescent="0.15">
      <c r="A2578" s="72" t="str">
        <f t="shared" si="40"/>
        <v>Ofsted Social Care Provider Webpage</v>
      </c>
      <c r="B2578" s="55" t="s">
        <v>4872</v>
      </c>
      <c r="D2578" s="55" t="s">
        <v>373</v>
      </c>
      <c r="E2578" s="74">
        <v>38946</v>
      </c>
      <c r="F2578" s="55" t="s">
        <v>344</v>
      </c>
      <c r="G2578" s="55" t="s">
        <v>360</v>
      </c>
      <c r="H2578" s="55" t="s">
        <v>360</v>
      </c>
      <c r="I2578" s="55" t="s">
        <v>360</v>
      </c>
      <c r="J2578" s="55" t="s">
        <v>360</v>
      </c>
      <c r="K2578" s="55" t="s">
        <v>360</v>
      </c>
      <c r="L2578" s="55" t="s">
        <v>360</v>
      </c>
      <c r="M2578" s="55" t="s">
        <v>129</v>
      </c>
      <c r="N2578" s="55" t="s">
        <v>129</v>
      </c>
      <c r="O2578" s="55" t="s">
        <v>128</v>
      </c>
      <c r="P2578" s="55" t="s">
        <v>1467</v>
      </c>
      <c r="Q2578" s="55" t="s">
        <v>350</v>
      </c>
      <c r="R2578" s="55">
        <v>7</v>
      </c>
      <c r="S2578" s="55"/>
    </row>
    <row r="2579" spans="1:20" ht="13" x14ac:dyDescent="0.15">
      <c r="A2579" s="72" t="str">
        <f t="shared" si="40"/>
        <v>Ofsted Social Care Provider Webpage</v>
      </c>
      <c r="B2579" s="55" t="s">
        <v>4873</v>
      </c>
      <c r="D2579" s="55" t="s">
        <v>373</v>
      </c>
      <c r="E2579" s="74">
        <v>38896</v>
      </c>
      <c r="F2579" s="55" t="s">
        <v>344</v>
      </c>
      <c r="G2579" s="55" t="s">
        <v>360</v>
      </c>
      <c r="H2579" s="55" t="s">
        <v>360</v>
      </c>
      <c r="I2579" s="55" t="s">
        <v>360</v>
      </c>
      <c r="J2579" s="55" t="s">
        <v>360</v>
      </c>
      <c r="K2579" s="55" t="s">
        <v>360</v>
      </c>
      <c r="L2579" s="55" t="s">
        <v>360</v>
      </c>
      <c r="M2579" s="55" t="s">
        <v>142</v>
      </c>
      <c r="N2579" s="55" t="s">
        <v>142</v>
      </c>
      <c r="O2579" s="55" t="s">
        <v>262</v>
      </c>
      <c r="P2579" s="55" t="s">
        <v>488</v>
      </c>
      <c r="Q2579" s="55" t="s">
        <v>350</v>
      </c>
      <c r="R2579" s="55">
        <v>2</v>
      </c>
      <c r="S2579" s="55"/>
      <c r="T2579" s="55" t="s">
        <v>1430</v>
      </c>
    </row>
    <row r="2580" spans="1:20" ht="13" x14ac:dyDescent="0.15">
      <c r="A2580" s="72" t="str">
        <f t="shared" si="40"/>
        <v>Ofsted Social Care Provider Webpage</v>
      </c>
      <c r="B2580" s="55" t="s">
        <v>4874</v>
      </c>
      <c r="D2580" s="55" t="s">
        <v>373</v>
      </c>
      <c r="E2580" s="74">
        <v>39015</v>
      </c>
      <c r="F2580" s="55" t="s">
        <v>344</v>
      </c>
      <c r="G2580" s="55" t="s">
        <v>360</v>
      </c>
      <c r="H2580" s="55" t="s">
        <v>360</v>
      </c>
      <c r="I2580" s="55" t="s">
        <v>360</v>
      </c>
      <c r="J2580" s="55" t="s">
        <v>360</v>
      </c>
      <c r="K2580" s="55" t="s">
        <v>360</v>
      </c>
      <c r="L2580" s="55" t="s">
        <v>360</v>
      </c>
      <c r="M2580" s="55" t="s">
        <v>378</v>
      </c>
      <c r="N2580" s="55" t="s">
        <v>134</v>
      </c>
      <c r="O2580" s="55" t="s">
        <v>133</v>
      </c>
      <c r="P2580" s="55" t="s">
        <v>1804</v>
      </c>
      <c r="Q2580" s="55" t="s">
        <v>350</v>
      </c>
      <c r="R2580" s="55">
        <v>3</v>
      </c>
      <c r="S2580" s="55"/>
      <c r="T2580" s="55" t="s">
        <v>462</v>
      </c>
    </row>
    <row r="2581" spans="1:20" ht="13" x14ac:dyDescent="0.15">
      <c r="A2581" s="72" t="str">
        <f t="shared" si="40"/>
        <v>Ofsted Social Care Provider Webpage</v>
      </c>
      <c r="B2581" s="55" t="s">
        <v>4875</v>
      </c>
      <c r="D2581" s="55" t="s">
        <v>373</v>
      </c>
      <c r="E2581" s="74">
        <v>38950</v>
      </c>
      <c r="F2581" s="55" t="s">
        <v>344</v>
      </c>
      <c r="G2581" s="55" t="s">
        <v>360</v>
      </c>
      <c r="H2581" s="55" t="s">
        <v>360</v>
      </c>
      <c r="I2581" s="55" t="s">
        <v>360</v>
      </c>
      <c r="J2581" s="55" t="s">
        <v>360</v>
      </c>
      <c r="K2581" s="55" t="s">
        <v>360</v>
      </c>
      <c r="L2581" s="55" t="s">
        <v>360</v>
      </c>
      <c r="M2581" s="55" t="s">
        <v>150</v>
      </c>
      <c r="N2581" s="55" t="s">
        <v>150</v>
      </c>
      <c r="O2581" s="55" t="s">
        <v>203</v>
      </c>
      <c r="P2581" s="55" t="s">
        <v>593</v>
      </c>
      <c r="Q2581" s="55" t="s">
        <v>350</v>
      </c>
      <c r="R2581" s="55">
        <v>4</v>
      </c>
      <c r="S2581" s="55"/>
      <c r="T2581" s="55" t="s">
        <v>2070</v>
      </c>
    </row>
    <row r="2582" spans="1:20" ht="13" x14ac:dyDescent="0.15">
      <c r="A2582" s="72" t="str">
        <f t="shared" si="40"/>
        <v>Ofsted Social Care Provider Webpage</v>
      </c>
      <c r="B2582" s="55" t="s">
        <v>4876</v>
      </c>
      <c r="D2582" s="55" t="s">
        <v>373</v>
      </c>
      <c r="E2582" s="74">
        <v>38926</v>
      </c>
      <c r="F2582" s="55" t="s">
        <v>344</v>
      </c>
      <c r="G2582" s="55" t="s">
        <v>360</v>
      </c>
      <c r="H2582" s="55" t="s">
        <v>360</v>
      </c>
      <c r="I2582" s="55" t="s">
        <v>360</v>
      </c>
      <c r="J2582" s="55" t="s">
        <v>360</v>
      </c>
      <c r="K2582" s="55" t="s">
        <v>360</v>
      </c>
      <c r="L2582" s="55" t="s">
        <v>360</v>
      </c>
      <c r="M2582" s="55" t="s">
        <v>144</v>
      </c>
      <c r="N2582" s="55" t="s">
        <v>144</v>
      </c>
      <c r="O2582" s="55" t="s">
        <v>236</v>
      </c>
      <c r="P2582" s="55" t="s">
        <v>2088</v>
      </c>
      <c r="Q2582" s="55" t="s">
        <v>350</v>
      </c>
      <c r="R2582" s="55">
        <v>7</v>
      </c>
      <c r="S2582" s="55"/>
      <c r="T2582" s="55" t="s">
        <v>385</v>
      </c>
    </row>
    <row r="2583" spans="1:20" ht="13" x14ac:dyDescent="0.15">
      <c r="A2583" s="72" t="str">
        <f t="shared" si="40"/>
        <v>Ofsted Social Care Provider Webpage</v>
      </c>
      <c r="B2583" s="55" t="s">
        <v>4877</v>
      </c>
      <c r="D2583" s="55" t="s">
        <v>373</v>
      </c>
      <c r="E2583" s="74">
        <v>38910</v>
      </c>
      <c r="F2583" s="55" t="s">
        <v>344</v>
      </c>
      <c r="G2583" s="55" t="s">
        <v>360</v>
      </c>
      <c r="H2583" s="55" t="s">
        <v>360</v>
      </c>
      <c r="I2583" s="55" t="s">
        <v>360</v>
      </c>
      <c r="J2583" s="55" t="s">
        <v>360</v>
      </c>
      <c r="K2583" s="55" t="s">
        <v>360</v>
      </c>
      <c r="L2583" s="55" t="s">
        <v>360</v>
      </c>
      <c r="M2583" s="55" t="s">
        <v>378</v>
      </c>
      <c r="N2583" s="55" t="s">
        <v>170</v>
      </c>
      <c r="O2583" s="55" t="s">
        <v>169</v>
      </c>
      <c r="P2583" s="55" t="s">
        <v>169</v>
      </c>
      <c r="Q2583" s="55" t="s">
        <v>380</v>
      </c>
      <c r="R2583" s="55">
        <v>3</v>
      </c>
      <c r="S2583" s="55"/>
      <c r="T2583" s="55" t="s">
        <v>3544</v>
      </c>
    </row>
    <row r="2584" spans="1:20" ht="13" x14ac:dyDescent="0.15">
      <c r="A2584" s="72" t="str">
        <f t="shared" si="40"/>
        <v>Ofsted Social Care Provider Webpage</v>
      </c>
      <c r="B2584" s="55" t="s">
        <v>4878</v>
      </c>
      <c r="D2584" s="55" t="s">
        <v>373</v>
      </c>
      <c r="E2584" s="74">
        <v>38929</v>
      </c>
      <c r="F2584" s="55" t="s">
        <v>344</v>
      </c>
      <c r="G2584" s="55" t="s">
        <v>360</v>
      </c>
      <c r="H2584" s="55" t="s">
        <v>360</v>
      </c>
      <c r="I2584" s="55" t="s">
        <v>360</v>
      </c>
      <c r="J2584" s="55" t="s">
        <v>360</v>
      </c>
      <c r="K2584" s="55" t="s">
        <v>360</v>
      </c>
      <c r="L2584" s="55" t="s">
        <v>360</v>
      </c>
      <c r="M2584" s="55" t="s">
        <v>142</v>
      </c>
      <c r="N2584" s="55" t="s">
        <v>142</v>
      </c>
      <c r="O2584" s="55" t="s">
        <v>252</v>
      </c>
      <c r="P2584" s="55" t="s">
        <v>386</v>
      </c>
      <c r="Q2584" s="55" t="s">
        <v>350</v>
      </c>
      <c r="R2584" s="55">
        <v>7</v>
      </c>
      <c r="S2584" s="55"/>
      <c r="T2584" s="55" t="s">
        <v>1014</v>
      </c>
    </row>
    <row r="2585" spans="1:20" ht="13" x14ac:dyDescent="0.15">
      <c r="A2585" s="72" t="str">
        <f t="shared" si="40"/>
        <v>Ofsted Social Care Provider Webpage</v>
      </c>
      <c r="B2585" s="55" t="s">
        <v>4879</v>
      </c>
      <c r="D2585" s="55" t="s">
        <v>373</v>
      </c>
      <c r="E2585" s="74">
        <v>38952</v>
      </c>
      <c r="F2585" s="55" t="s">
        <v>344</v>
      </c>
      <c r="G2585" s="55" t="s">
        <v>360</v>
      </c>
      <c r="H2585" s="55" t="s">
        <v>360</v>
      </c>
      <c r="I2585" s="55" t="s">
        <v>360</v>
      </c>
      <c r="J2585" s="55" t="s">
        <v>360</v>
      </c>
      <c r="K2585" s="55" t="s">
        <v>360</v>
      </c>
      <c r="L2585" s="55" t="s">
        <v>360</v>
      </c>
      <c r="M2585" s="55" t="s">
        <v>150</v>
      </c>
      <c r="N2585" s="55" t="s">
        <v>150</v>
      </c>
      <c r="O2585" s="55" t="s">
        <v>190</v>
      </c>
      <c r="P2585" s="55" t="s">
        <v>749</v>
      </c>
      <c r="Q2585" s="55" t="s">
        <v>350</v>
      </c>
      <c r="R2585" s="55">
        <v>1</v>
      </c>
      <c r="S2585" s="55"/>
      <c r="T2585" s="55" t="s">
        <v>888</v>
      </c>
    </row>
    <row r="2586" spans="1:20" ht="13" x14ac:dyDescent="0.15">
      <c r="A2586" s="72" t="str">
        <f t="shared" si="40"/>
        <v>Ofsted Social Care Provider Webpage</v>
      </c>
      <c r="B2586" s="55" t="s">
        <v>4880</v>
      </c>
      <c r="D2586" s="55" t="s">
        <v>373</v>
      </c>
      <c r="E2586" s="74">
        <v>38975</v>
      </c>
      <c r="F2586" s="55" t="s">
        <v>344</v>
      </c>
      <c r="G2586" s="55" t="s">
        <v>360</v>
      </c>
      <c r="H2586" s="55" t="s">
        <v>360</v>
      </c>
      <c r="I2586" s="55" t="s">
        <v>360</v>
      </c>
      <c r="J2586" s="55" t="s">
        <v>360</v>
      </c>
      <c r="K2586" s="55" t="s">
        <v>360</v>
      </c>
      <c r="L2586" s="55" t="s">
        <v>360</v>
      </c>
      <c r="M2586" s="55" t="s">
        <v>138</v>
      </c>
      <c r="N2586" s="55" t="s">
        <v>138</v>
      </c>
      <c r="O2586" s="55" t="s">
        <v>224</v>
      </c>
      <c r="P2586" s="55" t="s">
        <v>1123</v>
      </c>
      <c r="Q2586" s="55" t="s">
        <v>380</v>
      </c>
      <c r="R2586" s="55">
        <v>2</v>
      </c>
      <c r="S2586" s="55"/>
      <c r="T2586" s="55" t="s">
        <v>2272</v>
      </c>
    </row>
    <row r="2587" spans="1:20" ht="13" x14ac:dyDescent="0.15">
      <c r="A2587" s="72" t="str">
        <f t="shared" si="40"/>
        <v>Ofsted Social Care Provider Webpage</v>
      </c>
      <c r="B2587" s="55" t="s">
        <v>4881</v>
      </c>
      <c r="D2587" s="55" t="s">
        <v>373</v>
      </c>
      <c r="E2587" s="74">
        <v>38954</v>
      </c>
      <c r="F2587" s="55" t="s">
        <v>344</v>
      </c>
      <c r="G2587" s="55" t="s">
        <v>360</v>
      </c>
      <c r="H2587" s="55" t="s">
        <v>360</v>
      </c>
      <c r="I2587" s="55" t="s">
        <v>360</v>
      </c>
      <c r="J2587" s="55" t="s">
        <v>360</v>
      </c>
      <c r="K2587" s="55" t="s">
        <v>360</v>
      </c>
      <c r="L2587" s="55" t="s">
        <v>360</v>
      </c>
      <c r="M2587" s="55" t="s">
        <v>150</v>
      </c>
      <c r="N2587" s="55" t="s">
        <v>150</v>
      </c>
      <c r="O2587" s="55" t="s">
        <v>181</v>
      </c>
      <c r="P2587" s="55" t="s">
        <v>937</v>
      </c>
      <c r="Q2587" s="55" t="s">
        <v>380</v>
      </c>
      <c r="R2587" s="55">
        <v>4</v>
      </c>
      <c r="S2587" s="55"/>
      <c r="T2587" s="55" t="s">
        <v>3026</v>
      </c>
    </row>
    <row r="2588" spans="1:20" ht="13" x14ac:dyDescent="0.15">
      <c r="A2588" s="72" t="str">
        <f t="shared" si="40"/>
        <v>Ofsted Social Care Provider Webpage</v>
      </c>
      <c r="B2588" s="55" t="s">
        <v>4882</v>
      </c>
      <c r="D2588" s="55" t="s">
        <v>373</v>
      </c>
      <c r="E2588" s="74">
        <v>39001</v>
      </c>
      <c r="F2588" s="55" t="s">
        <v>344</v>
      </c>
      <c r="G2588" s="55" t="s">
        <v>360</v>
      </c>
      <c r="H2588" s="55" t="s">
        <v>360</v>
      </c>
      <c r="I2588" s="55" t="s">
        <v>360</v>
      </c>
      <c r="J2588" s="55" t="s">
        <v>360</v>
      </c>
      <c r="K2588" s="55" t="s">
        <v>360</v>
      </c>
      <c r="L2588" s="55" t="s">
        <v>360</v>
      </c>
      <c r="M2588" s="55" t="s">
        <v>144</v>
      </c>
      <c r="N2588" s="55" t="s">
        <v>144</v>
      </c>
      <c r="O2588" s="55" t="s">
        <v>261</v>
      </c>
      <c r="P2588" s="55" t="s">
        <v>512</v>
      </c>
      <c r="Q2588" s="55" t="s">
        <v>350</v>
      </c>
      <c r="R2588" s="55">
        <v>1</v>
      </c>
      <c r="S2588" s="55"/>
      <c r="T2588" s="55" t="s">
        <v>4505</v>
      </c>
    </row>
    <row r="2589" spans="1:20" ht="13" x14ac:dyDescent="0.15">
      <c r="A2589" s="72" t="str">
        <f t="shared" si="40"/>
        <v>Ofsted Social Care Provider Webpage</v>
      </c>
      <c r="B2589" s="55" t="s">
        <v>4883</v>
      </c>
      <c r="D2589" s="55" t="s">
        <v>373</v>
      </c>
      <c r="E2589" s="74">
        <v>38953</v>
      </c>
      <c r="F2589" s="55" t="s">
        <v>344</v>
      </c>
      <c r="G2589" s="55" t="s">
        <v>360</v>
      </c>
      <c r="H2589" s="55" t="s">
        <v>360</v>
      </c>
      <c r="I2589" s="55" t="s">
        <v>360</v>
      </c>
      <c r="J2589" s="55" t="s">
        <v>360</v>
      </c>
      <c r="K2589" s="55" t="s">
        <v>360</v>
      </c>
      <c r="L2589" s="55" t="s">
        <v>360</v>
      </c>
      <c r="M2589" s="55" t="s">
        <v>378</v>
      </c>
      <c r="N2589" s="55" t="s">
        <v>170</v>
      </c>
      <c r="O2589" s="55" t="s">
        <v>231</v>
      </c>
      <c r="P2589" s="55" t="s">
        <v>231</v>
      </c>
      <c r="Q2589" s="55" t="s">
        <v>380</v>
      </c>
      <c r="R2589" s="55">
        <v>6</v>
      </c>
      <c r="S2589" s="55"/>
      <c r="T2589" s="55" t="s">
        <v>1945</v>
      </c>
    </row>
    <row r="2590" spans="1:20" ht="13" x14ac:dyDescent="0.15">
      <c r="A2590" s="72" t="str">
        <f t="shared" si="40"/>
        <v>Ofsted Social Care Provider Webpage</v>
      </c>
      <c r="B2590" s="55" t="s">
        <v>4884</v>
      </c>
      <c r="D2590" s="55" t="s">
        <v>373</v>
      </c>
      <c r="E2590" s="74">
        <v>39015</v>
      </c>
      <c r="F2590" s="55" t="s">
        <v>344</v>
      </c>
      <c r="G2590" s="55" t="s">
        <v>360</v>
      </c>
      <c r="H2590" s="55" t="s">
        <v>360</v>
      </c>
      <c r="I2590" s="55" t="s">
        <v>360</v>
      </c>
      <c r="J2590" s="55" t="s">
        <v>360</v>
      </c>
      <c r="K2590" s="55" t="s">
        <v>360</v>
      </c>
      <c r="L2590" s="55" t="s">
        <v>360</v>
      </c>
      <c r="M2590" s="55" t="s">
        <v>142</v>
      </c>
      <c r="N2590" s="55" t="s">
        <v>142</v>
      </c>
      <c r="O2590" s="55" t="s">
        <v>262</v>
      </c>
      <c r="P2590" s="55" t="s">
        <v>916</v>
      </c>
      <c r="Q2590" s="55" t="s">
        <v>350</v>
      </c>
      <c r="R2590" s="55">
        <v>4</v>
      </c>
      <c r="S2590" s="55"/>
      <c r="T2590" s="55" t="s">
        <v>4885</v>
      </c>
    </row>
    <row r="2591" spans="1:20" ht="13" x14ac:dyDescent="0.15">
      <c r="A2591" s="72" t="str">
        <f t="shared" si="40"/>
        <v>Ofsted Social Care Provider Webpage</v>
      </c>
      <c r="B2591" s="55" t="s">
        <v>4886</v>
      </c>
      <c r="D2591" s="55" t="s">
        <v>373</v>
      </c>
      <c r="E2591" s="74">
        <v>39021</v>
      </c>
      <c r="F2591" s="55" t="s">
        <v>344</v>
      </c>
      <c r="G2591" s="55" t="s">
        <v>360</v>
      </c>
      <c r="H2591" s="55" t="s">
        <v>360</v>
      </c>
      <c r="I2591" s="55" t="s">
        <v>360</v>
      </c>
      <c r="J2591" s="55" t="s">
        <v>360</v>
      </c>
      <c r="K2591" s="55" t="s">
        <v>360</v>
      </c>
      <c r="L2591" s="55" t="s">
        <v>360</v>
      </c>
      <c r="M2591" s="55" t="s">
        <v>150</v>
      </c>
      <c r="N2591" s="55" t="s">
        <v>150</v>
      </c>
      <c r="O2591" s="55" t="s">
        <v>285</v>
      </c>
      <c r="P2591" s="55" t="s">
        <v>796</v>
      </c>
      <c r="Q2591" s="55" t="s">
        <v>350</v>
      </c>
      <c r="R2591" s="55">
        <v>10</v>
      </c>
      <c r="S2591" s="55"/>
      <c r="T2591" s="55" t="s">
        <v>2654</v>
      </c>
    </row>
    <row r="2592" spans="1:20" ht="13" x14ac:dyDescent="0.15">
      <c r="A2592" s="72" t="str">
        <f t="shared" si="40"/>
        <v>Ofsted Social Care Provider Webpage</v>
      </c>
      <c r="B2592" s="55" t="s">
        <v>4887</v>
      </c>
      <c r="D2592" s="55" t="s">
        <v>479</v>
      </c>
      <c r="E2592" s="74">
        <v>39038</v>
      </c>
      <c r="F2592" s="55" t="s">
        <v>344</v>
      </c>
      <c r="G2592" s="55" t="s">
        <v>360</v>
      </c>
      <c r="H2592" s="55" t="s">
        <v>360</v>
      </c>
      <c r="I2592" s="55" t="s">
        <v>360</v>
      </c>
      <c r="J2592" s="55" t="s">
        <v>360</v>
      </c>
      <c r="K2592" s="55" t="s">
        <v>360</v>
      </c>
      <c r="L2592" s="55" t="s">
        <v>360</v>
      </c>
      <c r="M2592" s="55" t="s">
        <v>142</v>
      </c>
      <c r="N2592" s="55" t="s">
        <v>142</v>
      </c>
      <c r="O2592" s="55" t="s">
        <v>282</v>
      </c>
      <c r="P2592" s="55" t="s">
        <v>3266</v>
      </c>
      <c r="Q2592" s="55" t="s">
        <v>350</v>
      </c>
      <c r="R2592" s="55">
        <v>6</v>
      </c>
      <c r="S2592" s="55"/>
      <c r="T2592" s="55" t="s">
        <v>481</v>
      </c>
    </row>
    <row r="2593" spans="1:20" ht="13" x14ac:dyDescent="0.15">
      <c r="A2593" s="72" t="str">
        <f t="shared" si="40"/>
        <v>Ofsted Social Care Provider Webpage</v>
      </c>
      <c r="B2593" s="55" t="s">
        <v>4888</v>
      </c>
      <c r="D2593" s="55" t="s">
        <v>389</v>
      </c>
      <c r="E2593" s="74">
        <v>39049</v>
      </c>
      <c r="F2593" s="55" t="s">
        <v>344</v>
      </c>
      <c r="G2593" s="55" t="s">
        <v>4889</v>
      </c>
      <c r="H2593" s="55" t="s">
        <v>3123</v>
      </c>
      <c r="I2593" s="55" t="s">
        <v>4890</v>
      </c>
      <c r="J2593" s="55" t="s">
        <v>4828</v>
      </c>
      <c r="L2593" s="55" t="s">
        <v>4257</v>
      </c>
      <c r="M2593" s="55" t="s">
        <v>378</v>
      </c>
      <c r="N2593" s="55" t="s">
        <v>134</v>
      </c>
      <c r="O2593" s="55" t="s">
        <v>210</v>
      </c>
      <c r="P2593" s="55" t="s">
        <v>1250</v>
      </c>
      <c r="Q2593" s="55" t="s">
        <v>362</v>
      </c>
      <c r="R2593" s="55"/>
      <c r="S2593" s="55"/>
      <c r="T2593" s="55" t="s">
        <v>1884</v>
      </c>
    </row>
    <row r="2594" spans="1:20" ht="13" x14ac:dyDescent="0.15">
      <c r="A2594" s="72" t="str">
        <f t="shared" si="40"/>
        <v>Ofsted Social Care Provider Webpage</v>
      </c>
      <c r="B2594" s="55" t="s">
        <v>4891</v>
      </c>
      <c r="D2594" s="55" t="s">
        <v>389</v>
      </c>
      <c r="E2594" s="74">
        <v>39087</v>
      </c>
      <c r="F2594" s="55" t="s">
        <v>344</v>
      </c>
      <c r="G2594" s="55" t="s">
        <v>4892</v>
      </c>
      <c r="H2594" s="55" t="s">
        <v>4893</v>
      </c>
      <c r="I2594" s="55" t="s">
        <v>4894</v>
      </c>
      <c r="J2594" s="55" t="s">
        <v>4895</v>
      </c>
      <c r="L2594" s="55" t="s">
        <v>4896</v>
      </c>
      <c r="M2594" s="55" t="s">
        <v>142</v>
      </c>
      <c r="N2594" s="55" t="s">
        <v>142</v>
      </c>
      <c r="O2594" s="55" t="s">
        <v>282</v>
      </c>
      <c r="P2594" s="55" t="s">
        <v>3219</v>
      </c>
      <c r="Q2594" s="55" t="s">
        <v>350</v>
      </c>
      <c r="R2594" s="55"/>
      <c r="S2594" s="55"/>
      <c r="T2594" s="55" t="s">
        <v>4897</v>
      </c>
    </row>
    <row r="2595" spans="1:20" ht="13" x14ac:dyDescent="0.15">
      <c r="A2595" s="72" t="str">
        <f t="shared" si="40"/>
        <v>Ofsted Social Care Provider Webpage</v>
      </c>
      <c r="B2595" s="55" t="s">
        <v>4898</v>
      </c>
      <c r="D2595" s="55" t="s">
        <v>373</v>
      </c>
      <c r="E2595" s="74">
        <v>38995</v>
      </c>
      <c r="F2595" s="55" t="s">
        <v>344</v>
      </c>
      <c r="G2595" s="55" t="s">
        <v>360</v>
      </c>
      <c r="H2595" s="55" t="s">
        <v>360</v>
      </c>
      <c r="I2595" s="55" t="s">
        <v>360</v>
      </c>
      <c r="J2595" s="55" t="s">
        <v>360</v>
      </c>
      <c r="K2595" s="55" t="s">
        <v>360</v>
      </c>
      <c r="L2595" s="55" t="s">
        <v>360</v>
      </c>
      <c r="M2595" s="55" t="s">
        <v>150</v>
      </c>
      <c r="N2595" s="55" t="s">
        <v>150</v>
      </c>
      <c r="O2595" s="55" t="s">
        <v>203</v>
      </c>
      <c r="P2595" s="55" t="s">
        <v>632</v>
      </c>
      <c r="Q2595" s="55" t="s">
        <v>380</v>
      </c>
      <c r="R2595" s="55">
        <v>6</v>
      </c>
      <c r="S2595" s="55" t="s">
        <v>332</v>
      </c>
      <c r="T2595" s="55" t="s">
        <v>1547</v>
      </c>
    </row>
    <row r="2596" spans="1:20" ht="13" x14ac:dyDescent="0.15">
      <c r="A2596" s="72" t="str">
        <f t="shared" si="40"/>
        <v>Ofsted Social Care Provider Webpage</v>
      </c>
      <c r="B2596" s="55" t="s">
        <v>4899</v>
      </c>
      <c r="D2596" s="55" t="s">
        <v>373</v>
      </c>
      <c r="E2596" s="74">
        <v>39071</v>
      </c>
      <c r="F2596" s="55" t="s">
        <v>344</v>
      </c>
      <c r="G2596" s="55" t="s">
        <v>360</v>
      </c>
      <c r="H2596" s="55" t="s">
        <v>360</v>
      </c>
      <c r="I2596" s="55" t="s">
        <v>360</v>
      </c>
      <c r="J2596" s="55" t="s">
        <v>360</v>
      </c>
      <c r="K2596" s="55" t="s">
        <v>360</v>
      </c>
      <c r="L2596" s="55" t="s">
        <v>360</v>
      </c>
      <c r="M2596" s="55" t="s">
        <v>150</v>
      </c>
      <c r="N2596" s="55" t="s">
        <v>150</v>
      </c>
      <c r="O2596" s="55" t="s">
        <v>181</v>
      </c>
      <c r="P2596" s="55" t="s">
        <v>1142</v>
      </c>
      <c r="Q2596" s="55" t="s">
        <v>350</v>
      </c>
      <c r="R2596" s="55">
        <v>16</v>
      </c>
      <c r="S2596" s="55"/>
      <c r="T2596" s="55" t="s">
        <v>4900</v>
      </c>
    </row>
    <row r="2597" spans="1:20" ht="13" x14ac:dyDescent="0.15">
      <c r="A2597" s="72" t="str">
        <f t="shared" si="40"/>
        <v>Ofsted Social Care Provider Webpage</v>
      </c>
      <c r="B2597" s="55" t="s">
        <v>4901</v>
      </c>
      <c r="D2597" s="55" t="s">
        <v>373</v>
      </c>
      <c r="E2597" s="74">
        <v>39126</v>
      </c>
      <c r="F2597" s="55" t="s">
        <v>344</v>
      </c>
      <c r="G2597" s="55" t="s">
        <v>360</v>
      </c>
      <c r="H2597" s="55" t="s">
        <v>360</v>
      </c>
      <c r="I2597" s="55" t="s">
        <v>360</v>
      </c>
      <c r="J2597" s="55" t="s">
        <v>360</v>
      </c>
      <c r="K2597" s="55" t="s">
        <v>360</v>
      </c>
      <c r="L2597" s="55" t="s">
        <v>360</v>
      </c>
      <c r="M2597" s="55" t="s">
        <v>378</v>
      </c>
      <c r="N2597" s="55" t="s">
        <v>134</v>
      </c>
      <c r="O2597" s="55" t="s">
        <v>133</v>
      </c>
      <c r="P2597" s="55" t="s">
        <v>1804</v>
      </c>
      <c r="Q2597" s="55" t="s">
        <v>350</v>
      </c>
      <c r="R2597" s="55">
        <v>5</v>
      </c>
      <c r="S2597" s="55"/>
      <c r="T2597" s="55" t="s">
        <v>1505</v>
      </c>
    </row>
    <row r="2598" spans="1:20" ht="13" x14ac:dyDescent="0.15">
      <c r="A2598" s="72" t="str">
        <f t="shared" si="40"/>
        <v>Ofsted Social Care Provider Webpage</v>
      </c>
      <c r="B2598" s="55" t="s">
        <v>4902</v>
      </c>
      <c r="D2598" s="55" t="s">
        <v>373</v>
      </c>
      <c r="E2598" s="74">
        <v>39080</v>
      </c>
      <c r="F2598" s="55" t="s">
        <v>344</v>
      </c>
      <c r="G2598" s="55" t="s">
        <v>360</v>
      </c>
      <c r="H2598" s="55" t="s">
        <v>360</v>
      </c>
      <c r="I2598" s="55" t="s">
        <v>360</v>
      </c>
      <c r="J2598" s="55" t="s">
        <v>360</v>
      </c>
      <c r="K2598" s="55" t="s">
        <v>360</v>
      </c>
      <c r="L2598" s="55" t="s">
        <v>360</v>
      </c>
      <c r="M2598" s="55" t="s">
        <v>129</v>
      </c>
      <c r="N2598" s="55" t="s">
        <v>129</v>
      </c>
      <c r="O2598" s="55" t="s">
        <v>197</v>
      </c>
      <c r="P2598" s="55" t="s">
        <v>3056</v>
      </c>
      <c r="Q2598" s="55" t="s">
        <v>380</v>
      </c>
      <c r="R2598" s="55">
        <v>9</v>
      </c>
      <c r="S2598" s="55"/>
      <c r="T2598" s="55" t="s">
        <v>1354</v>
      </c>
    </row>
    <row r="2599" spans="1:20" ht="13" x14ac:dyDescent="0.15">
      <c r="A2599" s="72" t="str">
        <f t="shared" si="40"/>
        <v>Ofsted Social Care Provider Webpage</v>
      </c>
      <c r="B2599" s="55" t="s">
        <v>4903</v>
      </c>
      <c r="D2599" s="55" t="s">
        <v>373</v>
      </c>
      <c r="E2599" s="74">
        <v>39042</v>
      </c>
      <c r="F2599" s="55" t="s">
        <v>344</v>
      </c>
      <c r="G2599" s="55" t="s">
        <v>360</v>
      </c>
      <c r="H2599" s="55" t="s">
        <v>360</v>
      </c>
      <c r="I2599" s="55" t="s">
        <v>360</v>
      </c>
      <c r="J2599" s="55" t="s">
        <v>360</v>
      </c>
      <c r="K2599" s="55" t="s">
        <v>360</v>
      </c>
      <c r="L2599" s="55" t="s">
        <v>360</v>
      </c>
      <c r="M2599" s="55" t="s">
        <v>150</v>
      </c>
      <c r="N2599" s="55" t="s">
        <v>150</v>
      </c>
      <c r="O2599" s="55" t="s">
        <v>203</v>
      </c>
      <c r="P2599" s="55" t="s">
        <v>2078</v>
      </c>
      <c r="Q2599" s="55" t="s">
        <v>350</v>
      </c>
      <c r="R2599" s="55">
        <v>4</v>
      </c>
      <c r="S2599" s="55"/>
      <c r="T2599" s="55" t="s">
        <v>2891</v>
      </c>
    </row>
    <row r="2600" spans="1:20" ht="13" x14ac:dyDescent="0.15">
      <c r="A2600" s="72" t="str">
        <f t="shared" si="40"/>
        <v>Ofsted Social Care Provider Webpage</v>
      </c>
      <c r="B2600" s="55" t="s">
        <v>4904</v>
      </c>
      <c r="D2600" s="55" t="s">
        <v>373</v>
      </c>
      <c r="E2600" s="74">
        <v>39030</v>
      </c>
      <c r="F2600" s="55" t="s">
        <v>344</v>
      </c>
      <c r="G2600" s="55" t="s">
        <v>360</v>
      </c>
      <c r="H2600" s="55" t="s">
        <v>360</v>
      </c>
      <c r="I2600" s="55" t="s">
        <v>360</v>
      </c>
      <c r="J2600" s="55" t="s">
        <v>360</v>
      </c>
      <c r="K2600" s="55" t="s">
        <v>360</v>
      </c>
      <c r="L2600" s="55" t="s">
        <v>360</v>
      </c>
      <c r="M2600" s="55" t="s">
        <v>150</v>
      </c>
      <c r="N2600" s="55" t="s">
        <v>150</v>
      </c>
      <c r="O2600" s="55" t="s">
        <v>268</v>
      </c>
      <c r="P2600" s="55" t="s">
        <v>2682</v>
      </c>
      <c r="Q2600" s="55" t="s">
        <v>380</v>
      </c>
      <c r="R2600" s="55">
        <v>4</v>
      </c>
      <c r="S2600" s="55"/>
      <c r="T2600" s="55" t="s">
        <v>640</v>
      </c>
    </row>
    <row r="2601" spans="1:20" ht="13" x14ac:dyDescent="0.15">
      <c r="A2601" s="72" t="str">
        <f t="shared" si="40"/>
        <v>Ofsted Social Care Provider Webpage</v>
      </c>
      <c r="B2601" s="55" t="s">
        <v>4905</v>
      </c>
      <c r="D2601" s="55" t="s">
        <v>443</v>
      </c>
      <c r="E2601" s="74">
        <v>39129</v>
      </c>
      <c r="F2601" s="55" t="s">
        <v>344</v>
      </c>
      <c r="G2601" s="55" t="s">
        <v>4906</v>
      </c>
      <c r="H2601" s="55" t="s">
        <v>4907</v>
      </c>
      <c r="I2601" s="55" t="s">
        <v>4908</v>
      </c>
      <c r="J2601" s="55" t="s">
        <v>710</v>
      </c>
      <c r="L2601" s="55" t="s">
        <v>4909</v>
      </c>
      <c r="M2601" s="55" t="s">
        <v>378</v>
      </c>
      <c r="N2601" s="55" t="s">
        <v>134</v>
      </c>
      <c r="O2601" s="55" t="s">
        <v>206</v>
      </c>
      <c r="P2601" s="55" t="s">
        <v>750</v>
      </c>
      <c r="Q2601" s="55" t="s">
        <v>350</v>
      </c>
      <c r="R2601" s="55"/>
      <c r="S2601" s="55"/>
      <c r="T2601" s="55" t="s">
        <v>4910</v>
      </c>
    </row>
    <row r="2602" spans="1:20" ht="13" x14ac:dyDescent="0.15">
      <c r="A2602" s="72" t="str">
        <f t="shared" si="40"/>
        <v>Ofsted Social Care Provider Webpage</v>
      </c>
      <c r="B2602" s="55" t="s">
        <v>4911</v>
      </c>
      <c r="D2602" s="55" t="s">
        <v>373</v>
      </c>
      <c r="E2602" s="74">
        <v>39114</v>
      </c>
      <c r="F2602" s="55" t="s">
        <v>344</v>
      </c>
      <c r="G2602" s="55" t="s">
        <v>360</v>
      </c>
      <c r="H2602" s="55" t="s">
        <v>360</v>
      </c>
      <c r="I2602" s="55" t="s">
        <v>360</v>
      </c>
      <c r="J2602" s="55" t="s">
        <v>360</v>
      </c>
      <c r="K2602" s="55" t="s">
        <v>360</v>
      </c>
      <c r="L2602" s="55" t="s">
        <v>360</v>
      </c>
      <c r="M2602" s="55" t="s">
        <v>138</v>
      </c>
      <c r="N2602" s="55" t="s">
        <v>138</v>
      </c>
      <c r="O2602" s="55" t="s">
        <v>183</v>
      </c>
      <c r="P2602" s="55" t="s">
        <v>576</v>
      </c>
      <c r="Q2602" s="55" t="s">
        <v>380</v>
      </c>
      <c r="R2602" s="55">
        <v>8</v>
      </c>
      <c r="S2602" s="55" t="s">
        <v>332</v>
      </c>
      <c r="T2602" s="55" t="s">
        <v>1795</v>
      </c>
    </row>
    <row r="2603" spans="1:20" ht="13" x14ac:dyDescent="0.15">
      <c r="A2603" s="72" t="str">
        <f t="shared" si="40"/>
        <v>Ofsted Social Care Provider Webpage</v>
      </c>
      <c r="B2603" s="55" t="s">
        <v>4912</v>
      </c>
      <c r="D2603" s="55" t="s">
        <v>373</v>
      </c>
      <c r="E2603" s="74">
        <v>39042</v>
      </c>
      <c r="F2603" s="55" t="s">
        <v>344</v>
      </c>
      <c r="G2603" s="55" t="s">
        <v>360</v>
      </c>
      <c r="H2603" s="55" t="s">
        <v>360</v>
      </c>
      <c r="I2603" s="55" t="s">
        <v>360</v>
      </c>
      <c r="J2603" s="55" t="s">
        <v>360</v>
      </c>
      <c r="K2603" s="55" t="s">
        <v>360</v>
      </c>
      <c r="L2603" s="55" t="s">
        <v>360</v>
      </c>
      <c r="M2603" s="55" t="s">
        <v>138</v>
      </c>
      <c r="N2603" s="55" t="s">
        <v>138</v>
      </c>
      <c r="O2603" s="55" t="s">
        <v>224</v>
      </c>
      <c r="P2603" s="55" t="s">
        <v>1530</v>
      </c>
      <c r="Q2603" s="55" t="s">
        <v>380</v>
      </c>
      <c r="R2603" s="55">
        <v>2</v>
      </c>
      <c r="S2603" s="55"/>
      <c r="T2603" s="55" t="s">
        <v>2272</v>
      </c>
    </row>
    <row r="2604" spans="1:20" ht="13" x14ac:dyDescent="0.15">
      <c r="A2604" s="72" t="str">
        <f t="shared" si="40"/>
        <v>Ofsted Social Care Provider Webpage</v>
      </c>
      <c r="B2604" s="55" t="s">
        <v>4913</v>
      </c>
      <c r="D2604" s="55" t="s">
        <v>373</v>
      </c>
      <c r="E2604" s="74">
        <v>39097</v>
      </c>
      <c r="F2604" s="55" t="s">
        <v>344</v>
      </c>
      <c r="G2604" s="55" t="s">
        <v>360</v>
      </c>
      <c r="H2604" s="55" t="s">
        <v>360</v>
      </c>
      <c r="I2604" s="55" t="s">
        <v>360</v>
      </c>
      <c r="J2604" s="55" t="s">
        <v>360</v>
      </c>
      <c r="K2604" s="55" t="s">
        <v>360</v>
      </c>
      <c r="L2604" s="55" t="s">
        <v>360</v>
      </c>
      <c r="M2604" s="55" t="s">
        <v>138</v>
      </c>
      <c r="N2604" s="55" t="s">
        <v>138</v>
      </c>
      <c r="O2604" s="55" t="s">
        <v>159</v>
      </c>
      <c r="P2604" s="55" t="s">
        <v>1025</v>
      </c>
      <c r="Q2604" s="55" t="s">
        <v>350</v>
      </c>
      <c r="R2604" s="55">
        <v>4</v>
      </c>
      <c r="S2604" s="55"/>
      <c r="T2604" s="55" t="s">
        <v>4914</v>
      </c>
    </row>
    <row r="2605" spans="1:20" ht="13" x14ac:dyDescent="0.15">
      <c r="A2605" s="72" t="str">
        <f t="shared" si="40"/>
        <v>Ofsted Social Care Provider Webpage</v>
      </c>
      <c r="B2605" s="55" t="s">
        <v>4915</v>
      </c>
      <c r="D2605" s="55" t="s">
        <v>373</v>
      </c>
      <c r="E2605" s="74">
        <v>39132</v>
      </c>
      <c r="F2605" s="55" t="s">
        <v>344</v>
      </c>
      <c r="G2605" s="55" t="s">
        <v>360</v>
      </c>
      <c r="H2605" s="55" t="s">
        <v>360</v>
      </c>
      <c r="I2605" s="55" t="s">
        <v>360</v>
      </c>
      <c r="J2605" s="55" t="s">
        <v>360</v>
      </c>
      <c r="K2605" s="55" t="s">
        <v>360</v>
      </c>
      <c r="L2605" s="55" t="s">
        <v>360</v>
      </c>
      <c r="M2605" s="55" t="s">
        <v>150</v>
      </c>
      <c r="N2605" s="55" t="s">
        <v>150</v>
      </c>
      <c r="O2605" s="55" t="s">
        <v>237</v>
      </c>
      <c r="P2605" s="55" t="s">
        <v>404</v>
      </c>
      <c r="Q2605" s="55" t="s">
        <v>362</v>
      </c>
      <c r="R2605" s="55">
        <v>7</v>
      </c>
      <c r="S2605" s="55" t="s">
        <v>332</v>
      </c>
      <c r="T2605" s="55" t="s">
        <v>1884</v>
      </c>
    </row>
    <row r="2606" spans="1:20" ht="13" x14ac:dyDescent="0.15">
      <c r="A2606" s="72" t="str">
        <f t="shared" si="40"/>
        <v>Ofsted Social Care Provider Webpage</v>
      </c>
      <c r="B2606" s="55" t="s">
        <v>4916</v>
      </c>
      <c r="D2606" s="55" t="s">
        <v>373</v>
      </c>
      <c r="E2606" s="74">
        <v>39143</v>
      </c>
      <c r="F2606" s="55" t="s">
        <v>344</v>
      </c>
      <c r="G2606" s="55" t="s">
        <v>360</v>
      </c>
      <c r="H2606" s="55" t="s">
        <v>360</v>
      </c>
      <c r="I2606" s="55" t="s">
        <v>360</v>
      </c>
      <c r="J2606" s="55" t="s">
        <v>360</v>
      </c>
      <c r="K2606" s="55" t="s">
        <v>360</v>
      </c>
      <c r="L2606" s="55" t="s">
        <v>360</v>
      </c>
      <c r="M2606" s="55" t="s">
        <v>144</v>
      </c>
      <c r="N2606" s="55" t="s">
        <v>144</v>
      </c>
      <c r="O2606" s="55" t="s">
        <v>271</v>
      </c>
      <c r="P2606" s="55" t="s">
        <v>1122</v>
      </c>
      <c r="Q2606" s="55" t="s">
        <v>350</v>
      </c>
      <c r="R2606" s="55">
        <v>5</v>
      </c>
      <c r="S2606" s="55"/>
      <c r="T2606" s="55" t="s">
        <v>4917</v>
      </c>
    </row>
    <row r="2607" spans="1:20" ht="13" x14ac:dyDescent="0.15">
      <c r="A2607" s="72" t="str">
        <f t="shared" si="40"/>
        <v>Ofsted Social Care Provider Webpage</v>
      </c>
      <c r="B2607" s="55" t="s">
        <v>4918</v>
      </c>
      <c r="D2607" s="55" t="s">
        <v>373</v>
      </c>
      <c r="E2607" s="74">
        <v>39125</v>
      </c>
      <c r="F2607" s="55" t="s">
        <v>344</v>
      </c>
      <c r="G2607" s="55" t="s">
        <v>360</v>
      </c>
      <c r="H2607" s="55" t="s">
        <v>360</v>
      </c>
      <c r="I2607" s="55" t="s">
        <v>360</v>
      </c>
      <c r="J2607" s="55" t="s">
        <v>360</v>
      </c>
      <c r="K2607" s="55" t="s">
        <v>360</v>
      </c>
      <c r="L2607" s="55" t="s">
        <v>360</v>
      </c>
      <c r="M2607" s="55" t="s">
        <v>138</v>
      </c>
      <c r="N2607" s="55" t="s">
        <v>138</v>
      </c>
      <c r="O2607" s="55" t="s">
        <v>266</v>
      </c>
      <c r="P2607" s="55" t="s">
        <v>1622</v>
      </c>
      <c r="Q2607" s="55" t="s">
        <v>350</v>
      </c>
      <c r="R2607" s="55">
        <v>6</v>
      </c>
      <c r="S2607" s="55"/>
      <c r="T2607" s="55" t="s">
        <v>1225</v>
      </c>
    </row>
    <row r="2608" spans="1:20" ht="13" x14ac:dyDescent="0.15">
      <c r="A2608" s="72" t="str">
        <f t="shared" si="40"/>
        <v>Ofsted Social Care Provider Webpage</v>
      </c>
      <c r="B2608" s="55" t="s">
        <v>4919</v>
      </c>
      <c r="D2608" s="55" t="s">
        <v>373</v>
      </c>
      <c r="E2608" s="74">
        <v>39147</v>
      </c>
      <c r="F2608" s="55" t="s">
        <v>344</v>
      </c>
      <c r="G2608" s="55" t="s">
        <v>360</v>
      </c>
      <c r="H2608" s="55" t="s">
        <v>360</v>
      </c>
      <c r="I2608" s="55" t="s">
        <v>360</v>
      </c>
      <c r="J2608" s="55" t="s">
        <v>360</v>
      </c>
      <c r="K2608" s="55" t="s">
        <v>360</v>
      </c>
      <c r="L2608" s="55" t="s">
        <v>360</v>
      </c>
      <c r="M2608" s="55" t="s">
        <v>144</v>
      </c>
      <c r="N2608" s="55" t="s">
        <v>144</v>
      </c>
      <c r="O2608" s="55" t="s">
        <v>157</v>
      </c>
      <c r="P2608" s="55" t="s">
        <v>1092</v>
      </c>
      <c r="Q2608" s="55" t="s">
        <v>350</v>
      </c>
      <c r="R2608" s="55">
        <v>3</v>
      </c>
      <c r="S2608" s="55"/>
      <c r="T2608" s="55" t="s">
        <v>613</v>
      </c>
    </row>
    <row r="2609" spans="1:20" ht="13" x14ac:dyDescent="0.15">
      <c r="A2609" s="72" t="str">
        <f t="shared" si="40"/>
        <v>Ofsted Social Care Provider Webpage</v>
      </c>
      <c r="B2609" s="55" t="s">
        <v>4920</v>
      </c>
      <c r="C2609" s="55">
        <v>134938</v>
      </c>
      <c r="D2609" s="55" t="s">
        <v>413</v>
      </c>
      <c r="E2609" s="74">
        <v>39086</v>
      </c>
      <c r="F2609" s="55" t="s">
        <v>344</v>
      </c>
      <c r="G2609" s="55" t="s">
        <v>4921</v>
      </c>
      <c r="H2609" s="55" t="s">
        <v>4922</v>
      </c>
      <c r="I2609" s="55" t="s">
        <v>4923</v>
      </c>
      <c r="J2609" s="55" t="s">
        <v>4924</v>
      </c>
      <c r="K2609" s="55" t="s">
        <v>247</v>
      </c>
      <c r="L2609" s="55" t="s">
        <v>4925</v>
      </c>
      <c r="M2609" s="55" t="s">
        <v>172</v>
      </c>
      <c r="N2609" s="55" t="s">
        <v>172</v>
      </c>
      <c r="O2609" s="55" t="s">
        <v>247</v>
      </c>
      <c r="P2609" s="55" t="s">
        <v>798</v>
      </c>
      <c r="Q2609" s="55" t="s">
        <v>350</v>
      </c>
      <c r="R2609" s="55">
        <v>70</v>
      </c>
      <c r="S2609" s="55"/>
      <c r="T2609" s="55" t="s">
        <v>4926</v>
      </c>
    </row>
    <row r="2610" spans="1:20" ht="13" x14ac:dyDescent="0.15">
      <c r="A2610" s="72" t="str">
        <f t="shared" si="40"/>
        <v>Ofsted Social Care Provider Webpage</v>
      </c>
      <c r="B2610" s="55" t="s">
        <v>4927</v>
      </c>
      <c r="D2610" s="55" t="s">
        <v>373</v>
      </c>
      <c r="E2610" s="74">
        <v>39122</v>
      </c>
      <c r="F2610" s="55" t="s">
        <v>344</v>
      </c>
      <c r="G2610" s="55" t="s">
        <v>360</v>
      </c>
      <c r="H2610" s="55" t="s">
        <v>360</v>
      </c>
      <c r="I2610" s="55" t="s">
        <v>360</v>
      </c>
      <c r="J2610" s="55" t="s">
        <v>360</v>
      </c>
      <c r="K2610" s="55" t="s">
        <v>360</v>
      </c>
      <c r="L2610" s="55" t="s">
        <v>360</v>
      </c>
      <c r="M2610" s="55" t="s">
        <v>378</v>
      </c>
      <c r="N2610" s="55" t="s">
        <v>134</v>
      </c>
      <c r="O2610" s="55" t="s">
        <v>158</v>
      </c>
      <c r="P2610" s="55" t="s">
        <v>912</v>
      </c>
      <c r="Q2610" s="55" t="s">
        <v>350</v>
      </c>
      <c r="R2610" s="55">
        <v>2</v>
      </c>
      <c r="S2610" s="55"/>
      <c r="T2610" s="55" t="s">
        <v>711</v>
      </c>
    </row>
    <row r="2611" spans="1:20" ht="13" x14ac:dyDescent="0.15">
      <c r="A2611" s="72" t="str">
        <f t="shared" si="40"/>
        <v>Ofsted Social Care Provider Webpage</v>
      </c>
      <c r="B2611" s="55" t="s">
        <v>4928</v>
      </c>
      <c r="D2611" s="55" t="s">
        <v>389</v>
      </c>
      <c r="E2611" s="74">
        <v>39112</v>
      </c>
      <c r="F2611" s="55" t="s">
        <v>344</v>
      </c>
      <c r="G2611" s="55" t="s">
        <v>4929</v>
      </c>
      <c r="H2611" s="55" t="s">
        <v>4930</v>
      </c>
      <c r="I2611" s="55" t="s">
        <v>4931</v>
      </c>
      <c r="J2611" s="55" t="s">
        <v>236</v>
      </c>
      <c r="L2611" s="55" t="s">
        <v>4932</v>
      </c>
      <c r="M2611" s="55" t="s">
        <v>144</v>
      </c>
      <c r="N2611" s="55" t="s">
        <v>144</v>
      </c>
      <c r="O2611" s="55" t="s">
        <v>236</v>
      </c>
      <c r="P2611" s="55" t="s">
        <v>2088</v>
      </c>
      <c r="Q2611" s="55" t="s">
        <v>350</v>
      </c>
      <c r="R2611" s="55"/>
      <c r="S2611" s="55"/>
      <c r="T2611" s="55" t="s">
        <v>4929</v>
      </c>
    </row>
    <row r="2612" spans="1:20" ht="13" x14ac:dyDescent="0.15">
      <c r="A2612" s="72" t="str">
        <f t="shared" si="40"/>
        <v>Ofsted Social Care Provider Webpage</v>
      </c>
      <c r="B2612" s="55" t="s">
        <v>4933</v>
      </c>
      <c r="D2612" s="55" t="s">
        <v>479</v>
      </c>
      <c r="E2612" s="74">
        <v>39157</v>
      </c>
      <c r="F2612" s="55" t="s">
        <v>344</v>
      </c>
      <c r="G2612" s="55" t="s">
        <v>360</v>
      </c>
      <c r="H2612" s="55" t="s">
        <v>360</v>
      </c>
      <c r="I2612" s="55" t="s">
        <v>360</v>
      </c>
      <c r="J2612" s="55" t="s">
        <v>360</v>
      </c>
      <c r="K2612" s="55" t="s">
        <v>360</v>
      </c>
      <c r="L2612" s="55" t="s">
        <v>360</v>
      </c>
      <c r="M2612" s="55" t="s">
        <v>150</v>
      </c>
      <c r="N2612" s="55" t="s">
        <v>150</v>
      </c>
      <c r="O2612" s="55" t="s">
        <v>283</v>
      </c>
      <c r="P2612" s="55" t="s">
        <v>1333</v>
      </c>
      <c r="Q2612" s="55" t="s">
        <v>362</v>
      </c>
      <c r="R2612" s="55">
        <v>67</v>
      </c>
      <c r="S2612" s="55"/>
      <c r="T2612" s="55" t="s">
        <v>4934</v>
      </c>
    </row>
    <row r="2613" spans="1:20" ht="13" x14ac:dyDescent="0.15">
      <c r="A2613" s="72" t="str">
        <f t="shared" si="40"/>
        <v>Ofsted Social Care Provider Webpage</v>
      </c>
      <c r="B2613" s="55" t="s">
        <v>4935</v>
      </c>
      <c r="D2613" s="55" t="s">
        <v>389</v>
      </c>
      <c r="E2613" s="74">
        <v>39128</v>
      </c>
      <c r="F2613" s="55" t="s">
        <v>344</v>
      </c>
      <c r="G2613" s="55" t="s">
        <v>4936</v>
      </c>
      <c r="H2613" s="55" t="s">
        <v>4937</v>
      </c>
      <c r="I2613" s="55" t="s">
        <v>4938</v>
      </c>
      <c r="J2613" s="55" t="s">
        <v>4371</v>
      </c>
      <c r="K2613" s="55" t="s">
        <v>196</v>
      </c>
      <c r="L2613" s="55" t="s">
        <v>4939</v>
      </c>
      <c r="M2613" s="55" t="s">
        <v>138</v>
      </c>
      <c r="N2613" s="55" t="s">
        <v>138</v>
      </c>
      <c r="O2613" s="55" t="s">
        <v>196</v>
      </c>
      <c r="P2613" s="55" t="s">
        <v>4371</v>
      </c>
      <c r="Q2613" s="55" t="s">
        <v>362</v>
      </c>
      <c r="R2613" s="55"/>
      <c r="S2613" s="55"/>
      <c r="T2613" s="55" t="s">
        <v>432</v>
      </c>
    </row>
    <row r="2614" spans="1:20" ht="13" x14ac:dyDescent="0.15">
      <c r="A2614" s="72" t="str">
        <f t="shared" si="40"/>
        <v>Ofsted Social Care Provider Webpage</v>
      </c>
      <c r="B2614" s="55" t="s">
        <v>4940</v>
      </c>
      <c r="D2614" s="55" t="s">
        <v>373</v>
      </c>
      <c r="E2614" s="74">
        <v>39153</v>
      </c>
      <c r="F2614" s="55" t="s">
        <v>344</v>
      </c>
      <c r="G2614" s="55" t="s">
        <v>360</v>
      </c>
      <c r="H2614" s="55" t="s">
        <v>360</v>
      </c>
      <c r="I2614" s="55" t="s">
        <v>360</v>
      </c>
      <c r="J2614" s="55" t="s">
        <v>360</v>
      </c>
      <c r="K2614" s="55" t="s">
        <v>360</v>
      </c>
      <c r="L2614" s="55" t="s">
        <v>360</v>
      </c>
      <c r="M2614" s="55" t="s">
        <v>150</v>
      </c>
      <c r="N2614" s="55" t="s">
        <v>150</v>
      </c>
      <c r="O2614" s="55" t="s">
        <v>181</v>
      </c>
      <c r="P2614" s="55" t="s">
        <v>1142</v>
      </c>
      <c r="Q2614" s="55" t="s">
        <v>350</v>
      </c>
      <c r="R2614" s="55">
        <v>3</v>
      </c>
      <c r="S2614" s="55"/>
      <c r="T2614" s="55" t="s">
        <v>627</v>
      </c>
    </row>
    <row r="2615" spans="1:20" ht="13" x14ac:dyDescent="0.15">
      <c r="A2615" s="72" t="str">
        <f t="shared" si="40"/>
        <v>Ofsted Social Care Provider Webpage</v>
      </c>
      <c r="B2615" s="55" t="s">
        <v>4941</v>
      </c>
      <c r="D2615" s="55" t="s">
        <v>373</v>
      </c>
      <c r="E2615" s="74">
        <v>39153</v>
      </c>
      <c r="F2615" s="55" t="s">
        <v>344</v>
      </c>
      <c r="G2615" s="55" t="s">
        <v>360</v>
      </c>
      <c r="H2615" s="55" t="s">
        <v>360</v>
      </c>
      <c r="I2615" s="55" t="s">
        <v>360</v>
      </c>
      <c r="J2615" s="55" t="s">
        <v>360</v>
      </c>
      <c r="K2615" s="55" t="s">
        <v>360</v>
      </c>
      <c r="L2615" s="55" t="s">
        <v>360</v>
      </c>
      <c r="M2615" s="55" t="s">
        <v>378</v>
      </c>
      <c r="N2615" s="55" t="s">
        <v>134</v>
      </c>
      <c r="O2615" s="55" t="s">
        <v>225</v>
      </c>
      <c r="P2615" s="55" t="s">
        <v>1667</v>
      </c>
      <c r="Q2615" s="55" t="s">
        <v>380</v>
      </c>
      <c r="R2615" s="55">
        <v>1</v>
      </c>
      <c r="S2615" s="55"/>
      <c r="T2615" s="55" t="s">
        <v>1668</v>
      </c>
    </row>
    <row r="2616" spans="1:20" ht="13" x14ac:dyDescent="0.15">
      <c r="A2616" s="72" t="str">
        <f t="shared" si="40"/>
        <v>Ofsted Social Care Provider Webpage</v>
      </c>
      <c r="B2616" s="55" t="s">
        <v>4942</v>
      </c>
      <c r="D2616" s="55" t="s">
        <v>373</v>
      </c>
      <c r="E2616" s="74">
        <v>39247</v>
      </c>
      <c r="F2616" s="55" t="s">
        <v>344</v>
      </c>
      <c r="G2616" s="55" t="s">
        <v>360</v>
      </c>
      <c r="H2616" s="55" t="s">
        <v>360</v>
      </c>
      <c r="I2616" s="55" t="s">
        <v>360</v>
      </c>
      <c r="J2616" s="55" t="s">
        <v>360</v>
      </c>
      <c r="K2616" s="55" t="s">
        <v>360</v>
      </c>
      <c r="L2616" s="55" t="s">
        <v>360</v>
      </c>
      <c r="M2616" s="55" t="s">
        <v>378</v>
      </c>
      <c r="N2616" s="55" t="s">
        <v>134</v>
      </c>
      <c r="O2616" s="55" t="s">
        <v>277</v>
      </c>
      <c r="P2616" s="55" t="s">
        <v>277</v>
      </c>
      <c r="Q2616" s="55" t="s">
        <v>350</v>
      </c>
      <c r="R2616" s="55">
        <v>2</v>
      </c>
      <c r="S2616" s="55"/>
      <c r="T2616" s="55" t="s">
        <v>2448</v>
      </c>
    </row>
    <row r="2617" spans="1:20" ht="13" x14ac:dyDescent="0.15">
      <c r="A2617" s="72" t="str">
        <f t="shared" si="40"/>
        <v>Ofsted Social Care Provider Webpage</v>
      </c>
      <c r="B2617" s="55" t="s">
        <v>4943</v>
      </c>
      <c r="D2617" s="55" t="s">
        <v>373</v>
      </c>
      <c r="E2617" s="74">
        <v>39265</v>
      </c>
      <c r="F2617" s="55" t="s">
        <v>344</v>
      </c>
      <c r="G2617" s="55" t="s">
        <v>360</v>
      </c>
      <c r="H2617" s="55" t="s">
        <v>360</v>
      </c>
      <c r="I2617" s="55" t="s">
        <v>360</v>
      </c>
      <c r="J2617" s="55" t="s">
        <v>360</v>
      </c>
      <c r="K2617" s="55" t="s">
        <v>360</v>
      </c>
      <c r="L2617" s="55" t="s">
        <v>360</v>
      </c>
      <c r="M2617" s="55" t="s">
        <v>378</v>
      </c>
      <c r="N2617" s="55" t="s">
        <v>134</v>
      </c>
      <c r="O2617" s="55" t="s">
        <v>133</v>
      </c>
      <c r="P2617" s="55" t="s">
        <v>1804</v>
      </c>
      <c r="Q2617" s="55" t="s">
        <v>350</v>
      </c>
      <c r="R2617" s="55">
        <v>2</v>
      </c>
      <c r="S2617" s="55"/>
      <c r="T2617" s="55" t="s">
        <v>2448</v>
      </c>
    </row>
    <row r="2618" spans="1:20" ht="13" x14ac:dyDescent="0.15">
      <c r="A2618" s="72" t="str">
        <f t="shared" si="40"/>
        <v>Ofsted Social Care Provider Webpage</v>
      </c>
      <c r="B2618" s="55" t="s">
        <v>4944</v>
      </c>
      <c r="D2618" s="55" t="s">
        <v>373</v>
      </c>
      <c r="E2618" s="74">
        <v>39374</v>
      </c>
      <c r="F2618" s="55" t="s">
        <v>344</v>
      </c>
      <c r="G2618" s="55" t="s">
        <v>360</v>
      </c>
      <c r="H2618" s="55" t="s">
        <v>360</v>
      </c>
      <c r="I2618" s="55" t="s">
        <v>360</v>
      </c>
      <c r="J2618" s="55" t="s">
        <v>360</v>
      </c>
      <c r="K2618" s="55" t="s">
        <v>360</v>
      </c>
      <c r="L2618" s="55" t="s">
        <v>360</v>
      </c>
      <c r="M2618" s="55" t="s">
        <v>142</v>
      </c>
      <c r="N2618" s="55" t="s">
        <v>142</v>
      </c>
      <c r="O2618" s="55" t="s">
        <v>265</v>
      </c>
      <c r="P2618" s="55" t="s">
        <v>540</v>
      </c>
      <c r="Q2618" s="55" t="s">
        <v>350</v>
      </c>
      <c r="R2618" s="55">
        <v>2</v>
      </c>
      <c r="S2618" s="55"/>
      <c r="T2618" s="55" t="s">
        <v>1505</v>
      </c>
    </row>
    <row r="2619" spans="1:20" ht="13" x14ac:dyDescent="0.15">
      <c r="A2619" s="72" t="str">
        <f t="shared" si="40"/>
        <v>Ofsted Social Care Provider Webpage</v>
      </c>
      <c r="B2619" s="55" t="s">
        <v>4945</v>
      </c>
      <c r="D2619" s="55" t="s">
        <v>373</v>
      </c>
      <c r="E2619" s="74">
        <v>39266</v>
      </c>
      <c r="F2619" s="55" t="s">
        <v>344</v>
      </c>
      <c r="G2619" s="55" t="s">
        <v>360</v>
      </c>
      <c r="H2619" s="55" t="s">
        <v>360</v>
      </c>
      <c r="I2619" s="55" t="s">
        <v>360</v>
      </c>
      <c r="J2619" s="55" t="s">
        <v>360</v>
      </c>
      <c r="K2619" s="55" t="s">
        <v>360</v>
      </c>
      <c r="L2619" s="55" t="s">
        <v>360</v>
      </c>
      <c r="M2619" s="55" t="s">
        <v>142</v>
      </c>
      <c r="N2619" s="55" t="s">
        <v>142</v>
      </c>
      <c r="O2619" s="55" t="s">
        <v>262</v>
      </c>
      <c r="P2619" s="55" t="s">
        <v>618</v>
      </c>
      <c r="Q2619" s="55" t="s">
        <v>350</v>
      </c>
      <c r="R2619" s="55">
        <v>3</v>
      </c>
      <c r="S2619" s="55"/>
      <c r="T2619" s="55" t="s">
        <v>4819</v>
      </c>
    </row>
    <row r="2620" spans="1:20" ht="13" x14ac:dyDescent="0.15">
      <c r="A2620" s="72" t="str">
        <f t="shared" si="40"/>
        <v>Ofsted Social Care Provider Webpage</v>
      </c>
      <c r="B2620" s="55" t="s">
        <v>4946</v>
      </c>
      <c r="D2620" s="55" t="s">
        <v>373</v>
      </c>
      <c r="E2620" s="74">
        <v>39519</v>
      </c>
      <c r="F2620" s="55" t="s">
        <v>344</v>
      </c>
      <c r="G2620" s="55" t="s">
        <v>360</v>
      </c>
      <c r="H2620" s="55" t="s">
        <v>360</v>
      </c>
      <c r="I2620" s="55" t="s">
        <v>360</v>
      </c>
      <c r="J2620" s="55" t="s">
        <v>360</v>
      </c>
      <c r="K2620" s="55" t="s">
        <v>360</v>
      </c>
      <c r="L2620" s="55" t="s">
        <v>360</v>
      </c>
      <c r="M2620" s="55" t="s">
        <v>142</v>
      </c>
      <c r="N2620" s="55" t="s">
        <v>142</v>
      </c>
      <c r="O2620" s="55" t="s">
        <v>292</v>
      </c>
      <c r="P2620" s="55" t="s">
        <v>1052</v>
      </c>
      <c r="Q2620" s="55" t="s">
        <v>350</v>
      </c>
      <c r="R2620" s="55">
        <v>2</v>
      </c>
      <c r="S2620" s="55"/>
      <c r="T2620" s="55" t="s">
        <v>4947</v>
      </c>
    </row>
    <row r="2621" spans="1:20" ht="13" x14ac:dyDescent="0.15">
      <c r="A2621" s="72" t="str">
        <f t="shared" si="40"/>
        <v>Ofsted Social Care Provider Webpage</v>
      </c>
      <c r="B2621" s="55" t="s">
        <v>4948</v>
      </c>
      <c r="D2621" s="55" t="s">
        <v>373</v>
      </c>
      <c r="E2621" s="74">
        <v>39329</v>
      </c>
      <c r="F2621" s="55" t="s">
        <v>344</v>
      </c>
      <c r="G2621" s="55" t="s">
        <v>360</v>
      </c>
      <c r="H2621" s="55" t="s">
        <v>360</v>
      </c>
      <c r="I2621" s="55" t="s">
        <v>360</v>
      </c>
      <c r="J2621" s="55" t="s">
        <v>360</v>
      </c>
      <c r="K2621" s="55" t="s">
        <v>360</v>
      </c>
      <c r="L2621" s="55" t="s">
        <v>360</v>
      </c>
      <c r="M2621" s="55" t="s">
        <v>378</v>
      </c>
      <c r="N2621" s="55" t="s">
        <v>134</v>
      </c>
      <c r="O2621" s="55" t="s">
        <v>133</v>
      </c>
      <c r="P2621" s="55" t="s">
        <v>2789</v>
      </c>
      <c r="Q2621" s="55" t="s">
        <v>350</v>
      </c>
      <c r="R2621" s="55">
        <v>4</v>
      </c>
      <c r="S2621" s="55"/>
      <c r="T2621" s="55" t="s">
        <v>1251</v>
      </c>
    </row>
    <row r="2622" spans="1:20" ht="13" x14ac:dyDescent="0.15">
      <c r="A2622" s="72" t="str">
        <f t="shared" si="40"/>
        <v>Ofsted Social Care Provider Webpage</v>
      </c>
      <c r="B2622" s="55" t="s">
        <v>4949</v>
      </c>
      <c r="D2622" s="55" t="s">
        <v>373</v>
      </c>
      <c r="E2622" s="74">
        <v>39272</v>
      </c>
      <c r="F2622" s="55" t="s">
        <v>344</v>
      </c>
      <c r="G2622" s="55" t="s">
        <v>360</v>
      </c>
      <c r="H2622" s="55" t="s">
        <v>360</v>
      </c>
      <c r="I2622" s="55" t="s">
        <v>360</v>
      </c>
      <c r="J2622" s="55" t="s">
        <v>360</v>
      </c>
      <c r="K2622" s="55" t="s">
        <v>360</v>
      </c>
      <c r="L2622" s="55" t="s">
        <v>360</v>
      </c>
      <c r="M2622" s="55" t="s">
        <v>144</v>
      </c>
      <c r="N2622" s="55" t="s">
        <v>144</v>
      </c>
      <c r="O2622" s="55" t="s">
        <v>236</v>
      </c>
      <c r="P2622" s="55" t="s">
        <v>996</v>
      </c>
      <c r="Q2622" s="55" t="s">
        <v>350</v>
      </c>
      <c r="R2622" s="55">
        <v>4</v>
      </c>
      <c r="S2622" s="55"/>
      <c r="T2622" s="55" t="s">
        <v>4468</v>
      </c>
    </row>
    <row r="2623" spans="1:20" ht="13" x14ac:dyDescent="0.15">
      <c r="A2623" s="72" t="str">
        <f t="shared" si="40"/>
        <v>Ofsted Social Care Provider Webpage</v>
      </c>
      <c r="B2623" s="55" t="s">
        <v>4950</v>
      </c>
      <c r="D2623" s="55" t="s">
        <v>373</v>
      </c>
      <c r="E2623" s="74">
        <v>39168</v>
      </c>
      <c r="F2623" s="55" t="s">
        <v>344</v>
      </c>
      <c r="G2623" s="55" t="s">
        <v>360</v>
      </c>
      <c r="H2623" s="55" t="s">
        <v>360</v>
      </c>
      <c r="I2623" s="55" t="s">
        <v>360</v>
      </c>
      <c r="J2623" s="55" t="s">
        <v>360</v>
      </c>
      <c r="K2623" s="55" t="s">
        <v>360</v>
      </c>
      <c r="L2623" s="55" t="s">
        <v>360</v>
      </c>
      <c r="M2623" s="55" t="s">
        <v>144</v>
      </c>
      <c r="N2623" s="55" t="s">
        <v>144</v>
      </c>
      <c r="O2623" s="55" t="s">
        <v>157</v>
      </c>
      <c r="P2623" s="55" t="s">
        <v>1092</v>
      </c>
      <c r="Q2623" s="55" t="s">
        <v>350</v>
      </c>
      <c r="R2623" s="55">
        <v>2</v>
      </c>
      <c r="S2623" s="55"/>
      <c r="T2623" s="55" t="s">
        <v>711</v>
      </c>
    </row>
    <row r="2624" spans="1:20" ht="13" x14ac:dyDescent="0.15">
      <c r="A2624" s="72" t="str">
        <f t="shared" si="40"/>
        <v>Ofsted Social Care Provider Webpage</v>
      </c>
      <c r="B2624" s="55" t="s">
        <v>4951</v>
      </c>
      <c r="D2624" s="55" t="s">
        <v>373</v>
      </c>
      <c r="E2624" s="74">
        <v>39309</v>
      </c>
      <c r="F2624" s="55" t="s">
        <v>344</v>
      </c>
      <c r="G2624" s="55" t="s">
        <v>360</v>
      </c>
      <c r="H2624" s="55" t="s">
        <v>360</v>
      </c>
      <c r="I2624" s="55" t="s">
        <v>360</v>
      </c>
      <c r="J2624" s="55" t="s">
        <v>360</v>
      </c>
      <c r="K2624" s="55" t="s">
        <v>360</v>
      </c>
      <c r="L2624" s="55" t="s">
        <v>360</v>
      </c>
      <c r="M2624" s="55" t="s">
        <v>378</v>
      </c>
      <c r="N2624" s="55" t="s">
        <v>134</v>
      </c>
      <c r="O2624" s="55" t="s">
        <v>251</v>
      </c>
      <c r="P2624" s="55" t="s">
        <v>3357</v>
      </c>
      <c r="Q2624" s="55" t="s">
        <v>380</v>
      </c>
      <c r="R2624" s="55">
        <v>5</v>
      </c>
      <c r="S2624" s="55"/>
      <c r="T2624" s="55" t="s">
        <v>3358</v>
      </c>
    </row>
    <row r="2625" spans="1:20" ht="13" x14ac:dyDescent="0.15">
      <c r="A2625" s="72" t="str">
        <f t="shared" si="40"/>
        <v>Ofsted Social Care Provider Webpage</v>
      </c>
      <c r="B2625" s="55" t="s">
        <v>4952</v>
      </c>
      <c r="D2625" s="55" t="s">
        <v>373</v>
      </c>
      <c r="E2625" s="74">
        <v>39265</v>
      </c>
      <c r="F2625" s="55" t="s">
        <v>344</v>
      </c>
      <c r="G2625" s="55" t="s">
        <v>360</v>
      </c>
      <c r="H2625" s="55" t="s">
        <v>360</v>
      </c>
      <c r="I2625" s="55" t="s">
        <v>360</v>
      </c>
      <c r="J2625" s="55" t="s">
        <v>360</v>
      </c>
      <c r="K2625" s="55" t="s">
        <v>360</v>
      </c>
      <c r="L2625" s="55" t="s">
        <v>360</v>
      </c>
      <c r="M2625" s="55" t="s">
        <v>144</v>
      </c>
      <c r="N2625" s="55" t="s">
        <v>144</v>
      </c>
      <c r="O2625" s="55" t="s">
        <v>168</v>
      </c>
      <c r="P2625" s="55" t="s">
        <v>913</v>
      </c>
      <c r="Q2625" s="55" t="s">
        <v>350</v>
      </c>
      <c r="R2625" s="55">
        <v>9</v>
      </c>
      <c r="S2625" s="55"/>
      <c r="T2625" s="55" t="s">
        <v>2358</v>
      </c>
    </row>
    <row r="2626" spans="1:20" ht="13" x14ac:dyDescent="0.15">
      <c r="A2626" s="72" t="str">
        <f t="shared" si="40"/>
        <v>Ofsted Social Care Provider Webpage</v>
      </c>
      <c r="B2626" s="55" t="s">
        <v>4953</v>
      </c>
      <c r="D2626" s="55" t="s">
        <v>373</v>
      </c>
      <c r="E2626" s="74">
        <v>39169</v>
      </c>
      <c r="F2626" s="55" t="s">
        <v>344</v>
      </c>
      <c r="G2626" s="55" t="s">
        <v>360</v>
      </c>
      <c r="H2626" s="55" t="s">
        <v>360</v>
      </c>
      <c r="I2626" s="55" t="s">
        <v>360</v>
      </c>
      <c r="J2626" s="55" t="s">
        <v>360</v>
      </c>
      <c r="K2626" s="55" t="s">
        <v>360</v>
      </c>
      <c r="L2626" s="55" t="s">
        <v>360</v>
      </c>
      <c r="M2626" s="55" t="s">
        <v>144</v>
      </c>
      <c r="N2626" s="55" t="s">
        <v>144</v>
      </c>
      <c r="O2626" s="55" t="s">
        <v>207</v>
      </c>
      <c r="P2626" s="55" t="s">
        <v>207</v>
      </c>
      <c r="Q2626" s="55" t="s">
        <v>350</v>
      </c>
      <c r="R2626" s="55">
        <v>3</v>
      </c>
      <c r="S2626" s="55"/>
      <c r="T2626" s="55" t="s">
        <v>2947</v>
      </c>
    </row>
    <row r="2627" spans="1:20" ht="13" x14ac:dyDescent="0.15">
      <c r="A2627" s="72" t="str">
        <f t="shared" si="40"/>
        <v>Ofsted Social Care Provider Webpage</v>
      </c>
      <c r="B2627" s="55" t="s">
        <v>4954</v>
      </c>
      <c r="D2627" s="55" t="s">
        <v>373</v>
      </c>
      <c r="E2627" s="74">
        <v>39169</v>
      </c>
      <c r="F2627" s="55" t="s">
        <v>344</v>
      </c>
      <c r="G2627" s="55" t="s">
        <v>360</v>
      </c>
      <c r="H2627" s="55" t="s">
        <v>360</v>
      </c>
      <c r="I2627" s="55" t="s">
        <v>360</v>
      </c>
      <c r="J2627" s="55" t="s">
        <v>360</v>
      </c>
      <c r="K2627" s="55" t="s">
        <v>360</v>
      </c>
      <c r="L2627" s="55" t="s">
        <v>360</v>
      </c>
      <c r="M2627" s="55" t="s">
        <v>378</v>
      </c>
      <c r="N2627" s="55" t="s">
        <v>134</v>
      </c>
      <c r="O2627" s="55" t="s">
        <v>206</v>
      </c>
      <c r="P2627" s="55" t="s">
        <v>710</v>
      </c>
      <c r="Q2627" s="55" t="s">
        <v>380</v>
      </c>
      <c r="R2627" s="55">
        <v>6</v>
      </c>
      <c r="S2627" s="55"/>
      <c r="T2627" s="55" t="s">
        <v>3113</v>
      </c>
    </row>
    <row r="2628" spans="1:20" ht="13" x14ac:dyDescent="0.15">
      <c r="A2628" s="72" t="str">
        <f t="shared" si="40"/>
        <v>Ofsted Social Care Provider Webpage</v>
      </c>
      <c r="B2628" s="55" t="s">
        <v>4955</v>
      </c>
      <c r="D2628" s="55" t="s">
        <v>373</v>
      </c>
      <c r="E2628" s="74">
        <v>39246</v>
      </c>
      <c r="F2628" s="55" t="s">
        <v>344</v>
      </c>
      <c r="G2628" s="55" t="s">
        <v>360</v>
      </c>
      <c r="H2628" s="55" t="s">
        <v>360</v>
      </c>
      <c r="I2628" s="55" t="s">
        <v>360</v>
      </c>
      <c r="J2628" s="55" t="s">
        <v>360</v>
      </c>
      <c r="K2628" s="55" t="s">
        <v>360</v>
      </c>
      <c r="L2628" s="55" t="s">
        <v>360</v>
      </c>
      <c r="M2628" s="55" t="s">
        <v>172</v>
      </c>
      <c r="N2628" s="55" t="s">
        <v>172</v>
      </c>
      <c r="O2628" s="55" t="s">
        <v>234</v>
      </c>
      <c r="P2628" s="55" t="s">
        <v>965</v>
      </c>
      <c r="Q2628" s="55" t="s">
        <v>350</v>
      </c>
      <c r="R2628" s="55">
        <v>4</v>
      </c>
      <c r="S2628" s="55"/>
      <c r="T2628" s="55" t="s">
        <v>1105</v>
      </c>
    </row>
    <row r="2629" spans="1:20" ht="13" x14ac:dyDescent="0.15">
      <c r="A2629" s="72" t="str">
        <f t="shared" ref="A2629:A2692" si="41">HYPERLINK(_xlfn.CONCAT("http://reports.ofsted.gov.uk/inspection-reports/find-inspection-report/provider/CARE/",B2629),"Ofsted Social Care Provider Webpage")</f>
        <v>Ofsted Social Care Provider Webpage</v>
      </c>
      <c r="B2629" s="55" t="s">
        <v>4956</v>
      </c>
      <c r="D2629" s="55" t="s">
        <v>373</v>
      </c>
      <c r="E2629" s="74">
        <v>39168</v>
      </c>
      <c r="F2629" s="55" t="s">
        <v>344</v>
      </c>
      <c r="G2629" s="55" t="s">
        <v>360</v>
      </c>
      <c r="H2629" s="55" t="s">
        <v>360</v>
      </c>
      <c r="I2629" s="55" t="s">
        <v>360</v>
      </c>
      <c r="J2629" s="55" t="s">
        <v>360</v>
      </c>
      <c r="K2629" s="55" t="s">
        <v>360</v>
      </c>
      <c r="L2629" s="55" t="s">
        <v>360</v>
      </c>
      <c r="M2629" s="55" t="s">
        <v>144</v>
      </c>
      <c r="N2629" s="55" t="s">
        <v>144</v>
      </c>
      <c r="O2629" s="55" t="s">
        <v>263</v>
      </c>
      <c r="P2629" s="55" t="s">
        <v>1120</v>
      </c>
      <c r="Q2629" s="55" t="s">
        <v>350</v>
      </c>
      <c r="R2629" s="55">
        <v>3</v>
      </c>
      <c r="S2629" s="55"/>
      <c r="T2629" s="55" t="s">
        <v>1107</v>
      </c>
    </row>
    <row r="2630" spans="1:20" ht="13" x14ac:dyDescent="0.15">
      <c r="A2630" s="72" t="str">
        <f t="shared" si="41"/>
        <v>Ofsted Social Care Provider Webpage</v>
      </c>
      <c r="B2630" s="55" t="s">
        <v>4957</v>
      </c>
      <c r="D2630" s="55" t="s">
        <v>373</v>
      </c>
      <c r="E2630" s="74">
        <v>39503</v>
      </c>
      <c r="F2630" s="55" t="s">
        <v>344</v>
      </c>
      <c r="G2630" s="55" t="s">
        <v>360</v>
      </c>
      <c r="H2630" s="55" t="s">
        <v>360</v>
      </c>
      <c r="I2630" s="55" t="s">
        <v>360</v>
      </c>
      <c r="J2630" s="55" t="s">
        <v>360</v>
      </c>
      <c r="K2630" s="55" t="s">
        <v>360</v>
      </c>
      <c r="L2630" s="55" t="s">
        <v>360</v>
      </c>
      <c r="M2630" s="55" t="s">
        <v>144</v>
      </c>
      <c r="N2630" s="55" t="s">
        <v>144</v>
      </c>
      <c r="O2630" s="55" t="s">
        <v>143</v>
      </c>
      <c r="P2630" s="55" t="s">
        <v>650</v>
      </c>
      <c r="Q2630" s="55" t="s">
        <v>350</v>
      </c>
      <c r="R2630" s="55">
        <v>4</v>
      </c>
      <c r="S2630" s="55"/>
      <c r="T2630" s="55" t="s">
        <v>4958</v>
      </c>
    </row>
    <row r="2631" spans="1:20" ht="13" x14ac:dyDescent="0.15">
      <c r="A2631" s="72" t="str">
        <f t="shared" si="41"/>
        <v>Ofsted Social Care Provider Webpage</v>
      </c>
      <c r="B2631" s="55" t="s">
        <v>4959</v>
      </c>
      <c r="D2631" s="55" t="s">
        <v>373</v>
      </c>
      <c r="E2631" s="74">
        <v>39314</v>
      </c>
      <c r="F2631" s="55" t="s">
        <v>344</v>
      </c>
      <c r="G2631" s="55" t="s">
        <v>360</v>
      </c>
      <c r="H2631" s="55" t="s">
        <v>360</v>
      </c>
      <c r="I2631" s="55" t="s">
        <v>360</v>
      </c>
      <c r="J2631" s="55" t="s">
        <v>360</v>
      </c>
      <c r="K2631" s="55" t="s">
        <v>360</v>
      </c>
      <c r="L2631" s="55" t="s">
        <v>360</v>
      </c>
      <c r="M2631" s="55" t="s">
        <v>144</v>
      </c>
      <c r="N2631" s="55" t="s">
        <v>144</v>
      </c>
      <c r="O2631" s="55" t="s">
        <v>245</v>
      </c>
      <c r="P2631" s="55" t="s">
        <v>245</v>
      </c>
      <c r="Q2631" s="55" t="s">
        <v>350</v>
      </c>
      <c r="R2631" s="55">
        <v>1</v>
      </c>
      <c r="S2631" s="55"/>
      <c r="T2631" s="55" t="s">
        <v>711</v>
      </c>
    </row>
    <row r="2632" spans="1:20" ht="13" x14ac:dyDescent="0.15">
      <c r="A2632" s="72" t="str">
        <f t="shared" si="41"/>
        <v>Ofsted Social Care Provider Webpage</v>
      </c>
      <c r="B2632" s="55" t="s">
        <v>4960</v>
      </c>
      <c r="D2632" s="55" t="s">
        <v>389</v>
      </c>
      <c r="E2632" s="74">
        <v>39314</v>
      </c>
      <c r="F2632" s="55" t="s">
        <v>344</v>
      </c>
      <c r="G2632" s="55" t="s">
        <v>4961</v>
      </c>
      <c r="H2632" s="55" t="s">
        <v>4961</v>
      </c>
      <c r="I2632" s="55" t="s">
        <v>4962</v>
      </c>
      <c r="J2632" s="55" t="s">
        <v>4963</v>
      </c>
      <c r="K2632" s="55" t="s">
        <v>195</v>
      </c>
      <c r="L2632" s="55" t="s">
        <v>4964</v>
      </c>
      <c r="M2632" s="55" t="s">
        <v>142</v>
      </c>
      <c r="N2632" s="55" t="s">
        <v>142</v>
      </c>
      <c r="O2632" s="55" t="s">
        <v>195</v>
      </c>
      <c r="P2632" s="55" t="s">
        <v>518</v>
      </c>
      <c r="Q2632" s="55" t="s">
        <v>350</v>
      </c>
      <c r="R2632" s="55"/>
      <c r="S2632" s="55"/>
      <c r="T2632" s="55" t="s">
        <v>4961</v>
      </c>
    </row>
    <row r="2633" spans="1:20" ht="13" x14ac:dyDescent="0.15">
      <c r="A2633" s="72" t="str">
        <f t="shared" si="41"/>
        <v>Ofsted Social Care Provider Webpage</v>
      </c>
      <c r="B2633" s="55" t="s">
        <v>4965</v>
      </c>
      <c r="D2633" s="55" t="s">
        <v>373</v>
      </c>
      <c r="E2633" s="74">
        <v>39283</v>
      </c>
      <c r="F2633" s="55" t="s">
        <v>344</v>
      </c>
      <c r="G2633" s="55" t="s">
        <v>360</v>
      </c>
      <c r="H2633" s="55" t="s">
        <v>360</v>
      </c>
      <c r="I2633" s="55" t="s">
        <v>360</v>
      </c>
      <c r="J2633" s="55" t="s">
        <v>360</v>
      </c>
      <c r="K2633" s="55" t="s">
        <v>360</v>
      </c>
      <c r="L2633" s="55" t="s">
        <v>360</v>
      </c>
      <c r="M2633" s="55" t="s">
        <v>144</v>
      </c>
      <c r="N2633" s="55" t="s">
        <v>144</v>
      </c>
      <c r="O2633" s="55" t="s">
        <v>271</v>
      </c>
      <c r="P2633" s="55" t="s">
        <v>870</v>
      </c>
      <c r="Q2633" s="55" t="s">
        <v>380</v>
      </c>
      <c r="R2633" s="55">
        <v>3</v>
      </c>
      <c r="S2633" s="55"/>
      <c r="T2633" s="55" t="s">
        <v>1121</v>
      </c>
    </row>
    <row r="2634" spans="1:20" ht="13" x14ac:dyDescent="0.15">
      <c r="A2634" s="72" t="str">
        <f t="shared" si="41"/>
        <v>Ofsted Social Care Provider Webpage</v>
      </c>
      <c r="B2634" s="55" t="s">
        <v>4966</v>
      </c>
      <c r="D2634" s="55" t="s">
        <v>373</v>
      </c>
      <c r="E2634" s="74">
        <v>39328</v>
      </c>
      <c r="F2634" s="55" t="s">
        <v>344</v>
      </c>
      <c r="G2634" s="55" t="s">
        <v>360</v>
      </c>
      <c r="H2634" s="55" t="s">
        <v>360</v>
      </c>
      <c r="I2634" s="55" t="s">
        <v>360</v>
      </c>
      <c r="J2634" s="55" t="s">
        <v>360</v>
      </c>
      <c r="K2634" s="55" t="s">
        <v>360</v>
      </c>
      <c r="L2634" s="55" t="s">
        <v>360</v>
      </c>
      <c r="M2634" s="55" t="s">
        <v>150</v>
      </c>
      <c r="N2634" s="55" t="s">
        <v>150</v>
      </c>
      <c r="O2634" s="55" t="s">
        <v>203</v>
      </c>
      <c r="P2634" s="55" t="s">
        <v>800</v>
      </c>
      <c r="Q2634" s="55" t="s">
        <v>350</v>
      </c>
      <c r="R2634" s="55">
        <v>4</v>
      </c>
      <c r="S2634" s="55"/>
      <c r="T2634" s="55" t="s">
        <v>564</v>
      </c>
    </row>
    <row r="2635" spans="1:20" ht="13" x14ac:dyDescent="0.15">
      <c r="A2635" s="72" t="str">
        <f t="shared" si="41"/>
        <v>Ofsted Social Care Provider Webpage</v>
      </c>
      <c r="B2635" s="55" t="s">
        <v>4967</v>
      </c>
      <c r="D2635" s="55" t="s">
        <v>479</v>
      </c>
      <c r="E2635" s="74">
        <v>39955</v>
      </c>
      <c r="F2635" s="55" t="s">
        <v>344</v>
      </c>
      <c r="G2635" s="55" t="s">
        <v>360</v>
      </c>
      <c r="H2635" s="55" t="s">
        <v>360</v>
      </c>
      <c r="I2635" s="55" t="s">
        <v>360</v>
      </c>
      <c r="J2635" s="55" t="s">
        <v>360</v>
      </c>
      <c r="K2635" s="55" t="s">
        <v>360</v>
      </c>
      <c r="L2635" s="55" t="s">
        <v>360</v>
      </c>
      <c r="M2635" s="55" t="s">
        <v>172</v>
      </c>
      <c r="N2635" s="55" t="s">
        <v>172</v>
      </c>
      <c r="O2635" s="55" t="s">
        <v>173</v>
      </c>
      <c r="P2635" s="55" t="s">
        <v>1258</v>
      </c>
      <c r="Q2635" s="55" t="s">
        <v>350</v>
      </c>
      <c r="R2635" s="55">
        <v>32</v>
      </c>
      <c r="S2635" s="55"/>
      <c r="T2635" s="55" t="s">
        <v>4968</v>
      </c>
    </row>
    <row r="2636" spans="1:20" ht="13" x14ac:dyDescent="0.15">
      <c r="A2636" s="72" t="str">
        <f t="shared" si="41"/>
        <v>Ofsted Social Care Provider Webpage</v>
      </c>
      <c r="B2636" s="55" t="s">
        <v>4969</v>
      </c>
      <c r="D2636" s="55" t="s">
        <v>373</v>
      </c>
      <c r="E2636" s="74">
        <v>39167</v>
      </c>
      <c r="F2636" s="55" t="s">
        <v>344</v>
      </c>
      <c r="G2636" s="55" t="s">
        <v>360</v>
      </c>
      <c r="H2636" s="55" t="s">
        <v>360</v>
      </c>
      <c r="I2636" s="55" t="s">
        <v>360</v>
      </c>
      <c r="J2636" s="55" t="s">
        <v>360</v>
      </c>
      <c r="K2636" s="55" t="s">
        <v>360</v>
      </c>
      <c r="L2636" s="55" t="s">
        <v>360</v>
      </c>
      <c r="M2636" s="55" t="s">
        <v>378</v>
      </c>
      <c r="N2636" s="55" t="s">
        <v>134</v>
      </c>
      <c r="O2636" s="55" t="s">
        <v>158</v>
      </c>
      <c r="P2636" s="55" t="s">
        <v>912</v>
      </c>
      <c r="Q2636" s="55" t="s">
        <v>350</v>
      </c>
      <c r="R2636" s="55">
        <v>1</v>
      </c>
      <c r="S2636" s="55"/>
      <c r="T2636" s="55" t="s">
        <v>711</v>
      </c>
    </row>
    <row r="2637" spans="1:20" ht="13" x14ac:dyDescent="0.15">
      <c r="A2637" s="72" t="str">
        <f t="shared" si="41"/>
        <v>Ofsted Social Care Provider Webpage</v>
      </c>
      <c r="B2637" s="55" t="s">
        <v>4970</v>
      </c>
      <c r="D2637" s="55" t="s">
        <v>373</v>
      </c>
      <c r="E2637" s="74">
        <v>39267</v>
      </c>
      <c r="F2637" s="55" t="s">
        <v>344</v>
      </c>
      <c r="G2637" s="55" t="s">
        <v>360</v>
      </c>
      <c r="H2637" s="55" t="s">
        <v>360</v>
      </c>
      <c r="I2637" s="55" t="s">
        <v>360</v>
      </c>
      <c r="J2637" s="55" t="s">
        <v>360</v>
      </c>
      <c r="K2637" s="55" t="s">
        <v>360</v>
      </c>
      <c r="L2637" s="55" t="s">
        <v>360</v>
      </c>
      <c r="M2637" s="55" t="s">
        <v>142</v>
      </c>
      <c r="N2637" s="55" t="s">
        <v>142</v>
      </c>
      <c r="O2637" s="55" t="s">
        <v>265</v>
      </c>
      <c r="P2637" s="55" t="s">
        <v>1066</v>
      </c>
      <c r="Q2637" s="55" t="s">
        <v>350</v>
      </c>
      <c r="R2637" s="55">
        <v>1</v>
      </c>
      <c r="S2637" s="55"/>
      <c r="T2637" s="55" t="s">
        <v>1446</v>
      </c>
    </row>
    <row r="2638" spans="1:20" ht="13" x14ac:dyDescent="0.15">
      <c r="A2638" s="72" t="str">
        <f t="shared" si="41"/>
        <v>Ofsted Social Care Provider Webpage</v>
      </c>
      <c r="B2638" s="55" t="s">
        <v>4971</v>
      </c>
      <c r="D2638" s="55" t="s">
        <v>389</v>
      </c>
      <c r="E2638" s="74">
        <v>39360</v>
      </c>
      <c r="F2638" s="55" t="s">
        <v>344</v>
      </c>
      <c r="G2638" s="55" t="s">
        <v>3372</v>
      </c>
      <c r="H2638" s="55" t="s">
        <v>3066</v>
      </c>
      <c r="I2638" s="55" t="s">
        <v>4972</v>
      </c>
      <c r="J2638" s="55" t="s">
        <v>4828</v>
      </c>
      <c r="L2638" s="55" t="s">
        <v>4257</v>
      </c>
      <c r="M2638" s="55" t="s">
        <v>378</v>
      </c>
      <c r="N2638" s="55" t="s">
        <v>134</v>
      </c>
      <c r="O2638" s="55" t="s">
        <v>210</v>
      </c>
      <c r="P2638" s="55" t="s">
        <v>1250</v>
      </c>
      <c r="Q2638" s="55" t="s">
        <v>350</v>
      </c>
      <c r="R2638" s="55"/>
      <c r="S2638" s="55"/>
      <c r="T2638" s="55" t="s">
        <v>3372</v>
      </c>
    </row>
    <row r="2639" spans="1:20" ht="13" x14ac:dyDescent="0.15">
      <c r="A2639" s="72" t="str">
        <f t="shared" si="41"/>
        <v>Ofsted Social Care Provider Webpage</v>
      </c>
      <c r="B2639" s="55" t="s">
        <v>4973</v>
      </c>
      <c r="D2639" s="55" t="s">
        <v>443</v>
      </c>
      <c r="E2639" s="74">
        <v>39169</v>
      </c>
      <c r="F2639" s="55" t="s">
        <v>344</v>
      </c>
      <c r="G2639" s="55" t="s">
        <v>4974</v>
      </c>
      <c r="H2639" s="55" t="s">
        <v>4975</v>
      </c>
      <c r="I2639" s="55" t="s">
        <v>354</v>
      </c>
      <c r="J2639" s="55" t="s">
        <v>2578</v>
      </c>
      <c r="L2639" s="55" t="s">
        <v>4976</v>
      </c>
      <c r="M2639" s="55" t="s">
        <v>129</v>
      </c>
      <c r="N2639" s="55" t="s">
        <v>129</v>
      </c>
      <c r="O2639" s="55" t="s">
        <v>191</v>
      </c>
      <c r="P2639" s="55" t="s">
        <v>1224</v>
      </c>
      <c r="Q2639" s="55" t="s">
        <v>350</v>
      </c>
      <c r="R2639" s="55"/>
      <c r="S2639" s="55"/>
    </row>
    <row r="2640" spans="1:20" ht="13" x14ac:dyDescent="0.15">
      <c r="A2640" s="72" t="str">
        <f t="shared" si="41"/>
        <v>Ofsted Social Care Provider Webpage</v>
      </c>
      <c r="B2640" s="55" t="s">
        <v>4977</v>
      </c>
      <c r="D2640" s="55" t="s">
        <v>373</v>
      </c>
      <c r="E2640" s="74">
        <v>39171</v>
      </c>
      <c r="F2640" s="55" t="s">
        <v>344</v>
      </c>
      <c r="G2640" s="55" t="s">
        <v>360</v>
      </c>
      <c r="H2640" s="55" t="s">
        <v>360</v>
      </c>
      <c r="I2640" s="55" t="s">
        <v>360</v>
      </c>
      <c r="J2640" s="55" t="s">
        <v>360</v>
      </c>
      <c r="K2640" s="55" t="s">
        <v>360</v>
      </c>
      <c r="L2640" s="55" t="s">
        <v>360</v>
      </c>
      <c r="M2640" s="55" t="s">
        <v>142</v>
      </c>
      <c r="N2640" s="55" t="s">
        <v>142</v>
      </c>
      <c r="O2640" s="55" t="s">
        <v>292</v>
      </c>
      <c r="P2640" s="55" t="s">
        <v>1162</v>
      </c>
      <c r="Q2640" s="55" t="s">
        <v>350</v>
      </c>
      <c r="R2640" s="55">
        <v>4</v>
      </c>
      <c r="S2640" s="55"/>
      <c r="T2640" s="55" t="s">
        <v>385</v>
      </c>
    </row>
    <row r="2641" spans="1:20" ht="13" x14ac:dyDescent="0.15">
      <c r="A2641" s="72" t="str">
        <f t="shared" si="41"/>
        <v>Ofsted Social Care Provider Webpage</v>
      </c>
      <c r="B2641" s="55" t="s">
        <v>4978</v>
      </c>
      <c r="D2641" s="55" t="s">
        <v>373</v>
      </c>
      <c r="E2641" s="74">
        <v>39311</v>
      </c>
      <c r="F2641" s="55" t="s">
        <v>344</v>
      </c>
      <c r="G2641" s="55" t="s">
        <v>360</v>
      </c>
      <c r="H2641" s="55" t="s">
        <v>360</v>
      </c>
      <c r="I2641" s="55" t="s">
        <v>360</v>
      </c>
      <c r="J2641" s="55" t="s">
        <v>360</v>
      </c>
      <c r="K2641" s="55" t="s">
        <v>360</v>
      </c>
      <c r="L2641" s="55" t="s">
        <v>360</v>
      </c>
      <c r="M2641" s="55" t="s">
        <v>150</v>
      </c>
      <c r="N2641" s="55" t="s">
        <v>150</v>
      </c>
      <c r="O2641" s="55" t="s">
        <v>285</v>
      </c>
      <c r="P2641" s="55" t="s">
        <v>565</v>
      </c>
      <c r="Q2641" s="55" t="s">
        <v>350</v>
      </c>
      <c r="R2641" s="55">
        <v>3</v>
      </c>
      <c r="S2641" s="55"/>
      <c r="T2641" s="55" t="s">
        <v>931</v>
      </c>
    </row>
    <row r="2642" spans="1:20" ht="13" x14ac:dyDescent="0.15">
      <c r="A2642" s="72" t="str">
        <f t="shared" si="41"/>
        <v>Ofsted Social Care Provider Webpage</v>
      </c>
      <c r="B2642" s="55" t="s">
        <v>4979</v>
      </c>
      <c r="D2642" s="55" t="s">
        <v>373</v>
      </c>
      <c r="E2642" s="74">
        <v>39330</v>
      </c>
      <c r="F2642" s="55" t="s">
        <v>344</v>
      </c>
      <c r="G2642" s="55" t="s">
        <v>360</v>
      </c>
      <c r="H2642" s="55" t="s">
        <v>360</v>
      </c>
      <c r="I2642" s="55" t="s">
        <v>360</v>
      </c>
      <c r="J2642" s="55" t="s">
        <v>360</v>
      </c>
      <c r="K2642" s="55" t="s">
        <v>360</v>
      </c>
      <c r="L2642" s="55" t="s">
        <v>360</v>
      </c>
      <c r="M2642" s="55" t="s">
        <v>144</v>
      </c>
      <c r="N2642" s="55" t="s">
        <v>144</v>
      </c>
      <c r="O2642" s="55" t="s">
        <v>209</v>
      </c>
      <c r="P2642" s="55" t="s">
        <v>561</v>
      </c>
      <c r="Q2642" s="55" t="s">
        <v>380</v>
      </c>
      <c r="R2642" s="55">
        <v>6</v>
      </c>
      <c r="S2642" s="55"/>
      <c r="T2642" s="55" t="s">
        <v>657</v>
      </c>
    </row>
    <row r="2643" spans="1:20" ht="13" x14ac:dyDescent="0.15">
      <c r="A2643" s="72" t="str">
        <f t="shared" si="41"/>
        <v>Ofsted Social Care Provider Webpage</v>
      </c>
      <c r="B2643" s="55" t="s">
        <v>4980</v>
      </c>
      <c r="D2643" s="55" t="s">
        <v>373</v>
      </c>
      <c r="E2643" s="74">
        <v>39318</v>
      </c>
      <c r="F2643" s="55" t="s">
        <v>344</v>
      </c>
      <c r="G2643" s="55" t="s">
        <v>360</v>
      </c>
      <c r="H2643" s="55" t="s">
        <v>360</v>
      </c>
      <c r="I2643" s="55" t="s">
        <v>360</v>
      </c>
      <c r="J2643" s="55" t="s">
        <v>360</v>
      </c>
      <c r="K2643" s="55" t="s">
        <v>360</v>
      </c>
      <c r="L2643" s="55" t="s">
        <v>360</v>
      </c>
      <c r="M2643" s="55" t="s">
        <v>142</v>
      </c>
      <c r="N2643" s="55" t="s">
        <v>142</v>
      </c>
      <c r="O2643" s="55" t="s">
        <v>292</v>
      </c>
      <c r="P2643" s="55" t="s">
        <v>1052</v>
      </c>
      <c r="Q2643" s="55" t="s">
        <v>350</v>
      </c>
      <c r="R2643" s="55">
        <v>5</v>
      </c>
      <c r="S2643" s="55"/>
      <c r="T2643" s="55" t="s">
        <v>385</v>
      </c>
    </row>
    <row r="2644" spans="1:20" ht="13" x14ac:dyDescent="0.15">
      <c r="A2644" s="72" t="str">
        <f t="shared" si="41"/>
        <v>Ofsted Social Care Provider Webpage</v>
      </c>
      <c r="B2644" s="55" t="s">
        <v>4981</v>
      </c>
      <c r="D2644" s="55" t="s">
        <v>389</v>
      </c>
      <c r="E2644" s="74">
        <v>39363</v>
      </c>
      <c r="F2644" s="55" t="s">
        <v>344</v>
      </c>
      <c r="G2644" s="55" t="s">
        <v>4982</v>
      </c>
      <c r="H2644" s="55" t="s">
        <v>4983</v>
      </c>
      <c r="I2644" s="55" t="s">
        <v>4984</v>
      </c>
      <c r="J2644" s="55" t="s">
        <v>4985</v>
      </c>
      <c r="K2644" s="55" t="s">
        <v>288</v>
      </c>
      <c r="L2644" s="55" t="s">
        <v>4986</v>
      </c>
      <c r="M2644" s="55" t="s">
        <v>136</v>
      </c>
      <c r="N2644" s="55" t="s">
        <v>136</v>
      </c>
      <c r="O2644" s="55" t="s">
        <v>288</v>
      </c>
      <c r="P2644" s="55" t="s">
        <v>1388</v>
      </c>
      <c r="Q2644" s="55" t="s">
        <v>350</v>
      </c>
      <c r="R2644" s="55"/>
      <c r="S2644" s="55"/>
      <c r="T2644" s="55" t="s">
        <v>4987</v>
      </c>
    </row>
    <row r="2645" spans="1:20" ht="13" x14ac:dyDescent="0.15">
      <c r="A2645" s="72" t="str">
        <f t="shared" si="41"/>
        <v>Ofsted Social Care Provider Webpage</v>
      </c>
      <c r="B2645" s="55" t="s">
        <v>4988</v>
      </c>
      <c r="D2645" s="55" t="s">
        <v>389</v>
      </c>
      <c r="E2645" s="74">
        <v>39164</v>
      </c>
      <c r="F2645" s="55" t="s">
        <v>344</v>
      </c>
      <c r="G2645" s="55" t="s">
        <v>4989</v>
      </c>
      <c r="H2645" s="55" t="s">
        <v>4990</v>
      </c>
      <c r="I2645" s="55" t="s">
        <v>4991</v>
      </c>
      <c r="J2645" s="55" t="s">
        <v>1060</v>
      </c>
      <c r="L2645" s="55" t="s">
        <v>4992</v>
      </c>
      <c r="M2645" s="55" t="s">
        <v>142</v>
      </c>
      <c r="N2645" s="55" t="s">
        <v>142</v>
      </c>
      <c r="O2645" s="55" t="s">
        <v>293</v>
      </c>
      <c r="P2645" s="55" t="s">
        <v>1060</v>
      </c>
      <c r="Q2645" s="55" t="s">
        <v>350</v>
      </c>
      <c r="R2645" s="55"/>
      <c r="S2645" s="55"/>
      <c r="T2645" s="55" t="s">
        <v>4993</v>
      </c>
    </row>
    <row r="2646" spans="1:20" ht="13" x14ac:dyDescent="0.15">
      <c r="A2646" s="72" t="str">
        <f t="shared" si="41"/>
        <v>Ofsted Social Care Provider Webpage</v>
      </c>
      <c r="B2646" s="55" t="s">
        <v>4994</v>
      </c>
      <c r="D2646" s="55" t="s">
        <v>373</v>
      </c>
      <c r="E2646" s="74">
        <v>39352</v>
      </c>
      <c r="F2646" s="55" t="s">
        <v>344</v>
      </c>
      <c r="G2646" s="55" t="s">
        <v>360</v>
      </c>
      <c r="H2646" s="55" t="s">
        <v>360</v>
      </c>
      <c r="I2646" s="55" t="s">
        <v>360</v>
      </c>
      <c r="J2646" s="55" t="s">
        <v>360</v>
      </c>
      <c r="K2646" s="55" t="s">
        <v>360</v>
      </c>
      <c r="L2646" s="55" t="s">
        <v>360</v>
      </c>
      <c r="M2646" s="55" t="s">
        <v>144</v>
      </c>
      <c r="N2646" s="55" t="s">
        <v>144</v>
      </c>
      <c r="O2646" s="55" t="s">
        <v>143</v>
      </c>
      <c r="P2646" s="55" t="s">
        <v>2439</v>
      </c>
      <c r="Q2646" s="55" t="s">
        <v>380</v>
      </c>
      <c r="R2646" s="55">
        <v>5</v>
      </c>
      <c r="S2646" s="55"/>
      <c r="T2646" s="55" t="s">
        <v>3746</v>
      </c>
    </row>
    <row r="2647" spans="1:20" ht="13" x14ac:dyDescent="0.15">
      <c r="A2647" s="72" t="str">
        <f t="shared" si="41"/>
        <v>Ofsted Social Care Provider Webpage</v>
      </c>
      <c r="B2647" s="55" t="s">
        <v>4995</v>
      </c>
      <c r="D2647" s="55" t="s">
        <v>373</v>
      </c>
      <c r="E2647" s="74">
        <v>39388</v>
      </c>
      <c r="F2647" s="55" t="s">
        <v>344</v>
      </c>
      <c r="G2647" s="55" t="s">
        <v>360</v>
      </c>
      <c r="H2647" s="55" t="s">
        <v>360</v>
      </c>
      <c r="I2647" s="55" t="s">
        <v>360</v>
      </c>
      <c r="J2647" s="55" t="s">
        <v>360</v>
      </c>
      <c r="K2647" s="55" t="s">
        <v>360</v>
      </c>
      <c r="L2647" s="55" t="s">
        <v>360</v>
      </c>
      <c r="M2647" s="55" t="s">
        <v>150</v>
      </c>
      <c r="N2647" s="55" t="s">
        <v>150</v>
      </c>
      <c r="O2647" s="55" t="s">
        <v>203</v>
      </c>
      <c r="P2647" s="55" t="s">
        <v>3559</v>
      </c>
      <c r="Q2647" s="55" t="s">
        <v>350</v>
      </c>
      <c r="R2647" s="55">
        <v>5</v>
      </c>
      <c r="S2647" s="55"/>
      <c r="T2647" s="55" t="s">
        <v>4996</v>
      </c>
    </row>
    <row r="2648" spans="1:20" ht="13" x14ac:dyDescent="0.15">
      <c r="A2648" s="72" t="str">
        <f t="shared" si="41"/>
        <v>Ofsted Social Care Provider Webpage</v>
      </c>
      <c r="B2648" s="55" t="s">
        <v>4997</v>
      </c>
      <c r="D2648" s="55" t="s">
        <v>373</v>
      </c>
      <c r="E2648" s="74">
        <v>39316</v>
      </c>
      <c r="F2648" s="55" t="s">
        <v>344</v>
      </c>
      <c r="G2648" s="55" t="s">
        <v>360</v>
      </c>
      <c r="H2648" s="55" t="s">
        <v>360</v>
      </c>
      <c r="I2648" s="55" t="s">
        <v>360</v>
      </c>
      <c r="J2648" s="55" t="s">
        <v>360</v>
      </c>
      <c r="K2648" s="55" t="s">
        <v>360</v>
      </c>
      <c r="L2648" s="55" t="s">
        <v>360</v>
      </c>
      <c r="M2648" s="55" t="s">
        <v>142</v>
      </c>
      <c r="N2648" s="55" t="s">
        <v>142</v>
      </c>
      <c r="O2648" s="55" t="s">
        <v>252</v>
      </c>
      <c r="P2648" s="55" t="s">
        <v>503</v>
      </c>
      <c r="Q2648" s="55" t="s">
        <v>350</v>
      </c>
      <c r="R2648" s="55">
        <v>8</v>
      </c>
      <c r="S2648" s="55"/>
      <c r="T2648" s="55" t="s">
        <v>4998</v>
      </c>
    </row>
    <row r="2649" spans="1:20" ht="13" x14ac:dyDescent="0.15">
      <c r="A2649" s="72" t="str">
        <f t="shared" si="41"/>
        <v>Ofsted Social Care Provider Webpage</v>
      </c>
      <c r="B2649" s="55" t="s">
        <v>4999</v>
      </c>
      <c r="D2649" s="55" t="s">
        <v>373</v>
      </c>
      <c r="E2649" s="74">
        <v>39360</v>
      </c>
      <c r="F2649" s="55" t="s">
        <v>344</v>
      </c>
      <c r="G2649" s="55" t="s">
        <v>360</v>
      </c>
      <c r="H2649" s="55" t="s">
        <v>360</v>
      </c>
      <c r="I2649" s="55" t="s">
        <v>360</v>
      </c>
      <c r="J2649" s="55" t="s">
        <v>360</v>
      </c>
      <c r="K2649" s="55" t="s">
        <v>360</v>
      </c>
      <c r="L2649" s="55" t="s">
        <v>360</v>
      </c>
      <c r="M2649" s="55" t="s">
        <v>138</v>
      </c>
      <c r="N2649" s="55" t="s">
        <v>138</v>
      </c>
      <c r="O2649" s="55" t="s">
        <v>224</v>
      </c>
      <c r="P2649" s="55" t="s">
        <v>1552</v>
      </c>
      <c r="Q2649" s="55" t="s">
        <v>350</v>
      </c>
      <c r="R2649" s="55">
        <v>5</v>
      </c>
      <c r="S2649" s="55"/>
      <c r="T2649" s="55" t="s">
        <v>1124</v>
      </c>
    </row>
    <row r="2650" spans="1:20" ht="13" x14ac:dyDescent="0.15">
      <c r="A2650" s="72" t="str">
        <f t="shared" si="41"/>
        <v>Ofsted Social Care Provider Webpage</v>
      </c>
      <c r="B2650" s="55" t="s">
        <v>5000</v>
      </c>
      <c r="D2650" s="55" t="s">
        <v>373</v>
      </c>
      <c r="E2650" s="74">
        <v>39360</v>
      </c>
      <c r="F2650" s="55" t="s">
        <v>344</v>
      </c>
      <c r="G2650" s="55" t="s">
        <v>360</v>
      </c>
      <c r="H2650" s="55" t="s">
        <v>360</v>
      </c>
      <c r="I2650" s="55" t="s">
        <v>360</v>
      </c>
      <c r="J2650" s="55" t="s">
        <v>360</v>
      </c>
      <c r="K2650" s="55" t="s">
        <v>360</v>
      </c>
      <c r="L2650" s="55" t="s">
        <v>360</v>
      </c>
      <c r="M2650" s="55" t="s">
        <v>136</v>
      </c>
      <c r="N2650" s="55" t="s">
        <v>136</v>
      </c>
      <c r="O2650" s="55" t="s">
        <v>165</v>
      </c>
      <c r="P2650" s="55" t="s">
        <v>699</v>
      </c>
      <c r="Q2650" s="55" t="s">
        <v>380</v>
      </c>
      <c r="R2650" s="55">
        <v>6</v>
      </c>
      <c r="S2650" s="55"/>
      <c r="T2650" s="55" t="s">
        <v>2120</v>
      </c>
    </row>
    <row r="2651" spans="1:20" ht="13" x14ac:dyDescent="0.15">
      <c r="A2651" s="72" t="str">
        <f t="shared" si="41"/>
        <v>Ofsted Social Care Provider Webpage</v>
      </c>
      <c r="B2651" s="55" t="s">
        <v>5001</v>
      </c>
      <c r="D2651" s="55" t="s">
        <v>373</v>
      </c>
      <c r="E2651" s="74">
        <v>39344</v>
      </c>
      <c r="F2651" s="55" t="s">
        <v>344</v>
      </c>
      <c r="G2651" s="55" t="s">
        <v>360</v>
      </c>
      <c r="H2651" s="55" t="s">
        <v>360</v>
      </c>
      <c r="I2651" s="55" t="s">
        <v>360</v>
      </c>
      <c r="J2651" s="55" t="s">
        <v>360</v>
      </c>
      <c r="K2651" s="55" t="s">
        <v>360</v>
      </c>
      <c r="L2651" s="55" t="s">
        <v>360</v>
      </c>
      <c r="M2651" s="55" t="s">
        <v>144</v>
      </c>
      <c r="N2651" s="55" t="s">
        <v>144</v>
      </c>
      <c r="O2651" s="55" t="s">
        <v>245</v>
      </c>
      <c r="P2651" s="55" t="s">
        <v>1796</v>
      </c>
      <c r="Q2651" s="55" t="s">
        <v>350</v>
      </c>
      <c r="R2651" s="55">
        <v>3</v>
      </c>
      <c r="S2651" s="55"/>
      <c r="T2651" s="55" t="s">
        <v>613</v>
      </c>
    </row>
    <row r="2652" spans="1:20" ht="13" x14ac:dyDescent="0.15">
      <c r="A2652" s="72" t="str">
        <f t="shared" si="41"/>
        <v>Ofsted Social Care Provider Webpage</v>
      </c>
      <c r="B2652" s="55" t="s">
        <v>5002</v>
      </c>
      <c r="D2652" s="55" t="s">
        <v>373</v>
      </c>
      <c r="E2652" s="74">
        <v>39405</v>
      </c>
      <c r="F2652" s="55" t="s">
        <v>344</v>
      </c>
      <c r="G2652" s="55" t="s">
        <v>360</v>
      </c>
      <c r="H2652" s="55" t="s">
        <v>360</v>
      </c>
      <c r="I2652" s="55" t="s">
        <v>360</v>
      </c>
      <c r="J2652" s="55" t="s">
        <v>360</v>
      </c>
      <c r="K2652" s="55" t="s">
        <v>360</v>
      </c>
      <c r="L2652" s="55" t="s">
        <v>360</v>
      </c>
      <c r="M2652" s="55" t="s">
        <v>142</v>
      </c>
      <c r="N2652" s="55" t="s">
        <v>142</v>
      </c>
      <c r="O2652" s="55" t="s">
        <v>252</v>
      </c>
      <c r="P2652" s="55" t="s">
        <v>388</v>
      </c>
      <c r="Q2652" s="55" t="s">
        <v>350</v>
      </c>
      <c r="R2652" s="55">
        <v>2</v>
      </c>
      <c r="S2652" s="55"/>
      <c r="T2652" s="55" t="s">
        <v>1182</v>
      </c>
    </row>
    <row r="2653" spans="1:20" ht="13" x14ac:dyDescent="0.15">
      <c r="A2653" s="72" t="str">
        <f t="shared" si="41"/>
        <v>Ofsted Social Care Provider Webpage</v>
      </c>
      <c r="B2653" s="55" t="s">
        <v>5003</v>
      </c>
      <c r="D2653" s="55" t="s">
        <v>373</v>
      </c>
      <c r="E2653" s="74">
        <v>39464</v>
      </c>
      <c r="F2653" s="55" t="s">
        <v>344</v>
      </c>
      <c r="G2653" s="55" t="s">
        <v>360</v>
      </c>
      <c r="H2653" s="55" t="s">
        <v>360</v>
      </c>
      <c r="I2653" s="55" t="s">
        <v>360</v>
      </c>
      <c r="J2653" s="55" t="s">
        <v>360</v>
      </c>
      <c r="K2653" s="55" t="s">
        <v>360</v>
      </c>
      <c r="L2653" s="55" t="s">
        <v>360</v>
      </c>
      <c r="M2653" s="55" t="s">
        <v>142</v>
      </c>
      <c r="N2653" s="55" t="s">
        <v>142</v>
      </c>
      <c r="O2653" s="55" t="s">
        <v>265</v>
      </c>
      <c r="P2653" s="55" t="s">
        <v>540</v>
      </c>
      <c r="Q2653" s="55" t="s">
        <v>350</v>
      </c>
      <c r="R2653" s="55">
        <v>3</v>
      </c>
      <c r="S2653" s="55"/>
      <c r="T2653" s="55" t="s">
        <v>910</v>
      </c>
    </row>
    <row r="2654" spans="1:20" ht="13" x14ac:dyDescent="0.15">
      <c r="A2654" s="72" t="str">
        <f t="shared" si="41"/>
        <v>Ofsted Social Care Provider Webpage</v>
      </c>
      <c r="B2654" s="55" t="s">
        <v>5004</v>
      </c>
      <c r="D2654" s="55" t="s">
        <v>373</v>
      </c>
      <c r="E2654" s="74">
        <v>39414</v>
      </c>
      <c r="F2654" s="55" t="s">
        <v>344</v>
      </c>
      <c r="G2654" s="55" t="s">
        <v>360</v>
      </c>
      <c r="H2654" s="55" t="s">
        <v>360</v>
      </c>
      <c r="I2654" s="55" t="s">
        <v>360</v>
      </c>
      <c r="J2654" s="55" t="s">
        <v>360</v>
      </c>
      <c r="K2654" s="55" t="s">
        <v>360</v>
      </c>
      <c r="L2654" s="55" t="s">
        <v>360</v>
      </c>
      <c r="M2654" s="55" t="s">
        <v>136</v>
      </c>
      <c r="N2654" s="55" t="s">
        <v>136</v>
      </c>
      <c r="O2654" s="55" t="s">
        <v>176</v>
      </c>
      <c r="P2654" s="55" t="s">
        <v>526</v>
      </c>
      <c r="Q2654" s="55" t="s">
        <v>350</v>
      </c>
      <c r="R2654" s="55">
        <v>1</v>
      </c>
      <c r="S2654" s="55"/>
      <c r="T2654" s="55" t="s">
        <v>2197</v>
      </c>
    </row>
    <row r="2655" spans="1:20" ht="13" x14ac:dyDescent="0.15">
      <c r="A2655" s="72" t="str">
        <f t="shared" si="41"/>
        <v>Ofsted Social Care Provider Webpage</v>
      </c>
      <c r="B2655" s="55" t="s">
        <v>5005</v>
      </c>
      <c r="C2655" s="55">
        <v>135419</v>
      </c>
      <c r="D2655" s="55" t="s">
        <v>413</v>
      </c>
      <c r="E2655" s="74">
        <v>39324</v>
      </c>
      <c r="F2655" s="55" t="s">
        <v>344</v>
      </c>
      <c r="G2655" s="55" t="s">
        <v>5006</v>
      </c>
      <c r="H2655" s="55" t="s">
        <v>5007</v>
      </c>
      <c r="I2655" s="55" t="s">
        <v>5008</v>
      </c>
      <c r="J2655" s="55" t="s">
        <v>5009</v>
      </c>
      <c r="K2655" s="55" t="s">
        <v>268</v>
      </c>
      <c r="L2655" s="55" t="s">
        <v>5010</v>
      </c>
      <c r="M2655" s="55" t="s">
        <v>150</v>
      </c>
      <c r="N2655" s="55" t="s">
        <v>150</v>
      </c>
      <c r="O2655" s="55" t="s">
        <v>268</v>
      </c>
      <c r="P2655" s="55" t="s">
        <v>2653</v>
      </c>
      <c r="Q2655" s="55" t="s">
        <v>350</v>
      </c>
      <c r="R2655" s="55">
        <v>15</v>
      </c>
      <c r="S2655" s="55"/>
      <c r="T2655" s="55" t="s">
        <v>450</v>
      </c>
    </row>
    <row r="2656" spans="1:20" ht="13" x14ac:dyDescent="0.15">
      <c r="A2656" s="72" t="str">
        <f t="shared" si="41"/>
        <v>Ofsted Social Care Provider Webpage</v>
      </c>
      <c r="B2656" s="55" t="s">
        <v>5011</v>
      </c>
      <c r="D2656" s="55" t="s">
        <v>373</v>
      </c>
      <c r="E2656" s="74">
        <v>39456</v>
      </c>
      <c r="F2656" s="55" t="s">
        <v>344</v>
      </c>
      <c r="G2656" s="55" t="s">
        <v>360</v>
      </c>
      <c r="H2656" s="55" t="s">
        <v>360</v>
      </c>
      <c r="I2656" s="55" t="s">
        <v>360</v>
      </c>
      <c r="J2656" s="55" t="s">
        <v>360</v>
      </c>
      <c r="K2656" s="55" t="s">
        <v>360</v>
      </c>
      <c r="L2656" s="55" t="s">
        <v>360</v>
      </c>
      <c r="M2656" s="55" t="s">
        <v>150</v>
      </c>
      <c r="N2656" s="55" t="s">
        <v>150</v>
      </c>
      <c r="O2656" s="55" t="s">
        <v>190</v>
      </c>
      <c r="P2656" s="55" t="s">
        <v>749</v>
      </c>
      <c r="Q2656" s="55" t="s">
        <v>350</v>
      </c>
      <c r="R2656" s="55">
        <v>3</v>
      </c>
      <c r="S2656" s="55"/>
      <c r="T2656" s="55" t="s">
        <v>888</v>
      </c>
    </row>
    <row r="2657" spans="1:20" ht="13" x14ac:dyDescent="0.15">
      <c r="A2657" s="72" t="str">
        <f t="shared" si="41"/>
        <v>Ofsted Social Care Provider Webpage</v>
      </c>
      <c r="B2657" s="55" t="s">
        <v>5012</v>
      </c>
      <c r="D2657" s="55" t="s">
        <v>373</v>
      </c>
      <c r="E2657" s="74">
        <v>39332</v>
      </c>
      <c r="F2657" s="55" t="s">
        <v>344</v>
      </c>
      <c r="G2657" s="55" t="s">
        <v>360</v>
      </c>
      <c r="H2657" s="55" t="s">
        <v>360</v>
      </c>
      <c r="I2657" s="55" t="s">
        <v>360</v>
      </c>
      <c r="J2657" s="55" t="s">
        <v>360</v>
      </c>
      <c r="K2657" s="55" t="s">
        <v>360</v>
      </c>
      <c r="L2657" s="55" t="s">
        <v>360</v>
      </c>
      <c r="M2657" s="55" t="s">
        <v>172</v>
      </c>
      <c r="N2657" s="55" t="s">
        <v>172</v>
      </c>
      <c r="O2657" s="55" t="s">
        <v>235</v>
      </c>
      <c r="P2657" s="55" t="s">
        <v>855</v>
      </c>
      <c r="Q2657" s="55" t="s">
        <v>350</v>
      </c>
      <c r="R2657" s="55">
        <v>4</v>
      </c>
      <c r="S2657" s="55"/>
      <c r="T2657" s="55" t="s">
        <v>789</v>
      </c>
    </row>
    <row r="2658" spans="1:20" ht="13" x14ac:dyDescent="0.15">
      <c r="A2658" s="72" t="str">
        <f t="shared" si="41"/>
        <v>Ofsted Social Care Provider Webpage</v>
      </c>
      <c r="B2658" s="55" t="s">
        <v>5013</v>
      </c>
      <c r="D2658" s="55" t="s">
        <v>373</v>
      </c>
      <c r="E2658" s="74">
        <v>39335</v>
      </c>
      <c r="F2658" s="55" t="s">
        <v>344</v>
      </c>
      <c r="G2658" s="55" t="s">
        <v>360</v>
      </c>
      <c r="H2658" s="55" t="s">
        <v>360</v>
      </c>
      <c r="I2658" s="55" t="s">
        <v>360</v>
      </c>
      <c r="J2658" s="55" t="s">
        <v>360</v>
      </c>
      <c r="K2658" s="55" t="s">
        <v>360</v>
      </c>
      <c r="L2658" s="55" t="s">
        <v>360</v>
      </c>
      <c r="M2658" s="55" t="s">
        <v>136</v>
      </c>
      <c r="N2658" s="55" t="s">
        <v>136</v>
      </c>
      <c r="O2658" s="55" t="s">
        <v>255</v>
      </c>
      <c r="P2658" s="55" t="s">
        <v>583</v>
      </c>
      <c r="Q2658" s="55" t="s">
        <v>350</v>
      </c>
      <c r="R2658" s="55">
        <v>3</v>
      </c>
      <c r="S2658" s="55"/>
      <c r="T2658" s="55" t="s">
        <v>789</v>
      </c>
    </row>
    <row r="2659" spans="1:20" ht="13" x14ac:dyDescent="0.15">
      <c r="A2659" s="72" t="str">
        <f t="shared" si="41"/>
        <v>Ofsted Social Care Provider Webpage</v>
      </c>
      <c r="B2659" s="55" t="s">
        <v>5014</v>
      </c>
      <c r="D2659" s="55" t="s">
        <v>373</v>
      </c>
      <c r="E2659" s="74">
        <v>39476</v>
      </c>
      <c r="F2659" s="55" t="s">
        <v>344</v>
      </c>
      <c r="G2659" s="55" t="s">
        <v>360</v>
      </c>
      <c r="H2659" s="55" t="s">
        <v>360</v>
      </c>
      <c r="I2659" s="55" t="s">
        <v>360</v>
      </c>
      <c r="J2659" s="55" t="s">
        <v>360</v>
      </c>
      <c r="K2659" s="55" t="s">
        <v>360</v>
      </c>
      <c r="L2659" s="55" t="s">
        <v>360</v>
      </c>
      <c r="M2659" s="55" t="s">
        <v>144</v>
      </c>
      <c r="N2659" s="55" t="s">
        <v>144</v>
      </c>
      <c r="O2659" s="55" t="s">
        <v>145</v>
      </c>
      <c r="P2659" s="55" t="s">
        <v>484</v>
      </c>
      <c r="Q2659" s="55" t="s">
        <v>350</v>
      </c>
      <c r="R2659" s="55">
        <v>4</v>
      </c>
      <c r="S2659" s="55"/>
      <c r="T2659" s="55" t="s">
        <v>485</v>
      </c>
    </row>
    <row r="2660" spans="1:20" ht="13" x14ac:dyDescent="0.15">
      <c r="A2660" s="72" t="str">
        <f t="shared" si="41"/>
        <v>Ofsted Social Care Provider Webpage</v>
      </c>
      <c r="B2660" s="55" t="s">
        <v>5015</v>
      </c>
      <c r="D2660" s="55" t="s">
        <v>373</v>
      </c>
      <c r="E2660" s="74">
        <v>39365</v>
      </c>
      <c r="F2660" s="55" t="s">
        <v>344</v>
      </c>
      <c r="G2660" s="55" t="s">
        <v>360</v>
      </c>
      <c r="H2660" s="55" t="s">
        <v>360</v>
      </c>
      <c r="I2660" s="55" t="s">
        <v>360</v>
      </c>
      <c r="J2660" s="55" t="s">
        <v>360</v>
      </c>
      <c r="K2660" s="55" t="s">
        <v>360</v>
      </c>
      <c r="L2660" s="55" t="s">
        <v>360</v>
      </c>
      <c r="M2660" s="55" t="s">
        <v>172</v>
      </c>
      <c r="N2660" s="55" t="s">
        <v>172</v>
      </c>
      <c r="O2660" s="55" t="s">
        <v>214</v>
      </c>
      <c r="P2660" s="55" t="s">
        <v>790</v>
      </c>
      <c r="Q2660" s="55" t="s">
        <v>350</v>
      </c>
      <c r="R2660" s="55">
        <v>4</v>
      </c>
      <c r="S2660" s="55"/>
      <c r="T2660" s="55" t="s">
        <v>789</v>
      </c>
    </row>
    <row r="2661" spans="1:20" ht="13" x14ac:dyDescent="0.15">
      <c r="A2661" s="72" t="str">
        <f t="shared" si="41"/>
        <v>Ofsted Social Care Provider Webpage</v>
      </c>
      <c r="B2661" s="55" t="s">
        <v>5016</v>
      </c>
      <c r="D2661" s="55" t="s">
        <v>373</v>
      </c>
      <c r="E2661" s="74">
        <v>39335</v>
      </c>
      <c r="F2661" s="55" t="s">
        <v>344</v>
      </c>
      <c r="G2661" s="55" t="s">
        <v>360</v>
      </c>
      <c r="H2661" s="55" t="s">
        <v>360</v>
      </c>
      <c r="I2661" s="55" t="s">
        <v>360</v>
      </c>
      <c r="J2661" s="55" t="s">
        <v>360</v>
      </c>
      <c r="K2661" s="55" t="s">
        <v>360</v>
      </c>
      <c r="L2661" s="55" t="s">
        <v>360</v>
      </c>
      <c r="M2661" s="55" t="s">
        <v>172</v>
      </c>
      <c r="N2661" s="55" t="s">
        <v>172</v>
      </c>
      <c r="O2661" s="55" t="s">
        <v>214</v>
      </c>
      <c r="P2661" s="55" t="s">
        <v>790</v>
      </c>
      <c r="Q2661" s="55" t="s">
        <v>350</v>
      </c>
      <c r="R2661" s="55">
        <v>3</v>
      </c>
      <c r="S2661" s="55"/>
      <c r="T2661" s="55" t="s">
        <v>789</v>
      </c>
    </row>
    <row r="2662" spans="1:20" ht="13" x14ac:dyDescent="0.15">
      <c r="A2662" s="72" t="str">
        <f t="shared" si="41"/>
        <v>Ofsted Social Care Provider Webpage</v>
      </c>
      <c r="B2662" s="55" t="s">
        <v>5017</v>
      </c>
      <c r="D2662" s="55" t="s">
        <v>389</v>
      </c>
      <c r="E2662" s="74">
        <v>39472</v>
      </c>
      <c r="F2662" s="55" t="s">
        <v>344</v>
      </c>
      <c r="G2662" s="55" t="s">
        <v>5018</v>
      </c>
      <c r="H2662" s="55" t="s">
        <v>5019</v>
      </c>
      <c r="I2662" s="55" t="s">
        <v>5020</v>
      </c>
      <c r="J2662" s="55" t="s">
        <v>1038</v>
      </c>
      <c r="L2662" s="55" t="s">
        <v>5021</v>
      </c>
      <c r="M2662" s="55" t="s">
        <v>150</v>
      </c>
      <c r="N2662" s="55" t="s">
        <v>150</v>
      </c>
      <c r="O2662" s="55" t="s">
        <v>203</v>
      </c>
      <c r="P2662" s="55" t="s">
        <v>1038</v>
      </c>
      <c r="Q2662" s="55" t="s">
        <v>350</v>
      </c>
      <c r="R2662" s="55"/>
      <c r="S2662" s="55"/>
      <c r="T2662" s="55" t="s">
        <v>5022</v>
      </c>
    </row>
    <row r="2663" spans="1:20" ht="13" x14ac:dyDescent="0.15">
      <c r="A2663" s="72" t="str">
        <f t="shared" si="41"/>
        <v>Ofsted Social Care Provider Webpage</v>
      </c>
      <c r="B2663" s="55" t="s">
        <v>5023</v>
      </c>
      <c r="D2663" s="55" t="s">
        <v>373</v>
      </c>
      <c r="E2663" s="74">
        <v>39472</v>
      </c>
      <c r="F2663" s="55" t="s">
        <v>344</v>
      </c>
      <c r="G2663" s="55" t="s">
        <v>360</v>
      </c>
      <c r="H2663" s="55" t="s">
        <v>360</v>
      </c>
      <c r="I2663" s="55" t="s">
        <v>360</v>
      </c>
      <c r="J2663" s="55" t="s">
        <v>360</v>
      </c>
      <c r="K2663" s="55" t="s">
        <v>360</v>
      </c>
      <c r="L2663" s="55" t="s">
        <v>360</v>
      </c>
      <c r="M2663" s="55" t="s">
        <v>378</v>
      </c>
      <c r="N2663" s="55" t="s">
        <v>134</v>
      </c>
      <c r="O2663" s="55" t="s">
        <v>133</v>
      </c>
      <c r="P2663" s="55" t="s">
        <v>2789</v>
      </c>
      <c r="Q2663" s="55" t="s">
        <v>350</v>
      </c>
      <c r="R2663" s="55">
        <v>3</v>
      </c>
      <c r="S2663" s="55"/>
      <c r="T2663" s="55" t="s">
        <v>2811</v>
      </c>
    </row>
    <row r="2664" spans="1:20" ht="13" x14ac:dyDescent="0.15">
      <c r="A2664" s="72" t="str">
        <f t="shared" si="41"/>
        <v>Ofsted Social Care Provider Webpage</v>
      </c>
      <c r="B2664" s="55" t="s">
        <v>5024</v>
      </c>
      <c r="D2664" s="55" t="s">
        <v>373</v>
      </c>
      <c r="E2664" s="74">
        <v>39423</v>
      </c>
      <c r="F2664" s="55" t="s">
        <v>344</v>
      </c>
      <c r="G2664" s="55" t="s">
        <v>360</v>
      </c>
      <c r="H2664" s="55" t="s">
        <v>360</v>
      </c>
      <c r="I2664" s="55" t="s">
        <v>360</v>
      </c>
      <c r="J2664" s="55" t="s">
        <v>360</v>
      </c>
      <c r="K2664" s="55" t="s">
        <v>360</v>
      </c>
      <c r="L2664" s="55" t="s">
        <v>360</v>
      </c>
      <c r="M2664" s="55" t="s">
        <v>150</v>
      </c>
      <c r="N2664" s="55" t="s">
        <v>150</v>
      </c>
      <c r="O2664" s="55" t="s">
        <v>285</v>
      </c>
      <c r="P2664" s="55" t="s">
        <v>1810</v>
      </c>
      <c r="Q2664" s="55" t="s">
        <v>350</v>
      </c>
      <c r="R2664" s="55">
        <v>2</v>
      </c>
      <c r="S2664" s="55"/>
      <c r="T2664" s="55" t="s">
        <v>931</v>
      </c>
    </row>
    <row r="2665" spans="1:20" ht="13" x14ac:dyDescent="0.15">
      <c r="A2665" s="72" t="str">
        <f t="shared" si="41"/>
        <v>Ofsted Social Care Provider Webpage</v>
      </c>
      <c r="B2665" s="55" t="s">
        <v>5025</v>
      </c>
      <c r="D2665" s="55" t="s">
        <v>373</v>
      </c>
      <c r="E2665" s="74">
        <v>39524</v>
      </c>
      <c r="F2665" s="55" t="s">
        <v>344</v>
      </c>
      <c r="G2665" s="55" t="s">
        <v>360</v>
      </c>
      <c r="H2665" s="55" t="s">
        <v>360</v>
      </c>
      <c r="I2665" s="55" t="s">
        <v>360</v>
      </c>
      <c r="J2665" s="55" t="s">
        <v>360</v>
      </c>
      <c r="K2665" s="55" t="s">
        <v>360</v>
      </c>
      <c r="L2665" s="55" t="s">
        <v>360</v>
      </c>
      <c r="M2665" s="55" t="s">
        <v>142</v>
      </c>
      <c r="N2665" s="55" t="s">
        <v>142</v>
      </c>
      <c r="O2665" s="55" t="s">
        <v>141</v>
      </c>
      <c r="P2665" s="55" t="s">
        <v>641</v>
      </c>
      <c r="Q2665" s="55" t="s">
        <v>350</v>
      </c>
      <c r="R2665" s="55">
        <v>3</v>
      </c>
      <c r="S2665" s="55"/>
      <c r="T2665" s="55" t="s">
        <v>1261</v>
      </c>
    </row>
    <row r="2666" spans="1:20" ht="13" x14ac:dyDescent="0.15">
      <c r="A2666" s="72" t="str">
        <f t="shared" si="41"/>
        <v>Ofsted Social Care Provider Webpage</v>
      </c>
      <c r="B2666" s="55" t="s">
        <v>5026</v>
      </c>
      <c r="D2666" s="55" t="s">
        <v>373</v>
      </c>
      <c r="E2666" s="74">
        <v>39470</v>
      </c>
      <c r="F2666" s="55" t="s">
        <v>344</v>
      </c>
      <c r="G2666" s="55" t="s">
        <v>360</v>
      </c>
      <c r="H2666" s="55" t="s">
        <v>360</v>
      </c>
      <c r="I2666" s="55" t="s">
        <v>360</v>
      </c>
      <c r="J2666" s="55" t="s">
        <v>360</v>
      </c>
      <c r="K2666" s="55" t="s">
        <v>360</v>
      </c>
      <c r="L2666" s="55" t="s">
        <v>360</v>
      </c>
      <c r="M2666" s="55" t="s">
        <v>144</v>
      </c>
      <c r="N2666" s="55" t="s">
        <v>144</v>
      </c>
      <c r="O2666" s="55" t="s">
        <v>163</v>
      </c>
      <c r="P2666" s="55" t="s">
        <v>1997</v>
      </c>
      <c r="Q2666" s="55" t="s">
        <v>350</v>
      </c>
      <c r="R2666" s="55">
        <v>4</v>
      </c>
      <c r="S2666" s="55"/>
      <c r="T2666" s="55" t="s">
        <v>4738</v>
      </c>
    </row>
    <row r="2667" spans="1:20" ht="13" x14ac:dyDescent="0.15">
      <c r="A2667" s="72" t="str">
        <f t="shared" si="41"/>
        <v>Ofsted Social Care Provider Webpage</v>
      </c>
      <c r="B2667" s="55" t="s">
        <v>5027</v>
      </c>
      <c r="D2667" s="55" t="s">
        <v>373</v>
      </c>
      <c r="E2667" s="74">
        <v>39454</v>
      </c>
      <c r="F2667" s="55" t="s">
        <v>344</v>
      </c>
      <c r="G2667" s="55" t="s">
        <v>360</v>
      </c>
      <c r="H2667" s="55" t="s">
        <v>360</v>
      </c>
      <c r="I2667" s="55" t="s">
        <v>360</v>
      </c>
      <c r="J2667" s="55" t="s">
        <v>360</v>
      </c>
      <c r="K2667" s="55" t="s">
        <v>360</v>
      </c>
      <c r="L2667" s="55" t="s">
        <v>360</v>
      </c>
      <c r="M2667" s="55" t="s">
        <v>142</v>
      </c>
      <c r="N2667" s="55" t="s">
        <v>142</v>
      </c>
      <c r="O2667" s="55" t="s">
        <v>252</v>
      </c>
      <c r="P2667" s="55" t="s">
        <v>386</v>
      </c>
      <c r="Q2667" s="55" t="s">
        <v>350</v>
      </c>
      <c r="R2667" s="55">
        <v>3</v>
      </c>
      <c r="S2667" s="55"/>
      <c r="T2667" s="55" t="s">
        <v>504</v>
      </c>
    </row>
    <row r="2668" spans="1:20" ht="13" x14ac:dyDescent="0.15">
      <c r="A2668" s="72" t="str">
        <f t="shared" si="41"/>
        <v>Ofsted Social Care Provider Webpage</v>
      </c>
      <c r="B2668" s="55" t="s">
        <v>5028</v>
      </c>
      <c r="D2668" s="55" t="s">
        <v>373</v>
      </c>
      <c r="E2668" s="74">
        <v>39454</v>
      </c>
      <c r="F2668" s="55" t="s">
        <v>344</v>
      </c>
      <c r="G2668" s="55" t="s">
        <v>360</v>
      </c>
      <c r="H2668" s="55" t="s">
        <v>360</v>
      </c>
      <c r="I2668" s="55" t="s">
        <v>360</v>
      </c>
      <c r="J2668" s="55" t="s">
        <v>360</v>
      </c>
      <c r="K2668" s="55" t="s">
        <v>360</v>
      </c>
      <c r="L2668" s="55" t="s">
        <v>360</v>
      </c>
      <c r="M2668" s="55" t="s">
        <v>142</v>
      </c>
      <c r="N2668" s="55" t="s">
        <v>142</v>
      </c>
      <c r="O2668" s="55" t="s">
        <v>252</v>
      </c>
      <c r="P2668" s="55" t="s">
        <v>388</v>
      </c>
      <c r="Q2668" s="55" t="s">
        <v>350</v>
      </c>
      <c r="R2668" s="55">
        <v>2</v>
      </c>
      <c r="S2668" s="55"/>
      <c r="T2668" s="55" t="s">
        <v>504</v>
      </c>
    </row>
    <row r="2669" spans="1:20" ht="13" x14ac:dyDescent="0.15">
      <c r="A2669" s="72" t="str">
        <f t="shared" si="41"/>
        <v>Ofsted Social Care Provider Webpage</v>
      </c>
      <c r="B2669" s="55" t="s">
        <v>5029</v>
      </c>
      <c r="D2669" s="55" t="s">
        <v>373</v>
      </c>
      <c r="E2669" s="74">
        <v>39454</v>
      </c>
      <c r="F2669" s="55" t="s">
        <v>344</v>
      </c>
      <c r="G2669" s="55" t="s">
        <v>360</v>
      </c>
      <c r="H2669" s="55" t="s">
        <v>360</v>
      </c>
      <c r="I2669" s="55" t="s">
        <v>360</v>
      </c>
      <c r="J2669" s="55" t="s">
        <v>360</v>
      </c>
      <c r="K2669" s="55" t="s">
        <v>360</v>
      </c>
      <c r="L2669" s="55" t="s">
        <v>360</v>
      </c>
      <c r="M2669" s="55" t="s">
        <v>142</v>
      </c>
      <c r="N2669" s="55" t="s">
        <v>142</v>
      </c>
      <c r="O2669" s="55" t="s">
        <v>252</v>
      </c>
      <c r="P2669" s="55" t="s">
        <v>503</v>
      </c>
      <c r="Q2669" s="55" t="s">
        <v>350</v>
      </c>
      <c r="R2669" s="55">
        <v>3</v>
      </c>
      <c r="S2669" s="55"/>
      <c r="T2669" s="55" t="s">
        <v>504</v>
      </c>
    </row>
    <row r="2670" spans="1:20" ht="13" x14ac:dyDescent="0.15">
      <c r="A2670" s="72" t="str">
        <f t="shared" si="41"/>
        <v>Ofsted Social Care Provider Webpage</v>
      </c>
      <c r="B2670" s="55" t="s">
        <v>5030</v>
      </c>
      <c r="D2670" s="55" t="s">
        <v>373</v>
      </c>
      <c r="E2670" s="74">
        <v>39436</v>
      </c>
      <c r="F2670" s="55" t="s">
        <v>344</v>
      </c>
      <c r="G2670" s="55" t="s">
        <v>360</v>
      </c>
      <c r="H2670" s="55" t="s">
        <v>360</v>
      </c>
      <c r="I2670" s="55" t="s">
        <v>360</v>
      </c>
      <c r="J2670" s="55" t="s">
        <v>360</v>
      </c>
      <c r="K2670" s="55" t="s">
        <v>360</v>
      </c>
      <c r="L2670" s="55" t="s">
        <v>360</v>
      </c>
      <c r="M2670" s="55" t="s">
        <v>142</v>
      </c>
      <c r="N2670" s="55" t="s">
        <v>142</v>
      </c>
      <c r="O2670" s="55" t="s">
        <v>262</v>
      </c>
      <c r="P2670" s="55" t="s">
        <v>523</v>
      </c>
      <c r="Q2670" s="55" t="s">
        <v>350</v>
      </c>
      <c r="R2670" s="55">
        <v>3</v>
      </c>
      <c r="S2670" s="55"/>
      <c r="T2670" s="55" t="s">
        <v>504</v>
      </c>
    </row>
    <row r="2671" spans="1:20" ht="13" x14ac:dyDescent="0.15">
      <c r="A2671" s="72" t="str">
        <f t="shared" si="41"/>
        <v>Ofsted Social Care Provider Webpage</v>
      </c>
      <c r="B2671" s="55" t="s">
        <v>5031</v>
      </c>
      <c r="D2671" s="55" t="s">
        <v>373</v>
      </c>
      <c r="E2671" s="74">
        <v>39454</v>
      </c>
      <c r="F2671" s="55" t="s">
        <v>344</v>
      </c>
      <c r="G2671" s="55" t="s">
        <v>360</v>
      </c>
      <c r="H2671" s="55" t="s">
        <v>360</v>
      </c>
      <c r="I2671" s="55" t="s">
        <v>360</v>
      </c>
      <c r="J2671" s="55" t="s">
        <v>360</v>
      </c>
      <c r="K2671" s="55" t="s">
        <v>360</v>
      </c>
      <c r="L2671" s="55" t="s">
        <v>360</v>
      </c>
      <c r="M2671" s="55" t="s">
        <v>142</v>
      </c>
      <c r="N2671" s="55" t="s">
        <v>142</v>
      </c>
      <c r="O2671" s="55" t="s">
        <v>252</v>
      </c>
      <c r="P2671" s="55" t="s">
        <v>388</v>
      </c>
      <c r="Q2671" s="55" t="s">
        <v>350</v>
      </c>
      <c r="R2671" s="55">
        <v>3</v>
      </c>
      <c r="S2671" s="55"/>
      <c r="T2671" s="55" t="s">
        <v>504</v>
      </c>
    </row>
    <row r="2672" spans="1:20" ht="13" x14ac:dyDescent="0.15">
      <c r="A2672" s="72" t="str">
        <f t="shared" si="41"/>
        <v>Ofsted Social Care Provider Webpage</v>
      </c>
      <c r="B2672" s="55" t="s">
        <v>5032</v>
      </c>
      <c r="D2672" s="55" t="s">
        <v>373</v>
      </c>
      <c r="E2672" s="74">
        <v>39454</v>
      </c>
      <c r="F2672" s="55" t="s">
        <v>344</v>
      </c>
      <c r="G2672" s="55" t="s">
        <v>360</v>
      </c>
      <c r="H2672" s="55" t="s">
        <v>360</v>
      </c>
      <c r="I2672" s="55" t="s">
        <v>360</v>
      </c>
      <c r="J2672" s="55" t="s">
        <v>360</v>
      </c>
      <c r="K2672" s="55" t="s">
        <v>360</v>
      </c>
      <c r="L2672" s="55" t="s">
        <v>360</v>
      </c>
      <c r="M2672" s="55" t="s">
        <v>142</v>
      </c>
      <c r="N2672" s="55" t="s">
        <v>142</v>
      </c>
      <c r="O2672" s="55" t="s">
        <v>252</v>
      </c>
      <c r="P2672" s="55" t="s">
        <v>388</v>
      </c>
      <c r="Q2672" s="55" t="s">
        <v>350</v>
      </c>
      <c r="R2672" s="55">
        <v>1</v>
      </c>
      <c r="S2672" s="55"/>
      <c r="T2672" s="55" t="s">
        <v>504</v>
      </c>
    </row>
    <row r="2673" spans="1:20" ht="13" x14ac:dyDescent="0.15">
      <c r="A2673" s="72" t="str">
        <f t="shared" si="41"/>
        <v>Ofsted Social Care Provider Webpage</v>
      </c>
      <c r="B2673" s="55" t="s">
        <v>5033</v>
      </c>
      <c r="D2673" s="55" t="s">
        <v>373</v>
      </c>
      <c r="E2673" s="74">
        <v>39484</v>
      </c>
      <c r="F2673" s="55" t="s">
        <v>344</v>
      </c>
      <c r="G2673" s="55" t="s">
        <v>360</v>
      </c>
      <c r="H2673" s="55" t="s">
        <v>360</v>
      </c>
      <c r="I2673" s="55" t="s">
        <v>360</v>
      </c>
      <c r="J2673" s="55" t="s">
        <v>360</v>
      </c>
      <c r="K2673" s="55" t="s">
        <v>360</v>
      </c>
      <c r="L2673" s="55" t="s">
        <v>360</v>
      </c>
      <c r="M2673" s="55" t="s">
        <v>144</v>
      </c>
      <c r="N2673" s="55" t="s">
        <v>144</v>
      </c>
      <c r="O2673" s="55" t="s">
        <v>271</v>
      </c>
      <c r="P2673" s="55" t="s">
        <v>870</v>
      </c>
      <c r="Q2673" s="55" t="s">
        <v>350</v>
      </c>
      <c r="R2673" s="55">
        <v>4</v>
      </c>
      <c r="S2673" s="55"/>
      <c r="T2673" s="55" t="s">
        <v>5034</v>
      </c>
    </row>
    <row r="2674" spans="1:20" ht="13" x14ac:dyDescent="0.15">
      <c r="A2674" s="72" t="str">
        <f t="shared" si="41"/>
        <v>Ofsted Social Care Provider Webpage</v>
      </c>
      <c r="B2674" s="55" t="s">
        <v>5035</v>
      </c>
      <c r="D2674" s="55" t="s">
        <v>389</v>
      </c>
      <c r="E2674" s="74">
        <v>39503</v>
      </c>
      <c r="F2674" s="55" t="s">
        <v>344</v>
      </c>
      <c r="G2674" s="55" t="s">
        <v>5036</v>
      </c>
      <c r="H2674" s="55" t="s">
        <v>5037</v>
      </c>
      <c r="I2674" s="55" t="s">
        <v>5038</v>
      </c>
      <c r="J2674" s="55" t="s">
        <v>234</v>
      </c>
      <c r="K2674" s="55" t="s">
        <v>235</v>
      </c>
      <c r="L2674" s="55" t="s">
        <v>5039</v>
      </c>
      <c r="M2674" s="55" t="s">
        <v>172</v>
      </c>
      <c r="N2674" s="55" t="s">
        <v>172</v>
      </c>
      <c r="O2674" s="55" t="s">
        <v>234</v>
      </c>
      <c r="P2674" s="55" t="s">
        <v>369</v>
      </c>
      <c r="Q2674" s="55" t="s">
        <v>350</v>
      </c>
      <c r="R2674" s="55"/>
      <c r="S2674" s="55"/>
      <c r="T2674" s="55" t="s">
        <v>5040</v>
      </c>
    </row>
    <row r="2675" spans="1:20" ht="13" x14ac:dyDescent="0.15">
      <c r="A2675" s="72" t="str">
        <f t="shared" si="41"/>
        <v>Ofsted Social Care Provider Webpage</v>
      </c>
      <c r="B2675" s="55" t="s">
        <v>5041</v>
      </c>
      <c r="D2675" s="55" t="s">
        <v>373</v>
      </c>
      <c r="E2675" s="74">
        <v>39472</v>
      </c>
      <c r="F2675" s="55" t="s">
        <v>344</v>
      </c>
      <c r="G2675" s="55" t="s">
        <v>360</v>
      </c>
      <c r="H2675" s="55" t="s">
        <v>360</v>
      </c>
      <c r="I2675" s="55" t="s">
        <v>360</v>
      </c>
      <c r="J2675" s="55" t="s">
        <v>360</v>
      </c>
      <c r="K2675" s="55" t="s">
        <v>360</v>
      </c>
      <c r="L2675" s="55" t="s">
        <v>360</v>
      </c>
      <c r="M2675" s="55" t="s">
        <v>142</v>
      </c>
      <c r="N2675" s="55" t="s">
        <v>142</v>
      </c>
      <c r="O2675" s="55" t="s">
        <v>265</v>
      </c>
      <c r="P2675" s="55" t="s">
        <v>1215</v>
      </c>
      <c r="Q2675" s="55" t="s">
        <v>350</v>
      </c>
      <c r="R2675" s="55">
        <v>3</v>
      </c>
      <c r="S2675" s="55"/>
      <c r="T2675" s="55" t="s">
        <v>1446</v>
      </c>
    </row>
    <row r="2676" spans="1:20" ht="13" x14ac:dyDescent="0.15">
      <c r="A2676" s="72" t="str">
        <f t="shared" si="41"/>
        <v>Ofsted Social Care Provider Webpage</v>
      </c>
      <c r="B2676" s="55" t="s">
        <v>5042</v>
      </c>
      <c r="D2676" s="55" t="s">
        <v>451</v>
      </c>
      <c r="E2676" s="74">
        <v>39617</v>
      </c>
      <c r="F2676" s="55" t="s">
        <v>344</v>
      </c>
      <c r="G2676" s="55" t="s">
        <v>5043</v>
      </c>
      <c r="H2676" s="55" t="s">
        <v>5044</v>
      </c>
      <c r="I2676" s="55" t="s">
        <v>5045</v>
      </c>
      <c r="J2676" s="55" t="s">
        <v>3411</v>
      </c>
      <c r="K2676" s="55" t="s">
        <v>203</v>
      </c>
      <c r="L2676" s="55" t="s">
        <v>5046</v>
      </c>
      <c r="M2676" s="55" t="s">
        <v>150</v>
      </c>
      <c r="N2676" s="55" t="s">
        <v>150</v>
      </c>
      <c r="O2676" s="55" t="s">
        <v>203</v>
      </c>
      <c r="P2676" s="55" t="s">
        <v>563</v>
      </c>
      <c r="Q2676" s="55" t="s">
        <v>350</v>
      </c>
      <c r="R2676" s="55">
        <v>13</v>
      </c>
      <c r="S2676" s="55"/>
      <c r="T2676" s="55" t="s">
        <v>5047</v>
      </c>
    </row>
    <row r="2677" spans="1:20" ht="13" x14ac:dyDescent="0.15">
      <c r="A2677" s="72" t="str">
        <f t="shared" si="41"/>
        <v>Ofsted Social Care Provider Webpage</v>
      </c>
      <c r="B2677" s="55" t="s">
        <v>5048</v>
      </c>
      <c r="D2677" s="55" t="s">
        <v>373</v>
      </c>
      <c r="E2677" s="74">
        <v>39469</v>
      </c>
      <c r="F2677" s="55" t="s">
        <v>344</v>
      </c>
      <c r="G2677" s="55" t="s">
        <v>360</v>
      </c>
      <c r="H2677" s="55" t="s">
        <v>360</v>
      </c>
      <c r="I2677" s="55" t="s">
        <v>360</v>
      </c>
      <c r="J2677" s="55" t="s">
        <v>360</v>
      </c>
      <c r="K2677" s="55" t="s">
        <v>360</v>
      </c>
      <c r="L2677" s="55" t="s">
        <v>360</v>
      </c>
      <c r="M2677" s="55" t="s">
        <v>378</v>
      </c>
      <c r="N2677" s="55" t="s">
        <v>134</v>
      </c>
      <c r="O2677" s="55" t="s">
        <v>225</v>
      </c>
      <c r="P2677" s="55" t="s">
        <v>1667</v>
      </c>
      <c r="Q2677" s="55" t="s">
        <v>380</v>
      </c>
      <c r="R2677" s="55">
        <v>2</v>
      </c>
      <c r="S2677" s="55"/>
      <c r="T2677" s="55" t="s">
        <v>1668</v>
      </c>
    </row>
    <row r="2678" spans="1:20" ht="13" x14ac:dyDescent="0.15">
      <c r="A2678" s="72" t="str">
        <f t="shared" si="41"/>
        <v>Ofsted Social Care Provider Webpage</v>
      </c>
      <c r="B2678" s="55" t="s">
        <v>5049</v>
      </c>
      <c r="D2678" s="55" t="s">
        <v>389</v>
      </c>
      <c r="E2678" s="74">
        <v>39546</v>
      </c>
      <c r="F2678" s="55" t="s">
        <v>344</v>
      </c>
      <c r="G2678" s="55" t="s">
        <v>5050</v>
      </c>
      <c r="H2678" s="55" t="s">
        <v>5051</v>
      </c>
      <c r="I2678" s="55" t="s">
        <v>5052</v>
      </c>
      <c r="J2678" s="55" t="s">
        <v>5053</v>
      </c>
      <c r="K2678" s="55" t="s">
        <v>174</v>
      </c>
      <c r="L2678" s="55" t="s">
        <v>5054</v>
      </c>
      <c r="M2678" s="55" t="s">
        <v>136</v>
      </c>
      <c r="N2678" s="55" t="s">
        <v>136</v>
      </c>
      <c r="O2678" s="55" t="s">
        <v>174</v>
      </c>
      <c r="P2678" s="55" t="s">
        <v>1526</v>
      </c>
      <c r="Q2678" s="55" t="s">
        <v>350</v>
      </c>
      <c r="R2678" s="55"/>
      <c r="S2678" s="55"/>
      <c r="T2678" s="55" t="s">
        <v>5055</v>
      </c>
    </row>
    <row r="2679" spans="1:20" ht="13" x14ac:dyDescent="0.15">
      <c r="A2679" s="72" t="str">
        <f t="shared" si="41"/>
        <v>Ofsted Social Care Provider Webpage</v>
      </c>
      <c r="B2679" s="55" t="s">
        <v>5056</v>
      </c>
      <c r="D2679" s="55" t="s">
        <v>373</v>
      </c>
      <c r="E2679" s="74">
        <v>39426</v>
      </c>
      <c r="F2679" s="55" t="s">
        <v>344</v>
      </c>
      <c r="G2679" s="55" t="s">
        <v>360</v>
      </c>
      <c r="H2679" s="55" t="s">
        <v>360</v>
      </c>
      <c r="I2679" s="55" t="s">
        <v>360</v>
      </c>
      <c r="J2679" s="55" t="s">
        <v>360</v>
      </c>
      <c r="K2679" s="55" t="s">
        <v>360</v>
      </c>
      <c r="L2679" s="55" t="s">
        <v>360</v>
      </c>
      <c r="M2679" s="55" t="s">
        <v>136</v>
      </c>
      <c r="N2679" s="55" t="s">
        <v>136</v>
      </c>
      <c r="O2679" s="55" t="s">
        <v>174</v>
      </c>
      <c r="P2679" s="55" t="s">
        <v>857</v>
      </c>
      <c r="Q2679" s="55" t="s">
        <v>350</v>
      </c>
      <c r="R2679" s="55">
        <v>2</v>
      </c>
      <c r="S2679" s="55"/>
      <c r="T2679" s="55" t="s">
        <v>721</v>
      </c>
    </row>
    <row r="2680" spans="1:20" ht="13" x14ac:dyDescent="0.15">
      <c r="A2680" s="72" t="str">
        <f t="shared" si="41"/>
        <v>Ofsted Social Care Provider Webpage</v>
      </c>
      <c r="B2680" s="55" t="s">
        <v>5057</v>
      </c>
      <c r="D2680" s="55" t="s">
        <v>373</v>
      </c>
      <c r="E2680" s="74">
        <v>39472</v>
      </c>
      <c r="F2680" s="55" t="s">
        <v>344</v>
      </c>
      <c r="G2680" s="55" t="s">
        <v>360</v>
      </c>
      <c r="H2680" s="55" t="s">
        <v>360</v>
      </c>
      <c r="I2680" s="55" t="s">
        <v>360</v>
      </c>
      <c r="J2680" s="55" t="s">
        <v>360</v>
      </c>
      <c r="K2680" s="55" t="s">
        <v>360</v>
      </c>
      <c r="L2680" s="55" t="s">
        <v>360</v>
      </c>
      <c r="M2680" s="55" t="s">
        <v>150</v>
      </c>
      <c r="N2680" s="55" t="s">
        <v>150</v>
      </c>
      <c r="O2680" s="55" t="s">
        <v>203</v>
      </c>
      <c r="P2680" s="55" t="s">
        <v>1263</v>
      </c>
      <c r="Q2680" s="55" t="s">
        <v>350</v>
      </c>
      <c r="R2680" s="55">
        <v>3</v>
      </c>
      <c r="S2680" s="55"/>
      <c r="T2680" s="55" t="s">
        <v>2070</v>
      </c>
    </row>
    <row r="2681" spans="1:20" ht="13" x14ac:dyDescent="0.15">
      <c r="A2681" s="72" t="str">
        <f t="shared" si="41"/>
        <v>Ofsted Social Care Provider Webpage</v>
      </c>
      <c r="B2681" s="55" t="s">
        <v>5058</v>
      </c>
      <c r="D2681" s="55" t="s">
        <v>373</v>
      </c>
      <c r="E2681" s="74">
        <v>39479</v>
      </c>
      <c r="F2681" s="55" t="s">
        <v>344</v>
      </c>
      <c r="G2681" s="55" t="s">
        <v>360</v>
      </c>
      <c r="H2681" s="55" t="s">
        <v>360</v>
      </c>
      <c r="I2681" s="55" t="s">
        <v>360</v>
      </c>
      <c r="J2681" s="55" t="s">
        <v>360</v>
      </c>
      <c r="K2681" s="55" t="s">
        <v>360</v>
      </c>
      <c r="L2681" s="55" t="s">
        <v>360</v>
      </c>
      <c r="M2681" s="55" t="s">
        <v>150</v>
      </c>
      <c r="N2681" s="55" t="s">
        <v>150</v>
      </c>
      <c r="O2681" s="55" t="s">
        <v>203</v>
      </c>
      <c r="P2681" s="55" t="s">
        <v>800</v>
      </c>
      <c r="Q2681" s="55" t="s">
        <v>380</v>
      </c>
      <c r="R2681" s="55">
        <v>6</v>
      </c>
      <c r="S2681" s="55" t="s">
        <v>332</v>
      </c>
      <c r="T2681" s="55" t="s">
        <v>1547</v>
      </c>
    </row>
    <row r="2682" spans="1:20" ht="13" x14ac:dyDescent="0.15">
      <c r="A2682" s="72" t="str">
        <f t="shared" si="41"/>
        <v>Ofsted Social Care Provider Webpage</v>
      </c>
      <c r="B2682" s="55" t="s">
        <v>5059</v>
      </c>
      <c r="D2682" s="55" t="s">
        <v>443</v>
      </c>
      <c r="E2682" s="74">
        <v>39905</v>
      </c>
      <c r="F2682" s="55" t="s">
        <v>344</v>
      </c>
      <c r="G2682" s="55" t="s">
        <v>5060</v>
      </c>
      <c r="H2682" s="55" t="s">
        <v>5061</v>
      </c>
      <c r="I2682" s="55" t="s">
        <v>5062</v>
      </c>
      <c r="J2682" s="55" t="s">
        <v>211</v>
      </c>
      <c r="L2682" s="55" t="s">
        <v>5063</v>
      </c>
      <c r="M2682" s="55" t="s">
        <v>172</v>
      </c>
      <c r="N2682" s="55" t="s">
        <v>172</v>
      </c>
      <c r="O2682" s="55" t="s">
        <v>211</v>
      </c>
      <c r="P2682" s="55" t="s">
        <v>2228</v>
      </c>
      <c r="Q2682" s="55" t="s">
        <v>350</v>
      </c>
      <c r="R2682" s="55"/>
      <c r="S2682" s="55"/>
      <c r="T2682" s="55" t="s">
        <v>5061</v>
      </c>
    </row>
    <row r="2683" spans="1:20" ht="13" x14ac:dyDescent="0.15">
      <c r="A2683" s="72" t="str">
        <f t="shared" si="41"/>
        <v>Ofsted Social Care Provider Webpage</v>
      </c>
      <c r="B2683" s="55" t="s">
        <v>5064</v>
      </c>
      <c r="D2683" s="55" t="s">
        <v>373</v>
      </c>
      <c r="E2683" s="74">
        <v>39539</v>
      </c>
      <c r="F2683" s="55" t="s">
        <v>344</v>
      </c>
      <c r="G2683" s="55" t="s">
        <v>360</v>
      </c>
      <c r="H2683" s="55" t="s">
        <v>360</v>
      </c>
      <c r="I2683" s="55" t="s">
        <v>360</v>
      </c>
      <c r="J2683" s="55" t="s">
        <v>360</v>
      </c>
      <c r="K2683" s="55" t="s">
        <v>360</v>
      </c>
      <c r="L2683" s="55" t="s">
        <v>360</v>
      </c>
      <c r="M2683" s="55" t="s">
        <v>142</v>
      </c>
      <c r="N2683" s="55" t="s">
        <v>142</v>
      </c>
      <c r="O2683" s="55" t="s">
        <v>265</v>
      </c>
      <c r="P2683" s="55" t="s">
        <v>540</v>
      </c>
      <c r="Q2683" s="55" t="s">
        <v>380</v>
      </c>
      <c r="R2683" s="55">
        <v>2</v>
      </c>
      <c r="S2683" s="55"/>
      <c r="T2683" s="55" t="s">
        <v>1067</v>
      </c>
    </row>
    <row r="2684" spans="1:20" ht="13" x14ac:dyDescent="0.15">
      <c r="A2684" s="72" t="str">
        <f t="shared" si="41"/>
        <v>Ofsted Social Care Provider Webpage</v>
      </c>
      <c r="B2684" s="55" t="s">
        <v>5065</v>
      </c>
      <c r="D2684" s="55" t="s">
        <v>373</v>
      </c>
      <c r="E2684" s="74">
        <v>39539</v>
      </c>
      <c r="F2684" s="55" t="s">
        <v>344</v>
      </c>
      <c r="G2684" s="55" t="s">
        <v>360</v>
      </c>
      <c r="H2684" s="55" t="s">
        <v>360</v>
      </c>
      <c r="I2684" s="55" t="s">
        <v>360</v>
      </c>
      <c r="J2684" s="55" t="s">
        <v>360</v>
      </c>
      <c r="K2684" s="55" t="s">
        <v>360</v>
      </c>
      <c r="L2684" s="55" t="s">
        <v>360</v>
      </c>
      <c r="M2684" s="55" t="s">
        <v>142</v>
      </c>
      <c r="N2684" s="55" t="s">
        <v>142</v>
      </c>
      <c r="O2684" s="55" t="s">
        <v>265</v>
      </c>
      <c r="P2684" s="55" t="s">
        <v>540</v>
      </c>
      <c r="Q2684" s="55" t="s">
        <v>380</v>
      </c>
      <c r="R2684" s="55">
        <v>2</v>
      </c>
      <c r="S2684" s="55"/>
      <c r="T2684" s="55" t="s">
        <v>1067</v>
      </c>
    </row>
    <row r="2685" spans="1:20" ht="13" x14ac:dyDescent="0.15">
      <c r="A2685" s="72" t="str">
        <f t="shared" si="41"/>
        <v>Ofsted Social Care Provider Webpage</v>
      </c>
      <c r="B2685" s="55" t="s">
        <v>5066</v>
      </c>
      <c r="D2685" s="55" t="s">
        <v>373</v>
      </c>
      <c r="E2685" s="74">
        <v>39617</v>
      </c>
      <c r="F2685" s="55" t="s">
        <v>344</v>
      </c>
      <c r="G2685" s="55" t="s">
        <v>360</v>
      </c>
      <c r="H2685" s="55" t="s">
        <v>360</v>
      </c>
      <c r="I2685" s="55" t="s">
        <v>360</v>
      </c>
      <c r="J2685" s="55" t="s">
        <v>360</v>
      </c>
      <c r="K2685" s="55" t="s">
        <v>360</v>
      </c>
      <c r="L2685" s="55" t="s">
        <v>360</v>
      </c>
      <c r="M2685" s="55" t="s">
        <v>144</v>
      </c>
      <c r="N2685" s="55" t="s">
        <v>144</v>
      </c>
      <c r="O2685" s="55" t="s">
        <v>147</v>
      </c>
      <c r="P2685" s="55" t="s">
        <v>387</v>
      </c>
      <c r="Q2685" s="55" t="s">
        <v>380</v>
      </c>
      <c r="R2685" s="55">
        <v>5</v>
      </c>
      <c r="S2685" s="55"/>
      <c r="T2685" s="55" t="s">
        <v>3771</v>
      </c>
    </row>
    <row r="2686" spans="1:20" ht="13" x14ac:dyDescent="0.15">
      <c r="A2686" s="72" t="str">
        <f t="shared" si="41"/>
        <v>Ofsted Social Care Provider Webpage</v>
      </c>
      <c r="B2686" s="55" t="s">
        <v>5067</v>
      </c>
      <c r="D2686" s="55" t="s">
        <v>373</v>
      </c>
      <c r="E2686" s="74">
        <v>39570</v>
      </c>
      <c r="F2686" s="55" t="s">
        <v>344</v>
      </c>
      <c r="G2686" s="55" t="s">
        <v>360</v>
      </c>
      <c r="H2686" s="55" t="s">
        <v>360</v>
      </c>
      <c r="I2686" s="55" t="s">
        <v>360</v>
      </c>
      <c r="J2686" s="55" t="s">
        <v>360</v>
      </c>
      <c r="K2686" s="55" t="s">
        <v>360</v>
      </c>
      <c r="L2686" s="55" t="s">
        <v>360</v>
      </c>
      <c r="M2686" s="55" t="s">
        <v>150</v>
      </c>
      <c r="N2686" s="55" t="s">
        <v>150</v>
      </c>
      <c r="O2686" s="55" t="s">
        <v>268</v>
      </c>
      <c r="P2686" s="55" t="s">
        <v>2682</v>
      </c>
      <c r="Q2686" s="55" t="s">
        <v>380</v>
      </c>
      <c r="R2686" s="55">
        <v>20</v>
      </c>
      <c r="S2686" s="55"/>
      <c r="T2686" s="55" t="s">
        <v>640</v>
      </c>
    </row>
    <row r="2687" spans="1:20" ht="13" x14ac:dyDescent="0.15">
      <c r="A2687" s="72" t="str">
        <f t="shared" si="41"/>
        <v>Ofsted Social Care Provider Webpage</v>
      </c>
      <c r="B2687" s="55" t="s">
        <v>5068</v>
      </c>
      <c r="D2687" s="55" t="s">
        <v>373</v>
      </c>
      <c r="E2687" s="74">
        <v>39493</v>
      </c>
      <c r="F2687" s="55" t="s">
        <v>344</v>
      </c>
      <c r="G2687" s="55" t="s">
        <v>360</v>
      </c>
      <c r="H2687" s="55" t="s">
        <v>360</v>
      </c>
      <c r="I2687" s="55" t="s">
        <v>360</v>
      </c>
      <c r="J2687" s="55" t="s">
        <v>360</v>
      </c>
      <c r="K2687" s="55" t="s">
        <v>360</v>
      </c>
      <c r="L2687" s="55" t="s">
        <v>360</v>
      </c>
      <c r="M2687" s="55" t="s">
        <v>172</v>
      </c>
      <c r="N2687" s="55" t="s">
        <v>172</v>
      </c>
      <c r="O2687" s="55" t="s">
        <v>214</v>
      </c>
      <c r="P2687" s="55" t="s">
        <v>790</v>
      </c>
      <c r="Q2687" s="55" t="s">
        <v>350</v>
      </c>
      <c r="R2687" s="55">
        <v>3</v>
      </c>
      <c r="S2687" s="55"/>
      <c r="T2687" s="55" t="s">
        <v>843</v>
      </c>
    </row>
    <row r="2688" spans="1:20" ht="13" x14ac:dyDescent="0.15">
      <c r="A2688" s="72" t="str">
        <f t="shared" si="41"/>
        <v>Ofsted Social Care Provider Webpage</v>
      </c>
      <c r="B2688" s="55" t="s">
        <v>5069</v>
      </c>
      <c r="D2688" s="55" t="s">
        <v>373</v>
      </c>
      <c r="E2688" s="74">
        <v>39493</v>
      </c>
      <c r="F2688" s="55" t="s">
        <v>344</v>
      </c>
      <c r="G2688" s="55" t="s">
        <v>360</v>
      </c>
      <c r="H2688" s="55" t="s">
        <v>360</v>
      </c>
      <c r="I2688" s="55" t="s">
        <v>360</v>
      </c>
      <c r="J2688" s="55" t="s">
        <v>360</v>
      </c>
      <c r="K2688" s="55" t="s">
        <v>360</v>
      </c>
      <c r="L2688" s="55" t="s">
        <v>360</v>
      </c>
      <c r="M2688" s="55" t="s">
        <v>138</v>
      </c>
      <c r="N2688" s="55" t="s">
        <v>138</v>
      </c>
      <c r="O2688" s="55" t="s">
        <v>159</v>
      </c>
      <c r="P2688" s="55" t="s">
        <v>1025</v>
      </c>
      <c r="Q2688" s="55" t="s">
        <v>350</v>
      </c>
      <c r="R2688" s="55">
        <v>3</v>
      </c>
      <c r="S2688" s="55"/>
      <c r="T2688" s="55" t="s">
        <v>843</v>
      </c>
    </row>
    <row r="2689" spans="1:20" ht="13" x14ac:dyDescent="0.15">
      <c r="A2689" s="72" t="str">
        <f t="shared" si="41"/>
        <v>Ofsted Social Care Provider Webpage</v>
      </c>
      <c r="B2689" s="55" t="s">
        <v>5070</v>
      </c>
      <c r="D2689" s="55" t="s">
        <v>373</v>
      </c>
      <c r="E2689" s="74">
        <v>39493</v>
      </c>
      <c r="F2689" s="55" t="s">
        <v>344</v>
      </c>
      <c r="G2689" s="55" t="s">
        <v>360</v>
      </c>
      <c r="H2689" s="55" t="s">
        <v>360</v>
      </c>
      <c r="I2689" s="55" t="s">
        <v>360</v>
      </c>
      <c r="J2689" s="55" t="s">
        <v>360</v>
      </c>
      <c r="K2689" s="55" t="s">
        <v>360</v>
      </c>
      <c r="L2689" s="55" t="s">
        <v>360</v>
      </c>
      <c r="M2689" s="55" t="s">
        <v>138</v>
      </c>
      <c r="N2689" s="55" t="s">
        <v>138</v>
      </c>
      <c r="O2689" s="55" t="s">
        <v>224</v>
      </c>
      <c r="P2689" s="55" t="s">
        <v>1872</v>
      </c>
      <c r="Q2689" s="55" t="s">
        <v>350</v>
      </c>
      <c r="R2689" s="55">
        <v>3</v>
      </c>
      <c r="S2689" s="55"/>
      <c r="T2689" s="55" t="s">
        <v>843</v>
      </c>
    </row>
    <row r="2690" spans="1:20" ht="13" x14ac:dyDescent="0.15">
      <c r="A2690" s="72" t="str">
        <f t="shared" si="41"/>
        <v>Ofsted Social Care Provider Webpage</v>
      </c>
      <c r="B2690" s="55" t="s">
        <v>5071</v>
      </c>
      <c r="D2690" s="55" t="s">
        <v>373</v>
      </c>
      <c r="E2690" s="74">
        <v>39493</v>
      </c>
      <c r="F2690" s="55" t="s">
        <v>344</v>
      </c>
      <c r="G2690" s="55" t="s">
        <v>360</v>
      </c>
      <c r="H2690" s="55" t="s">
        <v>360</v>
      </c>
      <c r="I2690" s="55" t="s">
        <v>360</v>
      </c>
      <c r="J2690" s="55" t="s">
        <v>360</v>
      </c>
      <c r="K2690" s="55" t="s">
        <v>360</v>
      </c>
      <c r="L2690" s="55" t="s">
        <v>360</v>
      </c>
      <c r="M2690" s="55" t="s">
        <v>172</v>
      </c>
      <c r="N2690" s="55" t="s">
        <v>172</v>
      </c>
      <c r="O2690" s="55" t="s">
        <v>214</v>
      </c>
      <c r="P2690" s="55" t="s">
        <v>790</v>
      </c>
      <c r="Q2690" s="55" t="s">
        <v>350</v>
      </c>
      <c r="R2690" s="55">
        <v>4</v>
      </c>
      <c r="S2690" s="55"/>
      <c r="T2690" s="55" t="s">
        <v>843</v>
      </c>
    </row>
    <row r="2691" spans="1:20" ht="13" x14ac:dyDescent="0.15">
      <c r="A2691" s="72" t="str">
        <f t="shared" si="41"/>
        <v>Ofsted Social Care Provider Webpage</v>
      </c>
      <c r="B2691" s="55" t="s">
        <v>5072</v>
      </c>
      <c r="D2691" s="55" t="s">
        <v>373</v>
      </c>
      <c r="E2691" s="74">
        <v>39615</v>
      </c>
      <c r="F2691" s="55" t="s">
        <v>344</v>
      </c>
      <c r="G2691" s="55" t="s">
        <v>360</v>
      </c>
      <c r="H2691" s="55" t="s">
        <v>360</v>
      </c>
      <c r="I2691" s="55" t="s">
        <v>360</v>
      </c>
      <c r="J2691" s="55" t="s">
        <v>360</v>
      </c>
      <c r="K2691" s="55" t="s">
        <v>360</v>
      </c>
      <c r="L2691" s="55" t="s">
        <v>360</v>
      </c>
      <c r="M2691" s="55" t="s">
        <v>142</v>
      </c>
      <c r="N2691" s="55" t="s">
        <v>142</v>
      </c>
      <c r="O2691" s="55" t="s">
        <v>252</v>
      </c>
      <c r="P2691" s="55" t="s">
        <v>388</v>
      </c>
      <c r="Q2691" s="55" t="s">
        <v>380</v>
      </c>
      <c r="R2691" s="55">
        <v>5</v>
      </c>
      <c r="S2691" s="55"/>
      <c r="T2691" s="55" t="s">
        <v>1542</v>
      </c>
    </row>
    <row r="2692" spans="1:20" ht="13" x14ac:dyDescent="0.15">
      <c r="A2692" s="72" t="str">
        <f t="shared" si="41"/>
        <v>Ofsted Social Care Provider Webpage</v>
      </c>
      <c r="B2692" s="55" t="s">
        <v>5073</v>
      </c>
      <c r="D2692" s="55" t="s">
        <v>373</v>
      </c>
      <c r="E2692" s="74">
        <v>39612</v>
      </c>
      <c r="F2692" s="55" t="s">
        <v>344</v>
      </c>
      <c r="G2692" s="55" t="s">
        <v>360</v>
      </c>
      <c r="H2692" s="55" t="s">
        <v>360</v>
      </c>
      <c r="I2692" s="55" t="s">
        <v>360</v>
      </c>
      <c r="J2692" s="55" t="s">
        <v>360</v>
      </c>
      <c r="K2692" s="55" t="s">
        <v>360</v>
      </c>
      <c r="L2692" s="55" t="s">
        <v>360</v>
      </c>
      <c r="M2692" s="55" t="s">
        <v>144</v>
      </c>
      <c r="N2692" s="55" t="s">
        <v>144</v>
      </c>
      <c r="O2692" s="55" t="s">
        <v>245</v>
      </c>
      <c r="P2692" s="55" t="s">
        <v>1796</v>
      </c>
      <c r="Q2692" s="55" t="s">
        <v>350</v>
      </c>
      <c r="R2692" s="55">
        <v>3</v>
      </c>
      <c r="S2692" s="55"/>
      <c r="T2692" s="55" t="s">
        <v>613</v>
      </c>
    </row>
    <row r="2693" spans="1:20" ht="13" x14ac:dyDescent="0.15">
      <c r="A2693" s="72" t="str">
        <f t="shared" ref="A2693:A2756" si="42">HYPERLINK(_xlfn.CONCAT("http://reports.ofsted.gov.uk/inspection-reports/find-inspection-report/provider/CARE/",B2693),"Ofsted Social Care Provider Webpage")</f>
        <v>Ofsted Social Care Provider Webpage</v>
      </c>
      <c r="B2693" s="55" t="s">
        <v>5074</v>
      </c>
      <c r="D2693" s="55" t="s">
        <v>479</v>
      </c>
      <c r="E2693" s="74">
        <v>40039</v>
      </c>
      <c r="F2693" s="55" t="s">
        <v>344</v>
      </c>
      <c r="G2693" s="55" t="s">
        <v>360</v>
      </c>
      <c r="H2693" s="55" t="s">
        <v>360</v>
      </c>
      <c r="I2693" s="55" t="s">
        <v>360</v>
      </c>
      <c r="J2693" s="55" t="s">
        <v>360</v>
      </c>
      <c r="K2693" s="55" t="s">
        <v>360</v>
      </c>
      <c r="L2693" s="55" t="s">
        <v>360</v>
      </c>
      <c r="M2693" s="55" t="s">
        <v>172</v>
      </c>
      <c r="N2693" s="55" t="s">
        <v>172</v>
      </c>
      <c r="O2693" s="55" t="s">
        <v>173</v>
      </c>
      <c r="P2693" s="55" t="s">
        <v>1069</v>
      </c>
      <c r="Q2693" s="55" t="s">
        <v>350</v>
      </c>
      <c r="R2693" s="55">
        <v>55</v>
      </c>
      <c r="S2693" s="55"/>
      <c r="T2693" s="55" t="s">
        <v>4968</v>
      </c>
    </row>
    <row r="2694" spans="1:20" ht="13" x14ac:dyDescent="0.15">
      <c r="A2694" s="72" t="str">
        <f t="shared" si="42"/>
        <v>Ofsted Social Care Provider Webpage</v>
      </c>
      <c r="B2694" s="55" t="s">
        <v>5075</v>
      </c>
      <c r="D2694" s="55" t="s">
        <v>373</v>
      </c>
      <c r="E2694" s="74">
        <v>39618</v>
      </c>
      <c r="F2694" s="55" t="s">
        <v>344</v>
      </c>
      <c r="G2694" s="55" t="s">
        <v>360</v>
      </c>
      <c r="H2694" s="55" t="s">
        <v>360</v>
      </c>
      <c r="I2694" s="55" t="s">
        <v>360</v>
      </c>
      <c r="J2694" s="55" t="s">
        <v>360</v>
      </c>
      <c r="K2694" s="55" t="s">
        <v>360</v>
      </c>
      <c r="L2694" s="55" t="s">
        <v>360</v>
      </c>
      <c r="M2694" s="55" t="s">
        <v>144</v>
      </c>
      <c r="N2694" s="55" t="s">
        <v>144</v>
      </c>
      <c r="O2694" s="55" t="s">
        <v>143</v>
      </c>
      <c r="P2694" s="55" t="s">
        <v>2439</v>
      </c>
      <c r="Q2694" s="55" t="s">
        <v>380</v>
      </c>
      <c r="R2694" s="55">
        <v>5</v>
      </c>
      <c r="S2694" s="55" t="s">
        <v>332</v>
      </c>
      <c r="T2694" s="55" t="s">
        <v>3746</v>
      </c>
    </row>
    <row r="2695" spans="1:20" ht="13" x14ac:dyDescent="0.15">
      <c r="A2695" s="72" t="str">
        <f t="shared" si="42"/>
        <v>Ofsted Social Care Provider Webpage</v>
      </c>
      <c r="B2695" s="55" t="s">
        <v>5076</v>
      </c>
      <c r="D2695" s="55" t="s">
        <v>373</v>
      </c>
      <c r="E2695" s="74">
        <v>39643</v>
      </c>
      <c r="F2695" s="55" t="s">
        <v>344</v>
      </c>
      <c r="G2695" s="55" t="s">
        <v>360</v>
      </c>
      <c r="H2695" s="55" t="s">
        <v>360</v>
      </c>
      <c r="I2695" s="55" t="s">
        <v>360</v>
      </c>
      <c r="J2695" s="55" t="s">
        <v>360</v>
      </c>
      <c r="K2695" s="55" t="s">
        <v>360</v>
      </c>
      <c r="L2695" s="55" t="s">
        <v>360</v>
      </c>
      <c r="M2695" s="55" t="s">
        <v>142</v>
      </c>
      <c r="N2695" s="55" t="s">
        <v>142</v>
      </c>
      <c r="O2695" s="55" t="s">
        <v>252</v>
      </c>
      <c r="P2695" s="55" t="s">
        <v>388</v>
      </c>
      <c r="Q2695" s="55" t="s">
        <v>350</v>
      </c>
      <c r="R2695" s="55">
        <v>3</v>
      </c>
      <c r="S2695" s="55"/>
      <c r="T2695" s="55" t="s">
        <v>1260</v>
      </c>
    </row>
    <row r="2696" spans="1:20" ht="13" x14ac:dyDescent="0.15">
      <c r="A2696" s="72" t="str">
        <f t="shared" si="42"/>
        <v>Ofsted Social Care Provider Webpage</v>
      </c>
      <c r="B2696" s="55" t="s">
        <v>5077</v>
      </c>
      <c r="D2696" s="55" t="s">
        <v>373</v>
      </c>
      <c r="E2696" s="74">
        <v>39631</v>
      </c>
      <c r="F2696" s="55" t="s">
        <v>344</v>
      </c>
      <c r="G2696" s="55" t="s">
        <v>360</v>
      </c>
      <c r="H2696" s="55" t="s">
        <v>360</v>
      </c>
      <c r="I2696" s="55" t="s">
        <v>360</v>
      </c>
      <c r="J2696" s="55" t="s">
        <v>360</v>
      </c>
      <c r="K2696" s="55" t="s">
        <v>360</v>
      </c>
      <c r="L2696" s="55" t="s">
        <v>360</v>
      </c>
      <c r="M2696" s="55" t="s">
        <v>142</v>
      </c>
      <c r="N2696" s="55" t="s">
        <v>142</v>
      </c>
      <c r="O2696" s="55" t="s">
        <v>252</v>
      </c>
      <c r="P2696" s="55" t="s">
        <v>388</v>
      </c>
      <c r="Q2696" s="55" t="s">
        <v>350</v>
      </c>
      <c r="R2696" s="55">
        <v>2</v>
      </c>
      <c r="S2696" s="55"/>
      <c r="T2696" s="55" t="s">
        <v>1260</v>
      </c>
    </row>
    <row r="2697" spans="1:20" ht="13" x14ac:dyDescent="0.15">
      <c r="A2697" s="72" t="str">
        <f t="shared" si="42"/>
        <v>Ofsted Social Care Provider Webpage</v>
      </c>
      <c r="B2697" s="55" t="s">
        <v>5078</v>
      </c>
      <c r="D2697" s="55" t="s">
        <v>373</v>
      </c>
      <c r="E2697" s="74">
        <v>39631</v>
      </c>
      <c r="F2697" s="55" t="s">
        <v>344</v>
      </c>
      <c r="G2697" s="55" t="s">
        <v>360</v>
      </c>
      <c r="H2697" s="55" t="s">
        <v>360</v>
      </c>
      <c r="I2697" s="55" t="s">
        <v>360</v>
      </c>
      <c r="J2697" s="55" t="s">
        <v>360</v>
      </c>
      <c r="K2697" s="55" t="s">
        <v>360</v>
      </c>
      <c r="L2697" s="55" t="s">
        <v>360</v>
      </c>
      <c r="M2697" s="55" t="s">
        <v>142</v>
      </c>
      <c r="N2697" s="55" t="s">
        <v>142</v>
      </c>
      <c r="O2697" s="55" t="s">
        <v>252</v>
      </c>
      <c r="P2697" s="55" t="s">
        <v>388</v>
      </c>
      <c r="Q2697" s="55" t="s">
        <v>350</v>
      </c>
      <c r="R2697" s="55">
        <v>3</v>
      </c>
      <c r="S2697" s="55"/>
      <c r="T2697" s="55" t="s">
        <v>1260</v>
      </c>
    </row>
    <row r="2698" spans="1:20" ht="13" x14ac:dyDescent="0.15">
      <c r="A2698" s="72" t="str">
        <f t="shared" si="42"/>
        <v>Ofsted Social Care Provider Webpage</v>
      </c>
      <c r="B2698" s="55" t="s">
        <v>5079</v>
      </c>
      <c r="D2698" s="55" t="s">
        <v>373</v>
      </c>
      <c r="E2698" s="74">
        <v>39643</v>
      </c>
      <c r="F2698" s="55" t="s">
        <v>344</v>
      </c>
      <c r="G2698" s="55" t="s">
        <v>360</v>
      </c>
      <c r="H2698" s="55" t="s">
        <v>360</v>
      </c>
      <c r="I2698" s="55" t="s">
        <v>360</v>
      </c>
      <c r="J2698" s="55" t="s">
        <v>360</v>
      </c>
      <c r="K2698" s="55" t="s">
        <v>360</v>
      </c>
      <c r="L2698" s="55" t="s">
        <v>360</v>
      </c>
      <c r="M2698" s="55" t="s">
        <v>142</v>
      </c>
      <c r="N2698" s="55" t="s">
        <v>142</v>
      </c>
      <c r="O2698" s="55" t="s">
        <v>272</v>
      </c>
      <c r="P2698" s="55" t="s">
        <v>653</v>
      </c>
      <c r="Q2698" s="55" t="s">
        <v>350</v>
      </c>
      <c r="R2698" s="55">
        <v>3</v>
      </c>
      <c r="S2698" s="55"/>
      <c r="T2698" s="55" t="s">
        <v>1260</v>
      </c>
    </row>
    <row r="2699" spans="1:20" ht="13" x14ac:dyDescent="0.15">
      <c r="A2699" s="72" t="str">
        <f t="shared" si="42"/>
        <v>Ofsted Social Care Provider Webpage</v>
      </c>
      <c r="B2699" s="55" t="s">
        <v>5080</v>
      </c>
      <c r="D2699" s="55" t="s">
        <v>373</v>
      </c>
      <c r="E2699" s="74">
        <v>39631</v>
      </c>
      <c r="F2699" s="55" t="s">
        <v>344</v>
      </c>
      <c r="G2699" s="55" t="s">
        <v>360</v>
      </c>
      <c r="H2699" s="55" t="s">
        <v>360</v>
      </c>
      <c r="I2699" s="55" t="s">
        <v>360</v>
      </c>
      <c r="J2699" s="55" t="s">
        <v>360</v>
      </c>
      <c r="K2699" s="55" t="s">
        <v>360</v>
      </c>
      <c r="L2699" s="55" t="s">
        <v>360</v>
      </c>
      <c r="M2699" s="55" t="s">
        <v>142</v>
      </c>
      <c r="N2699" s="55" t="s">
        <v>142</v>
      </c>
      <c r="O2699" s="55" t="s">
        <v>272</v>
      </c>
      <c r="P2699" s="55" t="s">
        <v>1291</v>
      </c>
      <c r="Q2699" s="55" t="s">
        <v>350</v>
      </c>
      <c r="R2699" s="55">
        <v>4</v>
      </c>
      <c r="S2699" s="55"/>
      <c r="T2699" s="55" t="s">
        <v>1260</v>
      </c>
    </row>
    <row r="2700" spans="1:20" ht="13" x14ac:dyDescent="0.15">
      <c r="A2700" s="72" t="str">
        <f t="shared" si="42"/>
        <v>Ofsted Social Care Provider Webpage</v>
      </c>
      <c r="B2700" s="55" t="s">
        <v>5081</v>
      </c>
      <c r="D2700" s="55" t="s">
        <v>373</v>
      </c>
      <c r="E2700" s="74">
        <v>39658</v>
      </c>
      <c r="F2700" s="55" t="s">
        <v>344</v>
      </c>
      <c r="G2700" s="55" t="s">
        <v>360</v>
      </c>
      <c r="H2700" s="55" t="s">
        <v>360</v>
      </c>
      <c r="I2700" s="55" t="s">
        <v>360</v>
      </c>
      <c r="J2700" s="55" t="s">
        <v>360</v>
      </c>
      <c r="K2700" s="55" t="s">
        <v>360</v>
      </c>
      <c r="L2700" s="55" t="s">
        <v>360</v>
      </c>
      <c r="M2700" s="55" t="s">
        <v>142</v>
      </c>
      <c r="N2700" s="55" t="s">
        <v>142</v>
      </c>
      <c r="O2700" s="55" t="s">
        <v>252</v>
      </c>
      <c r="P2700" s="55" t="s">
        <v>386</v>
      </c>
      <c r="Q2700" s="55" t="s">
        <v>350</v>
      </c>
      <c r="R2700" s="55">
        <v>1</v>
      </c>
      <c r="S2700" s="55"/>
      <c r="T2700" s="55" t="s">
        <v>1260</v>
      </c>
    </row>
    <row r="2701" spans="1:20" ht="13" x14ac:dyDescent="0.15">
      <c r="A2701" s="72" t="str">
        <f t="shared" si="42"/>
        <v>Ofsted Social Care Provider Webpage</v>
      </c>
      <c r="B2701" s="55" t="s">
        <v>5082</v>
      </c>
      <c r="D2701" s="55" t="s">
        <v>373</v>
      </c>
      <c r="E2701" s="74">
        <v>39525</v>
      </c>
      <c r="F2701" s="55" t="s">
        <v>344</v>
      </c>
      <c r="G2701" s="55" t="s">
        <v>360</v>
      </c>
      <c r="H2701" s="55" t="s">
        <v>360</v>
      </c>
      <c r="I2701" s="55" t="s">
        <v>360</v>
      </c>
      <c r="J2701" s="55" t="s">
        <v>360</v>
      </c>
      <c r="K2701" s="55" t="s">
        <v>360</v>
      </c>
      <c r="L2701" s="55" t="s">
        <v>360</v>
      </c>
      <c r="M2701" s="55" t="s">
        <v>144</v>
      </c>
      <c r="N2701" s="55" t="s">
        <v>144</v>
      </c>
      <c r="O2701" s="55" t="s">
        <v>147</v>
      </c>
      <c r="P2701" s="55" t="s">
        <v>674</v>
      </c>
      <c r="Q2701" s="55" t="s">
        <v>362</v>
      </c>
      <c r="R2701" s="55">
        <v>4</v>
      </c>
      <c r="S2701" s="55"/>
      <c r="T2701" s="55" t="s">
        <v>675</v>
      </c>
    </row>
    <row r="2702" spans="1:20" ht="13" x14ac:dyDescent="0.15">
      <c r="A2702" s="72" t="str">
        <f t="shared" si="42"/>
        <v>Ofsted Social Care Provider Webpage</v>
      </c>
      <c r="B2702" s="55" t="s">
        <v>5083</v>
      </c>
      <c r="D2702" s="55" t="s">
        <v>373</v>
      </c>
      <c r="E2702" s="74">
        <v>39527</v>
      </c>
      <c r="F2702" s="55" t="s">
        <v>344</v>
      </c>
      <c r="G2702" s="55" t="s">
        <v>360</v>
      </c>
      <c r="H2702" s="55" t="s">
        <v>360</v>
      </c>
      <c r="I2702" s="55" t="s">
        <v>360</v>
      </c>
      <c r="J2702" s="55" t="s">
        <v>360</v>
      </c>
      <c r="K2702" s="55" t="s">
        <v>360</v>
      </c>
      <c r="L2702" s="55" t="s">
        <v>360</v>
      </c>
      <c r="M2702" s="55" t="s">
        <v>150</v>
      </c>
      <c r="N2702" s="55" t="s">
        <v>150</v>
      </c>
      <c r="O2702" s="55" t="s">
        <v>181</v>
      </c>
      <c r="P2702" s="55" t="s">
        <v>429</v>
      </c>
      <c r="Q2702" s="55" t="s">
        <v>380</v>
      </c>
      <c r="R2702" s="55">
        <v>4</v>
      </c>
      <c r="S2702" s="55"/>
      <c r="T2702" s="55" t="s">
        <v>3026</v>
      </c>
    </row>
    <row r="2703" spans="1:20" ht="13" x14ac:dyDescent="0.15">
      <c r="A2703" s="72" t="str">
        <f t="shared" si="42"/>
        <v>Ofsted Social Care Provider Webpage</v>
      </c>
      <c r="B2703" s="55" t="s">
        <v>5084</v>
      </c>
      <c r="D2703" s="55" t="s">
        <v>373</v>
      </c>
      <c r="E2703" s="74">
        <v>39527</v>
      </c>
      <c r="F2703" s="55" t="s">
        <v>344</v>
      </c>
      <c r="G2703" s="55" t="s">
        <v>360</v>
      </c>
      <c r="H2703" s="55" t="s">
        <v>360</v>
      </c>
      <c r="I2703" s="55" t="s">
        <v>360</v>
      </c>
      <c r="J2703" s="55" t="s">
        <v>360</v>
      </c>
      <c r="K2703" s="55" t="s">
        <v>360</v>
      </c>
      <c r="L2703" s="55" t="s">
        <v>360</v>
      </c>
      <c r="M2703" s="55" t="s">
        <v>150</v>
      </c>
      <c r="N2703" s="55" t="s">
        <v>150</v>
      </c>
      <c r="O2703" s="55" t="s">
        <v>181</v>
      </c>
      <c r="P2703" s="55" t="s">
        <v>2066</v>
      </c>
      <c r="Q2703" s="55" t="s">
        <v>380</v>
      </c>
      <c r="R2703" s="55">
        <v>4</v>
      </c>
      <c r="S2703" s="55"/>
      <c r="T2703" s="55" t="s">
        <v>3026</v>
      </c>
    </row>
    <row r="2704" spans="1:20" ht="13" x14ac:dyDescent="0.15">
      <c r="A2704" s="72" t="str">
        <f t="shared" si="42"/>
        <v>Ofsted Social Care Provider Webpage</v>
      </c>
      <c r="B2704" s="55" t="s">
        <v>5085</v>
      </c>
      <c r="D2704" s="55" t="s">
        <v>373</v>
      </c>
      <c r="E2704" s="74">
        <v>39646</v>
      </c>
      <c r="F2704" s="55" t="s">
        <v>344</v>
      </c>
      <c r="G2704" s="55" t="s">
        <v>360</v>
      </c>
      <c r="H2704" s="55" t="s">
        <v>360</v>
      </c>
      <c r="I2704" s="55" t="s">
        <v>360</v>
      </c>
      <c r="J2704" s="55" t="s">
        <v>360</v>
      </c>
      <c r="K2704" s="55" t="s">
        <v>360</v>
      </c>
      <c r="L2704" s="55" t="s">
        <v>360</v>
      </c>
      <c r="M2704" s="55" t="s">
        <v>142</v>
      </c>
      <c r="N2704" s="55" t="s">
        <v>142</v>
      </c>
      <c r="O2704" s="55" t="s">
        <v>249</v>
      </c>
      <c r="P2704" s="55" t="s">
        <v>1318</v>
      </c>
      <c r="Q2704" s="55" t="s">
        <v>350</v>
      </c>
      <c r="R2704" s="55">
        <v>3</v>
      </c>
      <c r="S2704" s="55"/>
      <c r="T2704" s="55" t="s">
        <v>843</v>
      </c>
    </row>
    <row r="2705" spans="1:20" ht="13" x14ac:dyDescent="0.15">
      <c r="A2705" s="72" t="str">
        <f t="shared" si="42"/>
        <v>Ofsted Social Care Provider Webpage</v>
      </c>
      <c r="B2705" s="55" t="s">
        <v>5086</v>
      </c>
      <c r="D2705" s="55" t="s">
        <v>373</v>
      </c>
      <c r="E2705" s="74">
        <v>39602</v>
      </c>
      <c r="F2705" s="55" t="s">
        <v>344</v>
      </c>
      <c r="G2705" s="55" t="s">
        <v>360</v>
      </c>
      <c r="H2705" s="55" t="s">
        <v>360</v>
      </c>
      <c r="I2705" s="55" t="s">
        <v>360</v>
      </c>
      <c r="J2705" s="55" t="s">
        <v>360</v>
      </c>
      <c r="K2705" s="55" t="s">
        <v>360</v>
      </c>
      <c r="L2705" s="55" t="s">
        <v>360</v>
      </c>
      <c r="M2705" s="55" t="s">
        <v>172</v>
      </c>
      <c r="N2705" s="55" t="s">
        <v>172</v>
      </c>
      <c r="O2705" s="55" t="s">
        <v>234</v>
      </c>
      <c r="P2705" s="55" t="s">
        <v>965</v>
      </c>
      <c r="Q2705" s="55" t="s">
        <v>350</v>
      </c>
      <c r="R2705" s="55">
        <v>4</v>
      </c>
      <c r="S2705" s="55"/>
      <c r="T2705" s="55" t="s">
        <v>1105</v>
      </c>
    </row>
    <row r="2706" spans="1:20" ht="13" x14ac:dyDescent="0.15">
      <c r="A2706" s="72" t="str">
        <f t="shared" si="42"/>
        <v>Ofsted Social Care Provider Webpage</v>
      </c>
      <c r="B2706" s="55" t="s">
        <v>5087</v>
      </c>
      <c r="D2706" s="55" t="s">
        <v>373</v>
      </c>
      <c r="E2706" s="74">
        <v>39597</v>
      </c>
      <c r="F2706" s="55" t="s">
        <v>344</v>
      </c>
      <c r="G2706" s="55" t="s">
        <v>360</v>
      </c>
      <c r="H2706" s="55" t="s">
        <v>360</v>
      </c>
      <c r="I2706" s="55" t="s">
        <v>360</v>
      </c>
      <c r="J2706" s="55" t="s">
        <v>360</v>
      </c>
      <c r="K2706" s="55" t="s">
        <v>360</v>
      </c>
      <c r="L2706" s="55" t="s">
        <v>360</v>
      </c>
      <c r="M2706" s="55" t="s">
        <v>142</v>
      </c>
      <c r="N2706" s="55" t="s">
        <v>142</v>
      </c>
      <c r="O2706" s="55" t="s">
        <v>262</v>
      </c>
      <c r="P2706" s="55" t="s">
        <v>488</v>
      </c>
      <c r="Q2706" s="55" t="s">
        <v>380</v>
      </c>
      <c r="R2706" s="55">
        <v>6</v>
      </c>
      <c r="S2706" s="55" t="s">
        <v>332</v>
      </c>
      <c r="T2706" s="55" t="s">
        <v>2996</v>
      </c>
    </row>
    <row r="2707" spans="1:20" ht="13" x14ac:dyDescent="0.15">
      <c r="A2707" s="72" t="str">
        <f t="shared" si="42"/>
        <v>Ofsted Social Care Provider Webpage</v>
      </c>
      <c r="B2707" s="55" t="s">
        <v>5088</v>
      </c>
      <c r="D2707" s="55" t="s">
        <v>389</v>
      </c>
      <c r="E2707" s="74">
        <v>40015</v>
      </c>
      <c r="F2707" s="55" t="s">
        <v>344</v>
      </c>
      <c r="G2707" s="55" t="s">
        <v>5089</v>
      </c>
      <c r="H2707" s="55" t="s">
        <v>5090</v>
      </c>
      <c r="I2707" s="55" t="s">
        <v>354</v>
      </c>
      <c r="J2707" s="55" t="s">
        <v>5091</v>
      </c>
      <c r="K2707" s="55" t="s">
        <v>203</v>
      </c>
      <c r="L2707" s="55" t="s">
        <v>5092</v>
      </c>
      <c r="M2707" s="55" t="s">
        <v>150</v>
      </c>
      <c r="N2707" s="55" t="s">
        <v>150</v>
      </c>
      <c r="O2707" s="55" t="s">
        <v>203</v>
      </c>
      <c r="P2707" s="55" t="s">
        <v>800</v>
      </c>
      <c r="Q2707" s="55" t="s">
        <v>350</v>
      </c>
      <c r="R2707" s="55"/>
      <c r="S2707" s="55"/>
      <c r="T2707" s="55" t="s">
        <v>5093</v>
      </c>
    </row>
    <row r="2708" spans="1:20" ht="13" x14ac:dyDescent="0.15">
      <c r="A2708" s="72" t="str">
        <f t="shared" si="42"/>
        <v>Ofsted Social Care Provider Webpage</v>
      </c>
      <c r="B2708" s="55" t="s">
        <v>5094</v>
      </c>
      <c r="D2708" s="55" t="s">
        <v>373</v>
      </c>
      <c r="E2708" s="74">
        <v>39580</v>
      </c>
      <c r="F2708" s="55" t="s">
        <v>344</v>
      </c>
      <c r="G2708" s="55" t="s">
        <v>360</v>
      </c>
      <c r="H2708" s="55" t="s">
        <v>360</v>
      </c>
      <c r="I2708" s="55" t="s">
        <v>360</v>
      </c>
      <c r="J2708" s="55" t="s">
        <v>360</v>
      </c>
      <c r="K2708" s="55" t="s">
        <v>360</v>
      </c>
      <c r="L2708" s="55" t="s">
        <v>360</v>
      </c>
      <c r="M2708" s="55" t="s">
        <v>142</v>
      </c>
      <c r="N2708" s="55" t="s">
        <v>142</v>
      </c>
      <c r="O2708" s="55" t="s">
        <v>262</v>
      </c>
      <c r="P2708" s="55" t="s">
        <v>850</v>
      </c>
      <c r="Q2708" s="55" t="s">
        <v>350</v>
      </c>
      <c r="R2708" s="55">
        <v>6</v>
      </c>
      <c r="S2708" s="55"/>
      <c r="T2708" s="55" t="s">
        <v>751</v>
      </c>
    </row>
    <row r="2709" spans="1:20" ht="13" x14ac:dyDescent="0.15">
      <c r="A2709" s="72" t="str">
        <f t="shared" si="42"/>
        <v>Ofsted Social Care Provider Webpage</v>
      </c>
      <c r="B2709" s="55" t="s">
        <v>5095</v>
      </c>
      <c r="D2709" s="55" t="s">
        <v>373</v>
      </c>
      <c r="E2709" s="74">
        <v>39625</v>
      </c>
      <c r="F2709" s="55" t="s">
        <v>344</v>
      </c>
      <c r="G2709" s="55" t="s">
        <v>360</v>
      </c>
      <c r="H2709" s="55" t="s">
        <v>360</v>
      </c>
      <c r="I2709" s="55" t="s">
        <v>360</v>
      </c>
      <c r="J2709" s="55" t="s">
        <v>360</v>
      </c>
      <c r="K2709" s="55" t="s">
        <v>360</v>
      </c>
      <c r="L2709" s="55" t="s">
        <v>360</v>
      </c>
      <c r="M2709" s="55" t="s">
        <v>142</v>
      </c>
      <c r="N2709" s="55" t="s">
        <v>142</v>
      </c>
      <c r="O2709" s="55" t="s">
        <v>252</v>
      </c>
      <c r="P2709" s="55" t="s">
        <v>503</v>
      </c>
      <c r="Q2709" s="55" t="s">
        <v>350</v>
      </c>
      <c r="R2709" s="55">
        <v>2</v>
      </c>
      <c r="S2709" s="55"/>
      <c r="T2709" s="55" t="s">
        <v>504</v>
      </c>
    </row>
    <row r="2710" spans="1:20" ht="13" x14ac:dyDescent="0.15">
      <c r="A2710" s="72" t="str">
        <f t="shared" si="42"/>
        <v>Ofsted Social Care Provider Webpage</v>
      </c>
      <c r="B2710" s="55" t="s">
        <v>5096</v>
      </c>
      <c r="D2710" s="55" t="s">
        <v>389</v>
      </c>
      <c r="E2710" s="74">
        <v>39659</v>
      </c>
      <c r="F2710" s="55" t="s">
        <v>344</v>
      </c>
      <c r="G2710" s="55" t="s">
        <v>5097</v>
      </c>
      <c r="H2710" s="55" t="s">
        <v>5098</v>
      </c>
      <c r="I2710" s="55" t="s">
        <v>5099</v>
      </c>
      <c r="J2710" s="55" t="s">
        <v>236</v>
      </c>
      <c r="L2710" s="55" t="s">
        <v>4932</v>
      </c>
      <c r="M2710" s="55" t="s">
        <v>144</v>
      </c>
      <c r="N2710" s="55" t="s">
        <v>144</v>
      </c>
      <c r="O2710" s="55" t="s">
        <v>236</v>
      </c>
      <c r="P2710" s="55" t="s">
        <v>2088</v>
      </c>
      <c r="Q2710" s="55" t="s">
        <v>350</v>
      </c>
      <c r="R2710" s="55"/>
      <c r="S2710" s="55"/>
      <c r="T2710" s="55" t="s">
        <v>5100</v>
      </c>
    </row>
    <row r="2711" spans="1:20" ht="13" x14ac:dyDescent="0.15">
      <c r="A2711" s="72" t="str">
        <f t="shared" si="42"/>
        <v>Ofsted Social Care Provider Webpage</v>
      </c>
      <c r="B2711" s="55" t="s">
        <v>5101</v>
      </c>
      <c r="D2711" s="55" t="s">
        <v>373</v>
      </c>
      <c r="E2711" s="74">
        <v>39639</v>
      </c>
      <c r="F2711" s="55" t="s">
        <v>344</v>
      </c>
      <c r="G2711" s="55" t="s">
        <v>360</v>
      </c>
      <c r="H2711" s="55" t="s">
        <v>360</v>
      </c>
      <c r="I2711" s="55" t="s">
        <v>360</v>
      </c>
      <c r="J2711" s="55" t="s">
        <v>360</v>
      </c>
      <c r="K2711" s="55" t="s">
        <v>360</v>
      </c>
      <c r="L2711" s="55" t="s">
        <v>360</v>
      </c>
      <c r="M2711" s="55" t="s">
        <v>129</v>
      </c>
      <c r="N2711" s="55" t="s">
        <v>129</v>
      </c>
      <c r="O2711" s="55" t="s">
        <v>213</v>
      </c>
      <c r="P2711" s="55" t="s">
        <v>1160</v>
      </c>
      <c r="Q2711" s="55" t="s">
        <v>350</v>
      </c>
      <c r="R2711" s="55">
        <v>6</v>
      </c>
      <c r="S2711" s="55"/>
      <c r="T2711" s="55" t="s">
        <v>3508</v>
      </c>
    </row>
    <row r="2712" spans="1:20" ht="13" x14ac:dyDescent="0.15">
      <c r="A2712" s="72" t="str">
        <f t="shared" si="42"/>
        <v>Ofsted Social Care Provider Webpage</v>
      </c>
      <c r="B2712" s="55" t="s">
        <v>5102</v>
      </c>
      <c r="D2712" s="55" t="s">
        <v>373</v>
      </c>
      <c r="E2712" s="74">
        <v>39637</v>
      </c>
      <c r="F2712" s="55" t="s">
        <v>344</v>
      </c>
      <c r="G2712" s="55" t="s">
        <v>360</v>
      </c>
      <c r="H2712" s="55" t="s">
        <v>360</v>
      </c>
      <c r="I2712" s="55" t="s">
        <v>360</v>
      </c>
      <c r="J2712" s="55" t="s">
        <v>360</v>
      </c>
      <c r="K2712" s="55" t="s">
        <v>360</v>
      </c>
      <c r="L2712" s="55" t="s">
        <v>360</v>
      </c>
      <c r="M2712" s="55" t="s">
        <v>142</v>
      </c>
      <c r="N2712" s="55" t="s">
        <v>142</v>
      </c>
      <c r="O2712" s="55" t="s">
        <v>141</v>
      </c>
      <c r="P2712" s="55" t="s">
        <v>641</v>
      </c>
      <c r="Q2712" s="55" t="s">
        <v>350</v>
      </c>
      <c r="R2712" s="55">
        <v>3</v>
      </c>
      <c r="S2712" s="55"/>
      <c r="T2712" s="55" t="s">
        <v>2811</v>
      </c>
    </row>
    <row r="2713" spans="1:20" ht="13" x14ac:dyDescent="0.15">
      <c r="A2713" s="72" t="str">
        <f t="shared" si="42"/>
        <v>Ofsted Social Care Provider Webpage</v>
      </c>
      <c r="B2713" s="55" t="s">
        <v>5103</v>
      </c>
      <c r="C2713" s="55">
        <v>130733</v>
      </c>
      <c r="D2713" s="55" t="s">
        <v>693</v>
      </c>
      <c r="E2713" s="74">
        <v>39172</v>
      </c>
      <c r="F2713" s="55" t="s">
        <v>344</v>
      </c>
      <c r="G2713" s="55" t="s">
        <v>5104</v>
      </c>
      <c r="H2713" s="55" t="s">
        <v>5105</v>
      </c>
      <c r="I2713" s="55" t="s">
        <v>354</v>
      </c>
      <c r="J2713" s="55" t="s">
        <v>5106</v>
      </c>
      <c r="K2713" s="55" t="s">
        <v>5107</v>
      </c>
      <c r="L2713" s="55" t="s">
        <v>5108</v>
      </c>
      <c r="M2713" s="55" t="s">
        <v>150</v>
      </c>
      <c r="N2713" s="55" t="s">
        <v>150</v>
      </c>
      <c r="O2713" s="55" t="s">
        <v>203</v>
      </c>
      <c r="P2713" s="55" t="s">
        <v>5109</v>
      </c>
      <c r="Q2713" s="55" t="s">
        <v>350</v>
      </c>
      <c r="R2713" s="55">
        <v>110</v>
      </c>
      <c r="S2713" s="55"/>
      <c r="T2713" s="55" t="s">
        <v>5110</v>
      </c>
    </row>
    <row r="2714" spans="1:20" ht="13" x14ac:dyDescent="0.15">
      <c r="A2714" s="72" t="str">
        <f t="shared" si="42"/>
        <v>Ofsted Social Care Provider Webpage</v>
      </c>
      <c r="B2714" s="55" t="s">
        <v>5111</v>
      </c>
      <c r="D2714" s="55" t="s">
        <v>373</v>
      </c>
      <c r="E2714" s="74">
        <v>39736</v>
      </c>
      <c r="F2714" s="55" t="s">
        <v>344</v>
      </c>
      <c r="G2714" s="55" t="s">
        <v>360</v>
      </c>
      <c r="H2714" s="55" t="s">
        <v>360</v>
      </c>
      <c r="I2714" s="55" t="s">
        <v>360</v>
      </c>
      <c r="J2714" s="55" t="s">
        <v>360</v>
      </c>
      <c r="K2714" s="55" t="s">
        <v>360</v>
      </c>
      <c r="L2714" s="55" t="s">
        <v>360</v>
      </c>
      <c r="M2714" s="55" t="s">
        <v>142</v>
      </c>
      <c r="N2714" s="55" t="s">
        <v>142</v>
      </c>
      <c r="O2714" s="55" t="s">
        <v>262</v>
      </c>
      <c r="P2714" s="55" t="s">
        <v>692</v>
      </c>
      <c r="Q2714" s="55" t="s">
        <v>380</v>
      </c>
      <c r="R2714" s="55">
        <v>6</v>
      </c>
      <c r="S2714" s="55"/>
      <c r="T2714" s="55" t="s">
        <v>3963</v>
      </c>
    </row>
    <row r="2715" spans="1:20" ht="13" x14ac:dyDescent="0.15">
      <c r="A2715" s="72" t="str">
        <f t="shared" si="42"/>
        <v>Ofsted Social Care Provider Webpage</v>
      </c>
      <c r="B2715" s="55" t="s">
        <v>5112</v>
      </c>
      <c r="D2715" s="55" t="s">
        <v>373</v>
      </c>
      <c r="E2715" s="74">
        <v>39700</v>
      </c>
      <c r="F2715" s="55" t="s">
        <v>344</v>
      </c>
      <c r="G2715" s="55" t="s">
        <v>360</v>
      </c>
      <c r="H2715" s="55" t="s">
        <v>360</v>
      </c>
      <c r="I2715" s="55" t="s">
        <v>360</v>
      </c>
      <c r="J2715" s="55" t="s">
        <v>360</v>
      </c>
      <c r="K2715" s="55" t="s">
        <v>360</v>
      </c>
      <c r="L2715" s="55" t="s">
        <v>360</v>
      </c>
      <c r="M2715" s="55" t="s">
        <v>142</v>
      </c>
      <c r="N2715" s="55" t="s">
        <v>142</v>
      </c>
      <c r="O2715" s="55" t="s">
        <v>262</v>
      </c>
      <c r="P2715" s="55" t="s">
        <v>618</v>
      </c>
      <c r="Q2715" s="55" t="s">
        <v>350</v>
      </c>
      <c r="R2715" s="55">
        <v>2</v>
      </c>
      <c r="S2715" s="55"/>
      <c r="T2715" s="55" t="s">
        <v>541</v>
      </c>
    </row>
    <row r="2716" spans="1:20" ht="13" x14ac:dyDescent="0.15">
      <c r="A2716" s="72" t="str">
        <f t="shared" si="42"/>
        <v>Ofsted Social Care Provider Webpage</v>
      </c>
      <c r="B2716" s="55" t="s">
        <v>5113</v>
      </c>
      <c r="D2716" s="55" t="s">
        <v>373</v>
      </c>
      <c r="E2716" s="74">
        <v>39675</v>
      </c>
      <c r="F2716" s="55" t="s">
        <v>344</v>
      </c>
      <c r="G2716" s="55" t="s">
        <v>360</v>
      </c>
      <c r="H2716" s="55" t="s">
        <v>360</v>
      </c>
      <c r="I2716" s="55" t="s">
        <v>360</v>
      </c>
      <c r="J2716" s="55" t="s">
        <v>360</v>
      </c>
      <c r="K2716" s="55" t="s">
        <v>360</v>
      </c>
      <c r="L2716" s="55" t="s">
        <v>360</v>
      </c>
      <c r="M2716" s="55" t="s">
        <v>142</v>
      </c>
      <c r="N2716" s="55" t="s">
        <v>142</v>
      </c>
      <c r="O2716" s="55" t="s">
        <v>262</v>
      </c>
      <c r="P2716" s="55" t="s">
        <v>618</v>
      </c>
      <c r="Q2716" s="55" t="s">
        <v>350</v>
      </c>
      <c r="R2716" s="55">
        <v>2</v>
      </c>
      <c r="S2716" s="55"/>
      <c r="T2716" s="55" t="s">
        <v>541</v>
      </c>
    </row>
    <row r="2717" spans="1:20" ht="13" x14ac:dyDescent="0.15">
      <c r="A2717" s="72" t="str">
        <f t="shared" si="42"/>
        <v>Ofsted Social Care Provider Webpage</v>
      </c>
      <c r="B2717" s="55" t="s">
        <v>5114</v>
      </c>
      <c r="D2717" s="55" t="s">
        <v>373</v>
      </c>
      <c r="E2717" s="74">
        <v>39647</v>
      </c>
      <c r="F2717" s="55" t="s">
        <v>344</v>
      </c>
      <c r="G2717" s="55" t="s">
        <v>360</v>
      </c>
      <c r="H2717" s="55" t="s">
        <v>360</v>
      </c>
      <c r="I2717" s="55" t="s">
        <v>360</v>
      </c>
      <c r="J2717" s="55" t="s">
        <v>360</v>
      </c>
      <c r="K2717" s="55" t="s">
        <v>360</v>
      </c>
      <c r="L2717" s="55" t="s">
        <v>360</v>
      </c>
      <c r="M2717" s="55" t="s">
        <v>144</v>
      </c>
      <c r="N2717" s="55" t="s">
        <v>144</v>
      </c>
      <c r="O2717" s="55" t="s">
        <v>245</v>
      </c>
      <c r="P2717" s="55" t="s">
        <v>245</v>
      </c>
      <c r="Q2717" s="55" t="s">
        <v>350</v>
      </c>
      <c r="R2717" s="55">
        <v>2</v>
      </c>
      <c r="S2717" s="55"/>
      <c r="T2717" s="55" t="s">
        <v>711</v>
      </c>
    </row>
    <row r="2718" spans="1:20" ht="13" x14ac:dyDescent="0.15">
      <c r="A2718" s="72" t="str">
        <f t="shared" si="42"/>
        <v>Ofsted Social Care Provider Webpage</v>
      </c>
      <c r="B2718" s="55" t="s">
        <v>5115</v>
      </c>
      <c r="D2718" s="55" t="s">
        <v>373</v>
      </c>
      <c r="E2718" s="74">
        <v>39671</v>
      </c>
      <c r="F2718" s="55" t="s">
        <v>344</v>
      </c>
      <c r="G2718" s="55" t="s">
        <v>360</v>
      </c>
      <c r="H2718" s="55" t="s">
        <v>360</v>
      </c>
      <c r="I2718" s="55" t="s">
        <v>360</v>
      </c>
      <c r="J2718" s="55" t="s">
        <v>360</v>
      </c>
      <c r="K2718" s="55" t="s">
        <v>360</v>
      </c>
      <c r="L2718" s="55" t="s">
        <v>360</v>
      </c>
      <c r="M2718" s="55" t="s">
        <v>138</v>
      </c>
      <c r="N2718" s="55" t="s">
        <v>138</v>
      </c>
      <c r="O2718" s="55" t="s">
        <v>161</v>
      </c>
      <c r="P2718" s="55" t="s">
        <v>822</v>
      </c>
      <c r="Q2718" s="55" t="s">
        <v>350</v>
      </c>
      <c r="R2718" s="55">
        <v>3</v>
      </c>
      <c r="S2718" s="55"/>
      <c r="T2718" s="55" t="s">
        <v>4819</v>
      </c>
    </row>
    <row r="2719" spans="1:20" ht="13" x14ac:dyDescent="0.15">
      <c r="A2719" s="72" t="str">
        <f t="shared" si="42"/>
        <v>Ofsted Social Care Provider Webpage</v>
      </c>
      <c r="B2719" s="55" t="s">
        <v>5116</v>
      </c>
      <c r="D2719" s="55" t="s">
        <v>373</v>
      </c>
      <c r="E2719" s="74">
        <v>39659</v>
      </c>
      <c r="F2719" s="55" t="s">
        <v>344</v>
      </c>
      <c r="G2719" s="55" t="s">
        <v>360</v>
      </c>
      <c r="H2719" s="55" t="s">
        <v>360</v>
      </c>
      <c r="I2719" s="55" t="s">
        <v>360</v>
      </c>
      <c r="J2719" s="55" t="s">
        <v>360</v>
      </c>
      <c r="K2719" s="55" t="s">
        <v>360</v>
      </c>
      <c r="L2719" s="55" t="s">
        <v>360</v>
      </c>
      <c r="M2719" s="55" t="s">
        <v>142</v>
      </c>
      <c r="N2719" s="55" t="s">
        <v>142</v>
      </c>
      <c r="O2719" s="55" t="s">
        <v>272</v>
      </c>
      <c r="P2719" s="55" t="s">
        <v>653</v>
      </c>
      <c r="Q2719" s="55" t="s">
        <v>350</v>
      </c>
      <c r="R2719" s="55">
        <v>5</v>
      </c>
      <c r="S2719" s="55"/>
      <c r="T2719" s="55" t="s">
        <v>654</v>
      </c>
    </row>
    <row r="2720" spans="1:20" ht="13" x14ac:dyDescent="0.15">
      <c r="A2720" s="72" t="str">
        <f t="shared" si="42"/>
        <v>Ofsted Social Care Provider Webpage</v>
      </c>
      <c r="B2720" s="55" t="s">
        <v>5117</v>
      </c>
      <c r="D2720" s="55" t="s">
        <v>373</v>
      </c>
      <c r="E2720" s="74">
        <v>39673</v>
      </c>
      <c r="F2720" s="55" t="s">
        <v>344</v>
      </c>
      <c r="G2720" s="55" t="s">
        <v>360</v>
      </c>
      <c r="H2720" s="55" t="s">
        <v>360</v>
      </c>
      <c r="I2720" s="55" t="s">
        <v>360</v>
      </c>
      <c r="J2720" s="55" t="s">
        <v>360</v>
      </c>
      <c r="K2720" s="55" t="s">
        <v>360</v>
      </c>
      <c r="L2720" s="55" t="s">
        <v>360</v>
      </c>
      <c r="M2720" s="55" t="s">
        <v>138</v>
      </c>
      <c r="N2720" s="55" t="s">
        <v>138</v>
      </c>
      <c r="O2720" s="55" t="s">
        <v>196</v>
      </c>
      <c r="P2720" s="55" t="s">
        <v>4371</v>
      </c>
      <c r="Q2720" s="55" t="s">
        <v>380</v>
      </c>
      <c r="R2720" s="55">
        <v>7</v>
      </c>
      <c r="S2720" s="55"/>
      <c r="T2720" s="55" t="s">
        <v>2082</v>
      </c>
    </row>
    <row r="2721" spans="1:20" ht="13" x14ac:dyDescent="0.15">
      <c r="A2721" s="72" t="str">
        <f t="shared" si="42"/>
        <v>Ofsted Social Care Provider Webpage</v>
      </c>
      <c r="B2721" s="55" t="s">
        <v>5118</v>
      </c>
      <c r="D2721" s="55" t="s">
        <v>373</v>
      </c>
      <c r="E2721" s="74">
        <v>39647</v>
      </c>
      <c r="F2721" s="55" t="s">
        <v>344</v>
      </c>
      <c r="G2721" s="55" t="s">
        <v>360</v>
      </c>
      <c r="H2721" s="55" t="s">
        <v>360</v>
      </c>
      <c r="I2721" s="55" t="s">
        <v>360</v>
      </c>
      <c r="J2721" s="55" t="s">
        <v>360</v>
      </c>
      <c r="K2721" s="55" t="s">
        <v>360</v>
      </c>
      <c r="L2721" s="55" t="s">
        <v>360</v>
      </c>
      <c r="M2721" s="55" t="s">
        <v>378</v>
      </c>
      <c r="N2721" s="55" t="s">
        <v>134</v>
      </c>
      <c r="O2721" s="55" t="s">
        <v>277</v>
      </c>
      <c r="P2721" s="55" t="s">
        <v>1362</v>
      </c>
      <c r="Q2721" s="55" t="s">
        <v>350</v>
      </c>
      <c r="R2721" s="55">
        <v>4</v>
      </c>
      <c r="S2721" s="55"/>
      <c r="T2721" s="55" t="s">
        <v>1251</v>
      </c>
    </row>
    <row r="2722" spans="1:20" ht="13" x14ac:dyDescent="0.15">
      <c r="A2722" s="72" t="str">
        <f t="shared" si="42"/>
        <v>Ofsted Social Care Provider Webpage</v>
      </c>
      <c r="B2722" s="55" t="s">
        <v>5119</v>
      </c>
      <c r="D2722" s="55" t="s">
        <v>373</v>
      </c>
      <c r="E2722" s="74">
        <v>39702</v>
      </c>
      <c r="F2722" s="55" t="s">
        <v>344</v>
      </c>
      <c r="G2722" s="55" t="s">
        <v>360</v>
      </c>
      <c r="H2722" s="55" t="s">
        <v>360</v>
      </c>
      <c r="I2722" s="55" t="s">
        <v>360</v>
      </c>
      <c r="J2722" s="55" t="s">
        <v>360</v>
      </c>
      <c r="K2722" s="55" t="s">
        <v>360</v>
      </c>
      <c r="L2722" s="55" t="s">
        <v>360</v>
      </c>
      <c r="M2722" s="55" t="s">
        <v>138</v>
      </c>
      <c r="N2722" s="55" t="s">
        <v>138</v>
      </c>
      <c r="O2722" s="55" t="s">
        <v>224</v>
      </c>
      <c r="P2722" s="55" t="s">
        <v>374</v>
      </c>
      <c r="Q2722" s="55" t="s">
        <v>350</v>
      </c>
      <c r="R2722" s="55">
        <v>4</v>
      </c>
      <c r="S2722" s="55"/>
      <c r="T2722" s="55" t="s">
        <v>2811</v>
      </c>
    </row>
    <row r="2723" spans="1:20" ht="13" x14ac:dyDescent="0.15">
      <c r="A2723" s="72" t="str">
        <f t="shared" si="42"/>
        <v>Ofsted Social Care Provider Webpage</v>
      </c>
      <c r="B2723" s="55" t="s">
        <v>5120</v>
      </c>
      <c r="D2723" s="55" t="s">
        <v>373</v>
      </c>
      <c r="E2723" s="74">
        <v>39962</v>
      </c>
      <c r="F2723" s="55" t="s">
        <v>344</v>
      </c>
      <c r="G2723" s="55" t="s">
        <v>360</v>
      </c>
      <c r="H2723" s="55" t="s">
        <v>360</v>
      </c>
      <c r="I2723" s="55" t="s">
        <v>360</v>
      </c>
      <c r="J2723" s="55" t="s">
        <v>360</v>
      </c>
      <c r="K2723" s="55" t="s">
        <v>360</v>
      </c>
      <c r="L2723" s="55" t="s">
        <v>360</v>
      </c>
      <c r="M2723" s="55" t="s">
        <v>378</v>
      </c>
      <c r="N2723" s="55" t="s">
        <v>134</v>
      </c>
      <c r="O2723" s="55" t="s">
        <v>225</v>
      </c>
      <c r="P2723" s="55" t="s">
        <v>1667</v>
      </c>
      <c r="Q2723" s="55" t="s">
        <v>380</v>
      </c>
      <c r="R2723" s="55">
        <v>3</v>
      </c>
      <c r="S2723" s="55"/>
      <c r="T2723" s="55" t="s">
        <v>1668</v>
      </c>
    </row>
    <row r="2724" spans="1:20" ht="13" x14ac:dyDescent="0.15">
      <c r="A2724" s="72" t="str">
        <f t="shared" si="42"/>
        <v>Ofsted Social Care Provider Webpage</v>
      </c>
      <c r="B2724" s="55" t="s">
        <v>5121</v>
      </c>
      <c r="D2724" s="55" t="s">
        <v>373</v>
      </c>
      <c r="E2724" s="74">
        <v>39695</v>
      </c>
      <c r="F2724" s="55" t="s">
        <v>344</v>
      </c>
      <c r="G2724" s="55" t="s">
        <v>360</v>
      </c>
      <c r="H2724" s="55" t="s">
        <v>360</v>
      </c>
      <c r="I2724" s="55" t="s">
        <v>360</v>
      </c>
      <c r="J2724" s="55" t="s">
        <v>360</v>
      </c>
      <c r="K2724" s="55" t="s">
        <v>360</v>
      </c>
      <c r="L2724" s="55" t="s">
        <v>360</v>
      </c>
      <c r="M2724" s="55" t="s">
        <v>142</v>
      </c>
      <c r="N2724" s="55" t="s">
        <v>142</v>
      </c>
      <c r="O2724" s="55" t="s">
        <v>265</v>
      </c>
      <c r="P2724" s="55" t="s">
        <v>1066</v>
      </c>
      <c r="Q2724" s="55" t="s">
        <v>380</v>
      </c>
      <c r="R2724" s="55">
        <v>2</v>
      </c>
      <c r="S2724" s="55"/>
      <c r="T2724" s="55" t="s">
        <v>1067</v>
      </c>
    </row>
    <row r="2725" spans="1:20" ht="13" x14ac:dyDescent="0.15">
      <c r="A2725" s="72" t="str">
        <f t="shared" si="42"/>
        <v>Ofsted Social Care Provider Webpage</v>
      </c>
      <c r="B2725" s="55" t="s">
        <v>5122</v>
      </c>
      <c r="D2725" s="55" t="s">
        <v>373</v>
      </c>
      <c r="E2725" s="74">
        <v>39695</v>
      </c>
      <c r="F2725" s="55" t="s">
        <v>344</v>
      </c>
      <c r="G2725" s="55" t="s">
        <v>360</v>
      </c>
      <c r="H2725" s="55" t="s">
        <v>360</v>
      </c>
      <c r="I2725" s="55" t="s">
        <v>360</v>
      </c>
      <c r="J2725" s="55" t="s">
        <v>360</v>
      </c>
      <c r="K2725" s="55" t="s">
        <v>360</v>
      </c>
      <c r="L2725" s="55" t="s">
        <v>360</v>
      </c>
      <c r="M2725" s="55" t="s">
        <v>142</v>
      </c>
      <c r="N2725" s="55" t="s">
        <v>142</v>
      </c>
      <c r="O2725" s="55" t="s">
        <v>265</v>
      </c>
      <c r="P2725" s="55" t="s">
        <v>540</v>
      </c>
      <c r="Q2725" s="55" t="s">
        <v>380</v>
      </c>
      <c r="R2725" s="55">
        <v>2</v>
      </c>
      <c r="S2725" s="55"/>
      <c r="T2725" s="55" t="s">
        <v>1067</v>
      </c>
    </row>
    <row r="2726" spans="1:20" ht="13" x14ac:dyDescent="0.15">
      <c r="A2726" s="72" t="str">
        <f t="shared" si="42"/>
        <v>Ofsted Social Care Provider Webpage</v>
      </c>
      <c r="B2726" s="55" t="s">
        <v>5123</v>
      </c>
      <c r="D2726" s="55" t="s">
        <v>373</v>
      </c>
      <c r="E2726" s="74">
        <v>39710</v>
      </c>
      <c r="F2726" s="55" t="s">
        <v>344</v>
      </c>
      <c r="G2726" s="55" t="s">
        <v>360</v>
      </c>
      <c r="H2726" s="55" t="s">
        <v>360</v>
      </c>
      <c r="I2726" s="55" t="s">
        <v>360</v>
      </c>
      <c r="J2726" s="55" t="s">
        <v>360</v>
      </c>
      <c r="K2726" s="55" t="s">
        <v>360</v>
      </c>
      <c r="L2726" s="55" t="s">
        <v>360</v>
      </c>
      <c r="M2726" s="55" t="s">
        <v>144</v>
      </c>
      <c r="N2726" s="55" t="s">
        <v>144</v>
      </c>
      <c r="O2726" s="55" t="s">
        <v>217</v>
      </c>
      <c r="P2726" s="55" t="s">
        <v>397</v>
      </c>
      <c r="Q2726" s="55" t="s">
        <v>350</v>
      </c>
      <c r="R2726" s="55">
        <v>4</v>
      </c>
      <c r="S2726" s="55"/>
      <c r="T2726" s="55" t="s">
        <v>1107</v>
      </c>
    </row>
    <row r="2727" spans="1:20" ht="13" x14ac:dyDescent="0.15">
      <c r="A2727" s="72" t="str">
        <f t="shared" si="42"/>
        <v>Ofsted Social Care Provider Webpage</v>
      </c>
      <c r="B2727" s="55" t="s">
        <v>5124</v>
      </c>
      <c r="D2727" s="55" t="s">
        <v>373</v>
      </c>
      <c r="E2727" s="74">
        <v>39727</v>
      </c>
      <c r="F2727" s="55" t="s">
        <v>344</v>
      </c>
      <c r="G2727" s="55" t="s">
        <v>360</v>
      </c>
      <c r="H2727" s="55" t="s">
        <v>360</v>
      </c>
      <c r="I2727" s="55" t="s">
        <v>360</v>
      </c>
      <c r="J2727" s="55" t="s">
        <v>360</v>
      </c>
      <c r="K2727" s="55" t="s">
        <v>360</v>
      </c>
      <c r="L2727" s="55" t="s">
        <v>360</v>
      </c>
      <c r="M2727" s="55" t="s">
        <v>172</v>
      </c>
      <c r="N2727" s="55" t="s">
        <v>172</v>
      </c>
      <c r="O2727" s="55" t="s">
        <v>235</v>
      </c>
      <c r="P2727" s="55" t="s">
        <v>1396</v>
      </c>
      <c r="Q2727" s="55" t="s">
        <v>350</v>
      </c>
      <c r="R2727" s="55">
        <v>3</v>
      </c>
      <c r="S2727" s="55"/>
      <c r="T2727" s="55" t="s">
        <v>5125</v>
      </c>
    </row>
    <row r="2728" spans="1:20" ht="13" x14ac:dyDescent="0.15">
      <c r="A2728" s="72" t="str">
        <f t="shared" si="42"/>
        <v>Ofsted Social Care Provider Webpage</v>
      </c>
      <c r="B2728" s="55" t="s">
        <v>5126</v>
      </c>
      <c r="D2728" s="55" t="s">
        <v>373</v>
      </c>
      <c r="E2728" s="74">
        <v>39721</v>
      </c>
      <c r="F2728" s="55" t="s">
        <v>344</v>
      </c>
      <c r="G2728" s="55" t="s">
        <v>360</v>
      </c>
      <c r="H2728" s="55" t="s">
        <v>360</v>
      </c>
      <c r="I2728" s="55" t="s">
        <v>360</v>
      </c>
      <c r="J2728" s="55" t="s">
        <v>360</v>
      </c>
      <c r="K2728" s="55" t="s">
        <v>360</v>
      </c>
      <c r="L2728" s="55" t="s">
        <v>360</v>
      </c>
      <c r="M2728" s="55" t="s">
        <v>144</v>
      </c>
      <c r="N2728" s="55" t="s">
        <v>144</v>
      </c>
      <c r="O2728" s="55" t="s">
        <v>215</v>
      </c>
      <c r="P2728" s="55" t="s">
        <v>1008</v>
      </c>
      <c r="Q2728" s="55" t="s">
        <v>350</v>
      </c>
      <c r="R2728" s="55">
        <v>4</v>
      </c>
      <c r="S2728" s="55"/>
      <c r="T2728" s="55" t="s">
        <v>1441</v>
      </c>
    </row>
    <row r="2729" spans="1:20" ht="13" x14ac:dyDescent="0.15">
      <c r="A2729" s="72" t="str">
        <f t="shared" si="42"/>
        <v>Ofsted Social Care Provider Webpage</v>
      </c>
      <c r="B2729" s="55" t="s">
        <v>5127</v>
      </c>
      <c r="D2729" s="55" t="s">
        <v>373</v>
      </c>
      <c r="E2729" s="74">
        <v>39694</v>
      </c>
      <c r="F2729" s="55" t="s">
        <v>344</v>
      </c>
      <c r="G2729" s="55" t="s">
        <v>360</v>
      </c>
      <c r="H2729" s="55" t="s">
        <v>360</v>
      </c>
      <c r="I2729" s="55" t="s">
        <v>360</v>
      </c>
      <c r="J2729" s="55" t="s">
        <v>360</v>
      </c>
      <c r="K2729" s="55" t="s">
        <v>360</v>
      </c>
      <c r="L2729" s="55" t="s">
        <v>360</v>
      </c>
      <c r="M2729" s="55" t="s">
        <v>138</v>
      </c>
      <c r="N2729" s="55" t="s">
        <v>138</v>
      </c>
      <c r="O2729" s="55" t="s">
        <v>196</v>
      </c>
      <c r="P2729" s="55" t="s">
        <v>2347</v>
      </c>
      <c r="Q2729" s="55" t="s">
        <v>380</v>
      </c>
      <c r="R2729" s="55">
        <v>5</v>
      </c>
      <c r="S2729" s="55"/>
      <c r="T2729" s="55" t="s">
        <v>2082</v>
      </c>
    </row>
    <row r="2730" spans="1:20" ht="13" x14ac:dyDescent="0.15">
      <c r="A2730" s="72" t="str">
        <f t="shared" si="42"/>
        <v>Ofsted Social Care Provider Webpage</v>
      </c>
      <c r="B2730" s="55" t="s">
        <v>5128</v>
      </c>
      <c r="D2730" s="55" t="s">
        <v>373</v>
      </c>
      <c r="E2730" s="74">
        <v>39744</v>
      </c>
      <c r="F2730" s="55" t="s">
        <v>344</v>
      </c>
      <c r="G2730" s="55" t="s">
        <v>360</v>
      </c>
      <c r="H2730" s="55" t="s">
        <v>360</v>
      </c>
      <c r="I2730" s="55" t="s">
        <v>360</v>
      </c>
      <c r="J2730" s="55" t="s">
        <v>360</v>
      </c>
      <c r="K2730" s="55" t="s">
        <v>360</v>
      </c>
      <c r="L2730" s="55" t="s">
        <v>360</v>
      </c>
      <c r="M2730" s="55" t="s">
        <v>378</v>
      </c>
      <c r="N2730" s="55" t="s">
        <v>170</v>
      </c>
      <c r="O2730" s="55" t="s">
        <v>222</v>
      </c>
      <c r="P2730" s="55" t="s">
        <v>2188</v>
      </c>
      <c r="Q2730" s="55" t="s">
        <v>350</v>
      </c>
      <c r="R2730" s="55">
        <v>5</v>
      </c>
      <c r="S2730" s="55"/>
      <c r="T2730" s="55" t="s">
        <v>5129</v>
      </c>
    </row>
    <row r="2731" spans="1:20" ht="13" x14ac:dyDescent="0.15">
      <c r="A2731" s="72" t="str">
        <f t="shared" si="42"/>
        <v>Ofsted Social Care Provider Webpage</v>
      </c>
      <c r="B2731" s="55" t="s">
        <v>5130</v>
      </c>
      <c r="D2731" s="55" t="s">
        <v>373</v>
      </c>
      <c r="E2731" s="74">
        <v>39769</v>
      </c>
      <c r="F2731" s="55" t="s">
        <v>344</v>
      </c>
      <c r="G2731" s="55" t="s">
        <v>360</v>
      </c>
      <c r="H2731" s="55" t="s">
        <v>360</v>
      </c>
      <c r="I2731" s="55" t="s">
        <v>360</v>
      </c>
      <c r="J2731" s="55" t="s">
        <v>360</v>
      </c>
      <c r="K2731" s="55" t="s">
        <v>360</v>
      </c>
      <c r="L2731" s="55" t="s">
        <v>360</v>
      </c>
      <c r="M2731" s="55" t="s">
        <v>142</v>
      </c>
      <c r="N2731" s="55" t="s">
        <v>142</v>
      </c>
      <c r="O2731" s="55" t="s">
        <v>252</v>
      </c>
      <c r="P2731" s="55" t="s">
        <v>388</v>
      </c>
      <c r="Q2731" s="55" t="s">
        <v>380</v>
      </c>
      <c r="R2731" s="55">
        <v>5</v>
      </c>
      <c r="S2731" s="55"/>
      <c r="T2731" s="55" t="s">
        <v>1542</v>
      </c>
    </row>
    <row r="2732" spans="1:20" ht="13" x14ac:dyDescent="0.15">
      <c r="A2732" s="72" t="str">
        <f t="shared" si="42"/>
        <v>Ofsted Social Care Provider Webpage</v>
      </c>
      <c r="B2732" s="55" t="s">
        <v>5131</v>
      </c>
      <c r="D2732" s="55" t="s">
        <v>373</v>
      </c>
      <c r="E2732" s="74">
        <v>39674</v>
      </c>
      <c r="F2732" s="55" t="s">
        <v>344</v>
      </c>
      <c r="G2732" s="55" t="s">
        <v>360</v>
      </c>
      <c r="H2732" s="55" t="s">
        <v>360</v>
      </c>
      <c r="I2732" s="55" t="s">
        <v>360</v>
      </c>
      <c r="J2732" s="55" t="s">
        <v>360</v>
      </c>
      <c r="K2732" s="55" t="s">
        <v>360</v>
      </c>
      <c r="L2732" s="55" t="s">
        <v>360</v>
      </c>
      <c r="M2732" s="55" t="s">
        <v>172</v>
      </c>
      <c r="N2732" s="55" t="s">
        <v>172</v>
      </c>
      <c r="O2732" s="55" t="s">
        <v>235</v>
      </c>
      <c r="P2732" s="55" t="s">
        <v>494</v>
      </c>
      <c r="Q2732" s="55" t="s">
        <v>350</v>
      </c>
      <c r="R2732" s="55">
        <v>5</v>
      </c>
      <c r="S2732" s="55"/>
      <c r="T2732" s="55" t="s">
        <v>1105</v>
      </c>
    </row>
    <row r="2733" spans="1:20" ht="13" x14ac:dyDescent="0.15">
      <c r="A2733" s="72" t="str">
        <f t="shared" si="42"/>
        <v>Ofsted Social Care Provider Webpage</v>
      </c>
      <c r="B2733" s="55" t="s">
        <v>5132</v>
      </c>
      <c r="D2733" s="55" t="s">
        <v>389</v>
      </c>
      <c r="E2733" s="74">
        <v>39756</v>
      </c>
      <c r="F2733" s="55" t="s">
        <v>344</v>
      </c>
      <c r="G2733" s="55" t="s">
        <v>5133</v>
      </c>
      <c r="H2733" s="55" t="s">
        <v>5134</v>
      </c>
      <c r="I2733" s="55" t="s">
        <v>5135</v>
      </c>
      <c r="J2733" s="55" t="s">
        <v>285</v>
      </c>
      <c r="L2733" s="55" t="s">
        <v>5136</v>
      </c>
      <c r="M2733" s="55" t="s">
        <v>150</v>
      </c>
      <c r="N2733" s="55" t="s">
        <v>150</v>
      </c>
      <c r="O2733" s="55" t="s">
        <v>285</v>
      </c>
      <c r="P2733" s="55" t="s">
        <v>1810</v>
      </c>
      <c r="Q2733" s="55" t="s">
        <v>350</v>
      </c>
      <c r="R2733" s="55"/>
      <c r="S2733" s="55"/>
      <c r="T2733" s="55" t="s">
        <v>1004</v>
      </c>
    </row>
    <row r="2734" spans="1:20" ht="13" x14ac:dyDescent="0.15">
      <c r="A2734" s="72" t="str">
        <f t="shared" si="42"/>
        <v>Ofsted Social Care Provider Webpage</v>
      </c>
      <c r="B2734" s="55" t="s">
        <v>5137</v>
      </c>
      <c r="D2734" s="55" t="s">
        <v>389</v>
      </c>
      <c r="E2734" s="74">
        <v>39787</v>
      </c>
      <c r="F2734" s="55" t="s">
        <v>344</v>
      </c>
      <c r="G2734" s="55" t="s">
        <v>5138</v>
      </c>
      <c r="H2734" s="55" t="s">
        <v>5139</v>
      </c>
      <c r="I2734" s="55" t="s">
        <v>5140</v>
      </c>
      <c r="J2734" s="55" t="s">
        <v>3548</v>
      </c>
      <c r="K2734" s="55" t="s">
        <v>1402</v>
      </c>
      <c r="L2734" s="55" t="s">
        <v>5141</v>
      </c>
      <c r="M2734" s="55" t="s">
        <v>150</v>
      </c>
      <c r="N2734" s="55" t="s">
        <v>150</v>
      </c>
      <c r="O2734" s="55" t="s">
        <v>149</v>
      </c>
      <c r="P2734" s="55" t="s">
        <v>3548</v>
      </c>
      <c r="Q2734" s="55" t="s">
        <v>350</v>
      </c>
      <c r="R2734" s="55"/>
      <c r="S2734" s="55"/>
      <c r="T2734" s="55" t="s">
        <v>5142</v>
      </c>
    </row>
    <row r="2735" spans="1:20" ht="13" x14ac:dyDescent="0.15">
      <c r="A2735" s="72" t="str">
        <f t="shared" si="42"/>
        <v>Ofsted Social Care Provider Webpage</v>
      </c>
      <c r="B2735" s="55" t="s">
        <v>5143</v>
      </c>
      <c r="D2735" s="55" t="s">
        <v>373</v>
      </c>
      <c r="E2735" s="74">
        <v>39805</v>
      </c>
      <c r="F2735" s="55" t="s">
        <v>344</v>
      </c>
      <c r="G2735" s="55" t="s">
        <v>360</v>
      </c>
      <c r="H2735" s="55" t="s">
        <v>360</v>
      </c>
      <c r="I2735" s="55" t="s">
        <v>360</v>
      </c>
      <c r="J2735" s="55" t="s">
        <v>360</v>
      </c>
      <c r="K2735" s="55" t="s">
        <v>360</v>
      </c>
      <c r="L2735" s="55" t="s">
        <v>360</v>
      </c>
      <c r="M2735" s="55" t="s">
        <v>142</v>
      </c>
      <c r="N2735" s="55" t="s">
        <v>142</v>
      </c>
      <c r="O2735" s="55" t="s">
        <v>293</v>
      </c>
      <c r="P2735" s="55" t="s">
        <v>1422</v>
      </c>
      <c r="Q2735" s="55" t="s">
        <v>350</v>
      </c>
      <c r="R2735" s="55">
        <v>4</v>
      </c>
      <c r="S2735" s="55"/>
      <c r="T2735" s="55" t="s">
        <v>4531</v>
      </c>
    </row>
    <row r="2736" spans="1:20" ht="13" x14ac:dyDescent="0.15">
      <c r="A2736" s="72" t="str">
        <f t="shared" si="42"/>
        <v>Ofsted Social Care Provider Webpage</v>
      </c>
      <c r="B2736" s="55" t="s">
        <v>5144</v>
      </c>
      <c r="D2736" s="55" t="s">
        <v>373</v>
      </c>
      <c r="E2736" s="74">
        <v>39757</v>
      </c>
      <c r="F2736" s="55" t="s">
        <v>344</v>
      </c>
      <c r="G2736" s="55" t="s">
        <v>360</v>
      </c>
      <c r="H2736" s="55" t="s">
        <v>360</v>
      </c>
      <c r="I2736" s="55" t="s">
        <v>360</v>
      </c>
      <c r="J2736" s="55" t="s">
        <v>360</v>
      </c>
      <c r="K2736" s="55" t="s">
        <v>360</v>
      </c>
      <c r="L2736" s="55" t="s">
        <v>360</v>
      </c>
      <c r="M2736" s="55" t="s">
        <v>138</v>
      </c>
      <c r="N2736" s="55" t="s">
        <v>138</v>
      </c>
      <c r="O2736" s="55" t="s">
        <v>183</v>
      </c>
      <c r="P2736" s="55" t="s">
        <v>1500</v>
      </c>
      <c r="Q2736" s="55" t="s">
        <v>350</v>
      </c>
      <c r="R2736" s="55">
        <v>4</v>
      </c>
      <c r="S2736" s="55"/>
      <c r="T2736" s="55" t="s">
        <v>997</v>
      </c>
    </row>
    <row r="2737" spans="1:20" ht="13" x14ac:dyDescent="0.15">
      <c r="A2737" s="72" t="str">
        <f t="shared" si="42"/>
        <v>Ofsted Social Care Provider Webpage</v>
      </c>
      <c r="B2737" s="55" t="s">
        <v>5145</v>
      </c>
      <c r="D2737" s="55" t="s">
        <v>468</v>
      </c>
      <c r="E2737" s="74">
        <v>39696</v>
      </c>
      <c r="F2737" s="55" t="s">
        <v>344</v>
      </c>
      <c r="G2737" s="55" t="s">
        <v>5146</v>
      </c>
      <c r="H2737" s="55" t="s">
        <v>3396</v>
      </c>
      <c r="I2737" s="55" t="s">
        <v>5147</v>
      </c>
      <c r="J2737" s="55" t="s">
        <v>5148</v>
      </c>
      <c r="K2737" s="55" t="s">
        <v>156</v>
      </c>
      <c r="L2737" s="55" t="s">
        <v>5149</v>
      </c>
      <c r="M2737" s="55" t="s">
        <v>150</v>
      </c>
      <c r="N2737" s="55" t="s">
        <v>150</v>
      </c>
      <c r="O2737" s="55" t="s">
        <v>221</v>
      </c>
      <c r="P2737" s="55" t="s">
        <v>4169</v>
      </c>
      <c r="Q2737" s="55" t="s">
        <v>362</v>
      </c>
      <c r="R2737" s="55"/>
      <c r="S2737" s="55"/>
      <c r="T2737" s="55" t="s">
        <v>5146</v>
      </c>
    </row>
    <row r="2738" spans="1:20" ht="13" x14ac:dyDescent="0.15">
      <c r="A2738" s="72" t="str">
        <f t="shared" si="42"/>
        <v>Ofsted Social Care Provider Webpage</v>
      </c>
      <c r="B2738" s="55" t="s">
        <v>5150</v>
      </c>
      <c r="D2738" s="55" t="s">
        <v>389</v>
      </c>
      <c r="E2738" s="74">
        <v>39773</v>
      </c>
      <c r="F2738" s="55" t="s">
        <v>344</v>
      </c>
      <c r="G2738" s="55" t="s">
        <v>4716</v>
      </c>
      <c r="H2738" s="55" t="s">
        <v>5151</v>
      </c>
      <c r="I2738" s="55" t="s">
        <v>5152</v>
      </c>
      <c r="J2738" s="55" t="s">
        <v>2404</v>
      </c>
      <c r="L2738" s="55" t="s">
        <v>5153</v>
      </c>
      <c r="M2738" s="55" t="s">
        <v>172</v>
      </c>
      <c r="N2738" s="55" t="s">
        <v>172</v>
      </c>
      <c r="O2738" s="55" t="s">
        <v>173</v>
      </c>
      <c r="P2738" s="55" t="s">
        <v>860</v>
      </c>
      <c r="Q2738" s="55" t="s">
        <v>350</v>
      </c>
      <c r="R2738" s="55"/>
      <c r="S2738" s="55"/>
      <c r="T2738" s="55" t="s">
        <v>4717</v>
      </c>
    </row>
    <row r="2739" spans="1:20" ht="13" x14ac:dyDescent="0.15">
      <c r="A2739" s="72" t="str">
        <f t="shared" si="42"/>
        <v>Ofsted Social Care Provider Webpage</v>
      </c>
      <c r="B2739" s="55" t="s">
        <v>5154</v>
      </c>
      <c r="D2739" s="55" t="s">
        <v>373</v>
      </c>
      <c r="E2739" s="74">
        <v>39758</v>
      </c>
      <c r="F2739" s="55" t="s">
        <v>344</v>
      </c>
      <c r="G2739" s="55" t="s">
        <v>360</v>
      </c>
      <c r="H2739" s="55" t="s">
        <v>360</v>
      </c>
      <c r="I2739" s="55" t="s">
        <v>360</v>
      </c>
      <c r="J2739" s="55" t="s">
        <v>360</v>
      </c>
      <c r="K2739" s="55" t="s">
        <v>360</v>
      </c>
      <c r="L2739" s="55" t="s">
        <v>360</v>
      </c>
      <c r="M2739" s="55" t="s">
        <v>150</v>
      </c>
      <c r="N2739" s="55" t="s">
        <v>150</v>
      </c>
      <c r="O2739" s="55" t="s">
        <v>203</v>
      </c>
      <c r="P2739" s="55" t="s">
        <v>593</v>
      </c>
      <c r="Q2739" s="55" t="s">
        <v>350</v>
      </c>
      <c r="R2739" s="55">
        <v>4</v>
      </c>
      <c r="S2739" s="55"/>
      <c r="T2739" s="55" t="s">
        <v>2070</v>
      </c>
    </row>
    <row r="2740" spans="1:20" ht="13" x14ac:dyDescent="0.15">
      <c r="A2740" s="72" t="str">
        <f t="shared" si="42"/>
        <v>Ofsted Social Care Provider Webpage</v>
      </c>
      <c r="B2740" s="55" t="s">
        <v>5155</v>
      </c>
      <c r="D2740" s="55" t="s">
        <v>373</v>
      </c>
      <c r="E2740" s="74">
        <v>39772</v>
      </c>
      <c r="F2740" s="55" t="s">
        <v>344</v>
      </c>
      <c r="G2740" s="55" t="s">
        <v>360</v>
      </c>
      <c r="H2740" s="55" t="s">
        <v>360</v>
      </c>
      <c r="I2740" s="55" t="s">
        <v>360</v>
      </c>
      <c r="J2740" s="55" t="s">
        <v>360</v>
      </c>
      <c r="K2740" s="55" t="s">
        <v>360</v>
      </c>
      <c r="L2740" s="55" t="s">
        <v>360</v>
      </c>
      <c r="M2740" s="55" t="s">
        <v>378</v>
      </c>
      <c r="N2740" s="55" t="s">
        <v>134</v>
      </c>
      <c r="O2740" s="55" t="s">
        <v>204</v>
      </c>
      <c r="P2740" s="55" t="s">
        <v>929</v>
      </c>
      <c r="Q2740" s="55" t="s">
        <v>350</v>
      </c>
      <c r="R2740" s="55">
        <v>5</v>
      </c>
      <c r="S2740" s="55"/>
      <c r="T2740" s="55" t="s">
        <v>5156</v>
      </c>
    </row>
    <row r="2741" spans="1:20" ht="13" x14ac:dyDescent="0.15">
      <c r="A2741" s="72" t="str">
        <f t="shared" si="42"/>
        <v>Ofsted Social Care Provider Webpage</v>
      </c>
      <c r="B2741" s="55" t="s">
        <v>5157</v>
      </c>
      <c r="D2741" s="55" t="s">
        <v>373</v>
      </c>
      <c r="E2741" s="74">
        <v>39786</v>
      </c>
      <c r="F2741" s="55" t="s">
        <v>344</v>
      </c>
      <c r="G2741" s="55" t="s">
        <v>360</v>
      </c>
      <c r="H2741" s="55" t="s">
        <v>360</v>
      </c>
      <c r="I2741" s="55" t="s">
        <v>360</v>
      </c>
      <c r="J2741" s="55" t="s">
        <v>360</v>
      </c>
      <c r="K2741" s="55" t="s">
        <v>360</v>
      </c>
      <c r="L2741" s="55" t="s">
        <v>360</v>
      </c>
      <c r="M2741" s="55" t="s">
        <v>150</v>
      </c>
      <c r="N2741" s="55" t="s">
        <v>150</v>
      </c>
      <c r="O2741" s="55" t="s">
        <v>190</v>
      </c>
      <c r="P2741" s="55" t="s">
        <v>500</v>
      </c>
      <c r="Q2741" s="55" t="s">
        <v>350</v>
      </c>
      <c r="R2741" s="55">
        <v>3</v>
      </c>
      <c r="S2741" s="55"/>
      <c r="T2741" s="55" t="s">
        <v>456</v>
      </c>
    </row>
    <row r="2742" spans="1:20" ht="13" x14ac:dyDescent="0.15">
      <c r="A2742" s="72" t="str">
        <f t="shared" si="42"/>
        <v>Ofsted Social Care Provider Webpage</v>
      </c>
      <c r="B2742" s="55" t="s">
        <v>5158</v>
      </c>
      <c r="D2742" s="55" t="s">
        <v>373</v>
      </c>
      <c r="E2742" s="74">
        <v>39787</v>
      </c>
      <c r="F2742" s="55" t="s">
        <v>344</v>
      </c>
      <c r="G2742" s="55" t="s">
        <v>360</v>
      </c>
      <c r="H2742" s="55" t="s">
        <v>360</v>
      </c>
      <c r="I2742" s="55" t="s">
        <v>360</v>
      </c>
      <c r="J2742" s="55" t="s">
        <v>360</v>
      </c>
      <c r="K2742" s="55" t="s">
        <v>360</v>
      </c>
      <c r="L2742" s="55" t="s">
        <v>360</v>
      </c>
      <c r="M2742" s="55" t="s">
        <v>144</v>
      </c>
      <c r="N2742" s="55" t="s">
        <v>144</v>
      </c>
      <c r="O2742" s="55" t="s">
        <v>168</v>
      </c>
      <c r="P2742" s="55" t="s">
        <v>834</v>
      </c>
      <c r="Q2742" s="55" t="s">
        <v>350</v>
      </c>
      <c r="R2742" s="55">
        <v>5</v>
      </c>
      <c r="S2742" s="55"/>
      <c r="T2742" s="55" t="s">
        <v>3072</v>
      </c>
    </row>
    <row r="2743" spans="1:20" ht="13" x14ac:dyDescent="0.15">
      <c r="A2743" s="72" t="str">
        <f t="shared" si="42"/>
        <v>Ofsted Social Care Provider Webpage</v>
      </c>
      <c r="B2743" s="55" t="s">
        <v>5159</v>
      </c>
      <c r="D2743" s="55" t="s">
        <v>468</v>
      </c>
      <c r="E2743" s="74">
        <v>39759</v>
      </c>
      <c r="F2743" s="55" t="s">
        <v>344</v>
      </c>
      <c r="G2743" s="55" t="s">
        <v>5160</v>
      </c>
      <c r="H2743" s="55" t="s">
        <v>5161</v>
      </c>
      <c r="I2743" s="55" t="s">
        <v>354</v>
      </c>
      <c r="J2743" s="55" t="s">
        <v>131</v>
      </c>
      <c r="L2743" s="55" t="s">
        <v>5162</v>
      </c>
      <c r="M2743" s="55" t="s">
        <v>129</v>
      </c>
      <c r="N2743" s="55" t="s">
        <v>129</v>
      </c>
      <c r="O2743" s="55" t="s">
        <v>182</v>
      </c>
      <c r="P2743" s="55" t="s">
        <v>4857</v>
      </c>
      <c r="Q2743" s="55" t="s">
        <v>362</v>
      </c>
      <c r="R2743" s="55"/>
      <c r="S2743" s="55"/>
      <c r="T2743" s="55" t="s">
        <v>5160</v>
      </c>
    </row>
    <row r="2744" spans="1:20" ht="13" x14ac:dyDescent="0.15">
      <c r="A2744" s="72" t="str">
        <f t="shared" si="42"/>
        <v>Ofsted Social Care Provider Webpage</v>
      </c>
      <c r="B2744" s="55" t="s">
        <v>5163</v>
      </c>
      <c r="D2744" s="55" t="s">
        <v>373</v>
      </c>
      <c r="E2744" s="74">
        <v>39812</v>
      </c>
      <c r="F2744" s="55" t="s">
        <v>344</v>
      </c>
      <c r="G2744" s="55" t="s">
        <v>360</v>
      </c>
      <c r="H2744" s="55" t="s">
        <v>360</v>
      </c>
      <c r="I2744" s="55" t="s">
        <v>360</v>
      </c>
      <c r="J2744" s="55" t="s">
        <v>360</v>
      </c>
      <c r="K2744" s="55" t="s">
        <v>360</v>
      </c>
      <c r="L2744" s="55" t="s">
        <v>360</v>
      </c>
      <c r="M2744" s="55" t="s">
        <v>378</v>
      </c>
      <c r="N2744" s="55" t="s">
        <v>134</v>
      </c>
      <c r="O2744" s="55" t="s">
        <v>133</v>
      </c>
      <c r="P2744" s="55" t="s">
        <v>1804</v>
      </c>
      <c r="Q2744" s="55" t="s">
        <v>350</v>
      </c>
      <c r="R2744" s="55">
        <v>2</v>
      </c>
      <c r="S2744" s="55"/>
      <c r="T2744" s="55" t="s">
        <v>5164</v>
      </c>
    </row>
    <row r="2745" spans="1:20" ht="13" x14ac:dyDescent="0.15">
      <c r="A2745" s="72" t="str">
        <f t="shared" si="42"/>
        <v>Ofsted Social Care Provider Webpage</v>
      </c>
      <c r="B2745" s="55" t="s">
        <v>5165</v>
      </c>
      <c r="D2745" s="55" t="s">
        <v>373</v>
      </c>
      <c r="E2745" s="74">
        <v>39799</v>
      </c>
      <c r="F2745" s="55" t="s">
        <v>344</v>
      </c>
      <c r="G2745" s="55" t="s">
        <v>360</v>
      </c>
      <c r="H2745" s="55" t="s">
        <v>360</v>
      </c>
      <c r="I2745" s="55" t="s">
        <v>360</v>
      </c>
      <c r="J2745" s="55" t="s">
        <v>360</v>
      </c>
      <c r="K2745" s="55" t="s">
        <v>360</v>
      </c>
      <c r="L2745" s="55" t="s">
        <v>360</v>
      </c>
      <c r="M2745" s="55" t="s">
        <v>129</v>
      </c>
      <c r="N2745" s="55" t="s">
        <v>129</v>
      </c>
      <c r="O2745" s="55" t="s">
        <v>186</v>
      </c>
      <c r="P2745" s="55" t="s">
        <v>2125</v>
      </c>
      <c r="Q2745" s="55" t="s">
        <v>350</v>
      </c>
      <c r="R2745" s="55">
        <v>4</v>
      </c>
      <c r="S2745" s="55"/>
      <c r="T2745" s="55" t="s">
        <v>2906</v>
      </c>
    </row>
    <row r="2746" spans="1:20" ht="13" x14ac:dyDescent="0.15">
      <c r="A2746" s="72" t="str">
        <f t="shared" si="42"/>
        <v>Ofsted Social Care Provider Webpage</v>
      </c>
      <c r="B2746" s="55" t="s">
        <v>5166</v>
      </c>
      <c r="D2746" s="55" t="s">
        <v>373</v>
      </c>
      <c r="E2746" s="74">
        <v>39797</v>
      </c>
      <c r="F2746" s="55" t="s">
        <v>344</v>
      </c>
      <c r="G2746" s="55" t="s">
        <v>360</v>
      </c>
      <c r="H2746" s="55" t="s">
        <v>360</v>
      </c>
      <c r="I2746" s="55" t="s">
        <v>360</v>
      </c>
      <c r="J2746" s="55" t="s">
        <v>360</v>
      </c>
      <c r="K2746" s="55" t="s">
        <v>360</v>
      </c>
      <c r="L2746" s="55" t="s">
        <v>360</v>
      </c>
      <c r="M2746" s="55" t="s">
        <v>138</v>
      </c>
      <c r="N2746" s="55" t="s">
        <v>138</v>
      </c>
      <c r="O2746" s="55" t="s">
        <v>266</v>
      </c>
      <c r="P2746" s="55" t="s">
        <v>449</v>
      </c>
      <c r="Q2746" s="55" t="s">
        <v>350</v>
      </c>
      <c r="R2746" s="55">
        <v>6</v>
      </c>
      <c r="S2746" s="55"/>
      <c r="T2746" s="55" t="s">
        <v>5167</v>
      </c>
    </row>
    <row r="2747" spans="1:20" ht="13" x14ac:dyDescent="0.15">
      <c r="A2747" s="72" t="str">
        <f t="shared" si="42"/>
        <v>Ofsted Social Care Provider Webpage</v>
      </c>
      <c r="B2747" s="55" t="s">
        <v>5168</v>
      </c>
      <c r="D2747" s="55" t="s">
        <v>373</v>
      </c>
      <c r="E2747" s="74">
        <v>39738</v>
      </c>
      <c r="F2747" s="55" t="s">
        <v>344</v>
      </c>
      <c r="G2747" s="55" t="s">
        <v>360</v>
      </c>
      <c r="H2747" s="55" t="s">
        <v>360</v>
      </c>
      <c r="I2747" s="55" t="s">
        <v>360</v>
      </c>
      <c r="J2747" s="55" t="s">
        <v>360</v>
      </c>
      <c r="K2747" s="55" t="s">
        <v>360</v>
      </c>
      <c r="L2747" s="55" t="s">
        <v>360</v>
      </c>
      <c r="M2747" s="55" t="s">
        <v>136</v>
      </c>
      <c r="N2747" s="55" t="s">
        <v>136</v>
      </c>
      <c r="O2747" s="55" t="s">
        <v>255</v>
      </c>
      <c r="P2747" s="55" t="s">
        <v>583</v>
      </c>
      <c r="Q2747" s="55" t="s">
        <v>350</v>
      </c>
      <c r="R2747" s="55">
        <v>3</v>
      </c>
      <c r="S2747" s="55"/>
      <c r="T2747" s="55" t="s">
        <v>5169</v>
      </c>
    </row>
    <row r="2748" spans="1:20" ht="13" x14ac:dyDescent="0.15">
      <c r="A2748" s="72" t="str">
        <f t="shared" si="42"/>
        <v>Ofsted Social Care Provider Webpage</v>
      </c>
      <c r="B2748" s="55" t="s">
        <v>5170</v>
      </c>
      <c r="D2748" s="55" t="s">
        <v>373</v>
      </c>
      <c r="E2748" s="74">
        <v>39738</v>
      </c>
      <c r="F2748" s="55" t="s">
        <v>344</v>
      </c>
      <c r="G2748" s="55" t="s">
        <v>360</v>
      </c>
      <c r="H2748" s="55" t="s">
        <v>360</v>
      </c>
      <c r="I2748" s="55" t="s">
        <v>360</v>
      </c>
      <c r="J2748" s="55" t="s">
        <v>360</v>
      </c>
      <c r="K2748" s="55" t="s">
        <v>360</v>
      </c>
      <c r="L2748" s="55" t="s">
        <v>360</v>
      </c>
      <c r="M2748" s="55" t="s">
        <v>136</v>
      </c>
      <c r="N2748" s="55" t="s">
        <v>136</v>
      </c>
      <c r="O2748" s="55" t="s">
        <v>255</v>
      </c>
      <c r="P2748" s="55" t="s">
        <v>757</v>
      </c>
      <c r="Q2748" s="55" t="s">
        <v>350</v>
      </c>
      <c r="R2748" s="55">
        <v>2</v>
      </c>
      <c r="S2748" s="55"/>
      <c r="T2748" s="55" t="s">
        <v>5169</v>
      </c>
    </row>
    <row r="2749" spans="1:20" ht="13" x14ac:dyDescent="0.15">
      <c r="A2749" s="72" t="str">
        <f t="shared" si="42"/>
        <v>Ofsted Social Care Provider Webpage</v>
      </c>
      <c r="B2749" s="55" t="s">
        <v>5171</v>
      </c>
      <c r="D2749" s="55" t="s">
        <v>373</v>
      </c>
      <c r="E2749" s="74">
        <v>39805</v>
      </c>
      <c r="F2749" s="55" t="s">
        <v>344</v>
      </c>
      <c r="G2749" s="55" t="s">
        <v>360</v>
      </c>
      <c r="H2749" s="55" t="s">
        <v>360</v>
      </c>
      <c r="I2749" s="55" t="s">
        <v>360</v>
      </c>
      <c r="J2749" s="55" t="s">
        <v>360</v>
      </c>
      <c r="K2749" s="55" t="s">
        <v>360</v>
      </c>
      <c r="L2749" s="55" t="s">
        <v>360</v>
      </c>
      <c r="M2749" s="55" t="s">
        <v>144</v>
      </c>
      <c r="N2749" s="55" t="s">
        <v>144</v>
      </c>
      <c r="O2749" s="55" t="s">
        <v>281</v>
      </c>
      <c r="P2749" s="55" t="s">
        <v>725</v>
      </c>
      <c r="Q2749" s="55" t="s">
        <v>350</v>
      </c>
      <c r="R2749" s="55">
        <v>3</v>
      </c>
      <c r="S2749" s="55"/>
      <c r="T2749" s="55" t="s">
        <v>1365</v>
      </c>
    </row>
    <row r="2750" spans="1:20" ht="13" x14ac:dyDescent="0.15">
      <c r="A2750" s="72" t="str">
        <f t="shared" si="42"/>
        <v>Ofsted Social Care Provider Webpage</v>
      </c>
      <c r="B2750" s="55" t="s">
        <v>5172</v>
      </c>
      <c r="D2750" s="55" t="s">
        <v>373</v>
      </c>
      <c r="E2750" s="74">
        <v>39975</v>
      </c>
      <c r="F2750" s="55" t="s">
        <v>344</v>
      </c>
      <c r="G2750" s="55" t="s">
        <v>360</v>
      </c>
      <c r="H2750" s="55" t="s">
        <v>360</v>
      </c>
      <c r="I2750" s="55" t="s">
        <v>360</v>
      </c>
      <c r="J2750" s="55" t="s">
        <v>360</v>
      </c>
      <c r="K2750" s="55" t="s">
        <v>360</v>
      </c>
      <c r="L2750" s="55" t="s">
        <v>360</v>
      </c>
      <c r="M2750" s="55" t="s">
        <v>144</v>
      </c>
      <c r="N2750" s="55" t="s">
        <v>144</v>
      </c>
      <c r="O2750" s="55" t="s">
        <v>188</v>
      </c>
      <c r="P2750" s="55" t="s">
        <v>188</v>
      </c>
      <c r="Q2750" s="55" t="s">
        <v>350</v>
      </c>
      <c r="R2750" s="55">
        <v>3</v>
      </c>
      <c r="S2750" s="55"/>
      <c r="T2750" s="55" t="s">
        <v>1365</v>
      </c>
    </row>
    <row r="2751" spans="1:20" ht="13" x14ac:dyDescent="0.15">
      <c r="A2751" s="72" t="str">
        <f t="shared" si="42"/>
        <v>Ofsted Social Care Provider Webpage</v>
      </c>
      <c r="B2751" s="55" t="s">
        <v>5173</v>
      </c>
      <c r="D2751" s="55" t="s">
        <v>373</v>
      </c>
      <c r="E2751" s="74">
        <v>39828</v>
      </c>
      <c r="F2751" s="55" t="s">
        <v>344</v>
      </c>
      <c r="G2751" s="55" t="s">
        <v>360</v>
      </c>
      <c r="H2751" s="55" t="s">
        <v>360</v>
      </c>
      <c r="I2751" s="55" t="s">
        <v>360</v>
      </c>
      <c r="J2751" s="55" t="s">
        <v>360</v>
      </c>
      <c r="K2751" s="55" t="s">
        <v>360</v>
      </c>
      <c r="L2751" s="55" t="s">
        <v>360</v>
      </c>
      <c r="M2751" s="55" t="s">
        <v>144</v>
      </c>
      <c r="N2751" s="55" t="s">
        <v>144</v>
      </c>
      <c r="O2751" s="55" t="s">
        <v>281</v>
      </c>
      <c r="P2751" s="55" t="s">
        <v>725</v>
      </c>
      <c r="Q2751" s="55" t="s">
        <v>350</v>
      </c>
      <c r="R2751" s="55">
        <v>3</v>
      </c>
      <c r="S2751" s="55"/>
      <c r="T2751" s="55" t="s">
        <v>1365</v>
      </c>
    </row>
    <row r="2752" spans="1:20" ht="13" x14ac:dyDescent="0.15">
      <c r="A2752" s="72" t="str">
        <f t="shared" si="42"/>
        <v>Ofsted Social Care Provider Webpage</v>
      </c>
      <c r="B2752" s="55" t="s">
        <v>5174</v>
      </c>
      <c r="D2752" s="55" t="s">
        <v>389</v>
      </c>
      <c r="E2752" s="74">
        <v>39811</v>
      </c>
      <c r="F2752" s="55" t="s">
        <v>344</v>
      </c>
      <c r="G2752" s="55" t="s">
        <v>5175</v>
      </c>
      <c r="H2752" s="55" t="s">
        <v>5176</v>
      </c>
      <c r="I2752" s="55" t="s">
        <v>354</v>
      </c>
      <c r="J2752" s="55" t="s">
        <v>2578</v>
      </c>
      <c r="L2752" s="55" t="s">
        <v>5177</v>
      </c>
      <c r="M2752" s="55" t="s">
        <v>129</v>
      </c>
      <c r="N2752" s="55" t="s">
        <v>129</v>
      </c>
      <c r="O2752" s="55" t="s">
        <v>167</v>
      </c>
      <c r="P2752" s="55" t="s">
        <v>866</v>
      </c>
      <c r="Q2752" s="55" t="s">
        <v>350</v>
      </c>
      <c r="R2752" s="55"/>
      <c r="S2752" s="55"/>
      <c r="T2752" s="55" t="s">
        <v>867</v>
      </c>
    </row>
    <row r="2753" spans="1:20" ht="13" x14ac:dyDescent="0.15">
      <c r="A2753" s="72" t="str">
        <f t="shared" si="42"/>
        <v>Ofsted Social Care Provider Webpage</v>
      </c>
      <c r="B2753" s="55" t="s">
        <v>5178</v>
      </c>
      <c r="D2753" s="55" t="s">
        <v>373</v>
      </c>
      <c r="E2753" s="74">
        <v>39826</v>
      </c>
      <c r="F2753" s="55" t="s">
        <v>344</v>
      </c>
      <c r="G2753" s="55" t="s">
        <v>360</v>
      </c>
      <c r="H2753" s="55" t="s">
        <v>360</v>
      </c>
      <c r="I2753" s="55" t="s">
        <v>360</v>
      </c>
      <c r="J2753" s="55" t="s">
        <v>360</v>
      </c>
      <c r="K2753" s="55" t="s">
        <v>360</v>
      </c>
      <c r="L2753" s="55" t="s">
        <v>360</v>
      </c>
      <c r="M2753" s="55" t="s">
        <v>144</v>
      </c>
      <c r="N2753" s="55" t="s">
        <v>144</v>
      </c>
      <c r="O2753" s="55" t="s">
        <v>261</v>
      </c>
      <c r="P2753" s="55" t="s">
        <v>792</v>
      </c>
      <c r="Q2753" s="55" t="s">
        <v>350</v>
      </c>
      <c r="R2753" s="55">
        <v>1</v>
      </c>
      <c r="S2753" s="55"/>
      <c r="T2753" s="55" t="s">
        <v>4505</v>
      </c>
    </row>
    <row r="2754" spans="1:20" ht="13" x14ac:dyDescent="0.15">
      <c r="A2754" s="72" t="str">
        <f t="shared" si="42"/>
        <v>Ofsted Social Care Provider Webpage</v>
      </c>
      <c r="B2754" s="55" t="s">
        <v>5179</v>
      </c>
      <c r="D2754" s="55" t="s">
        <v>373</v>
      </c>
      <c r="E2754" s="74">
        <v>39890</v>
      </c>
      <c r="F2754" s="55" t="s">
        <v>344</v>
      </c>
      <c r="G2754" s="55" t="s">
        <v>360</v>
      </c>
      <c r="H2754" s="55" t="s">
        <v>360</v>
      </c>
      <c r="I2754" s="55" t="s">
        <v>360</v>
      </c>
      <c r="J2754" s="55" t="s">
        <v>360</v>
      </c>
      <c r="K2754" s="55" t="s">
        <v>360</v>
      </c>
      <c r="L2754" s="55" t="s">
        <v>360</v>
      </c>
      <c r="M2754" s="55" t="s">
        <v>144</v>
      </c>
      <c r="N2754" s="55" t="s">
        <v>144</v>
      </c>
      <c r="O2754" s="55" t="s">
        <v>263</v>
      </c>
      <c r="P2754" s="55" t="s">
        <v>263</v>
      </c>
      <c r="Q2754" s="55" t="s">
        <v>350</v>
      </c>
      <c r="R2754" s="55">
        <v>2</v>
      </c>
      <c r="S2754" s="55"/>
      <c r="T2754" s="55" t="s">
        <v>1093</v>
      </c>
    </row>
    <row r="2755" spans="1:20" ht="13" x14ac:dyDescent="0.15">
      <c r="A2755" s="72" t="str">
        <f t="shared" si="42"/>
        <v>Ofsted Social Care Provider Webpage</v>
      </c>
      <c r="B2755" s="55" t="s">
        <v>5180</v>
      </c>
      <c r="D2755" s="55" t="s">
        <v>373</v>
      </c>
      <c r="E2755" s="74">
        <v>39783</v>
      </c>
      <c r="F2755" s="55" t="s">
        <v>344</v>
      </c>
      <c r="G2755" s="55" t="s">
        <v>360</v>
      </c>
      <c r="H2755" s="55" t="s">
        <v>360</v>
      </c>
      <c r="I2755" s="55" t="s">
        <v>360</v>
      </c>
      <c r="J2755" s="55" t="s">
        <v>360</v>
      </c>
      <c r="K2755" s="55" t="s">
        <v>360</v>
      </c>
      <c r="L2755" s="55" t="s">
        <v>360</v>
      </c>
      <c r="M2755" s="55" t="s">
        <v>144</v>
      </c>
      <c r="N2755" s="55" t="s">
        <v>144</v>
      </c>
      <c r="O2755" s="55" t="s">
        <v>276</v>
      </c>
      <c r="P2755" s="55" t="s">
        <v>3052</v>
      </c>
      <c r="Q2755" s="55" t="s">
        <v>350</v>
      </c>
      <c r="R2755" s="55">
        <v>5</v>
      </c>
      <c r="S2755" s="55"/>
      <c r="T2755" s="55" t="s">
        <v>5181</v>
      </c>
    </row>
    <row r="2756" spans="1:20" ht="13" x14ac:dyDescent="0.15">
      <c r="A2756" s="72" t="str">
        <f t="shared" si="42"/>
        <v>Ofsted Social Care Provider Webpage</v>
      </c>
      <c r="B2756" s="55" t="s">
        <v>5182</v>
      </c>
      <c r="D2756" s="55" t="s">
        <v>373</v>
      </c>
      <c r="E2756" s="74">
        <v>39871</v>
      </c>
      <c r="F2756" s="55" t="s">
        <v>344</v>
      </c>
      <c r="G2756" s="55" t="s">
        <v>360</v>
      </c>
      <c r="H2756" s="55" t="s">
        <v>360</v>
      </c>
      <c r="I2756" s="55" t="s">
        <v>360</v>
      </c>
      <c r="J2756" s="55" t="s">
        <v>360</v>
      </c>
      <c r="K2756" s="55" t="s">
        <v>360</v>
      </c>
      <c r="L2756" s="55" t="s">
        <v>360</v>
      </c>
      <c r="M2756" s="55" t="s">
        <v>144</v>
      </c>
      <c r="N2756" s="55" t="s">
        <v>144</v>
      </c>
      <c r="O2756" s="55" t="s">
        <v>236</v>
      </c>
      <c r="P2756" s="55" t="s">
        <v>996</v>
      </c>
      <c r="Q2756" s="55" t="s">
        <v>380</v>
      </c>
      <c r="R2756" s="55">
        <v>7</v>
      </c>
      <c r="S2756" s="55" t="s">
        <v>332</v>
      </c>
      <c r="T2756" s="55" t="s">
        <v>3314</v>
      </c>
    </row>
    <row r="2757" spans="1:20" ht="13" x14ac:dyDescent="0.15">
      <c r="A2757" s="72" t="str">
        <f t="shared" ref="A2757:A2820" si="43">HYPERLINK(_xlfn.CONCAT("http://reports.ofsted.gov.uk/inspection-reports/find-inspection-report/provider/CARE/",B2757),"Ofsted Social Care Provider Webpage")</f>
        <v>Ofsted Social Care Provider Webpage</v>
      </c>
      <c r="B2757" s="55" t="s">
        <v>5183</v>
      </c>
      <c r="D2757" s="55" t="s">
        <v>373</v>
      </c>
      <c r="E2757" s="74">
        <v>39891</v>
      </c>
      <c r="F2757" s="55" t="s">
        <v>344</v>
      </c>
      <c r="G2757" s="55" t="s">
        <v>360</v>
      </c>
      <c r="H2757" s="55" t="s">
        <v>360</v>
      </c>
      <c r="I2757" s="55" t="s">
        <v>360</v>
      </c>
      <c r="J2757" s="55" t="s">
        <v>360</v>
      </c>
      <c r="K2757" s="55" t="s">
        <v>360</v>
      </c>
      <c r="L2757" s="55" t="s">
        <v>360</v>
      </c>
      <c r="M2757" s="55" t="s">
        <v>129</v>
      </c>
      <c r="N2757" s="55" t="s">
        <v>129</v>
      </c>
      <c r="O2757" s="55" t="s">
        <v>139</v>
      </c>
      <c r="P2757" s="55" t="s">
        <v>1153</v>
      </c>
      <c r="Q2757" s="55" t="s">
        <v>350</v>
      </c>
      <c r="R2757" s="55">
        <v>6</v>
      </c>
      <c r="S2757" s="55"/>
      <c r="T2757" s="55" t="s">
        <v>2906</v>
      </c>
    </row>
    <row r="2758" spans="1:20" ht="13" x14ac:dyDescent="0.15">
      <c r="A2758" s="72" t="str">
        <f t="shared" si="43"/>
        <v>Ofsted Social Care Provider Webpage</v>
      </c>
      <c r="B2758" s="55" t="s">
        <v>5184</v>
      </c>
      <c r="D2758" s="55" t="s">
        <v>443</v>
      </c>
      <c r="E2758" s="74">
        <v>39793</v>
      </c>
      <c r="F2758" s="55" t="s">
        <v>344</v>
      </c>
      <c r="G2758" s="55" t="s">
        <v>5185</v>
      </c>
      <c r="H2758" s="55" t="s">
        <v>5186</v>
      </c>
      <c r="I2758" s="55" t="s">
        <v>354</v>
      </c>
      <c r="J2758" s="55" t="s">
        <v>5187</v>
      </c>
      <c r="L2758" s="55" t="s">
        <v>5188</v>
      </c>
      <c r="M2758" s="55" t="s">
        <v>378</v>
      </c>
      <c r="N2758" s="55" t="s">
        <v>134</v>
      </c>
      <c r="O2758" s="55" t="s">
        <v>251</v>
      </c>
      <c r="P2758" s="55" t="s">
        <v>1709</v>
      </c>
      <c r="Q2758" s="55" t="s">
        <v>362</v>
      </c>
      <c r="R2758" s="55"/>
      <c r="S2758" s="55"/>
      <c r="T2758" s="55" t="s">
        <v>5189</v>
      </c>
    </row>
    <row r="2759" spans="1:20" ht="13" x14ac:dyDescent="0.15">
      <c r="A2759" s="72" t="str">
        <f t="shared" si="43"/>
        <v>Ofsted Social Care Provider Webpage</v>
      </c>
      <c r="B2759" s="55" t="s">
        <v>5190</v>
      </c>
      <c r="D2759" s="55" t="s">
        <v>373</v>
      </c>
      <c r="E2759" s="74">
        <v>39780</v>
      </c>
      <c r="F2759" s="55" t="s">
        <v>344</v>
      </c>
      <c r="G2759" s="55" t="s">
        <v>360</v>
      </c>
      <c r="H2759" s="55" t="s">
        <v>360</v>
      </c>
      <c r="I2759" s="55" t="s">
        <v>360</v>
      </c>
      <c r="J2759" s="55" t="s">
        <v>360</v>
      </c>
      <c r="K2759" s="55" t="s">
        <v>360</v>
      </c>
      <c r="L2759" s="55" t="s">
        <v>360</v>
      </c>
      <c r="M2759" s="55" t="s">
        <v>142</v>
      </c>
      <c r="N2759" s="55" t="s">
        <v>142</v>
      </c>
      <c r="O2759" s="55" t="s">
        <v>265</v>
      </c>
      <c r="P2759" s="55" t="s">
        <v>1066</v>
      </c>
      <c r="Q2759" s="55" t="s">
        <v>380</v>
      </c>
      <c r="R2759" s="55">
        <v>2</v>
      </c>
      <c r="S2759" s="55"/>
      <c r="T2759" s="55" t="s">
        <v>1067</v>
      </c>
    </row>
    <row r="2760" spans="1:20" ht="13" x14ac:dyDescent="0.15">
      <c r="A2760" s="72" t="str">
        <f t="shared" si="43"/>
        <v>Ofsted Social Care Provider Webpage</v>
      </c>
      <c r="B2760" s="55" t="s">
        <v>5191</v>
      </c>
      <c r="D2760" s="55" t="s">
        <v>389</v>
      </c>
      <c r="E2760" s="74">
        <v>39868</v>
      </c>
      <c r="F2760" s="55" t="s">
        <v>344</v>
      </c>
      <c r="G2760" s="55" t="s">
        <v>5192</v>
      </c>
      <c r="H2760" s="55" t="s">
        <v>5193</v>
      </c>
      <c r="I2760" s="55" t="s">
        <v>5194</v>
      </c>
      <c r="J2760" s="55" t="s">
        <v>129</v>
      </c>
      <c r="L2760" s="55" t="s">
        <v>5195</v>
      </c>
      <c r="M2760" s="55" t="s">
        <v>129</v>
      </c>
      <c r="N2760" s="55" t="s">
        <v>129</v>
      </c>
      <c r="O2760" s="55" t="s">
        <v>155</v>
      </c>
      <c r="P2760" s="55" t="s">
        <v>410</v>
      </c>
      <c r="Q2760" s="55" t="s">
        <v>350</v>
      </c>
      <c r="R2760" s="55"/>
      <c r="S2760" s="55"/>
      <c r="T2760" s="55" t="s">
        <v>5196</v>
      </c>
    </row>
    <row r="2761" spans="1:20" ht="13" x14ac:dyDescent="0.15">
      <c r="A2761" s="72" t="str">
        <f t="shared" si="43"/>
        <v>Ofsted Social Care Provider Webpage</v>
      </c>
      <c r="B2761" s="55" t="s">
        <v>5197</v>
      </c>
      <c r="D2761" s="55" t="s">
        <v>373</v>
      </c>
      <c r="E2761" s="74">
        <v>39843</v>
      </c>
      <c r="F2761" s="55" t="s">
        <v>344</v>
      </c>
      <c r="G2761" s="55" t="s">
        <v>360</v>
      </c>
      <c r="H2761" s="55" t="s">
        <v>360</v>
      </c>
      <c r="I2761" s="55" t="s">
        <v>360</v>
      </c>
      <c r="J2761" s="55" t="s">
        <v>360</v>
      </c>
      <c r="K2761" s="55" t="s">
        <v>360</v>
      </c>
      <c r="L2761" s="55" t="s">
        <v>360</v>
      </c>
      <c r="M2761" s="55" t="s">
        <v>142</v>
      </c>
      <c r="N2761" s="55" t="s">
        <v>142</v>
      </c>
      <c r="O2761" s="55" t="s">
        <v>249</v>
      </c>
      <c r="P2761" s="55" t="s">
        <v>1318</v>
      </c>
      <c r="Q2761" s="55" t="s">
        <v>350</v>
      </c>
      <c r="R2761" s="55">
        <v>2</v>
      </c>
      <c r="S2761" s="55"/>
      <c r="T2761" s="55" t="s">
        <v>385</v>
      </c>
    </row>
    <row r="2762" spans="1:20" ht="13" x14ac:dyDescent="0.15">
      <c r="A2762" s="72" t="str">
        <f t="shared" si="43"/>
        <v>Ofsted Social Care Provider Webpage</v>
      </c>
      <c r="B2762" s="55" t="s">
        <v>5198</v>
      </c>
      <c r="D2762" s="55" t="s">
        <v>373</v>
      </c>
      <c r="E2762" s="74">
        <v>39861</v>
      </c>
      <c r="F2762" s="55" t="s">
        <v>344</v>
      </c>
      <c r="G2762" s="55" t="s">
        <v>360</v>
      </c>
      <c r="H2762" s="55" t="s">
        <v>360</v>
      </c>
      <c r="I2762" s="55" t="s">
        <v>360</v>
      </c>
      <c r="J2762" s="55" t="s">
        <v>360</v>
      </c>
      <c r="K2762" s="55" t="s">
        <v>360</v>
      </c>
      <c r="L2762" s="55" t="s">
        <v>360</v>
      </c>
      <c r="M2762" s="55" t="s">
        <v>150</v>
      </c>
      <c r="N2762" s="55" t="s">
        <v>150</v>
      </c>
      <c r="O2762" s="55" t="s">
        <v>258</v>
      </c>
      <c r="P2762" s="55" t="s">
        <v>2220</v>
      </c>
      <c r="Q2762" s="55" t="s">
        <v>350</v>
      </c>
      <c r="R2762" s="55">
        <v>7</v>
      </c>
      <c r="S2762" s="55"/>
      <c r="T2762" s="55" t="s">
        <v>900</v>
      </c>
    </row>
    <row r="2763" spans="1:20" ht="13" x14ac:dyDescent="0.15">
      <c r="A2763" s="72" t="str">
        <f t="shared" si="43"/>
        <v>Ofsted Social Care Provider Webpage</v>
      </c>
      <c r="B2763" s="55" t="s">
        <v>5199</v>
      </c>
      <c r="D2763" s="55" t="s">
        <v>373</v>
      </c>
      <c r="E2763" s="74">
        <v>39847</v>
      </c>
      <c r="F2763" s="55" t="s">
        <v>344</v>
      </c>
      <c r="G2763" s="55" t="s">
        <v>360</v>
      </c>
      <c r="H2763" s="55" t="s">
        <v>360</v>
      </c>
      <c r="I2763" s="55" t="s">
        <v>360</v>
      </c>
      <c r="J2763" s="55" t="s">
        <v>360</v>
      </c>
      <c r="K2763" s="55" t="s">
        <v>360</v>
      </c>
      <c r="L2763" s="55" t="s">
        <v>360</v>
      </c>
      <c r="M2763" s="55" t="s">
        <v>150</v>
      </c>
      <c r="N2763" s="55" t="s">
        <v>150</v>
      </c>
      <c r="O2763" s="55" t="s">
        <v>258</v>
      </c>
      <c r="P2763" s="55" t="s">
        <v>2220</v>
      </c>
      <c r="Q2763" s="55" t="s">
        <v>350</v>
      </c>
      <c r="R2763" s="55">
        <v>5</v>
      </c>
      <c r="S2763" s="55"/>
      <c r="T2763" s="55" t="s">
        <v>900</v>
      </c>
    </row>
    <row r="2764" spans="1:20" ht="13" x14ac:dyDescent="0.15">
      <c r="A2764" s="72" t="str">
        <f t="shared" si="43"/>
        <v>Ofsted Social Care Provider Webpage</v>
      </c>
      <c r="B2764" s="55" t="s">
        <v>5200</v>
      </c>
      <c r="D2764" s="55" t="s">
        <v>373</v>
      </c>
      <c r="E2764" s="74">
        <v>39861</v>
      </c>
      <c r="F2764" s="55" t="s">
        <v>344</v>
      </c>
      <c r="G2764" s="55" t="s">
        <v>360</v>
      </c>
      <c r="H2764" s="55" t="s">
        <v>360</v>
      </c>
      <c r="I2764" s="55" t="s">
        <v>360</v>
      </c>
      <c r="J2764" s="55" t="s">
        <v>360</v>
      </c>
      <c r="K2764" s="55" t="s">
        <v>360</v>
      </c>
      <c r="L2764" s="55" t="s">
        <v>360</v>
      </c>
      <c r="M2764" s="55" t="s">
        <v>150</v>
      </c>
      <c r="N2764" s="55" t="s">
        <v>150</v>
      </c>
      <c r="O2764" s="55" t="s">
        <v>258</v>
      </c>
      <c r="P2764" s="55" t="s">
        <v>2220</v>
      </c>
      <c r="Q2764" s="55" t="s">
        <v>350</v>
      </c>
      <c r="R2764" s="55">
        <v>6</v>
      </c>
      <c r="S2764" s="55"/>
      <c r="T2764" s="55" t="s">
        <v>900</v>
      </c>
    </row>
    <row r="2765" spans="1:20" ht="13" x14ac:dyDescent="0.15">
      <c r="A2765" s="72" t="str">
        <f t="shared" si="43"/>
        <v>Ofsted Social Care Provider Webpage</v>
      </c>
      <c r="B2765" s="55" t="s">
        <v>5201</v>
      </c>
      <c r="D2765" s="55" t="s">
        <v>373</v>
      </c>
      <c r="E2765" s="74">
        <v>39849</v>
      </c>
      <c r="F2765" s="55" t="s">
        <v>344</v>
      </c>
      <c r="G2765" s="55" t="s">
        <v>360</v>
      </c>
      <c r="H2765" s="55" t="s">
        <v>360</v>
      </c>
      <c r="I2765" s="55" t="s">
        <v>360</v>
      </c>
      <c r="J2765" s="55" t="s">
        <v>360</v>
      </c>
      <c r="K2765" s="55" t="s">
        <v>360</v>
      </c>
      <c r="L2765" s="55" t="s">
        <v>360</v>
      </c>
      <c r="M2765" s="55" t="s">
        <v>150</v>
      </c>
      <c r="N2765" s="55" t="s">
        <v>150</v>
      </c>
      <c r="O2765" s="55" t="s">
        <v>258</v>
      </c>
      <c r="P2765" s="55" t="s">
        <v>455</v>
      </c>
      <c r="Q2765" s="55" t="s">
        <v>350</v>
      </c>
      <c r="R2765" s="55">
        <v>3</v>
      </c>
      <c r="S2765" s="55"/>
      <c r="T2765" s="55" t="s">
        <v>900</v>
      </c>
    </row>
    <row r="2766" spans="1:20" ht="13" x14ac:dyDescent="0.15">
      <c r="A2766" s="72" t="str">
        <f t="shared" si="43"/>
        <v>Ofsted Social Care Provider Webpage</v>
      </c>
      <c r="B2766" s="55" t="s">
        <v>5202</v>
      </c>
      <c r="D2766" s="55" t="s">
        <v>373</v>
      </c>
      <c r="E2766" s="74">
        <v>39840</v>
      </c>
      <c r="F2766" s="55" t="s">
        <v>344</v>
      </c>
      <c r="G2766" s="55" t="s">
        <v>360</v>
      </c>
      <c r="H2766" s="55" t="s">
        <v>360</v>
      </c>
      <c r="I2766" s="55" t="s">
        <v>360</v>
      </c>
      <c r="J2766" s="55" t="s">
        <v>360</v>
      </c>
      <c r="K2766" s="55" t="s">
        <v>360</v>
      </c>
      <c r="L2766" s="55" t="s">
        <v>360</v>
      </c>
      <c r="M2766" s="55" t="s">
        <v>138</v>
      </c>
      <c r="N2766" s="55" t="s">
        <v>138</v>
      </c>
      <c r="O2766" s="55" t="s">
        <v>137</v>
      </c>
      <c r="P2766" s="55" t="s">
        <v>137</v>
      </c>
      <c r="Q2766" s="55" t="s">
        <v>350</v>
      </c>
      <c r="R2766" s="55">
        <v>3</v>
      </c>
      <c r="S2766" s="55"/>
      <c r="T2766" s="55" t="s">
        <v>4819</v>
      </c>
    </row>
    <row r="2767" spans="1:20" ht="13" x14ac:dyDescent="0.15">
      <c r="A2767" s="72" t="str">
        <f t="shared" si="43"/>
        <v>Ofsted Social Care Provider Webpage</v>
      </c>
      <c r="B2767" s="55" t="s">
        <v>5203</v>
      </c>
      <c r="D2767" s="55" t="s">
        <v>389</v>
      </c>
      <c r="E2767" s="74">
        <v>39839</v>
      </c>
      <c r="F2767" s="55" t="s">
        <v>344</v>
      </c>
      <c r="G2767" s="55" t="s">
        <v>5204</v>
      </c>
      <c r="H2767" s="55" t="s">
        <v>5205</v>
      </c>
      <c r="I2767" s="55" t="s">
        <v>5206</v>
      </c>
      <c r="J2767" s="55" t="s">
        <v>3017</v>
      </c>
      <c r="L2767" s="55" t="s">
        <v>5207</v>
      </c>
      <c r="M2767" s="55" t="s">
        <v>136</v>
      </c>
      <c r="N2767" s="55" t="s">
        <v>136</v>
      </c>
      <c r="O2767" s="55" t="s">
        <v>154</v>
      </c>
      <c r="P2767" s="55" t="s">
        <v>4109</v>
      </c>
      <c r="Q2767" s="55" t="s">
        <v>350</v>
      </c>
      <c r="R2767" s="55"/>
      <c r="S2767" s="55"/>
      <c r="T2767" s="55" t="s">
        <v>5208</v>
      </c>
    </row>
    <row r="2768" spans="1:20" ht="13" x14ac:dyDescent="0.15">
      <c r="A2768" s="72" t="str">
        <f t="shared" si="43"/>
        <v>Ofsted Social Care Provider Webpage</v>
      </c>
      <c r="B2768" s="55" t="s">
        <v>5209</v>
      </c>
      <c r="D2768" s="55" t="s">
        <v>373</v>
      </c>
      <c r="E2768" s="74">
        <v>39855</v>
      </c>
      <c r="F2768" s="55" t="s">
        <v>344</v>
      </c>
      <c r="G2768" s="55" t="s">
        <v>360</v>
      </c>
      <c r="H2768" s="55" t="s">
        <v>360</v>
      </c>
      <c r="I2768" s="55" t="s">
        <v>360</v>
      </c>
      <c r="J2768" s="55" t="s">
        <v>360</v>
      </c>
      <c r="K2768" s="55" t="s">
        <v>360</v>
      </c>
      <c r="L2768" s="55" t="s">
        <v>360</v>
      </c>
      <c r="M2768" s="55" t="s">
        <v>129</v>
      </c>
      <c r="N2768" s="55" t="s">
        <v>129</v>
      </c>
      <c r="O2768" s="55" t="s">
        <v>275</v>
      </c>
      <c r="P2768" s="55" t="s">
        <v>2310</v>
      </c>
      <c r="Q2768" s="55" t="s">
        <v>350</v>
      </c>
      <c r="R2768" s="55">
        <v>8</v>
      </c>
      <c r="S2768" s="55" t="s">
        <v>332</v>
      </c>
      <c r="T2768" s="55" t="s">
        <v>5210</v>
      </c>
    </row>
    <row r="2769" spans="1:20" ht="13" x14ac:dyDescent="0.15">
      <c r="A2769" s="72" t="str">
        <f t="shared" si="43"/>
        <v>Ofsted Social Care Provider Webpage</v>
      </c>
      <c r="B2769" s="55" t="s">
        <v>5211</v>
      </c>
      <c r="D2769" s="55" t="s">
        <v>373</v>
      </c>
      <c r="E2769" s="74">
        <v>39944</v>
      </c>
      <c r="F2769" s="55" t="s">
        <v>344</v>
      </c>
      <c r="G2769" s="55" t="s">
        <v>360</v>
      </c>
      <c r="H2769" s="55" t="s">
        <v>360</v>
      </c>
      <c r="I2769" s="55" t="s">
        <v>360</v>
      </c>
      <c r="J2769" s="55" t="s">
        <v>360</v>
      </c>
      <c r="K2769" s="55" t="s">
        <v>360</v>
      </c>
      <c r="L2769" s="55" t="s">
        <v>360</v>
      </c>
      <c r="M2769" s="55" t="s">
        <v>144</v>
      </c>
      <c r="N2769" s="55" t="s">
        <v>144</v>
      </c>
      <c r="O2769" s="55" t="s">
        <v>147</v>
      </c>
      <c r="P2769" s="55" t="s">
        <v>387</v>
      </c>
      <c r="Q2769" s="55" t="s">
        <v>350</v>
      </c>
      <c r="R2769" s="55">
        <v>5</v>
      </c>
      <c r="S2769" s="55"/>
      <c r="T2769" s="55" t="s">
        <v>656</v>
      </c>
    </row>
    <row r="2770" spans="1:20" ht="13" x14ac:dyDescent="0.15">
      <c r="A2770" s="72" t="str">
        <f t="shared" si="43"/>
        <v>Ofsted Social Care Provider Webpage</v>
      </c>
      <c r="B2770" s="55" t="s">
        <v>5212</v>
      </c>
      <c r="D2770" s="55" t="s">
        <v>373</v>
      </c>
      <c r="E2770" s="74">
        <v>39847</v>
      </c>
      <c r="F2770" s="55" t="s">
        <v>344</v>
      </c>
      <c r="G2770" s="55" t="s">
        <v>360</v>
      </c>
      <c r="H2770" s="55" t="s">
        <v>360</v>
      </c>
      <c r="I2770" s="55" t="s">
        <v>360</v>
      </c>
      <c r="J2770" s="55" t="s">
        <v>360</v>
      </c>
      <c r="K2770" s="55" t="s">
        <v>360</v>
      </c>
      <c r="L2770" s="55" t="s">
        <v>360</v>
      </c>
      <c r="M2770" s="55" t="s">
        <v>142</v>
      </c>
      <c r="N2770" s="55" t="s">
        <v>142</v>
      </c>
      <c r="O2770" s="55" t="s">
        <v>252</v>
      </c>
      <c r="P2770" s="55" t="s">
        <v>503</v>
      </c>
      <c r="Q2770" s="55" t="s">
        <v>350</v>
      </c>
      <c r="R2770" s="55">
        <v>1</v>
      </c>
      <c r="S2770" s="55"/>
      <c r="T2770" s="55" t="s">
        <v>504</v>
      </c>
    </row>
    <row r="2771" spans="1:20" ht="13" x14ac:dyDescent="0.15">
      <c r="A2771" s="72" t="str">
        <f t="shared" si="43"/>
        <v>Ofsted Social Care Provider Webpage</v>
      </c>
      <c r="B2771" s="55" t="s">
        <v>5213</v>
      </c>
      <c r="D2771" s="55" t="s">
        <v>373</v>
      </c>
      <c r="E2771" s="74">
        <v>39994</v>
      </c>
      <c r="F2771" s="55" t="s">
        <v>344</v>
      </c>
      <c r="G2771" s="55" t="s">
        <v>360</v>
      </c>
      <c r="H2771" s="55" t="s">
        <v>360</v>
      </c>
      <c r="I2771" s="55" t="s">
        <v>360</v>
      </c>
      <c r="J2771" s="55" t="s">
        <v>360</v>
      </c>
      <c r="K2771" s="55" t="s">
        <v>360</v>
      </c>
      <c r="L2771" s="55" t="s">
        <v>360</v>
      </c>
      <c r="M2771" s="55" t="s">
        <v>150</v>
      </c>
      <c r="N2771" s="55" t="s">
        <v>150</v>
      </c>
      <c r="O2771" s="55" t="s">
        <v>203</v>
      </c>
      <c r="P2771" s="55" t="s">
        <v>800</v>
      </c>
      <c r="Q2771" s="55" t="s">
        <v>350</v>
      </c>
      <c r="R2771" s="55">
        <v>3</v>
      </c>
      <c r="S2771" s="55"/>
      <c r="T2771" s="55" t="s">
        <v>5214</v>
      </c>
    </row>
    <row r="2772" spans="1:20" ht="13" x14ac:dyDescent="0.15">
      <c r="A2772" s="72" t="str">
        <f t="shared" si="43"/>
        <v>Ofsted Social Care Provider Webpage</v>
      </c>
      <c r="B2772" s="55" t="s">
        <v>5215</v>
      </c>
      <c r="D2772" s="55" t="s">
        <v>373</v>
      </c>
      <c r="E2772" s="74">
        <v>40309</v>
      </c>
      <c r="F2772" s="55" t="s">
        <v>344</v>
      </c>
      <c r="G2772" s="55" t="s">
        <v>360</v>
      </c>
      <c r="H2772" s="55" t="s">
        <v>360</v>
      </c>
      <c r="I2772" s="55" t="s">
        <v>360</v>
      </c>
      <c r="J2772" s="55" t="s">
        <v>360</v>
      </c>
      <c r="K2772" s="55" t="s">
        <v>360</v>
      </c>
      <c r="L2772" s="55" t="s">
        <v>360</v>
      </c>
      <c r="M2772" s="55" t="s">
        <v>150</v>
      </c>
      <c r="N2772" s="55" t="s">
        <v>150</v>
      </c>
      <c r="O2772" s="55" t="s">
        <v>203</v>
      </c>
      <c r="P2772" s="55" t="s">
        <v>800</v>
      </c>
      <c r="Q2772" s="55" t="s">
        <v>350</v>
      </c>
      <c r="R2772" s="55">
        <v>2</v>
      </c>
      <c r="S2772" s="55"/>
      <c r="T2772" s="55" t="s">
        <v>5214</v>
      </c>
    </row>
    <row r="2773" spans="1:20" ht="13" x14ac:dyDescent="0.15">
      <c r="A2773" s="72" t="str">
        <f t="shared" si="43"/>
        <v>Ofsted Social Care Provider Webpage</v>
      </c>
      <c r="B2773" s="55" t="s">
        <v>5216</v>
      </c>
      <c r="D2773" s="55" t="s">
        <v>373</v>
      </c>
      <c r="E2773" s="74">
        <v>39843</v>
      </c>
      <c r="F2773" s="55" t="s">
        <v>344</v>
      </c>
      <c r="G2773" s="55" t="s">
        <v>360</v>
      </c>
      <c r="H2773" s="55" t="s">
        <v>360</v>
      </c>
      <c r="I2773" s="55" t="s">
        <v>360</v>
      </c>
      <c r="J2773" s="55" t="s">
        <v>360</v>
      </c>
      <c r="K2773" s="55" t="s">
        <v>360</v>
      </c>
      <c r="L2773" s="55" t="s">
        <v>360</v>
      </c>
      <c r="M2773" s="55" t="s">
        <v>172</v>
      </c>
      <c r="N2773" s="55" t="s">
        <v>172</v>
      </c>
      <c r="O2773" s="55" t="s">
        <v>235</v>
      </c>
      <c r="P2773" s="55" t="s">
        <v>494</v>
      </c>
      <c r="Q2773" s="55" t="s">
        <v>350</v>
      </c>
      <c r="R2773" s="55">
        <v>3</v>
      </c>
      <c r="S2773" s="55"/>
      <c r="T2773" s="55" t="s">
        <v>1105</v>
      </c>
    </row>
    <row r="2774" spans="1:20" ht="13" x14ac:dyDescent="0.15">
      <c r="A2774" s="72" t="str">
        <f t="shared" si="43"/>
        <v>Ofsted Social Care Provider Webpage</v>
      </c>
      <c r="B2774" s="55" t="s">
        <v>5217</v>
      </c>
      <c r="D2774" s="55" t="s">
        <v>373</v>
      </c>
      <c r="E2774" s="74">
        <v>39899</v>
      </c>
      <c r="F2774" s="55" t="s">
        <v>344</v>
      </c>
      <c r="G2774" s="55" t="s">
        <v>360</v>
      </c>
      <c r="H2774" s="55" t="s">
        <v>360</v>
      </c>
      <c r="I2774" s="55" t="s">
        <v>360</v>
      </c>
      <c r="J2774" s="55" t="s">
        <v>360</v>
      </c>
      <c r="K2774" s="55" t="s">
        <v>360</v>
      </c>
      <c r="L2774" s="55" t="s">
        <v>360</v>
      </c>
      <c r="M2774" s="55" t="s">
        <v>378</v>
      </c>
      <c r="N2774" s="55" t="s">
        <v>134</v>
      </c>
      <c r="O2774" s="55" t="s">
        <v>175</v>
      </c>
      <c r="P2774" s="55" t="s">
        <v>932</v>
      </c>
      <c r="Q2774" s="55" t="s">
        <v>350</v>
      </c>
      <c r="R2774" s="55">
        <v>3</v>
      </c>
      <c r="S2774" s="55"/>
      <c r="T2774" s="55" t="s">
        <v>933</v>
      </c>
    </row>
    <row r="2775" spans="1:20" ht="13" x14ac:dyDescent="0.15">
      <c r="A2775" s="72" t="str">
        <f t="shared" si="43"/>
        <v>Ofsted Social Care Provider Webpage</v>
      </c>
      <c r="B2775" s="55" t="s">
        <v>5218</v>
      </c>
      <c r="D2775" s="55" t="s">
        <v>373</v>
      </c>
      <c r="E2775" s="74">
        <v>39932</v>
      </c>
      <c r="F2775" s="55" t="s">
        <v>344</v>
      </c>
      <c r="G2775" s="55" t="s">
        <v>360</v>
      </c>
      <c r="H2775" s="55" t="s">
        <v>360</v>
      </c>
      <c r="I2775" s="55" t="s">
        <v>360</v>
      </c>
      <c r="J2775" s="55" t="s">
        <v>360</v>
      </c>
      <c r="K2775" s="55" t="s">
        <v>360</v>
      </c>
      <c r="L2775" s="55" t="s">
        <v>360</v>
      </c>
      <c r="M2775" s="55" t="s">
        <v>142</v>
      </c>
      <c r="N2775" s="55" t="s">
        <v>142</v>
      </c>
      <c r="O2775" s="55" t="s">
        <v>292</v>
      </c>
      <c r="P2775" s="55" t="s">
        <v>1052</v>
      </c>
      <c r="Q2775" s="55" t="s">
        <v>350</v>
      </c>
      <c r="R2775" s="55">
        <v>4</v>
      </c>
      <c r="S2775" s="55"/>
      <c r="T2775" s="55" t="s">
        <v>1505</v>
      </c>
    </row>
    <row r="2776" spans="1:20" ht="13" x14ac:dyDescent="0.15">
      <c r="A2776" s="72" t="str">
        <f t="shared" si="43"/>
        <v>Ofsted Social Care Provider Webpage</v>
      </c>
      <c r="B2776" s="55" t="s">
        <v>5219</v>
      </c>
      <c r="D2776" s="55" t="s">
        <v>373</v>
      </c>
      <c r="E2776" s="74">
        <v>39903</v>
      </c>
      <c r="F2776" s="55" t="s">
        <v>344</v>
      </c>
      <c r="G2776" s="55" t="s">
        <v>360</v>
      </c>
      <c r="H2776" s="55" t="s">
        <v>360</v>
      </c>
      <c r="I2776" s="55" t="s">
        <v>360</v>
      </c>
      <c r="J2776" s="55" t="s">
        <v>360</v>
      </c>
      <c r="K2776" s="55" t="s">
        <v>360</v>
      </c>
      <c r="L2776" s="55" t="s">
        <v>360</v>
      </c>
      <c r="M2776" s="55" t="s">
        <v>144</v>
      </c>
      <c r="N2776" s="55" t="s">
        <v>144</v>
      </c>
      <c r="O2776" s="55" t="s">
        <v>245</v>
      </c>
      <c r="P2776" s="55" t="s">
        <v>245</v>
      </c>
      <c r="Q2776" s="55" t="s">
        <v>350</v>
      </c>
      <c r="R2776" s="55">
        <v>3</v>
      </c>
      <c r="S2776" s="55"/>
      <c r="T2776" s="55" t="s">
        <v>613</v>
      </c>
    </row>
    <row r="2777" spans="1:20" ht="13" x14ac:dyDescent="0.15">
      <c r="A2777" s="72" t="str">
        <f t="shared" si="43"/>
        <v>Ofsted Social Care Provider Webpage</v>
      </c>
      <c r="B2777" s="55" t="s">
        <v>5220</v>
      </c>
      <c r="D2777" s="55" t="s">
        <v>373</v>
      </c>
      <c r="E2777" s="74">
        <v>39925</v>
      </c>
      <c r="F2777" s="55" t="s">
        <v>344</v>
      </c>
      <c r="G2777" s="55" t="s">
        <v>360</v>
      </c>
      <c r="H2777" s="55" t="s">
        <v>360</v>
      </c>
      <c r="I2777" s="55" t="s">
        <v>360</v>
      </c>
      <c r="J2777" s="55" t="s">
        <v>360</v>
      </c>
      <c r="K2777" s="55" t="s">
        <v>360</v>
      </c>
      <c r="L2777" s="55" t="s">
        <v>360</v>
      </c>
      <c r="M2777" s="55" t="s">
        <v>378</v>
      </c>
      <c r="N2777" s="55" t="s">
        <v>170</v>
      </c>
      <c r="O2777" s="55" t="s">
        <v>169</v>
      </c>
      <c r="P2777" s="55" t="s">
        <v>169</v>
      </c>
      <c r="Q2777" s="55" t="s">
        <v>350</v>
      </c>
      <c r="R2777" s="55">
        <v>5</v>
      </c>
      <c r="S2777" s="55"/>
      <c r="T2777" s="55" t="s">
        <v>5221</v>
      </c>
    </row>
    <row r="2778" spans="1:20" ht="13" x14ac:dyDescent="0.15">
      <c r="A2778" s="72" t="str">
        <f t="shared" si="43"/>
        <v>Ofsted Social Care Provider Webpage</v>
      </c>
      <c r="B2778" s="55" t="s">
        <v>5222</v>
      </c>
      <c r="D2778" s="55" t="s">
        <v>389</v>
      </c>
      <c r="E2778" s="74">
        <v>39895</v>
      </c>
      <c r="F2778" s="55" t="s">
        <v>344</v>
      </c>
      <c r="G2778" s="55" t="s">
        <v>5223</v>
      </c>
      <c r="H2778" s="55" t="s">
        <v>5224</v>
      </c>
      <c r="I2778" s="55" t="s">
        <v>5225</v>
      </c>
      <c r="J2778" s="55" t="s">
        <v>5226</v>
      </c>
      <c r="L2778" s="55" t="s">
        <v>5227</v>
      </c>
      <c r="M2778" s="55" t="s">
        <v>150</v>
      </c>
      <c r="N2778" s="55" t="s">
        <v>150</v>
      </c>
      <c r="O2778" s="55" t="s">
        <v>253</v>
      </c>
      <c r="P2778" s="55" t="s">
        <v>253</v>
      </c>
      <c r="Q2778" s="55" t="s">
        <v>362</v>
      </c>
      <c r="R2778" s="55"/>
      <c r="S2778" s="55"/>
      <c r="T2778" s="55" t="s">
        <v>5228</v>
      </c>
    </row>
    <row r="2779" spans="1:20" ht="13" x14ac:dyDescent="0.15">
      <c r="A2779" s="72" t="str">
        <f t="shared" si="43"/>
        <v>Ofsted Social Care Provider Webpage</v>
      </c>
      <c r="B2779" s="55" t="s">
        <v>5229</v>
      </c>
      <c r="D2779" s="55" t="s">
        <v>373</v>
      </c>
      <c r="E2779" s="74">
        <v>39904</v>
      </c>
      <c r="F2779" s="55" t="s">
        <v>344</v>
      </c>
      <c r="G2779" s="55" t="s">
        <v>360</v>
      </c>
      <c r="H2779" s="55" t="s">
        <v>360</v>
      </c>
      <c r="I2779" s="55" t="s">
        <v>360</v>
      </c>
      <c r="J2779" s="55" t="s">
        <v>360</v>
      </c>
      <c r="K2779" s="55" t="s">
        <v>360</v>
      </c>
      <c r="L2779" s="55" t="s">
        <v>360</v>
      </c>
      <c r="M2779" s="55" t="s">
        <v>150</v>
      </c>
      <c r="N2779" s="55" t="s">
        <v>150</v>
      </c>
      <c r="O2779" s="55" t="s">
        <v>285</v>
      </c>
      <c r="P2779" s="55" t="s">
        <v>565</v>
      </c>
      <c r="Q2779" s="55" t="s">
        <v>350</v>
      </c>
      <c r="R2779" s="55">
        <v>4</v>
      </c>
      <c r="S2779" s="55"/>
      <c r="T2779" s="55" t="s">
        <v>931</v>
      </c>
    </row>
    <row r="2780" spans="1:20" ht="13" x14ac:dyDescent="0.15">
      <c r="A2780" s="72" t="str">
        <f t="shared" si="43"/>
        <v>Ofsted Social Care Provider Webpage</v>
      </c>
      <c r="B2780" s="55" t="s">
        <v>5230</v>
      </c>
      <c r="D2780" s="55" t="s">
        <v>373</v>
      </c>
      <c r="E2780" s="74">
        <v>39960</v>
      </c>
      <c r="F2780" s="55" t="s">
        <v>344</v>
      </c>
      <c r="G2780" s="55" t="s">
        <v>360</v>
      </c>
      <c r="H2780" s="55" t="s">
        <v>360</v>
      </c>
      <c r="I2780" s="55" t="s">
        <v>360</v>
      </c>
      <c r="J2780" s="55" t="s">
        <v>360</v>
      </c>
      <c r="K2780" s="55" t="s">
        <v>360</v>
      </c>
      <c r="L2780" s="55" t="s">
        <v>360</v>
      </c>
      <c r="M2780" s="55" t="s">
        <v>150</v>
      </c>
      <c r="N2780" s="55" t="s">
        <v>150</v>
      </c>
      <c r="O2780" s="55" t="s">
        <v>221</v>
      </c>
      <c r="P2780" s="55" t="s">
        <v>349</v>
      </c>
      <c r="Q2780" s="55" t="s">
        <v>350</v>
      </c>
      <c r="R2780" s="55">
        <v>4</v>
      </c>
      <c r="S2780" s="55"/>
      <c r="T2780" s="55" t="s">
        <v>762</v>
      </c>
    </row>
    <row r="2781" spans="1:20" ht="13" x14ac:dyDescent="0.15">
      <c r="A2781" s="72" t="str">
        <f t="shared" si="43"/>
        <v>Ofsted Social Care Provider Webpage</v>
      </c>
      <c r="B2781" s="55" t="s">
        <v>5231</v>
      </c>
      <c r="D2781" s="55" t="s">
        <v>373</v>
      </c>
      <c r="E2781" s="74">
        <v>39902</v>
      </c>
      <c r="F2781" s="55" t="s">
        <v>344</v>
      </c>
      <c r="G2781" s="55" t="s">
        <v>360</v>
      </c>
      <c r="H2781" s="55" t="s">
        <v>360</v>
      </c>
      <c r="I2781" s="55" t="s">
        <v>360</v>
      </c>
      <c r="J2781" s="55" t="s">
        <v>360</v>
      </c>
      <c r="K2781" s="55" t="s">
        <v>360</v>
      </c>
      <c r="L2781" s="55" t="s">
        <v>360</v>
      </c>
      <c r="M2781" s="55" t="s">
        <v>138</v>
      </c>
      <c r="N2781" s="55" t="s">
        <v>138</v>
      </c>
      <c r="O2781" s="55" t="s">
        <v>161</v>
      </c>
      <c r="P2781" s="55" t="s">
        <v>643</v>
      </c>
      <c r="Q2781" s="55" t="s">
        <v>380</v>
      </c>
      <c r="R2781" s="55">
        <v>8</v>
      </c>
      <c r="S2781" s="55"/>
      <c r="T2781" s="55" t="s">
        <v>1474</v>
      </c>
    </row>
    <row r="2782" spans="1:20" ht="13" x14ac:dyDescent="0.15">
      <c r="A2782" s="72" t="str">
        <f t="shared" si="43"/>
        <v>Ofsted Social Care Provider Webpage</v>
      </c>
      <c r="B2782" s="55" t="s">
        <v>5232</v>
      </c>
      <c r="D2782" s="55" t="s">
        <v>373</v>
      </c>
      <c r="E2782" s="74">
        <v>39902</v>
      </c>
      <c r="F2782" s="55" t="s">
        <v>344</v>
      </c>
      <c r="G2782" s="55" t="s">
        <v>360</v>
      </c>
      <c r="H2782" s="55" t="s">
        <v>360</v>
      </c>
      <c r="I2782" s="55" t="s">
        <v>360</v>
      </c>
      <c r="J2782" s="55" t="s">
        <v>360</v>
      </c>
      <c r="K2782" s="55" t="s">
        <v>360</v>
      </c>
      <c r="L2782" s="55" t="s">
        <v>360</v>
      </c>
      <c r="M2782" s="55" t="s">
        <v>138</v>
      </c>
      <c r="N2782" s="55" t="s">
        <v>138</v>
      </c>
      <c r="O2782" s="55" t="s">
        <v>161</v>
      </c>
      <c r="P2782" s="55" t="s">
        <v>761</v>
      </c>
      <c r="Q2782" s="55" t="s">
        <v>380</v>
      </c>
      <c r="R2782" s="55">
        <v>4</v>
      </c>
      <c r="S2782" s="55" t="s">
        <v>332</v>
      </c>
      <c r="T2782" s="55" t="s">
        <v>1474</v>
      </c>
    </row>
    <row r="2783" spans="1:20" ht="13" x14ac:dyDescent="0.15">
      <c r="A2783" s="72" t="str">
        <f t="shared" si="43"/>
        <v>Ofsted Social Care Provider Webpage</v>
      </c>
      <c r="B2783" s="55" t="s">
        <v>5233</v>
      </c>
      <c r="D2783" s="55" t="s">
        <v>373</v>
      </c>
      <c r="E2783" s="74">
        <v>39969</v>
      </c>
      <c r="F2783" s="55" t="s">
        <v>344</v>
      </c>
      <c r="G2783" s="55" t="s">
        <v>360</v>
      </c>
      <c r="H2783" s="55" t="s">
        <v>360</v>
      </c>
      <c r="I2783" s="55" t="s">
        <v>360</v>
      </c>
      <c r="J2783" s="55" t="s">
        <v>360</v>
      </c>
      <c r="K2783" s="55" t="s">
        <v>360</v>
      </c>
      <c r="L2783" s="55" t="s">
        <v>360</v>
      </c>
      <c r="M2783" s="55" t="s">
        <v>378</v>
      </c>
      <c r="N2783" s="55" t="s">
        <v>134</v>
      </c>
      <c r="O2783" s="55" t="s">
        <v>251</v>
      </c>
      <c r="P2783" s="55" t="s">
        <v>1709</v>
      </c>
      <c r="Q2783" s="55" t="s">
        <v>350</v>
      </c>
      <c r="R2783" s="55">
        <v>3</v>
      </c>
      <c r="S2783" s="55"/>
      <c r="T2783" s="55" t="s">
        <v>1105</v>
      </c>
    </row>
    <row r="2784" spans="1:20" ht="13" x14ac:dyDescent="0.15">
      <c r="A2784" s="72" t="str">
        <f t="shared" si="43"/>
        <v>Ofsted Social Care Provider Webpage</v>
      </c>
      <c r="B2784" s="55" t="s">
        <v>5234</v>
      </c>
      <c r="D2784" s="55" t="s">
        <v>373</v>
      </c>
      <c r="E2784" s="74">
        <v>39932</v>
      </c>
      <c r="F2784" s="55" t="s">
        <v>344</v>
      </c>
      <c r="G2784" s="55" t="s">
        <v>360</v>
      </c>
      <c r="H2784" s="55" t="s">
        <v>360</v>
      </c>
      <c r="I2784" s="55" t="s">
        <v>360</v>
      </c>
      <c r="J2784" s="55" t="s">
        <v>360</v>
      </c>
      <c r="K2784" s="55" t="s">
        <v>360</v>
      </c>
      <c r="L2784" s="55" t="s">
        <v>360</v>
      </c>
      <c r="M2784" s="55" t="s">
        <v>136</v>
      </c>
      <c r="N2784" s="55" t="s">
        <v>136</v>
      </c>
      <c r="O2784" s="55" t="s">
        <v>705</v>
      </c>
      <c r="P2784" s="55" t="s">
        <v>706</v>
      </c>
      <c r="Q2784" s="55" t="s">
        <v>350</v>
      </c>
      <c r="R2784" s="55">
        <v>2</v>
      </c>
      <c r="S2784" s="55"/>
      <c r="T2784" s="55" t="s">
        <v>456</v>
      </c>
    </row>
    <row r="2785" spans="1:20" ht="13" x14ac:dyDescent="0.15">
      <c r="A2785" s="72" t="str">
        <f t="shared" si="43"/>
        <v>Ofsted Social Care Provider Webpage</v>
      </c>
      <c r="B2785" s="55" t="s">
        <v>5235</v>
      </c>
      <c r="D2785" s="55" t="s">
        <v>443</v>
      </c>
      <c r="E2785" s="74">
        <v>39920</v>
      </c>
      <c r="F2785" s="55" t="s">
        <v>344</v>
      </c>
      <c r="G2785" s="55" t="s">
        <v>5236</v>
      </c>
      <c r="H2785" s="55" t="s">
        <v>5237</v>
      </c>
      <c r="I2785" s="55" t="s">
        <v>354</v>
      </c>
      <c r="J2785" s="55" t="s">
        <v>5238</v>
      </c>
      <c r="K2785" s="55" t="s">
        <v>285</v>
      </c>
      <c r="L2785" s="55" t="s">
        <v>5239</v>
      </c>
      <c r="M2785" s="55" t="s">
        <v>150</v>
      </c>
      <c r="N2785" s="55" t="s">
        <v>150</v>
      </c>
      <c r="O2785" s="55" t="s">
        <v>285</v>
      </c>
      <c r="P2785" s="55" t="s">
        <v>1902</v>
      </c>
      <c r="Q2785" s="55" t="s">
        <v>350</v>
      </c>
      <c r="R2785" s="55"/>
      <c r="S2785" s="55"/>
    </row>
    <row r="2786" spans="1:20" ht="13" x14ac:dyDescent="0.15">
      <c r="A2786" s="72" t="str">
        <f t="shared" si="43"/>
        <v>Ofsted Social Care Provider Webpage</v>
      </c>
      <c r="B2786" s="55" t="s">
        <v>5240</v>
      </c>
      <c r="D2786" s="55" t="s">
        <v>479</v>
      </c>
      <c r="E2786" s="74">
        <v>40001</v>
      </c>
      <c r="F2786" s="55" t="s">
        <v>344</v>
      </c>
      <c r="G2786" s="55" t="s">
        <v>360</v>
      </c>
      <c r="H2786" s="55" t="s">
        <v>360</v>
      </c>
      <c r="I2786" s="55" t="s">
        <v>360</v>
      </c>
      <c r="J2786" s="55" t="s">
        <v>360</v>
      </c>
      <c r="K2786" s="55" t="s">
        <v>360</v>
      </c>
      <c r="L2786" s="55" t="s">
        <v>360</v>
      </c>
      <c r="M2786" s="55" t="s">
        <v>142</v>
      </c>
      <c r="N2786" s="55" t="s">
        <v>142</v>
      </c>
      <c r="O2786" s="55" t="s">
        <v>262</v>
      </c>
      <c r="P2786" s="55" t="s">
        <v>1859</v>
      </c>
      <c r="Q2786" s="55" t="s">
        <v>350</v>
      </c>
      <c r="R2786" s="55">
        <v>12</v>
      </c>
      <c r="S2786" s="55"/>
      <c r="T2786" s="55" t="s">
        <v>450</v>
      </c>
    </row>
    <row r="2787" spans="1:20" ht="13" x14ac:dyDescent="0.15">
      <c r="A2787" s="72" t="str">
        <f t="shared" si="43"/>
        <v>Ofsted Social Care Provider Webpage</v>
      </c>
      <c r="B2787" s="55" t="s">
        <v>5241</v>
      </c>
      <c r="D2787" s="55" t="s">
        <v>373</v>
      </c>
      <c r="E2787" s="74">
        <v>39995</v>
      </c>
      <c r="F2787" s="55" t="s">
        <v>344</v>
      </c>
      <c r="G2787" s="55" t="s">
        <v>360</v>
      </c>
      <c r="H2787" s="55" t="s">
        <v>360</v>
      </c>
      <c r="I2787" s="55" t="s">
        <v>360</v>
      </c>
      <c r="J2787" s="55" t="s">
        <v>360</v>
      </c>
      <c r="K2787" s="55" t="s">
        <v>360</v>
      </c>
      <c r="L2787" s="55" t="s">
        <v>360</v>
      </c>
      <c r="M2787" s="55" t="s">
        <v>378</v>
      </c>
      <c r="N2787" s="55" t="s">
        <v>170</v>
      </c>
      <c r="O2787" s="55" t="s">
        <v>169</v>
      </c>
      <c r="P2787" s="55" t="s">
        <v>169</v>
      </c>
      <c r="Q2787" s="55" t="s">
        <v>362</v>
      </c>
      <c r="R2787" s="55">
        <v>6</v>
      </c>
      <c r="S2787" s="55"/>
      <c r="T2787" s="55" t="s">
        <v>3132</v>
      </c>
    </row>
    <row r="2788" spans="1:20" ht="13" x14ac:dyDescent="0.15">
      <c r="A2788" s="72" t="str">
        <f t="shared" si="43"/>
        <v>Ofsted Social Care Provider Webpage</v>
      </c>
      <c r="B2788" s="55" t="s">
        <v>5242</v>
      </c>
      <c r="D2788" s="55" t="s">
        <v>373</v>
      </c>
      <c r="E2788" s="74">
        <v>39927</v>
      </c>
      <c r="F2788" s="55" t="s">
        <v>344</v>
      </c>
      <c r="G2788" s="55" t="s">
        <v>360</v>
      </c>
      <c r="H2788" s="55" t="s">
        <v>360</v>
      </c>
      <c r="I2788" s="55" t="s">
        <v>360</v>
      </c>
      <c r="J2788" s="55" t="s">
        <v>360</v>
      </c>
      <c r="K2788" s="55" t="s">
        <v>360</v>
      </c>
      <c r="L2788" s="55" t="s">
        <v>360</v>
      </c>
      <c r="M2788" s="55" t="s">
        <v>142</v>
      </c>
      <c r="N2788" s="55" t="s">
        <v>142</v>
      </c>
      <c r="O2788" s="55" t="s">
        <v>141</v>
      </c>
      <c r="P2788" s="55" t="s">
        <v>795</v>
      </c>
      <c r="Q2788" s="55" t="s">
        <v>350</v>
      </c>
      <c r="R2788" s="55">
        <v>4</v>
      </c>
      <c r="S2788" s="55"/>
      <c r="T2788" s="55" t="s">
        <v>960</v>
      </c>
    </row>
    <row r="2789" spans="1:20" ht="13" x14ac:dyDescent="0.15">
      <c r="A2789" s="72" t="str">
        <f t="shared" si="43"/>
        <v>Ofsted Social Care Provider Webpage</v>
      </c>
      <c r="B2789" s="55" t="s">
        <v>5243</v>
      </c>
      <c r="D2789" s="55" t="s">
        <v>373</v>
      </c>
      <c r="E2789" s="74">
        <v>39990</v>
      </c>
      <c r="F2789" s="55" t="s">
        <v>344</v>
      </c>
      <c r="G2789" s="55" t="s">
        <v>360</v>
      </c>
      <c r="H2789" s="55" t="s">
        <v>360</v>
      </c>
      <c r="I2789" s="55" t="s">
        <v>360</v>
      </c>
      <c r="J2789" s="55" t="s">
        <v>360</v>
      </c>
      <c r="K2789" s="55" t="s">
        <v>360</v>
      </c>
      <c r="L2789" s="55" t="s">
        <v>360</v>
      </c>
      <c r="M2789" s="55" t="s">
        <v>378</v>
      </c>
      <c r="N2789" s="55" t="s">
        <v>170</v>
      </c>
      <c r="O2789" s="55" t="s">
        <v>178</v>
      </c>
      <c r="P2789" s="55" t="s">
        <v>1450</v>
      </c>
      <c r="Q2789" s="55" t="s">
        <v>350</v>
      </c>
      <c r="R2789" s="55">
        <v>3</v>
      </c>
      <c r="S2789" s="55"/>
      <c r="T2789" s="55" t="s">
        <v>5244</v>
      </c>
    </row>
    <row r="2790" spans="1:20" ht="13" x14ac:dyDescent="0.15">
      <c r="A2790" s="72" t="str">
        <f t="shared" si="43"/>
        <v>Ofsted Social Care Provider Webpage</v>
      </c>
      <c r="B2790" s="55" t="s">
        <v>5245</v>
      </c>
      <c r="D2790" s="55" t="s">
        <v>373</v>
      </c>
      <c r="E2790" s="74">
        <v>39946</v>
      </c>
      <c r="F2790" s="55" t="s">
        <v>344</v>
      </c>
      <c r="G2790" s="55" t="s">
        <v>360</v>
      </c>
      <c r="H2790" s="55" t="s">
        <v>360</v>
      </c>
      <c r="I2790" s="55" t="s">
        <v>360</v>
      </c>
      <c r="J2790" s="55" t="s">
        <v>360</v>
      </c>
      <c r="K2790" s="55" t="s">
        <v>360</v>
      </c>
      <c r="L2790" s="55" t="s">
        <v>360</v>
      </c>
      <c r="M2790" s="55" t="s">
        <v>172</v>
      </c>
      <c r="N2790" s="55" t="s">
        <v>172</v>
      </c>
      <c r="O2790" s="55" t="s">
        <v>235</v>
      </c>
      <c r="P2790" s="55" t="s">
        <v>494</v>
      </c>
      <c r="Q2790" s="55" t="s">
        <v>350</v>
      </c>
      <c r="R2790" s="55">
        <v>3</v>
      </c>
      <c r="S2790" s="55"/>
      <c r="T2790" s="55" t="s">
        <v>5246</v>
      </c>
    </row>
    <row r="2791" spans="1:20" ht="13" x14ac:dyDescent="0.15">
      <c r="A2791" s="72" t="str">
        <f t="shared" si="43"/>
        <v>Ofsted Social Care Provider Webpage</v>
      </c>
      <c r="B2791" s="55" t="s">
        <v>5247</v>
      </c>
      <c r="D2791" s="55" t="s">
        <v>373</v>
      </c>
      <c r="E2791" s="74">
        <v>39983</v>
      </c>
      <c r="F2791" s="55" t="s">
        <v>344</v>
      </c>
      <c r="G2791" s="55" t="s">
        <v>360</v>
      </c>
      <c r="H2791" s="55" t="s">
        <v>360</v>
      </c>
      <c r="I2791" s="55" t="s">
        <v>360</v>
      </c>
      <c r="J2791" s="55" t="s">
        <v>360</v>
      </c>
      <c r="K2791" s="55" t="s">
        <v>360</v>
      </c>
      <c r="L2791" s="55" t="s">
        <v>360</v>
      </c>
      <c r="M2791" s="55" t="s">
        <v>150</v>
      </c>
      <c r="N2791" s="55" t="s">
        <v>150</v>
      </c>
      <c r="O2791" s="55" t="s">
        <v>190</v>
      </c>
      <c r="P2791" s="55" t="s">
        <v>897</v>
      </c>
      <c r="Q2791" s="55" t="s">
        <v>350</v>
      </c>
      <c r="R2791" s="55">
        <v>5</v>
      </c>
      <c r="S2791" s="55"/>
      <c r="T2791" s="55" t="s">
        <v>450</v>
      </c>
    </row>
    <row r="2792" spans="1:20" ht="13" x14ac:dyDescent="0.15">
      <c r="A2792" s="72" t="str">
        <f t="shared" si="43"/>
        <v>Ofsted Social Care Provider Webpage</v>
      </c>
      <c r="B2792" s="55" t="s">
        <v>5248</v>
      </c>
      <c r="D2792" s="55" t="s">
        <v>373</v>
      </c>
      <c r="E2792" s="74">
        <v>39962</v>
      </c>
      <c r="F2792" s="55" t="s">
        <v>344</v>
      </c>
      <c r="G2792" s="55" t="s">
        <v>360</v>
      </c>
      <c r="H2792" s="55" t="s">
        <v>360</v>
      </c>
      <c r="I2792" s="55" t="s">
        <v>360</v>
      </c>
      <c r="J2792" s="55" t="s">
        <v>360</v>
      </c>
      <c r="K2792" s="55" t="s">
        <v>360</v>
      </c>
      <c r="L2792" s="55" t="s">
        <v>360</v>
      </c>
      <c r="M2792" s="55" t="s">
        <v>138</v>
      </c>
      <c r="N2792" s="55" t="s">
        <v>138</v>
      </c>
      <c r="O2792" s="55" t="s">
        <v>183</v>
      </c>
      <c r="P2792" s="55" t="s">
        <v>2051</v>
      </c>
      <c r="Q2792" s="55" t="s">
        <v>350</v>
      </c>
      <c r="R2792" s="55">
        <v>4</v>
      </c>
      <c r="S2792" s="55"/>
      <c r="T2792" s="55" t="s">
        <v>585</v>
      </c>
    </row>
    <row r="2793" spans="1:20" ht="13" x14ac:dyDescent="0.15">
      <c r="A2793" s="72" t="str">
        <f t="shared" si="43"/>
        <v>Ofsted Social Care Provider Webpage</v>
      </c>
      <c r="B2793" s="55" t="s">
        <v>5249</v>
      </c>
      <c r="D2793" s="55" t="s">
        <v>373</v>
      </c>
      <c r="E2793" s="74">
        <v>39987</v>
      </c>
      <c r="F2793" s="55" t="s">
        <v>344</v>
      </c>
      <c r="G2793" s="55" t="s">
        <v>360</v>
      </c>
      <c r="H2793" s="55" t="s">
        <v>360</v>
      </c>
      <c r="I2793" s="55" t="s">
        <v>360</v>
      </c>
      <c r="J2793" s="55" t="s">
        <v>360</v>
      </c>
      <c r="K2793" s="55" t="s">
        <v>360</v>
      </c>
      <c r="L2793" s="55" t="s">
        <v>360</v>
      </c>
      <c r="M2793" s="55" t="s">
        <v>378</v>
      </c>
      <c r="N2793" s="55" t="s">
        <v>134</v>
      </c>
      <c r="O2793" s="55" t="s">
        <v>225</v>
      </c>
      <c r="P2793" s="55" t="s">
        <v>1667</v>
      </c>
      <c r="Q2793" s="55" t="s">
        <v>380</v>
      </c>
      <c r="R2793" s="55">
        <v>4</v>
      </c>
      <c r="S2793" s="55"/>
      <c r="T2793" s="55" t="s">
        <v>1668</v>
      </c>
    </row>
    <row r="2794" spans="1:20" ht="13" x14ac:dyDescent="0.15">
      <c r="A2794" s="72" t="str">
        <f t="shared" si="43"/>
        <v>Ofsted Social Care Provider Webpage</v>
      </c>
      <c r="B2794" s="55" t="s">
        <v>5250</v>
      </c>
      <c r="D2794" s="55" t="s">
        <v>373</v>
      </c>
      <c r="E2794" s="74">
        <v>39946</v>
      </c>
      <c r="F2794" s="55" t="s">
        <v>344</v>
      </c>
      <c r="G2794" s="55" t="s">
        <v>360</v>
      </c>
      <c r="H2794" s="55" t="s">
        <v>360</v>
      </c>
      <c r="I2794" s="55" t="s">
        <v>360</v>
      </c>
      <c r="J2794" s="55" t="s">
        <v>360</v>
      </c>
      <c r="K2794" s="55" t="s">
        <v>360</v>
      </c>
      <c r="L2794" s="55" t="s">
        <v>360</v>
      </c>
      <c r="M2794" s="55" t="s">
        <v>144</v>
      </c>
      <c r="N2794" s="55" t="s">
        <v>144</v>
      </c>
      <c r="O2794" s="55" t="s">
        <v>248</v>
      </c>
      <c r="P2794" s="55" t="s">
        <v>492</v>
      </c>
      <c r="Q2794" s="55" t="s">
        <v>380</v>
      </c>
      <c r="R2794" s="55">
        <v>5</v>
      </c>
      <c r="S2794" s="55"/>
      <c r="T2794" s="55" t="s">
        <v>3749</v>
      </c>
    </row>
    <row r="2795" spans="1:20" ht="13" x14ac:dyDescent="0.15">
      <c r="A2795" s="72" t="str">
        <f t="shared" si="43"/>
        <v>Ofsted Social Care Provider Webpage</v>
      </c>
      <c r="B2795" s="55" t="s">
        <v>5251</v>
      </c>
      <c r="D2795" s="55" t="s">
        <v>373</v>
      </c>
      <c r="E2795" s="74">
        <v>39972</v>
      </c>
      <c r="F2795" s="55" t="s">
        <v>344</v>
      </c>
      <c r="G2795" s="55" t="s">
        <v>360</v>
      </c>
      <c r="H2795" s="55" t="s">
        <v>360</v>
      </c>
      <c r="I2795" s="55" t="s">
        <v>360</v>
      </c>
      <c r="J2795" s="55" t="s">
        <v>360</v>
      </c>
      <c r="K2795" s="55" t="s">
        <v>360</v>
      </c>
      <c r="L2795" s="55" t="s">
        <v>360</v>
      </c>
      <c r="M2795" s="55" t="s">
        <v>144</v>
      </c>
      <c r="N2795" s="55" t="s">
        <v>144</v>
      </c>
      <c r="O2795" s="55" t="s">
        <v>263</v>
      </c>
      <c r="P2795" s="55" t="s">
        <v>263</v>
      </c>
      <c r="Q2795" s="55" t="s">
        <v>350</v>
      </c>
      <c r="R2795" s="55">
        <v>3</v>
      </c>
      <c r="S2795" s="55"/>
      <c r="T2795" s="55" t="s">
        <v>5252</v>
      </c>
    </row>
    <row r="2796" spans="1:20" ht="13" x14ac:dyDescent="0.15">
      <c r="A2796" s="72" t="str">
        <f t="shared" si="43"/>
        <v>Ofsted Social Care Provider Webpage</v>
      </c>
      <c r="B2796" s="55" t="s">
        <v>5253</v>
      </c>
      <c r="D2796" s="55" t="s">
        <v>373</v>
      </c>
      <c r="E2796" s="74">
        <v>39969</v>
      </c>
      <c r="F2796" s="55" t="s">
        <v>344</v>
      </c>
      <c r="G2796" s="55" t="s">
        <v>360</v>
      </c>
      <c r="H2796" s="55" t="s">
        <v>360</v>
      </c>
      <c r="I2796" s="55" t="s">
        <v>360</v>
      </c>
      <c r="J2796" s="55" t="s">
        <v>360</v>
      </c>
      <c r="K2796" s="55" t="s">
        <v>360</v>
      </c>
      <c r="L2796" s="55" t="s">
        <v>360</v>
      </c>
      <c r="M2796" s="55" t="s">
        <v>144</v>
      </c>
      <c r="N2796" s="55" t="s">
        <v>144</v>
      </c>
      <c r="O2796" s="55" t="s">
        <v>263</v>
      </c>
      <c r="P2796" s="55" t="s">
        <v>263</v>
      </c>
      <c r="Q2796" s="55" t="s">
        <v>350</v>
      </c>
      <c r="R2796" s="55">
        <v>3</v>
      </c>
      <c r="S2796" s="55"/>
      <c r="T2796" s="55" t="s">
        <v>5252</v>
      </c>
    </row>
    <row r="2797" spans="1:20" ht="13" x14ac:dyDescent="0.15">
      <c r="A2797" s="72" t="str">
        <f t="shared" si="43"/>
        <v>Ofsted Social Care Provider Webpage</v>
      </c>
      <c r="B2797" s="55" t="s">
        <v>5254</v>
      </c>
      <c r="D2797" s="55" t="s">
        <v>468</v>
      </c>
      <c r="E2797" s="74">
        <v>39945</v>
      </c>
      <c r="F2797" s="55" t="s">
        <v>344</v>
      </c>
      <c r="G2797" s="55" t="s">
        <v>5255</v>
      </c>
      <c r="H2797" s="55" t="s">
        <v>5256</v>
      </c>
      <c r="I2797" s="55" t="s">
        <v>5257</v>
      </c>
      <c r="J2797" s="55" t="s">
        <v>5258</v>
      </c>
      <c r="K2797" s="55" t="s">
        <v>2753</v>
      </c>
      <c r="L2797" s="55" t="s">
        <v>1047</v>
      </c>
      <c r="M2797" s="55" t="s">
        <v>142</v>
      </c>
      <c r="N2797" s="55" t="s">
        <v>142</v>
      </c>
      <c r="O2797" s="55" t="s">
        <v>254</v>
      </c>
      <c r="P2797" s="55" t="s">
        <v>1048</v>
      </c>
      <c r="Q2797" s="55" t="s">
        <v>362</v>
      </c>
      <c r="R2797" s="55"/>
      <c r="S2797" s="55"/>
      <c r="T2797" s="55" t="s">
        <v>5259</v>
      </c>
    </row>
    <row r="2798" spans="1:20" ht="13" x14ac:dyDescent="0.15">
      <c r="A2798" s="72" t="str">
        <f t="shared" si="43"/>
        <v>Ofsted Social Care Provider Webpage</v>
      </c>
      <c r="B2798" s="55" t="s">
        <v>5260</v>
      </c>
      <c r="D2798" s="55" t="s">
        <v>373</v>
      </c>
      <c r="E2798" s="74">
        <v>39994</v>
      </c>
      <c r="F2798" s="55" t="s">
        <v>344</v>
      </c>
      <c r="G2798" s="55" t="s">
        <v>360</v>
      </c>
      <c r="H2798" s="55" t="s">
        <v>360</v>
      </c>
      <c r="I2798" s="55" t="s">
        <v>360</v>
      </c>
      <c r="J2798" s="55" t="s">
        <v>360</v>
      </c>
      <c r="K2798" s="55" t="s">
        <v>360</v>
      </c>
      <c r="L2798" s="55" t="s">
        <v>360</v>
      </c>
      <c r="M2798" s="55" t="s">
        <v>142</v>
      </c>
      <c r="N2798" s="55" t="s">
        <v>142</v>
      </c>
      <c r="O2798" s="55" t="s">
        <v>262</v>
      </c>
      <c r="P2798" s="55" t="s">
        <v>488</v>
      </c>
      <c r="Q2798" s="55" t="s">
        <v>350</v>
      </c>
      <c r="R2798" s="55">
        <v>2</v>
      </c>
      <c r="S2798" s="55"/>
      <c r="T2798" s="55" t="s">
        <v>1430</v>
      </c>
    </row>
    <row r="2799" spans="1:20" ht="13" x14ac:dyDescent="0.15">
      <c r="A2799" s="72" t="str">
        <f t="shared" si="43"/>
        <v>Ofsted Social Care Provider Webpage</v>
      </c>
      <c r="B2799" s="55" t="s">
        <v>5261</v>
      </c>
      <c r="D2799" s="55" t="s">
        <v>373</v>
      </c>
      <c r="E2799" s="74">
        <v>39988</v>
      </c>
      <c r="F2799" s="55" t="s">
        <v>344</v>
      </c>
      <c r="G2799" s="55" t="s">
        <v>360</v>
      </c>
      <c r="H2799" s="55" t="s">
        <v>360</v>
      </c>
      <c r="I2799" s="55" t="s">
        <v>360</v>
      </c>
      <c r="J2799" s="55" t="s">
        <v>360</v>
      </c>
      <c r="K2799" s="55" t="s">
        <v>360</v>
      </c>
      <c r="L2799" s="55" t="s">
        <v>360</v>
      </c>
      <c r="M2799" s="55" t="s">
        <v>378</v>
      </c>
      <c r="N2799" s="55" t="s">
        <v>170</v>
      </c>
      <c r="O2799" s="55" t="s">
        <v>222</v>
      </c>
      <c r="P2799" s="55" t="s">
        <v>2188</v>
      </c>
      <c r="Q2799" s="55" t="s">
        <v>350</v>
      </c>
      <c r="R2799" s="55">
        <v>6</v>
      </c>
      <c r="S2799" s="55"/>
      <c r="T2799" s="55" t="s">
        <v>1528</v>
      </c>
    </row>
    <row r="2800" spans="1:20" ht="13" x14ac:dyDescent="0.15">
      <c r="A2800" s="72" t="str">
        <f t="shared" si="43"/>
        <v>Ofsted Social Care Provider Webpage</v>
      </c>
      <c r="B2800" s="55" t="s">
        <v>5262</v>
      </c>
      <c r="D2800" s="55" t="s">
        <v>373</v>
      </c>
      <c r="E2800" s="74">
        <v>40018</v>
      </c>
      <c r="F2800" s="55" t="s">
        <v>344</v>
      </c>
      <c r="G2800" s="55" t="s">
        <v>360</v>
      </c>
      <c r="H2800" s="55" t="s">
        <v>360</v>
      </c>
      <c r="I2800" s="55" t="s">
        <v>360</v>
      </c>
      <c r="J2800" s="55" t="s">
        <v>360</v>
      </c>
      <c r="K2800" s="55" t="s">
        <v>360</v>
      </c>
      <c r="L2800" s="55" t="s">
        <v>360</v>
      </c>
      <c r="M2800" s="55" t="s">
        <v>150</v>
      </c>
      <c r="N2800" s="55" t="s">
        <v>150</v>
      </c>
      <c r="O2800" s="55" t="s">
        <v>199</v>
      </c>
      <c r="P2800" s="55" t="s">
        <v>199</v>
      </c>
      <c r="Q2800" s="55" t="s">
        <v>380</v>
      </c>
      <c r="R2800" s="55">
        <v>10</v>
      </c>
      <c r="S2800" s="55"/>
      <c r="T2800" s="55" t="s">
        <v>5263</v>
      </c>
    </row>
    <row r="2801" spans="1:20" ht="13" x14ac:dyDescent="0.15">
      <c r="A2801" s="72" t="str">
        <f t="shared" si="43"/>
        <v>Ofsted Social Care Provider Webpage</v>
      </c>
      <c r="B2801" s="55" t="s">
        <v>5264</v>
      </c>
      <c r="D2801" s="55" t="s">
        <v>373</v>
      </c>
      <c r="E2801" s="74">
        <v>40015</v>
      </c>
      <c r="F2801" s="55" t="s">
        <v>344</v>
      </c>
      <c r="G2801" s="55" t="s">
        <v>360</v>
      </c>
      <c r="H2801" s="55" t="s">
        <v>360</v>
      </c>
      <c r="I2801" s="55" t="s">
        <v>360</v>
      </c>
      <c r="J2801" s="55" t="s">
        <v>360</v>
      </c>
      <c r="K2801" s="55" t="s">
        <v>360</v>
      </c>
      <c r="L2801" s="55" t="s">
        <v>360</v>
      </c>
      <c r="M2801" s="55" t="s">
        <v>144</v>
      </c>
      <c r="N2801" s="55" t="s">
        <v>144</v>
      </c>
      <c r="O2801" s="55" t="s">
        <v>271</v>
      </c>
      <c r="P2801" s="55" t="s">
        <v>1120</v>
      </c>
      <c r="Q2801" s="55" t="s">
        <v>350</v>
      </c>
      <c r="R2801" s="55">
        <v>6</v>
      </c>
      <c r="S2801" s="55"/>
      <c r="T2801" s="55" t="s">
        <v>5265</v>
      </c>
    </row>
    <row r="2802" spans="1:20" ht="13" x14ac:dyDescent="0.15">
      <c r="A2802" s="72" t="str">
        <f t="shared" si="43"/>
        <v>Ofsted Social Care Provider Webpage</v>
      </c>
      <c r="B2802" s="55" t="s">
        <v>5266</v>
      </c>
      <c r="D2802" s="55" t="s">
        <v>373</v>
      </c>
      <c r="E2802" s="74">
        <v>39997</v>
      </c>
      <c r="F2802" s="55" t="s">
        <v>344</v>
      </c>
      <c r="G2802" s="55" t="s">
        <v>360</v>
      </c>
      <c r="H2802" s="55" t="s">
        <v>360</v>
      </c>
      <c r="I2802" s="55" t="s">
        <v>360</v>
      </c>
      <c r="J2802" s="55" t="s">
        <v>360</v>
      </c>
      <c r="K2802" s="55" t="s">
        <v>360</v>
      </c>
      <c r="L2802" s="55" t="s">
        <v>360</v>
      </c>
      <c r="M2802" s="55" t="s">
        <v>172</v>
      </c>
      <c r="N2802" s="55" t="s">
        <v>172</v>
      </c>
      <c r="O2802" s="55" t="s">
        <v>284</v>
      </c>
      <c r="P2802" s="55" t="s">
        <v>985</v>
      </c>
      <c r="Q2802" s="55" t="s">
        <v>350</v>
      </c>
      <c r="R2802" s="55">
        <v>5</v>
      </c>
      <c r="S2802" s="55"/>
      <c r="T2802" s="55" t="s">
        <v>5267</v>
      </c>
    </row>
    <row r="2803" spans="1:20" ht="13" x14ac:dyDescent="0.15">
      <c r="A2803" s="72" t="str">
        <f t="shared" si="43"/>
        <v>Ofsted Social Care Provider Webpage</v>
      </c>
      <c r="B2803" s="55" t="s">
        <v>5268</v>
      </c>
      <c r="D2803" s="55" t="s">
        <v>373</v>
      </c>
      <c r="E2803" s="74">
        <v>39994</v>
      </c>
      <c r="F2803" s="55" t="s">
        <v>344</v>
      </c>
      <c r="G2803" s="55" t="s">
        <v>360</v>
      </c>
      <c r="H2803" s="55" t="s">
        <v>360</v>
      </c>
      <c r="I2803" s="55" t="s">
        <v>360</v>
      </c>
      <c r="J2803" s="55" t="s">
        <v>360</v>
      </c>
      <c r="K2803" s="55" t="s">
        <v>360</v>
      </c>
      <c r="L2803" s="55" t="s">
        <v>360</v>
      </c>
      <c r="M2803" s="55" t="s">
        <v>142</v>
      </c>
      <c r="N2803" s="55" t="s">
        <v>142</v>
      </c>
      <c r="O2803" s="55" t="s">
        <v>141</v>
      </c>
      <c r="P2803" s="55" t="s">
        <v>795</v>
      </c>
      <c r="Q2803" s="55" t="s">
        <v>350</v>
      </c>
      <c r="R2803" s="55">
        <v>2</v>
      </c>
      <c r="S2803" s="55"/>
      <c r="T2803" s="55" t="s">
        <v>385</v>
      </c>
    </row>
    <row r="2804" spans="1:20" ht="13" x14ac:dyDescent="0.15">
      <c r="A2804" s="72" t="str">
        <f t="shared" si="43"/>
        <v>Ofsted Social Care Provider Webpage</v>
      </c>
      <c r="B2804" s="55" t="s">
        <v>5269</v>
      </c>
      <c r="D2804" s="55" t="s">
        <v>389</v>
      </c>
      <c r="E2804" s="74">
        <v>40116</v>
      </c>
      <c r="F2804" s="55" t="s">
        <v>344</v>
      </c>
      <c r="G2804" s="55" t="s">
        <v>5270</v>
      </c>
      <c r="H2804" s="55" t="s">
        <v>5271</v>
      </c>
      <c r="I2804" s="55" t="s">
        <v>5272</v>
      </c>
      <c r="J2804" s="55" t="s">
        <v>5273</v>
      </c>
      <c r="K2804" s="55" t="s">
        <v>209</v>
      </c>
      <c r="L2804" s="55" t="s">
        <v>5274</v>
      </c>
      <c r="M2804" s="55" t="s">
        <v>144</v>
      </c>
      <c r="N2804" s="55" t="s">
        <v>144</v>
      </c>
      <c r="O2804" s="55" t="s">
        <v>209</v>
      </c>
      <c r="P2804" s="55" t="s">
        <v>544</v>
      </c>
      <c r="Q2804" s="55" t="s">
        <v>350</v>
      </c>
      <c r="R2804" s="55"/>
      <c r="S2804" s="55"/>
      <c r="T2804" s="55" t="s">
        <v>5270</v>
      </c>
    </row>
    <row r="2805" spans="1:20" ht="13" x14ac:dyDescent="0.15">
      <c r="A2805" s="72" t="str">
        <f t="shared" si="43"/>
        <v>Ofsted Social Care Provider Webpage</v>
      </c>
      <c r="B2805" s="55" t="s">
        <v>5275</v>
      </c>
      <c r="D2805" s="55" t="s">
        <v>373</v>
      </c>
      <c r="E2805" s="74">
        <v>39989</v>
      </c>
      <c r="F2805" s="55" t="s">
        <v>344</v>
      </c>
      <c r="G2805" s="55" t="s">
        <v>360</v>
      </c>
      <c r="H2805" s="55" t="s">
        <v>360</v>
      </c>
      <c r="I2805" s="55" t="s">
        <v>360</v>
      </c>
      <c r="J2805" s="55" t="s">
        <v>360</v>
      </c>
      <c r="K2805" s="55" t="s">
        <v>360</v>
      </c>
      <c r="L2805" s="55" t="s">
        <v>360</v>
      </c>
      <c r="M2805" s="55" t="s">
        <v>142</v>
      </c>
      <c r="N2805" s="55" t="s">
        <v>142</v>
      </c>
      <c r="O2805" s="55" t="s">
        <v>252</v>
      </c>
      <c r="P2805" s="55" t="s">
        <v>388</v>
      </c>
      <c r="Q2805" s="55" t="s">
        <v>350</v>
      </c>
      <c r="R2805" s="55">
        <v>1</v>
      </c>
      <c r="S2805" s="55"/>
      <c r="T2805" s="55" t="s">
        <v>504</v>
      </c>
    </row>
    <row r="2806" spans="1:20" ht="13" x14ac:dyDescent="0.15">
      <c r="A2806" s="72" t="str">
        <f t="shared" si="43"/>
        <v>Ofsted Social Care Provider Webpage</v>
      </c>
      <c r="B2806" s="55" t="s">
        <v>5276</v>
      </c>
      <c r="D2806" s="55" t="s">
        <v>479</v>
      </c>
      <c r="E2806" s="74">
        <v>40009</v>
      </c>
      <c r="F2806" s="55" t="s">
        <v>344</v>
      </c>
      <c r="G2806" s="55" t="s">
        <v>360</v>
      </c>
      <c r="H2806" s="55" t="s">
        <v>360</v>
      </c>
      <c r="I2806" s="55" t="s">
        <v>360</v>
      </c>
      <c r="J2806" s="55" t="s">
        <v>360</v>
      </c>
      <c r="K2806" s="55" t="s">
        <v>360</v>
      </c>
      <c r="L2806" s="55" t="s">
        <v>360</v>
      </c>
      <c r="M2806" s="55" t="s">
        <v>150</v>
      </c>
      <c r="N2806" s="55" t="s">
        <v>150</v>
      </c>
      <c r="O2806" s="55" t="s">
        <v>181</v>
      </c>
      <c r="P2806" s="55" t="s">
        <v>937</v>
      </c>
      <c r="Q2806" s="55" t="s">
        <v>362</v>
      </c>
      <c r="R2806" s="55">
        <v>27</v>
      </c>
      <c r="S2806" s="55"/>
      <c r="T2806" s="55" t="s">
        <v>5277</v>
      </c>
    </row>
    <row r="2807" spans="1:20" ht="13" x14ac:dyDescent="0.15">
      <c r="A2807" s="72" t="str">
        <f t="shared" si="43"/>
        <v>Ofsted Social Care Provider Webpage</v>
      </c>
      <c r="B2807" s="55" t="s">
        <v>5278</v>
      </c>
      <c r="D2807" s="55" t="s">
        <v>373</v>
      </c>
      <c r="E2807" s="74">
        <v>39995</v>
      </c>
      <c r="F2807" s="55" t="s">
        <v>344</v>
      </c>
      <c r="G2807" s="55" t="s">
        <v>360</v>
      </c>
      <c r="H2807" s="55" t="s">
        <v>360</v>
      </c>
      <c r="I2807" s="55" t="s">
        <v>360</v>
      </c>
      <c r="J2807" s="55" t="s">
        <v>360</v>
      </c>
      <c r="K2807" s="55" t="s">
        <v>360</v>
      </c>
      <c r="L2807" s="55" t="s">
        <v>360</v>
      </c>
      <c r="M2807" s="55" t="s">
        <v>142</v>
      </c>
      <c r="N2807" s="55" t="s">
        <v>142</v>
      </c>
      <c r="O2807" s="55" t="s">
        <v>272</v>
      </c>
      <c r="P2807" s="55" t="s">
        <v>653</v>
      </c>
      <c r="Q2807" s="55" t="s">
        <v>350</v>
      </c>
      <c r="R2807" s="55">
        <v>3</v>
      </c>
      <c r="S2807" s="55"/>
      <c r="T2807" s="55" t="s">
        <v>1260</v>
      </c>
    </row>
    <row r="2808" spans="1:20" ht="13" x14ac:dyDescent="0.15">
      <c r="A2808" s="72" t="str">
        <f t="shared" si="43"/>
        <v>Ofsted Social Care Provider Webpage</v>
      </c>
      <c r="B2808" s="55" t="s">
        <v>5279</v>
      </c>
      <c r="D2808" s="55" t="s">
        <v>373</v>
      </c>
      <c r="E2808" s="74">
        <v>40024</v>
      </c>
      <c r="F2808" s="55" t="s">
        <v>344</v>
      </c>
      <c r="G2808" s="55" t="s">
        <v>360</v>
      </c>
      <c r="H2808" s="55" t="s">
        <v>360</v>
      </c>
      <c r="I2808" s="55" t="s">
        <v>360</v>
      </c>
      <c r="J2808" s="55" t="s">
        <v>360</v>
      </c>
      <c r="K2808" s="55" t="s">
        <v>360</v>
      </c>
      <c r="L2808" s="55" t="s">
        <v>360</v>
      </c>
      <c r="M2808" s="55" t="s">
        <v>144</v>
      </c>
      <c r="N2808" s="55" t="s">
        <v>144</v>
      </c>
      <c r="O2808" s="55" t="s">
        <v>163</v>
      </c>
      <c r="P2808" s="55" t="s">
        <v>614</v>
      </c>
      <c r="Q2808" s="55" t="s">
        <v>350</v>
      </c>
      <c r="R2808" s="55">
        <v>4</v>
      </c>
      <c r="S2808" s="55"/>
      <c r="T2808" s="55" t="s">
        <v>4738</v>
      </c>
    </row>
    <row r="2809" spans="1:20" ht="13" x14ac:dyDescent="0.15">
      <c r="A2809" s="72" t="str">
        <f t="shared" si="43"/>
        <v>Ofsted Social Care Provider Webpage</v>
      </c>
      <c r="B2809" s="55" t="s">
        <v>5280</v>
      </c>
      <c r="D2809" s="55" t="s">
        <v>443</v>
      </c>
      <c r="E2809" s="74">
        <v>40000</v>
      </c>
      <c r="F2809" s="55" t="s">
        <v>344</v>
      </c>
      <c r="G2809" s="55" t="s">
        <v>5281</v>
      </c>
      <c r="H2809" s="55" t="s">
        <v>5282</v>
      </c>
      <c r="I2809" s="55" t="s">
        <v>5283</v>
      </c>
      <c r="J2809" s="55" t="s">
        <v>5284</v>
      </c>
      <c r="K2809" s="55" t="s">
        <v>141</v>
      </c>
      <c r="L2809" s="55" t="s">
        <v>3265</v>
      </c>
      <c r="M2809" s="55" t="s">
        <v>142</v>
      </c>
      <c r="N2809" s="55" t="s">
        <v>142</v>
      </c>
      <c r="O2809" s="55" t="s">
        <v>282</v>
      </c>
      <c r="P2809" s="55" t="s">
        <v>3266</v>
      </c>
      <c r="Q2809" s="55" t="s">
        <v>362</v>
      </c>
      <c r="R2809" s="55"/>
      <c r="S2809" s="55"/>
      <c r="T2809" s="55" t="s">
        <v>3263</v>
      </c>
    </row>
    <row r="2810" spans="1:20" ht="13" x14ac:dyDescent="0.15">
      <c r="A2810" s="72" t="str">
        <f t="shared" si="43"/>
        <v>Ofsted Social Care Provider Webpage</v>
      </c>
      <c r="B2810" s="55" t="s">
        <v>5285</v>
      </c>
      <c r="D2810" s="55" t="s">
        <v>373</v>
      </c>
      <c r="E2810" s="74">
        <v>40058</v>
      </c>
      <c r="F2810" s="55" t="s">
        <v>344</v>
      </c>
      <c r="G2810" s="55" t="s">
        <v>360</v>
      </c>
      <c r="H2810" s="55" t="s">
        <v>360</v>
      </c>
      <c r="I2810" s="55" t="s">
        <v>360</v>
      </c>
      <c r="J2810" s="55" t="s">
        <v>360</v>
      </c>
      <c r="K2810" s="55" t="s">
        <v>360</v>
      </c>
      <c r="L2810" s="55" t="s">
        <v>360</v>
      </c>
      <c r="M2810" s="55" t="s">
        <v>172</v>
      </c>
      <c r="N2810" s="55" t="s">
        <v>172</v>
      </c>
      <c r="O2810" s="55" t="s">
        <v>171</v>
      </c>
      <c r="P2810" s="55" t="s">
        <v>895</v>
      </c>
      <c r="Q2810" s="55" t="s">
        <v>380</v>
      </c>
      <c r="R2810" s="55">
        <v>5</v>
      </c>
      <c r="S2810" s="55"/>
      <c r="T2810" s="55" t="s">
        <v>3360</v>
      </c>
    </row>
    <row r="2811" spans="1:20" ht="13" x14ac:dyDescent="0.15">
      <c r="A2811" s="72" t="str">
        <f t="shared" si="43"/>
        <v>Ofsted Social Care Provider Webpage</v>
      </c>
      <c r="B2811" s="55" t="s">
        <v>5286</v>
      </c>
      <c r="D2811" s="55" t="s">
        <v>373</v>
      </c>
      <c r="E2811" s="74">
        <v>40053</v>
      </c>
      <c r="F2811" s="55" t="s">
        <v>344</v>
      </c>
      <c r="G2811" s="55" t="s">
        <v>360</v>
      </c>
      <c r="H2811" s="55" t="s">
        <v>360</v>
      </c>
      <c r="I2811" s="55" t="s">
        <v>360</v>
      </c>
      <c r="J2811" s="55" t="s">
        <v>360</v>
      </c>
      <c r="K2811" s="55" t="s">
        <v>360</v>
      </c>
      <c r="L2811" s="55" t="s">
        <v>360</v>
      </c>
      <c r="M2811" s="55" t="s">
        <v>144</v>
      </c>
      <c r="N2811" s="55" t="s">
        <v>144</v>
      </c>
      <c r="O2811" s="55" t="s">
        <v>147</v>
      </c>
      <c r="P2811" s="55" t="s">
        <v>674</v>
      </c>
      <c r="Q2811" s="55" t="s">
        <v>362</v>
      </c>
      <c r="R2811" s="55">
        <v>4</v>
      </c>
      <c r="S2811" s="55"/>
      <c r="T2811" s="55" t="s">
        <v>675</v>
      </c>
    </row>
    <row r="2812" spans="1:20" ht="13" x14ac:dyDescent="0.15">
      <c r="A2812" s="72" t="str">
        <f t="shared" si="43"/>
        <v>Ofsted Social Care Provider Webpage</v>
      </c>
      <c r="B2812" s="55" t="s">
        <v>5287</v>
      </c>
      <c r="D2812" s="55" t="s">
        <v>389</v>
      </c>
      <c r="E2812" s="74">
        <v>40087</v>
      </c>
      <c r="F2812" s="55" t="s">
        <v>344</v>
      </c>
      <c r="G2812" s="55" t="s">
        <v>5288</v>
      </c>
      <c r="H2812" s="55" t="s">
        <v>5289</v>
      </c>
      <c r="I2812" s="55" t="s">
        <v>5290</v>
      </c>
      <c r="J2812" s="55" t="s">
        <v>5291</v>
      </c>
      <c r="K2812" s="55" t="s">
        <v>190</v>
      </c>
      <c r="L2812" s="55" t="s">
        <v>5292</v>
      </c>
      <c r="M2812" s="55" t="s">
        <v>150</v>
      </c>
      <c r="N2812" s="55" t="s">
        <v>150</v>
      </c>
      <c r="O2812" s="55" t="s">
        <v>190</v>
      </c>
      <c r="P2812" s="55" t="s">
        <v>1703</v>
      </c>
      <c r="Q2812" s="55" t="s">
        <v>350</v>
      </c>
      <c r="R2812" s="55"/>
      <c r="S2812" s="55"/>
      <c r="T2812" s="55" t="s">
        <v>5293</v>
      </c>
    </row>
    <row r="2813" spans="1:20" ht="13" x14ac:dyDescent="0.15">
      <c r="A2813" s="72" t="str">
        <f t="shared" si="43"/>
        <v>Ofsted Social Care Provider Webpage</v>
      </c>
      <c r="B2813" s="55" t="s">
        <v>5294</v>
      </c>
      <c r="D2813" s="55" t="s">
        <v>373</v>
      </c>
      <c r="E2813" s="74">
        <v>40024</v>
      </c>
      <c r="F2813" s="55" t="s">
        <v>344</v>
      </c>
      <c r="G2813" s="55" t="s">
        <v>360</v>
      </c>
      <c r="H2813" s="55" t="s">
        <v>360</v>
      </c>
      <c r="I2813" s="55" t="s">
        <v>360</v>
      </c>
      <c r="J2813" s="55" t="s">
        <v>360</v>
      </c>
      <c r="K2813" s="55" t="s">
        <v>360</v>
      </c>
      <c r="L2813" s="55" t="s">
        <v>360</v>
      </c>
      <c r="M2813" s="55" t="s">
        <v>142</v>
      </c>
      <c r="N2813" s="55" t="s">
        <v>142</v>
      </c>
      <c r="O2813" s="55" t="s">
        <v>272</v>
      </c>
      <c r="P2813" s="55" t="s">
        <v>1291</v>
      </c>
      <c r="Q2813" s="55" t="s">
        <v>350</v>
      </c>
      <c r="R2813" s="55">
        <v>2</v>
      </c>
      <c r="S2813" s="55"/>
      <c r="T2813" s="55" t="s">
        <v>654</v>
      </c>
    </row>
    <row r="2814" spans="1:20" ht="13" x14ac:dyDescent="0.15">
      <c r="A2814" s="72" t="str">
        <f t="shared" si="43"/>
        <v>Ofsted Social Care Provider Webpage</v>
      </c>
      <c r="B2814" s="55" t="s">
        <v>5295</v>
      </c>
      <c r="D2814" s="55" t="s">
        <v>373</v>
      </c>
      <c r="E2814" s="74">
        <v>40106</v>
      </c>
      <c r="F2814" s="55" t="s">
        <v>344</v>
      </c>
      <c r="G2814" s="55" t="s">
        <v>360</v>
      </c>
      <c r="H2814" s="55" t="s">
        <v>360</v>
      </c>
      <c r="I2814" s="55" t="s">
        <v>360</v>
      </c>
      <c r="J2814" s="55" t="s">
        <v>360</v>
      </c>
      <c r="K2814" s="55" t="s">
        <v>360</v>
      </c>
      <c r="L2814" s="55" t="s">
        <v>360</v>
      </c>
      <c r="M2814" s="55" t="s">
        <v>144</v>
      </c>
      <c r="N2814" s="55" t="s">
        <v>144</v>
      </c>
      <c r="O2814" s="55" t="s">
        <v>163</v>
      </c>
      <c r="P2814" s="55" t="s">
        <v>1587</v>
      </c>
      <c r="Q2814" s="55" t="s">
        <v>350</v>
      </c>
      <c r="R2814" s="55">
        <v>2</v>
      </c>
      <c r="S2814" s="55"/>
      <c r="T2814" s="55" t="s">
        <v>5181</v>
      </c>
    </row>
    <row r="2815" spans="1:20" ht="13" x14ac:dyDescent="0.15">
      <c r="A2815" s="72" t="str">
        <f t="shared" si="43"/>
        <v>Ofsted Social Care Provider Webpage</v>
      </c>
      <c r="B2815" s="55" t="s">
        <v>5296</v>
      </c>
      <c r="D2815" s="55" t="s">
        <v>373</v>
      </c>
      <c r="E2815" s="74">
        <v>40050</v>
      </c>
      <c r="F2815" s="55" t="s">
        <v>344</v>
      </c>
      <c r="G2815" s="55" t="s">
        <v>360</v>
      </c>
      <c r="H2815" s="55" t="s">
        <v>360</v>
      </c>
      <c r="I2815" s="55" t="s">
        <v>360</v>
      </c>
      <c r="J2815" s="55" t="s">
        <v>360</v>
      </c>
      <c r="K2815" s="55" t="s">
        <v>360</v>
      </c>
      <c r="L2815" s="55" t="s">
        <v>360</v>
      </c>
      <c r="M2815" s="55" t="s">
        <v>144</v>
      </c>
      <c r="N2815" s="55" t="s">
        <v>144</v>
      </c>
      <c r="O2815" s="55" t="s">
        <v>168</v>
      </c>
      <c r="P2815" s="55" t="s">
        <v>913</v>
      </c>
      <c r="Q2815" s="55" t="s">
        <v>350</v>
      </c>
      <c r="R2815" s="55">
        <v>5</v>
      </c>
      <c r="S2815" s="55"/>
      <c r="T2815" s="55" t="s">
        <v>2358</v>
      </c>
    </row>
    <row r="2816" spans="1:20" ht="13" x14ac:dyDescent="0.15">
      <c r="A2816" s="72" t="str">
        <f t="shared" si="43"/>
        <v>Ofsted Social Care Provider Webpage</v>
      </c>
      <c r="B2816" s="55" t="s">
        <v>5297</v>
      </c>
      <c r="D2816" s="55" t="s">
        <v>373</v>
      </c>
      <c r="E2816" s="74">
        <v>40015</v>
      </c>
      <c r="F2816" s="55" t="s">
        <v>344</v>
      </c>
      <c r="G2816" s="55" t="s">
        <v>360</v>
      </c>
      <c r="H2816" s="55" t="s">
        <v>360</v>
      </c>
      <c r="I2816" s="55" t="s">
        <v>360</v>
      </c>
      <c r="J2816" s="55" t="s">
        <v>360</v>
      </c>
      <c r="K2816" s="55" t="s">
        <v>360</v>
      </c>
      <c r="L2816" s="55" t="s">
        <v>360</v>
      </c>
      <c r="M2816" s="55" t="s">
        <v>142</v>
      </c>
      <c r="N2816" s="55" t="s">
        <v>142</v>
      </c>
      <c r="O2816" s="55" t="s">
        <v>272</v>
      </c>
      <c r="P2816" s="55" t="s">
        <v>1291</v>
      </c>
      <c r="Q2816" s="55" t="s">
        <v>350</v>
      </c>
      <c r="R2816" s="55">
        <v>4</v>
      </c>
      <c r="S2816" s="55"/>
      <c r="T2816" s="55" t="s">
        <v>1253</v>
      </c>
    </row>
    <row r="2817" spans="1:20" ht="13" x14ac:dyDescent="0.15">
      <c r="A2817" s="72" t="str">
        <f t="shared" si="43"/>
        <v>Ofsted Social Care Provider Webpage</v>
      </c>
      <c r="B2817" s="55" t="s">
        <v>5298</v>
      </c>
      <c r="D2817" s="55" t="s">
        <v>373</v>
      </c>
      <c r="E2817" s="74">
        <v>40015</v>
      </c>
      <c r="F2817" s="55" t="s">
        <v>344</v>
      </c>
      <c r="G2817" s="55" t="s">
        <v>360</v>
      </c>
      <c r="H2817" s="55" t="s">
        <v>360</v>
      </c>
      <c r="I2817" s="55" t="s">
        <v>360</v>
      </c>
      <c r="J2817" s="55" t="s">
        <v>360</v>
      </c>
      <c r="K2817" s="55" t="s">
        <v>360</v>
      </c>
      <c r="L2817" s="55" t="s">
        <v>360</v>
      </c>
      <c r="M2817" s="55" t="s">
        <v>142</v>
      </c>
      <c r="N2817" s="55" t="s">
        <v>142</v>
      </c>
      <c r="O2817" s="55" t="s">
        <v>272</v>
      </c>
      <c r="P2817" s="55" t="s">
        <v>653</v>
      </c>
      <c r="Q2817" s="55" t="s">
        <v>350</v>
      </c>
      <c r="R2817" s="55">
        <v>4</v>
      </c>
      <c r="S2817" s="55"/>
      <c r="T2817" s="55" t="s">
        <v>1253</v>
      </c>
    </row>
    <row r="2818" spans="1:20" ht="13" x14ac:dyDescent="0.15">
      <c r="A2818" s="72" t="str">
        <f t="shared" si="43"/>
        <v>Ofsted Social Care Provider Webpage</v>
      </c>
      <c r="B2818" s="55" t="s">
        <v>5299</v>
      </c>
      <c r="D2818" s="55" t="s">
        <v>389</v>
      </c>
      <c r="E2818" s="74">
        <v>40007</v>
      </c>
      <c r="F2818" s="55" t="s">
        <v>344</v>
      </c>
      <c r="G2818" s="55" t="s">
        <v>5300</v>
      </c>
      <c r="H2818" s="55" t="s">
        <v>5301</v>
      </c>
      <c r="I2818" s="55" t="s">
        <v>354</v>
      </c>
      <c r="J2818" s="55" t="s">
        <v>5302</v>
      </c>
      <c r="K2818" s="55" t="s">
        <v>252</v>
      </c>
      <c r="L2818" s="55" t="s">
        <v>5303</v>
      </c>
      <c r="M2818" s="55" t="s">
        <v>142</v>
      </c>
      <c r="N2818" s="55" t="s">
        <v>142</v>
      </c>
      <c r="O2818" s="55" t="s">
        <v>262</v>
      </c>
      <c r="P2818" s="55" t="s">
        <v>523</v>
      </c>
      <c r="Q2818" s="55" t="s">
        <v>350</v>
      </c>
      <c r="R2818" s="55"/>
      <c r="S2818" s="55"/>
      <c r="T2818" s="55" t="s">
        <v>1253</v>
      </c>
    </row>
    <row r="2819" spans="1:20" ht="13" x14ac:dyDescent="0.15">
      <c r="A2819" s="72" t="str">
        <f t="shared" si="43"/>
        <v>Ofsted Social Care Provider Webpage</v>
      </c>
      <c r="B2819" s="55" t="s">
        <v>5304</v>
      </c>
      <c r="D2819" s="55" t="s">
        <v>373</v>
      </c>
      <c r="E2819" s="74">
        <v>40015</v>
      </c>
      <c r="F2819" s="55" t="s">
        <v>344</v>
      </c>
      <c r="G2819" s="55" t="s">
        <v>360</v>
      </c>
      <c r="H2819" s="55" t="s">
        <v>360</v>
      </c>
      <c r="I2819" s="55" t="s">
        <v>360</v>
      </c>
      <c r="J2819" s="55" t="s">
        <v>360</v>
      </c>
      <c r="K2819" s="55" t="s">
        <v>360</v>
      </c>
      <c r="L2819" s="55" t="s">
        <v>360</v>
      </c>
      <c r="M2819" s="55" t="s">
        <v>142</v>
      </c>
      <c r="N2819" s="55" t="s">
        <v>142</v>
      </c>
      <c r="O2819" s="55" t="s">
        <v>252</v>
      </c>
      <c r="P2819" s="55" t="s">
        <v>653</v>
      </c>
      <c r="Q2819" s="55" t="s">
        <v>350</v>
      </c>
      <c r="R2819" s="55">
        <v>3</v>
      </c>
      <c r="S2819" s="55"/>
      <c r="T2819" s="55" t="s">
        <v>1253</v>
      </c>
    </row>
    <row r="2820" spans="1:20" ht="13" x14ac:dyDescent="0.15">
      <c r="A2820" s="72" t="str">
        <f t="shared" si="43"/>
        <v>Ofsted Social Care Provider Webpage</v>
      </c>
      <c r="B2820" s="55" t="s">
        <v>5305</v>
      </c>
      <c r="D2820" s="55" t="s">
        <v>373</v>
      </c>
      <c r="E2820" s="74">
        <v>40015</v>
      </c>
      <c r="F2820" s="55" t="s">
        <v>344</v>
      </c>
      <c r="G2820" s="55" t="s">
        <v>360</v>
      </c>
      <c r="H2820" s="55" t="s">
        <v>360</v>
      </c>
      <c r="I2820" s="55" t="s">
        <v>360</v>
      </c>
      <c r="J2820" s="55" t="s">
        <v>360</v>
      </c>
      <c r="K2820" s="55" t="s">
        <v>360</v>
      </c>
      <c r="L2820" s="55" t="s">
        <v>360</v>
      </c>
      <c r="M2820" s="55" t="s">
        <v>142</v>
      </c>
      <c r="N2820" s="55" t="s">
        <v>142</v>
      </c>
      <c r="O2820" s="55" t="s">
        <v>252</v>
      </c>
      <c r="P2820" s="55" t="s">
        <v>503</v>
      </c>
      <c r="Q2820" s="55" t="s">
        <v>350</v>
      </c>
      <c r="R2820" s="55">
        <v>3</v>
      </c>
      <c r="S2820" s="55"/>
      <c r="T2820" s="55" t="s">
        <v>1253</v>
      </c>
    </row>
    <row r="2821" spans="1:20" ht="13" x14ac:dyDescent="0.15">
      <c r="A2821" s="72" t="str">
        <f t="shared" ref="A2821:A2884" si="44">HYPERLINK(_xlfn.CONCAT("http://reports.ofsted.gov.uk/inspection-reports/find-inspection-report/provider/CARE/",B2821),"Ofsted Social Care Provider Webpage")</f>
        <v>Ofsted Social Care Provider Webpage</v>
      </c>
      <c r="B2821" s="55" t="s">
        <v>5306</v>
      </c>
      <c r="D2821" s="55" t="s">
        <v>373</v>
      </c>
      <c r="E2821" s="74">
        <v>40015</v>
      </c>
      <c r="F2821" s="55" t="s">
        <v>344</v>
      </c>
      <c r="G2821" s="55" t="s">
        <v>360</v>
      </c>
      <c r="H2821" s="55" t="s">
        <v>360</v>
      </c>
      <c r="I2821" s="55" t="s">
        <v>360</v>
      </c>
      <c r="J2821" s="55" t="s">
        <v>360</v>
      </c>
      <c r="K2821" s="55" t="s">
        <v>360</v>
      </c>
      <c r="L2821" s="55" t="s">
        <v>360</v>
      </c>
      <c r="M2821" s="55" t="s">
        <v>142</v>
      </c>
      <c r="N2821" s="55" t="s">
        <v>142</v>
      </c>
      <c r="O2821" s="55" t="s">
        <v>272</v>
      </c>
      <c r="P2821" s="55" t="s">
        <v>653</v>
      </c>
      <c r="Q2821" s="55" t="s">
        <v>350</v>
      </c>
      <c r="R2821" s="55">
        <v>5</v>
      </c>
      <c r="S2821" s="55"/>
      <c r="T2821" s="55" t="s">
        <v>1253</v>
      </c>
    </row>
    <row r="2822" spans="1:20" ht="13" x14ac:dyDescent="0.15">
      <c r="A2822" s="72" t="str">
        <f t="shared" si="44"/>
        <v>Ofsted Social Care Provider Webpage</v>
      </c>
      <c r="B2822" s="55" t="s">
        <v>5307</v>
      </c>
      <c r="D2822" s="55" t="s">
        <v>373</v>
      </c>
      <c r="E2822" s="74">
        <v>40015</v>
      </c>
      <c r="F2822" s="55" t="s">
        <v>344</v>
      </c>
      <c r="G2822" s="55" t="s">
        <v>360</v>
      </c>
      <c r="H2822" s="55" t="s">
        <v>360</v>
      </c>
      <c r="I2822" s="55" t="s">
        <v>360</v>
      </c>
      <c r="J2822" s="55" t="s">
        <v>360</v>
      </c>
      <c r="K2822" s="55" t="s">
        <v>360</v>
      </c>
      <c r="L2822" s="55" t="s">
        <v>360</v>
      </c>
      <c r="M2822" s="55" t="s">
        <v>142</v>
      </c>
      <c r="N2822" s="55" t="s">
        <v>142</v>
      </c>
      <c r="O2822" s="55" t="s">
        <v>262</v>
      </c>
      <c r="P2822" s="55" t="s">
        <v>523</v>
      </c>
      <c r="Q2822" s="55" t="s">
        <v>350</v>
      </c>
      <c r="R2822" s="55">
        <v>5</v>
      </c>
      <c r="S2822" s="55"/>
      <c r="T2822" s="55" t="s">
        <v>1253</v>
      </c>
    </row>
    <row r="2823" spans="1:20" ht="13" x14ac:dyDescent="0.15">
      <c r="A2823" s="72" t="str">
        <f t="shared" si="44"/>
        <v>Ofsted Social Care Provider Webpage</v>
      </c>
      <c r="B2823" s="55" t="s">
        <v>5308</v>
      </c>
      <c r="D2823" s="55" t="s">
        <v>373</v>
      </c>
      <c r="E2823" s="74">
        <v>40014</v>
      </c>
      <c r="F2823" s="55" t="s">
        <v>344</v>
      </c>
      <c r="G2823" s="55" t="s">
        <v>360</v>
      </c>
      <c r="H2823" s="55" t="s">
        <v>360</v>
      </c>
      <c r="I2823" s="55" t="s">
        <v>360</v>
      </c>
      <c r="J2823" s="55" t="s">
        <v>360</v>
      </c>
      <c r="K2823" s="55" t="s">
        <v>360</v>
      </c>
      <c r="L2823" s="55" t="s">
        <v>360</v>
      </c>
      <c r="M2823" s="55" t="s">
        <v>142</v>
      </c>
      <c r="N2823" s="55" t="s">
        <v>142</v>
      </c>
      <c r="O2823" s="55" t="s">
        <v>262</v>
      </c>
      <c r="P2823" s="55" t="s">
        <v>692</v>
      </c>
      <c r="Q2823" s="55" t="s">
        <v>350</v>
      </c>
      <c r="R2823" s="55">
        <v>4</v>
      </c>
      <c r="S2823" s="55"/>
      <c r="T2823" s="55" t="s">
        <v>1253</v>
      </c>
    </row>
    <row r="2824" spans="1:20" ht="13" x14ac:dyDescent="0.15">
      <c r="A2824" s="72" t="str">
        <f t="shared" si="44"/>
        <v>Ofsted Social Care Provider Webpage</v>
      </c>
      <c r="B2824" s="55" t="s">
        <v>5309</v>
      </c>
      <c r="D2824" s="55" t="s">
        <v>389</v>
      </c>
      <c r="E2824" s="74">
        <v>40067</v>
      </c>
      <c r="F2824" s="55" t="s">
        <v>344</v>
      </c>
      <c r="G2824" s="55" t="s">
        <v>5310</v>
      </c>
      <c r="H2824" s="55" t="s">
        <v>5311</v>
      </c>
      <c r="I2824" s="55" t="s">
        <v>354</v>
      </c>
      <c r="J2824" s="55" t="s">
        <v>216</v>
      </c>
      <c r="L2824" s="55" t="s">
        <v>5312</v>
      </c>
      <c r="M2824" s="55" t="s">
        <v>138</v>
      </c>
      <c r="N2824" s="55" t="s">
        <v>138</v>
      </c>
      <c r="O2824" s="55" t="s">
        <v>216</v>
      </c>
      <c r="P2824" s="55" t="s">
        <v>1968</v>
      </c>
      <c r="Q2824" s="55" t="s">
        <v>350</v>
      </c>
      <c r="R2824" s="55"/>
      <c r="S2824" s="55"/>
      <c r="T2824" s="55" t="s">
        <v>5313</v>
      </c>
    </row>
    <row r="2825" spans="1:20" ht="13" x14ac:dyDescent="0.15">
      <c r="A2825" s="72" t="str">
        <f t="shared" si="44"/>
        <v>Ofsted Social Care Provider Webpage</v>
      </c>
      <c r="B2825" s="55" t="s">
        <v>5314</v>
      </c>
      <c r="D2825" s="55" t="s">
        <v>451</v>
      </c>
      <c r="E2825" s="74">
        <v>40095</v>
      </c>
      <c r="F2825" s="55" t="s">
        <v>344</v>
      </c>
      <c r="G2825" s="55" t="s">
        <v>5315</v>
      </c>
      <c r="H2825" s="55" t="s">
        <v>5316</v>
      </c>
      <c r="I2825" s="55" t="s">
        <v>354</v>
      </c>
      <c r="J2825" s="55" t="s">
        <v>2910</v>
      </c>
      <c r="K2825" s="55" t="s">
        <v>266</v>
      </c>
      <c r="L2825" s="55" t="s">
        <v>5317</v>
      </c>
      <c r="M2825" s="55" t="s">
        <v>138</v>
      </c>
      <c r="N2825" s="55" t="s">
        <v>138</v>
      </c>
      <c r="O2825" s="55" t="s">
        <v>266</v>
      </c>
      <c r="P2825" s="55" t="s">
        <v>2912</v>
      </c>
      <c r="Q2825" s="55" t="s">
        <v>362</v>
      </c>
      <c r="R2825" s="55">
        <v>4</v>
      </c>
      <c r="S2825" s="55"/>
      <c r="T2825" s="55" t="s">
        <v>557</v>
      </c>
    </row>
    <row r="2826" spans="1:20" ht="13" x14ac:dyDescent="0.15">
      <c r="A2826" s="72" t="str">
        <f t="shared" si="44"/>
        <v>Ofsted Social Care Provider Webpage</v>
      </c>
      <c r="B2826" s="55" t="s">
        <v>5318</v>
      </c>
      <c r="D2826" s="55" t="s">
        <v>373</v>
      </c>
      <c r="E2826" s="74">
        <v>40036</v>
      </c>
      <c r="F2826" s="55" t="s">
        <v>344</v>
      </c>
      <c r="G2826" s="55" t="s">
        <v>360</v>
      </c>
      <c r="H2826" s="55" t="s">
        <v>360</v>
      </c>
      <c r="I2826" s="55" t="s">
        <v>360</v>
      </c>
      <c r="J2826" s="55" t="s">
        <v>360</v>
      </c>
      <c r="K2826" s="55" t="s">
        <v>360</v>
      </c>
      <c r="L2826" s="55" t="s">
        <v>360</v>
      </c>
      <c r="M2826" s="55" t="s">
        <v>150</v>
      </c>
      <c r="N2826" s="55" t="s">
        <v>150</v>
      </c>
      <c r="O2826" s="55" t="s">
        <v>285</v>
      </c>
      <c r="P2826" s="55" t="s">
        <v>2001</v>
      </c>
      <c r="Q2826" s="55" t="s">
        <v>380</v>
      </c>
      <c r="R2826" s="55">
        <v>3</v>
      </c>
      <c r="S2826" s="55"/>
      <c r="T2826" s="55" t="s">
        <v>2238</v>
      </c>
    </row>
    <row r="2827" spans="1:20" ht="13" x14ac:dyDescent="0.15">
      <c r="A2827" s="72" t="str">
        <f t="shared" si="44"/>
        <v>Ofsted Social Care Provider Webpage</v>
      </c>
      <c r="B2827" s="55" t="s">
        <v>5319</v>
      </c>
      <c r="D2827" s="55" t="s">
        <v>373</v>
      </c>
      <c r="E2827" s="74">
        <v>40416</v>
      </c>
      <c r="F2827" s="55" t="s">
        <v>344</v>
      </c>
      <c r="G2827" s="55" t="s">
        <v>360</v>
      </c>
      <c r="H2827" s="55" t="s">
        <v>360</v>
      </c>
      <c r="I2827" s="55" t="s">
        <v>360</v>
      </c>
      <c r="J2827" s="55" t="s">
        <v>360</v>
      </c>
      <c r="K2827" s="55" t="s">
        <v>360</v>
      </c>
      <c r="L2827" s="55" t="s">
        <v>360</v>
      </c>
      <c r="M2827" s="55" t="s">
        <v>378</v>
      </c>
      <c r="N2827" s="55" t="s">
        <v>134</v>
      </c>
      <c r="O2827" s="55" t="s">
        <v>175</v>
      </c>
      <c r="P2827" s="55" t="s">
        <v>932</v>
      </c>
      <c r="Q2827" s="55" t="s">
        <v>350</v>
      </c>
      <c r="R2827" s="55">
        <v>2</v>
      </c>
      <c r="S2827" s="55"/>
      <c r="T2827" s="55" t="s">
        <v>933</v>
      </c>
    </row>
    <row r="2828" spans="1:20" ht="13" x14ac:dyDescent="0.15">
      <c r="A2828" s="72" t="str">
        <f t="shared" si="44"/>
        <v>Ofsted Social Care Provider Webpage</v>
      </c>
      <c r="B2828" s="55" t="s">
        <v>5320</v>
      </c>
      <c r="D2828" s="55" t="s">
        <v>373</v>
      </c>
      <c r="E2828" s="74">
        <v>40066</v>
      </c>
      <c r="F2828" s="55" t="s">
        <v>344</v>
      </c>
      <c r="G2828" s="55" t="s">
        <v>360</v>
      </c>
      <c r="H2828" s="55" t="s">
        <v>360</v>
      </c>
      <c r="I2828" s="55" t="s">
        <v>360</v>
      </c>
      <c r="J2828" s="55" t="s">
        <v>360</v>
      </c>
      <c r="K2828" s="55" t="s">
        <v>360</v>
      </c>
      <c r="L2828" s="55" t="s">
        <v>360</v>
      </c>
      <c r="M2828" s="55" t="s">
        <v>150</v>
      </c>
      <c r="N2828" s="55" t="s">
        <v>150</v>
      </c>
      <c r="O2828" s="55" t="s">
        <v>199</v>
      </c>
      <c r="P2828" s="55" t="s">
        <v>199</v>
      </c>
      <c r="Q2828" s="55" t="s">
        <v>350</v>
      </c>
      <c r="R2828" s="55">
        <v>4</v>
      </c>
      <c r="S2828" s="55"/>
      <c r="T2828" s="55" t="s">
        <v>833</v>
      </c>
    </row>
    <row r="2829" spans="1:20" ht="13" x14ac:dyDescent="0.15">
      <c r="A2829" s="72" t="str">
        <f t="shared" si="44"/>
        <v>Ofsted Social Care Provider Webpage</v>
      </c>
      <c r="B2829" s="55" t="s">
        <v>5321</v>
      </c>
      <c r="D2829" s="55" t="s">
        <v>373</v>
      </c>
      <c r="E2829" s="74">
        <v>40077</v>
      </c>
      <c r="F2829" s="55" t="s">
        <v>344</v>
      </c>
      <c r="G2829" s="55" t="s">
        <v>360</v>
      </c>
      <c r="H2829" s="55" t="s">
        <v>360</v>
      </c>
      <c r="I2829" s="55" t="s">
        <v>360</v>
      </c>
      <c r="J2829" s="55" t="s">
        <v>360</v>
      </c>
      <c r="K2829" s="55" t="s">
        <v>360</v>
      </c>
      <c r="L2829" s="55" t="s">
        <v>360</v>
      </c>
      <c r="M2829" s="55" t="s">
        <v>138</v>
      </c>
      <c r="N2829" s="55" t="s">
        <v>138</v>
      </c>
      <c r="O2829" s="55" t="s">
        <v>196</v>
      </c>
      <c r="P2829" s="55" t="s">
        <v>4371</v>
      </c>
      <c r="Q2829" s="55" t="s">
        <v>380</v>
      </c>
      <c r="R2829" s="55">
        <v>5</v>
      </c>
      <c r="S2829" s="55"/>
      <c r="T2829" s="55" t="s">
        <v>2082</v>
      </c>
    </row>
    <row r="2830" spans="1:20" ht="13" x14ac:dyDescent="0.15">
      <c r="A2830" s="72" t="str">
        <f t="shared" si="44"/>
        <v>Ofsted Social Care Provider Webpage</v>
      </c>
      <c r="B2830" s="55" t="s">
        <v>5322</v>
      </c>
      <c r="D2830" s="55" t="s">
        <v>373</v>
      </c>
      <c r="E2830" s="74">
        <v>40116</v>
      </c>
      <c r="F2830" s="55" t="s">
        <v>344</v>
      </c>
      <c r="G2830" s="55" t="s">
        <v>360</v>
      </c>
      <c r="H2830" s="55" t="s">
        <v>360</v>
      </c>
      <c r="I2830" s="55" t="s">
        <v>360</v>
      </c>
      <c r="J2830" s="55" t="s">
        <v>360</v>
      </c>
      <c r="K2830" s="55" t="s">
        <v>360</v>
      </c>
      <c r="L2830" s="55" t="s">
        <v>360</v>
      </c>
      <c r="M2830" s="55" t="s">
        <v>144</v>
      </c>
      <c r="N2830" s="55" t="s">
        <v>144</v>
      </c>
      <c r="O2830" s="55" t="s">
        <v>263</v>
      </c>
      <c r="P2830" s="55" t="s">
        <v>263</v>
      </c>
      <c r="Q2830" s="55" t="s">
        <v>350</v>
      </c>
      <c r="R2830" s="55">
        <v>3</v>
      </c>
      <c r="S2830" s="55"/>
      <c r="T2830" s="55" t="s">
        <v>1107</v>
      </c>
    </row>
    <row r="2831" spans="1:20" ht="13" x14ac:dyDescent="0.15">
      <c r="A2831" s="72" t="str">
        <f t="shared" si="44"/>
        <v>Ofsted Social Care Provider Webpage</v>
      </c>
      <c r="B2831" s="55" t="s">
        <v>5323</v>
      </c>
      <c r="C2831" s="55">
        <v>135901</v>
      </c>
      <c r="D2831" s="55" t="s">
        <v>398</v>
      </c>
      <c r="E2831" s="74">
        <v>40014</v>
      </c>
      <c r="F2831" s="55" t="s">
        <v>344</v>
      </c>
      <c r="G2831" s="55" t="s">
        <v>5324</v>
      </c>
      <c r="H2831" s="55" t="s">
        <v>5325</v>
      </c>
      <c r="I2831" s="55" t="s">
        <v>5326</v>
      </c>
      <c r="J2831" s="55" t="s">
        <v>129</v>
      </c>
      <c r="K2831" s="55" t="s">
        <v>2578</v>
      </c>
      <c r="L2831" s="55" t="s">
        <v>5327</v>
      </c>
      <c r="M2831" s="55" t="s">
        <v>129</v>
      </c>
      <c r="N2831" s="55" t="s">
        <v>129</v>
      </c>
      <c r="O2831" s="55" t="s">
        <v>213</v>
      </c>
      <c r="P2831" s="55" t="s">
        <v>1160</v>
      </c>
      <c r="Q2831" s="55" t="s">
        <v>362</v>
      </c>
      <c r="R2831" s="55">
        <v>47</v>
      </c>
      <c r="S2831" s="55"/>
      <c r="T2831" s="55" t="s">
        <v>5328</v>
      </c>
    </row>
    <row r="2832" spans="1:20" ht="13" x14ac:dyDescent="0.15">
      <c r="A2832" s="72" t="str">
        <f t="shared" si="44"/>
        <v>Ofsted Social Care Provider Webpage</v>
      </c>
      <c r="B2832" s="55" t="s">
        <v>5329</v>
      </c>
      <c r="D2832" s="55" t="s">
        <v>373</v>
      </c>
      <c r="E2832" s="74">
        <v>40081</v>
      </c>
      <c r="F2832" s="55" t="s">
        <v>344</v>
      </c>
      <c r="G2832" s="55" t="s">
        <v>360</v>
      </c>
      <c r="H2832" s="55" t="s">
        <v>360</v>
      </c>
      <c r="I2832" s="55" t="s">
        <v>360</v>
      </c>
      <c r="J2832" s="55" t="s">
        <v>360</v>
      </c>
      <c r="K2832" s="55" t="s">
        <v>360</v>
      </c>
      <c r="L2832" s="55" t="s">
        <v>360</v>
      </c>
      <c r="M2832" s="55" t="s">
        <v>144</v>
      </c>
      <c r="N2832" s="55" t="s">
        <v>144</v>
      </c>
      <c r="O2832" s="55" t="s">
        <v>209</v>
      </c>
      <c r="P2832" s="55" t="s">
        <v>650</v>
      </c>
      <c r="Q2832" s="55" t="s">
        <v>350</v>
      </c>
      <c r="R2832" s="55">
        <v>4</v>
      </c>
      <c r="S2832" s="55"/>
      <c r="T2832" s="55" t="s">
        <v>5330</v>
      </c>
    </row>
    <row r="2833" spans="1:20" ht="13" x14ac:dyDescent="0.15">
      <c r="A2833" s="72" t="str">
        <f t="shared" si="44"/>
        <v>Ofsted Social Care Provider Webpage</v>
      </c>
      <c r="B2833" s="55" t="s">
        <v>5331</v>
      </c>
      <c r="D2833" s="55" t="s">
        <v>373</v>
      </c>
      <c r="E2833" s="74">
        <v>40199</v>
      </c>
      <c r="F2833" s="55" t="s">
        <v>344</v>
      </c>
      <c r="G2833" s="55" t="s">
        <v>360</v>
      </c>
      <c r="H2833" s="55" t="s">
        <v>360</v>
      </c>
      <c r="I2833" s="55" t="s">
        <v>360</v>
      </c>
      <c r="J2833" s="55" t="s">
        <v>360</v>
      </c>
      <c r="K2833" s="55" t="s">
        <v>360</v>
      </c>
      <c r="L2833" s="55" t="s">
        <v>360</v>
      </c>
      <c r="M2833" s="55" t="s">
        <v>138</v>
      </c>
      <c r="N2833" s="55" t="s">
        <v>138</v>
      </c>
      <c r="O2833" s="55" t="s">
        <v>224</v>
      </c>
      <c r="P2833" s="55" t="s">
        <v>1872</v>
      </c>
      <c r="Q2833" s="55" t="s">
        <v>362</v>
      </c>
      <c r="R2833" s="55">
        <v>6</v>
      </c>
      <c r="S2833" s="55"/>
      <c r="T2833" s="55" t="s">
        <v>557</v>
      </c>
    </row>
    <row r="2834" spans="1:20" ht="13" x14ac:dyDescent="0.15">
      <c r="A2834" s="72" t="str">
        <f t="shared" si="44"/>
        <v>Ofsted Social Care Provider Webpage</v>
      </c>
      <c r="B2834" s="55" t="s">
        <v>5332</v>
      </c>
      <c r="D2834" s="55" t="s">
        <v>389</v>
      </c>
      <c r="E2834" s="74">
        <v>40098</v>
      </c>
      <c r="F2834" s="55" t="s">
        <v>344</v>
      </c>
      <c r="G2834" s="55" t="s">
        <v>5333</v>
      </c>
      <c r="H2834" s="55" t="s">
        <v>3396</v>
      </c>
      <c r="I2834" s="55" t="s">
        <v>5334</v>
      </c>
      <c r="J2834" s="55" t="s">
        <v>4670</v>
      </c>
      <c r="K2834" s="55" t="s">
        <v>1746</v>
      </c>
      <c r="L2834" s="55" t="s">
        <v>5335</v>
      </c>
      <c r="M2834" s="55" t="s">
        <v>129</v>
      </c>
      <c r="N2834" s="55" t="s">
        <v>129</v>
      </c>
      <c r="O2834" s="55" t="s">
        <v>182</v>
      </c>
      <c r="P2834" s="55" t="s">
        <v>1660</v>
      </c>
      <c r="Q2834" s="55" t="s">
        <v>350</v>
      </c>
      <c r="R2834" s="55"/>
      <c r="S2834" s="55"/>
      <c r="T2834" s="55" t="s">
        <v>5333</v>
      </c>
    </row>
    <row r="2835" spans="1:20" ht="13" x14ac:dyDescent="0.15">
      <c r="A2835" s="72" t="str">
        <f t="shared" si="44"/>
        <v>Ofsted Social Care Provider Webpage</v>
      </c>
      <c r="B2835" s="55" t="s">
        <v>5336</v>
      </c>
      <c r="D2835" s="55" t="s">
        <v>479</v>
      </c>
      <c r="E2835" s="74">
        <v>40253</v>
      </c>
      <c r="F2835" s="55" t="s">
        <v>344</v>
      </c>
      <c r="G2835" s="55" t="s">
        <v>360</v>
      </c>
      <c r="H2835" s="55" t="s">
        <v>360</v>
      </c>
      <c r="I2835" s="55" t="s">
        <v>360</v>
      </c>
      <c r="J2835" s="55" t="s">
        <v>360</v>
      </c>
      <c r="K2835" s="55" t="s">
        <v>360</v>
      </c>
      <c r="L2835" s="55" t="s">
        <v>360</v>
      </c>
      <c r="M2835" s="55" t="s">
        <v>142</v>
      </c>
      <c r="N2835" s="55" t="s">
        <v>142</v>
      </c>
      <c r="O2835" s="55" t="s">
        <v>262</v>
      </c>
      <c r="P2835" s="55" t="s">
        <v>523</v>
      </c>
      <c r="Q2835" s="55" t="s">
        <v>350</v>
      </c>
      <c r="R2835" s="55">
        <v>23</v>
      </c>
      <c r="S2835" s="55"/>
      <c r="T2835" s="55" t="s">
        <v>450</v>
      </c>
    </row>
    <row r="2836" spans="1:20" ht="13" x14ac:dyDescent="0.15">
      <c r="A2836" s="72" t="str">
        <f t="shared" si="44"/>
        <v>Ofsted Social Care Provider Webpage</v>
      </c>
      <c r="B2836" s="55" t="s">
        <v>5337</v>
      </c>
      <c r="D2836" s="55" t="s">
        <v>373</v>
      </c>
      <c r="E2836" s="74">
        <v>40225</v>
      </c>
      <c r="F2836" s="55" t="s">
        <v>728</v>
      </c>
      <c r="G2836" s="55" t="s">
        <v>360</v>
      </c>
      <c r="H2836" s="55" t="s">
        <v>360</v>
      </c>
      <c r="I2836" s="55" t="s">
        <v>360</v>
      </c>
      <c r="J2836" s="55" t="s">
        <v>360</v>
      </c>
      <c r="K2836" s="55" t="s">
        <v>360</v>
      </c>
      <c r="L2836" s="55" t="s">
        <v>360</v>
      </c>
      <c r="M2836" s="55" t="s">
        <v>150</v>
      </c>
      <c r="N2836" s="55" t="s">
        <v>150</v>
      </c>
      <c r="O2836" s="55" t="s">
        <v>203</v>
      </c>
      <c r="P2836" s="55" t="s">
        <v>1835</v>
      </c>
      <c r="Q2836" s="55" t="s">
        <v>350</v>
      </c>
      <c r="R2836" s="55">
        <v>4</v>
      </c>
      <c r="S2836" s="55"/>
      <c r="T2836" s="55" t="s">
        <v>564</v>
      </c>
    </row>
    <row r="2837" spans="1:20" ht="13" x14ac:dyDescent="0.15">
      <c r="A2837" s="72" t="str">
        <f t="shared" si="44"/>
        <v>Ofsted Social Care Provider Webpage</v>
      </c>
      <c r="B2837" s="55" t="s">
        <v>5338</v>
      </c>
      <c r="D2837" s="55" t="s">
        <v>373</v>
      </c>
      <c r="E2837" s="74">
        <v>40097</v>
      </c>
      <c r="F2837" s="55" t="s">
        <v>344</v>
      </c>
      <c r="G2837" s="55" t="s">
        <v>360</v>
      </c>
      <c r="H2837" s="55" t="s">
        <v>360</v>
      </c>
      <c r="I2837" s="55" t="s">
        <v>360</v>
      </c>
      <c r="J2837" s="55" t="s">
        <v>360</v>
      </c>
      <c r="K2837" s="55" t="s">
        <v>360</v>
      </c>
      <c r="L2837" s="55" t="s">
        <v>360</v>
      </c>
      <c r="M2837" s="55" t="s">
        <v>150</v>
      </c>
      <c r="N2837" s="55" t="s">
        <v>150</v>
      </c>
      <c r="O2837" s="55" t="s">
        <v>190</v>
      </c>
      <c r="P2837" s="55" t="s">
        <v>749</v>
      </c>
      <c r="Q2837" s="55" t="s">
        <v>350</v>
      </c>
      <c r="R2837" s="55">
        <v>4</v>
      </c>
      <c r="S2837" s="55"/>
      <c r="T2837" s="55" t="s">
        <v>888</v>
      </c>
    </row>
    <row r="2838" spans="1:20" ht="13" x14ac:dyDescent="0.15">
      <c r="A2838" s="72" t="str">
        <f t="shared" si="44"/>
        <v>Ofsted Social Care Provider Webpage</v>
      </c>
      <c r="B2838" s="55" t="s">
        <v>5339</v>
      </c>
      <c r="D2838" s="55" t="s">
        <v>389</v>
      </c>
      <c r="E2838" s="74">
        <v>40150</v>
      </c>
      <c r="F2838" s="55" t="s">
        <v>344</v>
      </c>
      <c r="G2838" s="55" t="s">
        <v>3255</v>
      </c>
      <c r="H2838" s="55" t="s">
        <v>621</v>
      </c>
      <c r="I2838" s="55" t="s">
        <v>5340</v>
      </c>
      <c r="J2838" s="55" t="s">
        <v>5341</v>
      </c>
      <c r="K2838" s="55" t="s">
        <v>3368</v>
      </c>
      <c r="L2838" s="55" t="s">
        <v>5342</v>
      </c>
      <c r="M2838" s="55" t="s">
        <v>378</v>
      </c>
      <c r="N2838" s="55" t="s">
        <v>170</v>
      </c>
      <c r="O2838" s="55" t="s">
        <v>178</v>
      </c>
      <c r="P2838" s="55" t="s">
        <v>1450</v>
      </c>
      <c r="Q2838" s="55" t="s">
        <v>362</v>
      </c>
      <c r="R2838" s="55"/>
      <c r="S2838" s="55"/>
      <c r="T2838" s="55" t="s">
        <v>3255</v>
      </c>
    </row>
    <row r="2839" spans="1:20" ht="13" x14ac:dyDescent="0.15">
      <c r="A2839" s="72" t="str">
        <f t="shared" si="44"/>
        <v>Ofsted Social Care Provider Webpage</v>
      </c>
      <c r="B2839" s="55" t="s">
        <v>5343</v>
      </c>
      <c r="D2839" s="55" t="s">
        <v>479</v>
      </c>
      <c r="E2839" s="74">
        <v>40165</v>
      </c>
      <c r="F2839" s="55" t="s">
        <v>344</v>
      </c>
      <c r="G2839" s="55" t="s">
        <v>360</v>
      </c>
      <c r="H2839" s="55" t="s">
        <v>360</v>
      </c>
      <c r="I2839" s="55" t="s">
        <v>360</v>
      </c>
      <c r="J2839" s="55" t="s">
        <v>360</v>
      </c>
      <c r="K2839" s="55" t="s">
        <v>360</v>
      </c>
      <c r="L2839" s="55" t="s">
        <v>360</v>
      </c>
      <c r="M2839" s="55" t="s">
        <v>172</v>
      </c>
      <c r="N2839" s="55" t="s">
        <v>172</v>
      </c>
      <c r="O2839" s="55" t="s">
        <v>235</v>
      </c>
      <c r="P2839" s="55" t="s">
        <v>2338</v>
      </c>
      <c r="Q2839" s="55" t="s">
        <v>350</v>
      </c>
      <c r="R2839" s="55">
        <v>54</v>
      </c>
      <c r="S2839" s="55"/>
      <c r="T2839" s="55" t="s">
        <v>4119</v>
      </c>
    </row>
    <row r="2840" spans="1:20" ht="13" x14ac:dyDescent="0.15">
      <c r="A2840" s="72" t="str">
        <f t="shared" si="44"/>
        <v>Ofsted Social Care Provider Webpage</v>
      </c>
      <c r="B2840" s="55" t="s">
        <v>5344</v>
      </c>
      <c r="D2840" s="55" t="s">
        <v>373</v>
      </c>
      <c r="E2840" s="74">
        <v>40148</v>
      </c>
      <c r="F2840" s="55" t="s">
        <v>344</v>
      </c>
      <c r="G2840" s="55" t="s">
        <v>360</v>
      </c>
      <c r="H2840" s="55" t="s">
        <v>360</v>
      </c>
      <c r="I2840" s="55" t="s">
        <v>360</v>
      </c>
      <c r="J2840" s="55" t="s">
        <v>360</v>
      </c>
      <c r="K2840" s="55" t="s">
        <v>360</v>
      </c>
      <c r="L2840" s="55" t="s">
        <v>360</v>
      </c>
      <c r="M2840" s="55" t="s">
        <v>142</v>
      </c>
      <c r="N2840" s="55" t="s">
        <v>142</v>
      </c>
      <c r="O2840" s="55" t="s">
        <v>195</v>
      </c>
      <c r="P2840" s="55" t="s">
        <v>747</v>
      </c>
      <c r="Q2840" s="55" t="s">
        <v>350</v>
      </c>
      <c r="R2840" s="55">
        <v>5</v>
      </c>
      <c r="S2840" s="55"/>
      <c r="T2840" s="55" t="s">
        <v>450</v>
      </c>
    </row>
    <row r="2841" spans="1:20" ht="13" x14ac:dyDescent="0.15">
      <c r="A2841" s="72" t="str">
        <f t="shared" si="44"/>
        <v>Ofsted Social Care Provider Webpage</v>
      </c>
      <c r="B2841" s="55" t="s">
        <v>5345</v>
      </c>
      <c r="D2841" s="55" t="s">
        <v>373</v>
      </c>
      <c r="E2841" s="74">
        <v>40148</v>
      </c>
      <c r="F2841" s="55" t="s">
        <v>344</v>
      </c>
      <c r="G2841" s="55" t="s">
        <v>360</v>
      </c>
      <c r="H2841" s="55" t="s">
        <v>360</v>
      </c>
      <c r="I2841" s="55" t="s">
        <v>360</v>
      </c>
      <c r="J2841" s="55" t="s">
        <v>360</v>
      </c>
      <c r="K2841" s="55" t="s">
        <v>360</v>
      </c>
      <c r="L2841" s="55" t="s">
        <v>360</v>
      </c>
      <c r="M2841" s="55" t="s">
        <v>142</v>
      </c>
      <c r="N2841" s="55" t="s">
        <v>142</v>
      </c>
      <c r="O2841" s="55" t="s">
        <v>195</v>
      </c>
      <c r="P2841" s="55" t="s">
        <v>518</v>
      </c>
      <c r="Q2841" s="55" t="s">
        <v>350</v>
      </c>
      <c r="R2841" s="55">
        <v>3</v>
      </c>
      <c r="S2841" s="55"/>
      <c r="T2841" s="55" t="s">
        <v>450</v>
      </c>
    </row>
    <row r="2842" spans="1:20" ht="13" x14ac:dyDescent="0.15">
      <c r="A2842" s="72" t="str">
        <f t="shared" si="44"/>
        <v>Ofsted Social Care Provider Webpage</v>
      </c>
      <c r="B2842" s="55" t="s">
        <v>5346</v>
      </c>
      <c r="D2842" s="55" t="s">
        <v>373</v>
      </c>
      <c r="E2842" s="74">
        <v>40148</v>
      </c>
      <c r="F2842" s="55" t="s">
        <v>344</v>
      </c>
      <c r="G2842" s="55" t="s">
        <v>360</v>
      </c>
      <c r="H2842" s="55" t="s">
        <v>360</v>
      </c>
      <c r="I2842" s="55" t="s">
        <v>360</v>
      </c>
      <c r="J2842" s="55" t="s">
        <v>360</v>
      </c>
      <c r="K2842" s="55" t="s">
        <v>360</v>
      </c>
      <c r="L2842" s="55" t="s">
        <v>360</v>
      </c>
      <c r="M2842" s="55" t="s">
        <v>142</v>
      </c>
      <c r="N2842" s="55" t="s">
        <v>142</v>
      </c>
      <c r="O2842" s="55" t="s">
        <v>195</v>
      </c>
      <c r="P2842" s="55" t="s">
        <v>747</v>
      </c>
      <c r="Q2842" s="55" t="s">
        <v>350</v>
      </c>
      <c r="R2842" s="55">
        <v>5</v>
      </c>
      <c r="S2842" s="55"/>
      <c r="T2842" s="55" t="s">
        <v>450</v>
      </c>
    </row>
    <row r="2843" spans="1:20" ht="13" x14ac:dyDescent="0.15">
      <c r="A2843" s="72" t="str">
        <f t="shared" si="44"/>
        <v>Ofsted Social Care Provider Webpage</v>
      </c>
      <c r="B2843" s="55" t="s">
        <v>5347</v>
      </c>
      <c r="D2843" s="55" t="s">
        <v>389</v>
      </c>
      <c r="E2843" s="74">
        <v>40142</v>
      </c>
      <c r="F2843" s="55" t="s">
        <v>344</v>
      </c>
      <c r="G2843" s="55" t="s">
        <v>5348</v>
      </c>
      <c r="H2843" s="55" t="s">
        <v>5349</v>
      </c>
      <c r="I2843" s="55" t="s">
        <v>354</v>
      </c>
      <c r="J2843" s="55" t="s">
        <v>5350</v>
      </c>
      <c r="K2843" s="55" t="s">
        <v>1746</v>
      </c>
      <c r="L2843" s="55" t="s">
        <v>5351</v>
      </c>
      <c r="M2843" s="55" t="s">
        <v>129</v>
      </c>
      <c r="N2843" s="55" t="s">
        <v>129</v>
      </c>
      <c r="O2843" s="55" t="s">
        <v>198</v>
      </c>
      <c r="P2843" s="55" t="s">
        <v>1287</v>
      </c>
      <c r="Q2843" s="55" t="s">
        <v>350</v>
      </c>
      <c r="R2843" s="55"/>
      <c r="S2843" s="55"/>
      <c r="T2843" s="55" t="s">
        <v>5352</v>
      </c>
    </row>
    <row r="2844" spans="1:20" ht="13" x14ac:dyDescent="0.15">
      <c r="A2844" s="72" t="str">
        <f t="shared" si="44"/>
        <v>Ofsted Social Care Provider Webpage</v>
      </c>
      <c r="B2844" s="55" t="s">
        <v>5353</v>
      </c>
      <c r="D2844" s="55" t="s">
        <v>373</v>
      </c>
      <c r="E2844" s="74">
        <v>40169</v>
      </c>
      <c r="F2844" s="55" t="s">
        <v>344</v>
      </c>
      <c r="G2844" s="55" t="s">
        <v>360</v>
      </c>
      <c r="H2844" s="55" t="s">
        <v>360</v>
      </c>
      <c r="I2844" s="55" t="s">
        <v>360</v>
      </c>
      <c r="J2844" s="55" t="s">
        <v>360</v>
      </c>
      <c r="K2844" s="55" t="s">
        <v>360</v>
      </c>
      <c r="L2844" s="55" t="s">
        <v>360</v>
      </c>
      <c r="M2844" s="55" t="s">
        <v>136</v>
      </c>
      <c r="N2844" s="55" t="s">
        <v>136</v>
      </c>
      <c r="O2844" s="55" t="s">
        <v>174</v>
      </c>
      <c r="P2844" s="55" t="s">
        <v>1010</v>
      </c>
      <c r="Q2844" s="55" t="s">
        <v>350</v>
      </c>
      <c r="R2844" s="55">
        <v>3</v>
      </c>
      <c r="S2844" s="55"/>
      <c r="T2844" s="55" t="s">
        <v>721</v>
      </c>
    </row>
    <row r="2845" spans="1:20" ht="13" x14ac:dyDescent="0.15">
      <c r="A2845" s="72" t="str">
        <f t="shared" si="44"/>
        <v>Ofsted Social Care Provider Webpage</v>
      </c>
      <c r="B2845" s="55" t="s">
        <v>5354</v>
      </c>
      <c r="D2845" s="55" t="s">
        <v>373</v>
      </c>
      <c r="E2845" s="74">
        <v>40155</v>
      </c>
      <c r="F2845" s="55" t="s">
        <v>344</v>
      </c>
      <c r="G2845" s="55" t="s">
        <v>360</v>
      </c>
      <c r="H2845" s="55" t="s">
        <v>360</v>
      </c>
      <c r="I2845" s="55" t="s">
        <v>360</v>
      </c>
      <c r="J2845" s="55" t="s">
        <v>360</v>
      </c>
      <c r="K2845" s="55" t="s">
        <v>360</v>
      </c>
      <c r="L2845" s="55" t="s">
        <v>360</v>
      </c>
      <c r="M2845" s="55" t="s">
        <v>144</v>
      </c>
      <c r="N2845" s="55" t="s">
        <v>144</v>
      </c>
      <c r="O2845" s="55" t="s">
        <v>209</v>
      </c>
      <c r="P2845" s="55" t="s">
        <v>1858</v>
      </c>
      <c r="Q2845" s="55" t="s">
        <v>350</v>
      </c>
      <c r="R2845" s="55">
        <v>5</v>
      </c>
      <c r="S2845" s="55"/>
      <c r="T2845" s="55" t="s">
        <v>5355</v>
      </c>
    </row>
    <row r="2846" spans="1:20" ht="13" x14ac:dyDescent="0.15">
      <c r="A2846" s="72" t="str">
        <f t="shared" si="44"/>
        <v>Ofsted Social Care Provider Webpage</v>
      </c>
      <c r="B2846" s="55" t="s">
        <v>5356</v>
      </c>
      <c r="D2846" s="55" t="s">
        <v>373</v>
      </c>
      <c r="E2846" s="74">
        <v>40192</v>
      </c>
      <c r="F2846" s="55" t="s">
        <v>344</v>
      </c>
      <c r="G2846" s="55" t="s">
        <v>360</v>
      </c>
      <c r="H2846" s="55" t="s">
        <v>360</v>
      </c>
      <c r="I2846" s="55" t="s">
        <v>360</v>
      </c>
      <c r="J2846" s="55" t="s">
        <v>360</v>
      </c>
      <c r="K2846" s="55" t="s">
        <v>360</v>
      </c>
      <c r="L2846" s="55" t="s">
        <v>360</v>
      </c>
      <c r="M2846" s="55" t="s">
        <v>144</v>
      </c>
      <c r="N2846" s="55" t="s">
        <v>144</v>
      </c>
      <c r="O2846" s="55" t="s">
        <v>245</v>
      </c>
      <c r="P2846" s="55" t="s">
        <v>245</v>
      </c>
      <c r="Q2846" s="55" t="s">
        <v>350</v>
      </c>
      <c r="R2846" s="55">
        <v>2</v>
      </c>
      <c r="S2846" s="55"/>
      <c r="T2846" s="55" t="s">
        <v>5357</v>
      </c>
    </row>
    <row r="2847" spans="1:20" ht="13" x14ac:dyDescent="0.15">
      <c r="A2847" s="72" t="str">
        <f t="shared" si="44"/>
        <v>Ofsted Social Care Provider Webpage</v>
      </c>
      <c r="B2847" s="55" t="s">
        <v>5358</v>
      </c>
      <c r="D2847" s="55" t="s">
        <v>373</v>
      </c>
      <c r="E2847" s="74">
        <v>40309</v>
      </c>
      <c r="F2847" s="55" t="s">
        <v>344</v>
      </c>
      <c r="G2847" s="55" t="s">
        <v>360</v>
      </c>
      <c r="H2847" s="55" t="s">
        <v>360</v>
      </c>
      <c r="I2847" s="55" t="s">
        <v>360</v>
      </c>
      <c r="J2847" s="55" t="s">
        <v>360</v>
      </c>
      <c r="K2847" s="55" t="s">
        <v>360</v>
      </c>
      <c r="L2847" s="55" t="s">
        <v>360</v>
      </c>
      <c r="M2847" s="55" t="s">
        <v>378</v>
      </c>
      <c r="N2847" s="55" t="s">
        <v>170</v>
      </c>
      <c r="O2847" s="55" t="s">
        <v>222</v>
      </c>
      <c r="P2847" s="55" t="s">
        <v>3131</v>
      </c>
      <c r="Q2847" s="55" t="s">
        <v>350</v>
      </c>
      <c r="R2847" s="55">
        <v>3</v>
      </c>
      <c r="S2847" s="55"/>
      <c r="T2847" s="55" t="s">
        <v>677</v>
      </c>
    </row>
    <row r="2848" spans="1:20" ht="13" x14ac:dyDescent="0.15">
      <c r="A2848" s="72" t="str">
        <f t="shared" si="44"/>
        <v>Ofsted Social Care Provider Webpage</v>
      </c>
      <c r="B2848" s="55" t="s">
        <v>5359</v>
      </c>
      <c r="D2848" s="55" t="s">
        <v>373</v>
      </c>
      <c r="E2848" s="74">
        <v>40421</v>
      </c>
      <c r="F2848" s="55" t="s">
        <v>344</v>
      </c>
      <c r="G2848" s="55" t="s">
        <v>360</v>
      </c>
      <c r="H2848" s="55" t="s">
        <v>360</v>
      </c>
      <c r="I2848" s="55" t="s">
        <v>360</v>
      </c>
      <c r="J2848" s="55" t="s">
        <v>360</v>
      </c>
      <c r="K2848" s="55" t="s">
        <v>360</v>
      </c>
      <c r="L2848" s="55" t="s">
        <v>360</v>
      </c>
      <c r="M2848" s="55" t="s">
        <v>142</v>
      </c>
      <c r="N2848" s="55" t="s">
        <v>142</v>
      </c>
      <c r="O2848" s="55" t="s">
        <v>293</v>
      </c>
      <c r="P2848" s="55" t="s">
        <v>1422</v>
      </c>
      <c r="Q2848" s="55" t="s">
        <v>350</v>
      </c>
      <c r="R2848" s="55">
        <v>4</v>
      </c>
      <c r="S2848" s="55"/>
      <c r="T2848" s="55" t="s">
        <v>654</v>
      </c>
    </row>
    <row r="2849" spans="1:20" ht="13" x14ac:dyDescent="0.15">
      <c r="A2849" s="72" t="str">
        <f t="shared" si="44"/>
        <v>Ofsted Social Care Provider Webpage</v>
      </c>
      <c r="B2849" s="55" t="s">
        <v>5360</v>
      </c>
      <c r="D2849" s="55" t="s">
        <v>373</v>
      </c>
      <c r="E2849" s="74">
        <v>40211</v>
      </c>
      <c r="F2849" s="55" t="s">
        <v>344</v>
      </c>
      <c r="G2849" s="55" t="s">
        <v>360</v>
      </c>
      <c r="H2849" s="55" t="s">
        <v>360</v>
      </c>
      <c r="I2849" s="55" t="s">
        <v>360</v>
      </c>
      <c r="J2849" s="55" t="s">
        <v>360</v>
      </c>
      <c r="K2849" s="55" t="s">
        <v>360</v>
      </c>
      <c r="L2849" s="55" t="s">
        <v>360</v>
      </c>
      <c r="M2849" s="55" t="s">
        <v>150</v>
      </c>
      <c r="N2849" s="55" t="s">
        <v>150</v>
      </c>
      <c r="O2849" s="55" t="s">
        <v>203</v>
      </c>
      <c r="P2849" s="55" t="s">
        <v>3559</v>
      </c>
      <c r="Q2849" s="55" t="s">
        <v>380</v>
      </c>
      <c r="R2849" s="55">
        <v>6</v>
      </c>
      <c r="S2849" s="55" t="s">
        <v>332</v>
      </c>
      <c r="T2849" s="55" t="s">
        <v>1547</v>
      </c>
    </row>
    <row r="2850" spans="1:20" ht="13" x14ac:dyDescent="0.15">
      <c r="A2850" s="72" t="str">
        <f t="shared" si="44"/>
        <v>Ofsted Social Care Provider Webpage</v>
      </c>
      <c r="B2850" s="55" t="s">
        <v>5361</v>
      </c>
      <c r="D2850" s="55" t="s">
        <v>373</v>
      </c>
      <c r="E2850" s="74">
        <v>40318</v>
      </c>
      <c r="F2850" s="55" t="s">
        <v>344</v>
      </c>
      <c r="G2850" s="55" t="s">
        <v>360</v>
      </c>
      <c r="H2850" s="55" t="s">
        <v>360</v>
      </c>
      <c r="I2850" s="55" t="s">
        <v>360</v>
      </c>
      <c r="J2850" s="55" t="s">
        <v>360</v>
      </c>
      <c r="K2850" s="55" t="s">
        <v>360</v>
      </c>
      <c r="L2850" s="55" t="s">
        <v>360</v>
      </c>
      <c r="M2850" s="55" t="s">
        <v>378</v>
      </c>
      <c r="N2850" s="55" t="s">
        <v>134</v>
      </c>
      <c r="O2850" s="55" t="s">
        <v>210</v>
      </c>
      <c r="P2850" s="55" t="s">
        <v>1250</v>
      </c>
      <c r="Q2850" s="55" t="s">
        <v>350</v>
      </c>
      <c r="R2850" s="55">
        <v>4</v>
      </c>
      <c r="S2850" s="55"/>
      <c r="T2850" s="55" t="s">
        <v>1505</v>
      </c>
    </row>
    <row r="2851" spans="1:20" ht="13" x14ac:dyDescent="0.15">
      <c r="A2851" s="72" t="str">
        <f t="shared" si="44"/>
        <v>Ofsted Social Care Provider Webpage</v>
      </c>
      <c r="B2851" s="55" t="s">
        <v>5362</v>
      </c>
      <c r="D2851" s="55" t="s">
        <v>373</v>
      </c>
      <c r="E2851" s="74">
        <v>40162</v>
      </c>
      <c r="F2851" s="55" t="s">
        <v>344</v>
      </c>
      <c r="G2851" s="55" t="s">
        <v>360</v>
      </c>
      <c r="H2851" s="55" t="s">
        <v>360</v>
      </c>
      <c r="I2851" s="55" t="s">
        <v>360</v>
      </c>
      <c r="J2851" s="55" t="s">
        <v>360</v>
      </c>
      <c r="K2851" s="55" t="s">
        <v>360</v>
      </c>
      <c r="L2851" s="55" t="s">
        <v>360</v>
      </c>
      <c r="M2851" s="55" t="s">
        <v>142</v>
      </c>
      <c r="N2851" s="55" t="s">
        <v>142</v>
      </c>
      <c r="O2851" s="55" t="s">
        <v>265</v>
      </c>
      <c r="P2851" s="55" t="s">
        <v>1066</v>
      </c>
      <c r="Q2851" s="55" t="s">
        <v>380</v>
      </c>
      <c r="R2851" s="55">
        <v>2</v>
      </c>
      <c r="S2851" s="55"/>
      <c r="T2851" s="55" t="s">
        <v>1067</v>
      </c>
    </row>
    <row r="2852" spans="1:20" ht="13" x14ac:dyDescent="0.15">
      <c r="A2852" s="72" t="str">
        <f t="shared" si="44"/>
        <v>Ofsted Social Care Provider Webpage</v>
      </c>
      <c r="B2852" s="55" t="s">
        <v>5363</v>
      </c>
      <c r="D2852" s="55" t="s">
        <v>373</v>
      </c>
      <c r="E2852" s="74">
        <v>40289</v>
      </c>
      <c r="F2852" s="55" t="s">
        <v>344</v>
      </c>
      <c r="G2852" s="55" t="s">
        <v>360</v>
      </c>
      <c r="H2852" s="55" t="s">
        <v>360</v>
      </c>
      <c r="I2852" s="55" t="s">
        <v>360</v>
      </c>
      <c r="J2852" s="55" t="s">
        <v>360</v>
      </c>
      <c r="K2852" s="55" t="s">
        <v>360</v>
      </c>
      <c r="L2852" s="55" t="s">
        <v>360</v>
      </c>
      <c r="M2852" s="55" t="s">
        <v>150</v>
      </c>
      <c r="N2852" s="55" t="s">
        <v>150</v>
      </c>
      <c r="O2852" s="55" t="s">
        <v>203</v>
      </c>
      <c r="P2852" s="55" t="s">
        <v>800</v>
      </c>
      <c r="Q2852" s="55" t="s">
        <v>350</v>
      </c>
      <c r="R2852" s="55">
        <v>5</v>
      </c>
      <c r="S2852" s="55"/>
      <c r="T2852" s="55" t="s">
        <v>2341</v>
      </c>
    </row>
    <row r="2853" spans="1:20" ht="13" x14ac:dyDescent="0.15">
      <c r="A2853" s="72" t="str">
        <f t="shared" si="44"/>
        <v>Ofsted Social Care Provider Webpage</v>
      </c>
      <c r="B2853" s="55" t="s">
        <v>5364</v>
      </c>
      <c r="D2853" s="55" t="s">
        <v>479</v>
      </c>
      <c r="E2853" s="74">
        <v>40150</v>
      </c>
      <c r="F2853" s="55" t="s">
        <v>344</v>
      </c>
      <c r="G2853" s="55" t="s">
        <v>360</v>
      </c>
      <c r="H2853" s="55" t="s">
        <v>360</v>
      </c>
      <c r="I2853" s="55" t="s">
        <v>360</v>
      </c>
      <c r="J2853" s="55" t="s">
        <v>360</v>
      </c>
      <c r="K2853" s="55" t="s">
        <v>360</v>
      </c>
      <c r="L2853" s="55" t="s">
        <v>360</v>
      </c>
      <c r="M2853" s="55" t="s">
        <v>172</v>
      </c>
      <c r="N2853" s="55" t="s">
        <v>172</v>
      </c>
      <c r="O2853" s="55" t="s">
        <v>173</v>
      </c>
      <c r="P2853" s="55" t="s">
        <v>1258</v>
      </c>
      <c r="Q2853" s="55" t="s">
        <v>350</v>
      </c>
      <c r="R2853" s="55">
        <v>24</v>
      </c>
      <c r="S2853" s="55"/>
      <c r="T2853" s="55" t="s">
        <v>4968</v>
      </c>
    </row>
    <row r="2854" spans="1:20" ht="13" x14ac:dyDescent="0.15">
      <c r="A2854" s="72" t="str">
        <f t="shared" si="44"/>
        <v>Ofsted Social Care Provider Webpage</v>
      </c>
      <c r="B2854" s="55" t="s">
        <v>5365</v>
      </c>
      <c r="D2854" s="55" t="s">
        <v>373</v>
      </c>
      <c r="E2854" s="74">
        <v>40200</v>
      </c>
      <c r="F2854" s="55" t="s">
        <v>344</v>
      </c>
      <c r="G2854" s="55" t="s">
        <v>360</v>
      </c>
      <c r="H2854" s="55" t="s">
        <v>360</v>
      </c>
      <c r="I2854" s="55" t="s">
        <v>360</v>
      </c>
      <c r="J2854" s="55" t="s">
        <v>360</v>
      </c>
      <c r="K2854" s="55" t="s">
        <v>360</v>
      </c>
      <c r="L2854" s="55" t="s">
        <v>360</v>
      </c>
      <c r="M2854" s="55" t="s">
        <v>142</v>
      </c>
      <c r="N2854" s="55" t="s">
        <v>142</v>
      </c>
      <c r="O2854" s="55" t="s">
        <v>262</v>
      </c>
      <c r="P2854" s="55" t="s">
        <v>488</v>
      </c>
      <c r="Q2854" s="55" t="s">
        <v>350</v>
      </c>
      <c r="R2854" s="55">
        <v>2</v>
      </c>
      <c r="S2854" s="55"/>
      <c r="T2854" s="55" t="s">
        <v>5366</v>
      </c>
    </row>
    <row r="2855" spans="1:20" ht="13" x14ac:dyDescent="0.15">
      <c r="A2855" s="72" t="str">
        <f t="shared" si="44"/>
        <v>Ofsted Social Care Provider Webpage</v>
      </c>
      <c r="B2855" s="55" t="s">
        <v>5367</v>
      </c>
      <c r="D2855" s="55" t="s">
        <v>373</v>
      </c>
      <c r="E2855" s="74">
        <v>40396</v>
      </c>
      <c r="F2855" s="55" t="s">
        <v>344</v>
      </c>
      <c r="G2855" s="55" t="s">
        <v>360</v>
      </c>
      <c r="H2855" s="55" t="s">
        <v>360</v>
      </c>
      <c r="I2855" s="55" t="s">
        <v>360</v>
      </c>
      <c r="J2855" s="55" t="s">
        <v>360</v>
      </c>
      <c r="K2855" s="55" t="s">
        <v>360</v>
      </c>
      <c r="L2855" s="55" t="s">
        <v>360</v>
      </c>
      <c r="M2855" s="55" t="s">
        <v>142</v>
      </c>
      <c r="N2855" s="55" t="s">
        <v>142</v>
      </c>
      <c r="O2855" s="55" t="s">
        <v>249</v>
      </c>
      <c r="P2855" s="55" t="s">
        <v>1181</v>
      </c>
      <c r="Q2855" s="55" t="s">
        <v>362</v>
      </c>
      <c r="R2855" s="55">
        <v>4</v>
      </c>
      <c r="S2855" s="55"/>
      <c r="T2855" s="55" t="s">
        <v>432</v>
      </c>
    </row>
    <row r="2856" spans="1:20" ht="13" x14ac:dyDescent="0.15">
      <c r="A2856" s="72" t="str">
        <f t="shared" si="44"/>
        <v>Ofsted Social Care Provider Webpage</v>
      </c>
      <c r="B2856" s="55" t="s">
        <v>5368</v>
      </c>
      <c r="D2856" s="55" t="s">
        <v>373</v>
      </c>
      <c r="E2856" s="74">
        <v>40189</v>
      </c>
      <c r="F2856" s="55" t="s">
        <v>344</v>
      </c>
      <c r="G2856" s="55" t="s">
        <v>360</v>
      </c>
      <c r="H2856" s="55" t="s">
        <v>360</v>
      </c>
      <c r="I2856" s="55" t="s">
        <v>360</v>
      </c>
      <c r="J2856" s="55" t="s">
        <v>360</v>
      </c>
      <c r="K2856" s="55" t="s">
        <v>360</v>
      </c>
      <c r="L2856" s="55" t="s">
        <v>360</v>
      </c>
      <c r="M2856" s="55" t="s">
        <v>378</v>
      </c>
      <c r="N2856" s="55" t="s">
        <v>170</v>
      </c>
      <c r="O2856" s="55" t="s">
        <v>267</v>
      </c>
      <c r="P2856" s="55" t="s">
        <v>477</v>
      </c>
      <c r="Q2856" s="55" t="s">
        <v>362</v>
      </c>
      <c r="R2856" s="55">
        <v>4</v>
      </c>
      <c r="S2856" s="55"/>
      <c r="T2856" s="55" t="s">
        <v>5369</v>
      </c>
    </row>
    <row r="2857" spans="1:20" ht="13" x14ac:dyDescent="0.15">
      <c r="A2857" s="72" t="str">
        <f t="shared" si="44"/>
        <v>Ofsted Social Care Provider Webpage</v>
      </c>
      <c r="B2857" s="55" t="s">
        <v>5370</v>
      </c>
      <c r="D2857" s="55" t="s">
        <v>373</v>
      </c>
      <c r="E2857" s="74">
        <v>40288</v>
      </c>
      <c r="F2857" s="55" t="s">
        <v>344</v>
      </c>
      <c r="G2857" s="55" t="s">
        <v>360</v>
      </c>
      <c r="H2857" s="55" t="s">
        <v>360</v>
      </c>
      <c r="I2857" s="55" t="s">
        <v>360</v>
      </c>
      <c r="J2857" s="55" t="s">
        <v>360</v>
      </c>
      <c r="K2857" s="55" t="s">
        <v>360</v>
      </c>
      <c r="L2857" s="55" t="s">
        <v>360</v>
      </c>
      <c r="M2857" s="55" t="s">
        <v>144</v>
      </c>
      <c r="N2857" s="55" t="s">
        <v>144</v>
      </c>
      <c r="O2857" s="55" t="s">
        <v>207</v>
      </c>
      <c r="P2857" s="55" t="s">
        <v>207</v>
      </c>
      <c r="Q2857" s="55" t="s">
        <v>350</v>
      </c>
      <c r="R2857" s="55">
        <v>1</v>
      </c>
      <c r="S2857" s="55"/>
      <c r="T2857" s="55" t="s">
        <v>2947</v>
      </c>
    </row>
    <row r="2858" spans="1:20" ht="13" x14ac:dyDescent="0.15">
      <c r="A2858" s="72" t="str">
        <f t="shared" si="44"/>
        <v>Ofsted Social Care Provider Webpage</v>
      </c>
      <c r="B2858" s="55" t="s">
        <v>5371</v>
      </c>
      <c r="D2858" s="55" t="s">
        <v>389</v>
      </c>
      <c r="E2858" s="74">
        <v>40275</v>
      </c>
      <c r="F2858" s="55" t="s">
        <v>344</v>
      </c>
      <c r="G2858" s="55" t="s">
        <v>5372</v>
      </c>
      <c r="H2858" s="55" t="s">
        <v>5373</v>
      </c>
      <c r="I2858" s="55" t="s">
        <v>5374</v>
      </c>
      <c r="J2858" s="55" t="s">
        <v>5375</v>
      </c>
      <c r="K2858" s="55" t="s">
        <v>2374</v>
      </c>
      <c r="L2858" s="55" t="s">
        <v>5376</v>
      </c>
      <c r="M2858" s="55" t="s">
        <v>378</v>
      </c>
      <c r="N2858" s="55" t="s">
        <v>134</v>
      </c>
      <c r="O2858" s="55" t="s">
        <v>151</v>
      </c>
      <c r="P2858" s="55" t="s">
        <v>1778</v>
      </c>
      <c r="Q2858" s="55" t="s">
        <v>350</v>
      </c>
      <c r="R2858" s="55"/>
      <c r="S2858" s="55"/>
      <c r="T2858" s="55" t="s">
        <v>5372</v>
      </c>
    </row>
    <row r="2859" spans="1:20" ht="13" x14ac:dyDescent="0.15">
      <c r="A2859" s="72" t="str">
        <f t="shared" si="44"/>
        <v>Ofsted Social Care Provider Webpage</v>
      </c>
      <c r="B2859" s="55" t="s">
        <v>5377</v>
      </c>
      <c r="D2859" s="55" t="s">
        <v>373</v>
      </c>
      <c r="E2859" s="74">
        <v>40189</v>
      </c>
      <c r="F2859" s="55" t="s">
        <v>344</v>
      </c>
      <c r="G2859" s="55" t="s">
        <v>360</v>
      </c>
      <c r="H2859" s="55" t="s">
        <v>360</v>
      </c>
      <c r="I2859" s="55" t="s">
        <v>360</v>
      </c>
      <c r="J2859" s="55" t="s">
        <v>360</v>
      </c>
      <c r="K2859" s="55" t="s">
        <v>360</v>
      </c>
      <c r="L2859" s="55" t="s">
        <v>360</v>
      </c>
      <c r="M2859" s="55" t="s">
        <v>142</v>
      </c>
      <c r="N2859" s="55" t="s">
        <v>142</v>
      </c>
      <c r="O2859" s="55" t="s">
        <v>249</v>
      </c>
      <c r="P2859" s="55" t="s">
        <v>1318</v>
      </c>
      <c r="Q2859" s="55" t="s">
        <v>350</v>
      </c>
      <c r="R2859" s="55">
        <v>3</v>
      </c>
      <c r="S2859" s="55"/>
      <c r="T2859" s="55" t="s">
        <v>385</v>
      </c>
    </row>
    <row r="2860" spans="1:20" ht="13" x14ac:dyDescent="0.15">
      <c r="A2860" s="72" t="str">
        <f t="shared" si="44"/>
        <v>Ofsted Social Care Provider Webpage</v>
      </c>
      <c r="B2860" s="55" t="s">
        <v>5378</v>
      </c>
      <c r="D2860" s="55" t="s">
        <v>373</v>
      </c>
      <c r="E2860" s="74">
        <v>40238</v>
      </c>
      <c r="F2860" s="55" t="s">
        <v>344</v>
      </c>
      <c r="G2860" s="55" t="s">
        <v>360</v>
      </c>
      <c r="H2860" s="55" t="s">
        <v>360</v>
      </c>
      <c r="I2860" s="55" t="s">
        <v>360</v>
      </c>
      <c r="J2860" s="55" t="s">
        <v>360</v>
      </c>
      <c r="K2860" s="55" t="s">
        <v>360</v>
      </c>
      <c r="L2860" s="55" t="s">
        <v>360</v>
      </c>
      <c r="M2860" s="55" t="s">
        <v>150</v>
      </c>
      <c r="N2860" s="55" t="s">
        <v>150</v>
      </c>
      <c r="O2860" s="55" t="s">
        <v>268</v>
      </c>
      <c r="P2860" s="55" t="s">
        <v>2666</v>
      </c>
      <c r="Q2860" s="55" t="s">
        <v>380</v>
      </c>
      <c r="R2860" s="55">
        <v>6</v>
      </c>
      <c r="S2860" s="55" t="s">
        <v>332</v>
      </c>
      <c r="T2860" s="55" t="s">
        <v>640</v>
      </c>
    </row>
    <row r="2861" spans="1:20" ht="13" x14ac:dyDescent="0.15">
      <c r="A2861" s="72" t="str">
        <f t="shared" si="44"/>
        <v>Ofsted Social Care Provider Webpage</v>
      </c>
      <c r="B2861" s="55" t="s">
        <v>5379</v>
      </c>
      <c r="D2861" s="55" t="s">
        <v>373</v>
      </c>
      <c r="E2861" s="74">
        <v>40193</v>
      </c>
      <c r="F2861" s="55" t="s">
        <v>344</v>
      </c>
      <c r="G2861" s="55" t="s">
        <v>360</v>
      </c>
      <c r="H2861" s="55" t="s">
        <v>360</v>
      </c>
      <c r="I2861" s="55" t="s">
        <v>360</v>
      </c>
      <c r="J2861" s="55" t="s">
        <v>360</v>
      </c>
      <c r="K2861" s="55" t="s">
        <v>360</v>
      </c>
      <c r="L2861" s="55" t="s">
        <v>360</v>
      </c>
      <c r="M2861" s="55" t="s">
        <v>142</v>
      </c>
      <c r="N2861" s="55" t="s">
        <v>142</v>
      </c>
      <c r="O2861" s="55" t="s">
        <v>272</v>
      </c>
      <c r="P2861" s="55" t="s">
        <v>1291</v>
      </c>
      <c r="Q2861" s="55" t="s">
        <v>350</v>
      </c>
      <c r="R2861" s="55">
        <v>2</v>
      </c>
      <c r="S2861" s="55"/>
      <c r="T2861" s="55" t="s">
        <v>504</v>
      </c>
    </row>
    <row r="2862" spans="1:20" ht="13" x14ac:dyDescent="0.15">
      <c r="A2862" s="72" t="str">
        <f t="shared" si="44"/>
        <v>Ofsted Social Care Provider Webpage</v>
      </c>
      <c r="B2862" s="55" t="s">
        <v>5380</v>
      </c>
      <c r="D2862" s="55" t="s">
        <v>373</v>
      </c>
      <c r="E2862" s="74">
        <v>40275</v>
      </c>
      <c r="F2862" s="55" t="s">
        <v>344</v>
      </c>
      <c r="G2862" s="55" t="s">
        <v>360</v>
      </c>
      <c r="H2862" s="55" t="s">
        <v>360</v>
      </c>
      <c r="I2862" s="55" t="s">
        <v>360</v>
      </c>
      <c r="J2862" s="55" t="s">
        <v>360</v>
      </c>
      <c r="K2862" s="55" t="s">
        <v>360</v>
      </c>
      <c r="L2862" s="55" t="s">
        <v>360</v>
      </c>
      <c r="M2862" s="55" t="s">
        <v>172</v>
      </c>
      <c r="N2862" s="55" t="s">
        <v>172</v>
      </c>
      <c r="O2862" s="55" t="s">
        <v>235</v>
      </c>
      <c r="P2862" s="55" t="s">
        <v>948</v>
      </c>
      <c r="Q2862" s="55" t="s">
        <v>350</v>
      </c>
      <c r="R2862" s="55">
        <v>5</v>
      </c>
      <c r="S2862" s="55"/>
      <c r="T2862" s="55" t="s">
        <v>1105</v>
      </c>
    </row>
    <row r="2863" spans="1:20" ht="13" x14ac:dyDescent="0.15">
      <c r="A2863" s="72" t="str">
        <f t="shared" si="44"/>
        <v>Ofsted Social Care Provider Webpage</v>
      </c>
      <c r="B2863" s="55" t="s">
        <v>5381</v>
      </c>
      <c r="D2863" s="55" t="s">
        <v>389</v>
      </c>
      <c r="E2863" s="74">
        <v>40315</v>
      </c>
      <c r="F2863" s="55" t="s">
        <v>344</v>
      </c>
      <c r="G2863" s="55" t="s">
        <v>5382</v>
      </c>
      <c r="H2863" s="55" t="s">
        <v>5383</v>
      </c>
      <c r="I2863" s="55" t="s">
        <v>5384</v>
      </c>
      <c r="J2863" s="55" t="s">
        <v>551</v>
      </c>
      <c r="L2863" s="55" t="s">
        <v>5385</v>
      </c>
      <c r="M2863" s="55" t="s">
        <v>129</v>
      </c>
      <c r="N2863" s="55" t="s">
        <v>129</v>
      </c>
      <c r="O2863" s="55" t="s">
        <v>167</v>
      </c>
      <c r="P2863" s="55" t="s">
        <v>866</v>
      </c>
      <c r="Q2863" s="55" t="s">
        <v>350</v>
      </c>
      <c r="R2863" s="55"/>
      <c r="S2863" s="55"/>
      <c r="T2863" s="55" t="s">
        <v>5386</v>
      </c>
    </row>
    <row r="2864" spans="1:20" ht="13" x14ac:dyDescent="0.15">
      <c r="A2864" s="72" t="str">
        <f t="shared" si="44"/>
        <v>Ofsted Social Care Provider Webpage</v>
      </c>
      <c r="B2864" s="55" t="s">
        <v>5387</v>
      </c>
      <c r="D2864" s="55" t="s">
        <v>373</v>
      </c>
      <c r="E2864" s="74">
        <v>40211</v>
      </c>
      <c r="F2864" s="55" t="s">
        <v>344</v>
      </c>
      <c r="G2864" s="55" t="s">
        <v>360</v>
      </c>
      <c r="H2864" s="55" t="s">
        <v>360</v>
      </c>
      <c r="I2864" s="55" t="s">
        <v>360</v>
      </c>
      <c r="J2864" s="55" t="s">
        <v>360</v>
      </c>
      <c r="K2864" s="55" t="s">
        <v>360</v>
      </c>
      <c r="L2864" s="55" t="s">
        <v>360</v>
      </c>
      <c r="M2864" s="55" t="s">
        <v>378</v>
      </c>
      <c r="N2864" s="55" t="s">
        <v>134</v>
      </c>
      <c r="O2864" s="55" t="s">
        <v>210</v>
      </c>
      <c r="P2864" s="55" t="s">
        <v>1250</v>
      </c>
      <c r="Q2864" s="55" t="s">
        <v>380</v>
      </c>
      <c r="R2864" s="55">
        <v>12</v>
      </c>
      <c r="S2864" s="55" t="s">
        <v>332</v>
      </c>
      <c r="T2864" s="55" t="s">
        <v>543</v>
      </c>
    </row>
    <row r="2865" spans="1:20" ht="13" x14ac:dyDescent="0.15">
      <c r="A2865" s="72" t="str">
        <f t="shared" si="44"/>
        <v>Ofsted Social Care Provider Webpage</v>
      </c>
      <c r="B2865" s="55" t="s">
        <v>5388</v>
      </c>
      <c r="D2865" s="55" t="s">
        <v>373</v>
      </c>
      <c r="E2865" s="74">
        <v>40261</v>
      </c>
      <c r="F2865" s="55" t="s">
        <v>344</v>
      </c>
      <c r="G2865" s="55" t="s">
        <v>360</v>
      </c>
      <c r="H2865" s="55" t="s">
        <v>360</v>
      </c>
      <c r="I2865" s="55" t="s">
        <v>360</v>
      </c>
      <c r="J2865" s="55" t="s">
        <v>360</v>
      </c>
      <c r="K2865" s="55" t="s">
        <v>360</v>
      </c>
      <c r="L2865" s="55" t="s">
        <v>360</v>
      </c>
      <c r="M2865" s="55" t="s">
        <v>144</v>
      </c>
      <c r="N2865" s="55" t="s">
        <v>144</v>
      </c>
      <c r="O2865" s="55" t="s">
        <v>261</v>
      </c>
      <c r="P2865" s="55" t="s">
        <v>512</v>
      </c>
      <c r="Q2865" s="55" t="s">
        <v>350</v>
      </c>
      <c r="R2865" s="55">
        <v>5</v>
      </c>
      <c r="S2865" s="55"/>
      <c r="T2865" s="55" t="s">
        <v>923</v>
      </c>
    </row>
    <row r="2866" spans="1:20" ht="13" x14ac:dyDescent="0.15">
      <c r="A2866" s="72" t="str">
        <f t="shared" si="44"/>
        <v>Ofsted Social Care Provider Webpage</v>
      </c>
      <c r="B2866" s="55" t="s">
        <v>5389</v>
      </c>
      <c r="D2866" s="55" t="s">
        <v>373</v>
      </c>
      <c r="E2866" s="74">
        <v>40227</v>
      </c>
      <c r="F2866" s="55" t="s">
        <v>344</v>
      </c>
      <c r="G2866" s="55" t="s">
        <v>360</v>
      </c>
      <c r="H2866" s="55" t="s">
        <v>360</v>
      </c>
      <c r="I2866" s="55" t="s">
        <v>360</v>
      </c>
      <c r="J2866" s="55" t="s">
        <v>360</v>
      </c>
      <c r="K2866" s="55" t="s">
        <v>360</v>
      </c>
      <c r="L2866" s="55" t="s">
        <v>360</v>
      </c>
      <c r="M2866" s="55" t="s">
        <v>129</v>
      </c>
      <c r="N2866" s="55" t="s">
        <v>129</v>
      </c>
      <c r="O2866" s="55" t="s">
        <v>279</v>
      </c>
      <c r="P2866" s="55" t="s">
        <v>2499</v>
      </c>
      <c r="Q2866" s="55" t="s">
        <v>350</v>
      </c>
      <c r="R2866" s="55">
        <v>3</v>
      </c>
      <c r="S2866" s="55"/>
      <c r="T2866" s="55" t="s">
        <v>5390</v>
      </c>
    </row>
    <row r="2867" spans="1:20" ht="13" x14ac:dyDescent="0.15">
      <c r="A2867" s="72" t="str">
        <f t="shared" si="44"/>
        <v>Ofsted Social Care Provider Webpage</v>
      </c>
      <c r="B2867" s="55" t="s">
        <v>5391</v>
      </c>
      <c r="D2867" s="55" t="s">
        <v>389</v>
      </c>
      <c r="E2867" s="74">
        <v>40254</v>
      </c>
      <c r="F2867" s="55" t="s">
        <v>344</v>
      </c>
      <c r="G2867" s="55" t="s">
        <v>5392</v>
      </c>
      <c r="H2867" s="55" t="s">
        <v>4114</v>
      </c>
      <c r="I2867" s="55" t="s">
        <v>5393</v>
      </c>
      <c r="J2867" s="55" t="s">
        <v>1768</v>
      </c>
      <c r="L2867" s="55" t="s">
        <v>5394</v>
      </c>
      <c r="M2867" s="55" t="s">
        <v>138</v>
      </c>
      <c r="N2867" s="55" t="s">
        <v>138</v>
      </c>
      <c r="O2867" s="55" t="s">
        <v>224</v>
      </c>
      <c r="P2867" s="55" t="s">
        <v>1123</v>
      </c>
      <c r="Q2867" s="55" t="s">
        <v>350</v>
      </c>
      <c r="R2867" s="55"/>
      <c r="S2867" s="55"/>
      <c r="T2867" s="55" t="s">
        <v>5395</v>
      </c>
    </row>
    <row r="2868" spans="1:20" ht="13" x14ac:dyDescent="0.15">
      <c r="A2868" s="72" t="str">
        <f t="shared" si="44"/>
        <v>Ofsted Social Care Provider Webpage</v>
      </c>
      <c r="B2868" s="55" t="s">
        <v>5396</v>
      </c>
      <c r="D2868" s="55" t="s">
        <v>373</v>
      </c>
      <c r="E2868" s="74">
        <v>40268</v>
      </c>
      <c r="F2868" s="55" t="s">
        <v>344</v>
      </c>
      <c r="G2868" s="55" t="s">
        <v>360</v>
      </c>
      <c r="H2868" s="55" t="s">
        <v>360</v>
      </c>
      <c r="I2868" s="55" t="s">
        <v>360</v>
      </c>
      <c r="J2868" s="55" t="s">
        <v>360</v>
      </c>
      <c r="K2868" s="55" t="s">
        <v>360</v>
      </c>
      <c r="L2868" s="55" t="s">
        <v>360</v>
      </c>
      <c r="M2868" s="55" t="s">
        <v>144</v>
      </c>
      <c r="N2868" s="55" t="s">
        <v>144</v>
      </c>
      <c r="O2868" s="55" t="s">
        <v>263</v>
      </c>
      <c r="P2868" s="55" t="s">
        <v>1211</v>
      </c>
      <c r="Q2868" s="55" t="s">
        <v>350</v>
      </c>
      <c r="R2868" s="55">
        <v>4</v>
      </c>
      <c r="S2868" s="55"/>
      <c r="T2868" s="55" t="s">
        <v>2359</v>
      </c>
    </row>
    <row r="2869" spans="1:20" ht="13" x14ac:dyDescent="0.15">
      <c r="A2869" s="72" t="str">
        <f t="shared" si="44"/>
        <v>Ofsted Social Care Provider Webpage</v>
      </c>
      <c r="B2869" s="55" t="s">
        <v>5397</v>
      </c>
      <c r="D2869" s="55" t="s">
        <v>373</v>
      </c>
      <c r="E2869" s="74">
        <v>40290</v>
      </c>
      <c r="F2869" s="55" t="s">
        <v>344</v>
      </c>
      <c r="G2869" s="55" t="s">
        <v>360</v>
      </c>
      <c r="H2869" s="55" t="s">
        <v>360</v>
      </c>
      <c r="I2869" s="55" t="s">
        <v>360</v>
      </c>
      <c r="J2869" s="55" t="s">
        <v>360</v>
      </c>
      <c r="K2869" s="55" t="s">
        <v>360</v>
      </c>
      <c r="L2869" s="55" t="s">
        <v>360</v>
      </c>
      <c r="M2869" s="55" t="s">
        <v>136</v>
      </c>
      <c r="N2869" s="55" t="s">
        <v>136</v>
      </c>
      <c r="O2869" s="55" t="s">
        <v>288</v>
      </c>
      <c r="P2869" s="55" t="s">
        <v>1388</v>
      </c>
      <c r="Q2869" s="55" t="s">
        <v>350</v>
      </c>
      <c r="R2869" s="55">
        <v>4</v>
      </c>
      <c r="S2869" s="55"/>
      <c r="T2869" s="55" t="s">
        <v>832</v>
      </c>
    </row>
    <row r="2870" spans="1:20" ht="13" x14ac:dyDescent="0.15">
      <c r="A2870" s="72" t="str">
        <f t="shared" si="44"/>
        <v>Ofsted Social Care Provider Webpage</v>
      </c>
      <c r="B2870" s="55" t="s">
        <v>5398</v>
      </c>
      <c r="D2870" s="55" t="s">
        <v>373</v>
      </c>
      <c r="E2870" s="74">
        <v>40241</v>
      </c>
      <c r="F2870" s="55" t="s">
        <v>344</v>
      </c>
      <c r="G2870" s="55" t="s">
        <v>360</v>
      </c>
      <c r="H2870" s="55" t="s">
        <v>360</v>
      </c>
      <c r="I2870" s="55" t="s">
        <v>360</v>
      </c>
      <c r="J2870" s="55" t="s">
        <v>360</v>
      </c>
      <c r="K2870" s="55" t="s">
        <v>360</v>
      </c>
      <c r="L2870" s="55" t="s">
        <v>360</v>
      </c>
      <c r="M2870" s="55" t="s">
        <v>136</v>
      </c>
      <c r="N2870" s="55" t="s">
        <v>136</v>
      </c>
      <c r="O2870" s="55" t="s">
        <v>174</v>
      </c>
      <c r="P2870" s="55" t="s">
        <v>982</v>
      </c>
      <c r="Q2870" s="55" t="s">
        <v>350</v>
      </c>
      <c r="R2870" s="55">
        <v>4</v>
      </c>
      <c r="S2870" s="55"/>
      <c r="T2870" s="55" t="s">
        <v>5399</v>
      </c>
    </row>
    <row r="2871" spans="1:20" ht="13" x14ac:dyDescent="0.15">
      <c r="A2871" s="72" t="str">
        <f t="shared" si="44"/>
        <v>Ofsted Social Care Provider Webpage</v>
      </c>
      <c r="B2871" s="55" t="s">
        <v>5400</v>
      </c>
      <c r="D2871" s="55" t="s">
        <v>373</v>
      </c>
      <c r="E2871" s="74">
        <v>40261</v>
      </c>
      <c r="F2871" s="55" t="s">
        <v>344</v>
      </c>
      <c r="G2871" s="55" t="s">
        <v>360</v>
      </c>
      <c r="H2871" s="55" t="s">
        <v>360</v>
      </c>
      <c r="I2871" s="55" t="s">
        <v>360</v>
      </c>
      <c r="J2871" s="55" t="s">
        <v>360</v>
      </c>
      <c r="K2871" s="55" t="s">
        <v>360</v>
      </c>
      <c r="L2871" s="55" t="s">
        <v>360</v>
      </c>
      <c r="M2871" s="55" t="s">
        <v>150</v>
      </c>
      <c r="N2871" s="55" t="s">
        <v>150</v>
      </c>
      <c r="O2871" s="55" t="s">
        <v>258</v>
      </c>
      <c r="P2871" s="55" t="s">
        <v>455</v>
      </c>
      <c r="Q2871" s="55" t="s">
        <v>350</v>
      </c>
      <c r="R2871" s="55">
        <v>5</v>
      </c>
      <c r="S2871" s="55"/>
      <c r="T2871" s="55" t="s">
        <v>450</v>
      </c>
    </row>
    <row r="2872" spans="1:20" ht="13" x14ac:dyDescent="0.15">
      <c r="A2872" s="72" t="str">
        <f t="shared" si="44"/>
        <v>Ofsted Social Care Provider Webpage</v>
      </c>
      <c r="B2872" s="55" t="s">
        <v>5401</v>
      </c>
      <c r="D2872" s="55" t="s">
        <v>373</v>
      </c>
      <c r="E2872" s="74">
        <v>40261</v>
      </c>
      <c r="F2872" s="55" t="s">
        <v>344</v>
      </c>
      <c r="G2872" s="55" t="s">
        <v>360</v>
      </c>
      <c r="H2872" s="55" t="s">
        <v>360</v>
      </c>
      <c r="I2872" s="55" t="s">
        <v>360</v>
      </c>
      <c r="J2872" s="55" t="s">
        <v>360</v>
      </c>
      <c r="K2872" s="55" t="s">
        <v>360</v>
      </c>
      <c r="L2872" s="55" t="s">
        <v>360</v>
      </c>
      <c r="M2872" s="55" t="s">
        <v>150</v>
      </c>
      <c r="N2872" s="55" t="s">
        <v>150</v>
      </c>
      <c r="O2872" s="55" t="s">
        <v>258</v>
      </c>
      <c r="P2872" s="55" t="s">
        <v>455</v>
      </c>
      <c r="Q2872" s="55" t="s">
        <v>350</v>
      </c>
      <c r="R2872" s="55">
        <v>6</v>
      </c>
      <c r="S2872" s="55"/>
      <c r="T2872" s="55" t="s">
        <v>450</v>
      </c>
    </row>
    <row r="2873" spans="1:20" ht="13" x14ac:dyDescent="0.15">
      <c r="A2873" s="72" t="str">
        <f t="shared" si="44"/>
        <v>Ofsted Social Care Provider Webpage</v>
      </c>
      <c r="B2873" s="55" t="s">
        <v>5402</v>
      </c>
      <c r="D2873" s="55" t="s">
        <v>373</v>
      </c>
      <c r="E2873" s="74">
        <v>40261</v>
      </c>
      <c r="F2873" s="55" t="s">
        <v>344</v>
      </c>
      <c r="G2873" s="55" t="s">
        <v>360</v>
      </c>
      <c r="H2873" s="55" t="s">
        <v>360</v>
      </c>
      <c r="I2873" s="55" t="s">
        <v>360</v>
      </c>
      <c r="J2873" s="55" t="s">
        <v>360</v>
      </c>
      <c r="K2873" s="55" t="s">
        <v>360</v>
      </c>
      <c r="L2873" s="55" t="s">
        <v>360</v>
      </c>
      <c r="M2873" s="55" t="s">
        <v>150</v>
      </c>
      <c r="N2873" s="55" t="s">
        <v>150</v>
      </c>
      <c r="O2873" s="55" t="s">
        <v>258</v>
      </c>
      <c r="P2873" s="55" t="s">
        <v>455</v>
      </c>
      <c r="Q2873" s="55" t="s">
        <v>350</v>
      </c>
      <c r="R2873" s="55">
        <v>5</v>
      </c>
      <c r="S2873" s="55"/>
      <c r="T2873" s="55" t="s">
        <v>450</v>
      </c>
    </row>
    <row r="2874" spans="1:20" ht="13" x14ac:dyDescent="0.15">
      <c r="A2874" s="72" t="str">
        <f t="shared" si="44"/>
        <v>Ofsted Social Care Provider Webpage</v>
      </c>
      <c r="B2874" s="55" t="s">
        <v>5403</v>
      </c>
      <c r="D2874" s="55" t="s">
        <v>373</v>
      </c>
      <c r="E2874" s="74">
        <v>40416</v>
      </c>
      <c r="F2874" s="55" t="s">
        <v>344</v>
      </c>
      <c r="G2874" s="55" t="s">
        <v>360</v>
      </c>
      <c r="H2874" s="55" t="s">
        <v>360</v>
      </c>
      <c r="I2874" s="55" t="s">
        <v>360</v>
      </c>
      <c r="J2874" s="55" t="s">
        <v>360</v>
      </c>
      <c r="K2874" s="55" t="s">
        <v>360</v>
      </c>
      <c r="L2874" s="55" t="s">
        <v>360</v>
      </c>
      <c r="M2874" s="55" t="s">
        <v>142</v>
      </c>
      <c r="N2874" s="55" t="s">
        <v>142</v>
      </c>
      <c r="O2874" s="55" t="s">
        <v>293</v>
      </c>
      <c r="P2874" s="55" t="s">
        <v>984</v>
      </c>
      <c r="Q2874" s="55" t="s">
        <v>350</v>
      </c>
      <c r="R2874" s="55">
        <v>10</v>
      </c>
      <c r="S2874" s="55"/>
      <c r="T2874" s="55" t="s">
        <v>5404</v>
      </c>
    </row>
    <row r="2875" spans="1:20" ht="13" x14ac:dyDescent="0.15">
      <c r="A2875" s="72" t="str">
        <f t="shared" si="44"/>
        <v>Ofsted Social Care Provider Webpage</v>
      </c>
      <c r="B2875" s="55" t="s">
        <v>5405</v>
      </c>
      <c r="D2875" s="55" t="s">
        <v>373</v>
      </c>
      <c r="E2875" s="74">
        <v>40287</v>
      </c>
      <c r="F2875" s="55" t="s">
        <v>344</v>
      </c>
      <c r="G2875" s="55" t="s">
        <v>360</v>
      </c>
      <c r="H2875" s="55" t="s">
        <v>360</v>
      </c>
      <c r="I2875" s="55" t="s">
        <v>360</v>
      </c>
      <c r="J2875" s="55" t="s">
        <v>360</v>
      </c>
      <c r="K2875" s="55" t="s">
        <v>360</v>
      </c>
      <c r="L2875" s="55" t="s">
        <v>360</v>
      </c>
      <c r="M2875" s="55" t="s">
        <v>142</v>
      </c>
      <c r="N2875" s="55" t="s">
        <v>142</v>
      </c>
      <c r="O2875" s="55" t="s">
        <v>252</v>
      </c>
      <c r="P2875" s="55" t="s">
        <v>386</v>
      </c>
      <c r="Q2875" s="55" t="s">
        <v>350</v>
      </c>
      <c r="R2875" s="55">
        <v>4</v>
      </c>
      <c r="S2875" s="55"/>
      <c r="T2875" s="55" t="s">
        <v>5406</v>
      </c>
    </row>
    <row r="2876" spans="1:20" ht="13" x14ac:dyDescent="0.15">
      <c r="A2876" s="72" t="str">
        <f t="shared" si="44"/>
        <v>Ofsted Social Care Provider Webpage</v>
      </c>
      <c r="B2876" s="55" t="s">
        <v>5407</v>
      </c>
      <c r="D2876" s="55" t="s">
        <v>451</v>
      </c>
      <c r="E2876" s="74">
        <v>40246</v>
      </c>
      <c r="F2876" s="55" t="s">
        <v>344</v>
      </c>
      <c r="G2876" s="55" t="s">
        <v>5408</v>
      </c>
      <c r="H2876" s="55" t="s">
        <v>5409</v>
      </c>
      <c r="I2876" s="55" t="s">
        <v>354</v>
      </c>
      <c r="J2876" s="55" t="s">
        <v>581</v>
      </c>
      <c r="K2876" s="55" t="s">
        <v>255</v>
      </c>
      <c r="L2876" s="55" t="s">
        <v>5410</v>
      </c>
      <c r="M2876" s="55" t="s">
        <v>136</v>
      </c>
      <c r="N2876" s="55" t="s">
        <v>136</v>
      </c>
      <c r="O2876" s="55" t="s">
        <v>255</v>
      </c>
      <c r="P2876" s="55" t="s">
        <v>583</v>
      </c>
      <c r="Q2876" s="55" t="s">
        <v>350</v>
      </c>
      <c r="R2876" s="55">
        <v>5</v>
      </c>
      <c r="S2876" s="55"/>
      <c r="T2876" s="55" t="s">
        <v>4784</v>
      </c>
    </row>
    <row r="2877" spans="1:20" ht="13" x14ac:dyDescent="0.15">
      <c r="A2877" s="72" t="str">
        <f t="shared" si="44"/>
        <v>Ofsted Social Care Provider Webpage</v>
      </c>
      <c r="B2877" s="55" t="s">
        <v>5411</v>
      </c>
      <c r="D2877" s="55" t="s">
        <v>373</v>
      </c>
      <c r="E2877" s="74">
        <v>40234</v>
      </c>
      <c r="F2877" s="55" t="s">
        <v>344</v>
      </c>
      <c r="G2877" s="55" t="s">
        <v>360</v>
      </c>
      <c r="H2877" s="55" t="s">
        <v>360</v>
      </c>
      <c r="I2877" s="55" t="s">
        <v>360</v>
      </c>
      <c r="J2877" s="55" t="s">
        <v>360</v>
      </c>
      <c r="K2877" s="55" t="s">
        <v>360</v>
      </c>
      <c r="L2877" s="55" t="s">
        <v>360</v>
      </c>
      <c r="M2877" s="55" t="s">
        <v>136</v>
      </c>
      <c r="N2877" s="55" t="s">
        <v>136</v>
      </c>
      <c r="O2877" s="55" t="s">
        <v>174</v>
      </c>
      <c r="P2877" s="55" t="s">
        <v>982</v>
      </c>
      <c r="Q2877" s="55" t="s">
        <v>350</v>
      </c>
      <c r="R2877" s="55">
        <v>2</v>
      </c>
      <c r="S2877" s="55"/>
      <c r="T2877" s="55" t="s">
        <v>721</v>
      </c>
    </row>
    <row r="2878" spans="1:20" ht="13" x14ac:dyDescent="0.15">
      <c r="A2878" s="72" t="str">
        <f t="shared" si="44"/>
        <v>Ofsted Social Care Provider Webpage</v>
      </c>
      <c r="B2878" s="55" t="s">
        <v>5412</v>
      </c>
      <c r="D2878" s="55" t="s">
        <v>373</v>
      </c>
      <c r="E2878" s="74">
        <v>40248</v>
      </c>
      <c r="F2878" s="55" t="s">
        <v>344</v>
      </c>
      <c r="G2878" s="55" t="s">
        <v>360</v>
      </c>
      <c r="H2878" s="55" t="s">
        <v>360</v>
      </c>
      <c r="I2878" s="55" t="s">
        <v>360</v>
      </c>
      <c r="J2878" s="55" t="s">
        <v>360</v>
      </c>
      <c r="K2878" s="55" t="s">
        <v>360</v>
      </c>
      <c r="L2878" s="55" t="s">
        <v>360</v>
      </c>
      <c r="M2878" s="55" t="s">
        <v>142</v>
      </c>
      <c r="N2878" s="55" t="s">
        <v>142</v>
      </c>
      <c r="O2878" s="55" t="s">
        <v>265</v>
      </c>
      <c r="P2878" s="55" t="s">
        <v>540</v>
      </c>
      <c r="Q2878" s="55" t="s">
        <v>380</v>
      </c>
      <c r="R2878" s="55">
        <v>2</v>
      </c>
      <c r="S2878" s="55"/>
      <c r="T2878" s="55" t="s">
        <v>1067</v>
      </c>
    </row>
    <row r="2879" spans="1:20" ht="13" x14ac:dyDescent="0.15">
      <c r="A2879" s="72" t="str">
        <f t="shared" si="44"/>
        <v>Ofsted Social Care Provider Webpage</v>
      </c>
      <c r="B2879" s="55" t="s">
        <v>5413</v>
      </c>
      <c r="D2879" s="55" t="s">
        <v>373</v>
      </c>
      <c r="E2879" s="74">
        <v>40280</v>
      </c>
      <c r="F2879" s="55" t="s">
        <v>344</v>
      </c>
      <c r="G2879" s="55" t="s">
        <v>360</v>
      </c>
      <c r="H2879" s="55" t="s">
        <v>360</v>
      </c>
      <c r="I2879" s="55" t="s">
        <v>360</v>
      </c>
      <c r="J2879" s="55" t="s">
        <v>360</v>
      </c>
      <c r="K2879" s="55" t="s">
        <v>360</v>
      </c>
      <c r="L2879" s="55" t="s">
        <v>360</v>
      </c>
      <c r="M2879" s="55" t="s">
        <v>144</v>
      </c>
      <c r="N2879" s="55" t="s">
        <v>144</v>
      </c>
      <c r="O2879" s="55" t="s">
        <v>162</v>
      </c>
      <c r="P2879" s="55" t="s">
        <v>686</v>
      </c>
      <c r="Q2879" s="55" t="s">
        <v>350</v>
      </c>
      <c r="R2879" s="55">
        <v>3</v>
      </c>
      <c r="S2879" s="55"/>
      <c r="T2879" s="55" t="s">
        <v>4819</v>
      </c>
    </row>
    <row r="2880" spans="1:20" ht="13" x14ac:dyDescent="0.15">
      <c r="A2880" s="72" t="str">
        <f t="shared" si="44"/>
        <v>Ofsted Social Care Provider Webpage</v>
      </c>
      <c r="B2880" s="55" t="s">
        <v>5414</v>
      </c>
      <c r="D2880" s="55" t="s">
        <v>373</v>
      </c>
      <c r="E2880" s="74">
        <v>40332</v>
      </c>
      <c r="F2880" s="55" t="s">
        <v>344</v>
      </c>
      <c r="G2880" s="55" t="s">
        <v>360</v>
      </c>
      <c r="H2880" s="55" t="s">
        <v>360</v>
      </c>
      <c r="I2880" s="55" t="s">
        <v>360</v>
      </c>
      <c r="J2880" s="55" t="s">
        <v>360</v>
      </c>
      <c r="K2880" s="55" t="s">
        <v>360</v>
      </c>
      <c r="L2880" s="55" t="s">
        <v>360</v>
      </c>
      <c r="M2880" s="55" t="s">
        <v>150</v>
      </c>
      <c r="N2880" s="55" t="s">
        <v>150</v>
      </c>
      <c r="O2880" s="55" t="s">
        <v>203</v>
      </c>
      <c r="P2880" s="55" t="s">
        <v>593</v>
      </c>
      <c r="Q2880" s="55" t="s">
        <v>350</v>
      </c>
      <c r="R2880" s="55">
        <v>3</v>
      </c>
      <c r="S2880" s="55"/>
      <c r="T2880" s="55" t="s">
        <v>5415</v>
      </c>
    </row>
    <row r="2881" spans="1:20" ht="13" x14ac:dyDescent="0.15">
      <c r="A2881" s="72" t="str">
        <f t="shared" si="44"/>
        <v>Ofsted Social Care Provider Webpage</v>
      </c>
      <c r="B2881" s="55" t="s">
        <v>5416</v>
      </c>
      <c r="D2881" s="55" t="s">
        <v>389</v>
      </c>
      <c r="E2881" s="74">
        <v>40352</v>
      </c>
      <c r="F2881" s="55" t="s">
        <v>344</v>
      </c>
      <c r="G2881" s="55" t="s">
        <v>5417</v>
      </c>
      <c r="H2881" s="55" t="s">
        <v>5418</v>
      </c>
      <c r="I2881" s="55" t="s">
        <v>5419</v>
      </c>
      <c r="J2881" s="55" t="s">
        <v>5420</v>
      </c>
      <c r="K2881" s="55" t="s">
        <v>5421</v>
      </c>
      <c r="L2881" s="55" t="s">
        <v>5422</v>
      </c>
      <c r="M2881" s="55" t="s">
        <v>144</v>
      </c>
      <c r="N2881" s="55" t="s">
        <v>144</v>
      </c>
      <c r="O2881" s="55" t="s">
        <v>163</v>
      </c>
      <c r="P2881" s="55" t="s">
        <v>614</v>
      </c>
      <c r="Q2881" s="55" t="s">
        <v>350</v>
      </c>
      <c r="R2881" s="55"/>
      <c r="S2881" s="55"/>
      <c r="T2881" s="55" t="s">
        <v>5423</v>
      </c>
    </row>
    <row r="2882" spans="1:20" ht="13" x14ac:dyDescent="0.15">
      <c r="A2882" s="72" t="str">
        <f t="shared" si="44"/>
        <v>Ofsted Social Care Provider Webpage</v>
      </c>
      <c r="B2882" s="55" t="s">
        <v>5424</v>
      </c>
      <c r="D2882" s="55" t="s">
        <v>373</v>
      </c>
      <c r="E2882" s="74">
        <v>40318</v>
      </c>
      <c r="F2882" s="55" t="s">
        <v>344</v>
      </c>
      <c r="G2882" s="55" t="s">
        <v>360</v>
      </c>
      <c r="H2882" s="55" t="s">
        <v>360</v>
      </c>
      <c r="I2882" s="55" t="s">
        <v>360</v>
      </c>
      <c r="J2882" s="55" t="s">
        <v>360</v>
      </c>
      <c r="K2882" s="55" t="s">
        <v>360</v>
      </c>
      <c r="L2882" s="55" t="s">
        <v>360</v>
      </c>
      <c r="M2882" s="55" t="s">
        <v>150</v>
      </c>
      <c r="N2882" s="55" t="s">
        <v>150</v>
      </c>
      <c r="O2882" s="55" t="s">
        <v>190</v>
      </c>
      <c r="P2882" s="55" t="s">
        <v>936</v>
      </c>
      <c r="Q2882" s="55" t="s">
        <v>350</v>
      </c>
      <c r="R2882" s="55">
        <v>7</v>
      </c>
      <c r="S2882" s="55"/>
      <c r="T2882" s="55" t="s">
        <v>450</v>
      </c>
    </row>
    <row r="2883" spans="1:20" ht="13" x14ac:dyDescent="0.15">
      <c r="A2883" s="72" t="str">
        <f t="shared" si="44"/>
        <v>Ofsted Social Care Provider Webpage</v>
      </c>
      <c r="B2883" s="55" t="s">
        <v>5425</v>
      </c>
      <c r="D2883" s="55" t="s">
        <v>373</v>
      </c>
      <c r="E2883" s="74">
        <v>40330</v>
      </c>
      <c r="F2883" s="55" t="s">
        <v>344</v>
      </c>
      <c r="G2883" s="55" t="s">
        <v>360</v>
      </c>
      <c r="H2883" s="55" t="s">
        <v>360</v>
      </c>
      <c r="I2883" s="55" t="s">
        <v>360</v>
      </c>
      <c r="J2883" s="55" t="s">
        <v>360</v>
      </c>
      <c r="K2883" s="55" t="s">
        <v>360</v>
      </c>
      <c r="L2883" s="55" t="s">
        <v>360</v>
      </c>
      <c r="M2883" s="55" t="s">
        <v>378</v>
      </c>
      <c r="N2883" s="55" t="s">
        <v>170</v>
      </c>
      <c r="O2883" s="55" t="s">
        <v>243</v>
      </c>
      <c r="P2883" s="55" t="s">
        <v>1222</v>
      </c>
      <c r="Q2883" s="55" t="s">
        <v>350</v>
      </c>
      <c r="R2883" s="55">
        <v>4</v>
      </c>
      <c r="S2883" s="55"/>
      <c r="T2883" s="55" t="s">
        <v>5426</v>
      </c>
    </row>
    <row r="2884" spans="1:20" ht="13" x14ac:dyDescent="0.15">
      <c r="A2884" s="72" t="str">
        <f t="shared" si="44"/>
        <v>Ofsted Social Care Provider Webpage</v>
      </c>
      <c r="B2884" s="55" t="s">
        <v>5427</v>
      </c>
      <c r="D2884" s="55" t="s">
        <v>373</v>
      </c>
      <c r="E2884" s="74">
        <v>40298</v>
      </c>
      <c r="F2884" s="55" t="s">
        <v>344</v>
      </c>
      <c r="G2884" s="55" t="s">
        <v>360</v>
      </c>
      <c r="H2884" s="55" t="s">
        <v>360</v>
      </c>
      <c r="I2884" s="55" t="s">
        <v>360</v>
      </c>
      <c r="J2884" s="55" t="s">
        <v>360</v>
      </c>
      <c r="K2884" s="55" t="s">
        <v>360</v>
      </c>
      <c r="L2884" s="55" t="s">
        <v>360</v>
      </c>
      <c r="M2884" s="55" t="s">
        <v>138</v>
      </c>
      <c r="N2884" s="55" t="s">
        <v>138</v>
      </c>
      <c r="O2884" s="55" t="s">
        <v>266</v>
      </c>
      <c r="P2884" s="55" t="s">
        <v>449</v>
      </c>
      <c r="Q2884" s="55" t="s">
        <v>350</v>
      </c>
      <c r="R2884" s="55">
        <v>6</v>
      </c>
      <c r="S2884" s="55"/>
      <c r="T2884" s="55" t="s">
        <v>1527</v>
      </c>
    </row>
    <row r="2885" spans="1:20" ht="13" x14ac:dyDescent="0.15">
      <c r="A2885" s="72" t="str">
        <f t="shared" ref="A2885:A2948" si="45">HYPERLINK(_xlfn.CONCAT("http://reports.ofsted.gov.uk/inspection-reports/find-inspection-report/provider/CARE/",B2885),"Ofsted Social Care Provider Webpage")</f>
        <v>Ofsted Social Care Provider Webpage</v>
      </c>
      <c r="B2885" s="55" t="s">
        <v>5428</v>
      </c>
      <c r="D2885" s="55" t="s">
        <v>389</v>
      </c>
      <c r="E2885" s="74">
        <v>40359</v>
      </c>
      <c r="F2885" s="55" t="s">
        <v>344</v>
      </c>
      <c r="G2885" s="55" t="s">
        <v>5429</v>
      </c>
      <c r="H2885" s="55" t="s">
        <v>5430</v>
      </c>
      <c r="I2885" s="55" t="s">
        <v>354</v>
      </c>
      <c r="J2885" s="55" t="s">
        <v>5431</v>
      </c>
      <c r="K2885" s="55" t="s">
        <v>282</v>
      </c>
      <c r="L2885" s="55" t="s">
        <v>5432</v>
      </c>
      <c r="M2885" s="55" t="s">
        <v>142</v>
      </c>
      <c r="N2885" s="55" t="s">
        <v>142</v>
      </c>
      <c r="O2885" s="55" t="s">
        <v>282</v>
      </c>
      <c r="P2885" s="55" t="s">
        <v>3266</v>
      </c>
      <c r="Q2885" s="55" t="s">
        <v>350</v>
      </c>
      <c r="R2885" s="55"/>
      <c r="S2885" s="55"/>
      <c r="T2885" s="55" t="s">
        <v>5433</v>
      </c>
    </row>
    <row r="2886" spans="1:20" ht="13" x14ac:dyDescent="0.15">
      <c r="A2886" s="72" t="str">
        <f t="shared" si="45"/>
        <v>Ofsted Social Care Provider Webpage</v>
      </c>
      <c r="B2886" s="55" t="s">
        <v>5434</v>
      </c>
      <c r="D2886" s="55" t="s">
        <v>373</v>
      </c>
      <c r="E2886" s="74">
        <v>40268</v>
      </c>
      <c r="F2886" s="55" t="s">
        <v>344</v>
      </c>
      <c r="G2886" s="55" t="s">
        <v>360</v>
      </c>
      <c r="H2886" s="55" t="s">
        <v>360</v>
      </c>
      <c r="I2886" s="55" t="s">
        <v>360</v>
      </c>
      <c r="J2886" s="55" t="s">
        <v>360</v>
      </c>
      <c r="K2886" s="55" t="s">
        <v>360</v>
      </c>
      <c r="L2886" s="55" t="s">
        <v>360</v>
      </c>
      <c r="M2886" s="55" t="s">
        <v>138</v>
      </c>
      <c r="N2886" s="55" t="s">
        <v>138</v>
      </c>
      <c r="O2886" s="55" t="s">
        <v>137</v>
      </c>
      <c r="P2886" s="55" t="s">
        <v>137</v>
      </c>
      <c r="Q2886" s="55" t="s">
        <v>380</v>
      </c>
      <c r="R2886" s="55">
        <v>5</v>
      </c>
      <c r="S2886" s="55"/>
      <c r="T2886" s="55" t="s">
        <v>5435</v>
      </c>
    </row>
    <row r="2887" spans="1:20" ht="13" x14ac:dyDescent="0.15">
      <c r="A2887" s="72" t="str">
        <f t="shared" si="45"/>
        <v>Ofsted Social Care Provider Webpage</v>
      </c>
      <c r="B2887" s="55" t="s">
        <v>5436</v>
      </c>
      <c r="D2887" s="55" t="s">
        <v>373</v>
      </c>
      <c r="E2887" s="74">
        <v>40268</v>
      </c>
      <c r="F2887" s="55" t="s">
        <v>344</v>
      </c>
      <c r="G2887" s="55" t="s">
        <v>360</v>
      </c>
      <c r="H2887" s="55" t="s">
        <v>360</v>
      </c>
      <c r="I2887" s="55" t="s">
        <v>360</v>
      </c>
      <c r="J2887" s="55" t="s">
        <v>360</v>
      </c>
      <c r="K2887" s="55" t="s">
        <v>360</v>
      </c>
      <c r="L2887" s="55" t="s">
        <v>360</v>
      </c>
      <c r="M2887" s="55" t="s">
        <v>138</v>
      </c>
      <c r="N2887" s="55" t="s">
        <v>138</v>
      </c>
      <c r="O2887" s="55" t="s">
        <v>137</v>
      </c>
      <c r="P2887" s="55" t="s">
        <v>137</v>
      </c>
      <c r="Q2887" s="55" t="s">
        <v>380</v>
      </c>
      <c r="R2887" s="55">
        <v>7</v>
      </c>
      <c r="S2887" s="55" t="s">
        <v>332</v>
      </c>
      <c r="T2887" s="55" t="s">
        <v>5435</v>
      </c>
    </row>
    <row r="2888" spans="1:20" ht="13" x14ac:dyDescent="0.15">
      <c r="A2888" s="72" t="str">
        <f t="shared" si="45"/>
        <v>Ofsted Social Care Provider Webpage</v>
      </c>
      <c r="B2888" s="55" t="s">
        <v>5437</v>
      </c>
      <c r="D2888" s="55" t="s">
        <v>373</v>
      </c>
      <c r="E2888" s="74">
        <v>40350</v>
      </c>
      <c r="F2888" s="55" t="s">
        <v>344</v>
      </c>
      <c r="G2888" s="55" t="s">
        <v>360</v>
      </c>
      <c r="H2888" s="55" t="s">
        <v>360</v>
      </c>
      <c r="I2888" s="55" t="s">
        <v>360</v>
      </c>
      <c r="J2888" s="55" t="s">
        <v>360</v>
      </c>
      <c r="K2888" s="55" t="s">
        <v>360</v>
      </c>
      <c r="L2888" s="55" t="s">
        <v>360</v>
      </c>
      <c r="M2888" s="55" t="s">
        <v>144</v>
      </c>
      <c r="N2888" s="55" t="s">
        <v>144</v>
      </c>
      <c r="O2888" s="55" t="s">
        <v>207</v>
      </c>
      <c r="P2888" s="55" t="s">
        <v>207</v>
      </c>
      <c r="Q2888" s="55" t="s">
        <v>362</v>
      </c>
      <c r="R2888" s="55">
        <v>4</v>
      </c>
      <c r="S2888" s="55"/>
      <c r="T2888" s="55" t="s">
        <v>5438</v>
      </c>
    </row>
    <row r="2889" spans="1:20" ht="13" x14ac:dyDescent="0.15">
      <c r="A2889" s="72" t="str">
        <f t="shared" si="45"/>
        <v>Ofsted Social Care Provider Webpage</v>
      </c>
      <c r="B2889" s="55" t="s">
        <v>5439</v>
      </c>
      <c r="D2889" s="55" t="s">
        <v>373</v>
      </c>
      <c r="E2889" s="74">
        <v>40336</v>
      </c>
      <c r="F2889" s="55" t="s">
        <v>344</v>
      </c>
      <c r="G2889" s="55" t="s">
        <v>360</v>
      </c>
      <c r="H2889" s="55" t="s">
        <v>360</v>
      </c>
      <c r="I2889" s="55" t="s">
        <v>360</v>
      </c>
      <c r="J2889" s="55" t="s">
        <v>360</v>
      </c>
      <c r="K2889" s="55" t="s">
        <v>360</v>
      </c>
      <c r="L2889" s="55" t="s">
        <v>360</v>
      </c>
      <c r="M2889" s="55" t="s">
        <v>129</v>
      </c>
      <c r="N2889" s="55" t="s">
        <v>129</v>
      </c>
      <c r="O2889" s="55" t="s">
        <v>198</v>
      </c>
      <c r="P2889" s="55" t="s">
        <v>4550</v>
      </c>
      <c r="Q2889" s="55" t="s">
        <v>350</v>
      </c>
      <c r="R2889" s="55">
        <v>4</v>
      </c>
      <c r="S2889" s="55"/>
      <c r="T2889" s="55" t="s">
        <v>5440</v>
      </c>
    </row>
    <row r="2890" spans="1:20" ht="13" x14ac:dyDescent="0.15">
      <c r="A2890" s="72" t="str">
        <f t="shared" si="45"/>
        <v>Ofsted Social Care Provider Webpage</v>
      </c>
      <c r="B2890" s="55" t="s">
        <v>5441</v>
      </c>
      <c r="D2890" s="55" t="s">
        <v>373</v>
      </c>
      <c r="E2890" s="74">
        <v>40378</v>
      </c>
      <c r="F2890" s="55" t="s">
        <v>344</v>
      </c>
      <c r="G2890" s="55" t="s">
        <v>360</v>
      </c>
      <c r="H2890" s="55" t="s">
        <v>360</v>
      </c>
      <c r="I2890" s="55" t="s">
        <v>360</v>
      </c>
      <c r="J2890" s="55" t="s">
        <v>360</v>
      </c>
      <c r="K2890" s="55" t="s">
        <v>360</v>
      </c>
      <c r="L2890" s="55" t="s">
        <v>360</v>
      </c>
      <c r="M2890" s="55" t="s">
        <v>142</v>
      </c>
      <c r="N2890" s="55" t="s">
        <v>142</v>
      </c>
      <c r="O2890" s="55" t="s">
        <v>141</v>
      </c>
      <c r="P2890" s="55" t="s">
        <v>573</v>
      </c>
      <c r="Q2890" s="55" t="s">
        <v>350</v>
      </c>
      <c r="R2890" s="55">
        <v>3</v>
      </c>
      <c r="S2890" s="55"/>
      <c r="T2890" s="55" t="s">
        <v>727</v>
      </c>
    </row>
    <row r="2891" spans="1:20" ht="13" x14ac:dyDescent="0.15">
      <c r="A2891" s="72" t="str">
        <f t="shared" si="45"/>
        <v>Ofsted Social Care Provider Webpage</v>
      </c>
      <c r="B2891" s="55" t="s">
        <v>5442</v>
      </c>
      <c r="D2891" s="55" t="s">
        <v>373</v>
      </c>
      <c r="E2891" s="74">
        <v>40358</v>
      </c>
      <c r="F2891" s="55" t="s">
        <v>344</v>
      </c>
      <c r="G2891" s="55" t="s">
        <v>360</v>
      </c>
      <c r="H2891" s="55" t="s">
        <v>360</v>
      </c>
      <c r="I2891" s="55" t="s">
        <v>360</v>
      </c>
      <c r="J2891" s="55" t="s">
        <v>360</v>
      </c>
      <c r="K2891" s="55" t="s">
        <v>360</v>
      </c>
      <c r="L2891" s="55" t="s">
        <v>360</v>
      </c>
      <c r="M2891" s="55" t="s">
        <v>142</v>
      </c>
      <c r="N2891" s="55" t="s">
        <v>142</v>
      </c>
      <c r="O2891" s="55" t="s">
        <v>141</v>
      </c>
      <c r="P2891" s="55" t="s">
        <v>1226</v>
      </c>
      <c r="Q2891" s="55" t="s">
        <v>350</v>
      </c>
      <c r="R2891" s="55">
        <v>3</v>
      </c>
      <c r="S2891" s="55"/>
      <c r="T2891" s="55" t="s">
        <v>727</v>
      </c>
    </row>
    <row r="2892" spans="1:20" ht="13" x14ac:dyDescent="0.15">
      <c r="A2892" s="72" t="str">
        <f t="shared" si="45"/>
        <v>Ofsted Social Care Provider Webpage</v>
      </c>
      <c r="B2892" s="55" t="s">
        <v>5443</v>
      </c>
      <c r="D2892" s="55" t="s">
        <v>373</v>
      </c>
      <c r="E2892" s="74">
        <v>40358</v>
      </c>
      <c r="F2892" s="55" t="s">
        <v>344</v>
      </c>
      <c r="G2892" s="55" t="s">
        <v>360</v>
      </c>
      <c r="H2892" s="55" t="s">
        <v>360</v>
      </c>
      <c r="I2892" s="55" t="s">
        <v>360</v>
      </c>
      <c r="J2892" s="55" t="s">
        <v>360</v>
      </c>
      <c r="K2892" s="55" t="s">
        <v>360</v>
      </c>
      <c r="L2892" s="55" t="s">
        <v>360</v>
      </c>
      <c r="M2892" s="55" t="s">
        <v>142</v>
      </c>
      <c r="N2892" s="55" t="s">
        <v>142</v>
      </c>
      <c r="O2892" s="55" t="s">
        <v>141</v>
      </c>
      <c r="P2892" s="55" t="s">
        <v>573</v>
      </c>
      <c r="Q2892" s="55" t="s">
        <v>350</v>
      </c>
      <c r="R2892" s="55">
        <v>3</v>
      </c>
      <c r="S2892" s="55"/>
      <c r="T2892" s="55" t="s">
        <v>727</v>
      </c>
    </row>
    <row r="2893" spans="1:20" ht="13" x14ac:dyDescent="0.15">
      <c r="A2893" s="72" t="str">
        <f t="shared" si="45"/>
        <v>Ofsted Social Care Provider Webpage</v>
      </c>
      <c r="B2893" s="55" t="s">
        <v>5444</v>
      </c>
      <c r="D2893" s="55" t="s">
        <v>373</v>
      </c>
      <c r="E2893" s="74">
        <v>40387</v>
      </c>
      <c r="F2893" s="55" t="s">
        <v>344</v>
      </c>
      <c r="G2893" s="55" t="s">
        <v>360</v>
      </c>
      <c r="H2893" s="55" t="s">
        <v>360</v>
      </c>
      <c r="I2893" s="55" t="s">
        <v>360</v>
      </c>
      <c r="J2893" s="55" t="s">
        <v>360</v>
      </c>
      <c r="K2893" s="55" t="s">
        <v>360</v>
      </c>
      <c r="L2893" s="55" t="s">
        <v>360</v>
      </c>
      <c r="M2893" s="55" t="s">
        <v>142</v>
      </c>
      <c r="N2893" s="55" t="s">
        <v>142</v>
      </c>
      <c r="O2893" s="55" t="s">
        <v>141</v>
      </c>
      <c r="P2893" s="55" t="s">
        <v>573</v>
      </c>
      <c r="Q2893" s="55" t="s">
        <v>350</v>
      </c>
      <c r="R2893" s="55">
        <v>2</v>
      </c>
      <c r="S2893" s="55"/>
      <c r="T2893" s="55" t="s">
        <v>727</v>
      </c>
    </row>
    <row r="2894" spans="1:20" ht="13" x14ac:dyDescent="0.15">
      <c r="A2894" s="72" t="str">
        <f t="shared" si="45"/>
        <v>Ofsted Social Care Provider Webpage</v>
      </c>
      <c r="B2894" s="55" t="s">
        <v>5445</v>
      </c>
      <c r="D2894" s="55" t="s">
        <v>373</v>
      </c>
      <c r="E2894" s="74">
        <v>40336</v>
      </c>
      <c r="F2894" s="55" t="s">
        <v>344</v>
      </c>
      <c r="G2894" s="55" t="s">
        <v>360</v>
      </c>
      <c r="H2894" s="55" t="s">
        <v>360</v>
      </c>
      <c r="I2894" s="55" t="s">
        <v>360</v>
      </c>
      <c r="J2894" s="55" t="s">
        <v>360</v>
      </c>
      <c r="K2894" s="55" t="s">
        <v>360</v>
      </c>
      <c r="L2894" s="55" t="s">
        <v>360</v>
      </c>
      <c r="M2894" s="55" t="s">
        <v>144</v>
      </c>
      <c r="N2894" s="55" t="s">
        <v>144</v>
      </c>
      <c r="O2894" s="55" t="s">
        <v>245</v>
      </c>
      <c r="P2894" s="55" t="s">
        <v>1796</v>
      </c>
      <c r="Q2894" s="55" t="s">
        <v>350</v>
      </c>
      <c r="R2894" s="55">
        <v>3</v>
      </c>
      <c r="S2894" s="55"/>
      <c r="T2894" s="55" t="s">
        <v>613</v>
      </c>
    </row>
    <row r="2895" spans="1:20" ht="13" x14ac:dyDescent="0.15">
      <c r="A2895" s="72" t="str">
        <f t="shared" si="45"/>
        <v>Ofsted Social Care Provider Webpage</v>
      </c>
      <c r="B2895" s="55" t="s">
        <v>5446</v>
      </c>
      <c r="D2895" s="55" t="s">
        <v>373</v>
      </c>
      <c r="E2895" s="74">
        <v>40385</v>
      </c>
      <c r="F2895" s="55" t="s">
        <v>344</v>
      </c>
      <c r="G2895" s="55" t="s">
        <v>360</v>
      </c>
      <c r="H2895" s="55" t="s">
        <v>360</v>
      </c>
      <c r="I2895" s="55" t="s">
        <v>360</v>
      </c>
      <c r="J2895" s="55" t="s">
        <v>360</v>
      </c>
      <c r="K2895" s="55" t="s">
        <v>360</v>
      </c>
      <c r="L2895" s="55" t="s">
        <v>360</v>
      </c>
      <c r="M2895" s="55" t="s">
        <v>144</v>
      </c>
      <c r="N2895" s="55" t="s">
        <v>144</v>
      </c>
      <c r="O2895" s="55" t="s">
        <v>209</v>
      </c>
      <c r="P2895" s="55" t="s">
        <v>650</v>
      </c>
      <c r="Q2895" s="55" t="s">
        <v>350</v>
      </c>
      <c r="R2895" s="55">
        <v>3</v>
      </c>
      <c r="S2895" s="55"/>
      <c r="T2895" s="55" t="s">
        <v>4468</v>
      </c>
    </row>
    <row r="2896" spans="1:20" ht="13" x14ac:dyDescent="0.15">
      <c r="A2896" s="72" t="str">
        <f t="shared" si="45"/>
        <v>Ofsted Social Care Provider Webpage</v>
      </c>
      <c r="B2896" s="55" t="s">
        <v>5447</v>
      </c>
      <c r="D2896" s="55" t="s">
        <v>373</v>
      </c>
      <c r="E2896" s="74">
        <v>40336</v>
      </c>
      <c r="F2896" s="55" t="s">
        <v>344</v>
      </c>
      <c r="G2896" s="55" t="s">
        <v>360</v>
      </c>
      <c r="H2896" s="55" t="s">
        <v>360</v>
      </c>
      <c r="I2896" s="55" t="s">
        <v>360</v>
      </c>
      <c r="J2896" s="55" t="s">
        <v>360</v>
      </c>
      <c r="K2896" s="55" t="s">
        <v>360</v>
      </c>
      <c r="L2896" s="55" t="s">
        <v>360</v>
      </c>
      <c r="M2896" s="55" t="s">
        <v>142</v>
      </c>
      <c r="N2896" s="55" t="s">
        <v>142</v>
      </c>
      <c r="O2896" s="55" t="s">
        <v>265</v>
      </c>
      <c r="P2896" s="55" t="s">
        <v>1066</v>
      </c>
      <c r="Q2896" s="55" t="s">
        <v>350</v>
      </c>
      <c r="R2896" s="55">
        <v>1</v>
      </c>
      <c r="S2896" s="55"/>
      <c r="T2896" s="55" t="s">
        <v>910</v>
      </c>
    </row>
    <row r="2897" spans="1:20" ht="13" x14ac:dyDescent="0.15">
      <c r="A2897" s="72" t="str">
        <f t="shared" si="45"/>
        <v>Ofsted Social Care Provider Webpage</v>
      </c>
      <c r="B2897" s="55" t="s">
        <v>5448</v>
      </c>
      <c r="D2897" s="55" t="s">
        <v>373</v>
      </c>
      <c r="E2897" s="74">
        <v>40332</v>
      </c>
      <c r="F2897" s="55" t="s">
        <v>344</v>
      </c>
      <c r="G2897" s="55" t="s">
        <v>360</v>
      </c>
      <c r="H2897" s="55" t="s">
        <v>360</v>
      </c>
      <c r="I2897" s="55" t="s">
        <v>360</v>
      </c>
      <c r="J2897" s="55" t="s">
        <v>360</v>
      </c>
      <c r="K2897" s="55" t="s">
        <v>360</v>
      </c>
      <c r="L2897" s="55" t="s">
        <v>360</v>
      </c>
      <c r="M2897" s="55" t="s">
        <v>142</v>
      </c>
      <c r="N2897" s="55" t="s">
        <v>142</v>
      </c>
      <c r="O2897" s="55" t="s">
        <v>252</v>
      </c>
      <c r="P2897" s="55" t="s">
        <v>386</v>
      </c>
      <c r="Q2897" s="55" t="s">
        <v>350</v>
      </c>
      <c r="R2897" s="55">
        <v>1</v>
      </c>
      <c r="S2897" s="55"/>
      <c r="T2897" s="55" t="s">
        <v>1260</v>
      </c>
    </row>
    <row r="2898" spans="1:20" ht="13" x14ac:dyDescent="0.15">
      <c r="A2898" s="72" t="str">
        <f t="shared" si="45"/>
        <v>Ofsted Social Care Provider Webpage</v>
      </c>
      <c r="B2898" s="55" t="s">
        <v>5449</v>
      </c>
      <c r="C2898" s="55">
        <v>139686</v>
      </c>
      <c r="D2898" s="55" t="s">
        <v>398</v>
      </c>
      <c r="E2898" s="74">
        <v>40291</v>
      </c>
      <c r="F2898" s="55" t="s">
        <v>344</v>
      </c>
      <c r="G2898" s="55" t="s">
        <v>5450</v>
      </c>
      <c r="H2898" s="55" t="s">
        <v>5451</v>
      </c>
      <c r="I2898" s="55" t="s">
        <v>354</v>
      </c>
      <c r="J2898" s="55" t="s">
        <v>215</v>
      </c>
      <c r="K2898" s="55" t="s">
        <v>1339</v>
      </c>
      <c r="L2898" s="55" t="s">
        <v>5452</v>
      </c>
      <c r="M2898" s="55" t="s">
        <v>144</v>
      </c>
      <c r="N2898" s="55" t="s">
        <v>144</v>
      </c>
      <c r="O2898" s="55" t="s">
        <v>215</v>
      </c>
      <c r="P2898" s="55" t="s">
        <v>1207</v>
      </c>
      <c r="Q2898" s="55" t="s">
        <v>420</v>
      </c>
      <c r="R2898" s="55">
        <v>15</v>
      </c>
      <c r="S2898" s="55"/>
      <c r="T2898" s="55" t="s">
        <v>5453</v>
      </c>
    </row>
    <row r="2899" spans="1:20" ht="13" x14ac:dyDescent="0.15">
      <c r="A2899" s="72" t="str">
        <f t="shared" si="45"/>
        <v>Ofsted Social Care Provider Webpage</v>
      </c>
      <c r="B2899" s="55" t="s">
        <v>5454</v>
      </c>
      <c r="D2899" s="55" t="s">
        <v>373</v>
      </c>
      <c r="E2899" s="74">
        <v>40346</v>
      </c>
      <c r="F2899" s="55" t="s">
        <v>344</v>
      </c>
      <c r="G2899" s="55" t="s">
        <v>360</v>
      </c>
      <c r="H2899" s="55" t="s">
        <v>360</v>
      </c>
      <c r="I2899" s="55" t="s">
        <v>360</v>
      </c>
      <c r="J2899" s="55" t="s">
        <v>360</v>
      </c>
      <c r="K2899" s="55" t="s">
        <v>360</v>
      </c>
      <c r="L2899" s="55" t="s">
        <v>360</v>
      </c>
      <c r="M2899" s="55" t="s">
        <v>150</v>
      </c>
      <c r="N2899" s="55" t="s">
        <v>150</v>
      </c>
      <c r="O2899" s="55" t="s">
        <v>291</v>
      </c>
      <c r="P2899" s="55" t="s">
        <v>1756</v>
      </c>
      <c r="Q2899" s="55" t="s">
        <v>350</v>
      </c>
      <c r="R2899" s="55">
        <v>3</v>
      </c>
      <c r="S2899" s="55"/>
      <c r="T2899" s="55" t="s">
        <v>755</v>
      </c>
    </row>
    <row r="2900" spans="1:20" ht="13" x14ac:dyDescent="0.15">
      <c r="A2900" s="72" t="str">
        <f t="shared" si="45"/>
        <v>Ofsted Social Care Provider Webpage</v>
      </c>
      <c r="B2900" s="55" t="s">
        <v>5455</v>
      </c>
      <c r="D2900" s="55" t="s">
        <v>443</v>
      </c>
      <c r="E2900" s="74">
        <v>40387</v>
      </c>
      <c r="F2900" s="55" t="s">
        <v>344</v>
      </c>
      <c r="G2900" s="55" t="s">
        <v>5456</v>
      </c>
      <c r="H2900" s="55" t="s">
        <v>5457</v>
      </c>
      <c r="I2900" s="55" t="s">
        <v>5458</v>
      </c>
      <c r="J2900" s="55" t="s">
        <v>5459</v>
      </c>
      <c r="L2900" s="55" t="s">
        <v>5460</v>
      </c>
      <c r="M2900" s="55" t="s">
        <v>144</v>
      </c>
      <c r="N2900" s="55" t="s">
        <v>144</v>
      </c>
      <c r="O2900" s="55" t="s">
        <v>248</v>
      </c>
      <c r="P2900" s="55" t="s">
        <v>439</v>
      </c>
      <c r="Q2900" s="55" t="s">
        <v>362</v>
      </c>
      <c r="R2900" s="55"/>
      <c r="S2900" s="55"/>
      <c r="T2900" s="55" t="s">
        <v>5457</v>
      </c>
    </row>
    <row r="2901" spans="1:20" ht="13" x14ac:dyDescent="0.15">
      <c r="A2901" s="72" t="str">
        <f t="shared" si="45"/>
        <v>Ofsted Social Care Provider Webpage</v>
      </c>
      <c r="B2901" s="55" t="s">
        <v>5461</v>
      </c>
      <c r="D2901" s="55" t="s">
        <v>373</v>
      </c>
      <c r="E2901" s="74">
        <v>40346</v>
      </c>
      <c r="F2901" s="55" t="s">
        <v>344</v>
      </c>
      <c r="G2901" s="55" t="s">
        <v>360</v>
      </c>
      <c r="H2901" s="55" t="s">
        <v>360</v>
      </c>
      <c r="I2901" s="55" t="s">
        <v>360</v>
      </c>
      <c r="J2901" s="55" t="s">
        <v>360</v>
      </c>
      <c r="K2901" s="55" t="s">
        <v>360</v>
      </c>
      <c r="L2901" s="55" t="s">
        <v>360</v>
      </c>
      <c r="M2901" s="55" t="s">
        <v>144</v>
      </c>
      <c r="N2901" s="55" t="s">
        <v>144</v>
      </c>
      <c r="O2901" s="55" t="s">
        <v>287</v>
      </c>
      <c r="P2901" s="55" t="s">
        <v>1103</v>
      </c>
      <c r="Q2901" s="55" t="s">
        <v>350</v>
      </c>
      <c r="R2901" s="55">
        <v>2</v>
      </c>
      <c r="S2901" s="55"/>
      <c r="T2901" s="55" t="s">
        <v>513</v>
      </c>
    </row>
    <row r="2902" spans="1:20" ht="13" x14ac:dyDescent="0.15">
      <c r="A2902" s="72" t="str">
        <f t="shared" si="45"/>
        <v>Ofsted Social Care Provider Webpage</v>
      </c>
      <c r="B2902" s="55" t="s">
        <v>5462</v>
      </c>
      <c r="D2902" s="55" t="s">
        <v>373</v>
      </c>
      <c r="E2902" s="74">
        <v>40570</v>
      </c>
      <c r="F2902" s="55" t="s">
        <v>344</v>
      </c>
      <c r="G2902" s="55" t="s">
        <v>360</v>
      </c>
      <c r="H2902" s="55" t="s">
        <v>360</v>
      </c>
      <c r="I2902" s="55" t="s">
        <v>360</v>
      </c>
      <c r="J2902" s="55" t="s">
        <v>360</v>
      </c>
      <c r="K2902" s="55" t="s">
        <v>360</v>
      </c>
      <c r="L2902" s="55" t="s">
        <v>360</v>
      </c>
      <c r="M2902" s="55" t="s">
        <v>129</v>
      </c>
      <c r="N2902" s="55" t="s">
        <v>129</v>
      </c>
      <c r="O2902" s="55" t="s">
        <v>242</v>
      </c>
      <c r="P2902" s="55" t="s">
        <v>1192</v>
      </c>
      <c r="Q2902" s="55" t="s">
        <v>350</v>
      </c>
      <c r="R2902" s="55">
        <v>4</v>
      </c>
      <c r="S2902" s="55"/>
      <c r="T2902" s="55" t="s">
        <v>5463</v>
      </c>
    </row>
    <row r="2903" spans="1:20" ht="13" x14ac:dyDescent="0.15">
      <c r="A2903" s="72" t="str">
        <f t="shared" si="45"/>
        <v>Ofsted Social Care Provider Webpage</v>
      </c>
      <c r="B2903" s="55" t="s">
        <v>5464</v>
      </c>
      <c r="D2903" s="55" t="s">
        <v>373</v>
      </c>
      <c r="E2903" s="74">
        <v>40377</v>
      </c>
      <c r="F2903" s="55" t="s">
        <v>344</v>
      </c>
      <c r="G2903" s="55" t="s">
        <v>360</v>
      </c>
      <c r="H2903" s="55" t="s">
        <v>360</v>
      </c>
      <c r="I2903" s="55" t="s">
        <v>360</v>
      </c>
      <c r="J2903" s="55" t="s">
        <v>360</v>
      </c>
      <c r="K2903" s="55" t="s">
        <v>360</v>
      </c>
      <c r="L2903" s="55" t="s">
        <v>360</v>
      </c>
      <c r="M2903" s="55" t="s">
        <v>142</v>
      </c>
      <c r="N2903" s="55" t="s">
        <v>142</v>
      </c>
      <c r="O2903" s="55" t="s">
        <v>141</v>
      </c>
      <c r="P2903" s="55" t="s">
        <v>1226</v>
      </c>
      <c r="Q2903" s="55" t="s">
        <v>350</v>
      </c>
      <c r="R2903" s="55">
        <v>4</v>
      </c>
      <c r="S2903" s="55"/>
      <c r="T2903" s="55" t="s">
        <v>385</v>
      </c>
    </row>
    <row r="2904" spans="1:20" ht="13" x14ac:dyDescent="0.15">
      <c r="A2904" s="72" t="str">
        <f t="shared" si="45"/>
        <v>Ofsted Social Care Provider Webpage</v>
      </c>
      <c r="B2904" s="55" t="s">
        <v>5465</v>
      </c>
      <c r="D2904" s="55" t="s">
        <v>373</v>
      </c>
      <c r="E2904" s="74">
        <v>40497</v>
      </c>
      <c r="F2904" s="55" t="s">
        <v>344</v>
      </c>
      <c r="G2904" s="55" t="s">
        <v>360</v>
      </c>
      <c r="H2904" s="55" t="s">
        <v>360</v>
      </c>
      <c r="I2904" s="55" t="s">
        <v>360</v>
      </c>
      <c r="J2904" s="55" t="s">
        <v>360</v>
      </c>
      <c r="K2904" s="55" t="s">
        <v>360</v>
      </c>
      <c r="L2904" s="55" t="s">
        <v>360</v>
      </c>
      <c r="M2904" s="55" t="s">
        <v>150</v>
      </c>
      <c r="N2904" s="55" t="s">
        <v>150</v>
      </c>
      <c r="O2904" s="55" t="s">
        <v>181</v>
      </c>
      <c r="P2904" s="55" t="s">
        <v>626</v>
      </c>
      <c r="Q2904" s="55" t="s">
        <v>350</v>
      </c>
      <c r="R2904" s="55">
        <v>4</v>
      </c>
      <c r="S2904" s="55"/>
      <c r="T2904" s="55" t="s">
        <v>5466</v>
      </c>
    </row>
    <row r="2905" spans="1:20" ht="13" x14ac:dyDescent="0.15">
      <c r="A2905" s="72" t="str">
        <f t="shared" si="45"/>
        <v>Ofsted Social Care Provider Webpage</v>
      </c>
      <c r="B2905" s="55" t="s">
        <v>5467</v>
      </c>
      <c r="D2905" s="55" t="s">
        <v>373</v>
      </c>
      <c r="E2905" s="74">
        <v>40354</v>
      </c>
      <c r="F2905" s="55" t="s">
        <v>344</v>
      </c>
      <c r="G2905" s="55" t="s">
        <v>360</v>
      </c>
      <c r="H2905" s="55" t="s">
        <v>360</v>
      </c>
      <c r="I2905" s="55" t="s">
        <v>360</v>
      </c>
      <c r="J2905" s="55" t="s">
        <v>360</v>
      </c>
      <c r="K2905" s="55" t="s">
        <v>360</v>
      </c>
      <c r="L2905" s="55" t="s">
        <v>360</v>
      </c>
      <c r="M2905" s="55" t="s">
        <v>142</v>
      </c>
      <c r="N2905" s="55" t="s">
        <v>142</v>
      </c>
      <c r="O2905" s="55" t="s">
        <v>262</v>
      </c>
      <c r="P2905" s="55" t="s">
        <v>618</v>
      </c>
      <c r="Q2905" s="55" t="s">
        <v>350</v>
      </c>
      <c r="R2905" s="55">
        <v>3</v>
      </c>
      <c r="S2905" s="55"/>
      <c r="T2905" s="55" t="s">
        <v>917</v>
      </c>
    </row>
    <row r="2906" spans="1:20" ht="13" x14ac:dyDescent="0.15">
      <c r="A2906" s="72" t="str">
        <f t="shared" si="45"/>
        <v>Ofsted Social Care Provider Webpage</v>
      </c>
      <c r="B2906" s="55" t="s">
        <v>5468</v>
      </c>
      <c r="D2906" s="55" t="s">
        <v>373</v>
      </c>
      <c r="E2906" s="74">
        <v>40424</v>
      </c>
      <c r="F2906" s="55" t="s">
        <v>344</v>
      </c>
      <c r="G2906" s="55" t="s">
        <v>360</v>
      </c>
      <c r="H2906" s="55" t="s">
        <v>360</v>
      </c>
      <c r="I2906" s="55" t="s">
        <v>360</v>
      </c>
      <c r="J2906" s="55" t="s">
        <v>360</v>
      </c>
      <c r="K2906" s="55" t="s">
        <v>360</v>
      </c>
      <c r="L2906" s="55" t="s">
        <v>360</v>
      </c>
      <c r="M2906" s="55" t="s">
        <v>150</v>
      </c>
      <c r="N2906" s="55" t="s">
        <v>150</v>
      </c>
      <c r="O2906" s="55" t="s">
        <v>190</v>
      </c>
      <c r="P2906" s="55" t="s">
        <v>889</v>
      </c>
      <c r="Q2906" s="55" t="s">
        <v>350</v>
      </c>
      <c r="R2906" s="55">
        <v>4</v>
      </c>
      <c r="S2906" s="55"/>
      <c r="T2906" s="55" t="s">
        <v>900</v>
      </c>
    </row>
    <row r="2907" spans="1:20" ht="13" x14ac:dyDescent="0.15">
      <c r="A2907" s="72" t="str">
        <f t="shared" si="45"/>
        <v>Ofsted Social Care Provider Webpage</v>
      </c>
      <c r="B2907" s="55" t="s">
        <v>5469</v>
      </c>
      <c r="D2907" s="55" t="s">
        <v>451</v>
      </c>
      <c r="E2907" s="74">
        <v>40373</v>
      </c>
      <c r="F2907" s="55" t="s">
        <v>344</v>
      </c>
      <c r="G2907" s="55" t="s">
        <v>5470</v>
      </c>
      <c r="H2907" s="55" t="s">
        <v>5470</v>
      </c>
      <c r="I2907" s="55" t="s">
        <v>5471</v>
      </c>
      <c r="J2907" s="55" t="s">
        <v>2753</v>
      </c>
      <c r="L2907" s="55" t="s">
        <v>5472</v>
      </c>
      <c r="M2907" s="55" t="s">
        <v>142</v>
      </c>
      <c r="N2907" s="55" t="s">
        <v>142</v>
      </c>
      <c r="O2907" s="55" t="s">
        <v>141</v>
      </c>
      <c r="P2907" s="55" t="s">
        <v>660</v>
      </c>
      <c r="Q2907" s="55" t="s">
        <v>362</v>
      </c>
      <c r="R2907" s="55">
        <v>10</v>
      </c>
      <c r="S2907" s="55"/>
      <c r="T2907" s="55" t="s">
        <v>4083</v>
      </c>
    </row>
    <row r="2908" spans="1:20" ht="13" x14ac:dyDescent="0.15">
      <c r="A2908" s="72" t="str">
        <f t="shared" si="45"/>
        <v>Ofsted Social Care Provider Webpage</v>
      </c>
      <c r="B2908" s="55" t="s">
        <v>5473</v>
      </c>
      <c r="D2908" s="55" t="s">
        <v>373</v>
      </c>
      <c r="E2908" s="74">
        <v>40365</v>
      </c>
      <c r="F2908" s="55" t="s">
        <v>344</v>
      </c>
      <c r="G2908" s="55" t="s">
        <v>360</v>
      </c>
      <c r="H2908" s="55" t="s">
        <v>360</v>
      </c>
      <c r="I2908" s="55" t="s">
        <v>360</v>
      </c>
      <c r="J2908" s="55" t="s">
        <v>360</v>
      </c>
      <c r="K2908" s="55" t="s">
        <v>360</v>
      </c>
      <c r="L2908" s="55" t="s">
        <v>360</v>
      </c>
      <c r="M2908" s="55" t="s">
        <v>144</v>
      </c>
      <c r="N2908" s="55" t="s">
        <v>144</v>
      </c>
      <c r="O2908" s="55" t="s">
        <v>248</v>
      </c>
      <c r="P2908" s="55" t="s">
        <v>439</v>
      </c>
      <c r="Q2908" s="55" t="s">
        <v>350</v>
      </c>
      <c r="R2908" s="55">
        <v>3</v>
      </c>
      <c r="S2908" s="55"/>
      <c r="T2908" s="55" t="s">
        <v>1107</v>
      </c>
    </row>
    <row r="2909" spans="1:20" ht="13" x14ac:dyDescent="0.15">
      <c r="A2909" s="72" t="str">
        <f t="shared" si="45"/>
        <v>Ofsted Social Care Provider Webpage</v>
      </c>
      <c r="B2909" s="55" t="s">
        <v>5474</v>
      </c>
      <c r="D2909" s="55" t="s">
        <v>373</v>
      </c>
      <c r="E2909" s="74">
        <v>40393</v>
      </c>
      <c r="F2909" s="55" t="s">
        <v>344</v>
      </c>
      <c r="G2909" s="55" t="s">
        <v>360</v>
      </c>
      <c r="H2909" s="55" t="s">
        <v>360</v>
      </c>
      <c r="I2909" s="55" t="s">
        <v>360</v>
      </c>
      <c r="J2909" s="55" t="s">
        <v>360</v>
      </c>
      <c r="K2909" s="55" t="s">
        <v>360</v>
      </c>
      <c r="L2909" s="55" t="s">
        <v>360</v>
      </c>
      <c r="M2909" s="55" t="s">
        <v>138</v>
      </c>
      <c r="N2909" s="55" t="s">
        <v>138</v>
      </c>
      <c r="O2909" s="55" t="s">
        <v>137</v>
      </c>
      <c r="P2909" s="55" t="s">
        <v>643</v>
      </c>
      <c r="Q2909" s="55" t="s">
        <v>350</v>
      </c>
      <c r="R2909" s="55">
        <v>4</v>
      </c>
      <c r="S2909" s="55"/>
      <c r="T2909" s="55" t="s">
        <v>762</v>
      </c>
    </row>
    <row r="2910" spans="1:20" ht="13" x14ac:dyDescent="0.15">
      <c r="A2910" s="72" t="str">
        <f t="shared" si="45"/>
        <v>Ofsted Social Care Provider Webpage</v>
      </c>
      <c r="B2910" s="55" t="s">
        <v>5475</v>
      </c>
      <c r="D2910" s="55" t="s">
        <v>373</v>
      </c>
      <c r="E2910" s="74">
        <v>40367</v>
      </c>
      <c r="F2910" s="55" t="s">
        <v>344</v>
      </c>
      <c r="G2910" s="55" t="s">
        <v>360</v>
      </c>
      <c r="H2910" s="55" t="s">
        <v>360</v>
      </c>
      <c r="I2910" s="55" t="s">
        <v>360</v>
      </c>
      <c r="J2910" s="55" t="s">
        <v>360</v>
      </c>
      <c r="K2910" s="55" t="s">
        <v>360</v>
      </c>
      <c r="L2910" s="55" t="s">
        <v>360</v>
      </c>
      <c r="M2910" s="55" t="s">
        <v>144</v>
      </c>
      <c r="N2910" s="55" t="s">
        <v>144</v>
      </c>
      <c r="O2910" s="55" t="s">
        <v>209</v>
      </c>
      <c r="P2910" s="55" t="s">
        <v>534</v>
      </c>
      <c r="Q2910" s="55" t="s">
        <v>350</v>
      </c>
      <c r="R2910" s="55">
        <v>4</v>
      </c>
      <c r="S2910" s="55"/>
      <c r="T2910" s="55" t="s">
        <v>5476</v>
      </c>
    </row>
    <row r="2911" spans="1:20" ht="13" x14ac:dyDescent="0.15">
      <c r="A2911" s="72" t="str">
        <f t="shared" si="45"/>
        <v>Ofsted Social Care Provider Webpage</v>
      </c>
      <c r="B2911" s="55" t="s">
        <v>5477</v>
      </c>
      <c r="D2911" s="55" t="s">
        <v>373</v>
      </c>
      <c r="E2911" s="74">
        <v>40367</v>
      </c>
      <c r="F2911" s="55" t="s">
        <v>344</v>
      </c>
      <c r="G2911" s="55" t="s">
        <v>360</v>
      </c>
      <c r="H2911" s="55" t="s">
        <v>360</v>
      </c>
      <c r="I2911" s="55" t="s">
        <v>360</v>
      </c>
      <c r="J2911" s="55" t="s">
        <v>360</v>
      </c>
      <c r="K2911" s="55" t="s">
        <v>360</v>
      </c>
      <c r="L2911" s="55" t="s">
        <v>360</v>
      </c>
      <c r="M2911" s="55" t="s">
        <v>144</v>
      </c>
      <c r="N2911" s="55" t="s">
        <v>144</v>
      </c>
      <c r="O2911" s="55" t="s">
        <v>209</v>
      </c>
      <c r="P2911" s="55" t="s">
        <v>736</v>
      </c>
      <c r="Q2911" s="55" t="s">
        <v>350</v>
      </c>
      <c r="R2911" s="55">
        <v>4</v>
      </c>
      <c r="S2911" s="55"/>
      <c r="T2911" s="55" t="s">
        <v>5476</v>
      </c>
    </row>
    <row r="2912" spans="1:20" ht="13" x14ac:dyDescent="0.15">
      <c r="A2912" s="72" t="str">
        <f t="shared" si="45"/>
        <v>Ofsted Social Care Provider Webpage</v>
      </c>
      <c r="B2912" s="55" t="s">
        <v>5478</v>
      </c>
      <c r="D2912" s="55" t="s">
        <v>373</v>
      </c>
      <c r="E2912" s="74">
        <v>40352</v>
      </c>
      <c r="F2912" s="55" t="s">
        <v>344</v>
      </c>
      <c r="G2912" s="55" t="s">
        <v>360</v>
      </c>
      <c r="H2912" s="55" t="s">
        <v>360</v>
      </c>
      <c r="I2912" s="55" t="s">
        <v>360</v>
      </c>
      <c r="J2912" s="55" t="s">
        <v>360</v>
      </c>
      <c r="K2912" s="55" t="s">
        <v>360</v>
      </c>
      <c r="L2912" s="55" t="s">
        <v>360</v>
      </c>
      <c r="M2912" s="55" t="s">
        <v>150</v>
      </c>
      <c r="N2912" s="55" t="s">
        <v>150</v>
      </c>
      <c r="O2912" s="55" t="s">
        <v>203</v>
      </c>
      <c r="P2912" s="55" t="s">
        <v>853</v>
      </c>
      <c r="Q2912" s="55" t="s">
        <v>350</v>
      </c>
      <c r="R2912" s="55">
        <v>3</v>
      </c>
      <c r="S2912" s="55"/>
      <c r="T2912" s="55" t="s">
        <v>2741</v>
      </c>
    </row>
    <row r="2913" spans="1:20" ht="13" x14ac:dyDescent="0.15">
      <c r="A2913" s="72" t="str">
        <f t="shared" si="45"/>
        <v>Ofsted Social Care Provider Webpage</v>
      </c>
      <c r="B2913" s="55" t="s">
        <v>5479</v>
      </c>
      <c r="D2913" s="55" t="s">
        <v>373</v>
      </c>
      <c r="E2913" s="74">
        <v>40463</v>
      </c>
      <c r="F2913" s="55" t="s">
        <v>344</v>
      </c>
      <c r="G2913" s="55" t="s">
        <v>360</v>
      </c>
      <c r="H2913" s="55" t="s">
        <v>360</v>
      </c>
      <c r="I2913" s="55" t="s">
        <v>360</v>
      </c>
      <c r="J2913" s="55" t="s">
        <v>360</v>
      </c>
      <c r="K2913" s="55" t="s">
        <v>360</v>
      </c>
      <c r="L2913" s="55" t="s">
        <v>360</v>
      </c>
      <c r="M2913" s="55" t="s">
        <v>144</v>
      </c>
      <c r="N2913" s="55" t="s">
        <v>144</v>
      </c>
      <c r="O2913" s="55" t="s">
        <v>261</v>
      </c>
      <c r="P2913" s="55" t="s">
        <v>512</v>
      </c>
      <c r="Q2913" s="55" t="s">
        <v>350</v>
      </c>
      <c r="R2913" s="55">
        <v>1</v>
      </c>
      <c r="S2913" s="55"/>
      <c r="T2913" s="55" t="s">
        <v>5480</v>
      </c>
    </row>
    <row r="2914" spans="1:20" ht="13" x14ac:dyDescent="0.15">
      <c r="A2914" s="72" t="str">
        <f t="shared" si="45"/>
        <v>Ofsted Social Care Provider Webpage</v>
      </c>
      <c r="B2914" s="55" t="s">
        <v>5481</v>
      </c>
      <c r="D2914" s="55" t="s">
        <v>389</v>
      </c>
      <c r="E2914" s="74">
        <v>40360</v>
      </c>
      <c r="F2914" s="55" t="s">
        <v>344</v>
      </c>
      <c r="G2914" s="55" t="s">
        <v>5482</v>
      </c>
      <c r="H2914" s="55" t="s">
        <v>5483</v>
      </c>
      <c r="I2914" s="55" t="s">
        <v>3921</v>
      </c>
      <c r="J2914" s="55" t="s">
        <v>4252</v>
      </c>
      <c r="K2914" s="55" t="s">
        <v>3368</v>
      </c>
      <c r="L2914" s="55" t="s">
        <v>3923</v>
      </c>
      <c r="M2914" s="55" t="s">
        <v>378</v>
      </c>
      <c r="N2914" s="55" t="s">
        <v>170</v>
      </c>
      <c r="O2914" s="55" t="s">
        <v>178</v>
      </c>
      <c r="P2914" s="55" t="s">
        <v>905</v>
      </c>
      <c r="Q2914" s="55" t="s">
        <v>350</v>
      </c>
      <c r="R2914" s="55"/>
      <c r="S2914" s="55"/>
      <c r="T2914" s="55" t="s">
        <v>5484</v>
      </c>
    </row>
    <row r="2915" spans="1:20" ht="13" x14ac:dyDescent="0.15">
      <c r="A2915" s="72" t="str">
        <f t="shared" si="45"/>
        <v>Ofsted Social Care Provider Webpage</v>
      </c>
      <c r="B2915" s="55" t="s">
        <v>5485</v>
      </c>
      <c r="D2915" s="55" t="s">
        <v>373</v>
      </c>
      <c r="E2915" s="74">
        <v>40423</v>
      </c>
      <c r="F2915" s="55" t="s">
        <v>344</v>
      </c>
      <c r="G2915" s="55" t="s">
        <v>360</v>
      </c>
      <c r="H2915" s="55" t="s">
        <v>360</v>
      </c>
      <c r="I2915" s="55" t="s">
        <v>360</v>
      </c>
      <c r="J2915" s="55" t="s">
        <v>360</v>
      </c>
      <c r="K2915" s="55" t="s">
        <v>360</v>
      </c>
      <c r="L2915" s="55" t="s">
        <v>360</v>
      </c>
      <c r="M2915" s="55" t="s">
        <v>144</v>
      </c>
      <c r="N2915" s="55" t="s">
        <v>144</v>
      </c>
      <c r="O2915" s="55" t="s">
        <v>245</v>
      </c>
      <c r="P2915" s="55" t="s">
        <v>1796</v>
      </c>
      <c r="Q2915" s="55" t="s">
        <v>350</v>
      </c>
      <c r="R2915" s="55">
        <v>2</v>
      </c>
      <c r="S2915" s="55"/>
      <c r="T2915" s="55" t="s">
        <v>5357</v>
      </c>
    </row>
    <row r="2916" spans="1:20" ht="13" x14ac:dyDescent="0.15">
      <c r="A2916" s="72" t="str">
        <f t="shared" si="45"/>
        <v>Ofsted Social Care Provider Webpage</v>
      </c>
      <c r="B2916" s="55" t="s">
        <v>5486</v>
      </c>
      <c r="D2916" s="55" t="s">
        <v>373</v>
      </c>
      <c r="E2916" s="74">
        <v>40451</v>
      </c>
      <c r="F2916" s="55" t="s">
        <v>344</v>
      </c>
      <c r="G2916" s="55" t="s">
        <v>360</v>
      </c>
      <c r="H2916" s="55" t="s">
        <v>360</v>
      </c>
      <c r="I2916" s="55" t="s">
        <v>360</v>
      </c>
      <c r="J2916" s="55" t="s">
        <v>360</v>
      </c>
      <c r="K2916" s="55" t="s">
        <v>360</v>
      </c>
      <c r="L2916" s="55" t="s">
        <v>360</v>
      </c>
      <c r="M2916" s="55" t="s">
        <v>144</v>
      </c>
      <c r="N2916" s="55" t="s">
        <v>144</v>
      </c>
      <c r="O2916" s="55" t="s">
        <v>248</v>
      </c>
      <c r="P2916" s="55" t="s">
        <v>492</v>
      </c>
      <c r="Q2916" s="55" t="s">
        <v>362</v>
      </c>
      <c r="R2916" s="55">
        <v>5</v>
      </c>
      <c r="S2916" s="55"/>
      <c r="T2916" s="55" t="s">
        <v>2551</v>
      </c>
    </row>
    <row r="2917" spans="1:20" ht="13" x14ac:dyDescent="0.15">
      <c r="A2917" s="72" t="str">
        <f t="shared" si="45"/>
        <v>Ofsted Social Care Provider Webpage</v>
      </c>
      <c r="B2917" s="55" t="s">
        <v>5487</v>
      </c>
      <c r="D2917" s="55" t="s">
        <v>479</v>
      </c>
      <c r="E2917" s="74">
        <v>40575</v>
      </c>
      <c r="F2917" s="55" t="s">
        <v>344</v>
      </c>
      <c r="G2917" s="55" t="s">
        <v>360</v>
      </c>
      <c r="H2917" s="55" t="s">
        <v>360</v>
      </c>
      <c r="I2917" s="55" t="s">
        <v>360</v>
      </c>
      <c r="J2917" s="55" t="s">
        <v>360</v>
      </c>
      <c r="K2917" s="55" t="s">
        <v>360</v>
      </c>
      <c r="L2917" s="55" t="s">
        <v>360</v>
      </c>
      <c r="M2917" s="55" t="s">
        <v>150</v>
      </c>
      <c r="N2917" s="55" t="s">
        <v>150</v>
      </c>
      <c r="O2917" s="55" t="s">
        <v>181</v>
      </c>
      <c r="P2917" s="55" t="s">
        <v>937</v>
      </c>
      <c r="Q2917" s="55" t="s">
        <v>350</v>
      </c>
      <c r="R2917" s="55">
        <v>11</v>
      </c>
      <c r="S2917" s="55"/>
      <c r="T2917" s="55" t="s">
        <v>5488</v>
      </c>
    </row>
    <row r="2918" spans="1:20" ht="13" x14ac:dyDescent="0.15">
      <c r="A2918" s="72" t="str">
        <f t="shared" si="45"/>
        <v>Ofsted Social Care Provider Webpage</v>
      </c>
      <c r="B2918" s="55" t="s">
        <v>5489</v>
      </c>
      <c r="D2918" s="55" t="s">
        <v>373</v>
      </c>
      <c r="E2918" s="74">
        <v>40413</v>
      </c>
      <c r="F2918" s="55" t="s">
        <v>344</v>
      </c>
      <c r="G2918" s="55" t="s">
        <v>360</v>
      </c>
      <c r="H2918" s="55" t="s">
        <v>360</v>
      </c>
      <c r="I2918" s="55" t="s">
        <v>360</v>
      </c>
      <c r="J2918" s="55" t="s">
        <v>360</v>
      </c>
      <c r="K2918" s="55" t="s">
        <v>360</v>
      </c>
      <c r="L2918" s="55" t="s">
        <v>360</v>
      </c>
      <c r="M2918" s="55" t="s">
        <v>172</v>
      </c>
      <c r="N2918" s="55" t="s">
        <v>172</v>
      </c>
      <c r="O2918" s="55" t="s">
        <v>234</v>
      </c>
      <c r="P2918" s="55" t="s">
        <v>369</v>
      </c>
      <c r="Q2918" s="55" t="s">
        <v>350</v>
      </c>
      <c r="R2918" s="55">
        <v>4</v>
      </c>
      <c r="S2918" s="55"/>
      <c r="T2918" s="55" t="s">
        <v>668</v>
      </c>
    </row>
    <row r="2919" spans="1:20" ht="13" x14ac:dyDescent="0.15">
      <c r="A2919" s="72" t="str">
        <f t="shared" si="45"/>
        <v>Ofsted Social Care Provider Webpage</v>
      </c>
      <c r="B2919" s="55" t="s">
        <v>5490</v>
      </c>
      <c r="D2919" s="55" t="s">
        <v>373</v>
      </c>
      <c r="E2919" s="74">
        <v>40396</v>
      </c>
      <c r="F2919" s="55" t="s">
        <v>344</v>
      </c>
      <c r="G2919" s="55" t="s">
        <v>360</v>
      </c>
      <c r="H2919" s="55" t="s">
        <v>360</v>
      </c>
      <c r="I2919" s="55" t="s">
        <v>360</v>
      </c>
      <c r="J2919" s="55" t="s">
        <v>360</v>
      </c>
      <c r="K2919" s="55" t="s">
        <v>360</v>
      </c>
      <c r="L2919" s="55" t="s">
        <v>360</v>
      </c>
      <c r="M2919" s="55" t="s">
        <v>142</v>
      </c>
      <c r="N2919" s="55" t="s">
        <v>142</v>
      </c>
      <c r="O2919" s="55" t="s">
        <v>166</v>
      </c>
      <c r="P2919" s="55" t="s">
        <v>1152</v>
      </c>
      <c r="Q2919" s="55" t="s">
        <v>380</v>
      </c>
      <c r="R2919" s="55">
        <v>4</v>
      </c>
      <c r="S2919" s="55"/>
      <c r="T2919" s="55" t="s">
        <v>1302</v>
      </c>
    </row>
    <row r="2920" spans="1:20" ht="13" x14ac:dyDescent="0.15">
      <c r="A2920" s="72" t="str">
        <f t="shared" si="45"/>
        <v>Ofsted Social Care Provider Webpage</v>
      </c>
      <c r="B2920" s="55" t="s">
        <v>5491</v>
      </c>
      <c r="D2920" s="55" t="s">
        <v>373</v>
      </c>
      <c r="E2920" s="74">
        <v>40387</v>
      </c>
      <c r="F2920" s="55" t="s">
        <v>344</v>
      </c>
      <c r="G2920" s="55" t="s">
        <v>360</v>
      </c>
      <c r="H2920" s="55" t="s">
        <v>360</v>
      </c>
      <c r="I2920" s="55" t="s">
        <v>360</v>
      </c>
      <c r="J2920" s="55" t="s">
        <v>360</v>
      </c>
      <c r="K2920" s="55" t="s">
        <v>360</v>
      </c>
      <c r="L2920" s="55" t="s">
        <v>360</v>
      </c>
      <c r="M2920" s="55" t="s">
        <v>172</v>
      </c>
      <c r="N2920" s="55" t="s">
        <v>172</v>
      </c>
      <c r="O2920" s="55" t="s">
        <v>173</v>
      </c>
      <c r="P2920" s="55" t="s">
        <v>1258</v>
      </c>
      <c r="Q2920" s="55" t="s">
        <v>350</v>
      </c>
      <c r="R2920" s="55">
        <v>3</v>
      </c>
      <c r="S2920" s="55"/>
      <c r="T2920" s="55" t="s">
        <v>861</v>
      </c>
    </row>
    <row r="2921" spans="1:20" ht="13" x14ac:dyDescent="0.15">
      <c r="A2921" s="72" t="str">
        <f t="shared" si="45"/>
        <v>Ofsted Social Care Provider Webpage</v>
      </c>
      <c r="B2921" s="55" t="s">
        <v>5492</v>
      </c>
      <c r="D2921" s="55" t="s">
        <v>373</v>
      </c>
      <c r="E2921" s="74">
        <v>40497</v>
      </c>
      <c r="F2921" s="55" t="s">
        <v>344</v>
      </c>
      <c r="G2921" s="55" t="s">
        <v>360</v>
      </c>
      <c r="H2921" s="55" t="s">
        <v>360</v>
      </c>
      <c r="I2921" s="55" t="s">
        <v>360</v>
      </c>
      <c r="J2921" s="55" t="s">
        <v>360</v>
      </c>
      <c r="K2921" s="55" t="s">
        <v>360</v>
      </c>
      <c r="L2921" s="55" t="s">
        <v>360</v>
      </c>
      <c r="M2921" s="55" t="s">
        <v>150</v>
      </c>
      <c r="N2921" s="55" t="s">
        <v>150</v>
      </c>
      <c r="O2921" s="55" t="s">
        <v>221</v>
      </c>
      <c r="P2921" s="55" t="s">
        <v>4169</v>
      </c>
      <c r="Q2921" s="55" t="s">
        <v>350</v>
      </c>
      <c r="R2921" s="55">
        <v>4</v>
      </c>
      <c r="S2921" s="55"/>
      <c r="T2921" s="55" t="s">
        <v>762</v>
      </c>
    </row>
    <row r="2922" spans="1:20" ht="13" x14ac:dyDescent="0.15">
      <c r="A2922" s="72" t="str">
        <f t="shared" si="45"/>
        <v>Ofsted Social Care Provider Webpage</v>
      </c>
      <c r="B2922" s="55" t="s">
        <v>5493</v>
      </c>
      <c r="D2922" s="55" t="s">
        <v>373</v>
      </c>
      <c r="E2922" s="74">
        <v>40371</v>
      </c>
      <c r="F2922" s="55" t="s">
        <v>344</v>
      </c>
      <c r="G2922" s="55" t="s">
        <v>360</v>
      </c>
      <c r="H2922" s="55" t="s">
        <v>360</v>
      </c>
      <c r="I2922" s="55" t="s">
        <v>360</v>
      </c>
      <c r="J2922" s="55" t="s">
        <v>360</v>
      </c>
      <c r="K2922" s="55" t="s">
        <v>360</v>
      </c>
      <c r="L2922" s="55" t="s">
        <v>360</v>
      </c>
      <c r="M2922" s="55" t="s">
        <v>142</v>
      </c>
      <c r="N2922" s="55" t="s">
        <v>142</v>
      </c>
      <c r="O2922" s="55" t="s">
        <v>262</v>
      </c>
      <c r="P2922" s="55" t="s">
        <v>949</v>
      </c>
      <c r="Q2922" s="55" t="s">
        <v>380</v>
      </c>
      <c r="R2922" s="55">
        <v>6</v>
      </c>
      <c r="S2922" s="55" t="s">
        <v>332</v>
      </c>
      <c r="T2922" s="55" t="s">
        <v>2996</v>
      </c>
    </row>
    <row r="2923" spans="1:20" ht="13" x14ac:dyDescent="0.15">
      <c r="A2923" s="72" t="str">
        <f t="shared" si="45"/>
        <v>Ofsted Social Care Provider Webpage</v>
      </c>
      <c r="B2923" s="55" t="s">
        <v>5494</v>
      </c>
      <c r="D2923" s="55" t="s">
        <v>373</v>
      </c>
      <c r="E2923" s="74">
        <v>40433</v>
      </c>
      <c r="F2923" s="55" t="s">
        <v>344</v>
      </c>
      <c r="G2923" s="55" t="s">
        <v>360</v>
      </c>
      <c r="H2923" s="55" t="s">
        <v>360</v>
      </c>
      <c r="I2923" s="55" t="s">
        <v>360</v>
      </c>
      <c r="J2923" s="55" t="s">
        <v>360</v>
      </c>
      <c r="K2923" s="55" t="s">
        <v>360</v>
      </c>
      <c r="L2923" s="55" t="s">
        <v>360</v>
      </c>
      <c r="M2923" s="55" t="s">
        <v>142</v>
      </c>
      <c r="N2923" s="55" t="s">
        <v>142</v>
      </c>
      <c r="O2923" s="55" t="s">
        <v>262</v>
      </c>
      <c r="P2923" s="55" t="s">
        <v>916</v>
      </c>
      <c r="Q2923" s="55" t="s">
        <v>350</v>
      </c>
      <c r="R2923" s="55">
        <v>4</v>
      </c>
      <c r="S2923" s="55"/>
      <c r="T2923" s="55" t="s">
        <v>1253</v>
      </c>
    </row>
    <row r="2924" spans="1:20" ht="13" x14ac:dyDescent="0.15">
      <c r="A2924" s="72" t="str">
        <f t="shared" si="45"/>
        <v>Ofsted Social Care Provider Webpage</v>
      </c>
      <c r="B2924" s="55" t="s">
        <v>5495</v>
      </c>
      <c r="D2924" s="55" t="s">
        <v>373</v>
      </c>
      <c r="E2924" s="74">
        <v>40464</v>
      </c>
      <c r="F2924" s="55" t="s">
        <v>344</v>
      </c>
      <c r="G2924" s="55" t="s">
        <v>360</v>
      </c>
      <c r="H2924" s="55" t="s">
        <v>360</v>
      </c>
      <c r="I2924" s="55" t="s">
        <v>360</v>
      </c>
      <c r="J2924" s="55" t="s">
        <v>360</v>
      </c>
      <c r="K2924" s="55" t="s">
        <v>360</v>
      </c>
      <c r="L2924" s="55" t="s">
        <v>360</v>
      </c>
      <c r="M2924" s="55" t="s">
        <v>136</v>
      </c>
      <c r="N2924" s="55" t="s">
        <v>136</v>
      </c>
      <c r="O2924" s="55" t="s">
        <v>185</v>
      </c>
      <c r="P2924" s="55" t="s">
        <v>898</v>
      </c>
      <c r="Q2924" s="55" t="s">
        <v>380</v>
      </c>
      <c r="R2924" s="55">
        <v>6</v>
      </c>
      <c r="S2924" s="55" t="s">
        <v>332</v>
      </c>
      <c r="T2924" s="55" t="s">
        <v>5496</v>
      </c>
    </row>
    <row r="2925" spans="1:20" ht="13" x14ac:dyDescent="0.15">
      <c r="A2925" s="72" t="str">
        <f t="shared" si="45"/>
        <v>Ofsted Social Care Provider Webpage</v>
      </c>
      <c r="B2925" s="55" t="s">
        <v>5497</v>
      </c>
      <c r="D2925" s="55" t="s">
        <v>373</v>
      </c>
      <c r="E2925" s="74">
        <v>40449</v>
      </c>
      <c r="F2925" s="55" t="s">
        <v>344</v>
      </c>
      <c r="G2925" s="55" t="s">
        <v>360</v>
      </c>
      <c r="H2925" s="55" t="s">
        <v>360</v>
      </c>
      <c r="I2925" s="55" t="s">
        <v>360</v>
      </c>
      <c r="J2925" s="55" t="s">
        <v>360</v>
      </c>
      <c r="K2925" s="55" t="s">
        <v>360</v>
      </c>
      <c r="L2925" s="55" t="s">
        <v>360</v>
      </c>
      <c r="M2925" s="55" t="s">
        <v>144</v>
      </c>
      <c r="N2925" s="55" t="s">
        <v>144</v>
      </c>
      <c r="O2925" s="55" t="s">
        <v>145</v>
      </c>
      <c r="P2925" s="55" t="s">
        <v>525</v>
      </c>
      <c r="Q2925" s="55" t="s">
        <v>350</v>
      </c>
      <c r="R2925" s="55">
        <v>3</v>
      </c>
      <c r="S2925" s="55"/>
      <c r="T2925" s="55" t="s">
        <v>385</v>
      </c>
    </row>
    <row r="2926" spans="1:20" ht="13" x14ac:dyDescent="0.15">
      <c r="A2926" s="72" t="str">
        <f t="shared" si="45"/>
        <v>Ofsted Social Care Provider Webpage</v>
      </c>
      <c r="B2926" s="55" t="s">
        <v>5498</v>
      </c>
      <c r="D2926" s="55" t="s">
        <v>373</v>
      </c>
      <c r="E2926" s="74">
        <v>40485</v>
      </c>
      <c r="F2926" s="55" t="s">
        <v>344</v>
      </c>
      <c r="G2926" s="55" t="s">
        <v>360</v>
      </c>
      <c r="H2926" s="55" t="s">
        <v>360</v>
      </c>
      <c r="I2926" s="55" t="s">
        <v>360</v>
      </c>
      <c r="J2926" s="55" t="s">
        <v>360</v>
      </c>
      <c r="K2926" s="55" t="s">
        <v>360</v>
      </c>
      <c r="L2926" s="55" t="s">
        <v>360</v>
      </c>
      <c r="M2926" s="55" t="s">
        <v>378</v>
      </c>
      <c r="N2926" s="55" t="s">
        <v>170</v>
      </c>
      <c r="O2926" s="55" t="s">
        <v>267</v>
      </c>
      <c r="P2926" s="55" t="s">
        <v>477</v>
      </c>
      <c r="Q2926" s="55" t="s">
        <v>362</v>
      </c>
      <c r="R2926" s="55">
        <v>5</v>
      </c>
      <c r="S2926" s="55"/>
      <c r="T2926" s="55" t="s">
        <v>5369</v>
      </c>
    </row>
    <row r="2927" spans="1:20" ht="13" x14ac:dyDescent="0.15">
      <c r="A2927" s="72" t="str">
        <f t="shared" si="45"/>
        <v>Ofsted Social Care Provider Webpage</v>
      </c>
      <c r="B2927" s="55" t="s">
        <v>5499</v>
      </c>
      <c r="D2927" s="55" t="s">
        <v>373</v>
      </c>
      <c r="E2927" s="74">
        <v>40448</v>
      </c>
      <c r="F2927" s="55" t="s">
        <v>344</v>
      </c>
      <c r="G2927" s="55" t="s">
        <v>360</v>
      </c>
      <c r="H2927" s="55" t="s">
        <v>360</v>
      </c>
      <c r="I2927" s="55" t="s">
        <v>360</v>
      </c>
      <c r="J2927" s="55" t="s">
        <v>360</v>
      </c>
      <c r="K2927" s="55" t="s">
        <v>360</v>
      </c>
      <c r="L2927" s="55" t="s">
        <v>360</v>
      </c>
      <c r="M2927" s="55" t="s">
        <v>144</v>
      </c>
      <c r="N2927" s="55" t="s">
        <v>144</v>
      </c>
      <c r="O2927" s="55" t="s">
        <v>245</v>
      </c>
      <c r="P2927" s="55" t="s">
        <v>1796</v>
      </c>
      <c r="Q2927" s="55" t="s">
        <v>350</v>
      </c>
      <c r="R2927" s="55">
        <v>2</v>
      </c>
      <c r="S2927" s="55"/>
      <c r="T2927" s="55" t="s">
        <v>711</v>
      </c>
    </row>
    <row r="2928" spans="1:20" ht="13" x14ac:dyDescent="0.15">
      <c r="A2928" s="72" t="str">
        <f t="shared" si="45"/>
        <v>Ofsted Social Care Provider Webpage</v>
      </c>
      <c r="B2928" s="55" t="s">
        <v>5500</v>
      </c>
      <c r="D2928" s="55" t="s">
        <v>389</v>
      </c>
      <c r="E2928" s="74">
        <v>40497</v>
      </c>
      <c r="F2928" s="55" t="s">
        <v>344</v>
      </c>
      <c r="G2928" s="55" t="s">
        <v>5501</v>
      </c>
      <c r="H2928" s="55" t="s">
        <v>5502</v>
      </c>
      <c r="I2928" s="55" t="s">
        <v>5503</v>
      </c>
      <c r="J2928" s="55" t="s">
        <v>4030</v>
      </c>
      <c r="K2928" s="55" t="s">
        <v>293</v>
      </c>
      <c r="L2928" s="55" t="s">
        <v>4031</v>
      </c>
      <c r="M2928" s="55" t="s">
        <v>142</v>
      </c>
      <c r="N2928" s="55" t="s">
        <v>142</v>
      </c>
      <c r="O2928" s="55" t="s">
        <v>293</v>
      </c>
      <c r="P2928" s="55" t="s">
        <v>1641</v>
      </c>
      <c r="Q2928" s="55" t="s">
        <v>350</v>
      </c>
      <c r="R2928" s="55"/>
      <c r="S2928" s="55"/>
      <c r="T2928" s="55" t="s">
        <v>5504</v>
      </c>
    </row>
    <row r="2929" spans="1:20" ht="13" x14ac:dyDescent="0.15">
      <c r="A2929" s="72" t="str">
        <f t="shared" si="45"/>
        <v>Ofsted Social Care Provider Webpage</v>
      </c>
      <c r="B2929" s="55" t="s">
        <v>5505</v>
      </c>
      <c r="D2929" s="55" t="s">
        <v>373</v>
      </c>
      <c r="E2929" s="74">
        <v>40534</v>
      </c>
      <c r="F2929" s="55" t="s">
        <v>344</v>
      </c>
      <c r="G2929" s="55" t="s">
        <v>360</v>
      </c>
      <c r="H2929" s="55" t="s">
        <v>360</v>
      </c>
      <c r="I2929" s="55" t="s">
        <v>360</v>
      </c>
      <c r="J2929" s="55" t="s">
        <v>360</v>
      </c>
      <c r="K2929" s="55" t="s">
        <v>360</v>
      </c>
      <c r="L2929" s="55" t="s">
        <v>360</v>
      </c>
      <c r="M2929" s="55" t="s">
        <v>144</v>
      </c>
      <c r="N2929" s="55" t="s">
        <v>144</v>
      </c>
      <c r="O2929" s="55" t="s">
        <v>209</v>
      </c>
      <c r="P2929" s="55" t="s">
        <v>364</v>
      </c>
      <c r="Q2929" s="55" t="s">
        <v>350</v>
      </c>
      <c r="R2929" s="55">
        <v>4</v>
      </c>
      <c r="S2929" s="55"/>
      <c r="T2929" s="55" t="s">
        <v>1539</v>
      </c>
    </row>
    <row r="2930" spans="1:20" ht="13" x14ac:dyDescent="0.15">
      <c r="A2930" s="72" t="str">
        <f t="shared" si="45"/>
        <v>Ofsted Social Care Provider Webpage</v>
      </c>
      <c r="B2930" s="55" t="s">
        <v>5506</v>
      </c>
      <c r="D2930" s="55" t="s">
        <v>389</v>
      </c>
      <c r="E2930" s="74">
        <v>40592</v>
      </c>
      <c r="F2930" s="55" t="s">
        <v>344</v>
      </c>
      <c r="G2930" s="55" t="s">
        <v>5507</v>
      </c>
      <c r="H2930" s="55" t="s">
        <v>5508</v>
      </c>
      <c r="I2930" s="55" t="s">
        <v>354</v>
      </c>
      <c r="J2930" s="55" t="s">
        <v>242</v>
      </c>
      <c r="K2930" s="55" t="s">
        <v>1650</v>
      </c>
      <c r="L2930" s="55" t="s">
        <v>5509</v>
      </c>
      <c r="M2930" s="55" t="s">
        <v>129</v>
      </c>
      <c r="N2930" s="55" t="s">
        <v>129</v>
      </c>
      <c r="O2930" s="55" t="s">
        <v>242</v>
      </c>
      <c r="P2930" s="55" t="s">
        <v>1192</v>
      </c>
      <c r="Q2930" s="55" t="s">
        <v>350</v>
      </c>
      <c r="R2930" s="55"/>
      <c r="S2930" s="55"/>
      <c r="T2930" s="55" t="s">
        <v>5507</v>
      </c>
    </row>
    <row r="2931" spans="1:20" ht="13" x14ac:dyDescent="0.15">
      <c r="A2931" s="72" t="str">
        <f t="shared" si="45"/>
        <v>Ofsted Social Care Provider Webpage</v>
      </c>
      <c r="B2931" s="55" t="s">
        <v>5510</v>
      </c>
      <c r="D2931" s="55" t="s">
        <v>373</v>
      </c>
      <c r="E2931" s="74">
        <v>40554</v>
      </c>
      <c r="F2931" s="55" t="s">
        <v>344</v>
      </c>
      <c r="G2931" s="55" t="s">
        <v>360</v>
      </c>
      <c r="H2931" s="55" t="s">
        <v>360</v>
      </c>
      <c r="I2931" s="55" t="s">
        <v>360</v>
      </c>
      <c r="J2931" s="55" t="s">
        <v>360</v>
      </c>
      <c r="K2931" s="55" t="s">
        <v>360</v>
      </c>
      <c r="L2931" s="55" t="s">
        <v>360</v>
      </c>
      <c r="M2931" s="55" t="s">
        <v>144</v>
      </c>
      <c r="N2931" s="55" t="s">
        <v>144</v>
      </c>
      <c r="O2931" s="55" t="s">
        <v>245</v>
      </c>
      <c r="P2931" s="55" t="s">
        <v>245</v>
      </c>
      <c r="Q2931" s="55" t="s">
        <v>350</v>
      </c>
      <c r="R2931" s="55">
        <v>3</v>
      </c>
      <c r="S2931" s="55"/>
      <c r="T2931" s="55" t="s">
        <v>613</v>
      </c>
    </row>
    <row r="2932" spans="1:20" ht="13" x14ac:dyDescent="0.15">
      <c r="A2932" s="72" t="str">
        <f t="shared" si="45"/>
        <v>Ofsted Social Care Provider Webpage</v>
      </c>
      <c r="B2932" s="55" t="s">
        <v>5511</v>
      </c>
      <c r="D2932" s="55" t="s">
        <v>373</v>
      </c>
      <c r="E2932" s="74">
        <v>40396</v>
      </c>
      <c r="F2932" s="55" t="s">
        <v>344</v>
      </c>
      <c r="G2932" s="55" t="s">
        <v>360</v>
      </c>
      <c r="H2932" s="55" t="s">
        <v>360</v>
      </c>
      <c r="I2932" s="55" t="s">
        <v>360</v>
      </c>
      <c r="J2932" s="55" t="s">
        <v>360</v>
      </c>
      <c r="K2932" s="55" t="s">
        <v>360</v>
      </c>
      <c r="L2932" s="55" t="s">
        <v>360</v>
      </c>
      <c r="M2932" s="55" t="s">
        <v>144</v>
      </c>
      <c r="N2932" s="55" t="s">
        <v>144</v>
      </c>
      <c r="O2932" s="55" t="s">
        <v>168</v>
      </c>
      <c r="P2932" s="55" t="s">
        <v>708</v>
      </c>
      <c r="Q2932" s="55" t="s">
        <v>350</v>
      </c>
      <c r="R2932" s="55">
        <v>5</v>
      </c>
      <c r="S2932" s="55"/>
      <c r="T2932" s="55" t="s">
        <v>2358</v>
      </c>
    </row>
    <row r="2933" spans="1:20" ht="13" x14ac:dyDescent="0.15">
      <c r="A2933" s="72" t="str">
        <f t="shared" si="45"/>
        <v>Ofsted Social Care Provider Webpage</v>
      </c>
      <c r="B2933" s="55" t="s">
        <v>5512</v>
      </c>
      <c r="D2933" s="55" t="s">
        <v>373</v>
      </c>
      <c r="E2933" s="74">
        <v>40532</v>
      </c>
      <c r="F2933" s="55" t="s">
        <v>344</v>
      </c>
      <c r="G2933" s="55" t="s">
        <v>360</v>
      </c>
      <c r="H2933" s="55" t="s">
        <v>360</v>
      </c>
      <c r="I2933" s="55" t="s">
        <v>360</v>
      </c>
      <c r="J2933" s="55" t="s">
        <v>360</v>
      </c>
      <c r="K2933" s="55" t="s">
        <v>360</v>
      </c>
      <c r="L2933" s="55" t="s">
        <v>360</v>
      </c>
      <c r="M2933" s="55" t="s">
        <v>150</v>
      </c>
      <c r="N2933" s="55" t="s">
        <v>150</v>
      </c>
      <c r="O2933" s="55" t="s">
        <v>203</v>
      </c>
      <c r="P2933" s="55" t="s">
        <v>1263</v>
      </c>
      <c r="Q2933" s="55" t="s">
        <v>350</v>
      </c>
      <c r="R2933" s="55">
        <v>7</v>
      </c>
      <c r="S2933" s="55"/>
      <c r="T2933" s="55" t="s">
        <v>483</v>
      </c>
    </row>
    <row r="2934" spans="1:20" ht="13" x14ac:dyDescent="0.15">
      <c r="A2934" s="72" t="str">
        <f t="shared" si="45"/>
        <v>Ofsted Social Care Provider Webpage</v>
      </c>
      <c r="B2934" s="55" t="s">
        <v>5513</v>
      </c>
      <c r="D2934" s="55" t="s">
        <v>373</v>
      </c>
      <c r="E2934" s="74">
        <v>40515</v>
      </c>
      <c r="F2934" s="55" t="s">
        <v>344</v>
      </c>
      <c r="G2934" s="55" t="s">
        <v>360</v>
      </c>
      <c r="H2934" s="55" t="s">
        <v>360</v>
      </c>
      <c r="I2934" s="55" t="s">
        <v>360</v>
      </c>
      <c r="J2934" s="55" t="s">
        <v>360</v>
      </c>
      <c r="K2934" s="55" t="s">
        <v>360</v>
      </c>
      <c r="L2934" s="55" t="s">
        <v>360</v>
      </c>
      <c r="M2934" s="55" t="s">
        <v>378</v>
      </c>
      <c r="N2934" s="55" t="s">
        <v>170</v>
      </c>
      <c r="O2934" s="55" t="s">
        <v>178</v>
      </c>
      <c r="P2934" s="55" t="s">
        <v>1374</v>
      </c>
      <c r="Q2934" s="55" t="s">
        <v>350</v>
      </c>
      <c r="R2934" s="55">
        <v>4</v>
      </c>
      <c r="S2934" s="55"/>
      <c r="T2934" s="55" t="s">
        <v>644</v>
      </c>
    </row>
    <row r="2935" spans="1:20" ht="13" x14ac:dyDescent="0.15">
      <c r="A2935" s="72" t="str">
        <f t="shared" si="45"/>
        <v>Ofsted Social Care Provider Webpage</v>
      </c>
      <c r="B2935" s="55" t="s">
        <v>5514</v>
      </c>
      <c r="D2935" s="55" t="s">
        <v>373</v>
      </c>
      <c r="E2935" s="74">
        <v>40473</v>
      </c>
      <c r="F2935" s="55" t="s">
        <v>344</v>
      </c>
      <c r="G2935" s="55" t="s">
        <v>360</v>
      </c>
      <c r="H2935" s="55" t="s">
        <v>360</v>
      </c>
      <c r="I2935" s="55" t="s">
        <v>360</v>
      </c>
      <c r="J2935" s="55" t="s">
        <v>360</v>
      </c>
      <c r="K2935" s="55" t="s">
        <v>360</v>
      </c>
      <c r="L2935" s="55" t="s">
        <v>360</v>
      </c>
      <c r="M2935" s="55" t="s">
        <v>150</v>
      </c>
      <c r="N2935" s="55" t="s">
        <v>150</v>
      </c>
      <c r="O2935" s="55" t="s">
        <v>283</v>
      </c>
      <c r="P2935" s="55" t="s">
        <v>291</v>
      </c>
      <c r="Q2935" s="55" t="s">
        <v>350</v>
      </c>
      <c r="R2935" s="55">
        <v>5</v>
      </c>
      <c r="S2935" s="55"/>
      <c r="T2935" s="55" t="s">
        <v>755</v>
      </c>
    </row>
    <row r="2936" spans="1:20" ht="13" x14ac:dyDescent="0.15">
      <c r="A2936" s="72" t="str">
        <f t="shared" si="45"/>
        <v>Ofsted Social Care Provider Webpage</v>
      </c>
      <c r="B2936" s="55" t="s">
        <v>5515</v>
      </c>
      <c r="D2936" s="55" t="s">
        <v>389</v>
      </c>
      <c r="E2936" s="74">
        <v>40560</v>
      </c>
      <c r="F2936" s="55" t="s">
        <v>344</v>
      </c>
      <c r="G2936" s="55" t="s">
        <v>5516</v>
      </c>
      <c r="H2936" s="55" t="s">
        <v>5517</v>
      </c>
      <c r="I2936" s="55" t="s">
        <v>5518</v>
      </c>
      <c r="J2936" s="55" t="s">
        <v>5519</v>
      </c>
      <c r="K2936" s="55" t="s">
        <v>195</v>
      </c>
      <c r="L2936" s="55" t="s">
        <v>5520</v>
      </c>
      <c r="M2936" s="55" t="s">
        <v>142</v>
      </c>
      <c r="N2936" s="55" t="s">
        <v>142</v>
      </c>
      <c r="O2936" s="55" t="s">
        <v>195</v>
      </c>
      <c r="P2936" s="55" t="s">
        <v>518</v>
      </c>
      <c r="Q2936" s="55" t="s">
        <v>350</v>
      </c>
      <c r="R2936" s="55"/>
      <c r="S2936" s="55"/>
      <c r="T2936" s="55" t="s">
        <v>5521</v>
      </c>
    </row>
    <row r="2937" spans="1:20" ht="13" x14ac:dyDescent="0.15">
      <c r="A2937" s="72" t="str">
        <f t="shared" si="45"/>
        <v>Ofsted Social Care Provider Webpage</v>
      </c>
      <c r="B2937" s="55" t="s">
        <v>5522</v>
      </c>
      <c r="D2937" s="55" t="s">
        <v>389</v>
      </c>
      <c r="E2937" s="74">
        <v>40437</v>
      </c>
      <c r="F2937" s="55" t="s">
        <v>344</v>
      </c>
      <c r="G2937" s="55" t="s">
        <v>5523</v>
      </c>
      <c r="H2937" s="55" t="s">
        <v>5524</v>
      </c>
      <c r="I2937" s="55" t="s">
        <v>5525</v>
      </c>
      <c r="J2937" s="55" t="s">
        <v>5526</v>
      </c>
      <c r="K2937" s="55" t="s">
        <v>183</v>
      </c>
      <c r="L2937" s="55" t="s">
        <v>5527</v>
      </c>
      <c r="M2937" s="55" t="s">
        <v>138</v>
      </c>
      <c r="N2937" s="55" t="s">
        <v>138</v>
      </c>
      <c r="O2937" s="55" t="s">
        <v>259</v>
      </c>
      <c r="P2937" s="55" t="s">
        <v>637</v>
      </c>
      <c r="Q2937" s="55" t="s">
        <v>350</v>
      </c>
      <c r="R2937" s="55"/>
      <c r="S2937" s="55"/>
      <c r="T2937" s="55" t="s">
        <v>5528</v>
      </c>
    </row>
    <row r="2938" spans="1:20" ht="13" x14ac:dyDescent="0.15">
      <c r="A2938" s="72" t="str">
        <f t="shared" si="45"/>
        <v>Ofsted Social Care Provider Webpage</v>
      </c>
      <c r="B2938" s="55" t="s">
        <v>5529</v>
      </c>
      <c r="D2938" s="55" t="s">
        <v>373</v>
      </c>
      <c r="E2938" s="74">
        <v>40484</v>
      </c>
      <c r="F2938" s="55" t="s">
        <v>344</v>
      </c>
      <c r="G2938" s="55" t="s">
        <v>360</v>
      </c>
      <c r="H2938" s="55" t="s">
        <v>360</v>
      </c>
      <c r="I2938" s="55" t="s">
        <v>360</v>
      </c>
      <c r="J2938" s="55" t="s">
        <v>360</v>
      </c>
      <c r="K2938" s="55" t="s">
        <v>360</v>
      </c>
      <c r="L2938" s="55" t="s">
        <v>360</v>
      </c>
      <c r="M2938" s="55" t="s">
        <v>378</v>
      </c>
      <c r="N2938" s="55" t="s">
        <v>134</v>
      </c>
      <c r="O2938" s="55" t="s">
        <v>210</v>
      </c>
      <c r="P2938" s="55" t="s">
        <v>1989</v>
      </c>
      <c r="Q2938" s="55" t="s">
        <v>350</v>
      </c>
      <c r="R2938" s="55">
        <v>4</v>
      </c>
      <c r="S2938" s="55"/>
      <c r="T2938" s="55" t="s">
        <v>1251</v>
      </c>
    </row>
    <row r="2939" spans="1:20" ht="13" x14ac:dyDescent="0.15">
      <c r="A2939" s="72" t="str">
        <f t="shared" si="45"/>
        <v>Ofsted Social Care Provider Webpage</v>
      </c>
      <c r="B2939" s="55" t="s">
        <v>5530</v>
      </c>
      <c r="D2939" s="55" t="s">
        <v>389</v>
      </c>
      <c r="E2939" s="74">
        <v>40529</v>
      </c>
      <c r="F2939" s="55" t="s">
        <v>344</v>
      </c>
      <c r="G2939" s="55" t="s">
        <v>5531</v>
      </c>
      <c r="H2939" s="55" t="s">
        <v>5383</v>
      </c>
      <c r="I2939" s="55" t="s">
        <v>5532</v>
      </c>
      <c r="J2939" s="55" t="s">
        <v>5533</v>
      </c>
      <c r="K2939" s="55" t="s">
        <v>167</v>
      </c>
      <c r="L2939" s="55" t="s">
        <v>5385</v>
      </c>
      <c r="M2939" s="55" t="s">
        <v>129</v>
      </c>
      <c r="N2939" s="55" t="s">
        <v>129</v>
      </c>
      <c r="O2939" s="55" t="s">
        <v>167</v>
      </c>
      <c r="P2939" s="55" t="s">
        <v>866</v>
      </c>
      <c r="Q2939" s="55" t="s">
        <v>350</v>
      </c>
      <c r="R2939" s="55"/>
      <c r="S2939" s="55"/>
      <c r="T2939" s="55" t="s">
        <v>5534</v>
      </c>
    </row>
    <row r="2940" spans="1:20" ht="13" x14ac:dyDescent="0.15">
      <c r="A2940" s="72" t="str">
        <f t="shared" si="45"/>
        <v>Ofsted Social Care Provider Webpage</v>
      </c>
      <c r="B2940" s="55" t="s">
        <v>5535</v>
      </c>
      <c r="D2940" s="55" t="s">
        <v>373</v>
      </c>
      <c r="E2940" s="74">
        <v>40595</v>
      </c>
      <c r="F2940" s="55" t="s">
        <v>344</v>
      </c>
      <c r="G2940" s="55" t="s">
        <v>360</v>
      </c>
      <c r="H2940" s="55" t="s">
        <v>360</v>
      </c>
      <c r="I2940" s="55" t="s">
        <v>360</v>
      </c>
      <c r="J2940" s="55" t="s">
        <v>360</v>
      </c>
      <c r="K2940" s="55" t="s">
        <v>360</v>
      </c>
      <c r="L2940" s="55" t="s">
        <v>360</v>
      </c>
      <c r="M2940" s="55" t="s">
        <v>378</v>
      </c>
      <c r="N2940" s="55" t="s">
        <v>170</v>
      </c>
      <c r="O2940" s="55" t="s">
        <v>178</v>
      </c>
      <c r="P2940" s="55" t="s">
        <v>1450</v>
      </c>
      <c r="Q2940" s="55" t="s">
        <v>350</v>
      </c>
      <c r="R2940" s="55">
        <v>3</v>
      </c>
      <c r="S2940" s="55"/>
      <c r="T2940" s="55" t="s">
        <v>2367</v>
      </c>
    </row>
    <row r="2941" spans="1:20" ht="13" x14ac:dyDescent="0.15">
      <c r="A2941" s="72" t="str">
        <f t="shared" si="45"/>
        <v>Ofsted Social Care Provider Webpage</v>
      </c>
      <c r="B2941" s="55" t="s">
        <v>5536</v>
      </c>
      <c r="D2941" s="55" t="s">
        <v>373</v>
      </c>
      <c r="E2941" s="74">
        <v>40500</v>
      </c>
      <c r="F2941" s="55" t="s">
        <v>344</v>
      </c>
      <c r="G2941" s="55" t="s">
        <v>360</v>
      </c>
      <c r="H2941" s="55" t="s">
        <v>360</v>
      </c>
      <c r="I2941" s="55" t="s">
        <v>360</v>
      </c>
      <c r="J2941" s="55" t="s">
        <v>360</v>
      </c>
      <c r="K2941" s="55" t="s">
        <v>360</v>
      </c>
      <c r="L2941" s="55" t="s">
        <v>360</v>
      </c>
      <c r="M2941" s="55" t="s">
        <v>142</v>
      </c>
      <c r="N2941" s="55" t="s">
        <v>142</v>
      </c>
      <c r="O2941" s="55" t="s">
        <v>141</v>
      </c>
      <c r="P2941" s="55" t="s">
        <v>795</v>
      </c>
      <c r="Q2941" s="55" t="s">
        <v>350</v>
      </c>
      <c r="R2941" s="55">
        <v>2</v>
      </c>
      <c r="S2941" s="55"/>
      <c r="T2941" s="55" t="s">
        <v>1913</v>
      </c>
    </row>
    <row r="2942" spans="1:20" ht="13" x14ac:dyDescent="0.15">
      <c r="A2942" s="72" t="str">
        <f t="shared" si="45"/>
        <v>Ofsted Social Care Provider Webpage</v>
      </c>
      <c r="B2942" s="55" t="s">
        <v>5537</v>
      </c>
      <c r="D2942" s="55" t="s">
        <v>373</v>
      </c>
      <c r="E2942" s="74">
        <v>40484</v>
      </c>
      <c r="F2942" s="55" t="s">
        <v>344</v>
      </c>
      <c r="G2942" s="55" t="s">
        <v>360</v>
      </c>
      <c r="H2942" s="55" t="s">
        <v>360</v>
      </c>
      <c r="I2942" s="55" t="s">
        <v>360</v>
      </c>
      <c r="J2942" s="55" t="s">
        <v>360</v>
      </c>
      <c r="K2942" s="55" t="s">
        <v>360</v>
      </c>
      <c r="L2942" s="55" t="s">
        <v>360</v>
      </c>
      <c r="M2942" s="55" t="s">
        <v>142</v>
      </c>
      <c r="N2942" s="55" t="s">
        <v>142</v>
      </c>
      <c r="O2942" s="55" t="s">
        <v>141</v>
      </c>
      <c r="P2942" s="55" t="s">
        <v>573</v>
      </c>
      <c r="Q2942" s="55" t="s">
        <v>350</v>
      </c>
      <c r="R2942" s="55">
        <v>4</v>
      </c>
      <c r="S2942" s="55"/>
      <c r="T2942" s="55" t="s">
        <v>1913</v>
      </c>
    </row>
    <row r="2943" spans="1:20" ht="13" x14ac:dyDescent="0.15">
      <c r="A2943" s="72" t="str">
        <f t="shared" si="45"/>
        <v>Ofsted Social Care Provider Webpage</v>
      </c>
      <c r="B2943" s="55" t="s">
        <v>5538</v>
      </c>
      <c r="D2943" s="55" t="s">
        <v>373</v>
      </c>
      <c r="E2943" s="74">
        <v>40500</v>
      </c>
      <c r="F2943" s="55" t="s">
        <v>344</v>
      </c>
      <c r="G2943" s="55" t="s">
        <v>360</v>
      </c>
      <c r="H2943" s="55" t="s">
        <v>360</v>
      </c>
      <c r="I2943" s="55" t="s">
        <v>360</v>
      </c>
      <c r="J2943" s="55" t="s">
        <v>360</v>
      </c>
      <c r="K2943" s="55" t="s">
        <v>360</v>
      </c>
      <c r="L2943" s="55" t="s">
        <v>360</v>
      </c>
      <c r="M2943" s="55" t="s">
        <v>129</v>
      </c>
      <c r="N2943" s="55" t="s">
        <v>129</v>
      </c>
      <c r="O2943" s="55" t="s">
        <v>155</v>
      </c>
      <c r="P2943" s="55" t="s">
        <v>482</v>
      </c>
      <c r="Q2943" s="55" t="s">
        <v>350</v>
      </c>
      <c r="R2943" s="55">
        <v>4</v>
      </c>
      <c r="S2943" s="55"/>
      <c r="T2943" s="55" t="s">
        <v>2741</v>
      </c>
    </row>
    <row r="2944" spans="1:20" ht="13" x14ac:dyDescent="0.15">
      <c r="A2944" s="72" t="str">
        <f t="shared" si="45"/>
        <v>Ofsted Social Care Provider Webpage</v>
      </c>
      <c r="B2944" s="55" t="s">
        <v>5539</v>
      </c>
      <c r="D2944" s="55" t="s">
        <v>373</v>
      </c>
      <c r="E2944" s="74">
        <v>40469</v>
      </c>
      <c r="F2944" s="55" t="s">
        <v>344</v>
      </c>
      <c r="G2944" s="55" t="s">
        <v>360</v>
      </c>
      <c r="H2944" s="55" t="s">
        <v>360</v>
      </c>
      <c r="I2944" s="55" t="s">
        <v>360</v>
      </c>
      <c r="J2944" s="55" t="s">
        <v>360</v>
      </c>
      <c r="K2944" s="55" t="s">
        <v>360</v>
      </c>
      <c r="L2944" s="55" t="s">
        <v>360</v>
      </c>
      <c r="M2944" s="55" t="s">
        <v>172</v>
      </c>
      <c r="N2944" s="55" t="s">
        <v>172</v>
      </c>
      <c r="O2944" s="55" t="s">
        <v>214</v>
      </c>
      <c r="P2944" s="55" t="s">
        <v>790</v>
      </c>
      <c r="Q2944" s="55" t="s">
        <v>350</v>
      </c>
      <c r="R2944" s="55">
        <v>4</v>
      </c>
      <c r="S2944" s="55"/>
      <c r="T2944" s="55" t="s">
        <v>791</v>
      </c>
    </row>
    <row r="2945" spans="1:20" ht="13" x14ac:dyDescent="0.15">
      <c r="A2945" s="72" t="str">
        <f t="shared" si="45"/>
        <v>Ofsted Social Care Provider Webpage</v>
      </c>
      <c r="B2945" s="55" t="s">
        <v>5540</v>
      </c>
      <c r="D2945" s="55" t="s">
        <v>373</v>
      </c>
      <c r="E2945" s="74">
        <v>40494</v>
      </c>
      <c r="F2945" s="55" t="s">
        <v>344</v>
      </c>
      <c r="G2945" s="55" t="s">
        <v>360</v>
      </c>
      <c r="H2945" s="55" t="s">
        <v>360</v>
      </c>
      <c r="I2945" s="55" t="s">
        <v>360</v>
      </c>
      <c r="J2945" s="55" t="s">
        <v>360</v>
      </c>
      <c r="K2945" s="55" t="s">
        <v>360</v>
      </c>
      <c r="L2945" s="55" t="s">
        <v>360</v>
      </c>
      <c r="M2945" s="55" t="s">
        <v>144</v>
      </c>
      <c r="N2945" s="55" t="s">
        <v>144</v>
      </c>
      <c r="O2945" s="55" t="s">
        <v>163</v>
      </c>
      <c r="P2945" s="55" t="s">
        <v>472</v>
      </c>
      <c r="Q2945" s="55" t="s">
        <v>350</v>
      </c>
      <c r="R2945" s="55">
        <v>4</v>
      </c>
      <c r="S2945" s="55"/>
      <c r="T2945" s="55" t="s">
        <v>4600</v>
      </c>
    </row>
    <row r="2946" spans="1:20" ht="13" x14ac:dyDescent="0.15">
      <c r="A2946" s="72" t="str">
        <f t="shared" si="45"/>
        <v>Ofsted Social Care Provider Webpage</v>
      </c>
      <c r="B2946" s="55" t="s">
        <v>5541</v>
      </c>
      <c r="D2946" s="55" t="s">
        <v>373</v>
      </c>
      <c r="E2946" s="74">
        <v>40534</v>
      </c>
      <c r="F2946" s="55" t="s">
        <v>344</v>
      </c>
      <c r="G2946" s="55" t="s">
        <v>360</v>
      </c>
      <c r="H2946" s="55" t="s">
        <v>360</v>
      </c>
      <c r="I2946" s="55" t="s">
        <v>360</v>
      </c>
      <c r="J2946" s="55" t="s">
        <v>360</v>
      </c>
      <c r="K2946" s="55" t="s">
        <v>360</v>
      </c>
      <c r="L2946" s="55" t="s">
        <v>360</v>
      </c>
      <c r="M2946" s="55" t="s">
        <v>144</v>
      </c>
      <c r="N2946" s="55" t="s">
        <v>144</v>
      </c>
      <c r="O2946" s="55" t="s">
        <v>157</v>
      </c>
      <c r="P2946" s="55" t="s">
        <v>1092</v>
      </c>
      <c r="Q2946" s="55" t="s">
        <v>350</v>
      </c>
      <c r="R2946" s="55">
        <v>4</v>
      </c>
      <c r="S2946" s="55"/>
      <c r="T2946" s="55" t="s">
        <v>4738</v>
      </c>
    </row>
    <row r="2947" spans="1:20" ht="13" x14ac:dyDescent="0.15">
      <c r="A2947" s="72" t="str">
        <f t="shared" si="45"/>
        <v>Ofsted Social Care Provider Webpage</v>
      </c>
      <c r="B2947" s="55" t="s">
        <v>5542</v>
      </c>
      <c r="D2947" s="55" t="s">
        <v>373</v>
      </c>
      <c r="E2947" s="74">
        <v>40716</v>
      </c>
      <c r="F2947" s="55" t="s">
        <v>344</v>
      </c>
      <c r="G2947" s="55" t="s">
        <v>360</v>
      </c>
      <c r="H2947" s="55" t="s">
        <v>360</v>
      </c>
      <c r="I2947" s="55" t="s">
        <v>360</v>
      </c>
      <c r="J2947" s="55" t="s">
        <v>360</v>
      </c>
      <c r="K2947" s="55" t="s">
        <v>360</v>
      </c>
      <c r="L2947" s="55" t="s">
        <v>360</v>
      </c>
      <c r="M2947" s="55" t="s">
        <v>136</v>
      </c>
      <c r="N2947" s="55" t="s">
        <v>136</v>
      </c>
      <c r="O2947" s="55" t="s">
        <v>288</v>
      </c>
      <c r="P2947" s="55" t="s">
        <v>1037</v>
      </c>
      <c r="Q2947" s="55" t="s">
        <v>350</v>
      </c>
      <c r="R2947" s="55">
        <v>3</v>
      </c>
      <c r="S2947" s="55"/>
      <c r="T2947" s="55" t="s">
        <v>1051</v>
      </c>
    </row>
    <row r="2948" spans="1:20" ht="13" x14ac:dyDescent="0.15">
      <c r="A2948" s="72" t="str">
        <f t="shared" si="45"/>
        <v>Ofsted Social Care Provider Webpage</v>
      </c>
      <c r="B2948" s="55" t="s">
        <v>5543</v>
      </c>
      <c r="D2948" s="55" t="s">
        <v>389</v>
      </c>
      <c r="E2948" s="74">
        <v>40554</v>
      </c>
      <c r="F2948" s="55" t="s">
        <v>344</v>
      </c>
      <c r="G2948" s="55" t="s">
        <v>5544</v>
      </c>
      <c r="H2948" s="55" t="s">
        <v>5545</v>
      </c>
      <c r="I2948" s="55" t="s">
        <v>5546</v>
      </c>
      <c r="J2948" s="55" t="s">
        <v>1038</v>
      </c>
      <c r="K2948" s="55" t="s">
        <v>203</v>
      </c>
      <c r="L2948" s="55" t="s">
        <v>5547</v>
      </c>
      <c r="M2948" s="55" t="s">
        <v>150</v>
      </c>
      <c r="N2948" s="55" t="s">
        <v>150</v>
      </c>
      <c r="O2948" s="55" t="s">
        <v>203</v>
      </c>
      <c r="P2948" s="55" t="s">
        <v>1268</v>
      </c>
      <c r="Q2948" s="55" t="s">
        <v>362</v>
      </c>
      <c r="R2948" s="55"/>
      <c r="S2948" s="55"/>
      <c r="T2948" s="55" t="s">
        <v>856</v>
      </c>
    </row>
    <row r="2949" spans="1:20" ht="13" x14ac:dyDescent="0.15">
      <c r="A2949" s="72" t="str">
        <f t="shared" ref="A2949:A3012" si="46">HYPERLINK(_xlfn.CONCAT("http://reports.ofsted.gov.uk/inspection-reports/find-inspection-report/provider/CARE/",B2949),"Ofsted Social Care Provider Webpage")</f>
        <v>Ofsted Social Care Provider Webpage</v>
      </c>
      <c r="B2949" s="55" t="s">
        <v>5548</v>
      </c>
      <c r="D2949" s="55" t="s">
        <v>373</v>
      </c>
      <c r="E2949" s="74">
        <v>40532</v>
      </c>
      <c r="F2949" s="55" t="s">
        <v>344</v>
      </c>
      <c r="G2949" s="55" t="s">
        <v>360</v>
      </c>
      <c r="H2949" s="55" t="s">
        <v>360</v>
      </c>
      <c r="I2949" s="55" t="s">
        <v>360</v>
      </c>
      <c r="J2949" s="55" t="s">
        <v>360</v>
      </c>
      <c r="K2949" s="55" t="s">
        <v>360</v>
      </c>
      <c r="L2949" s="55" t="s">
        <v>360</v>
      </c>
      <c r="M2949" s="55" t="s">
        <v>142</v>
      </c>
      <c r="N2949" s="55" t="s">
        <v>142</v>
      </c>
      <c r="O2949" s="55" t="s">
        <v>262</v>
      </c>
      <c r="P2949" s="55" t="s">
        <v>618</v>
      </c>
      <c r="Q2949" s="55" t="s">
        <v>350</v>
      </c>
      <c r="R2949" s="55">
        <v>4</v>
      </c>
      <c r="S2949" s="55"/>
      <c r="T2949" s="55" t="s">
        <v>5406</v>
      </c>
    </row>
    <row r="2950" spans="1:20" ht="13" x14ac:dyDescent="0.15">
      <c r="A2950" s="72" t="str">
        <f t="shared" si="46"/>
        <v>Ofsted Social Care Provider Webpage</v>
      </c>
      <c r="B2950" s="55" t="s">
        <v>5549</v>
      </c>
      <c r="D2950" s="55" t="s">
        <v>373</v>
      </c>
      <c r="E2950" s="74">
        <v>40577</v>
      </c>
      <c r="F2950" s="55" t="s">
        <v>344</v>
      </c>
      <c r="G2950" s="55" t="s">
        <v>360</v>
      </c>
      <c r="H2950" s="55" t="s">
        <v>360</v>
      </c>
      <c r="I2950" s="55" t="s">
        <v>360</v>
      </c>
      <c r="J2950" s="55" t="s">
        <v>360</v>
      </c>
      <c r="K2950" s="55" t="s">
        <v>360</v>
      </c>
      <c r="L2950" s="55" t="s">
        <v>360</v>
      </c>
      <c r="M2950" s="55" t="s">
        <v>150</v>
      </c>
      <c r="N2950" s="55" t="s">
        <v>150</v>
      </c>
      <c r="O2950" s="55" t="s">
        <v>156</v>
      </c>
      <c r="P2950" s="55" t="s">
        <v>1576</v>
      </c>
      <c r="Q2950" s="55" t="s">
        <v>350</v>
      </c>
      <c r="R2950" s="55">
        <v>4</v>
      </c>
      <c r="S2950" s="55"/>
      <c r="T2950" s="55" t="s">
        <v>843</v>
      </c>
    </row>
    <row r="2951" spans="1:20" ht="13" x14ac:dyDescent="0.15">
      <c r="A2951" s="72" t="str">
        <f t="shared" si="46"/>
        <v>Ofsted Social Care Provider Webpage</v>
      </c>
      <c r="B2951" s="55" t="s">
        <v>5550</v>
      </c>
      <c r="D2951" s="55" t="s">
        <v>373</v>
      </c>
      <c r="E2951" s="74">
        <v>40549</v>
      </c>
      <c r="F2951" s="55" t="s">
        <v>344</v>
      </c>
      <c r="G2951" s="55" t="s">
        <v>360</v>
      </c>
      <c r="H2951" s="55" t="s">
        <v>360</v>
      </c>
      <c r="I2951" s="55" t="s">
        <v>360</v>
      </c>
      <c r="J2951" s="55" t="s">
        <v>360</v>
      </c>
      <c r="K2951" s="55" t="s">
        <v>360</v>
      </c>
      <c r="L2951" s="55" t="s">
        <v>360</v>
      </c>
      <c r="M2951" s="55" t="s">
        <v>144</v>
      </c>
      <c r="N2951" s="55" t="s">
        <v>144</v>
      </c>
      <c r="O2951" s="55" t="s">
        <v>209</v>
      </c>
      <c r="P2951" s="55" t="s">
        <v>364</v>
      </c>
      <c r="Q2951" s="55" t="s">
        <v>350</v>
      </c>
      <c r="R2951" s="55">
        <v>4</v>
      </c>
      <c r="S2951" s="55"/>
      <c r="T2951" s="55" t="s">
        <v>5551</v>
      </c>
    </row>
    <row r="2952" spans="1:20" ht="13" x14ac:dyDescent="0.15">
      <c r="A2952" s="72" t="str">
        <f t="shared" si="46"/>
        <v>Ofsted Social Care Provider Webpage</v>
      </c>
      <c r="B2952" s="55" t="s">
        <v>5552</v>
      </c>
      <c r="D2952" s="55" t="s">
        <v>373</v>
      </c>
      <c r="E2952" s="74">
        <v>40497</v>
      </c>
      <c r="F2952" s="55" t="s">
        <v>344</v>
      </c>
      <c r="G2952" s="55" t="s">
        <v>360</v>
      </c>
      <c r="H2952" s="55" t="s">
        <v>360</v>
      </c>
      <c r="I2952" s="55" t="s">
        <v>360</v>
      </c>
      <c r="J2952" s="55" t="s">
        <v>360</v>
      </c>
      <c r="K2952" s="55" t="s">
        <v>360</v>
      </c>
      <c r="L2952" s="55" t="s">
        <v>360</v>
      </c>
      <c r="M2952" s="55" t="s">
        <v>138</v>
      </c>
      <c r="N2952" s="55" t="s">
        <v>138</v>
      </c>
      <c r="O2952" s="55" t="s">
        <v>161</v>
      </c>
      <c r="P2952" s="55" t="s">
        <v>643</v>
      </c>
      <c r="Q2952" s="55" t="s">
        <v>350</v>
      </c>
      <c r="R2952" s="55">
        <v>3</v>
      </c>
      <c r="S2952" s="55"/>
      <c r="T2952" s="55" t="s">
        <v>4819</v>
      </c>
    </row>
    <row r="2953" spans="1:20" ht="13" x14ac:dyDescent="0.15">
      <c r="A2953" s="72" t="str">
        <f t="shared" si="46"/>
        <v>Ofsted Social Care Provider Webpage</v>
      </c>
      <c r="B2953" s="55" t="s">
        <v>5553</v>
      </c>
      <c r="D2953" s="55" t="s">
        <v>373</v>
      </c>
      <c r="E2953" s="74">
        <v>40567</v>
      </c>
      <c r="F2953" s="55" t="s">
        <v>344</v>
      </c>
      <c r="G2953" s="55" t="s">
        <v>360</v>
      </c>
      <c r="H2953" s="55" t="s">
        <v>360</v>
      </c>
      <c r="I2953" s="55" t="s">
        <v>360</v>
      </c>
      <c r="J2953" s="55" t="s">
        <v>360</v>
      </c>
      <c r="K2953" s="55" t="s">
        <v>360</v>
      </c>
      <c r="L2953" s="55" t="s">
        <v>360</v>
      </c>
      <c r="M2953" s="55" t="s">
        <v>138</v>
      </c>
      <c r="N2953" s="55" t="s">
        <v>138</v>
      </c>
      <c r="O2953" s="55" t="s">
        <v>196</v>
      </c>
      <c r="P2953" s="55" t="s">
        <v>1506</v>
      </c>
      <c r="Q2953" s="55" t="s">
        <v>380</v>
      </c>
      <c r="R2953" s="55">
        <v>4</v>
      </c>
      <c r="S2953" s="55"/>
      <c r="T2953" s="55" t="s">
        <v>2082</v>
      </c>
    </row>
    <row r="2954" spans="1:20" ht="13" x14ac:dyDescent="0.15">
      <c r="A2954" s="72" t="str">
        <f t="shared" si="46"/>
        <v>Ofsted Social Care Provider Webpage</v>
      </c>
      <c r="B2954" s="55" t="s">
        <v>5554</v>
      </c>
      <c r="D2954" s="55" t="s">
        <v>373</v>
      </c>
      <c r="E2954" s="74">
        <v>40603</v>
      </c>
      <c r="F2954" s="55" t="s">
        <v>344</v>
      </c>
      <c r="G2954" s="55" t="s">
        <v>360</v>
      </c>
      <c r="H2954" s="55" t="s">
        <v>360</v>
      </c>
      <c r="I2954" s="55" t="s">
        <v>360</v>
      </c>
      <c r="J2954" s="55" t="s">
        <v>360</v>
      </c>
      <c r="K2954" s="55" t="s">
        <v>360</v>
      </c>
      <c r="L2954" s="55" t="s">
        <v>360</v>
      </c>
      <c r="M2954" s="55" t="s">
        <v>378</v>
      </c>
      <c r="N2954" s="55" t="s">
        <v>134</v>
      </c>
      <c r="O2954" s="55" t="s">
        <v>133</v>
      </c>
      <c r="P2954" s="55" t="s">
        <v>2789</v>
      </c>
      <c r="Q2954" s="55" t="s">
        <v>380</v>
      </c>
      <c r="R2954" s="55">
        <v>10</v>
      </c>
      <c r="S2954" s="55" t="s">
        <v>332</v>
      </c>
      <c r="T2954" s="55" t="s">
        <v>5555</v>
      </c>
    </row>
    <row r="2955" spans="1:20" ht="13" x14ac:dyDescent="0.15">
      <c r="A2955" s="72" t="str">
        <f t="shared" si="46"/>
        <v>Ofsted Social Care Provider Webpage</v>
      </c>
      <c r="B2955" s="55" t="s">
        <v>5556</v>
      </c>
      <c r="D2955" s="55" t="s">
        <v>373</v>
      </c>
      <c r="E2955" s="74">
        <v>40533</v>
      </c>
      <c r="F2955" s="55" t="s">
        <v>344</v>
      </c>
      <c r="G2955" s="55" t="s">
        <v>360</v>
      </c>
      <c r="H2955" s="55" t="s">
        <v>360</v>
      </c>
      <c r="I2955" s="55" t="s">
        <v>360</v>
      </c>
      <c r="J2955" s="55" t="s">
        <v>360</v>
      </c>
      <c r="K2955" s="55" t="s">
        <v>360</v>
      </c>
      <c r="L2955" s="55" t="s">
        <v>360</v>
      </c>
      <c r="M2955" s="55" t="s">
        <v>144</v>
      </c>
      <c r="N2955" s="55" t="s">
        <v>144</v>
      </c>
      <c r="O2955" s="55" t="s">
        <v>261</v>
      </c>
      <c r="P2955" s="55" t="s">
        <v>512</v>
      </c>
      <c r="Q2955" s="55" t="s">
        <v>350</v>
      </c>
      <c r="R2955" s="55">
        <v>2</v>
      </c>
      <c r="S2955" s="55"/>
      <c r="T2955" s="55" t="s">
        <v>513</v>
      </c>
    </row>
    <row r="2956" spans="1:20" ht="13" x14ac:dyDescent="0.15">
      <c r="A2956" s="72" t="str">
        <f t="shared" si="46"/>
        <v>Ofsted Social Care Provider Webpage</v>
      </c>
      <c r="B2956" s="55" t="s">
        <v>5557</v>
      </c>
      <c r="D2956" s="55" t="s">
        <v>389</v>
      </c>
      <c r="E2956" s="74">
        <v>40624</v>
      </c>
      <c r="F2956" s="55" t="s">
        <v>344</v>
      </c>
      <c r="G2956" s="55" t="s">
        <v>5558</v>
      </c>
      <c r="H2956" s="55" t="s">
        <v>5559</v>
      </c>
      <c r="I2956" s="55" t="s">
        <v>5560</v>
      </c>
      <c r="J2956" s="55" t="s">
        <v>4584</v>
      </c>
      <c r="K2956" s="55" t="s">
        <v>190</v>
      </c>
      <c r="L2956" s="55" t="s">
        <v>5561</v>
      </c>
      <c r="M2956" s="55" t="s">
        <v>150</v>
      </c>
      <c r="N2956" s="55" t="s">
        <v>150</v>
      </c>
      <c r="O2956" s="55" t="s">
        <v>190</v>
      </c>
      <c r="P2956" s="55" t="s">
        <v>966</v>
      </c>
      <c r="Q2956" s="55" t="s">
        <v>350</v>
      </c>
      <c r="R2956" s="55"/>
      <c r="S2956" s="55"/>
      <c r="T2956" s="55" t="s">
        <v>3110</v>
      </c>
    </row>
    <row r="2957" spans="1:20" ht="13" x14ac:dyDescent="0.15">
      <c r="A2957" s="72" t="str">
        <f t="shared" si="46"/>
        <v>Ofsted Social Care Provider Webpage</v>
      </c>
      <c r="B2957" s="55" t="s">
        <v>5562</v>
      </c>
      <c r="D2957" s="55" t="s">
        <v>373</v>
      </c>
      <c r="E2957" s="74">
        <v>40571</v>
      </c>
      <c r="F2957" s="55" t="s">
        <v>344</v>
      </c>
      <c r="G2957" s="55" t="s">
        <v>360</v>
      </c>
      <c r="H2957" s="55" t="s">
        <v>360</v>
      </c>
      <c r="I2957" s="55" t="s">
        <v>360</v>
      </c>
      <c r="J2957" s="55" t="s">
        <v>360</v>
      </c>
      <c r="K2957" s="55" t="s">
        <v>360</v>
      </c>
      <c r="L2957" s="55" t="s">
        <v>360</v>
      </c>
      <c r="M2957" s="55" t="s">
        <v>378</v>
      </c>
      <c r="N2957" s="55" t="s">
        <v>170</v>
      </c>
      <c r="O2957" s="55" t="s">
        <v>178</v>
      </c>
      <c r="P2957" s="55" t="s">
        <v>1450</v>
      </c>
      <c r="Q2957" s="55" t="s">
        <v>350</v>
      </c>
      <c r="R2957" s="55">
        <v>8</v>
      </c>
      <c r="S2957" s="55"/>
      <c r="T2957" s="55" t="s">
        <v>843</v>
      </c>
    </row>
    <row r="2958" spans="1:20" ht="13" x14ac:dyDescent="0.15">
      <c r="A2958" s="72" t="str">
        <f t="shared" si="46"/>
        <v>Ofsted Social Care Provider Webpage</v>
      </c>
      <c r="B2958" s="55" t="s">
        <v>5563</v>
      </c>
      <c r="D2958" s="55" t="s">
        <v>373</v>
      </c>
      <c r="E2958" s="74">
        <v>40639</v>
      </c>
      <c r="F2958" s="55" t="s">
        <v>344</v>
      </c>
      <c r="G2958" s="55" t="s">
        <v>360</v>
      </c>
      <c r="H2958" s="55" t="s">
        <v>360</v>
      </c>
      <c r="I2958" s="55" t="s">
        <v>360</v>
      </c>
      <c r="J2958" s="55" t="s">
        <v>360</v>
      </c>
      <c r="K2958" s="55" t="s">
        <v>360</v>
      </c>
      <c r="L2958" s="55" t="s">
        <v>360</v>
      </c>
      <c r="M2958" s="55" t="s">
        <v>378</v>
      </c>
      <c r="N2958" s="55" t="s">
        <v>134</v>
      </c>
      <c r="O2958" s="55" t="s">
        <v>206</v>
      </c>
      <c r="P2958" s="55" t="s">
        <v>750</v>
      </c>
      <c r="Q2958" s="55" t="s">
        <v>362</v>
      </c>
      <c r="R2958" s="55">
        <v>5</v>
      </c>
      <c r="S2958" s="55"/>
      <c r="T2958" s="55" t="s">
        <v>5564</v>
      </c>
    </row>
    <row r="2959" spans="1:20" ht="13" x14ac:dyDescent="0.15">
      <c r="A2959" s="72" t="str">
        <f t="shared" si="46"/>
        <v>Ofsted Social Care Provider Webpage</v>
      </c>
      <c r="B2959" s="55" t="s">
        <v>5565</v>
      </c>
      <c r="D2959" s="55" t="s">
        <v>373</v>
      </c>
      <c r="E2959" s="74">
        <v>40627</v>
      </c>
      <c r="F2959" s="55" t="s">
        <v>344</v>
      </c>
      <c r="G2959" s="55" t="s">
        <v>360</v>
      </c>
      <c r="H2959" s="55" t="s">
        <v>360</v>
      </c>
      <c r="I2959" s="55" t="s">
        <v>360</v>
      </c>
      <c r="J2959" s="55" t="s">
        <v>360</v>
      </c>
      <c r="K2959" s="55" t="s">
        <v>360</v>
      </c>
      <c r="L2959" s="55" t="s">
        <v>360</v>
      </c>
      <c r="M2959" s="55" t="s">
        <v>138</v>
      </c>
      <c r="N2959" s="55" t="s">
        <v>138</v>
      </c>
      <c r="O2959" s="55" t="s">
        <v>183</v>
      </c>
      <c r="P2959" s="55" t="s">
        <v>508</v>
      </c>
      <c r="Q2959" s="55" t="s">
        <v>350</v>
      </c>
      <c r="R2959" s="55">
        <v>4</v>
      </c>
      <c r="S2959" s="55"/>
      <c r="T2959" s="55" t="s">
        <v>2222</v>
      </c>
    </row>
    <row r="2960" spans="1:20" ht="13" x14ac:dyDescent="0.15">
      <c r="A2960" s="72" t="str">
        <f t="shared" si="46"/>
        <v>Ofsted Social Care Provider Webpage</v>
      </c>
      <c r="B2960" s="55" t="s">
        <v>5566</v>
      </c>
      <c r="D2960" s="55" t="s">
        <v>373</v>
      </c>
      <c r="E2960" s="74">
        <v>40592</v>
      </c>
      <c r="F2960" s="55" t="s">
        <v>344</v>
      </c>
      <c r="G2960" s="55" t="s">
        <v>360</v>
      </c>
      <c r="H2960" s="55" t="s">
        <v>360</v>
      </c>
      <c r="I2960" s="55" t="s">
        <v>360</v>
      </c>
      <c r="J2960" s="55" t="s">
        <v>360</v>
      </c>
      <c r="K2960" s="55" t="s">
        <v>360</v>
      </c>
      <c r="L2960" s="55" t="s">
        <v>360</v>
      </c>
      <c r="M2960" s="55" t="s">
        <v>144</v>
      </c>
      <c r="N2960" s="55" t="s">
        <v>144</v>
      </c>
      <c r="O2960" s="55" t="s">
        <v>250</v>
      </c>
      <c r="P2960" s="55" t="s">
        <v>1372</v>
      </c>
      <c r="Q2960" s="55" t="s">
        <v>350</v>
      </c>
      <c r="R2960" s="55">
        <v>3</v>
      </c>
      <c r="S2960" s="55"/>
      <c r="T2960" s="55" t="s">
        <v>1414</v>
      </c>
    </row>
    <row r="2961" spans="1:20" ht="13" x14ac:dyDescent="0.15">
      <c r="A2961" s="72" t="str">
        <f t="shared" si="46"/>
        <v>Ofsted Social Care Provider Webpage</v>
      </c>
      <c r="B2961" s="55" t="s">
        <v>5567</v>
      </c>
      <c r="D2961" s="55" t="s">
        <v>373</v>
      </c>
      <c r="E2961" s="74">
        <v>40717</v>
      </c>
      <c r="F2961" s="55" t="s">
        <v>344</v>
      </c>
      <c r="G2961" s="55" t="s">
        <v>360</v>
      </c>
      <c r="H2961" s="55" t="s">
        <v>360</v>
      </c>
      <c r="I2961" s="55" t="s">
        <v>360</v>
      </c>
      <c r="J2961" s="55" t="s">
        <v>360</v>
      </c>
      <c r="K2961" s="55" t="s">
        <v>360</v>
      </c>
      <c r="L2961" s="55" t="s">
        <v>360</v>
      </c>
      <c r="M2961" s="55" t="s">
        <v>129</v>
      </c>
      <c r="N2961" s="55" t="s">
        <v>129</v>
      </c>
      <c r="O2961" s="55" t="s">
        <v>205</v>
      </c>
      <c r="P2961" s="55" t="s">
        <v>1312</v>
      </c>
      <c r="Q2961" s="55" t="s">
        <v>350</v>
      </c>
      <c r="R2961" s="55">
        <v>7</v>
      </c>
      <c r="S2961" s="55"/>
      <c r="T2961" s="55" t="s">
        <v>5568</v>
      </c>
    </row>
    <row r="2962" spans="1:20" ht="13" x14ac:dyDescent="0.15">
      <c r="A2962" s="72" t="str">
        <f t="shared" si="46"/>
        <v>Ofsted Social Care Provider Webpage</v>
      </c>
      <c r="B2962" s="55" t="s">
        <v>5569</v>
      </c>
      <c r="D2962" s="55" t="s">
        <v>373</v>
      </c>
      <c r="E2962" s="74">
        <v>40641</v>
      </c>
      <c r="F2962" s="55" t="s">
        <v>344</v>
      </c>
      <c r="G2962" s="55" t="s">
        <v>360</v>
      </c>
      <c r="H2962" s="55" t="s">
        <v>360</v>
      </c>
      <c r="I2962" s="55" t="s">
        <v>360</v>
      </c>
      <c r="J2962" s="55" t="s">
        <v>360</v>
      </c>
      <c r="K2962" s="55" t="s">
        <v>360</v>
      </c>
      <c r="L2962" s="55" t="s">
        <v>360</v>
      </c>
      <c r="M2962" s="55" t="s">
        <v>142</v>
      </c>
      <c r="N2962" s="55" t="s">
        <v>142</v>
      </c>
      <c r="O2962" s="55" t="s">
        <v>141</v>
      </c>
      <c r="P2962" s="55" t="s">
        <v>612</v>
      </c>
      <c r="Q2962" s="55" t="s">
        <v>350</v>
      </c>
      <c r="R2962" s="55">
        <v>3</v>
      </c>
      <c r="S2962" s="55"/>
      <c r="T2962" s="55" t="s">
        <v>1377</v>
      </c>
    </row>
    <row r="2963" spans="1:20" ht="13" x14ac:dyDescent="0.15">
      <c r="A2963" s="72" t="str">
        <f t="shared" si="46"/>
        <v>Ofsted Social Care Provider Webpage</v>
      </c>
      <c r="B2963" s="55" t="s">
        <v>5570</v>
      </c>
      <c r="D2963" s="55" t="s">
        <v>479</v>
      </c>
      <c r="E2963" s="74">
        <v>40850</v>
      </c>
      <c r="F2963" s="55" t="s">
        <v>344</v>
      </c>
      <c r="G2963" s="55" t="s">
        <v>360</v>
      </c>
      <c r="H2963" s="55" t="s">
        <v>360</v>
      </c>
      <c r="I2963" s="55" t="s">
        <v>360</v>
      </c>
      <c r="J2963" s="55" t="s">
        <v>360</v>
      </c>
      <c r="K2963" s="55" t="s">
        <v>360</v>
      </c>
      <c r="L2963" s="55" t="s">
        <v>360</v>
      </c>
      <c r="M2963" s="55" t="s">
        <v>378</v>
      </c>
      <c r="N2963" s="55" t="s">
        <v>134</v>
      </c>
      <c r="O2963" s="55" t="s">
        <v>251</v>
      </c>
      <c r="P2963" s="55" t="s">
        <v>1709</v>
      </c>
      <c r="Q2963" s="55" t="s">
        <v>362</v>
      </c>
      <c r="R2963" s="55">
        <v>5</v>
      </c>
      <c r="S2963" s="55"/>
      <c r="T2963" s="55" t="s">
        <v>5571</v>
      </c>
    </row>
    <row r="2964" spans="1:20" ht="13" x14ac:dyDescent="0.15">
      <c r="A2964" s="72" t="str">
        <f t="shared" si="46"/>
        <v>Ofsted Social Care Provider Webpage</v>
      </c>
      <c r="B2964" s="55" t="s">
        <v>5572</v>
      </c>
      <c r="D2964" s="55" t="s">
        <v>373</v>
      </c>
      <c r="E2964" s="74">
        <v>40603</v>
      </c>
      <c r="F2964" s="55" t="s">
        <v>344</v>
      </c>
      <c r="G2964" s="55" t="s">
        <v>360</v>
      </c>
      <c r="H2964" s="55" t="s">
        <v>360</v>
      </c>
      <c r="I2964" s="55" t="s">
        <v>360</v>
      </c>
      <c r="J2964" s="55" t="s">
        <v>360</v>
      </c>
      <c r="K2964" s="55" t="s">
        <v>360</v>
      </c>
      <c r="L2964" s="55" t="s">
        <v>360</v>
      </c>
      <c r="M2964" s="55" t="s">
        <v>129</v>
      </c>
      <c r="N2964" s="55" t="s">
        <v>129</v>
      </c>
      <c r="O2964" s="55" t="s">
        <v>128</v>
      </c>
      <c r="P2964" s="55" t="s">
        <v>1201</v>
      </c>
      <c r="Q2964" s="55" t="s">
        <v>350</v>
      </c>
      <c r="R2964" s="55">
        <v>5</v>
      </c>
      <c r="S2964" s="55"/>
      <c r="T2964" s="55" t="s">
        <v>5573</v>
      </c>
    </row>
    <row r="2965" spans="1:20" ht="13" x14ac:dyDescent="0.15">
      <c r="A2965" s="72" t="str">
        <f t="shared" si="46"/>
        <v>Ofsted Social Care Provider Webpage</v>
      </c>
      <c r="B2965" s="55" t="s">
        <v>5574</v>
      </c>
      <c r="D2965" s="55" t="s">
        <v>373</v>
      </c>
      <c r="E2965" s="74">
        <v>40616</v>
      </c>
      <c r="F2965" s="55" t="s">
        <v>344</v>
      </c>
      <c r="G2965" s="55" t="s">
        <v>360</v>
      </c>
      <c r="H2965" s="55" t="s">
        <v>360</v>
      </c>
      <c r="I2965" s="55" t="s">
        <v>360</v>
      </c>
      <c r="J2965" s="55" t="s">
        <v>360</v>
      </c>
      <c r="K2965" s="55" t="s">
        <v>360</v>
      </c>
      <c r="L2965" s="55" t="s">
        <v>360</v>
      </c>
      <c r="M2965" s="55" t="s">
        <v>150</v>
      </c>
      <c r="N2965" s="55" t="s">
        <v>150</v>
      </c>
      <c r="O2965" s="55" t="s">
        <v>156</v>
      </c>
      <c r="P2965" s="55" t="s">
        <v>1217</v>
      </c>
      <c r="Q2965" s="55" t="s">
        <v>362</v>
      </c>
      <c r="R2965" s="55">
        <v>14</v>
      </c>
      <c r="S2965" s="55" t="s">
        <v>332</v>
      </c>
      <c r="T2965" s="55" t="s">
        <v>367</v>
      </c>
    </row>
    <row r="2966" spans="1:20" ht="13" x14ac:dyDescent="0.15">
      <c r="A2966" s="72" t="str">
        <f t="shared" si="46"/>
        <v>Ofsted Social Care Provider Webpage</v>
      </c>
      <c r="B2966" s="55" t="s">
        <v>5575</v>
      </c>
      <c r="D2966" s="55" t="s">
        <v>373</v>
      </c>
      <c r="E2966" s="74">
        <v>40641</v>
      </c>
      <c r="F2966" s="55" t="s">
        <v>344</v>
      </c>
      <c r="G2966" s="55" t="s">
        <v>360</v>
      </c>
      <c r="H2966" s="55" t="s">
        <v>360</v>
      </c>
      <c r="I2966" s="55" t="s">
        <v>360</v>
      </c>
      <c r="J2966" s="55" t="s">
        <v>360</v>
      </c>
      <c r="K2966" s="55" t="s">
        <v>360</v>
      </c>
      <c r="L2966" s="55" t="s">
        <v>360</v>
      </c>
      <c r="M2966" s="55" t="s">
        <v>150</v>
      </c>
      <c r="N2966" s="55" t="s">
        <v>150</v>
      </c>
      <c r="O2966" s="55" t="s">
        <v>156</v>
      </c>
      <c r="P2966" s="55" t="s">
        <v>1277</v>
      </c>
      <c r="Q2966" s="55" t="s">
        <v>362</v>
      </c>
      <c r="R2966" s="55">
        <v>8</v>
      </c>
      <c r="S2966" s="55" t="s">
        <v>332</v>
      </c>
      <c r="T2966" s="55" t="s">
        <v>367</v>
      </c>
    </row>
    <row r="2967" spans="1:20" ht="13" x14ac:dyDescent="0.15">
      <c r="A2967" s="72" t="str">
        <f t="shared" si="46"/>
        <v>Ofsted Social Care Provider Webpage</v>
      </c>
      <c r="B2967" s="55" t="s">
        <v>5576</v>
      </c>
      <c r="D2967" s="55" t="s">
        <v>373</v>
      </c>
      <c r="E2967" s="74">
        <v>40612</v>
      </c>
      <c r="F2967" s="55" t="s">
        <v>344</v>
      </c>
      <c r="G2967" s="55" t="s">
        <v>360</v>
      </c>
      <c r="H2967" s="55" t="s">
        <v>360</v>
      </c>
      <c r="I2967" s="55" t="s">
        <v>360</v>
      </c>
      <c r="J2967" s="55" t="s">
        <v>360</v>
      </c>
      <c r="K2967" s="55" t="s">
        <v>360</v>
      </c>
      <c r="L2967" s="55" t="s">
        <v>360</v>
      </c>
      <c r="M2967" s="55" t="s">
        <v>378</v>
      </c>
      <c r="N2967" s="55" t="s">
        <v>134</v>
      </c>
      <c r="O2967" s="55" t="s">
        <v>151</v>
      </c>
      <c r="P2967" s="55" t="s">
        <v>1778</v>
      </c>
      <c r="Q2967" s="55" t="s">
        <v>350</v>
      </c>
      <c r="R2967" s="55">
        <v>6</v>
      </c>
      <c r="S2967" s="55"/>
      <c r="T2967" s="55" t="s">
        <v>385</v>
      </c>
    </row>
    <row r="2968" spans="1:20" ht="13" x14ac:dyDescent="0.15">
      <c r="A2968" s="72" t="str">
        <f t="shared" si="46"/>
        <v>Ofsted Social Care Provider Webpage</v>
      </c>
      <c r="B2968" s="55" t="s">
        <v>5577</v>
      </c>
      <c r="D2968" s="55" t="s">
        <v>373</v>
      </c>
      <c r="E2968" s="74">
        <v>40576</v>
      </c>
      <c r="F2968" s="55" t="s">
        <v>344</v>
      </c>
      <c r="G2968" s="55" t="s">
        <v>360</v>
      </c>
      <c r="H2968" s="55" t="s">
        <v>360</v>
      </c>
      <c r="I2968" s="55" t="s">
        <v>360</v>
      </c>
      <c r="J2968" s="55" t="s">
        <v>360</v>
      </c>
      <c r="K2968" s="55" t="s">
        <v>360</v>
      </c>
      <c r="L2968" s="55" t="s">
        <v>360</v>
      </c>
      <c r="M2968" s="55" t="s">
        <v>138</v>
      </c>
      <c r="N2968" s="55" t="s">
        <v>138</v>
      </c>
      <c r="O2968" s="55" t="s">
        <v>224</v>
      </c>
      <c r="P2968" s="55" t="s">
        <v>1675</v>
      </c>
      <c r="Q2968" s="55" t="s">
        <v>362</v>
      </c>
      <c r="R2968" s="55">
        <v>4</v>
      </c>
      <c r="S2968" s="55"/>
      <c r="T2968" s="55" t="s">
        <v>557</v>
      </c>
    </row>
    <row r="2969" spans="1:20" ht="13" x14ac:dyDescent="0.15">
      <c r="A2969" s="72" t="str">
        <f t="shared" si="46"/>
        <v>Ofsted Social Care Provider Webpage</v>
      </c>
      <c r="B2969" s="55" t="s">
        <v>5578</v>
      </c>
      <c r="D2969" s="55" t="s">
        <v>373</v>
      </c>
      <c r="E2969" s="74">
        <v>40590</v>
      </c>
      <c r="F2969" s="55" t="s">
        <v>344</v>
      </c>
      <c r="G2969" s="55" t="s">
        <v>360</v>
      </c>
      <c r="H2969" s="55" t="s">
        <v>360</v>
      </c>
      <c r="I2969" s="55" t="s">
        <v>360</v>
      </c>
      <c r="J2969" s="55" t="s">
        <v>360</v>
      </c>
      <c r="K2969" s="55" t="s">
        <v>360</v>
      </c>
      <c r="L2969" s="55" t="s">
        <v>360</v>
      </c>
      <c r="M2969" s="55" t="s">
        <v>172</v>
      </c>
      <c r="N2969" s="55" t="s">
        <v>172</v>
      </c>
      <c r="O2969" s="55" t="s">
        <v>234</v>
      </c>
      <c r="P2969" s="55" t="s">
        <v>965</v>
      </c>
      <c r="Q2969" s="55" t="s">
        <v>380</v>
      </c>
      <c r="R2969" s="55">
        <v>2</v>
      </c>
      <c r="S2969" s="55"/>
      <c r="T2969" s="55" t="s">
        <v>1271</v>
      </c>
    </row>
    <row r="2970" spans="1:20" ht="13" x14ac:dyDescent="0.15">
      <c r="A2970" s="72" t="str">
        <f t="shared" si="46"/>
        <v>Ofsted Social Care Provider Webpage</v>
      </c>
      <c r="B2970" s="55" t="s">
        <v>5579</v>
      </c>
      <c r="D2970" s="55" t="s">
        <v>373</v>
      </c>
      <c r="E2970" s="74">
        <v>40590</v>
      </c>
      <c r="F2970" s="55" t="s">
        <v>344</v>
      </c>
      <c r="G2970" s="55" t="s">
        <v>360</v>
      </c>
      <c r="H2970" s="55" t="s">
        <v>360</v>
      </c>
      <c r="I2970" s="55" t="s">
        <v>360</v>
      </c>
      <c r="J2970" s="55" t="s">
        <v>360</v>
      </c>
      <c r="K2970" s="55" t="s">
        <v>360</v>
      </c>
      <c r="L2970" s="55" t="s">
        <v>360</v>
      </c>
      <c r="M2970" s="55" t="s">
        <v>172</v>
      </c>
      <c r="N2970" s="55" t="s">
        <v>172</v>
      </c>
      <c r="O2970" s="55" t="s">
        <v>234</v>
      </c>
      <c r="P2970" s="55" t="s">
        <v>369</v>
      </c>
      <c r="Q2970" s="55" t="s">
        <v>380</v>
      </c>
      <c r="R2970" s="55">
        <v>2</v>
      </c>
      <c r="S2970" s="55"/>
      <c r="T2970" s="55" t="s">
        <v>1271</v>
      </c>
    </row>
    <row r="2971" spans="1:20" ht="13" x14ac:dyDescent="0.15">
      <c r="A2971" s="72" t="str">
        <f t="shared" si="46"/>
        <v>Ofsted Social Care Provider Webpage</v>
      </c>
      <c r="B2971" s="55" t="s">
        <v>5580</v>
      </c>
      <c r="D2971" s="55" t="s">
        <v>373</v>
      </c>
      <c r="E2971" s="74">
        <v>40590</v>
      </c>
      <c r="F2971" s="55" t="s">
        <v>344</v>
      </c>
      <c r="G2971" s="55" t="s">
        <v>360</v>
      </c>
      <c r="H2971" s="55" t="s">
        <v>360</v>
      </c>
      <c r="I2971" s="55" t="s">
        <v>360</v>
      </c>
      <c r="J2971" s="55" t="s">
        <v>360</v>
      </c>
      <c r="K2971" s="55" t="s">
        <v>360</v>
      </c>
      <c r="L2971" s="55" t="s">
        <v>360</v>
      </c>
      <c r="M2971" s="55" t="s">
        <v>172</v>
      </c>
      <c r="N2971" s="55" t="s">
        <v>172</v>
      </c>
      <c r="O2971" s="55" t="s">
        <v>234</v>
      </c>
      <c r="P2971" s="55" t="s">
        <v>369</v>
      </c>
      <c r="Q2971" s="55" t="s">
        <v>380</v>
      </c>
      <c r="R2971" s="55">
        <v>2</v>
      </c>
      <c r="S2971" s="55"/>
      <c r="T2971" s="55" t="s">
        <v>1271</v>
      </c>
    </row>
    <row r="2972" spans="1:20" ht="13" x14ac:dyDescent="0.15">
      <c r="A2972" s="72" t="str">
        <f t="shared" si="46"/>
        <v>Ofsted Social Care Provider Webpage</v>
      </c>
      <c r="B2972" s="55" t="s">
        <v>5581</v>
      </c>
      <c r="D2972" s="55" t="s">
        <v>373</v>
      </c>
      <c r="E2972" s="74">
        <v>40634</v>
      </c>
      <c r="F2972" s="55" t="s">
        <v>344</v>
      </c>
      <c r="G2972" s="55" t="s">
        <v>360</v>
      </c>
      <c r="H2972" s="55" t="s">
        <v>360</v>
      </c>
      <c r="I2972" s="55" t="s">
        <v>360</v>
      </c>
      <c r="J2972" s="55" t="s">
        <v>360</v>
      </c>
      <c r="K2972" s="55" t="s">
        <v>360</v>
      </c>
      <c r="L2972" s="55" t="s">
        <v>360</v>
      </c>
      <c r="M2972" s="55" t="s">
        <v>378</v>
      </c>
      <c r="N2972" s="55" t="s">
        <v>134</v>
      </c>
      <c r="O2972" s="55" t="s">
        <v>206</v>
      </c>
      <c r="P2972" s="55" t="s">
        <v>710</v>
      </c>
      <c r="Q2972" s="55" t="s">
        <v>350</v>
      </c>
      <c r="R2972" s="55">
        <v>3</v>
      </c>
      <c r="S2972" s="55"/>
      <c r="T2972" s="55" t="s">
        <v>1237</v>
      </c>
    </row>
    <row r="2973" spans="1:20" ht="13" x14ac:dyDescent="0.15">
      <c r="A2973" s="72" t="str">
        <f t="shared" si="46"/>
        <v>Ofsted Social Care Provider Webpage</v>
      </c>
      <c r="B2973" s="55" t="s">
        <v>5582</v>
      </c>
      <c r="D2973" s="55" t="s">
        <v>373</v>
      </c>
      <c r="E2973" s="74">
        <v>40637</v>
      </c>
      <c r="F2973" s="55" t="s">
        <v>344</v>
      </c>
      <c r="G2973" s="55" t="s">
        <v>360</v>
      </c>
      <c r="H2973" s="55" t="s">
        <v>360</v>
      </c>
      <c r="I2973" s="55" t="s">
        <v>360</v>
      </c>
      <c r="J2973" s="55" t="s">
        <v>360</v>
      </c>
      <c r="K2973" s="55" t="s">
        <v>360</v>
      </c>
      <c r="L2973" s="55" t="s">
        <v>360</v>
      </c>
      <c r="M2973" s="55" t="s">
        <v>142</v>
      </c>
      <c r="N2973" s="55" t="s">
        <v>142</v>
      </c>
      <c r="O2973" s="55" t="s">
        <v>141</v>
      </c>
      <c r="P2973" s="55" t="s">
        <v>1231</v>
      </c>
      <c r="Q2973" s="55" t="s">
        <v>350</v>
      </c>
      <c r="R2973" s="55">
        <v>6</v>
      </c>
      <c r="S2973" s="55"/>
      <c r="T2973" s="55" t="s">
        <v>385</v>
      </c>
    </row>
    <row r="2974" spans="1:20" ht="13" x14ac:dyDescent="0.15">
      <c r="A2974" s="72" t="str">
        <f t="shared" si="46"/>
        <v>Ofsted Social Care Provider Webpage</v>
      </c>
      <c r="B2974" s="55" t="s">
        <v>5583</v>
      </c>
      <c r="D2974" s="55" t="s">
        <v>373</v>
      </c>
      <c r="E2974" s="74">
        <v>40659</v>
      </c>
      <c r="F2974" s="55" t="s">
        <v>344</v>
      </c>
      <c r="G2974" s="55" t="s">
        <v>360</v>
      </c>
      <c r="H2974" s="55" t="s">
        <v>360</v>
      </c>
      <c r="I2974" s="55" t="s">
        <v>360</v>
      </c>
      <c r="J2974" s="55" t="s">
        <v>360</v>
      </c>
      <c r="K2974" s="55" t="s">
        <v>360</v>
      </c>
      <c r="L2974" s="55" t="s">
        <v>360</v>
      </c>
      <c r="M2974" s="55" t="s">
        <v>138</v>
      </c>
      <c r="N2974" s="55" t="s">
        <v>138</v>
      </c>
      <c r="O2974" s="55" t="s">
        <v>224</v>
      </c>
      <c r="P2974" s="55" t="s">
        <v>1552</v>
      </c>
      <c r="Q2974" s="55" t="s">
        <v>350</v>
      </c>
      <c r="R2974" s="55">
        <v>7</v>
      </c>
      <c r="S2974" s="55"/>
      <c r="T2974" s="55" t="s">
        <v>1124</v>
      </c>
    </row>
    <row r="2975" spans="1:20" ht="13" x14ac:dyDescent="0.15">
      <c r="A2975" s="72" t="str">
        <f t="shared" si="46"/>
        <v>Ofsted Social Care Provider Webpage</v>
      </c>
      <c r="B2975" s="55" t="s">
        <v>5584</v>
      </c>
      <c r="D2975" s="55" t="s">
        <v>373</v>
      </c>
      <c r="E2975" s="74">
        <v>40980</v>
      </c>
      <c r="F2975" s="55" t="s">
        <v>344</v>
      </c>
      <c r="G2975" s="55" t="s">
        <v>360</v>
      </c>
      <c r="H2975" s="55" t="s">
        <v>360</v>
      </c>
      <c r="I2975" s="55" t="s">
        <v>360</v>
      </c>
      <c r="J2975" s="55" t="s">
        <v>360</v>
      </c>
      <c r="K2975" s="55" t="s">
        <v>360</v>
      </c>
      <c r="L2975" s="55" t="s">
        <v>360</v>
      </c>
      <c r="M2975" s="55" t="s">
        <v>150</v>
      </c>
      <c r="N2975" s="55" t="s">
        <v>150</v>
      </c>
      <c r="O2975" s="55" t="s">
        <v>203</v>
      </c>
      <c r="P2975" s="55" t="s">
        <v>1268</v>
      </c>
      <c r="Q2975" s="55" t="s">
        <v>350</v>
      </c>
      <c r="R2975" s="55">
        <v>6</v>
      </c>
      <c r="S2975" s="55"/>
      <c r="T2975" s="55" t="s">
        <v>2873</v>
      </c>
    </row>
    <row r="2976" spans="1:20" ht="13" x14ac:dyDescent="0.15">
      <c r="A2976" s="72" t="str">
        <f t="shared" si="46"/>
        <v>Ofsted Social Care Provider Webpage</v>
      </c>
      <c r="B2976" s="55" t="s">
        <v>5585</v>
      </c>
      <c r="D2976" s="55" t="s">
        <v>389</v>
      </c>
      <c r="E2976" s="74">
        <v>40630</v>
      </c>
      <c r="F2976" s="55" t="s">
        <v>344</v>
      </c>
      <c r="G2976" s="55" t="s">
        <v>3286</v>
      </c>
      <c r="H2976" s="55" t="s">
        <v>5586</v>
      </c>
      <c r="I2976" s="55" t="s">
        <v>354</v>
      </c>
      <c r="J2976" s="55" t="s">
        <v>4086</v>
      </c>
      <c r="L2976" s="55" t="s">
        <v>5587</v>
      </c>
      <c r="M2976" s="55" t="s">
        <v>142</v>
      </c>
      <c r="N2976" s="55" t="s">
        <v>142</v>
      </c>
      <c r="O2976" s="55" t="s">
        <v>166</v>
      </c>
      <c r="P2976" s="55" t="s">
        <v>1301</v>
      </c>
      <c r="Q2976" s="55" t="s">
        <v>350</v>
      </c>
      <c r="R2976" s="55"/>
      <c r="S2976" s="55"/>
      <c r="T2976" s="55" t="s">
        <v>3290</v>
      </c>
    </row>
    <row r="2977" spans="1:20" ht="13" x14ac:dyDescent="0.15">
      <c r="A2977" s="72" t="str">
        <f t="shared" si="46"/>
        <v>Ofsted Social Care Provider Webpage</v>
      </c>
      <c r="B2977" s="55" t="s">
        <v>5588</v>
      </c>
      <c r="D2977" s="55" t="s">
        <v>373</v>
      </c>
      <c r="E2977" s="74">
        <v>40592</v>
      </c>
      <c r="F2977" s="55" t="s">
        <v>344</v>
      </c>
      <c r="G2977" s="55" t="s">
        <v>360</v>
      </c>
      <c r="H2977" s="55" t="s">
        <v>360</v>
      </c>
      <c r="I2977" s="55" t="s">
        <v>360</v>
      </c>
      <c r="J2977" s="55" t="s">
        <v>360</v>
      </c>
      <c r="K2977" s="55" t="s">
        <v>360</v>
      </c>
      <c r="L2977" s="55" t="s">
        <v>360</v>
      </c>
      <c r="M2977" s="55" t="s">
        <v>138</v>
      </c>
      <c r="N2977" s="55" t="s">
        <v>138</v>
      </c>
      <c r="O2977" s="55" t="s">
        <v>196</v>
      </c>
      <c r="P2977" s="55" t="s">
        <v>4371</v>
      </c>
      <c r="Q2977" s="55" t="s">
        <v>350</v>
      </c>
      <c r="R2977" s="55">
        <v>4</v>
      </c>
      <c r="S2977" s="55"/>
      <c r="T2977" s="55" t="s">
        <v>2906</v>
      </c>
    </row>
    <row r="2978" spans="1:20" ht="13" x14ac:dyDescent="0.15">
      <c r="A2978" s="72" t="str">
        <f t="shared" si="46"/>
        <v>Ofsted Social Care Provider Webpage</v>
      </c>
      <c r="B2978" s="55" t="s">
        <v>5589</v>
      </c>
      <c r="C2978" s="55">
        <v>136047</v>
      </c>
      <c r="D2978" s="55" t="s">
        <v>413</v>
      </c>
      <c r="E2978" s="74">
        <v>40577</v>
      </c>
      <c r="F2978" s="55" t="s">
        <v>344</v>
      </c>
      <c r="G2978" s="55" t="s">
        <v>5590</v>
      </c>
      <c r="H2978" s="55" t="s">
        <v>5591</v>
      </c>
      <c r="I2978" s="55" t="s">
        <v>5592</v>
      </c>
      <c r="J2978" s="55" t="s">
        <v>1073</v>
      </c>
      <c r="L2978" s="55" t="s">
        <v>5593</v>
      </c>
      <c r="M2978" s="55" t="s">
        <v>138</v>
      </c>
      <c r="N2978" s="55" t="s">
        <v>138</v>
      </c>
      <c r="O2978" s="55" t="s">
        <v>159</v>
      </c>
      <c r="P2978" s="55" t="s">
        <v>633</v>
      </c>
      <c r="Q2978" s="55" t="s">
        <v>350</v>
      </c>
      <c r="R2978" s="55">
        <v>14</v>
      </c>
      <c r="S2978" s="55"/>
      <c r="T2978" s="55" t="s">
        <v>5594</v>
      </c>
    </row>
    <row r="2979" spans="1:20" ht="13" x14ac:dyDescent="0.15">
      <c r="A2979" s="72" t="str">
        <f t="shared" si="46"/>
        <v>Ofsted Social Care Provider Webpage</v>
      </c>
      <c r="B2979" s="55" t="s">
        <v>5595</v>
      </c>
      <c r="D2979" s="55" t="s">
        <v>373</v>
      </c>
      <c r="E2979" s="74">
        <v>40632</v>
      </c>
      <c r="F2979" s="55" t="s">
        <v>344</v>
      </c>
      <c r="G2979" s="55" t="s">
        <v>360</v>
      </c>
      <c r="H2979" s="55" t="s">
        <v>360</v>
      </c>
      <c r="I2979" s="55" t="s">
        <v>360</v>
      </c>
      <c r="J2979" s="55" t="s">
        <v>360</v>
      </c>
      <c r="K2979" s="55" t="s">
        <v>360</v>
      </c>
      <c r="L2979" s="55" t="s">
        <v>360</v>
      </c>
      <c r="M2979" s="55" t="s">
        <v>150</v>
      </c>
      <c r="N2979" s="55" t="s">
        <v>150</v>
      </c>
      <c r="O2979" s="55" t="s">
        <v>203</v>
      </c>
      <c r="P2979" s="55" t="s">
        <v>1835</v>
      </c>
      <c r="Q2979" s="55" t="s">
        <v>362</v>
      </c>
      <c r="R2979" s="55">
        <v>10</v>
      </c>
      <c r="S2979" s="55"/>
      <c r="T2979" s="55" t="s">
        <v>5596</v>
      </c>
    </row>
    <row r="2980" spans="1:20" ht="13" x14ac:dyDescent="0.15">
      <c r="A2980" s="72" t="str">
        <f t="shared" si="46"/>
        <v>Ofsted Social Care Provider Webpage</v>
      </c>
      <c r="B2980" s="55" t="s">
        <v>5597</v>
      </c>
      <c r="D2980" s="55" t="s">
        <v>373</v>
      </c>
      <c r="E2980" s="74">
        <v>40661</v>
      </c>
      <c r="F2980" s="55" t="s">
        <v>344</v>
      </c>
      <c r="G2980" s="55" t="s">
        <v>360</v>
      </c>
      <c r="H2980" s="55" t="s">
        <v>360</v>
      </c>
      <c r="I2980" s="55" t="s">
        <v>360</v>
      </c>
      <c r="J2980" s="55" t="s">
        <v>360</v>
      </c>
      <c r="K2980" s="55" t="s">
        <v>360</v>
      </c>
      <c r="L2980" s="55" t="s">
        <v>360</v>
      </c>
      <c r="M2980" s="55" t="s">
        <v>142</v>
      </c>
      <c r="N2980" s="55" t="s">
        <v>142</v>
      </c>
      <c r="O2980" s="55" t="s">
        <v>262</v>
      </c>
      <c r="P2980" s="55" t="s">
        <v>488</v>
      </c>
      <c r="Q2980" s="55" t="s">
        <v>350</v>
      </c>
      <c r="R2980" s="55">
        <v>3</v>
      </c>
      <c r="S2980" s="55"/>
      <c r="T2980" s="55" t="s">
        <v>5366</v>
      </c>
    </row>
    <row r="2981" spans="1:20" ht="13" x14ac:dyDescent="0.15">
      <c r="A2981" s="72" t="str">
        <f t="shared" si="46"/>
        <v>Ofsted Social Care Provider Webpage</v>
      </c>
      <c r="B2981" s="55" t="s">
        <v>5598</v>
      </c>
      <c r="D2981" s="55" t="s">
        <v>373</v>
      </c>
      <c r="E2981" s="74">
        <v>40697</v>
      </c>
      <c r="F2981" s="55" t="s">
        <v>344</v>
      </c>
      <c r="G2981" s="55" t="s">
        <v>360</v>
      </c>
      <c r="H2981" s="55" t="s">
        <v>360</v>
      </c>
      <c r="I2981" s="55" t="s">
        <v>360</v>
      </c>
      <c r="J2981" s="55" t="s">
        <v>360</v>
      </c>
      <c r="K2981" s="55" t="s">
        <v>360</v>
      </c>
      <c r="L2981" s="55" t="s">
        <v>360</v>
      </c>
      <c r="M2981" s="55" t="s">
        <v>144</v>
      </c>
      <c r="N2981" s="55" t="s">
        <v>144</v>
      </c>
      <c r="O2981" s="55" t="s">
        <v>250</v>
      </c>
      <c r="P2981" s="55" t="s">
        <v>759</v>
      </c>
      <c r="Q2981" s="55" t="s">
        <v>362</v>
      </c>
      <c r="R2981" s="55">
        <v>7</v>
      </c>
      <c r="S2981" s="55"/>
      <c r="T2981" s="55" t="s">
        <v>5599</v>
      </c>
    </row>
    <row r="2982" spans="1:20" ht="13" x14ac:dyDescent="0.15">
      <c r="A2982" s="72" t="str">
        <f t="shared" si="46"/>
        <v>Ofsted Social Care Provider Webpage</v>
      </c>
      <c r="B2982" s="55" t="s">
        <v>5600</v>
      </c>
      <c r="D2982" s="55" t="s">
        <v>373</v>
      </c>
      <c r="E2982" s="74">
        <v>40639</v>
      </c>
      <c r="F2982" s="55" t="s">
        <v>344</v>
      </c>
      <c r="G2982" s="55" t="s">
        <v>360</v>
      </c>
      <c r="H2982" s="55" t="s">
        <v>360</v>
      </c>
      <c r="I2982" s="55" t="s">
        <v>360</v>
      </c>
      <c r="J2982" s="55" t="s">
        <v>360</v>
      </c>
      <c r="K2982" s="55" t="s">
        <v>360</v>
      </c>
      <c r="L2982" s="55" t="s">
        <v>360</v>
      </c>
      <c r="M2982" s="55" t="s">
        <v>138</v>
      </c>
      <c r="N2982" s="55" t="s">
        <v>138</v>
      </c>
      <c r="O2982" s="55" t="s">
        <v>196</v>
      </c>
      <c r="P2982" s="55" t="s">
        <v>1368</v>
      </c>
      <c r="Q2982" s="55" t="s">
        <v>362</v>
      </c>
      <c r="R2982" s="55">
        <v>6</v>
      </c>
      <c r="S2982" s="55" t="s">
        <v>332</v>
      </c>
      <c r="T2982" s="55" t="s">
        <v>367</v>
      </c>
    </row>
    <row r="2983" spans="1:20" ht="13" x14ac:dyDescent="0.15">
      <c r="A2983" s="72" t="str">
        <f t="shared" si="46"/>
        <v>Ofsted Social Care Provider Webpage</v>
      </c>
      <c r="B2983" s="55" t="s">
        <v>5601</v>
      </c>
      <c r="D2983" s="55" t="s">
        <v>373</v>
      </c>
      <c r="E2983" s="74">
        <v>40635</v>
      </c>
      <c r="F2983" s="55" t="s">
        <v>344</v>
      </c>
      <c r="G2983" s="55" t="s">
        <v>360</v>
      </c>
      <c r="H2983" s="55" t="s">
        <v>360</v>
      </c>
      <c r="I2983" s="55" t="s">
        <v>360</v>
      </c>
      <c r="J2983" s="55" t="s">
        <v>360</v>
      </c>
      <c r="K2983" s="55" t="s">
        <v>360</v>
      </c>
      <c r="L2983" s="55" t="s">
        <v>360</v>
      </c>
      <c r="M2983" s="55" t="s">
        <v>142</v>
      </c>
      <c r="N2983" s="55" t="s">
        <v>142</v>
      </c>
      <c r="O2983" s="55" t="s">
        <v>265</v>
      </c>
      <c r="P2983" s="55" t="s">
        <v>540</v>
      </c>
      <c r="Q2983" s="55" t="s">
        <v>350</v>
      </c>
      <c r="R2983" s="55">
        <v>2</v>
      </c>
      <c r="S2983" s="55"/>
      <c r="T2983" s="55" t="s">
        <v>917</v>
      </c>
    </row>
    <row r="2984" spans="1:20" ht="13" x14ac:dyDescent="0.15">
      <c r="A2984" s="72" t="str">
        <f t="shared" si="46"/>
        <v>Ofsted Social Care Provider Webpage</v>
      </c>
      <c r="B2984" s="55" t="s">
        <v>5602</v>
      </c>
      <c r="D2984" s="55" t="s">
        <v>373</v>
      </c>
      <c r="E2984" s="74">
        <v>40791</v>
      </c>
      <c r="F2984" s="55" t="s">
        <v>344</v>
      </c>
      <c r="G2984" s="55" t="s">
        <v>360</v>
      </c>
      <c r="H2984" s="55" t="s">
        <v>360</v>
      </c>
      <c r="I2984" s="55" t="s">
        <v>360</v>
      </c>
      <c r="J2984" s="55" t="s">
        <v>360</v>
      </c>
      <c r="K2984" s="55" t="s">
        <v>360</v>
      </c>
      <c r="L2984" s="55" t="s">
        <v>360</v>
      </c>
      <c r="M2984" s="55" t="s">
        <v>150</v>
      </c>
      <c r="N2984" s="55" t="s">
        <v>150</v>
      </c>
      <c r="O2984" s="55" t="s">
        <v>268</v>
      </c>
      <c r="P2984" s="55" t="s">
        <v>1943</v>
      </c>
      <c r="Q2984" s="55" t="s">
        <v>350</v>
      </c>
      <c r="R2984" s="55">
        <v>3</v>
      </c>
      <c r="S2984" s="55"/>
      <c r="T2984" s="55" t="s">
        <v>931</v>
      </c>
    </row>
    <row r="2985" spans="1:20" ht="13" x14ac:dyDescent="0.15">
      <c r="A2985" s="72" t="str">
        <f t="shared" si="46"/>
        <v>Ofsted Social Care Provider Webpage</v>
      </c>
      <c r="B2985" s="55" t="s">
        <v>5603</v>
      </c>
      <c r="D2985" s="55" t="s">
        <v>373</v>
      </c>
      <c r="E2985" s="74">
        <v>40707</v>
      </c>
      <c r="F2985" s="55" t="s">
        <v>344</v>
      </c>
      <c r="G2985" s="55" t="s">
        <v>360</v>
      </c>
      <c r="H2985" s="55" t="s">
        <v>360</v>
      </c>
      <c r="I2985" s="55" t="s">
        <v>360</v>
      </c>
      <c r="J2985" s="55" t="s">
        <v>360</v>
      </c>
      <c r="K2985" s="55" t="s">
        <v>360</v>
      </c>
      <c r="L2985" s="55" t="s">
        <v>360</v>
      </c>
      <c r="M2985" s="55" t="s">
        <v>142</v>
      </c>
      <c r="N2985" s="55" t="s">
        <v>142</v>
      </c>
      <c r="O2985" s="55" t="s">
        <v>272</v>
      </c>
      <c r="P2985" s="55" t="s">
        <v>653</v>
      </c>
      <c r="Q2985" s="55" t="s">
        <v>350</v>
      </c>
      <c r="R2985" s="55">
        <v>6</v>
      </c>
      <c r="S2985" s="55"/>
      <c r="T2985" s="55" t="s">
        <v>751</v>
      </c>
    </row>
    <row r="2986" spans="1:20" ht="13" x14ac:dyDescent="0.15">
      <c r="A2986" s="72" t="str">
        <f t="shared" si="46"/>
        <v>Ofsted Social Care Provider Webpage</v>
      </c>
      <c r="B2986" s="55" t="s">
        <v>5604</v>
      </c>
      <c r="D2986" s="55" t="s">
        <v>373</v>
      </c>
      <c r="E2986" s="74">
        <v>40673</v>
      </c>
      <c r="F2986" s="55" t="s">
        <v>344</v>
      </c>
      <c r="G2986" s="55" t="s">
        <v>360</v>
      </c>
      <c r="H2986" s="55" t="s">
        <v>360</v>
      </c>
      <c r="I2986" s="55" t="s">
        <v>360</v>
      </c>
      <c r="J2986" s="55" t="s">
        <v>360</v>
      </c>
      <c r="K2986" s="55" t="s">
        <v>360</v>
      </c>
      <c r="L2986" s="55" t="s">
        <v>360</v>
      </c>
      <c r="M2986" s="55" t="s">
        <v>172</v>
      </c>
      <c r="N2986" s="55" t="s">
        <v>172</v>
      </c>
      <c r="O2986" s="55" t="s">
        <v>173</v>
      </c>
      <c r="P2986" s="55" t="s">
        <v>1540</v>
      </c>
      <c r="Q2986" s="55" t="s">
        <v>350</v>
      </c>
      <c r="R2986" s="55">
        <v>6</v>
      </c>
      <c r="S2986" s="55"/>
      <c r="T2986" s="55" t="s">
        <v>1713</v>
      </c>
    </row>
    <row r="2987" spans="1:20" ht="13" x14ac:dyDescent="0.15">
      <c r="A2987" s="72" t="str">
        <f t="shared" si="46"/>
        <v>Ofsted Social Care Provider Webpage</v>
      </c>
      <c r="B2987" s="55" t="s">
        <v>5605</v>
      </c>
      <c r="D2987" s="55" t="s">
        <v>373</v>
      </c>
      <c r="E2987" s="74">
        <v>40682</v>
      </c>
      <c r="F2987" s="55" t="s">
        <v>344</v>
      </c>
      <c r="G2987" s="55" t="s">
        <v>360</v>
      </c>
      <c r="H2987" s="55" t="s">
        <v>360</v>
      </c>
      <c r="I2987" s="55" t="s">
        <v>360</v>
      </c>
      <c r="J2987" s="55" t="s">
        <v>360</v>
      </c>
      <c r="K2987" s="55" t="s">
        <v>360</v>
      </c>
      <c r="L2987" s="55" t="s">
        <v>360</v>
      </c>
      <c r="M2987" s="55" t="s">
        <v>172</v>
      </c>
      <c r="N2987" s="55" t="s">
        <v>172</v>
      </c>
      <c r="O2987" s="55" t="s">
        <v>234</v>
      </c>
      <c r="P2987" s="55" t="s">
        <v>965</v>
      </c>
      <c r="Q2987" s="55" t="s">
        <v>380</v>
      </c>
      <c r="R2987" s="55">
        <v>3</v>
      </c>
      <c r="S2987" s="55"/>
      <c r="T2987" s="55" t="s">
        <v>1271</v>
      </c>
    </row>
    <row r="2988" spans="1:20" ht="13" x14ac:dyDescent="0.15">
      <c r="A2988" s="72" t="str">
        <f t="shared" si="46"/>
        <v>Ofsted Social Care Provider Webpage</v>
      </c>
      <c r="B2988" s="55" t="s">
        <v>5606</v>
      </c>
      <c r="D2988" s="55" t="s">
        <v>373</v>
      </c>
      <c r="E2988" s="74">
        <v>40668</v>
      </c>
      <c r="F2988" s="55" t="s">
        <v>344</v>
      </c>
      <c r="G2988" s="55" t="s">
        <v>360</v>
      </c>
      <c r="H2988" s="55" t="s">
        <v>360</v>
      </c>
      <c r="I2988" s="55" t="s">
        <v>360</v>
      </c>
      <c r="J2988" s="55" t="s">
        <v>360</v>
      </c>
      <c r="K2988" s="55" t="s">
        <v>360</v>
      </c>
      <c r="L2988" s="55" t="s">
        <v>360</v>
      </c>
      <c r="M2988" s="55" t="s">
        <v>138</v>
      </c>
      <c r="N2988" s="55" t="s">
        <v>138</v>
      </c>
      <c r="O2988" s="55" t="s">
        <v>266</v>
      </c>
      <c r="P2988" s="55" t="s">
        <v>4472</v>
      </c>
      <c r="Q2988" s="55" t="s">
        <v>350</v>
      </c>
      <c r="R2988" s="55">
        <v>3</v>
      </c>
      <c r="S2988" s="55"/>
      <c r="T2988" s="55" t="s">
        <v>5607</v>
      </c>
    </row>
    <row r="2989" spans="1:20" ht="13" x14ac:dyDescent="0.15">
      <c r="A2989" s="72" t="str">
        <f t="shared" si="46"/>
        <v>Ofsted Social Care Provider Webpage</v>
      </c>
      <c r="B2989" s="55" t="s">
        <v>5608</v>
      </c>
      <c r="D2989" s="55" t="s">
        <v>373</v>
      </c>
      <c r="E2989" s="74">
        <v>40660</v>
      </c>
      <c r="F2989" s="55" t="s">
        <v>344</v>
      </c>
      <c r="G2989" s="55" t="s">
        <v>360</v>
      </c>
      <c r="H2989" s="55" t="s">
        <v>360</v>
      </c>
      <c r="I2989" s="55" t="s">
        <v>360</v>
      </c>
      <c r="J2989" s="55" t="s">
        <v>360</v>
      </c>
      <c r="K2989" s="55" t="s">
        <v>360</v>
      </c>
      <c r="L2989" s="55" t="s">
        <v>360</v>
      </c>
      <c r="M2989" s="55" t="s">
        <v>378</v>
      </c>
      <c r="N2989" s="55" t="s">
        <v>134</v>
      </c>
      <c r="O2989" s="55" t="s">
        <v>277</v>
      </c>
      <c r="P2989" s="55" t="s">
        <v>461</v>
      </c>
      <c r="Q2989" s="55" t="s">
        <v>380</v>
      </c>
      <c r="R2989" s="55">
        <v>7</v>
      </c>
      <c r="S2989" s="55" t="s">
        <v>332</v>
      </c>
      <c r="T2989" s="55" t="s">
        <v>1575</v>
      </c>
    </row>
    <row r="2990" spans="1:20" ht="13" x14ac:dyDescent="0.15">
      <c r="A2990" s="72" t="str">
        <f t="shared" si="46"/>
        <v>Ofsted Social Care Provider Webpage</v>
      </c>
      <c r="B2990" s="55" t="s">
        <v>5609</v>
      </c>
      <c r="D2990" s="55" t="s">
        <v>373</v>
      </c>
      <c r="E2990" s="74">
        <v>40717</v>
      </c>
      <c r="F2990" s="55" t="s">
        <v>344</v>
      </c>
      <c r="G2990" s="55" t="s">
        <v>360</v>
      </c>
      <c r="H2990" s="55" t="s">
        <v>360</v>
      </c>
      <c r="I2990" s="55" t="s">
        <v>360</v>
      </c>
      <c r="J2990" s="55" t="s">
        <v>360</v>
      </c>
      <c r="K2990" s="55" t="s">
        <v>360</v>
      </c>
      <c r="L2990" s="55" t="s">
        <v>360</v>
      </c>
      <c r="M2990" s="55" t="s">
        <v>144</v>
      </c>
      <c r="N2990" s="55" t="s">
        <v>144</v>
      </c>
      <c r="O2990" s="55" t="s">
        <v>248</v>
      </c>
      <c r="P2990" s="55" t="s">
        <v>397</v>
      </c>
      <c r="Q2990" s="55" t="s">
        <v>350</v>
      </c>
      <c r="R2990" s="55">
        <v>5</v>
      </c>
      <c r="S2990" s="55"/>
      <c r="T2990" s="55" t="s">
        <v>656</v>
      </c>
    </row>
    <row r="2991" spans="1:20" ht="13" x14ac:dyDescent="0.15">
      <c r="A2991" s="72" t="str">
        <f t="shared" si="46"/>
        <v>Ofsted Social Care Provider Webpage</v>
      </c>
      <c r="B2991" s="55" t="s">
        <v>5610</v>
      </c>
      <c r="D2991" s="55" t="s">
        <v>373</v>
      </c>
      <c r="E2991" s="74">
        <v>40724</v>
      </c>
      <c r="F2991" s="55" t="s">
        <v>344</v>
      </c>
      <c r="G2991" s="55" t="s">
        <v>360</v>
      </c>
      <c r="H2991" s="55" t="s">
        <v>360</v>
      </c>
      <c r="I2991" s="55" t="s">
        <v>360</v>
      </c>
      <c r="J2991" s="55" t="s">
        <v>360</v>
      </c>
      <c r="K2991" s="55" t="s">
        <v>360</v>
      </c>
      <c r="L2991" s="55" t="s">
        <v>360</v>
      </c>
      <c r="M2991" s="55" t="s">
        <v>378</v>
      </c>
      <c r="N2991" s="55" t="s">
        <v>134</v>
      </c>
      <c r="O2991" s="55" t="s">
        <v>251</v>
      </c>
      <c r="P2991" s="55" t="s">
        <v>4655</v>
      </c>
      <c r="Q2991" s="55" t="s">
        <v>350</v>
      </c>
      <c r="R2991" s="55">
        <v>4</v>
      </c>
      <c r="S2991" s="55"/>
      <c r="T2991" s="55" t="s">
        <v>1105</v>
      </c>
    </row>
    <row r="2992" spans="1:20" ht="13" x14ac:dyDescent="0.15">
      <c r="A2992" s="72" t="str">
        <f t="shared" si="46"/>
        <v>Ofsted Social Care Provider Webpage</v>
      </c>
      <c r="B2992" s="55" t="s">
        <v>5611</v>
      </c>
      <c r="D2992" s="55" t="s">
        <v>373</v>
      </c>
      <c r="E2992" s="74">
        <v>40711</v>
      </c>
      <c r="F2992" s="55" t="s">
        <v>344</v>
      </c>
      <c r="G2992" s="55" t="s">
        <v>360</v>
      </c>
      <c r="H2992" s="55" t="s">
        <v>360</v>
      </c>
      <c r="I2992" s="55" t="s">
        <v>360</v>
      </c>
      <c r="J2992" s="55" t="s">
        <v>360</v>
      </c>
      <c r="K2992" s="55" t="s">
        <v>360</v>
      </c>
      <c r="L2992" s="55" t="s">
        <v>360</v>
      </c>
      <c r="M2992" s="55" t="s">
        <v>378</v>
      </c>
      <c r="N2992" s="55" t="s">
        <v>134</v>
      </c>
      <c r="O2992" s="55" t="s">
        <v>210</v>
      </c>
      <c r="P2992" s="55" t="s">
        <v>3120</v>
      </c>
      <c r="Q2992" s="55" t="s">
        <v>350</v>
      </c>
      <c r="R2992" s="55">
        <v>3</v>
      </c>
      <c r="S2992" s="55"/>
      <c r="T2992" s="55" t="s">
        <v>385</v>
      </c>
    </row>
    <row r="2993" spans="1:20" ht="13" x14ac:dyDescent="0.15">
      <c r="A2993" s="72" t="str">
        <f t="shared" si="46"/>
        <v>Ofsted Social Care Provider Webpage</v>
      </c>
      <c r="B2993" s="55" t="s">
        <v>5612</v>
      </c>
      <c r="D2993" s="55" t="s">
        <v>373</v>
      </c>
      <c r="E2993" s="74">
        <v>40781</v>
      </c>
      <c r="F2993" s="55" t="s">
        <v>344</v>
      </c>
      <c r="G2993" s="55" t="s">
        <v>360</v>
      </c>
      <c r="H2993" s="55" t="s">
        <v>360</v>
      </c>
      <c r="I2993" s="55" t="s">
        <v>360</v>
      </c>
      <c r="J2993" s="55" t="s">
        <v>360</v>
      </c>
      <c r="K2993" s="55" t="s">
        <v>360</v>
      </c>
      <c r="L2993" s="55" t="s">
        <v>360</v>
      </c>
      <c r="M2993" s="55" t="s">
        <v>136</v>
      </c>
      <c r="N2993" s="55" t="s">
        <v>136</v>
      </c>
      <c r="O2993" s="55" t="s">
        <v>165</v>
      </c>
      <c r="P2993" s="55" t="s">
        <v>1269</v>
      </c>
      <c r="Q2993" s="55" t="s">
        <v>851</v>
      </c>
      <c r="R2993" s="55">
        <v>2</v>
      </c>
      <c r="S2993" s="55" t="s">
        <v>332</v>
      </c>
      <c r="T2993" s="55" t="s">
        <v>5613</v>
      </c>
    </row>
    <row r="2994" spans="1:20" ht="13" x14ac:dyDescent="0.15">
      <c r="A2994" s="72" t="str">
        <f t="shared" si="46"/>
        <v>Ofsted Social Care Provider Webpage</v>
      </c>
      <c r="B2994" s="55" t="s">
        <v>5614</v>
      </c>
      <c r="D2994" s="55" t="s">
        <v>373</v>
      </c>
      <c r="E2994" s="74">
        <v>40696</v>
      </c>
      <c r="F2994" s="55" t="s">
        <v>344</v>
      </c>
      <c r="G2994" s="55" t="s">
        <v>360</v>
      </c>
      <c r="H2994" s="55" t="s">
        <v>360</v>
      </c>
      <c r="I2994" s="55" t="s">
        <v>360</v>
      </c>
      <c r="J2994" s="55" t="s">
        <v>360</v>
      </c>
      <c r="K2994" s="55" t="s">
        <v>360</v>
      </c>
      <c r="L2994" s="55" t="s">
        <v>360</v>
      </c>
      <c r="M2994" s="55" t="s">
        <v>150</v>
      </c>
      <c r="N2994" s="55" t="s">
        <v>150</v>
      </c>
      <c r="O2994" s="55" t="s">
        <v>156</v>
      </c>
      <c r="P2994" s="55" t="s">
        <v>1576</v>
      </c>
      <c r="Q2994" s="55" t="s">
        <v>350</v>
      </c>
      <c r="R2994" s="55">
        <v>3</v>
      </c>
      <c r="S2994" s="55"/>
      <c r="T2994" s="55" t="s">
        <v>843</v>
      </c>
    </row>
    <row r="2995" spans="1:20" ht="13" x14ac:dyDescent="0.15">
      <c r="A2995" s="72" t="str">
        <f t="shared" si="46"/>
        <v>Ofsted Social Care Provider Webpage</v>
      </c>
      <c r="B2995" s="55" t="s">
        <v>5615</v>
      </c>
      <c r="D2995" s="55" t="s">
        <v>373</v>
      </c>
      <c r="E2995" s="74">
        <v>40708</v>
      </c>
      <c r="F2995" s="55" t="s">
        <v>344</v>
      </c>
      <c r="G2995" s="55" t="s">
        <v>360</v>
      </c>
      <c r="H2995" s="55" t="s">
        <v>360</v>
      </c>
      <c r="I2995" s="55" t="s">
        <v>360</v>
      </c>
      <c r="J2995" s="55" t="s">
        <v>360</v>
      </c>
      <c r="K2995" s="55" t="s">
        <v>360</v>
      </c>
      <c r="L2995" s="55" t="s">
        <v>360</v>
      </c>
      <c r="M2995" s="55" t="s">
        <v>138</v>
      </c>
      <c r="N2995" s="55" t="s">
        <v>138</v>
      </c>
      <c r="O2995" s="55" t="s">
        <v>137</v>
      </c>
      <c r="P2995" s="55" t="s">
        <v>137</v>
      </c>
      <c r="Q2995" s="55" t="s">
        <v>350</v>
      </c>
      <c r="R2995" s="55">
        <v>4</v>
      </c>
      <c r="S2995" s="55"/>
      <c r="T2995" s="55" t="s">
        <v>644</v>
      </c>
    </row>
    <row r="2996" spans="1:20" ht="13" x14ac:dyDescent="0.15">
      <c r="A2996" s="72" t="str">
        <f t="shared" si="46"/>
        <v>Ofsted Social Care Provider Webpage</v>
      </c>
      <c r="B2996" s="55" t="s">
        <v>5616</v>
      </c>
      <c r="D2996" s="55" t="s">
        <v>373</v>
      </c>
      <c r="E2996" s="74">
        <v>41000</v>
      </c>
      <c r="F2996" s="55" t="s">
        <v>344</v>
      </c>
      <c r="G2996" s="55" t="s">
        <v>360</v>
      </c>
      <c r="H2996" s="55" t="s">
        <v>360</v>
      </c>
      <c r="I2996" s="55" t="s">
        <v>360</v>
      </c>
      <c r="J2996" s="55" t="s">
        <v>360</v>
      </c>
      <c r="K2996" s="55" t="s">
        <v>360</v>
      </c>
      <c r="L2996" s="55" t="s">
        <v>360</v>
      </c>
      <c r="M2996" s="55" t="s">
        <v>136</v>
      </c>
      <c r="N2996" s="55" t="s">
        <v>136</v>
      </c>
      <c r="O2996" s="55" t="s">
        <v>165</v>
      </c>
      <c r="P2996" s="55" t="s">
        <v>748</v>
      </c>
      <c r="Q2996" s="55" t="s">
        <v>851</v>
      </c>
      <c r="R2996" s="55">
        <v>4</v>
      </c>
      <c r="S2996" s="55" t="s">
        <v>332</v>
      </c>
      <c r="T2996" s="55" t="s">
        <v>5613</v>
      </c>
    </row>
    <row r="2997" spans="1:20" ht="13" x14ac:dyDescent="0.15">
      <c r="A2997" s="72" t="str">
        <f t="shared" si="46"/>
        <v>Ofsted Social Care Provider Webpage</v>
      </c>
      <c r="B2997" s="55" t="s">
        <v>5617</v>
      </c>
      <c r="D2997" s="55" t="s">
        <v>451</v>
      </c>
      <c r="E2997" s="74">
        <v>40808</v>
      </c>
      <c r="F2997" s="55" t="s">
        <v>344</v>
      </c>
      <c r="G2997" s="55" t="s">
        <v>5618</v>
      </c>
      <c r="H2997" s="55" t="s">
        <v>5619</v>
      </c>
      <c r="I2997" s="55" t="s">
        <v>5620</v>
      </c>
      <c r="J2997" s="55" t="s">
        <v>5621</v>
      </c>
      <c r="K2997" s="55" t="s">
        <v>203</v>
      </c>
      <c r="L2997" s="55" t="s">
        <v>5622</v>
      </c>
      <c r="M2997" s="55" t="s">
        <v>150</v>
      </c>
      <c r="N2997" s="55" t="s">
        <v>150</v>
      </c>
      <c r="O2997" s="55" t="s">
        <v>203</v>
      </c>
      <c r="P2997" s="55" t="s">
        <v>800</v>
      </c>
      <c r="Q2997" s="55" t="s">
        <v>350</v>
      </c>
      <c r="R2997" s="55">
        <v>5</v>
      </c>
      <c r="S2997" s="55"/>
      <c r="T2997" s="55" t="s">
        <v>5623</v>
      </c>
    </row>
    <row r="2998" spans="1:20" ht="13" x14ac:dyDescent="0.15">
      <c r="A2998" s="72" t="str">
        <f t="shared" si="46"/>
        <v>Ofsted Social Care Provider Webpage</v>
      </c>
      <c r="B2998" s="55" t="s">
        <v>5624</v>
      </c>
      <c r="D2998" s="55" t="s">
        <v>373</v>
      </c>
      <c r="E2998" s="74">
        <v>40660</v>
      </c>
      <c r="F2998" s="55" t="s">
        <v>344</v>
      </c>
      <c r="G2998" s="55" t="s">
        <v>360</v>
      </c>
      <c r="H2998" s="55" t="s">
        <v>360</v>
      </c>
      <c r="I2998" s="55" t="s">
        <v>360</v>
      </c>
      <c r="J2998" s="55" t="s">
        <v>360</v>
      </c>
      <c r="K2998" s="55" t="s">
        <v>360</v>
      </c>
      <c r="L2998" s="55" t="s">
        <v>360</v>
      </c>
      <c r="M2998" s="55" t="s">
        <v>138</v>
      </c>
      <c r="N2998" s="55" t="s">
        <v>138</v>
      </c>
      <c r="O2998" s="55" t="s">
        <v>266</v>
      </c>
      <c r="P2998" s="55" t="s">
        <v>1622</v>
      </c>
      <c r="Q2998" s="55" t="s">
        <v>350</v>
      </c>
      <c r="R2998" s="55">
        <v>4</v>
      </c>
      <c r="S2998" s="55"/>
      <c r="T2998" s="55" t="s">
        <v>1553</v>
      </c>
    </row>
    <row r="2999" spans="1:20" ht="13" x14ac:dyDescent="0.15">
      <c r="A2999" s="72" t="str">
        <f t="shared" si="46"/>
        <v>Ofsted Social Care Provider Webpage</v>
      </c>
      <c r="B2999" s="55" t="s">
        <v>5625</v>
      </c>
      <c r="D2999" s="55" t="s">
        <v>373</v>
      </c>
      <c r="E2999" s="74">
        <v>40746</v>
      </c>
      <c r="F2999" s="55" t="s">
        <v>344</v>
      </c>
      <c r="G2999" s="55" t="s">
        <v>360</v>
      </c>
      <c r="H2999" s="55" t="s">
        <v>360</v>
      </c>
      <c r="I2999" s="55" t="s">
        <v>360</v>
      </c>
      <c r="J2999" s="55" t="s">
        <v>360</v>
      </c>
      <c r="K2999" s="55" t="s">
        <v>360</v>
      </c>
      <c r="L2999" s="55" t="s">
        <v>360</v>
      </c>
      <c r="M2999" s="55" t="s">
        <v>138</v>
      </c>
      <c r="N2999" s="55" t="s">
        <v>138</v>
      </c>
      <c r="O2999" s="55" t="s">
        <v>266</v>
      </c>
      <c r="P2999" s="55" t="s">
        <v>1622</v>
      </c>
      <c r="Q2999" s="55" t="s">
        <v>350</v>
      </c>
      <c r="R2999" s="55">
        <v>4</v>
      </c>
      <c r="S2999" s="55"/>
      <c r="T2999" s="55" t="s">
        <v>1553</v>
      </c>
    </row>
    <row r="3000" spans="1:20" ht="13" x14ac:dyDescent="0.15">
      <c r="A3000" s="72" t="str">
        <f t="shared" si="46"/>
        <v>Ofsted Social Care Provider Webpage</v>
      </c>
      <c r="B3000" s="55" t="s">
        <v>5626</v>
      </c>
      <c r="D3000" s="55" t="s">
        <v>373</v>
      </c>
      <c r="E3000" s="74">
        <v>40746</v>
      </c>
      <c r="F3000" s="55" t="s">
        <v>344</v>
      </c>
      <c r="G3000" s="55" t="s">
        <v>360</v>
      </c>
      <c r="H3000" s="55" t="s">
        <v>360</v>
      </c>
      <c r="I3000" s="55" t="s">
        <v>360</v>
      </c>
      <c r="J3000" s="55" t="s">
        <v>360</v>
      </c>
      <c r="K3000" s="55" t="s">
        <v>360</v>
      </c>
      <c r="L3000" s="55" t="s">
        <v>360</v>
      </c>
      <c r="M3000" s="55" t="s">
        <v>142</v>
      </c>
      <c r="N3000" s="55" t="s">
        <v>142</v>
      </c>
      <c r="O3000" s="55" t="s">
        <v>282</v>
      </c>
      <c r="P3000" s="55" t="s">
        <v>3266</v>
      </c>
      <c r="Q3000" s="55" t="s">
        <v>350</v>
      </c>
      <c r="R3000" s="55">
        <v>4</v>
      </c>
      <c r="S3000" s="55"/>
      <c r="T3000" s="55" t="s">
        <v>4531</v>
      </c>
    </row>
    <row r="3001" spans="1:20" ht="13" x14ac:dyDescent="0.15">
      <c r="A3001" s="72" t="str">
        <f t="shared" si="46"/>
        <v>Ofsted Social Care Provider Webpage</v>
      </c>
      <c r="B3001" s="55" t="s">
        <v>5627</v>
      </c>
      <c r="D3001" s="55" t="s">
        <v>373</v>
      </c>
      <c r="E3001" s="74">
        <v>40746</v>
      </c>
      <c r="F3001" s="55" t="s">
        <v>344</v>
      </c>
      <c r="G3001" s="55" t="s">
        <v>360</v>
      </c>
      <c r="H3001" s="55" t="s">
        <v>360</v>
      </c>
      <c r="I3001" s="55" t="s">
        <v>360</v>
      </c>
      <c r="J3001" s="55" t="s">
        <v>360</v>
      </c>
      <c r="K3001" s="55" t="s">
        <v>360</v>
      </c>
      <c r="L3001" s="55" t="s">
        <v>360</v>
      </c>
      <c r="M3001" s="55" t="s">
        <v>378</v>
      </c>
      <c r="N3001" s="55" t="s">
        <v>170</v>
      </c>
      <c r="O3001" s="55" t="s">
        <v>178</v>
      </c>
      <c r="P3001" s="55" t="s">
        <v>1374</v>
      </c>
      <c r="Q3001" s="55" t="s">
        <v>350</v>
      </c>
      <c r="R3001" s="55">
        <v>4</v>
      </c>
      <c r="S3001" s="55"/>
      <c r="T3001" s="55" t="s">
        <v>5628</v>
      </c>
    </row>
    <row r="3002" spans="1:20" ht="13" x14ac:dyDescent="0.15">
      <c r="A3002" s="72" t="str">
        <f t="shared" si="46"/>
        <v>Ofsted Social Care Provider Webpage</v>
      </c>
      <c r="B3002" s="55" t="s">
        <v>5629</v>
      </c>
      <c r="D3002" s="55" t="s">
        <v>373</v>
      </c>
      <c r="E3002" s="74">
        <v>40696</v>
      </c>
      <c r="F3002" s="55" t="s">
        <v>344</v>
      </c>
      <c r="G3002" s="55" t="s">
        <v>360</v>
      </c>
      <c r="H3002" s="55" t="s">
        <v>360</v>
      </c>
      <c r="I3002" s="55" t="s">
        <v>360</v>
      </c>
      <c r="J3002" s="55" t="s">
        <v>360</v>
      </c>
      <c r="K3002" s="55" t="s">
        <v>360</v>
      </c>
      <c r="L3002" s="55" t="s">
        <v>360</v>
      </c>
      <c r="M3002" s="55" t="s">
        <v>138</v>
      </c>
      <c r="N3002" s="55" t="s">
        <v>138</v>
      </c>
      <c r="O3002" s="55" t="s">
        <v>266</v>
      </c>
      <c r="P3002" s="55" t="s">
        <v>934</v>
      </c>
      <c r="Q3002" s="55" t="s">
        <v>380</v>
      </c>
      <c r="R3002" s="55">
        <v>7</v>
      </c>
      <c r="S3002" s="55"/>
      <c r="T3002" s="55" t="s">
        <v>3510</v>
      </c>
    </row>
    <row r="3003" spans="1:20" ht="13" x14ac:dyDescent="0.15">
      <c r="A3003" s="72" t="str">
        <f t="shared" si="46"/>
        <v>Ofsted Social Care Provider Webpage</v>
      </c>
      <c r="B3003" s="55" t="s">
        <v>5630</v>
      </c>
      <c r="D3003" s="55" t="s">
        <v>373</v>
      </c>
      <c r="E3003" s="74">
        <v>40709</v>
      </c>
      <c r="F3003" s="55" t="s">
        <v>344</v>
      </c>
      <c r="G3003" s="55" t="s">
        <v>360</v>
      </c>
      <c r="H3003" s="55" t="s">
        <v>360</v>
      </c>
      <c r="I3003" s="55" t="s">
        <v>360</v>
      </c>
      <c r="J3003" s="55" t="s">
        <v>360</v>
      </c>
      <c r="K3003" s="55" t="s">
        <v>360</v>
      </c>
      <c r="L3003" s="55" t="s">
        <v>360</v>
      </c>
      <c r="M3003" s="55" t="s">
        <v>144</v>
      </c>
      <c r="N3003" s="55" t="s">
        <v>144</v>
      </c>
      <c r="O3003" s="55" t="s">
        <v>271</v>
      </c>
      <c r="P3003" s="55" t="s">
        <v>1120</v>
      </c>
      <c r="Q3003" s="55" t="s">
        <v>350</v>
      </c>
      <c r="R3003" s="55">
        <v>5</v>
      </c>
      <c r="S3003" s="55"/>
      <c r="T3003" s="55" t="s">
        <v>385</v>
      </c>
    </row>
    <row r="3004" spans="1:20" ht="13" x14ac:dyDescent="0.15">
      <c r="A3004" s="72" t="str">
        <f t="shared" si="46"/>
        <v>Ofsted Social Care Provider Webpage</v>
      </c>
      <c r="B3004" s="55" t="s">
        <v>5631</v>
      </c>
      <c r="D3004" s="55" t="s">
        <v>373</v>
      </c>
      <c r="E3004" s="74">
        <v>40764</v>
      </c>
      <c r="F3004" s="55" t="s">
        <v>344</v>
      </c>
      <c r="G3004" s="55" t="s">
        <v>360</v>
      </c>
      <c r="H3004" s="55" t="s">
        <v>360</v>
      </c>
      <c r="I3004" s="55" t="s">
        <v>360</v>
      </c>
      <c r="J3004" s="55" t="s">
        <v>360</v>
      </c>
      <c r="K3004" s="55" t="s">
        <v>360</v>
      </c>
      <c r="L3004" s="55" t="s">
        <v>360</v>
      </c>
      <c r="M3004" s="55" t="s">
        <v>129</v>
      </c>
      <c r="N3004" s="55" t="s">
        <v>129</v>
      </c>
      <c r="O3004" s="55" t="s">
        <v>128</v>
      </c>
      <c r="P3004" s="55" t="s">
        <v>1467</v>
      </c>
      <c r="Q3004" s="55" t="s">
        <v>350</v>
      </c>
      <c r="R3004" s="55">
        <v>5</v>
      </c>
      <c r="S3004" s="55"/>
      <c r="T3004" s="55" t="s">
        <v>1532</v>
      </c>
    </row>
    <row r="3005" spans="1:20" ht="13" x14ac:dyDescent="0.15">
      <c r="A3005" s="72" t="str">
        <f t="shared" si="46"/>
        <v>Ofsted Social Care Provider Webpage</v>
      </c>
      <c r="B3005" s="55" t="s">
        <v>5632</v>
      </c>
      <c r="D3005" s="55" t="s">
        <v>373</v>
      </c>
      <c r="E3005" s="74">
        <v>40731</v>
      </c>
      <c r="F3005" s="55" t="s">
        <v>344</v>
      </c>
      <c r="G3005" s="55" t="s">
        <v>360</v>
      </c>
      <c r="H3005" s="55" t="s">
        <v>360</v>
      </c>
      <c r="I3005" s="55" t="s">
        <v>360</v>
      </c>
      <c r="J3005" s="55" t="s">
        <v>360</v>
      </c>
      <c r="K3005" s="55" t="s">
        <v>360</v>
      </c>
      <c r="L3005" s="55" t="s">
        <v>360</v>
      </c>
      <c r="M3005" s="55" t="s">
        <v>172</v>
      </c>
      <c r="N3005" s="55" t="s">
        <v>172</v>
      </c>
      <c r="O3005" s="55" t="s">
        <v>284</v>
      </c>
      <c r="P3005" s="55" t="s">
        <v>357</v>
      </c>
      <c r="Q3005" s="55" t="s">
        <v>350</v>
      </c>
      <c r="R3005" s="55">
        <v>4</v>
      </c>
      <c r="S3005" s="55"/>
      <c r="T3005" s="55" t="s">
        <v>791</v>
      </c>
    </row>
    <row r="3006" spans="1:20" ht="13" x14ac:dyDescent="0.15">
      <c r="A3006" s="72" t="str">
        <f t="shared" si="46"/>
        <v>Ofsted Social Care Provider Webpage</v>
      </c>
      <c r="B3006" s="55" t="s">
        <v>5633</v>
      </c>
      <c r="D3006" s="55" t="s">
        <v>389</v>
      </c>
      <c r="E3006" s="74">
        <v>40780</v>
      </c>
      <c r="F3006" s="55" t="s">
        <v>344</v>
      </c>
      <c r="G3006" s="55" t="s">
        <v>5634</v>
      </c>
      <c r="H3006" s="55" t="s">
        <v>5635</v>
      </c>
      <c r="I3006" s="55" t="s">
        <v>5636</v>
      </c>
      <c r="J3006" s="55" t="s">
        <v>1768</v>
      </c>
      <c r="K3006" s="55" t="s">
        <v>224</v>
      </c>
      <c r="L3006" s="55" t="s">
        <v>5637</v>
      </c>
      <c r="M3006" s="55" t="s">
        <v>138</v>
      </c>
      <c r="N3006" s="55" t="s">
        <v>138</v>
      </c>
      <c r="O3006" s="55" t="s">
        <v>224</v>
      </c>
      <c r="P3006" s="55" t="s">
        <v>2271</v>
      </c>
      <c r="Q3006" s="55" t="s">
        <v>362</v>
      </c>
      <c r="R3006" s="55"/>
      <c r="S3006" s="55"/>
      <c r="T3006" s="55" t="s">
        <v>557</v>
      </c>
    </row>
    <row r="3007" spans="1:20" ht="13" x14ac:dyDescent="0.15">
      <c r="A3007" s="72" t="str">
        <f t="shared" si="46"/>
        <v>Ofsted Social Care Provider Webpage</v>
      </c>
      <c r="B3007" s="55" t="s">
        <v>5638</v>
      </c>
      <c r="D3007" s="55" t="s">
        <v>373</v>
      </c>
      <c r="E3007" s="74">
        <v>40750</v>
      </c>
      <c r="F3007" s="55" t="s">
        <v>344</v>
      </c>
      <c r="G3007" s="55" t="s">
        <v>360</v>
      </c>
      <c r="H3007" s="55" t="s">
        <v>360</v>
      </c>
      <c r="I3007" s="55" t="s">
        <v>360</v>
      </c>
      <c r="J3007" s="55" t="s">
        <v>360</v>
      </c>
      <c r="K3007" s="55" t="s">
        <v>360</v>
      </c>
      <c r="L3007" s="55" t="s">
        <v>360</v>
      </c>
      <c r="M3007" s="55" t="s">
        <v>144</v>
      </c>
      <c r="N3007" s="55" t="s">
        <v>144</v>
      </c>
      <c r="O3007" s="55" t="s">
        <v>250</v>
      </c>
      <c r="P3007" s="55" t="s">
        <v>361</v>
      </c>
      <c r="Q3007" s="55" t="s">
        <v>350</v>
      </c>
      <c r="R3007" s="55">
        <v>4</v>
      </c>
      <c r="S3007" s="55"/>
      <c r="T3007" s="55" t="s">
        <v>1296</v>
      </c>
    </row>
    <row r="3008" spans="1:20" ht="13" x14ac:dyDescent="0.15">
      <c r="A3008" s="72" t="str">
        <f t="shared" si="46"/>
        <v>Ofsted Social Care Provider Webpage</v>
      </c>
      <c r="B3008" s="55" t="s">
        <v>5639</v>
      </c>
      <c r="D3008" s="55" t="s">
        <v>373</v>
      </c>
      <c r="E3008" s="74">
        <v>40787</v>
      </c>
      <c r="F3008" s="55" t="s">
        <v>344</v>
      </c>
      <c r="G3008" s="55" t="s">
        <v>360</v>
      </c>
      <c r="H3008" s="55" t="s">
        <v>360</v>
      </c>
      <c r="I3008" s="55" t="s">
        <v>360</v>
      </c>
      <c r="J3008" s="55" t="s">
        <v>360</v>
      </c>
      <c r="K3008" s="55" t="s">
        <v>360</v>
      </c>
      <c r="L3008" s="55" t="s">
        <v>360</v>
      </c>
      <c r="M3008" s="55" t="s">
        <v>138</v>
      </c>
      <c r="N3008" s="55" t="s">
        <v>138</v>
      </c>
      <c r="O3008" s="55" t="s">
        <v>224</v>
      </c>
      <c r="P3008" s="55" t="s">
        <v>374</v>
      </c>
      <c r="Q3008" s="55" t="s">
        <v>350</v>
      </c>
      <c r="R3008" s="55">
        <v>6</v>
      </c>
      <c r="S3008" s="55"/>
      <c r="T3008" s="55" t="s">
        <v>375</v>
      </c>
    </row>
    <row r="3009" spans="1:20" ht="13" x14ac:dyDescent="0.15">
      <c r="A3009" s="72" t="str">
        <f t="shared" si="46"/>
        <v>Ofsted Social Care Provider Webpage</v>
      </c>
      <c r="B3009" s="55" t="s">
        <v>5640</v>
      </c>
      <c r="D3009" s="55" t="s">
        <v>373</v>
      </c>
      <c r="E3009" s="74">
        <v>40694</v>
      </c>
      <c r="F3009" s="55" t="s">
        <v>344</v>
      </c>
      <c r="G3009" s="55" t="s">
        <v>360</v>
      </c>
      <c r="H3009" s="55" t="s">
        <v>360</v>
      </c>
      <c r="I3009" s="55" t="s">
        <v>360</v>
      </c>
      <c r="J3009" s="55" t="s">
        <v>360</v>
      </c>
      <c r="K3009" s="55" t="s">
        <v>360</v>
      </c>
      <c r="L3009" s="55" t="s">
        <v>360</v>
      </c>
      <c r="M3009" s="55" t="s">
        <v>142</v>
      </c>
      <c r="N3009" s="55" t="s">
        <v>142</v>
      </c>
      <c r="O3009" s="55" t="s">
        <v>262</v>
      </c>
      <c r="P3009" s="55" t="s">
        <v>488</v>
      </c>
      <c r="Q3009" s="55" t="s">
        <v>350</v>
      </c>
      <c r="R3009" s="55">
        <v>2</v>
      </c>
      <c r="S3009" s="55"/>
      <c r="T3009" s="55" t="s">
        <v>1430</v>
      </c>
    </row>
    <row r="3010" spans="1:20" ht="13" x14ac:dyDescent="0.15">
      <c r="A3010" s="72" t="str">
        <f t="shared" si="46"/>
        <v>Ofsted Social Care Provider Webpage</v>
      </c>
      <c r="B3010" s="55" t="s">
        <v>5641</v>
      </c>
      <c r="D3010" s="55" t="s">
        <v>373</v>
      </c>
      <c r="E3010" s="74">
        <v>40704</v>
      </c>
      <c r="F3010" s="55" t="s">
        <v>344</v>
      </c>
      <c r="G3010" s="55" t="s">
        <v>360</v>
      </c>
      <c r="H3010" s="55" t="s">
        <v>360</v>
      </c>
      <c r="I3010" s="55" t="s">
        <v>360</v>
      </c>
      <c r="J3010" s="55" t="s">
        <v>360</v>
      </c>
      <c r="K3010" s="55" t="s">
        <v>360</v>
      </c>
      <c r="L3010" s="55" t="s">
        <v>360</v>
      </c>
      <c r="M3010" s="55" t="s">
        <v>378</v>
      </c>
      <c r="N3010" s="55" t="s">
        <v>134</v>
      </c>
      <c r="O3010" s="55" t="s">
        <v>151</v>
      </c>
      <c r="P3010" s="55" t="s">
        <v>862</v>
      </c>
      <c r="Q3010" s="55" t="s">
        <v>380</v>
      </c>
      <c r="R3010" s="55">
        <v>10</v>
      </c>
      <c r="S3010" s="55" t="s">
        <v>332</v>
      </c>
      <c r="T3010" s="55" t="s">
        <v>1220</v>
      </c>
    </row>
    <row r="3011" spans="1:20" ht="13" x14ac:dyDescent="0.15">
      <c r="A3011" s="72" t="str">
        <f t="shared" si="46"/>
        <v>Ofsted Social Care Provider Webpage</v>
      </c>
      <c r="B3011" s="55" t="s">
        <v>5642</v>
      </c>
      <c r="D3011" s="55" t="s">
        <v>373</v>
      </c>
      <c r="E3011" s="74">
        <v>40757</v>
      </c>
      <c r="F3011" s="55" t="s">
        <v>344</v>
      </c>
      <c r="G3011" s="55" t="s">
        <v>360</v>
      </c>
      <c r="H3011" s="55" t="s">
        <v>360</v>
      </c>
      <c r="I3011" s="55" t="s">
        <v>360</v>
      </c>
      <c r="J3011" s="55" t="s">
        <v>360</v>
      </c>
      <c r="K3011" s="55" t="s">
        <v>360</v>
      </c>
      <c r="L3011" s="55" t="s">
        <v>360</v>
      </c>
      <c r="M3011" s="55" t="s">
        <v>172</v>
      </c>
      <c r="N3011" s="55" t="s">
        <v>172</v>
      </c>
      <c r="O3011" s="55" t="s">
        <v>234</v>
      </c>
      <c r="P3011" s="55" t="s">
        <v>965</v>
      </c>
      <c r="Q3011" s="55" t="s">
        <v>350</v>
      </c>
      <c r="R3011" s="55">
        <v>3</v>
      </c>
      <c r="S3011" s="55"/>
      <c r="T3011" s="55" t="s">
        <v>5246</v>
      </c>
    </row>
    <row r="3012" spans="1:20" ht="13" x14ac:dyDescent="0.15">
      <c r="A3012" s="72" t="str">
        <f t="shared" si="46"/>
        <v>Ofsted Social Care Provider Webpage</v>
      </c>
      <c r="B3012" s="55" t="s">
        <v>5643</v>
      </c>
      <c r="D3012" s="55" t="s">
        <v>373</v>
      </c>
      <c r="E3012" s="74">
        <v>40752</v>
      </c>
      <c r="F3012" s="55" t="s">
        <v>344</v>
      </c>
      <c r="G3012" s="55" t="s">
        <v>360</v>
      </c>
      <c r="H3012" s="55" t="s">
        <v>360</v>
      </c>
      <c r="I3012" s="55" t="s">
        <v>360</v>
      </c>
      <c r="J3012" s="55" t="s">
        <v>360</v>
      </c>
      <c r="K3012" s="55" t="s">
        <v>360</v>
      </c>
      <c r="L3012" s="55" t="s">
        <v>360</v>
      </c>
      <c r="M3012" s="55" t="s">
        <v>150</v>
      </c>
      <c r="N3012" s="55" t="s">
        <v>150</v>
      </c>
      <c r="O3012" s="55" t="s">
        <v>149</v>
      </c>
      <c r="P3012" s="55" t="s">
        <v>3548</v>
      </c>
      <c r="Q3012" s="55" t="s">
        <v>350</v>
      </c>
      <c r="R3012" s="55">
        <v>4</v>
      </c>
      <c r="S3012" s="55"/>
      <c r="T3012" s="55" t="s">
        <v>5644</v>
      </c>
    </row>
    <row r="3013" spans="1:20" ht="13" x14ac:dyDescent="0.15">
      <c r="A3013" s="72" t="str">
        <f t="shared" ref="A3013:A3076" si="47">HYPERLINK(_xlfn.CONCAT("http://reports.ofsted.gov.uk/inspection-reports/find-inspection-report/provider/CARE/",B3013),"Ofsted Social Care Provider Webpage")</f>
        <v>Ofsted Social Care Provider Webpage</v>
      </c>
      <c r="B3013" s="55" t="s">
        <v>5645</v>
      </c>
      <c r="D3013" s="55" t="s">
        <v>373</v>
      </c>
      <c r="E3013" s="74">
        <v>40752</v>
      </c>
      <c r="F3013" s="55" t="s">
        <v>344</v>
      </c>
      <c r="G3013" s="55" t="s">
        <v>360</v>
      </c>
      <c r="H3013" s="55" t="s">
        <v>360</v>
      </c>
      <c r="I3013" s="55" t="s">
        <v>360</v>
      </c>
      <c r="J3013" s="55" t="s">
        <v>360</v>
      </c>
      <c r="K3013" s="55" t="s">
        <v>360</v>
      </c>
      <c r="L3013" s="55" t="s">
        <v>360</v>
      </c>
      <c r="M3013" s="55" t="s">
        <v>150</v>
      </c>
      <c r="N3013" s="55" t="s">
        <v>150</v>
      </c>
      <c r="O3013" s="55" t="s">
        <v>149</v>
      </c>
      <c r="P3013" s="55" t="s">
        <v>3548</v>
      </c>
      <c r="Q3013" s="55" t="s">
        <v>350</v>
      </c>
      <c r="R3013" s="55">
        <v>4</v>
      </c>
      <c r="S3013" s="55"/>
      <c r="T3013" s="55" t="s">
        <v>5644</v>
      </c>
    </row>
    <row r="3014" spans="1:20" ht="13" x14ac:dyDescent="0.15">
      <c r="A3014" s="72" t="str">
        <f t="shared" si="47"/>
        <v>Ofsted Social Care Provider Webpage</v>
      </c>
      <c r="B3014" s="55" t="s">
        <v>5646</v>
      </c>
      <c r="D3014" s="55" t="s">
        <v>373</v>
      </c>
      <c r="E3014" s="74">
        <v>40752</v>
      </c>
      <c r="F3014" s="55" t="s">
        <v>344</v>
      </c>
      <c r="G3014" s="55" t="s">
        <v>360</v>
      </c>
      <c r="H3014" s="55" t="s">
        <v>360</v>
      </c>
      <c r="I3014" s="55" t="s">
        <v>360</v>
      </c>
      <c r="J3014" s="55" t="s">
        <v>360</v>
      </c>
      <c r="K3014" s="55" t="s">
        <v>360</v>
      </c>
      <c r="L3014" s="55" t="s">
        <v>360</v>
      </c>
      <c r="M3014" s="55" t="s">
        <v>150</v>
      </c>
      <c r="N3014" s="55" t="s">
        <v>150</v>
      </c>
      <c r="O3014" s="55" t="s">
        <v>149</v>
      </c>
      <c r="P3014" s="55" t="s">
        <v>3548</v>
      </c>
      <c r="Q3014" s="55" t="s">
        <v>350</v>
      </c>
      <c r="R3014" s="55">
        <v>4</v>
      </c>
      <c r="S3014" s="55"/>
      <c r="T3014" s="55" t="s">
        <v>5644</v>
      </c>
    </row>
    <row r="3015" spans="1:20" ht="13" x14ac:dyDescent="0.15">
      <c r="A3015" s="72" t="str">
        <f t="shared" si="47"/>
        <v>Ofsted Social Care Provider Webpage</v>
      </c>
      <c r="B3015" s="55" t="s">
        <v>5647</v>
      </c>
      <c r="D3015" s="55" t="s">
        <v>373</v>
      </c>
      <c r="E3015" s="74">
        <v>40752</v>
      </c>
      <c r="F3015" s="55" t="s">
        <v>344</v>
      </c>
      <c r="G3015" s="55" t="s">
        <v>360</v>
      </c>
      <c r="H3015" s="55" t="s">
        <v>360</v>
      </c>
      <c r="I3015" s="55" t="s">
        <v>360</v>
      </c>
      <c r="J3015" s="55" t="s">
        <v>360</v>
      </c>
      <c r="K3015" s="55" t="s">
        <v>360</v>
      </c>
      <c r="L3015" s="55" t="s">
        <v>360</v>
      </c>
      <c r="M3015" s="55" t="s">
        <v>150</v>
      </c>
      <c r="N3015" s="55" t="s">
        <v>150</v>
      </c>
      <c r="O3015" s="55" t="s">
        <v>149</v>
      </c>
      <c r="P3015" s="55" t="s">
        <v>3548</v>
      </c>
      <c r="Q3015" s="55" t="s">
        <v>350</v>
      </c>
      <c r="R3015" s="55">
        <v>4</v>
      </c>
      <c r="S3015" s="55"/>
      <c r="T3015" s="55" t="s">
        <v>5644</v>
      </c>
    </row>
    <row r="3016" spans="1:20" ht="13" x14ac:dyDescent="0.15">
      <c r="A3016" s="72" t="str">
        <f t="shared" si="47"/>
        <v>Ofsted Social Care Provider Webpage</v>
      </c>
      <c r="B3016" s="55" t="s">
        <v>5648</v>
      </c>
      <c r="D3016" s="55" t="s">
        <v>373</v>
      </c>
      <c r="E3016" s="74">
        <v>40752</v>
      </c>
      <c r="F3016" s="55" t="s">
        <v>344</v>
      </c>
      <c r="G3016" s="55" t="s">
        <v>360</v>
      </c>
      <c r="H3016" s="55" t="s">
        <v>360</v>
      </c>
      <c r="I3016" s="55" t="s">
        <v>360</v>
      </c>
      <c r="J3016" s="55" t="s">
        <v>360</v>
      </c>
      <c r="K3016" s="55" t="s">
        <v>360</v>
      </c>
      <c r="L3016" s="55" t="s">
        <v>360</v>
      </c>
      <c r="M3016" s="55" t="s">
        <v>150</v>
      </c>
      <c r="N3016" s="55" t="s">
        <v>150</v>
      </c>
      <c r="O3016" s="55" t="s">
        <v>291</v>
      </c>
      <c r="P3016" s="55" t="s">
        <v>486</v>
      </c>
      <c r="Q3016" s="55" t="s">
        <v>350</v>
      </c>
      <c r="R3016" s="55">
        <v>4</v>
      </c>
      <c r="S3016" s="55"/>
      <c r="T3016" s="55" t="s">
        <v>5644</v>
      </c>
    </row>
    <row r="3017" spans="1:20" ht="13" x14ac:dyDescent="0.15">
      <c r="A3017" s="72" t="str">
        <f t="shared" si="47"/>
        <v>Ofsted Social Care Provider Webpage</v>
      </c>
      <c r="B3017" s="55" t="s">
        <v>5649</v>
      </c>
      <c r="D3017" s="55" t="s">
        <v>373</v>
      </c>
      <c r="E3017" s="74">
        <v>40764</v>
      </c>
      <c r="F3017" s="55" t="s">
        <v>344</v>
      </c>
      <c r="G3017" s="55" t="s">
        <v>360</v>
      </c>
      <c r="H3017" s="55" t="s">
        <v>360</v>
      </c>
      <c r="I3017" s="55" t="s">
        <v>360</v>
      </c>
      <c r="J3017" s="55" t="s">
        <v>360</v>
      </c>
      <c r="K3017" s="55" t="s">
        <v>360</v>
      </c>
      <c r="L3017" s="55" t="s">
        <v>360</v>
      </c>
      <c r="M3017" s="55" t="s">
        <v>144</v>
      </c>
      <c r="N3017" s="55" t="s">
        <v>144</v>
      </c>
      <c r="O3017" s="55" t="s">
        <v>207</v>
      </c>
      <c r="P3017" s="55" t="s">
        <v>207</v>
      </c>
      <c r="Q3017" s="55" t="s">
        <v>350</v>
      </c>
      <c r="R3017" s="55">
        <v>3</v>
      </c>
      <c r="S3017" s="55"/>
      <c r="T3017" s="55" t="s">
        <v>4534</v>
      </c>
    </row>
    <row r="3018" spans="1:20" ht="13" x14ac:dyDescent="0.15">
      <c r="A3018" s="72" t="str">
        <f t="shared" si="47"/>
        <v>Ofsted Social Care Provider Webpage</v>
      </c>
      <c r="B3018" s="55" t="s">
        <v>5650</v>
      </c>
      <c r="D3018" s="55" t="s">
        <v>443</v>
      </c>
      <c r="E3018" s="74">
        <v>40885</v>
      </c>
      <c r="F3018" s="55" t="s">
        <v>344</v>
      </c>
      <c r="G3018" s="55" t="s">
        <v>5651</v>
      </c>
      <c r="H3018" s="55" t="s">
        <v>5652</v>
      </c>
      <c r="I3018" s="55" t="s">
        <v>354</v>
      </c>
      <c r="J3018" s="55" t="s">
        <v>5653</v>
      </c>
      <c r="L3018" s="55" t="s">
        <v>5654</v>
      </c>
      <c r="M3018" s="55" t="s">
        <v>144</v>
      </c>
      <c r="N3018" s="55" t="s">
        <v>144</v>
      </c>
      <c r="O3018" s="55" t="s">
        <v>168</v>
      </c>
      <c r="P3018" s="55" t="s">
        <v>834</v>
      </c>
      <c r="Q3018" s="55" t="s">
        <v>350</v>
      </c>
      <c r="R3018" s="55"/>
      <c r="S3018" s="55"/>
      <c r="T3018" s="55" t="s">
        <v>5655</v>
      </c>
    </row>
    <row r="3019" spans="1:20" ht="13" x14ac:dyDescent="0.15">
      <c r="A3019" s="72" t="str">
        <f t="shared" si="47"/>
        <v>Ofsted Social Care Provider Webpage</v>
      </c>
      <c r="B3019" s="55" t="s">
        <v>5656</v>
      </c>
      <c r="D3019" s="55" t="s">
        <v>373</v>
      </c>
      <c r="E3019" s="74">
        <v>40780</v>
      </c>
      <c r="F3019" s="55" t="s">
        <v>344</v>
      </c>
      <c r="G3019" s="55" t="s">
        <v>360</v>
      </c>
      <c r="H3019" s="55" t="s">
        <v>360</v>
      </c>
      <c r="I3019" s="55" t="s">
        <v>360</v>
      </c>
      <c r="J3019" s="55" t="s">
        <v>360</v>
      </c>
      <c r="K3019" s="55" t="s">
        <v>360</v>
      </c>
      <c r="L3019" s="55" t="s">
        <v>360</v>
      </c>
      <c r="M3019" s="55" t="s">
        <v>138</v>
      </c>
      <c r="N3019" s="55" t="s">
        <v>138</v>
      </c>
      <c r="O3019" s="55" t="s">
        <v>196</v>
      </c>
      <c r="P3019" s="55" t="s">
        <v>5657</v>
      </c>
      <c r="Q3019" s="55" t="s">
        <v>362</v>
      </c>
      <c r="R3019" s="55">
        <v>8</v>
      </c>
      <c r="S3019" s="55" t="s">
        <v>332</v>
      </c>
      <c r="T3019" s="55" t="s">
        <v>367</v>
      </c>
    </row>
    <row r="3020" spans="1:20" ht="13" x14ac:dyDescent="0.15">
      <c r="A3020" s="72" t="str">
        <f t="shared" si="47"/>
        <v>Ofsted Social Care Provider Webpage</v>
      </c>
      <c r="B3020" s="55" t="s">
        <v>5658</v>
      </c>
      <c r="D3020" s="55" t="s">
        <v>373</v>
      </c>
      <c r="E3020" s="74">
        <v>40794</v>
      </c>
      <c r="F3020" s="55" t="s">
        <v>344</v>
      </c>
      <c r="G3020" s="55" t="s">
        <v>360</v>
      </c>
      <c r="H3020" s="55" t="s">
        <v>360</v>
      </c>
      <c r="I3020" s="55" t="s">
        <v>360</v>
      </c>
      <c r="J3020" s="55" t="s">
        <v>360</v>
      </c>
      <c r="K3020" s="55" t="s">
        <v>360</v>
      </c>
      <c r="L3020" s="55" t="s">
        <v>360</v>
      </c>
      <c r="M3020" s="55" t="s">
        <v>136</v>
      </c>
      <c r="N3020" s="55" t="s">
        <v>136</v>
      </c>
      <c r="O3020" s="55" t="s">
        <v>165</v>
      </c>
      <c r="P3020" s="55" t="s">
        <v>1269</v>
      </c>
      <c r="Q3020" s="55" t="s">
        <v>851</v>
      </c>
      <c r="R3020" s="55">
        <v>2</v>
      </c>
      <c r="S3020" s="55" t="s">
        <v>332</v>
      </c>
      <c r="T3020" s="55" t="s">
        <v>5613</v>
      </c>
    </row>
    <row r="3021" spans="1:20" ht="13" x14ac:dyDescent="0.15">
      <c r="A3021" s="72" t="str">
        <f t="shared" si="47"/>
        <v>Ofsted Social Care Provider Webpage</v>
      </c>
      <c r="B3021" s="55" t="s">
        <v>5659</v>
      </c>
      <c r="D3021" s="55" t="s">
        <v>373</v>
      </c>
      <c r="E3021" s="74">
        <v>40816</v>
      </c>
      <c r="F3021" s="55" t="s">
        <v>344</v>
      </c>
      <c r="G3021" s="55" t="s">
        <v>360</v>
      </c>
      <c r="H3021" s="55" t="s">
        <v>360</v>
      </c>
      <c r="I3021" s="55" t="s">
        <v>360</v>
      </c>
      <c r="J3021" s="55" t="s">
        <v>360</v>
      </c>
      <c r="K3021" s="55" t="s">
        <v>360</v>
      </c>
      <c r="L3021" s="55" t="s">
        <v>360</v>
      </c>
      <c r="M3021" s="55" t="s">
        <v>144</v>
      </c>
      <c r="N3021" s="55" t="s">
        <v>144</v>
      </c>
      <c r="O3021" s="55" t="s">
        <v>209</v>
      </c>
      <c r="P3021" s="55" t="s">
        <v>364</v>
      </c>
      <c r="Q3021" s="55" t="s">
        <v>350</v>
      </c>
      <c r="R3021" s="55">
        <v>5</v>
      </c>
      <c r="S3021" s="55"/>
      <c r="T3021" s="55" t="s">
        <v>1279</v>
      </c>
    </row>
    <row r="3022" spans="1:20" ht="13" x14ac:dyDescent="0.15">
      <c r="A3022" s="72" t="str">
        <f t="shared" si="47"/>
        <v>Ofsted Social Care Provider Webpage</v>
      </c>
      <c r="B3022" s="55" t="s">
        <v>5660</v>
      </c>
      <c r="D3022" s="55" t="s">
        <v>373</v>
      </c>
      <c r="E3022" s="74">
        <v>40956</v>
      </c>
      <c r="F3022" s="55" t="s">
        <v>344</v>
      </c>
      <c r="G3022" s="55" t="s">
        <v>360</v>
      </c>
      <c r="H3022" s="55" t="s">
        <v>360</v>
      </c>
      <c r="I3022" s="55" t="s">
        <v>360</v>
      </c>
      <c r="J3022" s="55" t="s">
        <v>360</v>
      </c>
      <c r="K3022" s="55" t="s">
        <v>360</v>
      </c>
      <c r="L3022" s="55" t="s">
        <v>360</v>
      </c>
      <c r="M3022" s="55" t="s">
        <v>378</v>
      </c>
      <c r="N3022" s="55" t="s">
        <v>170</v>
      </c>
      <c r="O3022" s="55" t="s">
        <v>222</v>
      </c>
      <c r="P3022" s="55" t="s">
        <v>3131</v>
      </c>
      <c r="Q3022" s="55" t="s">
        <v>362</v>
      </c>
      <c r="R3022" s="55">
        <v>7</v>
      </c>
      <c r="S3022" s="55"/>
      <c r="T3022" s="55" t="s">
        <v>5661</v>
      </c>
    </row>
    <row r="3023" spans="1:20" ht="13" x14ac:dyDescent="0.15">
      <c r="A3023" s="72" t="str">
        <f t="shared" si="47"/>
        <v>Ofsted Social Care Provider Webpage</v>
      </c>
      <c r="B3023" s="55" t="s">
        <v>5662</v>
      </c>
      <c r="D3023" s="55" t="s">
        <v>373</v>
      </c>
      <c r="E3023" s="74">
        <v>40751</v>
      </c>
      <c r="F3023" s="55" t="s">
        <v>344</v>
      </c>
      <c r="G3023" s="55" t="s">
        <v>360</v>
      </c>
      <c r="H3023" s="55" t="s">
        <v>360</v>
      </c>
      <c r="I3023" s="55" t="s">
        <v>360</v>
      </c>
      <c r="J3023" s="55" t="s">
        <v>360</v>
      </c>
      <c r="K3023" s="55" t="s">
        <v>360</v>
      </c>
      <c r="L3023" s="55" t="s">
        <v>360</v>
      </c>
      <c r="M3023" s="55" t="s">
        <v>142</v>
      </c>
      <c r="N3023" s="55" t="s">
        <v>142</v>
      </c>
      <c r="O3023" s="55" t="s">
        <v>141</v>
      </c>
      <c r="P3023" s="55" t="s">
        <v>2048</v>
      </c>
      <c r="Q3023" s="55" t="s">
        <v>350</v>
      </c>
      <c r="R3023" s="55">
        <v>4</v>
      </c>
      <c r="S3023" s="55"/>
      <c r="T3023" s="55" t="s">
        <v>1261</v>
      </c>
    </row>
    <row r="3024" spans="1:20" ht="13" x14ac:dyDescent="0.15">
      <c r="A3024" s="72" t="str">
        <f t="shared" si="47"/>
        <v>Ofsted Social Care Provider Webpage</v>
      </c>
      <c r="B3024" s="55" t="s">
        <v>5663</v>
      </c>
      <c r="D3024" s="55" t="s">
        <v>373</v>
      </c>
      <c r="E3024" s="74">
        <v>40765</v>
      </c>
      <c r="F3024" s="55" t="s">
        <v>344</v>
      </c>
      <c r="G3024" s="55" t="s">
        <v>360</v>
      </c>
      <c r="H3024" s="55" t="s">
        <v>360</v>
      </c>
      <c r="I3024" s="55" t="s">
        <v>360</v>
      </c>
      <c r="J3024" s="55" t="s">
        <v>360</v>
      </c>
      <c r="K3024" s="55" t="s">
        <v>360</v>
      </c>
      <c r="L3024" s="55" t="s">
        <v>360</v>
      </c>
      <c r="M3024" s="55" t="s">
        <v>136</v>
      </c>
      <c r="N3024" s="55" t="s">
        <v>136</v>
      </c>
      <c r="O3024" s="55" t="s">
        <v>174</v>
      </c>
      <c r="P3024" s="55" t="s">
        <v>857</v>
      </c>
      <c r="Q3024" s="55" t="s">
        <v>350</v>
      </c>
      <c r="R3024" s="55">
        <v>3</v>
      </c>
      <c r="S3024" s="55"/>
      <c r="T3024" s="55" t="s">
        <v>900</v>
      </c>
    </row>
    <row r="3025" spans="1:20" ht="13" x14ac:dyDescent="0.15">
      <c r="A3025" s="72" t="str">
        <f t="shared" si="47"/>
        <v>Ofsted Social Care Provider Webpage</v>
      </c>
      <c r="B3025" s="55" t="s">
        <v>5664</v>
      </c>
      <c r="D3025" s="55" t="s">
        <v>373</v>
      </c>
      <c r="E3025" s="74">
        <v>40745</v>
      </c>
      <c r="F3025" s="55" t="s">
        <v>344</v>
      </c>
      <c r="G3025" s="55" t="s">
        <v>360</v>
      </c>
      <c r="H3025" s="55" t="s">
        <v>360</v>
      </c>
      <c r="I3025" s="55" t="s">
        <v>360</v>
      </c>
      <c r="J3025" s="55" t="s">
        <v>360</v>
      </c>
      <c r="K3025" s="55" t="s">
        <v>360</v>
      </c>
      <c r="L3025" s="55" t="s">
        <v>360</v>
      </c>
      <c r="M3025" s="55" t="s">
        <v>172</v>
      </c>
      <c r="N3025" s="55" t="s">
        <v>172</v>
      </c>
      <c r="O3025" s="55" t="s">
        <v>173</v>
      </c>
      <c r="P3025" s="55" t="s">
        <v>1540</v>
      </c>
      <c r="Q3025" s="55" t="s">
        <v>350</v>
      </c>
      <c r="R3025" s="55">
        <v>4</v>
      </c>
      <c r="S3025" s="55"/>
      <c r="T3025" s="55" t="s">
        <v>517</v>
      </c>
    </row>
    <row r="3026" spans="1:20" ht="13" x14ac:dyDescent="0.15">
      <c r="A3026" s="72" t="str">
        <f t="shared" si="47"/>
        <v>Ofsted Social Care Provider Webpage</v>
      </c>
      <c r="B3026" s="55" t="s">
        <v>5665</v>
      </c>
      <c r="D3026" s="55" t="s">
        <v>373</v>
      </c>
      <c r="E3026" s="74">
        <v>40791</v>
      </c>
      <c r="F3026" s="55" t="s">
        <v>344</v>
      </c>
      <c r="G3026" s="55" t="s">
        <v>360</v>
      </c>
      <c r="H3026" s="55" t="s">
        <v>360</v>
      </c>
      <c r="I3026" s="55" t="s">
        <v>360</v>
      </c>
      <c r="J3026" s="55" t="s">
        <v>360</v>
      </c>
      <c r="K3026" s="55" t="s">
        <v>360</v>
      </c>
      <c r="L3026" s="55" t="s">
        <v>360</v>
      </c>
      <c r="M3026" s="55" t="s">
        <v>378</v>
      </c>
      <c r="N3026" s="55" t="s">
        <v>170</v>
      </c>
      <c r="O3026" s="55" t="s">
        <v>267</v>
      </c>
      <c r="P3026" s="55" t="s">
        <v>477</v>
      </c>
      <c r="Q3026" s="55" t="s">
        <v>362</v>
      </c>
      <c r="R3026" s="55">
        <v>6</v>
      </c>
      <c r="S3026" s="55"/>
      <c r="T3026" s="55" t="s">
        <v>3132</v>
      </c>
    </row>
    <row r="3027" spans="1:20" ht="13" x14ac:dyDescent="0.15">
      <c r="A3027" s="72" t="str">
        <f t="shared" si="47"/>
        <v>Ofsted Social Care Provider Webpage</v>
      </c>
      <c r="B3027" s="55" t="s">
        <v>5666</v>
      </c>
      <c r="D3027" s="55" t="s">
        <v>373</v>
      </c>
      <c r="E3027" s="74">
        <v>40777</v>
      </c>
      <c r="F3027" s="55" t="s">
        <v>344</v>
      </c>
      <c r="G3027" s="55" t="s">
        <v>360</v>
      </c>
      <c r="H3027" s="55" t="s">
        <v>360</v>
      </c>
      <c r="I3027" s="55" t="s">
        <v>360</v>
      </c>
      <c r="J3027" s="55" t="s">
        <v>360</v>
      </c>
      <c r="K3027" s="55" t="s">
        <v>360</v>
      </c>
      <c r="L3027" s="55" t="s">
        <v>360</v>
      </c>
      <c r="M3027" s="55" t="s">
        <v>142</v>
      </c>
      <c r="N3027" s="55" t="s">
        <v>142</v>
      </c>
      <c r="O3027" s="55" t="s">
        <v>293</v>
      </c>
      <c r="P3027" s="55" t="s">
        <v>1136</v>
      </c>
      <c r="Q3027" s="55" t="s">
        <v>350</v>
      </c>
      <c r="R3027" s="55">
        <v>2</v>
      </c>
      <c r="S3027" s="55"/>
      <c r="T3027" s="55" t="s">
        <v>1281</v>
      </c>
    </row>
    <row r="3028" spans="1:20" ht="13" x14ac:dyDescent="0.15">
      <c r="A3028" s="72" t="str">
        <f t="shared" si="47"/>
        <v>Ofsted Social Care Provider Webpage</v>
      </c>
      <c r="B3028" s="55" t="s">
        <v>5667</v>
      </c>
      <c r="D3028" s="55" t="s">
        <v>373</v>
      </c>
      <c r="E3028" s="74">
        <v>40900</v>
      </c>
      <c r="F3028" s="55" t="s">
        <v>344</v>
      </c>
      <c r="G3028" s="55" t="s">
        <v>360</v>
      </c>
      <c r="H3028" s="55" t="s">
        <v>360</v>
      </c>
      <c r="I3028" s="55" t="s">
        <v>360</v>
      </c>
      <c r="J3028" s="55" t="s">
        <v>360</v>
      </c>
      <c r="K3028" s="55" t="s">
        <v>360</v>
      </c>
      <c r="L3028" s="55" t="s">
        <v>360</v>
      </c>
      <c r="M3028" s="55" t="s">
        <v>150</v>
      </c>
      <c r="N3028" s="55" t="s">
        <v>150</v>
      </c>
      <c r="O3028" s="55" t="s">
        <v>203</v>
      </c>
      <c r="P3028" s="55" t="s">
        <v>593</v>
      </c>
      <c r="Q3028" s="55" t="s">
        <v>350</v>
      </c>
      <c r="R3028" s="55">
        <v>4</v>
      </c>
      <c r="S3028" s="55"/>
      <c r="T3028" s="55" t="s">
        <v>5415</v>
      </c>
    </row>
    <row r="3029" spans="1:20" ht="13" x14ac:dyDescent="0.15">
      <c r="A3029" s="72" t="str">
        <f t="shared" si="47"/>
        <v>Ofsted Social Care Provider Webpage</v>
      </c>
      <c r="B3029" s="55" t="s">
        <v>5668</v>
      </c>
      <c r="D3029" s="55" t="s">
        <v>373</v>
      </c>
      <c r="E3029" s="74">
        <v>40800</v>
      </c>
      <c r="F3029" s="55" t="s">
        <v>344</v>
      </c>
      <c r="G3029" s="55" t="s">
        <v>360</v>
      </c>
      <c r="H3029" s="55" t="s">
        <v>360</v>
      </c>
      <c r="I3029" s="55" t="s">
        <v>360</v>
      </c>
      <c r="J3029" s="55" t="s">
        <v>360</v>
      </c>
      <c r="K3029" s="55" t="s">
        <v>360</v>
      </c>
      <c r="L3029" s="55" t="s">
        <v>360</v>
      </c>
      <c r="M3029" s="55" t="s">
        <v>142</v>
      </c>
      <c r="N3029" s="55" t="s">
        <v>142</v>
      </c>
      <c r="O3029" s="55" t="s">
        <v>262</v>
      </c>
      <c r="P3029" s="55" t="s">
        <v>916</v>
      </c>
      <c r="Q3029" s="55" t="s">
        <v>350</v>
      </c>
      <c r="R3029" s="55">
        <v>4</v>
      </c>
      <c r="S3029" s="55"/>
      <c r="T3029" s="55" t="s">
        <v>5406</v>
      </c>
    </row>
    <row r="3030" spans="1:20" ht="13" x14ac:dyDescent="0.15">
      <c r="A3030" s="72" t="str">
        <f t="shared" si="47"/>
        <v>Ofsted Social Care Provider Webpage</v>
      </c>
      <c r="B3030" s="55" t="s">
        <v>5669</v>
      </c>
      <c r="D3030" s="55" t="s">
        <v>373</v>
      </c>
      <c r="E3030" s="74">
        <v>40779</v>
      </c>
      <c r="F3030" s="55" t="s">
        <v>344</v>
      </c>
      <c r="G3030" s="55" t="s">
        <v>360</v>
      </c>
      <c r="H3030" s="55" t="s">
        <v>360</v>
      </c>
      <c r="I3030" s="55" t="s">
        <v>360</v>
      </c>
      <c r="J3030" s="55" t="s">
        <v>360</v>
      </c>
      <c r="K3030" s="55" t="s">
        <v>360</v>
      </c>
      <c r="L3030" s="55" t="s">
        <v>360</v>
      </c>
      <c r="M3030" s="55" t="s">
        <v>150</v>
      </c>
      <c r="N3030" s="55" t="s">
        <v>150</v>
      </c>
      <c r="O3030" s="55" t="s">
        <v>181</v>
      </c>
      <c r="P3030" s="55" t="s">
        <v>937</v>
      </c>
      <c r="Q3030" s="55" t="s">
        <v>350</v>
      </c>
      <c r="R3030" s="55">
        <v>2</v>
      </c>
      <c r="S3030" s="55"/>
      <c r="T3030" s="55" t="s">
        <v>5670</v>
      </c>
    </row>
    <row r="3031" spans="1:20" ht="13" x14ac:dyDescent="0.15">
      <c r="A3031" s="72" t="str">
        <f t="shared" si="47"/>
        <v>Ofsted Social Care Provider Webpage</v>
      </c>
      <c r="B3031" s="55" t="s">
        <v>5671</v>
      </c>
      <c r="D3031" s="55" t="s">
        <v>373</v>
      </c>
      <c r="E3031" s="74">
        <v>40801</v>
      </c>
      <c r="F3031" s="55" t="s">
        <v>344</v>
      </c>
      <c r="G3031" s="55" t="s">
        <v>360</v>
      </c>
      <c r="H3031" s="55" t="s">
        <v>360</v>
      </c>
      <c r="I3031" s="55" t="s">
        <v>360</v>
      </c>
      <c r="J3031" s="55" t="s">
        <v>360</v>
      </c>
      <c r="K3031" s="55" t="s">
        <v>360</v>
      </c>
      <c r="L3031" s="55" t="s">
        <v>360</v>
      </c>
      <c r="M3031" s="55" t="s">
        <v>172</v>
      </c>
      <c r="N3031" s="55" t="s">
        <v>172</v>
      </c>
      <c r="O3031" s="55" t="s">
        <v>212</v>
      </c>
      <c r="P3031" s="55" t="s">
        <v>842</v>
      </c>
      <c r="Q3031" s="55" t="s">
        <v>350</v>
      </c>
      <c r="R3031" s="55">
        <v>3</v>
      </c>
      <c r="S3031" s="55"/>
      <c r="T3031" s="55" t="s">
        <v>385</v>
      </c>
    </row>
    <row r="3032" spans="1:20" ht="13" x14ac:dyDescent="0.15">
      <c r="A3032" s="72" t="str">
        <f t="shared" si="47"/>
        <v>Ofsted Social Care Provider Webpage</v>
      </c>
      <c r="B3032" s="55" t="s">
        <v>5672</v>
      </c>
      <c r="D3032" s="55" t="s">
        <v>468</v>
      </c>
      <c r="E3032" s="74">
        <v>40906</v>
      </c>
      <c r="F3032" s="55" t="s">
        <v>344</v>
      </c>
      <c r="G3032" s="55" t="s">
        <v>5673</v>
      </c>
      <c r="H3032" s="55" t="s">
        <v>5673</v>
      </c>
      <c r="I3032" s="55" t="s">
        <v>5674</v>
      </c>
      <c r="J3032" s="55" t="s">
        <v>5675</v>
      </c>
      <c r="K3032" s="55" t="s">
        <v>154</v>
      </c>
      <c r="L3032" s="55" t="s">
        <v>5676</v>
      </c>
      <c r="M3032" s="55" t="s">
        <v>136</v>
      </c>
      <c r="N3032" s="55" t="s">
        <v>136</v>
      </c>
      <c r="O3032" s="55" t="s">
        <v>154</v>
      </c>
      <c r="P3032" s="55" t="s">
        <v>2290</v>
      </c>
      <c r="Q3032" s="55" t="s">
        <v>362</v>
      </c>
      <c r="R3032" s="55"/>
      <c r="S3032" s="55"/>
      <c r="T3032" s="55" t="s">
        <v>1884</v>
      </c>
    </row>
    <row r="3033" spans="1:20" ht="13" x14ac:dyDescent="0.15">
      <c r="A3033" s="72" t="str">
        <f t="shared" si="47"/>
        <v>Ofsted Social Care Provider Webpage</v>
      </c>
      <c r="B3033" s="55" t="s">
        <v>5677</v>
      </c>
      <c r="D3033" s="55" t="s">
        <v>373</v>
      </c>
      <c r="E3033" s="74">
        <v>41234</v>
      </c>
      <c r="F3033" s="55" t="s">
        <v>344</v>
      </c>
      <c r="G3033" s="55" t="s">
        <v>360</v>
      </c>
      <c r="H3033" s="55" t="s">
        <v>360</v>
      </c>
      <c r="I3033" s="55" t="s">
        <v>360</v>
      </c>
      <c r="J3033" s="55" t="s">
        <v>360</v>
      </c>
      <c r="K3033" s="55" t="s">
        <v>360</v>
      </c>
      <c r="L3033" s="55" t="s">
        <v>360</v>
      </c>
      <c r="M3033" s="55" t="s">
        <v>150</v>
      </c>
      <c r="N3033" s="55" t="s">
        <v>150</v>
      </c>
      <c r="O3033" s="55" t="s">
        <v>203</v>
      </c>
      <c r="P3033" s="55" t="s">
        <v>419</v>
      </c>
      <c r="Q3033" s="55" t="s">
        <v>362</v>
      </c>
      <c r="R3033" s="55">
        <v>6</v>
      </c>
      <c r="S3033" s="55" t="s">
        <v>332</v>
      </c>
      <c r="T3033" s="55" t="s">
        <v>5678</v>
      </c>
    </row>
    <row r="3034" spans="1:20" ht="13" x14ac:dyDescent="0.15">
      <c r="A3034" s="72" t="str">
        <f t="shared" si="47"/>
        <v>Ofsted Social Care Provider Webpage</v>
      </c>
      <c r="B3034" s="55" t="s">
        <v>5679</v>
      </c>
      <c r="D3034" s="55" t="s">
        <v>479</v>
      </c>
      <c r="E3034" s="74">
        <v>40801</v>
      </c>
      <c r="F3034" s="55" t="s">
        <v>344</v>
      </c>
      <c r="G3034" s="55" t="s">
        <v>360</v>
      </c>
      <c r="H3034" s="55" t="s">
        <v>360</v>
      </c>
      <c r="I3034" s="55" t="s">
        <v>360</v>
      </c>
      <c r="J3034" s="55" t="s">
        <v>360</v>
      </c>
      <c r="K3034" s="55" t="s">
        <v>360</v>
      </c>
      <c r="L3034" s="55" t="s">
        <v>360</v>
      </c>
      <c r="M3034" s="55" t="s">
        <v>138</v>
      </c>
      <c r="N3034" s="55" t="s">
        <v>138</v>
      </c>
      <c r="O3034" s="55" t="s">
        <v>224</v>
      </c>
      <c r="P3034" s="55" t="s">
        <v>374</v>
      </c>
      <c r="Q3034" s="55" t="s">
        <v>350</v>
      </c>
      <c r="R3034" s="55">
        <v>14</v>
      </c>
      <c r="S3034" s="55"/>
      <c r="T3034" s="55" t="s">
        <v>2161</v>
      </c>
    </row>
    <row r="3035" spans="1:20" ht="13" x14ac:dyDescent="0.15">
      <c r="A3035" s="72" t="str">
        <f t="shared" si="47"/>
        <v>Ofsted Social Care Provider Webpage</v>
      </c>
      <c r="B3035" s="55" t="s">
        <v>5680</v>
      </c>
      <c r="D3035" s="55" t="s">
        <v>451</v>
      </c>
      <c r="E3035" s="74">
        <v>40856</v>
      </c>
      <c r="F3035" s="55" t="s">
        <v>344</v>
      </c>
      <c r="G3035" s="55" t="s">
        <v>5681</v>
      </c>
      <c r="H3035" s="55" t="s">
        <v>5682</v>
      </c>
      <c r="I3035" s="55" t="s">
        <v>354</v>
      </c>
      <c r="J3035" s="55" t="s">
        <v>5683</v>
      </c>
      <c r="K3035" s="55" t="s">
        <v>4326</v>
      </c>
      <c r="L3035" s="55" t="s">
        <v>5684</v>
      </c>
      <c r="M3035" s="55" t="s">
        <v>378</v>
      </c>
      <c r="N3035" s="55" t="s">
        <v>134</v>
      </c>
      <c r="O3035" s="55" t="s">
        <v>180</v>
      </c>
      <c r="P3035" s="55" t="s">
        <v>1483</v>
      </c>
      <c r="Q3035" s="55" t="s">
        <v>350</v>
      </c>
      <c r="R3035" s="55">
        <v>4</v>
      </c>
      <c r="S3035" s="55"/>
      <c r="T3035" s="55" t="s">
        <v>5685</v>
      </c>
    </row>
    <row r="3036" spans="1:20" ht="13" x14ac:dyDescent="0.15">
      <c r="A3036" s="72" t="str">
        <f t="shared" si="47"/>
        <v>Ofsted Social Care Provider Webpage</v>
      </c>
      <c r="B3036" s="55" t="s">
        <v>5686</v>
      </c>
      <c r="D3036" s="55" t="s">
        <v>373</v>
      </c>
      <c r="E3036" s="74">
        <v>40840</v>
      </c>
      <c r="F3036" s="55" t="s">
        <v>344</v>
      </c>
      <c r="G3036" s="55" t="s">
        <v>360</v>
      </c>
      <c r="H3036" s="55" t="s">
        <v>360</v>
      </c>
      <c r="I3036" s="55" t="s">
        <v>360</v>
      </c>
      <c r="J3036" s="55" t="s">
        <v>360</v>
      </c>
      <c r="K3036" s="55" t="s">
        <v>360</v>
      </c>
      <c r="L3036" s="55" t="s">
        <v>360</v>
      </c>
      <c r="M3036" s="55" t="s">
        <v>172</v>
      </c>
      <c r="N3036" s="55" t="s">
        <v>172</v>
      </c>
      <c r="O3036" s="55" t="s">
        <v>212</v>
      </c>
      <c r="P3036" s="55" t="s">
        <v>714</v>
      </c>
      <c r="Q3036" s="55" t="s">
        <v>350</v>
      </c>
      <c r="R3036" s="55">
        <v>6</v>
      </c>
      <c r="S3036" s="55"/>
      <c r="T3036" s="55" t="s">
        <v>385</v>
      </c>
    </row>
    <row r="3037" spans="1:20" ht="13" x14ac:dyDescent="0.15">
      <c r="A3037" s="72" t="str">
        <f t="shared" si="47"/>
        <v>Ofsted Social Care Provider Webpage</v>
      </c>
      <c r="B3037" s="55" t="s">
        <v>5687</v>
      </c>
      <c r="D3037" s="55" t="s">
        <v>373</v>
      </c>
      <c r="E3037" s="74">
        <v>40802</v>
      </c>
      <c r="F3037" s="55" t="s">
        <v>344</v>
      </c>
      <c r="G3037" s="55" t="s">
        <v>360</v>
      </c>
      <c r="H3037" s="55" t="s">
        <v>360</v>
      </c>
      <c r="I3037" s="55" t="s">
        <v>360</v>
      </c>
      <c r="J3037" s="55" t="s">
        <v>360</v>
      </c>
      <c r="K3037" s="55" t="s">
        <v>360</v>
      </c>
      <c r="L3037" s="55" t="s">
        <v>360</v>
      </c>
      <c r="M3037" s="55" t="s">
        <v>172</v>
      </c>
      <c r="N3037" s="55" t="s">
        <v>172</v>
      </c>
      <c r="O3037" s="55" t="s">
        <v>214</v>
      </c>
      <c r="P3037" s="55" t="s">
        <v>1345</v>
      </c>
      <c r="Q3037" s="55" t="s">
        <v>350</v>
      </c>
      <c r="R3037" s="55">
        <v>6</v>
      </c>
      <c r="S3037" s="55"/>
      <c r="T3037" s="55" t="s">
        <v>5688</v>
      </c>
    </row>
    <row r="3038" spans="1:20" ht="13" x14ac:dyDescent="0.15">
      <c r="A3038" s="72" t="str">
        <f t="shared" si="47"/>
        <v>Ofsted Social Care Provider Webpage</v>
      </c>
      <c r="B3038" s="55" t="s">
        <v>5689</v>
      </c>
      <c r="D3038" s="55" t="s">
        <v>373</v>
      </c>
      <c r="E3038" s="74">
        <v>40822</v>
      </c>
      <c r="F3038" s="55" t="s">
        <v>344</v>
      </c>
      <c r="G3038" s="55" t="s">
        <v>360</v>
      </c>
      <c r="H3038" s="55" t="s">
        <v>360</v>
      </c>
      <c r="I3038" s="55" t="s">
        <v>360</v>
      </c>
      <c r="J3038" s="55" t="s">
        <v>360</v>
      </c>
      <c r="K3038" s="55" t="s">
        <v>360</v>
      </c>
      <c r="L3038" s="55" t="s">
        <v>360</v>
      </c>
      <c r="M3038" s="55" t="s">
        <v>172</v>
      </c>
      <c r="N3038" s="55" t="s">
        <v>172</v>
      </c>
      <c r="O3038" s="55" t="s">
        <v>173</v>
      </c>
      <c r="P3038" s="55" t="s">
        <v>1305</v>
      </c>
      <c r="Q3038" s="55" t="s">
        <v>350</v>
      </c>
      <c r="R3038" s="55">
        <v>3</v>
      </c>
      <c r="S3038" s="55"/>
      <c r="T3038" s="55" t="s">
        <v>861</v>
      </c>
    </row>
    <row r="3039" spans="1:20" ht="13" x14ac:dyDescent="0.15">
      <c r="A3039" s="72" t="str">
        <f t="shared" si="47"/>
        <v>Ofsted Social Care Provider Webpage</v>
      </c>
      <c r="B3039" s="55" t="s">
        <v>5690</v>
      </c>
      <c r="D3039" s="55" t="s">
        <v>373</v>
      </c>
      <c r="E3039" s="74">
        <v>40941</v>
      </c>
      <c r="F3039" s="55" t="s">
        <v>344</v>
      </c>
      <c r="G3039" s="55" t="s">
        <v>360</v>
      </c>
      <c r="H3039" s="55" t="s">
        <v>360</v>
      </c>
      <c r="I3039" s="55" t="s">
        <v>360</v>
      </c>
      <c r="J3039" s="55" t="s">
        <v>360</v>
      </c>
      <c r="K3039" s="55" t="s">
        <v>360</v>
      </c>
      <c r="L3039" s="55" t="s">
        <v>360</v>
      </c>
      <c r="M3039" s="55" t="s">
        <v>144</v>
      </c>
      <c r="N3039" s="55" t="s">
        <v>144</v>
      </c>
      <c r="O3039" s="55" t="s">
        <v>263</v>
      </c>
      <c r="P3039" s="55" t="s">
        <v>1211</v>
      </c>
      <c r="Q3039" s="55" t="s">
        <v>350</v>
      </c>
      <c r="R3039" s="55">
        <v>5</v>
      </c>
      <c r="S3039" s="55"/>
      <c r="T3039" s="55" t="s">
        <v>2359</v>
      </c>
    </row>
    <row r="3040" spans="1:20" ht="13" x14ac:dyDescent="0.15">
      <c r="A3040" s="72" t="str">
        <f t="shared" si="47"/>
        <v>Ofsted Social Care Provider Webpage</v>
      </c>
      <c r="B3040" s="55" t="s">
        <v>5691</v>
      </c>
      <c r="D3040" s="55" t="s">
        <v>373</v>
      </c>
      <c r="E3040" s="74">
        <v>40959</v>
      </c>
      <c r="F3040" s="55" t="s">
        <v>344</v>
      </c>
      <c r="G3040" s="55" t="s">
        <v>360</v>
      </c>
      <c r="H3040" s="55" t="s">
        <v>360</v>
      </c>
      <c r="I3040" s="55" t="s">
        <v>360</v>
      </c>
      <c r="J3040" s="55" t="s">
        <v>360</v>
      </c>
      <c r="K3040" s="55" t="s">
        <v>360</v>
      </c>
      <c r="L3040" s="55" t="s">
        <v>360</v>
      </c>
      <c r="M3040" s="55" t="s">
        <v>172</v>
      </c>
      <c r="N3040" s="55" t="s">
        <v>172</v>
      </c>
      <c r="O3040" s="55" t="s">
        <v>234</v>
      </c>
      <c r="P3040" s="55" t="s">
        <v>369</v>
      </c>
      <c r="Q3040" s="55" t="s">
        <v>350</v>
      </c>
      <c r="R3040" s="55">
        <v>3</v>
      </c>
      <c r="S3040" s="55"/>
      <c r="T3040" s="55" t="s">
        <v>5692</v>
      </c>
    </row>
    <row r="3041" spans="1:20" ht="13" x14ac:dyDescent="0.15">
      <c r="A3041" s="72" t="str">
        <f t="shared" si="47"/>
        <v>Ofsted Social Care Provider Webpage</v>
      </c>
      <c r="B3041" s="55" t="s">
        <v>5693</v>
      </c>
      <c r="D3041" s="55" t="s">
        <v>373</v>
      </c>
      <c r="E3041" s="74">
        <v>40856</v>
      </c>
      <c r="F3041" s="55" t="s">
        <v>344</v>
      </c>
      <c r="G3041" s="55" t="s">
        <v>360</v>
      </c>
      <c r="H3041" s="55" t="s">
        <v>360</v>
      </c>
      <c r="I3041" s="55" t="s">
        <v>360</v>
      </c>
      <c r="J3041" s="55" t="s">
        <v>360</v>
      </c>
      <c r="K3041" s="55" t="s">
        <v>360</v>
      </c>
      <c r="L3041" s="55" t="s">
        <v>360</v>
      </c>
      <c r="M3041" s="55" t="s">
        <v>172</v>
      </c>
      <c r="N3041" s="55" t="s">
        <v>172</v>
      </c>
      <c r="O3041" s="55" t="s">
        <v>173</v>
      </c>
      <c r="P3041" s="55" t="s">
        <v>860</v>
      </c>
      <c r="Q3041" s="55" t="s">
        <v>380</v>
      </c>
      <c r="R3041" s="55">
        <v>6</v>
      </c>
      <c r="S3041" s="55" t="s">
        <v>332</v>
      </c>
      <c r="T3041" s="55" t="s">
        <v>1431</v>
      </c>
    </row>
    <row r="3042" spans="1:20" ht="13" x14ac:dyDescent="0.15">
      <c r="A3042" s="72" t="str">
        <f t="shared" si="47"/>
        <v>Ofsted Social Care Provider Webpage</v>
      </c>
      <c r="B3042" s="55" t="s">
        <v>5694</v>
      </c>
      <c r="D3042" s="55" t="s">
        <v>373</v>
      </c>
      <c r="E3042" s="74">
        <v>40833</v>
      </c>
      <c r="F3042" s="55" t="s">
        <v>344</v>
      </c>
      <c r="G3042" s="55" t="s">
        <v>360</v>
      </c>
      <c r="H3042" s="55" t="s">
        <v>360</v>
      </c>
      <c r="I3042" s="55" t="s">
        <v>360</v>
      </c>
      <c r="J3042" s="55" t="s">
        <v>360</v>
      </c>
      <c r="K3042" s="55" t="s">
        <v>360</v>
      </c>
      <c r="L3042" s="55" t="s">
        <v>360</v>
      </c>
      <c r="M3042" s="55" t="s">
        <v>142</v>
      </c>
      <c r="N3042" s="55" t="s">
        <v>142</v>
      </c>
      <c r="O3042" s="55" t="s">
        <v>262</v>
      </c>
      <c r="P3042" s="55" t="s">
        <v>916</v>
      </c>
      <c r="Q3042" s="55" t="s">
        <v>350</v>
      </c>
      <c r="R3042" s="55">
        <v>3</v>
      </c>
      <c r="S3042" s="55"/>
      <c r="T3042" s="55" t="s">
        <v>1253</v>
      </c>
    </row>
    <row r="3043" spans="1:20" ht="13" x14ac:dyDescent="0.15">
      <c r="A3043" s="72" t="str">
        <f t="shared" si="47"/>
        <v>Ofsted Social Care Provider Webpage</v>
      </c>
      <c r="B3043" s="55" t="s">
        <v>5695</v>
      </c>
      <c r="D3043" s="55" t="s">
        <v>373</v>
      </c>
      <c r="E3043" s="74">
        <v>40814</v>
      </c>
      <c r="F3043" s="55" t="s">
        <v>344</v>
      </c>
      <c r="G3043" s="55" t="s">
        <v>360</v>
      </c>
      <c r="H3043" s="55" t="s">
        <v>360</v>
      </c>
      <c r="I3043" s="55" t="s">
        <v>360</v>
      </c>
      <c r="J3043" s="55" t="s">
        <v>360</v>
      </c>
      <c r="K3043" s="55" t="s">
        <v>360</v>
      </c>
      <c r="L3043" s="55" t="s">
        <v>360</v>
      </c>
      <c r="M3043" s="55" t="s">
        <v>136</v>
      </c>
      <c r="N3043" s="55" t="s">
        <v>136</v>
      </c>
      <c r="O3043" s="55" t="s">
        <v>270</v>
      </c>
      <c r="P3043" s="55" t="s">
        <v>1752</v>
      </c>
      <c r="Q3043" s="55" t="s">
        <v>350</v>
      </c>
      <c r="R3043" s="55">
        <v>5</v>
      </c>
      <c r="S3043" s="55"/>
      <c r="T3043" s="55" t="s">
        <v>5696</v>
      </c>
    </row>
    <row r="3044" spans="1:20" ht="13" x14ac:dyDescent="0.15">
      <c r="A3044" s="72" t="str">
        <f t="shared" si="47"/>
        <v>Ofsted Social Care Provider Webpage</v>
      </c>
      <c r="B3044" s="55" t="s">
        <v>5697</v>
      </c>
      <c r="D3044" s="55" t="s">
        <v>373</v>
      </c>
      <c r="E3044" s="74">
        <v>40889</v>
      </c>
      <c r="F3044" s="55" t="s">
        <v>344</v>
      </c>
      <c r="G3044" s="55" t="s">
        <v>360</v>
      </c>
      <c r="H3044" s="55" t="s">
        <v>360</v>
      </c>
      <c r="I3044" s="55" t="s">
        <v>360</v>
      </c>
      <c r="J3044" s="55" t="s">
        <v>360</v>
      </c>
      <c r="K3044" s="55" t="s">
        <v>360</v>
      </c>
      <c r="L3044" s="55" t="s">
        <v>360</v>
      </c>
      <c r="M3044" s="55" t="s">
        <v>378</v>
      </c>
      <c r="N3044" s="55" t="s">
        <v>134</v>
      </c>
      <c r="O3044" s="55" t="s">
        <v>151</v>
      </c>
      <c r="P3044" s="55" t="s">
        <v>3141</v>
      </c>
      <c r="Q3044" s="55" t="s">
        <v>350</v>
      </c>
      <c r="R3044" s="55">
        <v>8</v>
      </c>
      <c r="S3044" s="55"/>
      <c r="T3044" s="55" t="s">
        <v>385</v>
      </c>
    </row>
    <row r="3045" spans="1:20" ht="13" x14ac:dyDescent="0.15">
      <c r="A3045" s="72" t="str">
        <f t="shared" si="47"/>
        <v>Ofsted Social Care Provider Webpage</v>
      </c>
      <c r="B3045" s="55" t="s">
        <v>5698</v>
      </c>
      <c r="D3045" s="55" t="s">
        <v>373</v>
      </c>
      <c r="E3045" s="74">
        <v>40963</v>
      </c>
      <c r="F3045" s="55" t="s">
        <v>344</v>
      </c>
      <c r="G3045" s="55" t="s">
        <v>360</v>
      </c>
      <c r="H3045" s="55" t="s">
        <v>360</v>
      </c>
      <c r="I3045" s="55" t="s">
        <v>360</v>
      </c>
      <c r="J3045" s="55" t="s">
        <v>360</v>
      </c>
      <c r="K3045" s="55" t="s">
        <v>360</v>
      </c>
      <c r="L3045" s="55" t="s">
        <v>360</v>
      </c>
      <c r="M3045" s="55" t="s">
        <v>142</v>
      </c>
      <c r="N3045" s="55" t="s">
        <v>142</v>
      </c>
      <c r="O3045" s="55" t="s">
        <v>249</v>
      </c>
      <c r="P3045" s="55" t="s">
        <v>1406</v>
      </c>
      <c r="Q3045" s="55" t="s">
        <v>350</v>
      </c>
      <c r="R3045" s="55">
        <v>3</v>
      </c>
      <c r="S3045" s="55"/>
      <c r="T3045" s="55" t="s">
        <v>1164</v>
      </c>
    </row>
    <row r="3046" spans="1:20" ht="13" x14ac:dyDescent="0.15">
      <c r="A3046" s="72" t="str">
        <f t="shared" si="47"/>
        <v>Ofsted Social Care Provider Webpage</v>
      </c>
      <c r="B3046" s="55" t="s">
        <v>5699</v>
      </c>
      <c r="D3046" s="55" t="s">
        <v>373</v>
      </c>
      <c r="E3046" s="74">
        <v>40947</v>
      </c>
      <c r="F3046" s="55" t="s">
        <v>344</v>
      </c>
      <c r="G3046" s="55" t="s">
        <v>360</v>
      </c>
      <c r="H3046" s="55" t="s">
        <v>360</v>
      </c>
      <c r="I3046" s="55" t="s">
        <v>360</v>
      </c>
      <c r="J3046" s="55" t="s">
        <v>360</v>
      </c>
      <c r="K3046" s="55" t="s">
        <v>360</v>
      </c>
      <c r="L3046" s="55" t="s">
        <v>360</v>
      </c>
      <c r="M3046" s="55" t="s">
        <v>378</v>
      </c>
      <c r="N3046" s="55" t="s">
        <v>134</v>
      </c>
      <c r="O3046" s="55" t="s">
        <v>210</v>
      </c>
      <c r="P3046" s="55" t="s">
        <v>1250</v>
      </c>
      <c r="Q3046" s="55" t="s">
        <v>350</v>
      </c>
      <c r="R3046" s="55">
        <v>4</v>
      </c>
      <c r="S3046" s="55"/>
      <c r="T3046" s="55" t="s">
        <v>1505</v>
      </c>
    </row>
    <row r="3047" spans="1:20" ht="13" x14ac:dyDescent="0.15">
      <c r="A3047" s="72" t="str">
        <f t="shared" si="47"/>
        <v>Ofsted Social Care Provider Webpage</v>
      </c>
      <c r="B3047" s="55" t="s">
        <v>5700</v>
      </c>
      <c r="D3047" s="55" t="s">
        <v>373</v>
      </c>
      <c r="E3047" s="74">
        <v>40911</v>
      </c>
      <c r="F3047" s="55" t="s">
        <v>344</v>
      </c>
      <c r="G3047" s="55" t="s">
        <v>360</v>
      </c>
      <c r="H3047" s="55" t="s">
        <v>360</v>
      </c>
      <c r="I3047" s="55" t="s">
        <v>360</v>
      </c>
      <c r="J3047" s="55" t="s">
        <v>360</v>
      </c>
      <c r="K3047" s="55" t="s">
        <v>360</v>
      </c>
      <c r="L3047" s="55" t="s">
        <v>360</v>
      </c>
      <c r="M3047" s="55" t="s">
        <v>172</v>
      </c>
      <c r="N3047" s="55" t="s">
        <v>172</v>
      </c>
      <c r="O3047" s="55" t="s">
        <v>212</v>
      </c>
      <c r="P3047" s="55" t="s">
        <v>514</v>
      </c>
      <c r="Q3047" s="55" t="s">
        <v>350</v>
      </c>
      <c r="R3047" s="55">
        <v>3</v>
      </c>
      <c r="S3047" s="55"/>
      <c r="T3047" s="55" t="s">
        <v>1424</v>
      </c>
    </row>
    <row r="3048" spans="1:20" ht="13" x14ac:dyDescent="0.15">
      <c r="A3048" s="72" t="str">
        <f t="shared" si="47"/>
        <v>Ofsted Social Care Provider Webpage</v>
      </c>
      <c r="B3048" s="55" t="s">
        <v>5701</v>
      </c>
      <c r="D3048" s="55" t="s">
        <v>389</v>
      </c>
      <c r="E3048" s="74">
        <v>40884</v>
      </c>
      <c r="F3048" s="55" t="s">
        <v>344</v>
      </c>
      <c r="G3048" s="55" t="s">
        <v>5702</v>
      </c>
      <c r="H3048" s="55" t="s">
        <v>5703</v>
      </c>
      <c r="I3048" s="55" t="s">
        <v>5704</v>
      </c>
      <c r="J3048" s="55" t="s">
        <v>2770</v>
      </c>
      <c r="L3048" s="55" t="s">
        <v>5705</v>
      </c>
      <c r="M3048" s="55" t="s">
        <v>138</v>
      </c>
      <c r="N3048" s="55" t="s">
        <v>138</v>
      </c>
      <c r="O3048" s="55" t="s">
        <v>266</v>
      </c>
      <c r="P3048" s="55" t="s">
        <v>1622</v>
      </c>
      <c r="Q3048" s="55" t="s">
        <v>350</v>
      </c>
      <c r="R3048" s="55"/>
      <c r="S3048" s="55"/>
      <c r="T3048" s="55" t="s">
        <v>5706</v>
      </c>
    </row>
    <row r="3049" spans="1:20" ht="13" x14ac:dyDescent="0.15">
      <c r="A3049" s="72" t="str">
        <f t="shared" si="47"/>
        <v>Ofsted Social Care Provider Webpage</v>
      </c>
      <c r="B3049" s="55" t="s">
        <v>5707</v>
      </c>
      <c r="D3049" s="55" t="s">
        <v>373</v>
      </c>
      <c r="E3049" s="74">
        <v>40907</v>
      </c>
      <c r="F3049" s="55" t="s">
        <v>344</v>
      </c>
      <c r="G3049" s="55" t="s">
        <v>360</v>
      </c>
      <c r="H3049" s="55" t="s">
        <v>360</v>
      </c>
      <c r="I3049" s="55" t="s">
        <v>360</v>
      </c>
      <c r="J3049" s="55" t="s">
        <v>360</v>
      </c>
      <c r="K3049" s="55" t="s">
        <v>360</v>
      </c>
      <c r="L3049" s="55" t="s">
        <v>360</v>
      </c>
      <c r="M3049" s="55" t="s">
        <v>142</v>
      </c>
      <c r="N3049" s="55" t="s">
        <v>142</v>
      </c>
      <c r="O3049" s="55" t="s">
        <v>272</v>
      </c>
      <c r="P3049" s="55" t="s">
        <v>653</v>
      </c>
      <c r="Q3049" s="55" t="s">
        <v>350</v>
      </c>
      <c r="R3049" s="55">
        <v>2</v>
      </c>
      <c r="S3049" s="55"/>
      <c r="T3049" s="55" t="s">
        <v>5708</v>
      </c>
    </row>
    <row r="3050" spans="1:20" ht="13" x14ac:dyDescent="0.15">
      <c r="A3050" s="72" t="str">
        <f t="shared" si="47"/>
        <v>Ofsted Social Care Provider Webpage</v>
      </c>
      <c r="B3050" s="55" t="s">
        <v>5709</v>
      </c>
      <c r="D3050" s="55" t="s">
        <v>389</v>
      </c>
      <c r="E3050" s="74">
        <v>40927</v>
      </c>
      <c r="F3050" s="55" t="s">
        <v>344</v>
      </c>
      <c r="G3050" s="55" t="s">
        <v>5710</v>
      </c>
      <c r="H3050" s="55" t="s">
        <v>5711</v>
      </c>
      <c r="I3050" s="55" t="s">
        <v>5712</v>
      </c>
      <c r="J3050" s="55" t="s">
        <v>234</v>
      </c>
      <c r="L3050" s="55" t="s">
        <v>5713</v>
      </c>
      <c r="M3050" s="55" t="s">
        <v>172</v>
      </c>
      <c r="N3050" s="55" t="s">
        <v>172</v>
      </c>
      <c r="O3050" s="55" t="s">
        <v>234</v>
      </c>
      <c r="P3050" s="55" t="s">
        <v>369</v>
      </c>
      <c r="Q3050" s="55" t="s">
        <v>350</v>
      </c>
      <c r="R3050" s="55"/>
      <c r="S3050" s="55"/>
      <c r="T3050" s="55" t="s">
        <v>5714</v>
      </c>
    </row>
    <row r="3051" spans="1:20" ht="13" x14ac:dyDescent="0.15">
      <c r="A3051" s="72" t="str">
        <f t="shared" si="47"/>
        <v>Ofsted Social Care Provider Webpage</v>
      </c>
      <c r="B3051" s="55" t="s">
        <v>5715</v>
      </c>
      <c r="D3051" s="55" t="s">
        <v>373</v>
      </c>
      <c r="E3051" s="74">
        <v>40848</v>
      </c>
      <c r="F3051" s="55" t="s">
        <v>344</v>
      </c>
      <c r="G3051" s="55" t="s">
        <v>360</v>
      </c>
      <c r="H3051" s="55" t="s">
        <v>360</v>
      </c>
      <c r="I3051" s="55" t="s">
        <v>360</v>
      </c>
      <c r="J3051" s="55" t="s">
        <v>360</v>
      </c>
      <c r="K3051" s="55" t="s">
        <v>360</v>
      </c>
      <c r="L3051" s="55" t="s">
        <v>360</v>
      </c>
      <c r="M3051" s="55" t="s">
        <v>150</v>
      </c>
      <c r="N3051" s="55" t="s">
        <v>150</v>
      </c>
      <c r="O3051" s="55" t="s">
        <v>289</v>
      </c>
      <c r="P3051" s="55" t="s">
        <v>1756</v>
      </c>
      <c r="Q3051" s="55" t="s">
        <v>350</v>
      </c>
      <c r="R3051" s="55">
        <v>2</v>
      </c>
      <c r="S3051" s="55"/>
      <c r="T3051" s="55" t="s">
        <v>843</v>
      </c>
    </row>
    <row r="3052" spans="1:20" ht="13" x14ac:dyDescent="0.15">
      <c r="A3052" s="72" t="str">
        <f t="shared" si="47"/>
        <v>Ofsted Social Care Provider Webpage</v>
      </c>
      <c r="B3052" s="55" t="s">
        <v>5716</v>
      </c>
      <c r="D3052" s="55" t="s">
        <v>373</v>
      </c>
      <c r="E3052" s="74">
        <v>40891</v>
      </c>
      <c r="F3052" s="55" t="s">
        <v>344</v>
      </c>
      <c r="G3052" s="55" t="s">
        <v>360</v>
      </c>
      <c r="H3052" s="55" t="s">
        <v>360</v>
      </c>
      <c r="I3052" s="55" t="s">
        <v>360</v>
      </c>
      <c r="J3052" s="55" t="s">
        <v>360</v>
      </c>
      <c r="K3052" s="55" t="s">
        <v>360</v>
      </c>
      <c r="L3052" s="55" t="s">
        <v>360</v>
      </c>
      <c r="M3052" s="55" t="s">
        <v>150</v>
      </c>
      <c r="N3052" s="55" t="s">
        <v>150</v>
      </c>
      <c r="O3052" s="55" t="s">
        <v>203</v>
      </c>
      <c r="P3052" s="55" t="s">
        <v>1263</v>
      </c>
      <c r="Q3052" s="55" t="s">
        <v>350</v>
      </c>
      <c r="R3052" s="55">
        <v>3</v>
      </c>
      <c r="S3052" s="55"/>
      <c r="T3052" s="55" t="s">
        <v>564</v>
      </c>
    </row>
    <row r="3053" spans="1:20" ht="13" x14ac:dyDescent="0.15">
      <c r="A3053" s="72" t="str">
        <f t="shared" si="47"/>
        <v>Ofsted Social Care Provider Webpage</v>
      </c>
      <c r="B3053" s="55" t="s">
        <v>5717</v>
      </c>
      <c r="D3053" s="55" t="s">
        <v>373</v>
      </c>
      <c r="E3053" s="74">
        <v>40879</v>
      </c>
      <c r="F3053" s="55" t="s">
        <v>344</v>
      </c>
      <c r="G3053" s="55" t="s">
        <v>360</v>
      </c>
      <c r="H3053" s="55" t="s">
        <v>360</v>
      </c>
      <c r="I3053" s="55" t="s">
        <v>360</v>
      </c>
      <c r="J3053" s="55" t="s">
        <v>360</v>
      </c>
      <c r="K3053" s="55" t="s">
        <v>360</v>
      </c>
      <c r="L3053" s="55" t="s">
        <v>360</v>
      </c>
      <c r="M3053" s="55" t="s">
        <v>138</v>
      </c>
      <c r="N3053" s="55" t="s">
        <v>138</v>
      </c>
      <c r="O3053" s="55" t="s">
        <v>259</v>
      </c>
      <c r="P3053" s="55" t="s">
        <v>1914</v>
      </c>
      <c r="Q3053" s="55" t="s">
        <v>350</v>
      </c>
      <c r="R3053" s="55">
        <v>6</v>
      </c>
      <c r="S3053" s="55"/>
      <c r="T3053" s="55" t="s">
        <v>585</v>
      </c>
    </row>
    <row r="3054" spans="1:20" ht="13" x14ac:dyDescent="0.15">
      <c r="A3054" s="72" t="str">
        <f t="shared" si="47"/>
        <v>Ofsted Social Care Provider Webpage</v>
      </c>
      <c r="B3054" s="55" t="s">
        <v>5718</v>
      </c>
      <c r="D3054" s="55" t="s">
        <v>373</v>
      </c>
      <c r="E3054" s="74">
        <v>40924</v>
      </c>
      <c r="F3054" s="55" t="s">
        <v>344</v>
      </c>
      <c r="G3054" s="55" t="s">
        <v>360</v>
      </c>
      <c r="H3054" s="55" t="s">
        <v>360</v>
      </c>
      <c r="I3054" s="55" t="s">
        <v>360</v>
      </c>
      <c r="J3054" s="55" t="s">
        <v>360</v>
      </c>
      <c r="K3054" s="55" t="s">
        <v>360</v>
      </c>
      <c r="L3054" s="55" t="s">
        <v>360</v>
      </c>
      <c r="M3054" s="55" t="s">
        <v>144</v>
      </c>
      <c r="N3054" s="55" t="s">
        <v>144</v>
      </c>
      <c r="O3054" s="55" t="s">
        <v>276</v>
      </c>
      <c r="P3054" s="55" t="s">
        <v>1562</v>
      </c>
      <c r="Q3054" s="55" t="s">
        <v>350</v>
      </c>
      <c r="R3054" s="55">
        <v>2</v>
      </c>
      <c r="S3054" s="55"/>
      <c r="T3054" s="55" t="s">
        <v>619</v>
      </c>
    </row>
    <row r="3055" spans="1:20" ht="13" x14ac:dyDescent="0.15">
      <c r="A3055" s="72" t="str">
        <f t="shared" si="47"/>
        <v>Ofsted Social Care Provider Webpage</v>
      </c>
      <c r="B3055" s="55" t="s">
        <v>5719</v>
      </c>
      <c r="D3055" s="55" t="s">
        <v>373</v>
      </c>
      <c r="E3055" s="74">
        <v>40940</v>
      </c>
      <c r="F3055" s="55" t="s">
        <v>344</v>
      </c>
      <c r="G3055" s="55" t="s">
        <v>360</v>
      </c>
      <c r="H3055" s="55" t="s">
        <v>360</v>
      </c>
      <c r="I3055" s="55" t="s">
        <v>360</v>
      </c>
      <c r="J3055" s="55" t="s">
        <v>360</v>
      </c>
      <c r="K3055" s="55" t="s">
        <v>360</v>
      </c>
      <c r="L3055" s="55" t="s">
        <v>360</v>
      </c>
      <c r="M3055" s="55" t="s">
        <v>138</v>
      </c>
      <c r="N3055" s="55" t="s">
        <v>138</v>
      </c>
      <c r="O3055" s="55" t="s">
        <v>159</v>
      </c>
      <c r="P3055" s="55" t="s">
        <v>1025</v>
      </c>
      <c r="Q3055" s="55" t="s">
        <v>362</v>
      </c>
      <c r="R3055" s="55">
        <v>4</v>
      </c>
      <c r="S3055" s="55"/>
      <c r="T3055" s="55" t="s">
        <v>557</v>
      </c>
    </row>
    <row r="3056" spans="1:20" ht="13" x14ac:dyDescent="0.15">
      <c r="A3056" s="72" t="str">
        <f t="shared" si="47"/>
        <v>Ofsted Social Care Provider Webpage</v>
      </c>
      <c r="B3056" s="55" t="s">
        <v>5720</v>
      </c>
      <c r="D3056" s="55" t="s">
        <v>373</v>
      </c>
      <c r="E3056" s="74">
        <v>40959</v>
      </c>
      <c r="F3056" s="55" t="s">
        <v>344</v>
      </c>
      <c r="G3056" s="55" t="s">
        <v>360</v>
      </c>
      <c r="H3056" s="55" t="s">
        <v>360</v>
      </c>
      <c r="I3056" s="55" t="s">
        <v>360</v>
      </c>
      <c r="J3056" s="55" t="s">
        <v>360</v>
      </c>
      <c r="K3056" s="55" t="s">
        <v>360</v>
      </c>
      <c r="L3056" s="55" t="s">
        <v>360</v>
      </c>
      <c r="M3056" s="55" t="s">
        <v>150</v>
      </c>
      <c r="N3056" s="55" t="s">
        <v>150</v>
      </c>
      <c r="O3056" s="55" t="s">
        <v>203</v>
      </c>
      <c r="P3056" s="55" t="s">
        <v>2078</v>
      </c>
      <c r="Q3056" s="55" t="s">
        <v>380</v>
      </c>
      <c r="R3056" s="55">
        <v>4</v>
      </c>
      <c r="S3056" s="55" t="s">
        <v>332</v>
      </c>
      <c r="T3056" s="55" t="s">
        <v>1547</v>
      </c>
    </row>
    <row r="3057" spans="1:20" ht="13" x14ac:dyDescent="0.15">
      <c r="A3057" s="72" t="str">
        <f t="shared" si="47"/>
        <v>Ofsted Social Care Provider Webpage</v>
      </c>
      <c r="B3057" s="55" t="s">
        <v>5721</v>
      </c>
      <c r="D3057" s="55" t="s">
        <v>373</v>
      </c>
      <c r="E3057" s="74">
        <v>40886</v>
      </c>
      <c r="F3057" s="55" t="s">
        <v>344</v>
      </c>
      <c r="G3057" s="55" t="s">
        <v>360</v>
      </c>
      <c r="H3057" s="55" t="s">
        <v>360</v>
      </c>
      <c r="I3057" s="55" t="s">
        <v>360</v>
      </c>
      <c r="J3057" s="55" t="s">
        <v>360</v>
      </c>
      <c r="K3057" s="55" t="s">
        <v>360</v>
      </c>
      <c r="L3057" s="55" t="s">
        <v>360</v>
      </c>
      <c r="M3057" s="55" t="s">
        <v>378</v>
      </c>
      <c r="N3057" s="55" t="s">
        <v>134</v>
      </c>
      <c r="O3057" s="55" t="s">
        <v>232</v>
      </c>
      <c r="P3057" s="55" t="s">
        <v>412</v>
      </c>
      <c r="Q3057" s="55" t="s">
        <v>350</v>
      </c>
      <c r="R3057" s="55">
        <v>5</v>
      </c>
      <c r="S3057" s="55"/>
      <c r="T3057" s="55" t="s">
        <v>1251</v>
      </c>
    </row>
    <row r="3058" spans="1:20" ht="13" x14ac:dyDescent="0.15">
      <c r="A3058" s="72" t="str">
        <f t="shared" si="47"/>
        <v>Ofsted Social Care Provider Webpage</v>
      </c>
      <c r="B3058" s="55" t="s">
        <v>5722</v>
      </c>
      <c r="D3058" s="55" t="s">
        <v>451</v>
      </c>
      <c r="E3058" s="74">
        <v>40947</v>
      </c>
      <c r="F3058" s="55" t="s">
        <v>344</v>
      </c>
      <c r="G3058" s="55" t="s">
        <v>5723</v>
      </c>
      <c r="H3058" s="55" t="s">
        <v>5724</v>
      </c>
      <c r="I3058" s="55" t="s">
        <v>5725</v>
      </c>
      <c r="J3058" s="55" t="s">
        <v>2578</v>
      </c>
      <c r="L3058" s="55" t="s">
        <v>5726</v>
      </c>
      <c r="M3058" s="55" t="s">
        <v>129</v>
      </c>
      <c r="N3058" s="55" t="s">
        <v>129</v>
      </c>
      <c r="O3058" s="55" t="s">
        <v>131</v>
      </c>
      <c r="P3058" s="55" t="s">
        <v>1721</v>
      </c>
      <c r="Q3058" s="55" t="s">
        <v>350</v>
      </c>
      <c r="R3058" s="55">
        <v>3</v>
      </c>
      <c r="S3058" s="55"/>
      <c r="T3058" s="55" t="s">
        <v>5727</v>
      </c>
    </row>
    <row r="3059" spans="1:20" ht="13" x14ac:dyDescent="0.15">
      <c r="A3059" s="72" t="str">
        <f t="shared" si="47"/>
        <v>Ofsted Social Care Provider Webpage</v>
      </c>
      <c r="B3059" s="55" t="s">
        <v>5728</v>
      </c>
      <c r="D3059" s="55" t="s">
        <v>373</v>
      </c>
      <c r="E3059" s="74">
        <v>40939</v>
      </c>
      <c r="F3059" s="55" t="s">
        <v>344</v>
      </c>
      <c r="G3059" s="55" t="s">
        <v>360</v>
      </c>
      <c r="H3059" s="55" t="s">
        <v>360</v>
      </c>
      <c r="I3059" s="55" t="s">
        <v>360</v>
      </c>
      <c r="J3059" s="55" t="s">
        <v>360</v>
      </c>
      <c r="K3059" s="55" t="s">
        <v>360</v>
      </c>
      <c r="L3059" s="55" t="s">
        <v>360</v>
      </c>
      <c r="M3059" s="55" t="s">
        <v>172</v>
      </c>
      <c r="N3059" s="55" t="s">
        <v>172</v>
      </c>
      <c r="O3059" s="55" t="s">
        <v>173</v>
      </c>
      <c r="P3059" s="55" t="s">
        <v>1540</v>
      </c>
      <c r="Q3059" s="55" t="s">
        <v>380</v>
      </c>
      <c r="R3059" s="55">
        <v>6</v>
      </c>
      <c r="S3059" s="55"/>
      <c r="T3059" s="55" t="s">
        <v>1431</v>
      </c>
    </row>
    <row r="3060" spans="1:20" ht="13" x14ac:dyDescent="0.15">
      <c r="A3060" s="72" t="str">
        <f t="shared" si="47"/>
        <v>Ofsted Social Care Provider Webpage</v>
      </c>
      <c r="B3060" s="55" t="s">
        <v>5729</v>
      </c>
      <c r="D3060" s="55" t="s">
        <v>373</v>
      </c>
      <c r="E3060" s="74">
        <v>41051</v>
      </c>
      <c r="F3060" s="55" t="s">
        <v>344</v>
      </c>
      <c r="G3060" s="55" t="s">
        <v>360</v>
      </c>
      <c r="H3060" s="55" t="s">
        <v>360</v>
      </c>
      <c r="I3060" s="55" t="s">
        <v>360</v>
      </c>
      <c r="J3060" s="55" t="s">
        <v>360</v>
      </c>
      <c r="K3060" s="55" t="s">
        <v>360</v>
      </c>
      <c r="L3060" s="55" t="s">
        <v>360</v>
      </c>
      <c r="M3060" s="55" t="s">
        <v>144</v>
      </c>
      <c r="N3060" s="55" t="s">
        <v>144</v>
      </c>
      <c r="O3060" s="55" t="s">
        <v>168</v>
      </c>
      <c r="P3060" s="55" t="s">
        <v>913</v>
      </c>
      <c r="Q3060" s="55" t="s">
        <v>350</v>
      </c>
      <c r="R3060" s="55">
        <v>1</v>
      </c>
      <c r="S3060" s="55"/>
      <c r="T3060" s="55" t="s">
        <v>709</v>
      </c>
    </row>
    <row r="3061" spans="1:20" ht="13" x14ac:dyDescent="0.15">
      <c r="A3061" s="72" t="str">
        <f t="shared" si="47"/>
        <v>Ofsted Social Care Provider Webpage</v>
      </c>
      <c r="B3061" s="55" t="s">
        <v>5730</v>
      </c>
      <c r="D3061" s="55" t="s">
        <v>451</v>
      </c>
      <c r="E3061" s="74">
        <v>40953</v>
      </c>
      <c r="F3061" s="55" t="s">
        <v>344</v>
      </c>
      <c r="G3061" s="55" t="s">
        <v>5731</v>
      </c>
      <c r="H3061" s="55" t="s">
        <v>5732</v>
      </c>
      <c r="I3061" s="55" t="s">
        <v>5733</v>
      </c>
      <c r="J3061" s="55" t="s">
        <v>5734</v>
      </c>
      <c r="K3061" s="55" t="s">
        <v>209</v>
      </c>
      <c r="L3061" s="55" t="s">
        <v>5735</v>
      </c>
      <c r="M3061" s="55" t="s">
        <v>144</v>
      </c>
      <c r="N3061" s="55" t="s">
        <v>144</v>
      </c>
      <c r="O3061" s="55" t="s">
        <v>209</v>
      </c>
      <c r="P3061" s="55" t="s">
        <v>545</v>
      </c>
      <c r="Q3061" s="55" t="s">
        <v>350</v>
      </c>
      <c r="R3061" s="55">
        <v>3</v>
      </c>
      <c r="S3061" s="55"/>
      <c r="T3061" s="55" t="s">
        <v>5736</v>
      </c>
    </row>
    <row r="3062" spans="1:20" ht="13" x14ac:dyDescent="0.15">
      <c r="A3062" s="72" t="str">
        <f t="shared" si="47"/>
        <v>Ofsted Social Care Provider Webpage</v>
      </c>
      <c r="B3062" s="55" t="s">
        <v>5737</v>
      </c>
      <c r="D3062" s="55" t="s">
        <v>389</v>
      </c>
      <c r="E3062" s="74">
        <v>40889</v>
      </c>
      <c r="F3062" s="55" t="s">
        <v>344</v>
      </c>
      <c r="G3062" s="55" t="s">
        <v>5738</v>
      </c>
      <c r="H3062" s="55" t="s">
        <v>3186</v>
      </c>
      <c r="I3062" s="55" t="s">
        <v>5739</v>
      </c>
      <c r="J3062" s="55" t="s">
        <v>523</v>
      </c>
      <c r="L3062" s="55" t="s">
        <v>5740</v>
      </c>
      <c r="M3062" s="55" t="s">
        <v>142</v>
      </c>
      <c r="N3062" s="55" t="s">
        <v>142</v>
      </c>
      <c r="O3062" s="55" t="s">
        <v>262</v>
      </c>
      <c r="P3062" s="55" t="s">
        <v>916</v>
      </c>
      <c r="Q3062" s="55" t="s">
        <v>350</v>
      </c>
      <c r="R3062" s="55"/>
      <c r="S3062" s="55"/>
      <c r="T3062" s="55" t="s">
        <v>5741</v>
      </c>
    </row>
    <row r="3063" spans="1:20" ht="13" x14ac:dyDescent="0.15">
      <c r="A3063" s="72" t="str">
        <f t="shared" si="47"/>
        <v>Ofsted Social Care Provider Webpage</v>
      </c>
      <c r="B3063" s="55" t="s">
        <v>5742</v>
      </c>
      <c r="D3063" s="55" t="s">
        <v>373</v>
      </c>
      <c r="E3063" s="74">
        <v>40912</v>
      </c>
      <c r="F3063" s="55" t="s">
        <v>344</v>
      </c>
      <c r="G3063" s="55" t="s">
        <v>360</v>
      </c>
      <c r="H3063" s="55" t="s">
        <v>360</v>
      </c>
      <c r="I3063" s="55" t="s">
        <v>360</v>
      </c>
      <c r="J3063" s="55" t="s">
        <v>360</v>
      </c>
      <c r="K3063" s="55" t="s">
        <v>360</v>
      </c>
      <c r="L3063" s="55" t="s">
        <v>360</v>
      </c>
      <c r="M3063" s="55" t="s">
        <v>144</v>
      </c>
      <c r="N3063" s="55" t="s">
        <v>144</v>
      </c>
      <c r="O3063" s="55" t="s">
        <v>209</v>
      </c>
      <c r="P3063" s="55" t="s">
        <v>534</v>
      </c>
      <c r="Q3063" s="55" t="s">
        <v>380</v>
      </c>
      <c r="R3063" s="55">
        <v>6</v>
      </c>
      <c r="S3063" s="55"/>
      <c r="T3063" s="55" t="s">
        <v>657</v>
      </c>
    </row>
    <row r="3064" spans="1:20" ht="13" x14ac:dyDescent="0.15">
      <c r="A3064" s="72" t="str">
        <f t="shared" si="47"/>
        <v>Ofsted Social Care Provider Webpage</v>
      </c>
      <c r="B3064" s="55" t="s">
        <v>5743</v>
      </c>
      <c r="D3064" s="55" t="s">
        <v>373</v>
      </c>
      <c r="E3064" s="74">
        <v>40921</v>
      </c>
      <c r="F3064" s="55" t="s">
        <v>344</v>
      </c>
      <c r="G3064" s="55" t="s">
        <v>360</v>
      </c>
      <c r="H3064" s="55" t="s">
        <v>360</v>
      </c>
      <c r="I3064" s="55" t="s">
        <v>360</v>
      </c>
      <c r="J3064" s="55" t="s">
        <v>360</v>
      </c>
      <c r="K3064" s="55" t="s">
        <v>360</v>
      </c>
      <c r="L3064" s="55" t="s">
        <v>360</v>
      </c>
      <c r="M3064" s="55" t="s">
        <v>142</v>
      </c>
      <c r="N3064" s="55" t="s">
        <v>142</v>
      </c>
      <c r="O3064" s="55" t="s">
        <v>252</v>
      </c>
      <c r="P3064" s="55" t="s">
        <v>386</v>
      </c>
      <c r="Q3064" s="55" t="s">
        <v>350</v>
      </c>
      <c r="R3064" s="55">
        <v>3</v>
      </c>
      <c r="S3064" s="55"/>
      <c r="T3064" s="55" t="s">
        <v>1260</v>
      </c>
    </row>
    <row r="3065" spans="1:20" ht="13" x14ac:dyDescent="0.15">
      <c r="A3065" s="72" t="str">
        <f t="shared" si="47"/>
        <v>Ofsted Social Care Provider Webpage</v>
      </c>
      <c r="B3065" s="55" t="s">
        <v>5744</v>
      </c>
      <c r="D3065" s="55" t="s">
        <v>373</v>
      </c>
      <c r="E3065" s="74">
        <v>40941</v>
      </c>
      <c r="F3065" s="55" t="s">
        <v>344</v>
      </c>
      <c r="G3065" s="55" t="s">
        <v>360</v>
      </c>
      <c r="H3065" s="55" t="s">
        <v>360</v>
      </c>
      <c r="I3065" s="55" t="s">
        <v>360</v>
      </c>
      <c r="J3065" s="55" t="s">
        <v>360</v>
      </c>
      <c r="K3065" s="55" t="s">
        <v>360</v>
      </c>
      <c r="L3065" s="55" t="s">
        <v>360</v>
      </c>
      <c r="M3065" s="55" t="s">
        <v>144</v>
      </c>
      <c r="N3065" s="55" t="s">
        <v>144</v>
      </c>
      <c r="O3065" s="55" t="s">
        <v>261</v>
      </c>
      <c r="P3065" s="55" t="s">
        <v>792</v>
      </c>
      <c r="Q3065" s="55" t="s">
        <v>350</v>
      </c>
      <c r="R3065" s="55">
        <v>2</v>
      </c>
      <c r="S3065" s="55"/>
      <c r="T3065" s="55" t="s">
        <v>513</v>
      </c>
    </row>
    <row r="3066" spans="1:20" ht="13" x14ac:dyDescent="0.15">
      <c r="A3066" s="72" t="str">
        <f t="shared" si="47"/>
        <v>Ofsted Social Care Provider Webpage</v>
      </c>
      <c r="B3066" s="55" t="s">
        <v>5745</v>
      </c>
      <c r="D3066" s="55" t="s">
        <v>443</v>
      </c>
      <c r="E3066" s="74">
        <v>40949</v>
      </c>
      <c r="F3066" s="55" t="s">
        <v>344</v>
      </c>
      <c r="G3066" s="55" t="s">
        <v>5746</v>
      </c>
      <c r="H3066" s="55" t="s">
        <v>5747</v>
      </c>
      <c r="I3066" s="55" t="s">
        <v>354</v>
      </c>
      <c r="J3066" s="55" t="s">
        <v>129</v>
      </c>
      <c r="L3066" s="55" t="s">
        <v>5748</v>
      </c>
      <c r="M3066" s="55" t="s">
        <v>129</v>
      </c>
      <c r="N3066" s="55" t="s">
        <v>129</v>
      </c>
      <c r="O3066" s="55" t="s">
        <v>202</v>
      </c>
      <c r="P3066" s="55" t="s">
        <v>5749</v>
      </c>
      <c r="Q3066" s="55" t="s">
        <v>362</v>
      </c>
      <c r="R3066" s="55"/>
      <c r="S3066" s="55"/>
      <c r="T3066" s="55" t="s">
        <v>5750</v>
      </c>
    </row>
    <row r="3067" spans="1:20" ht="13" x14ac:dyDescent="0.15">
      <c r="A3067" s="72" t="str">
        <f t="shared" si="47"/>
        <v>Ofsted Social Care Provider Webpage</v>
      </c>
      <c r="B3067" s="55" t="s">
        <v>5751</v>
      </c>
      <c r="D3067" s="55" t="s">
        <v>373</v>
      </c>
      <c r="E3067" s="74">
        <v>40941</v>
      </c>
      <c r="F3067" s="55" t="s">
        <v>344</v>
      </c>
      <c r="G3067" s="55" t="s">
        <v>360</v>
      </c>
      <c r="H3067" s="55" t="s">
        <v>360</v>
      </c>
      <c r="I3067" s="55" t="s">
        <v>360</v>
      </c>
      <c r="J3067" s="55" t="s">
        <v>360</v>
      </c>
      <c r="K3067" s="55" t="s">
        <v>360</v>
      </c>
      <c r="L3067" s="55" t="s">
        <v>360</v>
      </c>
      <c r="M3067" s="55" t="s">
        <v>172</v>
      </c>
      <c r="N3067" s="55" t="s">
        <v>172</v>
      </c>
      <c r="O3067" s="55" t="s">
        <v>173</v>
      </c>
      <c r="P3067" s="55" t="s">
        <v>1540</v>
      </c>
      <c r="Q3067" s="55" t="s">
        <v>380</v>
      </c>
      <c r="R3067" s="55">
        <v>6</v>
      </c>
      <c r="S3067" s="55"/>
      <c r="T3067" s="55" t="s">
        <v>1431</v>
      </c>
    </row>
    <row r="3068" spans="1:20" ht="13" x14ac:dyDescent="0.15">
      <c r="A3068" s="72" t="str">
        <f t="shared" si="47"/>
        <v>Ofsted Social Care Provider Webpage</v>
      </c>
      <c r="B3068" s="55" t="s">
        <v>5752</v>
      </c>
      <c r="D3068" s="55" t="s">
        <v>373</v>
      </c>
      <c r="E3068" s="74">
        <v>40976</v>
      </c>
      <c r="F3068" s="55" t="s">
        <v>344</v>
      </c>
      <c r="G3068" s="55" t="s">
        <v>360</v>
      </c>
      <c r="H3068" s="55" t="s">
        <v>360</v>
      </c>
      <c r="I3068" s="55" t="s">
        <v>360</v>
      </c>
      <c r="J3068" s="55" t="s">
        <v>360</v>
      </c>
      <c r="K3068" s="55" t="s">
        <v>360</v>
      </c>
      <c r="L3068" s="55" t="s">
        <v>360</v>
      </c>
      <c r="M3068" s="55" t="s">
        <v>142</v>
      </c>
      <c r="N3068" s="55" t="s">
        <v>142</v>
      </c>
      <c r="O3068" s="55" t="s">
        <v>293</v>
      </c>
      <c r="P3068" s="55" t="s">
        <v>984</v>
      </c>
      <c r="Q3068" s="55" t="s">
        <v>350</v>
      </c>
      <c r="R3068" s="55">
        <v>3</v>
      </c>
      <c r="S3068" s="55"/>
      <c r="T3068" s="55" t="s">
        <v>450</v>
      </c>
    </row>
    <row r="3069" spans="1:20" ht="13" x14ac:dyDescent="0.15">
      <c r="A3069" s="72" t="str">
        <f t="shared" si="47"/>
        <v>Ofsted Social Care Provider Webpage</v>
      </c>
      <c r="B3069" s="55" t="s">
        <v>5753</v>
      </c>
      <c r="D3069" s="55" t="s">
        <v>373</v>
      </c>
      <c r="E3069" s="74">
        <v>40942</v>
      </c>
      <c r="F3069" s="55" t="s">
        <v>344</v>
      </c>
      <c r="G3069" s="55" t="s">
        <v>360</v>
      </c>
      <c r="H3069" s="55" t="s">
        <v>360</v>
      </c>
      <c r="I3069" s="55" t="s">
        <v>360</v>
      </c>
      <c r="J3069" s="55" t="s">
        <v>360</v>
      </c>
      <c r="K3069" s="55" t="s">
        <v>360</v>
      </c>
      <c r="L3069" s="55" t="s">
        <v>360</v>
      </c>
      <c r="M3069" s="55" t="s">
        <v>378</v>
      </c>
      <c r="N3069" s="55" t="s">
        <v>134</v>
      </c>
      <c r="O3069" s="55" t="s">
        <v>225</v>
      </c>
      <c r="P3069" s="55" t="s">
        <v>1667</v>
      </c>
      <c r="Q3069" s="55" t="s">
        <v>380</v>
      </c>
      <c r="R3069" s="55">
        <v>5</v>
      </c>
      <c r="S3069" s="55"/>
      <c r="T3069" s="55" t="s">
        <v>1668</v>
      </c>
    </row>
    <row r="3070" spans="1:20" ht="13" x14ac:dyDescent="0.15">
      <c r="A3070" s="72" t="str">
        <f t="shared" si="47"/>
        <v>Ofsted Social Care Provider Webpage</v>
      </c>
      <c r="B3070" s="55" t="s">
        <v>5754</v>
      </c>
      <c r="D3070" s="55" t="s">
        <v>373</v>
      </c>
      <c r="E3070" s="74">
        <v>41009</v>
      </c>
      <c r="F3070" s="55" t="s">
        <v>344</v>
      </c>
      <c r="G3070" s="55" t="s">
        <v>360</v>
      </c>
      <c r="H3070" s="55" t="s">
        <v>360</v>
      </c>
      <c r="I3070" s="55" t="s">
        <v>360</v>
      </c>
      <c r="J3070" s="55" t="s">
        <v>360</v>
      </c>
      <c r="K3070" s="55" t="s">
        <v>360</v>
      </c>
      <c r="L3070" s="55" t="s">
        <v>360</v>
      </c>
      <c r="M3070" s="55" t="s">
        <v>144</v>
      </c>
      <c r="N3070" s="55" t="s">
        <v>144</v>
      </c>
      <c r="O3070" s="55" t="s">
        <v>209</v>
      </c>
      <c r="P3070" s="55" t="s">
        <v>650</v>
      </c>
      <c r="Q3070" s="55" t="s">
        <v>350</v>
      </c>
      <c r="R3070" s="55">
        <v>4</v>
      </c>
      <c r="S3070" s="55"/>
      <c r="T3070" s="55" t="s">
        <v>2574</v>
      </c>
    </row>
    <row r="3071" spans="1:20" ht="13" x14ac:dyDescent="0.15">
      <c r="A3071" s="72" t="str">
        <f t="shared" si="47"/>
        <v>Ofsted Social Care Provider Webpage</v>
      </c>
      <c r="B3071" s="55" t="s">
        <v>5755</v>
      </c>
      <c r="D3071" s="55" t="s">
        <v>373</v>
      </c>
      <c r="E3071" s="74">
        <v>41119</v>
      </c>
      <c r="F3071" s="55" t="s">
        <v>344</v>
      </c>
      <c r="G3071" s="55" t="s">
        <v>360</v>
      </c>
      <c r="H3071" s="55" t="s">
        <v>360</v>
      </c>
      <c r="I3071" s="55" t="s">
        <v>360</v>
      </c>
      <c r="J3071" s="55" t="s">
        <v>360</v>
      </c>
      <c r="K3071" s="55" t="s">
        <v>360</v>
      </c>
      <c r="L3071" s="55" t="s">
        <v>360</v>
      </c>
      <c r="M3071" s="55" t="s">
        <v>172</v>
      </c>
      <c r="N3071" s="55" t="s">
        <v>172</v>
      </c>
      <c r="O3071" s="55" t="s">
        <v>235</v>
      </c>
      <c r="P3071" s="55" t="s">
        <v>494</v>
      </c>
      <c r="Q3071" s="55" t="s">
        <v>362</v>
      </c>
      <c r="R3071" s="55">
        <v>3</v>
      </c>
      <c r="S3071" s="55"/>
      <c r="T3071" s="55" t="s">
        <v>5756</v>
      </c>
    </row>
    <row r="3072" spans="1:20" ht="13" x14ac:dyDescent="0.15">
      <c r="A3072" s="72" t="str">
        <f t="shared" si="47"/>
        <v>Ofsted Social Care Provider Webpage</v>
      </c>
      <c r="B3072" s="55" t="s">
        <v>5757</v>
      </c>
      <c r="D3072" s="55" t="s">
        <v>389</v>
      </c>
      <c r="E3072" s="74">
        <v>41040</v>
      </c>
      <c r="F3072" s="55" t="s">
        <v>344</v>
      </c>
      <c r="G3072" s="55" t="s">
        <v>5758</v>
      </c>
      <c r="H3072" s="55" t="s">
        <v>5759</v>
      </c>
      <c r="I3072" s="55" t="s">
        <v>5760</v>
      </c>
      <c r="J3072" s="55" t="s">
        <v>5761</v>
      </c>
      <c r="K3072" s="55" t="s">
        <v>1746</v>
      </c>
      <c r="L3072" s="55" t="s">
        <v>5762</v>
      </c>
      <c r="M3072" s="55" t="s">
        <v>129</v>
      </c>
      <c r="N3072" s="55" t="s">
        <v>129</v>
      </c>
      <c r="O3072" s="55" t="s">
        <v>152</v>
      </c>
      <c r="P3072" s="55" t="s">
        <v>1130</v>
      </c>
      <c r="Q3072" s="55" t="s">
        <v>350</v>
      </c>
      <c r="R3072" s="55"/>
      <c r="S3072" s="55"/>
      <c r="T3072" s="55" t="s">
        <v>5763</v>
      </c>
    </row>
    <row r="3073" spans="1:20" ht="13" x14ac:dyDescent="0.15">
      <c r="A3073" s="72" t="str">
        <f t="shared" si="47"/>
        <v>Ofsted Social Care Provider Webpage</v>
      </c>
      <c r="B3073" s="55" t="s">
        <v>5764</v>
      </c>
      <c r="D3073" s="55" t="s">
        <v>373</v>
      </c>
      <c r="E3073" s="74">
        <v>40983</v>
      </c>
      <c r="F3073" s="55" t="s">
        <v>344</v>
      </c>
      <c r="G3073" s="55" t="s">
        <v>360</v>
      </c>
      <c r="H3073" s="55" t="s">
        <v>360</v>
      </c>
      <c r="I3073" s="55" t="s">
        <v>360</v>
      </c>
      <c r="J3073" s="55" t="s">
        <v>360</v>
      </c>
      <c r="K3073" s="55" t="s">
        <v>360</v>
      </c>
      <c r="L3073" s="55" t="s">
        <v>360</v>
      </c>
      <c r="M3073" s="55" t="s">
        <v>144</v>
      </c>
      <c r="N3073" s="55" t="s">
        <v>144</v>
      </c>
      <c r="O3073" s="55" t="s">
        <v>209</v>
      </c>
      <c r="P3073" s="55" t="s">
        <v>1858</v>
      </c>
      <c r="Q3073" s="55" t="s">
        <v>350</v>
      </c>
      <c r="R3073" s="55">
        <v>5</v>
      </c>
      <c r="S3073" s="55"/>
      <c r="T3073" s="55" t="s">
        <v>863</v>
      </c>
    </row>
    <row r="3074" spans="1:20" ht="13" x14ac:dyDescent="0.15">
      <c r="A3074" s="72" t="str">
        <f t="shared" si="47"/>
        <v>Ofsted Social Care Provider Webpage</v>
      </c>
      <c r="B3074" s="55" t="s">
        <v>5765</v>
      </c>
      <c r="D3074" s="55" t="s">
        <v>373</v>
      </c>
      <c r="E3074" s="74">
        <v>40983</v>
      </c>
      <c r="F3074" s="55" t="s">
        <v>344</v>
      </c>
      <c r="G3074" s="55" t="s">
        <v>360</v>
      </c>
      <c r="H3074" s="55" t="s">
        <v>360</v>
      </c>
      <c r="I3074" s="55" t="s">
        <v>360</v>
      </c>
      <c r="J3074" s="55" t="s">
        <v>360</v>
      </c>
      <c r="K3074" s="55" t="s">
        <v>360</v>
      </c>
      <c r="L3074" s="55" t="s">
        <v>360</v>
      </c>
      <c r="M3074" s="55" t="s">
        <v>144</v>
      </c>
      <c r="N3074" s="55" t="s">
        <v>144</v>
      </c>
      <c r="O3074" s="55" t="s">
        <v>209</v>
      </c>
      <c r="P3074" s="55" t="s">
        <v>545</v>
      </c>
      <c r="Q3074" s="55" t="s">
        <v>350</v>
      </c>
      <c r="R3074" s="55">
        <v>2</v>
      </c>
      <c r="S3074" s="55"/>
      <c r="T3074" s="55" t="s">
        <v>863</v>
      </c>
    </row>
    <row r="3075" spans="1:20" ht="13" x14ac:dyDescent="0.15">
      <c r="A3075" s="72" t="str">
        <f t="shared" si="47"/>
        <v>Ofsted Social Care Provider Webpage</v>
      </c>
      <c r="B3075" s="55" t="s">
        <v>5766</v>
      </c>
      <c r="D3075" s="55" t="s">
        <v>389</v>
      </c>
      <c r="E3075" s="74">
        <v>40984</v>
      </c>
      <c r="F3075" s="55" t="s">
        <v>344</v>
      </c>
      <c r="G3075" s="55" t="s">
        <v>5767</v>
      </c>
      <c r="H3075" s="55" t="s">
        <v>5768</v>
      </c>
      <c r="I3075" s="55" t="s">
        <v>5769</v>
      </c>
      <c r="J3075" s="55" t="s">
        <v>5770</v>
      </c>
      <c r="K3075" s="55" t="s">
        <v>176</v>
      </c>
      <c r="L3075" s="55" t="s">
        <v>5771</v>
      </c>
      <c r="M3075" s="55" t="s">
        <v>136</v>
      </c>
      <c r="N3075" s="55" t="s">
        <v>136</v>
      </c>
      <c r="O3075" s="55" t="s">
        <v>176</v>
      </c>
      <c r="P3075" s="55" t="s">
        <v>1832</v>
      </c>
      <c r="Q3075" s="55" t="s">
        <v>350</v>
      </c>
      <c r="R3075" s="55"/>
      <c r="S3075" s="55"/>
      <c r="T3075" s="55" t="s">
        <v>5767</v>
      </c>
    </row>
    <row r="3076" spans="1:20" ht="13" x14ac:dyDescent="0.15">
      <c r="A3076" s="72" t="str">
        <f t="shared" si="47"/>
        <v>Ofsted Social Care Provider Webpage</v>
      </c>
      <c r="B3076" s="55" t="s">
        <v>5772</v>
      </c>
      <c r="D3076" s="55" t="s">
        <v>389</v>
      </c>
      <c r="E3076" s="74">
        <v>40983</v>
      </c>
      <c r="F3076" s="55" t="s">
        <v>344</v>
      </c>
      <c r="G3076" s="55" t="s">
        <v>5773</v>
      </c>
      <c r="H3076" s="55" t="s">
        <v>5774</v>
      </c>
      <c r="I3076" s="55" t="s">
        <v>5775</v>
      </c>
      <c r="J3076" s="55" t="s">
        <v>1768</v>
      </c>
      <c r="K3076" s="55" t="s">
        <v>224</v>
      </c>
      <c r="L3076" s="55" t="s">
        <v>5776</v>
      </c>
      <c r="M3076" s="55" t="s">
        <v>138</v>
      </c>
      <c r="N3076" s="55" t="s">
        <v>138</v>
      </c>
      <c r="O3076" s="55" t="s">
        <v>224</v>
      </c>
      <c r="P3076" s="55" t="s">
        <v>1530</v>
      </c>
      <c r="Q3076" s="55" t="s">
        <v>350</v>
      </c>
      <c r="R3076" s="55"/>
      <c r="S3076" s="55"/>
      <c r="T3076" s="55" t="s">
        <v>4591</v>
      </c>
    </row>
    <row r="3077" spans="1:20" ht="13" x14ac:dyDescent="0.15">
      <c r="A3077" s="72" t="str">
        <f t="shared" ref="A3077:A3140" si="48">HYPERLINK(_xlfn.CONCAT("http://reports.ofsted.gov.uk/inspection-reports/find-inspection-report/provider/CARE/",B3077),"Ofsted Social Care Provider Webpage")</f>
        <v>Ofsted Social Care Provider Webpage</v>
      </c>
      <c r="B3077" s="55" t="s">
        <v>5777</v>
      </c>
      <c r="D3077" s="55" t="s">
        <v>373</v>
      </c>
      <c r="E3077" s="74">
        <v>40987</v>
      </c>
      <c r="F3077" s="55" t="s">
        <v>344</v>
      </c>
      <c r="G3077" s="55" t="s">
        <v>360</v>
      </c>
      <c r="H3077" s="55" t="s">
        <v>360</v>
      </c>
      <c r="I3077" s="55" t="s">
        <v>360</v>
      </c>
      <c r="J3077" s="55" t="s">
        <v>360</v>
      </c>
      <c r="K3077" s="55" t="s">
        <v>360</v>
      </c>
      <c r="L3077" s="55" t="s">
        <v>360</v>
      </c>
      <c r="M3077" s="55" t="s">
        <v>144</v>
      </c>
      <c r="N3077" s="55" t="s">
        <v>144</v>
      </c>
      <c r="O3077" s="55" t="s">
        <v>281</v>
      </c>
      <c r="P3077" s="55" t="s">
        <v>725</v>
      </c>
      <c r="Q3077" s="55" t="s">
        <v>380</v>
      </c>
      <c r="R3077" s="55">
        <v>3</v>
      </c>
      <c r="S3077" s="55" t="s">
        <v>332</v>
      </c>
      <c r="T3077" s="55" t="s">
        <v>2081</v>
      </c>
    </row>
    <row r="3078" spans="1:20" ht="13" x14ac:dyDescent="0.15">
      <c r="A3078" s="72" t="str">
        <f t="shared" si="48"/>
        <v>Ofsted Social Care Provider Webpage</v>
      </c>
      <c r="B3078" s="55" t="s">
        <v>5778</v>
      </c>
      <c r="D3078" s="55" t="s">
        <v>373</v>
      </c>
      <c r="E3078" s="74">
        <v>40973</v>
      </c>
      <c r="F3078" s="55" t="s">
        <v>344</v>
      </c>
      <c r="G3078" s="55" t="s">
        <v>360</v>
      </c>
      <c r="H3078" s="55" t="s">
        <v>360</v>
      </c>
      <c r="I3078" s="55" t="s">
        <v>360</v>
      </c>
      <c r="J3078" s="55" t="s">
        <v>360</v>
      </c>
      <c r="K3078" s="55" t="s">
        <v>360</v>
      </c>
      <c r="L3078" s="55" t="s">
        <v>360</v>
      </c>
      <c r="M3078" s="55" t="s">
        <v>144</v>
      </c>
      <c r="N3078" s="55" t="s">
        <v>144</v>
      </c>
      <c r="O3078" s="55" t="s">
        <v>281</v>
      </c>
      <c r="P3078" s="55" t="s">
        <v>725</v>
      </c>
      <c r="Q3078" s="55" t="s">
        <v>380</v>
      </c>
      <c r="R3078" s="55">
        <v>2</v>
      </c>
      <c r="S3078" s="55"/>
      <c r="T3078" s="55" t="s">
        <v>2081</v>
      </c>
    </row>
    <row r="3079" spans="1:20" ht="13" x14ac:dyDescent="0.15">
      <c r="A3079" s="72" t="str">
        <f t="shared" si="48"/>
        <v>Ofsted Social Care Provider Webpage</v>
      </c>
      <c r="B3079" s="55" t="s">
        <v>5779</v>
      </c>
      <c r="D3079" s="55" t="s">
        <v>389</v>
      </c>
      <c r="E3079" s="74">
        <v>40945</v>
      </c>
      <c r="F3079" s="55" t="s">
        <v>344</v>
      </c>
      <c r="G3079" s="55" t="s">
        <v>5780</v>
      </c>
      <c r="H3079" s="55" t="s">
        <v>5781</v>
      </c>
      <c r="I3079" s="55" t="s">
        <v>5782</v>
      </c>
      <c r="J3079" s="55" t="s">
        <v>5783</v>
      </c>
      <c r="K3079" s="55" t="s">
        <v>293</v>
      </c>
      <c r="L3079" s="55" t="s">
        <v>5784</v>
      </c>
      <c r="M3079" s="55" t="s">
        <v>142</v>
      </c>
      <c r="N3079" s="55" t="s">
        <v>142</v>
      </c>
      <c r="O3079" s="55" t="s">
        <v>293</v>
      </c>
      <c r="P3079" s="55" t="s">
        <v>1136</v>
      </c>
      <c r="Q3079" s="55" t="s">
        <v>350</v>
      </c>
      <c r="R3079" s="55"/>
      <c r="S3079" s="55"/>
      <c r="T3079" s="55" t="s">
        <v>5785</v>
      </c>
    </row>
    <row r="3080" spans="1:20" ht="13" x14ac:dyDescent="0.15">
      <c r="A3080" s="72" t="str">
        <f t="shared" si="48"/>
        <v>Ofsted Social Care Provider Webpage</v>
      </c>
      <c r="B3080" s="55" t="s">
        <v>5786</v>
      </c>
      <c r="D3080" s="55" t="s">
        <v>373</v>
      </c>
      <c r="E3080" s="74">
        <v>40977</v>
      </c>
      <c r="F3080" s="55" t="s">
        <v>344</v>
      </c>
      <c r="G3080" s="55" t="s">
        <v>360</v>
      </c>
      <c r="H3080" s="55" t="s">
        <v>360</v>
      </c>
      <c r="I3080" s="55" t="s">
        <v>360</v>
      </c>
      <c r="J3080" s="55" t="s">
        <v>360</v>
      </c>
      <c r="K3080" s="55" t="s">
        <v>360</v>
      </c>
      <c r="L3080" s="55" t="s">
        <v>360</v>
      </c>
      <c r="M3080" s="55" t="s">
        <v>144</v>
      </c>
      <c r="N3080" s="55" t="s">
        <v>144</v>
      </c>
      <c r="O3080" s="55" t="s">
        <v>245</v>
      </c>
      <c r="P3080" s="55" t="s">
        <v>245</v>
      </c>
      <c r="Q3080" s="55" t="s">
        <v>350</v>
      </c>
      <c r="R3080" s="55">
        <v>3</v>
      </c>
      <c r="S3080" s="55"/>
      <c r="T3080" s="55" t="s">
        <v>613</v>
      </c>
    </row>
    <row r="3081" spans="1:20" ht="13" x14ac:dyDescent="0.15">
      <c r="A3081" s="72" t="str">
        <f t="shared" si="48"/>
        <v>Ofsted Social Care Provider Webpage</v>
      </c>
      <c r="B3081" s="55" t="s">
        <v>5787</v>
      </c>
      <c r="D3081" s="55" t="s">
        <v>373</v>
      </c>
      <c r="E3081" s="74">
        <v>40983</v>
      </c>
      <c r="F3081" s="55" t="s">
        <v>344</v>
      </c>
      <c r="G3081" s="55" t="s">
        <v>360</v>
      </c>
      <c r="H3081" s="55" t="s">
        <v>360</v>
      </c>
      <c r="I3081" s="55" t="s">
        <v>360</v>
      </c>
      <c r="J3081" s="55" t="s">
        <v>360</v>
      </c>
      <c r="K3081" s="55" t="s">
        <v>360</v>
      </c>
      <c r="L3081" s="55" t="s">
        <v>360</v>
      </c>
      <c r="M3081" s="55" t="s">
        <v>378</v>
      </c>
      <c r="N3081" s="55" t="s">
        <v>170</v>
      </c>
      <c r="O3081" s="55" t="s">
        <v>264</v>
      </c>
      <c r="P3081" s="55" t="s">
        <v>437</v>
      </c>
      <c r="Q3081" s="55" t="s">
        <v>380</v>
      </c>
      <c r="R3081" s="55">
        <v>4</v>
      </c>
      <c r="S3081" s="55"/>
      <c r="T3081" s="55" t="s">
        <v>1696</v>
      </c>
    </row>
    <row r="3082" spans="1:20" ht="13" x14ac:dyDescent="0.15">
      <c r="A3082" s="72" t="str">
        <f t="shared" si="48"/>
        <v>Ofsted Social Care Provider Webpage</v>
      </c>
      <c r="B3082" s="55" t="s">
        <v>5788</v>
      </c>
      <c r="D3082" s="55" t="s">
        <v>373</v>
      </c>
      <c r="E3082" s="74">
        <v>41050</v>
      </c>
      <c r="F3082" s="55" t="s">
        <v>344</v>
      </c>
      <c r="G3082" s="55" t="s">
        <v>360</v>
      </c>
      <c r="H3082" s="55" t="s">
        <v>360</v>
      </c>
      <c r="I3082" s="55" t="s">
        <v>360</v>
      </c>
      <c r="J3082" s="55" t="s">
        <v>360</v>
      </c>
      <c r="K3082" s="55" t="s">
        <v>360</v>
      </c>
      <c r="L3082" s="55" t="s">
        <v>360</v>
      </c>
      <c r="M3082" s="55" t="s">
        <v>138</v>
      </c>
      <c r="N3082" s="55" t="s">
        <v>138</v>
      </c>
      <c r="O3082" s="55" t="s">
        <v>266</v>
      </c>
      <c r="P3082" s="55" t="s">
        <v>4472</v>
      </c>
      <c r="Q3082" s="55" t="s">
        <v>350</v>
      </c>
      <c r="R3082" s="55">
        <v>6</v>
      </c>
      <c r="S3082" s="55"/>
      <c r="T3082" s="55" t="s">
        <v>5607</v>
      </c>
    </row>
    <row r="3083" spans="1:20" ht="13" x14ac:dyDescent="0.15">
      <c r="A3083" s="72" t="str">
        <f t="shared" si="48"/>
        <v>Ofsted Social Care Provider Webpage</v>
      </c>
      <c r="B3083" s="55" t="s">
        <v>5789</v>
      </c>
      <c r="D3083" s="55" t="s">
        <v>373</v>
      </c>
      <c r="E3083" s="74">
        <v>40949</v>
      </c>
      <c r="F3083" s="55" t="s">
        <v>344</v>
      </c>
      <c r="G3083" s="55" t="s">
        <v>360</v>
      </c>
      <c r="H3083" s="55" t="s">
        <v>360</v>
      </c>
      <c r="I3083" s="55" t="s">
        <v>360</v>
      </c>
      <c r="J3083" s="55" t="s">
        <v>360</v>
      </c>
      <c r="K3083" s="55" t="s">
        <v>360</v>
      </c>
      <c r="L3083" s="55" t="s">
        <v>360</v>
      </c>
      <c r="M3083" s="55" t="s">
        <v>129</v>
      </c>
      <c r="N3083" s="55" t="s">
        <v>129</v>
      </c>
      <c r="O3083" s="55" t="s">
        <v>189</v>
      </c>
      <c r="P3083" s="55" t="s">
        <v>1199</v>
      </c>
      <c r="Q3083" s="55" t="s">
        <v>380</v>
      </c>
      <c r="R3083" s="55">
        <v>7</v>
      </c>
      <c r="S3083" s="55"/>
      <c r="T3083" s="55" t="s">
        <v>5790</v>
      </c>
    </row>
    <row r="3084" spans="1:20" ht="13" x14ac:dyDescent="0.15">
      <c r="A3084" s="72" t="str">
        <f t="shared" si="48"/>
        <v>Ofsted Social Care Provider Webpage</v>
      </c>
      <c r="B3084" s="55" t="s">
        <v>5791</v>
      </c>
      <c r="D3084" s="55" t="s">
        <v>373</v>
      </c>
      <c r="E3084" s="74">
        <v>41134</v>
      </c>
      <c r="F3084" s="55" t="s">
        <v>344</v>
      </c>
      <c r="G3084" s="55" t="s">
        <v>360</v>
      </c>
      <c r="H3084" s="55" t="s">
        <v>360</v>
      </c>
      <c r="I3084" s="55" t="s">
        <v>360</v>
      </c>
      <c r="J3084" s="55" t="s">
        <v>360</v>
      </c>
      <c r="K3084" s="55" t="s">
        <v>360</v>
      </c>
      <c r="L3084" s="55" t="s">
        <v>360</v>
      </c>
      <c r="M3084" s="55" t="s">
        <v>142</v>
      </c>
      <c r="N3084" s="55" t="s">
        <v>142</v>
      </c>
      <c r="O3084" s="55" t="s">
        <v>252</v>
      </c>
      <c r="P3084" s="55" t="s">
        <v>386</v>
      </c>
      <c r="Q3084" s="55" t="s">
        <v>350</v>
      </c>
      <c r="R3084" s="55">
        <v>4</v>
      </c>
      <c r="S3084" s="55"/>
      <c r="T3084" s="55" t="s">
        <v>1805</v>
      </c>
    </row>
    <row r="3085" spans="1:20" ht="13" x14ac:dyDescent="0.15">
      <c r="A3085" s="72" t="str">
        <f t="shared" si="48"/>
        <v>Ofsted Social Care Provider Webpage</v>
      </c>
      <c r="B3085" s="55" t="s">
        <v>5792</v>
      </c>
      <c r="D3085" s="55" t="s">
        <v>373</v>
      </c>
      <c r="E3085" s="74">
        <v>41038</v>
      </c>
      <c r="F3085" s="55" t="s">
        <v>344</v>
      </c>
      <c r="G3085" s="55" t="s">
        <v>360</v>
      </c>
      <c r="H3085" s="55" t="s">
        <v>360</v>
      </c>
      <c r="I3085" s="55" t="s">
        <v>360</v>
      </c>
      <c r="J3085" s="55" t="s">
        <v>360</v>
      </c>
      <c r="K3085" s="55" t="s">
        <v>360</v>
      </c>
      <c r="L3085" s="55" t="s">
        <v>360</v>
      </c>
      <c r="M3085" s="55" t="s">
        <v>144</v>
      </c>
      <c r="N3085" s="55" t="s">
        <v>144</v>
      </c>
      <c r="O3085" s="55" t="s">
        <v>168</v>
      </c>
      <c r="P3085" s="55" t="s">
        <v>834</v>
      </c>
      <c r="Q3085" s="55" t="s">
        <v>350</v>
      </c>
      <c r="R3085" s="55">
        <v>3</v>
      </c>
      <c r="S3085" s="55"/>
      <c r="T3085" s="55" t="s">
        <v>5551</v>
      </c>
    </row>
    <row r="3086" spans="1:20" ht="13" x14ac:dyDescent="0.15">
      <c r="A3086" s="72" t="str">
        <f t="shared" si="48"/>
        <v>Ofsted Social Care Provider Webpage</v>
      </c>
      <c r="B3086" s="55" t="s">
        <v>5793</v>
      </c>
      <c r="D3086" s="55" t="s">
        <v>389</v>
      </c>
      <c r="E3086" s="74">
        <v>41039</v>
      </c>
      <c r="F3086" s="55" t="s">
        <v>344</v>
      </c>
      <c r="G3086" s="55" t="s">
        <v>5794</v>
      </c>
      <c r="H3086" s="55" t="s">
        <v>5795</v>
      </c>
      <c r="I3086" s="55" t="s">
        <v>5796</v>
      </c>
      <c r="J3086" s="55" t="s">
        <v>5797</v>
      </c>
      <c r="K3086" s="55" t="s">
        <v>2469</v>
      </c>
      <c r="L3086" s="55" t="s">
        <v>5798</v>
      </c>
      <c r="M3086" s="55" t="s">
        <v>144</v>
      </c>
      <c r="N3086" s="55" t="s">
        <v>144</v>
      </c>
      <c r="O3086" s="55" t="s">
        <v>162</v>
      </c>
      <c r="P3086" s="55" t="s">
        <v>1587</v>
      </c>
      <c r="Q3086" s="55" t="s">
        <v>350</v>
      </c>
      <c r="R3086" s="55"/>
      <c r="S3086" s="55"/>
      <c r="T3086" s="55" t="s">
        <v>5794</v>
      </c>
    </row>
    <row r="3087" spans="1:20" ht="13" x14ac:dyDescent="0.15">
      <c r="A3087" s="72" t="str">
        <f t="shared" si="48"/>
        <v>Ofsted Social Care Provider Webpage</v>
      </c>
      <c r="B3087" s="55" t="s">
        <v>5799</v>
      </c>
      <c r="D3087" s="55" t="s">
        <v>373</v>
      </c>
      <c r="E3087" s="74">
        <v>41032</v>
      </c>
      <c r="F3087" s="55" t="s">
        <v>344</v>
      </c>
      <c r="G3087" s="55" t="s">
        <v>360</v>
      </c>
      <c r="H3087" s="55" t="s">
        <v>360</v>
      </c>
      <c r="I3087" s="55" t="s">
        <v>360</v>
      </c>
      <c r="J3087" s="55" t="s">
        <v>360</v>
      </c>
      <c r="K3087" s="55" t="s">
        <v>360</v>
      </c>
      <c r="L3087" s="55" t="s">
        <v>360</v>
      </c>
      <c r="M3087" s="55" t="s">
        <v>144</v>
      </c>
      <c r="N3087" s="55" t="s">
        <v>144</v>
      </c>
      <c r="O3087" s="55" t="s">
        <v>209</v>
      </c>
      <c r="P3087" s="55" t="s">
        <v>555</v>
      </c>
      <c r="Q3087" s="55" t="s">
        <v>350</v>
      </c>
      <c r="R3087" s="55">
        <v>8</v>
      </c>
      <c r="S3087" s="55"/>
      <c r="T3087" s="55" t="s">
        <v>5476</v>
      </c>
    </row>
    <row r="3088" spans="1:20" ht="13" x14ac:dyDescent="0.15">
      <c r="A3088" s="72" t="str">
        <f t="shared" si="48"/>
        <v>Ofsted Social Care Provider Webpage</v>
      </c>
      <c r="B3088" s="55" t="s">
        <v>5800</v>
      </c>
      <c r="D3088" s="55" t="s">
        <v>373</v>
      </c>
      <c r="E3088" s="74">
        <v>40984</v>
      </c>
      <c r="F3088" s="55" t="s">
        <v>344</v>
      </c>
      <c r="G3088" s="55" t="s">
        <v>360</v>
      </c>
      <c r="H3088" s="55" t="s">
        <v>360</v>
      </c>
      <c r="I3088" s="55" t="s">
        <v>360</v>
      </c>
      <c r="J3088" s="55" t="s">
        <v>360</v>
      </c>
      <c r="K3088" s="55" t="s">
        <v>360</v>
      </c>
      <c r="L3088" s="55" t="s">
        <v>360</v>
      </c>
      <c r="M3088" s="55" t="s">
        <v>138</v>
      </c>
      <c r="N3088" s="55" t="s">
        <v>138</v>
      </c>
      <c r="O3088" s="55" t="s">
        <v>196</v>
      </c>
      <c r="P3088" s="55" t="s">
        <v>5801</v>
      </c>
      <c r="Q3088" s="55" t="s">
        <v>380</v>
      </c>
      <c r="R3088" s="55">
        <v>4</v>
      </c>
      <c r="S3088" s="55"/>
      <c r="T3088" s="55" t="s">
        <v>2082</v>
      </c>
    </row>
    <row r="3089" spans="1:20" ht="13" x14ac:dyDescent="0.15">
      <c r="A3089" s="72" t="str">
        <f t="shared" si="48"/>
        <v>Ofsted Social Care Provider Webpage</v>
      </c>
      <c r="B3089" s="55" t="s">
        <v>5802</v>
      </c>
      <c r="D3089" s="55" t="s">
        <v>373</v>
      </c>
      <c r="E3089" s="74">
        <v>41093</v>
      </c>
      <c r="F3089" s="55" t="s">
        <v>344</v>
      </c>
      <c r="G3089" s="55" t="s">
        <v>360</v>
      </c>
      <c r="H3089" s="55" t="s">
        <v>360</v>
      </c>
      <c r="I3089" s="55" t="s">
        <v>360</v>
      </c>
      <c r="J3089" s="55" t="s">
        <v>360</v>
      </c>
      <c r="K3089" s="55" t="s">
        <v>360</v>
      </c>
      <c r="L3089" s="55" t="s">
        <v>360</v>
      </c>
      <c r="M3089" s="55" t="s">
        <v>378</v>
      </c>
      <c r="N3089" s="55" t="s">
        <v>134</v>
      </c>
      <c r="O3089" s="55" t="s">
        <v>232</v>
      </c>
      <c r="P3089" s="55" t="s">
        <v>491</v>
      </c>
      <c r="Q3089" s="55" t="s">
        <v>350</v>
      </c>
      <c r="R3089" s="55">
        <v>4</v>
      </c>
      <c r="S3089" s="55"/>
      <c r="T3089" s="55" t="s">
        <v>2367</v>
      </c>
    </row>
    <row r="3090" spans="1:20" ht="13" x14ac:dyDescent="0.15">
      <c r="A3090" s="72" t="str">
        <f t="shared" si="48"/>
        <v>Ofsted Social Care Provider Webpage</v>
      </c>
      <c r="B3090" s="55" t="s">
        <v>5803</v>
      </c>
      <c r="D3090" s="55" t="s">
        <v>373</v>
      </c>
      <c r="E3090" s="74">
        <v>41096</v>
      </c>
      <c r="F3090" s="55" t="s">
        <v>344</v>
      </c>
      <c r="G3090" s="55" t="s">
        <v>360</v>
      </c>
      <c r="H3090" s="55" t="s">
        <v>360</v>
      </c>
      <c r="I3090" s="55" t="s">
        <v>360</v>
      </c>
      <c r="J3090" s="55" t="s">
        <v>360</v>
      </c>
      <c r="K3090" s="55" t="s">
        <v>360</v>
      </c>
      <c r="L3090" s="55" t="s">
        <v>360</v>
      </c>
      <c r="M3090" s="55" t="s">
        <v>144</v>
      </c>
      <c r="N3090" s="55" t="s">
        <v>144</v>
      </c>
      <c r="O3090" s="55" t="s">
        <v>215</v>
      </c>
      <c r="P3090" s="55" t="s">
        <v>655</v>
      </c>
      <c r="Q3090" s="55" t="s">
        <v>362</v>
      </c>
      <c r="R3090" s="55">
        <v>1</v>
      </c>
      <c r="S3090" s="55"/>
      <c r="T3090" s="55" t="s">
        <v>5438</v>
      </c>
    </row>
    <row r="3091" spans="1:20" ht="13" x14ac:dyDescent="0.15">
      <c r="A3091" s="72" t="str">
        <f t="shared" si="48"/>
        <v>Ofsted Social Care Provider Webpage</v>
      </c>
      <c r="B3091" s="55" t="s">
        <v>5804</v>
      </c>
      <c r="D3091" s="55" t="s">
        <v>373</v>
      </c>
      <c r="E3091" s="74">
        <v>41026</v>
      </c>
      <c r="F3091" s="55" t="s">
        <v>344</v>
      </c>
      <c r="G3091" s="55" t="s">
        <v>360</v>
      </c>
      <c r="H3091" s="55" t="s">
        <v>360</v>
      </c>
      <c r="I3091" s="55" t="s">
        <v>360</v>
      </c>
      <c r="J3091" s="55" t="s">
        <v>360</v>
      </c>
      <c r="K3091" s="55" t="s">
        <v>360</v>
      </c>
      <c r="L3091" s="55" t="s">
        <v>360</v>
      </c>
      <c r="M3091" s="55" t="s">
        <v>172</v>
      </c>
      <c r="N3091" s="55" t="s">
        <v>172</v>
      </c>
      <c r="O3091" s="55" t="s">
        <v>234</v>
      </c>
      <c r="P3091" s="55" t="s">
        <v>457</v>
      </c>
      <c r="Q3091" s="55" t="s">
        <v>362</v>
      </c>
      <c r="R3091" s="55">
        <v>3</v>
      </c>
      <c r="S3091" s="55"/>
      <c r="T3091" s="55" t="s">
        <v>458</v>
      </c>
    </row>
    <row r="3092" spans="1:20" ht="13" x14ac:dyDescent="0.15">
      <c r="A3092" s="72" t="str">
        <f t="shared" si="48"/>
        <v>Ofsted Social Care Provider Webpage</v>
      </c>
      <c r="B3092" s="55" t="s">
        <v>5805</v>
      </c>
      <c r="D3092" s="55" t="s">
        <v>373</v>
      </c>
      <c r="E3092" s="74">
        <v>41039</v>
      </c>
      <c r="F3092" s="55" t="s">
        <v>344</v>
      </c>
      <c r="G3092" s="55" t="s">
        <v>360</v>
      </c>
      <c r="H3092" s="55" t="s">
        <v>360</v>
      </c>
      <c r="I3092" s="55" t="s">
        <v>360</v>
      </c>
      <c r="J3092" s="55" t="s">
        <v>360</v>
      </c>
      <c r="K3092" s="55" t="s">
        <v>360</v>
      </c>
      <c r="L3092" s="55" t="s">
        <v>360</v>
      </c>
      <c r="M3092" s="55" t="s">
        <v>142</v>
      </c>
      <c r="N3092" s="55" t="s">
        <v>142</v>
      </c>
      <c r="O3092" s="55" t="s">
        <v>262</v>
      </c>
      <c r="P3092" s="55" t="s">
        <v>618</v>
      </c>
      <c r="Q3092" s="55" t="s">
        <v>350</v>
      </c>
      <c r="R3092" s="55">
        <v>15</v>
      </c>
      <c r="S3092" s="55"/>
      <c r="T3092" s="55" t="s">
        <v>5806</v>
      </c>
    </row>
    <row r="3093" spans="1:20" ht="13" x14ac:dyDescent="0.15">
      <c r="A3093" s="72" t="str">
        <f t="shared" si="48"/>
        <v>Ofsted Social Care Provider Webpage</v>
      </c>
      <c r="B3093" s="55" t="s">
        <v>5807</v>
      </c>
      <c r="D3093" s="55" t="s">
        <v>373</v>
      </c>
      <c r="E3093" s="74">
        <v>41187</v>
      </c>
      <c r="F3093" s="55" t="s">
        <v>344</v>
      </c>
      <c r="G3093" s="55" t="s">
        <v>360</v>
      </c>
      <c r="H3093" s="55" t="s">
        <v>360</v>
      </c>
      <c r="I3093" s="55" t="s">
        <v>360</v>
      </c>
      <c r="J3093" s="55" t="s">
        <v>360</v>
      </c>
      <c r="K3093" s="55" t="s">
        <v>360</v>
      </c>
      <c r="L3093" s="55" t="s">
        <v>360</v>
      </c>
      <c r="M3093" s="55" t="s">
        <v>144</v>
      </c>
      <c r="N3093" s="55" t="s">
        <v>144</v>
      </c>
      <c r="O3093" s="55" t="s">
        <v>168</v>
      </c>
      <c r="P3093" s="55" t="s">
        <v>913</v>
      </c>
      <c r="Q3093" s="55" t="s">
        <v>362</v>
      </c>
      <c r="R3093" s="55">
        <v>4</v>
      </c>
      <c r="S3093" s="55" t="s">
        <v>332</v>
      </c>
      <c r="T3093" s="55" t="s">
        <v>5808</v>
      </c>
    </row>
    <row r="3094" spans="1:20" ht="13" x14ac:dyDescent="0.15">
      <c r="A3094" s="72" t="str">
        <f t="shared" si="48"/>
        <v>Ofsted Social Care Provider Webpage</v>
      </c>
      <c r="B3094" s="55" t="s">
        <v>5809</v>
      </c>
      <c r="D3094" s="55" t="s">
        <v>373</v>
      </c>
      <c r="E3094" s="74">
        <v>41103</v>
      </c>
      <c r="F3094" s="55" t="s">
        <v>344</v>
      </c>
      <c r="G3094" s="55" t="s">
        <v>360</v>
      </c>
      <c r="H3094" s="55" t="s">
        <v>360</v>
      </c>
      <c r="I3094" s="55" t="s">
        <v>360</v>
      </c>
      <c r="J3094" s="55" t="s">
        <v>360</v>
      </c>
      <c r="K3094" s="55" t="s">
        <v>360</v>
      </c>
      <c r="L3094" s="55" t="s">
        <v>360</v>
      </c>
      <c r="M3094" s="55" t="s">
        <v>142</v>
      </c>
      <c r="N3094" s="55" t="s">
        <v>142</v>
      </c>
      <c r="O3094" s="55" t="s">
        <v>141</v>
      </c>
      <c r="P3094" s="55" t="s">
        <v>1231</v>
      </c>
      <c r="Q3094" s="55" t="s">
        <v>350</v>
      </c>
      <c r="R3094" s="55">
        <v>3</v>
      </c>
      <c r="S3094" s="55"/>
      <c r="T3094" s="55" t="s">
        <v>1261</v>
      </c>
    </row>
    <row r="3095" spans="1:20" ht="13" x14ac:dyDescent="0.15">
      <c r="A3095" s="72" t="str">
        <f t="shared" si="48"/>
        <v>Ofsted Social Care Provider Webpage</v>
      </c>
      <c r="B3095" s="55" t="s">
        <v>5810</v>
      </c>
      <c r="D3095" s="55" t="s">
        <v>373</v>
      </c>
      <c r="E3095" s="74">
        <v>41022</v>
      </c>
      <c r="F3095" s="55" t="s">
        <v>344</v>
      </c>
      <c r="G3095" s="55" t="s">
        <v>360</v>
      </c>
      <c r="H3095" s="55" t="s">
        <v>360</v>
      </c>
      <c r="I3095" s="55" t="s">
        <v>360</v>
      </c>
      <c r="J3095" s="55" t="s">
        <v>360</v>
      </c>
      <c r="K3095" s="55" t="s">
        <v>360</v>
      </c>
      <c r="L3095" s="55" t="s">
        <v>360</v>
      </c>
      <c r="M3095" s="55" t="s">
        <v>142</v>
      </c>
      <c r="N3095" s="55" t="s">
        <v>142</v>
      </c>
      <c r="O3095" s="55" t="s">
        <v>262</v>
      </c>
      <c r="P3095" s="55" t="s">
        <v>618</v>
      </c>
      <c r="Q3095" s="55" t="s">
        <v>350</v>
      </c>
      <c r="R3095" s="55">
        <v>3</v>
      </c>
      <c r="S3095" s="55"/>
      <c r="T3095" s="55" t="s">
        <v>1588</v>
      </c>
    </row>
    <row r="3096" spans="1:20" ht="13" x14ac:dyDescent="0.15">
      <c r="A3096" s="72" t="str">
        <f t="shared" si="48"/>
        <v>Ofsted Social Care Provider Webpage</v>
      </c>
      <c r="B3096" s="55" t="s">
        <v>5811</v>
      </c>
      <c r="D3096" s="55" t="s">
        <v>373</v>
      </c>
      <c r="E3096" s="74">
        <v>41057</v>
      </c>
      <c r="F3096" s="55" t="s">
        <v>344</v>
      </c>
      <c r="G3096" s="55" t="s">
        <v>360</v>
      </c>
      <c r="H3096" s="55" t="s">
        <v>360</v>
      </c>
      <c r="I3096" s="55" t="s">
        <v>360</v>
      </c>
      <c r="J3096" s="55" t="s">
        <v>360</v>
      </c>
      <c r="K3096" s="55" t="s">
        <v>360</v>
      </c>
      <c r="L3096" s="55" t="s">
        <v>360</v>
      </c>
      <c r="M3096" s="55" t="s">
        <v>144</v>
      </c>
      <c r="N3096" s="55" t="s">
        <v>144</v>
      </c>
      <c r="O3096" s="55" t="s">
        <v>217</v>
      </c>
      <c r="P3096" s="55" t="s">
        <v>1969</v>
      </c>
      <c r="Q3096" s="55" t="s">
        <v>350</v>
      </c>
      <c r="R3096" s="55">
        <v>2</v>
      </c>
      <c r="S3096" s="55"/>
      <c r="T3096" s="55" t="s">
        <v>385</v>
      </c>
    </row>
    <row r="3097" spans="1:20" ht="13" x14ac:dyDescent="0.15">
      <c r="A3097" s="72" t="str">
        <f t="shared" si="48"/>
        <v>Ofsted Social Care Provider Webpage</v>
      </c>
      <c r="B3097" s="55" t="s">
        <v>5812</v>
      </c>
      <c r="D3097" s="55" t="s">
        <v>451</v>
      </c>
      <c r="E3097" s="74">
        <v>41085</v>
      </c>
      <c r="F3097" s="55" t="s">
        <v>344</v>
      </c>
      <c r="G3097" s="55" t="s">
        <v>5813</v>
      </c>
      <c r="H3097" s="55" t="s">
        <v>5814</v>
      </c>
      <c r="I3097" s="55" t="s">
        <v>354</v>
      </c>
      <c r="J3097" s="55" t="s">
        <v>5815</v>
      </c>
      <c r="K3097" s="55" t="s">
        <v>129</v>
      </c>
      <c r="L3097" s="55" t="s">
        <v>5816</v>
      </c>
      <c r="M3097" s="55" t="s">
        <v>129</v>
      </c>
      <c r="N3097" s="55" t="s">
        <v>129</v>
      </c>
      <c r="O3097" s="55" t="s">
        <v>279</v>
      </c>
      <c r="P3097" s="55" t="s">
        <v>1078</v>
      </c>
      <c r="Q3097" s="55" t="s">
        <v>350</v>
      </c>
      <c r="R3097" s="55">
        <v>5</v>
      </c>
      <c r="S3097" s="55"/>
      <c r="T3097" s="55" t="s">
        <v>1129</v>
      </c>
    </row>
    <row r="3098" spans="1:20" ht="13" x14ac:dyDescent="0.15">
      <c r="A3098" s="72" t="str">
        <f t="shared" si="48"/>
        <v>Ofsted Social Care Provider Webpage</v>
      </c>
      <c r="B3098" s="55" t="s">
        <v>5817</v>
      </c>
      <c r="D3098" s="55" t="s">
        <v>373</v>
      </c>
      <c r="E3098" s="74">
        <v>41057</v>
      </c>
      <c r="F3098" s="55" t="s">
        <v>344</v>
      </c>
      <c r="G3098" s="55" t="s">
        <v>360</v>
      </c>
      <c r="H3098" s="55" t="s">
        <v>360</v>
      </c>
      <c r="I3098" s="55" t="s">
        <v>360</v>
      </c>
      <c r="J3098" s="55" t="s">
        <v>360</v>
      </c>
      <c r="K3098" s="55" t="s">
        <v>360</v>
      </c>
      <c r="L3098" s="55" t="s">
        <v>360</v>
      </c>
      <c r="M3098" s="55" t="s">
        <v>378</v>
      </c>
      <c r="N3098" s="55" t="s">
        <v>170</v>
      </c>
      <c r="O3098" s="55" t="s">
        <v>267</v>
      </c>
      <c r="P3098" s="55" t="s">
        <v>477</v>
      </c>
      <c r="Q3098" s="55" t="s">
        <v>362</v>
      </c>
      <c r="R3098" s="55">
        <v>4</v>
      </c>
      <c r="S3098" s="55"/>
      <c r="T3098" s="55" t="s">
        <v>5369</v>
      </c>
    </row>
    <row r="3099" spans="1:20" ht="13" x14ac:dyDescent="0.15">
      <c r="A3099" s="72" t="str">
        <f t="shared" si="48"/>
        <v>Ofsted Social Care Provider Webpage</v>
      </c>
      <c r="B3099" s="55" t="s">
        <v>5818</v>
      </c>
      <c r="D3099" s="55" t="s">
        <v>389</v>
      </c>
      <c r="E3099" s="74">
        <v>41060</v>
      </c>
      <c r="F3099" s="55" t="s">
        <v>344</v>
      </c>
      <c r="G3099" s="55" t="s">
        <v>5819</v>
      </c>
      <c r="H3099" s="55" t="s">
        <v>5820</v>
      </c>
      <c r="I3099" s="55" t="s">
        <v>5821</v>
      </c>
      <c r="J3099" s="55" t="s">
        <v>141</v>
      </c>
      <c r="L3099" s="55" t="s">
        <v>5822</v>
      </c>
      <c r="M3099" s="55" t="s">
        <v>142</v>
      </c>
      <c r="N3099" s="55" t="s">
        <v>142</v>
      </c>
      <c r="O3099" s="55" t="s">
        <v>141</v>
      </c>
      <c r="P3099" s="55" t="s">
        <v>573</v>
      </c>
      <c r="Q3099" s="55" t="s">
        <v>350</v>
      </c>
      <c r="R3099" s="55"/>
      <c r="S3099" s="55"/>
      <c r="T3099" s="55" t="s">
        <v>5823</v>
      </c>
    </row>
    <row r="3100" spans="1:20" ht="13" x14ac:dyDescent="0.15">
      <c r="A3100" s="72" t="str">
        <f t="shared" si="48"/>
        <v>Ofsted Social Care Provider Webpage</v>
      </c>
      <c r="B3100" s="55" t="s">
        <v>5824</v>
      </c>
      <c r="D3100" s="55" t="s">
        <v>373</v>
      </c>
      <c r="E3100" s="74">
        <v>41100</v>
      </c>
      <c r="F3100" s="55" t="s">
        <v>344</v>
      </c>
      <c r="G3100" s="55" t="s">
        <v>360</v>
      </c>
      <c r="H3100" s="55" t="s">
        <v>360</v>
      </c>
      <c r="I3100" s="55" t="s">
        <v>360</v>
      </c>
      <c r="J3100" s="55" t="s">
        <v>360</v>
      </c>
      <c r="K3100" s="55" t="s">
        <v>360</v>
      </c>
      <c r="L3100" s="55" t="s">
        <v>360</v>
      </c>
      <c r="M3100" s="55" t="s">
        <v>142</v>
      </c>
      <c r="N3100" s="55" t="s">
        <v>142</v>
      </c>
      <c r="O3100" s="55" t="s">
        <v>262</v>
      </c>
      <c r="P3100" s="55" t="s">
        <v>692</v>
      </c>
      <c r="Q3100" s="55" t="s">
        <v>350</v>
      </c>
      <c r="R3100" s="55">
        <v>3</v>
      </c>
      <c r="S3100" s="55"/>
      <c r="T3100" s="55" t="s">
        <v>1988</v>
      </c>
    </row>
    <row r="3101" spans="1:20" ht="13" x14ac:dyDescent="0.15">
      <c r="A3101" s="72" t="str">
        <f t="shared" si="48"/>
        <v>Ofsted Social Care Provider Webpage</v>
      </c>
      <c r="B3101" s="55" t="s">
        <v>5825</v>
      </c>
      <c r="D3101" s="55" t="s">
        <v>373</v>
      </c>
      <c r="E3101" s="74">
        <v>41200</v>
      </c>
      <c r="F3101" s="55" t="s">
        <v>344</v>
      </c>
      <c r="G3101" s="55" t="s">
        <v>360</v>
      </c>
      <c r="H3101" s="55" t="s">
        <v>360</v>
      </c>
      <c r="I3101" s="55" t="s">
        <v>360</v>
      </c>
      <c r="J3101" s="55" t="s">
        <v>360</v>
      </c>
      <c r="K3101" s="55" t="s">
        <v>360</v>
      </c>
      <c r="L3101" s="55" t="s">
        <v>360</v>
      </c>
      <c r="M3101" s="55" t="s">
        <v>142</v>
      </c>
      <c r="N3101" s="55" t="s">
        <v>142</v>
      </c>
      <c r="O3101" s="55" t="s">
        <v>262</v>
      </c>
      <c r="P3101" s="55" t="s">
        <v>916</v>
      </c>
      <c r="Q3101" s="55" t="s">
        <v>350</v>
      </c>
      <c r="R3101" s="55">
        <v>4</v>
      </c>
      <c r="S3101" s="55"/>
      <c r="T3101" s="55" t="s">
        <v>917</v>
      </c>
    </row>
    <row r="3102" spans="1:20" ht="13" x14ac:dyDescent="0.15">
      <c r="A3102" s="72" t="str">
        <f t="shared" si="48"/>
        <v>Ofsted Social Care Provider Webpage</v>
      </c>
      <c r="B3102" s="55" t="s">
        <v>5826</v>
      </c>
      <c r="D3102" s="55" t="s">
        <v>373</v>
      </c>
      <c r="E3102" s="74">
        <v>41086</v>
      </c>
      <c r="F3102" s="55" t="s">
        <v>344</v>
      </c>
      <c r="G3102" s="55" t="s">
        <v>360</v>
      </c>
      <c r="H3102" s="55" t="s">
        <v>360</v>
      </c>
      <c r="I3102" s="55" t="s">
        <v>360</v>
      </c>
      <c r="J3102" s="55" t="s">
        <v>360</v>
      </c>
      <c r="K3102" s="55" t="s">
        <v>360</v>
      </c>
      <c r="L3102" s="55" t="s">
        <v>360</v>
      </c>
      <c r="M3102" s="55" t="s">
        <v>136</v>
      </c>
      <c r="N3102" s="55" t="s">
        <v>136</v>
      </c>
      <c r="O3102" s="55" t="s">
        <v>230</v>
      </c>
      <c r="P3102" s="55" t="s">
        <v>767</v>
      </c>
      <c r="Q3102" s="55" t="s">
        <v>350</v>
      </c>
      <c r="R3102" s="55">
        <v>3</v>
      </c>
      <c r="S3102" s="55"/>
      <c r="T3102" s="55" t="s">
        <v>914</v>
      </c>
    </row>
    <row r="3103" spans="1:20" ht="13" x14ac:dyDescent="0.15">
      <c r="A3103" s="72" t="str">
        <f t="shared" si="48"/>
        <v>Ofsted Social Care Provider Webpage</v>
      </c>
      <c r="B3103" s="55" t="s">
        <v>5827</v>
      </c>
      <c r="D3103" s="55" t="s">
        <v>479</v>
      </c>
      <c r="E3103" s="74">
        <v>41117</v>
      </c>
      <c r="F3103" s="55" t="s">
        <v>344</v>
      </c>
      <c r="G3103" s="55" t="s">
        <v>360</v>
      </c>
      <c r="H3103" s="55" t="s">
        <v>360</v>
      </c>
      <c r="I3103" s="55" t="s">
        <v>360</v>
      </c>
      <c r="J3103" s="55" t="s">
        <v>360</v>
      </c>
      <c r="K3103" s="55" t="s">
        <v>360</v>
      </c>
      <c r="L3103" s="55" t="s">
        <v>360</v>
      </c>
      <c r="M3103" s="55" t="s">
        <v>142</v>
      </c>
      <c r="N3103" s="55" t="s">
        <v>142</v>
      </c>
      <c r="O3103" s="55" t="s">
        <v>252</v>
      </c>
      <c r="P3103" s="55" t="s">
        <v>653</v>
      </c>
      <c r="Q3103" s="55" t="s">
        <v>350</v>
      </c>
      <c r="R3103" s="55">
        <v>12</v>
      </c>
      <c r="S3103" s="55"/>
      <c r="T3103" s="55" t="s">
        <v>5828</v>
      </c>
    </row>
    <row r="3104" spans="1:20" ht="13" x14ac:dyDescent="0.15">
      <c r="A3104" s="72" t="str">
        <f t="shared" si="48"/>
        <v>Ofsted Social Care Provider Webpage</v>
      </c>
      <c r="B3104" s="55" t="s">
        <v>5829</v>
      </c>
      <c r="D3104" s="55" t="s">
        <v>389</v>
      </c>
      <c r="E3104" s="74">
        <v>41124</v>
      </c>
      <c r="F3104" s="55" t="s">
        <v>344</v>
      </c>
      <c r="G3104" s="55" t="s">
        <v>5830</v>
      </c>
      <c r="H3104" s="55" t="s">
        <v>5831</v>
      </c>
      <c r="I3104" s="55" t="s">
        <v>5832</v>
      </c>
      <c r="J3104" s="55" t="s">
        <v>169</v>
      </c>
      <c r="L3104" s="55" t="s">
        <v>5833</v>
      </c>
      <c r="M3104" s="55" t="s">
        <v>378</v>
      </c>
      <c r="N3104" s="55" t="s">
        <v>170</v>
      </c>
      <c r="O3104" s="55" t="s">
        <v>169</v>
      </c>
      <c r="P3104" s="55" t="s">
        <v>169</v>
      </c>
      <c r="Q3104" s="55" t="s">
        <v>350</v>
      </c>
      <c r="R3104" s="55"/>
      <c r="S3104" s="55"/>
      <c r="T3104" s="55" t="s">
        <v>5834</v>
      </c>
    </row>
    <row r="3105" spans="1:20" ht="13" x14ac:dyDescent="0.15">
      <c r="A3105" s="72" t="str">
        <f t="shared" si="48"/>
        <v>Ofsted Social Care Provider Webpage</v>
      </c>
      <c r="B3105" s="55" t="s">
        <v>5835</v>
      </c>
      <c r="D3105" s="55" t="s">
        <v>389</v>
      </c>
      <c r="E3105" s="74">
        <v>41095</v>
      </c>
      <c r="F3105" s="55" t="s">
        <v>344</v>
      </c>
      <c r="G3105" s="55" t="s">
        <v>5836</v>
      </c>
      <c r="H3105" s="55" t="s">
        <v>5837</v>
      </c>
      <c r="I3105" s="55" t="s">
        <v>1573</v>
      </c>
      <c r="J3105" s="55" t="s">
        <v>3559</v>
      </c>
      <c r="K3105" s="55" t="s">
        <v>203</v>
      </c>
      <c r="L3105" s="55" t="s">
        <v>5838</v>
      </c>
      <c r="M3105" s="55" t="s">
        <v>150</v>
      </c>
      <c r="N3105" s="55" t="s">
        <v>150</v>
      </c>
      <c r="O3105" s="55" t="s">
        <v>203</v>
      </c>
      <c r="P3105" s="55" t="s">
        <v>3559</v>
      </c>
      <c r="Q3105" s="55" t="s">
        <v>350</v>
      </c>
      <c r="R3105" s="55"/>
      <c r="S3105" s="55"/>
      <c r="T3105" s="55" t="s">
        <v>5839</v>
      </c>
    </row>
    <row r="3106" spans="1:20" ht="13" x14ac:dyDescent="0.15">
      <c r="A3106" s="72" t="str">
        <f t="shared" si="48"/>
        <v>Ofsted Social Care Provider Webpage</v>
      </c>
      <c r="B3106" s="55" t="s">
        <v>5840</v>
      </c>
      <c r="D3106" s="55" t="s">
        <v>389</v>
      </c>
      <c r="E3106" s="74">
        <v>41199</v>
      </c>
      <c r="F3106" s="55" t="s">
        <v>344</v>
      </c>
      <c r="G3106" s="55" t="s">
        <v>5841</v>
      </c>
      <c r="H3106" s="55" t="s">
        <v>3192</v>
      </c>
      <c r="I3106" s="55" t="s">
        <v>3193</v>
      </c>
      <c r="J3106" s="55" t="s">
        <v>3194</v>
      </c>
      <c r="L3106" s="55" t="s">
        <v>3195</v>
      </c>
      <c r="M3106" s="55" t="s">
        <v>378</v>
      </c>
      <c r="N3106" s="55" t="s">
        <v>170</v>
      </c>
      <c r="O3106" s="55" t="s">
        <v>233</v>
      </c>
      <c r="P3106" s="55" t="s">
        <v>1376</v>
      </c>
      <c r="Q3106" s="55" t="s">
        <v>362</v>
      </c>
      <c r="R3106" s="55"/>
      <c r="S3106" s="55"/>
      <c r="T3106" s="55" t="s">
        <v>3196</v>
      </c>
    </row>
    <row r="3107" spans="1:20" ht="13" x14ac:dyDescent="0.15">
      <c r="A3107" s="72" t="str">
        <f t="shared" si="48"/>
        <v>Ofsted Social Care Provider Webpage</v>
      </c>
      <c r="B3107" s="55" t="s">
        <v>5842</v>
      </c>
      <c r="D3107" s="55" t="s">
        <v>373</v>
      </c>
      <c r="E3107" s="74">
        <v>41260</v>
      </c>
      <c r="F3107" s="55" t="s">
        <v>344</v>
      </c>
      <c r="G3107" s="55" t="s">
        <v>360</v>
      </c>
      <c r="H3107" s="55" t="s">
        <v>360</v>
      </c>
      <c r="I3107" s="55" t="s">
        <v>360</v>
      </c>
      <c r="J3107" s="55" t="s">
        <v>360</v>
      </c>
      <c r="K3107" s="55" t="s">
        <v>360</v>
      </c>
      <c r="L3107" s="55" t="s">
        <v>360</v>
      </c>
      <c r="M3107" s="55" t="s">
        <v>129</v>
      </c>
      <c r="N3107" s="55" t="s">
        <v>129</v>
      </c>
      <c r="O3107" s="55" t="s">
        <v>152</v>
      </c>
      <c r="P3107" s="55" t="s">
        <v>1994</v>
      </c>
      <c r="Q3107" s="55" t="s">
        <v>350</v>
      </c>
      <c r="R3107" s="55">
        <v>4</v>
      </c>
      <c r="S3107" s="55"/>
      <c r="T3107" s="55" t="s">
        <v>5843</v>
      </c>
    </row>
    <row r="3108" spans="1:20" ht="13" x14ac:dyDescent="0.15">
      <c r="A3108" s="72" t="str">
        <f t="shared" si="48"/>
        <v>Ofsted Social Care Provider Webpage</v>
      </c>
      <c r="B3108" s="55" t="s">
        <v>5844</v>
      </c>
      <c r="D3108" s="55" t="s">
        <v>389</v>
      </c>
      <c r="E3108" s="74">
        <v>41144</v>
      </c>
      <c r="F3108" s="55" t="s">
        <v>344</v>
      </c>
      <c r="G3108" s="55" t="s">
        <v>5845</v>
      </c>
      <c r="H3108" s="55" t="s">
        <v>5846</v>
      </c>
      <c r="I3108" s="55" t="s">
        <v>5847</v>
      </c>
      <c r="J3108" s="55" t="s">
        <v>129</v>
      </c>
      <c r="L3108" s="55" t="s">
        <v>5848</v>
      </c>
      <c r="M3108" s="55" t="s">
        <v>129</v>
      </c>
      <c r="N3108" s="55" t="s">
        <v>129</v>
      </c>
      <c r="O3108" s="55" t="s">
        <v>280</v>
      </c>
      <c r="P3108" s="55" t="s">
        <v>2580</v>
      </c>
      <c r="Q3108" s="55" t="s">
        <v>350</v>
      </c>
      <c r="R3108" s="55"/>
      <c r="S3108" s="55"/>
      <c r="T3108" s="55" t="s">
        <v>5849</v>
      </c>
    </row>
    <row r="3109" spans="1:20" ht="13" x14ac:dyDescent="0.15">
      <c r="A3109" s="72" t="str">
        <f t="shared" si="48"/>
        <v>Ofsted Social Care Provider Webpage</v>
      </c>
      <c r="B3109" s="55" t="s">
        <v>5850</v>
      </c>
      <c r="D3109" s="55" t="s">
        <v>373</v>
      </c>
      <c r="E3109" s="74">
        <v>41066</v>
      </c>
      <c r="F3109" s="55" t="s">
        <v>344</v>
      </c>
      <c r="G3109" s="55" t="s">
        <v>360</v>
      </c>
      <c r="H3109" s="55" t="s">
        <v>360</v>
      </c>
      <c r="I3109" s="55" t="s">
        <v>360</v>
      </c>
      <c r="J3109" s="55" t="s">
        <v>360</v>
      </c>
      <c r="K3109" s="55" t="s">
        <v>360</v>
      </c>
      <c r="L3109" s="55" t="s">
        <v>360</v>
      </c>
      <c r="M3109" s="55" t="s">
        <v>150</v>
      </c>
      <c r="N3109" s="55" t="s">
        <v>150</v>
      </c>
      <c r="O3109" s="55" t="s">
        <v>203</v>
      </c>
      <c r="P3109" s="55" t="s">
        <v>593</v>
      </c>
      <c r="Q3109" s="55" t="s">
        <v>350</v>
      </c>
      <c r="R3109" s="55">
        <v>2</v>
      </c>
      <c r="S3109" s="55"/>
      <c r="T3109" s="55" t="s">
        <v>594</v>
      </c>
    </row>
    <row r="3110" spans="1:20" ht="13" x14ac:dyDescent="0.15">
      <c r="A3110" s="72" t="str">
        <f t="shared" si="48"/>
        <v>Ofsted Social Care Provider Webpage</v>
      </c>
      <c r="B3110" s="55" t="s">
        <v>5851</v>
      </c>
      <c r="D3110" s="55" t="s">
        <v>373</v>
      </c>
      <c r="E3110" s="74">
        <v>41085</v>
      </c>
      <c r="F3110" s="55" t="s">
        <v>344</v>
      </c>
      <c r="G3110" s="55" t="s">
        <v>360</v>
      </c>
      <c r="H3110" s="55" t="s">
        <v>360</v>
      </c>
      <c r="I3110" s="55" t="s">
        <v>360</v>
      </c>
      <c r="J3110" s="55" t="s">
        <v>360</v>
      </c>
      <c r="K3110" s="55" t="s">
        <v>360</v>
      </c>
      <c r="L3110" s="55" t="s">
        <v>360</v>
      </c>
      <c r="M3110" s="55" t="s">
        <v>378</v>
      </c>
      <c r="N3110" s="55" t="s">
        <v>170</v>
      </c>
      <c r="O3110" s="55" t="s">
        <v>178</v>
      </c>
      <c r="P3110" s="55" t="s">
        <v>905</v>
      </c>
      <c r="Q3110" s="55" t="s">
        <v>380</v>
      </c>
      <c r="R3110" s="55">
        <v>4</v>
      </c>
      <c r="S3110" s="55"/>
      <c r="T3110" s="55" t="s">
        <v>2068</v>
      </c>
    </row>
    <row r="3111" spans="1:20" ht="13" x14ac:dyDescent="0.15">
      <c r="A3111" s="72" t="str">
        <f t="shared" si="48"/>
        <v>Ofsted Social Care Provider Webpage</v>
      </c>
      <c r="B3111" s="55" t="s">
        <v>5852</v>
      </c>
      <c r="D3111" s="55" t="s">
        <v>373</v>
      </c>
      <c r="E3111" s="74">
        <v>41113</v>
      </c>
      <c r="F3111" s="55" t="s">
        <v>344</v>
      </c>
      <c r="G3111" s="55" t="s">
        <v>360</v>
      </c>
      <c r="H3111" s="55" t="s">
        <v>360</v>
      </c>
      <c r="I3111" s="55" t="s">
        <v>360</v>
      </c>
      <c r="J3111" s="55" t="s">
        <v>360</v>
      </c>
      <c r="K3111" s="55" t="s">
        <v>360</v>
      </c>
      <c r="L3111" s="55" t="s">
        <v>360</v>
      </c>
      <c r="M3111" s="55" t="s">
        <v>172</v>
      </c>
      <c r="N3111" s="55" t="s">
        <v>172</v>
      </c>
      <c r="O3111" s="55" t="s">
        <v>212</v>
      </c>
      <c r="P3111" s="55" t="s">
        <v>842</v>
      </c>
      <c r="Q3111" s="55" t="s">
        <v>350</v>
      </c>
      <c r="R3111" s="55">
        <v>3</v>
      </c>
      <c r="S3111" s="55"/>
      <c r="T3111" s="55" t="s">
        <v>5853</v>
      </c>
    </row>
    <row r="3112" spans="1:20" ht="13" x14ac:dyDescent="0.15">
      <c r="A3112" s="72" t="str">
        <f t="shared" si="48"/>
        <v>Ofsted Social Care Provider Webpage</v>
      </c>
      <c r="B3112" s="55" t="s">
        <v>5854</v>
      </c>
      <c r="D3112" s="55" t="s">
        <v>373</v>
      </c>
      <c r="E3112" s="74">
        <v>41136</v>
      </c>
      <c r="F3112" s="55" t="s">
        <v>344</v>
      </c>
      <c r="G3112" s="55" t="s">
        <v>360</v>
      </c>
      <c r="H3112" s="55" t="s">
        <v>360</v>
      </c>
      <c r="I3112" s="55" t="s">
        <v>360</v>
      </c>
      <c r="J3112" s="55" t="s">
        <v>360</v>
      </c>
      <c r="K3112" s="55" t="s">
        <v>360</v>
      </c>
      <c r="L3112" s="55" t="s">
        <v>360</v>
      </c>
      <c r="M3112" s="55" t="s">
        <v>150</v>
      </c>
      <c r="N3112" s="55" t="s">
        <v>150</v>
      </c>
      <c r="O3112" s="55" t="s">
        <v>285</v>
      </c>
      <c r="P3112" s="55" t="s">
        <v>893</v>
      </c>
      <c r="Q3112" s="55" t="s">
        <v>350</v>
      </c>
      <c r="R3112" s="55">
        <v>4</v>
      </c>
      <c r="S3112" s="55"/>
      <c r="T3112" s="55" t="s">
        <v>894</v>
      </c>
    </row>
    <row r="3113" spans="1:20" ht="13" x14ac:dyDescent="0.15">
      <c r="A3113" s="72" t="str">
        <f t="shared" si="48"/>
        <v>Ofsted Social Care Provider Webpage</v>
      </c>
      <c r="B3113" s="55" t="s">
        <v>5855</v>
      </c>
      <c r="D3113" s="55" t="s">
        <v>373</v>
      </c>
      <c r="E3113" s="74">
        <v>41103</v>
      </c>
      <c r="F3113" s="55" t="s">
        <v>344</v>
      </c>
      <c r="G3113" s="55" t="s">
        <v>360</v>
      </c>
      <c r="H3113" s="55" t="s">
        <v>360</v>
      </c>
      <c r="I3113" s="55" t="s">
        <v>360</v>
      </c>
      <c r="J3113" s="55" t="s">
        <v>360</v>
      </c>
      <c r="K3113" s="55" t="s">
        <v>360</v>
      </c>
      <c r="L3113" s="55" t="s">
        <v>360</v>
      </c>
      <c r="M3113" s="55" t="s">
        <v>142</v>
      </c>
      <c r="N3113" s="55" t="s">
        <v>142</v>
      </c>
      <c r="O3113" s="55" t="s">
        <v>252</v>
      </c>
      <c r="P3113" s="55" t="s">
        <v>386</v>
      </c>
      <c r="Q3113" s="55" t="s">
        <v>350</v>
      </c>
      <c r="R3113" s="55">
        <v>3</v>
      </c>
      <c r="S3113" s="55"/>
      <c r="T3113" s="55" t="s">
        <v>1260</v>
      </c>
    </row>
    <row r="3114" spans="1:20" ht="13" x14ac:dyDescent="0.15">
      <c r="A3114" s="72" t="str">
        <f t="shared" si="48"/>
        <v>Ofsted Social Care Provider Webpage</v>
      </c>
      <c r="B3114" s="55" t="s">
        <v>5856</v>
      </c>
      <c r="D3114" s="55" t="s">
        <v>373</v>
      </c>
      <c r="E3114" s="74">
        <v>41270</v>
      </c>
      <c r="F3114" s="55" t="s">
        <v>344</v>
      </c>
      <c r="G3114" s="55" t="s">
        <v>360</v>
      </c>
      <c r="H3114" s="55" t="s">
        <v>360</v>
      </c>
      <c r="I3114" s="55" t="s">
        <v>360</v>
      </c>
      <c r="J3114" s="55" t="s">
        <v>360</v>
      </c>
      <c r="K3114" s="55" t="s">
        <v>360</v>
      </c>
      <c r="L3114" s="55" t="s">
        <v>360</v>
      </c>
      <c r="M3114" s="55" t="s">
        <v>150</v>
      </c>
      <c r="N3114" s="55" t="s">
        <v>150</v>
      </c>
      <c r="O3114" s="55" t="s">
        <v>190</v>
      </c>
      <c r="P3114" s="55" t="s">
        <v>897</v>
      </c>
      <c r="Q3114" s="55" t="s">
        <v>350</v>
      </c>
      <c r="R3114" s="55">
        <v>7</v>
      </c>
      <c r="S3114" s="55"/>
      <c r="T3114" s="55" t="s">
        <v>450</v>
      </c>
    </row>
    <row r="3115" spans="1:20" ht="13" x14ac:dyDescent="0.15">
      <c r="A3115" s="72" t="str">
        <f t="shared" si="48"/>
        <v>Ofsted Social Care Provider Webpage</v>
      </c>
      <c r="B3115" s="55" t="s">
        <v>5857</v>
      </c>
      <c r="D3115" s="55" t="s">
        <v>373</v>
      </c>
      <c r="E3115" s="74">
        <v>41197</v>
      </c>
      <c r="F3115" s="55" t="s">
        <v>344</v>
      </c>
      <c r="G3115" s="55" t="s">
        <v>360</v>
      </c>
      <c r="H3115" s="55" t="s">
        <v>360</v>
      </c>
      <c r="I3115" s="55" t="s">
        <v>360</v>
      </c>
      <c r="J3115" s="55" t="s">
        <v>360</v>
      </c>
      <c r="K3115" s="55" t="s">
        <v>360</v>
      </c>
      <c r="L3115" s="55" t="s">
        <v>360</v>
      </c>
      <c r="M3115" s="55" t="s">
        <v>172</v>
      </c>
      <c r="N3115" s="55" t="s">
        <v>172</v>
      </c>
      <c r="O3115" s="55" t="s">
        <v>234</v>
      </c>
      <c r="P3115" s="55" t="s">
        <v>369</v>
      </c>
      <c r="Q3115" s="55" t="s">
        <v>350</v>
      </c>
      <c r="R3115" s="55">
        <v>3</v>
      </c>
      <c r="S3115" s="55"/>
      <c r="T3115" s="55" t="s">
        <v>668</v>
      </c>
    </row>
    <row r="3116" spans="1:20" ht="13" x14ac:dyDescent="0.15">
      <c r="A3116" s="72" t="str">
        <f t="shared" si="48"/>
        <v>Ofsted Social Care Provider Webpage</v>
      </c>
      <c r="B3116" s="55" t="s">
        <v>5858</v>
      </c>
      <c r="D3116" s="55" t="s">
        <v>373</v>
      </c>
      <c r="E3116" s="74">
        <v>41122</v>
      </c>
      <c r="F3116" s="55" t="s">
        <v>344</v>
      </c>
      <c r="G3116" s="55" t="s">
        <v>360</v>
      </c>
      <c r="H3116" s="55" t="s">
        <v>360</v>
      </c>
      <c r="I3116" s="55" t="s">
        <v>360</v>
      </c>
      <c r="J3116" s="55" t="s">
        <v>360</v>
      </c>
      <c r="K3116" s="55" t="s">
        <v>360</v>
      </c>
      <c r="L3116" s="55" t="s">
        <v>360</v>
      </c>
      <c r="M3116" s="55" t="s">
        <v>138</v>
      </c>
      <c r="N3116" s="55" t="s">
        <v>138</v>
      </c>
      <c r="O3116" s="55" t="s">
        <v>224</v>
      </c>
      <c r="P3116" s="55" t="s">
        <v>2271</v>
      </c>
      <c r="Q3116" s="55" t="s">
        <v>380</v>
      </c>
      <c r="R3116" s="55">
        <v>6</v>
      </c>
      <c r="S3116" s="55"/>
      <c r="T3116" s="55" t="s">
        <v>2272</v>
      </c>
    </row>
    <row r="3117" spans="1:20" ht="13" x14ac:dyDescent="0.15">
      <c r="A3117" s="72" t="str">
        <f t="shared" si="48"/>
        <v>Ofsted Social Care Provider Webpage</v>
      </c>
      <c r="B3117" s="55" t="s">
        <v>5859</v>
      </c>
      <c r="D3117" s="55" t="s">
        <v>389</v>
      </c>
      <c r="E3117" s="74">
        <v>41201</v>
      </c>
      <c r="F3117" s="55" t="s">
        <v>344</v>
      </c>
      <c r="G3117" s="55" t="s">
        <v>5860</v>
      </c>
      <c r="H3117" s="55" t="s">
        <v>5861</v>
      </c>
      <c r="I3117" s="55" t="s">
        <v>5862</v>
      </c>
      <c r="J3117" s="55" t="s">
        <v>1060</v>
      </c>
      <c r="K3117" s="55" t="s">
        <v>293</v>
      </c>
      <c r="L3117" s="55" t="s">
        <v>5863</v>
      </c>
      <c r="M3117" s="55" t="s">
        <v>142</v>
      </c>
      <c r="N3117" s="55" t="s">
        <v>142</v>
      </c>
      <c r="O3117" s="55" t="s">
        <v>293</v>
      </c>
      <c r="P3117" s="55" t="s">
        <v>1060</v>
      </c>
      <c r="Q3117" s="55" t="s">
        <v>350</v>
      </c>
      <c r="R3117" s="55"/>
      <c r="S3117" s="55"/>
      <c r="T3117" s="55" t="s">
        <v>4591</v>
      </c>
    </row>
    <row r="3118" spans="1:20" ht="13" x14ac:dyDescent="0.15">
      <c r="A3118" s="72" t="str">
        <f t="shared" si="48"/>
        <v>Ofsted Social Care Provider Webpage</v>
      </c>
      <c r="B3118" s="55" t="s">
        <v>5864</v>
      </c>
      <c r="D3118" s="55" t="s">
        <v>373</v>
      </c>
      <c r="E3118" s="74">
        <v>41134</v>
      </c>
      <c r="F3118" s="55" t="s">
        <v>344</v>
      </c>
      <c r="G3118" s="55" t="s">
        <v>360</v>
      </c>
      <c r="H3118" s="55" t="s">
        <v>360</v>
      </c>
      <c r="I3118" s="55" t="s">
        <v>360</v>
      </c>
      <c r="J3118" s="55" t="s">
        <v>360</v>
      </c>
      <c r="K3118" s="55" t="s">
        <v>360</v>
      </c>
      <c r="L3118" s="55" t="s">
        <v>360</v>
      </c>
      <c r="M3118" s="55" t="s">
        <v>378</v>
      </c>
      <c r="N3118" s="55" t="s">
        <v>134</v>
      </c>
      <c r="O3118" s="55" t="s">
        <v>158</v>
      </c>
      <c r="P3118" s="55" t="s">
        <v>912</v>
      </c>
      <c r="Q3118" s="55" t="s">
        <v>350</v>
      </c>
      <c r="R3118" s="55">
        <v>2</v>
      </c>
      <c r="S3118" s="55"/>
      <c r="T3118" s="55" t="s">
        <v>711</v>
      </c>
    </row>
    <row r="3119" spans="1:20" ht="13" x14ac:dyDescent="0.15">
      <c r="A3119" s="72" t="str">
        <f t="shared" si="48"/>
        <v>Ofsted Social Care Provider Webpage</v>
      </c>
      <c r="B3119" s="55" t="s">
        <v>5865</v>
      </c>
      <c r="D3119" s="55" t="s">
        <v>389</v>
      </c>
      <c r="E3119" s="74">
        <v>41121</v>
      </c>
      <c r="F3119" s="55" t="s">
        <v>344</v>
      </c>
      <c r="G3119" s="55" t="s">
        <v>5866</v>
      </c>
      <c r="H3119" s="55" t="s">
        <v>5867</v>
      </c>
      <c r="I3119" s="55" t="s">
        <v>5868</v>
      </c>
      <c r="J3119" s="55" t="s">
        <v>3540</v>
      </c>
      <c r="L3119" s="55" t="s">
        <v>5869</v>
      </c>
      <c r="M3119" s="55" t="s">
        <v>144</v>
      </c>
      <c r="N3119" s="55" t="s">
        <v>144</v>
      </c>
      <c r="O3119" s="55" t="s">
        <v>209</v>
      </c>
      <c r="P3119" s="55" t="s">
        <v>534</v>
      </c>
      <c r="Q3119" s="55" t="s">
        <v>350</v>
      </c>
      <c r="R3119" s="55"/>
      <c r="S3119" s="55"/>
      <c r="T3119" s="55" t="s">
        <v>5870</v>
      </c>
    </row>
    <row r="3120" spans="1:20" ht="13" x14ac:dyDescent="0.15">
      <c r="A3120" s="72" t="str">
        <f t="shared" si="48"/>
        <v>Ofsted Social Care Provider Webpage</v>
      </c>
      <c r="B3120" s="55" t="s">
        <v>5871</v>
      </c>
      <c r="D3120" s="55" t="s">
        <v>373</v>
      </c>
      <c r="E3120" s="74">
        <v>41103</v>
      </c>
      <c r="F3120" s="55" t="s">
        <v>344</v>
      </c>
      <c r="G3120" s="55" t="s">
        <v>360</v>
      </c>
      <c r="H3120" s="55" t="s">
        <v>360</v>
      </c>
      <c r="I3120" s="55" t="s">
        <v>360</v>
      </c>
      <c r="J3120" s="55" t="s">
        <v>360</v>
      </c>
      <c r="K3120" s="55" t="s">
        <v>360</v>
      </c>
      <c r="L3120" s="55" t="s">
        <v>360</v>
      </c>
      <c r="M3120" s="55" t="s">
        <v>142</v>
      </c>
      <c r="N3120" s="55" t="s">
        <v>142</v>
      </c>
      <c r="O3120" s="55" t="s">
        <v>177</v>
      </c>
      <c r="P3120" s="55" t="s">
        <v>5872</v>
      </c>
      <c r="Q3120" s="55" t="s">
        <v>350</v>
      </c>
      <c r="R3120" s="55">
        <v>6</v>
      </c>
      <c r="S3120" s="55"/>
      <c r="T3120" s="55" t="s">
        <v>385</v>
      </c>
    </row>
    <row r="3121" spans="1:20" ht="13" x14ac:dyDescent="0.15">
      <c r="A3121" s="72" t="str">
        <f t="shared" si="48"/>
        <v>Ofsted Social Care Provider Webpage</v>
      </c>
      <c r="B3121" s="55" t="s">
        <v>5873</v>
      </c>
      <c r="D3121" s="55" t="s">
        <v>373</v>
      </c>
      <c r="E3121" s="74">
        <v>41138</v>
      </c>
      <c r="F3121" s="55" t="s">
        <v>344</v>
      </c>
      <c r="G3121" s="55" t="s">
        <v>360</v>
      </c>
      <c r="H3121" s="55" t="s">
        <v>360</v>
      </c>
      <c r="I3121" s="55" t="s">
        <v>360</v>
      </c>
      <c r="J3121" s="55" t="s">
        <v>360</v>
      </c>
      <c r="K3121" s="55" t="s">
        <v>360</v>
      </c>
      <c r="L3121" s="55" t="s">
        <v>360</v>
      </c>
      <c r="M3121" s="55" t="s">
        <v>138</v>
      </c>
      <c r="N3121" s="55" t="s">
        <v>138</v>
      </c>
      <c r="O3121" s="55" t="s">
        <v>224</v>
      </c>
      <c r="P3121" s="55" t="s">
        <v>374</v>
      </c>
      <c r="Q3121" s="55" t="s">
        <v>350</v>
      </c>
      <c r="R3121" s="55">
        <v>4</v>
      </c>
      <c r="S3121" s="55"/>
      <c r="T3121" s="55" t="s">
        <v>791</v>
      </c>
    </row>
    <row r="3122" spans="1:20" ht="13" x14ac:dyDescent="0.15">
      <c r="A3122" s="72" t="str">
        <f t="shared" si="48"/>
        <v>Ofsted Social Care Provider Webpage</v>
      </c>
      <c r="B3122" s="55" t="s">
        <v>5874</v>
      </c>
      <c r="D3122" s="55" t="s">
        <v>389</v>
      </c>
      <c r="E3122" s="74">
        <v>41122</v>
      </c>
      <c r="F3122" s="55" t="s">
        <v>344</v>
      </c>
      <c r="G3122" s="55" t="s">
        <v>5875</v>
      </c>
      <c r="H3122" s="55" t="s">
        <v>5876</v>
      </c>
      <c r="I3122" s="55" t="s">
        <v>5877</v>
      </c>
      <c r="J3122" s="55" t="s">
        <v>254</v>
      </c>
      <c r="L3122" s="55" t="s">
        <v>5878</v>
      </c>
      <c r="M3122" s="55" t="s">
        <v>142</v>
      </c>
      <c r="N3122" s="55" t="s">
        <v>142</v>
      </c>
      <c r="O3122" s="55" t="s">
        <v>254</v>
      </c>
      <c r="P3122" s="55" t="s">
        <v>1048</v>
      </c>
      <c r="Q3122" s="55" t="s">
        <v>350</v>
      </c>
      <c r="R3122" s="55"/>
      <c r="S3122" s="55"/>
      <c r="T3122" s="55" t="s">
        <v>5879</v>
      </c>
    </row>
    <row r="3123" spans="1:20" ht="13" x14ac:dyDescent="0.15">
      <c r="A3123" s="72" t="str">
        <f t="shared" si="48"/>
        <v>Ofsted Social Care Provider Webpage</v>
      </c>
      <c r="B3123" s="55" t="s">
        <v>5880</v>
      </c>
      <c r="D3123" s="55" t="s">
        <v>373</v>
      </c>
      <c r="E3123" s="74">
        <v>41239</v>
      </c>
      <c r="F3123" s="55" t="s">
        <v>344</v>
      </c>
      <c r="G3123" s="55" t="s">
        <v>360</v>
      </c>
      <c r="H3123" s="55" t="s">
        <v>360</v>
      </c>
      <c r="I3123" s="55" t="s">
        <v>360</v>
      </c>
      <c r="J3123" s="55" t="s">
        <v>360</v>
      </c>
      <c r="K3123" s="55" t="s">
        <v>360</v>
      </c>
      <c r="L3123" s="55" t="s">
        <v>360</v>
      </c>
      <c r="M3123" s="55" t="s">
        <v>144</v>
      </c>
      <c r="N3123" s="55" t="s">
        <v>144</v>
      </c>
      <c r="O3123" s="55" t="s">
        <v>217</v>
      </c>
      <c r="P3123" s="55" t="s">
        <v>903</v>
      </c>
      <c r="Q3123" s="55" t="s">
        <v>350</v>
      </c>
      <c r="R3123" s="55">
        <v>2</v>
      </c>
      <c r="S3123" s="55"/>
      <c r="T3123" s="55" t="s">
        <v>385</v>
      </c>
    </row>
    <row r="3124" spans="1:20" ht="13" x14ac:dyDescent="0.15">
      <c r="A3124" s="72" t="str">
        <f t="shared" si="48"/>
        <v>Ofsted Social Care Provider Webpage</v>
      </c>
      <c r="B3124" s="55" t="s">
        <v>5881</v>
      </c>
      <c r="D3124" s="55" t="s">
        <v>389</v>
      </c>
      <c r="E3124" s="74">
        <v>41199</v>
      </c>
      <c r="F3124" s="55" t="s">
        <v>344</v>
      </c>
      <c r="G3124" s="55" t="s">
        <v>5882</v>
      </c>
      <c r="H3124" s="55" t="s">
        <v>5883</v>
      </c>
      <c r="I3124" s="55" t="s">
        <v>5884</v>
      </c>
      <c r="J3124" s="55" t="s">
        <v>5885</v>
      </c>
      <c r="K3124" s="55" t="s">
        <v>129</v>
      </c>
      <c r="L3124" s="55" t="s">
        <v>5886</v>
      </c>
      <c r="M3124" s="55" t="s">
        <v>129</v>
      </c>
      <c r="N3124" s="55" t="s">
        <v>129</v>
      </c>
      <c r="O3124" s="55" t="s">
        <v>152</v>
      </c>
      <c r="P3124" s="55" t="s">
        <v>1994</v>
      </c>
      <c r="Q3124" s="55" t="s">
        <v>350</v>
      </c>
      <c r="R3124" s="55"/>
      <c r="S3124" s="55"/>
      <c r="T3124" s="55" t="s">
        <v>5887</v>
      </c>
    </row>
    <row r="3125" spans="1:20" ht="13" x14ac:dyDescent="0.15">
      <c r="A3125" s="72" t="str">
        <f t="shared" si="48"/>
        <v>Ofsted Social Care Provider Webpage</v>
      </c>
      <c r="B3125" s="55" t="s">
        <v>5888</v>
      </c>
      <c r="D3125" s="55" t="s">
        <v>373</v>
      </c>
      <c r="E3125" s="74">
        <v>41246</v>
      </c>
      <c r="F3125" s="55" t="s">
        <v>344</v>
      </c>
      <c r="G3125" s="55" t="s">
        <v>360</v>
      </c>
      <c r="H3125" s="55" t="s">
        <v>360</v>
      </c>
      <c r="I3125" s="55" t="s">
        <v>360</v>
      </c>
      <c r="J3125" s="55" t="s">
        <v>360</v>
      </c>
      <c r="K3125" s="55" t="s">
        <v>360</v>
      </c>
      <c r="L3125" s="55" t="s">
        <v>360</v>
      </c>
      <c r="M3125" s="55" t="s">
        <v>138</v>
      </c>
      <c r="N3125" s="55" t="s">
        <v>138</v>
      </c>
      <c r="O3125" s="55" t="s">
        <v>159</v>
      </c>
      <c r="P3125" s="55" t="s">
        <v>1025</v>
      </c>
      <c r="Q3125" s="55" t="s">
        <v>350</v>
      </c>
      <c r="R3125" s="55">
        <v>3</v>
      </c>
      <c r="S3125" s="55"/>
      <c r="T3125" s="55" t="s">
        <v>1079</v>
      </c>
    </row>
    <row r="3126" spans="1:20" ht="13" x14ac:dyDescent="0.15">
      <c r="A3126" s="72" t="str">
        <f t="shared" si="48"/>
        <v>Ofsted Social Care Provider Webpage</v>
      </c>
      <c r="B3126" s="55" t="s">
        <v>5889</v>
      </c>
      <c r="D3126" s="55" t="s">
        <v>479</v>
      </c>
      <c r="E3126" s="74">
        <v>41180</v>
      </c>
      <c r="F3126" s="55" t="s">
        <v>344</v>
      </c>
      <c r="G3126" s="55" t="s">
        <v>360</v>
      </c>
      <c r="H3126" s="55" t="s">
        <v>360</v>
      </c>
      <c r="I3126" s="55" t="s">
        <v>360</v>
      </c>
      <c r="J3126" s="55" t="s">
        <v>360</v>
      </c>
      <c r="K3126" s="55" t="s">
        <v>360</v>
      </c>
      <c r="L3126" s="55" t="s">
        <v>360</v>
      </c>
      <c r="M3126" s="55" t="s">
        <v>138</v>
      </c>
      <c r="N3126" s="55" t="s">
        <v>138</v>
      </c>
      <c r="O3126" s="55" t="s">
        <v>224</v>
      </c>
      <c r="P3126" s="55" t="s">
        <v>1675</v>
      </c>
      <c r="Q3126" s="55" t="s">
        <v>350</v>
      </c>
      <c r="R3126" s="55">
        <v>8</v>
      </c>
      <c r="S3126" s="55"/>
      <c r="T3126" s="55" t="s">
        <v>5890</v>
      </c>
    </row>
    <row r="3127" spans="1:20" ht="13" x14ac:dyDescent="0.15">
      <c r="A3127" s="72" t="str">
        <f t="shared" si="48"/>
        <v>Ofsted Social Care Provider Webpage</v>
      </c>
      <c r="B3127" s="55" t="s">
        <v>5891</v>
      </c>
      <c r="D3127" s="55" t="s">
        <v>373</v>
      </c>
      <c r="E3127" s="74">
        <v>41181</v>
      </c>
      <c r="F3127" s="55" t="s">
        <v>344</v>
      </c>
      <c r="G3127" s="55" t="s">
        <v>360</v>
      </c>
      <c r="H3127" s="55" t="s">
        <v>360</v>
      </c>
      <c r="I3127" s="55" t="s">
        <v>360</v>
      </c>
      <c r="J3127" s="55" t="s">
        <v>360</v>
      </c>
      <c r="K3127" s="55" t="s">
        <v>360</v>
      </c>
      <c r="L3127" s="55" t="s">
        <v>360</v>
      </c>
      <c r="M3127" s="55" t="s">
        <v>136</v>
      </c>
      <c r="N3127" s="55" t="s">
        <v>136</v>
      </c>
      <c r="O3127" s="55" t="s">
        <v>256</v>
      </c>
      <c r="P3127" s="55" t="s">
        <v>5892</v>
      </c>
      <c r="Q3127" s="55" t="s">
        <v>350</v>
      </c>
      <c r="R3127" s="55">
        <v>3</v>
      </c>
      <c r="S3127" s="55"/>
      <c r="T3127" s="55" t="s">
        <v>1219</v>
      </c>
    </row>
    <row r="3128" spans="1:20" ht="13" x14ac:dyDescent="0.15">
      <c r="A3128" s="72" t="str">
        <f t="shared" si="48"/>
        <v>Ofsted Social Care Provider Webpage</v>
      </c>
      <c r="B3128" s="55" t="s">
        <v>5893</v>
      </c>
      <c r="D3128" s="55" t="s">
        <v>451</v>
      </c>
      <c r="E3128" s="74">
        <v>41201</v>
      </c>
      <c r="F3128" s="55" t="s">
        <v>344</v>
      </c>
      <c r="G3128" s="55" t="s">
        <v>5894</v>
      </c>
      <c r="H3128" s="55" t="s">
        <v>5895</v>
      </c>
      <c r="I3128" s="55" t="s">
        <v>354</v>
      </c>
      <c r="J3128" s="55" t="s">
        <v>5896</v>
      </c>
      <c r="K3128" s="55" t="s">
        <v>183</v>
      </c>
      <c r="L3128" s="55" t="s">
        <v>5897</v>
      </c>
      <c r="M3128" s="55" t="s">
        <v>129</v>
      </c>
      <c r="N3128" s="55" t="s">
        <v>129</v>
      </c>
      <c r="O3128" s="55" t="s">
        <v>242</v>
      </c>
      <c r="P3128" s="55" t="s">
        <v>1519</v>
      </c>
      <c r="Q3128" s="55" t="s">
        <v>350</v>
      </c>
      <c r="R3128" s="55">
        <v>2</v>
      </c>
      <c r="S3128" s="55"/>
      <c r="T3128" s="55" t="s">
        <v>1022</v>
      </c>
    </row>
    <row r="3129" spans="1:20" ht="13" x14ac:dyDescent="0.15">
      <c r="A3129" s="72" t="str">
        <f t="shared" si="48"/>
        <v>Ofsted Social Care Provider Webpage</v>
      </c>
      <c r="B3129" s="55" t="s">
        <v>5898</v>
      </c>
      <c r="D3129" s="55" t="s">
        <v>389</v>
      </c>
      <c r="E3129" s="74">
        <v>41240</v>
      </c>
      <c r="F3129" s="55" t="s">
        <v>344</v>
      </c>
      <c r="G3129" s="55" t="s">
        <v>5899</v>
      </c>
      <c r="H3129" s="55" t="s">
        <v>5900</v>
      </c>
      <c r="I3129" s="55" t="s">
        <v>5901</v>
      </c>
      <c r="J3129" s="55" t="s">
        <v>129</v>
      </c>
      <c r="L3129" s="55" t="s">
        <v>5902</v>
      </c>
      <c r="M3129" s="55" t="s">
        <v>129</v>
      </c>
      <c r="N3129" s="55" t="s">
        <v>129</v>
      </c>
      <c r="O3129" s="55" t="s">
        <v>223</v>
      </c>
      <c r="P3129" s="55" t="s">
        <v>712</v>
      </c>
      <c r="Q3129" s="55" t="s">
        <v>350</v>
      </c>
      <c r="R3129" s="55"/>
      <c r="S3129" s="55"/>
      <c r="T3129" s="55" t="s">
        <v>5903</v>
      </c>
    </row>
    <row r="3130" spans="1:20" ht="13" x14ac:dyDescent="0.15">
      <c r="A3130" s="72" t="str">
        <f t="shared" si="48"/>
        <v>Ofsted Social Care Provider Webpage</v>
      </c>
      <c r="B3130" s="55" t="s">
        <v>5904</v>
      </c>
      <c r="D3130" s="55" t="s">
        <v>389</v>
      </c>
      <c r="E3130" s="74">
        <v>41222</v>
      </c>
      <c r="F3130" s="55" t="s">
        <v>344</v>
      </c>
      <c r="G3130" s="55" t="s">
        <v>5905</v>
      </c>
      <c r="H3130" s="55" t="s">
        <v>5906</v>
      </c>
      <c r="I3130" s="55" t="s">
        <v>5907</v>
      </c>
      <c r="J3130" s="55" t="s">
        <v>5783</v>
      </c>
      <c r="L3130" s="55" t="s">
        <v>5908</v>
      </c>
      <c r="M3130" s="55" t="s">
        <v>142</v>
      </c>
      <c r="N3130" s="55" t="s">
        <v>142</v>
      </c>
      <c r="O3130" s="55" t="s">
        <v>293</v>
      </c>
      <c r="P3130" s="55" t="s">
        <v>1136</v>
      </c>
      <c r="Q3130" s="55" t="s">
        <v>362</v>
      </c>
      <c r="R3130" s="55"/>
      <c r="S3130" s="55"/>
      <c r="T3130" s="55" t="s">
        <v>5909</v>
      </c>
    </row>
    <row r="3131" spans="1:20" ht="13" x14ac:dyDescent="0.15">
      <c r="A3131" s="72" t="str">
        <f t="shared" si="48"/>
        <v>Ofsted Social Care Provider Webpage</v>
      </c>
      <c r="B3131" s="55" t="s">
        <v>5910</v>
      </c>
      <c r="D3131" s="55" t="s">
        <v>373</v>
      </c>
      <c r="E3131" s="74">
        <v>41388</v>
      </c>
      <c r="F3131" s="55" t="s">
        <v>344</v>
      </c>
      <c r="G3131" s="55" t="s">
        <v>360</v>
      </c>
      <c r="H3131" s="55" t="s">
        <v>360</v>
      </c>
      <c r="I3131" s="55" t="s">
        <v>360</v>
      </c>
      <c r="J3131" s="55" t="s">
        <v>360</v>
      </c>
      <c r="K3131" s="55" t="s">
        <v>360</v>
      </c>
      <c r="L3131" s="55" t="s">
        <v>360</v>
      </c>
      <c r="M3131" s="55" t="s">
        <v>378</v>
      </c>
      <c r="N3131" s="55" t="s">
        <v>170</v>
      </c>
      <c r="O3131" s="55" t="s">
        <v>178</v>
      </c>
      <c r="P3131" s="55" t="s">
        <v>1450</v>
      </c>
      <c r="Q3131" s="55" t="s">
        <v>350</v>
      </c>
      <c r="R3131" s="55">
        <v>4</v>
      </c>
      <c r="S3131" s="55"/>
      <c r="T3131" s="55" t="s">
        <v>1236</v>
      </c>
    </row>
    <row r="3132" spans="1:20" ht="13" x14ac:dyDescent="0.15">
      <c r="A3132" s="72" t="str">
        <f t="shared" si="48"/>
        <v>Ofsted Social Care Provider Webpage</v>
      </c>
      <c r="B3132" s="55" t="s">
        <v>5911</v>
      </c>
      <c r="D3132" s="55" t="s">
        <v>373</v>
      </c>
      <c r="E3132" s="74">
        <v>41215</v>
      </c>
      <c r="F3132" s="55" t="s">
        <v>344</v>
      </c>
      <c r="G3132" s="55" t="s">
        <v>360</v>
      </c>
      <c r="H3132" s="55" t="s">
        <v>360</v>
      </c>
      <c r="I3132" s="55" t="s">
        <v>360</v>
      </c>
      <c r="J3132" s="55" t="s">
        <v>360</v>
      </c>
      <c r="K3132" s="55" t="s">
        <v>360</v>
      </c>
      <c r="L3132" s="55" t="s">
        <v>360</v>
      </c>
      <c r="M3132" s="55" t="s">
        <v>142</v>
      </c>
      <c r="N3132" s="55" t="s">
        <v>142</v>
      </c>
      <c r="O3132" s="55" t="s">
        <v>141</v>
      </c>
      <c r="P3132" s="55" t="s">
        <v>573</v>
      </c>
      <c r="Q3132" s="55" t="s">
        <v>350</v>
      </c>
      <c r="R3132" s="55">
        <v>4</v>
      </c>
      <c r="S3132" s="55"/>
      <c r="T3132" s="55" t="s">
        <v>1415</v>
      </c>
    </row>
    <row r="3133" spans="1:20" ht="13" x14ac:dyDescent="0.15">
      <c r="A3133" s="72" t="str">
        <f t="shared" si="48"/>
        <v>Ofsted Social Care Provider Webpage</v>
      </c>
      <c r="B3133" s="55" t="s">
        <v>5912</v>
      </c>
      <c r="D3133" s="55" t="s">
        <v>373</v>
      </c>
      <c r="E3133" s="74">
        <v>41267</v>
      </c>
      <c r="F3133" s="55" t="s">
        <v>344</v>
      </c>
      <c r="G3133" s="55" t="s">
        <v>360</v>
      </c>
      <c r="H3133" s="55" t="s">
        <v>360</v>
      </c>
      <c r="I3133" s="55" t="s">
        <v>360</v>
      </c>
      <c r="J3133" s="55" t="s">
        <v>360</v>
      </c>
      <c r="K3133" s="55" t="s">
        <v>360</v>
      </c>
      <c r="L3133" s="55" t="s">
        <v>360</v>
      </c>
      <c r="M3133" s="55" t="s">
        <v>144</v>
      </c>
      <c r="N3133" s="55" t="s">
        <v>144</v>
      </c>
      <c r="O3133" s="55" t="s">
        <v>207</v>
      </c>
      <c r="P3133" s="55" t="s">
        <v>207</v>
      </c>
      <c r="Q3133" s="55" t="s">
        <v>350</v>
      </c>
      <c r="R3133" s="55">
        <v>5</v>
      </c>
      <c r="S3133" s="55"/>
      <c r="T3133" s="55" t="s">
        <v>729</v>
      </c>
    </row>
    <row r="3134" spans="1:20" ht="13" x14ac:dyDescent="0.15">
      <c r="A3134" s="72" t="str">
        <f t="shared" si="48"/>
        <v>Ofsted Social Care Provider Webpage</v>
      </c>
      <c r="B3134" s="55" t="s">
        <v>5913</v>
      </c>
      <c r="D3134" s="55" t="s">
        <v>373</v>
      </c>
      <c r="E3134" s="74">
        <v>41305</v>
      </c>
      <c r="F3134" s="55" t="s">
        <v>344</v>
      </c>
      <c r="G3134" s="55" t="s">
        <v>360</v>
      </c>
      <c r="H3134" s="55" t="s">
        <v>360</v>
      </c>
      <c r="I3134" s="55" t="s">
        <v>360</v>
      </c>
      <c r="J3134" s="55" t="s">
        <v>360</v>
      </c>
      <c r="K3134" s="55" t="s">
        <v>360</v>
      </c>
      <c r="L3134" s="55" t="s">
        <v>360</v>
      </c>
      <c r="M3134" s="55" t="s">
        <v>144</v>
      </c>
      <c r="N3134" s="55" t="s">
        <v>144</v>
      </c>
      <c r="O3134" s="55" t="s">
        <v>261</v>
      </c>
      <c r="P3134" s="55" t="s">
        <v>792</v>
      </c>
      <c r="Q3134" s="55" t="s">
        <v>350</v>
      </c>
      <c r="R3134" s="55">
        <v>1</v>
      </c>
      <c r="S3134" s="55"/>
      <c r="T3134" s="55" t="s">
        <v>5480</v>
      </c>
    </row>
    <row r="3135" spans="1:20" ht="13" x14ac:dyDescent="0.15">
      <c r="A3135" s="72" t="str">
        <f t="shared" si="48"/>
        <v>Ofsted Social Care Provider Webpage</v>
      </c>
      <c r="B3135" s="55" t="s">
        <v>5914</v>
      </c>
      <c r="D3135" s="55" t="s">
        <v>373</v>
      </c>
      <c r="E3135" s="74">
        <v>41256</v>
      </c>
      <c r="F3135" s="55" t="s">
        <v>344</v>
      </c>
      <c r="G3135" s="55" t="s">
        <v>360</v>
      </c>
      <c r="H3135" s="55" t="s">
        <v>360</v>
      </c>
      <c r="I3135" s="55" t="s">
        <v>360</v>
      </c>
      <c r="J3135" s="55" t="s">
        <v>360</v>
      </c>
      <c r="K3135" s="55" t="s">
        <v>360</v>
      </c>
      <c r="L3135" s="55" t="s">
        <v>360</v>
      </c>
      <c r="M3135" s="55" t="s">
        <v>378</v>
      </c>
      <c r="N3135" s="55" t="s">
        <v>170</v>
      </c>
      <c r="O3135" s="55" t="s">
        <v>220</v>
      </c>
      <c r="P3135" s="55" t="s">
        <v>1222</v>
      </c>
      <c r="Q3135" s="55" t="s">
        <v>350</v>
      </c>
      <c r="R3135" s="55">
        <v>4</v>
      </c>
      <c r="S3135" s="55"/>
      <c r="T3135" s="55" t="s">
        <v>385</v>
      </c>
    </row>
    <row r="3136" spans="1:20" ht="13" x14ac:dyDescent="0.15">
      <c r="A3136" s="72" t="str">
        <f t="shared" si="48"/>
        <v>Ofsted Social Care Provider Webpage</v>
      </c>
      <c r="B3136" s="55" t="s">
        <v>5915</v>
      </c>
      <c r="D3136" s="55" t="s">
        <v>373</v>
      </c>
      <c r="E3136" s="74">
        <v>41215</v>
      </c>
      <c r="F3136" s="55" t="s">
        <v>344</v>
      </c>
      <c r="G3136" s="55" t="s">
        <v>360</v>
      </c>
      <c r="H3136" s="55" t="s">
        <v>360</v>
      </c>
      <c r="I3136" s="55" t="s">
        <v>360</v>
      </c>
      <c r="J3136" s="55" t="s">
        <v>360</v>
      </c>
      <c r="K3136" s="55" t="s">
        <v>360</v>
      </c>
      <c r="L3136" s="55" t="s">
        <v>360</v>
      </c>
      <c r="M3136" s="55" t="s">
        <v>150</v>
      </c>
      <c r="N3136" s="55" t="s">
        <v>150</v>
      </c>
      <c r="O3136" s="55" t="s">
        <v>203</v>
      </c>
      <c r="P3136" s="55" t="s">
        <v>1038</v>
      </c>
      <c r="Q3136" s="55" t="s">
        <v>362</v>
      </c>
      <c r="R3136" s="55">
        <v>8</v>
      </c>
      <c r="S3136" s="55"/>
      <c r="T3136" s="55" t="s">
        <v>1119</v>
      </c>
    </row>
    <row r="3137" spans="1:20" ht="13" x14ac:dyDescent="0.15">
      <c r="A3137" s="72" t="str">
        <f t="shared" si="48"/>
        <v>Ofsted Social Care Provider Webpage</v>
      </c>
      <c r="B3137" s="55" t="s">
        <v>5916</v>
      </c>
      <c r="D3137" s="55" t="s">
        <v>373</v>
      </c>
      <c r="E3137" s="74">
        <v>41228</v>
      </c>
      <c r="F3137" s="55" t="s">
        <v>344</v>
      </c>
      <c r="G3137" s="55" t="s">
        <v>360</v>
      </c>
      <c r="H3137" s="55" t="s">
        <v>360</v>
      </c>
      <c r="I3137" s="55" t="s">
        <v>360</v>
      </c>
      <c r="J3137" s="55" t="s">
        <v>360</v>
      </c>
      <c r="K3137" s="55" t="s">
        <v>360</v>
      </c>
      <c r="L3137" s="55" t="s">
        <v>360</v>
      </c>
      <c r="M3137" s="55" t="s">
        <v>378</v>
      </c>
      <c r="N3137" s="55" t="s">
        <v>134</v>
      </c>
      <c r="O3137" s="55" t="s">
        <v>133</v>
      </c>
      <c r="P3137" s="55" t="s">
        <v>1804</v>
      </c>
      <c r="Q3137" s="55" t="s">
        <v>380</v>
      </c>
      <c r="R3137" s="55">
        <v>5</v>
      </c>
      <c r="S3137" s="55"/>
      <c r="T3137" s="55" t="s">
        <v>5555</v>
      </c>
    </row>
    <row r="3138" spans="1:20" ht="13" x14ac:dyDescent="0.15">
      <c r="A3138" s="72" t="str">
        <f t="shared" si="48"/>
        <v>Ofsted Social Care Provider Webpage</v>
      </c>
      <c r="B3138" s="55" t="s">
        <v>5917</v>
      </c>
      <c r="D3138" s="55" t="s">
        <v>389</v>
      </c>
      <c r="E3138" s="74">
        <v>41298</v>
      </c>
      <c r="F3138" s="55" t="s">
        <v>344</v>
      </c>
      <c r="G3138" s="55" t="s">
        <v>5918</v>
      </c>
      <c r="H3138" s="55" t="s">
        <v>5919</v>
      </c>
      <c r="I3138" s="55" t="s">
        <v>5920</v>
      </c>
      <c r="J3138" s="55" t="s">
        <v>3559</v>
      </c>
      <c r="L3138" s="55" t="s">
        <v>5921</v>
      </c>
      <c r="M3138" s="55" t="s">
        <v>150</v>
      </c>
      <c r="N3138" s="55" t="s">
        <v>150</v>
      </c>
      <c r="O3138" s="55" t="s">
        <v>203</v>
      </c>
      <c r="P3138" s="55" t="s">
        <v>3559</v>
      </c>
      <c r="Q3138" s="55" t="s">
        <v>350</v>
      </c>
      <c r="R3138" s="55"/>
      <c r="S3138" s="55"/>
      <c r="T3138" s="55" t="s">
        <v>5922</v>
      </c>
    </row>
    <row r="3139" spans="1:20" ht="13" x14ac:dyDescent="0.15">
      <c r="A3139" s="72" t="str">
        <f t="shared" si="48"/>
        <v>Ofsted Social Care Provider Webpage</v>
      </c>
      <c r="B3139" s="55" t="s">
        <v>5923</v>
      </c>
      <c r="D3139" s="55" t="s">
        <v>373</v>
      </c>
      <c r="E3139" s="74">
        <v>41225</v>
      </c>
      <c r="F3139" s="55" t="s">
        <v>344</v>
      </c>
      <c r="G3139" s="55" t="s">
        <v>360</v>
      </c>
      <c r="H3139" s="55" t="s">
        <v>360</v>
      </c>
      <c r="I3139" s="55" t="s">
        <v>360</v>
      </c>
      <c r="J3139" s="55" t="s">
        <v>360</v>
      </c>
      <c r="K3139" s="55" t="s">
        <v>360</v>
      </c>
      <c r="L3139" s="55" t="s">
        <v>360</v>
      </c>
      <c r="M3139" s="55" t="s">
        <v>142</v>
      </c>
      <c r="N3139" s="55" t="s">
        <v>142</v>
      </c>
      <c r="O3139" s="55" t="s">
        <v>252</v>
      </c>
      <c r="P3139" s="55" t="s">
        <v>386</v>
      </c>
      <c r="Q3139" s="55" t="s">
        <v>350</v>
      </c>
      <c r="R3139" s="55">
        <v>4</v>
      </c>
      <c r="S3139" s="55"/>
      <c r="T3139" s="55" t="s">
        <v>385</v>
      </c>
    </row>
    <row r="3140" spans="1:20" ht="13" x14ac:dyDescent="0.15">
      <c r="A3140" s="72" t="str">
        <f t="shared" si="48"/>
        <v>Ofsted Social Care Provider Webpage</v>
      </c>
      <c r="B3140" s="55" t="s">
        <v>5924</v>
      </c>
      <c r="D3140" s="55" t="s">
        <v>373</v>
      </c>
      <c r="E3140" s="74">
        <v>41190</v>
      </c>
      <c r="F3140" s="55" t="s">
        <v>344</v>
      </c>
      <c r="G3140" s="55" t="s">
        <v>360</v>
      </c>
      <c r="H3140" s="55" t="s">
        <v>360</v>
      </c>
      <c r="I3140" s="55" t="s">
        <v>360</v>
      </c>
      <c r="J3140" s="55" t="s">
        <v>360</v>
      </c>
      <c r="K3140" s="55" t="s">
        <v>360</v>
      </c>
      <c r="L3140" s="55" t="s">
        <v>360</v>
      </c>
      <c r="M3140" s="55" t="s">
        <v>136</v>
      </c>
      <c r="N3140" s="55" t="s">
        <v>136</v>
      </c>
      <c r="O3140" s="55" t="s">
        <v>256</v>
      </c>
      <c r="P3140" s="55" t="s">
        <v>5892</v>
      </c>
      <c r="Q3140" s="55" t="s">
        <v>362</v>
      </c>
      <c r="R3140" s="55">
        <v>7</v>
      </c>
      <c r="S3140" s="55" t="s">
        <v>332</v>
      </c>
      <c r="T3140" s="55" t="s">
        <v>659</v>
      </c>
    </row>
    <row r="3141" spans="1:20" ht="13" x14ac:dyDescent="0.15">
      <c r="A3141" s="72" t="str">
        <f t="shared" ref="A3141:A3204" si="49">HYPERLINK(_xlfn.CONCAT("http://reports.ofsted.gov.uk/inspection-reports/find-inspection-report/provider/CARE/",B3141),"Ofsted Social Care Provider Webpage")</f>
        <v>Ofsted Social Care Provider Webpage</v>
      </c>
      <c r="B3141" s="55" t="s">
        <v>5925</v>
      </c>
      <c r="D3141" s="55" t="s">
        <v>373</v>
      </c>
      <c r="E3141" s="74">
        <v>41235</v>
      </c>
      <c r="F3141" s="55" t="s">
        <v>344</v>
      </c>
      <c r="G3141" s="55" t="s">
        <v>360</v>
      </c>
      <c r="H3141" s="55" t="s">
        <v>360</v>
      </c>
      <c r="I3141" s="55" t="s">
        <v>360</v>
      </c>
      <c r="J3141" s="55" t="s">
        <v>360</v>
      </c>
      <c r="K3141" s="55" t="s">
        <v>360</v>
      </c>
      <c r="L3141" s="55" t="s">
        <v>360</v>
      </c>
      <c r="M3141" s="55" t="s">
        <v>142</v>
      </c>
      <c r="N3141" s="55" t="s">
        <v>142</v>
      </c>
      <c r="O3141" s="55" t="s">
        <v>262</v>
      </c>
      <c r="P3141" s="55" t="s">
        <v>618</v>
      </c>
      <c r="Q3141" s="55" t="s">
        <v>350</v>
      </c>
      <c r="R3141" s="55">
        <v>8</v>
      </c>
      <c r="S3141" s="55"/>
      <c r="T3141" s="55" t="s">
        <v>1505</v>
      </c>
    </row>
    <row r="3142" spans="1:20" ht="13" x14ac:dyDescent="0.15">
      <c r="A3142" s="72" t="str">
        <f t="shared" si="49"/>
        <v>Ofsted Social Care Provider Webpage</v>
      </c>
      <c r="B3142" s="55" t="s">
        <v>5926</v>
      </c>
      <c r="D3142" s="55" t="s">
        <v>373</v>
      </c>
      <c r="E3142" s="74">
        <v>41236</v>
      </c>
      <c r="F3142" s="55" t="s">
        <v>344</v>
      </c>
      <c r="G3142" s="55" t="s">
        <v>360</v>
      </c>
      <c r="H3142" s="55" t="s">
        <v>360</v>
      </c>
      <c r="I3142" s="55" t="s">
        <v>360</v>
      </c>
      <c r="J3142" s="55" t="s">
        <v>360</v>
      </c>
      <c r="K3142" s="55" t="s">
        <v>360</v>
      </c>
      <c r="L3142" s="55" t="s">
        <v>360</v>
      </c>
      <c r="M3142" s="55" t="s">
        <v>136</v>
      </c>
      <c r="N3142" s="55" t="s">
        <v>136</v>
      </c>
      <c r="O3142" s="55" t="s">
        <v>239</v>
      </c>
      <c r="P3142" s="55" t="s">
        <v>3555</v>
      </c>
      <c r="Q3142" s="55" t="s">
        <v>380</v>
      </c>
      <c r="R3142" s="55">
        <v>6</v>
      </c>
      <c r="S3142" s="55" t="s">
        <v>332</v>
      </c>
      <c r="T3142" s="55" t="s">
        <v>5927</v>
      </c>
    </row>
    <row r="3143" spans="1:20" ht="13" x14ac:dyDescent="0.15">
      <c r="A3143" s="72" t="str">
        <f t="shared" si="49"/>
        <v>Ofsted Social Care Provider Webpage</v>
      </c>
      <c r="B3143" s="55" t="s">
        <v>5928</v>
      </c>
      <c r="D3143" s="55" t="s">
        <v>373</v>
      </c>
      <c r="E3143" s="74">
        <v>41233</v>
      </c>
      <c r="F3143" s="55" t="s">
        <v>344</v>
      </c>
      <c r="G3143" s="55" t="s">
        <v>360</v>
      </c>
      <c r="H3143" s="55" t="s">
        <v>360</v>
      </c>
      <c r="I3143" s="55" t="s">
        <v>360</v>
      </c>
      <c r="J3143" s="55" t="s">
        <v>360</v>
      </c>
      <c r="K3143" s="55" t="s">
        <v>360</v>
      </c>
      <c r="L3143" s="55" t="s">
        <v>360</v>
      </c>
      <c r="M3143" s="55" t="s">
        <v>172</v>
      </c>
      <c r="N3143" s="55" t="s">
        <v>172</v>
      </c>
      <c r="O3143" s="55" t="s">
        <v>235</v>
      </c>
      <c r="P3143" s="55" t="s">
        <v>855</v>
      </c>
      <c r="Q3143" s="55" t="s">
        <v>350</v>
      </c>
      <c r="R3143" s="55">
        <v>5</v>
      </c>
      <c r="S3143" s="55"/>
      <c r="T3143" s="55" t="s">
        <v>442</v>
      </c>
    </row>
    <row r="3144" spans="1:20" ht="13" x14ac:dyDescent="0.15">
      <c r="A3144" s="72" t="str">
        <f t="shared" si="49"/>
        <v>Ofsted Social Care Provider Webpage</v>
      </c>
      <c r="B3144" s="55" t="s">
        <v>5929</v>
      </c>
      <c r="D3144" s="55" t="s">
        <v>373</v>
      </c>
      <c r="E3144" s="74">
        <v>41201</v>
      </c>
      <c r="F3144" s="55" t="s">
        <v>344</v>
      </c>
      <c r="G3144" s="55" t="s">
        <v>360</v>
      </c>
      <c r="H3144" s="55" t="s">
        <v>360</v>
      </c>
      <c r="I3144" s="55" t="s">
        <v>360</v>
      </c>
      <c r="J3144" s="55" t="s">
        <v>360</v>
      </c>
      <c r="K3144" s="55" t="s">
        <v>360</v>
      </c>
      <c r="L3144" s="55" t="s">
        <v>360</v>
      </c>
      <c r="M3144" s="55" t="s">
        <v>138</v>
      </c>
      <c r="N3144" s="55" t="s">
        <v>138</v>
      </c>
      <c r="O3144" s="55" t="s">
        <v>161</v>
      </c>
      <c r="P3144" s="55" t="s">
        <v>822</v>
      </c>
      <c r="Q3144" s="55" t="s">
        <v>350</v>
      </c>
      <c r="R3144" s="55">
        <v>3</v>
      </c>
      <c r="S3144" s="55"/>
      <c r="T3144" s="55" t="s">
        <v>4819</v>
      </c>
    </row>
    <row r="3145" spans="1:20" ht="13" x14ac:dyDescent="0.15">
      <c r="A3145" s="72" t="str">
        <f t="shared" si="49"/>
        <v>Ofsted Social Care Provider Webpage</v>
      </c>
      <c r="B3145" s="55" t="s">
        <v>5930</v>
      </c>
      <c r="D3145" s="55" t="s">
        <v>373</v>
      </c>
      <c r="E3145" s="74">
        <v>41344</v>
      </c>
      <c r="F3145" s="55" t="s">
        <v>344</v>
      </c>
      <c r="G3145" s="55" t="s">
        <v>360</v>
      </c>
      <c r="H3145" s="55" t="s">
        <v>360</v>
      </c>
      <c r="I3145" s="55" t="s">
        <v>360</v>
      </c>
      <c r="J3145" s="55" t="s">
        <v>360</v>
      </c>
      <c r="K3145" s="55" t="s">
        <v>360</v>
      </c>
      <c r="L3145" s="55" t="s">
        <v>360</v>
      </c>
      <c r="M3145" s="55" t="s">
        <v>378</v>
      </c>
      <c r="N3145" s="55" t="s">
        <v>170</v>
      </c>
      <c r="O3145" s="55" t="s">
        <v>220</v>
      </c>
      <c r="P3145" s="55" t="s">
        <v>1222</v>
      </c>
      <c r="Q3145" s="55" t="s">
        <v>350</v>
      </c>
      <c r="R3145" s="55">
        <v>8</v>
      </c>
      <c r="S3145" s="55"/>
      <c r="T3145" s="55" t="s">
        <v>1946</v>
      </c>
    </row>
    <row r="3146" spans="1:20" ht="13" x14ac:dyDescent="0.15">
      <c r="A3146" s="72" t="str">
        <f t="shared" si="49"/>
        <v>Ofsted Social Care Provider Webpage</v>
      </c>
      <c r="B3146" s="55" t="s">
        <v>5931</v>
      </c>
      <c r="D3146" s="55" t="s">
        <v>373</v>
      </c>
      <c r="E3146" s="74">
        <v>41262</v>
      </c>
      <c r="F3146" s="55" t="s">
        <v>344</v>
      </c>
      <c r="G3146" s="55" t="s">
        <v>360</v>
      </c>
      <c r="H3146" s="55" t="s">
        <v>360</v>
      </c>
      <c r="I3146" s="55" t="s">
        <v>360</v>
      </c>
      <c r="J3146" s="55" t="s">
        <v>360</v>
      </c>
      <c r="K3146" s="55" t="s">
        <v>360</v>
      </c>
      <c r="L3146" s="55" t="s">
        <v>360</v>
      </c>
      <c r="M3146" s="55" t="s">
        <v>136</v>
      </c>
      <c r="N3146" s="55" t="s">
        <v>136</v>
      </c>
      <c r="O3146" s="55" t="s">
        <v>174</v>
      </c>
      <c r="P3146" s="55" t="s">
        <v>982</v>
      </c>
      <c r="Q3146" s="55" t="s">
        <v>350</v>
      </c>
      <c r="R3146" s="55">
        <v>4</v>
      </c>
      <c r="S3146" s="55"/>
      <c r="T3146" s="55" t="s">
        <v>5932</v>
      </c>
    </row>
    <row r="3147" spans="1:20" ht="13" x14ac:dyDescent="0.15">
      <c r="A3147" s="72" t="str">
        <f t="shared" si="49"/>
        <v>Ofsted Social Care Provider Webpage</v>
      </c>
      <c r="B3147" s="55" t="s">
        <v>5933</v>
      </c>
      <c r="D3147" s="55" t="s">
        <v>373</v>
      </c>
      <c r="E3147" s="74">
        <v>41213</v>
      </c>
      <c r="F3147" s="55" t="s">
        <v>344</v>
      </c>
      <c r="G3147" s="55" t="s">
        <v>360</v>
      </c>
      <c r="H3147" s="55" t="s">
        <v>360</v>
      </c>
      <c r="I3147" s="55" t="s">
        <v>360</v>
      </c>
      <c r="J3147" s="55" t="s">
        <v>360</v>
      </c>
      <c r="K3147" s="55" t="s">
        <v>360</v>
      </c>
      <c r="L3147" s="55" t="s">
        <v>360</v>
      </c>
      <c r="M3147" s="55" t="s">
        <v>144</v>
      </c>
      <c r="N3147" s="55" t="s">
        <v>144</v>
      </c>
      <c r="O3147" s="55" t="s">
        <v>281</v>
      </c>
      <c r="P3147" s="55" t="s">
        <v>556</v>
      </c>
      <c r="Q3147" s="55" t="s">
        <v>350</v>
      </c>
      <c r="R3147" s="55">
        <v>6</v>
      </c>
      <c r="S3147" s="55"/>
      <c r="T3147" s="55" t="s">
        <v>1885</v>
      </c>
    </row>
    <row r="3148" spans="1:20" ht="13" x14ac:dyDescent="0.15">
      <c r="A3148" s="72" t="str">
        <f t="shared" si="49"/>
        <v>Ofsted Social Care Provider Webpage</v>
      </c>
      <c r="B3148" s="55" t="s">
        <v>5934</v>
      </c>
      <c r="D3148" s="55" t="s">
        <v>373</v>
      </c>
      <c r="E3148" s="74">
        <v>41213</v>
      </c>
      <c r="F3148" s="55" t="s">
        <v>344</v>
      </c>
      <c r="G3148" s="55" t="s">
        <v>360</v>
      </c>
      <c r="H3148" s="55" t="s">
        <v>360</v>
      </c>
      <c r="I3148" s="55" t="s">
        <v>360</v>
      </c>
      <c r="J3148" s="55" t="s">
        <v>360</v>
      </c>
      <c r="K3148" s="55" t="s">
        <v>360</v>
      </c>
      <c r="L3148" s="55" t="s">
        <v>360</v>
      </c>
      <c r="M3148" s="55" t="s">
        <v>144</v>
      </c>
      <c r="N3148" s="55" t="s">
        <v>144</v>
      </c>
      <c r="O3148" s="55" t="s">
        <v>281</v>
      </c>
      <c r="P3148" s="55" t="s">
        <v>556</v>
      </c>
      <c r="Q3148" s="55" t="s">
        <v>350</v>
      </c>
      <c r="R3148" s="55">
        <v>4</v>
      </c>
      <c r="S3148" s="55"/>
      <c r="T3148" s="55" t="s">
        <v>1885</v>
      </c>
    </row>
    <row r="3149" spans="1:20" ht="13" x14ac:dyDescent="0.15">
      <c r="A3149" s="72" t="str">
        <f t="shared" si="49"/>
        <v>Ofsted Social Care Provider Webpage</v>
      </c>
      <c r="B3149" s="55" t="s">
        <v>5935</v>
      </c>
      <c r="D3149" s="55" t="s">
        <v>389</v>
      </c>
      <c r="E3149" s="74">
        <v>41240</v>
      </c>
      <c r="F3149" s="55" t="s">
        <v>344</v>
      </c>
      <c r="G3149" s="55" t="s">
        <v>5936</v>
      </c>
      <c r="H3149" s="55" t="s">
        <v>5937</v>
      </c>
      <c r="I3149" s="55" t="s">
        <v>5938</v>
      </c>
      <c r="J3149" s="55" t="s">
        <v>251</v>
      </c>
      <c r="L3149" s="55" t="s">
        <v>5188</v>
      </c>
      <c r="M3149" s="55" t="s">
        <v>378</v>
      </c>
      <c r="N3149" s="55" t="s">
        <v>134</v>
      </c>
      <c r="O3149" s="55" t="s">
        <v>251</v>
      </c>
      <c r="P3149" s="55" t="s">
        <v>1709</v>
      </c>
      <c r="Q3149" s="55" t="s">
        <v>350</v>
      </c>
      <c r="R3149" s="55"/>
      <c r="S3149" s="55"/>
      <c r="T3149" s="55" t="s">
        <v>5936</v>
      </c>
    </row>
    <row r="3150" spans="1:20" ht="13" x14ac:dyDescent="0.15">
      <c r="A3150" s="72" t="str">
        <f t="shared" si="49"/>
        <v>Ofsted Social Care Provider Webpage</v>
      </c>
      <c r="B3150" s="55" t="s">
        <v>5939</v>
      </c>
      <c r="D3150" s="55" t="s">
        <v>373</v>
      </c>
      <c r="E3150" s="74">
        <v>41235</v>
      </c>
      <c r="F3150" s="55" t="s">
        <v>344</v>
      </c>
      <c r="G3150" s="55" t="s">
        <v>360</v>
      </c>
      <c r="H3150" s="55" t="s">
        <v>360</v>
      </c>
      <c r="I3150" s="55" t="s">
        <v>360</v>
      </c>
      <c r="J3150" s="55" t="s">
        <v>360</v>
      </c>
      <c r="K3150" s="55" t="s">
        <v>360</v>
      </c>
      <c r="L3150" s="55" t="s">
        <v>360</v>
      </c>
      <c r="M3150" s="55" t="s">
        <v>144</v>
      </c>
      <c r="N3150" s="55" t="s">
        <v>144</v>
      </c>
      <c r="O3150" s="55" t="s">
        <v>209</v>
      </c>
      <c r="P3150" s="55" t="s">
        <v>534</v>
      </c>
      <c r="Q3150" s="55" t="s">
        <v>350</v>
      </c>
      <c r="R3150" s="55">
        <v>4</v>
      </c>
      <c r="S3150" s="55"/>
      <c r="T3150" s="55" t="s">
        <v>778</v>
      </c>
    </row>
    <row r="3151" spans="1:20" ht="13" x14ac:dyDescent="0.15">
      <c r="A3151" s="72" t="str">
        <f t="shared" si="49"/>
        <v>Ofsted Social Care Provider Webpage</v>
      </c>
      <c r="B3151" s="55" t="s">
        <v>5940</v>
      </c>
      <c r="D3151" s="55" t="s">
        <v>373</v>
      </c>
      <c r="E3151" s="74">
        <v>41325</v>
      </c>
      <c r="F3151" s="55" t="s">
        <v>344</v>
      </c>
      <c r="G3151" s="55" t="s">
        <v>360</v>
      </c>
      <c r="H3151" s="55" t="s">
        <v>360</v>
      </c>
      <c r="I3151" s="55" t="s">
        <v>360</v>
      </c>
      <c r="J3151" s="55" t="s">
        <v>360</v>
      </c>
      <c r="K3151" s="55" t="s">
        <v>360</v>
      </c>
      <c r="L3151" s="55" t="s">
        <v>360</v>
      </c>
      <c r="M3151" s="55" t="s">
        <v>138</v>
      </c>
      <c r="N3151" s="55" t="s">
        <v>138</v>
      </c>
      <c r="O3151" s="55" t="s">
        <v>224</v>
      </c>
      <c r="P3151" s="55" t="s">
        <v>374</v>
      </c>
      <c r="Q3151" s="55" t="s">
        <v>350</v>
      </c>
      <c r="R3151" s="55">
        <v>4</v>
      </c>
      <c r="S3151" s="55"/>
      <c r="T3151" s="55" t="s">
        <v>385</v>
      </c>
    </row>
    <row r="3152" spans="1:20" ht="13" x14ac:dyDescent="0.15">
      <c r="A3152" s="72" t="str">
        <f t="shared" si="49"/>
        <v>Ofsted Social Care Provider Webpage</v>
      </c>
      <c r="B3152" s="55" t="s">
        <v>5941</v>
      </c>
      <c r="D3152" s="55" t="s">
        <v>373</v>
      </c>
      <c r="E3152" s="74">
        <v>41332</v>
      </c>
      <c r="F3152" s="55" t="s">
        <v>344</v>
      </c>
      <c r="G3152" s="55" t="s">
        <v>360</v>
      </c>
      <c r="H3152" s="55" t="s">
        <v>360</v>
      </c>
      <c r="I3152" s="55" t="s">
        <v>360</v>
      </c>
      <c r="J3152" s="55" t="s">
        <v>360</v>
      </c>
      <c r="K3152" s="55" t="s">
        <v>360</v>
      </c>
      <c r="L3152" s="55" t="s">
        <v>360</v>
      </c>
      <c r="M3152" s="55" t="s">
        <v>172</v>
      </c>
      <c r="N3152" s="55" t="s">
        <v>172</v>
      </c>
      <c r="O3152" s="55" t="s">
        <v>214</v>
      </c>
      <c r="P3152" s="55" t="s">
        <v>790</v>
      </c>
      <c r="Q3152" s="55" t="s">
        <v>350</v>
      </c>
      <c r="R3152" s="55">
        <v>2</v>
      </c>
      <c r="S3152" s="55"/>
      <c r="T3152" s="55" t="s">
        <v>385</v>
      </c>
    </row>
    <row r="3153" spans="1:20" ht="13" x14ac:dyDescent="0.15">
      <c r="A3153" s="72" t="str">
        <f t="shared" si="49"/>
        <v>Ofsted Social Care Provider Webpage</v>
      </c>
      <c r="B3153" s="55" t="s">
        <v>5942</v>
      </c>
      <c r="D3153" s="55" t="s">
        <v>373</v>
      </c>
      <c r="E3153" s="74">
        <v>41325</v>
      </c>
      <c r="F3153" s="55" t="s">
        <v>344</v>
      </c>
      <c r="G3153" s="55" t="s">
        <v>360</v>
      </c>
      <c r="H3153" s="55" t="s">
        <v>360</v>
      </c>
      <c r="I3153" s="55" t="s">
        <v>360</v>
      </c>
      <c r="J3153" s="55" t="s">
        <v>360</v>
      </c>
      <c r="K3153" s="55" t="s">
        <v>360</v>
      </c>
      <c r="L3153" s="55" t="s">
        <v>360</v>
      </c>
      <c r="M3153" s="55" t="s">
        <v>144</v>
      </c>
      <c r="N3153" s="55" t="s">
        <v>144</v>
      </c>
      <c r="O3153" s="55" t="s">
        <v>245</v>
      </c>
      <c r="P3153" s="55" t="s">
        <v>245</v>
      </c>
      <c r="Q3153" s="55" t="s">
        <v>350</v>
      </c>
      <c r="R3153" s="55">
        <v>1</v>
      </c>
      <c r="S3153" s="55"/>
      <c r="T3153" s="55" t="s">
        <v>385</v>
      </c>
    </row>
    <row r="3154" spans="1:20" ht="13" x14ac:dyDescent="0.15">
      <c r="A3154" s="72" t="str">
        <f t="shared" si="49"/>
        <v>Ofsted Social Care Provider Webpage</v>
      </c>
      <c r="B3154" s="55" t="s">
        <v>5943</v>
      </c>
      <c r="D3154" s="55" t="s">
        <v>373</v>
      </c>
      <c r="E3154" s="74">
        <v>41322</v>
      </c>
      <c r="F3154" s="55" t="s">
        <v>344</v>
      </c>
      <c r="G3154" s="55" t="s">
        <v>360</v>
      </c>
      <c r="H3154" s="55" t="s">
        <v>360</v>
      </c>
      <c r="I3154" s="55" t="s">
        <v>360</v>
      </c>
      <c r="J3154" s="55" t="s">
        <v>360</v>
      </c>
      <c r="K3154" s="55" t="s">
        <v>360</v>
      </c>
      <c r="L3154" s="55" t="s">
        <v>360</v>
      </c>
      <c r="M3154" s="55" t="s">
        <v>144</v>
      </c>
      <c r="N3154" s="55" t="s">
        <v>144</v>
      </c>
      <c r="O3154" s="55" t="s">
        <v>245</v>
      </c>
      <c r="P3154" s="55" t="s">
        <v>1796</v>
      </c>
      <c r="Q3154" s="55" t="s">
        <v>350</v>
      </c>
      <c r="R3154" s="55">
        <v>1</v>
      </c>
      <c r="S3154" s="55"/>
      <c r="T3154" s="55" t="s">
        <v>385</v>
      </c>
    </row>
    <row r="3155" spans="1:20" ht="13" x14ac:dyDescent="0.15">
      <c r="A3155" s="72" t="str">
        <f t="shared" si="49"/>
        <v>Ofsted Social Care Provider Webpage</v>
      </c>
      <c r="B3155" s="55" t="s">
        <v>5944</v>
      </c>
      <c r="D3155" s="55" t="s">
        <v>373</v>
      </c>
      <c r="E3155" s="74">
        <v>41316</v>
      </c>
      <c r="F3155" s="55" t="s">
        <v>344</v>
      </c>
      <c r="G3155" s="55" t="s">
        <v>360</v>
      </c>
      <c r="H3155" s="55" t="s">
        <v>360</v>
      </c>
      <c r="I3155" s="55" t="s">
        <v>360</v>
      </c>
      <c r="J3155" s="55" t="s">
        <v>360</v>
      </c>
      <c r="K3155" s="55" t="s">
        <v>360</v>
      </c>
      <c r="L3155" s="55" t="s">
        <v>360</v>
      </c>
      <c r="M3155" s="55" t="s">
        <v>144</v>
      </c>
      <c r="N3155" s="55" t="s">
        <v>144</v>
      </c>
      <c r="O3155" s="55" t="s">
        <v>245</v>
      </c>
      <c r="P3155" s="55" t="s">
        <v>1796</v>
      </c>
      <c r="Q3155" s="55" t="s">
        <v>350</v>
      </c>
      <c r="R3155" s="55">
        <v>1</v>
      </c>
      <c r="S3155" s="55"/>
      <c r="T3155" s="55" t="s">
        <v>385</v>
      </c>
    </row>
    <row r="3156" spans="1:20" ht="13" x14ac:dyDescent="0.15">
      <c r="A3156" s="72" t="str">
        <f t="shared" si="49"/>
        <v>Ofsted Social Care Provider Webpage</v>
      </c>
      <c r="B3156" s="55" t="s">
        <v>5945</v>
      </c>
      <c r="D3156" s="55" t="s">
        <v>373</v>
      </c>
      <c r="E3156" s="74">
        <v>41264</v>
      </c>
      <c r="F3156" s="55" t="s">
        <v>344</v>
      </c>
      <c r="G3156" s="55" t="s">
        <v>360</v>
      </c>
      <c r="H3156" s="55" t="s">
        <v>360</v>
      </c>
      <c r="I3156" s="55" t="s">
        <v>360</v>
      </c>
      <c r="J3156" s="55" t="s">
        <v>360</v>
      </c>
      <c r="K3156" s="55" t="s">
        <v>360</v>
      </c>
      <c r="L3156" s="55" t="s">
        <v>360</v>
      </c>
      <c r="M3156" s="55" t="s">
        <v>144</v>
      </c>
      <c r="N3156" s="55" t="s">
        <v>144</v>
      </c>
      <c r="O3156" s="55" t="s">
        <v>163</v>
      </c>
      <c r="P3156" s="55" t="s">
        <v>472</v>
      </c>
      <c r="Q3156" s="55" t="s">
        <v>350</v>
      </c>
      <c r="R3156" s="55">
        <v>4</v>
      </c>
      <c r="S3156" s="55"/>
      <c r="T3156" s="55" t="s">
        <v>4600</v>
      </c>
    </row>
    <row r="3157" spans="1:20" ht="13" x14ac:dyDescent="0.15">
      <c r="A3157" s="72" t="str">
        <f t="shared" si="49"/>
        <v>Ofsted Social Care Provider Webpage</v>
      </c>
      <c r="B3157" s="55" t="s">
        <v>5946</v>
      </c>
      <c r="D3157" s="55" t="s">
        <v>373</v>
      </c>
      <c r="E3157" s="74">
        <v>41339</v>
      </c>
      <c r="F3157" s="55" t="s">
        <v>344</v>
      </c>
      <c r="G3157" s="55" t="s">
        <v>360</v>
      </c>
      <c r="H3157" s="55" t="s">
        <v>360</v>
      </c>
      <c r="I3157" s="55" t="s">
        <v>360</v>
      </c>
      <c r="J3157" s="55" t="s">
        <v>360</v>
      </c>
      <c r="K3157" s="55" t="s">
        <v>360</v>
      </c>
      <c r="L3157" s="55" t="s">
        <v>360</v>
      </c>
      <c r="M3157" s="55" t="s">
        <v>144</v>
      </c>
      <c r="N3157" s="55" t="s">
        <v>144</v>
      </c>
      <c r="O3157" s="55" t="s">
        <v>245</v>
      </c>
      <c r="P3157" s="55" t="s">
        <v>245</v>
      </c>
      <c r="Q3157" s="55" t="s">
        <v>350</v>
      </c>
      <c r="R3157" s="55">
        <v>1</v>
      </c>
      <c r="S3157" s="55"/>
      <c r="T3157" s="55" t="s">
        <v>385</v>
      </c>
    </row>
    <row r="3158" spans="1:20" ht="13" x14ac:dyDescent="0.15">
      <c r="A3158" s="72" t="str">
        <f t="shared" si="49"/>
        <v>Ofsted Social Care Provider Webpage</v>
      </c>
      <c r="B3158" s="55" t="s">
        <v>5947</v>
      </c>
      <c r="D3158" s="55" t="s">
        <v>373</v>
      </c>
      <c r="E3158" s="74">
        <v>41323</v>
      </c>
      <c r="F3158" s="55" t="s">
        <v>344</v>
      </c>
      <c r="G3158" s="55" t="s">
        <v>360</v>
      </c>
      <c r="H3158" s="55" t="s">
        <v>360</v>
      </c>
      <c r="I3158" s="55" t="s">
        <v>360</v>
      </c>
      <c r="J3158" s="55" t="s">
        <v>360</v>
      </c>
      <c r="K3158" s="55" t="s">
        <v>360</v>
      </c>
      <c r="L3158" s="55" t="s">
        <v>360</v>
      </c>
      <c r="M3158" s="55" t="s">
        <v>144</v>
      </c>
      <c r="N3158" s="55" t="s">
        <v>144</v>
      </c>
      <c r="O3158" s="55" t="s">
        <v>245</v>
      </c>
      <c r="P3158" s="55" t="s">
        <v>1796</v>
      </c>
      <c r="Q3158" s="55" t="s">
        <v>350</v>
      </c>
      <c r="R3158" s="55">
        <v>1</v>
      </c>
      <c r="S3158" s="55"/>
      <c r="T3158" s="55" t="s">
        <v>385</v>
      </c>
    </row>
    <row r="3159" spans="1:20" ht="13" x14ac:dyDescent="0.15">
      <c r="A3159" s="72" t="str">
        <f t="shared" si="49"/>
        <v>Ofsted Social Care Provider Webpage</v>
      </c>
      <c r="B3159" s="55" t="s">
        <v>5948</v>
      </c>
      <c r="D3159" s="55" t="s">
        <v>373</v>
      </c>
      <c r="E3159" s="74">
        <v>41610</v>
      </c>
      <c r="F3159" s="55" t="s">
        <v>344</v>
      </c>
      <c r="G3159" s="55" t="s">
        <v>360</v>
      </c>
      <c r="H3159" s="55" t="s">
        <v>360</v>
      </c>
      <c r="I3159" s="55" t="s">
        <v>360</v>
      </c>
      <c r="J3159" s="55" t="s">
        <v>360</v>
      </c>
      <c r="K3159" s="55" t="s">
        <v>360</v>
      </c>
      <c r="L3159" s="55" t="s">
        <v>360</v>
      </c>
      <c r="M3159" s="55" t="s">
        <v>378</v>
      </c>
      <c r="N3159" s="55" t="s">
        <v>134</v>
      </c>
      <c r="O3159" s="55" t="s">
        <v>204</v>
      </c>
      <c r="P3159" s="55" t="s">
        <v>929</v>
      </c>
      <c r="Q3159" s="55" t="s">
        <v>350</v>
      </c>
      <c r="R3159" s="55">
        <v>6</v>
      </c>
      <c r="S3159" s="55"/>
      <c r="T3159" s="55" t="s">
        <v>385</v>
      </c>
    </row>
    <row r="3160" spans="1:20" ht="13" x14ac:dyDescent="0.15">
      <c r="A3160" s="72" t="str">
        <f t="shared" si="49"/>
        <v>Ofsted Social Care Provider Webpage</v>
      </c>
      <c r="B3160" s="55" t="s">
        <v>5949</v>
      </c>
      <c r="D3160" s="55" t="s">
        <v>373</v>
      </c>
      <c r="E3160" s="74">
        <v>41294</v>
      </c>
      <c r="F3160" s="55" t="s">
        <v>344</v>
      </c>
      <c r="G3160" s="55" t="s">
        <v>360</v>
      </c>
      <c r="H3160" s="55" t="s">
        <v>360</v>
      </c>
      <c r="I3160" s="55" t="s">
        <v>360</v>
      </c>
      <c r="J3160" s="55" t="s">
        <v>360</v>
      </c>
      <c r="K3160" s="55" t="s">
        <v>360</v>
      </c>
      <c r="L3160" s="55" t="s">
        <v>360</v>
      </c>
      <c r="M3160" s="55" t="s">
        <v>378</v>
      </c>
      <c r="N3160" s="55" t="s">
        <v>134</v>
      </c>
      <c r="O3160" s="55" t="s">
        <v>232</v>
      </c>
      <c r="P3160" s="55" t="s">
        <v>595</v>
      </c>
      <c r="Q3160" s="55" t="s">
        <v>350</v>
      </c>
      <c r="R3160" s="55">
        <v>4</v>
      </c>
      <c r="S3160" s="55"/>
      <c r="T3160" s="55" t="s">
        <v>385</v>
      </c>
    </row>
    <row r="3161" spans="1:20" ht="13" x14ac:dyDescent="0.15">
      <c r="A3161" s="72" t="str">
        <f t="shared" si="49"/>
        <v>Ofsted Social Care Provider Webpage</v>
      </c>
      <c r="B3161" s="55" t="s">
        <v>5950</v>
      </c>
      <c r="D3161" s="55" t="s">
        <v>373</v>
      </c>
      <c r="E3161" s="74">
        <v>41339</v>
      </c>
      <c r="F3161" s="55" t="s">
        <v>344</v>
      </c>
      <c r="G3161" s="55" t="s">
        <v>360</v>
      </c>
      <c r="H3161" s="55" t="s">
        <v>360</v>
      </c>
      <c r="I3161" s="55" t="s">
        <v>360</v>
      </c>
      <c r="J3161" s="55" t="s">
        <v>360</v>
      </c>
      <c r="K3161" s="55" t="s">
        <v>360</v>
      </c>
      <c r="L3161" s="55" t="s">
        <v>360</v>
      </c>
      <c r="M3161" s="55" t="s">
        <v>144</v>
      </c>
      <c r="N3161" s="55" t="s">
        <v>144</v>
      </c>
      <c r="O3161" s="55" t="s">
        <v>245</v>
      </c>
      <c r="P3161" s="55" t="s">
        <v>1796</v>
      </c>
      <c r="Q3161" s="55" t="s">
        <v>350</v>
      </c>
      <c r="R3161" s="55">
        <v>2</v>
      </c>
      <c r="S3161" s="55"/>
      <c r="T3161" s="55" t="s">
        <v>385</v>
      </c>
    </row>
    <row r="3162" spans="1:20" ht="13" x14ac:dyDescent="0.15">
      <c r="A3162" s="72" t="str">
        <f t="shared" si="49"/>
        <v>Ofsted Social Care Provider Webpage</v>
      </c>
      <c r="B3162" s="55" t="s">
        <v>5951</v>
      </c>
      <c r="D3162" s="55" t="s">
        <v>373</v>
      </c>
      <c r="E3162" s="74">
        <v>41347</v>
      </c>
      <c r="F3162" s="55" t="s">
        <v>344</v>
      </c>
      <c r="G3162" s="55" t="s">
        <v>360</v>
      </c>
      <c r="H3162" s="55" t="s">
        <v>360</v>
      </c>
      <c r="I3162" s="55" t="s">
        <v>360</v>
      </c>
      <c r="J3162" s="55" t="s">
        <v>360</v>
      </c>
      <c r="K3162" s="55" t="s">
        <v>360</v>
      </c>
      <c r="L3162" s="55" t="s">
        <v>360</v>
      </c>
      <c r="M3162" s="55" t="s">
        <v>144</v>
      </c>
      <c r="N3162" s="55" t="s">
        <v>144</v>
      </c>
      <c r="O3162" s="55" t="s">
        <v>209</v>
      </c>
      <c r="P3162" s="55" t="s">
        <v>1858</v>
      </c>
      <c r="Q3162" s="55" t="s">
        <v>350</v>
      </c>
      <c r="R3162" s="55">
        <v>1</v>
      </c>
      <c r="S3162" s="55"/>
      <c r="T3162" s="55" t="s">
        <v>385</v>
      </c>
    </row>
    <row r="3163" spans="1:20" ht="13" x14ac:dyDescent="0.15">
      <c r="A3163" s="72" t="str">
        <f t="shared" si="49"/>
        <v>Ofsted Social Care Provider Webpage</v>
      </c>
      <c r="B3163" s="55" t="s">
        <v>5952</v>
      </c>
      <c r="D3163" s="55" t="s">
        <v>373</v>
      </c>
      <c r="E3163" s="74">
        <v>41213</v>
      </c>
      <c r="F3163" s="55" t="s">
        <v>344</v>
      </c>
      <c r="G3163" s="55" t="s">
        <v>360</v>
      </c>
      <c r="H3163" s="55" t="s">
        <v>360</v>
      </c>
      <c r="I3163" s="55" t="s">
        <v>360</v>
      </c>
      <c r="J3163" s="55" t="s">
        <v>360</v>
      </c>
      <c r="K3163" s="55" t="s">
        <v>360</v>
      </c>
      <c r="L3163" s="55" t="s">
        <v>360</v>
      </c>
      <c r="M3163" s="55" t="s">
        <v>144</v>
      </c>
      <c r="N3163" s="55" t="s">
        <v>144</v>
      </c>
      <c r="O3163" s="55" t="s">
        <v>281</v>
      </c>
      <c r="P3163" s="55" t="s">
        <v>556</v>
      </c>
      <c r="Q3163" s="55" t="s">
        <v>350</v>
      </c>
      <c r="R3163" s="55">
        <v>4</v>
      </c>
      <c r="S3163" s="55"/>
      <c r="T3163" s="55" t="s">
        <v>1885</v>
      </c>
    </row>
    <row r="3164" spans="1:20" ht="13" x14ac:dyDescent="0.15">
      <c r="A3164" s="72" t="str">
        <f t="shared" si="49"/>
        <v>Ofsted Social Care Provider Webpage</v>
      </c>
      <c r="B3164" s="55" t="s">
        <v>5953</v>
      </c>
      <c r="D3164" s="55" t="s">
        <v>373</v>
      </c>
      <c r="E3164" s="74">
        <v>41320</v>
      </c>
      <c r="F3164" s="55" t="s">
        <v>344</v>
      </c>
      <c r="G3164" s="55" t="s">
        <v>360</v>
      </c>
      <c r="H3164" s="55" t="s">
        <v>360</v>
      </c>
      <c r="I3164" s="55" t="s">
        <v>360</v>
      </c>
      <c r="J3164" s="55" t="s">
        <v>360</v>
      </c>
      <c r="K3164" s="55" t="s">
        <v>360</v>
      </c>
      <c r="L3164" s="55" t="s">
        <v>360</v>
      </c>
      <c r="M3164" s="55" t="s">
        <v>144</v>
      </c>
      <c r="N3164" s="55" t="s">
        <v>144</v>
      </c>
      <c r="O3164" s="55" t="s">
        <v>147</v>
      </c>
      <c r="P3164" s="55" t="s">
        <v>387</v>
      </c>
      <c r="Q3164" s="55" t="s">
        <v>350</v>
      </c>
      <c r="R3164" s="55">
        <v>1</v>
      </c>
      <c r="S3164" s="55"/>
      <c r="T3164" s="55" t="s">
        <v>385</v>
      </c>
    </row>
    <row r="3165" spans="1:20" ht="13" x14ac:dyDescent="0.15">
      <c r="A3165" s="72" t="str">
        <f t="shared" si="49"/>
        <v>Ofsted Social Care Provider Webpage</v>
      </c>
      <c r="B3165" s="55" t="s">
        <v>5954</v>
      </c>
      <c r="D3165" s="55" t="s">
        <v>373</v>
      </c>
      <c r="E3165" s="74">
        <v>41320</v>
      </c>
      <c r="F3165" s="55" t="s">
        <v>344</v>
      </c>
      <c r="G3165" s="55" t="s">
        <v>360</v>
      </c>
      <c r="H3165" s="55" t="s">
        <v>360</v>
      </c>
      <c r="I3165" s="55" t="s">
        <v>360</v>
      </c>
      <c r="J3165" s="55" t="s">
        <v>360</v>
      </c>
      <c r="K3165" s="55" t="s">
        <v>360</v>
      </c>
      <c r="L3165" s="55" t="s">
        <v>360</v>
      </c>
      <c r="M3165" s="55" t="s">
        <v>144</v>
      </c>
      <c r="N3165" s="55" t="s">
        <v>144</v>
      </c>
      <c r="O3165" s="55" t="s">
        <v>245</v>
      </c>
      <c r="P3165" s="55" t="s">
        <v>245</v>
      </c>
      <c r="Q3165" s="55" t="s">
        <v>350</v>
      </c>
      <c r="R3165" s="55">
        <v>1</v>
      </c>
      <c r="S3165" s="55"/>
      <c r="T3165" s="55" t="s">
        <v>385</v>
      </c>
    </row>
    <row r="3166" spans="1:20" ht="13" x14ac:dyDescent="0.15">
      <c r="A3166" s="72" t="str">
        <f t="shared" si="49"/>
        <v>Ofsted Social Care Provider Webpage</v>
      </c>
      <c r="B3166" s="55" t="s">
        <v>5955</v>
      </c>
      <c r="D3166" s="55" t="s">
        <v>373</v>
      </c>
      <c r="E3166" s="74">
        <v>41320</v>
      </c>
      <c r="F3166" s="55" t="s">
        <v>344</v>
      </c>
      <c r="G3166" s="55" t="s">
        <v>360</v>
      </c>
      <c r="H3166" s="55" t="s">
        <v>360</v>
      </c>
      <c r="I3166" s="55" t="s">
        <v>360</v>
      </c>
      <c r="J3166" s="55" t="s">
        <v>360</v>
      </c>
      <c r="K3166" s="55" t="s">
        <v>360</v>
      </c>
      <c r="L3166" s="55" t="s">
        <v>360</v>
      </c>
      <c r="M3166" s="55" t="s">
        <v>144</v>
      </c>
      <c r="N3166" s="55" t="s">
        <v>144</v>
      </c>
      <c r="O3166" s="55" t="s">
        <v>245</v>
      </c>
      <c r="P3166" s="55" t="s">
        <v>1796</v>
      </c>
      <c r="Q3166" s="55" t="s">
        <v>350</v>
      </c>
      <c r="R3166" s="55">
        <v>1</v>
      </c>
      <c r="S3166" s="55"/>
      <c r="T3166" s="55" t="s">
        <v>385</v>
      </c>
    </row>
    <row r="3167" spans="1:20" ht="13" x14ac:dyDescent="0.15">
      <c r="A3167" s="72" t="str">
        <f t="shared" si="49"/>
        <v>Ofsted Social Care Provider Webpage</v>
      </c>
      <c r="B3167" s="55" t="s">
        <v>5956</v>
      </c>
      <c r="D3167" s="55" t="s">
        <v>373</v>
      </c>
      <c r="E3167" s="74">
        <v>41319</v>
      </c>
      <c r="F3167" s="55" t="s">
        <v>344</v>
      </c>
      <c r="G3167" s="55" t="s">
        <v>360</v>
      </c>
      <c r="H3167" s="55" t="s">
        <v>360</v>
      </c>
      <c r="I3167" s="55" t="s">
        <v>360</v>
      </c>
      <c r="J3167" s="55" t="s">
        <v>360</v>
      </c>
      <c r="K3167" s="55" t="s">
        <v>360</v>
      </c>
      <c r="L3167" s="55" t="s">
        <v>360</v>
      </c>
      <c r="M3167" s="55" t="s">
        <v>378</v>
      </c>
      <c r="N3167" s="55" t="s">
        <v>170</v>
      </c>
      <c r="O3167" s="55" t="s">
        <v>178</v>
      </c>
      <c r="P3167" s="55" t="s">
        <v>2014</v>
      </c>
      <c r="Q3167" s="55" t="s">
        <v>350</v>
      </c>
      <c r="R3167" s="55">
        <v>3</v>
      </c>
      <c r="S3167" s="55"/>
      <c r="T3167" s="55" t="s">
        <v>385</v>
      </c>
    </row>
    <row r="3168" spans="1:20" ht="13" x14ac:dyDescent="0.15">
      <c r="A3168" s="72" t="str">
        <f t="shared" si="49"/>
        <v>Ofsted Social Care Provider Webpage</v>
      </c>
      <c r="B3168" s="55" t="s">
        <v>5957</v>
      </c>
      <c r="D3168" s="55" t="s">
        <v>373</v>
      </c>
      <c r="E3168" s="74">
        <v>41221</v>
      </c>
      <c r="F3168" s="55" t="s">
        <v>344</v>
      </c>
      <c r="G3168" s="55" t="s">
        <v>360</v>
      </c>
      <c r="H3168" s="55" t="s">
        <v>360</v>
      </c>
      <c r="I3168" s="55" t="s">
        <v>360</v>
      </c>
      <c r="J3168" s="55" t="s">
        <v>360</v>
      </c>
      <c r="K3168" s="55" t="s">
        <v>360</v>
      </c>
      <c r="L3168" s="55" t="s">
        <v>360</v>
      </c>
      <c r="M3168" s="55" t="s">
        <v>378</v>
      </c>
      <c r="N3168" s="55" t="s">
        <v>170</v>
      </c>
      <c r="O3168" s="55" t="s">
        <v>264</v>
      </c>
      <c r="P3168" s="55" t="s">
        <v>1334</v>
      </c>
      <c r="Q3168" s="55" t="s">
        <v>380</v>
      </c>
      <c r="R3168" s="55">
        <v>4</v>
      </c>
      <c r="S3168" s="55"/>
      <c r="T3168" s="55" t="s">
        <v>1696</v>
      </c>
    </row>
    <row r="3169" spans="1:20" ht="13" x14ac:dyDescent="0.15">
      <c r="A3169" s="72" t="str">
        <f t="shared" si="49"/>
        <v>Ofsted Social Care Provider Webpage</v>
      </c>
      <c r="B3169" s="55" t="s">
        <v>5958</v>
      </c>
      <c r="D3169" s="55" t="s">
        <v>373</v>
      </c>
      <c r="E3169" s="74">
        <v>41332</v>
      </c>
      <c r="F3169" s="55" t="s">
        <v>344</v>
      </c>
      <c r="G3169" s="55" t="s">
        <v>360</v>
      </c>
      <c r="H3169" s="55" t="s">
        <v>360</v>
      </c>
      <c r="I3169" s="55" t="s">
        <v>360</v>
      </c>
      <c r="J3169" s="55" t="s">
        <v>360</v>
      </c>
      <c r="K3169" s="55" t="s">
        <v>360</v>
      </c>
      <c r="L3169" s="55" t="s">
        <v>360</v>
      </c>
      <c r="M3169" s="55" t="s">
        <v>172</v>
      </c>
      <c r="N3169" s="55" t="s">
        <v>172</v>
      </c>
      <c r="O3169" s="55" t="s">
        <v>284</v>
      </c>
      <c r="P3169" s="55" t="s">
        <v>986</v>
      </c>
      <c r="Q3169" s="55" t="s">
        <v>350</v>
      </c>
      <c r="R3169" s="55">
        <v>6</v>
      </c>
      <c r="S3169" s="55"/>
      <c r="T3169" s="55" t="s">
        <v>385</v>
      </c>
    </row>
    <row r="3170" spans="1:20" ht="13" x14ac:dyDescent="0.15">
      <c r="A3170" s="72" t="str">
        <f t="shared" si="49"/>
        <v>Ofsted Social Care Provider Webpage</v>
      </c>
      <c r="B3170" s="55" t="s">
        <v>5959</v>
      </c>
      <c r="D3170" s="55" t="s">
        <v>373</v>
      </c>
      <c r="E3170" s="74">
        <v>41319</v>
      </c>
      <c r="F3170" s="55" t="s">
        <v>344</v>
      </c>
      <c r="G3170" s="55" t="s">
        <v>360</v>
      </c>
      <c r="H3170" s="55" t="s">
        <v>360</v>
      </c>
      <c r="I3170" s="55" t="s">
        <v>360</v>
      </c>
      <c r="J3170" s="55" t="s">
        <v>360</v>
      </c>
      <c r="K3170" s="55" t="s">
        <v>360</v>
      </c>
      <c r="L3170" s="55" t="s">
        <v>360</v>
      </c>
      <c r="M3170" s="55" t="s">
        <v>144</v>
      </c>
      <c r="N3170" s="55" t="s">
        <v>144</v>
      </c>
      <c r="O3170" s="55" t="s">
        <v>188</v>
      </c>
      <c r="P3170" s="55" t="s">
        <v>188</v>
      </c>
      <c r="Q3170" s="55" t="s">
        <v>350</v>
      </c>
      <c r="R3170" s="55">
        <v>3</v>
      </c>
      <c r="S3170" s="55"/>
      <c r="T3170" s="55" t="s">
        <v>385</v>
      </c>
    </row>
    <row r="3171" spans="1:20" ht="13" x14ac:dyDescent="0.15">
      <c r="A3171" s="72" t="str">
        <f t="shared" si="49"/>
        <v>Ofsted Social Care Provider Webpage</v>
      </c>
      <c r="B3171" s="55" t="s">
        <v>5960</v>
      </c>
      <c r="D3171" s="55" t="s">
        <v>373</v>
      </c>
      <c r="E3171" s="74">
        <v>41319</v>
      </c>
      <c r="F3171" s="55" t="s">
        <v>344</v>
      </c>
      <c r="G3171" s="55" t="s">
        <v>360</v>
      </c>
      <c r="H3171" s="55" t="s">
        <v>360</v>
      </c>
      <c r="I3171" s="55" t="s">
        <v>360</v>
      </c>
      <c r="J3171" s="55" t="s">
        <v>360</v>
      </c>
      <c r="K3171" s="55" t="s">
        <v>360</v>
      </c>
      <c r="L3171" s="55" t="s">
        <v>360</v>
      </c>
      <c r="M3171" s="55" t="s">
        <v>144</v>
      </c>
      <c r="N3171" s="55" t="s">
        <v>144</v>
      </c>
      <c r="O3171" s="55" t="s">
        <v>281</v>
      </c>
      <c r="P3171" s="55" t="s">
        <v>725</v>
      </c>
      <c r="Q3171" s="55" t="s">
        <v>350</v>
      </c>
      <c r="R3171" s="55">
        <v>1</v>
      </c>
      <c r="S3171" s="55"/>
      <c r="T3171" s="55" t="s">
        <v>385</v>
      </c>
    </row>
    <row r="3172" spans="1:20" ht="13" x14ac:dyDescent="0.15">
      <c r="A3172" s="72" t="str">
        <f t="shared" si="49"/>
        <v>Ofsted Social Care Provider Webpage</v>
      </c>
      <c r="B3172" s="55" t="s">
        <v>5961</v>
      </c>
      <c r="D3172" s="55" t="s">
        <v>373</v>
      </c>
      <c r="E3172" s="74">
        <v>41319</v>
      </c>
      <c r="F3172" s="55" t="s">
        <v>344</v>
      </c>
      <c r="G3172" s="55" t="s">
        <v>360</v>
      </c>
      <c r="H3172" s="55" t="s">
        <v>360</v>
      </c>
      <c r="I3172" s="55" t="s">
        <v>360</v>
      </c>
      <c r="J3172" s="55" t="s">
        <v>360</v>
      </c>
      <c r="K3172" s="55" t="s">
        <v>360</v>
      </c>
      <c r="L3172" s="55" t="s">
        <v>360</v>
      </c>
      <c r="M3172" s="55" t="s">
        <v>144</v>
      </c>
      <c r="N3172" s="55" t="s">
        <v>144</v>
      </c>
      <c r="O3172" s="55" t="s">
        <v>281</v>
      </c>
      <c r="P3172" s="55" t="s">
        <v>725</v>
      </c>
      <c r="Q3172" s="55" t="s">
        <v>350</v>
      </c>
      <c r="R3172" s="55">
        <v>1</v>
      </c>
      <c r="S3172" s="55"/>
      <c r="T3172" s="55" t="s">
        <v>385</v>
      </c>
    </row>
    <row r="3173" spans="1:20" ht="13" x14ac:dyDescent="0.15">
      <c r="A3173" s="72" t="str">
        <f t="shared" si="49"/>
        <v>Ofsted Social Care Provider Webpage</v>
      </c>
      <c r="B3173" s="55" t="s">
        <v>5962</v>
      </c>
      <c r="D3173" s="55" t="s">
        <v>373</v>
      </c>
      <c r="E3173" s="74">
        <v>41319</v>
      </c>
      <c r="F3173" s="55" t="s">
        <v>344</v>
      </c>
      <c r="G3173" s="55" t="s">
        <v>360</v>
      </c>
      <c r="H3173" s="55" t="s">
        <v>360</v>
      </c>
      <c r="I3173" s="55" t="s">
        <v>360</v>
      </c>
      <c r="J3173" s="55" t="s">
        <v>360</v>
      </c>
      <c r="K3173" s="55" t="s">
        <v>360</v>
      </c>
      <c r="L3173" s="55" t="s">
        <v>360</v>
      </c>
      <c r="M3173" s="55" t="s">
        <v>144</v>
      </c>
      <c r="N3173" s="55" t="s">
        <v>144</v>
      </c>
      <c r="O3173" s="55" t="s">
        <v>281</v>
      </c>
      <c r="P3173" s="55" t="s">
        <v>725</v>
      </c>
      <c r="Q3173" s="55" t="s">
        <v>350</v>
      </c>
      <c r="R3173" s="55">
        <v>2</v>
      </c>
      <c r="S3173" s="55"/>
      <c r="T3173" s="55" t="s">
        <v>385</v>
      </c>
    </row>
    <row r="3174" spans="1:20" ht="13" x14ac:dyDescent="0.15">
      <c r="A3174" s="72" t="str">
        <f t="shared" si="49"/>
        <v>Ofsted Social Care Provider Webpage</v>
      </c>
      <c r="B3174" s="55" t="s">
        <v>5963</v>
      </c>
      <c r="D3174" s="55" t="s">
        <v>373</v>
      </c>
      <c r="E3174" s="74">
        <v>41330</v>
      </c>
      <c r="F3174" s="55" t="s">
        <v>344</v>
      </c>
      <c r="G3174" s="55" t="s">
        <v>360</v>
      </c>
      <c r="H3174" s="55" t="s">
        <v>360</v>
      </c>
      <c r="I3174" s="55" t="s">
        <v>360</v>
      </c>
      <c r="J3174" s="55" t="s">
        <v>360</v>
      </c>
      <c r="K3174" s="55" t="s">
        <v>360</v>
      </c>
      <c r="L3174" s="55" t="s">
        <v>360</v>
      </c>
      <c r="M3174" s="55" t="s">
        <v>138</v>
      </c>
      <c r="N3174" s="55" t="s">
        <v>138</v>
      </c>
      <c r="O3174" s="55" t="s">
        <v>159</v>
      </c>
      <c r="P3174" s="55" t="s">
        <v>1025</v>
      </c>
      <c r="Q3174" s="55" t="s">
        <v>350</v>
      </c>
      <c r="R3174" s="55">
        <v>3</v>
      </c>
      <c r="S3174" s="55"/>
      <c r="T3174" s="55" t="s">
        <v>385</v>
      </c>
    </row>
    <row r="3175" spans="1:20" ht="13" x14ac:dyDescent="0.15">
      <c r="A3175" s="72" t="str">
        <f t="shared" si="49"/>
        <v>Ofsted Social Care Provider Webpage</v>
      </c>
      <c r="B3175" s="55" t="s">
        <v>5964</v>
      </c>
      <c r="D3175" s="55" t="s">
        <v>373</v>
      </c>
      <c r="E3175" s="74">
        <v>41320</v>
      </c>
      <c r="F3175" s="55" t="s">
        <v>344</v>
      </c>
      <c r="G3175" s="55" t="s">
        <v>360</v>
      </c>
      <c r="H3175" s="55" t="s">
        <v>360</v>
      </c>
      <c r="I3175" s="55" t="s">
        <v>360</v>
      </c>
      <c r="J3175" s="55" t="s">
        <v>360</v>
      </c>
      <c r="K3175" s="55" t="s">
        <v>360</v>
      </c>
      <c r="L3175" s="55" t="s">
        <v>360</v>
      </c>
      <c r="M3175" s="55" t="s">
        <v>144</v>
      </c>
      <c r="N3175" s="55" t="s">
        <v>144</v>
      </c>
      <c r="O3175" s="55" t="s">
        <v>245</v>
      </c>
      <c r="P3175" s="55" t="s">
        <v>245</v>
      </c>
      <c r="Q3175" s="55" t="s">
        <v>350</v>
      </c>
      <c r="R3175" s="55">
        <v>1</v>
      </c>
      <c r="S3175" s="55"/>
      <c r="T3175" s="55" t="s">
        <v>385</v>
      </c>
    </row>
    <row r="3176" spans="1:20" ht="13" x14ac:dyDescent="0.15">
      <c r="A3176" s="72" t="str">
        <f t="shared" si="49"/>
        <v>Ofsted Social Care Provider Webpage</v>
      </c>
      <c r="B3176" s="55" t="s">
        <v>5965</v>
      </c>
      <c r="D3176" s="55" t="s">
        <v>373</v>
      </c>
      <c r="E3176" s="74">
        <v>41316</v>
      </c>
      <c r="F3176" s="55" t="s">
        <v>344</v>
      </c>
      <c r="G3176" s="55" t="s">
        <v>360</v>
      </c>
      <c r="H3176" s="55" t="s">
        <v>360</v>
      </c>
      <c r="I3176" s="55" t="s">
        <v>360</v>
      </c>
      <c r="J3176" s="55" t="s">
        <v>360</v>
      </c>
      <c r="K3176" s="55" t="s">
        <v>360</v>
      </c>
      <c r="L3176" s="55" t="s">
        <v>360</v>
      </c>
      <c r="M3176" s="55" t="s">
        <v>144</v>
      </c>
      <c r="N3176" s="55" t="s">
        <v>144</v>
      </c>
      <c r="O3176" s="55" t="s">
        <v>245</v>
      </c>
      <c r="P3176" s="55" t="s">
        <v>1796</v>
      </c>
      <c r="Q3176" s="55" t="s">
        <v>350</v>
      </c>
      <c r="R3176" s="55">
        <v>1</v>
      </c>
      <c r="S3176" s="55"/>
      <c r="T3176" s="55" t="s">
        <v>385</v>
      </c>
    </row>
    <row r="3177" spans="1:20" ht="13" x14ac:dyDescent="0.15">
      <c r="A3177" s="72" t="str">
        <f t="shared" si="49"/>
        <v>Ofsted Social Care Provider Webpage</v>
      </c>
      <c r="B3177" s="55" t="s">
        <v>5966</v>
      </c>
      <c r="D3177" s="55" t="s">
        <v>373</v>
      </c>
      <c r="E3177" s="74">
        <v>41347</v>
      </c>
      <c r="F3177" s="55" t="s">
        <v>344</v>
      </c>
      <c r="G3177" s="55" t="s">
        <v>360</v>
      </c>
      <c r="H3177" s="55" t="s">
        <v>360</v>
      </c>
      <c r="I3177" s="55" t="s">
        <v>360</v>
      </c>
      <c r="J3177" s="55" t="s">
        <v>360</v>
      </c>
      <c r="K3177" s="55" t="s">
        <v>360</v>
      </c>
      <c r="L3177" s="55" t="s">
        <v>360</v>
      </c>
      <c r="M3177" s="55" t="s">
        <v>136</v>
      </c>
      <c r="N3177" s="55" t="s">
        <v>136</v>
      </c>
      <c r="O3177" s="55" t="s">
        <v>274</v>
      </c>
      <c r="P3177" s="55" t="s">
        <v>274</v>
      </c>
      <c r="Q3177" s="55" t="s">
        <v>350</v>
      </c>
      <c r="R3177" s="55">
        <v>1</v>
      </c>
      <c r="S3177" s="55"/>
      <c r="T3177" s="55" t="s">
        <v>385</v>
      </c>
    </row>
    <row r="3178" spans="1:20" ht="13" x14ac:dyDescent="0.15">
      <c r="A3178" s="72" t="str">
        <f t="shared" si="49"/>
        <v>Ofsted Social Care Provider Webpage</v>
      </c>
      <c r="B3178" s="55" t="s">
        <v>5967</v>
      </c>
      <c r="D3178" s="55" t="s">
        <v>373</v>
      </c>
      <c r="E3178" s="74">
        <v>41330</v>
      </c>
      <c r="F3178" s="55" t="s">
        <v>344</v>
      </c>
      <c r="G3178" s="55" t="s">
        <v>360</v>
      </c>
      <c r="H3178" s="55" t="s">
        <v>360</v>
      </c>
      <c r="I3178" s="55" t="s">
        <v>360</v>
      </c>
      <c r="J3178" s="55" t="s">
        <v>360</v>
      </c>
      <c r="K3178" s="55" t="s">
        <v>360</v>
      </c>
      <c r="L3178" s="55" t="s">
        <v>360</v>
      </c>
      <c r="M3178" s="55" t="s">
        <v>136</v>
      </c>
      <c r="N3178" s="55" t="s">
        <v>136</v>
      </c>
      <c r="O3178" s="55" t="s">
        <v>274</v>
      </c>
      <c r="P3178" s="55" t="s">
        <v>274</v>
      </c>
      <c r="Q3178" s="55" t="s">
        <v>350</v>
      </c>
      <c r="R3178" s="55">
        <v>2</v>
      </c>
      <c r="S3178" s="55"/>
      <c r="T3178" s="55" t="s">
        <v>385</v>
      </c>
    </row>
    <row r="3179" spans="1:20" ht="13" x14ac:dyDescent="0.15">
      <c r="A3179" s="72" t="str">
        <f t="shared" si="49"/>
        <v>Ofsted Social Care Provider Webpage</v>
      </c>
      <c r="B3179" s="55" t="s">
        <v>5968</v>
      </c>
      <c r="D3179" s="55" t="s">
        <v>373</v>
      </c>
      <c r="E3179" s="74">
        <v>41330</v>
      </c>
      <c r="F3179" s="55" t="s">
        <v>344</v>
      </c>
      <c r="G3179" s="55" t="s">
        <v>360</v>
      </c>
      <c r="H3179" s="55" t="s">
        <v>360</v>
      </c>
      <c r="I3179" s="55" t="s">
        <v>360</v>
      </c>
      <c r="J3179" s="55" t="s">
        <v>360</v>
      </c>
      <c r="K3179" s="55" t="s">
        <v>360</v>
      </c>
      <c r="L3179" s="55" t="s">
        <v>360</v>
      </c>
      <c r="M3179" s="55" t="s">
        <v>138</v>
      </c>
      <c r="N3179" s="55" t="s">
        <v>138</v>
      </c>
      <c r="O3179" s="55" t="s">
        <v>159</v>
      </c>
      <c r="P3179" s="55" t="s">
        <v>1025</v>
      </c>
      <c r="Q3179" s="55" t="s">
        <v>350</v>
      </c>
      <c r="R3179" s="55">
        <v>6</v>
      </c>
      <c r="S3179" s="55"/>
      <c r="T3179" s="55" t="s">
        <v>385</v>
      </c>
    </row>
    <row r="3180" spans="1:20" ht="13" x14ac:dyDescent="0.15">
      <c r="A3180" s="72" t="str">
        <f t="shared" si="49"/>
        <v>Ofsted Social Care Provider Webpage</v>
      </c>
      <c r="B3180" s="55" t="s">
        <v>5969</v>
      </c>
      <c r="D3180" s="55" t="s">
        <v>373</v>
      </c>
      <c r="E3180" s="74">
        <v>41320</v>
      </c>
      <c r="F3180" s="55" t="s">
        <v>344</v>
      </c>
      <c r="G3180" s="55" t="s">
        <v>360</v>
      </c>
      <c r="H3180" s="55" t="s">
        <v>360</v>
      </c>
      <c r="I3180" s="55" t="s">
        <v>360</v>
      </c>
      <c r="J3180" s="55" t="s">
        <v>360</v>
      </c>
      <c r="K3180" s="55" t="s">
        <v>360</v>
      </c>
      <c r="L3180" s="55" t="s">
        <v>360</v>
      </c>
      <c r="M3180" s="55" t="s">
        <v>144</v>
      </c>
      <c r="N3180" s="55" t="s">
        <v>144</v>
      </c>
      <c r="O3180" s="55" t="s">
        <v>281</v>
      </c>
      <c r="P3180" s="55" t="s">
        <v>725</v>
      </c>
      <c r="Q3180" s="55" t="s">
        <v>350</v>
      </c>
      <c r="R3180" s="55">
        <v>1</v>
      </c>
      <c r="S3180" s="55"/>
      <c r="T3180" s="55" t="s">
        <v>385</v>
      </c>
    </row>
    <row r="3181" spans="1:20" ht="13" x14ac:dyDescent="0.15">
      <c r="A3181" s="72" t="str">
        <f t="shared" si="49"/>
        <v>Ofsted Social Care Provider Webpage</v>
      </c>
      <c r="B3181" s="55" t="s">
        <v>5970</v>
      </c>
      <c r="D3181" s="55" t="s">
        <v>373</v>
      </c>
      <c r="E3181" s="74">
        <v>41219</v>
      </c>
      <c r="F3181" s="55" t="s">
        <v>344</v>
      </c>
      <c r="G3181" s="55" t="s">
        <v>360</v>
      </c>
      <c r="H3181" s="55" t="s">
        <v>360</v>
      </c>
      <c r="I3181" s="55" t="s">
        <v>360</v>
      </c>
      <c r="J3181" s="55" t="s">
        <v>360</v>
      </c>
      <c r="K3181" s="55" t="s">
        <v>360</v>
      </c>
      <c r="L3181" s="55" t="s">
        <v>360</v>
      </c>
      <c r="M3181" s="55" t="s">
        <v>144</v>
      </c>
      <c r="N3181" s="55" t="s">
        <v>144</v>
      </c>
      <c r="O3181" s="55" t="s">
        <v>281</v>
      </c>
      <c r="P3181" s="55" t="s">
        <v>556</v>
      </c>
      <c r="Q3181" s="55" t="s">
        <v>350</v>
      </c>
      <c r="R3181" s="55">
        <v>1</v>
      </c>
      <c r="S3181" s="55"/>
      <c r="T3181" s="55" t="s">
        <v>385</v>
      </c>
    </row>
    <row r="3182" spans="1:20" ht="13" x14ac:dyDescent="0.15">
      <c r="A3182" s="72" t="str">
        <f t="shared" si="49"/>
        <v>Ofsted Social Care Provider Webpage</v>
      </c>
      <c r="B3182" s="55" t="s">
        <v>5971</v>
      </c>
      <c r="D3182" s="55" t="s">
        <v>373</v>
      </c>
      <c r="E3182" s="74">
        <v>41319</v>
      </c>
      <c r="F3182" s="55" t="s">
        <v>344</v>
      </c>
      <c r="G3182" s="55" t="s">
        <v>360</v>
      </c>
      <c r="H3182" s="55" t="s">
        <v>360</v>
      </c>
      <c r="I3182" s="55" t="s">
        <v>360</v>
      </c>
      <c r="J3182" s="55" t="s">
        <v>360</v>
      </c>
      <c r="K3182" s="55" t="s">
        <v>360</v>
      </c>
      <c r="L3182" s="55" t="s">
        <v>360</v>
      </c>
      <c r="M3182" s="55" t="s">
        <v>144</v>
      </c>
      <c r="N3182" s="55" t="s">
        <v>144</v>
      </c>
      <c r="O3182" s="55" t="s">
        <v>188</v>
      </c>
      <c r="P3182" s="55" t="s">
        <v>188</v>
      </c>
      <c r="Q3182" s="55" t="s">
        <v>350</v>
      </c>
      <c r="R3182" s="55">
        <v>2</v>
      </c>
      <c r="S3182" s="55"/>
      <c r="T3182" s="55" t="s">
        <v>385</v>
      </c>
    </row>
    <row r="3183" spans="1:20" ht="13" x14ac:dyDescent="0.15">
      <c r="A3183" s="72" t="str">
        <f t="shared" si="49"/>
        <v>Ofsted Social Care Provider Webpage</v>
      </c>
      <c r="B3183" s="55" t="s">
        <v>5972</v>
      </c>
      <c r="D3183" s="55" t="s">
        <v>373</v>
      </c>
      <c r="E3183" s="74">
        <v>41327</v>
      </c>
      <c r="F3183" s="55" t="s">
        <v>344</v>
      </c>
      <c r="G3183" s="55" t="s">
        <v>360</v>
      </c>
      <c r="H3183" s="55" t="s">
        <v>360</v>
      </c>
      <c r="I3183" s="55" t="s">
        <v>360</v>
      </c>
      <c r="J3183" s="55" t="s">
        <v>360</v>
      </c>
      <c r="K3183" s="55" t="s">
        <v>360</v>
      </c>
      <c r="L3183" s="55" t="s">
        <v>360</v>
      </c>
      <c r="M3183" s="55" t="s">
        <v>138</v>
      </c>
      <c r="N3183" s="55" t="s">
        <v>138</v>
      </c>
      <c r="O3183" s="55" t="s">
        <v>183</v>
      </c>
      <c r="P3183" s="55" t="s">
        <v>1500</v>
      </c>
      <c r="Q3183" s="55" t="s">
        <v>350</v>
      </c>
      <c r="R3183" s="55">
        <v>3</v>
      </c>
      <c r="S3183" s="55"/>
      <c r="T3183" s="55" t="s">
        <v>385</v>
      </c>
    </row>
    <row r="3184" spans="1:20" ht="13" x14ac:dyDescent="0.15">
      <c r="A3184" s="72" t="str">
        <f t="shared" si="49"/>
        <v>Ofsted Social Care Provider Webpage</v>
      </c>
      <c r="B3184" s="55" t="s">
        <v>5973</v>
      </c>
      <c r="D3184" s="55" t="s">
        <v>373</v>
      </c>
      <c r="E3184" s="74">
        <v>41236</v>
      </c>
      <c r="F3184" s="55" t="s">
        <v>344</v>
      </c>
      <c r="G3184" s="55" t="s">
        <v>360</v>
      </c>
      <c r="H3184" s="55" t="s">
        <v>360</v>
      </c>
      <c r="I3184" s="55" t="s">
        <v>360</v>
      </c>
      <c r="J3184" s="55" t="s">
        <v>360</v>
      </c>
      <c r="K3184" s="55" t="s">
        <v>360</v>
      </c>
      <c r="L3184" s="55" t="s">
        <v>360</v>
      </c>
      <c r="M3184" s="55" t="s">
        <v>142</v>
      </c>
      <c r="N3184" s="55" t="s">
        <v>142</v>
      </c>
      <c r="O3184" s="55" t="s">
        <v>249</v>
      </c>
      <c r="P3184" s="55" t="s">
        <v>1318</v>
      </c>
      <c r="Q3184" s="55" t="s">
        <v>350</v>
      </c>
      <c r="R3184" s="55">
        <v>3</v>
      </c>
      <c r="S3184" s="55"/>
      <c r="T3184" s="55" t="s">
        <v>1019</v>
      </c>
    </row>
    <row r="3185" spans="1:20" ht="13" x14ac:dyDescent="0.15">
      <c r="A3185" s="72" t="str">
        <f t="shared" si="49"/>
        <v>Ofsted Social Care Provider Webpage</v>
      </c>
      <c r="B3185" s="55" t="s">
        <v>5974</v>
      </c>
      <c r="D3185" s="55" t="s">
        <v>373</v>
      </c>
      <c r="E3185" s="74">
        <v>41316</v>
      </c>
      <c r="F3185" s="55" t="s">
        <v>344</v>
      </c>
      <c r="G3185" s="55" t="s">
        <v>360</v>
      </c>
      <c r="H3185" s="55" t="s">
        <v>360</v>
      </c>
      <c r="I3185" s="55" t="s">
        <v>360</v>
      </c>
      <c r="J3185" s="55" t="s">
        <v>360</v>
      </c>
      <c r="K3185" s="55" t="s">
        <v>360</v>
      </c>
      <c r="L3185" s="55" t="s">
        <v>360</v>
      </c>
      <c r="M3185" s="55" t="s">
        <v>142</v>
      </c>
      <c r="N3185" s="55" t="s">
        <v>142</v>
      </c>
      <c r="O3185" s="55" t="s">
        <v>195</v>
      </c>
      <c r="P3185" s="55" t="s">
        <v>747</v>
      </c>
      <c r="Q3185" s="55" t="s">
        <v>350</v>
      </c>
      <c r="R3185" s="55">
        <v>4</v>
      </c>
      <c r="S3185" s="55"/>
      <c r="T3185" s="55" t="s">
        <v>385</v>
      </c>
    </row>
    <row r="3186" spans="1:20" ht="13" x14ac:dyDescent="0.15">
      <c r="A3186" s="72" t="str">
        <f t="shared" si="49"/>
        <v>Ofsted Social Care Provider Webpage</v>
      </c>
      <c r="B3186" s="55" t="s">
        <v>5975</v>
      </c>
      <c r="D3186" s="55" t="s">
        <v>373</v>
      </c>
      <c r="E3186" s="74">
        <v>41489</v>
      </c>
      <c r="F3186" s="55" t="s">
        <v>344</v>
      </c>
      <c r="G3186" s="55" t="s">
        <v>360</v>
      </c>
      <c r="H3186" s="55" t="s">
        <v>360</v>
      </c>
      <c r="I3186" s="55" t="s">
        <v>360</v>
      </c>
      <c r="J3186" s="55" t="s">
        <v>360</v>
      </c>
      <c r="K3186" s="55" t="s">
        <v>360</v>
      </c>
      <c r="L3186" s="55" t="s">
        <v>360</v>
      </c>
      <c r="M3186" s="55" t="s">
        <v>142</v>
      </c>
      <c r="N3186" s="55" t="s">
        <v>142</v>
      </c>
      <c r="O3186" s="55" t="s">
        <v>195</v>
      </c>
      <c r="P3186" s="55" t="s">
        <v>518</v>
      </c>
      <c r="Q3186" s="55" t="s">
        <v>350</v>
      </c>
      <c r="R3186" s="55">
        <v>3</v>
      </c>
      <c r="S3186" s="55"/>
      <c r="T3186" s="55" t="s">
        <v>385</v>
      </c>
    </row>
    <row r="3187" spans="1:20" ht="13" x14ac:dyDescent="0.15">
      <c r="A3187" s="72" t="str">
        <f t="shared" si="49"/>
        <v>Ofsted Social Care Provider Webpage</v>
      </c>
      <c r="B3187" s="55" t="s">
        <v>5976</v>
      </c>
      <c r="D3187" s="55" t="s">
        <v>373</v>
      </c>
      <c r="E3187" s="74">
        <v>41253</v>
      </c>
      <c r="F3187" s="55" t="s">
        <v>344</v>
      </c>
      <c r="G3187" s="55" t="s">
        <v>360</v>
      </c>
      <c r="H3187" s="55" t="s">
        <v>360</v>
      </c>
      <c r="I3187" s="55" t="s">
        <v>360</v>
      </c>
      <c r="J3187" s="55" t="s">
        <v>360</v>
      </c>
      <c r="K3187" s="55" t="s">
        <v>360</v>
      </c>
      <c r="L3187" s="55" t="s">
        <v>360</v>
      </c>
      <c r="M3187" s="55" t="s">
        <v>142</v>
      </c>
      <c r="N3187" s="55" t="s">
        <v>142</v>
      </c>
      <c r="O3187" s="55" t="s">
        <v>195</v>
      </c>
      <c r="P3187" s="55" t="s">
        <v>518</v>
      </c>
      <c r="Q3187" s="55" t="s">
        <v>350</v>
      </c>
      <c r="R3187" s="55">
        <v>4</v>
      </c>
      <c r="S3187" s="55"/>
      <c r="T3187" s="55" t="s">
        <v>385</v>
      </c>
    </row>
    <row r="3188" spans="1:20" ht="13" x14ac:dyDescent="0.15">
      <c r="A3188" s="72" t="str">
        <f t="shared" si="49"/>
        <v>Ofsted Social Care Provider Webpage</v>
      </c>
      <c r="B3188" s="55" t="s">
        <v>5977</v>
      </c>
      <c r="D3188" s="55" t="s">
        <v>373</v>
      </c>
      <c r="E3188" s="74">
        <v>41290</v>
      </c>
      <c r="F3188" s="55" t="s">
        <v>344</v>
      </c>
      <c r="G3188" s="55" t="s">
        <v>360</v>
      </c>
      <c r="H3188" s="55" t="s">
        <v>360</v>
      </c>
      <c r="I3188" s="55" t="s">
        <v>360</v>
      </c>
      <c r="J3188" s="55" t="s">
        <v>360</v>
      </c>
      <c r="K3188" s="55" t="s">
        <v>360</v>
      </c>
      <c r="L3188" s="55" t="s">
        <v>360</v>
      </c>
      <c r="M3188" s="55" t="s">
        <v>142</v>
      </c>
      <c r="N3188" s="55" t="s">
        <v>142</v>
      </c>
      <c r="O3188" s="55" t="s">
        <v>252</v>
      </c>
      <c r="P3188" s="55" t="s">
        <v>503</v>
      </c>
      <c r="Q3188" s="55" t="s">
        <v>350</v>
      </c>
      <c r="R3188" s="55">
        <v>2</v>
      </c>
      <c r="S3188" s="55"/>
      <c r="T3188" s="55" t="s">
        <v>385</v>
      </c>
    </row>
    <row r="3189" spans="1:20" ht="13" x14ac:dyDescent="0.15">
      <c r="A3189" s="72" t="str">
        <f t="shared" si="49"/>
        <v>Ofsted Social Care Provider Webpage</v>
      </c>
      <c r="B3189" s="55" t="s">
        <v>5978</v>
      </c>
      <c r="D3189" s="55" t="s">
        <v>373</v>
      </c>
      <c r="E3189" s="74">
        <v>41330</v>
      </c>
      <c r="F3189" s="55" t="s">
        <v>344</v>
      </c>
      <c r="G3189" s="55" t="s">
        <v>360</v>
      </c>
      <c r="H3189" s="55" t="s">
        <v>360</v>
      </c>
      <c r="I3189" s="55" t="s">
        <v>360</v>
      </c>
      <c r="J3189" s="55" t="s">
        <v>360</v>
      </c>
      <c r="K3189" s="55" t="s">
        <v>360</v>
      </c>
      <c r="L3189" s="55" t="s">
        <v>360</v>
      </c>
      <c r="M3189" s="55" t="s">
        <v>136</v>
      </c>
      <c r="N3189" s="55" t="s">
        <v>136</v>
      </c>
      <c r="O3189" s="55" t="s">
        <v>174</v>
      </c>
      <c r="P3189" s="55" t="s">
        <v>651</v>
      </c>
      <c r="Q3189" s="55" t="s">
        <v>350</v>
      </c>
      <c r="R3189" s="55">
        <v>1</v>
      </c>
      <c r="S3189" s="55"/>
      <c r="T3189" s="55" t="s">
        <v>385</v>
      </c>
    </row>
    <row r="3190" spans="1:20" ht="13" x14ac:dyDescent="0.15">
      <c r="A3190" s="72" t="str">
        <f t="shared" si="49"/>
        <v>Ofsted Social Care Provider Webpage</v>
      </c>
      <c r="B3190" s="55" t="s">
        <v>5979</v>
      </c>
      <c r="D3190" s="55" t="s">
        <v>373</v>
      </c>
      <c r="E3190" s="74">
        <v>41347</v>
      </c>
      <c r="F3190" s="55" t="s">
        <v>344</v>
      </c>
      <c r="G3190" s="55" t="s">
        <v>360</v>
      </c>
      <c r="H3190" s="55" t="s">
        <v>360</v>
      </c>
      <c r="I3190" s="55" t="s">
        <v>360</v>
      </c>
      <c r="J3190" s="55" t="s">
        <v>360</v>
      </c>
      <c r="K3190" s="55" t="s">
        <v>360</v>
      </c>
      <c r="L3190" s="55" t="s">
        <v>360</v>
      </c>
      <c r="M3190" s="55" t="s">
        <v>136</v>
      </c>
      <c r="N3190" s="55" t="s">
        <v>136</v>
      </c>
      <c r="O3190" s="55" t="s">
        <v>174</v>
      </c>
      <c r="P3190" s="55" t="s">
        <v>651</v>
      </c>
      <c r="Q3190" s="55" t="s">
        <v>350</v>
      </c>
      <c r="R3190" s="55">
        <v>1</v>
      </c>
      <c r="S3190" s="55"/>
      <c r="T3190" s="55" t="s">
        <v>385</v>
      </c>
    </row>
    <row r="3191" spans="1:20" ht="13" x14ac:dyDescent="0.15">
      <c r="A3191" s="72" t="str">
        <f t="shared" si="49"/>
        <v>Ofsted Social Care Provider Webpage</v>
      </c>
      <c r="B3191" s="55" t="s">
        <v>5980</v>
      </c>
      <c r="D3191" s="55" t="s">
        <v>373</v>
      </c>
      <c r="E3191" s="74">
        <v>41319</v>
      </c>
      <c r="F3191" s="55" t="s">
        <v>344</v>
      </c>
      <c r="G3191" s="55" t="s">
        <v>360</v>
      </c>
      <c r="H3191" s="55" t="s">
        <v>360</v>
      </c>
      <c r="I3191" s="55" t="s">
        <v>360</v>
      </c>
      <c r="J3191" s="55" t="s">
        <v>360</v>
      </c>
      <c r="K3191" s="55" t="s">
        <v>360</v>
      </c>
      <c r="L3191" s="55" t="s">
        <v>360</v>
      </c>
      <c r="M3191" s="55" t="s">
        <v>144</v>
      </c>
      <c r="N3191" s="55" t="s">
        <v>144</v>
      </c>
      <c r="O3191" s="55" t="s">
        <v>188</v>
      </c>
      <c r="P3191" s="55" t="s">
        <v>188</v>
      </c>
      <c r="Q3191" s="55" t="s">
        <v>350</v>
      </c>
      <c r="R3191" s="55">
        <v>1</v>
      </c>
      <c r="S3191" s="55"/>
      <c r="T3191" s="55" t="s">
        <v>385</v>
      </c>
    </row>
    <row r="3192" spans="1:20" ht="13" x14ac:dyDescent="0.15">
      <c r="A3192" s="72" t="str">
        <f t="shared" si="49"/>
        <v>Ofsted Social Care Provider Webpage</v>
      </c>
      <c r="B3192" s="55" t="s">
        <v>5981</v>
      </c>
      <c r="D3192" s="55" t="s">
        <v>373</v>
      </c>
      <c r="E3192" s="74">
        <v>41319</v>
      </c>
      <c r="F3192" s="55" t="s">
        <v>344</v>
      </c>
      <c r="G3192" s="55" t="s">
        <v>360</v>
      </c>
      <c r="H3192" s="55" t="s">
        <v>360</v>
      </c>
      <c r="I3192" s="55" t="s">
        <v>360</v>
      </c>
      <c r="J3192" s="55" t="s">
        <v>360</v>
      </c>
      <c r="K3192" s="55" t="s">
        <v>360</v>
      </c>
      <c r="L3192" s="55" t="s">
        <v>360</v>
      </c>
      <c r="M3192" s="55" t="s">
        <v>144</v>
      </c>
      <c r="N3192" s="55" t="s">
        <v>144</v>
      </c>
      <c r="O3192" s="55" t="s">
        <v>281</v>
      </c>
      <c r="P3192" s="55" t="s">
        <v>725</v>
      </c>
      <c r="Q3192" s="55" t="s">
        <v>350</v>
      </c>
      <c r="R3192" s="55">
        <v>3</v>
      </c>
      <c r="S3192" s="55"/>
      <c r="T3192" s="55" t="s">
        <v>385</v>
      </c>
    </row>
    <row r="3193" spans="1:20" ht="13" x14ac:dyDescent="0.15">
      <c r="A3193" s="72" t="str">
        <f t="shared" si="49"/>
        <v>Ofsted Social Care Provider Webpage</v>
      </c>
      <c r="B3193" s="55" t="s">
        <v>5982</v>
      </c>
      <c r="D3193" s="55" t="s">
        <v>373</v>
      </c>
      <c r="E3193" s="74">
        <v>41319</v>
      </c>
      <c r="F3193" s="55" t="s">
        <v>344</v>
      </c>
      <c r="G3193" s="55" t="s">
        <v>360</v>
      </c>
      <c r="H3193" s="55" t="s">
        <v>360</v>
      </c>
      <c r="I3193" s="55" t="s">
        <v>360</v>
      </c>
      <c r="J3193" s="55" t="s">
        <v>360</v>
      </c>
      <c r="K3193" s="55" t="s">
        <v>360</v>
      </c>
      <c r="L3193" s="55" t="s">
        <v>360</v>
      </c>
      <c r="M3193" s="55" t="s">
        <v>144</v>
      </c>
      <c r="N3193" s="55" t="s">
        <v>144</v>
      </c>
      <c r="O3193" s="55" t="s">
        <v>188</v>
      </c>
      <c r="P3193" s="55" t="s">
        <v>188</v>
      </c>
      <c r="Q3193" s="55" t="s">
        <v>350</v>
      </c>
      <c r="R3193" s="55">
        <v>1</v>
      </c>
      <c r="S3193" s="55"/>
      <c r="T3193" s="55" t="s">
        <v>385</v>
      </c>
    </row>
    <row r="3194" spans="1:20" ht="13" x14ac:dyDescent="0.15">
      <c r="A3194" s="72" t="str">
        <f t="shared" si="49"/>
        <v>Ofsted Social Care Provider Webpage</v>
      </c>
      <c r="B3194" s="55" t="s">
        <v>5983</v>
      </c>
      <c r="D3194" s="55" t="s">
        <v>373</v>
      </c>
      <c r="E3194" s="74">
        <v>41319</v>
      </c>
      <c r="F3194" s="55" t="s">
        <v>344</v>
      </c>
      <c r="G3194" s="55" t="s">
        <v>360</v>
      </c>
      <c r="H3194" s="55" t="s">
        <v>360</v>
      </c>
      <c r="I3194" s="55" t="s">
        <v>360</v>
      </c>
      <c r="J3194" s="55" t="s">
        <v>360</v>
      </c>
      <c r="K3194" s="55" t="s">
        <v>360</v>
      </c>
      <c r="L3194" s="55" t="s">
        <v>360</v>
      </c>
      <c r="M3194" s="55" t="s">
        <v>144</v>
      </c>
      <c r="N3194" s="55" t="s">
        <v>144</v>
      </c>
      <c r="O3194" s="55" t="s">
        <v>188</v>
      </c>
      <c r="P3194" s="55" t="s">
        <v>188</v>
      </c>
      <c r="Q3194" s="55" t="s">
        <v>350</v>
      </c>
      <c r="R3194" s="55">
        <v>1</v>
      </c>
      <c r="S3194" s="55"/>
      <c r="T3194" s="55" t="s">
        <v>385</v>
      </c>
    </row>
    <row r="3195" spans="1:20" ht="13" x14ac:dyDescent="0.15">
      <c r="A3195" s="72" t="str">
        <f t="shared" si="49"/>
        <v>Ofsted Social Care Provider Webpage</v>
      </c>
      <c r="B3195" s="55" t="s">
        <v>5984</v>
      </c>
      <c r="D3195" s="55" t="s">
        <v>373</v>
      </c>
      <c r="E3195" s="74">
        <v>41319</v>
      </c>
      <c r="F3195" s="55" t="s">
        <v>344</v>
      </c>
      <c r="G3195" s="55" t="s">
        <v>360</v>
      </c>
      <c r="H3195" s="55" t="s">
        <v>360</v>
      </c>
      <c r="I3195" s="55" t="s">
        <v>360</v>
      </c>
      <c r="J3195" s="55" t="s">
        <v>360</v>
      </c>
      <c r="K3195" s="55" t="s">
        <v>360</v>
      </c>
      <c r="L3195" s="55" t="s">
        <v>360</v>
      </c>
      <c r="M3195" s="55" t="s">
        <v>144</v>
      </c>
      <c r="N3195" s="55" t="s">
        <v>144</v>
      </c>
      <c r="O3195" s="55" t="s">
        <v>188</v>
      </c>
      <c r="P3195" s="55" t="s">
        <v>188</v>
      </c>
      <c r="Q3195" s="55" t="s">
        <v>350</v>
      </c>
      <c r="R3195" s="55">
        <v>1</v>
      </c>
      <c r="S3195" s="55"/>
      <c r="T3195" s="55" t="s">
        <v>385</v>
      </c>
    </row>
    <row r="3196" spans="1:20" ht="13" x14ac:dyDescent="0.15">
      <c r="A3196" s="72" t="str">
        <f t="shared" si="49"/>
        <v>Ofsted Social Care Provider Webpage</v>
      </c>
      <c r="B3196" s="55" t="s">
        <v>5985</v>
      </c>
      <c r="D3196" s="55" t="s">
        <v>373</v>
      </c>
      <c r="E3196" s="74">
        <v>41256</v>
      </c>
      <c r="F3196" s="55" t="s">
        <v>344</v>
      </c>
      <c r="G3196" s="55" t="s">
        <v>360</v>
      </c>
      <c r="H3196" s="55" t="s">
        <v>360</v>
      </c>
      <c r="I3196" s="55" t="s">
        <v>360</v>
      </c>
      <c r="J3196" s="55" t="s">
        <v>360</v>
      </c>
      <c r="K3196" s="55" t="s">
        <v>360</v>
      </c>
      <c r="L3196" s="55" t="s">
        <v>360</v>
      </c>
      <c r="M3196" s="55" t="s">
        <v>144</v>
      </c>
      <c r="N3196" s="55" t="s">
        <v>144</v>
      </c>
      <c r="O3196" s="55" t="s">
        <v>168</v>
      </c>
      <c r="P3196" s="55" t="s">
        <v>708</v>
      </c>
      <c r="Q3196" s="55" t="s">
        <v>350</v>
      </c>
      <c r="R3196" s="55">
        <v>5</v>
      </c>
      <c r="S3196" s="55"/>
      <c r="T3196" s="55" t="s">
        <v>2358</v>
      </c>
    </row>
    <row r="3197" spans="1:20" ht="13" x14ac:dyDescent="0.15">
      <c r="A3197" s="72" t="str">
        <f t="shared" si="49"/>
        <v>Ofsted Social Care Provider Webpage</v>
      </c>
      <c r="B3197" s="55" t="s">
        <v>5986</v>
      </c>
      <c r="D3197" s="55" t="s">
        <v>373</v>
      </c>
      <c r="E3197" s="74">
        <v>41354</v>
      </c>
      <c r="F3197" s="55" t="s">
        <v>344</v>
      </c>
      <c r="G3197" s="55" t="s">
        <v>360</v>
      </c>
      <c r="H3197" s="55" t="s">
        <v>360</v>
      </c>
      <c r="I3197" s="55" t="s">
        <v>360</v>
      </c>
      <c r="J3197" s="55" t="s">
        <v>360</v>
      </c>
      <c r="K3197" s="55" t="s">
        <v>360</v>
      </c>
      <c r="L3197" s="55" t="s">
        <v>360</v>
      </c>
      <c r="M3197" s="55" t="s">
        <v>136</v>
      </c>
      <c r="N3197" s="55" t="s">
        <v>136</v>
      </c>
      <c r="O3197" s="55" t="s">
        <v>174</v>
      </c>
      <c r="P3197" s="55" t="s">
        <v>3555</v>
      </c>
      <c r="Q3197" s="55" t="s">
        <v>350</v>
      </c>
      <c r="R3197" s="55">
        <v>3</v>
      </c>
      <c r="S3197" s="55"/>
      <c r="T3197" s="55" t="s">
        <v>385</v>
      </c>
    </row>
    <row r="3198" spans="1:20" ht="13" x14ac:dyDescent="0.15">
      <c r="A3198" s="72" t="str">
        <f t="shared" si="49"/>
        <v>Ofsted Social Care Provider Webpage</v>
      </c>
      <c r="B3198" s="55" t="s">
        <v>5987</v>
      </c>
      <c r="D3198" s="55" t="s">
        <v>373</v>
      </c>
      <c r="E3198" s="74">
        <v>41324</v>
      </c>
      <c r="F3198" s="55" t="s">
        <v>344</v>
      </c>
      <c r="G3198" s="55" t="s">
        <v>360</v>
      </c>
      <c r="H3198" s="55" t="s">
        <v>360</v>
      </c>
      <c r="I3198" s="55" t="s">
        <v>360</v>
      </c>
      <c r="J3198" s="55" t="s">
        <v>360</v>
      </c>
      <c r="K3198" s="55" t="s">
        <v>360</v>
      </c>
      <c r="L3198" s="55" t="s">
        <v>360</v>
      </c>
      <c r="M3198" s="55" t="s">
        <v>138</v>
      </c>
      <c r="N3198" s="55" t="s">
        <v>138</v>
      </c>
      <c r="O3198" s="55" t="s">
        <v>159</v>
      </c>
      <c r="P3198" s="55" t="s">
        <v>1080</v>
      </c>
      <c r="Q3198" s="55" t="s">
        <v>350</v>
      </c>
      <c r="R3198" s="55">
        <v>3</v>
      </c>
      <c r="S3198" s="55"/>
      <c r="T3198" s="55" t="s">
        <v>385</v>
      </c>
    </row>
    <row r="3199" spans="1:20" ht="13" x14ac:dyDescent="0.15">
      <c r="A3199" s="72" t="str">
        <f t="shared" si="49"/>
        <v>Ofsted Social Care Provider Webpage</v>
      </c>
      <c r="B3199" s="55" t="s">
        <v>5988</v>
      </c>
      <c r="D3199" s="55" t="s">
        <v>373</v>
      </c>
      <c r="E3199" s="74">
        <v>41294</v>
      </c>
      <c r="F3199" s="55" t="s">
        <v>344</v>
      </c>
      <c r="G3199" s="55" t="s">
        <v>360</v>
      </c>
      <c r="H3199" s="55" t="s">
        <v>360</v>
      </c>
      <c r="I3199" s="55" t="s">
        <v>360</v>
      </c>
      <c r="J3199" s="55" t="s">
        <v>360</v>
      </c>
      <c r="K3199" s="55" t="s">
        <v>360</v>
      </c>
      <c r="L3199" s="55" t="s">
        <v>360</v>
      </c>
      <c r="M3199" s="55" t="s">
        <v>378</v>
      </c>
      <c r="N3199" s="55" t="s">
        <v>134</v>
      </c>
      <c r="O3199" s="55" t="s">
        <v>180</v>
      </c>
      <c r="P3199" s="55" t="s">
        <v>1249</v>
      </c>
      <c r="Q3199" s="55" t="s">
        <v>350</v>
      </c>
      <c r="R3199" s="55">
        <v>5</v>
      </c>
      <c r="S3199" s="55"/>
      <c r="T3199" s="55" t="s">
        <v>385</v>
      </c>
    </row>
    <row r="3200" spans="1:20" ht="13" x14ac:dyDescent="0.15">
      <c r="A3200" s="72" t="str">
        <f t="shared" si="49"/>
        <v>Ofsted Social Care Provider Webpage</v>
      </c>
      <c r="B3200" s="55" t="s">
        <v>5989</v>
      </c>
      <c r="D3200" s="55" t="s">
        <v>373</v>
      </c>
      <c r="E3200" s="74">
        <v>41347</v>
      </c>
      <c r="F3200" s="55" t="s">
        <v>344</v>
      </c>
      <c r="G3200" s="55" t="s">
        <v>360</v>
      </c>
      <c r="H3200" s="55" t="s">
        <v>360</v>
      </c>
      <c r="I3200" s="55" t="s">
        <v>360</v>
      </c>
      <c r="J3200" s="55" t="s">
        <v>360</v>
      </c>
      <c r="K3200" s="55" t="s">
        <v>360</v>
      </c>
      <c r="L3200" s="55" t="s">
        <v>360</v>
      </c>
      <c r="M3200" s="55" t="s">
        <v>136</v>
      </c>
      <c r="N3200" s="55" t="s">
        <v>136</v>
      </c>
      <c r="O3200" s="55" t="s">
        <v>274</v>
      </c>
      <c r="P3200" s="55" t="s">
        <v>274</v>
      </c>
      <c r="Q3200" s="55" t="s">
        <v>350</v>
      </c>
      <c r="R3200" s="55">
        <v>2</v>
      </c>
      <c r="S3200" s="55"/>
      <c r="T3200" s="55" t="s">
        <v>385</v>
      </c>
    </row>
    <row r="3201" spans="1:20" ht="13" x14ac:dyDescent="0.15">
      <c r="A3201" s="72" t="str">
        <f t="shared" si="49"/>
        <v>Ofsted Social Care Provider Webpage</v>
      </c>
      <c r="B3201" s="55" t="s">
        <v>5990</v>
      </c>
      <c r="D3201" s="55" t="s">
        <v>373</v>
      </c>
      <c r="E3201" s="74">
        <v>41327</v>
      </c>
      <c r="F3201" s="55" t="s">
        <v>344</v>
      </c>
      <c r="G3201" s="55" t="s">
        <v>360</v>
      </c>
      <c r="H3201" s="55" t="s">
        <v>360</v>
      </c>
      <c r="I3201" s="55" t="s">
        <v>360</v>
      </c>
      <c r="J3201" s="55" t="s">
        <v>360</v>
      </c>
      <c r="K3201" s="55" t="s">
        <v>360</v>
      </c>
      <c r="L3201" s="55" t="s">
        <v>360</v>
      </c>
      <c r="M3201" s="55" t="s">
        <v>136</v>
      </c>
      <c r="N3201" s="55" t="s">
        <v>136</v>
      </c>
      <c r="O3201" s="55" t="s">
        <v>255</v>
      </c>
      <c r="P3201" s="55" t="s">
        <v>609</v>
      </c>
      <c r="Q3201" s="55" t="s">
        <v>350</v>
      </c>
      <c r="R3201" s="55">
        <v>3</v>
      </c>
      <c r="S3201" s="55"/>
      <c r="T3201" s="55" t="s">
        <v>385</v>
      </c>
    </row>
    <row r="3202" spans="1:20" ht="13" x14ac:dyDescent="0.15">
      <c r="A3202" s="72" t="str">
        <f t="shared" si="49"/>
        <v>Ofsted Social Care Provider Webpage</v>
      </c>
      <c r="B3202" s="55" t="s">
        <v>5991</v>
      </c>
      <c r="D3202" s="55" t="s">
        <v>373</v>
      </c>
      <c r="E3202" s="74">
        <v>41319</v>
      </c>
      <c r="F3202" s="55" t="s">
        <v>344</v>
      </c>
      <c r="G3202" s="55" t="s">
        <v>360</v>
      </c>
      <c r="H3202" s="55" t="s">
        <v>360</v>
      </c>
      <c r="I3202" s="55" t="s">
        <v>360</v>
      </c>
      <c r="J3202" s="55" t="s">
        <v>360</v>
      </c>
      <c r="K3202" s="55" t="s">
        <v>360</v>
      </c>
      <c r="L3202" s="55" t="s">
        <v>360</v>
      </c>
      <c r="M3202" s="55" t="s">
        <v>138</v>
      </c>
      <c r="N3202" s="55" t="s">
        <v>138</v>
      </c>
      <c r="O3202" s="55" t="s">
        <v>161</v>
      </c>
      <c r="P3202" s="55" t="s">
        <v>761</v>
      </c>
      <c r="Q3202" s="55" t="s">
        <v>362</v>
      </c>
      <c r="R3202" s="55">
        <v>5</v>
      </c>
      <c r="S3202" s="55"/>
      <c r="T3202" s="55" t="s">
        <v>1459</v>
      </c>
    </row>
    <row r="3203" spans="1:20" ht="13" x14ac:dyDescent="0.15">
      <c r="A3203" s="72" t="str">
        <f t="shared" si="49"/>
        <v>Ofsted Social Care Provider Webpage</v>
      </c>
      <c r="B3203" s="55" t="s">
        <v>5992</v>
      </c>
      <c r="D3203" s="55" t="s">
        <v>373</v>
      </c>
      <c r="E3203" s="74">
        <v>41264</v>
      </c>
      <c r="F3203" s="55" t="s">
        <v>344</v>
      </c>
      <c r="G3203" s="55" t="s">
        <v>360</v>
      </c>
      <c r="H3203" s="55" t="s">
        <v>360</v>
      </c>
      <c r="I3203" s="55" t="s">
        <v>360</v>
      </c>
      <c r="J3203" s="55" t="s">
        <v>360</v>
      </c>
      <c r="K3203" s="55" t="s">
        <v>360</v>
      </c>
      <c r="L3203" s="55" t="s">
        <v>360</v>
      </c>
      <c r="M3203" s="55" t="s">
        <v>378</v>
      </c>
      <c r="N3203" s="55" t="s">
        <v>170</v>
      </c>
      <c r="O3203" s="55" t="s">
        <v>193</v>
      </c>
      <c r="P3203" s="55" t="s">
        <v>193</v>
      </c>
      <c r="Q3203" s="55" t="s">
        <v>350</v>
      </c>
      <c r="R3203" s="55">
        <v>3</v>
      </c>
      <c r="S3203" s="55"/>
      <c r="T3203" s="55" t="s">
        <v>385</v>
      </c>
    </row>
    <row r="3204" spans="1:20" ht="13" x14ac:dyDescent="0.15">
      <c r="A3204" s="72" t="str">
        <f t="shared" si="49"/>
        <v>Ofsted Social Care Provider Webpage</v>
      </c>
      <c r="B3204" s="55" t="s">
        <v>5993</v>
      </c>
      <c r="D3204" s="55" t="s">
        <v>373</v>
      </c>
      <c r="E3204" s="74">
        <v>41319</v>
      </c>
      <c r="F3204" s="55" t="s">
        <v>344</v>
      </c>
      <c r="G3204" s="55" t="s">
        <v>360</v>
      </c>
      <c r="H3204" s="55" t="s">
        <v>360</v>
      </c>
      <c r="I3204" s="55" t="s">
        <v>360</v>
      </c>
      <c r="J3204" s="55" t="s">
        <v>360</v>
      </c>
      <c r="K3204" s="55" t="s">
        <v>360</v>
      </c>
      <c r="L3204" s="55" t="s">
        <v>360</v>
      </c>
      <c r="M3204" s="55" t="s">
        <v>144</v>
      </c>
      <c r="N3204" s="55" t="s">
        <v>144</v>
      </c>
      <c r="O3204" s="55" t="s">
        <v>188</v>
      </c>
      <c r="P3204" s="55" t="s">
        <v>188</v>
      </c>
      <c r="Q3204" s="55" t="s">
        <v>350</v>
      </c>
      <c r="R3204" s="55">
        <v>1</v>
      </c>
      <c r="S3204" s="55"/>
      <c r="T3204" s="55" t="s">
        <v>385</v>
      </c>
    </row>
    <row r="3205" spans="1:20" ht="13" x14ac:dyDescent="0.15">
      <c r="A3205" s="72" t="str">
        <f t="shared" ref="A3205:A3268" si="50">HYPERLINK(_xlfn.CONCAT("http://reports.ofsted.gov.uk/inspection-reports/find-inspection-report/provider/CARE/",B3205),"Ofsted Social Care Provider Webpage")</f>
        <v>Ofsted Social Care Provider Webpage</v>
      </c>
      <c r="B3205" s="55" t="s">
        <v>5994</v>
      </c>
      <c r="D3205" s="55" t="s">
        <v>373</v>
      </c>
      <c r="E3205" s="74">
        <v>41324</v>
      </c>
      <c r="F3205" s="55" t="s">
        <v>344</v>
      </c>
      <c r="G3205" s="55" t="s">
        <v>360</v>
      </c>
      <c r="H3205" s="55" t="s">
        <v>360</v>
      </c>
      <c r="I3205" s="55" t="s">
        <v>360</v>
      </c>
      <c r="J3205" s="55" t="s">
        <v>360</v>
      </c>
      <c r="K3205" s="55" t="s">
        <v>360</v>
      </c>
      <c r="L3205" s="55" t="s">
        <v>360</v>
      </c>
      <c r="M3205" s="55" t="s">
        <v>378</v>
      </c>
      <c r="N3205" s="55" t="s">
        <v>170</v>
      </c>
      <c r="O3205" s="55" t="s">
        <v>220</v>
      </c>
      <c r="P3205" s="55" t="s">
        <v>220</v>
      </c>
      <c r="Q3205" s="55" t="s">
        <v>350</v>
      </c>
      <c r="R3205" s="55">
        <v>1</v>
      </c>
      <c r="S3205" s="55"/>
      <c r="T3205" s="55" t="s">
        <v>385</v>
      </c>
    </row>
    <row r="3206" spans="1:20" ht="13" x14ac:dyDescent="0.15">
      <c r="A3206" s="72" t="str">
        <f t="shared" si="50"/>
        <v>Ofsted Social Care Provider Webpage</v>
      </c>
      <c r="B3206" s="55" t="s">
        <v>5995</v>
      </c>
      <c r="D3206" s="55" t="s">
        <v>373</v>
      </c>
      <c r="E3206" s="74">
        <v>41294</v>
      </c>
      <c r="F3206" s="55" t="s">
        <v>344</v>
      </c>
      <c r="G3206" s="55" t="s">
        <v>360</v>
      </c>
      <c r="H3206" s="55" t="s">
        <v>360</v>
      </c>
      <c r="I3206" s="55" t="s">
        <v>360</v>
      </c>
      <c r="J3206" s="55" t="s">
        <v>360</v>
      </c>
      <c r="K3206" s="55" t="s">
        <v>360</v>
      </c>
      <c r="L3206" s="55" t="s">
        <v>360</v>
      </c>
      <c r="M3206" s="55" t="s">
        <v>378</v>
      </c>
      <c r="N3206" s="55" t="s">
        <v>134</v>
      </c>
      <c r="O3206" s="55" t="s">
        <v>232</v>
      </c>
      <c r="P3206" s="55" t="s">
        <v>595</v>
      </c>
      <c r="Q3206" s="55" t="s">
        <v>350</v>
      </c>
      <c r="R3206" s="55">
        <v>2</v>
      </c>
      <c r="S3206" s="55"/>
      <c r="T3206" s="55" t="s">
        <v>385</v>
      </c>
    </row>
    <row r="3207" spans="1:20" ht="13" x14ac:dyDescent="0.15">
      <c r="A3207" s="72" t="str">
        <f t="shared" si="50"/>
        <v>Ofsted Social Care Provider Webpage</v>
      </c>
      <c r="B3207" s="55" t="s">
        <v>5996</v>
      </c>
      <c r="D3207" s="55" t="s">
        <v>373</v>
      </c>
      <c r="E3207" s="74">
        <v>41319</v>
      </c>
      <c r="F3207" s="55" t="s">
        <v>344</v>
      </c>
      <c r="G3207" s="55" t="s">
        <v>360</v>
      </c>
      <c r="H3207" s="55" t="s">
        <v>360</v>
      </c>
      <c r="I3207" s="55" t="s">
        <v>360</v>
      </c>
      <c r="J3207" s="55" t="s">
        <v>360</v>
      </c>
      <c r="K3207" s="55" t="s">
        <v>360</v>
      </c>
      <c r="L3207" s="55" t="s">
        <v>360</v>
      </c>
      <c r="M3207" s="55" t="s">
        <v>142</v>
      </c>
      <c r="N3207" s="55" t="s">
        <v>142</v>
      </c>
      <c r="O3207" s="55" t="s">
        <v>282</v>
      </c>
      <c r="P3207" s="55" t="s">
        <v>5997</v>
      </c>
      <c r="Q3207" s="55" t="s">
        <v>350</v>
      </c>
      <c r="R3207" s="55">
        <v>5</v>
      </c>
      <c r="S3207" s="55"/>
      <c r="T3207" s="55" t="s">
        <v>385</v>
      </c>
    </row>
    <row r="3208" spans="1:20" ht="13" x14ac:dyDescent="0.15">
      <c r="A3208" s="72" t="str">
        <f t="shared" si="50"/>
        <v>Ofsted Social Care Provider Webpage</v>
      </c>
      <c r="B3208" s="55" t="s">
        <v>5998</v>
      </c>
      <c r="D3208" s="55" t="s">
        <v>373</v>
      </c>
      <c r="E3208" s="74">
        <v>41332</v>
      </c>
      <c r="F3208" s="55" t="s">
        <v>344</v>
      </c>
      <c r="G3208" s="55" t="s">
        <v>360</v>
      </c>
      <c r="H3208" s="55" t="s">
        <v>360</v>
      </c>
      <c r="I3208" s="55" t="s">
        <v>360</v>
      </c>
      <c r="J3208" s="55" t="s">
        <v>360</v>
      </c>
      <c r="K3208" s="55" t="s">
        <v>360</v>
      </c>
      <c r="L3208" s="55" t="s">
        <v>360</v>
      </c>
      <c r="M3208" s="55" t="s">
        <v>172</v>
      </c>
      <c r="N3208" s="55" t="s">
        <v>172</v>
      </c>
      <c r="O3208" s="55" t="s">
        <v>234</v>
      </c>
      <c r="P3208" s="55" t="s">
        <v>965</v>
      </c>
      <c r="Q3208" s="55" t="s">
        <v>350</v>
      </c>
      <c r="R3208" s="55">
        <v>6</v>
      </c>
      <c r="S3208" s="55"/>
      <c r="T3208" s="55" t="s">
        <v>385</v>
      </c>
    </row>
    <row r="3209" spans="1:20" ht="13" x14ac:dyDescent="0.15">
      <c r="A3209" s="72" t="str">
        <f t="shared" si="50"/>
        <v>Ofsted Social Care Provider Webpage</v>
      </c>
      <c r="B3209" s="55" t="s">
        <v>5999</v>
      </c>
      <c r="D3209" s="55" t="s">
        <v>373</v>
      </c>
      <c r="E3209" s="74">
        <v>41347</v>
      </c>
      <c r="F3209" s="55" t="s">
        <v>344</v>
      </c>
      <c r="G3209" s="55" t="s">
        <v>360</v>
      </c>
      <c r="H3209" s="55" t="s">
        <v>360</v>
      </c>
      <c r="I3209" s="55" t="s">
        <v>360</v>
      </c>
      <c r="J3209" s="55" t="s">
        <v>360</v>
      </c>
      <c r="K3209" s="55" t="s">
        <v>360</v>
      </c>
      <c r="L3209" s="55" t="s">
        <v>360</v>
      </c>
      <c r="M3209" s="55" t="s">
        <v>136</v>
      </c>
      <c r="N3209" s="55" t="s">
        <v>136</v>
      </c>
      <c r="O3209" s="55" t="s">
        <v>165</v>
      </c>
      <c r="P3209" s="55" t="s">
        <v>748</v>
      </c>
      <c r="Q3209" s="55" t="s">
        <v>350</v>
      </c>
      <c r="R3209" s="55">
        <v>3</v>
      </c>
      <c r="S3209" s="55"/>
      <c r="T3209" s="55" t="s">
        <v>385</v>
      </c>
    </row>
    <row r="3210" spans="1:20" ht="13" x14ac:dyDescent="0.15">
      <c r="A3210" s="72" t="str">
        <f t="shared" si="50"/>
        <v>Ofsted Social Care Provider Webpage</v>
      </c>
      <c r="B3210" s="55" t="s">
        <v>6000</v>
      </c>
      <c r="D3210" s="55" t="s">
        <v>373</v>
      </c>
      <c r="E3210" s="74">
        <v>41347</v>
      </c>
      <c r="F3210" s="55" t="s">
        <v>344</v>
      </c>
      <c r="G3210" s="55" t="s">
        <v>360</v>
      </c>
      <c r="H3210" s="55" t="s">
        <v>360</v>
      </c>
      <c r="I3210" s="55" t="s">
        <v>360</v>
      </c>
      <c r="J3210" s="55" t="s">
        <v>360</v>
      </c>
      <c r="K3210" s="55" t="s">
        <v>360</v>
      </c>
      <c r="L3210" s="55" t="s">
        <v>360</v>
      </c>
      <c r="M3210" s="55" t="s">
        <v>136</v>
      </c>
      <c r="N3210" s="55" t="s">
        <v>136</v>
      </c>
      <c r="O3210" s="55" t="s">
        <v>174</v>
      </c>
      <c r="P3210" s="55" t="s">
        <v>3555</v>
      </c>
      <c r="Q3210" s="55" t="s">
        <v>350</v>
      </c>
      <c r="R3210" s="55">
        <v>2</v>
      </c>
      <c r="S3210" s="55"/>
      <c r="T3210" s="55" t="s">
        <v>385</v>
      </c>
    </row>
    <row r="3211" spans="1:20" ht="13" x14ac:dyDescent="0.15">
      <c r="A3211" s="72" t="str">
        <f t="shared" si="50"/>
        <v>Ofsted Social Care Provider Webpage</v>
      </c>
      <c r="B3211" s="55" t="s">
        <v>6001</v>
      </c>
      <c r="D3211" s="55" t="s">
        <v>373</v>
      </c>
      <c r="E3211" s="74">
        <v>41347</v>
      </c>
      <c r="F3211" s="55" t="s">
        <v>344</v>
      </c>
      <c r="G3211" s="55" t="s">
        <v>360</v>
      </c>
      <c r="H3211" s="55" t="s">
        <v>360</v>
      </c>
      <c r="I3211" s="55" t="s">
        <v>360</v>
      </c>
      <c r="J3211" s="55" t="s">
        <v>360</v>
      </c>
      <c r="K3211" s="55" t="s">
        <v>360</v>
      </c>
      <c r="L3211" s="55" t="s">
        <v>360</v>
      </c>
      <c r="M3211" s="55" t="s">
        <v>136</v>
      </c>
      <c r="N3211" s="55" t="s">
        <v>136</v>
      </c>
      <c r="O3211" s="55" t="s">
        <v>274</v>
      </c>
      <c r="P3211" s="55" t="s">
        <v>274</v>
      </c>
      <c r="Q3211" s="55" t="s">
        <v>350</v>
      </c>
      <c r="R3211" s="55">
        <v>1</v>
      </c>
      <c r="S3211" s="55"/>
      <c r="T3211" s="55" t="s">
        <v>385</v>
      </c>
    </row>
    <row r="3212" spans="1:20" ht="13" x14ac:dyDescent="0.15">
      <c r="A3212" s="72" t="str">
        <f t="shared" si="50"/>
        <v>Ofsted Social Care Provider Webpage</v>
      </c>
      <c r="B3212" s="55" t="s">
        <v>6002</v>
      </c>
      <c r="D3212" s="55" t="s">
        <v>373</v>
      </c>
      <c r="E3212" s="74">
        <v>41319</v>
      </c>
      <c r="F3212" s="55" t="s">
        <v>344</v>
      </c>
      <c r="G3212" s="55" t="s">
        <v>360</v>
      </c>
      <c r="H3212" s="55" t="s">
        <v>360</v>
      </c>
      <c r="I3212" s="55" t="s">
        <v>360</v>
      </c>
      <c r="J3212" s="55" t="s">
        <v>360</v>
      </c>
      <c r="K3212" s="55" t="s">
        <v>360</v>
      </c>
      <c r="L3212" s="55" t="s">
        <v>360</v>
      </c>
      <c r="M3212" s="55" t="s">
        <v>378</v>
      </c>
      <c r="N3212" s="55" t="s">
        <v>170</v>
      </c>
      <c r="O3212" s="55" t="s">
        <v>178</v>
      </c>
      <c r="P3212" s="55" t="s">
        <v>952</v>
      </c>
      <c r="Q3212" s="55" t="s">
        <v>350</v>
      </c>
      <c r="R3212" s="55">
        <v>3</v>
      </c>
      <c r="S3212" s="55"/>
      <c r="T3212" s="55" t="s">
        <v>385</v>
      </c>
    </row>
    <row r="3213" spans="1:20" ht="13" x14ac:dyDescent="0.15">
      <c r="A3213" s="72" t="str">
        <f t="shared" si="50"/>
        <v>Ofsted Social Care Provider Webpage</v>
      </c>
      <c r="B3213" s="55" t="s">
        <v>6003</v>
      </c>
      <c r="D3213" s="55" t="s">
        <v>373</v>
      </c>
      <c r="E3213" s="74">
        <v>41368</v>
      </c>
      <c r="F3213" s="55" t="s">
        <v>344</v>
      </c>
      <c r="G3213" s="55" t="s">
        <v>360</v>
      </c>
      <c r="H3213" s="55" t="s">
        <v>360</v>
      </c>
      <c r="I3213" s="55" t="s">
        <v>360</v>
      </c>
      <c r="J3213" s="55" t="s">
        <v>360</v>
      </c>
      <c r="K3213" s="55" t="s">
        <v>360</v>
      </c>
      <c r="L3213" s="55" t="s">
        <v>360</v>
      </c>
      <c r="M3213" s="55" t="s">
        <v>172</v>
      </c>
      <c r="N3213" s="55" t="s">
        <v>172</v>
      </c>
      <c r="O3213" s="55" t="s">
        <v>284</v>
      </c>
      <c r="P3213" s="55" t="s">
        <v>985</v>
      </c>
      <c r="Q3213" s="55" t="s">
        <v>350</v>
      </c>
      <c r="R3213" s="55">
        <v>2</v>
      </c>
      <c r="S3213" s="55"/>
      <c r="T3213" s="55" t="s">
        <v>385</v>
      </c>
    </row>
    <row r="3214" spans="1:20" ht="13" x14ac:dyDescent="0.15">
      <c r="A3214" s="72" t="str">
        <f t="shared" si="50"/>
        <v>Ofsted Social Care Provider Webpage</v>
      </c>
      <c r="B3214" s="55" t="s">
        <v>6004</v>
      </c>
      <c r="D3214" s="55" t="s">
        <v>389</v>
      </c>
      <c r="E3214" s="74">
        <v>41311</v>
      </c>
      <c r="F3214" s="55" t="s">
        <v>344</v>
      </c>
      <c r="G3214" s="55" t="s">
        <v>6005</v>
      </c>
      <c r="H3214" s="55" t="s">
        <v>6006</v>
      </c>
      <c r="I3214" s="55" t="s">
        <v>6007</v>
      </c>
      <c r="J3214" s="55" t="s">
        <v>6008</v>
      </c>
      <c r="K3214" s="55" t="s">
        <v>266</v>
      </c>
      <c r="L3214" s="55" t="s">
        <v>6009</v>
      </c>
      <c r="M3214" s="55" t="s">
        <v>138</v>
      </c>
      <c r="N3214" s="55" t="s">
        <v>138</v>
      </c>
      <c r="O3214" s="55" t="s">
        <v>266</v>
      </c>
      <c r="P3214" s="55" t="s">
        <v>4472</v>
      </c>
      <c r="Q3214" s="55" t="s">
        <v>350</v>
      </c>
      <c r="R3214" s="55"/>
      <c r="S3214" s="55"/>
      <c r="T3214" s="55" t="s">
        <v>6010</v>
      </c>
    </row>
    <row r="3215" spans="1:20" ht="13" x14ac:dyDescent="0.15">
      <c r="A3215" s="72" t="str">
        <f t="shared" si="50"/>
        <v>Ofsted Social Care Provider Webpage</v>
      </c>
      <c r="B3215" s="55" t="s">
        <v>6011</v>
      </c>
      <c r="D3215" s="55" t="s">
        <v>373</v>
      </c>
      <c r="E3215" s="74">
        <v>41250</v>
      </c>
      <c r="F3215" s="55" t="s">
        <v>344</v>
      </c>
      <c r="G3215" s="55" t="s">
        <v>360</v>
      </c>
      <c r="H3215" s="55" t="s">
        <v>360</v>
      </c>
      <c r="I3215" s="55" t="s">
        <v>360</v>
      </c>
      <c r="J3215" s="55" t="s">
        <v>360</v>
      </c>
      <c r="K3215" s="55" t="s">
        <v>360</v>
      </c>
      <c r="L3215" s="55" t="s">
        <v>360</v>
      </c>
      <c r="M3215" s="55" t="s">
        <v>129</v>
      </c>
      <c r="N3215" s="55" t="s">
        <v>129</v>
      </c>
      <c r="O3215" s="55" t="s">
        <v>152</v>
      </c>
      <c r="P3215" s="55" t="s">
        <v>1130</v>
      </c>
      <c r="Q3215" s="55" t="s">
        <v>380</v>
      </c>
      <c r="R3215" s="55">
        <v>8</v>
      </c>
      <c r="S3215" s="55" t="s">
        <v>332</v>
      </c>
      <c r="T3215" s="55" t="s">
        <v>6012</v>
      </c>
    </row>
    <row r="3216" spans="1:20" ht="13" x14ac:dyDescent="0.15">
      <c r="A3216" s="72" t="str">
        <f t="shared" si="50"/>
        <v>Ofsted Social Care Provider Webpage</v>
      </c>
      <c r="B3216" s="55" t="s">
        <v>6013</v>
      </c>
      <c r="D3216" s="55" t="s">
        <v>389</v>
      </c>
      <c r="E3216" s="74">
        <v>41368</v>
      </c>
      <c r="F3216" s="55" t="s">
        <v>344</v>
      </c>
      <c r="G3216" s="55" t="s">
        <v>6014</v>
      </c>
      <c r="H3216" s="55" t="s">
        <v>6015</v>
      </c>
      <c r="I3216" s="55" t="s">
        <v>6016</v>
      </c>
      <c r="J3216" s="55" t="s">
        <v>141</v>
      </c>
      <c r="K3216" s="55" t="s">
        <v>142</v>
      </c>
      <c r="L3216" s="55" t="s">
        <v>6017</v>
      </c>
      <c r="M3216" s="55" t="s">
        <v>142</v>
      </c>
      <c r="N3216" s="55" t="s">
        <v>142</v>
      </c>
      <c r="O3216" s="55" t="s">
        <v>141</v>
      </c>
      <c r="P3216" s="55" t="s">
        <v>1231</v>
      </c>
      <c r="Q3216" s="55" t="s">
        <v>350</v>
      </c>
      <c r="R3216" s="55"/>
      <c r="S3216" s="55"/>
      <c r="T3216" s="55" t="s">
        <v>6018</v>
      </c>
    </row>
    <row r="3217" spans="1:20" ht="13" x14ac:dyDescent="0.15">
      <c r="A3217" s="72" t="str">
        <f t="shared" si="50"/>
        <v>Ofsted Social Care Provider Webpage</v>
      </c>
      <c r="B3217" s="55" t="s">
        <v>6019</v>
      </c>
      <c r="D3217" s="55" t="s">
        <v>389</v>
      </c>
      <c r="E3217" s="74">
        <v>41347</v>
      </c>
      <c r="F3217" s="55" t="s">
        <v>344</v>
      </c>
      <c r="G3217" s="55" t="s">
        <v>6020</v>
      </c>
      <c r="H3217" s="55" t="s">
        <v>5524</v>
      </c>
      <c r="I3217" s="55" t="s">
        <v>6021</v>
      </c>
      <c r="J3217" s="55" t="s">
        <v>6022</v>
      </c>
      <c r="K3217" s="55" t="s">
        <v>129</v>
      </c>
      <c r="L3217" s="55" t="s">
        <v>6023</v>
      </c>
      <c r="M3217" s="55" t="s">
        <v>129</v>
      </c>
      <c r="N3217" s="55" t="s">
        <v>129</v>
      </c>
      <c r="O3217" s="55" t="s">
        <v>242</v>
      </c>
      <c r="P3217" s="55" t="s">
        <v>1128</v>
      </c>
      <c r="Q3217" s="55" t="s">
        <v>350</v>
      </c>
      <c r="R3217" s="55"/>
      <c r="S3217" s="55"/>
      <c r="T3217" s="55" t="s">
        <v>6020</v>
      </c>
    </row>
    <row r="3218" spans="1:20" ht="13" x14ac:dyDescent="0.15">
      <c r="A3218" s="72" t="str">
        <f t="shared" si="50"/>
        <v>Ofsted Social Care Provider Webpage</v>
      </c>
      <c r="B3218" s="55" t="s">
        <v>6024</v>
      </c>
      <c r="D3218" s="55" t="s">
        <v>373</v>
      </c>
      <c r="E3218" s="74">
        <v>41254</v>
      </c>
      <c r="F3218" s="55" t="s">
        <v>344</v>
      </c>
      <c r="G3218" s="55" t="s">
        <v>360</v>
      </c>
      <c r="H3218" s="55" t="s">
        <v>360</v>
      </c>
      <c r="I3218" s="55" t="s">
        <v>360</v>
      </c>
      <c r="J3218" s="55" t="s">
        <v>360</v>
      </c>
      <c r="K3218" s="55" t="s">
        <v>360</v>
      </c>
      <c r="L3218" s="55" t="s">
        <v>360</v>
      </c>
      <c r="M3218" s="55" t="s">
        <v>142</v>
      </c>
      <c r="N3218" s="55" t="s">
        <v>142</v>
      </c>
      <c r="O3218" s="55" t="s">
        <v>195</v>
      </c>
      <c r="P3218" s="55" t="s">
        <v>518</v>
      </c>
      <c r="Q3218" s="55" t="s">
        <v>350</v>
      </c>
      <c r="R3218" s="55">
        <v>4</v>
      </c>
      <c r="S3218" s="55"/>
      <c r="T3218" s="55" t="s">
        <v>385</v>
      </c>
    </row>
    <row r="3219" spans="1:20" ht="13" x14ac:dyDescent="0.15">
      <c r="A3219" s="72" t="str">
        <f t="shared" si="50"/>
        <v>Ofsted Social Care Provider Webpage</v>
      </c>
      <c r="B3219" s="55" t="s">
        <v>6025</v>
      </c>
      <c r="D3219" s="55" t="s">
        <v>373</v>
      </c>
      <c r="E3219" s="74">
        <v>41320</v>
      </c>
      <c r="F3219" s="55" t="s">
        <v>344</v>
      </c>
      <c r="G3219" s="55" t="s">
        <v>360</v>
      </c>
      <c r="H3219" s="55" t="s">
        <v>360</v>
      </c>
      <c r="I3219" s="55" t="s">
        <v>360</v>
      </c>
      <c r="J3219" s="55" t="s">
        <v>360</v>
      </c>
      <c r="K3219" s="55" t="s">
        <v>360</v>
      </c>
      <c r="L3219" s="55" t="s">
        <v>360</v>
      </c>
      <c r="M3219" s="55" t="s">
        <v>138</v>
      </c>
      <c r="N3219" s="55" t="s">
        <v>138</v>
      </c>
      <c r="O3219" s="55" t="s">
        <v>183</v>
      </c>
      <c r="P3219" s="55" t="s">
        <v>907</v>
      </c>
      <c r="Q3219" s="55" t="s">
        <v>350</v>
      </c>
      <c r="R3219" s="55">
        <v>3</v>
      </c>
      <c r="S3219" s="55"/>
      <c r="T3219" s="55" t="s">
        <v>385</v>
      </c>
    </row>
    <row r="3220" spans="1:20" ht="13" x14ac:dyDescent="0.15">
      <c r="A3220" s="72" t="str">
        <f t="shared" si="50"/>
        <v>Ofsted Social Care Provider Webpage</v>
      </c>
      <c r="B3220" s="55" t="s">
        <v>6026</v>
      </c>
      <c r="D3220" s="55" t="s">
        <v>373</v>
      </c>
      <c r="E3220" s="74">
        <v>41320</v>
      </c>
      <c r="F3220" s="55" t="s">
        <v>344</v>
      </c>
      <c r="G3220" s="55" t="s">
        <v>360</v>
      </c>
      <c r="H3220" s="55" t="s">
        <v>360</v>
      </c>
      <c r="I3220" s="55" t="s">
        <v>360</v>
      </c>
      <c r="J3220" s="55" t="s">
        <v>360</v>
      </c>
      <c r="K3220" s="55" t="s">
        <v>360</v>
      </c>
      <c r="L3220" s="55" t="s">
        <v>360</v>
      </c>
      <c r="M3220" s="55" t="s">
        <v>138</v>
      </c>
      <c r="N3220" s="55" t="s">
        <v>138</v>
      </c>
      <c r="O3220" s="55" t="s">
        <v>183</v>
      </c>
      <c r="P3220" s="55" t="s">
        <v>907</v>
      </c>
      <c r="Q3220" s="55" t="s">
        <v>350</v>
      </c>
      <c r="R3220" s="55">
        <v>3</v>
      </c>
      <c r="S3220" s="55"/>
      <c r="T3220" s="55" t="s">
        <v>385</v>
      </c>
    </row>
    <row r="3221" spans="1:20" ht="13" x14ac:dyDescent="0.15">
      <c r="A3221" s="72" t="str">
        <f t="shared" si="50"/>
        <v>Ofsted Social Care Provider Webpage</v>
      </c>
      <c r="B3221" s="55" t="s">
        <v>6027</v>
      </c>
      <c r="D3221" s="55" t="s">
        <v>479</v>
      </c>
      <c r="E3221" s="74">
        <v>41306</v>
      </c>
      <c r="F3221" s="55" t="s">
        <v>344</v>
      </c>
      <c r="G3221" s="55" t="s">
        <v>360</v>
      </c>
      <c r="H3221" s="55" t="s">
        <v>360</v>
      </c>
      <c r="I3221" s="55" t="s">
        <v>360</v>
      </c>
      <c r="J3221" s="55" t="s">
        <v>360</v>
      </c>
      <c r="K3221" s="55" t="s">
        <v>360</v>
      </c>
      <c r="L3221" s="55" t="s">
        <v>360</v>
      </c>
      <c r="M3221" s="55" t="s">
        <v>378</v>
      </c>
      <c r="N3221" s="55" t="s">
        <v>134</v>
      </c>
      <c r="O3221" s="55" t="s">
        <v>251</v>
      </c>
      <c r="P3221" s="55" t="s">
        <v>4046</v>
      </c>
      <c r="Q3221" s="55" t="s">
        <v>380</v>
      </c>
      <c r="R3221" s="55">
        <v>19</v>
      </c>
      <c r="S3221" s="55"/>
      <c r="T3221" s="55" t="s">
        <v>3358</v>
      </c>
    </row>
    <row r="3222" spans="1:20" ht="13" x14ac:dyDescent="0.15">
      <c r="A3222" s="72" t="str">
        <f t="shared" si="50"/>
        <v>Ofsted Social Care Provider Webpage</v>
      </c>
      <c r="B3222" s="55" t="s">
        <v>6028</v>
      </c>
      <c r="D3222" s="55" t="s">
        <v>389</v>
      </c>
      <c r="E3222" s="74">
        <v>41306</v>
      </c>
      <c r="F3222" s="55" t="s">
        <v>344</v>
      </c>
      <c r="G3222" s="55" t="s">
        <v>2240</v>
      </c>
      <c r="H3222" s="55" t="s">
        <v>6029</v>
      </c>
      <c r="I3222" s="55" t="s">
        <v>6030</v>
      </c>
      <c r="J3222" s="55" t="s">
        <v>6031</v>
      </c>
      <c r="K3222" s="55" t="s">
        <v>268</v>
      </c>
      <c r="L3222" s="55" t="s">
        <v>6032</v>
      </c>
      <c r="M3222" s="55" t="s">
        <v>129</v>
      </c>
      <c r="N3222" s="55" t="s">
        <v>129</v>
      </c>
      <c r="O3222" s="55" t="s">
        <v>269</v>
      </c>
      <c r="P3222" s="55" t="s">
        <v>1951</v>
      </c>
      <c r="Q3222" s="55" t="s">
        <v>350</v>
      </c>
      <c r="R3222" s="55"/>
      <c r="S3222" s="55"/>
      <c r="T3222" s="55" t="s">
        <v>2240</v>
      </c>
    </row>
    <row r="3223" spans="1:20" ht="13" x14ac:dyDescent="0.15">
      <c r="A3223" s="72" t="str">
        <f t="shared" si="50"/>
        <v>Ofsted Social Care Provider Webpage</v>
      </c>
      <c r="B3223" s="55" t="s">
        <v>6033</v>
      </c>
      <c r="D3223" s="55" t="s">
        <v>373</v>
      </c>
      <c r="E3223" s="74">
        <v>41284</v>
      </c>
      <c r="F3223" s="55" t="s">
        <v>344</v>
      </c>
      <c r="G3223" s="55" t="s">
        <v>360</v>
      </c>
      <c r="H3223" s="55" t="s">
        <v>360</v>
      </c>
      <c r="I3223" s="55" t="s">
        <v>360</v>
      </c>
      <c r="J3223" s="55" t="s">
        <v>360</v>
      </c>
      <c r="K3223" s="55" t="s">
        <v>360</v>
      </c>
      <c r="L3223" s="55" t="s">
        <v>360</v>
      </c>
      <c r="M3223" s="55" t="s">
        <v>138</v>
      </c>
      <c r="N3223" s="55" t="s">
        <v>138</v>
      </c>
      <c r="O3223" s="55" t="s">
        <v>196</v>
      </c>
      <c r="P3223" s="55" t="s">
        <v>1506</v>
      </c>
      <c r="Q3223" s="55" t="s">
        <v>380</v>
      </c>
      <c r="R3223" s="55">
        <v>7</v>
      </c>
      <c r="S3223" s="55"/>
      <c r="T3223" s="55" t="s">
        <v>2082</v>
      </c>
    </row>
    <row r="3224" spans="1:20" ht="13" x14ac:dyDescent="0.15">
      <c r="A3224" s="72" t="str">
        <f t="shared" si="50"/>
        <v>Ofsted Social Care Provider Webpage</v>
      </c>
      <c r="B3224" s="55" t="s">
        <v>6034</v>
      </c>
      <c r="D3224" s="55" t="s">
        <v>389</v>
      </c>
      <c r="E3224" s="74">
        <v>41299</v>
      </c>
      <c r="F3224" s="55" t="s">
        <v>344</v>
      </c>
      <c r="G3224" s="55" t="s">
        <v>6035</v>
      </c>
      <c r="H3224" s="55" t="s">
        <v>6036</v>
      </c>
      <c r="I3224" s="55" t="s">
        <v>6037</v>
      </c>
      <c r="J3224" s="55" t="s">
        <v>1179</v>
      </c>
      <c r="L3224" s="55" t="s">
        <v>6038</v>
      </c>
      <c r="M3224" s="55" t="s">
        <v>142</v>
      </c>
      <c r="N3224" s="55" t="s">
        <v>142</v>
      </c>
      <c r="O3224" s="55" t="s">
        <v>249</v>
      </c>
      <c r="P3224" s="55" t="s">
        <v>1181</v>
      </c>
      <c r="Q3224" s="55" t="s">
        <v>362</v>
      </c>
      <c r="R3224" s="55"/>
      <c r="S3224" s="55"/>
      <c r="T3224" s="55" t="s">
        <v>432</v>
      </c>
    </row>
    <row r="3225" spans="1:20" ht="13" x14ac:dyDescent="0.15">
      <c r="A3225" s="72" t="str">
        <f t="shared" si="50"/>
        <v>Ofsted Social Care Provider Webpage</v>
      </c>
      <c r="B3225" s="55" t="s">
        <v>6039</v>
      </c>
      <c r="D3225" s="55" t="s">
        <v>373</v>
      </c>
      <c r="E3225" s="74">
        <v>41347</v>
      </c>
      <c r="F3225" s="55" t="s">
        <v>344</v>
      </c>
      <c r="G3225" s="55" t="s">
        <v>360</v>
      </c>
      <c r="H3225" s="55" t="s">
        <v>360</v>
      </c>
      <c r="I3225" s="55" t="s">
        <v>360</v>
      </c>
      <c r="J3225" s="55" t="s">
        <v>360</v>
      </c>
      <c r="K3225" s="55" t="s">
        <v>360</v>
      </c>
      <c r="L3225" s="55" t="s">
        <v>360</v>
      </c>
      <c r="M3225" s="55" t="s">
        <v>136</v>
      </c>
      <c r="N3225" s="55" t="s">
        <v>136</v>
      </c>
      <c r="O3225" s="55" t="s">
        <v>174</v>
      </c>
      <c r="P3225" s="55" t="s">
        <v>651</v>
      </c>
      <c r="Q3225" s="55" t="s">
        <v>350</v>
      </c>
      <c r="R3225" s="55">
        <v>3</v>
      </c>
      <c r="S3225" s="55"/>
      <c r="T3225" s="55" t="s">
        <v>385</v>
      </c>
    </row>
    <row r="3226" spans="1:20" ht="13" x14ac:dyDescent="0.15">
      <c r="A3226" s="72" t="str">
        <f t="shared" si="50"/>
        <v>Ofsted Social Care Provider Webpage</v>
      </c>
      <c r="B3226" s="55" t="s">
        <v>6040</v>
      </c>
      <c r="D3226" s="55" t="s">
        <v>373</v>
      </c>
      <c r="E3226" s="74">
        <v>41304</v>
      </c>
      <c r="F3226" s="55" t="s">
        <v>344</v>
      </c>
      <c r="G3226" s="55" t="s">
        <v>360</v>
      </c>
      <c r="H3226" s="55" t="s">
        <v>360</v>
      </c>
      <c r="I3226" s="55" t="s">
        <v>360</v>
      </c>
      <c r="J3226" s="55" t="s">
        <v>360</v>
      </c>
      <c r="K3226" s="55" t="s">
        <v>360</v>
      </c>
      <c r="L3226" s="55" t="s">
        <v>360</v>
      </c>
      <c r="M3226" s="55" t="s">
        <v>378</v>
      </c>
      <c r="N3226" s="55" t="s">
        <v>170</v>
      </c>
      <c r="O3226" s="55" t="s">
        <v>178</v>
      </c>
      <c r="P3226" s="55" t="s">
        <v>434</v>
      </c>
      <c r="Q3226" s="55" t="s">
        <v>362</v>
      </c>
      <c r="R3226" s="55">
        <v>6</v>
      </c>
      <c r="S3226" s="55" t="s">
        <v>332</v>
      </c>
      <c r="T3226" s="55" t="s">
        <v>5369</v>
      </c>
    </row>
    <row r="3227" spans="1:20" ht="13" x14ac:dyDescent="0.15">
      <c r="A3227" s="72" t="str">
        <f t="shared" si="50"/>
        <v>Ofsted Social Care Provider Webpage</v>
      </c>
      <c r="B3227" s="55" t="s">
        <v>6041</v>
      </c>
      <c r="D3227" s="55" t="s">
        <v>373</v>
      </c>
      <c r="E3227" s="74">
        <v>41306</v>
      </c>
      <c r="F3227" s="55" t="s">
        <v>344</v>
      </c>
      <c r="G3227" s="55" t="s">
        <v>360</v>
      </c>
      <c r="H3227" s="55" t="s">
        <v>360</v>
      </c>
      <c r="I3227" s="55" t="s">
        <v>360</v>
      </c>
      <c r="J3227" s="55" t="s">
        <v>360</v>
      </c>
      <c r="K3227" s="55" t="s">
        <v>360</v>
      </c>
      <c r="L3227" s="55" t="s">
        <v>360</v>
      </c>
      <c r="M3227" s="55" t="s">
        <v>378</v>
      </c>
      <c r="N3227" s="55" t="s">
        <v>170</v>
      </c>
      <c r="O3227" s="55" t="s">
        <v>178</v>
      </c>
      <c r="P3227" s="55" t="s">
        <v>434</v>
      </c>
      <c r="Q3227" s="55" t="s">
        <v>362</v>
      </c>
      <c r="R3227" s="55">
        <v>8</v>
      </c>
      <c r="S3227" s="55"/>
      <c r="T3227" s="55" t="s">
        <v>5369</v>
      </c>
    </row>
    <row r="3228" spans="1:20" ht="13" x14ac:dyDescent="0.15">
      <c r="A3228" s="72" t="str">
        <f t="shared" si="50"/>
        <v>Ofsted Social Care Provider Webpage</v>
      </c>
      <c r="B3228" s="55" t="s">
        <v>6042</v>
      </c>
      <c r="D3228" s="55" t="s">
        <v>373</v>
      </c>
      <c r="E3228" s="74">
        <v>41361</v>
      </c>
      <c r="F3228" s="55" t="s">
        <v>344</v>
      </c>
      <c r="G3228" s="55" t="s">
        <v>360</v>
      </c>
      <c r="H3228" s="55" t="s">
        <v>360</v>
      </c>
      <c r="I3228" s="55" t="s">
        <v>360</v>
      </c>
      <c r="J3228" s="55" t="s">
        <v>360</v>
      </c>
      <c r="K3228" s="55" t="s">
        <v>360</v>
      </c>
      <c r="L3228" s="55" t="s">
        <v>360</v>
      </c>
      <c r="M3228" s="55" t="s">
        <v>136</v>
      </c>
      <c r="N3228" s="55" t="s">
        <v>136</v>
      </c>
      <c r="O3228" s="55" t="s">
        <v>239</v>
      </c>
      <c r="P3228" s="55" t="s">
        <v>738</v>
      </c>
      <c r="Q3228" s="55" t="s">
        <v>350</v>
      </c>
      <c r="R3228" s="55">
        <v>2</v>
      </c>
      <c r="S3228" s="55"/>
      <c r="T3228" s="55" t="s">
        <v>858</v>
      </c>
    </row>
    <row r="3229" spans="1:20" ht="13" x14ac:dyDescent="0.15">
      <c r="A3229" s="72" t="str">
        <f t="shared" si="50"/>
        <v>Ofsted Social Care Provider Webpage</v>
      </c>
      <c r="B3229" s="55" t="s">
        <v>6043</v>
      </c>
      <c r="D3229" s="55" t="s">
        <v>373</v>
      </c>
      <c r="E3229" s="74">
        <v>41330</v>
      </c>
      <c r="F3229" s="55" t="s">
        <v>344</v>
      </c>
      <c r="G3229" s="55" t="s">
        <v>360</v>
      </c>
      <c r="H3229" s="55" t="s">
        <v>360</v>
      </c>
      <c r="I3229" s="55" t="s">
        <v>360</v>
      </c>
      <c r="J3229" s="55" t="s">
        <v>360</v>
      </c>
      <c r="K3229" s="55" t="s">
        <v>360</v>
      </c>
      <c r="L3229" s="55" t="s">
        <v>360</v>
      </c>
      <c r="M3229" s="55" t="s">
        <v>136</v>
      </c>
      <c r="N3229" s="55" t="s">
        <v>136</v>
      </c>
      <c r="O3229" s="55" t="s">
        <v>239</v>
      </c>
      <c r="P3229" s="55" t="s">
        <v>738</v>
      </c>
      <c r="Q3229" s="55" t="s">
        <v>350</v>
      </c>
      <c r="R3229" s="55">
        <v>1</v>
      </c>
      <c r="S3229" s="55"/>
      <c r="T3229" s="55" t="s">
        <v>858</v>
      </c>
    </row>
    <row r="3230" spans="1:20" ht="13" x14ac:dyDescent="0.15">
      <c r="A3230" s="72" t="str">
        <f t="shared" si="50"/>
        <v>Ofsted Social Care Provider Webpage</v>
      </c>
      <c r="B3230" s="55" t="s">
        <v>6044</v>
      </c>
      <c r="D3230" s="55" t="s">
        <v>373</v>
      </c>
      <c r="E3230" s="74">
        <v>41325</v>
      </c>
      <c r="F3230" s="55" t="s">
        <v>344</v>
      </c>
      <c r="G3230" s="55" t="s">
        <v>360</v>
      </c>
      <c r="H3230" s="55" t="s">
        <v>360</v>
      </c>
      <c r="I3230" s="55" t="s">
        <v>360</v>
      </c>
      <c r="J3230" s="55" t="s">
        <v>360</v>
      </c>
      <c r="K3230" s="55" t="s">
        <v>360</v>
      </c>
      <c r="L3230" s="55" t="s">
        <v>360</v>
      </c>
      <c r="M3230" s="55" t="s">
        <v>138</v>
      </c>
      <c r="N3230" s="55" t="s">
        <v>138</v>
      </c>
      <c r="O3230" s="55" t="s">
        <v>224</v>
      </c>
      <c r="P3230" s="55" t="s">
        <v>374</v>
      </c>
      <c r="Q3230" s="55" t="s">
        <v>350</v>
      </c>
      <c r="R3230" s="55">
        <v>4</v>
      </c>
      <c r="S3230" s="55"/>
      <c r="T3230" s="55" t="s">
        <v>385</v>
      </c>
    </row>
    <row r="3231" spans="1:20" ht="13" x14ac:dyDescent="0.15">
      <c r="A3231" s="72" t="str">
        <f t="shared" si="50"/>
        <v>Ofsted Social Care Provider Webpage</v>
      </c>
      <c r="B3231" s="55" t="s">
        <v>6045</v>
      </c>
      <c r="D3231" s="55" t="s">
        <v>373</v>
      </c>
      <c r="E3231" s="74">
        <v>41568</v>
      </c>
      <c r="F3231" s="55" t="s">
        <v>344</v>
      </c>
      <c r="G3231" s="55" t="s">
        <v>360</v>
      </c>
      <c r="H3231" s="55" t="s">
        <v>360</v>
      </c>
      <c r="I3231" s="55" t="s">
        <v>360</v>
      </c>
      <c r="J3231" s="55" t="s">
        <v>360</v>
      </c>
      <c r="K3231" s="55" t="s">
        <v>360</v>
      </c>
      <c r="L3231" s="55" t="s">
        <v>360</v>
      </c>
      <c r="M3231" s="55" t="s">
        <v>129</v>
      </c>
      <c r="N3231" s="55" t="s">
        <v>129</v>
      </c>
      <c r="O3231" s="55" t="s">
        <v>186</v>
      </c>
      <c r="P3231" s="55" t="s">
        <v>1639</v>
      </c>
      <c r="Q3231" s="55" t="s">
        <v>350</v>
      </c>
      <c r="R3231" s="55">
        <v>3</v>
      </c>
      <c r="S3231" s="55"/>
      <c r="T3231" s="55" t="s">
        <v>713</v>
      </c>
    </row>
    <row r="3232" spans="1:20" ht="13" x14ac:dyDescent="0.15">
      <c r="A3232" s="72" t="str">
        <f t="shared" si="50"/>
        <v>Ofsted Social Care Provider Webpage</v>
      </c>
      <c r="B3232" s="55" t="s">
        <v>6046</v>
      </c>
      <c r="C3232" s="55">
        <v>135804</v>
      </c>
      <c r="D3232" s="55" t="s">
        <v>398</v>
      </c>
      <c r="E3232" s="74">
        <v>41277</v>
      </c>
      <c r="F3232" s="55" t="s">
        <v>344</v>
      </c>
      <c r="G3232" s="55" t="s">
        <v>6047</v>
      </c>
      <c r="H3232" s="55" t="s">
        <v>6048</v>
      </c>
      <c r="I3232" s="55" t="s">
        <v>354</v>
      </c>
      <c r="J3232" s="55" t="s">
        <v>6049</v>
      </c>
      <c r="K3232" s="55" t="s">
        <v>288</v>
      </c>
      <c r="L3232" s="55" t="s">
        <v>6050</v>
      </c>
      <c r="M3232" s="55" t="s">
        <v>136</v>
      </c>
      <c r="N3232" s="55" t="s">
        <v>136</v>
      </c>
      <c r="O3232" s="55" t="s">
        <v>288</v>
      </c>
      <c r="P3232" s="55" t="s">
        <v>1487</v>
      </c>
      <c r="Q3232" s="55" t="s">
        <v>420</v>
      </c>
      <c r="R3232" s="55">
        <v>100</v>
      </c>
      <c r="S3232" s="55"/>
      <c r="T3232" s="55" t="s">
        <v>6051</v>
      </c>
    </row>
    <row r="3233" spans="1:20" ht="13" x14ac:dyDescent="0.15">
      <c r="A3233" s="72" t="str">
        <f t="shared" si="50"/>
        <v>Ofsted Social Care Provider Webpage</v>
      </c>
      <c r="B3233" s="55" t="s">
        <v>6052</v>
      </c>
      <c r="D3233" s="55" t="s">
        <v>389</v>
      </c>
      <c r="E3233" s="74">
        <v>41502</v>
      </c>
      <c r="F3233" s="55" t="s">
        <v>344</v>
      </c>
      <c r="G3233" s="55" t="s">
        <v>6053</v>
      </c>
      <c r="H3233" s="55" t="s">
        <v>6054</v>
      </c>
      <c r="I3233" s="55" t="s">
        <v>6055</v>
      </c>
      <c r="J3233" s="55" t="s">
        <v>2578</v>
      </c>
      <c r="L3233" s="55" t="s">
        <v>6056</v>
      </c>
      <c r="M3233" s="55" t="s">
        <v>129</v>
      </c>
      <c r="N3233" s="55" t="s">
        <v>129</v>
      </c>
      <c r="O3233" s="55" t="s">
        <v>242</v>
      </c>
      <c r="P3233" s="55" t="s">
        <v>1078</v>
      </c>
      <c r="Q3233" s="55" t="s">
        <v>350</v>
      </c>
      <c r="R3233" s="55"/>
      <c r="S3233" s="55"/>
      <c r="T3233" s="55" t="s">
        <v>6057</v>
      </c>
    </row>
    <row r="3234" spans="1:20" ht="13" x14ac:dyDescent="0.15">
      <c r="A3234" s="72" t="str">
        <f t="shared" si="50"/>
        <v>Ofsted Social Care Provider Webpage</v>
      </c>
      <c r="B3234" s="55" t="s">
        <v>6058</v>
      </c>
      <c r="D3234" s="55" t="s">
        <v>373</v>
      </c>
      <c r="E3234" s="74">
        <v>41390</v>
      </c>
      <c r="F3234" s="55" t="s">
        <v>344</v>
      </c>
      <c r="G3234" s="55" t="s">
        <v>360</v>
      </c>
      <c r="H3234" s="55" t="s">
        <v>360</v>
      </c>
      <c r="I3234" s="55" t="s">
        <v>360</v>
      </c>
      <c r="J3234" s="55" t="s">
        <v>360</v>
      </c>
      <c r="K3234" s="55" t="s">
        <v>360</v>
      </c>
      <c r="L3234" s="55" t="s">
        <v>360</v>
      </c>
      <c r="M3234" s="55" t="s">
        <v>129</v>
      </c>
      <c r="N3234" s="55" t="s">
        <v>129</v>
      </c>
      <c r="O3234" s="55" t="s">
        <v>179</v>
      </c>
      <c r="P3234" s="55" t="s">
        <v>433</v>
      </c>
      <c r="Q3234" s="55" t="s">
        <v>362</v>
      </c>
      <c r="R3234" s="55">
        <v>8</v>
      </c>
      <c r="S3234" s="55"/>
      <c r="T3234" s="55" t="s">
        <v>432</v>
      </c>
    </row>
    <row r="3235" spans="1:20" ht="13" x14ac:dyDescent="0.15">
      <c r="A3235" s="72" t="str">
        <f t="shared" si="50"/>
        <v>Ofsted Social Care Provider Webpage</v>
      </c>
      <c r="B3235" s="55" t="s">
        <v>6059</v>
      </c>
      <c r="D3235" s="55" t="s">
        <v>373</v>
      </c>
      <c r="E3235" s="74">
        <v>41344</v>
      </c>
      <c r="F3235" s="55" t="s">
        <v>344</v>
      </c>
      <c r="G3235" s="55" t="s">
        <v>360</v>
      </c>
      <c r="H3235" s="55" t="s">
        <v>360</v>
      </c>
      <c r="I3235" s="55" t="s">
        <v>360</v>
      </c>
      <c r="J3235" s="55" t="s">
        <v>360</v>
      </c>
      <c r="K3235" s="55" t="s">
        <v>360</v>
      </c>
      <c r="L3235" s="55" t="s">
        <v>360</v>
      </c>
      <c r="M3235" s="55" t="s">
        <v>378</v>
      </c>
      <c r="N3235" s="55" t="s">
        <v>134</v>
      </c>
      <c r="O3235" s="55" t="s">
        <v>180</v>
      </c>
      <c r="P3235" s="55" t="s">
        <v>662</v>
      </c>
      <c r="Q3235" s="55" t="s">
        <v>350</v>
      </c>
      <c r="R3235" s="55">
        <v>5</v>
      </c>
      <c r="S3235" s="55"/>
      <c r="T3235" s="55" t="s">
        <v>385</v>
      </c>
    </row>
    <row r="3236" spans="1:20" ht="13" x14ac:dyDescent="0.15">
      <c r="A3236" s="72" t="str">
        <f t="shared" si="50"/>
        <v>Ofsted Social Care Provider Webpage</v>
      </c>
      <c r="B3236" s="55" t="s">
        <v>6060</v>
      </c>
      <c r="D3236" s="55" t="s">
        <v>373</v>
      </c>
      <c r="E3236" s="74">
        <v>41431</v>
      </c>
      <c r="F3236" s="55" t="s">
        <v>344</v>
      </c>
      <c r="G3236" s="55" t="s">
        <v>360</v>
      </c>
      <c r="H3236" s="55" t="s">
        <v>360</v>
      </c>
      <c r="I3236" s="55" t="s">
        <v>360</v>
      </c>
      <c r="J3236" s="55" t="s">
        <v>360</v>
      </c>
      <c r="K3236" s="55" t="s">
        <v>360</v>
      </c>
      <c r="L3236" s="55" t="s">
        <v>360</v>
      </c>
      <c r="M3236" s="55" t="s">
        <v>378</v>
      </c>
      <c r="N3236" s="55" t="s">
        <v>134</v>
      </c>
      <c r="O3236" s="55" t="s">
        <v>206</v>
      </c>
      <c r="P3236" s="55" t="s">
        <v>1655</v>
      </c>
      <c r="Q3236" s="55" t="s">
        <v>350</v>
      </c>
      <c r="R3236" s="55">
        <v>4</v>
      </c>
      <c r="S3236" s="55"/>
      <c r="T3236" s="55" t="s">
        <v>613</v>
      </c>
    </row>
    <row r="3237" spans="1:20" ht="13" x14ac:dyDescent="0.15">
      <c r="A3237" s="72" t="str">
        <f t="shared" si="50"/>
        <v>Ofsted Social Care Provider Webpage</v>
      </c>
      <c r="B3237" s="55" t="s">
        <v>6061</v>
      </c>
      <c r="D3237" s="55" t="s">
        <v>373</v>
      </c>
      <c r="E3237" s="74">
        <v>41373</v>
      </c>
      <c r="F3237" s="55" t="s">
        <v>344</v>
      </c>
      <c r="G3237" s="55" t="s">
        <v>360</v>
      </c>
      <c r="H3237" s="55" t="s">
        <v>360</v>
      </c>
      <c r="I3237" s="55" t="s">
        <v>360</v>
      </c>
      <c r="J3237" s="55" t="s">
        <v>360</v>
      </c>
      <c r="K3237" s="55" t="s">
        <v>360</v>
      </c>
      <c r="L3237" s="55" t="s">
        <v>360</v>
      </c>
      <c r="M3237" s="55" t="s">
        <v>150</v>
      </c>
      <c r="N3237" s="55" t="s">
        <v>150</v>
      </c>
      <c r="O3237" s="55" t="s">
        <v>203</v>
      </c>
      <c r="P3237" s="55" t="s">
        <v>593</v>
      </c>
      <c r="Q3237" s="55" t="s">
        <v>350</v>
      </c>
      <c r="R3237" s="55">
        <v>2</v>
      </c>
      <c r="S3237" s="55"/>
      <c r="T3237" s="55" t="s">
        <v>594</v>
      </c>
    </row>
    <row r="3238" spans="1:20" ht="13" x14ac:dyDescent="0.15">
      <c r="A3238" s="72" t="str">
        <f t="shared" si="50"/>
        <v>Ofsted Social Care Provider Webpage</v>
      </c>
      <c r="B3238" s="55" t="s">
        <v>6062</v>
      </c>
      <c r="D3238" s="55" t="s">
        <v>373</v>
      </c>
      <c r="E3238" s="74">
        <v>41415</v>
      </c>
      <c r="F3238" s="55" t="s">
        <v>344</v>
      </c>
      <c r="G3238" s="55" t="s">
        <v>360</v>
      </c>
      <c r="H3238" s="55" t="s">
        <v>360</v>
      </c>
      <c r="I3238" s="55" t="s">
        <v>360</v>
      </c>
      <c r="J3238" s="55" t="s">
        <v>360</v>
      </c>
      <c r="K3238" s="55" t="s">
        <v>360</v>
      </c>
      <c r="L3238" s="55" t="s">
        <v>360</v>
      </c>
      <c r="M3238" s="55" t="s">
        <v>144</v>
      </c>
      <c r="N3238" s="55" t="s">
        <v>144</v>
      </c>
      <c r="O3238" s="55" t="s">
        <v>261</v>
      </c>
      <c r="P3238" s="55" t="s">
        <v>512</v>
      </c>
      <c r="Q3238" s="55" t="s">
        <v>350</v>
      </c>
      <c r="R3238" s="55">
        <v>1</v>
      </c>
      <c r="S3238" s="55"/>
      <c r="T3238" s="55" t="s">
        <v>4505</v>
      </c>
    </row>
    <row r="3239" spans="1:20" ht="13" x14ac:dyDescent="0.15">
      <c r="A3239" s="72" t="str">
        <f t="shared" si="50"/>
        <v>Ofsted Social Care Provider Webpage</v>
      </c>
      <c r="B3239" s="55" t="s">
        <v>6063</v>
      </c>
      <c r="D3239" s="55" t="s">
        <v>373</v>
      </c>
      <c r="E3239" s="74">
        <v>41416</v>
      </c>
      <c r="F3239" s="55" t="s">
        <v>344</v>
      </c>
      <c r="G3239" s="55" t="s">
        <v>360</v>
      </c>
      <c r="H3239" s="55" t="s">
        <v>360</v>
      </c>
      <c r="I3239" s="55" t="s">
        <v>360</v>
      </c>
      <c r="J3239" s="55" t="s">
        <v>360</v>
      </c>
      <c r="K3239" s="55" t="s">
        <v>360</v>
      </c>
      <c r="L3239" s="55" t="s">
        <v>360</v>
      </c>
      <c r="M3239" s="55" t="s">
        <v>144</v>
      </c>
      <c r="N3239" s="55" t="s">
        <v>144</v>
      </c>
      <c r="O3239" s="55" t="s">
        <v>162</v>
      </c>
      <c r="P3239" s="55" t="s">
        <v>1502</v>
      </c>
      <c r="Q3239" s="55" t="s">
        <v>350</v>
      </c>
      <c r="R3239" s="55">
        <v>4</v>
      </c>
      <c r="S3239" s="55"/>
      <c r="T3239" s="55" t="s">
        <v>1446</v>
      </c>
    </row>
    <row r="3240" spans="1:20" ht="13" x14ac:dyDescent="0.15">
      <c r="A3240" s="72" t="str">
        <f t="shared" si="50"/>
        <v>Ofsted Social Care Provider Webpage</v>
      </c>
      <c r="B3240" s="55" t="s">
        <v>6064</v>
      </c>
      <c r="D3240" s="55" t="s">
        <v>373</v>
      </c>
      <c r="E3240" s="74">
        <v>41388</v>
      </c>
      <c r="F3240" s="55" t="s">
        <v>344</v>
      </c>
      <c r="G3240" s="55" t="s">
        <v>360</v>
      </c>
      <c r="H3240" s="55" t="s">
        <v>360</v>
      </c>
      <c r="I3240" s="55" t="s">
        <v>360</v>
      </c>
      <c r="J3240" s="55" t="s">
        <v>360</v>
      </c>
      <c r="K3240" s="55" t="s">
        <v>360</v>
      </c>
      <c r="L3240" s="55" t="s">
        <v>360</v>
      </c>
      <c r="M3240" s="55" t="s">
        <v>142</v>
      </c>
      <c r="N3240" s="55" t="s">
        <v>142</v>
      </c>
      <c r="O3240" s="55" t="s">
        <v>252</v>
      </c>
      <c r="P3240" s="55" t="s">
        <v>503</v>
      </c>
      <c r="Q3240" s="55" t="s">
        <v>350</v>
      </c>
      <c r="R3240" s="55">
        <v>3</v>
      </c>
      <c r="S3240" s="55"/>
      <c r="T3240" s="55" t="s">
        <v>504</v>
      </c>
    </row>
    <row r="3241" spans="1:20" ht="13" x14ac:dyDescent="0.15">
      <c r="A3241" s="72" t="str">
        <f t="shared" si="50"/>
        <v>Ofsted Social Care Provider Webpage</v>
      </c>
      <c r="B3241" s="55" t="s">
        <v>6065</v>
      </c>
      <c r="D3241" s="55" t="s">
        <v>373</v>
      </c>
      <c r="E3241" s="74">
        <v>41403</v>
      </c>
      <c r="F3241" s="55" t="s">
        <v>344</v>
      </c>
      <c r="G3241" s="55" t="s">
        <v>360</v>
      </c>
      <c r="H3241" s="55" t="s">
        <v>360</v>
      </c>
      <c r="I3241" s="55" t="s">
        <v>360</v>
      </c>
      <c r="J3241" s="55" t="s">
        <v>360</v>
      </c>
      <c r="K3241" s="55" t="s">
        <v>360</v>
      </c>
      <c r="L3241" s="55" t="s">
        <v>360</v>
      </c>
      <c r="M3241" s="55" t="s">
        <v>138</v>
      </c>
      <c r="N3241" s="55" t="s">
        <v>138</v>
      </c>
      <c r="O3241" s="55" t="s">
        <v>183</v>
      </c>
      <c r="P3241" s="55" t="s">
        <v>510</v>
      </c>
      <c r="Q3241" s="55" t="s">
        <v>350</v>
      </c>
      <c r="R3241" s="55">
        <v>4</v>
      </c>
      <c r="S3241" s="55"/>
      <c r="T3241" s="55" t="s">
        <v>1623</v>
      </c>
    </row>
    <row r="3242" spans="1:20" ht="13" x14ac:dyDescent="0.15">
      <c r="A3242" s="72" t="str">
        <f t="shared" si="50"/>
        <v>Ofsted Social Care Provider Webpage</v>
      </c>
      <c r="B3242" s="55" t="s">
        <v>6066</v>
      </c>
      <c r="D3242" s="55" t="s">
        <v>389</v>
      </c>
      <c r="E3242" s="74">
        <v>41372</v>
      </c>
      <c r="F3242" s="55" t="s">
        <v>344</v>
      </c>
      <c r="G3242" s="55" t="s">
        <v>6067</v>
      </c>
      <c r="H3242" s="55" t="s">
        <v>621</v>
      </c>
      <c r="I3242" s="55" t="s">
        <v>6068</v>
      </c>
      <c r="J3242" s="55" t="s">
        <v>6069</v>
      </c>
      <c r="L3242" s="55" t="s">
        <v>6070</v>
      </c>
      <c r="M3242" s="55" t="s">
        <v>378</v>
      </c>
      <c r="N3242" s="55" t="s">
        <v>170</v>
      </c>
      <c r="O3242" s="55" t="s">
        <v>231</v>
      </c>
      <c r="P3242" s="55" t="s">
        <v>231</v>
      </c>
      <c r="Q3242" s="55" t="s">
        <v>350</v>
      </c>
      <c r="R3242" s="55"/>
      <c r="S3242" s="55"/>
      <c r="T3242" s="55" t="s">
        <v>6071</v>
      </c>
    </row>
    <row r="3243" spans="1:20" ht="13" x14ac:dyDescent="0.15">
      <c r="A3243" s="72" t="str">
        <f t="shared" si="50"/>
        <v>Ofsted Social Care Provider Webpage</v>
      </c>
      <c r="B3243" s="55" t="s">
        <v>6072</v>
      </c>
      <c r="D3243" s="55" t="s">
        <v>373</v>
      </c>
      <c r="E3243" s="74">
        <v>41411</v>
      </c>
      <c r="F3243" s="55" t="s">
        <v>344</v>
      </c>
      <c r="G3243" s="55" t="s">
        <v>360</v>
      </c>
      <c r="H3243" s="55" t="s">
        <v>360</v>
      </c>
      <c r="I3243" s="55" t="s">
        <v>360</v>
      </c>
      <c r="J3243" s="55" t="s">
        <v>360</v>
      </c>
      <c r="K3243" s="55" t="s">
        <v>360</v>
      </c>
      <c r="L3243" s="55" t="s">
        <v>360</v>
      </c>
      <c r="M3243" s="55" t="s">
        <v>378</v>
      </c>
      <c r="N3243" s="55" t="s">
        <v>134</v>
      </c>
      <c r="O3243" s="55" t="s">
        <v>206</v>
      </c>
      <c r="P3243" s="55" t="s">
        <v>710</v>
      </c>
      <c r="Q3243" s="55" t="s">
        <v>350</v>
      </c>
      <c r="R3243" s="55">
        <v>3</v>
      </c>
      <c r="S3243" s="55"/>
      <c r="T3243" s="55" t="s">
        <v>1237</v>
      </c>
    </row>
    <row r="3244" spans="1:20" ht="13" x14ac:dyDescent="0.15">
      <c r="A3244" s="72" t="str">
        <f t="shared" si="50"/>
        <v>Ofsted Social Care Provider Webpage</v>
      </c>
      <c r="B3244" s="55" t="s">
        <v>6073</v>
      </c>
      <c r="D3244" s="55" t="s">
        <v>373</v>
      </c>
      <c r="E3244" s="74">
        <v>41415</v>
      </c>
      <c r="F3244" s="55" t="s">
        <v>344</v>
      </c>
      <c r="G3244" s="55" t="s">
        <v>360</v>
      </c>
      <c r="H3244" s="55" t="s">
        <v>360</v>
      </c>
      <c r="I3244" s="55" t="s">
        <v>360</v>
      </c>
      <c r="J3244" s="55" t="s">
        <v>360</v>
      </c>
      <c r="K3244" s="55" t="s">
        <v>360</v>
      </c>
      <c r="L3244" s="55" t="s">
        <v>360</v>
      </c>
      <c r="M3244" s="55" t="s">
        <v>150</v>
      </c>
      <c r="N3244" s="55" t="s">
        <v>150</v>
      </c>
      <c r="O3244" s="55" t="s">
        <v>190</v>
      </c>
      <c r="P3244" s="55" t="s">
        <v>749</v>
      </c>
      <c r="Q3244" s="55" t="s">
        <v>350</v>
      </c>
      <c r="R3244" s="55">
        <v>4</v>
      </c>
      <c r="S3244" s="55"/>
      <c r="T3244" s="55" t="s">
        <v>888</v>
      </c>
    </row>
    <row r="3245" spans="1:20" ht="13" x14ac:dyDescent="0.15">
      <c r="A3245" s="72" t="str">
        <f t="shared" si="50"/>
        <v>Ofsted Social Care Provider Webpage</v>
      </c>
      <c r="B3245" s="55" t="s">
        <v>6074</v>
      </c>
      <c r="D3245" s="55" t="s">
        <v>373</v>
      </c>
      <c r="E3245" s="74">
        <v>41389</v>
      </c>
      <c r="F3245" s="55" t="s">
        <v>344</v>
      </c>
      <c r="G3245" s="55" t="s">
        <v>360</v>
      </c>
      <c r="H3245" s="55" t="s">
        <v>360</v>
      </c>
      <c r="I3245" s="55" t="s">
        <v>360</v>
      </c>
      <c r="J3245" s="55" t="s">
        <v>360</v>
      </c>
      <c r="K3245" s="55" t="s">
        <v>360</v>
      </c>
      <c r="L3245" s="55" t="s">
        <v>360</v>
      </c>
      <c r="M3245" s="55" t="s">
        <v>138</v>
      </c>
      <c r="N3245" s="55" t="s">
        <v>138</v>
      </c>
      <c r="O3245" s="55" t="s">
        <v>183</v>
      </c>
      <c r="P3245" s="55" t="s">
        <v>510</v>
      </c>
      <c r="Q3245" s="55" t="s">
        <v>350</v>
      </c>
      <c r="R3245" s="55">
        <v>6</v>
      </c>
      <c r="S3245" s="55"/>
      <c r="T3245" s="55" t="s">
        <v>644</v>
      </c>
    </row>
    <row r="3246" spans="1:20" ht="13" x14ac:dyDescent="0.15">
      <c r="A3246" s="72" t="str">
        <f t="shared" si="50"/>
        <v>Ofsted Social Care Provider Webpage</v>
      </c>
      <c r="B3246" s="55" t="s">
        <v>6075</v>
      </c>
      <c r="D3246" s="55" t="s">
        <v>373</v>
      </c>
      <c r="E3246" s="74">
        <v>41586</v>
      </c>
      <c r="F3246" s="55" t="s">
        <v>344</v>
      </c>
      <c r="G3246" s="55" t="s">
        <v>360</v>
      </c>
      <c r="H3246" s="55" t="s">
        <v>360</v>
      </c>
      <c r="I3246" s="55" t="s">
        <v>360</v>
      </c>
      <c r="J3246" s="55" t="s">
        <v>360</v>
      </c>
      <c r="K3246" s="55" t="s">
        <v>360</v>
      </c>
      <c r="L3246" s="55" t="s">
        <v>360</v>
      </c>
      <c r="M3246" s="55" t="s">
        <v>129</v>
      </c>
      <c r="N3246" s="55" t="s">
        <v>129</v>
      </c>
      <c r="O3246" s="55" t="s">
        <v>242</v>
      </c>
      <c r="P3246" s="55" t="s">
        <v>1519</v>
      </c>
      <c r="Q3246" s="55" t="s">
        <v>350</v>
      </c>
      <c r="R3246" s="55">
        <v>5</v>
      </c>
      <c r="S3246" s="55"/>
      <c r="T3246" s="55" t="s">
        <v>6076</v>
      </c>
    </row>
    <row r="3247" spans="1:20" ht="13" x14ac:dyDescent="0.15">
      <c r="A3247" s="72" t="str">
        <f t="shared" si="50"/>
        <v>Ofsted Social Care Provider Webpage</v>
      </c>
      <c r="B3247" s="55" t="s">
        <v>6077</v>
      </c>
      <c r="D3247" s="55" t="s">
        <v>373</v>
      </c>
      <c r="E3247" s="74">
        <v>41415</v>
      </c>
      <c r="F3247" s="55" t="s">
        <v>344</v>
      </c>
      <c r="G3247" s="55" t="s">
        <v>360</v>
      </c>
      <c r="H3247" s="55" t="s">
        <v>360</v>
      </c>
      <c r="I3247" s="55" t="s">
        <v>360</v>
      </c>
      <c r="J3247" s="55" t="s">
        <v>360</v>
      </c>
      <c r="K3247" s="55" t="s">
        <v>360</v>
      </c>
      <c r="L3247" s="55" t="s">
        <v>360</v>
      </c>
      <c r="M3247" s="55" t="s">
        <v>144</v>
      </c>
      <c r="N3247" s="55" t="s">
        <v>144</v>
      </c>
      <c r="O3247" s="55" t="s">
        <v>290</v>
      </c>
      <c r="P3247" s="55" t="s">
        <v>1099</v>
      </c>
      <c r="Q3247" s="55" t="s">
        <v>350</v>
      </c>
      <c r="R3247" s="55">
        <v>2</v>
      </c>
      <c r="S3247" s="55"/>
      <c r="T3247" s="55" t="s">
        <v>1446</v>
      </c>
    </row>
    <row r="3248" spans="1:20" ht="13" x14ac:dyDescent="0.15">
      <c r="A3248" s="72" t="str">
        <f t="shared" si="50"/>
        <v>Ofsted Social Care Provider Webpage</v>
      </c>
      <c r="B3248" s="55" t="s">
        <v>6078</v>
      </c>
      <c r="D3248" s="55" t="s">
        <v>389</v>
      </c>
      <c r="E3248" s="74">
        <v>41466</v>
      </c>
      <c r="F3248" s="55" t="s">
        <v>344</v>
      </c>
      <c r="G3248" s="55" t="s">
        <v>6079</v>
      </c>
      <c r="H3248" s="55" t="s">
        <v>6080</v>
      </c>
      <c r="I3248" s="55" t="s">
        <v>6081</v>
      </c>
      <c r="J3248" s="55" t="s">
        <v>6082</v>
      </c>
      <c r="K3248" s="55" t="s">
        <v>181</v>
      </c>
      <c r="L3248" s="55" t="s">
        <v>6083</v>
      </c>
      <c r="M3248" s="55" t="s">
        <v>150</v>
      </c>
      <c r="N3248" s="55" t="s">
        <v>150</v>
      </c>
      <c r="O3248" s="55" t="s">
        <v>181</v>
      </c>
      <c r="P3248" s="55" t="s">
        <v>626</v>
      </c>
      <c r="Q3248" s="55" t="s">
        <v>350</v>
      </c>
      <c r="R3248" s="55"/>
      <c r="S3248" s="55"/>
      <c r="T3248" s="55" t="s">
        <v>6084</v>
      </c>
    </row>
    <row r="3249" spans="1:20" ht="13" x14ac:dyDescent="0.15">
      <c r="A3249" s="72" t="str">
        <f t="shared" si="50"/>
        <v>Ofsted Social Care Provider Webpage</v>
      </c>
      <c r="B3249" s="55" t="s">
        <v>6085</v>
      </c>
      <c r="D3249" s="55" t="s">
        <v>373</v>
      </c>
      <c r="E3249" s="74">
        <v>41459</v>
      </c>
      <c r="F3249" s="55" t="s">
        <v>344</v>
      </c>
      <c r="G3249" s="55" t="s">
        <v>360</v>
      </c>
      <c r="H3249" s="55" t="s">
        <v>360</v>
      </c>
      <c r="I3249" s="55" t="s">
        <v>360</v>
      </c>
      <c r="J3249" s="55" t="s">
        <v>360</v>
      </c>
      <c r="K3249" s="55" t="s">
        <v>360</v>
      </c>
      <c r="L3249" s="55" t="s">
        <v>360</v>
      </c>
      <c r="M3249" s="55" t="s">
        <v>138</v>
      </c>
      <c r="N3249" s="55" t="s">
        <v>138</v>
      </c>
      <c r="O3249" s="55" t="s">
        <v>273</v>
      </c>
      <c r="P3249" s="55" t="s">
        <v>273</v>
      </c>
      <c r="Q3249" s="55" t="s">
        <v>350</v>
      </c>
      <c r="R3249" s="55">
        <v>4</v>
      </c>
      <c r="S3249" s="55"/>
      <c r="T3249" s="55" t="s">
        <v>6086</v>
      </c>
    </row>
    <row r="3250" spans="1:20" ht="13" x14ac:dyDescent="0.15">
      <c r="A3250" s="72" t="str">
        <f t="shared" si="50"/>
        <v>Ofsted Social Care Provider Webpage</v>
      </c>
      <c r="B3250" s="55" t="s">
        <v>6087</v>
      </c>
      <c r="D3250" s="55" t="s">
        <v>443</v>
      </c>
      <c r="E3250" s="74">
        <v>41458</v>
      </c>
      <c r="F3250" s="55" t="s">
        <v>344</v>
      </c>
      <c r="G3250" s="55" t="s">
        <v>6088</v>
      </c>
      <c r="H3250" s="55" t="s">
        <v>6089</v>
      </c>
      <c r="I3250" s="55" t="s">
        <v>6090</v>
      </c>
      <c r="J3250" s="55" t="s">
        <v>6091</v>
      </c>
      <c r="K3250" s="55" t="s">
        <v>156</v>
      </c>
      <c r="L3250" s="55" t="s">
        <v>6092</v>
      </c>
      <c r="M3250" s="55" t="s">
        <v>150</v>
      </c>
      <c r="N3250" s="55" t="s">
        <v>150</v>
      </c>
      <c r="O3250" s="55" t="s">
        <v>156</v>
      </c>
      <c r="P3250" s="55" t="s">
        <v>1277</v>
      </c>
      <c r="Q3250" s="55" t="s">
        <v>350</v>
      </c>
      <c r="R3250" s="55"/>
      <c r="S3250" s="55"/>
    </row>
    <row r="3251" spans="1:20" ht="13" x14ac:dyDescent="0.15">
      <c r="A3251" s="72" t="str">
        <f t="shared" si="50"/>
        <v>Ofsted Social Care Provider Webpage</v>
      </c>
      <c r="B3251" s="55" t="s">
        <v>6093</v>
      </c>
      <c r="D3251" s="55" t="s">
        <v>443</v>
      </c>
      <c r="E3251" s="74">
        <v>41414</v>
      </c>
      <c r="F3251" s="55" t="s">
        <v>344</v>
      </c>
      <c r="G3251" s="55" t="s">
        <v>6094</v>
      </c>
      <c r="H3251" s="55" t="s">
        <v>6095</v>
      </c>
      <c r="I3251" s="55" t="s">
        <v>6096</v>
      </c>
      <c r="J3251" s="55" t="s">
        <v>6097</v>
      </c>
      <c r="K3251" s="55" t="s">
        <v>165</v>
      </c>
      <c r="L3251" s="55" t="s">
        <v>6098</v>
      </c>
      <c r="M3251" s="55" t="s">
        <v>136</v>
      </c>
      <c r="N3251" s="55" t="s">
        <v>136</v>
      </c>
      <c r="O3251" s="55" t="s">
        <v>165</v>
      </c>
      <c r="P3251" s="55" t="s">
        <v>748</v>
      </c>
      <c r="Q3251" s="55" t="s">
        <v>350</v>
      </c>
      <c r="R3251" s="55"/>
      <c r="S3251" s="55"/>
      <c r="T3251" s="55" t="s">
        <v>6099</v>
      </c>
    </row>
    <row r="3252" spans="1:20" ht="13" x14ac:dyDescent="0.15">
      <c r="A3252" s="72" t="str">
        <f t="shared" si="50"/>
        <v>Ofsted Social Care Provider Webpage</v>
      </c>
      <c r="B3252" s="55" t="s">
        <v>6100</v>
      </c>
      <c r="D3252" s="55" t="s">
        <v>373</v>
      </c>
      <c r="E3252" s="74">
        <v>41393</v>
      </c>
      <c r="F3252" s="55" t="s">
        <v>344</v>
      </c>
      <c r="G3252" s="55" t="s">
        <v>360</v>
      </c>
      <c r="H3252" s="55" t="s">
        <v>360</v>
      </c>
      <c r="I3252" s="55" t="s">
        <v>360</v>
      </c>
      <c r="J3252" s="55" t="s">
        <v>360</v>
      </c>
      <c r="K3252" s="55" t="s">
        <v>360</v>
      </c>
      <c r="L3252" s="55" t="s">
        <v>360</v>
      </c>
      <c r="M3252" s="55" t="s">
        <v>138</v>
      </c>
      <c r="N3252" s="55" t="s">
        <v>138</v>
      </c>
      <c r="O3252" s="55" t="s">
        <v>224</v>
      </c>
      <c r="P3252" s="55" t="s">
        <v>2271</v>
      </c>
      <c r="Q3252" s="55" t="s">
        <v>380</v>
      </c>
      <c r="R3252" s="55">
        <v>4</v>
      </c>
      <c r="S3252" s="55" t="s">
        <v>332</v>
      </c>
      <c r="T3252" s="55" t="s">
        <v>2272</v>
      </c>
    </row>
    <row r="3253" spans="1:20" ht="13" x14ac:dyDescent="0.15">
      <c r="A3253" s="72" t="str">
        <f t="shared" si="50"/>
        <v>Ofsted Social Care Provider Webpage</v>
      </c>
      <c r="B3253" s="55" t="s">
        <v>6101</v>
      </c>
      <c r="D3253" s="55" t="s">
        <v>373</v>
      </c>
      <c r="E3253" s="74">
        <v>41381</v>
      </c>
      <c r="F3253" s="55" t="s">
        <v>344</v>
      </c>
      <c r="G3253" s="55" t="s">
        <v>360</v>
      </c>
      <c r="H3253" s="55" t="s">
        <v>360</v>
      </c>
      <c r="I3253" s="55" t="s">
        <v>360</v>
      </c>
      <c r="J3253" s="55" t="s">
        <v>360</v>
      </c>
      <c r="K3253" s="55" t="s">
        <v>360</v>
      </c>
      <c r="L3253" s="55" t="s">
        <v>360</v>
      </c>
      <c r="M3253" s="55" t="s">
        <v>378</v>
      </c>
      <c r="N3253" s="55" t="s">
        <v>134</v>
      </c>
      <c r="O3253" s="55" t="s">
        <v>158</v>
      </c>
      <c r="P3253" s="55" t="s">
        <v>480</v>
      </c>
      <c r="Q3253" s="55" t="s">
        <v>350</v>
      </c>
      <c r="R3253" s="55">
        <v>3</v>
      </c>
      <c r="S3253" s="55"/>
      <c r="T3253" s="55" t="s">
        <v>6102</v>
      </c>
    </row>
    <row r="3254" spans="1:20" ht="13" x14ac:dyDescent="0.15">
      <c r="A3254" s="72" t="str">
        <f t="shared" si="50"/>
        <v>Ofsted Social Care Provider Webpage</v>
      </c>
      <c r="B3254" s="55" t="s">
        <v>6103</v>
      </c>
      <c r="D3254" s="55" t="s">
        <v>373</v>
      </c>
      <c r="E3254" s="74">
        <v>41381</v>
      </c>
      <c r="F3254" s="55" t="s">
        <v>344</v>
      </c>
      <c r="G3254" s="55" t="s">
        <v>360</v>
      </c>
      <c r="H3254" s="55" t="s">
        <v>360</v>
      </c>
      <c r="I3254" s="55" t="s">
        <v>360</v>
      </c>
      <c r="J3254" s="55" t="s">
        <v>360</v>
      </c>
      <c r="K3254" s="55" t="s">
        <v>360</v>
      </c>
      <c r="L3254" s="55" t="s">
        <v>360</v>
      </c>
      <c r="M3254" s="55" t="s">
        <v>378</v>
      </c>
      <c r="N3254" s="55" t="s">
        <v>134</v>
      </c>
      <c r="O3254" s="55" t="s">
        <v>158</v>
      </c>
      <c r="P3254" s="55" t="s">
        <v>912</v>
      </c>
      <c r="Q3254" s="55" t="s">
        <v>350</v>
      </c>
      <c r="R3254" s="55">
        <v>4</v>
      </c>
      <c r="S3254" s="55"/>
      <c r="T3254" s="55" t="s">
        <v>6102</v>
      </c>
    </row>
    <row r="3255" spans="1:20" ht="13" x14ac:dyDescent="0.15">
      <c r="A3255" s="72" t="str">
        <f t="shared" si="50"/>
        <v>Ofsted Social Care Provider Webpage</v>
      </c>
      <c r="B3255" s="55" t="s">
        <v>6104</v>
      </c>
      <c r="D3255" s="55" t="s">
        <v>373</v>
      </c>
      <c r="E3255" s="74">
        <v>41528</v>
      </c>
      <c r="F3255" s="55" t="s">
        <v>344</v>
      </c>
      <c r="G3255" s="55" t="s">
        <v>360</v>
      </c>
      <c r="H3255" s="55" t="s">
        <v>360</v>
      </c>
      <c r="I3255" s="55" t="s">
        <v>360</v>
      </c>
      <c r="J3255" s="55" t="s">
        <v>360</v>
      </c>
      <c r="K3255" s="55" t="s">
        <v>360</v>
      </c>
      <c r="L3255" s="55" t="s">
        <v>360</v>
      </c>
      <c r="M3255" s="55" t="s">
        <v>129</v>
      </c>
      <c r="N3255" s="55" t="s">
        <v>129</v>
      </c>
      <c r="O3255" s="55" t="s">
        <v>167</v>
      </c>
      <c r="P3255" s="55" t="s">
        <v>866</v>
      </c>
      <c r="Q3255" s="55" t="s">
        <v>350</v>
      </c>
      <c r="R3255" s="55">
        <v>3</v>
      </c>
      <c r="S3255" s="55"/>
    </row>
    <row r="3256" spans="1:20" ht="13" x14ac:dyDescent="0.15">
      <c r="A3256" s="72" t="str">
        <f t="shared" si="50"/>
        <v>Ofsted Social Care Provider Webpage</v>
      </c>
      <c r="B3256" s="55" t="s">
        <v>6105</v>
      </c>
      <c r="D3256" s="55" t="s">
        <v>373</v>
      </c>
      <c r="E3256" s="74">
        <v>41416</v>
      </c>
      <c r="F3256" s="55" t="s">
        <v>344</v>
      </c>
      <c r="G3256" s="55" t="s">
        <v>360</v>
      </c>
      <c r="H3256" s="55" t="s">
        <v>360</v>
      </c>
      <c r="I3256" s="55" t="s">
        <v>360</v>
      </c>
      <c r="J3256" s="55" t="s">
        <v>360</v>
      </c>
      <c r="K3256" s="55" t="s">
        <v>360</v>
      </c>
      <c r="L3256" s="55" t="s">
        <v>360</v>
      </c>
      <c r="M3256" s="55" t="s">
        <v>138</v>
      </c>
      <c r="N3256" s="55" t="s">
        <v>138</v>
      </c>
      <c r="O3256" s="55" t="s">
        <v>183</v>
      </c>
      <c r="P3256" s="55" t="s">
        <v>576</v>
      </c>
      <c r="Q3256" s="55" t="s">
        <v>350</v>
      </c>
      <c r="R3256" s="55">
        <v>5</v>
      </c>
      <c r="S3256" s="55"/>
      <c r="T3256" s="55" t="s">
        <v>997</v>
      </c>
    </row>
    <row r="3257" spans="1:20" ht="13" x14ac:dyDescent="0.15">
      <c r="A3257" s="72" t="str">
        <f t="shared" si="50"/>
        <v>Ofsted Social Care Provider Webpage</v>
      </c>
      <c r="B3257" s="55" t="s">
        <v>6106</v>
      </c>
      <c r="D3257" s="55" t="s">
        <v>373</v>
      </c>
      <c r="E3257" s="74">
        <v>41453</v>
      </c>
      <c r="F3257" s="55" t="s">
        <v>344</v>
      </c>
      <c r="G3257" s="55" t="s">
        <v>360</v>
      </c>
      <c r="H3257" s="55" t="s">
        <v>360</v>
      </c>
      <c r="I3257" s="55" t="s">
        <v>360</v>
      </c>
      <c r="J3257" s="55" t="s">
        <v>360</v>
      </c>
      <c r="K3257" s="55" t="s">
        <v>360</v>
      </c>
      <c r="L3257" s="55" t="s">
        <v>360</v>
      </c>
      <c r="M3257" s="55" t="s">
        <v>138</v>
      </c>
      <c r="N3257" s="55" t="s">
        <v>138</v>
      </c>
      <c r="O3257" s="55" t="s">
        <v>183</v>
      </c>
      <c r="P3257" s="55" t="s">
        <v>576</v>
      </c>
      <c r="Q3257" s="55" t="s">
        <v>350</v>
      </c>
      <c r="R3257" s="55">
        <v>3</v>
      </c>
      <c r="S3257" s="55"/>
      <c r="T3257" s="55" t="s">
        <v>6107</v>
      </c>
    </row>
    <row r="3258" spans="1:20" ht="13" x14ac:dyDescent="0.15">
      <c r="A3258" s="72" t="str">
        <f t="shared" si="50"/>
        <v>Ofsted Social Care Provider Webpage</v>
      </c>
      <c r="B3258" s="55" t="s">
        <v>6108</v>
      </c>
      <c r="D3258" s="55" t="s">
        <v>468</v>
      </c>
      <c r="E3258" s="74">
        <v>41407</v>
      </c>
      <c r="F3258" s="55" t="s">
        <v>344</v>
      </c>
      <c r="G3258" s="55" t="s">
        <v>6109</v>
      </c>
      <c r="H3258" s="55" t="s">
        <v>1908</v>
      </c>
      <c r="I3258" s="55" t="s">
        <v>354</v>
      </c>
      <c r="J3258" s="55" t="s">
        <v>129</v>
      </c>
      <c r="L3258" s="55" t="s">
        <v>1909</v>
      </c>
      <c r="M3258" s="55" t="s">
        <v>129</v>
      </c>
      <c r="N3258" s="55" t="s">
        <v>129</v>
      </c>
      <c r="O3258" s="55" t="s">
        <v>201</v>
      </c>
      <c r="P3258" s="55" t="s">
        <v>1427</v>
      </c>
      <c r="Q3258" s="55" t="s">
        <v>362</v>
      </c>
      <c r="R3258" s="55"/>
      <c r="S3258" s="55"/>
      <c r="T3258" s="55" t="s">
        <v>1910</v>
      </c>
    </row>
    <row r="3259" spans="1:20" ht="13" x14ac:dyDescent="0.15">
      <c r="A3259" s="72" t="str">
        <f t="shared" si="50"/>
        <v>Ofsted Social Care Provider Webpage</v>
      </c>
      <c r="B3259" s="55" t="s">
        <v>6110</v>
      </c>
      <c r="D3259" s="55" t="s">
        <v>389</v>
      </c>
      <c r="E3259" s="74">
        <v>41603</v>
      </c>
      <c r="F3259" s="55" t="s">
        <v>344</v>
      </c>
      <c r="G3259" s="55" t="s">
        <v>6111</v>
      </c>
      <c r="H3259" s="55" t="s">
        <v>6112</v>
      </c>
      <c r="I3259" s="55" t="s">
        <v>6113</v>
      </c>
      <c r="J3259" s="55" t="s">
        <v>169</v>
      </c>
      <c r="K3259" s="55" t="s">
        <v>3368</v>
      </c>
      <c r="L3259" s="55" t="s">
        <v>6114</v>
      </c>
      <c r="M3259" s="55" t="s">
        <v>378</v>
      </c>
      <c r="N3259" s="55" t="s">
        <v>170</v>
      </c>
      <c r="O3259" s="55" t="s">
        <v>169</v>
      </c>
      <c r="P3259" s="55" t="s">
        <v>169</v>
      </c>
      <c r="Q3259" s="55" t="s">
        <v>350</v>
      </c>
      <c r="R3259" s="55"/>
      <c r="S3259" s="55"/>
      <c r="T3259" s="55" t="s">
        <v>6115</v>
      </c>
    </row>
    <row r="3260" spans="1:20" ht="13" x14ac:dyDescent="0.15">
      <c r="A3260" s="72" t="str">
        <f t="shared" si="50"/>
        <v>Ofsted Social Care Provider Webpage</v>
      </c>
      <c r="B3260" s="55" t="s">
        <v>6116</v>
      </c>
      <c r="D3260" s="55" t="s">
        <v>373</v>
      </c>
      <c r="E3260" s="74">
        <v>41445</v>
      </c>
      <c r="F3260" s="55" t="s">
        <v>344</v>
      </c>
      <c r="G3260" s="55" t="s">
        <v>360</v>
      </c>
      <c r="H3260" s="55" t="s">
        <v>360</v>
      </c>
      <c r="I3260" s="55" t="s">
        <v>360</v>
      </c>
      <c r="J3260" s="55" t="s">
        <v>360</v>
      </c>
      <c r="K3260" s="55" t="s">
        <v>360</v>
      </c>
      <c r="L3260" s="55" t="s">
        <v>360</v>
      </c>
      <c r="M3260" s="55" t="s">
        <v>144</v>
      </c>
      <c r="N3260" s="55" t="s">
        <v>144</v>
      </c>
      <c r="O3260" s="55" t="s">
        <v>162</v>
      </c>
      <c r="P3260" s="55" t="s">
        <v>1502</v>
      </c>
      <c r="Q3260" s="55" t="s">
        <v>350</v>
      </c>
      <c r="R3260" s="55">
        <v>4</v>
      </c>
      <c r="S3260" s="55"/>
      <c r="T3260" s="55" t="s">
        <v>5406</v>
      </c>
    </row>
    <row r="3261" spans="1:20" ht="13" x14ac:dyDescent="0.15">
      <c r="A3261" s="72" t="str">
        <f t="shared" si="50"/>
        <v>Ofsted Social Care Provider Webpage</v>
      </c>
      <c r="B3261" s="55" t="s">
        <v>6117</v>
      </c>
      <c r="D3261" s="55" t="s">
        <v>373</v>
      </c>
      <c r="E3261" s="74">
        <v>41425</v>
      </c>
      <c r="F3261" s="55" t="s">
        <v>344</v>
      </c>
      <c r="G3261" s="55" t="s">
        <v>360</v>
      </c>
      <c r="H3261" s="55" t="s">
        <v>360</v>
      </c>
      <c r="I3261" s="55" t="s">
        <v>360</v>
      </c>
      <c r="J3261" s="55" t="s">
        <v>360</v>
      </c>
      <c r="K3261" s="55" t="s">
        <v>360</v>
      </c>
      <c r="L3261" s="55" t="s">
        <v>360</v>
      </c>
      <c r="M3261" s="55" t="s">
        <v>136</v>
      </c>
      <c r="N3261" s="55" t="s">
        <v>136</v>
      </c>
      <c r="O3261" s="55" t="s">
        <v>174</v>
      </c>
      <c r="P3261" s="55" t="s">
        <v>857</v>
      </c>
      <c r="Q3261" s="55" t="s">
        <v>350</v>
      </c>
      <c r="R3261" s="55">
        <v>2</v>
      </c>
      <c r="S3261" s="55"/>
      <c r="T3261" s="55" t="s">
        <v>858</v>
      </c>
    </row>
    <row r="3262" spans="1:20" ht="13" x14ac:dyDescent="0.15">
      <c r="A3262" s="72" t="str">
        <f t="shared" si="50"/>
        <v>Ofsted Social Care Provider Webpage</v>
      </c>
      <c r="B3262" s="55" t="s">
        <v>6118</v>
      </c>
      <c r="D3262" s="55" t="s">
        <v>373</v>
      </c>
      <c r="E3262" s="74">
        <v>41474</v>
      </c>
      <c r="F3262" s="55" t="s">
        <v>344</v>
      </c>
      <c r="G3262" s="55" t="s">
        <v>360</v>
      </c>
      <c r="H3262" s="55" t="s">
        <v>360</v>
      </c>
      <c r="I3262" s="55" t="s">
        <v>360</v>
      </c>
      <c r="J3262" s="55" t="s">
        <v>360</v>
      </c>
      <c r="K3262" s="55" t="s">
        <v>360</v>
      </c>
      <c r="L3262" s="55" t="s">
        <v>360</v>
      </c>
      <c r="M3262" s="55" t="s">
        <v>142</v>
      </c>
      <c r="N3262" s="55" t="s">
        <v>142</v>
      </c>
      <c r="O3262" s="55" t="s">
        <v>141</v>
      </c>
      <c r="P3262" s="55" t="s">
        <v>612</v>
      </c>
      <c r="Q3262" s="55" t="s">
        <v>350</v>
      </c>
      <c r="R3262" s="55">
        <v>5</v>
      </c>
      <c r="S3262" s="55"/>
      <c r="T3262" s="55" t="s">
        <v>1415</v>
      </c>
    </row>
    <row r="3263" spans="1:20" ht="13" x14ac:dyDescent="0.15">
      <c r="A3263" s="72" t="str">
        <f t="shared" si="50"/>
        <v>Ofsted Social Care Provider Webpage</v>
      </c>
      <c r="B3263" s="55" t="s">
        <v>6119</v>
      </c>
      <c r="D3263" s="55" t="s">
        <v>373</v>
      </c>
      <c r="E3263" s="74">
        <v>41397</v>
      </c>
      <c r="F3263" s="55" t="s">
        <v>344</v>
      </c>
      <c r="G3263" s="55" t="s">
        <v>360</v>
      </c>
      <c r="H3263" s="55" t="s">
        <v>360</v>
      </c>
      <c r="I3263" s="55" t="s">
        <v>360</v>
      </c>
      <c r="J3263" s="55" t="s">
        <v>360</v>
      </c>
      <c r="K3263" s="55" t="s">
        <v>360</v>
      </c>
      <c r="L3263" s="55" t="s">
        <v>360</v>
      </c>
      <c r="M3263" s="55" t="s">
        <v>150</v>
      </c>
      <c r="N3263" s="55" t="s">
        <v>150</v>
      </c>
      <c r="O3263" s="55" t="s">
        <v>221</v>
      </c>
      <c r="P3263" s="55" t="s">
        <v>349</v>
      </c>
      <c r="Q3263" s="55" t="s">
        <v>380</v>
      </c>
      <c r="R3263" s="55">
        <v>8</v>
      </c>
      <c r="S3263" s="55"/>
      <c r="T3263" s="55" t="s">
        <v>4280</v>
      </c>
    </row>
    <row r="3264" spans="1:20" ht="13" x14ac:dyDescent="0.15">
      <c r="A3264" s="72" t="str">
        <f t="shared" si="50"/>
        <v>Ofsted Social Care Provider Webpage</v>
      </c>
      <c r="B3264" s="55" t="s">
        <v>6120</v>
      </c>
      <c r="D3264" s="55" t="s">
        <v>373</v>
      </c>
      <c r="E3264" s="74">
        <v>41449</v>
      </c>
      <c r="F3264" s="55" t="s">
        <v>344</v>
      </c>
      <c r="G3264" s="55" t="s">
        <v>360</v>
      </c>
      <c r="H3264" s="55" t="s">
        <v>360</v>
      </c>
      <c r="I3264" s="55" t="s">
        <v>360</v>
      </c>
      <c r="J3264" s="55" t="s">
        <v>360</v>
      </c>
      <c r="K3264" s="55" t="s">
        <v>360</v>
      </c>
      <c r="L3264" s="55" t="s">
        <v>360</v>
      </c>
      <c r="M3264" s="55" t="s">
        <v>142</v>
      </c>
      <c r="N3264" s="55" t="s">
        <v>142</v>
      </c>
      <c r="O3264" s="55" t="s">
        <v>262</v>
      </c>
      <c r="P3264" s="55" t="s">
        <v>488</v>
      </c>
      <c r="Q3264" s="55" t="s">
        <v>350</v>
      </c>
      <c r="R3264" s="55">
        <v>4</v>
      </c>
      <c r="S3264" s="55"/>
      <c r="T3264" s="55" t="s">
        <v>489</v>
      </c>
    </row>
    <row r="3265" spans="1:20" ht="13" x14ac:dyDescent="0.15">
      <c r="A3265" s="72" t="str">
        <f t="shared" si="50"/>
        <v>Ofsted Social Care Provider Webpage</v>
      </c>
      <c r="B3265" s="55" t="s">
        <v>6121</v>
      </c>
      <c r="D3265" s="55" t="s">
        <v>373</v>
      </c>
      <c r="E3265" s="74">
        <v>41451</v>
      </c>
      <c r="F3265" s="55" t="s">
        <v>344</v>
      </c>
      <c r="G3265" s="55" t="s">
        <v>360</v>
      </c>
      <c r="H3265" s="55" t="s">
        <v>360</v>
      </c>
      <c r="I3265" s="55" t="s">
        <v>360</v>
      </c>
      <c r="J3265" s="55" t="s">
        <v>360</v>
      </c>
      <c r="K3265" s="55" t="s">
        <v>360</v>
      </c>
      <c r="L3265" s="55" t="s">
        <v>360</v>
      </c>
      <c r="M3265" s="55" t="s">
        <v>138</v>
      </c>
      <c r="N3265" s="55" t="s">
        <v>138</v>
      </c>
      <c r="O3265" s="55" t="s">
        <v>224</v>
      </c>
      <c r="P3265" s="55" t="s">
        <v>1123</v>
      </c>
      <c r="Q3265" s="55" t="s">
        <v>380</v>
      </c>
      <c r="R3265" s="55">
        <v>4</v>
      </c>
      <c r="S3265" s="55"/>
      <c r="T3265" s="55" t="s">
        <v>2272</v>
      </c>
    </row>
    <row r="3266" spans="1:20" ht="13" x14ac:dyDescent="0.15">
      <c r="A3266" s="72" t="str">
        <f t="shared" si="50"/>
        <v>Ofsted Social Care Provider Webpage</v>
      </c>
      <c r="B3266" s="55" t="s">
        <v>6122</v>
      </c>
      <c r="D3266" s="55" t="s">
        <v>373</v>
      </c>
      <c r="E3266" s="74">
        <v>41417</v>
      </c>
      <c r="F3266" s="55" t="s">
        <v>344</v>
      </c>
      <c r="G3266" s="55" t="s">
        <v>360</v>
      </c>
      <c r="H3266" s="55" t="s">
        <v>360</v>
      </c>
      <c r="I3266" s="55" t="s">
        <v>360</v>
      </c>
      <c r="J3266" s="55" t="s">
        <v>360</v>
      </c>
      <c r="K3266" s="55" t="s">
        <v>360</v>
      </c>
      <c r="L3266" s="55" t="s">
        <v>360</v>
      </c>
      <c r="M3266" s="55" t="s">
        <v>144</v>
      </c>
      <c r="N3266" s="55" t="s">
        <v>144</v>
      </c>
      <c r="O3266" s="55" t="s">
        <v>209</v>
      </c>
      <c r="P3266" s="55" t="s">
        <v>364</v>
      </c>
      <c r="Q3266" s="55" t="s">
        <v>350</v>
      </c>
      <c r="R3266" s="55">
        <v>4</v>
      </c>
      <c r="S3266" s="55"/>
      <c r="T3266" s="55" t="s">
        <v>1539</v>
      </c>
    </row>
    <row r="3267" spans="1:20" ht="13" x14ac:dyDescent="0.15">
      <c r="A3267" s="72" t="str">
        <f t="shared" si="50"/>
        <v>Ofsted Social Care Provider Webpage</v>
      </c>
      <c r="B3267" s="55" t="s">
        <v>6123</v>
      </c>
      <c r="D3267" s="55" t="s">
        <v>389</v>
      </c>
      <c r="E3267" s="74">
        <v>41507</v>
      </c>
      <c r="F3267" s="55" t="s">
        <v>344</v>
      </c>
      <c r="G3267" s="55" t="s">
        <v>6124</v>
      </c>
      <c r="H3267" s="55" t="s">
        <v>6125</v>
      </c>
      <c r="I3267" s="55" t="s">
        <v>6126</v>
      </c>
      <c r="J3267" s="55" t="s">
        <v>593</v>
      </c>
      <c r="L3267" s="55" t="s">
        <v>6127</v>
      </c>
      <c r="M3267" s="55" t="s">
        <v>150</v>
      </c>
      <c r="N3267" s="55" t="s">
        <v>150</v>
      </c>
      <c r="O3267" s="55" t="s">
        <v>203</v>
      </c>
      <c r="P3267" s="55" t="s">
        <v>593</v>
      </c>
      <c r="Q3267" s="55" t="s">
        <v>350</v>
      </c>
      <c r="R3267" s="55"/>
      <c r="S3267" s="55"/>
      <c r="T3267" s="55" t="s">
        <v>6128</v>
      </c>
    </row>
    <row r="3268" spans="1:20" ht="13" x14ac:dyDescent="0.15">
      <c r="A3268" s="72" t="str">
        <f t="shared" si="50"/>
        <v>Ofsted Social Care Provider Webpage</v>
      </c>
      <c r="B3268" s="55" t="s">
        <v>6129</v>
      </c>
      <c r="D3268" s="55" t="s">
        <v>373</v>
      </c>
      <c r="E3268" s="74">
        <v>41740</v>
      </c>
      <c r="F3268" s="55" t="s">
        <v>344</v>
      </c>
      <c r="G3268" s="55" t="s">
        <v>360</v>
      </c>
      <c r="H3268" s="55" t="s">
        <v>360</v>
      </c>
      <c r="I3268" s="55" t="s">
        <v>360</v>
      </c>
      <c r="J3268" s="55" t="s">
        <v>360</v>
      </c>
      <c r="K3268" s="55" t="s">
        <v>360</v>
      </c>
      <c r="L3268" s="55" t="s">
        <v>360</v>
      </c>
      <c r="M3268" s="55" t="s">
        <v>172</v>
      </c>
      <c r="N3268" s="55" t="s">
        <v>172</v>
      </c>
      <c r="O3268" s="55" t="s">
        <v>173</v>
      </c>
      <c r="P3268" s="55" t="s">
        <v>1305</v>
      </c>
      <c r="Q3268" s="55" t="s">
        <v>350</v>
      </c>
      <c r="R3268" s="55">
        <v>4</v>
      </c>
      <c r="S3268" s="55"/>
      <c r="T3268" s="55" t="s">
        <v>861</v>
      </c>
    </row>
    <row r="3269" spans="1:20" ht="13" x14ac:dyDescent="0.15">
      <c r="A3269" s="72" t="str">
        <f t="shared" ref="A3269:A3332" si="51">HYPERLINK(_xlfn.CONCAT("http://reports.ofsted.gov.uk/inspection-reports/find-inspection-report/provider/CARE/",B3269),"Ofsted Social Care Provider Webpage")</f>
        <v>Ofsted Social Care Provider Webpage</v>
      </c>
      <c r="B3269" s="55" t="s">
        <v>6130</v>
      </c>
      <c r="D3269" s="55" t="s">
        <v>373</v>
      </c>
      <c r="E3269" s="74">
        <v>41514</v>
      </c>
      <c r="F3269" s="55" t="s">
        <v>344</v>
      </c>
      <c r="G3269" s="55" t="s">
        <v>360</v>
      </c>
      <c r="H3269" s="55" t="s">
        <v>360</v>
      </c>
      <c r="I3269" s="55" t="s">
        <v>360</v>
      </c>
      <c r="J3269" s="55" t="s">
        <v>360</v>
      </c>
      <c r="K3269" s="55" t="s">
        <v>360</v>
      </c>
      <c r="L3269" s="55" t="s">
        <v>360</v>
      </c>
      <c r="M3269" s="55" t="s">
        <v>142</v>
      </c>
      <c r="N3269" s="55" t="s">
        <v>142</v>
      </c>
      <c r="O3269" s="55" t="s">
        <v>278</v>
      </c>
      <c r="P3269" s="55" t="s">
        <v>1126</v>
      </c>
      <c r="Q3269" s="55" t="s">
        <v>380</v>
      </c>
      <c r="R3269" s="55">
        <v>6</v>
      </c>
      <c r="S3269" s="55" t="s">
        <v>332</v>
      </c>
      <c r="T3269" s="55" t="s">
        <v>3433</v>
      </c>
    </row>
    <row r="3270" spans="1:20" ht="13" x14ac:dyDescent="0.15">
      <c r="A3270" s="72" t="str">
        <f t="shared" si="51"/>
        <v>Ofsted Social Care Provider Webpage</v>
      </c>
      <c r="B3270" s="55" t="s">
        <v>6131</v>
      </c>
      <c r="D3270" s="55" t="s">
        <v>373</v>
      </c>
      <c r="E3270" s="74">
        <v>41450</v>
      </c>
      <c r="F3270" s="55" t="s">
        <v>344</v>
      </c>
      <c r="G3270" s="55" t="s">
        <v>360</v>
      </c>
      <c r="H3270" s="55" t="s">
        <v>360</v>
      </c>
      <c r="I3270" s="55" t="s">
        <v>360</v>
      </c>
      <c r="J3270" s="55" t="s">
        <v>360</v>
      </c>
      <c r="K3270" s="55" t="s">
        <v>360</v>
      </c>
      <c r="L3270" s="55" t="s">
        <v>360</v>
      </c>
      <c r="M3270" s="55" t="s">
        <v>144</v>
      </c>
      <c r="N3270" s="55" t="s">
        <v>144</v>
      </c>
      <c r="O3270" s="55" t="s">
        <v>209</v>
      </c>
      <c r="P3270" s="55" t="s">
        <v>777</v>
      </c>
      <c r="Q3270" s="55" t="s">
        <v>350</v>
      </c>
      <c r="R3270" s="55">
        <v>5</v>
      </c>
      <c r="S3270" s="55"/>
      <c r="T3270" s="55" t="s">
        <v>863</v>
      </c>
    </row>
    <row r="3271" spans="1:20" ht="13" x14ac:dyDescent="0.15">
      <c r="A3271" s="72" t="str">
        <f t="shared" si="51"/>
        <v>Ofsted Social Care Provider Webpage</v>
      </c>
      <c r="B3271" s="55" t="s">
        <v>6132</v>
      </c>
      <c r="D3271" s="55" t="s">
        <v>373</v>
      </c>
      <c r="E3271" s="74">
        <v>41493</v>
      </c>
      <c r="F3271" s="55" t="s">
        <v>344</v>
      </c>
      <c r="G3271" s="55" t="s">
        <v>360</v>
      </c>
      <c r="H3271" s="55" t="s">
        <v>360</v>
      </c>
      <c r="I3271" s="55" t="s">
        <v>360</v>
      </c>
      <c r="J3271" s="55" t="s">
        <v>360</v>
      </c>
      <c r="K3271" s="55" t="s">
        <v>360</v>
      </c>
      <c r="L3271" s="55" t="s">
        <v>360</v>
      </c>
      <c r="M3271" s="55" t="s">
        <v>142</v>
      </c>
      <c r="N3271" s="55" t="s">
        <v>142</v>
      </c>
      <c r="O3271" s="55" t="s">
        <v>252</v>
      </c>
      <c r="P3271" s="55" t="s">
        <v>503</v>
      </c>
      <c r="Q3271" s="55" t="s">
        <v>350</v>
      </c>
      <c r="R3271" s="55">
        <v>6</v>
      </c>
      <c r="S3271" s="55"/>
      <c r="T3271" s="55" t="s">
        <v>385</v>
      </c>
    </row>
    <row r="3272" spans="1:20" ht="13" x14ac:dyDescent="0.15">
      <c r="A3272" s="72" t="str">
        <f t="shared" si="51"/>
        <v>Ofsted Social Care Provider Webpage</v>
      </c>
      <c r="B3272" s="55" t="s">
        <v>6133</v>
      </c>
      <c r="D3272" s="55" t="s">
        <v>373</v>
      </c>
      <c r="E3272" s="74">
        <v>41463</v>
      </c>
      <c r="F3272" s="55" t="s">
        <v>344</v>
      </c>
      <c r="G3272" s="55" t="s">
        <v>360</v>
      </c>
      <c r="H3272" s="55" t="s">
        <v>360</v>
      </c>
      <c r="I3272" s="55" t="s">
        <v>360</v>
      </c>
      <c r="J3272" s="55" t="s">
        <v>360</v>
      </c>
      <c r="K3272" s="55" t="s">
        <v>360</v>
      </c>
      <c r="L3272" s="55" t="s">
        <v>360</v>
      </c>
      <c r="M3272" s="55" t="s">
        <v>378</v>
      </c>
      <c r="N3272" s="55" t="s">
        <v>170</v>
      </c>
      <c r="O3272" s="55" t="s">
        <v>220</v>
      </c>
      <c r="P3272" s="55" t="s">
        <v>220</v>
      </c>
      <c r="Q3272" s="55" t="s">
        <v>350</v>
      </c>
      <c r="R3272" s="55">
        <v>1</v>
      </c>
      <c r="S3272" s="55"/>
      <c r="T3272" s="55" t="s">
        <v>385</v>
      </c>
    </row>
    <row r="3273" spans="1:20" ht="13" x14ac:dyDescent="0.15">
      <c r="A3273" s="72" t="str">
        <f t="shared" si="51"/>
        <v>Ofsted Social Care Provider Webpage</v>
      </c>
      <c r="B3273" s="55" t="s">
        <v>6134</v>
      </c>
      <c r="D3273" s="55" t="s">
        <v>373</v>
      </c>
      <c r="E3273" s="74">
        <v>41725</v>
      </c>
      <c r="F3273" s="55" t="s">
        <v>344</v>
      </c>
      <c r="G3273" s="55" t="s">
        <v>360</v>
      </c>
      <c r="H3273" s="55" t="s">
        <v>360</v>
      </c>
      <c r="I3273" s="55" t="s">
        <v>360</v>
      </c>
      <c r="J3273" s="55" t="s">
        <v>360</v>
      </c>
      <c r="K3273" s="55" t="s">
        <v>360</v>
      </c>
      <c r="L3273" s="55" t="s">
        <v>360</v>
      </c>
      <c r="M3273" s="55" t="s">
        <v>136</v>
      </c>
      <c r="N3273" s="55" t="s">
        <v>136</v>
      </c>
      <c r="O3273" s="55" t="s">
        <v>174</v>
      </c>
      <c r="P3273" s="55" t="s">
        <v>982</v>
      </c>
      <c r="Q3273" s="55" t="s">
        <v>350</v>
      </c>
      <c r="R3273" s="55">
        <v>3</v>
      </c>
      <c r="S3273" s="55"/>
      <c r="T3273" s="55" t="s">
        <v>6135</v>
      </c>
    </row>
    <row r="3274" spans="1:20" ht="13" x14ac:dyDescent="0.15">
      <c r="A3274" s="72" t="str">
        <f t="shared" si="51"/>
        <v>Ofsted Social Care Provider Webpage</v>
      </c>
      <c r="B3274" s="55" t="s">
        <v>6136</v>
      </c>
      <c r="D3274" s="55" t="s">
        <v>373</v>
      </c>
      <c r="E3274" s="74">
        <v>41484</v>
      </c>
      <c r="F3274" s="55" t="s">
        <v>344</v>
      </c>
      <c r="G3274" s="55" t="s">
        <v>360</v>
      </c>
      <c r="H3274" s="55" t="s">
        <v>360</v>
      </c>
      <c r="I3274" s="55" t="s">
        <v>360</v>
      </c>
      <c r="J3274" s="55" t="s">
        <v>360</v>
      </c>
      <c r="K3274" s="55" t="s">
        <v>360</v>
      </c>
      <c r="L3274" s="55" t="s">
        <v>360</v>
      </c>
      <c r="M3274" s="55" t="s">
        <v>172</v>
      </c>
      <c r="N3274" s="55" t="s">
        <v>172</v>
      </c>
      <c r="O3274" s="55" t="s">
        <v>284</v>
      </c>
      <c r="P3274" s="55" t="s">
        <v>985</v>
      </c>
      <c r="Q3274" s="55" t="s">
        <v>851</v>
      </c>
      <c r="R3274" s="55">
        <v>12</v>
      </c>
      <c r="S3274" s="55" t="s">
        <v>332</v>
      </c>
      <c r="T3274" s="55" t="s">
        <v>6137</v>
      </c>
    </row>
    <row r="3275" spans="1:20" ht="13" x14ac:dyDescent="0.15">
      <c r="A3275" s="72" t="str">
        <f t="shared" si="51"/>
        <v>Ofsted Social Care Provider Webpage</v>
      </c>
      <c r="B3275" s="55" t="s">
        <v>6138</v>
      </c>
      <c r="D3275" s="55" t="s">
        <v>373</v>
      </c>
      <c r="E3275" s="74">
        <v>41477</v>
      </c>
      <c r="F3275" s="55" t="s">
        <v>344</v>
      </c>
      <c r="G3275" s="55" t="s">
        <v>360</v>
      </c>
      <c r="H3275" s="55" t="s">
        <v>360</v>
      </c>
      <c r="I3275" s="55" t="s">
        <v>360</v>
      </c>
      <c r="J3275" s="55" t="s">
        <v>360</v>
      </c>
      <c r="K3275" s="55" t="s">
        <v>360</v>
      </c>
      <c r="L3275" s="55" t="s">
        <v>360</v>
      </c>
      <c r="M3275" s="55" t="s">
        <v>172</v>
      </c>
      <c r="N3275" s="55" t="s">
        <v>172</v>
      </c>
      <c r="O3275" s="55" t="s">
        <v>228</v>
      </c>
      <c r="P3275" s="55" t="s">
        <v>459</v>
      </c>
      <c r="Q3275" s="55" t="s">
        <v>851</v>
      </c>
      <c r="R3275" s="55">
        <v>6</v>
      </c>
      <c r="S3275" s="55" t="s">
        <v>332</v>
      </c>
      <c r="T3275" s="55" t="s">
        <v>6137</v>
      </c>
    </row>
    <row r="3276" spans="1:20" ht="13" x14ac:dyDescent="0.15">
      <c r="A3276" s="72" t="str">
        <f t="shared" si="51"/>
        <v>Ofsted Social Care Provider Webpage</v>
      </c>
      <c r="B3276" s="55" t="s">
        <v>6139</v>
      </c>
      <c r="D3276" s="55" t="s">
        <v>373</v>
      </c>
      <c r="E3276" s="74">
        <v>41481</v>
      </c>
      <c r="F3276" s="55" t="s">
        <v>344</v>
      </c>
      <c r="G3276" s="55" t="s">
        <v>360</v>
      </c>
      <c r="H3276" s="55" t="s">
        <v>360</v>
      </c>
      <c r="I3276" s="55" t="s">
        <v>360</v>
      </c>
      <c r="J3276" s="55" t="s">
        <v>360</v>
      </c>
      <c r="K3276" s="55" t="s">
        <v>360</v>
      </c>
      <c r="L3276" s="55" t="s">
        <v>360</v>
      </c>
      <c r="M3276" s="55" t="s">
        <v>378</v>
      </c>
      <c r="N3276" s="55" t="s">
        <v>170</v>
      </c>
      <c r="O3276" s="55" t="s">
        <v>222</v>
      </c>
      <c r="P3276" s="55" t="s">
        <v>2188</v>
      </c>
      <c r="Q3276" s="55" t="s">
        <v>350</v>
      </c>
      <c r="R3276" s="55">
        <v>6</v>
      </c>
      <c r="S3276" s="55"/>
      <c r="T3276" s="55" t="s">
        <v>1528</v>
      </c>
    </row>
    <row r="3277" spans="1:20" ht="13" x14ac:dyDescent="0.15">
      <c r="A3277" s="72" t="str">
        <f t="shared" si="51"/>
        <v>Ofsted Social Care Provider Webpage</v>
      </c>
      <c r="B3277" s="55" t="s">
        <v>6140</v>
      </c>
      <c r="D3277" s="55" t="s">
        <v>373</v>
      </c>
      <c r="E3277" s="74">
        <v>41502</v>
      </c>
      <c r="F3277" s="55" t="s">
        <v>344</v>
      </c>
      <c r="G3277" s="55" t="s">
        <v>360</v>
      </c>
      <c r="H3277" s="55" t="s">
        <v>360</v>
      </c>
      <c r="I3277" s="55" t="s">
        <v>360</v>
      </c>
      <c r="J3277" s="55" t="s">
        <v>360</v>
      </c>
      <c r="K3277" s="55" t="s">
        <v>360</v>
      </c>
      <c r="L3277" s="55" t="s">
        <v>360</v>
      </c>
      <c r="M3277" s="55" t="s">
        <v>150</v>
      </c>
      <c r="N3277" s="55" t="s">
        <v>150</v>
      </c>
      <c r="O3277" s="55" t="s">
        <v>203</v>
      </c>
      <c r="P3277" s="55" t="s">
        <v>1263</v>
      </c>
      <c r="Q3277" s="55" t="s">
        <v>350</v>
      </c>
      <c r="R3277" s="55">
        <v>3</v>
      </c>
      <c r="S3277" s="55"/>
      <c r="T3277" s="55" t="s">
        <v>564</v>
      </c>
    </row>
    <row r="3278" spans="1:20" ht="13" x14ac:dyDescent="0.15">
      <c r="A3278" s="72" t="str">
        <f t="shared" si="51"/>
        <v>Ofsted Social Care Provider Webpage</v>
      </c>
      <c r="B3278" s="55" t="s">
        <v>6141</v>
      </c>
      <c r="D3278" s="55" t="s">
        <v>373</v>
      </c>
      <c r="E3278" s="74">
        <v>41458</v>
      </c>
      <c r="F3278" s="55" t="s">
        <v>344</v>
      </c>
      <c r="G3278" s="55" t="s">
        <v>360</v>
      </c>
      <c r="H3278" s="55" t="s">
        <v>360</v>
      </c>
      <c r="I3278" s="55" t="s">
        <v>360</v>
      </c>
      <c r="J3278" s="55" t="s">
        <v>360</v>
      </c>
      <c r="K3278" s="55" t="s">
        <v>360</v>
      </c>
      <c r="L3278" s="55" t="s">
        <v>360</v>
      </c>
      <c r="M3278" s="55" t="s">
        <v>150</v>
      </c>
      <c r="N3278" s="55" t="s">
        <v>150</v>
      </c>
      <c r="O3278" s="55" t="s">
        <v>221</v>
      </c>
      <c r="P3278" s="55" t="s">
        <v>349</v>
      </c>
      <c r="Q3278" s="55" t="s">
        <v>350</v>
      </c>
      <c r="R3278" s="55">
        <v>4</v>
      </c>
      <c r="S3278" s="55"/>
      <c r="T3278" s="55" t="s">
        <v>6142</v>
      </c>
    </row>
    <row r="3279" spans="1:20" ht="13" x14ac:dyDescent="0.15">
      <c r="A3279" s="72" t="str">
        <f t="shared" si="51"/>
        <v>Ofsted Social Care Provider Webpage</v>
      </c>
      <c r="B3279" s="55" t="s">
        <v>6143</v>
      </c>
      <c r="D3279" s="55" t="s">
        <v>373</v>
      </c>
      <c r="E3279" s="74">
        <v>41772</v>
      </c>
      <c r="F3279" s="55" t="s">
        <v>344</v>
      </c>
      <c r="G3279" s="55" t="s">
        <v>360</v>
      </c>
      <c r="H3279" s="55" t="s">
        <v>360</v>
      </c>
      <c r="I3279" s="55" t="s">
        <v>360</v>
      </c>
      <c r="J3279" s="55" t="s">
        <v>360</v>
      </c>
      <c r="K3279" s="55" t="s">
        <v>360</v>
      </c>
      <c r="L3279" s="55" t="s">
        <v>360</v>
      </c>
      <c r="M3279" s="55" t="s">
        <v>144</v>
      </c>
      <c r="N3279" s="55" t="s">
        <v>144</v>
      </c>
      <c r="O3279" s="55" t="s">
        <v>168</v>
      </c>
      <c r="P3279" s="55" t="s">
        <v>708</v>
      </c>
      <c r="Q3279" s="55" t="s">
        <v>350</v>
      </c>
      <c r="R3279" s="55">
        <v>2</v>
      </c>
      <c r="S3279" s="55"/>
      <c r="T3279" s="55" t="s">
        <v>709</v>
      </c>
    </row>
    <row r="3280" spans="1:20" ht="13" x14ac:dyDescent="0.15">
      <c r="A3280" s="72" t="str">
        <f t="shared" si="51"/>
        <v>Ofsted Social Care Provider Webpage</v>
      </c>
      <c r="B3280" s="55" t="s">
        <v>6144</v>
      </c>
      <c r="D3280" s="55" t="s">
        <v>389</v>
      </c>
      <c r="E3280" s="74">
        <v>41465</v>
      </c>
      <c r="F3280" s="55" t="s">
        <v>344</v>
      </c>
      <c r="G3280" s="55" t="s">
        <v>6145</v>
      </c>
      <c r="H3280" s="55" t="s">
        <v>6146</v>
      </c>
      <c r="I3280" s="55" t="s">
        <v>6147</v>
      </c>
      <c r="J3280" s="55" t="s">
        <v>6148</v>
      </c>
      <c r="L3280" s="55" t="s">
        <v>6149</v>
      </c>
      <c r="M3280" s="55" t="s">
        <v>150</v>
      </c>
      <c r="N3280" s="55" t="s">
        <v>150</v>
      </c>
      <c r="O3280" s="55" t="s">
        <v>156</v>
      </c>
      <c r="P3280" s="55" t="s">
        <v>2094</v>
      </c>
      <c r="Q3280" s="55" t="s">
        <v>350</v>
      </c>
      <c r="R3280" s="55"/>
      <c r="S3280" s="55"/>
      <c r="T3280" s="55" t="s">
        <v>6145</v>
      </c>
    </row>
    <row r="3281" spans="1:20" ht="13" x14ac:dyDescent="0.15">
      <c r="A3281" s="72" t="str">
        <f t="shared" si="51"/>
        <v>Ofsted Social Care Provider Webpage</v>
      </c>
      <c r="B3281" s="55" t="s">
        <v>6150</v>
      </c>
      <c r="D3281" s="55" t="s">
        <v>373</v>
      </c>
      <c r="E3281" s="74">
        <v>41506</v>
      </c>
      <c r="F3281" s="55" t="s">
        <v>344</v>
      </c>
      <c r="G3281" s="55" t="s">
        <v>360</v>
      </c>
      <c r="H3281" s="55" t="s">
        <v>360</v>
      </c>
      <c r="I3281" s="55" t="s">
        <v>360</v>
      </c>
      <c r="J3281" s="55" t="s">
        <v>360</v>
      </c>
      <c r="K3281" s="55" t="s">
        <v>360</v>
      </c>
      <c r="L3281" s="55" t="s">
        <v>360</v>
      </c>
      <c r="M3281" s="55" t="s">
        <v>136</v>
      </c>
      <c r="N3281" s="55" t="s">
        <v>136</v>
      </c>
      <c r="O3281" s="55" t="s">
        <v>255</v>
      </c>
      <c r="P3281" s="55" t="s">
        <v>609</v>
      </c>
      <c r="Q3281" s="55" t="s">
        <v>350</v>
      </c>
      <c r="R3281" s="55">
        <v>7</v>
      </c>
      <c r="S3281" s="55"/>
      <c r="T3281" s="55" t="s">
        <v>450</v>
      </c>
    </row>
    <row r="3282" spans="1:20" ht="13" x14ac:dyDescent="0.15">
      <c r="A3282" s="72" t="str">
        <f t="shared" si="51"/>
        <v>Ofsted Social Care Provider Webpage</v>
      </c>
      <c r="B3282" s="55" t="s">
        <v>6151</v>
      </c>
      <c r="D3282" s="55" t="s">
        <v>389</v>
      </c>
      <c r="E3282" s="74">
        <v>41478</v>
      </c>
      <c r="F3282" s="55" t="s">
        <v>344</v>
      </c>
      <c r="G3282" s="55" t="s">
        <v>6152</v>
      </c>
      <c r="H3282" s="55" t="s">
        <v>1938</v>
      </c>
      <c r="I3282" s="55" t="s">
        <v>6153</v>
      </c>
      <c r="J3282" s="55" t="s">
        <v>6154</v>
      </c>
      <c r="K3282" s="55" t="s">
        <v>285</v>
      </c>
      <c r="L3282" s="55" t="s">
        <v>6155</v>
      </c>
      <c r="M3282" s="55" t="s">
        <v>150</v>
      </c>
      <c r="N3282" s="55" t="s">
        <v>150</v>
      </c>
      <c r="O3282" s="55" t="s">
        <v>285</v>
      </c>
      <c r="P3282" s="55" t="s">
        <v>2001</v>
      </c>
      <c r="Q3282" s="55" t="s">
        <v>350</v>
      </c>
      <c r="R3282" s="55"/>
      <c r="S3282" s="55"/>
      <c r="T3282" s="55" t="s">
        <v>1938</v>
      </c>
    </row>
    <row r="3283" spans="1:20" ht="13" x14ac:dyDescent="0.15">
      <c r="A3283" s="72" t="str">
        <f t="shared" si="51"/>
        <v>Ofsted Social Care Provider Webpage</v>
      </c>
      <c r="B3283" s="55" t="s">
        <v>6156</v>
      </c>
      <c r="C3283" s="55">
        <v>118140</v>
      </c>
      <c r="D3283" s="55" t="s">
        <v>413</v>
      </c>
      <c r="E3283" s="74">
        <v>41417</v>
      </c>
      <c r="F3283" s="55" t="s">
        <v>344</v>
      </c>
      <c r="G3283" s="55" t="s">
        <v>600</v>
      </c>
      <c r="H3283" s="55" t="s">
        <v>600</v>
      </c>
      <c r="I3283" s="55" t="s">
        <v>6157</v>
      </c>
      <c r="J3283" s="55" t="s">
        <v>927</v>
      </c>
      <c r="L3283" s="55" t="s">
        <v>6158</v>
      </c>
      <c r="M3283" s="55" t="s">
        <v>378</v>
      </c>
      <c r="N3283" s="55" t="s">
        <v>134</v>
      </c>
      <c r="O3283" s="55" t="s">
        <v>204</v>
      </c>
      <c r="P3283" s="55" t="s">
        <v>1920</v>
      </c>
      <c r="Q3283" s="55" t="s">
        <v>380</v>
      </c>
      <c r="R3283" s="55">
        <v>34</v>
      </c>
      <c r="S3283" s="55"/>
      <c r="T3283" s="55" t="s">
        <v>1479</v>
      </c>
    </row>
    <row r="3284" spans="1:20" ht="13" x14ac:dyDescent="0.15">
      <c r="A3284" s="72" t="str">
        <f t="shared" si="51"/>
        <v>Ofsted Social Care Provider Webpage</v>
      </c>
      <c r="B3284" s="55" t="s">
        <v>6159</v>
      </c>
      <c r="D3284" s="55" t="s">
        <v>373</v>
      </c>
      <c r="E3284" s="74">
        <v>41613</v>
      </c>
      <c r="F3284" s="55" t="s">
        <v>344</v>
      </c>
      <c r="G3284" s="55" t="s">
        <v>360</v>
      </c>
      <c r="H3284" s="55" t="s">
        <v>360</v>
      </c>
      <c r="I3284" s="55" t="s">
        <v>360</v>
      </c>
      <c r="J3284" s="55" t="s">
        <v>360</v>
      </c>
      <c r="K3284" s="55" t="s">
        <v>360</v>
      </c>
      <c r="L3284" s="55" t="s">
        <v>360</v>
      </c>
      <c r="M3284" s="55" t="s">
        <v>172</v>
      </c>
      <c r="N3284" s="55" t="s">
        <v>172</v>
      </c>
      <c r="O3284" s="55" t="s">
        <v>235</v>
      </c>
      <c r="P3284" s="55" t="s">
        <v>628</v>
      </c>
      <c r="Q3284" s="55" t="s">
        <v>362</v>
      </c>
      <c r="R3284" s="55">
        <v>7</v>
      </c>
      <c r="S3284" s="55"/>
      <c r="T3284" s="55" t="s">
        <v>824</v>
      </c>
    </row>
    <row r="3285" spans="1:20" ht="13" x14ac:dyDescent="0.15">
      <c r="A3285" s="72" t="str">
        <f t="shared" si="51"/>
        <v>Ofsted Social Care Provider Webpage</v>
      </c>
      <c r="B3285" s="55" t="s">
        <v>6160</v>
      </c>
      <c r="D3285" s="55" t="s">
        <v>373</v>
      </c>
      <c r="E3285" s="74">
        <v>41576</v>
      </c>
      <c r="F3285" s="55" t="s">
        <v>344</v>
      </c>
      <c r="G3285" s="55" t="s">
        <v>360</v>
      </c>
      <c r="H3285" s="55" t="s">
        <v>360</v>
      </c>
      <c r="I3285" s="55" t="s">
        <v>360</v>
      </c>
      <c r="J3285" s="55" t="s">
        <v>360</v>
      </c>
      <c r="K3285" s="55" t="s">
        <v>360</v>
      </c>
      <c r="L3285" s="55" t="s">
        <v>360</v>
      </c>
      <c r="M3285" s="55" t="s">
        <v>129</v>
      </c>
      <c r="N3285" s="55" t="s">
        <v>129</v>
      </c>
      <c r="O3285" s="55" t="s">
        <v>194</v>
      </c>
      <c r="P3285" s="55" t="s">
        <v>1201</v>
      </c>
      <c r="Q3285" s="55" t="s">
        <v>350</v>
      </c>
      <c r="R3285" s="55">
        <v>5</v>
      </c>
      <c r="S3285" s="55"/>
      <c r="T3285" s="55" t="s">
        <v>1013</v>
      </c>
    </row>
    <row r="3286" spans="1:20" ht="13" x14ac:dyDescent="0.15">
      <c r="A3286" s="72" t="str">
        <f t="shared" si="51"/>
        <v>Ofsted Social Care Provider Webpage</v>
      </c>
      <c r="B3286" s="55" t="s">
        <v>6161</v>
      </c>
      <c r="D3286" s="55" t="s">
        <v>373</v>
      </c>
      <c r="E3286" s="74">
        <v>41519</v>
      </c>
      <c r="F3286" s="55" t="s">
        <v>344</v>
      </c>
      <c r="G3286" s="55" t="s">
        <v>360</v>
      </c>
      <c r="H3286" s="55" t="s">
        <v>360</v>
      </c>
      <c r="I3286" s="55" t="s">
        <v>360</v>
      </c>
      <c r="J3286" s="55" t="s">
        <v>360</v>
      </c>
      <c r="K3286" s="55" t="s">
        <v>360</v>
      </c>
      <c r="L3286" s="55" t="s">
        <v>360</v>
      </c>
      <c r="M3286" s="55" t="s">
        <v>138</v>
      </c>
      <c r="N3286" s="55" t="s">
        <v>138</v>
      </c>
      <c r="O3286" s="55" t="s">
        <v>238</v>
      </c>
      <c r="P3286" s="55" t="s">
        <v>1080</v>
      </c>
      <c r="Q3286" s="55" t="s">
        <v>350</v>
      </c>
      <c r="R3286" s="55">
        <v>4</v>
      </c>
      <c r="S3286" s="55"/>
      <c r="T3286" s="55" t="s">
        <v>1899</v>
      </c>
    </row>
    <row r="3287" spans="1:20" ht="13" x14ac:dyDescent="0.15">
      <c r="A3287" s="72" t="str">
        <f t="shared" si="51"/>
        <v>Ofsted Social Care Provider Webpage</v>
      </c>
      <c r="B3287" s="55" t="s">
        <v>6162</v>
      </c>
      <c r="D3287" s="55" t="s">
        <v>389</v>
      </c>
      <c r="E3287" s="74">
        <v>41529</v>
      </c>
      <c r="F3287" s="55" t="s">
        <v>344</v>
      </c>
      <c r="G3287" s="55" t="s">
        <v>6163</v>
      </c>
      <c r="H3287" s="55" t="s">
        <v>6164</v>
      </c>
      <c r="I3287" s="55" t="s">
        <v>6165</v>
      </c>
      <c r="J3287" s="55" t="s">
        <v>1641</v>
      </c>
      <c r="K3287" s="55" t="s">
        <v>293</v>
      </c>
      <c r="L3287" s="55" t="s">
        <v>6166</v>
      </c>
      <c r="M3287" s="55" t="s">
        <v>142</v>
      </c>
      <c r="N3287" s="55" t="s">
        <v>142</v>
      </c>
      <c r="O3287" s="55" t="s">
        <v>293</v>
      </c>
      <c r="P3287" s="55" t="s">
        <v>1641</v>
      </c>
      <c r="Q3287" s="55" t="s">
        <v>350</v>
      </c>
      <c r="R3287" s="55"/>
      <c r="S3287" s="55"/>
      <c r="T3287" s="55" t="s">
        <v>6163</v>
      </c>
    </row>
    <row r="3288" spans="1:20" ht="13" x14ac:dyDescent="0.15">
      <c r="A3288" s="72" t="str">
        <f t="shared" si="51"/>
        <v>Ofsted Social Care Provider Webpage</v>
      </c>
      <c r="B3288" s="55" t="s">
        <v>6167</v>
      </c>
      <c r="D3288" s="55" t="s">
        <v>373</v>
      </c>
      <c r="E3288" s="74">
        <v>41513</v>
      </c>
      <c r="F3288" s="55" t="s">
        <v>344</v>
      </c>
      <c r="G3288" s="55" t="s">
        <v>360</v>
      </c>
      <c r="H3288" s="55" t="s">
        <v>360</v>
      </c>
      <c r="I3288" s="55" t="s">
        <v>360</v>
      </c>
      <c r="J3288" s="55" t="s">
        <v>360</v>
      </c>
      <c r="K3288" s="55" t="s">
        <v>360</v>
      </c>
      <c r="L3288" s="55" t="s">
        <v>360</v>
      </c>
      <c r="M3288" s="55" t="s">
        <v>136</v>
      </c>
      <c r="N3288" s="55" t="s">
        <v>136</v>
      </c>
      <c r="O3288" s="55" t="s">
        <v>255</v>
      </c>
      <c r="P3288" s="55" t="s">
        <v>583</v>
      </c>
      <c r="Q3288" s="55" t="s">
        <v>350</v>
      </c>
      <c r="R3288" s="55">
        <v>2</v>
      </c>
      <c r="S3288" s="55"/>
      <c r="T3288" s="55" t="s">
        <v>5169</v>
      </c>
    </row>
    <row r="3289" spans="1:20" ht="13" x14ac:dyDescent="0.15">
      <c r="A3289" s="72" t="str">
        <f t="shared" si="51"/>
        <v>Ofsted Social Care Provider Webpage</v>
      </c>
      <c r="B3289" s="55" t="s">
        <v>6168</v>
      </c>
      <c r="D3289" s="55" t="s">
        <v>373</v>
      </c>
      <c r="E3289" s="74">
        <v>41646</v>
      </c>
      <c r="F3289" s="55" t="s">
        <v>344</v>
      </c>
      <c r="G3289" s="55" t="s">
        <v>360</v>
      </c>
      <c r="H3289" s="55" t="s">
        <v>360</v>
      </c>
      <c r="I3289" s="55" t="s">
        <v>360</v>
      </c>
      <c r="J3289" s="55" t="s">
        <v>360</v>
      </c>
      <c r="K3289" s="55" t="s">
        <v>360</v>
      </c>
      <c r="L3289" s="55" t="s">
        <v>360</v>
      </c>
      <c r="M3289" s="55" t="s">
        <v>150</v>
      </c>
      <c r="N3289" s="55" t="s">
        <v>150</v>
      </c>
      <c r="O3289" s="55" t="s">
        <v>190</v>
      </c>
      <c r="P3289" s="55" t="s">
        <v>830</v>
      </c>
      <c r="Q3289" s="55" t="s">
        <v>350</v>
      </c>
      <c r="R3289" s="55">
        <v>4</v>
      </c>
      <c r="S3289" s="55"/>
      <c r="T3289" s="55" t="s">
        <v>450</v>
      </c>
    </row>
    <row r="3290" spans="1:20" ht="13" x14ac:dyDescent="0.15">
      <c r="A3290" s="72" t="str">
        <f t="shared" si="51"/>
        <v>Ofsted Social Care Provider Webpage</v>
      </c>
      <c r="B3290" s="55" t="s">
        <v>6169</v>
      </c>
      <c r="D3290" s="55" t="s">
        <v>373</v>
      </c>
      <c r="E3290" s="74">
        <v>41514</v>
      </c>
      <c r="F3290" s="55" t="s">
        <v>344</v>
      </c>
      <c r="G3290" s="55" t="s">
        <v>360</v>
      </c>
      <c r="H3290" s="55" t="s">
        <v>360</v>
      </c>
      <c r="I3290" s="55" t="s">
        <v>360</v>
      </c>
      <c r="J3290" s="55" t="s">
        <v>360</v>
      </c>
      <c r="K3290" s="55" t="s">
        <v>360</v>
      </c>
      <c r="L3290" s="55" t="s">
        <v>360</v>
      </c>
      <c r="M3290" s="55" t="s">
        <v>142</v>
      </c>
      <c r="N3290" s="55" t="s">
        <v>142</v>
      </c>
      <c r="O3290" s="55" t="s">
        <v>141</v>
      </c>
      <c r="P3290" s="55" t="s">
        <v>641</v>
      </c>
      <c r="Q3290" s="55" t="s">
        <v>350</v>
      </c>
      <c r="R3290" s="55">
        <v>4</v>
      </c>
      <c r="S3290" s="55"/>
      <c r="T3290" s="55" t="s">
        <v>1261</v>
      </c>
    </row>
    <row r="3291" spans="1:20" ht="13" x14ac:dyDescent="0.15">
      <c r="A3291" s="72" t="str">
        <f t="shared" si="51"/>
        <v>Ofsted Social Care Provider Webpage</v>
      </c>
      <c r="B3291" s="55" t="s">
        <v>6170</v>
      </c>
      <c r="D3291" s="55" t="s">
        <v>373</v>
      </c>
      <c r="E3291" s="74">
        <v>41546</v>
      </c>
      <c r="F3291" s="55" t="s">
        <v>344</v>
      </c>
      <c r="G3291" s="55" t="s">
        <v>360</v>
      </c>
      <c r="H3291" s="55" t="s">
        <v>360</v>
      </c>
      <c r="I3291" s="55" t="s">
        <v>360</v>
      </c>
      <c r="J3291" s="55" t="s">
        <v>360</v>
      </c>
      <c r="K3291" s="55" t="s">
        <v>360</v>
      </c>
      <c r="L3291" s="55" t="s">
        <v>360</v>
      </c>
      <c r="M3291" s="55" t="s">
        <v>144</v>
      </c>
      <c r="N3291" s="55" t="s">
        <v>144</v>
      </c>
      <c r="O3291" s="55" t="s">
        <v>143</v>
      </c>
      <c r="P3291" s="55" t="s">
        <v>650</v>
      </c>
      <c r="Q3291" s="55" t="s">
        <v>350</v>
      </c>
      <c r="R3291" s="55">
        <v>5</v>
      </c>
      <c r="S3291" s="55"/>
      <c r="T3291" s="55" t="s">
        <v>1505</v>
      </c>
    </row>
    <row r="3292" spans="1:20" ht="13" x14ac:dyDescent="0.15">
      <c r="A3292" s="72" t="str">
        <f t="shared" si="51"/>
        <v>Ofsted Social Care Provider Webpage</v>
      </c>
      <c r="B3292" s="55" t="s">
        <v>6171</v>
      </c>
      <c r="D3292" s="55" t="s">
        <v>373</v>
      </c>
      <c r="E3292" s="74">
        <v>41495</v>
      </c>
      <c r="F3292" s="55" t="s">
        <v>344</v>
      </c>
      <c r="G3292" s="55" t="s">
        <v>360</v>
      </c>
      <c r="H3292" s="55" t="s">
        <v>360</v>
      </c>
      <c r="I3292" s="55" t="s">
        <v>360</v>
      </c>
      <c r="J3292" s="55" t="s">
        <v>360</v>
      </c>
      <c r="K3292" s="55" t="s">
        <v>360</v>
      </c>
      <c r="L3292" s="55" t="s">
        <v>360</v>
      </c>
      <c r="M3292" s="55" t="s">
        <v>136</v>
      </c>
      <c r="N3292" s="55" t="s">
        <v>136</v>
      </c>
      <c r="O3292" s="55" t="s">
        <v>174</v>
      </c>
      <c r="P3292" s="55" t="s">
        <v>572</v>
      </c>
      <c r="Q3292" s="55" t="s">
        <v>350</v>
      </c>
      <c r="R3292" s="55">
        <v>2</v>
      </c>
      <c r="S3292" s="55"/>
      <c r="T3292" s="55" t="s">
        <v>385</v>
      </c>
    </row>
    <row r="3293" spans="1:20" ht="13" x14ac:dyDescent="0.15">
      <c r="A3293" s="72" t="str">
        <f t="shared" si="51"/>
        <v>Ofsted Social Care Provider Webpage</v>
      </c>
      <c r="B3293" s="55" t="s">
        <v>6172</v>
      </c>
      <c r="D3293" s="55" t="s">
        <v>373</v>
      </c>
      <c r="E3293" s="74">
        <v>41565</v>
      </c>
      <c r="F3293" s="55" t="s">
        <v>344</v>
      </c>
      <c r="G3293" s="55" t="s">
        <v>360</v>
      </c>
      <c r="H3293" s="55" t="s">
        <v>360</v>
      </c>
      <c r="I3293" s="55" t="s">
        <v>360</v>
      </c>
      <c r="J3293" s="55" t="s">
        <v>360</v>
      </c>
      <c r="K3293" s="55" t="s">
        <v>360</v>
      </c>
      <c r="L3293" s="55" t="s">
        <v>360</v>
      </c>
      <c r="M3293" s="55" t="s">
        <v>144</v>
      </c>
      <c r="N3293" s="55" t="s">
        <v>144</v>
      </c>
      <c r="O3293" s="55" t="s">
        <v>147</v>
      </c>
      <c r="P3293" s="55" t="s">
        <v>674</v>
      </c>
      <c r="Q3293" s="55" t="s">
        <v>362</v>
      </c>
      <c r="R3293" s="55">
        <v>3</v>
      </c>
      <c r="S3293" s="55"/>
      <c r="T3293" s="55" t="s">
        <v>675</v>
      </c>
    </row>
    <row r="3294" spans="1:20" ht="13" x14ac:dyDescent="0.15">
      <c r="A3294" s="72" t="str">
        <f t="shared" si="51"/>
        <v>Ofsted Social Care Provider Webpage</v>
      </c>
      <c r="B3294" s="55" t="s">
        <v>6173</v>
      </c>
      <c r="D3294" s="55" t="s">
        <v>373</v>
      </c>
      <c r="E3294" s="74">
        <v>41488</v>
      </c>
      <c r="F3294" s="55" t="s">
        <v>344</v>
      </c>
      <c r="G3294" s="55" t="s">
        <v>360</v>
      </c>
      <c r="H3294" s="55" t="s">
        <v>360</v>
      </c>
      <c r="I3294" s="55" t="s">
        <v>360</v>
      </c>
      <c r="J3294" s="55" t="s">
        <v>360</v>
      </c>
      <c r="K3294" s="55" t="s">
        <v>360</v>
      </c>
      <c r="L3294" s="55" t="s">
        <v>360</v>
      </c>
      <c r="M3294" s="55" t="s">
        <v>129</v>
      </c>
      <c r="N3294" s="55" t="s">
        <v>129</v>
      </c>
      <c r="O3294" s="55" t="s">
        <v>242</v>
      </c>
      <c r="P3294" s="55" t="s">
        <v>1519</v>
      </c>
      <c r="Q3294" s="55" t="s">
        <v>350</v>
      </c>
      <c r="R3294" s="55">
        <v>5</v>
      </c>
      <c r="S3294" s="55"/>
      <c r="T3294" s="55" t="s">
        <v>1603</v>
      </c>
    </row>
    <row r="3295" spans="1:20" ht="13" x14ac:dyDescent="0.15">
      <c r="A3295" s="72" t="str">
        <f t="shared" si="51"/>
        <v>Ofsted Social Care Provider Webpage</v>
      </c>
      <c r="B3295" s="55" t="s">
        <v>6174</v>
      </c>
      <c r="D3295" s="55" t="s">
        <v>373</v>
      </c>
      <c r="E3295" s="74">
        <v>41498</v>
      </c>
      <c r="F3295" s="55" t="s">
        <v>344</v>
      </c>
      <c r="G3295" s="55" t="s">
        <v>360</v>
      </c>
      <c r="H3295" s="55" t="s">
        <v>360</v>
      </c>
      <c r="I3295" s="55" t="s">
        <v>360</v>
      </c>
      <c r="J3295" s="55" t="s">
        <v>360</v>
      </c>
      <c r="K3295" s="55" t="s">
        <v>360</v>
      </c>
      <c r="L3295" s="55" t="s">
        <v>360</v>
      </c>
      <c r="M3295" s="55" t="s">
        <v>136</v>
      </c>
      <c r="N3295" s="55" t="s">
        <v>136</v>
      </c>
      <c r="O3295" s="55" t="s">
        <v>174</v>
      </c>
      <c r="P3295" s="55" t="s">
        <v>982</v>
      </c>
      <c r="Q3295" s="55" t="s">
        <v>350</v>
      </c>
      <c r="R3295" s="55">
        <v>2</v>
      </c>
      <c r="S3295" s="55"/>
      <c r="T3295" s="55" t="s">
        <v>793</v>
      </c>
    </row>
    <row r="3296" spans="1:20" ht="13" x14ac:dyDescent="0.15">
      <c r="A3296" s="72" t="str">
        <f t="shared" si="51"/>
        <v>Ofsted Social Care Provider Webpage</v>
      </c>
      <c r="B3296" s="55" t="s">
        <v>6175</v>
      </c>
      <c r="D3296" s="55" t="s">
        <v>373</v>
      </c>
      <c r="E3296" s="74">
        <v>41556</v>
      </c>
      <c r="F3296" s="55" t="s">
        <v>344</v>
      </c>
      <c r="G3296" s="55" t="s">
        <v>360</v>
      </c>
      <c r="H3296" s="55" t="s">
        <v>360</v>
      </c>
      <c r="I3296" s="55" t="s">
        <v>360</v>
      </c>
      <c r="J3296" s="55" t="s">
        <v>360</v>
      </c>
      <c r="K3296" s="55" t="s">
        <v>360</v>
      </c>
      <c r="L3296" s="55" t="s">
        <v>360</v>
      </c>
      <c r="M3296" s="55" t="s">
        <v>378</v>
      </c>
      <c r="N3296" s="55" t="s">
        <v>170</v>
      </c>
      <c r="O3296" s="55" t="s">
        <v>233</v>
      </c>
      <c r="P3296" s="55" t="s">
        <v>1376</v>
      </c>
      <c r="Q3296" s="55" t="s">
        <v>380</v>
      </c>
      <c r="R3296" s="55">
        <v>4</v>
      </c>
      <c r="S3296" s="55"/>
      <c r="T3296" s="55" t="s">
        <v>381</v>
      </c>
    </row>
    <row r="3297" spans="1:20" ht="13" x14ac:dyDescent="0.15">
      <c r="A3297" s="72" t="str">
        <f t="shared" si="51"/>
        <v>Ofsted Social Care Provider Webpage</v>
      </c>
      <c r="B3297" s="55" t="s">
        <v>6176</v>
      </c>
      <c r="C3297" s="55">
        <v>138405</v>
      </c>
      <c r="D3297" s="55" t="s">
        <v>398</v>
      </c>
      <c r="E3297" s="74">
        <v>41474</v>
      </c>
      <c r="F3297" s="55" t="s">
        <v>344</v>
      </c>
      <c r="G3297" s="55" t="s">
        <v>6177</v>
      </c>
      <c r="H3297" s="55" t="s">
        <v>6178</v>
      </c>
      <c r="I3297" s="55" t="s">
        <v>354</v>
      </c>
      <c r="J3297" s="55" t="s">
        <v>6179</v>
      </c>
      <c r="K3297" s="55" t="s">
        <v>203</v>
      </c>
      <c r="L3297" s="55" t="s">
        <v>6180</v>
      </c>
      <c r="M3297" s="55" t="s">
        <v>150</v>
      </c>
      <c r="N3297" s="55" t="s">
        <v>150</v>
      </c>
      <c r="O3297" s="55" t="s">
        <v>203</v>
      </c>
      <c r="P3297" s="55" t="s">
        <v>1268</v>
      </c>
      <c r="Q3297" s="55" t="s">
        <v>350</v>
      </c>
      <c r="R3297" s="55">
        <v>117</v>
      </c>
      <c r="S3297" s="55"/>
      <c r="T3297" s="55" t="s">
        <v>6181</v>
      </c>
    </row>
    <row r="3298" spans="1:20" ht="13" x14ac:dyDescent="0.15">
      <c r="A3298" s="72" t="str">
        <f t="shared" si="51"/>
        <v>Ofsted Social Care Provider Webpage</v>
      </c>
      <c r="B3298" s="55" t="s">
        <v>6182</v>
      </c>
      <c r="D3298" s="55" t="s">
        <v>373</v>
      </c>
      <c r="E3298" s="74">
        <v>41631</v>
      </c>
      <c r="F3298" s="55" t="s">
        <v>344</v>
      </c>
      <c r="G3298" s="55" t="s">
        <v>360</v>
      </c>
      <c r="H3298" s="55" t="s">
        <v>360</v>
      </c>
      <c r="I3298" s="55" t="s">
        <v>360</v>
      </c>
      <c r="J3298" s="55" t="s">
        <v>360</v>
      </c>
      <c r="K3298" s="55" t="s">
        <v>360</v>
      </c>
      <c r="L3298" s="55" t="s">
        <v>360</v>
      </c>
      <c r="M3298" s="55" t="s">
        <v>150</v>
      </c>
      <c r="N3298" s="55" t="s">
        <v>150</v>
      </c>
      <c r="O3298" s="55" t="s">
        <v>203</v>
      </c>
      <c r="P3298" s="55" t="s">
        <v>1263</v>
      </c>
      <c r="Q3298" s="55" t="s">
        <v>350</v>
      </c>
      <c r="R3298" s="55">
        <v>4</v>
      </c>
      <c r="S3298" s="55"/>
      <c r="T3298" s="55" t="s">
        <v>483</v>
      </c>
    </row>
    <row r="3299" spans="1:20" ht="13" x14ac:dyDescent="0.15">
      <c r="A3299" s="72" t="str">
        <f t="shared" si="51"/>
        <v>Ofsted Social Care Provider Webpage</v>
      </c>
      <c r="B3299" s="55" t="s">
        <v>6183</v>
      </c>
      <c r="D3299" s="55" t="s">
        <v>373</v>
      </c>
      <c r="E3299" s="74">
        <v>41605</v>
      </c>
      <c r="F3299" s="55" t="s">
        <v>344</v>
      </c>
      <c r="G3299" s="55" t="s">
        <v>360</v>
      </c>
      <c r="H3299" s="55" t="s">
        <v>360</v>
      </c>
      <c r="I3299" s="55" t="s">
        <v>360</v>
      </c>
      <c r="J3299" s="55" t="s">
        <v>360</v>
      </c>
      <c r="K3299" s="55" t="s">
        <v>360</v>
      </c>
      <c r="L3299" s="55" t="s">
        <v>360</v>
      </c>
      <c r="M3299" s="55" t="s">
        <v>142</v>
      </c>
      <c r="N3299" s="55" t="s">
        <v>142</v>
      </c>
      <c r="O3299" s="55" t="s">
        <v>262</v>
      </c>
      <c r="P3299" s="55" t="s">
        <v>618</v>
      </c>
      <c r="Q3299" s="55" t="s">
        <v>350</v>
      </c>
      <c r="R3299" s="55">
        <v>3</v>
      </c>
      <c r="S3299" s="55"/>
      <c r="T3299" s="55" t="s">
        <v>4819</v>
      </c>
    </row>
    <row r="3300" spans="1:20" ht="13" x14ac:dyDescent="0.15">
      <c r="A3300" s="72" t="str">
        <f t="shared" si="51"/>
        <v>Ofsted Social Care Provider Webpage</v>
      </c>
      <c r="B3300" s="55" t="s">
        <v>6184</v>
      </c>
      <c r="D3300" s="55" t="s">
        <v>389</v>
      </c>
      <c r="E3300" s="74">
        <v>41534</v>
      </c>
      <c r="F3300" s="55" t="s">
        <v>344</v>
      </c>
      <c r="G3300" s="55" t="s">
        <v>6185</v>
      </c>
      <c r="H3300" s="55" t="s">
        <v>6186</v>
      </c>
      <c r="I3300" s="55" t="s">
        <v>6187</v>
      </c>
      <c r="J3300" s="55" t="s">
        <v>183</v>
      </c>
      <c r="L3300" s="55" t="s">
        <v>6188</v>
      </c>
      <c r="M3300" s="55" t="s">
        <v>138</v>
      </c>
      <c r="N3300" s="55" t="s">
        <v>138</v>
      </c>
      <c r="O3300" s="55" t="s">
        <v>183</v>
      </c>
      <c r="P3300" s="55" t="s">
        <v>664</v>
      </c>
      <c r="Q3300" s="55" t="s">
        <v>350</v>
      </c>
      <c r="R3300" s="55"/>
      <c r="S3300" s="55"/>
      <c r="T3300" s="55" t="s">
        <v>6189</v>
      </c>
    </row>
    <row r="3301" spans="1:20" ht="13" x14ac:dyDescent="0.15">
      <c r="A3301" s="72" t="str">
        <f t="shared" si="51"/>
        <v>Ofsted Social Care Provider Webpage</v>
      </c>
      <c r="B3301" s="55" t="s">
        <v>6190</v>
      </c>
      <c r="D3301" s="55" t="s">
        <v>373</v>
      </c>
      <c r="E3301" s="74">
        <v>41567</v>
      </c>
      <c r="F3301" s="55" t="s">
        <v>344</v>
      </c>
      <c r="G3301" s="55" t="s">
        <v>360</v>
      </c>
      <c r="H3301" s="55" t="s">
        <v>360</v>
      </c>
      <c r="I3301" s="55" t="s">
        <v>360</v>
      </c>
      <c r="J3301" s="55" t="s">
        <v>360</v>
      </c>
      <c r="K3301" s="55" t="s">
        <v>360</v>
      </c>
      <c r="L3301" s="55" t="s">
        <v>360</v>
      </c>
      <c r="M3301" s="55" t="s">
        <v>142</v>
      </c>
      <c r="N3301" s="55" t="s">
        <v>142</v>
      </c>
      <c r="O3301" s="55" t="s">
        <v>272</v>
      </c>
      <c r="P3301" s="55" t="s">
        <v>1291</v>
      </c>
      <c r="Q3301" s="55" t="s">
        <v>350</v>
      </c>
      <c r="R3301" s="55">
        <v>3</v>
      </c>
      <c r="S3301" s="55"/>
      <c r="T3301" s="55" t="s">
        <v>917</v>
      </c>
    </row>
    <row r="3302" spans="1:20" ht="13" x14ac:dyDescent="0.15">
      <c r="A3302" s="72" t="str">
        <f t="shared" si="51"/>
        <v>Ofsted Social Care Provider Webpage</v>
      </c>
      <c r="B3302" s="55" t="s">
        <v>6191</v>
      </c>
      <c r="C3302" s="55">
        <v>139997</v>
      </c>
      <c r="D3302" s="55" t="s">
        <v>398</v>
      </c>
      <c r="E3302" s="74">
        <v>41488</v>
      </c>
      <c r="F3302" s="55" t="s">
        <v>344</v>
      </c>
      <c r="G3302" s="55" t="s">
        <v>6192</v>
      </c>
      <c r="H3302" s="55" t="s">
        <v>6193</v>
      </c>
      <c r="I3302" s="55" t="s">
        <v>354</v>
      </c>
      <c r="J3302" s="55" t="s">
        <v>402</v>
      </c>
      <c r="K3302" s="55" t="s">
        <v>237</v>
      </c>
      <c r="L3302" s="55" t="s">
        <v>6194</v>
      </c>
      <c r="M3302" s="55" t="s">
        <v>150</v>
      </c>
      <c r="N3302" s="55" t="s">
        <v>150</v>
      </c>
      <c r="O3302" s="55" t="s">
        <v>237</v>
      </c>
      <c r="P3302" s="55" t="s">
        <v>859</v>
      </c>
      <c r="Q3302" s="55" t="s">
        <v>350</v>
      </c>
      <c r="R3302" s="55">
        <v>3</v>
      </c>
      <c r="S3302" s="55"/>
      <c r="T3302" s="55" t="s">
        <v>6195</v>
      </c>
    </row>
    <row r="3303" spans="1:20" ht="13" x14ac:dyDescent="0.15">
      <c r="A3303" s="72" t="str">
        <f t="shared" si="51"/>
        <v>Ofsted Social Care Provider Webpage</v>
      </c>
      <c r="B3303" s="55" t="s">
        <v>6196</v>
      </c>
      <c r="D3303" s="55" t="s">
        <v>373</v>
      </c>
      <c r="E3303" s="74">
        <v>41589</v>
      </c>
      <c r="F3303" s="55" t="s">
        <v>344</v>
      </c>
      <c r="G3303" s="55" t="s">
        <v>360</v>
      </c>
      <c r="H3303" s="55" t="s">
        <v>360</v>
      </c>
      <c r="I3303" s="55" t="s">
        <v>360</v>
      </c>
      <c r="J3303" s="55" t="s">
        <v>360</v>
      </c>
      <c r="K3303" s="55" t="s">
        <v>360</v>
      </c>
      <c r="L3303" s="55" t="s">
        <v>360</v>
      </c>
      <c r="M3303" s="55" t="s">
        <v>144</v>
      </c>
      <c r="N3303" s="55" t="s">
        <v>144</v>
      </c>
      <c r="O3303" s="55" t="s">
        <v>209</v>
      </c>
      <c r="P3303" s="55" t="s">
        <v>650</v>
      </c>
      <c r="Q3303" s="55" t="s">
        <v>350</v>
      </c>
      <c r="R3303" s="55">
        <v>10</v>
      </c>
      <c r="S3303" s="55"/>
      <c r="T3303" s="55" t="s">
        <v>630</v>
      </c>
    </row>
    <row r="3304" spans="1:20" ht="13" x14ac:dyDescent="0.15">
      <c r="A3304" s="72" t="str">
        <f t="shared" si="51"/>
        <v>Ofsted Social Care Provider Webpage</v>
      </c>
      <c r="B3304" s="55" t="s">
        <v>6197</v>
      </c>
      <c r="D3304" s="55" t="s">
        <v>389</v>
      </c>
      <c r="E3304" s="74">
        <v>41570</v>
      </c>
      <c r="F3304" s="55" t="s">
        <v>344</v>
      </c>
      <c r="G3304" s="55" t="s">
        <v>722</v>
      </c>
      <c r="H3304" s="55" t="s">
        <v>6198</v>
      </c>
      <c r="I3304" s="55" t="s">
        <v>6199</v>
      </c>
      <c r="J3304" s="55" t="s">
        <v>141</v>
      </c>
      <c r="L3304" s="55" t="s">
        <v>6200</v>
      </c>
      <c r="M3304" s="55" t="s">
        <v>142</v>
      </c>
      <c r="N3304" s="55" t="s">
        <v>142</v>
      </c>
      <c r="O3304" s="55" t="s">
        <v>254</v>
      </c>
      <c r="P3304" s="55" t="s">
        <v>1048</v>
      </c>
      <c r="Q3304" s="55" t="s">
        <v>350</v>
      </c>
      <c r="R3304" s="55"/>
      <c r="S3304" s="55"/>
      <c r="T3304" s="55" t="s">
        <v>726</v>
      </c>
    </row>
    <row r="3305" spans="1:20" ht="13" x14ac:dyDescent="0.15">
      <c r="A3305" s="72" t="str">
        <f t="shared" si="51"/>
        <v>Ofsted Social Care Provider Webpage</v>
      </c>
      <c r="B3305" s="55" t="s">
        <v>6201</v>
      </c>
      <c r="D3305" s="55" t="s">
        <v>373</v>
      </c>
      <c r="E3305" s="74">
        <v>41562</v>
      </c>
      <c r="F3305" s="55" t="s">
        <v>344</v>
      </c>
      <c r="G3305" s="55" t="s">
        <v>360</v>
      </c>
      <c r="H3305" s="55" t="s">
        <v>360</v>
      </c>
      <c r="I3305" s="55" t="s">
        <v>360</v>
      </c>
      <c r="J3305" s="55" t="s">
        <v>360</v>
      </c>
      <c r="K3305" s="55" t="s">
        <v>360</v>
      </c>
      <c r="L3305" s="55" t="s">
        <v>360</v>
      </c>
      <c r="M3305" s="55" t="s">
        <v>142</v>
      </c>
      <c r="N3305" s="55" t="s">
        <v>142</v>
      </c>
      <c r="O3305" s="55" t="s">
        <v>249</v>
      </c>
      <c r="P3305" s="55" t="s">
        <v>1318</v>
      </c>
      <c r="Q3305" s="55" t="s">
        <v>350</v>
      </c>
      <c r="R3305" s="55">
        <v>3</v>
      </c>
      <c r="S3305" s="55"/>
      <c r="T3305" s="55" t="s">
        <v>1019</v>
      </c>
    </row>
    <row r="3306" spans="1:20" ht="13" x14ac:dyDescent="0.15">
      <c r="A3306" s="72" t="str">
        <f t="shared" si="51"/>
        <v>Ofsted Social Care Provider Webpage</v>
      </c>
      <c r="B3306" s="55" t="s">
        <v>6202</v>
      </c>
      <c r="D3306" s="55" t="s">
        <v>373</v>
      </c>
      <c r="E3306" s="74">
        <v>41662</v>
      </c>
      <c r="F3306" s="55" t="s">
        <v>344</v>
      </c>
      <c r="G3306" s="55" t="s">
        <v>360</v>
      </c>
      <c r="H3306" s="55" t="s">
        <v>360</v>
      </c>
      <c r="I3306" s="55" t="s">
        <v>360</v>
      </c>
      <c r="J3306" s="55" t="s">
        <v>360</v>
      </c>
      <c r="K3306" s="55" t="s">
        <v>360</v>
      </c>
      <c r="L3306" s="55" t="s">
        <v>360</v>
      </c>
      <c r="M3306" s="55" t="s">
        <v>136</v>
      </c>
      <c r="N3306" s="55" t="s">
        <v>136</v>
      </c>
      <c r="O3306" s="55" t="s">
        <v>255</v>
      </c>
      <c r="P3306" s="55" t="s">
        <v>757</v>
      </c>
      <c r="Q3306" s="55" t="s">
        <v>350</v>
      </c>
      <c r="R3306" s="55">
        <v>3</v>
      </c>
      <c r="S3306" s="55"/>
      <c r="T3306" s="55" t="s">
        <v>914</v>
      </c>
    </row>
    <row r="3307" spans="1:20" ht="13" x14ac:dyDescent="0.15">
      <c r="A3307" s="72" t="str">
        <f t="shared" si="51"/>
        <v>Ofsted Social Care Provider Webpage</v>
      </c>
      <c r="B3307" s="55" t="s">
        <v>6203</v>
      </c>
      <c r="D3307" s="55" t="s">
        <v>373</v>
      </c>
      <c r="E3307" s="74">
        <v>41554</v>
      </c>
      <c r="F3307" s="55" t="s">
        <v>344</v>
      </c>
      <c r="G3307" s="55" t="s">
        <v>360</v>
      </c>
      <c r="H3307" s="55" t="s">
        <v>360</v>
      </c>
      <c r="I3307" s="55" t="s">
        <v>360</v>
      </c>
      <c r="J3307" s="55" t="s">
        <v>360</v>
      </c>
      <c r="K3307" s="55" t="s">
        <v>360</v>
      </c>
      <c r="L3307" s="55" t="s">
        <v>360</v>
      </c>
      <c r="M3307" s="55" t="s">
        <v>142</v>
      </c>
      <c r="N3307" s="55" t="s">
        <v>142</v>
      </c>
      <c r="O3307" s="55" t="s">
        <v>262</v>
      </c>
      <c r="P3307" s="55" t="s">
        <v>618</v>
      </c>
      <c r="Q3307" s="55" t="s">
        <v>350</v>
      </c>
      <c r="R3307" s="55">
        <v>2</v>
      </c>
      <c r="S3307" s="55"/>
      <c r="T3307" s="55" t="s">
        <v>917</v>
      </c>
    </row>
    <row r="3308" spans="1:20" ht="13" x14ac:dyDescent="0.15">
      <c r="A3308" s="72" t="str">
        <f t="shared" si="51"/>
        <v>Ofsted Social Care Provider Webpage</v>
      </c>
      <c r="B3308" s="55" t="s">
        <v>6204</v>
      </c>
      <c r="D3308" s="55" t="s">
        <v>373</v>
      </c>
      <c r="E3308" s="74">
        <v>41614</v>
      </c>
      <c r="F3308" s="55" t="s">
        <v>344</v>
      </c>
      <c r="G3308" s="55" t="s">
        <v>360</v>
      </c>
      <c r="H3308" s="55" t="s">
        <v>360</v>
      </c>
      <c r="I3308" s="55" t="s">
        <v>360</v>
      </c>
      <c r="J3308" s="55" t="s">
        <v>360</v>
      </c>
      <c r="K3308" s="55" t="s">
        <v>360</v>
      </c>
      <c r="L3308" s="55" t="s">
        <v>360</v>
      </c>
      <c r="M3308" s="55" t="s">
        <v>142</v>
      </c>
      <c r="N3308" s="55" t="s">
        <v>142</v>
      </c>
      <c r="O3308" s="55" t="s">
        <v>141</v>
      </c>
      <c r="P3308" s="55" t="s">
        <v>573</v>
      </c>
      <c r="Q3308" s="55" t="s">
        <v>350</v>
      </c>
      <c r="R3308" s="55">
        <v>3</v>
      </c>
      <c r="S3308" s="55"/>
      <c r="T3308" s="55" t="s">
        <v>1913</v>
      </c>
    </row>
    <row r="3309" spans="1:20" ht="13" x14ac:dyDescent="0.15">
      <c r="A3309" s="72" t="str">
        <f t="shared" si="51"/>
        <v>Ofsted Social Care Provider Webpage</v>
      </c>
      <c r="B3309" s="55" t="s">
        <v>6205</v>
      </c>
      <c r="D3309" s="55" t="s">
        <v>389</v>
      </c>
      <c r="E3309" s="74">
        <v>41647</v>
      </c>
      <c r="F3309" s="55" t="s">
        <v>344</v>
      </c>
      <c r="G3309" s="55" t="s">
        <v>3372</v>
      </c>
      <c r="H3309" s="55" t="s">
        <v>3503</v>
      </c>
      <c r="I3309" s="55" t="s">
        <v>6206</v>
      </c>
      <c r="J3309" s="55" t="s">
        <v>154</v>
      </c>
      <c r="L3309" s="55" t="s">
        <v>6207</v>
      </c>
      <c r="M3309" s="55" t="s">
        <v>136</v>
      </c>
      <c r="N3309" s="55" t="s">
        <v>136</v>
      </c>
      <c r="O3309" s="55" t="s">
        <v>154</v>
      </c>
      <c r="P3309" s="55" t="s">
        <v>4109</v>
      </c>
      <c r="Q3309" s="55" t="s">
        <v>350</v>
      </c>
      <c r="R3309" s="55"/>
      <c r="S3309" s="55"/>
      <c r="T3309" s="55" t="s">
        <v>3372</v>
      </c>
    </row>
    <row r="3310" spans="1:20" ht="13" x14ac:dyDescent="0.15">
      <c r="A3310" s="72" t="str">
        <f t="shared" si="51"/>
        <v>Ofsted Social Care Provider Webpage</v>
      </c>
      <c r="B3310" s="55" t="s">
        <v>6208</v>
      </c>
      <c r="D3310" s="55" t="s">
        <v>373</v>
      </c>
      <c r="E3310" s="74">
        <v>41647</v>
      </c>
      <c r="F3310" s="55" t="s">
        <v>344</v>
      </c>
      <c r="G3310" s="55" t="s">
        <v>360</v>
      </c>
      <c r="H3310" s="55" t="s">
        <v>360</v>
      </c>
      <c r="I3310" s="55" t="s">
        <v>360</v>
      </c>
      <c r="J3310" s="55" t="s">
        <v>360</v>
      </c>
      <c r="K3310" s="55" t="s">
        <v>360</v>
      </c>
      <c r="L3310" s="55" t="s">
        <v>360</v>
      </c>
      <c r="M3310" s="55" t="s">
        <v>136</v>
      </c>
      <c r="N3310" s="55" t="s">
        <v>136</v>
      </c>
      <c r="O3310" s="55" t="s">
        <v>176</v>
      </c>
      <c r="P3310" s="55" t="s">
        <v>1832</v>
      </c>
      <c r="Q3310" s="55" t="s">
        <v>350</v>
      </c>
      <c r="R3310" s="55">
        <v>4</v>
      </c>
      <c r="S3310" s="55"/>
      <c r="T3310" s="55" t="s">
        <v>892</v>
      </c>
    </row>
    <row r="3311" spans="1:20" ht="13" x14ac:dyDescent="0.15">
      <c r="A3311" s="72" t="str">
        <f t="shared" si="51"/>
        <v>Ofsted Social Care Provider Webpage</v>
      </c>
      <c r="B3311" s="55" t="s">
        <v>6209</v>
      </c>
      <c r="D3311" s="55" t="s">
        <v>479</v>
      </c>
      <c r="E3311" s="74">
        <v>41646</v>
      </c>
      <c r="F3311" s="55" t="s">
        <v>344</v>
      </c>
      <c r="G3311" s="55" t="s">
        <v>360</v>
      </c>
      <c r="H3311" s="55" t="s">
        <v>360</v>
      </c>
      <c r="I3311" s="55" t="s">
        <v>360</v>
      </c>
      <c r="J3311" s="55" t="s">
        <v>360</v>
      </c>
      <c r="K3311" s="55" t="s">
        <v>360</v>
      </c>
      <c r="L3311" s="55" t="s">
        <v>360</v>
      </c>
      <c r="M3311" s="55" t="s">
        <v>150</v>
      </c>
      <c r="N3311" s="55" t="s">
        <v>150</v>
      </c>
      <c r="O3311" s="55" t="s">
        <v>203</v>
      </c>
      <c r="P3311" s="55" t="s">
        <v>1263</v>
      </c>
      <c r="Q3311" s="55" t="s">
        <v>380</v>
      </c>
      <c r="R3311" s="55">
        <v>56</v>
      </c>
      <c r="S3311" s="55"/>
      <c r="T3311" s="55" t="s">
        <v>2581</v>
      </c>
    </row>
    <row r="3312" spans="1:20" ht="13" x14ac:dyDescent="0.15">
      <c r="A3312" s="72" t="str">
        <f t="shared" si="51"/>
        <v>Ofsted Social Care Provider Webpage</v>
      </c>
      <c r="B3312" s="55" t="s">
        <v>6210</v>
      </c>
      <c r="D3312" s="55" t="s">
        <v>373</v>
      </c>
      <c r="E3312" s="74">
        <v>41544</v>
      </c>
      <c r="F3312" s="55" t="s">
        <v>344</v>
      </c>
      <c r="G3312" s="55" t="s">
        <v>360</v>
      </c>
      <c r="H3312" s="55" t="s">
        <v>360</v>
      </c>
      <c r="I3312" s="55" t="s">
        <v>360</v>
      </c>
      <c r="J3312" s="55" t="s">
        <v>360</v>
      </c>
      <c r="K3312" s="55" t="s">
        <v>360</v>
      </c>
      <c r="L3312" s="55" t="s">
        <v>360</v>
      </c>
      <c r="M3312" s="55" t="s">
        <v>138</v>
      </c>
      <c r="N3312" s="55" t="s">
        <v>138</v>
      </c>
      <c r="O3312" s="55" t="s">
        <v>224</v>
      </c>
      <c r="P3312" s="55" t="s">
        <v>2176</v>
      </c>
      <c r="Q3312" s="55" t="s">
        <v>350</v>
      </c>
      <c r="R3312" s="55">
        <v>6</v>
      </c>
      <c r="S3312" s="55"/>
      <c r="T3312" s="55" t="s">
        <v>2177</v>
      </c>
    </row>
    <row r="3313" spans="1:20" ht="13" x14ac:dyDescent="0.15">
      <c r="A3313" s="72" t="str">
        <f t="shared" si="51"/>
        <v>Ofsted Social Care Provider Webpage</v>
      </c>
      <c r="B3313" s="55" t="s">
        <v>6211</v>
      </c>
      <c r="D3313" s="55" t="s">
        <v>373</v>
      </c>
      <c r="E3313" s="74">
        <v>41568</v>
      </c>
      <c r="F3313" s="55" t="s">
        <v>344</v>
      </c>
      <c r="G3313" s="55" t="s">
        <v>360</v>
      </c>
      <c r="H3313" s="55" t="s">
        <v>360</v>
      </c>
      <c r="I3313" s="55" t="s">
        <v>360</v>
      </c>
      <c r="J3313" s="55" t="s">
        <v>360</v>
      </c>
      <c r="K3313" s="55" t="s">
        <v>360</v>
      </c>
      <c r="L3313" s="55" t="s">
        <v>360</v>
      </c>
      <c r="M3313" s="55" t="s">
        <v>138</v>
      </c>
      <c r="N3313" s="55" t="s">
        <v>138</v>
      </c>
      <c r="O3313" s="55" t="s">
        <v>196</v>
      </c>
      <c r="P3313" s="55" t="s">
        <v>1368</v>
      </c>
      <c r="Q3313" s="55" t="s">
        <v>350</v>
      </c>
      <c r="R3313" s="55">
        <v>4</v>
      </c>
      <c r="S3313" s="55"/>
      <c r="T3313" s="55" t="s">
        <v>997</v>
      </c>
    </row>
    <row r="3314" spans="1:20" ht="13" x14ac:dyDescent="0.15">
      <c r="A3314" s="72" t="str">
        <f t="shared" si="51"/>
        <v>Ofsted Social Care Provider Webpage</v>
      </c>
      <c r="B3314" s="55" t="s">
        <v>6212</v>
      </c>
      <c r="D3314" s="55" t="s">
        <v>451</v>
      </c>
      <c r="E3314" s="74">
        <v>41696</v>
      </c>
      <c r="F3314" s="55" t="s">
        <v>344</v>
      </c>
      <c r="G3314" s="55" t="s">
        <v>6213</v>
      </c>
      <c r="H3314" s="55" t="s">
        <v>6214</v>
      </c>
      <c r="I3314" s="55" t="s">
        <v>354</v>
      </c>
      <c r="J3314" s="55" t="s">
        <v>5896</v>
      </c>
      <c r="K3314" s="55" t="s">
        <v>183</v>
      </c>
      <c r="L3314" s="55" t="s">
        <v>6215</v>
      </c>
      <c r="M3314" s="55" t="s">
        <v>129</v>
      </c>
      <c r="N3314" s="55" t="s">
        <v>129</v>
      </c>
      <c r="O3314" s="55" t="s">
        <v>242</v>
      </c>
      <c r="P3314" s="55" t="s">
        <v>1519</v>
      </c>
      <c r="Q3314" s="55" t="s">
        <v>350</v>
      </c>
      <c r="R3314" s="55">
        <v>9</v>
      </c>
      <c r="S3314" s="55"/>
      <c r="T3314" s="55" t="s">
        <v>6216</v>
      </c>
    </row>
    <row r="3315" spans="1:20" ht="13" x14ac:dyDescent="0.15">
      <c r="A3315" s="72" t="str">
        <f t="shared" si="51"/>
        <v>Ofsted Social Care Provider Webpage</v>
      </c>
      <c r="B3315" s="55" t="s">
        <v>6217</v>
      </c>
      <c r="D3315" s="55" t="s">
        <v>443</v>
      </c>
      <c r="E3315" s="74">
        <v>41570</v>
      </c>
      <c r="F3315" s="55" t="s">
        <v>344</v>
      </c>
      <c r="G3315" s="55" t="s">
        <v>6218</v>
      </c>
      <c r="H3315" s="55" t="s">
        <v>6219</v>
      </c>
      <c r="I3315" s="55" t="s">
        <v>6220</v>
      </c>
      <c r="J3315" s="55" t="s">
        <v>6221</v>
      </c>
      <c r="K3315" s="55" t="s">
        <v>6222</v>
      </c>
      <c r="L3315" s="55" t="s">
        <v>6223</v>
      </c>
      <c r="M3315" s="55" t="s">
        <v>142</v>
      </c>
      <c r="N3315" s="55" t="s">
        <v>142</v>
      </c>
      <c r="O3315" s="55" t="s">
        <v>262</v>
      </c>
      <c r="P3315" s="55" t="s">
        <v>949</v>
      </c>
      <c r="Q3315" s="55" t="s">
        <v>350</v>
      </c>
      <c r="R3315" s="55"/>
      <c r="S3315" s="55"/>
      <c r="T3315" s="55" t="s">
        <v>6224</v>
      </c>
    </row>
    <row r="3316" spans="1:20" ht="13" x14ac:dyDescent="0.15">
      <c r="A3316" s="72" t="str">
        <f t="shared" si="51"/>
        <v>Ofsted Social Care Provider Webpage</v>
      </c>
      <c r="B3316" s="55" t="s">
        <v>6225</v>
      </c>
      <c r="D3316" s="55" t="s">
        <v>373</v>
      </c>
      <c r="E3316" s="74">
        <v>41563</v>
      </c>
      <c r="F3316" s="55" t="s">
        <v>344</v>
      </c>
      <c r="G3316" s="55" t="s">
        <v>360</v>
      </c>
      <c r="H3316" s="55" t="s">
        <v>360</v>
      </c>
      <c r="I3316" s="55" t="s">
        <v>360</v>
      </c>
      <c r="J3316" s="55" t="s">
        <v>360</v>
      </c>
      <c r="K3316" s="55" t="s">
        <v>360</v>
      </c>
      <c r="L3316" s="55" t="s">
        <v>360</v>
      </c>
      <c r="M3316" s="55" t="s">
        <v>144</v>
      </c>
      <c r="N3316" s="55" t="s">
        <v>144</v>
      </c>
      <c r="O3316" s="55" t="s">
        <v>147</v>
      </c>
      <c r="P3316" s="55" t="s">
        <v>674</v>
      </c>
      <c r="Q3316" s="55" t="s">
        <v>362</v>
      </c>
      <c r="R3316" s="55">
        <v>4</v>
      </c>
      <c r="S3316" s="55"/>
      <c r="T3316" s="55" t="s">
        <v>675</v>
      </c>
    </row>
    <row r="3317" spans="1:20" ht="13" x14ac:dyDescent="0.15">
      <c r="A3317" s="72" t="str">
        <f t="shared" si="51"/>
        <v>Ofsted Social Care Provider Webpage</v>
      </c>
      <c r="B3317" s="55" t="s">
        <v>6226</v>
      </c>
      <c r="D3317" s="55" t="s">
        <v>373</v>
      </c>
      <c r="E3317" s="74">
        <v>41628</v>
      </c>
      <c r="F3317" s="55" t="s">
        <v>344</v>
      </c>
      <c r="G3317" s="55" t="s">
        <v>360</v>
      </c>
      <c r="H3317" s="55" t="s">
        <v>360</v>
      </c>
      <c r="I3317" s="55" t="s">
        <v>360</v>
      </c>
      <c r="J3317" s="55" t="s">
        <v>360</v>
      </c>
      <c r="K3317" s="55" t="s">
        <v>360</v>
      </c>
      <c r="L3317" s="55" t="s">
        <v>360</v>
      </c>
      <c r="M3317" s="55" t="s">
        <v>172</v>
      </c>
      <c r="N3317" s="55" t="s">
        <v>172</v>
      </c>
      <c r="O3317" s="55" t="s">
        <v>234</v>
      </c>
      <c r="P3317" s="55" t="s">
        <v>965</v>
      </c>
      <c r="Q3317" s="55" t="s">
        <v>380</v>
      </c>
      <c r="R3317" s="55">
        <v>4</v>
      </c>
      <c r="S3317" s="55"/>
      <c r="T3317" s="55" t="s">
        <v>1271</v>
      </c>
    </row>
    <row r="3318" spans="1:20" ht="13" x14ac:dyDescent="0.15">
      <c r="A3318" s="72" t="str">
        <f t="shared" si="51"/>
        <v>Ofsted Social Care Provider Webpage</v>
      </c>
      <c r="B3318" s="55" t="s">
        <v>6227</v>
      </c>
      <c r="D3318" s="55" t="s">
        <v>373</v>
      </c>
      <c r="E3318" s="74">
        <v>41611</v>
      </c>
      <c r="F3318" s="55" t="s">
        <v>344</v>
      </c>
      <c r="G3318" s="55" t="s">
        <v>360</v>
      </c>
      <c r="H3318" s="55" t="s">
        <v>360</v>
      </c>
      <c r="I3318" s="55" t="s">
        <v>360</v>
      </c>
      <c r="J3318" s="55" t="s">
        <v>360</v>
      </c>
      <c r="K3318" s="55" t="s">
        <v>360</v>
      </c>
      <c r="L3318" s="55" t="s">
        <v>360</v>
      </c>
      <c r="M3318" s="55" t="s">
        <v>136</v>
      </c>
      <c r="N3318" s="55" t="s">
        <v>136</v>
      </c>
      <c r="O3318" s="55" t="s">
        <v>239</v>
      </c>
      <c r="P3318" s="55" t="s">
        <v>738</v>
      </c>
      <c r="Q3318" s="55" t="s">
        <v>350</v>
      </c>
      <c r="R3318" s="55">
        <v>1</v>
      </c>
      <c r="S3318" s="55"/>
      <c r="T3318" s="55" t="s">
        <v>385</v>
      </c>
    </row>
    <row r="3319" spans="1:20" ht="13" x14ac:dyDescent="0.15">
      <c r="A3319" s="72" t="str">
        <f t="shared" si="51"/>
        <v>Ofsted Social Care Provider Webpage</v>
      </c>
      <c r="B3319" s="55" t="s">
        <v>6228</v>
      </c>
      <c r="D3319" s="55" t="s">
        <v>373</v>
      </c>
      <c r="E3319" s="74">
        <v>41611</v>
      </c>
      <c r="F3319" s="55" t="s">
        <v>344</v>
      </c>
      <c r="G3319" s="55" t="s">
        <v>360</v>
      </c>
      <c r="H3319" s="55" t="s">
        <v>360</v>
      </c>
      <c r="I3319" s="55" t="s">
        <v>360</v>
      </c>
      <c r="J3319" s="55" t="s">
        <v>360</v>
      </c>
      <c r="K3319" s="55" t="s">
        <v>360</v>
      </c>
      <c r="L3319" s="55" t="s">
        <v>360</v>
      </c>
      <c r="M3319" s="55" t="s">
        <v>136</v>
      </c>
      <c r="N3319" s="55" t="s">
        <v>136</v>
      </c>
      <c r="O3319" s="55" t="s">
        <v>239</v>
      </c>
      <c r="P3319" s="55" t="s">
        <v>738</v>
      </c>
      <c r="Q3319" s="55" t="s">
        <v>350</v>
      </c>
      <c r="R3319" s="55">
        <v>1</v>
      </c>
      <c r="S3319" s="55"/>
      <c r="T3319" s="55" t="s">
        <v>385</v>
      </c>
    </row>
    <row r="3320" spans="1:20" ht="13" x14ac:dyDescent="0.15">
      <c r="A3320" s="72" t="str">
        <f t="shared" si="51"/>
        <v>Ofsted Social Care Provider Webpage</v>
      </c>
      <c r="B3320" s="55" t="s">
        <v>6229</v>
      </c>
      <c r="D3320" s="55" t="s">
        <v>373</v>
      </c>
      <c r="E3320" s="74">
        <v>41753</v>
      </c>
      <c r="F3320" s="55" t="s">
        <v>344</v>
      </c>
      <c r="G3320" s="55" t="s">
        <v>360</v>
      </c>
      <c r="H3320" s="55" t="s">
        <v>360</v>
      </c>
      <c r="I3320" s="55" t="s">
        <v>360</v>
      </c>
      <c r="J3320" s="55" t="s">
        <v>360</v>
      </c>
      <c r="K3320" s="55" t="s">
        <v>360</v>
      </c>
      <c r="L3320" s="55" t="s">
        <v>360</v>
      </c>
      <c r="M3320" s="55" t="s">
        <v>138</v>
      </c>
      <c r="N3320" s="55" t="s">
        <v>138</v>
      </c>
      <c r="O3320" s="55" t="s">
        <v>183</v>
      </c>
      <c r="P3320" s="55" t="s">
        <v>907</v>
      </c>
      <c r="Q3320" s="55" t="s">
        <v>350</v>
      </c>
      <c r="R3320" s="55">
        <v>2</v>
      </c>
      <c r="S3320" s="55"/>
      <c r="T3320" s="55" t="s">
        <v>385</v>
      </c>
    </row>
    <row r="3321" spans="1:20" ht="13" x14ac:dyDescent="0.15">
      <c r="A3321" s="72" t="str">
        <f t="shared" si="51"/>
        <v>Ofsted Social Care Provider Webpage</v>
      </c>
      <c r="B3321" s="55" t="s">
        <v>6230</v>
      </c>
      <c r="D3321" s="55" t="s">
        <v>373</v>
      </c>
      <c r="E3321" s="74">
        <v>41607</v>
      </c>
      <c r="F3321" s="55" t="s">
        <v>344</v>
      </c>
      <c r="G3321" s="55" t="s">
        <v>360</v>
      </c>
      <c r="H3321" s="55" t="s">
        <v>360</v>
      </c>
      <c r="I3321" s="55" t="s">
        <v>360</v>
      </c>
      <c r="J3321" s="55" t="s">
        <v>360</v>
      </c>
      <c r="K3321" s="55" t="s">
        <v>360</v>
      </c>
      <c r="L3321" s="55" t="s">
        <v>360</v>
      </c>
      <c r="M3321" s="55" t="s">
        <v>378</v>
      </c>
      <c r="N3321" s="55" t="s">
        <v>134</v>
      </c>
      <c r="O3321" s="55" t="s">
        <v>133</v>
      </c>
      <c r="P3321" s="55" t="s">
        <v>2789</v>
      </c>
      <c r="Q3321" s="55" t="s">
        <v>350</v>
      </c>
      <c r="R3321" s="55">
        <v>5</v>
      </c>
      <c r="S3321" s="55"/>
      <c r="T3321" s="55" t="s">
        <v>2448</v>
      </c>
    </row>
    <row r="3322" spans="1:20" ht="13" x14ac:dyDescent="0.15">
      <c r="A3322" s="72" t="str">
        <f t="shared" si="51"/>
        <v>Ofsted Social Care Provider Webpage</v>
      </c>
      <c r="B3322" s="55" t="s">
        <v>6231</v>
      </c>
      <c r="D3322" s="55" t="s">
        <v>373</v>
      </c>
      <c r="E3322" s="74">
        <v>41675</v>
      </c>
      <c r="F3322" s="55" t="s">
        <v>344</v>
      </c>
      <c r="G3322" s="55" t="s">
        <v>360</v>
      </c>
      <c r="H3322" s="55" t="s">
        <v>360</v>
      </c>
      <c r="I3322" s="55" t="s">
        <v>360</v>
      </c>
      <c r="J3322" s="55" t="s">
        <v>360</v>
      </c>
      <c r="K3322" s="55" t="s">
        <v>360</v>
      </c>
      <c r="L3322" s="55" t="s">
        <v>360</v>
      </c>
      <c r="M3322" s="55" t="s">
        <v>144</v>
      </c>
      <c r="N3322" s="55" t="s">
        <v>144</v>
      </c>
      <c r="O3322" s="55" t="s">
        <v>207</v>
      </c>
      <c r="P3322" s="55" t="s">
        <v>1203</v>
      </c>
      <c r="Q3322" s="55" t="s">
        <v>362</v>
      </c>
      <c r="R3322" s="55">
        <v>4</v>
      </c>
      <c r="S3322" s="55"/>
      <c r="T3322" s="55" t="s">
        <v>5438</v>
      </c>
    </row>
    <row r="3323" spans="1:20" ht="13" x14ac:dyDescent="0.15">
      <c r="A3323" s="72" t="str">
        <f t="shared" si="51"/>
        <v>Ofsted Social Care Provider Webpage</v>
      </c>
      <c r="B3323" s="55" t="s">
        <v>6232</v>
      </c>
      <c r="D3323" s="55" t="s">
        <v>373</v>
      </c>
      <c r="E3323" s="74">
        <v>41607</v>
      </c>
      <c r="F3323" s="55" t="s">
        <v>344</v>
      </c>
      <c r="G3323" s="55" t="s">
        <v>360</v>
      </c>
      <c r="H3323" s="55" t="s">
        <v>360</v>
      </c>
      <c r="I3323" s="55" t="s">
        <v>360</v>
      </c>
      <c r="J3323" s="55" t="s">
        <v>360</v>
      </c>
      <c r="K3323" s="55" t="s">
        <v>360</v>
      </c>
      <c r="L3323" s="55" t="s">
        <v>360</v>
      </c>
      <c r="M3323" s="55" t="s">
        <v>142</v>
      </c>
      <c r="N3323" s="55" t="s">
        <v>142</v>
      </c>
      <c r="O3323" s="55" t="s">
        <v>262</v>
      </c>
      <c r="P3323" s="55" t="s">
        <v>488</v>
      </c>
      <c r="Q3323" s="55" t="s">
        <v>350</v>
      </c>
      <c r="R3323" s="55">
        <v>2</v>
      </c>
      <c r="S3323" s="55"/>
      <c r="T3323" s="55" t="s">
        <v>1106</v>
      </c>
    </row>
    <row r="3324" spans="1:20" ht="13" x14ac:dyDescent="0.15">
      <c r="A3324" s="72" t="str">
        <f t="shared" si="51"/>
        <v>Ofsted Social Care Provider Webpage</v>
      </c>
      <c r="B3324" s="55" t="s">
        <v>6233</v>
      </c>
      <c r="D3324" s="55" t="s">
        <v>373</v>
      </c>
      <c r="E3324" s="74">
        <v>41780</v>
      </c>
      <c r="F3324" s="55" t="s">
        <v>344</v>
      </c>
      <c r="G3324" s="55" t="s">
        <v>360</v>
      </c>
      <c r="H3324" s="55" t="s">
        <v>360</v>
      </c>
      <c r="I3324" s="55" t="s">
        <v>360</v>
      </c>
      <c r="J3324" s="55" t="s">
        <v>360</v>
      </c>
      <c r="K3324" s="55" t="s">
        <v>360</v>
      </c>
      <c r="L3324" s="55" t="s">
        <v>360</v>
      </c>
      <c r="M3324" s="55" t="s">
        <v>142</v>
      </c>
      <c r="N3324" s="55" t="s">
        <v>142</v>
      </c>
      <c r="O3324" s="55" t="s">
        <v>141</v>
      </c>
      <c r="P3324" s="55" t="s">
        <v>1226</v>
      </c>
      <c r="Q3324" s="55" t="s">
        <v>350</v>
      </c>
      <c r="R3324" s="55">
        <v>4</v>
      </c>
      <c r="S3324" s="55"/>
      <c r="T3324" s="55" t="s">
        <v>1996</v>
      </c>
    </row>
    <row r="3325" spans="1:20" ht="13" x14ac:dyDescent="0.15">
      <c r="A3325" s="72" t="str">
        <f t="shared" si="51"/>
        <v>Ofsted Social Care Provider Webpage</v>
      </c>
      <c r="B3325" s="55" t="s">
        <v>6234</v>
      </c>
      <c r="D3325" s="55" t="s">
        <v>373</v>
      </c>
      <c r="E3325" s="74">
        <v>41617</v>
      </c>
      <c r="F3325" s="55" t="s">
        <v>344</v>
      </c>
      <c r="G3325" s="55" t="s">
        <v>360</v>
      </c>
      <c r="H3325" s="55" t="s">
        <v>360</v>
      </c>
      <c r="I3325" s="55" t="s">
        <v>360</v>
      </c>
      <c r="J3325" s="55" t="s">
        <v>360</v>
      </c>
      <c r="K3325" s="55" t="s">
        <v>360</v>
      </c>
      <c r="L3325" s="55" t="s">
        <v>360</v>
      </c>
      <c r="M3325" s="55" t="s">
        <v>138</v>
      </c>
      <c r="N3325" s="55" t="s">
        <v>138</v>
      </c>
      <c r="O3325" s="55" t="s">
        <v>224</v>
      </c>
      <c r="P3325" s="55" t="s">
        <v>1552</v>
      </c>
      <c r="Q3325" s="55" t="s">
        <v>350</v>
      </c>
      <c r="R3325" s="55">
        <v>6</v>
      </c>
      <c r="S3325" s="55"/>
      <c r="T3325" s="55" t="s">
        <v>6235</v>
      </c>
    </row>
    <row r="3326" spans="1:20" ht="13" x14ac:dyDescent="0.15">
      <c r="A3326" s="72" t="str">
        <f t="shared" si="51"/>
        <v>Ofsted Social Care Provider Webpage</v>
      </c>
      <c r="B3326" s="55" t="s">
        <v>6236</v>
      </c>
      <c r="D3326" s="55" t="s">
        <v>373</v>
      </c>
      <c r="E3326" s="74">
        <v>41703</v>
      </c>
      <c r="F3326" s="55" t="s">
        <v>344</v>
      </c>
      <c r="G3326" s="55" t="s">
        <v>360</v>
      </c>
      <c r="H3326" s="55" t="s">
        <v>360</v>
      </c>
      <c r="I3326" s="55" t="s">
        <v>360</v>
      </c>
      <c r="J3326" s="55" t="s">
        <v>360</v>
      </c>
      <c r="K3326" s="55" t="s">
        <v>360</v>
      </c>
      <c r="L3326" s="55" t="s">
        <v>360</v>
      </c>
      <c r="M3326" s="55" t="s">
        <v>150</v>
      </c>
      <c r="N3326" s="55" t="s">
        <v>150</v>
      </c>
      <c r="O3326" s="55" t="s">
        <v>190</v>
      </c>
      <c r="P3326" s="55" t="s">
        <v>749</v>
      </c>
      <c r="Q3326" s="55" t="s">
        <v>350</v>
      </c>
      <c r="R3326" s="55">
        <v>10</v>
      </c>
      <c r="S3326" s="55"/>
      <c r="T3326" s="55" t="s">
        <v>450</v>
      </c>
    </row>
    <row r="3327" spans="1:20" ht="13" x14ac:dyDescent="0.15">
      <c r="A3327" s="72" t="str">
        <f t="shared" si="51"/>
        <v>Ofsted Social Care Provider Webpage</v>
      </c>
      <c r="B3327" s="55" t="s">
        <v>6237</v>
      </c>
      <c r="D3327" s="55" t="s">
        <v>389</v>
      </c>
      <c r="E3327" s="74">
        <v>41669</v>
      </c>
      <c r="F3327" s="55" t="s">
        <v>344</v>
      </c>
      <c r="G3327" s="55" t="s">
        <v>6238</v>
      </c>
      <c r="H3327" s="55" t="s">
        <v>6239</v>
      </c>
      <c r="I3327" s="55" t="s">
        <v>6240</v>
      </c>
      <c r="J3327" s="55" t="s">
        <v>278</v>
      </c>
      <c r="L3327" s="55" t="s">
        <v>6241</v>
      </c>
      <c r="M3327" s="55" t="s">
        <v>142</v>
      </c>
      <c r="N3327" s="55" t="s">
        <v>142</v>
      </c>
      <c r="O3327" s="55" t="s">
        <v>278</v>
      </c>
      <c r="P3327" s="55" t="s">
        <v>1126</v>
      </c>
      <c r="Q3327" s="55" t="s">
        <v>350</v>
      </c>
      <c r="R3327" s="55"/>
      <c r="S3327" s="55"/>
      <c r="T3327" s="55" t="s">
        <v>6242</v>
      </c>
    </row>
    <row r="3328" spans="1:20" ht="13" x14ac:dyDescent="0.15">
      <c r="A3328" s="72" t="str">
        <f t="shared" si="51"/>
        <v>Ofsted Social Care Provider Webpage</v>
      </c>
      <c r="B3328" s="55" t="s">
        <v>6243</v>
      </c>
      <c r="D3328" s="55" t="s">
        <v>373</v>
      </c>
      <c r="E3328" s="74">
        <v>41591</v>
      </c>
      <c r="F3328" s="55" t="s">
        <v>344</v>
      </c>
      <c r="G3328" s="55" t="s">
        <v>360</v>
      </c>
      <c r="H3328" s="55" t="s">
        <v>360</v>
      </c>
      <c r="I3328" s="55" t="s">
        <v>360</v>
      </c>
      <c r="J3328" s="55" t="s">
        <v>360</v>
      </c>
      <c r="K3328" s="55" t="s">
        <v>360</v>
      </c>
      <c r="L3328" s="55" t="s">
        <v>360</v>
      </c>
      <c r="M3328" s="55" t="s">
        <v>150</v>
      </c>
      <c r="N3328" s="55" t="s">
        <v>150</v>
      </c>
      <c r="O3328" s="55" t="s">
        <v>283</v>
      </c>
      <c r="P3328" s="55" t="s">
        <v>291</v>
      </c>
      <c r="Q3328" s="55" t="s">
        <v>350</v>
      </c>
      <c r="R3328" s="55">
        <v>3</v>
      </c>
      <c r="S3328" s="55"/>
      <c r="T3328" s="55" t="s">
        <v>6244</v>
      </c>
    </row>
    <row r="3329" spans="1:20" ht="13" x14ac:dyDescent="0.15">
      <c r="A3329" s="72" t="str">
        <f t="shared" si="51"/>
        <v>Ofsted Social Care Provider Webpage</v>
      </c>
      <c r="B3329" s="55" t="s">
        <v>6245</v>
      </c>
      <c r="D3329" s="55" t="s">
        <v>373</v>
      </c>
      <c r="E3329" s="74">
        <v>41591</v>
      </c>
      <c r="F3329" s="55" t="s">
        <v>344</v>
      </c>
      <c r="G3329" s="55" t="s">
        <v>360</v>
      </c>
      <c r="H3329" s="55" t="s">
        <v>360</v>
      </c>
      <c r="I3329" s="55" t="s">
        <v>360</v>
      </c>
      <c r="J3329" s="55" t="s">
        <v>360</v>
      </c>
      <c r="K3329" s="55" t="s">
        <v>360</v>
      </c>
      <c r="L3329" s="55" t="s">
        <v>360</v>
      </c>
      <c r="M3329" s="55" t="s">
        <v>150</v>
      </c>
      <c r="N3329" s="55" t="s">
        <v>150</v>
      </c>
      <c r="O3329" s="55" t="s">
        <v>283</v>
      </c>
      <c r="P3329" s="55" t="s">
        <v>291</v>
      </c>
      <c r="Q3329" s="55" t="s">
        <v>350</v>
      </c>
      <c r="R3329" s="55">
        <v>4</v>
      </c>
      <c r="S3329" s="55"/>
      <c r="T3329" s="55" t="s">
        <v>6244</v>
      </c>
    </row>
    <row r="3330" spans="1:20" ht="13" x14ac:dyDescent="0.15">
      <c r="A3330" s="72" t="str">
        <f t="shared" si="51"/>
        <v>Ofsted Social Care Provider Webpage</v>
      </c>
      <c r="B3330" s="55" t="s">
        <v>6246</v>
      </c>
      <c r="D3330" s="55" t="s">
        <v>373</v>
      </c>
      <c r="E3330" s="74">
        <v>41664</v>
      </c>
      <c r="F3330" s="55" t="s">
        <v>344</v>
      </c>
      <c r="G3330" s="55" t="s">
        <v>360</v>
      </c>
      <c r="H3330" s="55" t="s">
        <v>360</v>
      </c>
      <c r="I3330" s="55" t="s">
        <v>360</v>
      </c>
      <c r="J3330" s="55" t="s">
        <v>360</v>
      </c>
      <c r="K3330" s="55" t="s">
        <v>360</v>
      </c>
      <c r="L3330" s="55" t="s">
        <v>360</v>
      </c>
      <c r="M3330" s="55" t="s">
        <v>142</v>
      </c>
      <c r="N3330" s="55" t="s">
        <v>142</v>
      </c>
      <c r="O3330" s="55" t="s">
        <v>262</v>
      </c>
      <c r="P3330" s="55" t="s">
        <v>618</v>
      </c>
      <c r="Q3330" s="55" t="s">
        <v>350</v>
      </c>
      <c r="R3330" s="55">
        <v>2</v>
      </c>
      <c r="S3330" s="55"/>
      <c r="T3330" s="55" t="s">
        <v>619</v>
      </c>
    </row>
    <row r="3331" spans="1:20" ht="13" x14ac:dyDescent="0.15">
      <c r="A3331" s="72" t="str">
        <f t="shared" si="51"/>
        <v>Ofsted Social Care Provider Webpage</v>
      </c>
      <c r="B3331" s="55" t="s">
        <v>6247</v>
      </c>
      <c r="D3331" s="55" t="s">
        <v>373</v>
      </c>
      <c r="E3331" s="74">
        <v>41642</v>
      </c>
      <c r="F3331" s="55" t="s">
        <v>344</v>
      </c>
      <c r="G3331" s="55" t="s">
        <v>360</v>
      </c>
      <c r="H3331" s="55" t="s">
        <v>360</v>
      </c>
      <c r="I3331" s="55" t="s">
        <v>360</v>
      </c>
      <c r="J3331" s="55" t="s">
        <v>360</v>
      </c>
      <c r="K3331" s="55" t="s">
        <v>360</v>
      </c>
      <c r="L3331" s="55" t="s">
        <v>360</v>
      </c>
      <c r="M3331" s="55" t="s">
        <v>378</v>
      </c>
      <c r="N3331" s="55" t="s">
        <v>170</v>
      </c>
      <c r="O3331" s="55" t="s">
        <v>220</v>
      </c>
      <c r="P3331" s="55" t="s">
        <v>220</v>
      </c>
      <c r="Q3331" s="55" t="s">
        <v>380</v>
      </c>
      <c r="R3331" s="55">
        <v>4</v>
      </c>
      <c r="S3331" s="55"/>
      <c r="T3331" s="55" t="s">
        <v>1674</v>
      </c>
    </row>
    <row r="3332" spans="1:20" ht="13" x14ac:dyDescent="0.15">
      <c r="A3332" s="72" t="str">
        <f t="shared" si="51"/>
        <v>Ofsted Social Care Provider Webpage</v>
      </c>
      <c r="B3332" s="55" t="s">
        <v>6248</v>
      </c>
      <c r="D3332" s="55" t="s">
        <v>373</v>
      </c>
      <c r="E3332" s="74">
        <v>41642</v>
      </c>
      <c r="F3332" s="55" t="s">
        <v>344</v>
      </c>
      <c r="G3332" s="55" t="s">
        <v>360</v>
      </c>
      <c r="H3332" s="55" t="s">
        <v>360</v>
      </c>
      <c r="I3332" s="55" t="s">
        <v>360</v>
      </c>
      <c r="J3332" s="55" t="s">
        <v>360</v>
      </c>
      <c r="K3332" s="55" t="s">
        <v>360</v>
      </c>
      <c r="L3332" s="55" t="s">
        <v>360</v>
      </c>
      <c r="M3332" s="55" t="s">
        <v>378</v>
      </c>
      <c r="N3332" s="55" t="s">
        <v>170</v>
      </c>
      <c r="O3332" s="55" t="s">
        <v>220</v>
      </c>
      <c r="P3332" s="55" t="s">
        <v>1222</v>
      </c>
      <c r="Q3332" s="55" t="s">
        <v>380</v>
      </c>
      <c r="R3332" s="55">
        <v>3</v>
      </c>
      <c r="S3332" s="55"/>
      <c r="T3332" s="55" t="s">
        <v>1674</v>
      </c>
    </row>
    <row r="3333" spans="1:20" ht="13" x14ac:dyDescent="0.15">
      <c r="A3333" s="72" t="str">
        <f t="shared" ref="A3333:A3396" si="52">HYPERLINK(_xlfn.CONCAT("http://reports.ofsted.gov.uk/inspection-reports/find-inspection-report/provider/CARE/",B3333),"Ofsted Social Care Provider Webpage")</f>
        <v>Ofsted Social Care Provider Webpage</v>
      </c>
      <c r="B3333" s="55" t="s">
        <v>6249</v>
      </c>
      <c r="D3333" s="55" t="s">
        <v>373</v>
      </c>
      <c r="E3333" s="74">
        <v>41642</v>
      </c>
      <c r="F3333" s="55" t="s">
        <v>344</v>
      </c>
      <c r="G3333" s="55" t="s">
        <v>360</v>
      </c>
      <c r="H3333" s="55" t="s">
        <v>360</v>
      </c>
      <c r="I3333" s="55" t="s">
        <v>360</v>
      </c>
      <c r="J3333" s="55" t="s">
        <v>360</v>
      </c>
      <c r="K3333" s="55" t="s">
        <v>360</v>
      </c>
      <c r="L3333" s="55" t="s">
        <v>360</v>
      </c>
      <c r="M3333" s="55" t="s">
        <v>378</v>
      </c>
      <c r="N3333" s="55" t="s">
        <v>170</v>
      </c>
      <c r="O3333" s="55" t="s">
        <v>220</v>
      </c>
      <c r="P3333" s="55" t="s">
        <v>220</v>
      </c>
      <c r="Q3333" s="55" t="s">
        <v>380</v>
      </c>
      <c r="R3333" s="55">
        <v>4</v>
      </c>
      <c r="S3333" s="55"/>
      <c r="T3333" s="55" t="s">
        <v>1674</v>
      </c>
    </row>
    <row r="3334" spans="1:20" ht="13" x14ac:dyDescent="0.15">
      <c r="A3334" s="72" t="str">
        <f t="shared" si="52"/>
        <v>Ofsted Social Care Provider Webpage</v>
      </c>
      <c r="B3334" s="55" t="s">
        <v>6250</v>
      </c>
      <c r="D3334" s="55" t="s">
        <v>373</v>
      </c>
      <c r="E3334" s="74">
        <v>41649</v>
      </c>
      <c r="F3334" s="55" t="s">
        <v>344</v>
      </c>
      <c r="G3334" s="55" t="s">
        <v>360</v>
      </c>
      <c r="H3334" s="55" t="s">
        <v>360</v>
      </c>
      <c r="I3334" s="55" t="s">
        <v>360</v>
      </c>
      <c r="J3334" s="55" t="s">
        <v>360</v>
      </c>
      <c r="K3334" s="55" t="s">
        <v>360</v>
      </c>
      <c r="L3334" s="55" t="s">
        <v>360</v>
      </c>
      <c r="M3334" s="55" t="s">
        <v>378</v>
      </c>
      <c r="N3334" s="55" t="s">
        <v>170</v>
      </c>
      <c r="O3334" s="55" t="s">
        <v>193</v>
      </c>
      <c r="P3334" s="55" t="s">
        <v>193</v>
      </c>
      <c r="Q3334" s="55" t="s">
        <v>380</v>
      </c>
      <c r="R3334" s="55">
        <v>4</v>
      </c>
      <c r="S3334" s="55"/>
      <c r="T3334" s="55" t="s">
        <v>1353</v>
      </c>
    </row>
    <row r="3335" spans="1:20" ht="13" x14ac:dyDescent="0.15">
      <c r="A3335" s="72" t="str">
        <f t="shared" si="52"/>
        <v>Ofsted Social Care Provider Webpage</v>
      </c>
      <c r="B3335" s="55" t="s">
        <v>6251</v>
      </c>
      <c r="D3335" s="55" t="s">
        <v>373</v>
      </c>
      <c r="E3335" s="74">
        <v>41618</v>
      </c>
      <c r="F3335" s="55" t="s">
        <v>344</v>
      </c>
      <c r="G3335" s="55" t="s">
        <v>360</v>
      </c>
      <c r="H3335" s="55" t="s">
        <v>360</v>
      </c>
      <c r="I3335" s="55" t="s">
        <v>360</v>
      </c>
      <c r="J3335" s="55" t="s">
        <v>360</v>
      </c>
      <c r="K3335" s="55" t="s">
        <v>360</v>
      </c>
      <c r="L3335" s="55" t="s">
        <v>360</v>
      </c>
      <c r="M3335" s="55" t="s">
        <v>378</v>
      </c>
      <c r="N3335" s="55" t="s">
        <v>134</v>
      </c>
      <c r="O3335" s="55" t="s">
        <v>226</v>
      </c>
      <c r="P3335" s="55" t="s">
        <v>3094</v>
      </c>
      <c r="Q3335" s="55" t="s">
        <v>380</v>
      </c>
      <c r="R3335" s="55">
        <v>6</v>
      </c>
      <c r="S3335" s="55"/>
      <c r="T3335" s="55" t="s">
        <v>3095</v>
      </c>
    </row>
    <row r="3336" spans="1:20" ht="13" x14ac:dyDescent="0.15">
      <c r="A3336" s="72" t="str">
        <f t="shared" si="52"/>
        <v>Ofsted Social Care Provider Webpage</v>
      </c>
      <c r="B3336" s="55" t="s">
        <v>6252</v>
      </c>
      <c r="D3336" s="55" t="s">
        <v>373</v>
      </c>
      <c r="E3336" s="74">
        <v>41675</v>
      </c>
      <c r="F3336" s="55" t="s">
        <v>344</v>
      </c>
      <c r="G3336" s="55" t="s">
        <v>360</v>
      </c>
      <c r="H3336" s="55" t="s">
        <v>360</v>
      </c>
      <c r="I3336" s="55" t="s">
        <v>360</v>
      </c>
      <c r="J3336" s="55" t="s">
        <v>360</v>
      </c>
      <c r="K3336" s="55" t="s">
        <v>360</v>
      </c>
      <c r="L3336" s="55" t="s">
        <v>360</v>
      </c>
      <c r="M3336" s="55" t="s">
        <v>142</v>
      </c>
      <c r="N3336" s="55" t="s">
        <v>142</v>
      </c>
      <c r="O3336" s="55" t="s">
        <v>177</v>
      </c>
      <c r="P3336" s="55" t="s">
        <v>1406</v>
      </c>
      <c r="Q3336" s="55" t="s">
        <v>350</v>
      </c>
      <c r="R3336" s="55">
        <v>5</v>
      </c>
      <c r="S3336" s="55"/>
      <c r="T3336" s="55" t="s">
        <v>385</v>
      </c>
    </row>
    <row r="3337" spans="1:20" ht="13" x14ac:dyDescent="0.15">
      <c r="A3337" s="72" t="str">
        <f t="shared" si="52"/>
        <v>Ofsted Social Care Provider Webpage</v>
      </c>
      <c r="B3337" s="55" t="s">
        <v>6253</v>
      </c>
      <c r="D3337" s="55" t="s">
        <v>373</v>
      </c>
      <c r="E3337" s="74">
        <v>41654</v>
      </c>
      <c r="F3337" s="55" t="s">
        <v>344</v>
      </c>
      <c r="G3337" s="55" t="s">
        <v>360</v>
      </c>
      <c r="H3337" s="55" t="s">
        <v>360</v>
      </c>
      <c r="I3337" s="55" t="s">
        <v>360</v>
      </c>
      <c r="J3337" s="55" t="s">
        <v>360</v>
      </c>
      <c r="K3337" s="55" t="s">
        <v>360</v>
      </c>
      <c r="L3337" s="55" t="s">
        <v>360</v>
      </c>
      <c r="M3337" s="55" t="s">
        <v>144</v>
      </c>
      <c r="N3337" s="55" t="s">
        <v>144</v>
      </c>
      <c r="O3337" s="55" t="s">
        <v>250</v>
      </c>
      <c r="P3337" s="55" t="s">
        <v>1372</v>
      </c>
      <c r="Q3337" s="55" t="s">
        <v>350</v>
      </c>
      <c r="R3337" s="55">
        <v>4</v>
      </c>
      <c r="S3337" s="55"/>
      <c r="T3337" s="55" t="s">
        <v>1414</v>
      </c>
    </row>
    <row r="3338" spans="1:20" ht="13" x14ac:dyDescent="0.15">
      <c r="A3338" s="72" t="str">
        <f t="shared" si="52"/>
        <v>Ofsted Social Care Provider Webpage</v>
      </c>
      <c r="B3338" s="55" t="s">
        <v>6254</v>
      </c>
      <c r="D3338" s="55" t="s">
        <v>373</v>
      </c>
      <c r="E3338" s="74">
        <v>41670</v>
      </c>
      <c r="F3338" s="55" t="s">
        <v>344</v>
      </c>
      <c r="G3338" s="55" t="s">
        <v>360</v>
      </c>
      <c r="H3338" s="55" t="s">
        <v>360</v>
      </c>
      <c r="I3338" s="55" t="s">
        <v>360</v>
      </c>
      <c r="J3338" s="55" t="s">
        <v>360</v>
      </c>
      <c r="K3338" s="55" t="s">
        <v>360</v>
      </c>
      <c r="L3338" s="55" t="s">
        <v>360</v>
      </c>
      <c r="M3338" s="55" t="s">
        <v>144</v>
      </c>
      <c r="N3338" s="55" t="s">
        <v>144</v>
      </c>
      <c r="O3338" s="55" t="s">
        <v>217</v>
      </c>
      <c r="P3338" s="55" t="s">
        <v>384</v>
      </c>
      <c r="Q3338" s="55" t="s">
        <v>350</v>
      </c>
      <c r="R3338" s="55">
        <v>5</v>
      </c>
      <c r="S3338" s="55"/>
      <c r="T3338" s="55" t="s">
        <v>1093</v>
      </c>
    </row>
    <row r="3339" spans="1:20" ht="13" x14ac:dyDescent="0.15">
      <c r="A3339" s="72" t="str">
        <f t="shared" si="52"/>
        <v>Ofsted Social Care Provider Webpage</v>
      </c>
      <c r="B3339" s="55" t="s">
        <v>6255</v>
      </c>
      <c r="D3339" s="55" t="s">
        <v>373</v>
      </c>
      <c r="E3339" s="74">
        <v>41641</v>
      </c>
      <c r="F3339" s="55" t="s">
        <v>344</v>
      </c>
      <c r="G3339" s="55" t="s">
        <v>360</v>
      </c>
      <c r="H3339" s="55" t="s">
        <v>360</v>
      </c>
      <c r="I3339" s="55" t="s">
        <v>360</v>
      </c>
      <c r="J3339" s="55" t="s">
        <v>360</v>
      </c>
      <c r="K3339" s="55" t="s">
        <v>360</v>
      </c>
      <c r="L3339" s="55" t="s">
        <v>360</v>
      </c>
      <c r="M3339" s="55" t="s">
        <v>378</v>
      </c>
      <c r="N3339" s="55" t="s">
        <v>170</v>
      </c>
      <c r="O3339" s="55" t="s">
        <v>222</v>
      </c>
      <c r="P3339" s="55" t="s">
        <v>521</v>
      </c>
      <c r="Q3339" s="55" t="s">
        <v>350</v>
      </c>
      <c r="R3339" s="55">
        <v>5</v>
      </c>
      <c r="S3339" s="55"/>
      <c r="T3339" s="55" t="s">
        <v>677</v>
      </c>
    </row>
    <row r="3340" spans="1:20" ht="13" x14ac:dyDescent="0.15">
      <c r="A3340" s="72" t="str">
        <f t="shared" si="52"/>
        <v>Ofsted Social Care Provider Webpage</v>
      </c>
      <c r="B3340" s="55" t="s">
        <v>6256</v>
      </c>
      <c r="D3340" s="55" t="s">
        <v>373</v>
      </c>
      <c r="E3340" s="74">
        <v>41669</v>
      </c>
      <c r="F3340" s="55" t="s">
        <v>344</v>
      </c>
      <c r="G3340" s="55" t="s">
        <v>360</v>
      </c>
      <c r="H3340" s="55" t="s">
        <v>360</v>
      </c>
      <c r="I3340" s="55" t="s">
        <v>360</v>
      </c>
      <c r="J3340" s="55" t="s">
        <v>360</v>
      </c>
      <c r="K3340" s="55" t="s">
        <v>360</v>
      </c>
      <c r="L3340" s="55" t="s">
        <v>360</v>
      </c>
      <c r="M3340" s="55" t="s">
        <v>378</v>
      </c>
      <c r="N3340" s="55" t="s">
        <v>134</v>
      </c>
      <c r="O3340" s="55" t="s">
        <v>151</v>
      </c>
      <c r="P3340" s="55" t="s">
        <v>1778</v>
      </c>
      <c r="Q3340" s="55" t="s">
        <v>380</v>
      </c>
      <c r="R3340" s="55">
        <v>15</v>
      </c>
      <c r="S3340" s="55"/>
      <c r="T3340" s="55" t="s">
        <v>1220</v>
      </c>
    </row>
    <row r="3341" spans="1:20" ht="13" x14ac:dyDescent="0.15">
      <c r="A3341" s="72" t="str">
        <f t="shared" si="52"/>
        <v>Ofsted Social Care Provider Webpage</v>
      </c>
      <c r="B3341" s="55" t="s">
        <v>6257</v>
      </c>
      <c r="D3341" s="55" t="s">
        <v>373</v>
      </c>
      <c r="E3341" s="74">
        <v>41625</v>
      </c>
      <c r="F3341" s="55" t="s">
        <v>344</v>
      </c>
      <c r="G3341" s="55" t="s">
        <v>360</v>
      </c>
      <c r="H3341" s="55" t="s">
        <v>360</v>
      </c>
      <c r="I3341" s="55" t="s">
        <v>360</v>
      </c>
      <c r="J3341" s="55" t="s">
        <v>360</v>
      </c>
      <c r="K3341" s="55" t="s">
        <v>360</v>
      </c>
      <c r="L3341" s="55" t="s">
        <v>360</v>
      </c>
      <c r="M3341" s="55" t="s">
        <v>150</v>
      </c>
      <c r="N3341" s="55" t="s">
        <v>150</v>
      </c>
      <c r="O3341" s="55" t="s">
        <v>283</v>
      </c>
      <c r="P3341" s="55" t="s">
        <v>291</v>
      </c>
      <c r="Q3341" s="55" t="s">
        <v>350</v>
      </c>
      <c r="R3341" s="55">
        <v>5</v>
      </c>
      <c r="S3341" s="55"/>
      <c r="T3341" s="55" t="s">
        <v>6244</v>
      </c>
    </row>
    <row r="3342" spans="1:20" ht="13" x14ac:dyDescent="0.15">
      <c r="A3342" s="72" t="str">
        <f t="shared" si="52"/>
        <v>Ofsted Social Care Provider Webpage</v>
      </c>
      <c r="B3342" s="55" t="s">
        <v>6258</v>
      </c>
      <c r="D3342" s="55" t="s">
        <v>373</v>
      </c>
      <c r="E3342" s="74">
        <v>41659</v>
      </c>
      <c r="F3342" s="55" t="s">
        <v>344</v>
      </c>
      <c r="G3342" s="55" t="s">
        <v>360</v>
      </c>
      <c r="H3342" s="55" t="s">
        <v>360</v>
      </c>
      <c r="I3342" s="55" t="s">
        <v>360</v>
      </c>
      <c r="J3342" s="55" t="s">
        <v>360</v>
      </c>
      <c r="K3342" s="55" t="s">
        <v>360</v>
      </c>
      <c r="L3342" s="55" t="s">
        <v>360</v>
      </c>
      <c r="M3342" s="55" t="s">
        <v>144</v>
      </c>
      <c r="N3342" s="55" t="s">
        <v>144</v>
      </c>
      <c r="O3342" s="55" t="s">
        <v>207</v>
      </c>
      <c r="P3342" s="55" t="s">
        <v>792</v>
      </c>
      <c r="Q3342" s="55" t="s">
        <v>350</v>
      </c>
      <c r="R3342" s="55">
        <v>2</v>
      </c>
      <c r="S3342" s="55"/>
      <c r="T3342" s="55" t="s">
        <v>1449</v>
      </c>
    </row>
    <row r="3343" spans="1:20" ht="13" x14ac:dyDescent="0.15">
      <c r="A3343" s="72" t="str">
        <f t="shared" si="52"/>
        <v>Ofsted Social Care Provider Webpage</v>
      </c>
      <c r="B3343" s="55" t="s">
        <v>6259</v>
      </c>
      <c r="D3343" s="55" t="s">
        <v>373</v>
      </c>
      <c r="E3343" s="74">
        <v>41607</v>
      </c>
      <c r="F3343" s="55" t="s">
        <v>344</v>
      </c>
      <c r="G3343" s="55" t="s">
        <v>360</v>
      </c>
      <c r="H3343" s="55" t="s">
        <v>360</v>
      </c>
      <c r="I3343" s="55" t="s">
        <v>360</v>
      </c>
      <c r="J3343" s="55" t="s">
        <v>360</v>
      </c>
      <c r="K3343" s="55" t="s">
        <v>360</v>
      </c>
      <c r="L3343" s="55" t="s">
        <v>360</v>
      </c>
      <c r="M3343" s="55" t="s">
        <v>150</v>
      </c>
      <c r="N3343" s="55" t="s">
        <v>150</v>
      </c>
      <c r="O3343" s="55" t="s">
        <v>203</v>
      </c>
      <c r="P3343" s="55" t="s">
        <v>593</v>
      </c>
      <c r="Q3343" s="55" t="s">
        <v>350</v>
      </c>
      <c r="R3343" s="55">
        <v>5</v>
      </c>
      <c r="S3343" s="55"/>
      <c r="T3343" s="55" t="s">
        <v>1442</v>
      </c>
    </row>
    <row r="3344" spans="1:20" ht="13" x14ac:dyDescent="0.15">
      <c r="A3344" s="72" t="str">
        <f t="shared" si="52"/>
        <v>Ofsted Social Care Provider Webpage</v>
      </c>
      <c r="B3344" s="55" t="s">
        <v>6260</v>
      </c>
      <c r="D3344" s="55" t="s">
        <v>373</v>
      </c>
      <c r="E3344" s="74">
        <v>41712</v>
      </c>
      <c r="F3344" s="55" t="s">
        <v>344</v>
      </c>
      <c r="G3344" s="55" t="s">
        <v>360</v>
      </c>
      <c r="H3344" s="55" t="s">
        <v>360</v>
      </c>
      <c r="I3344" s="55" t="s">
        <v>360</v>
      </c>
      <c r="J3344" s="55" t="s">
        <v>360</v>
      </c>
      <c r="K3344" s="55" t="s">
        <v>360</v>
      </c>
      <c r="L3344" s="55" t="s">
        <v>360</v>
      </c>
      <c r="M3344" s="55" t="s">
        <v>144</v>
      </c>
      <c r="N3344" s="55" t="s">
        <v>144</v>
      </c>
      <c r="O3344" s="55" t="s">
        <v>245</v>
      </c>
      <c r="P3344" s="55" t="s">
        <v>245</v>
      </c>
      <c r="Q3344" s="55" t="s">
        <v>350</v>
      </c>
      <c r="R3344" s="55">
        <v>3</v>
      </c>
      <c r="S3344" s="55"/>
      <c r="T3344" s="55" t="s">
        <v>1218</v>
      </c>
    </row>
    <row r="3345" spans="1:20" ht="13" x14ac:dyDescent="0.15">
      <c r="A3345" s="72" t="str">
        <f t="shared" si="52"/>
        <v>Ofsted Social Care Provider Webpage</v>
      </c>
      <c r="B3345" s="55" t="s">
        <v>6261</v>
      </c>
      <c r="D3345" s="55" t="s">
        <v>373</v>
      </c>
      <c r="E3345" s="74">
        <v>41838</v>
      </c>
      <c r="F3345" s="55" t="s">
        <v>344</v>
      </c>
      <c r="G3345" s="55" t="s">
        <v>360</v>
      </c>
      <c r="H3345" s="55" t="s">
        <v>360</v>
      </c>
      <c r="I3345" s="55" t="s">
        <v>360</v>
      </c>
      <c r="J3345" s="55" t="s">
        <v>360</v>
      </c>
      <c r="K3345" s="55" t="s">
        <v>360</v>
      </c>
      <c r="L3345" s="55" t="s">
        <v>360</v>
      </c>
      <c r="M3345" s="55" t="s">
        <v>144</v>
      </c>
      <c r="N3345" s="55" t="s">
        <v>144</v>
      </c>
      <c r="O3345" s="55" t="s">
        <v>250</v>
      </c>
      <c r="P3345" s="55" t="s">
        <v>759</v>
      </c>
      <c r="Q3345" s="55" t="s">
        <v>350</v>
      </c>
      <c r="R3345" s="55">
        <v>5</v>
      </c>
      <c r="S3345" s="55"/>
      <c r="T3345" s="55" t="s">
        <v>737</v>
      </c>
    </row>
    <row r="3346" spans="1:20" ht="13" x14ac:dyDescent="0.15">
      <c r="A3346" s="72" t="str">
        <f t="shared" si="52"/>
        <v>Ofsted Social Care Provider Webpage</v>
      </c>
      <c r="B3346" s="55" t="s">
        <v>6262</v>
      </c>
      <c r="D3346" s="55" t="s">
        <v>373</v>
      </c>
      <c r="E3346" s="74">
        <v>41701</v>
      </c>
      <c r="F3346" s="55" t="s">
        <v>344</v>
      </c>
      <c r="G3346" s="55" t="s">
        <v>360</v>
      </c>
      <c r="H3346" s="55" t="s">
        <v>360</v>
      </c>
      <c r="I3346" s="55" t="s">
        <v>360</v>
      </c>
      <c r="J3346" s="55" t="s">
        <v>360</v>
      </c>
      <c r="K3346" s="55" t="s">
        <v>360</v>
      </c>
      <c r="L3346" s="55" t="s">
        <v>360</v>
      </c>
      <c r="M3346" s="55" t="s">
        <v>378</v>
      </c>
      <c r="N3346" s="55" t="s">
        <v>134</v>
      </c>
      <c r="O3346" s="55" t="s">
        <v>246</v>
      </c>
      <c r="P3346" s="55" t="s">
        <v>1104</v>
      </c>
      <c r="Q3346" s="55" t="s">
        <v>350</v>
      </c>
      <c r="R3346" s="55">
        <v>6</v>
      </c>
      <c r="S3346" s="55"/>
      <c r="T3346" s="55" t="s">
        <v>450</v>
      </c>
    </row>
    <row r="3347" spans="1:20" ht="13" x14ac:dyDescent="0.15">
      <c r="A3347" s="72" t="str">
        <f t="shared" si="52"/>
        <v>Ofsted Social Care Provider Webpage</v>
      </c>
      <c r="B3347" s="55" t="s">
        <v>6263</v>
      </c>
      <c r="D3347" s="55" t="s">
        <v>373</v>
      </c>
      <c r="E3347" s="74">
        <v>41677</v>
      </c>
      <c r="F3347" s="55" t="s">
        <v>344</v>
      </c>
      <c r="G3347" s="55" t="s">
        <v>360</v>
      </c>
      <c r="H3347" s="55" t="s">
        <v>360</v>
      </c>
      <c r="I3347" s="55" t="s">
        <v>360</v>
      </c>
      <c r="J3347" s="55" t="s">
        <v>360</v>
      </c>
      <c r="K3347" s="55" t="s">
        <v>360</v>
      </c>
      <c r="L3347" s="55" t="s">
        <v>360</v>
      </c>
      <c r="M3347" s="55" t="s">
        <v>129</v>
      </c>
      <c r="N3347" s="55" t="s">
        <v>129</v>
      </c>
      <c r="O3347" s="55" t="s">
        <v>160</v>
      </c>
      <c r="P3347" s="55" t="s">
        <v>447</v>
      </c>
      <c r="Q3347" s="55" t="s">
        <v>350</v>
      </c>
      <c r="R3347" s="55">
        <v>10</v>
      </c>
      <c r="S3347" s="55"/>
      <c r="T3347" s="55" t="s">
        <v>939</v>
      </c>
    </row>
    <row r="3348" spans="1:20" ht="13" x14ac:dyDescent="0.15">
      <c r="A3348" s="72" t="str">
        <f t="shared" si="52"/>
        <v>Ofsted Social Care Provider Webpage</v>
      </c>
      <c r="B3348" s="55" t="s">
        <v>6264</v>
      </c>
      <c r="D3348" s="55" t="s">
        <v>373</v>
      </c>
      <c r="E3348" s="74">
        <v>41715</v>
      </c>
      <c r="F3348" s="55" t="s">
        <v>344</v>
      </c>
      <c r="G3348" s="55" t="s">
        <v>360</v>
      </c>
      <c r="H3348" s="55" t="s">
        <v>360</v>
      </c>
      <c r="I3348" s="55" t="s">
        <v>360</v>
      </c>
      <c r="J3348" s="55" t="s">
        <v>360</v>
      </c>
      <c r="K3348" s="55" t="s">
        <v>360</v>
      </c>
      <c r="L3348" s="55" t="s">
        <v>360</v>
      </c>
      <c r="M3348" s="55" t="s">
        <v>172</v>
      </c>
      <c r="N3348" s="55" t="s">
        <v>172</v>
      </c>
      <c r="O3348" s="55" t="s">
        <v>214</v>
      </c>
      <c r="P3348" s="55" t="s">
        <v>790</v>
      </c>
      <c r="Q3348" s="55" t="s">
        <v>350</v>
      </c>
      <c r="R3348" s="55">
        <v>4</v>
      </c>
      <c r="S3348" s="55"/>
      <c r="T3348" s="55" t="s">
        <v>375</v>
      </c>
    </row>
    <row r="3349" spans="1:20" ht="13" x14ac:dyDescent="0.15">
      <c r="A3349" s="72" t="str">
        <f t="shared" si="52"/>
        <v>Ofsted Social Care Provider Webpage</v>
      </c>
      <c r="B3349" s="55" t="s">
        <v>6265</v>
      </c>
      <c r="C3349" s="55">
        <v>106965</v>
      </c>
      <c r="D3349" s="55" t="s">
        <v>413</v>
      </c>
      <c r="E3349" s="74">
        <v>41589</v>
      </c>
      <c r="F3349" s="55" t="s">
        <v>344</v>
      </c>
      <c r="G3349" s="55" t="s">
        <v>6266</v>
      </c>
      <c r="H3349" s="55" t="s">
        <v>6267</v>
      </c>
      <c r="I3349" s="55" t="s">
        <v>6268</v>
      </c>
      <c r="J3349" s="55" t="s">
        <v>6269</v>
      </c>
      <c r="K3349" s="55" t="s">
        <v>683</v>
      </c>
      <c r="L3349" s="55" t="s">
        <v>6270</v>
      </c>
      <c r="M3349" s="55" t="s">
        <v>378</v>
      </c>
      <c r="N3349" s="55" t="s">
        <v>134</v>
      </c>
      <c r="O3349" s="55" t="s">
        <v>133</v>
      </c>
      <c r="P3349" s="55" t="s">
        <v>685</v>
      </c>
      <c r="Q3349" s="55" t="s">
        <v>362</v>
      </c>
      <c r="R3349" s="55">
        <v>10</v>
      </c>
      <c r="S3349" s="55"/>
      <c r="T3349" s="55" t="s">
        <v>2804</v>
      </c>
    </row>
    <row r="3350" spans="1:20" ht="13" x14ac:dyDescent="0.15">
      <c r="A3350" s="72" t="str">
        <f t="shared" si="52"/>
        <v>Ofsted Social Care Provider Webpage</v>
      </c>
      <c r="B3350" s="55" t="s">
        <v>6271</v>
      </c>
      <c r="D3350" s="55" t="s">
        <v>373</v>
      </c>
      <c r="E3350" s="74">
        <v>41726</v>
      </c>
      <c r="F3350" s="55" t="s">
        <v>344</v>
      </c>
      <c r="G3350" s="55" t="s">
        <v>360</v>
      </c>
      <c r="H3350" s="55" t="s">
        <v>360</v>
      </c>
      <c r="I3350" s="55" t="s">
        <v>360</v>
      </c>
      <c r="J3350" s="55" t="s">
        <v>360</v>
      </c>
      <c r="K3350" s="55" t="s">
        <v>360</v>
      </c>
      <c r="L3350" s="55" t="s">
        <v>360</v>
      </c>
      <c r="M3350" s="55" t="s">
        <v>150</v>
      </c>
      <c r="N3350" s="55" t="s">
        <v>150</v>
      </c>
      <c r="O3350" s="55" t="s">
        <v>203</v>
      </c>
      <c r="P3350" s="55" t="s">
        <v>800</v>
      </c>
      <c r="Q3350" s="55" t="s">
        <v>350</v>
      </c>
      <c r="R3350" s="55">
        <v>2</v>
      </c>
      <c r="S3350" s="55"/>
      <c r="T3350" s="55" t="s">
        <v>5214</v>
      </c>
    </row>
    <row r="3351" spans="1:20" ht="13" x14ac:dyDescent="0.15">
      <c r="A3351" s="72" t="str">
        <f t="shared" si="52"/>
        <v>Ofsted Social Care Provider Webpage</v>
      </c>
      <c r="B3351" s="55" t="s">
        <v>6272</v>
      </c>
      <c r="D3351" s="55" t="s">
        <v>373</v>
      </c>
      <c r="E3351" s="74">
        <v>41726</v>
      </c>
      <c r="F3351" s="55" t="s">
        <v>344</v>
      </c>
      <c r="G3351" s="55" t="s">
        <v>360</v>
      </c>
      <c r="H3351" s="55" t="s">
        <v>360</v>
      </c>
      <c r="I3351" s="55" t="s">
        <v>360</v>
      </c>
      <c r="J3351" s="55" t="s">
        <v>360</v>
      </c>
      <c r="K3351" s="55" t="s">
        <v>360</v>
      </c>
      <c r="L3351" s="55" t="s">
        <v>360</v>
      </c>
      <c r="M3351" s="55" t="s">
        <v>150</v>
      </c>
      <c r="N3351" s="55" t="s">
        <v>150</v>
      </c>
      <c r="O3351" s="55" t="s">
        <v>203</v>
      </c>
      <c r="P3351" s="55" t="s">
        <v>800</v>
      </c>
      <c r="Q3351" s="55" t="s">
        <v>350</v>
      </c>
      <c r="R3351" s="55">
        <v>2</v>
      </c>
      <c r="S3351" s="55"/>
      <c r="T3351" s="55" t="s">
        <v>5214</v>
      </c>
    </row>
    <row r="3352" spans="1:20" ht="13" x14ac:dyDescent="0.15">
      <c r="A3352" s="72" t="str">
        <f t="shared" si="52"/>
        <v>Ofsted Social Care Provider Webpage</v>
      </c>
      <c r="B3352" s="55" t="s">
        <v>6273</v>
      </c>
      <c r="D3352" s="55" t="s">
        <v>373</v>
      </c>
      <c r="E3352" s="74">
        <v>41759</v>
      </c>
      <c r="F3352" s="55" t="s">
        <v>344</v>
      </c>
      <c r="G3352" s="55" t="s">
        <v>360</v>
      </c>
      <c r="H3352" s="55" t="s">
        <v>360</v>
      </c>
      <c r="I3352" s="55" t="s">
        <v>360</v>
      </c>
      <c r="J3352" s="55" t="s">
        <v>360</v>
      </c>
      <c r="K3352" s="55" t="s">
        <v>360</v>
      </c>
      <c r="L3352" s="55" t="s">
        <v>360</v>
      </c>
      <c r="M3352" s="55" t="s">
        <v>142</v>
      </c>
      <c r="N3352" s="55" t="s">
        <v>142</v>
      </c>
      <c r="O3352" s="55" t="s">
        <v>252</v>
      </c>
      <c r="P3352" s="55" t="s">
        <v>386</v>
      </c>
      <c r="Q3352" s="55" t="s">
        <v>350</v>
      </c>
      <c r="R3352" s="55">
        <v>2</v>
      </c>
      <c r="S3352" s="55"/>
      <c r="T3352" s="55" t="s">
        <v>1182</v>
      </c>
    </row>
    <row r="3353" spans="1:20" ht="13" x14ac:dyDescent="0.15">
      <c r="A3353" s="72" t="str">
        <f t="shared" si="52"/>
        <v>Ofsted Social Care Provider Webpage</v>
      </c>
      <c r="B3353" s="55" t="s">
        <v>6274</v>
      </c>
      <c r="D3353" s="55" t="s">
        <v>373</v>
      </c>
      <c r="E3353" s="74">
        <v>41681</v>
      </c>
      <c r="F3353" s="55" t="s">
        <v>344</v>
      </c>
      <c r="G3353" s="55" t="s">
        <v>360</v>
      </c>
      <c r="H3353" s="55" t="s">
        <v>360</v>
      </c>
      <c r="I3353" s="55" t="s">
        <v>360</v>
      </c>
      <c r="J3353" s="55" t="s">
        <v>360</v>
      </c>
      <c r="K3353" s="55" t="s">
        <v>360</v>
      </c>
      <c r="L3353" s="55" t="s">
        <v>360</v>
      </c>
      <c r="M3353" s="55" t="s">
        <v>150</v>
      </c>
      <c r="N3353" s="55" t="s">
        <v>150</v>
      </c>
      <c r="O3353" s="55" t="s">
        <v>156</v>
      </c>
      <c r="P3353" s="55" t="s">
        <v>1576</v>
      </c>
      <c r="Q3353" s="55" t="s">
        <v>350</v>
      </c>
      <c r="R3353" s="55">
        <v>4</v>
      </c>
      <c r="S3353" s="55"/>
      <c r="T3353" s="55" t="s">
        <v>762</v>
      </c>
    </row>
    <row r="3354" spans="1:20" ht="13" x14ac:dyDescent="0.15">
      <c r="A3354" s="72" t="str">
        <f t="shared" si="52"/>
        <v>Ofsted Social Care Provider Webpage</v>
      </c>
      <c r="B3354" s="55" t="s">
        <v>6275</v>
      </c>
      <c r="D3354" s="55" t="s">
        <v>373</v>
      </c>
      <c r="E3354" s="74">
        <v>41758</v>
      </c>
      <c r="F3354" s="55" t="s">
        <v>344</v>
      </c>
      <c r="G3354" s="55" t="s">
        <v>360</v>
      </c>
      <c r="H3354" s="55" t="s">
        <v>360</v>
      </c>
      <c r="I3354" s="55" t="s">
        <v>360</v>
      </c>
      <c r="J3354" s="55" t="s">
        <v>360</v>
      </c>
      <c r="K3354" s="55" t="s">
        <v>360</v>
      </c>
      <c r="L3354" s="55" t="s">
        <v>360</v>
      </c>
      <c r="M3354" s="55" t="s">
        <v>142</v>
      </c>
      <c r="N3354" s="55" t="s">
        <v>142</v>
      </c>
      <c r="O3354" s="55" t="s">
        <v>262</v>
      </c>
      <c r="P3354" s="55" t="s">
        <v>949</v>
      </c>
      <c r="Q3354" s="55" t="s">
        <v>350</v>
      </c>
      <c r="R3354" s="55">
        <v>4</v>
      </c>
      <c r="S3354" s="55"/>
      <c r="T3354" s="55" t="s">
        <v>865</v>
      </c>
    </row>
    <row r="3355" spans="1:20" ht="13" x14ac:dyDescent="0.15">
      <c r="A3355" s="72" t="str">
        <f t="shared" si="52"/>
        <v>Ofsted Social Care Provider Webpage</v>
      </c>
      <c r="B3355" s="55" t="s">
        <v>6276</v>
      </c>
      <c r="D3355" s="55" t="s">
        <v>373</v>
      </c>
      <c r="E3355" s="74">
        <v>41696</v>
      </c>
      <c r="F3355" s="55" t="s">
        <v>344</v>
      </c>
      <c r="G3355" s="55" t="s">
        <v>360</v>
      </c>
      <c r="H3355" s="55" t="s">
        <v>360</v>
      </c>
      <c r="I3355" s="55" t="s">
        <v>360</v>
      </c>
      <c r="J3355" s="55" t="s">
        <v>360</v>
      </c>
      <c r="K3355" s="55" t="s">
        <v>360</v>
      </c>
      <c r="L3355" s="55" t="s">
        <v>360</v>
      </c>
      <c r="M3355" s="55" t="s">
        <v>129</v>
      </c>
      <c r="N3355" s="55" t="s">
        <v>129</v>
      </c>
      <c r="O3355" s="55" t="s">
        <v>155</v>
      </c>
      <c r="P3355" s="55" t="s">
        <v>2490</v>
      </c>
      <c r="Q3355" s="55" t="s">
        <v>851</v>
      </c>
      <c r="R3355" s="55">
        <v>12</v>
      </c>
      <c r="S3355" s="55" t="s">
        <v>332</v>
      </c>
      <c r="T3355" s="55" t="s">
        <v>6277</v>
      </c>
    </row>
    <row r="3356" spans="1:20" ht="13" x14ac:dyDescent="0.15">
      <c r="A3356" s="72" t="str">
        <f t="shared" si="52"/>
        <v>Ofsted Social Care Provider Webpage</v>
      </c>
      <c r="B3356" s="55" t="s">
        <v>6278</v>
      </c>
      <c r="D3356" s="55" t="s">
        <v>451</v>
      </c>
      <c r="E3356" s="74">
        <v>41801</v>
      </c>
      <c r="F3356" s="55" t="s">
        <v>344</v>
      </c>
      <c r="G3356" s="55" t="s">
        <v>6279</v>
      </c>
      <c r="H3356" s="55" t="s">
        <v>6280</v>
      </c>
      <c r="I3356" s="55" t="s">
        <v>354</v>
      </c>
      <c r="J3356" s="55" t="s">
        <v>2578</v>
      </c>
      <c r="L3356" s="55" t="s">
        <v>6281</v>
      </c>
      <c r="M3356" s="55" t="s">
        <v>129</v>
      </c>
      <c r="N3356" s="55" t="s">
        <v>129</v>
      </c>
      <c r="O3356" s="55" t="s">
        <v>223</v>
      </c>
      <c r="P3356" s="55" t="s">
        <v>712</v>
      </c>
      <c r="Q3356" s="55" t="s">
        <v>350</v>
      </c>
      <c r="R3356" s="55">
        <v>6</v>
      </c>
      <c r="S3356" s="55"/>
      <c r="T3356" s="55" t="s">
        <v>6282</v>
      </c>
    </row>
    <row r="3357" spans="1:20" ht="13" x14ac:dyDescent="0.15">
      <c r="A3357" s="72" t="str">
        <f t="shared" si="52"/>
        <v>Ofsted Social Care Provider Webpage</v>
      </c>
      <c r="B3357" s="55" t="s">
        <v>6283</v>
      </c>
      <c r="D3357" s="55" t="s">
        <v>468</v>
      </c>
      <c r="E3357" s="74">
        <v>41709</v>
      </c>
      <c r="F3357" s="55" t="s">
        <v>344</v>
      </c>
      <c r="G3357" s="55" t="s">
        <v>6284</v>
      </c>
      <c r="H3357" s="55" t="s">
        <v>6285</v>
      </c>
      <c r="I3357" s="55" t="s">
        <v>6286</v>
      </c>
      <c r="J3357" s="55" t="s">
        <v>6287</v>
      </c>
      <c r="L3357" s="55" t="s">
        <v>1828</v>
      </c>
      <c r="M3357" s="55" t="s">
        <v>378</v>
      </c>
      <c r="N3357" s="55" t="s">
        <v>170</v>
      </c>
      <c r="O3357" s="55" t="s">
        <v>267</v>
      </c>
      <c r="P3357" s="55" t="s">
        <v>477</v>
      </c>
      <c r="Q3357" s="55" t="s">
        <v>362</v>
      </c>
      <c r="R3357" s="55"/>
      <c r="S3357" s="55"/>
      <c r="T3357" s="55" t="s">
        <v>6284</v>
      </c>
    </row>
    <row r="3358" spans="1:20" ht="13" x14ac:dyDescent="0.15">
      <c r="A3358" s="72" t="str">
        <f t="shared" si="52"/>
        <v>Ofsted Social Care Provider Webpage</v>
      </c>
      <c r="B3358" s="55" t="s">
        <v>6288</v>
      </c>
      <c r="D3358" s="55" t="s">
        <v>373</v>
      </c>
      <c r="E3358" s="74">
        <v>41772</v>
      </c>
      <c r="F3358" s="55" t="s">
        <v>344</v>
      </c>
      <c r="G3358" s="55" t="s">
        <v>360</v>
      </c>
      <c r="H3358" s="55" t="s">
        <v>360</v>
      </c>
      <c r="I3358" s="55" t="s">
        <v>360</v>
      </c>
      <c r="J3358" s="55" t="s">
        <v>360</v>
      </c>
      <c r="K3358" s="55" t="s">
        <v>360</v>
      </c>
      <c r="L3358" s="55" t="s">
        <v>360</v>
      </c>
      <c r="M3358" s="55" t="s">
        <v>378</v>
      </c>
      <c r="N3358" s="55" t="s">
        <v>170</v>
      </c>
      <c r="O3358" s="55" t="s">
        <v>233</v>
      </c>
      <c r="P3358" s="55" t="s">
        <v>2363</v>
      </c>
      <c r="Q3358" s="55" t="s">
        <v>350</v>
      </c>
      <c r="R3358" s="55">
        <v>3</v>
      </c>
      <c r="S3358" s="55"/>
      <c r="T3358" s="55" t="s">
        <v>1098</v>
      </c>
    </row>
    <row r="3359" spans="1:20" ht="13" x14ac:dyDescent="0.15">
      <c r="A3359" s="72" t="str">
        <f t="shared" si="52"/>
        <v>Ofsted Social Care Provider Webpage</v>
      </c>
      <c r="B3359" s="55" t="s">
        <v>6289</v>
      </c>
      <c r="D3359" s="55" t="s">
        <v>373</v>
      </c>
      <c r="E3359" s="74">
        <v>41885</v>
      </c>
      <c r="F3359" s="55" t="s">
        <v>344</v>
      </c>
      <c r="G3359" s="55" t="s">
        <v>360</v>
      </c>
      <c r="H3359" s="55" t="s">
        <v>360</v>
      </c>
      <c r="I3359" s="55" t="s">
        <v>360</v>
      </c>
      <c r="J3359" s="55" t="s">
        <v>360</v>
      </c>
      <c r="K3359" s="55" t="s">
        <v>360</v>
      </c>
      <c r="L3359" s="55" t="s">
        <v>360</v>
      </c>
      <c r="M3359" s="55" t="s">
        <v>138</v>
      </c>
      <c r="N3359" s="55" t="s">
        <v>138</v>
      </c>
      <c r="O3359" s="55" t="s">
        <v>183</v>
      </c>
      <c r="P3359" s="55" t="s">
        <v>510</v>
      </c>
      <c r="Q3359" s="55" t="s">
        <v>350</v>
      </c>
      <c r="R3359" s="55">
        <v>4</v>
      </c>
      <c r="S3359" s="55"/>
      <c r="T3359" s="55" t="s">
        <v>1504</v>
      </c>
    </row>
    <row r="3360" spans="1:20" ht="13" x14ac:dyDescent="0.15">
      <c r="A3360" s="72" t="str">
        <f t="shared" si="52"/>
        <v>Ofsted Social Care Provider Webpage</v>
      </c>
      <c r="B3360" s="55" t="s">
        <v>6290</v>
      </c>
      <c r="D3360" s="55" t="s">
        <v>373</v>
      </c>
      <c r="E3360" s="74">
        <v>41676</v>
      </c>
      <c r="F3360" s="55" t="s">
        <v>344</v>
      </c>
      <c r="G3360" s="55" t="s">
        <v>360</v>
      </c>
      <c r="H3360" s="55" t="s">
        <v>360</v>
      </c>
      <c r="I3360" s="55" t="s">
        <v>360</v>
      </c>
      <c r="J3360" s="55" t="s">
        <v>360</v>
      </c>
      <c r="K3360" s="55" t="s">
        <v>360</v>
      </c>
      <c r="L3360" s="55" t="s">
        <v>360</v>
      </c>
      <c r="M3360" s="55" t="s">
        <v>142</v>
      </c>
      <c r="N3360" s="55" t="s">
        <v>142</v>
      </c>
      <c r="O3360" s="55" t="s">
        <v>262</v>
      </c>
      <c r="P3360" s="55" t="s">
        <v>618</v>
      </c>
      <c r="Q3360" s="55" t="s">
        <v>350</v>
      </c>
      <c r="R3360" s="55">
        <v>3</v>
      </c>
      <c r="S3360" s="55"/>
      <c r="T3360" s="55" t="s">
        <v>489</v>
      </c>
    </row>
    <row r="3361" spans="1:20" ht="13" x14ac:dyDescent="0.15">
      <c r="A3361" s="72" t="str">
        <f t="shared" si="52"/>
        <v>Ofsted Social Care Provider Webpage</v>
      </c>
      <c r="B3361" s="55" t="s">
        <v>6291</v>
      </c>
      <c r="D3361" s="55" t="s">
        <v>373</v>
      </c>
      <c r="E3361" s="74">
        <v>41803</v>
      </c>
      <c r="F3361" s="55" t="s">
        <v>344</v>
      </c>
      <c r="G3361" s="55" t="s">
        <v>360</v>
      </c>
      <c r="H3361" s="55" t="s">
        <v>360</v>
      </c>
      <c r="I3361" s="55" t="s">
        <v>360</v>
      </c>
      <c r="J3361" s="55" t="s">
        <v>360</v>
      </c>
      <c r="K3361" s="55" t="s">
        <v>360</v>
      </c>
      <c r="L3361" s="55" t="s">
        <v>360</v>
      </c>
      <c r="M3361" s="55" t="s">
        <v>172</v>
      </c>
      <c r="N3361" s="55" t="s">
        <v>172</v>
      </c>
      <c r="O3361" s="55" t="s">
        <v>235</v>
      </c>
      <c r="P3361" s="55" t="s">
        <v>2338</v>
      </c>
      <c r="Q3361" s="55" t="s">
        <v>350</v>
      </c>
      <c r="R3361" s="55">
        <v>4</v>
      </c>
      <c r="S3361" s="55"/>
      <c r="T3361" s="55" t="s">
        <v>861</v>
      </c>
    </row>
    <row r="3362" spans="1:20" ht="13" x14ac:dyDescent="0.15">
      <c r="A3362" s="72" t="str">
        <f t="shared" si="52"/>
        <v>Ofsted Social Care Provider Webpage</v>
      </c>
      <c r="B3362" s="55" t="s">
        <v>6292</v>
      </c>
      <c r="C3362" s="55">
        <v>146972</v>
      </c>
      <c r="D3362" s="55" t="s">
        <v>398</v>
      </c>
      <c r="E3362" s="74">
        <v>41641</v>
      </c>
      <c r="F3362" s="55" t="s">
        <v>344</v>
      </c>
      <c r="G3362" s="55" t="s">
        <v>6293</v>
      </c>
      <c r="H3362" s="55" t="s">
        <v>6294</v>
      </c>
      <c r="I3362" s="55" t="s">
        <v>354</v>
      </c>
      <c r="J3362" s="55" t="s">
        <v>1165</v>
      </c>
      <c r="K3362" s="55" t="s">
        <v>255</v>
      </c>
      <c r="L3362" s="55" t="s">
        <v>6295</v>
      </c>
      <c r="M3362" s="55" t="s">
        <v>136</v>
      </c>
      <c r="N3362" s="55" t="s">
        <v>136</v>
      </c>
      <c r="O3362" s="55" t="s">
        <v>135</v>
      </c>
      <c r="P3362" s="55" t="s">
        <v>1165</v>
      </c>
      <c r="Q3362" s="55" t="s">
        <v>420</v>
      </c>
      <c r="R3362" s="55">
        <v>29</v>
      </c>
      <c r="S3362" s="55"/>
      <c r="T3362" s="55" t="s">
        <v>6293</v>
      </c>
    </row>
    <row r="3363" spans="1:20" ht="13" x14ac:dyDescent="0.15">
      <c r="A3363" s="72" t="str">
        <f t="shared" si="52"/>
        <v>Ofsted Social Care Provider Webpage</v>
      </c>
      <c r="B3363" s="55" t="s">
        <v>6296</v>
      </c>
      <c r="D3363" s="55" t="s">
        <v>373</v>
      </c>
      <c r="E3363" s="74">
        <v>41743</v>
      </c>
      <c r="F3363" s="55" t="s">
        <v>344</v>
      </c>
      <c r="G3363" s="55" t="s">
        <v>360</v>
      </c>
      <c r="H3363" s="55" t="s">
        <v>360</v>
      </c>
      <c r="I3363" s="55" t="s">
        <v>360</v>
      </c>
      <c r="J3363" s="55" t="s">
        <v>360</v>
      </c>
      <c r="K3363" s="55" t="s">
        <v>360</v>
      </c>
      <c r="L3363" s="55" t="s">
        <v>360</v>
      </c>
      <c r="M3363" s="55" t="s">
        <v>142</v>
      </c>
      <c r="N3363" s="55" t="s">
        <v>142</v>
      </c>
      <c r="O3363" s="55" t="s">
        <v>262</v>
      </c>
      <c r="P3363" s="55" t="s">
        <v>1859</v>
      </c>
      <c r="Q3363" s="55" t="s">
        <v>350</v>
      </c>
      <c r="R3363" s="55">
        <v>2</v>
      </c>
      <c r="S3363" s="55"/>
      <c r="T3363" s="55" t="s">
        <v>489</v>
      </c>
    </row>
    <row r="3364" spans="1:20" ht="13" x14ac:dyDescent="0.15">
      <c r="A3364" s="72" t="str">
        <f t="shared" si="52"/>
        <v>Ofsted Social Care Provider Webpage</v>
      </c>
      <c r="B3364" s="55" t="s">
        <v>6297</v>
      </c>
      <c r="D3364" s="55" t="s">
        <v>373</v>
      </c>
      <c r="E3364" s="74">
        <v>41767</v>
      </c>
      <c r="F3364" s="55" t="s">
        <v>344</v>
      </c>
      <c r="G3364" s="55" t="s">
        <v>360</v>
      </c>
      <c r="H3364" s="55" t="s">
        <v>360</v>
      </c>
      <c r="I3364" s="55" t="s">
        <v>360</v>
      </c>
      <c r="J3364" s="55" t="s">
        <v>360</v>
      </c>
      <c r="K3364" s="55" t="s">
        <v>360</v>
      </c>
      <c r="L3364" s="55" t="s">
        <v>360</v>
      </c>
      <c r="M3364" s="55" t="s">
        <v>144</v>
      </c>
      <c r="N3364" s="55" t="s">
        <v>144</v>
      </c>
      <c r="O3364" s="55" t="s">
        <v>209</v>
      </c>
      <c r="P3364" s="55" t="s">
        <v>597</v>
      </c>
      <c r="Q3364" s="55" t="s">
        <v>350</v>
      </c>
      <c r="R3364" s="55">
        <v>8</v>
      </c>
      <c r="S3364" s="55"/>
      <c r="T3364" s="55" t="s">
        <v>435</v>
      </c>
    </row>
    <row r="3365" spans="1:20" ht="13" x14ac:dyDescent="0.15">
      <c r="A3365" s="72" t="str">
        <f t="shared" si="52"/>
        <v>Ofsted Social Care Provider Webpage</v>
      </c>
      <c r="B3365" s="55" t="s">
        <v>6298</v>
      </c>
      <c r="D3365" s="55" t="s">
        <v>373</v>
      </c>
      <c r="E3365" s="74">
        <v>41719</v>
      </c>
      <c r="F3365" s="55" t="s">
        <v>344</v>
      </c>
      <c r="G3365" s="55" t="s">
        <v>360</v>
      </c>
      <c r="H3365" s="55" t="s">
        <v>360</v>
      </c>
      <c r="I3365" s="55" t="s">
        <v>360</v>
      </c>
      <c r="J3365" s="55" t="s">
        <v>360</v>
      </c>
      <c r="K3365" s="55" t="s">
        <v>360</v>
      </c>
      <c r="L3365" s="55" t="s">
        <v>360</v>
      </c>
      <c r="M3365" s="55" t="s">
        <v>144</v>
      </c>
      <c r="N3365" s="55" t="s">
        <v>144</v>
      </c>
      <c r="O3365" s="55" t="s">
        <v>250</v>
      </c>
      <c r="P3365" s="55" t="s">
        <v>759</v>
      </c>
      <c r="Q3365" s="55" t="s">
        <v>350</v>
      </c>
      <c r="R3365" s="55">
        <v>6</v>
      </c>
      <c r="S3365" s="55"/>
      <c r="T3365" s="55" t="s">
        <v>435</v>
      </c>
    </row>
    <row r="3366" spans="1:20" ht="13" x14ac:dyDescent="0.15">
      <c r="A3366" s="72" t="str">
        <f t="shared" si="52"/>
        <v>Ofsted Social Care Provider Webpage</v>
      </c>
      <c r="B3366" s="55" t="s">
        <v>6299</v>
      </c>
      <c r="D3366" s="55" t="s">
        <v>373</v>
      </c>
      <c r="E3366" s="74">
        <v>41767</v>
      </c>
      <c r="F3366" s="55" t="s">
        <v>344</v>
      </c>
      <c r="G3366" s="55" t="s">
        <v>360</v>
      </c>
      <c r="H3366" s="55" t="s">
        <v>360</v>
      </c>
      <c r="I3366" s="55" t="s">
        <v>360</v>
      </c>
      <c r="J3366" s="55" t="s">
        <v>360</v>
      </c>
      <c r="K3366" s="55" t="s">
        <v>360</v>
      </c>
      <c r="L3366" s="55" t="s">
        <v>360</v>
      </c>
      <c r="M3366" s="55" t="s">
        <v>144</v>
      </c>
      <c r="N3366" s="55" t="s">
        <v>144</v>
      </c>
      <c r="O3366" s="55" t="s">
        <v>209</v>
      </c>
      <c r="P3366" s="55" t="s">
        <v>364</v>
      </c>
      <c r="Q3366" s="55" t="s">
        <v>350</v>
      </c>
      <c r="R3366" s="55">
        <v>7</v>
      </c>
      <c r="S3366" s="55"/>
      <c r="T3366" s="55" t="s">
        <v>435</v>
      </c>
    </row>
    <row r="3367" spans="1:20" ht="13" x14ac:dyDescent="0.15">
      <c r="A3367" s="72" t="str">
        <f t="shared" si="52"/>
        <v>Ofsted Social Care Provider Webpage</v>
      </c>
      <c r="B3367" s="55" t="s">
        <v>6300</v>
      </c>
      <c r="D3367" s="55" t="s">
        <v>373</v>
      </c>
      <c r="E3367" s="74">
        <v>41767</v>
      </c>
      <c r="F3367" s="55" t="s">
        <v>344</v>
      </c>
      <c r="G3367" s="55" t="s">
        <v>360</v>
      </c>
      <c r="H3367" s="55" t="s">
        <v>360</v>
      </c>
      <c r="I3367" s="55" t="s">
        <v>360</v>
      </c>
      <c r="J3367" s="55" t="s">
        <v>360</v>
      </c>
      <c r="K3367" s="55" t="s">
        <v>360</v>
      </c>
      <c r="L3367" s="55" t="s">
        <v>360</v>
      </c>
      <c r="M3367" s="55" t="s">
        <v>378</v>
      </c>
      <c r="N3367" s="55" t="s">
        <v>134</v>
      </c>
      <c r="O3367" s="55" t="s">
        <v>232</v>
      </c>
      <c r="P3367" s="55" t="s">
        <v>496</v>
      </c>
      <c r="Q3367" s="55" t="s">
        <v>350</v>
      </c>
      <c r="R3367" s="55">
        <v>8</v>
      </c>
      <c r="S3367" s="55"/>
      <c r="T3367" s="55" t="s">
        <v>435</v>
      </c>
    </row>
    <row r="3368" spans="1:20" ht="13" x14ac:dyDescent="0.15">
      <c r="A3368" s="72" t="str">
        <f t="shared" si="52"/>
        <v>Ofsted Social Care Provider Webpage</v>
      </c>
      <c r="B3368" s="55" t="s">
        <v>6301</v>
      </c>
      <c r="D3368" s="55" t="s">
        <v>373</v>
      </c>
      <c r="E3368" s="74">
        <v>41787</v>
      </c>
      <c r="F3368" s="55" t="s">
        <v>344</v>
      </c>
      <c r="G3368" s="55" t="s">
        <v>360</v>
      </c>
      <c r="H3368" s="55" t="s">
        <v>360</v>
      </c>
      <c r="I3368" s="55" t="s">
        <v>360</v>
      </c>
      <c r="J3368" s="55" t="s">
        <v>360</v>
      </c>
      <c r="K3368" s="55" t="s">
        <v>360</v>
      </c>
      <c r="L3368" s="55" t="s">
        <v>360</v>
      </c>
      <c r="M3368" s="55" t="s">
        <v>378</v>
      </c>
      <c r="N3368" s="55" t="s">
        <v>170</v>
      </c>
      <c r="O3368" s="55" t="s">
        <v>178</v>
      </c>
      <c r="P3368" s="55" t="s">
        <v>1374</v>
      </c>
      <c r="Q3368" s="55" t="s">
        <v>350</v>
      </c>
      <c r="R3368" s="55">
        <v>7</v>
      </c>
      <c r="S3368" s="55"/>
      <c r="T3368" s="55" t="s">
        <v>435</v>
      </c>
    </row>
    <row r="3369" spans="1:20" ht="13" x14ac:dyDescent="0.15">
      <c r="A3369" s="72" t="str">
        <f t="shared" si="52"/>
        <v>Ofsted Social Care Provider Webpage</v>
      </c>
      <c r="B3369" s="55" t="s">
        <v>6302</v>
      </c>
      <c r="D3369" s="55" t="s">
        <v>373</v>
      </c>
      <c r="E3369" s="74">
        <v>41793</v>
      </c>
      <c r="F3369" s="55" t="s">
        <v>344</v>
      </c>
      <c r="G3369" s="55" t="s">
        <v>360</v>
      </c>
      <c r="H3369" s="55" t="s">
        <v>360</v>
      </c>
      <c r="I3369" s="55" t="s">
        <v>360</v>
      </c>
      <c r="J3369" s="55" t="s">
        <v>360</v>
      </c>
      <c r="K3369" s="55" t="s">
        <v>360</v>
      </c>
      <c r="L3369" s="55" t="s">
        <v>360</v>
      </c>
      <c r="M3369" s="55" t="s">
        <v>378</v>
      </c>
      <c r="N3369" s="55" t="s">
        <v>170</v>
      </c>
      <c r="O3369" s="55" t="s">
        <v>178</v>
      </c>
      <c r="P3369" s="55" t="s">
        <v>1374</v>
      </c>
      <c r="Q3369" s="55" t="s">
        <v>350</v>
      </c>
      <c r="R3369" s="55">
        <v>8</v>
      </c>
      <c r="S3369" s="55"/>
      <c r="T3369" s="55" t="s">
        <v>435</v>
      </c>
    </row>
    <row r="3370" spans="1:20" ht="13" x14ac:dyDescent="0.15">
      <c r="A3370" s="72" t="str">
        <f t="shared" si="52"/>
        <v>Ofsted Social Care Provider Webpage</v>
      </c>
      <c r="B3370" s="55" t="s">
        <v>6303</v>
      </c>
      <c r="D3370" s="55" t="s">
        <v>373</v>
      </c>
      <c r="E3370" s="74">
        <v>41767</v>
      </c>
      <c r="F3370" s="55" t="s">
        <v>344</v>
      </c>
      <c r="G3370" s="55" t="s">
        <v>360</v>
      </c>
      <c r="H3370" s="55" t="s">
        <v>360</v>
      </c>
      <c r="I3370" s="55" t="s">
        <v>360</v>
      </c>
      <c r="J3370" s="55" t="s">
        <v>360</v>
      </c>
      <c r="K3370" s="55" t="s">
        <v>360</v>
      </c>
      <c r="L3370" s="55" t="s">
        <v>360</v>
      </c>
      <c r="M3370" s="55" t="s">
        <v>144</v>
      </c>
      <c r="N3370" s="55" t="s">
        <v>144</v>
      </c>
      <c r="O3370" s="55" t="s">
        <v>209</v>
      </c>
      <c r="P3370" s="55" t="s">
        <v>364</v>
      </c>
      <c r="Q3370" s="55" t="s">
        <v>350</v>
      </c>
      <c r="R3370" s="55">
        <v>7</v>
      </c>
      <c r="S3370" s="55"/>
      <c r="T3370" s="55" t="s">
        <v>435</v>
      </c>
    </row>
    <row r="3371" spans="1:20" ht="13" x14ac:dyDescent="0.15">
      <c r="A3371" s="72" t="str">
        <f t="shared" si="52"/>
        <v>Ofsted Social Care Provider Webpage</v>
      </c>
      <c r="B3371" s="55" t="s">
        <v>6304</v>
      </c>
      <c r="D3371" s="55" t="s">
        <v>373</v>
      </c>
      <c r="E3371" s="74">
        <v>41991</v>
      </c>
      <c r="F3371" s="55" t="s">
        <v>344</v>
      </c>
      <c r="G3371" s="55" t="s">
        <v>360</v>
      </c>
      <c r="H3371" s="55" t="s">
        <v>360</v>
      </c>
      <c r="I3371" s="55" t="s">
        <v>360</v>
      </c>
      <c r="J3371" s="55" t="s">
        <v>360</v>
      </c>
      <c r="K3371" s="55" t="s">
        <v>360</v>
      </c>
      <c r="L3371" s="55" t="s">
        <v>360</v>
      </c>
      <c r="M3371" s="55" t="s">
        <v>144</v>
      </c>
      <c r="N3371" s="55" t="s">
        <v>144</v>
      </c>
      <c r="O3371" s="55" t="s">
        <v>209</v>
      </c>
      <c r="P3371" s="55" t="s">
        <v>561</v>
      </c>
      <c r="Q3371" s="55" t="s">
        <v>350</v>
      </c>
      <c r="R3371" s="55">
        <v>9</v>
      </c>
      <c r="S3371" s="55"/>
      <c r="T3371" s="55" t="s">
        <v>435</v>
      </c>
    </row>
    <row r="3372" spans="1:20" ht="13" x14ac:dyDescent="0.15">
      <c r="A3372" s="72" t="str">
        <f t="shared" si="52"/>
        <v>Ofsted Social Care Provider Webpage</v>
      </c>
      <c r="B3372" s="55" t="s">
        <v>6305</v>
      </c>
      <c r="D3372" s="55" t="s">
        <v>373</v>
      </c>
      <c r="E3372" s="74">
        <v>41820</v>
      </c>
      <c r="F3372" s="55" t="s">
        <v>344</v>
      </c>
      <c r="G3372" s="55" t="s">
        <v>360</v>
      </c>
      <c r="H3372" s="55" t="s">
        <v>360</v>
      </c>
      <c r="I3372" s="55" t="s">
        <v>360</v>
      </c>
      <c r="J3372" s="55" t="s">
        <v>360</v>
      </c>
      <c r="K3372" s="55" t="s">
        <v>360</v>
      </c>
      <c r="L3372" s="55" t="s">
        <v>360</v>
      </c>
      <c r="M3372" s="55" t="s">
        <v>144</v>
      </c>
      <c r="N3372" s="55" t="s">
        <v>144</v>
      </c>
      <c r="O3372" s="55" t="s">
        <v>209</v>
      </c>
      <c r="P3372" s="55" t="s">
        <v>364</v>
      </c>
      <c r="Q3372" s="55" t="s">
        <v>350</v>
      </c>
      <c r="R3372" s="55">
        <v>7</v>
      </c>
      <c r="S3372" s="55"/>
      <c r="T3372" s="55" t="s">
        <v>435</v>
      </c>
    </row>
    <row r="3373" spans="1:20" ht="13" x14ac:dyDescent="0.15">
      <c r="A3373" s="72" t="str">
        <f t="shared" si="52"/>
        <v>Ofsted Social Care Provider Webpage</v>
      </c>
      <c r="B3373" s="55" t="s">
        <v>6306</v>
      </c>
      <c r="D3373" s="55" t="s">
        <v>373</v>
      </c>
      <c r="E3373" s="74">
        <v>41698</v>
      </c>
      <c r="F3373" s="55" t="s">
        <v>344</v>
      </c>
      <c r="G3373" s="55" t="s">
        <v>360</v>
      </c>
      <c r="H3373" s="55" t="s">
        <v>360</v>
      </c>
      <c r="I3373" s="55" t="s">
        <v>360</v>
      </c>
      <c r="J3373" s="55" t="s">
        <v>360</v>
      </c>
      <c r="K3373" s="55" t="s">
        <v>360</v>
      </c>
      <c r="L3373" s="55" t="s">
        <v>360</v>
      </c>
      <c r="M3373" s="55" t="s">
        <v>144</v>
      </c>
      <c r="N3373" s="55" t="s">
        <v>144</v>
      </c>
      <c r="O3373" s="55" t="s">
        <v>162</v>
      </c>
      <c r="P3373" s="55" t="s">
        <v>516</v>
      </c>
      <c r="Q3373" s="55" t="s">
        <v>350</v>
      </c>
      <c r="R3373" s="55">
        <v>3</v>
      </c>
      <c r="S3373" s="55"/>
      <c r="T3373" s="55" t="s">
        <v>1588</v>
      </c>
    </row>
    <row r="3374" spans="1:20" ht="13" x14ac:dyDescent="0.15">
      <c r="A3374" s="72" t="str">
        <f t="shared" si="52"/>
        <v>Ofsted Social Care Provider Webpage</v>
      </c>
      <c r="B3374" s="55" t="s">
        <v>6307</v>
      </c>
      <c r="D3374" s="55" t="s">
        <v>373</v>
      </c>
      <c r="E3374" s="74">
        <v>42075</v>
      </c>
      <c r="F3374" s="55" t="s">
        <v>344</v>
      </c>
      <c r="G3374" s="55" t="s">
        <v>360</v>
      </c>
      <c r="H3374" s="55" t="s">
        <v>360</v>
      </c>
      <c r="I3374" s="55" t="s">
        <v>360</v>
      </c>
      <c r="J3374" s="55" t="s">
        <v>360</v>
      </c>
      <c r="K3374" s="55" t="s">
        <v>360</v>
      </c>
      <c r="L3374" s="55" t="s">
        <v>360</v>
      </c>
      <c r="M3374" s="55" t="s">
        <v>144</v>
      </c>
      <c r="N3374" s="55" t="s">
        <v>144</v>
      </c>
      <c r="O3374" s="55" t="s">
        <v>168</v>
      </c>
      <c r="P3374" s="55" t="s">
        <v>913</v>
      </c>
      <c r="Q3374" s="55" t="s">
        <v>350</v>
      </c>
      <c r="R3374" s="55">
        <v>3</v>
      </c>
      <c r="S3374" s="55"/>
      <c r="T3374" s="55" t="s">
        <v>915</v>
      </c>
    </row>
    <row r="3375" spans="1:20" ht="13" x14ac:dyDescent="0.15">
      <c r="A3375" s="72" t="str">
        <f t="shared" si="52"/>
        <v>Ofsted Social Care Provider Webpage</v>
      </c>
      <c r="B3375" s="55" t="s">
        <v>6308</v>
      </c>
      <c r="D3375" s="55" t="s">
        <v>373</v>
      </c>
      <c r="E3375" s="74">
        <v>41712</v>
      </c>
      <c r="F3375" s="55" t="s">
        <v>344</v>
      </c>
      <c r="G3375" s="55" t="s">
        <v>360</v>
      </c>
      <c r="H3375" s="55" t="s">
        <v>360</v>
      </c>
      <c r="I3375" s="55" t="s">
        <v>360</v>
      </c>
      <c r="J3375" s="55" t="s">
        <v>360</v>
      </c>
      <c r="K3375" s="55" t="s">
        <v>360</v>
      </c>
      <c r="L3375" s="55" t="s">
        <v>360</v>
      </c>
      <c r="M3375" s="55" t="s">
        <v>142</v>
      </c>
      <c r="N3375" s="55" t="s">
        <v>142</v>
      </c>
      <c r="O3375" s="55" t="s">
        <v>252</v>
      </c>
      <c r="P3375" s="55" t="s">
        <v>503</v>
      </c>
      <c r="Q3375" s="55" t="s">
        <v>350</v>
      </c>
      <c r="R3375" s="55">
        <v>4</v>
      </c>
      <c r="S3375" s="55"/>
      <c r="T3375" s="55" t="s">
        <v>385</v>
      </c>
    </row>
    <row r="3376" spans="1:20" ht="13" x14ac:dyDescent="0.15">
      <c r="A3376" s="72" t="str">
        <f t="shared" si="52"/>
        <v>Ofsted Social Care Provider Webpage</v>
      </c>
      <c r="B3376" s="55" t="s">
        <v>6309</v>
      </c>
      <c r="D3376" s="55" t="s">
        <v>373</v>
      </c>
      <c r="E3376" s="74">
        <v>41753</v>
      </c>
      <c r="F3376" s="55" t="s">
        <v>344</v>
      </c>
      <c r="G3376" s="55" t="s">
        <v>360</v>
      </c>
      <c r="H3376" s="55" t="s">
        <v>360</v>
      </c>
      <c r="I3376" s="55" t="s">
        <v>360</v>
      </c>
      <c r="J3376" s="55" t="s">
        <v>360</v>
      </c>
      <c r="K3376" s="55" t="s">
        <v>360</v>
      </c>
      <c r="L3376" s="55" t="s">
        <v>360</v>
      </c>
      <c r="M3376" s="55" t="s">
        <v>142</v>
      </c>
      <c r="N3376" s="55" t="s">
        <v>142</v>
      </c>
      <c r="O3376" s="55" t="s">
        <v>252</v>
      </c>
      <c r="P3376" s="55" t="s">
        <v>388</v>
      </c>
      <c r="Q3376" s="55" t="s">
        <v>350</v>
      </c>
      <c r="R3376" s="55">
        <v>4</v>
      </c>
      <c r="S3376" s="55"/>
      <c r="T3376" s="55" t="s">
        <v>385</v>
      </c>
    </row>
    <row r="3377" spans="1:20" ht="13" x14ac:dyDescent="0.15">
      <c r="A3377" s="72" t="str">
        <f t="shared" si="52"/>
        <v>Ofsted Social Care Provider Webpage</v>
      </c>
      <c r="B3377" s="55" t="s">
        <v>6310</v>
      </c>
      <c r="D3377" s="55" t="s">
        <v>373</v>
      </c>
      <c r="E3377" s="74">
        <v>41820</v>
      </c>
      <c r="F3377" s="55" t="s">
        <v>344</v>
      </c>
      <c r="G3377" s="55" t="s">
        <v>360</v>
      </c>
      <c r="H3377" s="55" t="s">
        <v>360</v>
      </c>
      <c r="I3377" s="55" t="s">
        <v>360</v>
      </c>
      <c r="J3377" s="55" t="s">
        <v>360</v>
      </c>
      <c r="K3377" s="55" t="s">
        <v>360</v>
      </c>
      <c r="L3377" s="55" t="s">
        <v>360</v>
      </c>
      <c r="M3377" s="55" t="s">
        <v>142</v>
      </c>
      <c r="N3377" s="55" t="s">
        <v>142</v>
      </c>
      <c r="O3377" s="55" t="s">
        <v>282</v>
      </c>
      <c r="P3377" s="55" t="s">
        <v>3266</v>
      </c>
      <c r="Q3377" s="55" t="s">
        <v>350</v>
      </c>
      <c r="R3377" s="55">
        <v>5</v>
      </c>
      <c r="S3377" s="55"/>
      <c r="T3377" s="55" t="s">
        <v>385</v>
      </c>
    </row>
    <row r="3378" spans="1:20" ht="13" x14ac:dyDescent="0.15">
      <c r="A3378" s="72" t="str">
        <f t="shared" si="52"/>
        <v>Ofsted Social Care Provider Webpage</v>
      </c>
      <c r="B3378" s="55" t="s">
        <v>6311</v>
      </c>
      <c r="D3378" s="55" t="s">
        <v>373</v>
      </c>
      <c r="E3378" s="74">
        <v>41696</v>
      </c>
      <c r="F3378" s="55" t="s">
        <v>344</v>
      </c>
      <c r="G3378" s="55" t="s">
        <v>360</v>
      </c>
      <c r="H3378" s="55" t="s">
        <v>360</v>
      </c>
      <c r="I3378" s="55" t="s">
        <v>360</v>
      </c>
      <c r="J3378" s="55" t="s">
        <v>360</v>
      </c>
      <c r="K3378" s="55" t="s">
        <v>360</v>
      </c>
      <c r="L3378" s="55" t="s">
        <v>360</v>
      </c>
      <c r="M3378" s="55" t="s">
        <v>138</v>
      </c>
      <c r="N3378" s="55" t="s">
        <v>138</v>
      </c>
      <c r="O3378" s="55" t="s">
        <v>137</v>
      </c>
      <c r="P3378" s="55" t="s">
        <v>643</v>
      </c>
      <c r="Q3378" s="55" t="s">
        <v>350</v>
      </c>
      <c r="R3378" s="55">
        <v>4</v>
      </c>
      <c r="S3378" s="55"/>
      <c r="T3378" s="55" t="s">
        <v>385</v>
      </c>
    </row>
    <row r="3379" spans="1:20" ht="13" x14ac:dyDescent="0.15">
      <c r="A3379" s="72" t="str">
        <f t="shared" si="52"/>
        <v>Ofsted Social Care Provider Webpage</v>
      </c>
      <c r="B3379" s="55" t="s">
        <v>6312</v>
      </c>
      <c r="D3379" s="55" t="s">
        <v>373</v>
      </c>
      <c r="E3379" s="74">
        <v>41707</v>
      </c>
      <c r="F3379" s="55" t="s">
        <v>344</v>
      </c>
      <c r="G3379" s="55" t="s">
        <v>360</v>
      </c>
      <c r="H3379" s="55" t="s">
        <v>360</v>
      </c>
      <c r="I3379" s="55" t="s">
        <v>360</v>
      </c>
      <c r="J3379" s="55" t="s">
        <v>360</v>
      </c>
      <c r="K3379" s="55" t="s">
        <v>360</v>
      </c>
      <c r="L3379" s="55" t="s">
        <v>360</v>
      </c>
      <c r="M3379" s="55" t="s">
        <v>142</v>
      </c>
      <c r="N3379" s="55" t="s">
        <v>142</v>
      </c>
      <c r="O3379" s="55" t="s">
        <v>252</v>
      </c>
      <c r="P3379" s="55" t="s">
        <v>386</v>
      </c>
      <c r="Q3379" s="55" t="s">
        <v>350</v>
      </c>
      <c r="R3379" s="55">
        <v>3</v>
      </c>
      <c r="S3379" s="55"/>
      <c r="T3379" s="55" t="s">
        <v>385</v>
      </c>
    </row>
    <row r="3380" spans="1:20" ht="13" x14ac:dyDescent="0.15">
      <c r="A3380" s="72" t="str">
        <f t="shared" si="52"/>
        <v>Ofsted Social Care Provider Webpage</v>
      </c>
      <c r="B3380" s="55" t="s">
        <v>6313</v>
      </c>
      <c r="D3380" s="55" t="s">
        <v>373</v>
      </c>
      <c r="E3380" s="74">
        <v>41707</v>
      </c>
      <c r="F3380" s="55" t="s">
        <v>344</v>
      </c>
      <c r="G3380" s="55" t="s">
        <v>360</v>
      </c>
      <c r="H3380" s="55" t="s">
        <v>360</v>
      </c>
      <c r="I3380" s="55" t="s">
        <v>360</v>
      </c>
      <c r="J3380" s="55" t="s">
        <v>360</v>
      </c>
      <c r="K3380" s="55" t="s">
        <v>360</v>
      </c>
      <c r="L3380" s="55" t="s">
        <v>360</v>
      </c>
      <c r="M3380" s="55" t="s">
        <v>142</v>
      </c>
      <c r="N3380" s="55" t="s">
        <v>142</v>
      </c>
      <c r="O3380" s="55" t="s">
        <v>252</v>
      </c>
      <c r="P3380" s="55" t="s">
        <v>388</v>
      </c>
      <c r="Q3380" s="55" t="s">
        <v>350</v>
      </c>
      <c r="R3380" s="55">
        <v>5</v>
      </c>
      <c r="S3380" s="55"/>
      <c r="T3380" s="55" t="s">
        <v>385</v>
      </c>
    </row>
    <row r="3381" spans="1:20" ht="13" x14ac:dyDescent="0.15">
      <c r="A3381" s="72" t="str">
        <f t="shared" si="52"/>
        <v>Ofsted Social Care Provider Webpage</v>
      </c>
      <c r="B3381" s="55" t="s">
        <v>6314</v>
      </c>
      <c r="D3381" s="55" t="s">
        <v>373</v>
      </c>
      <c r="E3381" s="74">
        <v>41704</v>
      </c>
      <c r="F3381" s="55" t="s">
        <v>344</v>
      </c>
      <c r="G3381" s="55" t="s">
        <v>360</v>
      </c>
      <c r="H3381" s="55" t="s">
        <v>360</v>
      </c>
      <c r="I3381" s="55" t="s">
        <v>360</v>
      </c>
      <c r="J3381" s="55" t="s">
        <v>360</v>
      </c>
      <c r="K3381" s="55" t="s">
        <v>360</v>
      </c>
      <c r="L3381" s="55" t="s">
        <v>360</v>
      </c>
      <c r="M3381" s="55" t="s">
        <v>142</v>
      </c>
      <c r="N3381" s="55" t="s">
        <v>142</v>
      </c>
      <c r="O3381" s="55" t="s">
        <v>252</v>
      </c>
      <c r="P3381" s="55" t="s">
        <v>388</v>
      </c>
      <c r="Q3381" s="55" t="s">
        <v>350</v>
      </c>
      <c r="R3381" s="55">
        <v>5</v>
      </c>
      <c r="S3381" s="55"/>
      <c r="T3381" s="55" t="s">
        <v>385</v>
      </c>
    </row>
    <row r="3382" spans="1:20" ht="13" x14ac:dyDescent="0.15">
      <c r="A3382" s="72" t="str">
        <f t="shared" si="52"/>
        <v>Ofsted Social Care Provider Webpage</v>
      </c>
      <c r="B3382" s="55" t="s">
        <v>6315</v>
      </c>
      <c r="D3382" s="55" t="s">
        <v>373</v>
      </c>
      <c r="E3382" s="74">
        <v>41698</v>
      </c>
      <c r="F3382" s="55" t="s">
        <v>344</v>
      </c>
      <c r="G3382" s="55" t="s">
        <v>360</v>
      </c>
      <c r="H3382" s="55" t="s">
        <v>360</v>
      </c>
      <c r="I3382" s="55" t="s">
        <v>360</v>
      </c>
      <c r="J3382" s="55" t="s">
        <v>360</v>
      </c>
      <c r="K3382" s="55" t="s">
        <v>360</v>
      </c>
      <c r="L3382" s="55" t="s">
        <v>360</v>
      </c>
      <c r="M3382" s="55" t="s">
        <v>142</v>
      </c>
      <c r="N3382" s="55" t="s">
        <v>142</v>
      </c>
      <c r="O3382" s="55" t="s">
        <v>278</v>
      </c>
      <c r="P3382" s="55" t="s">
        <v>611</v>
      </c>
      <c r="Q3382" s="55" t="s">
        <v>350</v>
      </c>
      <c r="R3382" s="55">
        <v>5</v>
      </c>
      <c r="S3382" s="55"/>
      <c r="T3382" s="55" t="s">
        <v>385</v>
      </c>
    </row>
    <row r="3383" spans="1:20" ht="13" x14ac:dyDescent="0.15">
      <c r="A3383" s="72" t="str">
        <f t="shared" si="52"/>
        <v>Ofsted Social Care Provider Webpage</v>
      </c>
      <c r="B3383" s="55" t="s">
        <v>6316</v>
      </c>
      <c r="D3383" s="55" t="s">
        <v>373</v>
      </c>
      <c r="E3383" s="74">
        <v>41707</v>
      </c>
      <c r="F3383" s="55" t="s">
        <v>344</v>
      </c>
      <c r="G3383" s="55" t="s">
        <v>360</v>
      </c>
      <c r="H3383" s="55" t="s">
        <v>360</v>
      </c>
      <c r="I3383" s="55" t="s">
        <v>360</v>
      </c>
      <c r="J3383" s="55" t="s">
        <v>360</v>
      </c>
      <c r="K3383" s="55" t="s">
        <v>360</v>
      </c>
      <c r="L3383" s="55" t="s">
        <v>360</v>
      </c>
      <c r="M3383" s="55" t="s">
        <v>142</v>
      </c>
      <c r="N3383" s="55" t="s">
        <v>142</v>
      </c>
      <c r="O3383" s="55" t="s">
        <v>252</v>
      </c>
      <c r="P3383" s="55" t="s">
        <v>386</v>
      </c>
      <c r="Q3383" s="55" t="s">
        <v>350</v>
      </c>
      <c r="R3383" s="55">
        <v>5</v>
      </c>
      <c r="S3383" s="55"/>
      <c r="T3383" s="55" t="s">
        <v>385</v>
      </c>
    </row>
    <row r="3384" spans="1:20" ht="13" x14ac:dyDescent="0.15">
      <c r="A3384" s="72" t="str">
        <f t="shared" si="52"/>
        <v>Ofsted Social Care Provider Webpage</v>
      </c>
      <c r="B3384" s="55" t="s">
        <v>6317</v>
      </c>
      <c r="D3384" s="55" t="s">
        <v>373</v>
      </c>
      <c r="E3384" s="74">
        <v>41768</v>
      </c>
      <c r="F3384" s="55" t="s">
        <v>344</v>
      </c>
      <c r="G3384" s="55" t="s">
        <v>360</v>
      </c>
      <c r="H3384" s="55" t="s">
        <v>360</v>
      </c>
      <c r="I3384" s="55" t="s">
        <v>360</v>
      </c>
      <c r="J3384" s="55" t="s">
        <v>360</v>
      </c>
      <c r="K3384" s="55" t="s">
        <v>360</v>
      </c>
      <c r="L3384" s="55" t="s">
        <v>360</v>
      </c>
      <c r="M3384" s="55" t="s">
        <v>172</v>
      </c>
      <c r="N3384" s="55" t="s">
        <v>172</v>
      </c>
      <c r="O3384" s="55" t="s">
        <v>212</v>
      </c>
      <c r="P3384" s="55" t="s">
        <v>842</v>
      </c>
      <c r="Q3384" s="55" t="s">
        <v>350</v>
      </c>
      <c r="R3384" s="55">
        <v>5</v>
      </c>
      <c r="S3384" s="55"/>
      <c r="T3384" s="55" t="s">
        <v>385</v>
      </c>
    </row>
    <row r="3385" spans="1:20" ht="13" x14ac:dyDescent="0.15">
      <c r="A3385" s="72" t="str">
        <f t="shared" si="52"/>
        <v>Ofsted Social Care Provider Webpage</v>
      </c>
      <c r="B3385" s="55" t="s">
        <v>6318</v>
      </c>
      <c r="D3385" s="55" t="s">
        <v>373</v>
      </c>
      <c r="E3385" s="74">
        <v>42019</v>
      </c>
      <c r="F3385" s="55" t="s">
        <v>344</v>
      </c>
      <c r="G3385" s="55" t="s">
        <v>360</v>
      </c>
      <c r="H3385" s="55" t="s">
        <v>360</v>
      </c>
      <c r="I3385" s="55" t="s">
        <v>360</v>
      </c>
      <c r="J3385" s="55" t="s">
        <v>360</v>
      </c>
      <c r="K3385" s="55" t="s">
        <v>360</v>
      </c>
      <c r="L3385" s="55" t="s">
        <v>360</v>
      </c>
      <c r="M3385" s="55" t="s">
        <v>172</v>
      </c>
      <c r="N3385" s="55" t="s">
        <v>172</v>
      </c>
      <c r="O3385" s="55" t="s">
        <v>173</v>
      </c>
      <c r="P3385" s="55" t="s">
        <v>1069</v>
      </c>
      <c r="Q3385" s="55" t="s">
        <v>350</v>
      </c>
      <c r="R3385" s="55">
        <v>5</v>
      </c>
      <c r="S3385" s="55"/>
      <c r="T3385" s="55" t="s">
        <v>385</v>
      </c>
    </row>
    <row r="3386" spans="1:20" ht="13" x14ac:dyDescent="0.15">
      <c r="A3386" s="72" t="str">
        <f t="shared" si="52"/>
        <v>Ofsted Social Care Provider Webpage</v>
      </c>
      <c r="B3386" s="55" t="s">
        <v>6319</v>
      </c>
      <c r="D3386" s="55" t="s">
        <v>373</v>
      </c>
      <c r="E3386" s="74">
        <v>41698</v>
      </c>
      <c r="F3386" s="55" t="s">
        <v>344</v>
      </c>
      <c r="G3386" s="55" t="s">
        <v>360</v>
      </c>
      <c r="H3386" s="55" t="s">
        <v>360</v>
      </c>
      <c r="I3386" s="55" t="s">
        <v>360</v>
      </c>
      <c r="J3386" s="55" t="s">
        <v>360</v>
      </c>
      <c r="K3386" s="55" t="s">
        <v>360</v>
      </c>
      <c r="L3386" s="55" t="s">
        <v>360</v>
      </c>
      <c r="M3386" s="55" t="s">
        <v>142</v>
      </c>
      <c r="N3386" s="55" t="s">
        <v>142</v>
      </c>
      <c r="O3386" s="55" t="s">
        <v>252</v>
      </c>
      <c r="P3386" s="55" t="s">
        <v>388</v>
      </c>
      <c r="Q3386" s="55" t="s">
        <v>350</v>
      </c>
      <c r="R3386" s="55">
        <v>5</v>
      </c>
      <c r="S3386" s="55"/>
      <c r="T3386" s="55" t="s">
        <v>385</v>
      </c>
    </row>
    <row r="3387" spans="1:20" ht="13" x14ac:dyDescent="0.15">
      <c r="A3387" s="72" t="str">
        <f t="shared" si="52"/>
        <v>Ofsted Social Care Provider Webpage</v>
      </c>
      <c r="B3387" s="55" t="s">
        <v>6320</v>
      </c>
      <c r="D3387" s="55" t="s">
        <v>373</v>
      </c>
      <c r="E3387" s="74">
        <v>41767</v>
      </c>
      <c r="F3387" s="55" t="s">
        <v>344</v>
      </c>
      <c r="G3387" s="55" t="s">
        <v>360</v>
      </c>
      <c r="H3387" s="55" t="s">
        <v>360</v>
      </c>
      <c r="I3387" s="55" t="s">
        <v>360</v>
      </c>
      <c r="J3387" s="55" t="s">
        <v>360</v>
      </c>
      <c r="K3387" s="55" t="s">
        <v>360</v>
      </c>
      <c r="L3387" s="55" t="s">
        <v>360</v>
      </c>
      <c r="M3387" s="55" t="s">
        <v>378</v>
      </c>
      <c r="N3387" s="55" t="s">
        <v>170</v>
      </c>
      <c r="O3387" s="55" t="s">
        <v>184</v>
      </c>
      <c r="P3387" s="55" t="s">
        <v>184</v>
      </c>
      <c r="Q3387" s="55" t="s">
        <v>350</v>
      </c>
      <c r="R3387" s="55">
        <v>3</v>
      </c>
      <c r="S3387" s="55"/>
      <c r="T3387" s="55" t="s">
        <v>385</v>
      </c>
    </row>
    <row r="3388" spans="1:20" ht="13" x14ac:dyDescent="0.15">
      <c r="A3388" s="72" t="str">
        <f t="shared" si="52"/>
        <v>Ofsted Social Care Provider Webpage</v>
      </c>
      <c r="B3388" s="55" t="s">
        <v>6321</v>
      </c>
      <c r="D3388" s="55" t="s">
        <v>373</v>
      </c>
      <c r="E3388" s="74">
        <v>41701</v>
      </c>
      <c r="F3388" s="55" t="s">
        <v>344</v>
      </c>
      <c r="G3388" s="55" t="s">
        <v>360</v>
      </c>
      <c r="H3388" s="55" t="s">
        <v>360</v>
      </c>
      <c r="I3388" s="55" t="s">
        <v>360</v>
      </c>
      <c r="J3388" s="55" t="s">
        <v>360</v>
      </c>
      <c r="K3388" s="55" t="s">
        <v>360</v>
      </c>
      <c r="L3388" s="55" t="s">
        <v>360</v>
      </c>
      <c r="M3388" s="55" t="s">
        <v>142</v>
      </c>
      <c r="N3388" s="55" t="s">
        <v>142</v>
      </c>
      <c r="O3388" s="55" t="s">
        <v>252</v>
      </c>
      <c r="P3388" s="55" t="s">
        <v>386</v>
      </c>
      <c r="Q3388" s="55" t="s">
        <v>350</v>
      </c>
      <c r="R3388" s="55">
        <v>5</v>
      </c>
      <c r="S3388" s="55"/>
      <c r="T3388" s="55" t="s">
        <v>385</v>
      </c>
    </row>
    <row r="3389" spans="1:20" ht="13" x14ac:dyDescent="0.15">
      <c r="A3389" s="72" t="str">
        <f t="shared" si="52"/>
        <v>Ofsted Social Care Provider Webpage</v>
      </c>
      <c r="B3389" s="55" t="s">
        <v>6322</v>
      </c>
      <c r="D3389" s="55" t="s">
        <v>468</v>
      </c>
      <c r="E3389" s="74">
        <v>41718</v>
      </c>
      <c r="F3389" s="55" t="s">
        <v>344</v>
      </c>
      <c r="G3389" s="55" t="s">
        <v>6323</v>
      </c>
      <c r="H3389" s="55" t="s">
        <v>5502</v>
      </c>
      <c r="I3389" s="55" t="s">
        <v>5503</v>
      </c>
      <c r="J3389" s="55" t="s">
        <v>4030</v>
      </c>
      <c r="K3389" s="55" t="s">
        <v>293</v>
      </c>
      <c r="L3389" s="55" t="s">
        <v>4031</v>
      </c>
      <c r="M3389" s="55" t="s">
        <v>142</v>
      </c>
      <c r="N3389" s="55" t="s">
        <v>142</v>
      </c>
      <c r="O3389" s="55" t="s">
        <v>293</v>
      </c>
      <c r="P3389" s="55" t="s">
        <v>1641</v>
      </c>
      <c r="Q3389" s="55" t="s">
        <v>362</v>
      </c>
      <c r="R3389" s="55"/>
      <c r="S3389" s="55"/>
      <c r="T3389" s="55" t="s">
        <v>6324</v>
      </c>
    </row>
    <row r="3390" spans="1:20" ht="13" x14ac:dyDescent="0.15">
      <c r="A3390" s="72" t="str">
        <f t="shared" si="52"/>
        <v>Ofsted Social Care Provider Webpage</v>
      </c>
      <c r="B3390" s="55" t="s">
        <v>6325</v>
      </c>
      <c r="D3390" s="55" t="s">
        <v>373</v>
      </c>
      <c r="E3390" s="74">
        <v>41771</v>
      </c>
      <c r="F3390" s="55" t="s">
        <v>344</v>
      </c>
      <c r="G3390" s="55" t="s">
        <v>360</v>
      </c>
      <c r="H3390" s="55" t="s">
        <v>360</v>
      </c>
      <c r="I3390" s="55" t="s">
        <v>360</v>
      </c>
      <c r="J3390" s="55" t="s">
        <v>360</v>
      </c>
      <c r="K3390" s="55" t="s">
        <v>360</v>
      </c>
      <c r="L3390" s="55" t="s">
        <v>360</v>
      </c>
      <c r="M3390" s="55" t="s">
        <v>142</v>
      </c>
      <c r="N3390" s="55" t="s">
        <v>142</v>
      </c>
      <c r="O3390" s="55" t="s">
        <v>195</v>
      </c>
      <c r="P3390" s="55" t="s">
        <v>518</v>
      </c>
      <c r="Q3390" s="55" t="s">
        <v>350</v>
      </c>
      <c r="R3390" s="55">
        <v>7</v>
      </c>
      <c r="S3390" s="55"/>
      <c r="T3390" s="55" t="s">
        <v>450</v>
      </c>
    </row>
    <row r="3391" spans="1:20" ht="13" x14ac:dyDescent="0.15">
      <c r="A3391" s="72" t="str">
        <f t="shared" si="52"/>
        <v>Ofsted Social Care Provider Webpage</v>
      </c>
      <c r="B3391" s="55" t="s">
        <v>6326</v>
      </c>
      <c r="D3391" s="55" t="s">
        <v>373</v>
      </c>
      <c r="E3391" s="74">
        <v>41793</v>
      </c>
      <c r="F3391" s="55" t="s">
        <v>344</v>
      </c>
      <c r="G3391" s="55" t="s">
        <v>360</v>
      </c>
      <c r="H3391" s="55" t="s">
        <v>360</v>
      </c>
      <c r="I3391" s="55" t="s">
        <v>360</v>
      </c>
      <c r="J3391" s="55" t="s">
        <v>360</v>
      </c>
      <c r="K3391" s="55" t="s">
        <v>360</v>
      </c>
      <c r="L3391" s="55" t="s">
        <v>360</v>
      </c>
      <c r="M3391" s="55" t="s">
        <v>378</v>
      </c>
      <c r="N3391" s="55" t="s">
        <v>170</v>
      </c>
      <c r="O3391" s="55" t="s">
        <v>243</v>
      </c>
      <c r="P3391" s="55" t="s">
        <v>1222</v>
      </c>
      <c r="Q3391" s="55" t="s">
        <v>350</v>
      </c>
      <c r="R3391" s="55">
        <v>5</v>
      </c>
      <c r="S3391" s="55"/>
      <c r="T3391" s="55" t="s">
        <v>5426</v>
      </c>
    </row>
    <row r="3392" spans="1:20" ht="13" x14ac:dyDescent="0.15">
      <c r="A3392" s="72" t="str">
        <f t="shared" si="52"/>
        <v>Ofsted Social Care Provider Webpage</v>
      </c>
      <c r="B3392" s="55" t="s">
        <v>6327</v>
      </c>
      <c r="D3392" s="55" t="s">
        <v>373</v>
      </c>
      <c r="E3392" s="74">
        <v>41765</v>
      </c>
      <c r="F3392" s="55" t="s">
        <v>344</v>
      </c>
      <c r="G3392" s="55" t="s">
        <v>360</v>
      </c>
      <c r="H3392" s="55" t="s">
        <v>360</v>
      </c>
      <c r="I3392" s="55" t="s">
        <v>360</v>
      </c>
      <c r="J3392" s="55" t="s">
        <v>360</v>
      </c>
      <c r="K3392" s="55" t="s">
        <v>360</v>
      </c>
      <c r="L3392" s="55" t="s">
        <v>360</v>
      </c>
      <c r="M3392" s="55" t="s">
        <v>138</v>
      </c>
      <c r="N3392" s="55" t="s">
        <v>138</v>
      </c>
      <c r="O3392" s="55" t="s">
        <v>159</v>
      </c>
      <c r="P3392" s="55" t="s">
        <v>1025</v>
      </c>
      <c r="Q3392" s="55" t="s">
        <v>350</v>
      </c>
      <c r="R3392" s="55">
        <v>5</v>
      </c>
      <c r="S3392" s="55"/>
      <c r="T3392" s="55" t="s">
        <v>2811</v>
      </c>
    </row>
    <row r="3393" spans="1:20" ht="13" x14ac:dyDescent="0.15">
      <c r="A3393" s="72" t="str">
        <f t="shared" si="52"/>
        <v>Ofsted Social Care Provider Webpage</v>
      </c>
      <c r="B3393" s="55" t="s">
        <v>6328</v>
      </c>
      <c r="D3393" s="55" t="s">
        <v>373</v>
      </c>
      <c r="E3393" s="74">
        <v>42068</v>
      </c>
      <c r="F3393" s="55" t="s">
        <v>344</v>
      </c>
      <c r="G3393" s="55" t="s">
        <v>360</v>
      </c>
      <c r="H3393" s="55" t="s">
        <v>360</v>
      </c>
      <c r="I3393" s="55" t="s">
        <v>360</v>
      </c>
      <c r="J3393" s="55" t="s">
        <v>360</v>
      </c>
      <c r="K3393" s="55" t="s">
        <v>360</v>
      </c>
      <c r="L3393" s="55" t="s">
        <v>360</v>
      </c>
      <c r="M3393" s="55" t="s">
        <v>378</v>
      </c>
      <c r="N3393" s="55" t="s">
        <v>170</v>
      </c>
      <c r="O3393" s="55" t="s">
        <v>178</v>
      </c>
      <c r="P3393" s="55" t="s">
        <v>1450</v>
      </c>
      <c r="Q3393" s="55" t="s">
        <v>350</v>
      </c>
      <c r="R3393" s="55">
        <v>3</v>
      </c>
      <c r="S3393" s="55"/>
      <c r="T3393" s="55" t="s">
        <v>5244</v>
      </c>
    </row>
    <row r="3394" spans="1:20" ht="13" x14ac:dyDescent="0.15">
      <c r="A3394" s="72" t="str">
        <f t="shared" si="52"/>
        <v>Ofsted Social Care Provider Webpage</v>
      </c>
      <c r="B3394" s="55" t="s">
        <v>6329</v>
      </c>
      <c r="D3394" s="55" t="s">
        <v>373</v>
      </c>
      <c r="E3394" s="74">
        <v>41787</v>
      </c>
      <c r="F3394" s="55" t="s">
        <v>344</v>
      </c>
      <c r="G3394" s="55" t="s">
        <v>360</v>
      </c>
      <c r="H3394" s="55" t="s">
        <v>360</v>
      </c>
      <c r="I3394" s="55" t="s">
        <v>360</v>
      </c>
      <c r="J3394" s="55" t="s">
        <v>360</v>
      </c>
      <c r="K3394" s="55" t="s">
        <v>360</v>
      </c>
      <c r="L3394" s="55" t="s">
        <v>360</v>
      </c>
      <c r="M3394" s="55" t="s">
        <v>144</v>
      </c>
      <c r="N3394" s="55" t="s">
        <v>144</v>
      </c>
      <c r="O3394" s="55" t="s">
        <v>209</v>
      </c>
      <c r="P3394" s="55" t="s">
        <v>650</v>
      </c>
      <c r="Q3394" s="55" t="s">
        <v>350</v>
      </c>
      <c r="R3394" s="55">
        <v>4</v>
      </c>
      <c r="S3394" s="55"/>
      <c r="T3394" s="55" t="s">
        <v>1599</v>
      </c>
    </row>
    <row r="3395" spans="1:20" ht="13" x14ac:dyDescent="0.15">
      <c r="A3395" s="72" t="str">
        <f t="shared" si="52"/>
        <v>Ofsted Social Care Provider Webpage</v>
      </c>
      <c r="B3395" s="55" t="s">
        <v>6330</v>
      </c>
      <c r="D3395" s="55" t="s">
        <v>389</v>
      </c>
      <c r="E3395" s="74">
        <v>41816</v>
      </c>
      <c r="F3395" s="55" t="s">
        <v>344</v>
      </c>
      <c r="G3395" s="55" t="s">
        <v>6331</v>
      </c>
      <c r="H3395" s="55" t="s">
        <v>6332</v>
      </c>
      <c r="I3395" s="55" t="s">
        <v>6333</v>
      </c>
      <c r="J3395" s="55" t="s">
        <v>6334</v>
      </c>
      <c r="L3395" s="55" t="s">
        <v>6335</v>
      </c>
      <c r="M3395" s="55" t="s">
        <v>142</v>
      </c>
      <c r="N3395" s="55" t="s">
        <v>142</v>
      </c>
      <c r="O3395" s="55" t="s">
        <v>249</v>
      </c>
      <c r="P3395" s="55" t="s">
        <v>1149</v>
      </c>
      <c r="Q3395" s="55" t="s">
        <v>350</v>
      </c>
      <c r="R3395" s="55"/>
      <c r="S3395" s="55"/>
      <c r="T3395" s="55" t="s">
        <v>6336</v>
      </c>
    </row>
    <row r="3396" spans="1:20" ht="13" x14ac:dyDescent="0.15">
      <c r="A3396" s="72" t="str">
        <f t="shared" si="52"/>
        <v>Ofsted Social Care Provider Webpage</v>
      </c>
      <c r="B3396" s="55" t="s">
        <v>6337</v>
      </c>
      <c r="D3396" s="55" t="s">
        <v>389</v>
      </c>
      <c r="E3396" s="74">
        <v>41697</v>
      </c>
      <c r="F3396" s="55" t="s">
        <v>344</v>
      </c>
      <c r="G3396" s="55" t="s">
        <v>6338</v>
      </c>
      <c r="H3396" s="55" t="s">
        <v>2003</v>
      </c>
      <c r="I3396" s="55" t="s">
        <v>6339</v>
      </c>
      <c r="J3396" s="55" t="s">
        <v>6340</v>
      </c>
      <c r="K3396" s="55" t="s">
        <v>183</v>
      </c>
      <c r="L3396" s="55" t="s">
        <v>2005</v>
      </c>
      <c r="M3396" s="55" t="s">
        <v>138</v>
      </c>
      <c r="N3396" s="55" t="s">
        <v>138</v>
      </c>
      <c r="O3396" s="55" t="s">
        <v>183</v>
      </c>
      <c r="P3396" s="55" t="s">
        <v>813</v>
      </c>
      <c r="Q3396" s="55" t="s">
        <v>350</v>
      </c>
      <c r="R3396" s="55"/>
      <c r="S3396" s="55"/>
      <c r="T3396" s="55" t="s">
        <v>6341</v>
      </c>
    </row>
    <row r="3397" spans="1:20" ht="13" x14ac:dyDescent="0.15">
      <c r="A3397" s="72" t="str">
        <f t="shared" ref="A3397:A3460" si="53">HYPERLINK(_xlfn.CONCAT("http://reports.ofsted.gov.uk/inspection-reports/find-inspection-report/provider/CARE/",B3397),"Ofsted Social Care Provider Webpage")</f>
        <v>Ofsted Social Care Provider Webpage</v>
      </c>
      <c r="B3397" s="55" t="s">
        <v>6342</v>
      </c>
      <c r="D3397" s="55" t="s">
        <v>373</v>
      </c>
      <c r="E3397" s="74">
        <v>41810</v>
      </c>
      <c r="F3397" s="55" t="s">
        <v>344</v>
      </c>
      <c r="G3397" s="55" t="s">
        <v>360</v>
      </c>
      <c r="H3397" s="55" t="s">
        <v>360</v>
      </c>
      <c r="I3397" s="55" t="s">
        <v>360</v>
      </c>
      <c r="J3397" s="55" t="s">
        <v>360</v>
      </c>
      <c r="K3397" s="55" t="s">
        <v>360</v>
      </c>
      <c r="L3397" s="55" t="s">
        <v>360</v>
      </c>
      <c r="M3397" s="55" t="s">
        <v>172</v>
      </c>
      <c r="N3397" s="55" t="s">
        <v>172</v>
      </c>
      <c r="O3397" s="55" t="s">
        <v>173</v>
      </c>
      <c r="P3397" s="55" t="s">
        <v>2307</v>
      </c>
      <c r="Q3397" s="55" t="s">
        <v>350</v>
      </c>
      <c r="R3397" s="55">
        <v>7</v>
      </c>
      <c r="S3397" s="55"/>
      <c r="T3397" s="55" t="s">
        <v>450</v>
      </c>
    </row>
    <row r="3398" spans="1:20" ht="13" x14ac:dyDescent="0.15">
      <c r="A3398" s="72" t="str">
        <f t="shared" si="53"/>
        <v>Ofsted Social Care Provider Webpage</v>
      </c>
      <c r="B3398" s="55" t="s">
        <v>6343</v>
      </c>
      <c r="D3398" s="55" t="s">
        <v>389</v>
      </c>
      <c r="E3398" s="74">
        <v>41759</v>
      </c>
      <c r="F3398" s="55" t="s">
        <v>344</v>
      </c>
      <c r="G3398" s="55" t="s">
        <v>6344</v>
      </c>
      <c r="H3398" s="55" t="s">
        <v>6345</v>
      </c>
      <c r="I3398" s="55" t="s">
        <v>6346</v>
      </c>
      <c r="J3398" s="55" t="s">
        <v>224</v>
      </c>
      <c r="K3398" s="55" t="s">
        <v>1768</v>
      </c>
      <c r="L3398" s="55" t="s">
        <v>6347</v>
      </c>
      <c r="M3398" s="55" t="s">
        <v>138</v>
      </c>
      <c r="N3398" s="55" t="s">
        <v>138</v>
      </c>
      <c r="O3398" s="55" t="s">
        <v>224</v>
      </c>
      <c r="P3398" s="55" t="s">
        <v>2176</v>
      </c>
      <c r="Q3398" s="55" t="s">
        <v>350</v>
      </c>
      <c r="R3398" s="55"/>
      <c r="S3398" s="55"/>
      <c r="T3398" s="55" t="s">
        <v>6348</v>
      </c>
    </row>
    <row r="3399" spans="1:20" ht="13" x14ac:dyDescent="0.15">
      <c r="A3399" s="72" t="str">
        <f t="shared" si="53"/>
        <v>Ofsted Social Care Provider Webpage</v>
      </c>
      <c r="B3399" s="55" t="s">
        <v>6349</v>
      </c>
      <c r="D3399" s="55" t="s">
        <v>373</v>
      </c>
      <c r="E3399" s="74">
        <v>41814</v>
      </c>
      <c r="F3399" s="55" t="s">
        <v>344</v>
      </c>
      <c r="G3399" s="55" t="s">
        <v>360</v>
      </c>
      <c r="H3399" s="55" t="s">
        <v>360</v>
      </c>
      <c r="I3399" s="55" t="s">
        <v>360</v>
      </c>
      <c r="J3399" s="55" t="s">
        <v>360</v>
      </c>
      <c r="K3399" s="55" t="s">
        <v>360</v>
      </c>
      <c r="L3399" s="55" t="s">
        <v>360</v>
      </c>
      <c r="M3399" s="55" t="s">
        <v>378</v>
      </c>
      <c r="N3399" s="55" t="s">
        <v>170</v>
      </c>
      <c r="O3399" s="55" t="s">
        <v>264</v>
      </c>
      <c r="P3399" s="55" t="s">
        <v>437</v>
      </c>
      <c r="Q3399" s="55" t="s">
        <v>350</v>
      </c>
      <c r="R3399" s="55">
        <v>5</v>
      </c>
      <c r="S3399" s="55"/>
      <c r="T3399" s="55" t="s">
        <v>438</v>
      </c>
    </row>
    <row r="3400" spans="1:20" ht="13" x14ac:dyDescent="0.15">
      <c r="A3400" s="72" t="str">
        <f t="shared" si="53"/>
        <v>Ofsted Social Care Provider Webpage</v>
      </c>
      <c r="B3400" s="55" t="s">
        <v>6350</v>
      </c>
      <c r="D3400" s="55" t="s">
        <v>373</v>
      </c>
      <c r="E3400" s="74">
        <v>41815</v>
      </c>
      <c r="F3400" s="55" t="s">
        <v>344</v>
      </c>
      <c r="G3400" s="55" t="s">
        <v>360</v>
      </c>
      <c r="H3400" s="55" t="s">
        <v>360</v>
      </c>
      <c r="I3400" s="55" t="s">
        <v>360</v>
      </c>
      <c r="J3400" s="55" t="s">
        <v>360</v>
      </c>
      <c r="K3400" s="55" t="s">
        <v>360</v>
      </c>
      <c r="L3400" s="55" t="s">
        <v>360</v>
      </c>
      <c r="M3400" s="55" t="s">
        <v>136</v>
      </c>
      <c r="N3400" s="55" t="s">
        <v>136</v>
      </c>
      <c r="O3400" s="55" t="s">
        <v>255</v>
      </c>
      <c r="P3400" s="55" t="s">
        <v>1447</v>
      </c>
      <c r="Q3400" s="55" t="s">
        <v>350</v>
      </c>
      <c r="R3400" s="55">
        <v>3</v>
      </c>
      <c r="S3400" s="55"/>
      <c r="T3400" s="55" t="s">
        <v>5169</v>
      </c>
    </row>
    <row r="3401" spans="1:20" ht="13" x14ac:dyDescent="0.15">
      <c r="A3401" s="72" t="str">
        <f t="shared" si="53"/>
        <v>Ofsted Social Care Provider Webpage</v>
      </c>
      <c r="B3401" s="55" t="s">
        <v>6351</v>
      </c>
      <c r="D3401" s="55" t="s">
        <v>373</v>
      </c>
      <c r="E3401" s="74">
        <v>41780</v>
      </c>
      <c r="F3401" s="55" t="s">
        <v>344</v>
      </c>
      <c r="G3401" s="55" t="s">
        <v>360</v>
      </c>
      <c r="H3401" s="55" t="s">
        <v>360</v>
      </c>
      <c r="I3401" s="55" t="s">
        <v>360</v>
      </c>
      <c r="J3401" s="55" t="s">
        <v>360</v>
      </c>
      <c r="K3401" s="55" t="s">
        <v>360</v>
      </c>
      <c r="L3401" s="55" t="s">
        <v>360</v>
      </c>
      <c r="M3401" s="55" t="s">
        <v>129</v>
      </c>
      <c r="N3401" s="55" t="s">
        <v>129</v>
      </c>
      <c r="O3401" s="55" t="s">
        <v>202</v>
      </c>
      <c r="P3401" s="55" t="s">
        <v>5749</v>
      </c>
      <c r="Q3401" s="55" t="s">
        <v>380</v>
      </c>
      <c r="R3401" s="55">
        <v>7</v>
      </c>
      <c r="S3401" s="55"/>
      <c r="T3401" s="55" t="s">
        <v>6352</v>
      </c>
    </row>
    <row r="3402" spans="1:20" ht="13" x14ac:dyDescent="0.15">
      <c r="A3402" s="72" t="str">
        <f t="shared" si="53"/>
        <v>Ofsted Social Care Provider Webpage</v>
      </c>
      <c r="B3402" s="55" t="s">
        <v>6353</v>
      </c>
      <c r="D3402" s="55" t="s">
        <v>373</v>
      </c>
      <c r="E3402" s="74">
        <v>41771</v>
      </c>
      <c r="F3402" s="55" t="s">
        <v>344</v>
      </c>
      <c r="G3402" s="55" t="s">
        <v>360</v>
      </c>
      <c r="H3402" s="55" t="s">
        <v>360</v>
      </c>
      <c r="I3402" s="55" t="s">
        <v>360</v>
      </c>
      <c r="J3402" s="55" t="s">
        <v>360</v>
      </c>
      <c r="K3402" s="55" t="s">
        <v>360</v>
      </c>
      <c r="L3402" s="55" t="s">
        <v>360</v>
      </c>
      <c r="M3402" s="55" t="s">
        <v>142</v>
      </c>
      <c r="N3402" s="55" t="s">
        <v>142</v>
      </c>
      <c r="O3402" s="55" t="s">
        <v>262</v>
      </c>
      <c r="P3402" s="55" t="s">
        <v>618</v>
      </c>
      <c r="Q3402" s="55" t="s">
        <v>350</v>
      </c>
      <c r="R3402" s="55">
        <v>3</v>
      </c>
      <c r="S3402" s="55"/>
      <c r="T3402" s="55" t="s">
        <v>1446</v>
      </c>
    </row>
    <row r="3403" spans="1:20" ht="13" x14ac:dyDescent="0.15">
      <c r="A3403" s="72" t="str">
        <f t="shared" si="53"/>
        <v>Ofsted Social Care Provider Webpage</v>
      </c>
      <c r="B3403" s="55" t="s">
        <v>6354</v>
      </c>
      <c r="D3403" s="55" t="s">
        <v>373</v>
      </c>
      <c r="E3403" s="74">
        <v>41892</v>
      </c>
      <c r="F3403" s="55" t="s">
        <v>344</v>
      </c>
      <c r="G3403" s="55" t="s">
        <v>360</v>
      </c>
      <c r="H3403" s="55" t="s">
        <v>360</v>
      </c>
      <c r="I3403" s="55" t="s">
        <v>360</v>
      </c>
      <c r="J3403" s="55" t="s">
        <v>360</v>
      </c>
      <c r="K3403" s="55" t="s">
        <v>360</v>
      </c>
      <c r="L3403" s="55" t="s">
        <v>360</v>
      </c>
      <c r="M3403" s="55" t="s">
        <v>378</v>
      </c>
      <c r="N3403" s="55" t="s">
        <v>134</v>
      </c>
      <c r="O3403" s="55" t="s">
        <v>225</v>
      </c>
      <c r="P3403" s="55" t="s">
        <v>1667</v>
      </c>
      <c r="Q3403" s="55" t="s">
        <v>380</v>
      </c>
      <c r="R3403" s="55">
        <v>3</v>
      </c>
      <c r="S3403" s="55"/>
      <c r="T3403" s="55" t="s">
        <v>1668</v>
      </c>
    </row>
    <row r="3404" spans="1:20" ht="13" x14ac:dyDescent="0.15">
      <c r="A3404" s="72" t="str">
        <f t="shared" si="53"/>
        <v>Ofsted Social Care Provider Webpage</v>
      </c>
      <c r="B3404" s="55" t="s">
        <v>6355</v>
      </c>
      <c r="D3404" s="55" t="s">
        <v>389</v>
      </c>
      <c r="E3404" s="74">
        <v>41807</v>
      </c>
      <c r="F3404" s="55" t="s">
        <v>344</v>
      </c>
      <c r="G3404" s="55" t="s">
        <v>3255</v>
      </c>
      <c r="H3404" s="55" t="s">
        <v>2231</v>
      </c>
      <c r="I3404" s="55" t="s">
        <v>6356</v>
      </c>
      <c r="J3404" s="55" t="s">
        <v>6357</v>
      </c>
      <c r="L3404" s="55" t="s">
        <v>6358</v>
      </c>
      <c r="M3404" s="55" t="s">
        <v>150</v>
      </c>
      <c r="N3404" s="55" t="s">
        <v>150</v>
      </c>
      <c r="O3404" s="55" t="s">
        <v>190</v>
      </c>
      <c r="P3404" s="55" t="s">
        <v>889</v>
      </c>
      <c r="Q3404" s="55" t="s">
        <v>362</v>
      </c>
      <c r="R3404" s="55"/>
      <c r="S3404" s="55"/>
      <c r="T3404" s="55" t="s">
        <v>3255</v>
      </c>
    </row>
    <row r="3405" spans="1:20" ht="13" x14ac:dyDescent="0.15">
      <c r="A3405" s="72" t="str">
        <f t="shared" si="53"/>
        <v>Ofsted Social Care Provider Webpage</v>
      </c>
      <c r="B3405" s="55" t="s">
        <v>6359</v>
      </c>
      <c r="D3405" s="55" t="s">
        <v>389</v>
      </c>
      <c r="E3405" s="74">
        <v>41852</v>
      </c>
      <c r="F3405" s="55" t="s">
        <v>344</v>
      </c>
      <c r="G3405" s="55" t="s">
        <v>6360</v>
      </c>
      <c r="H3405" s="55" t="s">
        <v>6361</v>
      </c>
      <c r="I3405" s="55" t="s">
        <v>6362</v>
      </c>
      <c r="J3405" s="55" t="s">
        <v>3430</v>
      </c>
      <c r="K3405" s="55" t="s">
        <v>203</v>
      </c>
      <c r="L3405" s="55" t="s">
        <v>6363</v>
      </c>
      <c r="M3405" s="55" t="s">
        <v>150</v>
      </c>
      <c r="N3405" s="55" t="s">
        <v>150</v>
      </c>
      <c r="O3405" s="55" t="s">
        <v>203</v>
      </c>
      <c r="P3405" s="55" t="s">
        <v>1263</v>
      </c>
      <c r="Q3405" s="55" t="s">
        <v>350</v>
      </c>
      <c r="R3405" s="55"/>
      <c r="S3405" s="55"/>
      <c r="T3405" s="55" t="s">
        <v>6364</v>
      </c>
    </row>
    <row r="3406" spans="1:20" ht="13" x14ac:dyDescent="0.15">
      <c r="A3406" s="72" t="str">
        <f t="shared" si="53"/>
        <v>Ofsted Social Care Provider Webpage</v>
      </c>
      <c r="B3406" s="55" t="s">
        <v>6365</v>
      </c>
      <c r="D3406" s="55" t="s">
        <v>373</v>
      </c>
      <c r="E3406" s="74">
        <v>41837</v>
      </c>
      <c r="F3406" s="55" t="s">
        <v>344</v>
      </c>
      <c r="G3406" s="55" t="s">
        <v>360</v>
      </c>
      <c r="H3406" s="55" t="s">
        <v>360</v>
      </c>
      <c r="I3406" s="55" t="s">
        <v>360</v>
      </c>
      <c r="J3406" s="55" t="s">
        <v>360</v>
      </c>
      <c r="K3406" s="55" t="s">
        <v>360</v>
      </c>
      <c r="L3406" s="55" t="s">
        <v>360</v>
      </c>
      <c r="M3406" s="55" t="s">
        <v>144</v>
      </c>
      <c r="N3406" s="55" t="s">
        <v>144</v>
      </c>
      <c r="O3406" s="55" t="s">
        <v>287</v>
      </c>
      <c r="P3406" s="55" t="s">
        <v>1103</v>
      </c>
      <c r="Q3406" s="55" t="s">
        <v>350</v>
      </c>
      <c r="R3406" s="55">
        <v>3</v>
      </c>
      <c r="S3406" s="55"/>
      <c r="T3406" s="55" t="s">
        <v>1446</v>
      </c>
    </row>
    <row r="3407" spans="1:20" ht="13" x14ac:dyDescent="0.15">
      <c r="A3407" s="72" t="str">
        <f t="shared" si="53"/>
        <v>Ofsted Social Care Provider Webpage</v>
      </c>
      <c r="B3407" s="55" t="s">
        <v>6366</v>
      </c>
      <c r="D3407" s="55" t="s">
        <v>373</v>
      </c>
      <c r="E3407" s="74">
        <v>41838</v>
      </c>
      <c r="F3407" s="55" t="s">
        <v>344</v>
      </c>
      <c r="G3407" s="55" t="s">
        <v>360</v>
      </c>
      <c r="H3407" s="55" t="s">
        <v>360</v>
      </c>
      <c r="I3407" s="55" t="s">
        <v>360</v>
      </c>
      <c r="J3407" s="55" t="s">
        <v>360</v>
      </c>
      <c r="K3407" s="55" t="s">
        <v>360</v>
      </c>
      <c r="L3407" s="55" t="s">
        <v>360</v>
      </c>
      <c r="M3407" s="55" t="s">
        <v>144</v>
      </c>
      <c r="N3407" s="55" t="s">
        <v>144</v>
      </c>
      <c r="O3407" s="55" t="s">
        <v>287</v>
      </c>
      <c r="P3407" s="55" t="s">
        <v>815</v>
      </c>
      <c r="Q3407" s="55" t="s">
        <v>350</v>
      </c>
      <c r="R3407" s="55">
        <v>2</v>
      </c>
      <c r="S3407" s="55"/>
      <c r="T3407" s="55" t="s">
        <v>1446</v>
      </c>
    </row>
    <row r="3408" spans="1:20" ht="13" x14ac:dyDescent="0.15">
      <c r="A3408" s="72" t="str">
        <f t="shared" si="53"/>
        <v>Ofsted Social Care Provider Webpage</v>
      </c>
      <c r="B3408" s="55" t="s">
        <v>6367</v>
      </c>
      <c r="D3408" s="55" t="s">
        <v>389</v>
      </c>
      <c r="E3408" s="74">
        <v>41813</v>
      </c>
      <c r="F3408" s="55" t="s">
        <v>344</v>
      </c>
      <c r="G3408" s="55" t="s">
        <v>3255</v>
      </c>
      <c r="H3408" s="55" t="s">
        <v>6368</v>
      </c>
      <c r="I3408" s="55" t="s">
        <v>6369</v>
      </c>
      <c r="J3408" s="55" t="s">
        <v>277</v>
      </c>
      <c r="L3408" s="55" t="s">
        <v>6370</v>
      </c>
      <c r="M3408" s="55" t="s">
        <v>378</v>
      </c>
      <c r="N3408" s="55" t="s">
        <v>134</v>
      </c>
      <c r="O3408" s="55" t="s">
        <v>277</v>
      </c>
      <c r="P3408" s="55" t="s">
        <v>1034</v>
      </c>
      <c r="Q3408" s="55" t="s">
        <v>362</v>
      </c>
      <c r="R3408" s="55"/>
      <c r="S3408" s="55"/>
      <c r="T3408" s="55" t="s">
        <v>3255</v>
      </c>
    </row>
    <row r="3409" spans="1:20" ht="13" x14ac:dyDescent="0.15">
      <c r="A3409" s="72" t="str">
        <f t="shared" si="53"/>
        <v>Ofsted Social Care Provider Webpage</v>
      </c>
      <c r="B3409" s="55" t="s">
        <v>6371</v>
      </c>
      <c r="D3409" s="55" t="s">
        <v>373</v>
      </c>
      <c r="E3409" s="74">
        <v>41796</v>
      </c>
      <c r="F3409" s="55" t="s">
        <v>344</v>
      </c>
      <c r="G3409" s="55" t="s">
        <v>360</v>
      </c>
      <c r="H3409" s="55" t="s">
        <v>360</v>
      </c>
      <c r="I3409" s="55" t="s">
        <v>360</v>
      </c>
      <c r="J3409" s="55" t="s">
        <v>360</v>
      </c>
      <c r="K3409" s="55" t="s">
        <v>360</v>
      </c>
      <c r="L3409" s="55" t="s">
        <v>360</v>
      </c>
      <c r="M3409" s="55" t="s">
        <v>138</v>
      </c>
      <c r="N3409" s="55" t="s">
        <v>138</v>
      </c>
      <c r="O3409" s="55" t="s">
        <v>183</v>
      </c>
      <c r="P3409" s="55" t="s">
        <v>510</v>
      </c>
      <c r="Q3409" s="55" t="s">
        <v>350</v>
      </c>
      <c r="R3409" s="55">
        <v>4</v>
      </c>
      <c r="S3409" s="55"/>
      <c r="T3409" s="55" t="s">
        <v>1623</v>
      </c>
    </row>
    <row r="3410" spans="1:20" ht="13" x14ac:dyDescent="0.15">
      <c r="A3410" s="72" t="str">
        <f t="shared" si="53"/>
        <v>Ofsted Social Care Provider Webpage</v>
      </c>
      <c r="B3410" s="55" t="s">
        <v>6372</v>
      </c>
      <c r="D3410" s="55" t="s">
        <v>373</v>
      </c>
      <c r="E3410" s="74">
        <v>41793</v>
      </c>
      <c r="F3410" s="55" t="s">
        <v>344</v>
      </c>
      <c r="G3410" s="55" t="s">
        <v>360</v>
      </c>
      <c r="H3410" s="55" t="s">
        <v>360</v>
      </c>
      <c r="I3410" s="55" t="s">
        <v>360</v>
      </c>
      <c r="J3410" s="55" t="s">
        <v>360</v>
      </c>
      <c r="K3410" s="55" t="s">
        <v>360</v>
      </c>
      <c r="L3410" s="55" t="s">
        <v>360</v>
      </c>
      <c r="M3410" s="55" t="s">
        <v>144</v>
      </c>
      <c r="N3410" s="55" t="s">
        <v>144</v>
      </c>
      <c r="O3410" s="55" t="s">
        <v>245</v>
      </c>
      <c r="P3410" s="55" t="s">
        <v>1796</v>
      </c>
      <c r="Q3410" s="55" t="s">
        <v>350</v>
      </c>
      <c r="R3410" s="55">
        <v>3</v>
      </c>
      <c r="S3410" s="55"/>
      <c r="T3410" s="55" t="s">
        <v>613</v>
      </c>
    </row>
    <row r="3411" spans="1:20" ht="13" x14ac:dyDescent="0.15">
      <c r="A3411" s="72" t="str">
        <f t="shared" si="53"/>
        <v>Ofsted Social Care Provider Webpage</v>
      </c>
      <c r="B3411" s="55" t="s">
        <v>6373</v>
      </c>
      <c r="D3411" s="55" t="s">
        <v>373</v>
      </c>
      <c r="E3411" s="74">
        <v>41831</v>
      </c>
      <c r="F3411" s="55" t="s">
        <v>344</v>
      </c>
      <c r="G3411" s="55" t="s">
        <v>360</v>
      </c>
      <c r="H3411" s="55" t="s">
        <v>360</v>
      </c>
      <c r="I3411" s="55" t="s">
        <v>360</v>
      </c>
      <c r="J3411" s="55" t="s">
        <v>360</v>
      </c>
      <c r="K3411" s="55" t="s">
        <v>360</v>
      </c>
      <c r="L3411" s="55" t="s">
        <v>360</v>
      </c>
      <c r="M3411" s="55" t="s">
        <v>142</v>
      </c>
      <c r="N3411" s="55" t="s">
        <v>142</v>
      </c>
      <c r="O3411" s="55" t="s">
        <v>262</v>
      </c>
      <c r="P3411" s="55" t="s">
        <v>1859</v>
      </c>
      <c r="Q3411" s="55" t="s">
        <v>350</v>
      </c>
      <c r="R3411" s="55">
        <v>4</v>
      </c>
      <c r="S3411" s="55"/>
      <c r="T3411" s="55" t="s">
        <v>6374</v>
      </c>
    </row>
    <row r="3412" spans="1:20" ht="13" x14ac:dyDescent="0.15">
      <c r="A3412" s="72" t="str">
        <f t="shared" si="53"/>
        <v>Ofsted Social Care Provider Webpage</v>
      </c>
      <c r="B3412" s="55" t="s">
        <v>6375</v>
      </c>
      <c r="D3412" s="55" t="s">
        <v>373</v>
      </c>
      <c r="E3412" s="74">
        <v>41814</v>
      </c>
      <c r="F3412" s="55" t="s">
        <v>344</v>
      </c>
      <c r="G3412" s="55" t="s">
        <v>360</v>
      </c>
      <c r="H3412" s="55" t="s">
        <v>360</v>
      </c>
      <c r="I3412" s="55" t="s">
        <v>360</v>
      </c>
      <c r="J3412" s="55" t="s">
        <v>360</v>
      </c>
      <c r="K3412" s="55" t="s">
        <v>360</v>
      </c>
      <c r="L3412" s="55" t="s">
        <v>360</v>
      </c>
      <c r="M3412" s="55" t="s">
        <v>142</v>
      </c>
      <c r="N3412" s="55" t="s">
        <v>142</v>
      </c>
      <c r="O3412" s="55" t="s">
        <v>293</v>
      </c>
      <c r="P3412" s="55" t="s">
        <v>984</v>
      </c>
      <c r="Q3412" s="55" t="s">
        <v>350</v>
      </c>
      <c r="R3412" s="55">
        <v>4</v>
      </c>
      <c r="S3412" s="55"/>
      <c r="T3412" s="55" t="s">
        <v>385</v>
      </c>
    </row>
    <row r="3413" spans="1:20" ht="13" x14ac:dyDescent="0.15">
      <c r="A3413" s="72" t="str">
        <f t="shared" si="53"/>
        <v>Ofsted Social Care Provider Webpage</v>
      </c>
      <c r="B3413" s="55" t="s">
        <v>6376</v>
      </c>
      <c r="D3413" s="55" t="s">
        <v>373</v>
      </c>
      <c r="E3413" s="74">
        <v>42068</v>
      </c>
      <c r="F3413" s="55" t="s">
        <v>344</v>
      </c>
      <c r="G3413" s="55" t="s">
        <v>360</v>
      </c>
      <c r="H3413" s="55" t="s">
        <v>360</v>
      </c>
      <c r="I3413" s="55" t="s">
        <v>360</v>
      </c>
      <c r="J3413" s="55" t="s">
        <v>360</v>
      </c>
      <c r="K3413" s="55" t="s">
        <v>360</v>
      </c>
      <c r="L3413" s="55" t="s">
        <v>360</v>
      </c>
      <c r="M3413" s="55" t="s">
        <v>136</v>
      </c>
      <c r="N3413" s="55" t="s">
        <v>136</v>
      </c>
      <c r="O3413" s="55" t="s">
        <v>255</v>
      </c>
      <c r="P3413" s="55" t="s">
        <v>757</v>
      </c>
      <c r="Q3413" s="55" t="s">
        <v>350</v>
      </c>
      <c r="R3413" s="55">
        <v>4</v>
      </c>
      <c r="S3413" s="55"/>
      <c r="T3413" s="55" t="s">
        <v>858</v>
      </c>
    </row>
    <row r="3414" spans="1:20" ht="13" x14ac:dyDescent="0.15">
      <c r="A3414" s="72" t="str">
        <f t="shared" si="53"/>
        <v>Ofsted Social Care Provider Webpage</v>
      </c>
      <c r="B3414" s="55" t="s">
        <v>6377</v>
      </c>
      <c r="D3414" s="55" t="s">
        <v>373</v>
      </c>
      <c r="E3414" s="74">
        <v>41799</v>
      </c>
      <c r="F3414" s="55" t="s">
        <v>344</v>
      </c>
      <c r="G3414" s="55" t="s">
        <v>360</v>
      </c>
      <c r="H3414" s="55" t="s">
        <v>360</v>
      </c>
      <c r="I3414" s="55" t="s">
        <v>360</v>
      </c>
      <c r="J3414" s="55" t="s">
        <v>360</v>
      </c>
      <c r="K3414" s="55" t="s">
        <v>360</v>
      </c>
      <c r="L3414" s="55" t="s">
        <v>360</v>
      </c>
      <c r="M3414" s="55" t="s">
        <v>150</v>
      </c>
      <c r="N3414" s="55" t="s">
        <v>150</v>
      </c>
      <c r="O3414" s="55" t="s">
        <v>190</v>
      </c>
      <c r="P3414" s="55" t="s">
        <v>1523</v>
      </c>
      <c r="Q3414" s="55" t="s">
        <v>350</v>
      </c>
      <c r="R3414" s="55">
        <v>4</v>
      </c>
      <c r="S3414" s="55"/>
      <c r="T3414" s="55" t="s">
        <v>1960</v>
      </c>
    </row>
    <row r="3415" spans="1:20" ht="13" x14ac:dyDescent="0.15">
      <c r="A3415" s="72" t="str">
        <f t="shared" si="53"/>
        <v>Ofsted Social Care Provider Webpage</v>
      </c>
      <c r="B3415" s="55" t="s">
        <v>6378</v>
      </c>
      <c r="D3415" s="55" t="s">
        <v>389</v>
      </c>
      <c r="E3415" s="74">
        <v>41848</v>
      </c>
      <c r="F3415" s="55" t="s">
        <v>344</v>
      </c>
      <c r="G3415" s="55" t="s">
        <v>6379</v>
      </c>
      <c r="H3415" s="55" t="s">
        <v>1844</v>
      </c>
      <c r="I3415" s="55" t="s">
        <v>6380</v>
      </c>
      <c r="J3415" s="55" t="s">
        <v>129</v>
      </c>
      <c r="L3415" s="55" t="s">
        <v>531</v>
      </c>
      <c r="M3415" s="55" t="s">
        <v>129</v>
      </c>
      <c r="N3415" s="55" t="s">
        <v>129</v>
      </c>
      <c r="O3415" s="55" t="s">
        <v>197</v>
      </c>
      <c r="P3415" s="55" t="s">
        <v>532</v>
      </c>
      <c r="Q3415" s="55" t="s">
        <v>350</v>
      </c>
      <c r="R3415" s="55"/>
      <c r="S3415" s="55"/>
      <c r="T3415" s="55" t="s">
        <v>6379</v>
      </c>
    </row>
    <row r="3416" spans="1:20" ht="13" x14ac:dyDescent="0.15">
      <c r="A3416" s="72" t="str">
        <f t="shared" si="53"/>
        <v>Ofsted Social Care Provider Webpage</v>
      </c>
      <c r="B3416" s="55" t="s">
        <v>6381</v>
      </c>
      <c r="D3416" s="55" t="s">
        <v>373</v>
      </c>
      <c r="E3416" s="74">
        <v>41872</v>
      </c>
      <c r="F3416" s="55" t="s">
        <v>344</v>
      </c>
      <c r="G3416" s="55" t="s">
        <v>360</v>
      </c>
      <c r="H3416" s="55" t="s">
        <v>360</v>
      </c>
      <c r="I3416" s="55" t="s">
        <v>360</v>
      </c>
      <c r="J3416" s="55" t="s">
        <v>360</v>
      </c>
      <c r="K3416" s="55" t="s">
        <v>360</v>
      </c>
      <c r="L3416" s="55" t="s">
        <v>360</v>
      </c>
      <c r="M3416" s="55" t="s">
        <v>144</v>
      </c>
      <c r="N3416" s="55" t="s">
        <v>144</v>
      </c>
      <c r="O3416" s="55" t="s">
        <v>209</v>
      </c>
      <c r="P3416" s="55" t="s">
        <v>544</v>
      </c>
      <c r="Q3416" s="55" t="s">
        <v>350</v>
      </c>
      <c r="R3416" s="55">
        <v>5</v>
      </c>
      <c r="S3416" s="55"/>
      <c r="T3416" s="55" t="s">
        <v>385</v>
      </c>
    </row>
    <row r="3417" spans="1:20" ht="13" x14ac:dyDescent="0.15">
      <c r="A3417" s="72" t="str">
        <f t="shared" si="53"/>
        <v>Ofsted Social Care Provider Webpage</v>
      </c>
      <c r="B3417" s="55" t="s">
        <v>6382</v>
      </c>
      <c r="D3417" s="55" t="s">
        <v>373</v>
      </c>
      <c r="E3417" s="74">
        <v>41926</v>
      </c>
      <c r="F3417" s="55" t="s">
        <v>344</v>
      </c>
      <c r="G3417" s="55" t="s">
        <v>360</v>
      </c>
      <c r="H3417" s="55" t="s">
        <v>360</v>
      </c>
      <c r="I3417" s="55" t="s">
        <v>360</v>
      </c>
      <c r="J3417" s="55" t="s">
        <v>360</v>
      </c>
      <c r="K3417" s="55" t="s">
        <v>360</v>
      </c>
      <c r="L3417" s="55" t="s">
        <v>360</v>
      </c>
      <c r="M3417" s="55" t="s">
        <v>150</v>
      </c>
      <c r="N3417" s="55" t="s">
        <v>150</v>
      </c>
      <c r="O3417" s="55" t="s">
        <v>203</v>
      </c>
      <c r="P3417" s="55" t="s">
        <v>1263</v>
      </c>
      <c r="Q3417" s="55" t="s">
        <v>350</v>
      </c>
      <c r="R3417" s="55">
        <v>4</v>
      </c>
      <c r="S3417" s="55"/>
      <c r="T3417" s="55" t="s">
        <v>483</v>
      </c>
    </row>
    <row r="3418" spans="1:20" ht="13" x14ac:dyDescent="0.15">
      <c r="A3418" s="72" t="str">
        <f t="shared" si="53"/>
        <v>Ofsted Social Care Provider Webpage</v>
      </c>
      <c r="B3418" s="55" t="s">
        <v>6383</v>
      </c>
      <c r="D3418" s="55" t="s">
        <v>443</v>
      </c>
      <c r="E3418" s="74">
        <v>41904</v>
      </c>
      <c r="F3418" s="55" t="s">
        <v>344</v>
      </c>
      <c r="G3418" s="55" t="s">
        <v>6384</v>
      </c>
      <c r="H3418" s="55" t="s">
        <v>6385</v>
      </c>
      <c r="I3418" s="55" t="s">
        <v>354</v>
      </c>
      <c r="J3418" s="55" t="s">
        <v>4100</v>
      </c>
      <c r="L3418" s="55" t="s">
        <v>6386</v>
      </c>
      <c r="M3418" s="55" t="s">
        <v>144</v>
      </c>
      <c r="N3418" s="55" t="s">
        <v>144</v>
      </c>
      <c r="O3418" s="55" t="s">
        <v>163</v>
      </c>
      <c r="P3418" s="55" t="s">
        <v>472</v>
      </c>
      <c r="Q3418" s="55" t="s">
        <v>350</v>
      </c>
      <c r="R3418" s="55"/>
      <c r="S3418" s="55"/>
      <c r="T3418" s="55" t="s">
        <v>6387</v>
      </c>
    </row>
    <row r="3419" spans="1:20" ht="13" x14ac:dyDescent="0.15">
      <c r="A3419" s="72" t="str">
        <f t="shared" si="53"/>
        <v>Ofsted Social Care Provider Webpage</v>
      </c>
      <c r="B3419" s="55" t="s">
        <v>6388</v>
      </c>
      <c r="D3419" s="55" t="s">
        <v>373</v>
      </c>
      <c r="E3419" s="74">
        <v>41815</v>
      </c>
      <c r="F3419" s="55" t="s">
        <v>344</v>
      </c>
      <c r="G3419" s="55" t="s">
        <v>360</v>
      </c>
      <c r="H3419" s="55" t="s">
        <v>360</v>
      </c>
      <c r="I3419" s="55" t="s">
        <v>360</v>
      </c>
      <c r="J3419" s="55" t="s">
        <v>360</v>
      </c>
      <c r="K3419" s="55" t="s">
        <v>360</v>
      </c>
      <c r="L3419" s="55" t="s">
        <v>360</v>
      </c>
      <c r="M3419" s="55" t="s">
        <v>142</v>
      </c>
      <c r="N3419" s="55" t="s">
        <v>142</v>
      </c>
      <c r="O3419" s="55" t="s">
        <v>262</v>
      </c>
      <c r="P3419" s="55" t="s">
        <v>523</v>
      </c>
      <c r="Q3419" s="55" t="s">
        <v>350</v>
      </c>
      <c r="R3419" s="55">
        <v>3</v>
      </c>
      <c r="S3419" s="55"/>
      <c r="T3419" s="55" t="s">
        <v>5366</v>
      </c>
    </row>
    <row r="3420" spans="1:20" ht="13" x14ac:dyDescent="0.15">
      <c r="A3420" s="72" t="str">
        <f t="shared" si="53"/>
        <v>Ofsted Social Care Provider Webpage</v>
      </c>
      <c r="B3420" s="55" t="s">
        <v>6389</v>
      </c>
      <c r="D3420" s="55" t="s">
        <v>373</v>
      </c>
      <c r="E3420" s="74">
        <v>41781</v>
      </c>
      <c r="F3420" s="55" t="s">
        <v>344</v>
      </c>
      <c r="G3420" s="55" t="s">
        <v>360</v>
      </c>
      <c r="H3420" s="55" t="s">
        <v>360</v>
      </c>
      <c r="I3420" s="55" t="s">
        <v>360</v>
      </c>
      <c r="J3420" s="55" t="s">
        <v>360</v>
      </c>
      <c r="K3420" s="55" t="s">
        <v>360</v>
      </c>
      <c r="L3420" s="55" t="s">
        <v>360</v>
      </c>
      <c r="M3420" s="55" t="s">
        <v>172</v>
      </c>
      <c r="N3420" s="55" t="s">
        <v>172</v>
      </c>
      <c r="O3420" s="55" t="s">
        <v>171</v>
      </c>
      <c r="P3420" s="55" t="s">
        <v>1125</v>
      </c>
      <c r="Q3420" s="55" t="s">
        <v>350</v>
      </c>
      <c r="R3420" s="55">
        <v>5</v>
      </c>
      <c r="S3420" s="55"/>
      <c r="T3420" s="55" t="s">
        <v>517</v>
      </c>
    </row>
    <row r="3421" spans="1:20" ht="13" x14ac:dyDescent="0.15">
      <c r="A3421" s="72" t="str">
        <f t="shared" si="53"/>
        <v>Ofsted Social Care Provider Webpage</v>
      </c>
      <c r="B3421" s="55" t="s">
        <v>6390</v>
      </c>
      <c r="D3421" s="55" t="s">
        <v>373</v>
      </c>
      <c r="E3421" s="74">
        <v>41792</v>
      </c>
      <c r="F3421" s="55" t="s">
        <v>344</v>
      </c>
      <c r="G3421" s="55" t="s">
        <v>360</v>
      </c>
      <c r="H3421" s="55" t="s">
        <v>360</v>
      </c>
      <c r="I3421" s="55" t="s">
        <v>360</v>
      </c>
      <c r="J3421" s="55" t="s">
        <v>360</v>
      </c>
      <c r="K3421" s="55" t="s">
        <v>360</v>
      </c>
      <c r="L3421" s="55" t="s">
        <v>360</v>
      </c>
      <c r="M3421" s="55" t="s">
        <v>142</v>
      </c>
      <c r="N3421" s="55" t="s">
        <v>142</v>
      </c>
      <c r="O3421" s="55" t="s">
        <v>262</v>
      </c>
      <c r="P3421" s="55" t="s">
        <v>949</v>
      </c>
      <c r="Q3421" s="55" t="s">
        <v>350</v>
      </c>
      <c r="R3421" s="55">
        <v>4</v>
      </c>
      <c r="S3421" s="55"/>
      <c r="T3421" s="55" t="s">
        <v>517</v>
      </c>
    </row>
    <row r="3422" spans="1:20" ht="13" x14ac:dyDescent="0.15">
      <c r="A3422" s="72" t="str">
        <f t="shared" si="53"/>
        <v>Ofsted Social Care Provider Webpage</v>
      </c>
      <c r="B3422" s="55" t="s">
        <v>6391</v>
      </c>
      <c r="D3422" s="55" t="s">
        <v>389</v>
      </c>
      <c r="E3422" s="74">
        <v>41926</v>
      </c>
      <c r="F3422" s="55" t="s">
        <v>344</v>
      </c>
      <c r="G3422" s="55" t="s">
        <v>6392</v>
      </c>
      <c r="H3422" s="55" t="s">
        <v>4571</v>
      </c>
      <c r="I3422" s="55" t="s">
        <v>6393</v>
      </c>
      <c r="J3422" s="55" t="s">
        <v>3424</v>
      </c>
      <c r="K3422" s="55" t="s">
        <v>203</v>
      </c>
      <c r="L3422" s="55" t="s">
        <v>6394</v>
      </c>
      <c r="M3422" s="55" t="s">
        <v>150</v>
      </c>
      <c r="N3422" s="55" t="s">
        <v>150</v>
      </c>
      <c r="O3422" s="55" t="s">
        <v>203</v>
      </c>
      <c r="P3422" s="55" t="s">
        <v>2078</v>
      </c>
      <c r="Q3422" s="55" t="s">
        <v>350</v>
      </c>
      <c r="R3422" s="55"/>
      <c r="S3422" s="55"/>
      <c r="T3422" s="55" t="s">
        <v>6395</v>
      </c>
    </row>
    <row r="3423" spans="1:20" ht="13" x14ac:dyDescent="0.15">
      <c r="A3423" s="72" t="str">
        <f t="shared" si="53"/>
        <v>Ofsted Social Care Provider Webpage</v>
      </c>
      <c r="B3423" s="55" t="s">
        <v>6396</v>
      </c>
      <c r="D3423" s="55" t="s">
        <v>373</v>
      </c>
      <c r="E3423" s="74">
        <v>42113</v>
      </c>
      <c r="F3423" s="55" t="s">
        <v>344</v>
      </c>
      <c r="G3423" s="55" t="s">
        <v>360</v>
      </c>
      <c r="H3423" s="55" t="s">
        <v>360</v>
      </c>
      <c r="I3423" s="55" t="s">
        <v>360</v>
      </c>
      <c r="J3423" s="55" t="s">
        <v>360</v>
      </c>
      <c r="K3423" s="55" t="s">
        <v>360</v>
      </c>
      <c r="L3423" s="55" t="s">
        <v>360</v>
      </c>
      <c r="M3423" s="55" t="s">
        <v>142</v>
      </c>
      <c r="N3423" s="55" t="s">
        <v>142</v>
      </c>
      <c r="O3423" s="55" t="s">
        <v>262</v>
      </c>
      <c r="P3423" s="55" t="s">
        <v>949</v>
      </c>
      <c r="Q3423" s="55" t="s">
        <v>350</v>
      </c>
      <c r="R3423" s="55">
        <v>2</v>
      </c>
      <c r="S3423" s="55"/>
      <c r="T3423" s="55" t="s">
        <v>515</v>
      </c>
    </row>
    <row r="3424" spans="1:20" ht="13" x14ac:dyDescent="0.15">
      <c r="A3424" s="72" t="str">
        <f t="shared" si="53"/>
        <v>Ofsted Social Care Provider Webpage</v>
      </c>
      <c r="B3424" s="55" t="s">
        <v>6397</v>
      </c>
      <c r="D3424" s="55" t="s">
        <v>373</v>
      </c>
      <c r="E3424" s="74">
        <v>41842</v>
      </c>
      <c r="F3424" s="55" t="s">
        <v>344</v>
      </c>
      <c r="G3424" s="55" t="s">
        <v>360</v>
      </c>
      <c r="H3424" s="55" t="s">
        <v>360</v>
      </c>
      <c r="I3424" s="55" t="s">
        <v>360</v>
      </c>
      <c r="J3424" s="55" t="s">
        <v>360</v>
      </c>
      <c r="K3424" s="55" t="s">
        <v>360</v>
      </c>
      <c r="L3424" s="55" t="s">
        <v>360</v>
      </c>
      <c r="M3424" s="55" t="s">
        <v>378</v>
      </c>
      <c r="N3424" s="55" t="s">
        <v>134</v>
      </c>
      <c r="O3424" s="55" t="s">
        <v>225</v>
      </c>
      <c r="P3424" s="55" t="s">
        <v>1667</v>
      </c>
      <c r="Q3424" s="55" t="s">
        <v>350</v>
      </c>
      <c r="R3424" s="55">
        <v>7</v>
      </c>
      <c r="S3424" s="55"/>
      <c r="T3424" s="55" t="s">
        <v>3103</v>
      </c>
    </row>
    <row r="3425" spans="1:20" ht="13" x14ac:dyDescent="0.15">
      <c r="A3425" s="72" t="str">
        <f t="shared" si="53"/>
        <v>Ofsted Social Care Provider Webpage</v>
      </c>
      <c r="B3425" s="55" t="s">
        <v>6398</v>
      </c>
      <c r="D3425" s="55" t="s">
        <v>373</v>
      </c>
      <c r="E3425" s="74">
        <v>41857</v>
      </c>
      <c r="F3425" s="55" t="s">
        <v>344</v>
      </c>
      <c r="G3425" s="55" t="s">
        <v>360</v>
      </c>
      <c r="H3425" s="55" t="s">
        <v>360</v>
      </c>
      <c r="I3425" s="55" t="s">
        <v>360</v>
      </c>
      <c r="J3425" s="55" t="s">
        <v>360</v>
      </c>
      <c r="K3425" s="55" t="s">
        <v>360</v>
      </c>
      <c r="L3425" s="55" t="s">
        <v>360</v>
      </c>
      <c r="M3425" s="55" t="s">
        <v>144</v>
      </c>
      <c r="N3425" s="55" t="s">
        <v>144</v>
      </c>
      <c r="O3425" s="55" t="s">
        <v>168</v>
      </c>
      <c r="P3425" s="55" t="s">
        <v>708</v>
      </c>
      <c r="Q3425" s="55" t="s">
        <v>350</v>
      </c>
      <c r="R3425" s="55">
        <v>5</v>
      </c>
      <c r="S3425" s="55"/>
      <c r="T3425" s="55" t="s">
        <v>1279</v>
      </c>
    </row>
    <row r="3426" spans="1:20" ht="13" x14ac:dyDescent="0.15">
      <c r="A3426" s="72" t="str">
        <f t="shared" si="53"/>
        <v>Ofsted Social Care Provider Webpage</v>
      </c>
      <c r="B3426" s="55" t="s">
        <v>6399</v>
      </c>
      <c r="D3426" s="55" t="s">
        <v>373</v>
      </c>
      <c r="E3426" s="74">
        <v>41920</v>
      </c>
      <c r="F3426" s="55" t="s">
        <v>344</v>
      </c>
      <c r="G3426" s="55" t="s">
        <v>360</v>
      </c>
      <c r="H3426" s="55" t="s">
        <v>360</v>
      </c>
      <c r="I3426" s="55" t="s">
        <v>360</v>
      </c>
      <c r="J3426" s="55" t="s">
        <v>360</v>
      </c>
      <c r="K3426" s="55" t="s">
        <v>360</v>
      </c>
      <c r="L3426" s="55" t="s">
        <v>360</v>
      </c>
      <c r="M3426" s="55" t="s">
        <v>144</v>
      </c>
      <c r="N3426" s="55" t="s">
        <v>144</v>
      </c>
      <c r="O3426" s="55" t="s">
        <v>287</v>
      </c>
      <c r="P3426" s="55" t="s">
        <v>1103</v>
      </c>
      <c r="Q3426" s="55" t="s">
        <v>350</v>
      </c>
      <c r="R3426" s="55">
        <v>6</v>
      </c>
      <c r="S3426" s="55"/>
      <c r="T3426" s="55" t="s">
        <v>493</v>
      </c>
    </row>
    <row r="3427" spans="1:20" ht="13" x14ac:dyDescent="0.15">
      <c r="A3427" s="72" t="str">
        <f t="shared" si="53"/>
        <v>Ofsted Social Care Provider Webpage</v>
      </c>
      <c r="B3427" s="55" t="s">
        <v>6400</v>
      </c>
      <c r="D3427" s="55" t="s">
        <v>373</v>
      </c>
      <c r="E3427" s="74">
        <v>41973</v>
      </c>
      <c r="F3427" s="55" t="s">
        <v>344</v>
      </c>
      <c r="G3427" s="55" t="s">
        <v>360</v>
      </c>
      <c r="H3427" s="55" t="s">
        <v>360</v>
      </c>
      <c r="I3427" s="55" t="s">
        <v>360</v>
      </c>
      <c r="J3427" s="55" t="s">
        <v>360</v>
      </c>
      <c r="K3427" s="55" t="s">
        <v>360</v>
      </c>
      <c r="L3427" s="55" t="s">
        <v>360</v>
      </c>
      <c r="M3427" s="55" t="s">
        <v>144</v>
      </c>
      <c r="N3427" s="55" t="s">
        <v>144</v>
      </c>
      <c r="O3427" s="55" t="s">
        <v>209</v>
      </c>
      <c r="P3427" s="55" t="s">
        <v>474</v>
      </c>
      <c r="Q3427" s="55" t="s">
        <v>350</v>
      </c>
      <c r="R3427" s="55">
        <v>6</v>
      </c>
      <c r="S3427" s="55"/>
      <c r="T3427" s="55" t="s">
        <v>493</v>
      </c>
    </row>
    <row r="3428" spans="1:20" ht="13" x14ac:dyDescent="0.15">
      <c r="A3428" s="72" t="str">
        <f t="shared" si="53"/>
        <v>Ofsted Social Care Provider Webpage</v>
      </c>
      <c r="B3428" s="55" t="s">
        <v>6401</v>
      </c>
      <c r="D3428" s="55" t="s">
        <v>373</v>
      </c>
      <c r="E3428" s="74">
        <v>41920</v>
      </c>
      <c r="F3428" s="55" t="s">
        <v>344</v>
      </c>
      <c r="G3428" s="55" t="s">
        <v>360</v>
      </c>
      <c r="H3428" s="55" t="s">
        <v>360</v>
      </c>
      <c r="I3428" s="55" t="s">
        <v>360</v>
      </c>
      <c r="J3428" s="55" t="s">
        <v>360</v>
      </c>
      <c r="K3428" s="55" t="s">
        <v>360</v>
      </c>
      <c r="L3428" s="55" t="s">
        <v>360</v>
      </c>
      <c r="M3428" s="55" t="s">
        <v>144</v>
      </c>
      <c r="N3428" s="55" t="s">
        <v>144</v>
      </c>
      <c r="O3428" s="55" t="s">
        <v>245</v>
      </c>
      <c r="P3428" s="55" t="s">
        <v>1796</v>
      </c>
      <c r="Q3428" s="55" t="s">
        <v>350</v>
      </c>
      <c r="R3428" s="55">
        <v>6</v>
      </c>
      <c r="S3428" s="55"/>
      <c r="T3428" s="55" t="s">
        <v>493</v>
      </c>
    </row>
    <row r="3429" spans="1:20" ht="13" x14ac:dyDescent="0.15">
      <c r="A3429" s="72" t="str">
        <f t="shared" si="53"/>
        <v>Ofsted Social Care Provider Webpage</v>
      </c>
      <c r="B3429" s="55" t="s">
        <v>6402</v>
      </c>
      <c r="D3429" s="55" t="s">
        <v>373</v>
      </c>
      <c r="E3429" s="74">
        <v>41887</v>
      </c>
      <c r="F3429" s="55" t="s">
        <v>344</v>
      </c>
      <c r="G3429" s="55" t="s">
        <v>360</v>
      </c>
      <c r="H3429" s="55" t="s">
        <v>360</v>
      </c>
      <c r="I3429" s="55" t="s">
        <v>360</v>
      </c>
      <c r="J3429" s="55" t="s">
        <v>360</v>
      </c>
      <c r="K3429" s="55" t="s">
        <v>360</v>
      </c>
      <c r="L3429" s="55" t="s">
        <v>360</v>
      </c>
      <c r="M3429" s="55" t="s">
        <v>144</v>
      </c>
      <c r="N3429" s="55" t="s">
        <v>144</v>
      </c>
      <c r="O3429" s="55" t="s">
        <v>245</v>
      </c>
      <c r="P3429" s="55" t="s">
        <v>1796</v>
      </c>
      <c r="Q3429" s="55" t="s">
        <v>350</v>
      </c>
      <c r="R3429" s="55">
        <v>6</v>
      </c>
      <c r="S3429" s="55"/>
      <c r="T3429" s="55" t="s">
        <v>493</v>
      </c>
    </row>
    <row r="3430" spans="1:20" ht="13" x14ac:dyDescent="0.15">
      <c r="A3430" s="72" t="str">
        <f t="shared" si="53"/>
        <v>Ofsted Social Care Provider Webpage</v>
      </c>
      <c r="B3430" s="55" t="s">
        <v>6403</v>
      </c>
      <c r="D3430" s="55" t="s">
        <v>451</v>
      </c>
      <c r="E3430" s="74">
        <v>41918</v>
      </c>
      <c r="F3430" s="55" t="s">
        <v>344</v>
      </c>
      <c r="G3430" s="55" t="s">
        <v>6404</v>
      </c>
      <c r="H3430" s="55" t="s">
        <v>6405</v>
      </c>
      <c r="I3430" s="55" t="s">
        <v>354</v>
      </c>
      <c r="J3430" s="55" t="s">
        <v>6406</v>
      </c>
      <c r="K3430" s="55" t="s">
        <v>174</v>
      </c>
      <c r="L3430" s="55" t="s">
        <v>6407</v>
      </c>
      <c r="M3430" s="55" t="s">
        <v>136</v>
      </c>
      <c r="N3430" s="55" t="s">
        <v>136</v>
      </c>
      <c r="O3430" s="55" t="s">
        <v>174</v>
      </c>
      <c r="P3430" s="55" t="s">
        <v>857</v>
      </c>
      <c r="Q3430" s="55" t="s">
        <v>350</v>
      </c>
      <c r="R3430" s="55">
        <v>4</v>
      </c>
      <c r="S3430" s="55"/>
      <c r="T3430" s="55" t="s">
        <v>6408</v>
      </c>
    </row>
    <row r="3431" spans="1:20" ht="13" x14ac:dyDescent="0.15">
      <c r="A3431" s="72" t="str">
        <f t="shared" si="53"/>
        <v>Ofsted Social Care Provider Webpage</v>
      </c>
      <c r="B3431" s="55" t="s">
        <v>6409</v>
      </c>
      <c r="D3431" s="55" t="s">
        <v>373</v>
      </c>
      <c r="E3431" s="74">
        <v>41990</v>
      </c>
      <c r="F3431" s="55" t="s">
        <v>344</v>
      </c>
      <c r="G3431" s="55" t="s">
        <v>360</v>
      </c>
      <c r="H3431" s="55" t="s">
        <v>360</v>
      </c>
      <c r="I3431" s="55" t="s">
        <v>360</v>
      </c>
      <c r="J3431" s="55" t="s">
        <v>360</v>
      </c>
      <c r="K3431" s="55" t="s">
        <v>360</v>
      </c>
      <c r="L3431" s="55" t="s">
        <v>360</v>
      </c>
      <c r="M3431" s="55" t="s">
        <v>144</v>
      </c>
      <c r="N3431" s="55" t="s">
        <v>144</v>
      </c>
      <c r="O3431" s="55" t="s">
        <v>290</v>
      </c>
      <c r="P3431" s="55" t="s">
        <v>1099</v>
      </c>
      <c r="Q3431" s="55" t="s">
        <v>350</v>
      </c>
      <c r="R3431" s="55">
        <v>3</v>
      </c>
      <c r="S3431" s="55"/>
      <c r="T3431" s="55" t="s">
        <v>6410</v>
      </c>
    </row>
    <row r="3432" spans="1:20" ht="13" x14ac:dyDescent="0.15">
      <c r="A3432" s="72" t="str">
        <f t="shared" si="53"/>
        <v>Ofsted Social Care Provider Webpage</v>
      </c>
      <c r="B3432" s="55" t="s">
        <v>6411</v>
      </c>
      <c r="D3432" s="55" t="s">
        <v>373</v>
      </c>
      <c r="E3432" s="74">
        <v>41892</v>
      </c>
      <c r="F3432" s="55" t="s">
        <v>344</v>
      </c>
      <c r="G3432" s="55" t="s">
        <v>360</v>
      </c>
      <c r="H3432" s="55" t="s">
        <v>360</v>
      </c>
      <c r="I3432" s="55" t="s">
        <v>360</v>
      </c>
      <c r="J3432" s="55" t="s">
        <v>360</v>
      </c>
      <c r="K3432" s="55" t="s">
        <v>360</v>
      </c>
      <c r="L3432" s="55" t="s">
        <v>360</v>
      </c>
      <c r="M3432" s="55" t="s">
        <v>144</v>
      </c>
      <c r="N3432" s="55" t="s">
        <v>144</v>
      </c>
      <c r="O3432" s="55" t="s">
        <v>271</v>
      </c>
      <c r="P3432" s="55" t="s">
        <v>1122</v>
      </c>
      <c r="Q3432" s="55" t="s">
        <v>350</v>
      </c>
      <c r="R3432" s="55">
        <v>6</v>
      </c>
      <c r="S3432" s="55"/>
      <c r="T3432" s="55" t="s">
        <v>493</v>
      </c>
    </row>
    <row r="3433" spans="1:20" ht="13" x14ac:dyDescent="0.15">
      <c r="A3433" s="72" t="str">
        <f t="shared" si="53"/>
        <v>Ofsted Social Care Provider Webpage</v>
      </c>
      <c r="B3433" s="55" t="s">
        <v>6412</v>
      </c>
      <c r="D3433" s="55" t="s">
        <v>373</v>
      </c>
      <c r="E3433" s="74">
        <v>41935</v>
      </c>
      <c r="F3433" s="55" t="s">
        <v>344</v>
      </c>
      <c r="G3433" s="55" t="s">
        <v>360</v>
      </c>
      <c r="H3433" s="55" t="s">
        <v>360</v>
      </c>
      <c r="I3433" s="55" t="s">
        <v>360</v>
      </c>
      <c r="J3433" s="55" t="s">
        <v>360</v>
      </c>
      <c r="K3433" s="55" t="s">
        <v>360</v>
      </c>
      <c r="L3433" s="55" t="s">
        <v>360</v>
      </c>
      <c r="M3433" s="55" t="s">
        <v>144</v>
      </c>
      <c r="N3433" s="55" t="s">
        <v>144</v>
      </c>
      <c r="O3433" s="55" t="s">
        <v>209</v>
      </c>
      <c r="P3433" s="55" t="s">
        <v>629</v>
      </c>
      <c r="Q3433" s="55" t="s">
        <v>350</v>
      </c>
      <c r="R3433" s="55">
        <v>7</v>
      </c>
      <c r="S3433" s="55"/>
      <c r="T3433" s="55" t="s">
        <v>493</v>
      </c>
    </row>
    <row r="3434" spans="1:20" ht="13" x14ac:dyDescent="0.15">
      <c r="A3434" s="72" t="str">
        <f t="shared" si="53"/>
        <v>Ofsted Social Care Provider Webpage</v>
      </c>
      <c r="B3434" s="55" t="s">
        <v>6413</v>
      </c>
      <c r="D3434" s="55" t="s">
        <v>373</v>
      </c>
      <c r="E3434" s="74">
        <v>41877</v>
      </c>
      <c r="F3434" s="55" t="s">
        <v>344</v>
      </c>
      <c r="G3434" s="55" t="s">
        <v>360</v>
      </c>
      <c r="H3434" s="55" t="s">
        <v>360</v>
      </c>
      <c r="I3434" s="55" t="s">
        <v>360</v>
      </c>
      <c r="J3434" s="55" t="s">
        <v>360</v>
      </c>
      <c r="K3434" s="55" t="s">
        <v>360</v>
      </c>
      <c r="L3434" s="55" t="s">
        <v>360</v>
      </c>
      <c r="M3434" s="55" t="s">
        <v>142</v>
      </c>
      <c r="N3434" s="55" t="s">
        <v>142</v>
      </c>
      <c r="O3434" s="55" t="s">
        <v>252</v>
      </c>
      <c r="P3434" s="55" t="s">
        <v>388</v>
      </c>
      <c r="Q3434" s="55" t="s">
        <v>350</v>
      </c>
      <c r="R3434" s="55">
        <v>4</v>
      </c>
      <c r="S3434" s="55"/>
      <c r="T3434" s="55" t="s">
        <v>1260</v>
      </c>
    </row>
    <row r="3435" spans="1:20" ht="13" x14ac:dyDescent="0.15">
      <c r="A3435" s="72" t="str">
        <f t="shared" si="53"/>
        <v>Ofsted Social Care Provider Webpage</v>
      </c>
      <c r="B3435" s="55" t="s">
        <v>6414</v>
      </c>
      <c r="D3435" s="55" t="s">
        <v>373</v>
      </c>
      <c r="E3435" s="74">
        <v>41848</v>
      </c>
      <c r="F3435" s="55" t="s">
        <v>344</v>
      </c>
      <c r="G3435" s="55" t="s">
        <v>360</v>
      </c>
      <c r="H3435" s="55" t="s">
        <v>360</v>
      </c>
      <c r="I3435" s="55" t="s">
        <v>360</v>
      </c>
      <c r="J3435" s="55" t="s">
        <v>360</v>
      </c>
      <c r="K3435" s="55" t="s">
        <v>360</v>
      </c>
      <c r="L3435" s="55" t="s">
        <v>360</v>
      </c>
      <c r="M3435" s="55" t="s">
        <v>144</v>
      </c>
      <c r="N3435" s="55" t="s">
        <v>144</v>
      </c>
      <c r="O3435" s="55" t="s">
        <v>168</v>
      </c>
      <c r="P3435" s="55" t="s">
        <v>834</v>
      </c>
      <c r="Q3435" s="55" t="s">
        <v>350</v>
      </c>
      <c r="R3435" s="55">
        <v>8</v>
      </c>
      <c r="S3435" s="55"/>
      <c r="T3435" s="55" t="s">
        <v>435</v>
      </c>
    </row>
    <row r="3436" spans="1:20" ht="13" x14ac:dyDescent="0.15">
      <c r="A3436" s="72" t="str">
        <f t="shared" si="53"/>
        <v>Ofsted Social Care Provider Webpage</v>
      </c>
      <c r="B3436" s="55" t="s">
        <v>6415</v>
      </c>
      <c r="D3436" s="55" t="s">
        <v>373</v>
      </c>
      <c r="E3436" s="74">
        <v>41859</v>
      </c>
      <c r="F3436" s="55" t="s">
        <v>344</v>
      </c>
      <c r="G3436" s="55" t="s">
        <v>360</v>
      </c>
      <c r="H3436" s="55" t="s">
        <v>360</v>
      </c>
      <c r="I3436" s="55" t="s">
        <v>360</v>
      </c>
      <c r="J3436" s="55" t="s">
        <v>360</v>
      </c>
      <c r="K3436" s="55" t="s">
        <v>360</v>
      </c>
      <c r="L3436" s="55" t="s">
        <v>360</v>
      </c>
      <c r="M3436" s="55" t="s">
        <v>144</v>
      </c>
      <c r="N3436" s="55" t="s">
        <v>144</v>
      </c>
      <c r="O3436" s="55" t="s">
        <v>209</v>
      </c>
      <c r="P3436" s="55" t="s">
        <v>1858</v>
      </c>
      <c r="Q3436" s="55" t="s">
        <v>350</v>
      </c>
      <c r="R3436" s="55">
        <v>1</v>
      </c>
      <c r="S3436" s="55"/>
      <c r="T3436" s="55" t="s">
        <v>385</v>
      </c>
    </row>
    <row r="3437" spans="1:20" ht="13" x14ac:dyDescent="0.15">
      <c r="A3437" s="72" t="str">
        <f t="shared" si="53"/>
        <v>Ofsted Social Care Provider Webpage</v>
      </c>
      <c r="B3437" s="55" t="s">
        <v>6416</v>
      </c>
      <c r="D3437" s="55" t="s">
        <v>373</v>
      </c>
      <c r="E3437" s="74">
        <v>41904</v>
      </c>
      <c r="F3437" s="55" t="s">
        <v>344</v>
      </c>
      <c r="G3437" s="55" t="s">
        <v>360</v>
      </c>
      <c r="H3437" s="55" t="s">
        <v>360</v>
      </c>
      <c r="I3437" s="55" t="s">
        <v>360</v>
      </c>
      <c r="J3437" s="55" t="s">
        <v>360</v>
      </c>
      <c r="K3437" s="55" t="s">
        <v>360</v>
      </c>
      <c r="L3437" s="55" t="s">
        <v>360</v>
      </c>
      <c r="M3437" s="55" t="s">
        <v>150</v>
      </c>
      <c r="N3437" s="55" t="s">
        <v>150</v>
      </c>
      <c r="O3437" s="55" t="s">
        <v>190</v>
      </c>
      <c r="P3437" s="55" t="s">
        <v>887</v>
      </c>
      <c r="Q3437" s="55" t="s">
        <v>350</v>
      </c>
      <c r="R3437" s="55">
        <v>4</v>
      </c>
      <c r="S3437" s="55"/>
      <c r="T3437" s="55" t="s">
        <v>888</v>
      </c>
    </row>
    <row r="3438" spans="1:20" ht="13" x14ac:dyDescent="0.15">
      <c r="A3438" s="72" t="str">
        <f t="shared" si="53"/>
        <v>Ofsted Social Care Provider Webpage</v>
      </c>
      <c r="B3438" s="55" t="s">
        <v>6417</v>
      </c>
      <c r="D3438" s="55" t="s">
        <v>373</v>
      </c>
      <c r="E3438" s="74">
        <v>41911</v>
      </c>
      <c r="F3438" s="55" t="s">
        <v>344</v>
      </c>
      <c r="G3438" s="55" t="s">
        <v>360</v>
      </c>
      <c r="H3438" s="55" t="s">
        <v>360</v>
      </c>
      <c r="I3438" s="55" t="s">
        <v>360</v>
      </c>
      <c r="J3438" s="55" t="s">
        <v>360</v>
      </c>
      <c r="K3438" s="55" t="s">
        <v>360</v>
      </c>
      <c r="L3438" s="55" t="s">
        <v>360</v>
      </c>
      <c r="M3438" s="55" t="s">
        <v>142</v>
      </c>
      <c r="N3438" s="55" t="s">
        <v>142</v>
      </c>
      <c r="O3438" s="55" t="s">
        <v>262</v>
      </c>
      <c r="P3438" s="55" t="s">
        <v>850</v>
      </c>
      <c r="Q3438" s="55" t="s">
        <v>350</v>
      </c>
      <c r="R3438" s="55">
        <v>4</v>
      </c>
      <c r="S3438" s="55"/>
      <c r="T3438" s="55" t="s">
        <v>1446</v>
      </c>
    </row>
    <row r="3439" spans="1:20" ht="13" x14ac:dyDescent="0.15">
      <c r="A3439" s="72" t="str">
        <f t="shared" si="53"/>
        <v>Ofsted Social Care Provider Webpage</v>
      </c>
      <c r="B3439" s="55" t="s">
        <v>6418</v>
      </c>
      <c r="D3439" s="55" t="s">
        <v>373</v>
      </c>
      <c r="E3439" s="74">
        <v>41913</v>
      </c>
      <c r="F3439" s="55" t="s">
        <v>344</v>
      </c>
      <c r="G3439" s="55" t="s">
        <v>360</v>
      </c>
      <c r="H3439" s="55" t="s">
        <v>360</v>
      </c>
      <c r="I3439" s="55" t="s">
        <v>360</v>
      </c>
      <c r="J3439" s="55" t="s">
        <v>360</v>
      </c>
      <c r="K3439" s="55" t="s">
        <v>360</v>
      </c>
      <c r="L3439" s="55" t="s">
        <v>360</v>
      </c>
      <c r="M3439" s="55" t="s">
        <v>172</v>
      </c>
      <c r="N3439" s="55" t="s">
        <v>172</v>
      </c>
      <c r="O3439" s="55" t="s">
        <v>212</v>
      </c>
      <c r="P3439" s="55" t="s">
        <v>798</v>
      </c>
      <c r="Q3439" s="55" t="s">
        <v>350</v>
      </c>
      <c r="R3439" s="55">
        <v>4</v>
      </c>
      <c r="S3439" s="55"/>
      <c r="T3439" s="55" t="s">
        <v>799</v>
      </c>
    </row>
    <row r="3440" spans="1:20" ht="13" x14ac:dyDescent="0.15">
      <c r="A3440" s="72" t="str">
        <f t="shared" si="53"/>
        <v>Ofsted Social Care Provider Webpage</v>
      </c>
      <c r="B3440" s="55" t="s">
        <v>6419</v>
      </c>
      <c r="D3440" s="55" t="s">
        <v>373</v>
      </c>
      <c r="E3440" s="74">
        <v>41935</v>
      </c>
      <c r="F3440" s="55" t="s">
        <v>344</v>
      </c>
      <c r="G3440" s="55" t="s">
        <v>360</v>
      </c>
      <c r="H3440" s="55" t="s">
        <v>360</v>
      </c>
      <c r="I3440" s="55" t="s">
        <v>360</v>
      </c>
      <c r="J3440" s="55" t="s">
        <v>360</v>
      </c>
      <c r="K3440" s="55" t="s">
        <v>360</v>
      </c>
      <c r="L3440" s="55" t="s">
        <v>360</v>
      </c>
      <c r="M3440" s="55" t="s">
        <v>144</v>
      </c>
      <c r="N3440" s="55" t="s">
        <v>144</v>
      </c>
      <c r="O3440" s="55" t="s">
        <v>209</v>
      </c>
      <c r="P3440" s="55" t="s">
        <v>1858</v>
      </c>
      <c r="Q3440" s="55" t="s">
        <v>350</v>
      </c>
      <c r="R3440" s="55">
        <v>8</v>
      </c>
      <c r="S3440" s="55"/>
      <c r="T3440" s="55" t="s">
        <v>493</v>
      </c>
    </row>
    <row r="3441" spans="1:20" ht="13" x14ac:dyDescent="0.15">
      <c r="A3441" s="72" t="str">
        <f t="shared" si="53"/>
        <v>Ofsted Social Care Provider Webpage</v>
      </c>
      <c r="B3441" s="55" t="s">
        <v>6420</v>
      </c>
      <c r="D3441" s="55" t="s">
        <v>373</v>
      </c>
      <c r="E3441" s="74">
        <v>41973</v>
      </c>
      <c r="F3441" s="55" t="s">
        <v>344</v>
      </c>
      <c r="G3441" s="55" t="s">
        <v>360</v>
      </c>
      <c r="H3441" s="55" t="s">
        <v>360</v>
      </c>
      <c r="I3441" s="55" t="s">
        <v>360</v>
      </c>
      <c r="J3441" s="55" t="s">
        <v>360</v>
      </c>
      <c r="K3441" s="55" t="s">
        <v>360</v>
      </c>
      <c r="L3441" s="55" t="s">
        <v>360</v>
      </c>
      <c r="M3441" s="55" t="s">
        <v>144</v>
      </c>
      <c r="N3441" s="55" t="s">
        <v>144</v>
      </c>
      <c r="O3441" s="55" t="s">
        <v>145</v>
      </c>
      <c r="P3441" s="55" t="s">
        <v>525</v>
      </c>
      <c r="Q3441" s="55" t="s">
        <v>350</v>
      </c>
      <c r="R3441" s="55">
        <v>5</v>
      </c>
      <c r="S3441" s="55"/>
      <c r="T3441" s="55" t="s">
        <v>493</v>
      </c>
    </row>
    <row r="3442" spans="1:20" ht="13" x14ac:dyDescent="0.15">
      <c r="A3442" s="72" t="str">
        <f t="shared" si="53"/>
        <v>Ofsted Social Care Provider Webpage</v>
      </c>
      <c r="B3442" s="55" t="s">
        <v>6421</v>
      </c>
      <c r="D3442" s="55" t="s">
        <v>373</v>
      </c>
      <c r="E3442" s="74">
        <v>42031</v>
      </c>
      <c r="F3442" s="55" t="s">
        <v>344</v>
      </c>
      <c r="G3442" s="55" t="s">
        <v>360</v>
      </c>
      <c r="H3442" s="55" t="s">
        <v>360</v>
      </c>
      <c r="I3442" s="55" t="s">
        <v>360</v>
      </c>
      <c r="J3442" s="55" t="s">
        <v>360</v>
      </c>
      <c r="K3442" s="55" t="s">
        <v>360</v>
      </c>
      <c r="L3442" s="55" t="s">
        <v>360</v>
      </c>
      <c r="M3442" s="55" t="s">
        <v>144</v>
      </c>
      <c r="N3442" s="55" t="s">
        <v>144</v>
      </c>
      <c r="O3442" s="55" t="s">
        <v>209</v>
      </c>
      <c r="P3442" s="55" t="s">
        <v>777</v>
      </c>
      <c r="Q3442" s="55" t="s">
        <v>350</v>
      </c>
      <c r="R3442" s="55">
        <v>6</v>
      </c>
      <c r="S3442" s="55"/>
      <c r="T3442" s="55" t="s">
        <v>493</v>
      </c>
    </row>
    <row r="3443" spans="1:20" ht="13" x14ac:dyDescent="0.15">
      <c r="A3443" s="72" t="str">
        <f t="shared" si="53"/>
        <v>Ofsted Social Care Provider Webpage</v>
      </c>
      <c r="B3443" s="55" t="s">
        <v>6422</v>
      </c>
      <c r="D3443" s="55" t="s">
        <v>373</v>
      </c>
      <c r="E3443" s="74">
        <v>41973</v>
      </c>
      <c r="F3443" s="55" t="s">
        <v>344</v>
      </c>
      <c r="G3443" s="55" t="s">
        <v>360</v>
      </c>
      <c r="H3443" s="55" t="s">
        <v>360</v>
      </c>
      <c r="I3443" s="55" t="s">
        <v>360</v>
      </c>
      <c r="J3443" s="55" t="s">
        <v>360</v>
      </c>
      <c r="K3443" s="55" t="s">
        <v>360</v>
      </c>
      <c r="L3443" s="55" t="s">
        <v>360</v>
      </c>
      <c r="M3443" s="55" t="s">
        <v>144</v>
      </c>
      <c r="N3443" s="55" t="s">
        <v>144</v>
      </c>
      <c r="O3443" s="55" t="s">
        <v>145</v>
      </c>
      <c r="P3443" s="55" t="s">
        <v>525</v>
      </c>
      <c r="Q3443" s="55" t="s">
        <v>350</v>
      </c>
      <c r="R3443" s="55">
        <v>5</v>
      </c>
      <c r="S3443" s="55"/>
      <c r="T3443" s="55" t="s">
        <v>493</v>
      </c>
    </row>
    <row r="3444" spans="1:20" ht="13" x14ac:dyDescent="0.15">
      <c r="A3444" s="72" t="str">
        <f t="shared" si="53"/>
        <v>Ofsted Social Care Provider Webpage</v>
      </c>
      <c r="B3444" s="55" t="s">
        <v>6423</v>
      </c>
      <c r="D3444" s="55" t="s">
        <v>373</v>
      </c>
      <c r="E3444" s="74">
        <v>41883</v>
      </c>
      <c r="F3444" s="55" t="s">
        <v>344</v>
      </c>
      <c r="G3444" s="55" t="s">
        <v>360</v>
      </c>
      <c r="H3444" s="55" t="s">
        <v>360</v>
      </c>
      <c r="I3444" s="55" t="s">
        <v>360</v>
      </c>
      <c r="J3444" s="55" t="s">
        <v>360</v>
      </c>
      <c r="K3444" s="55" t="s">
        <v>360</v>
      </c>
      <c r="L3444" s="55" t="s">
        <v>360</v>
      </c>
      <c r="M3444" s="55" t="s">
        <v>150</v>
      </c>
      <c r="N3444" s="55" t="s">
        <v>150</v>
      </c>
      <c r="O3444" s="55" t="s">
        <v>190</v>
      </c>
      <c r="P3444" s="55" t="s">
        <v>897</v>
      </c>
      <c r="Q3444" s="55" t="s">
        <v>350</v>
      </c>
      <c r="R3444" s="55">
        <v>3</v>
      </c>
      <c r="S3444" s="55"/>
      <c r="T3444" s="55" t="s">
        <v>1051</v>
      </c>
    </row>
    <row r="3445" spans="1:20" ht="13" x14ac:dyDescent="0.15">
      <c r="A3445" s="72" t="str">
        <f t="shared" si="53"/>
        <v>Ofsted Social Care Provider Webpage</v>
      </c>
      <c r="B3445" s="55" t="s">
        <v>6424</v>
      </c>
      <c r="D3445" s="55" t="s">
        <v>373</v>
      </c>
      <c r="E3445" s="74">
        <v>41974</v>
      </c>
      <c r="F3445" s="55" t="s">
        <v>344</v>
      </c>
      <c r="G3445" s="55" t="s">
        <v>360</v>
      </c>
      <c r="H3445" s="55" t="s">
        <v>360</v>
      </c>
      <c r="I3445" s="55" t="s">
        <v>360</v>
      </c>
      <c r="J3445" s="55" t="s">
        <v>360</v>
      </c>
      <c r="K3445" s="55" t="s">
        <v>360</v>
      </c>
      <c r="L3445" s="55" t="s">
        <v>360</v>
      </c>
      <c r="M3445" s="55" t="s">
        <v>378</v>
      </c>
      <c r="N3445" s="55" t="s">
        <v>134</v>
      </c>
      <c r="O3445" s="55" t="s">
        <v>180</v>
      </c>
      <c r="P3445" s="55" t="s">
        <v>1892</v>
      </c>
      <c r="Q3445" s="55" t="s">
        <v>350</v>
      </c>
      <c r="R3445" s="55">
        <v>4</v>
      </c>
      <c r="S3445" s="55"/>
      <c r="T3445" s="55" t="s">
        <v>493</v>
      </c>
    </row>
    <row r="3446" spans="1:20" ht="13" x14ac:dyDescent="0.15">
      <c r="A3446" s="72" t="str">
        <f t="shared" si="53"/>
        <v>Ofsted Social Care Provider Webpage</v>
      </c>
      <c r="B3446" s="55" t="s">
        <v>6425</v>
      </c>
      <c r="D3446" s="55" t="s">
        <v>373</v>
      </c>
      <c r="E3446" s="74">
        <v>41927</v>
      </c>
      <c r="F3446" s="55" t="s">
        <v>344</v>
      </c>
      <c r="G3446" s="55" t="s">
        <v>360</v>
      </c>
      <c r="H3446" s="55" t="s">
        <v>360</v>
      </c>
      <c r="I3446" s="55" t="s">
        <v>360</v>
      </c>
      <c r="J3446" s="55" t="s">
        <v>360</v>
      </c>
      <c r="K3446" s="55" t="s">
        <v>360</v>
      </c>
      <c r="L3446" s="55" t="s">
        <v>360</v>
      </c>
      <c r="M3446" s="55" t="s">
        <v>378</v>
      </c>
      <c r="N3446" s="55" t="s">
        <v>134</v>
      </c>
      <c r="O3446" s="55" t="s">
        <v>206</v>
      </c>
      <c r="P3446" s="55" t="s">
        <v>760</v>
      </c>
      <c r="Q3446" s="55" t="s">
        <v>350</v>
      </c>
      <c r="R3446" s="55">
        <v>6</v>
      </c>
      <c r="S3446" s="55"/>
      <c r="T3446" s="55" t="s">
        <v>493</v>
      </c>
    </row>
    <row r="3447" spans="1:20" ht="13" x14ac:dyDescent="0.15">
      <c r="A3447" s="72" t="str">
        <f t="shared" si="53"/>
        <v>Ofsted Social Care Provider Webpage</v>
      </c>
      <c r="B3447" s="55" t="s">
        <v>6426</v>
      </c>
      <c r="D3447" s="55" t="s">
        <v>373</v>
      </c>
      <c r="E3447" s="74">
        <v>41920</v>
      </c>
      <c r="F3447" s="55" t="s">
        <v>344</v>
      </c>
      <c r="G3447" s="55" t="s">
        <v>360</v>
      </c>
      <c r="H3447" s="55" t="s">
        <v>360</v>
      </c>
      <c r="I3447" s="55" t="s">
        <v>360</v>
      </c>
      <c r="J3447" s="55" t="s">
        <v>360</v>
      </c>
      <c r="K3447" s="55" t="s">
        <v>360</v>
      </c>
      <c r="L3447" s="55" t="s">
        <v>360</v>
      </c>
      <c r="M3447" s="55" t="s">
        <v>138</v>
      </c>
      <c r="N3447" s="55" t="s">
        <v>138</v>
      </c>
      <c r="O3447" s="55" t="s">
        <v>159</v>
      </c>
      <c r="P3447" s="55" t="s">
        <v>1985</v>
      </c>
      <c r="Q3447" s="55" t="s">
        <v>350</v>
      </c>
      <c r="R3447" s="55">
        <v>6</v>
      </c>
      <c r="S3447" s="55"/>
      <c r="T3447" s="55" t="s">
        <v>375</v>
      </c>
    </row>
    <row r="3448" spans="1:20" ht="13" x14ac:dyDescent="0.15">
      <c r="A3448" s="72" t="str">
        <f t="shared" si="53"/>
        <v>Ofsted Social Care Provider Webpage</v>
      </c>
      <c r="B3448" s="55" t="s">
        <v>6427</v>
      </c>
      <c r="D3448" s="55" t="s">
        <v>373</v>
      </c>
      <c r="E3448" s="74">
        <v>42059</v>
      </c>
      <c r="F3448" s="55" t="s">
        <v>344</v>
      </c>
      <c r="G3448" s="55" t="s">
        <v>360</v>
      </c>
      <c r="H3448" s="55" t="s">
        <v>360</v>
      </c>
      <c r="I3448" s="55" t="s">
        <v>360</v>
      </c>
      <c r="J3448" s="55" t="s">
        <v>360</v>
      </c>
      <c r="K3448" s="55" t="s">
        <v>360</v>
      </c>
      <c r="L3448" s="55" t="s">
        <v>360</v>
      </c>
      <c r="M3448" s="55" t="s">
        <v>150</v>
      </c>
      <c r="N3448" s="55" t="s">
        <v>150</v>
      </c>
      <c r="O3448" s="55" t="s">
        <v>149</v>
      </c>
      <c r="P3448" s="55" t="s">
        <v>3548</v>
      </c>
      <c r="Q3448" s="55" t="s">
        <v>350</v>
      </c>
      <c r="R3448" s="55">
        <v>4</v>
      </c>
      <c r="S3448" s="55"/>
      <c r="T3448" s="55" t="s">
        <v>5644</v>
      </c>
    </row>
    <row r="3449" spans="1:20" ht="13" x14ac:dyDescent="0.15">
      <c r="A3449" s="72" t="str">
        <f t="shared" si="53"/>
        <v>Ofsted Social Care Provider Webpage</v>
      </c>
      <c r="B3449" s="55" t="s">
        <v>6428</v>
      </c>
      <c r="D3449" s="55" t="s">
        <v>451</v>
      </c>
      <c r="E3449" s="74">
        <v>41905</v>
      </c>
      <c r="F3449" s="55" t="s">
        <v>344</v>
      </c>
      <c r="G3449" s="55" t="s">
        <v>6429</v>
      </c>
      <c r="H3449" s="55" t="s">
        <v>6430</v>
      </c>
      <c r="I3449" s="55" t="s">
        <v>6431</v>
      </c>
      <c r="J3449" s="55" t="s">
        <v>3974</v>
      </c>
      <c r="L3449" s="55" t="s">
        <v>6432</v>
      </c>
      <c r="M3449" s="55" t="s">
        <v>144</v>
      </c>
      <c r="N3449" s="55" t="s">
        <v>144</v>
      </c>
      <c r="O3449" s="55" t="s">
        <v>276</v>
      </c>
      <c r="P3449" s="55" t="s">
        <v>3052</v>
      </c>
      <c r="Q3449" s="55" t="s">
        <v>350</v>
      </c>
      <c r="R3449" s="55">
        <v>2</v>
      </c>
      <c r="S3449" s="55"/>
      <c r="T3449" s="55" t="s">
        <v>5736</v>
      </c>
    </row>
    <row r="3450" spans="1:20" ht="13" x14ac:dyDescent="0.15">
      <c r="A3450" s="72" t="str">
        <f t="shared" si="53"/>
        <v>Ofsted Social Care Provider Webpage</v>
      </c>
      <c r="B3450" s="55" t="s">
        <v>6433</v>
      </c>
      <c r="D3450" s="55" t="s">
        <v>443</v>
      </c>
      <c r="E3450" s="74">
        <v>41934</v>
      </c>
      <c r="F3450" s="55" t="s">
        <v>344</v>
      </c>
      <c r="G3450" s="55" t="s">
        <v>6434</v>
      </c>
      <c r="H3450" s="55" t="s">
        <v>6435</v>
      </c>
      <c r="I3450" s="55" t="s">
        <v>354</v>
      </c>
      <c r="J3450" s="55" t="s">
        <v>6436</v>
      </c>
      <c r="K3450" s="55" t="s">
        <v>265</v>
      </c>
      <c r="L3450" s="55" t="s">
        <v>6437</v>
      </c>
      <c r="M3450" s="55" t="s">
        <v>142</v>
      </c>
      <c r="N3450" s="55" t="s">
        <v>142</v>
      </c>
      <c r="O3450" s="55" t="s">
        <v>265</v>
      </c>
      <c r="P3450" s="55" t="s">
        <v>1215</v>
      </c>
      <c r="Q3450" s="55" t="s">
        <v>350</v>
      </c>
      <c r="R3450" s="55"/>
      <c r="S3450" s="55"/>
      <c r="T3450" s="55" t="s">
        <v>6438</v>
      </c>
    </row>
    <row r="3451" spans="1:20" ht="13" x14ac:dyDescent="0.15">
      <c r="A3451" s="72" t="str">
        <f t="shared" si="53"/>
        <v>Ofsted Social Care Provider Webpage</v>
      </c>
      <c r="B3451" s="55" t="s">
        <v>6439</v>
      </c>
      <c r="D3451" s="55" t="s">
        <v>373</v>
      </c>
      <c r="E3451" s="74">
        <v>41890</v>
      </c>
      <c r="F3451" s="55" t="s">
        <v>344</v>
      </c>
      <c r="G3451" s="55" t="s">
        <v>360</v>
      </c>
      <c r="H3451" s="55" t="s">
        <v>360</v>
      </c>
      <c r="I3451" s="55" t="s">
        <v>360</v>
      </c>
      <c r="J3451" s="55" t="s">
        <v>360</v>
      </c>
      <c r="K3451" s="55" t="s">
        <v>360</v>
      </c>
      <c r="L3451" s="55" t="s">
        <v>360</v>
      </c>
      <c r="M3451" s="55" t="s">
        <v>144</v>
      </c>
      <c r="N3451" s="55" t="s">
        <v>144</v>
      </c>
      <c r="O3451" s="55" t="s">
        <v>162</v>
      </c>
      <c r="P3451" s="55" t="s">
        <v>686</v>
      </c>
      <c r="Q3451" s="55" t="s">
        <v>350</v>
      </c>
      <c r="R3451" s="55">
        <v>6</v>
      </c>
      <c r="S3451" s="55"/>
      <c r="T3451" s="55" t="s">
        <v>493</v>
      </c>
    </row>
    <row r="3452" spans="1:20" ht="13" x14ac:dyDescent="0.15">
      <c r="A3452" s="72" t="str">
        <f t="shared" si="53"/>
        <v>Ofsted Social Care Provider Webpage</v>
      </c>
      <c r="B3452" s="55" t="s">
        <v>6440</v>
      </c>
      <c r="D3452" s="55" t="s">
        <v>373</v>
      </c>
      <c r="E3452" s="74">
        <v>41992</v>
      </c>
      <c r="F3452" s="55" t="s">
        <v>344</v>
      </c>
      <c r="G3452" s="55" t="s">
        <v>360</v>
      </c>
      <c r="H3452" s="55" t="s">
        <v>360</v>
      </c>
      <c r="I3452" s="55" t="s">
        <v>360</v>
      </c>
      <c r="J3452" s="55" t="s">
        <v>360</v>
      </c>
      <c r="K3452" s="55" t="s">
        <v>360</v>
      </c>
      <c r="L3452" s="55" t="s">
        <v>360</v>
      </c>
      <c r="M3452" s="55" t="s">
        <v>378</v>
      </c>
      <c r="N3452" s="55" t="s">
        <v>134</v>
      </c>
      <c r="O3452" s="55" t="s">
        <v>226</v>
      </c>
      <c r="P3452" s="55" t="s">
        <v>662</v>
      </c>
      <c r="Q3452" s="55" t="s">
        <v>350</v>
      </c>
      <c r="R3452" s="55">
        <v>4</v>
      </c>
      <c r="S3452" s="55"/>
      <c r="T3452" s="55" t="s">
        <v>1582</v>
      </c>
    </row>
    <row r="3453" spans="1:20" ht="13" x14ac:dyDescent="0.15">
      <c r="A3453" s="72" t="str">
        <f t="shared" si="53"/>
        <v>Ofsted Social Care Provider Webpage</v>
      </c>
      <c r="B3453" s="55" t="s">
        <v>6441</v>
      </c>
      <c r="D3453" s="55" t="s">
        <v>373</v>
      </c>
      <c r="E3453" s="74">
        <v>41955</v>
      </c>
      <c r="F3453" s="55" t="s">
        <v>344</v>
      </c>
      <c r="G3453" s="55" t="s">
        <v>360</v>
      </c>
      <c r="H3453" s="55" t="s">
        <v>360</v>
      </c>
      <c r="I3453" s="55" t="s">
        <v>360</v>
      </c>
      <c r="J3453" s="55" t="s">
        <v>360</v>
      </c>
      <c r="K3453" s="55" t="s">
        <v>360</v>
      </c>
      <c r="L3453" s="55" t="s">
        <v>360</v>
      </c>
      <c r="M3453" s="55" t="s">
        <v>142</v>
      </c>
      <c r="N3453" s="55" t="s">
        <v>142</v>
      </c>
      <c r="O3453" s="55" t="s">
        <v>195</v>
      </c>
      <c r="P3453" s="55" t="s">
        <v>747</v>
      </c>
      <c r="Q3453" s="55" t="s">
        <v>350</v>
      </c>
      <c r="R3453" s="55">
        <v>7</v>
      </c>
      <c r="S3453" s="55"/>
      <c r="T3453" s="55" t="s">
        <v>450</v>
      </c>
    </row>
    <row r="3454" spans="1:20" ht="13" x14ac:dyDescent="0.15">
      <c r="A3454" s="72" t="str">
        <f t="shared" si="53"/>
        <v>Ofsted Social Care Provider Webpage</v>
      </c>
      <c r="B3454" s="55" t="s">
        <v>6442</v>
      </c>
      <c r="D3454" s="55" t="s">
        <v>373</v>
      </c>
      <c r="E3454" s="74">
        <v>41941</v>
      </c>
      <c r="F3454" s="55" t="s">
        <v>344</v>
      </c>
      <c r="G3454" s="55" t="s">
        <v>360</v>
      </c>
      <c r="H3454" s="55" t="s">
        <v>360</v>
      </c>
      <c r="I3454" s="55" t="s">
        <v>360</v>
      </c>
      <c r="J3454" s="55" t="s">
        <v>360</v>
      </c>
      <c r="K3454" s="55" t="s">
        <v>360</v>
      </c>
      <c r="L3454" s="55" t="s">
        <v>360</v>
      </c>
      <c r="M3454" s="55" t="s">
        <v>138</v>
      </c>
      <c r="N3454" s="55" t="s">
        <v>138</v>
      </c>
      <c r="O3454" s="55" t="s">
        <v>266</v>
      </c>
      <c r="P3454" s="55" t="s">
        <v>4472</v>
      </c>
      <c r="Q3454" s="55" t="s">
        <v>350</v>
      </c>
      <c r="R3454" s="55">
        <v>5</v>
      </c>
      <c r="S3454" s="55"/>
      <c r="T3454" s="55" t="s">
        <v>450</v>
      </c>
    </row>
    <row r="3455" spans="1:20" ht="13" x14ac:dyDescent="0.15">
      <c r="A3455" s="72" t="str">
        <f t="shared" si="53"/>
        <v>Ofsted Social Care Provider Webpage</v>
      </c>
      <c r="B3455" s="55" t="s">
        <v>6443</v>
      </c>
      <c r="D3455" s="55" t="s">
        <v>373</v>
      </c>
      <c r="E3455" s="74">
        <v>41886</v>
      </c>
      <c r="F3455" s="55" t="s">
        <v>344</v>
      </c>
      <c r="G3455" s="55" t="s">
        <v>360</v>
      </c>
      <c r="H3455" s="55" t="s">
        <v>360</v>
      </c>
      <c r="I3455" s="55" t="s">
        <v>360</v>
      </c>
      <c r="J3455" s="55" t="s">
        <v>360</v>
      </c>
      <c r="K3455" s="55" t="s">
        <v>360</v>
      </c>
      <c r="L3455" s="55" t="s">
        <v>360</v>
      </c>
      <c r="M3455" s="55" t="s">
        <v>142</v>
      </c>
      <c r="N3455" s="55" t="s">
        <v>142</v>
      </c>
      <c r="O3455" s="55" t="s">
        <v>249</v>
      </c>
      <c r="P3455" s="55" t="s">
        <v>1318</v>
      </c>
      <c r="Q3455" s="55" t="s">
        <v>350</v>
      </c>
      <c r="R3455" s="55">
        <v>3</v>
      </c>
      <c r="S3455" s="55"/>
      <c r="T3455" s="55" t="s">
        <v>6444</v>
      </c>
    </row>
    <row r="3456" spans="1:20" ht="13" x14ac:dyDescent="0.15">
      <c r="A3456" s="72" t="str">
        <f t="shared" si="53"/>
        <v>Ofsted Social Care Provider Webpage</v>
      </c>
      <c r="B3456" s="55" t="s">
        <v>6445</v>
      </c>
      <c r="D3456" s="55" t="s">
        <v>373</v>
      </c>
      <c r="E3456" s="74">
        <v>41984</v>
      </c>
      <c r="F3456" s="55" t="s">
        <v>344</v>
      </c>
      <c r="G3456" s="55" t="s">
        <v>360</v>
      </c>
      <c r="H3456" s="55" t="s">
        <v>360</v>
      </c>
      <c r="I3456" s="55" t="s">
        <v>360</v>
      </c>
      <c r="J3456" s="55" t="s">
        <v>360</v>
      </c>
      <c r="K3456" s="55" t="s">
        <v>360</v>
      </c>
      <c r="L3456" s="55" t="s">
        <v>360</v>
      </c>
      <c r="M3456" s="55" t="s">
        <v>129</v>
      </c>
      <c r="N3456" s="55" t="s">
        <v>129</v>
      </c>
      <c r="O3456" s="55" t="s">
        <v>279</v>
      </c>
      <c r="P3456" s="55" t="s">
        <v>1078</v>
      </c>
      <c r="Q3456" s="55" t="s">
        <v>350</v>
      </c>
      <c r="R3456" s="55">
        <v>8</v>
      </c>
      <c r="S3456" s="55"/>
      <c r="T3456" s="55" t="s">
        <v>1559</v>
      </c>
    </row>
    <row r="3457" spans="1:20" ht="13" x14ac:dyDescent="0.15">
      <c r="A3457" s="72" t="str">
        <f t="shared" si="53"/>
        <v>Ofsted Social Care Provider Webpage</v>
      </c>
      <c r="B3457" s="55" t="s">
        <v>6446</v>
      </c>
      <c r="D3457" s="55" t="s">
        <v>1493</v>
      </c>
      <c r="E3457" s="74">
        <v>41905</v>
      </c>
      <c r="F3457" s="55" t="s">
        <v>344</v>
      </c>
      <c r="G3457" s="55" t="s">
        <v>360</v>
      </c>
      <c r="H3457" s="55" t="s">
        <v>360</v>
      </c>
      <c r="I3457" s="55" t="s">
        <v>360</v>
      </c>
      <c r="J3457" s="55" t="s">
        <v>360</v>
      </c>
      <c r="K3457" s="55" t="s">
        <v>360</v>
      </c>
      <c r="L3457" s="55" t="s">
        <v>360</v>
      </c>
      <c r="M3457" s="55" t="s">
        <v>144</v>
      </c>
      <c r="N3457" s="55" t="s">
        <v>144</v>
      </c>
      <c r="O3457" s="55" t="s">
        <v>163</v>
      </c>
      <c r="P3457" s="55" t="s">
        <v>376</v>
      </c>
      <c r="Q3457" s="55" t="s">
        <v>350</v>
      </c>
      <c r="R3457" s="55">
        <v>5</v>
      </c>
      <c r="S3457" s="55"/>
      <c r="T3457" s="55" t="s">
        <v>1998</v>
      </c>
    </row>
    <row r="3458" spans="1:20" ht="13" x14ac:dyDescent="0.15">
      <c r="A3458" s="72" t="str">
        <f t="shared" si="53"/>
        <v>Ofsted Social Care Provider Webpage</v>
      </c>
      <c r="B3458" s="55" t="s">
        <v>6447</v>
      </c>
      <c r="D3458" s="55" t="s">
        <v>373</v>
      </c>
      <c r="E3458" s="74">
        <v>42051</v>
      </c>
      <c r="F3458" s="55" t="s">
        <v>344</v>
      </c>
      <c r="G3458" s="55" t="s">
        <v>360</v>
      </c>
      <c r="H3458" s="55" t="s">
        <v>360</v>
      </c>
      <c r="I3458" s="55" t="s">
        <v>360</v>
      </c>
      <c r="J3458" s="55" t="s">
        <v>360</v>
      </c>
      <c r="K3458" s="55" t="s">
        <v>360</v>
      </c>
      <c r="L3458" s="55" t="s">
        <v>360</v>
      </c>
      <c r="M3458" s="55" t="s">
        <v>378</v>
      </c>
      <c r="N3458" s="55" t="s">
        <v>134</v>
      </c>
      <c r="O3458" s="55" t="s">
        <v>232</v>
      </c>
      <c r="P3458" s="55" t="s">
        <v>491</v>
      </c>
      <c r="Q3458" s="55" t="s">
        <v>350</v>
      </c>
      <c r="R3458" s="55">
        <v>2</v>
      </c>
      <c r="S3458" s="55"/>
      <c r="T3458" s="55" t="s">
        <v>1251</v>
      </c>
    </row>
    <row r="3459" spans="1:20" ht="13" x14ac:dyDescent="0.15">
      <c r="A3459" s="72" t="str">
        <f t="shared" si="53"/>
        <v>Ofsted Social Care Provider Webpage</v>
      </c>
      <c r="B3459" s="55" t="s">
        <v>6448</v>
      </c>
      <c r="D3459" s="55" t="s">
        <v>373</v>
      </c>
      <c r="E3459" s="74">
        <v>41886</v>
      </c>
      <c r="F3459" s="55" t="s">
        <v>344</v>
      </c>
      <c r="G3459" s="55" t="s">
        <v>360</v>
      </c>
      <c r="H3459" s="55" t="s">
        <v>360</v>
      </c>
      <c r="I3459" s="55" t="s">
        <v>360</v>
      </c>
      <c r="J3459" s="55" t="s">
        <v>360</v>
      </c>
      <c r="K3459" s="55" t="s">
        <v>360</v>
      </c>
      <c r="L3459" s="55" t="s">
        <v>360</v>
      </c>
      <c r="M3459" s="55" t="s">
        <v>142</v>
      </c>
      <c r="N3459" s="55" t="s">
        <v>142</v>
      </c>
      <c r="O3459" s="55" t="s">
        <v>293</v>
      </c>
      <c r="P3459" s="55" t="s">
        <v>1641</v>
      </c>
      <c r="Q3459" s="55" t="s">
        <v>350</v>
      </c>
      <c r="R3459" s="55">
        <v>2</v>
      </c>
      <c r="S3459" s="55"/>
      <c r="T3459" s="55" t="s">
        <v>1281</v>
      </c>
    </row>
    <row r="3460" spans="1:20" ht="13" x14ac:dyDescent="0.15">
      <c r="A3460" s="72" t="str">
        <f t="shared" si="53"/>
        <v>Ofsted Social Care Provider Webpage</v>
      </c>
      <c r="B3460" s="55" t="s">
        <v>6449</v>
      </c>
      <c r="D3460" s="55" t="s">
        <v>373</v>
      </c>
      <c r="E3460" s="74">
        <v>42010</v>
      </c>
      <c r="F3460" s="55" t="s">
        <v>344</v>
      </c>
      <c r="G3460" s="55" t="s">
        <v>360</v>
      </c>
      <c r="H3460" s="55" t="s">
        <v>360</v>
      </c>
      <c r="I3460" s="55" t="s">
        <v>360</v>
      </c>
      <c r="J3460" s="55" t="s">
        <v>360</v>
      </c>
      <c r="K3460" s="55" t="s">
        <v>360</v>
      </c>
      <c r="L3460" s="55" t="s">
        <v>360</v>
      </c>
      <c r="M3460" s="55" t="s">
        <v>129</v>
      </c>
      <c r="N3460" s="55" t="s">
        <v>129</v>
      </c>
      <c r="O3460" s="55" t="s">
        <v>219</v>
      </c>
      <c r="P3460" s="55" t="s">
        <v>740</v>
      </c>
      <c r="Q3460" s="55" t="s">
        <v>350</v>
      </c>
      <c r="R3460" s="55">
        <v>5</v>
      </c>
      <c r="S3460" s="55"/>
      <c r="T3460" s="55" t="s">
        <v>5568</v>
      </c>
    </row>
    <row r="3461" spans="1:20" ht="13" x14ac:dyDescent="0.15">
      <c r="A3461" s="72" t="str">
        <f t="shared" ref="A3461:A3524" si="54">HYPERLINK(_xlfn.CONCAT("http://reports.ofsted.gov.uk/inspection-reports/find-inspection-report/provider/CARE/",B3461),"Ofsted Social Care Provider Webpage")</f>
        <v>Ofsted Social Care Provider Webpage</v>
      </c>
      <c r="B3461" s="55" t="s">
        <v>6450</v>
      </c>
      <c r="D3461" s="55" t="s">
        <v>373</v>
      </c>
      <c r="E3461" s="74">
        <v>41907</v>
      </c>
      <c r="F3461" s="55" t="s">
        <v>344</v>
      </c>
      <c r="G3461" s="55" t="s">
        <v>360</v>
      </c>
      <c r="H3461" s="55" t="s">
        <v>360</v>
      </c>
      <c r="I3461" s="55" t="s">
        <v>360</v>
      </c>
      <c r="J3461" s="55" t="s">
        <v>360</v>
      </c>
      <c r="K3461" s="55" t="s">
        <v>360</v>
      </c>
      <c r="L3461" s="55" t="s">
        <v>360</v>
      </c>
      <c r="M3461" s="55" t="s">
        <v>378</v>
      </c>
      <c r="N3461" s="55" t="s">
        <v>134</v>
      </c>
      <c r="O3461" s="55" t="s">
        <v>175</v>
      </c>
      <c r="P3461" s="55" t="s">
        <v>932</v>
      </c>
      <c r="Q3461" s="55" t="s">
        <v>362</v>
      </c>
      <c r="R3461" s="55">
        <v>6</v>
      </c>
      <c r="S3461" s="55"/>
      <c r="T3461" s="55" t="s">
        <v>1049</v>
      </c>
    </row>
    <row r="3462" spans="1:20" ht="13" x14ac:dyDescent="0.15">
      <c r="A3462" s="72" t="str">
        <f t="shared" si="54"/>
        <v>Ofsted Social Care Provider Webpage</v>
      </c>
      <c r="B3462" s="55" t="s">
        <v>6451</v>
      </c>
      <c r="D3462" s="55" t="s">
        <v>373</v>
      </c>
      <c r="E3462" s="74">
        <v>41907</v>
      </c>
      <c r="F3462" s="55" t="s">
        <v>344</v>
      </c>
      <c r="G3462" s="55" t="s">
        <v>360</v>
      </c>
      <c r="H3462" s="55" t="s">
        <v>360</v>
      </c>
      <c r="I3462" s="55" t="s">
        <v>360</v>
      </c>
      <c r="J3462" s="55" t="s">
        <v>360</v>
      </c>
      <c r="K3462" s="55" t="s">
        <v>360</v>
      </c>
      <c r="L3462" s="55" t="s">
        <v>360</v>
      </c>
      <c r="M3462" s="55" t="s">
        <v>378</v>
      </c>
      <c r="N3462" s="55" t="s">
        <v>134</v>
      </c>
      <c r="O3462" s="55" t="s">
        <v>175</v>
      </c>
      <c r="P3462" s="55" t="s">
        <v>678</v>
      </c>
      <c r="Q3462" s="55" t="s">
        <v>362</v>
      </c>
      <c r="R3462" s="55">
        <v>4</v>
      </c>
      <c r="S3462" s="55"/>
      <c r="T3462" s="55" t="s">
        <v>1049</v>
      </c>
    </row>
    <row r="3463" spans="1:20" ht="13" x14ac:dyDescent="0.15">
      <c r="A3463" s="72" t="str">
        <f t="shared" si="54"/>
        <v>Ofsted Social Care Provider Webpage</v>
      </c>
      <c r="B3463" s="55" t="s">
        <v>6452</v>
      </c>
      <c r="D3463" s="55" t="s">
        <v>389</v>
      </c>
      <c r="E3463" s="74">
        <v>41911</v>
      </c>
      <c r="F3463" s="55" t="s">
        <v>344</v>
      </c>
      <c r="G3463" s="55" t="s">
        <v>6453</v>
      </c>
      <c r="H3463" s="55" t="s">
        <v>6454</v>
      </c>
      <c r="I3463" s="55" t="s">
        <v>6455</v>
      </c>
      <c r="J3463" s="55" t="s">
        <v>1393</v>
      </c>
      <c r="K3463" s="55" t="s">
        <v>683</v>
      </c>
      <c r="L3463" s="55" t="s">
        <v>6456</v>
      </c>
      <c r="M3463" s="55" t="s">
        <v>378</v>
      </c>
      <c r="N3463" s="55" t="s">
        <v>134</v>
      </c>
      <c r="O3463" s="55" t="s">
        <v>175</v>
      </c>
      <c r="P3463" s="55" t="s">
        <v>666</v>
      </c>
      <c r="Q3463" s="55" t="s">
        <v>362</v>
      </c>
      <c r="R3463" s="55"/>
      <c r="S3463" s="55"/>
      <c r="T3463" s="55" t="s">
        <v>1049</v>
      </c>
    </row>
    <row r="3464" spans="1:20" ht="13" x14ac:dyDescent="0.15">
      <c r="A3464" s="72" t="str">
        <f t="shared" si="54"/>
        <v>Ofsted Social Care Provider Webpage</v>
      </c>
      <c r="B3464" s="55" t="s">
        <v>6457</v>
      </c>
      <c r="D3464" s="55" t="s">
        <v>373</v>
      </c>
      <c r="E3464" s="74">
        <v>41907</v>
      </c>
      <c r="F3464" s="55" t="s">
        <v>344</v>
      </c>
      <c r="G3464" s="55" t="s">
        <v>360</v>
      </c>
      <c r="H3464" s="55" t="s">
        <v>360</v>
      </c>
      <c r="I3464" s="55" t="s">
        <v>360</v>
      </c>
      <c r="J3464" s="55" t="s">
        <v>360</v>
      </c>
      <c r="K3464" s="55" t="s">
        <v>360</v>
      </c>
      <c r="L3464" s="55" t="s">
        <v>360</v>
      </c>
      <c r="M3464" s="55" t="s">
        <v>378</v>
      </c>
      <c r="N3464" s="55" t="s">
        <v>134</v>
      </c>
      <c r="O3464" s="55" t="s">
        <v>175</v>
      </c>
      <c r="P3464" s="55" t="s">
        <v>666</v>
      </c>
      <c r="Q3464" s="55" t="s">
        <v>362</v>
      </c>
      <c r="R3464" s="55">
        <v>5</v>
      </c>
      <c r="S3464" s="55"/>
      <c r="T3464" s="55" t="s">
        <v>1049</v>
      </c>
    </row>
    <row r="3465" spans="1:20" ht="13" x14ac:dyDescent="0.15">
      <c r="A3465" s="72" t="str">
        <f t="shared" si="54"/>
        <v>Ofsted Social Care Provider Webpage</v>
      </c>
      <c r="B3465" s="55" t="s">
        <v>6458</v>
      </c>
      <c r="D3465" s="55" t="s">
        <v>468</v>
      </c>
      <c r="E3465" s="74">
        <v>41910</v>
      </c>
      <c r="F3465" s="55" t="s">
        <v>344</v>
      </c>
      <c r="G3465" s="55" t="s">
        <v>6459</v>
      </c>
      <c r="H3465" s="55" t="s">
        <v>6454</v>
      </c>
      <c r="I3465" s="55" t="s">
        <v>6455</v>
      </c>
      <c r="J3465" s="55" t="s">
        <v>1393</v>
      </c>
      <c r="K3465" s="55" t="s">
        <v>683</v>
      </c>
      <c r="L3465" s="55" t="s">
        <v>6456</v>
      </c>
      <c r="M3465" s="55" t="s">
        <v>378</v>
      </c>
      <c r="N3465" s="55" t="s">
        <v>134</v>
      </c>
      <c r="O3465" s="55" t="s">
        <v>175</v>
      </c>
      <c r="P3465" s="55" t="s">
        <v>666</v>
      </c>
      <c r="Q3465" s="55" t="s">
        <v>362</v>
      </c>
      <c r="R3465" s="55"/>
      <c r="S3465" s="55"/>
      <c r="T3465" s="55" t="s">
        <v>1049</v>
      </c>
    </row>
    <row r="3466" spans="1:20" ht="13" x14ac:dyDescent="0.15">
      <c r="A3466" s="72" t="str">
        <f t="shared" si="54"/>
        <v>Ofsted Social Care Provider Webpage</v>
      </c>
      <c r="B3466" s="55" t="s">
        <v>6460</v>
      </c>
      <c r="D3466" s="55" t="s">
        <v>373</v>
      </c>
      <c r="E3466" s="74">
        <v>42051</v>
      </c>
      <c r="F3466" s="55" t="s">
        <v>344</v>
      </c>
      <c r="G3466" s="55" t="s">
        <v>360</v>
      </c>
      <c r="H3466" s="55" t="s">
        <v>360</v>
      </c>
      <c r="I3466" s="55" t="s">
        <v>360</v>
      </c>
      <c r="J3466" s="55" t="s">
        <v>360</v>
      </c>
      <c r="K3466" s="55" t="s">
        <v>360</v>
      </c>
      <c r="L3466" s="55" t="s">
        <v>360</v>
      </c>
      <c r="M3466" s="55" t="s">
        <v>378</v>
      </c>
      <c r="N3466" s="55" t="s">
        <v>134</v>
      </c>
      <c r="O3466" s="55" t="s">
        <v>232</v>
      </c>
      <c r="P3466" s="55" t="s">
        <v>491</v>
      </c>
      <c r="Q3466" s="55" t="s">
        <v>350</v>
      </c>
      <c r="R3466" s="55">
        <v>4</v>
      </c>
      <c r="S3466" s="55"/>
      <c r="T3466" s="55" t="s">
        <v>1251</v>
      </c>
    </row>
    <row r="3467" spans="1:20" ht="13" x14ac:dyDescent="0.15">
      <c r="A3467" s="72" t="str">
        <f t="shared" si="54"/>
        <v>Ofsted Social Care Provider Webpage</v>
      </c>
      <c r="B3467" s="55" t="s">
        <v>6461</v>
      </c>
      <c r="D3467" s="55" t="s">
        <v>373</v>
      </c>
      <c r="E3467" s="74">
        <v>41913</v>
      </c>
      <c r="F3467" s="55" t="s">
        <v>344</v>
      </c>
      <c r="G3467" s="55" t="s">
        <v>360</v>
      </c>
      <c r="H3467" s="55" t="s">
        <v>360</v>
      </c>
      <c r="I3467" s="55" t="s">
        <v>360</v>
      </c>
      <c r="J3467" s="55" t="s">
        <v>360</v>
      </c>
      <c r="K3467" s="55" t="s">
        <v>360</v>
      </c>
      <c r="L3467" s="55" t="s">
        <v>360</v>
      </c>
      <c r="M3467" s="55" t="s">
        <v>172</v>
      </c>
      <c r="N3467" s="55" t="s">
        <v>172</v>
      </c>
      <c r="O3467" s="55" t="s">
        <v>284</v>
      </c>
      <c r="P3467" s="55" t="s">
        <v>985</v>
      </c>
      <c r="Q3467" s="55" t="s">
        <v>350</v>
      </c>
      <c r="R3467" s="55">
        <v>5</v>
      </c>
      <c r="S3467" s="55"/>
      <c r="T3467" s="55" t="s">
        <v>5267</v>
      </c>
    </row>
    <row r="3468" spans="1:20" ht="13" x14ac:dyDescent="0.15">
      <c r="A3468" s="72" t="str">
        <f t="shared" si="54"/>
        <v>Ofsted Social Care Provider Webpage</v>
      </c>
      <c r="B3468" s="55" t="s">
        <v>6462</v>
      </c>
      <c r="D3468" s="55" t="s">
        <v>373</v>
      </c>
      <c r="E3468" s="74">
        <v>41957</v>
      </c>
      <c r="F3468" s="55" t="s">
        <v>344</v>
      </c>
      <c r="G3468" s="55" t="s">
        <v>360</v>
      </c>
      <c r="H3468" s="55" t="s">
        <v>360</v>
      </c>
      <c r="I3468" s="55" t="s">
        <v>360</v>
      </c>
      <c r="J3468" s="55" t="s">
        <v>360</v>
      </c>
      <c r="K3468" s="55" t="s">
        <v>360</v>
      </c>
      <c r="L3468" s="55" t="s">
        <v>360</v>
      </c>
      <c r="M3468" s="55" t="s">
        <v>136</v>
      </c>
      <c r="N3468" s="55" t="s">
        <v>136</v>
      </c>
      <c r="O3468" s="55" t="s">
        <v>165</v>
      </c>
      <c r="P3468" s="55" t="s">
        <v>1269</v>
      </c>
      <c r="Q3468" s="55" t="s">
        <v>350</v>
      </c>
      <c r="R3468" s="55">
        <v>4</v>
      </c>
      <c r="S3468" s="55"/>
      <c r="T3468" s="55" t="s">
        <v>1887</v>
      </c>
    </row>
    <row r="3469" spans="1:20" ht="13" x14ac:dyDescent="0.15">
      <c r="A3469" s="72" t="str">
        <f t="shared" si="54"/>
        <v>Ofsted Social Care Provider Webpage</v>
      </c>
      <c r="B3469" s="55" t="s">
        <v>6463</v>
      </c>
      <c r="D3469" s="55" t="s">
        <v>373</v>
      </c>
      <c r="E3469" s="74">
        <v>41904</v>
      </c>
      <c r="F3469" s="55" t="s">
        <v>344</v>
      </c>
      <c r="G3469" s="55" t="s">
        <v>360</v>
      </c>
      <c r="H3469" s="55" t="s">
        <v>360</v>
      </c>
      <c r="I3469" s="55" t="s">
        <v>360</v>
      </c>
      <c r="J3469" s="55" t="s">
        <v>360</v>
      </c>
      <c r="K3469" s="55" t="s">
        <v>360</v>
      </c>
      <c r="L3469" s="55" t="s">
        <v>360</v>
      </c>
      <c r="M3469" s="55" t="s">
        <v>150</v>
      </c>
      <c r="N3469" s="55" t="s">
        <v>150</v>
      </c>
      <c r="O3469" s="55" t="s">
        <v>190</v>
      </c>
      <c r="P3469" s="55" t="s">
        <v>371</v>
      </c>
      <c r="Q3469" s="55" t="s">
        <v>350</v>
      </c>
      <c r="R3469" s="55">
        <v>7</v>
      </c>
      <c r="S3469" s="55"/>
      <c r="T3469" s="55" t="s">
        <v>890</v>
      </c>
    </row>
    <row r="3470" spans="1:20" ht="13" x14ac:dyDescent="0.15">
      <c r="A3470" s="72" t="str">
        <f t="shared" si="54"/>
        <v>Ofsted Social Care Provider Webpage</v>
      </c>
      <c r="B3470" s="55" t="s">
        <v>6464</v>
      </c>
      <c r="D3470" s="55" t="s">
        <v>479</v>
      </c>
      <c r="E3470" s="74">
        <v>41964</v>
      </c>
      <c r="F3470" s="55" t="s">
        <v>344</v>
      </c>
      <c r="G3470" s="55" t="s">
        <v>360</v>
      </c>
      <c r="H3470" s="55" t="s">
        <v>360</v>
      </c>
      <c r="I3470" s="55" t="s">
        <v>360</v>
      </c>
      <c r="J3470" s="55" t="s">
        <v>360</v>
      </c>
      <c r="K3470" s="55" t="s">
        <v>360</v>
      </c>
      <c r="L3470" s="55" t="s">
        <v>360</v>
      </c>
      <c r="M3470" s="55" t="s">
        <v>150</v>
      </c>
      <c r="N3470" s="55" t="s">
        <v>150</v>
      </c>
      <c r="O3470" s="55" t="s">
        <v>190</v>
      </c>
      <c r="P3470" s="55" t="s">
        <v>749</v>
      </c>
      <c r="Q3470" s="55" t="s">
        <v>350</v>
      </c>
      <c r="R3470" s="55">
        <v>42</v>
      </c>
      <c r="S3470" s="55"/>
      <c r="T3470" s="55" t="s">
        <v>2629</v>
      </c>
    </row>
    <row r="3471" spans="1:20" ht="13" x14ac:dyDescent="0.15">
      <c r="A3471" s="72" t="str">
        <f t="shared" si="54"/>
        <v>Ofsted Social Care Provider Webpage</v>
      </c>
      <c r="B3471" s="55" t="s">
        <v>6465</v>
      </c>
      <c r="D3471" s="55" t="s">
        <v>373</v>
      </c>
      <c r="E3471" s="74">
        <v>41904</v>
      </c>
      <c r="F3471" s="55" t="s">
        <v>344</v>
      </c>
      <c r="G3471" s="55" t="s">
        <v>360</v>
      </c>
      <c r="H3471" s="55" t="s">
        <v>360</v>
      </c>
      <c r="I3471" s="55" t="s">
        <v>360</v>
      </c>
      <c r="J3471" s="55" t="s">
        <v>360</v>
      </c>
      <c r="K3471" s="55" t="s">
        <v>360</v>
      </c>
      <c r="L3471" s="55" t="s">
        <v>360</v>
      </c>
      <c r="M3471" s="55" t="s">
        <v>150</v>
      </c>
      <c r="N3471" s="55" t="s">
        <v>150</v>
      </c>
      <c r="O3471" s="55" t="s">
        <v>237</v>
      </c>
      <c r="P3471" s="55" t="s">
        <v>869</v>
      </c>
      <c r="Q3471" s="55" t="s">
        <v>350</v>
      </c>
      <c r="R3471" s="55">
        <v>7</v>
      </c>
      <c r="S3471" s="55"/>
      <c r="T3471" s="55" t="s">
        <v>890</v>
      </c>
    </row>
    <row r="3472" spans="1:20" ht="13" x14ac:dyDescent="0.15">
      <c r="A3472" s="72" t="str">
        <f t="shared" si="54"/>
        <v>Ofsted Social Care Provider Webpage</v>
      </c>
      <c r="B3472" s="55" t="s">
        <v>6466</v>
      </c>
      <c r="D3472" s="55" t="s">
        <v>373</v>
      </c>
      <c r="E3472" s="74">
        <v>41904</v>
      </c>
      <c r="F3472" s="55" t="s">
        <v>344</v>
      </c>
      <c r="G3472" s="55" t="s">
        <v>360</v>
      </c>
      <c r="H3472" s="55" t="s">
        <v>360</v>
      </c>
      <c r="I3472" s="55" t="s">
        <v>360</v>
      </c>
      <c r="J3472" s="55" t="s">
        <v>360</v>
      </c>
      <c r="K3472" s="55" t="s">
        <v>360</v>
      </c>
      <c r="L3472" s="55" t="s">
        <v>360</v>
      </c>
      <c r="M3472" s="55" t="s">
        <v>150</v>
      </c>
      <c r="N3472" s="55" t="s">
        <v>150</v>
      </c>
      <c r="O3472" s="55" t="s">
        <v>237</v>
      </c>
      <c r="P3472" s="55" t="s">
        <v>869</v>
      </c>
      <c r="Q3472" s="55" t="s">
        <v>350</v>
      </c>
      <c r="R3472" s="55">
        <v>8</v>
      </c>
      <c r="S3472" s="55"/>
      <c r="T3472" s="55" t="s">
        <v>890</v>
      </c>
    </row>
    <row r="3473" spans="1:20" ht="13" x14ac:dyDescent="0.15">
      <c r="A3473" s="72" t="str">
        <f t="shared" si="54"/>
        <v>Ofsted Social Care Provider Webpage</v>
      </c>
      <c r="B3473" s="55" t="s">
        <v>6467</v>
      </c>
      <c r="D3473" s="55" t="s">
        <v>373</v>
      </c>
      <c r="E3473" s="74">
        <v>41904</v>
      </c>
      <c r="F3473" s="55" t="s">
        <v>344</v>
      </c>
      <c r="G3473" s="55" t="s">
        <v>360</v>
      </c>
      <c r="H3473" s="55" t="s">
        <v>360</v>
      </c>
      <c r="I3473" s="55" t="s">
        <v>360</v>
      </c>
      <c r="J3473" s="55" t="s">
        <v>360</v>
      </c>
      <c r="K3473" s="55" t="s">
        <v>360</v>
      </c>
      <c r="L3473" s="55" t="s">
        <v>360</v>
      </c>
      <c r="M3473" s="55" t="s">
        <v>150</v>
      </c>
      <c r="N3473" s="55" t="s">
        <v>150</v>
      </c>
      <c r="O3473" s="55" t="s">
        <v>190</v>
      </c>
      <c r="P3473" s="55" t="s">
        <v>371</v>
      </c>
      <c r="Q3473" s="55" t="s">
        <v>350</v>
      </c>
      <c r="R3473" s="55">
        <v>10</v>
      </c>
      <c r="S3473" s="55"/>
      <c r="T3473" s="55" t="s">
        <v>890</v>
      </c>
    </row>
    <row r="3474" spans="1:20" ht="13" x14ac:dyDescent="0.15">
      <c r="A3474" s="72" t="str">
        <f t="shared" si="54"/>
        <v>Ofsted Social Care Provider Webpage</v>
      </c>
      <c r="B3474" s="55" t="s">
        <v>6468</v>
      </c>
      <c r="D3474" s="55" t="s">
        <v>479</v>
      </c>
      <c r="E3474" s="74">
        <v>41904</v>
      </c>
      <c r="F3474" s="55" t="s">
        <v>344</v>
      </c>
      <c r="G3474" s="55" t="s">
        <v>360</v>
      </c>
      <c r="H3474" s="55" t="s">
        <v>360</v>
      </c>
      <c r="I3474" s="55" t="s">
        <v>360</v>
      </c>
      <c r="J3474" s="55" t="s">
        <v>360</v>
      </c>
      <c r="K3474" s="55" t="s">
        <v>360</v>
      </c>
      <c r="L3474" s="55" t="s">
        <v>360</v>
      </c>
      <c r="M3474" s="55" t="s">
        <v>150</v>
      </c>
      <c r="N3474" s="55" t="s">
        <v>150</v>
      </c>
      <c r="O3474" s="55" t="s">
        <v>285</v>
      </c>
      <c r="P3474" s="55" t="s">
        <v>796</v>
      </c>
      <c r="Q3474" s="55" t="s">
        <v>350</v>
      </c>
      <c r="R3474" s="55">
        <v>6</v>
      </c>
      <c r="S3474" s="55"/>
      <c r="T3474" s="55" t="s">
        <v>890</v>
      </c>
    </row>
    <row r="3475" spans="1:20" ht="13" x14ac:dyDescent="0.15">
      <c r="A3475" s="72" t="str">
        <f t="shared" si="54"/>
        <v>Ofsted Social Care Provider Webpage</v>
      </c>
      <c r="B3475" s="55" t="s">
        <v>6469</v>
      </c>
      <c r="D3475" s="55" t="s">
        <v>373</v>
      </c>
      <c r="E3475" s="74">
        <v>41904</v>
      </c>
      <c r="F3475" s="55" t="s">
        <v>344</v>
      </c>
      <c r="G3475" s="55" t="s">
        <v>360</v>
      </c>
      <c r="H3475" s="55" t="s">
        <v>360</v>
      </c>
      <c r="I3475" s="55" t="s">
        <v>360</v>
      </c>
      <c r="J3475" s="55" t="s">
        <v>360</v>
      </c>
      <c r="K3475" s="55" t="s">
        <v>360</v>
      </c>
      <c r="L3475" s="55" t="s">
        <v>360</v>
      </c>
      <c r="M3475" s="55" t="s">
        <v>150</v>
      </c>
      <c r="N3475" s="55" t="s">
        <v>150</v>
      </c>
      <c r="O3475" s="55" t="s">
        <v>190</v>
      </c>
      <c r="P3475" s="55" t="s">
        <v>371</v>
      </c>
      <c r="Q3475" s="55" t="s">
        <v>350</v>
      </c>
      <c r="R3475" s="55">
        <v>6</v>
      </c>
      <c r="S3475" s="55"/>
      <c r="T3475" s="55" t="s">
        <v>890</v>
      </c>
    </row>
    <row r="3476" spans="1:20" ht="13" x14ac:dyDescent="0.15">
      <c r="A3476" s="72" t="str">
        <f t="shared" si="54"/>
        <v>Ofsted Social Care Provider Webpage</v>
      </c>
      <c r="B3476" s="55" t="s">
        <v>6470</v>
      </c>
      <c r="D3476" s="55" t="s">
        <v>373</v>
      </c>
      <c r="E3476" s="74">
        <v>41934</v>
      </c>
      <c r="F3476" s="55" t="s">
        <v>344</v>
      </c>
      <c r="G3476" s="55" t="s">
        <v>360</v>
      </c>
      <c r="H3476" s="55" t="s">
        <v>360</v>
      </c>
      <c r="I3476" s="55" t="s">
        <v>360</v>
      </c>
      <c r="J3476" s="55" t="s">
        <v>360</v>
      </c>
      <c r="K3476" s="55" t="s">
        <v>360</v>
      </c>
      <c r="L3476" s="55" t="s">
        <v>360</v>
      </c>
      <c r="M3476" s="55" t="s">
        <v>150</v>
      </c>
      <c r="N3476" s="55" t="s">
        <v>150</v>
      </c>
      <c r="O3476" s="55" t="s">
        <v>237</v>
      </c>
      <c r="P3476" s="55" t="s">
        <v>990</v>
      </c>
      <c r="Q3476" s="55" t="s">
        <v>350</v>
      </c>
      <c r="R3476" s="55">
        <v>8</v>
      </c>
      <c r="S3476" s="55"/>
      <c r="T3476" s="55" t="s">
        <v>890</v>
      </c>
    </row>
    <row r="3477" spans="1:20" ht="13" x14ac:dyDescent="0.15">
      <c r="A3477" s="72" t="str">
        <f t="shared" si="54"/>
        <v>Ofsted Social Care Provider Webpage</v>
      </c>
      <c r="B3477" s="55" t="s">
        <v>6471</v>
      </c>
      <c r="D3477" s="55" t="s">
        <v>373</v>
      </c>
      <c r="E3477" s="74">
        <v>41976</v>
      </c>
      <c r="F3477" s="55" t="s">
        <v>344</v>
      </c>
      <c r="G3477" s="55" t="s">
        <v>360</v>
      </c>
      <c r="H3477" s="55" t="s">
        <v>360</v>
      </c>
      <c r="I3477" s="55" t="s">
        <v>360</v>
      </c>
      <c r="J3477" s="55" t="s">
        <v>360</v>
      </c>
      <c r="K3477" s="55" t="s">
        <v>360</v>
      </c>
      <c r="L3477" s="55" t="s">
        <v>360</v>
      </c>
      <c r="M3477" s="55" t="s">
        <v>144</v>
      </c>
      <c r="N3477" s="55" t="s">
        <v>144</v>
      </c>
      <c r="O3477" s="55" t="s">
        <v>207</v>
      </c>
      <c r="P3477" s="55" t="s">
        <v>207</v>
      </c>
      <c r="Q3477" s="55" t="s">
        <v>350</v>
      </c>
      <c r="R3477" s="55">
        <v>1</v>
      </c>
      <c r="S3477" s="55"/>
      <c r="T3477" s="55" t="s">
        <v>729</v>
      </c>
    </row>
    <row r="3478" spans="1:20" ht="13" x14ac:dyDescent="0.15">
      <c r="A3478" s="72" t="str">
        <f t="shared" si="54"/>
        <v>Ofsted Social Care Provider Webpage</v>
      </c>
      <c r="B3478" s="55" t="s">
        <v>6472</v>
      </c>
      <c r="D3478" s="55" t="s">
        <v>373</v>
      </c>
      <c r="E3478" s="74">
        <v>41934</v>
      </c>
      <c r="F3478" s="55" t="s">
        <v>344</v>
      </c>
      <c r="G3478" s="55" t="s">
        <v>360</v>
      </c>
      <c r="H3478" s="55" t="s">
        <v>360</v>
      </c>
      <c r="I3478" s="55" t="s">
        <v>360</v>
      </c>
      <c r="J3478" s="55" t="s">
        <v>360</v>
      </c>
      <c r="K3478" s="55" t="s">
        <v>360</v>
      </c>
      <c r="L3478" s="55" t="s">
        <v>360</v>
      </c>
      <c r="M3478" s="55" t="s">
        <v>150</v>
      </c>
      <c r="N3478" s="55" t="s">
        <v>150</v>
      </c>
      <c r="O3478" s="55" t="s">
        <v>237</v>
      </c>
      <c r="P3478" s="55" t="s">
        <v>869</v>
      </c>
      <c r="Q3478" s="55" t="s">
        <v>350</v>
      </c>
      <c r="R3478" s="55">
        <v>8</v>
      </c>
      <c r="S3478" s="55"/>
      <c r="T3478" s="55" t="s">
        <v>890</v>
      </c>
    </row>
    <row r="3479" spans="1:20" ht="13" x14ac:dyDescent="0.15">
      <c r="A3479" s="72" t="str">
        <f t="shared" si="54"/>
        <v>Ofsted Social Care Provider Webpage</v>
      </c>
      <c r="B3479" s="55" t="s">
        <v>6473</v>
      </c>
      <c r="D3479" s="55" t="s">
        <v>373</v>
      </c>
      <c r="E3479" s="74">
        <v>42094</v>
      </c>
      <c r="F3479" s="55" t="s">
        <v>344</v>
      </c>
      <c r="G3479" s="55" t="s">
        <v>360</v>
      </c>
      <c r="H3479" s="55" t="s">
        <v>360</v>
      </c>
      <c r="I3479" s="55" t="s">
        <v>360</v>
      </c>
      <c r="J3479" s="55" t="s">
        <v>360</v>
      </c>
      <c r="K3479" s="55" t="s">
        <v>360</v>
      </c>
      <c r="L3479" s="55" t="s">
        <v>360</v>
      </c>
      <c r="M3479" s="55" t="s">
        <v>138</v>
      </c>
      <c r="N3479" s="55" t="s">
        <v>138</v>
      </c>
      <c r="O3479" s="55" t="s">
        <v>159</v>
      </c>
      <c r="P3479" s="55" t="s">
        <v>1025</v>
      </c>
      <c r="Q3479" s="55" t="s">
        <v>350</v>
      </c>
      <c r="R3479" s="55">
        <v>4</v>
      </c>
      <c r="S3479" s="55"/>
      <c r="T3479" s="55" t="s">
        <v>791</v>
      </c>
    </row>
    <row r="3480" spans="1:20" ht="13" x14ac:dyDescent="0.15">
      <c r="A3480" s="72" t="str">
        <f t="shared" si="54"/>
        <v>Ofsted Social Care Provider Webpage</v>
      </c>
      <c r="B3480" s="55" t="s">
        <v>6474</v>
      </c>
      <c r="D3480" s="55" t="s">
        <v>373</v>
      </c>
      <c r="E3480" s="74">
        <v>41955</v>
      </c>
      <c r="F3480" s="55" t="s">
        <v>344</v>
      </c>
      <c r="G3480" s="55" t="s">
        <v>360</v>
      </c>
      <c r="H3480" s="55" t="s">
        <v>360</v>
      </c>
      <c r="I3480" s="55" t="s">
        <v>360</v>
      </c>
      <c r="J3480" s="55" t="s">
        <v>360</v>
      </c>
      <c r="K3480" s="55" t="s">
        <v>360</v>
      </c>
      <c r="L3480" s="55" t="s">
        <v>360</v>
      </c>
      <c r="M3480" s="55" t="s">
        <v>144</v>
      </c>
      <c r="N3480" s="55" t="s">
        <v>144</v>
      </c>
      <c r="O3480" s="55" t="s">
        <v>287</v>
      </c>
      <c r="P3480" s="55" t="s">
        <v>815</v>
      </c>
      <c r="Q3480" s="55" t="s">
        <v>350</v>
      </c>
      <c r="R3480" s="55">
        <v>3</v>
      </c>
      <c r="S3480" s="55"/>
      <c r="T3480" s="55" t="s">
        <v>513</v>
      </c>
    </row>
    <row r="3481" spans="1:20" ht="13" x14ac:dyDescent="0.15">
      <c r="A3481" s="72" t="str">
        <f t="shared" si="54"/>
        <v>Ofsted Social Care Provider Webpage</v>
      </c>
      <c r="B3481" s="55" t="s">
        <v>6475</v>
      </c>
      <c r="D3481" s="55" t="s">
        <v>373</v>
      </c>
      <c r="E3481" s="74">
        <v>41978</v>
      </c>
      <c r="F3481" s="55" t="s">
        <v>344</v>
      </c>
      <c r="G3481" s="55" t="s">
        <v>360</v>
      </c>
      <c r="H3481" s="55" t="s">
        <v>360</v>
      </c>
      <c r="I3481" s="55" t="s">
        <v>360</v>
      </c>
      <c r="J3481" s="55" t="s">
        <v>360</v>
      </c>
      <c r="K3481" s="55" t="s">
        <v>360</v>
      </c>
      <c r="L3481" s="55" t="s">
        <v>360</v>
      </c>
      <c r="M3481" s="55" t="s">
        <v>172</v>
      </c>
      <c r="N3481" s="55" t="s">
        <v>172</v>
      </c>
      <c r="O3481" s="55" t="s">
        <v>214</v>
      </c>
      <c r="P3481" s="55" t="s">
        <v>790</v>
      </c>
      <c r="Q3481" s="55" t="s">
        <v>350</v>
      </c>
      <c r="R3481" s="55">
        <v>6</v>
      </c>
      <c r="S3481" s="55"/>
      <c r="T3481" s="55" t="s">
        <v>493</v>
      </c>
    </row>
    <row r="3482" spans="1:20" ht="13" x14ac:dyDescent="0.15">
      <c r="A3482" s="72" t="str">
        <f t="shared" si="54"/>
        <v>Ofsted Social Care Provider Webpage</v>
      </c>
      <c r="B3482" s="55" t="s">
        <v>6476</v>
      </c>
      <c r="D3482" s="55" t="s">
        <v>373</v>
      </c>
      <c r="E3482" s="74">
        <v>42286</v>
      </c>
      <c r="F3482" s="55" t="s">
        <v>344</v>
      </c>
      <c r="G3482" s="55" t="s">
        <v>360</v>
      </c>
      <c r="H3482" s="55" t="s">
        <v>360</v>
      </c>
      <c r="I3482" s="55" t="s">
        <v>360</v>
      </c>
      <c r="J3482" s="55" t="s">
        <v>360</v>
      </c>
      <c r="K3482" s="55" t="s">
        <v>360</v>
      </c>
      <c r="L3482" s="55" t="s">
        <v>360</v>
      </c>
      <c r="M3482" s="55" t="s">
        <v>378</v>
      </c>
      <c r="N3482" s="55" t="s">
        <v>134</v>
      </c>
      <c r="O3482" s="55" t="s">
        <v>210</v>
      </c>
      <c r="P3482" s="55" t="s">
        <v>1034</v>
      </c>
      <c r="Q3482" s="55" t="s">
        <v>350</v>
      </c>
      <c r="R3482" s="55">
        <v>4</v>
      </c>
      <c r="S3482" s="55"/>
      <c r="T3482" s="55" t="s">
        <v>1947</v>
      </c>
    </row>
    <row r="3483" spans="1:20" ht="13" x14ac:dyDescent="0.15">
      <c r="A3483" s="72" t="str">
        <f t="shared" si="54"/>
        <v>Ofsted Social Care Provider Webpage</v>
      </c>
      <c r="B3483" s="55" t="s">
        <v>6477</v>
      </c>
      <c r="D3483" s="55" t="s">
        <v>373</v>
      </c>
      <c r="E3483" s="74">
        <v>42107</v>
      </c>
      <c r="F3483" s="55" t="s">
        <v>344</v>
      </c>
      <c r="G3483" s="55" t="s">
        <v>360</v>
      </c>
      <c r="H3483" s="55" t="s">
        <v>360</v>
      </c>
      <c r="I3483" s="55" t="s">
        <v>360</v>
      </c>
      <c r="J3483" s="55" t="s">
        <v>360</v>
      </c>
      <c r="K3483" s="55" t="s">
        <v>360</v>
      </c>
      <c r="L3483" s="55" t="s">
        <v>360</v>
      </c>
      <c r="M3483" s="55" t="s">
        <v>378</v>
      </c>
      <c r="N3483" s="55" t="s">
        <v>170</v>
      </c>
      <c r="O3483" s="55" t="s">
        <v>178</v>
      </c>
      <c r="P3483" s="55" t="s">
        <v>1374</v>
      </c>
      <c r="Q3483" s="55" t="s">
        <v>350</v>
      </c>
      <c r="R3483" s="55">
        <v>3</v>
      </c>
      <c r="S3483" s="55"/>
      <c r="T3483" s="55" t="s">
        <v>522</v>
      </c>
    </row>
    <row r="3484" spans="1:20" ht="13" x14ac:dyDescent="0.15">
      <c r="A3484" s="72" t="str">
        <f t="shared" si="54"/>
        <v>Ofsted Social Care Provider Webpage</v>
      </c>
      <c r="B3484" s="55" t="s">
        <v>6478</v>
      </c>
      <c r="D3484" s="55" t="s">
        <v>373</v>
      </c>
      <c r="E3484" s="74">
        <v>42015</v>
      </c>
      <c r="F3484" s="55" t="s">
        <v>344</v>
      </c>
      <c r="G3484" s="55" t="s">
        <v>360</v>
      </c>
      <c r="H3484" s="55" t="s">
        <v>360</v>
      </c>
      <c r="I3484" s="55" t="s">
        <v>360</v>
      </c>
      <c r="J3484" s="55" t="s">
        <v>360</v>
      </c>
      <c r="K3484" s="55" t="s">
        <v>360</v>
      </c>
      <c r="L3484" s="55" t="s">
        <v>360</v>
      </c>
      <c r="M3484" s="55" t="s">
        <v>378</v>
      </c>
      <c r="N3484" s="55" t="s">
        <v>134</v>
      </c>
      <c r="O3484" s="55" t="s">
        <v>133</v>
      </c>
      <c r="P3484" s="55" t="s">
        <v>685</v>
      </c>
      <c r="Q3484" s="55" t="s">
        <v>350</v>
      </c>
      <c r="R3484" s="55">
        <v>3</v>
      </c>
      <c r="S3484" s="55"/>
      <c r="T3484" s="55" t="s">
        <v>385</v>
      </c>
    </row>
    <row r="3485" spans="1:20" ht="13" x14ac:dyDescent="0.15">
      <c r="A3485" s="72" t="str">
        <f t="shared" si="54"/>
        <v>Ofsted Social Care Provider Webpage</v>
      </c>
      <c r="B3485" s="55" t="s">
        <v>6479</v>
      </c>
      <c r="D3485" s="55" t="s">
        <v>373</v>
      </c>
      <c r="E3485" s="74">
        <v>42033</v>
      </c>
      <c r="F3485" s="55" t="s">
        <v>344</v>
      </c>
      <c r="G3485" s="55" t="s">
        <v>360</v>
      </c>
      <c r="H3485" s="55" t="s">
        <v>360</v>
      </c>
      <c r="I3485" s="55" t="s">
        <v>360</v>
      </c>
      <c r="J3485" s="55" t="s">
        <v>360</v>
      </c>
      <c r="K3485" s="55" t="s">
        <v>360</v>
      </c>
      <c r="L3485" s="55" t="s">
        <v>360</v>
      </c>
      <c r="M3485" s="55" t="s">
        <v>142</v>
      </c>
      <c r="N3485" s="55" t="s">
        <v>142</v>
      </c>
      <c r="O3485" s="55" t="s">
        <v>282</v>
      </c>
      <c r="P3485" s="55" t="s">
        <v>3266</v>
      </c>
      <c r="Q3485" s="55" t="s">
        <v>350</v>
      </c>
      <c r="R3485" s="55">
        <v>4</v>
      </c>
      <c r="S3485" s="55"/>
      <c r="T3485" s="55" t="s">
        <v>493</v>
      </c>
    </row>
    <row r="3486" spans="1:20" ht="13" x14ac:dyDescent="0.15">
      <c r="A3486" s="72" t="str">
        <f t="shared" si="54"/>
        <v>Ofsted Social Care Provider Webpage</v>
      </c>
      <c r="B3486" s="55" t="s">
        <v>6480</v>
      </c>
      <c r="D3486" s="55" t="s">
        <v>373</v>
      </c>
      <c r="E3486" s="74">
        <v>42090</v>
      </c>
      <c r="F3486" s="55" t="s">
        <v>344</v>
      </c>
      <c r="G3486" s="55" t="s">
        <v>360</v>
      </c>
      <c r="H3486" s="55" t="s">
        <v>360</v>
      </c>
      <c r="I3486" s="55" t="s">
        <v>360</v>
      </c>
      <c r="J3486" s="55" t="s">
        <v>360</v>
      </c>
      <c r="K3486" s="55" t="s">
        <v>360</v>
      </c>
      <c r="L3486" s="55" t="s">
        <v>360</v>
      </c>
      <c r="M3486" s="55" t="s">
        <v>150</v>
      </c>
      <c r="N3486" s="55" t="s">
        <v>150</v>
      </c>
      <c r="O3486" s="55" t="s">
        <v>153</v>
      </c>
      <c r="P3486" s="55" t="s">
        <v>829</v>
      </c>
      <c r="Q3486" s="55" t="s">
        <v>350</v>
      </c>
      <c r="R3486" s="55">
        <v>5</v>
      </c>
      <c r="S3486" s="55"/>
      <c r="T3486" s="55" t="s">
        <v>1332</v>
      </c>
    </row>
    <row r="3487" spans="1:20" ht="13" x14ac:dyDescent="0.15">
      <c r="A3487" s="72" t="str">
        <f t="shared" si="54"/>
        <v>Ofsted Social Care Provider Webpage</v>
      </c>
      <c r="B3487" s="55" t="s">
        <v>6481</v>
      </c>
      <c r="D3487" s="55" t="s">
        <v>373</v>
      </c>
      <c r="E3487" s="74">
        <v>42024</v>
      </c>
      <c r="F3487" s="55" t="s">
        <v>344</v>
      </c>
      <c r="G3487" s="55" t="s">
        <v>360</v>
      </c>
      <c r="H3487" s="55" t="s">
        <v>360</v>
      </c>
      <c r="I3487" s="55" t="s">
        <v>360</v>
      </c>
      <c r="J3487" s="55" t="s">
        <v>360</v>
      </c>
      <c r="K3487" s="55" t="s">
        <v>360</v>
      </c>
      <c r="L3487" s="55" t="s">
        <v>360</v>
      </c>
      <c r="M3487" s="55" t="s">
        <v>136</v>
      </c>
      <c r="N3487" s="55" t="s">
        <v>136</v>
      </c>
      <c r="O3487" s="55" t="s">
        <v>230</v>
      </c>
      <c r="P3487" s="55" t="s">
        <v>230</v>
      </c>
      <c r="Q3487" s="55" t="s">
        <v>350</v>
      </c>
      <c r="R3487" s="55">
        <v>4</v>
      </c>
      <c r="S3487" s="55"/>
      <c r="T3487" s="55" t="s">
        <v>493</v>
      </c>
    </row>
    <row r="3488" spans="1:20" ht="13" x14ac:dyDescent="0.15">
      <c r="A3488" s="72" t="str">
        <f t="shared" si="54"/>
        <v>Ofsted Social Care Provider Webpage</v>
      </c>
      <c r="B3488" s="55" t="s">
        <v>6482</v>
      </c>
      <c r="D3488" s="55" t="s">
        <v>451</v>
      </c>
      <c r="E3488" s="74">
        <v>42270</v>
      </c>
      <c r="F3488" s="55" t="s">
        <v>344</v>
      </c>
      <c r="G3488" s="55" t="s">
        <v>6483</v>
      </c>
      <c r="H3488" s="55" t="s">
        <v>6484</v>
      </c>
      <c r="I3488" s="55" t="s">
        <v>6485</v>
      </c>
      <c r="J3488" s="55" t="s">
        <v>6486</v>
      </c>
      <c r="K3488" s="55" t="s">
        <v>209</v>
      </c>
      <c r="L3488" s="55" t="s">
        <v>6487</v>
      </c>
      <c r="M3488" s="55" t="s">
        <v>144</v>
      </c>
      <c r="N3488" s="55" t="s">
        <v>144</v>
      </c>
      <c r="O3488" s="55" t="s">
        <v>287</v>
      </c>
      <c r="P3488" s="55" t="s">
        <v>815</v>
      </c>
      <c r="Q3488" s="55" t="s">
        <v>350</v>
      </c>
      <c r="R3488" s="55">
        <v>6</v>
      </c>
      <c r="S3488" s="55"/>
      <c r="T3488" s="55" t="s">
        <v>1259</v>
      </c>
    </row>
    <row r="3489" spans="1:20" ht="13" x14ac:dyDescent="0.15">
      <c r="A3489" s="72" t="str">
        <f t="shared" si="54"/>
        <v>Ofsted Social Care Provider Webpage</v>
      </c>
      <c r="B3489" s="55" t="s">
        <v>6488</v>
      </c>
      <c r="D3489" s="55" t="s">
        <v>373</v>
      </c>
      <c r="E3489" s="74">
        <v>42060</v>
      </c>
      <c r="F3489" s="55" t="s">
        <v>344</v>
      </c>
      <c r="G3489" s="55" t="s">
        <v>360</v>
      </c>
      <c r="H3489" s="55" t="s">
        <v>360</v>
      </c>
      <c r="I3489" s="55" t="s">
        <v>360</v>
      </c>
      <c r="J3489" s="55" t="s">
        <v>360</v>
      </c>
      <c r="K3489" s="55" t="s">
        <v>360</v>
      </c>
      <c r="L3489" s="55" t="s">
        <v>360</v>
      </c>
      <c r="M3489" s="55" t="s">
        <v>142</v>
      </c>
      <c r="N3489" s="55" t="s">
        <v>142</v>
      </c>
      <c r="O3489" s="55" t="s">
        <v>166</v>
      </c>
      <c r="P3489" s="55" t="s">
        <v>1301</v>
      </c>
      <c r="Q3489" s="55" t="s">
        <v>350</v>
      </c>
      <c r="R3489" s="55">
        <v>4</v>
      </c>
      <c r="S3489" s="55"/>
      <c r="T3489" s="55" t="s">
        <v>493</v>
      </c>
    </row>
    <row r="3490" spans="1:20" ht="13" x14ac:dyDescent="0.15">
      <c r="A3490" s="72" t="str">
        <f t="shared" si="54"/>
        <v>Ofsted Social Care Provider Webpage</v>
      </c>
      <c r="B3490" s="55" t="s">
        <v>6489</v>
      </c>
      <c r="D3490" s="55" t="s">
        <v>373</v>
      </c>
      <c r="E3490" s="74">
        <v>41984</v>
      </c>
      <c r="F3490" s="55" t="s">
        <v>344</v>
      </c>
      <c r="G3490" s="55" t="s">
        <v>360</v>
      </c>
      <c r="H3490" s="55" t="s">
        <v>360</v>
      </c>
      <c r="I3490" s="55" t="s">
        <v>360</v>
      </c>
      <c r="J3490" s="55" t="s">
        <v>360</v>
      </c>
      <c r="K3490" s="55" t="s">
        <v>360</v>
      </c>
      <c r="L3490" s="55" t="s">
        <v>360</v>
      </c>
      <c r="M3490" s="55" t="s">
        <v>136</v>
      </c>
      <c r="N3490" s="55" t="s">
        <v>136</v>
      </c>
      <c r="O3490" s="55" t="s">
        <v>288</v>
      </c>
      <c r="P3490" s="55" t="s">
        <v>1235</v>
      </c>
      <c r="Q3490" s="55" t="s">
        <v>350</v>
      </c>
      <c r="R3490" s="55">
        <v>3</v>
      </c>
      <c r="S3490" s="55"/>
      <c r="T3490" s="55" t="s">
        <v>1236</v>
      </c>
    </row>
    <row r="3491" spans="1:20" ht="13" x14ac:dyDescent="0.15">
      <c r="A3491" s="72" t="str">
        <f t="shared" si="54"/>
        <v>Ofsted Social Care Provider Webpage</v>
      </c>
      <c r="B3491" s="55" t="s">
        <v>6490</v>
      </c>
      <c r="C3491" s="55">
        <v>139971</v>
      </c>
      <c r="D3491" s="55" t="s">
        <v>398</v>
      </c>
      <c r="E3491" s="74">
        <v>41897</v>
      </c>
      <c r="F3491" s="55" t="s">
        <v>344</v>
      </c>
      <c r="G3491" s="55" t="s">
        <v>6491</v>
      </c>
      <c r="H3491" s="55" t="s">
        <v>6492</v>
      </c>
      <c r="I3491" s="55" t="s">
        <v>6493</v>
      </c>
      <c r="J3491" s="55" t="s">
        <v>1756</v>
      </c>
      <c r="K3491" s="55" t="s">
        <v>1402</v>
      </c>
      <c r="L3491" s="55" t="s">
        <v>6494</v>
      </c>
      <c r="M3491" s="55" t="s">
        <v>150</v>
      </c>
      <c r="N3491" s="55" t="s">
        <v>150</v>
      </c>
      <c r="O3491" s="55" t="s">
        <v>289</v>
      </c>
      <c r="P3491" s="55" t="s">
        <v>1756</v>
      </c>
      <c r="Q3491" s="55" t="s">
        <v>420</v>
      </c>
      <c r="R3491" s="55">
        <v>224</v>
      </c>
      <c r="S3491" s="55"/>
      <c r="T3491" s="55" t="s">
        <v>6491</v>
      </c>
    </row>
    <row r="3492" spans="1:20" ht="13" x14ac:dyDescent="0.15">
      <c r="A3492" s="72" t="str">
        <f t="shared" si="54"/>
        <v>Ofsted Social Care Provider Webpage</v>
      </c>
      <c r="B3492" s="55" t="s">
        <v>6495</v>
      </c>
      <c r="D3492" s="55" t="s">
        <v>373</v>
      </c>
      <c r="E3492" s="74">
        <v>42040</v>
      </c>
      <c r="F3492" s="55" t="s">
        <v>344</v>
      </c>
      <c r="G3492" s="55" t="s">
        <v>360</v>
      </c>
      <c r="H3492" s="55" t="s">
        <v>360</v>
      </c>
      <c r="I3492" s="55" t="s">
        <v>360</v>
      </c>
      <c r="J3492" s="55" t="s">
        <v>360</v>
      </c>
      <c r="K3492" s="55" t="s">
        <v>360</v>
      </c>
      <c r="L3492" s="55" t="s">
        <v>360</v>
      </c>
      <c r="M3492" s="55" t="s">
        <v>144</v>
      </c>
      <c r="N3492" s="55" t="s">
        <v>144</v>
      </c>
      <c r="O3492" s="55" t="s">
        <v>250</v>
      </c>
      <c r="P3492" s="55" t="s">
        <v>759</v>
      </c>
      <c r="Q3492" s="55" t="s">
        <v>350</v>
      </c>
      <c r="R3492" s="55">
        <v>4</v>
      </c>
      <c r="S3492" s="55"/>
      <c r="T3492" s="55" t="s">
        <v>598</v>
      </c>
    </row>
    <row r="3493" spans="1:20" ht="13" x14ac:dyDescent="0.15">
      <c r="A3493" s="72" t="str">
        <f t="shared" si="54"/>
        <v>Ofsted Social Care Provider Webpage</v>
      </c>
      <c r="B3493" s="55" t="s">
        <v>6496</v>
      </c>
      <c r="D3493" s="55" t="s">
        <v>373</v>
      </c>
      <c r="E3493" s="74">
        <v>42030</v>
      </c>
      <c r="F3493" s="55" t="s">
        <v>344</v>
      </c>
      <c r="G3493" s="55" t="s">
        <v>360</v>
      </c>
      <c r="H3493" s="55" t="s">
        <v>360</v>
      </c>
      <c r="I3493" s="55" t="s">
        <v>360</v>
      </c>
      <c r="J3493" s="55" t="s">
        <v>360</v>
      </c>
      <c r="K3493" s="55" t="s">
        <v>360</v>
      </c>
      <c r="L3493" s="55" t="s">
        <v>360</v>
      </c>
      <c r="M3493" s="55" t="s">
        <v>378</v>
      </c>
      <c r="N3493" s="55" t="s">
        <v>134</v>
      </c>
      <c r="O3493" s="55" t="s">
        <v>158</v>
      </c>
      <c r="P3493" s="55" t="s">
        <v>912</v>
      </c>
      <c r="Q3493" s="55" t="s">
        <v>350</v>
      </c>
      <c r="R3493" s="55">
        <v>5</v>
      </c>
      <c r="S3493" s="55"/>
      <c r="T3493" s="55" t="s">
        <v>574</v>
      </c>
    </row>
    <row r="3494" spans="1:20" ht="13" x14ac:dyDescent="0.15">
      <c r="A3494" s="72" t="str">
        <f t="shared" si="54"/>
        <v>Ofsted Social Care Provider Webpage</v>
      </c>
      <c r="B3494" s="55" t="s">
        <v>6497</v>
      </c>
      <c r="D3494" s="55" t="s">
        <v>373</v>
      </c>
      <c r="E3494" s="74">
        <v>42031</v>
      </c>
      <c r="F3494" s="55" t="s">
        <v>344</v>
      </c>
      <c r="G3494" s="55" t="s">
        <v>360</v>
      </c>
      <c r="H3494" s="55" t="s">
        <v>360</v>
      </c>
      <c r="I3494" s="55" t="s">
        <v>360</v>
      </c>
      <c r="J3494" s="55" t="s">
        <v>360</v>
      </c>
      <c r="K3494" s="55" t="s">
        <v>360</v>
      </c>
      <c r="L3494" s="55" t="s">
        <v>360</v>
      </c>
      <c r="M3494" s="55" t="s">
        <v>144</v>
      </c>
      <c r="N3494" s="55" t="s">
        <v>144</v>
      </c>
      <c r="O3494" s="55" t="s">
        <v>147</v>
      </c>
      <c r="P3494" s="55" t="s">
        <v>674</v>
      </c>
      <c r="Q3494" s="55" t="s">
        <v>362</v>
      </c>
      <c r="R3494" s="55">
        <v>3</v>
      </c>
      <c r="S3494" s="55"/>
      <c r="T3494" s="55" t="s">
        <v>675</v>
      </c>
    </row>
    <row r="3495" spans="1:20" ht="13" x14ac:dyDescent="0.15">
      <c r="A3495" s="72" t="str">
        <f t="shared" si="54"/>
        <v>Ofsted Social Care Provider Webpage</v>
      </c>
      <c r="B3495" s="55" t="s">
        <v>6498</v>
      </c>
      <c r="D3495" s="55" t="s">
        <v>373</v>
      </c>
      <c r="E3495" s="74">
        <v>42184</v>
      </c>
      <c r="F3495" s="55" t="s">
        <v>344</v>
      </c>
      <c r="G3495" s="55" t="s">
        <v>360</v>
      </c>
      <c r="H3495" s="55" t="s">
        <v>360</v>
      </c>
      <c r="I3495" s="55" t="s">
        <v>360</v>
      </c>
      <c r="J3495" s="55" t="s">
        <v>360</v>
      </c>
      <c r="K3495" s="55" t="s">
        <v>360</v>
      </c>
      <c r="L3495" s="55" t="s">
        <v>360</v>
      </c>
      <c r="M3495" s="55" t="s">
        <v>129</v>
      </c>
      <c r="N3495" s="55" t="s">
        <v>129</v>
      </c>
      <c r="O3495" s="55" t="s">
        <v>191</v>
      </c>
      <c r="P3495" s="55" t="s">
        <v>1224</v>
      </c>
      <c r="Q3495" s="55" t="s">
        <v>350</v>
      </c>
      <c r="R3495" s="55">
        <v>5</v>
      </c>
      <c r="S3495" s="55"/>
      <c r="T3495" s="55" t="s">
        <v>6499</v>
      </c>
    </row>
    <row r="3496" spans="1:20" ht="13" x14ac:dyDescent="0.15">
      <c r="A3496" s="72" t="str">
        <f t="shared" si="54"/>
        <v>Ofsted Social Care Provider Webpage</v>
      </c>
      <c r="B3496" s="55" t="s">
        <v>6500</v>
      </c>
      <c r="D3496" s="55" t="s">
        <v>373</v>
      </c>
      <c r="E3496" s="74">
        <v>42041</v>
      </c>
      <c r="F3496" s="55" t="s">
        <v>344</v>
      </c>
      <c r="G3496" s="55" t="s">
        <v>360</v>
      </c>
      <c r="H3496" s="55" t="s">
        <v>360</v>
      </c>
      <c r="I3496" s="55" t="s">
        <v>360</v>
      </c>
      <c r="J3496" s="55" t="s">
        <v>360</v>
      </c>
      <c r="K3496" s="55" t="s">
        <v>360</v>
      </c>
      <c r="L3496" s="55" t="s">
        <v>360</v>
      </c>
      <c r="M3496" s="55" t="s">
        <v>142</v>
      </c>
      <c r="N3496" s="55" t="s">
        <v>142</v>
      </c>
      <c r="O3496" s="55" t="s">
        <v>177</v>
      </c>
      <c r="P3496" s="55" t="s">
        <v>885</v>
      </c>
      <c r="Q3496" s="55" t="s">
        <v>350</v>
      </c>
      <c r="R3496" s="55">
        <v>6</v>
      </c>
      <c r="S3496" s="55" t="s">
        <v>332</v>
      </c>
      <c r="T3496" s="55" t="s">
        <v>751</v>
      </c>
    </row>
    <row r="3497" spans="1:20" ht="13" x14ac:dyDescent="0.15">
      <c r="A3497" s="72" t="str">
        <f t="shared" si="54"/>
        <v>Ofsted Social Care Provider Webpage</v>
      </c>
      <c r="B3497" s="55" t="s">
        <v>6501</v>
      </c>
      <c r="D3497" s="55" t="s">
        <v>373</v>
      </c>
      <c r="E3497" s="74">
        <v>41976</v>
      </c>
      <c r="F3497" s="55" t="s">
        <v>344</v>
      </c>
      <c r="G3497" s="55" t="s">
        <v>360</v>
      </c>
      <c r="H3497" s="55" t="s">
        <v>360</v>
      </c>
      <c r="I3497" s="55" t="s">
        <v>360</v>
      </c>
      <c r="J3497" s="55" t="s">
        <v>360</v>
      </c>
      <c r="K3497" s="55" t="s">
        <v>360</v>
      </c>
      <c r="L3497" s="55" t="s">
        <v>360</v>
      </c>
      <c r="M3497" s="55" t="s">
        <v>144</v>
      </c>
      <c r="N3497" s="55" t="s">
        <v>144</v>
      </c>
      <c r="O3497" s="55" t="s">
        <v>209</v>
      </c>
      <c r="P3497" s="55" t="s">
        <v>544</v>
      </c>
      <c r="Q3497" s="55" t="s">
        <v>350</v>
      </c>
      <c r="R3497" s="55">
        <v>7</v>
      </c>
      <c r="S3497" s="55"/>
      <c r="T3497" s="55" t="s">
        <v>863</v>
      </c>
    </row>
    <row r="3498" spans="1:20" ht="13" x14ac:dyDescent="0.15">
      <c r="A3498" s="72" t="str">
        <f t="shared" si="54"/>
        <v>Ofsted Social Care Provider Webpage</v>
      </c>
      <c r="B3498" s="55" t="s">
        <v>6502</v>
      </c>
      <c r="D3498" s="55" t="s">
        <v>373</v>
      </c>
      <c r="E3498" s="74">
        <v>41976</v>
      </c>
      <c r="F3498" s="55" t="s">
        <v>344</v>
      </c>
      <c r="G3498" s="55" t="s">
        <v>360</v>
      </c>
      <c r="H3498" s="55" t="s">
        <v>360</v>
      </c>
      <c r="I3498" s="55" t="s">
        <v>360</v>
      </c>
      <c r="J3498" s="55" t="s">
        <v>360</v>
      </c>
      <c r="K3498" s="55" t="s">
        <v>360</v>
      </c>
      <c r="L3498" s="55" t="s">
        <v>360</v>
      </c>
      <c r="M3498" s="55" t="s">
        <v>144</v>
      </c>
      <c r="N3498" s="55" t="s">
        <v>144</v>
      </c>
      <c r="O3498" s="55" t="s">
        <v>209</v>
      </c>
      <c r="P3498" s="55" t="s">
        <v>474</v>
      </c>
      <c r="Q3498" s="55" t="s">
        <v>350</v>
      </c>
      <c r="R3498" s="55">
        <v>4</v>
      </c>
      <c r="S3498" s="55"/>
      <c r="T3498" s="55" t="s">
        <v>863</v>
      </c>
    </row>
    <row r="3499" spans="1:20" ht="13" x14ac:dyDescent="0.15">
      <c r="A3499" s="72" t="str">
        <f t="shared" si="54"/>
        <v>Ofsted Social Care Provider Webpage</v>
      </c>
      <c r="B3499" s="55" t="s">
        <v>6503</v>
      </c>
      <c r="D3499" s="55" t="s">
        <v>373</v>
      </c>
      <c r="E3499" s="74">
        <v>42053</v>
      </c>
      <c r="F3499" s="55" t="s">
        <v>344</v>
      </c>
      <c r="G3499" s="55" t="s">
        <v>360</v>
      </c>
      <c r="H3499" s="55" t="s">
        <v>360</v>
      </c>
      <c r="I3499" s="55" t="s">
        <v>360</v>
      </c>
      <c r="J3499" s="55" t="s">
        <v>360</v>
      </c>
      <c r="K3499" s="55" t="s">
        <v>360</v>
      </c>
      <c r="L3499" s="55" t="s">
        <v>360</v>
      </c>
      <c r="M3499" s="55" t="s">
        <v>172</v>
      </c>
      <c r="N3499" s="55" t="s">
        <v>172</v>
      </c>
      <c r="O3499" s="55" t="s">
        <v>173</v>
      </c>
      <c r="P3499" s="55" t="s">
        <v>860</v>
      </c>
      <c r="Q3499" s="55" t="s">
        <v>350</v>
      </c>
      <c r="R3499" s="55">
        <v>3</v>
      </c>
      <c r="S3499" s="55"/>
      <c r="T3499" s="55" t="s">
        <v>489</v>
      </c>
    </row>
    <row r="3500" spans="1:20" ht="13" x14ac:dyDescent="0.15">
      <c r="A3500" s="72" t="str">
        <f t="shared" si="54"/>
        <v>Ofsted Social Care Provider Webpage</v>
      </c>
      <c r="B3500" s="55" t="s">
        <v>6504</v>
      </c>
      <c r="D3500" s="55" t="s">
        <v>373</v>
      </c>
      <c r="E3500" s="74">
        <v>42027</v>
      </c>
      <c r="F3500" s="55" t="s">
        <v>344</v>
      </c>
      <c r="G3500" s="55" t="s">
        <v>360</v>
      </c>
      <c r="H3500" s="55" t="s">
        <v>360</v>
      </c>
      <c r="I3500" s="55" t="s">
        <v>360</v>
      </c>
      <c r="J3500" s="55" t="s">
        <v>360</v>
      </c>
      <c r="K3500" s="55" t="s">
        <v>360</v>
      </c>
      <c r="L3500" s="55" t="s">
        <v>360</v>
      </c>
      <c r="M3500" s="55" t="s">
        <v>138</v>
      </c>
      <c r="N3500" s="55" t="s">
        <v>138</v>
      </c>
      <c r="O3500" s="55" t="s">
        <v>161</v>
      </c>
      <c r="P3500" s="55" t="s">
        <v>822</v>
      </c>
      <c r="Q3500" s="55" t="s">
        <v>350</v>
      </c>
      <c r="R3500" s="55">
        <v>6</v>
      </c>
      <c r="S3500" s="55"/>
      <c r="T3500" s="55" t="s">
        <v>6505</v>
      </c>
    </row>
    <row r="3501" spans="1:20" ht="13" x14ac:dyDescent="0.15">
      <c r="A3501" s="72" t="str">
        <f t="shared" si="54"/>
        <v>Ofsted Social Care Provider Webpage</v>
      </c>
      <c r="B3501" s="55" t="s">
        <v>6506</v>
      </c>
      <c r="D3501" s="55" t="s">
        <v>373</v>
      </c>
      <c r="E3501" s="74">
        <v>42074</v>
      </c>
      <c r="F3501" s="55" t="s">
        <v>344</v>
      </c>
      <c r="G3501" s="55" t="s">
        <v>360</v>
      </c>
      <c r="H3501" s="55" t="s">
        <v>360</v>
      </c>
      <c r="I3501" s="55" t="s">
        <v>360</v>
      </c>
      <c r="J3501" s="55" t="s">
        <v>360</v>
      </c>
      <c r="K3501" s="55" t="s">
        <v>360</v>
      </c>
      <c r="L3501" s="55" t="s">
        <v>360</v>
      </c>
      <c r="M3501" s="55" t="s">
        <v>129</v>
      </c>
      <c r="N3501" s="55" t="s">
        <v>129</v>
      </c>
      <c r="O3501" s="55" t="s">
        <v>213</v>
      </c>
      <c r="P3501" s="55" t="s">
        <v>1160</v>
      </c>
      <c r="Q3501" s="55" t="s">
        <v>350</v>
      </c>
      <c r="R3501" s="55">
        <v>4</v>
      </c>
      <c r="S3501" s="55"/>
      <c r="T3501" s="55" t="s">
        <v>1597</v>
      </c>
    </row>
    <row r="3502" spans="1:20" ht="13" x14ac:dyDescent="0.15">
      <c r="A3502" s="72" t="str">
        <f t="shared" si="54"/>
        <v>Ofsted Social Care Provider Webpage</v>
      </c>
      <c r="B3502" s="55" t="s">
        <v>6507</v>
      </c>
      <c r="D3502" s="55" t="s">
        <v>373</v>
      </c>
      <c r="E3502" s="74">
        <v>41977</v>
      </c>
      <c r="F3502" s="55" t="s">
        <v>344</v>
      </c>
      <c r="G3502" s="55" t="s">
        <v>360</v>
      </c>
      <c r="H3502" s="55" t="s">
        <v>360</v>
      </c>
      <c r="I3502" s="55" t="s">
        <v>360</v>
      </c>
      <c r="J3502" s="55" t="s">
        <v>360</v>
      </c>
      <c r="K3502" s="55" t="s">
        <v>360</v>
      </c>
      <c r="L3502" s="55" t="s">
        <v>360</v>
      </c>
      <c r="M3502" s="55" t="s">
        <v>144</v>
      </c>
      <c r="N3502" s="55" t="s">
        <v>144</v>
      </c>
      <c r="O3502" s="55" t="s">
        <v>263</v>
      </c>
      <c r="P3502" s="55" t="s">
        <v>1120</v>
      </c>
      <c r="Q3502" s="55" t="s">
        <v>350</v>
      </c>
      <c r="R3502" s="55">
        <v>5</v>
      </c>
      <c r="S3502" s="55"/>
      <c r="T3502" s="55" t="s">
        <v>4707</v>
      </c>
    </row>
    <row r="3503" spans="1:20" ht="13" x14ac:dyDescent="0.15">
      <c r="A3503" s="72" t="str">
        <f t="shared" si="54"/>
        <v>Ofsted Social Care Provider Webpage</v>
      </c>
      <c r="B3503" s="55" t="s">
        <v>6508</v>
      </c>
      <c r="D3503" s="55" t="s">
        <v>373</v>
      </c>
      <c r="E3503" s="74">
        <v>42289</v>
      </c>
      <c r="F3503" s="55" t="s">
        <v>344</v>
      </c>
      <c r="G3503" s="55" t="s">
        <v>360</v>
      </c>
      <c r="H3503" s="55" t="s">
        <v>360</v>
      </c>
      <c r="I3503" s="55" t="s">
        <v>360</v>
      </c>
      <c r="J3503" s="55" t="s">
        <v>360</v>
      </c>
      <c r="K3503" s="55" t="s">
        <v>360</v>
      </c>
      <c r="L3503" s="55" t="s">
        <v>360</v>
      </c>
      <c r="M3503" s="55" t="s">
        <v>144</v>
      </c>
      <c r="N3503" s="55" t="s">
        <v>144</v>
      </c>
      <c r="O3503" s="55" t="s">
        <v>209</v>
      </c>
      <c r="P3503" s="55" t="s">
        <v>561</v>
      </c>
      <c r="Q3503" s="55" t="s">
        <v>350</v>
      </c>
      <c r="R3503" s="55">
        <v>5</v>
      </c>
      <c r="S3503" s="55"/>
      <c r="T3503" s="55" t="s">
        <v>385</v>
      </c>
    </row>
    <row r="3504" spans="1:20" ht="13" x14ac:dyDescent="0.15">
      <c r="A3504" s="72" t="str">
        <f t="shared" si="54"/>
        <v>Ofsted Social Care Provider Webpage</v>
      </c>
      <c r="B3504" s="55" t="s">
        <v>6509</v>
      </c>
      <c r="D3504" s="55" t="s">
        <v>373</v>
      </c>
      <c r="E3504" s="74">
        <v>42289</v>
      </c>
      <c r="F3504" s="55" t="s">
        <v>344</v>
      </c>
      <c r="G3504" s="55" t="s">
        <v>360</v>
      </c>
      <c r="H3504" s="55" t="s">
        <v>360</v>
      </c>
      <c r="I3504" s="55" t="s">
        <v>360</v>
      </c>
      <c r="J3504" s="55" t="s">
        <v>360</v>
      </c>
      <c r="K3504" s="55" t="s">
        <v>360</v>
      </c>
      <c r="L3504" s="55" t="s">
        <v>360</v>
      </c>
      <c r="M3504" s="55" t="s">
        <v>144</v>
      </c>
      <c r="N3504" s="55" t="s">
        <v>144</v>
      </c>
      <c r="O3504" s="55" t="s">
        <v>209</v>
      </c>
      <c r="P3504" s="55" t="s">
        <v>561</v>
      </c>
      <c r="Q3504" s="55" t="s">
        <v>350</v>
      </c>
      <c r="R3504" s="55">
        <v>5</v>
      </c>
      <c r="S3504" s="55"/>
      <c r="T3504" s="55" t="s">
        <v>385</v>
      </c>
    </row>
    <row r="3505" spans="1:20" ht="13" x14ac:dyDescent="0.15">
      <c r="A3505" s="72" t="str">
        <f t="shared" si="54"/>
        <v>Ofsted Social Care Provider Webpage</v>
      </c>
      <c r="B3505" s="55" t="s">
        <v>6510</v>
      </c>
      <c r="D3505" s="55" t="s">
        <v>389</v>
      </c>
      <c r="E3505" s="74">
        <v>41974</v>
      </c>
      <c r="F3505" s="55" t="s">
        <v>344</v>
      </c>
      <c r="G3505" s="55" t="s">
        <v>6511</v>
      </c>
      <c r="H3505" s="55" t="s">
        <v>6512</v>
      </c>
      <c r="I3505" s="55" t="s">
        <v>6513</v>
      </c>
      <c r="J3505" s="55" t="s">
        <v>4130</v>
      </c>
      <c r="K3505" s="55" t="s">
        <v>175</v>
      </c>
      <c r="L3505" s="55" t="s">
        <v>6514</v>
      </c>
      <c r="M3505" s="55" t="s">
        <v>378</v>
      </c>
      <c r="N3505" s="55" t="s">
        <v>134</v>
      </c>
      <c r="O3505" s="55" t="s">
        <v>175</v>
      </c>
      <c r="P3505" s="55" t="s">
        <v>666</v>
      </c>
      <c r="Q3505" s="55" t="s">
        <v>350</v>
      </c>
      <c r="R3505" s="55"/>
      <c r="S3505" s="55"/>
      <c r="T3505" s="55" t="s">
        <v>6515</v>
      </c>
    </row>
    <row r="3506" spans="1:20" ht="13" x14ac:dyDescent="0.15">
      <c r="A3506" s="72" t="str">
        <f t="shared" si="54"/>
        <v>Ofsted Social Care Provider Webpage</v>
      </c>
      <c r="B3506" s="55" t="s">
        <v>6516</v>
      </c>
      <c r="D3506" s="55" t="s">
        <v>373</v>
      </c>
      <c r="E3506" s="74">
        <v>41954</v>
      </c>
      <c r="F3506" s="55" t="s">
        <v>344</v>
      </c>
      <c r="G3506" s="55" t="s">
        <v>360</v>
      </c>
      <c r="H3506" s="55" t="s">
        <v>360</v>
      </c>
      <c r="I3506" s="55" t="s">
        <v>360</v>
      </c>
      <c r="J3506" s="55" t="s">
        <v>360</v>
      </c>
      <c r="K3506" s="55" t="s">
        <v>360</v>
      </c>
      <c r="L3506" s="55" t="s">
        <v>360</v>
      </c>
      <c r="M3506" s="55" t="s">
        <v>142</v>
      </c>
      <c r="N3506" s="55" t="s">
        <v>142</v>
      </c>
      <c r="O3506" s="55" t="s">
        <v>177</v>
      </c>
      <c r="P3506" s="55" t="s">
        <v>1406</v>
      </c>
      <c r="Q3506" s="55" t="s">
        <v>350</v>
      </c>
      <c r="R3506" s="55">
        <v>3</v>
      </c>
      <c r="S3506" s="55"/>
      <c r="T3506" s="55" t="s">
        <v>2119</v>
      </c>
    </row>
    <row r="3507" spans="1:20" ht="13" x14ac:dyDescent="0.15">
      <c r="A3507" s="72" t="str">
        <f t="shared" si="54"/>
        <v>Ofsted Social Care Provider Webpage</v>
      </c>
      <c r="B3507" s="55" t="s">
        <v>6517</v>
      </c>
      <c r="D3507" s="55" t="s">
        <v>373</v>
      </c>
      <c r="E3507" s="74">
        <v>42094</v>
      </c>
      <c r="F3507" s="55" t="s">
        <v>344</v>
      </c>
      <c r="G3507" s="55" t="s">
        <v>360</v>
      </c>
      <c r="H3507" s="55" t="s">
        <v>360</v>
      </c>
      <c r="I3507" s="55" t="s">
        <v>360</v>
      </c>
      <c r="J3507" s="55" t="s">
        <v>360</v>
      </c>
      <c r="K3507" s="55" t="s">
        <v>360</v>
      </c>
      <c r="L3507" s="55" t="s">
        <v>360</v>
      </c>
      <c r="M3507" s="55" t="s">
        <v>138</v>
      </c>
      <c r="N3507" s="55" t="s">
        <v>138</v>
      </c>
      <c r="O3507" s="55" t="s">
        <v>137</v>
      </c>
      <c r="P3507" s="55" t="s">
        <v>643</v>
      </c>
      <c r="Q3507" s="55" t="s">
        <v>350</v>
      </c>
      <c r="R3507" s="55">
        <v>3</v>
      </c>
      <c r="S3507" s="55"/>
      <c r="T3507" s="55" t="s">
        <v>4819</v>
      </c>
    </row>
    <row r="3508" spans="1:20" ht="13" x14ac:dyDescent="0.15">
      <c r="A3508" s="72" t="str">
        <f t="shared" si="54"/>
        <v>Ofsted Social Care Provider Webpage</v>
      </c>
      <c r="B3508" s="55" t="s">
        <v>6518</v>
      </c>
      <c r="D3508" s="55" t="s">
        <v>373</v>
      </c>
      <c r="E3508" s="74">
        <v>42029</v>
      </c>
      <c r="F3508" s="55" t="s">
        <v>344</v>
      </c>
      <c r="G3508" s="55" t="s">
        <v>360</v>
      </c>
      <c r="H3508" s="55" t="s">
        <v>360</v>
      </c>
      <c r="I3508" s="55" t="s">
        <v>360</v>
      </c>
      <c r="J3508" s="55" t="s">
        <v>360</v>
      </c>
      <c r="K3508" s="55" t="s">
        <v>360</v>
      </c>
      <c r="L3508" s="55" t="s">
        <v>360</v>
      </c>
      <c r="M3508" s="55" t="s">
        <v>150</v>
      </c>
      <c r="N3508" s="55" t="s">
        <v>150</v>
      </c>
      <c r="O3508" s="55" t="s">
        <v>285</v>
      </c>
      <c r="P3508" s="55" t="s">
        <v>796</v>
      </c>
      <c r="Q3508" s="55" t="s">
        <v>350</v>
      </c>
      <c r="R3508" s="55">
        <v>6</v>
      </c>
      <c r="S3508" s="55"/>
      <c r="T3508" s="55" t="s">
        <v>2654</v>
      </c>
    </row>
    <row r="3509" spans="1:20" ht="13" x14ac:dyDescent="0.15">
      <c r="A3509" s="72" t="str">
        <f t="shared" si="54"/>
        <v>Ofsted Social Care Provider Webpage</v>
      </c>
      <c r="B3509" s="55" t="s">
        <v>6519</v>
      </c>
      <c r="D3509" s="55" t="s">
        <v>479</v>
      </c>
      <c r="E3509" s="74">
        <v>42047</v>
      </c>
      <c r="F3509" s="55" t="s">
        <v>344</v>
      </c>
      <c r="G3509" s="55" t="s">
        <v>360</v>
      </c>
      <c r="H3509" s="55" t="s">
        <v>360</v>
      </c>
      <c r="I3509" s="55" t="s">
        <v>360</v>
      </c>
      <c r="J3509" s="55" t="s">
        <v>360</v>
      </c>
      <c r="K3509" s="55" t="s">
        <v>360</v>
      </c>
      <c r="L3509" s="55" t="s">
        <v>360</v>
      </c>
      <c r="M3509" s="55" t="s">
        <v>144</v>
      </c>
      <c r="N3509" s="55" t="s">
        <v>144</v>
      </c>
      <c r="O3509" s="55" t="s">
        <v>162</v>
      </c>
      <c r="P3509" s="55" t="s">
        <v>516</v>
      </c>
      <c r="Q3509" s="55" t="s">
        <v>350</v>
      </c>
      <c r="R3509" s="55">
        <v>20</v>
      </c>
      <c r="S3509" s="55"/>
      <c r="T3509" s="55" t="s">
        <v>6520</v>
      </c>
    </row>
    <row r="3510" spans="1:20" ht="13" x14ac:dyDescent="0.15">
      <c r="A3510" s="72" t="str">
        <f t="shared" si="54"/>
        <v>Ofsted Social Care Provider Webpage</v>
      </c>
      <c r="B3510" s="55" t="s">
        <v>6521</v>
      </c>
      <c r="D3510" s="55" t="s">
        <v>389</v>
      </c>
      <c r="E3510" s="74">
        <v>42198</v>
      </c>
      <c r="F3510" s="55" t="s">
        <v>344</v>
      </c>
      <c r="G3510" s="55" t="s">
        <v>6522</v>
      </c>
      <c r="H3510" s="55" t="s">
        <v>6523</v>
      </c>
      <c r="I3510" s="55" t="s">
        <v>6524</v>
      </c>
      <c r="J3510" s="55" t="s">
        <v>6525</v>
      </c>
      <c r="K3510" s="55" t="s">
        <v>142</v>
      </c>
      <c r="L3510" s="55" t="s">
        <v>6526</v>
      </c>
      <c r="M3510" s="55" t="s">
        <v>142</v>
      </c>
      <c r="N3510" s="55" t="s">
        <v>142</v>
      </c>
      <c r="O3510" s="55" t="s">
        <v>249</v>
      </c>
      <c r="P3510" s="55" t="s">
        <v>1149</v>
      </c>
      <c r="Q3510" s="55" t="s">
        <v>350</v>
      </c>
      <c r="R3510" s="55"/>
      <c r="S3510" s="55"/>
      <c r="T3510" s="55" t="s">
        <v>6527</v>
      </c>
    </row>
    <row r="3511" spans="1:20" ht="13" x14ac:dyDescent="0.15">
      <c r="A3511" s="72" t="str">
        <f t="shared" si="54"/>
        <v>Ofsted Social Care Provider Webpage</v>
      </c>
      <c r="B3511" s="55" t="s">
        <v>6528</v>
      </c>
      <c r="D3511" s="55" t="s">
        <v>373</v>
      </c>
      <c r="E3511" s="74">
        <v>42046</v>
      </c>
      <c r="F3511" s="55" t="s">
        <v>344</v>
      </c>
      <c r="G3511" s="55" t="s">
        <v>360</v>
      </c>
      <c r="H3511" s="55" t="s">
        <v>360</v>
      </c>
      <c r="I3511" s="55" t="s">
        <v>360</v>
      </c>
      <c r="J3511" s="55" t="s">
        <v>360</v>
      </c>
      <c r="K3511" s="55" t="s">
        <v>360</v>
      </c>
      <c r="L3511" s="55" t="s">
        <v>360</v>
      </c>
      <c r="M3511" s="55" t="s">
        <v>378</v>
      </c>
      <c r="N3511" s="55" t="s">
        <v>170</v>
      </c>
      <c r="O3511" s="55" t="s">
        <v>264</v>
      </c>
      <c r="P3511" s="55" t="s">
        <v>1334</v>
      </c>
      <c r="Q3511" s="55" t="s">
        <v>350</v>
      </c>
      <c r="R3511" s="55">
        <v>5</v>
      </c>
      <c r="S3511" s="55"/>
      <c r="T3511" s="55" t="s">
        <v>438</v>
      </c>
    </row>
    <row r="3512" spans="1:20" ht="13" x14ac:dyDescent="0.15">
      <c r="A3512" s="72" t="str">
        <f t="shared" si="54"/>
        <v>Ofsted Social Care Provider Webpage</v>
      </c>
      <c r="B3512" s="55" t="s">
        <v>6529</v>
      </c>
      <c r="D3512" s="55" t="s">
        <v>373</v>
      </c>
      <c r="E3512" s="74">
        <v>42036</v>
      </c>
      <c r="F3512" s="55" t="s">
        <v>344</v>
      </c>
      <c r="G3512" s="55" t="s">
        <v>360</v>
      </c>
      <c r="H3512" s="55" t="s">
        <v>360</v>
      </c>
      <c r="I3512" s="55" t="s">
        <v>360</v>
      </c>
      <c r="J3512" s="55" t="s">
        <v>360</v>
      </c>
      <c r="K3512" s="55" t="s">
        <v>360</v>
      </c>
      <c r="L3512" s="55" t="s">
        <v>360</v>
      </c>
      <c r="M3512" s="55" t="s">
        <v>378</v>
      </c>
      <c r="N3512" s="55" t="s">
        <v>134</v>
      </c>
      <c r="O3512" s="55" t="s">
        <v>151</v>
      </c>
      <c r="P3512" s="55" t="s">
        <v>1778</v>
      </c>
      <c r="Q3512" s="55" t="s">
        <v>350</v>
      </c>
      <c r="R3512" s="55">
        <v>6</v>
      </c>
      <c r="S3512" s="55"/>
      <c r="T3512" s="55" t="s">
        <v>493</v>
      </c>
    </row>
    <row r="3513" spans="1:20" ht="13" x14ac:dyDescent="0.15">
      <c r="A3513" s="72" t="str">
        <f t="shared" si="54"/>
        <v>Ofsted Social Care Provider Webpage</v>
      </c>
      <c r="B3513" s="55" t="s">
        <v>6530</v>
      </c>
      <c r="D3513" s="55" t="s">
        <v>373</v>
      </c>
      <c r="E3513" s="74">
        <v>42100</v>
      </c>
      <c r="F3513" s="55" t="s">
        <v>344</v>
      </c>
      <c r="G3513" s="55" t="s">
        <v>360</v>
      </c>
      <c r="H3513" s="55" t="s">
        <v>360</v>
      </c>
      <c r="I3513" s="55" t="s">
        <v>360</v>
      </c>
      <c r="J3513" s="55" t="s">
        <v>360</v>
      </c>
      <c r="K3513" s="55" t="s">
        <v>360</v>
      </c>
      <c r="L3513" s="55" t="s">
        <v>360</v>
      </c>
      <c r="M3513" s="55" t="s">
        <v>150</v>
      </c>
      <c r="N3513" s="55" t="s">
        <v>150</v>
      </c>
      <c r="O3513" s="55" t="s">
        <v>181</v>
      </c>
      <c r="P3513" s="55" t="s">
        <v>937</v>
      </c>
      <c r="Q3513" s="55" t="s">
        <v>350</v>
      </c>
      <c r="R3513" s="55">
        <v>2</v>
      </c>
      <c r="S3513" s="55"/>
      <c r="T3513" s="55" t="s">
        <v>5670</v>
      </c>
    </row>
    <row r="3514" spans="1:20" ht="13" x14ac:dyDescent="0.15">
      <c r="A3514" s="72" t="str">
        <f t="shared" si="54"/>
        <v>Ofsted Social Care Provider Webpage</v>
      </c>
      <c r="B3514" s="55" t="s">
        <v>6531</v>
      </c>
      <c r="D3514" s="55" t="s">
        <v>373</v>
      </c>
      <c r="E3514" s="74">
        <v>42023</v>
      </c>
      <c r="F3514" s="55" t="s">
        <v>344</v>
      </c>
      <c r="G3514" s="55" t="s">
        <v>360</v>
      </c>
      <c r="H3514" s="55" t="s">
        <v>360</v>
      </c>
      <c r="I3514" s="55" t="s">
        <v>360</v>
      </c>
      <c r="J3514" s="55" t="s">
        <v>360</v>
      </c>
      <c r="K3514" s="55" t="s">
        <v>360</v>
      </c>
      <c r="L3514" s="55" t="s">
        <v>360</v>
      </c>
      <c r="M3514" s="55" t="s">
        <v>172</v>
      </c>
      <c r="N3514" s="55" t="s">
        <v>172</v>
      </c>
      <c r="O3514" s="55" t="s">
        <v>235</v>
      </c>
      <c r="P3514" s="55" t="s">
        <v>1396</v>
      </c>
      <c r="Q3514" s="55" t="s">
        <v>350</v>
      </c>
      <c r="R3514" s="55">
        <v>3</v>
      </c>
      <c r="S3514" s="55"/>
      <c r="T3514" s="55" t="s">
        <v>1819</v>
      </c>
    </row>
    <row r="3515" spans="1:20" ht="13" x14ac:dyDescent="0.15">
      <c r="A3515" s="72" t="str">
        <f t="shared" si="54"/>
        <v>Ofsted Social Care Provider Webpage</v>
      </c>
      <c r="B3515" s="55" t="s">
        <v>6532</v>
      </c>
      <c r="D3515" s="55" t="s">
        <v>389</v>
      </c>
      <c r="E3515" s="74">
        <v>42045</v>
      </c>
      <c r="F3515" s="55" t="s">
        <v>344</v>
      </c>
      <c r="G3515" s="55" t="s">
        <v>6533</v>
      </c>
      <c r="H3515" s="55" t="s">
        <v>6534</v>
      </c>
      <c r="I3515" s="55" t="s">
        <v>6535</v>
      </c>
      <c r="L3515" s="55" t="s">
        <v>6536</v>
      </c>
      <c r="M3515" s="55" t="s">
        <v>129</v>
      </c>
      <c r="N3515" s="55" t="s">
        <v>129</v>
      </c>
      <c r="O3515" s="55" t="s">
        <v>167</v>
      </c>
      <c r="P3515" s="55" t="s">
        <v>2239</v>
      </c>
      <c r="Q3515" s="55" t="s">
        <v>362</v>
      </c>
      <c r="R3515" s="55"/>
      <c r="S3515" s="55"/>
      <c r="T3515" s="55" t="s">
        <v>6537</v>
      </c>
    </row>
    <row r="3516" spans="1:20" ht="13" x14ac:dyDescent="0.15">
      <c r="A3516" s="72" t="str">
        <f t="shared" si="54"/>
        <v>Ofsted Social Care Provider Webpage</v>
      </c>
      <c r="B3516" s="55" t="s">
        <v>6538</v>
      </c>
      <c r="D3516" s="55" t="s">
        <v>468</v>
      </c>
      <c r="E3516" s="74">
        <v>42046</v>
      </c>
      <c r="F3516" s="55" t="s">
        <v>344</v>
      </c>
      <c r="G3516" s="55" t="s">
        <v>6539</v>
      </c>
      <c r="H3516" s="55" t="s">
        <v>6534</v>
      </c>
      <c r="I3516" s="55" t="s">
        <v>6535</v>
      </c>
      <c r="L3516" s="55" t="s">
        <v>6536</v>
      </c>
      <c r="M3516" s="55" t="s">
        <v>129</v>
      </c>
      <c r="N3516" s="55" t="s">
        <v>129</v>
      </c>
      <c r="O3516" s="55" t="s">
        <v>167</v>
      </c>
      <c r="P3516" s="55" t="s">
        <v>2239</v>
      </c>
      <c r="Q3516" s="55" t="s">
        <v>362</v>
      </c>
      <c r="R3516" s="55"/>
      <c r="S3516" s="55"/>
      <c r="T3516" s="55" t="s">
        <v>6537</v>
      </c>
    </row>
    <row r="3517" spans="1:20" ht="13" x14ac:dyDescent="0.15">
      <c r="A3517" s="72" t="str">
        <f t="shared" si="54"/>
        <v>Ofsted Social Care Provider Webpage</v>
      </c>
      <c r="B3517" s="55" t="s">
        <v>6540</v>
      </c>
      <c r="D3517" s="55" t="s">
        <v>373</v>
      </c>
      <c r="E3517" s="74">
        <v>42067</v>
      </c>
      <c r="F3517" s="55" t="s">
        <v>344</v>
      </c>
      <c r="G3517" s="55" t="s">
        <v>360</v>
      </c>
      <c r="H3517" s="55" t="s">
        <v>360</v>
      </c>
      <c r="I3517" s="55" t="s">
        <v>360</v>
      </c>
      <c r="J3517" s="55" t="s">
        <v>360</v>
      </c>
      <c r="K3517" s="55" t="s">
        <v>360</v>
      </c>
      <c r="L3517" s="55" t="s">
        <v>360</v>
      </c>
      <c r="M3517" s="55" t="s">
        <v>138</v>
      </c>
      <c r="N3517" s="55" t="s">
        <v>138</v>
      </c>
      <c r="O3517" s="55" t="s">
        <v>137</v>
      </c>
      <c r="P3517" s="55" t="s">
        <v>643</v>
      </c>
      <c r="Q3517" s="55" t="s">
        <v>350</v>
      </c>
      <c r="R3517" s="55">
        <v>4</v>
      </c>
      <c r="S3517" s="55"/>
      <c r="T3517" s="55" t="s">
        <v>762</v>
      </c>
    </row>
    <row r="3518" spans="1:20" ht="13" x14ac:dyDescent="0.15">
      <c r="A3518" s="72" t="str">
        <f t="shared" si="54"/>
        <v>Ofsted Social Care Provider Webpage</v>
      </c>
      <c r="B3518" s="55" t="s">
        <v>6541</v>
      </c>
      <c r="D3518" s="55" t="s">
        <v>451</v>
      </c>
      <c r="E3518" s="74">
        <v>42081</v>
      </c>
      <c r="F3518" s="55" t="s">
        <v>344</v>
      </c>
      <c r="G3518" s="55" t="s">
        <v>6542</v>
      </c>
      <c r="H3518" s="55" t="s">
        <v>6543</v>
      </c>
      <c r="I3518" s="55" t="s">
        <v>354</v>
      </c>
      <c r="J3518" s="55" t="s">
        <v>2578</v>
      </c>
      <c r="L3518" s="55" t="s">
        <v>6544</v>
      </c>
      <c r="M3518" s="55" t="s">
        <v>129</v>
      </c>
      <c r="N3518" s="55" t="s">
        <v>129</v>
      </c>
      <c r="O3518" s="55" t="s">
        <v>179</v>
      </c>
      <c r="P3518" s="55" t="s">
        <v>1854</v>
      </c>
      <c r="Q3518" s="55" t="s">
        <v>350</v>
      </c>
      <c r="R3518" s="55">
        <v>3</v>
      </c>
      <c r="S3518" s="55"/>
      <c r="T3518" s="55" t="s">
        <v>2059</v>
      </c>
    </row>
    <row r="3519" spans="1:20" ht="13" x14ac:dyDescent="0.15">
      <c r="A3519" s="72" t="str">
        <f t="shared" si="54"/>
        <v>Ofsted Social Care Provider Webpage</v>
      </c>
      <c r="B3519" s="55" t="s">
        <v>6545</v>
      </c>
      <c r="D3519" s="55" t="s">
        <v>373</v>
      </c>
      <c r="E3519" s="74">
        <v>42031</v>
      </c>
      <c r="F3519" s="55" t="s">
        <v>344</v>
      </c>
      <c r="G3519" s="55" t="s">
        <v>360</v>
      </c>
      <c r="H3519" s="55" t="s">
        <v>360</v>
      </c>
      <c r="I3519" s="55" t="s">
        <v>360</v>
      </c>
      <c r="J3519" s="55" t="s">
        <v>360</v>
      </c>
      <c r="K3519" s="55" t="s">
        <v>360</v>
      </c>
      <c r="L3519" s="55" t="s">
        <v>360</v>
      </c>
      <c r="M3519" s="55" t="s">
        <v>144</v>
      </c>
      <c r="N3519" s="55" t="s">
        <v>144</v>
      </c>
      <c r="O3519" s="55" t="s">
        <v>147</v>
      </c>
      <c r="P3519" s="55" t="s">
        <v>674</v>
      </c>
      <c r="Q3519" s="55" t="s">
        <v>362</v>
      </c>
      <c r="R3519" s="55">
        <v>3</v>
      </c>
      <c r="S3519" s="55"/>
      <c r="T3519" s="55" t="s">
        <v>675</v>
      </c>
    </row>
    <row r="3520" spans="1:20" ht="13" x14ac:dyDescent="0.15">
      <c r="A3520" s="72" t="str">
        <f t="shared" si="54"/>
        <v>Ofsted Social Care Provider Webpage</v>
      </c>
      <c r="B3520" s="55" t="s">
        <v>6546</v>
      </c>
      <c r="D3520" s="55" t="s">
        <v>389</v>
      </c>
      <c r="E3520" s="74">
        <v>42146</v>
      </c>
      <c r="F3520" s="55" t="s">
        <v>344</v>
      </c>
      <c r="G3520" s="55" t="s">
        <v>6547</v>
      </c>
      <c r="H3520" s="55" t="s">
        <v>2019</v>
      </c>
      <c r="I3520" s="55" t="s">
        <v>6548</v>
      </c>
      <c r="J3520" s="55" t="s">
        <v>5896</v>
      </c>
      <c r="K3520" s="55" t="s">
        <v>183</v>
      </c>
      <c r="L3520" s="55" t="s">
        <v>2021</v>
      </c>
      <c r="M3520" s="55" t="s">
        <v>129</v>
      </c>
      <c r="N3520" s="55" t="s">
        <v>129</v>
      </c>
      <c r="O3520" s="55" t="s">
        <v>242</v>
      </c>
      <c r="P3520" s="55" t="s">
        <v>1519</v>
      </c>
      <c r="Q3520" s="55" t="s">
        <v>350</v>
      </c>
      <c r="R3520" s="55"/>
      <c r="S3520" s="55"/>
      <c r="T3520" s="55" t="s">
        <v>6549</v>
      </c>
    </row>
    <row r="3521" spans="1:20" ht="13" x14ac:dyDescent="0.15">
      <c r="A3521" s="72" t="str">
        <f t="shared" si="54"/>
        <v>Ofsted Social Care Provider Webpage</v>
      </c>
      <c r="B3521" s="55" t="s">
        <v>6550</v>
      </c>
      <c r="D3521" s="55" t="s">
        <v>373</v>
      </c>
      <c r="E3521" s="74">
        <v>42057</v>
      </c>
      <c r="F3521" s="55" t="s">
        <v>344</v>
      </c>
      <c r="G3521" s="55" t="s">
        <v>360</v>
      </c>
      <c r="H3521" s="55" t="s">
        <v>360</v>
      </c>
      <c r="I3521" s="55" t="s">
        <v>360</v>
      </c>
      <c r="J3521" s="55" t="s">
        <v>360</v>
      </c>
      <c r="K3521" s="55" t="s">
        <v>360</v>
      </c>
      <c r="L3521" s="55" t="s">
        <v>360</v>
      </c>
      <c r="M3521" s="55" t="s">
        <v>142</v>
      </c>
      <c r="N3521" s="55" t="s">
        <v>142</v>
      </c>
      <c r="O3521" s="55" t="s">
        <v>262</v>
      </c>
      <c r="P3521" s="55" t="s">
        <v>692</v>
      </c>
      <c r="Q3521" s="55" t="s">
        <v>350</v>
      </c>
      <c r="R3521" s="55">
        <v>2</v>
      </c>
      <c r="S3521" s="55"/>
      <c r="T3521" s="55" t="s">
        <v>1106</v>
      </c>
    </row>
    <row r="3522" spans="1:20" ht="13" x14ac:dyDescent="0.15">
      <c r="A3522" s="72" t="str">
        <f t="shared" si="54"/>
        <v>Ofsted Social Care Provider Webpage</v>
      </c>
      <c r="B3522" s="55" t="s">
        <v>6551</v>
      </c>
      <c r="D3522" s="55" t="s">
        <v>373</v>
      </c>
      <c r="E3522" s="74">
        <v>42046</v>
      </c>
      <c r="F3522" s="55" t="s">
        <v>344</v>
      </c>
      <c r="G3522" s="55" t="s">
        <v>360</v>
      </c>
      <c r="H3522" s="55" t="s">
        <v>360</v>
      </c>
      <c r="I3522" s="55" t="s">
        <v>360</v>
      </c>
      <c r="J3522" s="55" t="s">
        <v>360</v>
      </c>
      <c r="K3522" s="55" t="s">
        <v>360</v>
      </c>
      <c r="L3522" s="55" t="s">
        <v>360</v>
      </c>
      <c r="M3522" s="55" t="s">
        <v>129</v>
      </c>
      <c r="N3522" s="55" t="s">
        <v>129</v>
      </c>
      <c r="O3522" s="55" t="s">
        <v>197</v>
      </c>
      <c r="P3522" s="55" t="s">
        <v>532</v>
      </c>
      <c r="Q3522" s="55" t="s">
        <v>350</v>
      </c>
      <c r="R3522" s="55">
        <v>10</v>
      </c>
      <c r="S3522" s="55"/>
    </row>
    <row r="3523" spans="1:20" ht="13" x14ac:dyDescent="0.15">
      <c r="A3523" s="72" t="str">
        <f t="shared" si="54"/>
        <v>Ofsted Social Care Provider Webpage</v>
      </c>
      <c r="B3523" s="55" t="s">
        <v>6552</v>
      </c>
      <c r="C3523" s="55">
        <v>134764</v>
      </c>
      <c r="D3523" s="55" t="s">
        <v>398</v>
      </c>
      <c r="E3523" s="74">
        <v>41955</v>
      </c>
      <c r="F3523" s="55" t="s">
        <v>344</v>
      </c>
      <c r="G3523" s="55" t="s">
        <v>6553</v>
      </c>
      <c r="H3523" s="55" t="s">
        <v>6554</v>
      </c>
      <c r="I3523" s="55" t="s">
        <v>354</v>
      </c>
      <c r="J3523" s="55" t="s">
        <v>129</v>
      </c>
      <c r="L3523" s="55" t="s">
        <v>6555</v>
      </c>
      <c r="M3523" s="55" t="s">
        <v>129</v>
      </c>
      <c r="N3523" s="55" t="s">
        <v>129</v>
      </c>
      <c r="O3523" s="55" t="s">
        <v>131</v>
      </c>
      <c r="P3523" s="55" t="s">
        <v>1017</v>
      </c>
      <c r="Q3523" s="55" t="s">
        <v>350</v>
      </c>
      <c r="R3523" s="55">
        <v>9</v>
      </c>
      <c r="S3523" s="55"/>
      <c r="T3523" s="55" t="s">
        <v>6556</v>
      </c>
    </row>
    <row r="3524" spans="1:20" ht="13" x14ac:dyDescent="0.15">
      <c r="A3524" s="72" t="str">
        <f t="shared" si="54"/>
        <v>Ofsted Social Care Provider Webpage</v>
      </c>
      <c r="B3524" s="55" t="s">
        <v>6557</v>
      </c>
      <c r="D3524" s="55" t="s">
        <v>373</v>
      </c>
      <c r="E3524" s="74">
        <v>42031</v>
      </c>
      <c r="F3524" s="55" t="s">
        <v>344</v>
      </c>
      <c r="G3524" s="55" t="s">
        <v>360</v>
      </c>
      <c r="H3524" s="55" t="s">
        <v>360</v>
      </c>
      <c r="I3524" s="55" t="s">
        <v>360</v>
      </c>
      <c r="J3524" s="55" t="s">
        <v>360</v>
      </c>
      <c r="K3524" s="55" t="s">
        <v>360</v>
      </c>
      <c r="L3524" s="55" t="s">
        <v>360</v>
      </c>
      <c r="M3524" s="55" t="s">
        <v>144</v>
      </c>
      <c r="N3524" s="55" t="s">
        <v>144</v>
      </c>
      <c r="O3524" s="55" t="s">
        <v>209</v>
      </c>
      <c r="P3524" s="55" t="s">
        <v>597</v>
      </c>
      <c r="Q3524" s="55" t="s">
        <v>350</v>
      </c>
      <c r="R3524" s="55">
        <v>2</v>
      </c>
      <c r="S3524" s="55"/>
      <c r="T3524" s="55" t="s">
        <v>513</v>
      </c>
    </row>
    <row r="3525" spans="1:20" ht="13" x14ac:dyDescent="0.15">
      <c r="A3525" s="72" t="str">
        <f t="shared" ref="A3525:A3588" si="55">HYPERLINK(_xlfn.CONCAT("http://reports.ofsted.gov.uk/inspection-reports/find-inspection-report/provider/CARE/",B3525),"Ofsted Social Care Provider Webpage")</f>
        <v>Ofsted Social Care Provider Webpage</v>
      </c>
      <c r="B3525" s="55" t="s">
        <v>6558</v>
      </c>
      <c r="D3525" s="55" t="s">
        <v>373</v>
      </c>
      <c r="E3525" s="74">
        <v>42090</v>
      </c>
      <c r="F3525" s="55" t="s">
        <v>344</v>
      </c>
      <c r="G3525" s="55" t="s">
        <v>360</v>
      </c>
      <c r="H3525" s="55" t="s">
        <v>360</v>
      </c>
      <c r="I3525" s="55" t="s">
        <v>360</v>
      </c>
      <c r="J3525" s="55" t="s">
        <v>360</v>
      </c>
      <c r="K3525" s="55" t="s">
        <v>360</v>
      </c>
      <c r="L3525" s="55" t="s">
        <v>360</v>
      </c>
      <c r="M3525" s="55" t="s">
        <v>150</v>
      </c>
      <c r="N3525" s="55" t="s">
        <v>150</v>
      </c>
      <c r="O3525" s="55" t="s">
        <v>190</v>
      </c>
      <c r="P3525" s="55" t="s">
        <v>1523</v>
      </c>
      <c r="Q3525" s="55" t="s">
        <v>350</v>
      </c>
      <c r="R3525" s="55">
        <v>5</v>
      </c>
      <c r="S3525" s="55"/>
      <c r="T3525" s="55" t="s">
        <v>1960</v>
      </c>
    </row>
    <row r="3526" spans="1:20" ht="13" x14ac:dyDescent="0.15">
      <c r="A3526" s="72" t="str">
        <f t="shared" si="55"/>
        <v>Ofsted Social Care Provider Webpage</v>
      </c>
      <c r="B3526" s="55" t="s">
        <v>6559</v>
      </c>
      <c r="D3526" s="55" t="s">
        <v>373</v>
      </c>
      <c r="E3526" s="74">
        <v>42053</v>
      </c>
      <c r="F3526" s="55" t="s">
        <v>344</v>
      </c>
      <c r="G3526" s="55" t="s">
        <v>360</v>
      </c>
      <c r="H3526" s="55" t="s">
        <v>360</v>
      </c>
      <c r="I3526" s="55" t="s">
        <v>360</v>
      </c>
      <c r="J3526" s="55" t="s">
        <v>360</v>
      </c>
      <c r="K3526" s="55" t="s">
        <v>360</v>
      </c>
      <c r="L3526" s="55" t="s">
        <v>360</v>
      </c>
      <c r="M3526" s="55" t="s">
        <v>136</v>
      </c>
      <c r="N3526" s="55" t="s">
        <v>136</v>
      </c>
      <c r="O3526" s="55" t="s">
        <v>255</v>
      </c>
      <c r="P3526" s="55" t="s">
        <v>757</v>
      </c>
      <c r="Q3526" s="55" t="s">
        <v>350</v>
      </c>
      <c r="R3526" s="55">
        <v>2</v>
      </c>
      <c r="S3526" s="55"/>
      <c r="T3526" s="55" t="s">
        <v>4019</v>
      </c>
    </row>
    <row r="3527" spans="1:20" ht="13" x14ac:dyDescent="0.15">
      <c r="A3527" s="72" t="str">
        <f t="shared" si="55"/>
        <v>Ofsted Social Care Provider Webpage</v>
      </c>
      <c r="B3527" s="55" t="s">
        <v>6560</v>
      </c>
      <c r="D3527" s="55" t="s">
        <v>373</v>
      </c>
      <c r="E3527" s="74">
        <v>42024</v>
      </c>
      <c r="F3527" s="55" t="s">
        <v>344</v>
      </c>
      <c r="G3527" s="55" t="s">
        <v>360</v>
      </c>
      <c r="H3527" s="55" t="s">
        <v>360</v>
      </c>
      <c r="I3527" s="55" t="s">
        <v>360</v>
      </c>
      <c r="J3527" s="55" t="s">
        <v>360</v>
      </c>
      <c r="K3527" s="55" t="s">
        <v>360</v>
      </c>
      <c r="L3527" s="55" t="s">
        <v>360</v>
      </c>
      <c r="M3527" s="55" t="s">
        <v>150</v>
      </c>
      <c r="N3527" s="55" t="s">
        <v>150</v>
      </c>
      <c r="O3527" s="55" t="s">
        <v>190</v>
      </c>
      <c r="P3527" s="55" t="s">
        <v>749</v>
      </c>
      <c r="Q3527" s="55" t="s">
        <v>350</v>
      </c>
      <c r="R3527" s="55">
        <v>3</v>
      </c>
      <c r="S3527" s="55"/>
      <c r="T3527" s="55" t="s">
        <v>888</v>
      </c>
    </row>
    <row r="3528" spans="1:20" ht="13" x14ac:dyDescent="0.15">
      <c r="A3528" s="72" t="str">
        <f t="shared" si="55"/>
        <v>Ofsted Social Care Provider Webpage</v>
      </c>
      <c r="B3528" s="55" t="s">
        <v>6561</v>
      </c>
      <c r="D3528" s="55" t="s">
        <v>373</v>
      </c>
      <c r="E3528" s="74">
        <v>42046</v>
      </c>
      <c r="F3528" s="55" t="s">
        <v>344</v>
      </c>
      <c r="G3528" s="55" t="s">
        <v>360</v>
      </c>
      <c r="H3528" s="55" t="s">
        <v>360</v>
      </c>
      <c r="I3528" s="55" t="s">
        <v>360</v>
      </c>
      <c r="J3528" s="55" t="s">
        <v>360</v>
      </c>
      <c r="K3528" s="55" t="s">
        <v>360</v>
      </c>
      <c r="L3528" s="55" t="s">
        <v>360</v>
      </c>
      <c r="M3528" s="55" t="s">
        <v>378</v>
      </c>
      <c r="N3528" s="55" t="s">
        <v>170</v>
      </c>
      <c r="O3528" s="55" t="s">
        <v>169</v>
      </c>
      <c r="P3528" s="55" t="s">
        <v>434</v>
      </c>
      <c r="Q3528" s="55" t="s">
        <v>350</v>
      </c>
      <c r="R3528" s="55">
        <v>7</v>
      </c>
      <c r="S3528" s="55"/>
      <c r="T3528" s="55" t="s">
        <v>435</v>
      </c>
    </row>
    <row r="3529" spans="1:20" ht="13" x14ac:dyDescent="0.15">
      <c r="A3529" s="72" t="str">
        <f t="shared" si="55"/>
        <v>Ofsted Social Care Provider Webpage</v>
      </c>
      <c r="B3529" s="55" t="s">
        <v>6562</v>
      </c>
      <c r="D3529" s="55" t="s">
        <v>389</v>
      </c>
      <c r="E3529" s="74">
        <v>42059</v>
      </c>
      <c r="F3529" s="55" t="s">
        <v>344</v>
      </c>
      <c r="G3529" s="55" t="s">
        <v>6563</v>
      </c>
      <c r="H3529" s="55" t="s">
        <v>5134</v>
      </c>
      <c r="I3529" s="55" t="s">
        <v>354</v>
      </c>
      <c r="J3529" s="55" t="s">
        <v>6564</v>
      </c>
      <c r="K3529" s="55" t="s">
        <v>285</v>
      </c>
      <c r="L3529" s="55" t="s">
        <v>5136</v>
      </c>
      <c r="M3529" s="55" t="s">
        <v>150</v>
      </c>
      <c r="N3529" s="55" t="s">
        <v>150</v>
      </c>
      <c r="O3529" s="55" t="s">
        <v>285</v>
      </c>
      <c r="P3529" s="55" t="s">
        <v>1810</v>
      </c>
      <c r="Q3529" s="55" t="s">
        <v>350</v>
      </c>
      <c r="R3529" s="55"/>
      <c r="S3529" s="55"/>
      <c r="T3529" s="55" t="s">
        <v>6565</v>
      </c>
    </row>
    <row r="3530" spans="1:20" ht="13" x14ac:dyDescent="0.15">
      <c r="A3530" s="72" t="str">
        <f t="shared" si="55"/>
        <v>Ofsted Social Care Provider Webpage</v>
      </c>
      <c r="B3530" s="55" t="s">
        <v>6566</v>
      </c>
      <c r="D3530" s="55" t="s">
        <v>389</v>
      </c>
      <c r="E3530" s="74">
        <v>42059</v>
      </c>
      <c r="F3530" s="55" t="s">
        <v>344</v>
      </c>
      <c r="G3530" s="55" t="s">
        <v>6567</v>
      </c>
      <c r="H3530" s="55" t="s">
        <v>6565</v>
      </c>
      <c r="I3530" s="55" t="s">
        <v>6568</v>
      </c>
      <c r="J3530" s="55" t="s">
        <v>221</v>
      </c>
      <c r="L3530" s="55" t="s">
        <v>4094</v>
      </c>
      <c r="M3530" s="55" t="s">
        <v>150</v>
      </c>
      <c r="N3530" s="55" t="s">
        <v>150</v>
      </c>
      <c r="O3530" s="55" t="s">
        <v>221</v>
      </c>
      <c r="P3530" s="55" t="s">
        <v>349</v>
      </c>
      <c r="Q3530" s="55" t="s">
        <v>350</v>
      </c>
      <c r="R3530" s="55"/>
      <c r="S3530" s="55"/>
      <c r="T3530" s="55" t="s">
        <v>6565</v>
      </c>
    </row>
    <row r="3531" spans="1:20" ht="13" x14ac:dyDescent="0.15">
      <c r="A3531" s="72" t="str">
        <f t="shared" si="55"/>
        <v>Ofsted Social Care Provider Webpage</v>
      </c>
      <c r="B3531" s="55" t="s">
        <v>6569</v>
      </c>
      <c r="D3531" s="55" t="s">
        <v>389</v>
      </c>
      <c r="E3531" s="74">
        <v>42059</v>
      </c>
      <c r="F3531" s="55" t="s">
        <v>344</v>
      </c>
      <c r="G3531" s="55" t="s">
        <v>6570</v>
      </c>
      <c r="H3531" s="55" t="s">
        <v>6571</v>
      </c>
      <c r="I3531" s="55" t="s">
        <v>6572</v>
      </c>
      <c r="J3531" s="55" t="s">
        <v>6573</v>
      </c>
      <c r="L3531" s="55" t="s">
        <v>6574</v>
      </c>
      <c r="M3531" s="55" t="s">
        <v>378</v>
      </c>
      <c r="N3531" s="55" t="s">
        <v>134</v>
      </c>
      <c r="O3531" s="55" t="s">
        <v>175</v>
      </c>
      <c r="P3531" s="55" t="s">
        <v>666</v>
      </c>
      <c r="Q3531" s="55" t="s">
        <v>350</v>
      </c>
      <c r="R3531" s="55"/>
      <c r="S3531" s="55"/>
      <c r="T3531" s="55" t="s">
        <v>6565</v>
      </c>
    </row>
    <row r="3532" spans="1:20" ht="13" x14ac:dyDescent="0.15">
      <c r="A3532" s="72" t="str">
        <f t="shared" si="55"/>
        <v>Ofsted Social Care Provider Webpage</v>
      </c>
      <c r="B3532" s="55" t="s">
        <v>6575</v>
      </c>
      <c r="D3532" s="55" t="s">
        <v>389</v>
      </c>
      <c r="E3532" s="74">
        <v>42059</v>
      </c>
      <c r="F3532" s="55" t="s">
        <v>344</v>
      </c>
      <c r="G3532" s="55" t="s">
        <v>6576</v>
      </c>
      <c r="H3532" s="55" t="s">
        <v>6577</v>
      </c>
      <c r="I3532" s="55" t="s">
        <v>6578</v>
      </c>
      <c r="J3532" s="55" t="s">
        <v>6579</v>
      </c>
      <c r="K3532" s="55" t="s">
        <v>281</v>
      </c>
      <c r="L3532" s="55" t="s">
        <v>6580</v>
      </c>
      <c r="M3532" s="55" t="s">
        <v>144</v>
      </c>
      <c r="N3532" s="55" t="s">
        <v>144</v>
      </c>
      <c r="O3532" s="55" t="s">
        <v>281</v>
      </c>
      <c r="P3532" s="55" t="s">
        <v>556</v>
      </c>
      <c r="Q3532" s="55" t="s">
        <v>350</v>
      </c>
      <c r="R3532" s="55"/>
      <c r="S3532" s="55"/>
      <c r="T3532" s="55" t="s">
        <v>6565</v>
      </c>
    </row>
    <row r="3533" spans="1:20" ht="13" x14ac:dyDescent="0.15">
      <c r="A3533" s="72" t="str">
        <f t="shared" si="55"/>
        <v>Ofsted Social Care Provider Webpage</v>
      </c>
      <c r="B3533" s="55" t="s">
        <v>6581</v>
      </c>
      <c r="D3533" s="55" t="s">
        <v>389</v>
      </c>
      <c r="E3533" s="74">
        <v>42059</v>
      </c>
      <c r="F3533" s="55" t="s">
        <v>344</v>
      </c>
      <c r="G3533" s="55" t="s">
        <v>6582</v>
      </c>
      <c r="H3533" s="55" t="s">
        <v>6583</v>
      </c>
      <c r="I3533" s="55" t="s">
        <v>6584</v>
      </c>
      <c r="J3533" s="55" t="s">
        <v>916</v>
      </c>
      <c r="K3533" s="55" t="s">
        <v>262</v>
      </c>
      <c r="L3533" s="55" t="s">
        <v>6585</v>
      </c>
      <c r="M3533" s="55" t="s">
        <v>142</v>
      </c>
      <c r="N3533" s="55" t="s">
        <v>142</v>
      </c>
      <c r="O3533" s="55" t="s">
        <v>262</v>
      </c>
      <c r="P3533" s="55" t="s">
        <v>916</v>
      </c>
      <c r="Q3533" s="55" t="s">
        <v>350</v>
      </c>
      <c r="R3533" s="55"/>
      <c r="S3533" s="55"/>
      <c r="T3533" s="55" t="s">
        <v>6565</v>
      </c>
    </row>
    <row r="3534" spans="1:20" ht="13" x14ac:dyDescent="0.15">
      <c r="A3534" s="72" t="str">
        <f t="shared" si="55"/>
        <v>Ofsted Social Care Provider Webpage</v>
      </c>
      <c r="B3534" s="55" t="s">
        <v>6586</v>
      </c>
      <c r="D3534" s="55" t="s">
        <v>389</v>
      </c>
      <c r="E3534" s="74">
        <v>42071</v>
      </c>
      <c r="F3534" s="55" t="s">
        <v>344</v>
      </c>
      <c r="G3534" s="55" t="s">
        <v>6587</v>
      </c>
      <c r="H3534" s="55" t="s">
        <v>6588</v>
      </c>
      <c r="I3534" s="55" t="s">
        <v>354</v>
      </c>
      <c r="J3534" s="55" t="s">
        <v>2495</v>
      </c>
      <c r="K3534" s="55" t="s">
        <v>203</v>
      </c>
      <c r="L3534" s="55" t="s">
        <v>6589</v>
      </c>
      <c r="M3534" s="55" t="s">
        <v>129</v>
      </c>
      <c r="N3534" s="55" t="s">
        <v>129</v>
      </c>
      <c r="O3534" s="55" t="s">
        <v>155</v>
      </c>
      <c r="P3534" s="55" t="s">
        <v>482</v>
      </c>
      <c r="Q3534" s="55" t="s">
        <v>350</v>
      </c>
      <c r="R3534" s="55"/>
      <c r="S3534" s="55"/>
      <c r="T3534" s="55" t="s">
        <v>6565</v>
      </c>
    </row>
    <row r="3535" spans="1:20" ht="13" x14ac:dyDescent="0.15">
      <c r="A3535" s="72" t="str">
        <f t="shared" si="55"/>
        <v>Ofsted Social Care Provider Webpage</v>
      </c>
      <c r="B3535" s="55" t="s">
        <v>6590</v>
      </c>
      <c r="D3535" s="55" t="s">
        <v>373</v>
      </c>
      <c r="E3535" s="74">
        <v>42160</v>
      </c>
      <c r="F3535" s="55" t="s">
        <v>344</v>
      </c>
      <c r="G3535" s="55" t="s">
        <v>360</v>
      </c>
      <c r="H3535" s="55" t="s">
        <v>360</v>
      </c>
      <c r="I3535" s="55" t="s">
        <v>360</v>
      </c>
      <c r="J3535" s="55" t="s">
        <v>360</v>
      </c>
      <c r="K3535" s="55" t="s">
        <v>360</v>
      </c>
      <c r="L3535" s="55" t="s">
        <v>360</v>
      </c>
      <c r="M3535" s="55" t="s">
        <v>144</v>
      </c>
      <c r="N3535" s="55" t="s">
        <v>144</v>
      </c>
      <c r="O3535" s="55" t="s">
        <v>209</v>
      </c>
      <c r="P3535" s="55" t="s">
        <v>736</v>
      </c>
      <c r="Q3535" s="55" t="s">
        <v>350</v>
      </c>
      <c r="R3535" s="55">
        <v>2</v>
      </c>
      <c r="S3535" s="55"/>
      <c r="T3535" s="55" t="s">
        <v>737</v>
      </c>
    </row>
    <row r="3536" spans="1:20" ht="13" x14ac:dyDescent="0.15">
      <c r="A3536" s="72" t="str">
        <f t="shared" si="55"/>
        <v>Ofsted Social Care Provider Webpage</v>
      </c>
      <c r="B3536" s="55" t="s">
        <v>6591</v>
      </c>
      <c r="D3536" s="55" t="s">
        <v>373</v>
      </c>
      <c r="E3536" s="74">
        <v>42193</v>
      </c>
      <c r="F3536" s="55" t="s">
        <v>344</v>
      </c>
      <c r="G3536" s="55" t="s">
        <v>360</v>
      </c>
      <c r="H3536" s="55" t="s">
        <v>360</v>
      </c>
      <c r="I3536" s="55" t="s">
        <v>360</v>
      </c>
      <c r="J3536" s="55" t="s">
        <v>360</v>
      </c>
      <c r="K3536" s="55" t="s">
        <v>360</v>
      </c>
      <c r="L3536" s="55" t="s">
        <v>360</v>
      </c>
      <c r="M3536" s="55" t="s">
        <v>144</v>
      </c>
      <c r="N3536" s="55" t="s">
        <v>144</v>
      </c>
      <c r="O3536" s="55" t="s">
        <v>209</v>
      </c>
      <c r="P3536" s="55" t="s">
        <v>650</v>
      </c>
      <c r="Q3536" s="55" t="s">
        <v>350</v>
      </c>
      <c r="R3536" s="55">
        <v>4</v>
      </c>
      <c r="S3536" s="55"/>
      <c r="T3536" s="55" t="s">
        <v>1577</v>
      </c>
    </row>
    <row r="3537" spans="1:20" ht="13" x14ac:dyDescent="0.15">
      <c r="A3537" s="72" t="str">
        <f t="shared" si="55"/>
        <v>Ofsted Social Care Provider Webpage</v>
      </c>
      <c r="B3537" s="55" t="s">
        <v>6592</v>
      </c>
      <c r="D3537" s="55" t="s">
        <v>373</v>
      </c>
      <c r="E3537" s="74">
        <v>42068</v>
      </c>
      <c r="F3537" s="55" t="s">
        <v>344</v>
      </c>
      <c r="G3537" s="55" t="s">
        <v>360</v>
      </c>
      <c r="H3537" s="55" t="s">
        <v>360</v>
      </c>
      <c r="I3537" s="55" t="s">
        <v>360</v>
      </c>
      <c r="J3537" s="55" t="s">
        <v>360</v>
      </c>
      <c r="K3537" s="55" t="s">
        <v>360</v>
      </c>
      <c r="L3537" s="55" t="s">
        <v>360</v>
      </c>
      <c r="M3537" s="55" t="s">
        <v>144</v>
      </c>
      <c r="N3537" s="55" t="s">
        <v>144</v>
      </c>
      <c r="O3537" s="55" t="s">
        <v>290</v>
      </c>
      <c r="P3537" s="55" t="s">
        <v>1099</v>
      </c>
      <c r="Q3537" s="55" t="s">
        <v>350</v>
      </c>
      <c r="R3537" s="55">
        <v>4</v>
      </c>
      <c r="S3537" s="55"/>
      <c r="T3537" s="55" t="s">
        <v>4600</v>
      </c>
    </row>
    <row r="3538" spans="1:20" ht="13" x14ac:dyDescent="0.15">
      <c r="A3538" s="72" t="str">
        <f t="shared" si="55"/>
        <v>Ofsted Social Care Provider Webpage</v>
      </c>
      <c r="B3538" s="55" t="s">
        <v>6593</v>
      </c>
      <c r="D3538" s="55" t="s">
        <v>373</v>
      </c>
      <c r="E3538" s="74">
        <v>42053</v>
      </c>
      <c r="F3538" s="55" t="s">
        <v>344</v>
      </c>
      <c r="G3538" s="55" t="s">
        <v>360</v>
      </c>
      <c r="H3538" s="55" t="s">
        <v>360</v>
      </c>
      <c r="I3538" s="55" t="s">
        <v>360</v>
      </c>
      <c r="J3538" s="55" t="s">
        <v>360</v>
      </c>
      <c r="K3538" s="55" t="s">
        <v>360</v>
      </c>
      <c r="L3538" s="55" t="s">
        <v>360</v>
      </c>
      <c r="M3538" s="55" t="s">
        <v>136</v>
      </c>
      <c r="N3538" s="55" t="s">
        <v>136</v>
      </c>
      <c r="O3538" s="55" t="s">
        <v>239</v>
      </c>
      <c r="P3538" s="55" t="s">
        <v>738</v>
      </c>
      <c r="Q3538" s="55" t="s">
        <v>350</v>
      </c>
      <c r="R3538" s="55">
        <v>1</v>
      </c>
      <c r="S3538" s="55"/>
      <c r="T3538" s="55" t="s">
        <v>739</v>
      </c>
    </row>
    <row r="3539" spans="1:20" ht="13" x14ac:dyDescent="0.15">
      <c r="A3539" s="72" t="str">
        <f t="shared" si="55"/>
        <v>Ofsted Social Care Provider Webpage</v>
      </c>
      <c r="B3539" s="55" t="s">
        <v>6594</v>
      </c>
      <c r="D3539" s="55" t="s">
        <v>389</v>
      </c>
      <c r="E3539" s="74">
        <v>42181</v>
      </c>
      <c r="F3539" s="55" t="s">
        <v>344</v>
      </c>
      <c r="G3539" s="55" t="s">
        <v>6595</v>
      </c>
      <c r="H3539" s="55" t="s">
        <v>6596</v>
      </c>
      <c r="I3539" s="55" t="s">
        <v>6597</v>
      </c>
      <c r="J3539" s="55" t="s">
        <v>6598</v>
      </c>
      <c r="L3539" s="55" t="s">
        <v>6599</v>
      </c>
      <c r="M3539" s="55" t="s">
        <v>142</v>
      </c>
      <c r="N3539" s="55" t="s">
        <v>142</v>
      </c>
      <c r="O3539" s="55" t="s">
        <v>278</v>
      </c>
      <c r="P3539" s="55" t="s">
        <v>1126</v>
      </c>
      <c r="Q3539" s="55" t="s">
        <v>350</v>
      </c>
      <c r="R3539" s="55"/>
      <c r="S3539" s="55"/>
      <c r="T3539" s="55" t="s">
        <v>6595</v>
      </c>
    </row>
    <row r="3540" spans="1:20" ht="13" x14ac:dyDescent="0.15">
      <c r="A3540" s="72" t="str">
        <f t="shared" si="55"/>
        <v>Ofsted Social Care Provider Webpage</v>
      </c>
      <c r="B3540" s="55" t="s">
        <v>6600</v>
      </c>
      <c r="D3540" s="55" t="s">
        <v>373</v>
      </c>
      <c r="E3540" s="74">
        <v>42138</v>
      </c>
      <c r="F3540" s="55" t="s">
        <v>344</v>
      </c>
      <c r="G3540" s="55" t="s">
        <v>360</v>
      </c>
      <c r="H3540" s="55" t="s">
        <v>360</v>
      </c>
      <c r="I3540" s="55" t="s">
        <v>360</v>
      </c>
      <c r="J3540" s="55" t="s">
        <v>360</v>
      </c>
      <c r="K3540" s="55" t="s">
        <v>360</v>
      </c>
      <c r="L3540" s="55" t="s">
        <v>360</v>
      </c>
      <c r="M3540" s="55" t="s">
        <v>172</v>
      </c>
      <c r="N3540" s="55" t="s">
        <v>172</v>
      </c>
      <c r="O3540" s="55" t="s">
        <v>212</v>
      </c>
      <c r="P3540" s="55" t="s">
        <v>514</v>
      </c>
      <c r="Q3540" s="55" t="s">
        <v>350</v>
      </c>
      <c r="R3540" s="55">
        <v>4</v>
      </c>
      <c r="S3540" s="55"/>
      <c r="T3540" s="55" t="s">
        <v>1424</v>
      </c>
    </row>
    <row r="3541" spans="1:20" ht="13" x14ac:dyDescent="0.15">
      <c r="A3541" s="72" t="str">
        <f t="shared" si="55"/>
        <v>Ofsted Social Care Provider Webpage</v>
      </c>
      <c r="B3541" s="55" t="s">
        <v>6601</v>
      </c>
      <c r="D3541" s="55" t="s">
        <v>373</v>
      </c>
      <c r="E3541" s="74">
        <v>42110</v>
      </c>
      <c r="F3541" s="55" t="s">
        <v>344</v>
      </c>
      <c r="G3541" s="55" t="s">
        <v>360</v>
      </c>
      <c r="H3541" s="55" t="s">
        <v>360</v>
      </c>
      <c r="I3541" s="55" t="s">
        <v>360</v>
      </c>
      <c r="J3541" s="55" t="s">
        <v>360</v>
      </c>
      <c r="K3541" s="55" t="s">
        <v>360</v>
      </c>
      <c r="L3541" s="55" t="s">
        <v>360</v>
      </c>
      <c r="M3541" s="55" t="s">
        <v>150</v>
      </c>
      <c r="N3541" s="55" t="s">
        <v>150</v>
      </c>
      <c r="O3541" s="55" t="s">
        <v>283</v>
      </c>
      <c r="P3541" s="55" t="s">
        <v>1333</v>
      </c>
      <c r="Q3541" s="55" t="s">
        <v>350</v>
      </c>
      <c r="R3541" s="55">
        <v>5</v>
      </c>
      <c r="S3541" s="55"/>
      <c r="T3541" s="55" t="s">
        <v>450</v>
      </c>
    </row>
    <row r="3542" spans="1:20" ht="13" x14ac:dyDescent="0.15">
      <c r="A3542" s="72" t="str">
        <f t="shared" si="55"/>
        <v>Ofsted Social Care Provider Webpage</v>
      </c>
      <c r="B3542" s="55" t="s">
        <v>6602</v>
      </c>
      <c r="D3542" s="55" t="s">
        <v>373</v>
      </c>
      <c r="E3542" s="74">
        <v>42027</v>
      </c>
      <c r="F3542" s="55" t="s">
        <v>344</v>
      </c>
      <c r="G3542" s="55" t="s">
        <v>360</v>
      </c>
      <c r="H3542" s="55" t="s">
        <v>360</v>
      </c>
      <c r="I3542" s="55" t="s">
        <v>360</v>
      </c>
      <c r="J3542" s="55" t="s">
        <v>360</v>
      </c>
      <c r="K3542" s="55" t="s">
        <v>360</v>
      </c>
      <c r="L3542" s="55" t="s">
        <v>360</v>
      </c>
      <c r="M3542" s="55" t="s">
        <v>378</v>
      </c>
      <c r="N3542" s="55" t="s">
        <v>170</v>
      </c>
      <c r="O3542" s="55" t="s">
        <v>233</v>
      </c>
      <c r="P3542" s="55" t="s">
        <v>1999</v>
      </c>
      <c r="Q3542" s="55" t="s">
        <v>380</v>
      </c>
      <c r="R3542" s="55">
        <v>4</v>
      </c>
      <c r="S3542" s="55"/>
      <c r="T3542" s="55" t="s">
        <v>381</v>
      </c>
    </row>
    <row r="3543" spans="1:20" ht="13" x14ac:dyDescent="0.15">
      <c r="A3543" s="72" t="str">
        <f t="shared" si="55"/>
        <v>Ofsted Social Care Provider Webpage</v>
      </c>
      <c r="B3543" s="55" t="s">
        <v>6603</v>
      </c>
      <c r="D3543" s="55" t="s">
        <v>373</v>
      </c>
      <c r="E3543" s="74">
        <v>42029</v>
      </c>
      <c r="F3543" s="55" t="s">
        <v>344</v>
      </c>
      <c r="G3543" s="55" t="s">
        <v>360</v>
      </c>
      <c r="H3543" s="55" t="s">
        <v>360</v>
      </c>
      <c r="I3543" s="55" t="s">
        <v>360</v>
      </c>
      <c r="J3543" s="55" t="s">
        <v>360</v>
      </c>
      <c r="K3543" s="55" t="s">
        <v>360</v>
      </c>
      <c r="L3543" s="55" t="s">
        <v>360</v>
      </c>
      <c r="M3543" s="55" t="s">
        <v>378</v>
      </c>
      <c r="N3543" s="55" t="s">
        <v>134</v>
      </c>
      <c r="O3543" s="55" t="s">
        <v>151</v>
      </c>
      <c r="P3543" s="55" t="s">
        <v>1778</v>
      </c>
      <c r="Q3543" s="55" t="s">
        <v>380</v>
      </c>
      <c r="R3543" s="55">
        <v>4</v>
      </c>
      <c r="S3543" s="55"/>
      <c r="T3543" s="55" t="s">
        <v>1220</v>
      </c>
    </row>
    <row r="3544" spans="1:20" ht="13" x14ac:dyDescent="0.15">
      <c r="A3544" s="72" t="str">
        <f t="shared" si="55"/>
        <v>Ofsted Social Care Provider Webpage</v>
      </c>
      <c r="B3544" s="55" t="s">
        <v>6604</v>
      </c>
      <c r="D3544" s="55" t="s">
        <v>389</v>
      </c>
      <c r="E3544" s="74">
        <v>42095</v>
      </c>
      <c r="F3544" s="55" t="s">
        <v>344</v>
      </c>
      <c r="G3544" s="55" t="s">
        <v>6605</v>
      </c>
      <c r="H3544" s="55" t="s">
        <v>6606</v>
      </c>
      <c r="I3544" s="55" t="s">
        <v>6607</v>
      </c>
      <c r="J3544" s="55" t="s">
        <v>6608</v>
      </c>
      <c r="K3544" s="55" t="s">
        <v>234</v>
      </c>
      <c r="L3544" s="55" t="s">
        <v>6609</v>
      </c>
      <c r="M3544" s="55" t="s">
        <v>172</v>
      </c>
      <c r="N3544" s="55" t="s">
        <v>172</v>
      </c>
      <c r="O3544" s="55" t="s">
        <v>235</v>
      </c>
      <c r="P3544" s="55" t="s">
        <v>948</v>
      </c>
      <c r="Q3544" s="55" t="s">
        <v>350</v>
      </c>
      <c r="R3544" s="55"/>
      <c r="S3544" s="55"/>
      <c r="T3544" s="55" t="s">
        <v>4591</v>
      </c>
    </row>
    <row r="3545" spans="1:20" ht="13" x14ac:dyDescent="0.15">
      <c r="A3545" s="72" t="str">
        <f t="shared" si="55"/>
        <v>Ofsted Social Care Provider Webpage</v>
      </c>
      <c r="B3545" s="55" t="s">
        <v>6610</v>
      </c>
      <c r="D3545" s="55" t="s">
        <v>373</v>
      </c>
      <c r="E3545" s="74">
        <v>42206</v>
      </c>
      <c r="F3545" s="55" t="s">
        <v>344</v>
      </c>
      <c r="G3545" s="55" t="s">
        <v>360</v>
      </c>
      <c r="H3545" s="55" t="s">
        <v>360</v>
      </c>
      <c r="I3545" s="55" t="s">
        <v>360</v>
      </c>
      <c r="J3545" s="55" t="s">
        <v>360</v>
      </c>
      <c r="K3545" s="55" t="s">
        <v>360</v>
      </c>
      <c r="L3545" s="55" t="s">
        <v>360</v>
      </c>
      <c r="M3545" s="55" t="s">
        <v>150</v>
      </c>
      <c r="N3545" s="55" t="s">
        <v>150</v>
      </c>
      <c r="O3545" s="55" t="s">
        <v>181</v>
      </c>
      <c r="P3545" s="55" t="s">
        <v>1142</v>
      </c>
      <c r="Q3545" s="55" t="s">
        <v>350</v>
      </c>
      <c r="R3545" s="55">
        <v>5</v>
      </c>
      <c r="S3545" s="55"/>
      <c r="T3545" s="55" t="s">
        <v>4900</v>
      </c>
    </row>
    <row r="3546" spans="1:20" ht="13" x14ac:dyDescent="0.15">
      <c r="A3546" s="72" t="str">
        <f t="shared" si="55"/>
        <v>Ofsted Social Care Provider Webpage</v>
      </c>
      <c r="B3546" s="55" t="s">
        <v>6611</v>
      </c>
      <c r="D3546" s="55" t="s">
        <v>389</v>
      </c>
      <c r="E3546" s="74">
        <v>42103</v>
      </c>
      <c r="F3546" s="55" t="s">
        <v>344</v>
      </c>
      <c r="G3546" s="55" t="s">
        <v>1395</v>
      </c>
      <c r="H3546" s="55" t="s">
        <v>6612</v>
      </c>
      <c r="I3546" s="55" t="s">
        <v>6613</v>
      </c>
      <c r="J3546" s="55" t="s">
        <v>6614</v>
      </c>
      <c r="K3546" s="55" t="s">
        <v>183</v>
      </c>
      <c r="L3546" s="55" t="s">
        <v>6615</v>
      </c>
      <c r="M3546" s="55" t="s">
        <v>138</v>
      </c>
      <c r="N3546" s="55" t="s">
        <v>138</v>
      </c>
      <c r="O3546" s="55" t="s">
        <v>273</v>
      </c>
      <c r="P3546" s="55" t="s">
        <v>584</v>
      </c>
      <c r="Q3546" s="55" t="s">
        <v>350</v>
      </c>
      <c r="R3546" s="55"/>
      <c r="S3546" s="55"/>
      <c r="T3546" s="55" t="s">
        <v>1395</v>
      </c>
    </row>
    <row r="3547" spans="1:20" ht="13" x14ac:dyDescent="0.15">
      <c r="A3547" s="72" t="str">
        <f t="shared" si="55"/>
        <v>Ofsted Social Care Provider Webpage</v>
      </c>
      <c r="B3547" s="55" t="s">
        <v>6616</v>
      </c>
      <c r="D3547" s="55" t="s">
        <v>373</v>
      </c>
      <c r="E3547" s="74">
        <v>42093</v>
      </c>
      <c r="F3547" s="55" t="s">
        <v>344</v>
      </c>
      <c r="G3547" s="55" t="s">
        <v>360</v>
      </c>
      <c r="H3547" s="55" t="s">
        <v>360</v>
      </c>
      <c r="I3547" s="55" t="s">
        <v>360</v>
      </c>
      <c r="J3547" s="55" t="s">
        <v>360</v>
      </c>
      <c r="K3547" s="55" t="s">
        <v>360</v>
      </c>
      <c r="L3547" s="55" t="s">
        <v>360</v>
      </c>
      <c r="M3547" s="55" t="s">
        <v>150</v>
      </c>
      <c r="N3547" s="55" t="s">
        <v>150</v>
      </c>
      <c r="O3547" s="55" t="s">
        <v>190</v>
      </c>
      <c r="P3547" s="55" t="s">
        <v>897</v>
      </c>
      <c r="Q3547" s="55" t="s">
        <v>350</v>
      </c>
      <c r="R3547" s="55">
        <v>2</v>
      </c>
      <c r="S3547" s="55"/>
      <c r="T3547" s="55" t="s">
        <v>911</v>
      </c>
    </row>
    <row r="3548" spans="1:20" ht="13" x14ac:dyDescent="0.15">
      <c r="A3548" s="72" t="str">
        <f t="shared" si="55"/>
        <v>Ofsted Social Care Provider Webpage</v>
      </c>
      <c r="B3548" s="55" t="s">
        <v>6617</v>
      </c>
      <c r="D3548" s="55" t="s">
        <v>373</v>
      </c>
      <c r="E3548" s="74">
        <v>42136</v>
      </c>
      <c r="F3548" s="55" t="s">
        <v>344</v>
      </c>
      <c r="G3548" s="55" t="s">
        <v>360</v>
      </c>
      <c r="H3548" s="55" t="s">
        <v>360</v>
      </c>
      <c r="I3548" s="55" t="s">
        <v>360</v>
      </c>
      <c r="J3548" s="55" t="s">
        <v>360</v>
      </c>
      <c r="K3548" s="55" t="s">
        <v>360</v>
      </c>
      <c r="L3548" s="55" t="s">
        <v>360</v>
      </c>
      <c r="M3548" s="55" t="s">
        <v>144</v>
      </c>
      <c r="N3548" s="55" t="s">
        <v>144</v>
      </c>
      <c r="O3548" s="55" t="s">
        <v>188</v>
      </c>
      <c r="P3548" s="55" t="s">
        <v>188</v>
      </c>
      <c r="Q3548" s="55" t="s">
        <v>350</v>
      </c>
      <c r="R3548" s="55">
        <v>1</v>
      </c>
      <c r="S3548" s="55"/>
      <c r="T3548" s="55" t="s">
        <v>1363</v>
      </c>
    </row>
    <row r="3549" spans="1:20" ht="13" x14ac:dyDescent="0.15">
      <c r="A3549" s="72" t="str">
        <f t="shared" si="55"/>
        <v>Ofsted Social Care Provider Webpage</v>
      </c>
      <c r="B3549" s="55" t="s">
        <v>6618</v>
      </c>
      <c r="D3549" s="55" t="s">
        <v>373</v>
      </c>
      <c r="E3549" s="74">
        <v>42167</v>
      </c>
      <c r="F3549" s="55" t="s">
        <v>344</v>
      </c>
      <c r="G3549" s="55" t="s">
        <v>360</v>
      </c>
      <c r="H3549" s="55" t="s">
        <v>360</v>
      </c>
      <c r="I3549" s="55" t="s">
        <v>360</v>
      </c>
      <c r="J3549" s="55" t="s">
        <v>360</v>
      </c>
      <c r="K3549" s="55" t="s">
        <v>360</v>
      </c>
      <c r="L3549" s="55" t="s">
        <v>360</v>
      </c>
      <c r="M3549" s="55" t="s">
        <v>144</v>
      </c>
      <c r="N3549" s="55" t="s">
        <v>144</v>
      </c>
      <c r="O3549" s="55" t="s">
        <v>168</v>
      </c>
      <c r="P3549" s="55" t="s">
        <v>913</v>
      </c>
      <c r="Q3549" s="55" t="s">
        <v>350</v>
      </c>
      <c r="R3549" s="55">
        <v>4</v>
      </c>
      <c r="S3549" s="55"/>
      <c r="T3549" s="55" t="s">
        <v>915</v>
      </c>
    </row>
    <row r="3550" spans="1:20" ht="13" x14ac:dyDescent="0.15">
      <c r="A3550" s="72" t="str">
        <f t="shared" si="55"/>
        <v>Ofsted Social Care Provider Webpage</v>
      </c>
      <c r="B3550" s="55" t="s">
        <v>6619</v>
      </c>
      <c r="D3550" s="55" t="s">
        <v>373</v>
      </c>
      <c r="E3550" s="74">
        <v>42275</v>
      </c>
      <c r="F3550" s="55" t="s">
        <v>344</v>
      </c>
      <c r="G3550" s="55" t="s">
        <v>360</v>
      </c>
      <c r="H3550" s="55" t="s">
        <v>360</v>
      </c>
      <c r="I3550" s="55" t="s">
        <v>360</v>
      </c>
      <c r="J3550" s="55" t="s">
        <v>360</v>
      </c>
      <c r="K3550" s="55" t="s">
        <v>360</v>
      </c>
      <c r="L3550" s="55" t="s">
        <v>360</v>
      </c>
      <c r="M3550" s="55" t="s">
        <v>138</v>
      </c>
      <c r="N3550" s="55" t="s">
        <v>138</v>
      </c>
      <c r="O3550" s="55" t="s">
        <v>266</v>
      </c>
      <c r="P3550" s="55" t="s">
        <v>449</v>
      </c>
      <c r="Q3550" s="55" t="s">
        <v>350</v>
      </c>
      <c r="R3550" s="55">
        <v>3</v>
      </c>
      <c r="S3550" s="55"/>
      <c r="T3550" s="55" t="s">
        <v>1799</v>
      </c>
    </row>
    <row r="3551" spans="1:20" ht="13" x14ac:dyDescent="0.15">
      <c r="A3551" s="72" t="str">
        <f t="shared" si="55"/>
        <v>Ofsted Social Care Provider Webpage</v>
      </c>
      <c r="B3551" s="55" t="s">
        <v>6620</v>
      </c>
      <c r="D3551" s="55" t="s">
        <v>373</v>
      </c>
      <c r="E3551" s="74">
        <v>42270</v>
      </c>
      <c r="F3551" s="55" t="s">
        <v>344</v>
      </c>
      <c r="G3551" s="55" t="s">
        <v>360</v>
      </c>
      <c r="H3551" s="55" t="s">
        <v>360</v>
      </c>
      <c r="I3551" s="55" t="s">
        <v>360</v>
      </c>
      <c r="J3551" s="55" t="s">
        <v>360</v>
      </c>
      <c r="K3551" s="55" t="s">
        <v>360</v>
      </c>
      <c r="L3551" s="55" t="s">
        <v>360</v>
      </c>
      <c r="M3551" s="55" t="s">
        <v>142</v>
      </c>
      <c r="N3551" s="55" t="s">
        <v>142</v>
      </c>
      <c r="O3551" s="55" t="s">
        <v>262</v>
      </c>
      <c r="P3551" s="55" t="s">
        <v>850</v>
      </c>
      <c r="Q3551" s="55" t="s">
        <v>350</v>
      </c>
      <c r="R3551" s="55">
        <v>2</v>
      </c>
      <c r="S3551" s="55"/>
      <c r="T3551" s="55" t="s">
        <v>1216</v>
      </c>
    </row>
    <row r="3552" spans="1:20" ht="13" x14ac:dyDescent="0.15">
      <c r="A3552" s="72" t="str">
        <f t="shared" si="55"/>
        <v>Ofsted Social Care Provider Webpage</v>
      </c>
      <c r="B3552" s="55" t="s">
        <v>6621</v>
      </c>
      <c r="D3552" s="55" t="s">
        <v>373</v>
      </c>
      <c r="E3552" s="74">
        <v>42111</v>
      </c>
      <c r="F3552" s="55" t="s">
        <v>344</v>
      </c>
      <c r="G3552" s="55" t="s">
        <v>360</v>
      </c>
      <c r="H3552" s="55" t="s">
        <v>360</v>
      </c>
      <c r="I3552" s="55" t="s">
        <v>360</v>
      </c>
      <c r="J3552" s="55" t="s">
        <v>360</v>
      </c>
      <c r="K3552" s="55" t="s">
        <v>360</v>
      </c>
      <c r="L3552" s="55" t="s">
        <v>360</v>
      </c>
      <c r="M3552" s="55" t="s">
        <v>142</v>
      </c>
      <c r="N3552" s="55" t="s">
        <v>142</v>
      </c>
      <c r="O3552" s="55" t="s">
        <v>252</v>
      </c>
      <c r="P3552" s="55" t="s">
        <v>386</v>
      </c>
      <c r="Q3552" s="55" t="s">
        <v>350</v>
      </c>
      <c r="R3552" s="55">
        <v>3</v>
      </c>
      <c r="S3552" s="55"/>
      <c r="T3552" s="55" t="s">
        <v>1805</v>
      </c>
    </row>
    <row r="3553" spans="1:20" ht="13" x14ac:dyDescent="0.15">
      <c r="A3553" s="72" t="str">
        <f t="shared" si="55"/>
        <v>Ofsted Social Care Provider Webpage</v>
      </c>
      <c r="B3553" s="55" t="s">
        <v>6622</v>
      </c>
      <c r="D3553" s="55" t="s">
        <v>389</v>
      </c>
      <c r="E3553" s="74">
        <v>42184</v>
      </c>
      <c r="F3553" s="55" t="s">
        <v>344</v>
      </c>
      <c r="G3553" s="55" t="s">
        <v>6623</v>
      </c>
      <c r="H3553" s="55" t="s">
        <v>6624</v>
      </c>
      <c r="I3553" s="55" t="s">
        <v>6625</v>
      </c>
      <c r="J3553" s="55" t="s">
        <v>6626</v>
      </c>
      <c r="K3553" s="55" t="s">
        <v>252</v>
      </c>
      <c r="L3553" s="55" t="s">
        <v>6627</v>
      </c>
      <c r="M3553" s="55" t="s">
        <v>142</v>
      </c>
      <c r="N3553" s="55" t="s">
        <v>142</v>
      </c>
      <c r="O3553" s="55" t="s">
        <v>252</v>
      </c>
      <c r="P3553" s="55" t="s">
        <v>388</v>
      </c>
      <c r="Q3553" s="55" t="s">
        <v>350</v>
      </c>
      <c r="R3553" s="55"/>
      <c r="S3553" s="55"/>
      <c r="T3553" s="55" t="s">
        <v>6628</v>
      </c>
    </row>
    <row r="3554" spans="1:20" ht="13" x14ac:dyDescent="0.15">
      <c r="A3554" s="72" t="str">
        <f t="shared" si="55"/>
        <v>Ofsted Social Care Provider Webpage</v>
      </c>
      <c r="B3554" s="55" t="s">
        <v>6629</v>
      </c>
      <c r="D3554" s="55" t="s">
        <v>373</v>
      </c>
      <c r="E3554" s="74">
        <v>42065</v>
      </c>
      <c r="F3554" s="55" t="s">
        <v>344</v>
      </c>
      <c r="G3554" s="55" t="s">
        <v>360</v>
      </c>
      <c r="H3554" s="55" t="s">
        <v>360</v>
      </c>
      <c r="I3554" s="55" t="s">
        <v>360</v>
      </c>
      <c r="J3554" s="55" t="s">
        <v>360</v>
      </c>
      <c r="K3554" s="55" t="s">
        <v>360</v>
      </c>
      <c r="L3554" s="55" t="s">
        <v>360</v>
      </c>
      <c r="M3554" s="55" t="s">
        <v>378</v>
      </c>
      <c r="N3554" s="55" t="s">
        <v>170</v>
      </c>
      <c r="O3554" s="55" t="s">
        <v>193</v>
      </c>
      <c r="P3554" s="55" t="s">
        <v>193</v>
      </c>
      <c r="Q3554" s="55" t="s">
        <v>350</v>
      </c>
      <c r="R3554" s="55">
        <v>4</v>
      </c>
      <c r="S3554" s="55"/>
      <c r="T3554" s="55" t="s">
        <v>1297</v>
      </c>
    </row>
    <row r="3555" spans="1:20" ht="13" x14ac:dyDescent="0.15">
      <c r="A3555" s="72" t="str">
        <f t="shared" si="55"/>
        <v>Ofsted Social Care Provider Webpage</v>
      </c>
      <c r="B3555" s="55" t="s">
        <v>6630</v>
      </c>
      <c r="D3555" s="55" t="s">
        <v>373</v>
      </c>
      <c r="E3555" s="74">
        <v>42110</v>
      </c>
      <c r="F3555" s="55" t="s">
        <v>344</v>
      </c>
      <c r="G3555" s="55" t="s">
        <v>360</v>
      </c>
      <c r="H3555" s="55" t="s">
        <v>360</v>
      </c>
      <c r="I3555" s="55" t="s">
        <v>360</v>
      </c>
      <c r="J3555" s="55" t="s">
        <v>360</v>
      </c>
      <c r="K3555" s="55" t="s">
        <v>360</v>
      </c>
      <c r="L3555" s="55" t="s">
        <v>360</v>
      </c>
      <c r="M3555" s="55" t="s">
        <v>378</v>
      </c>
      <c r="N3555" s="55" t="s">
        <v>134</v>
      </c>
      <c r="O3555" s="55" t="s">
        <v>246</v>
      </c>
      <c r="P3555" s="55" t="s">
        <v>1104</v>
      </c>
      <c r="Q3555" s="55" t="s">
        <v>350</v>
      </c>
      <c r="R3555" s="55">
        <v>3</v>
      </c>
      <c r="S3555" s="55"/>
      <c r="T3555" s="55" t="s">
        <v>517</v>
      </c>
    </row>
    <row r="3556" spans="1:20" ht="13" x14ac:dyDescent="0.15">
      <c r="A3556" s="72" t="str">
        <f t="shared" si="55"/>
        <v>Ofsted Social Care Provider Webpage</v>
      </c>
      <c r="B3556" s="55" t="s">
        <v>6631</v>
      </c>
      <c r="D3556" s="55" t="s">
        <v>389</v>
      </c>
      <c r="E3556" s="74">
        <v>42192</v>
      </c>
      <c r="F3556" s="55" t="s">
        <v>344</v>
      </c>
      <c r="G3556" s="55" t="s">
        <v>6632</v>
      </c>
      <c r="H3556" s="55" t="s">
        <v>6633</v>
      </c>
      <c r="I3556" s="55" t="s">
        <v>6634</v>
      </c>
      <c r="J3556" s="55" t="s">
        <v>2249</v>
      </c>
      <c r="L3556" s="55" t="s">
        <v>6635</v>
      </c>
      <c r="M3556" s="55" t="s">
        <v>144</v>
      </c>
      <c r="N3556" s="55" t="s">
        <v>144</v>
      </c>
      <c r="O3556" s="55" t="s">
        <v>209</v>
      </c>
      <c r="P3556" s="55" t="s">
        <v>650</v>
      </c>
      <c r="Q3556" s="55" t="s">
        <v>350</v>
      </c>
      <c r="R3556" s="55"/>
      <c r="S3556" s="55"/>
      <c r="T3556" s="55" t="s">
        <v>6632</v>
      </c>
    </row>
    <row r="3557" spans="1:20" ht="13" x14ac:dyDescent="0.15">
      <c r="A3557" s="72" t="str">
        <f t="shared" si="55"/>
        <v>Ofsted Social Care Provider Webpage</v>
      </c>
      <c r="B3557" s="55" t="s">
        <v>6636</v>
      </c>
      <c r="D3557" s="55" t="s">
        <v>373</v>
      </c>
      <c r="E3557" s="74">
        <v>42062</v>
      </c>
      <c r="F3557" s="55" t="s">
        <v>344</v>
      </c>
      <c r="G3557" s="55" t="s">
        <v>360</v>
      </c>
      <c r="H3557" s="55" t="s">
        <v>360</v>
      </c>
      <c r="I3557" s="55" t="s">
        <v>360</v>
      </c>
      <c r="J3557" s="55" t="s">
        <v>360</v>
      </c>
      <c r="K3557" s="55" t="s">
        <v>360</v>
      </c>
      <c r="L3557" s="55" t="s">
        <v>360</v>
      </c>
      <c r="M3557" s="55" t="s">
        <v>142</v>
      </c>
      <c r="N3557" s="55" t="s">
        <v>142</v>
      </c>
      <c r="O3557" s="55" t="s">
        <v>252</v>
      </c>
      <c r="P3557" s="55" t="s">
        <v>503</v>
      </c>
      <c r="Q3557" s="55" t="s">
        <v>350</v>
      </c>
      <c r="R3557" s="55">
        <v>3</v>
      </c>
      <c r="S3557" s="55"/>
      <c r="T3557" s="55" t="s">
        <v>1365</v>
      </c>
    </row>
    <row r="3558" spans="1:20" ht="13" x14ac:dyDescent="0.15">
      <c r="A3558" s="72" t="str">
        <f t="shared" si="55"/>
        <v>Ofsted Social Care Provider Webpage</v>
      </c>
      <c r="B3558" s="55" t="s">
        <v>6637</v>
      </c>
      <c r="D3558" s="55" t="s">
        <v>373</v>
      </c>
      <c r="E3558" s="74">
        <v>42109</v>
      </c>
      <c r="F3558" s="55" t="s">
        <v>344</v>
      </c>
      <c r="G3558" s="55" t="s">
        <v>360</v>
      </c>
      <c r="H3558" s="55" t="s">
        <v>360</v>
      </c>
      <c r="I3558" s="55" t="s">
        <v>360</v>
      </c>
      <c r="J3558" s="55" t="s">
        <v>360</v>
      </c>
      <c r="K3558" s="55" t="s">
        <v>360</v>
      </c>
      <c r="L3558" s="55" t="s">
        <v>360</v>
      </c>
      <c r="M3558" s="55" t="s">
        <v>172</v>
      </c>
      <c r="N3558" s="55" t="s">
        <v>172</v>
      </c>
      <c r="O3558" s="55" t="s">
        <v>171</v>
      </c>
      <c r="P3558" s="55" t="s">
        <v>983</v>
      </c>
      <c r="Q3558" s="55" t="s">
        <v>380</v>
      </c>
      <c r="R3558" s="55">
        <v>5</v>
      </c>
      <c r="S3558" s="55"/>
      <c r="T3558" s="55" t="s">
        <v>3360</v>
      </c>
    </row>
    <row r="3559" spans="1:20" ht="13" x14ac:dyDescent="0.15">
      <c r="A3559" s="72" t="str">
        <f t="shared" si="55"/>
        <v>Ofsted Social Care Provider Webpage</v>
      </c>
      <c r="B3559" s="55" t="s">
        <v>6638</v>
      </c>
      <c r="D3559" s="55" t="s">
        <v>373</v>
      </c>
      <c r="E3559" s="74">
        <v>42104</v>
      </c>
      <c r="F3559" s="55" t="s">
        <v>344</v>
      </c>
      <c r="G3559" s="55" t="s">
        <v>360</v>
      </c>
      <c r="H3559" s="55" t="s">
        <v>360</v>
      </c>
      <c r="I3559" s="55" t="s">
        <v>360</v>
      </c>
      <c r="J3559" s="55" t="s">
        <v>360</v>
      </c>
      <c r="K3559" s="55" t="s">
        <v>360</v>
      </c>
      <c r="L3559" s="55" t="s">
        <v>360</v>
      </c>
      <c r="M3559" s="55" t="s">
        <v>378</v>
      </c>
      <c r="N3559" s="55" t="s">
        <v>134</v>
      </c>
      <c r="O3559" s="55" t="s">
        <v>210</v>
      </c>
      <c r="P3559" s="55" t="s">
        <v>1250</v>
      </c>
      <c r="Q3559" s="55" t="s">
        <v>380</v>
      </c>
      <c r="R3559" s="55">
        <v>4</v>
      </c>
      <c r="S3559" s="55"/>
      <c r="T3559" s="55" t="s">
        <v>543</v>
      </c>
    </row>
    <row r="3560" spans="1:20" ht="13" x14ac:dyDescent="0.15">
      <c r="A3560" s="72" t="str">
        <f t="shared" si="55"/>
        <v>Ofsted Social Care Provider Webpage</v>
      </c>
      <c r="B3560" s="55" t="s">
        <v>6639</v>
      </c>
      <c r="D3560" s="55" t="s">
        <v>389</v>
      </c>
      <c r="E3560" s="74">
        <v>42128</v>
      </c>
      <c r="F3560" s="55" t="s">
        <v>344</v>
      </c>
      <c r="G3560" s="55" t="s">
        <v>6640</v>
      </c>
      <c r="H3560" s="55" t="s">
        <v>6641</v>
      </c>
      <c r="I3560" s="55" t="s">
        <v>354</v>
      </c>
      <c r="J3560" s="55" t="s">
        <v>129</v>
      </c>
      <c r="L3560" s="55" t="s">
        <v>6642</v>
      </c>
      <c r="M3560" s="55" t="s">
        <v>129</v>
      </c>
      <c r="N3560" s="55" t="s">
        <v>129</v>
      </c>
      <c r="O3560" s="55" t="s">
        <v>191</v>
      </c>
      <c r="P3560" s="55" t="s">
        <v>2985</v>
      </c>
      <c r="Q3560" s="55" t="s">
        <v>350</v>
      </c>
      <c r="R3560" s="55"/>
      <c r="S3560" s="55"/>
      <c r="T3560" s="55" t="s">
        <v>6640</v>
      </c>
    </row>
    <row r="3561" spans="1:20" ht="13" x14ac:dyDescent="0.15">
      <c r="A3561" s="72" t="str">
        <f t="shared" si="55"/>
        <v>Ofsted Social Care Provider Webpage</v>
      </c>
      <c r="B3561" s="55" t="s">
        <v>6643</v>
      </c>
      <c r="D3561" s="55" t="s">
        <v>373</v>
      </c>
      <c r="E3561" s="74">
        <v>42213</v>
      </c>
      <c r="F3561" s="55" t="s">
        <v>344</v>
      </c>
      <c r="G3561" s="55" t="s">
        <v>360</v>
      </c>
      <c r="H3561" s="55" t="s">
        <v>360</v>
      </c>
      <c r="I3561" s="55" t="s">
        <v>360</v>
      </c>
      <c r="J3561" s="55" t="s">
        <v>360</v>
      </c>
      <c r="K3561" s="55" t="s">
        <v>360</v>
      </c>
      <c r="L3561" s="55" t="s">
        <v>360</v>
      </c>
      <c r="M3561" s="55" t="s">
        <v>172</v>
      </c>
      <c r="N3561" s="55" t="s">
        <v>172</v>
      </c>
      <c r="O3561" s="55" t="s">
        <v>211</v>
      </c>
      <c r="P3561" s="55" t="s">
        <v>1343</v>
      </c>
      <c r="Q3561" s="55" t="s">
        <v>350</v>
      </c>
      <c r="R3561" s="55">
        <v>6</v>
      </c>
      <c r="S3561" s="55"/>
      <c r="T3561" s="55" t="s">
        <v>6644</v>
      </c>
    </row>
    <row r="3562" spans="1:20" ht="13" x14ac:dyDescent="0.15">
      <c r="A3562" s="72" t="str">
        <f t="shared" si="55"/>
        <v>Ofsted Social Care Provider Webpage</v>
      </c>
      <c r="B3562" s="55" t="s">
        <v>6645</v>
      </c>
      <c r="D3562" s="55" t="s">
        <v>373</v>
      </c>
      <c r="E3562" s="74">
        <v>42207</v>
      </c>
      <c r="F3562" s="55" t="s">
        <v>344</v>
      </c>
      <c r="G3562" s="55" t="s">
        <v>360</v>
      </c>
      <c r="H3562" s="55" t="s">
        <v>360</v>
      </c>
      <c r="I3562" s="55" t="s">
        <v>360</v>
      </c>
      <c r="J3562" s="55" t="s">
        <v>360</v>
      </c>
      <c r="K3562" s="55" t="s">
        <v>360</v>
      </c>
      <c r="L3562" s="55" t="s">
        <v>360</v>
      </c>
      <c r="M3562" s="55" t="s">
        <v>142</v>
      </c>
      <c r="N3562" s="55" t="s">
        <v>142</v>
      </c>
      <c r="O3562" s="55" t="s">
        <v>262</v>
      </c>
      <c r="P3562" s="55" t="s">
        <v>916</v>
      </c>
      <c r="Q3562" s="55" t="s">
        <v>350</v>
      </c>
      <c r="R3562" s="55">
        <v>4</v>
      </c>
      <c r="S3562" s="55"/>
      <c r="T3562" s="55" t="s">
        <v>917</v>
      </c>
    </row>
    <row r="3563" spans="1:20" ht="13" x14ac:dyDescent="0.15">
      <c r="A3563" s="72" t="str">
        <f t="shared" si="55"/>
        <v>Ofsted Social Care Provider Webpage</v>
      </c>
      <c r="B3563" s="55" t="s">
        <v>6646</v>
      </c>
      <c r="D3563" s="55" t="s">
        <v>373</v>
      </c>
      <c r="E3563" s="74">
        <v>42447</v>
      </c>
      <c r="F3563" s="55" t="s">
        <v>344</v>
      </c>
      <c r="G3563" s="55" t="s">
        <v>360</v>
      </c>
      <c r="H3563" s="55" t="s">
        <v>360</v>
      </c>
      <c r="I3563" s="55" t="s">
        <v>360</v>
      </c>
      <c r="J3563" s="55" t="s">
        <v>360</v>
      </c>
      <c r="K3563" s="55" t="s">
        <v>360</v>
      </c>
      <c r="L3563" s="55" t="s">
        <v>360</v>
      </c>
      <c r="M3563" s="55" t="s">
        <v>172</v>
      </c>
      <c r="N3563" s="55" t="s">
        <v>172</v>
      </c>
      <c r="O3563" s="55" t="s">
        <v>235</v>
      </c>
      <c r="P3563" s="55" t="s">
        <v>948</v>
      </c>
      <c r="Q3563" s="55" t="s">
        <v>350</v>
      </c>
      <c r="R3563" s="55">
        <v>5</v>
      </c>
      <c r="S3563" s="55"/>
      <c r="T3563" s="55" t="s">
        <v>6644</v>
      </c>
    </row>
    <row r="3564" spans="1:20" ht="13" x14ac:dyDescent="0.15">
      <c r="A3564" s="72" t="str">
        <f t="shared" si="55"/>
        <v>Ofsted Social Care Provider Webpage</v>
      </c>
      <c r="B3564" s="55" t="s">
        <v>6647</v>
      </c>
      <c r="D3564" s="55" t="s">
        <v>468</v>
      </c>
      <c r="E3564" s="74">
        <v>42227</v>
      </c>
      <c r="F3564" s="55" t="s">
        <v>344</v>
      </c>
      <c r="G3564" s="55" t="s">
        <v>6648</v>
      </c>
      <c r="H3564" s="55" t="s">
        <v>6649</v>
      </c>
      <c r="I3564" s="55" t="s">
        <v>6650</v>
      </c>
      <c r="J3564" s="55" t="s">
        <v>6651</v>
      </c>
      <c r="L3564" s="55" t="s">
        <v>6652</v>
      </c>
      <c r="M3564" s="55" t="s">
        <v>150</v>
      </c>
      <c r="N3564" s="55" t="s">
        <v>150</v>
      </c>
      <c r="O3564" s="55" t="s">
        <v>156</v>
      </c>
      <c r="P3564" s="55" t="s">
        <v>2870</v>
      </c>
      <c r="Q3564" s="55" t="s">
        <v>362</v>
      </c>
      <c r="R3564" s="55"/>
      <c r="S3564" s="55"/>
      <c r="T3564" s="55" t="s">
        <v>6653</v>
      </c>
    </row>
    <row r="3565" spans="1:20" ht="13" x14ac:dyDescent="0.15">
      <c r="A3565" s="72" t="str">
        <f t="shared" si="55"/>
        <v>Ofsted Social Care Provider Webpage</v>
      </c>
      <c r="B3565" s="55" t="s">
        <v>6654</v>
      </c>
      <c r="D3565" s="55" t="s">
        <v>373</v>
      </c>
      <c r="E3565" s="74">
        <v>42250</v>
      </c>
      <c r="F3565" s="55" t="s">
        <v>344</v>
      </c>
      <c r="G3565" s="55" t="s">
        <v>360</v>
      </c>
      <c r="H3565" s="55" t="s">
        <v>360</v>
      </c>
      <c r="I3565" s="55" t="s">
        <v>360</v>
      </c>
      <c r="J3565" s="55" t="s">
        <v>360</v>
      </c>
      <c r="K3565" s="55" t="s">
        <v>360</v>
      </c>
      <c r="L3565" s="55" t="s">
        <v>360</v>
      </c>
      <c r="M3565" s="55" t="s">
        <v>172</v>
      </c>
      <c r="N3565" s="55" t="s">
        <v>172</v>
      </c>
      <c r="O3565" s="55" t="s">
        <v>212</v>
      </c>
      <c r="P3565" s="55" t="s">
        <v>592</v>
      </c>
      <c r="Q3565" s="55" t="s">
        <v>350</v>
      </c>
      <c r="R3565" s="55">
        <v>4</v>
      </c>
      <c r="S3565" s="55"/>
      <c r="T3565" s="55" t="s">
        <v>6644</v>
      </c>
    </row>
    <row r="3566" spans="1:20" ht="13" x14ac:dyDescent="0.15">
      <c r="A3566" s="72" t="str">
        <f t="shared" si="55"/>
        <v>Ofsted Social Care Provider Webpage</v>
      </c>
      <c r="B3566" s="55" t="s">
        <v>6655</v>
      </c>
      <c r="D3566" s="55" t="s">
        <v>373</v>
      </c>
      <c r="E3566" s="74">
        <v>42174</v>
      </c>
      <c r="F3566" s="55" t="s">
        <v>344</v>
      </c>
      <c r="G3566" s="55" t="s">
        <v>360</v>
      </c>
      <c r="H3566" s="55" t="s">
        <v>360</v>
      </c>
      <c r="I3566" s="55" t="s">
        <v>360</v>
      </c>
      <c r="J3566" s="55" t="s">
        <v>360</v>
      </c>
      <c r="K3566" s="55" t="s">
        <v>360</v>
      </c>
      <c r="L3566" s="55" t="s">
        <v>360</v>
      </c>
      <c r="M3566" s="55" t="s">
        <v>144</v>
      </c>
      <c r="N3566" s="55" t="s">
        <v>144</v>
      </c>
      <c r="O3566" s="55" t="s">
        <v>209</v>
      </c>
      <c r="P3566" s="55" t="s">
        <v>629</v>
      </c>
      <c r="Q3566" s="55" t="s">
        <v>350</v>
      </c>
      <c r="R3566" s="55">
        <v>8</v>
      </c>
      <c r="S3566" s="55" t="s">
        <v>332</v>
      </c>
      <c r="T3566" s="55" t="s">
        <v>6656</v>
      </c>
    </row>
    <row r="3567" spans="1:20" ht="13" x14ac:dyDescent="0.15">
      <c r="A3567" s="72" t="str">
        <f t="shared" si="55"/>
        <v>Ofsted Social Care Provider Webpage</v>
      </c>
      <c r="B3567" s="55" t="s">
        <v>6657</v>
      </c>
      <c r="D3567" s="55" t="s">
        <v>479</v>
      </c>
      <c r="E3567" s="74">
        <v>42192</v>
      </c>
      <c r="F3567" s="55" t="s">
        <v>344</v>
      </c>
      <c r="G3567" s="55" t="s">
        <v>360</v>
      </c>
      <c r="H3567" s="55" t="s">
        <v>360</v>
      </c>
      <c r="I3567" s="55" t="s">
        <v>360</v>
      </c>
      <c r="J3567" s="55" t="s">
        <v>360</v>
      </c>
      <c r="K3567" s="55" t="s">
        <v>360</v>
      </c>
      <c r="L3567" s="55" t="s">
        <v>360</v>
      </c>
      <c r="M3567" s="55" t="s">
        <v>150</v>
      </c>
      <c r="N3567" s="55" t="s">
        <v>150</v>
      </c>
      <c r="O3567" s="55" t="s">
        <v>237</v>
      </c>
      <c r="P3567" s="55" t="s">
        <v>404</v>
      </c>
      <c r="Q3567" s="55" t="s">
        <v>350</v>
      </c>
      <c r="R3567" s="55">
        <v>12</v>
      </c>
      <c r="S3567" s="55"/>
      <c r="T3567" s="55" t="s">
        <v>6658</v>
      </c>
    </row>
    <row r="3568" spans="1:20" ht="13" x14ac:dyDescent="0.15">
      <c r="A3568" s="72" t="str">
        <f t="shared" si="55"/>
        <v>Ofsted Social Care Provider Webpage</v>
      </c>
      <c r="B3568" s="55" t="s">
        <v>6659</v>
      </c>
      <c r="D3568" s="55" t="s">
        <v>373</v>
      </c>
      <c r="E3568" s="74">
        <v>42398</v>
      </c>
      <c r="F3568" s="55" t="s">
        <v>344</v>
      </c>
      <c r="G3568" s="55" t="s">
        <v>360</v>
      </c>
      <c r="H3568" s="55" t="s">
        <v>360</v>
      </c>
      <c r="I3568" s="55" t="s">
        <v>360</v>
      </c>
      <c r="J3568" s="55" t="s">
        <v>360</v>
      </c>
      <c r="K3568" s="55" t="s">
        <v>360</v>
      </c>
      <c r="L3568" s="55" t="s">
        <v>360</v>
      </c>
      <c r="M3568" s="55" t="s">
        <v>136</v>
      </c>
      <c r="N3568" s="55" t="s">
        <v>136</v>
      </c>
      <c r="O3568" s="55" t="s">
        <v>255</v>
      </c>
      <c r="P3568" s="55" t="s">
        <v>583</v>
      </c>
      <c r="Q3568" s="55" t="s">
        <v>350</v>
      </c>
      <c r="R3568" s="55">
        <v>2</v>
      </c>
      <c r="S3568" s="55"/>
      <c r="T3568" s="55" t="s">
        <v>793</v>
      </c>
    </row>
    <row r="3569" spans="1:20" ht="13" x14ac:dyDescent="0.15">
      <c r="A3569" s="72" t="str">
        <f t="shared" si="55"/>
        <v>Ofsted Social Care Provider Webpage</v>
      </c>
      <c r="B3569" s="55" t="s">
        <v>6660</v>
      </c>
      <c r="D3569" s="55" t="s">
        <v>373</v>
      </c>
      <c r="E3569" s="74">
        <v>42368</v>
      </c>
      <c r="F3569" s="55" t="s">
        <v>344</v>
      </c>
      <c r="G3569" s="55" t="s">
        <v>360</v>
      </c>
      <c r="H3569" s="55" t="s">
        <v>360</v>
      </c>
      <c r="I3569" s="55" t="s">
        <v>360</v>
      </c>
      <c r="J3569" s="55" t="s">
        <v>360</v>
      </c>
      <c r="K3569" s="55" t="s">
        <v>360</v>
      </c>
      <c r="L3569" s="55" t="s">
        <v>360</v>
      </c>
      <c r="M3569" s="55" t="s">
        <v>378</v>
      </c>
      <c r="N3569" s="55" t="s">
        <v>134</v>
      </c>
      <c r="O3569" s="55" t="s">
        <v>206</v>
      </c>
      <c r="P3569" s="55" t="s">
        <v>710</v>
      </c>
      <c r="Q3569" s="55" t="s">
        <v>350</v>
      </c>
      <c r="R3569" s="55">
        <v>5</v>
      </c>
      <c r="S3569" s="55"/>
      <c r="T3569" s="55" t="s">
        <v>6661</v>
      </c>
    </row>
    <row r="3570" spans="1:20" ht="13" x14ac:dyDescent="0.15">
      <c r="A3570" s="72" t="str">
        <f t="shared" si="55"/>
        <v>Ofsted Social Care Provider Webpage</v>
      </c>
      <c r="B3570" s="55" t="s">
        <v>6662</v>
      </c>
      <c r="D3570" s="55" t="s">
        <v>373</v>
      </c>
      <c r="E3570" s="74">
        <v>42228</v>
      </c>
      <c r="F3570" s="55" t="s">
        <v>344</v>
      </c>
      <c r="G3570" s="55" t="s">
        <v>360</v>
      </c>
      <c r="H3570" s="55" t="s">
        <v>360</v>
      </c>
      <c r="I3570" s="55" t="s">
        <v>360</v>
      </c>
      <c r="J3570" s="55" t="s">
        <v>360</v>
      </c>
      <c r="K3570" s="55" t="s">
        <v>360</v>
      </c>
      <c r="L3570" s="55" t="s">
        <v>360</v>
      </c>
      <c r="M3570" s="55" t="s">
        <v>144</v>
      </c>
      <c r="N3570" s="55" t="s">
        <v>144</v>
      </c>
      <c r="O3570" s="55" t="s">
        <v>209</v>
      </c>
      <c r="P3570" s="55" t="s">
        <v>629</v>
      </c>
      <c r="Q3570" s="55" t="s">
        <v>350</v>
      </c>
      <c r="R3570" s="55">
        <v>4</v>
      </c>
      <c r="S3570" s="55"/>
      <c r="T3570" s="55" t="s">
        <v>377</v>
      </c>
    </row>
    <row r="3571" spans="1:20" ht="13" x14ac:dyDescent="0.15">
      <c r="A3571" s="72" t="str">
        <f t="shared" si="55"/>
        <v>Ofsted Social Care Provider Webpage</v>
      </c>
      <c r="B3571" s="55" t="s">
        <v>6663</v>
      </c>
      <c r="D3571" s="55" t="s">
        <v>373</v>
      </c>
      <c r="E3571" s="74">
        <v>42151</v>
      </c>
      <c r="F3571" s="55" t="s">
        <v>344</v>
      </c>
      <c r="G3571" s="55" t="s">
        <v>360</v>
      </c>
      <c r="H3571" s="55" t="s">
        <v>360</v>
      </c>
      <c r="I3571" s="55" t="s">
        <v>360</v>
      </c>
      <c r="J3571" s="55" t="s">
        <v>360</v>
      </c>
      <c r="K3571" s="55" t="s">
        <v>360</v>
      </c>
      <c r="L3571" s="55" t="s">
        <v>360</v>
      </c>
      <c r="M3571" s="55" t="s">
        <v>172</v>
      </c>
      <c r="N3571" s="55" t="s">
        <v>172</v>
      </c>
      <c r="O3571" s="55" t="s">
        <v>284</v>
      </c>
      <c r="P3571" s="55" t="s">
        <v>357</v>
      </c>
      <c r="Q3571" s="55" t="s">
        <v>350</v>
      </c>
      <c r="R3571" s="55">
        <v>2</v>
      </c>
      <c r="S3571" s="55"/>
      <c r="T3571" s="55" t="s">
        <v>517</v>
      </c>
    </row>
    <row r="3572" spans="1:20" ht="13" x14ac:dyDescent="0.15">
      <c r="A3572" s="72" t="str">
        <f t="shared" si="55"/>
        <v>Ofsted Social Care Provider Webpage</v>
      </c>
      <c r="B3572" s="55" t="s">
        <v>6664</v>
      </c>
      <c r="D3572" s="55" t="s">
        <v>389</v>
      </c>
      <c r="E3572" s="74">
        <v>42257</v>
      </c>
      <c r="F3572" s="55" t="s">
        <v>344</v>
      </c>
      <c r="G3572" s="55" t="s">
        <v>6665</v>
      </c>
      <c r="H3572" s="55" t="s">
        <v>6666</v>
      </c>
      <c r="I3572" s="55" t="s">
        <v>6667</v>
      </c>
      <c r="J3572" s="55" t="s">
        <v>167</v>
      </c>
      <c r="L3572" s="55" t="s">
        <v>6668</v>
      </c>
      <c r="M3572" s="55" t="s">
        <v>129</v>
      </c>
      <c r="N3572" s="55" t="s">
        <v>129</v>
      </c>
      <c r="O3572" s="55" t="s">
        <v>167</v>
      </c>
      <c r="P3572" s="55" t="s">
        <v>553</v>
      </c>
      <c r="Q3572" s="55" t="s">
        <v>350</v>
      </c>
      <c r="R3572" s="55"/>
      <c r="S3572" s="55"/>
      <c r="T3572" s="55" t="s">
        <v>6669</v>
      </c>
    </row>
    <row r="3573" spans="1:20" ht="13" x14ac:dyDescent="0.15">
      <c r="A3573" s="72" t="str">
        <f t="shared" si="55"/>
        <v>Ofsted Social Care Provider Webpage</v>
      </c>
      <c r="B3573" s="55" t="s">
        <v>6670</v>
      </c>
      <c r="D3573" s="55" t="s">
        <v>389</v>
      </c>
      <c r="E3573" s="74">
        <v>42193</v>
      </c>
      <c r="F3573" s="55" t="s">
        <v>344</v>
      </c>
      <c r="G3573" s="55" t="s">
        <v>6671</v>
      </c>
      <c r="H3573" s="55" t="s">
        <v>6672</v>
      </c>
      <c r="I3573" s="55" t="s">
        <v>354</v>
      </c>
      <c r="J3573" s="55" t="s">
        <v>6673</v>
      </c>
      <c r="K3573" s="55" t="s">
        <v>168</v>
      </c>
      <c r="L3573" s="55" t="s">
        <v>6674</v>
      </c>
      <c r="M3573" s="55" t="s">
        <v>144</v>
      </c>
      <c r="N3573" s="55" t="s">
        <v>144</v>
      </c>
      <c r="O3573" s="55" t="s">
        <v>168</v>
      </c>
      <c r="P3573" s="55" t="s">
        <v>3199</v>
      </c>
      <c r="Q3573" s="55" t="s">
        <v>350</v>
      </c>
      <c r="R3573" s="55"/>
      <c r="S3573" s="55"/>
      <c r="T3573" s="55" t="s">
        <v>6675</v>
      </c>
    </row>
    <row r="3574" spans="1:20" ht="13" x14ac:dyDescent="0.15">
      <c r="A3574" s="72" t="str">
        <f t="shared" si="55"/>
        <v>Ofsted Social Care Provider Webpage</v>
      </c>
      <c r="B3574" s="55" t="s">
        <v>6676</v>
      </c>
      <c r="D3574" s="55" t="s">
        <v>373</v>
      </c>
      <c r="E3574" s="74">
        <v>42153</v>
      </c>
      <c r="F3574" s="55" t="s">
        <v>344</v>
      </c>
      <c r="G3574" s="55" t="s">
        <v>360</v>
      </c>
      <c r="H3574" s="55" t="s">
        <v>360</v>
      </c>
      <c r="I3574" s="55" t="s">
        <v>360</v>
      </c>
      <c r="J3574" s="55" t="s">
        <v>360</v>
      </c>
      <c r="K3574" s="55" t="s">
        <v>360</v>
      </c>
      <c r="L3574" s="55" t="s">
        <v>360</v>
      </c>
      <c r="M3574" s="55" t="s">
        <v>172</v>
      </c>
      <c r="N3574" s="55" t="s">
        <v>172</v>
      </c>
      <c r="O3574" s="55" t="s">
        <v>173</v>
      </c>
      <c r="P3574" s="55" t="s">
        <v>1069</v>
      </c>
      <c r="Q3574" s="55" t="s">
        <v>350</v>
      </c>
      <c r="R3574" s="55">
        <v>3</v>
      </c>
      <c r="S3574" s="55"/>
      <c r="T3574" s="55" t="s">
        <v>1370</v>
      </c>
    </row>
    <row r="3575" spans="1:20" ht="13" x14ac:dyDescent="0.15">
      <c r="A3575" s="72" t="str">
        <f t="shared" si="55"/>
        <v>Ofsted Social Care Provider Webpage</v>
      </c>
      <c r="B3575" s="55" t="s">
        <v>6677</v>
      </c>
      <c r="D3575" s="55" t="s">
        <v>373</v>
      </c>
      <c r="E3575" s="74">
        <v>42286</v>
      </c>
      <c r="F3575" s="55" t="s">
        <v>344</v>
      </c>
      <c r="G3575" s="55" t="s">
        <v>360</v>
      </c>
      <c r="H3575" s="55" t="s">
        <v>360</v>
      </c>
      <c r="I3575" s="55" t="s">
        <v>360</v>
      </c>
      <c r="J3575" s="55" t="s">
        <v>360</v>
      </c>
      <c r="K3575" s="55" t="s">
        <v>360</v>
      </c>
      <c r="L3575" s="55" t="s">
        <v>360</v>
      </c>
      <c r="M3575" s="55" t="s">
        <v>136</v>
      </c>
      <c r="N3575" s="55" t="s">
        <v>136</v>
      </c>
      <c r="O3575" s="55" t="s">
        <v>176</v>
      </c>
      <c r="P3575" s="55" t="s">
        <v>526</v>
      </c>
      <c r="Q3575" s="55" t="s">
        <v>350</v>
      </c>
      <c r="R3575" s="55">
        <v>4</v>
      </c>
      <c r="S3575" s="55"/>
      <c r="T3575" s="55" t="s">
        <v>527</v>
      </c>
    </row>
    <row r="3576" spans="1:20" ht="13" x14ac:dyDescent="0.15">
      <c r="A3576" s="72" t="str">
        <f t="shared" si="55"/>
        <v>Ofsted Social Care Provider Webpage</v>
      </c>
      <c r="B3576" s="55" t="s">
        <v>6678</v>
      </c>
      <c r="D3576" s="55" t="s">
        <v>373</v>
      </c>
      <c r="E3576" s="74">
        <v>42213</v>
      </c>
      <c r="F3576" s="55" t="s">
        <v>344</v>
      </c>
      <c r="G3576" s="55" t="s">
        <v>360</v>
      </c>
      <c r="H3576" s="55" t="s">
        <v>360</v>
      </c>
      <c r="I3576" s="55" t="s">
        <v>360</v>
      </c>
      <c r="J3576" s="55" t="s">
        <v>360</v>
      </c>
      <c r="K3576" s="55" t="s">
        <v>360</v>
      </c>
      <c r="L3576" s="55" t="s">
        <v>360</v>
      </c>
      <c r="M3576" s="55" t="s">
        <v>172</v>
      </c>
      <c r="N3576" s="55" t="s">
        <v>172</v>
      </c>
      <c r="O3576" s="55" t="s">
        <v>212</v>
      </c>
      <c r="P3576" s="55" t="s">
        <v>592</v>
      </c>
      <c r="Q3576" s="55" t="s">
        <v>350</v>
      </c>
      <c r="R3576" s="55">
        <v>4</v>
      </c>
      <c r="S3576" s="55"/>
      <c r="T3576" s="55" t="s">
        <v>6644</v>
      </c>
    </row>
    <row r="3577" spans="1:20" ht="13" x14ac:dyDescent="0.15">
      <c r="A3577" s="72" t="str">
        <f t="shared" si="55"/>
        <v>Ofsted Social Care Provider Webpage</v>
      </c>
      <c r="B3577" s="55" t="s">
        <v>6679</v>
      </c>
      <c r="D3577" s="55" t="s">
        <v>451</v>
      </c>
      <c r="E3577" s="74">
        <v>42355</v>
      </c>
      <c r="F3577" s="55" t="s">
        <v>344</v>
      </c>
      <c r="G3577" s="55" t="s">
        <v>6680</v>
      </c>
      <c r="H3577" s="55" t="s">
        <v>6681</v>
      </c>
      <c r="I3577" s="55" t="s">
        <v>6682</v>
      </c>
      <c r="J3577" s="55" t="s">
        <v>581</v>
      </c>
      <c r="K3577" s="55" t="s">
        <v>255</v>
      </c>
      <c r="L3577" s="55" t="s">
        <v>582</v>
      </c>
      <c r="M3577" s="55" t="s">
        <v>136</v>
      </c>
      <c r="N3577" s="55" t="s">
        <v>136</v>
      </c>
      <c r="O3577" s="55" t="s">
        <v>255</v>
      </c>
      <c r="P3577" s="55" t="s">
        <v>583</v>
      </c>
      <c r="Q3577" s="55" t="s">
        <v>350</v>
      </c>
      <c r="R3577" s="55">
        <v>6</v>
      </c>
      <c r="S3577" s="55"/>
      <c r="T3577" s="55" t="s">
        <v>6683</v>
      </c>
    </row>
    <row r="3578" spans="1:20" ht="13" x14ac:dyDescent="0.15">
      <c r="A3578" s="72" t="str">
        <f t="shared" si="55"/>
        <v>Ofsted Social Care Provider Webpage</v>
      </c>
      <c r="B3578" s="55" t="s">
        <v>6684</v>
      </c>
      <c r="C3578" s="55">
        <v>135791</v>
      </c>
      <c r="D3578" s="55" t="s">
        <v>413</v>
      </c>
      <c r="E3578" s="74">
        <v>42110</v>
      </c>
      <c r="F3578" s="55" t="s">
        <v>344</v>
      </c>
      <c r="G3578" s="55" t="s">
        <v>6685</v>
      </c>
      <c r="H3578" s="55" t="s">
        <v>6685</v>
      </c>
      <c r="I3578" s="55" t="s">
        <v>6686</v>
      </c>
      <c r="J3578" s="55" t="s">
        <v>6687</v>
      </c>
      <c r="K3578" s="55" t="s">
        <v>293</v>
      </c>
      <c r="L3578" s="55" t="s">
        <v>6688</v>
      </c>
      <c r="M3578" s="55" t="s">
        <v>142</v>
      </c>
      <c r="N3578" s="55" t="s">
        <v>142</v>
      </c>
      <c r="O3578" s="55" t="s">
        <v>293</v>
      </c>
      <c r="P3578" s="55" t="s">
        <v>1422</v>
      </c>
      <c r="Q3578" s="55" t="s">
        <v>380</v>
      </c>
      <c r="R3578" s="55">
        <v>16</v>
      </c>
      <c r="S3578" s="55"/>
      <c r="T3578" s="55" t="s">
        <v>2224</v>
      </c>
    </row>
    <row r="3579" spans="1:20" ht="13" x14ac:dyDescent="0.15">
      <c r="A3579" s="72" t="str">
        <f t="shared" si="55"/>
        <v>Ofsted Social Care Provider Webpage</v>
      </c>
      <c r="B3579" s="55" t="s">
        <v>6689</v>
      </c>
      <c r="D3579" s="55" t="s">
        <v>373</v>
      </c>
      <c r="E3579" s="74">
        <v>42286</v>
      </c>
      <c r="F3579" s="55" t="s">
        <v>344</v>
      </c>
      <c r="G3579" s="55" t="s">
        <v>360</v>
      </c>
      <c r="H3579" s="55" t="s">
        <v>360</v>
      </c>
      <c r="I3579" s="55" t="s">
        <v>360</v>
      </c>
      <c r="J3579" s="55" t="s">
        <v>360</v>
      </c>
      <c r="K3579" s="55" t="s">
        <v>360</v>
      </c>
      <c r="L3579" s="55" t="s">
        <v>360</v>
      </c>
      <c r="M3579" s="55" t="s">
        <v>172</v>
      </c>
      <c r="N3579" s="55" t="s">
        <v>172</v>
      </c>
      <c r="O3579" s="55" t="s">
        <v>173</v>
      </c>
      <c r="P3579" s="55" t="s">
        <v>1198</v>
      </c>
      <c r="Q3579" s="55" t="s">
        <v>350</v>
      </c>
      <c r="R3579" s="55">
        <v>4</v>
      </c>
      <c r="S3579" s="55"/>
      <c r="T3579" s="55" t="s">
        <v>861</v>
      </c>
    </row>
    <row r="3580" spans="1:20" ht="13" x14ac:dyDescent="0.15">
      <c r="A3580" s="72" t="str">
        <f t="shared" si="55"/>
        <v>Ofsted Social Care Provider Webpage</v>
      </c>
      <c r="B3580" s="55" t="s">
        <v>6690</v>
      </c>
      <c r="D3580" s="55" t="s">
        <v>373</v>
      </c>
      <c r="E3580" s="74">
        <v>42129</v>
      </c>
      <c r="F3580" s="55" t="s">
        <v>344</v>
      </c>
      <c r="G3580" s="55" t="s">
        <v>360</v>
      </c>
      <c r="H3580" s="55" t="s">
        <v>360</v>
      </c>
      <c r="I3580" s="55" t="s">
        <v>360</v>
      </c>
      <c r="J3580" s="55" t="s">
        <v>360</v>
      </c>
      <c r="K3580" s="55" t="s">
        <v>360</v>
      </c>
      <c r="L3580" s="55" t="s">
        <v>360</v>
      </c>
      <c r="M3580" s="55" t="s">
        <v>129</v>
      </c>
      <c r="N3580" s="55" t="s">
        <v>129</v>
      </c>
      <c r="O3580" s="55" t="s">
        <v>187</v>
      </c>
      <c r="P3580" s="55" t="s">
        <v>4155</v>
      </c>
      <c r="Q3580" s="55" t="s">
        <v>350</v>
      </c>
      <c r="R3580" s="55">
        <v>8</v>
      </c>
      <c r="S3580" s="55"/>
      <c r="T3580" s="55" t="s">
        <v>6691</v>
      </c>
    </row>
    <row r="3581" spans="1:20" ht="13" x14ac:dyDescent="0.15">
      <c r="B3581" s="78"/>
      <c r="C3581" s="78"/>
      <c r="D3581" s="78"/>
      <c r="E3581" s="78"/>
      <c r="F3581" s="78"/>
      <c r="G3581" s="78"/>
      <c r="H3581" s="78"/>
      <c r="I3581" s="78"/>
      <c r="J3581" s="78"/>
      <c r="K3581" s="78"/>
      <c r="L3581" s="78"/>
      <c r="M3581" s="78"/>
      <c r="N3581" s="78"/>
      <c r="O3581" s="78"/>
      <c r="P3581" s="78"/>
      <c r="Q3581" s="55"/>
    </row>
    <row r="3582" spans="1:20" ht="13" x14ac:dyDescent="0.15">
      <c r="B3582" s="78"/>
      <c r="C3582" s="78"/>
      <c r="D3582" s="78"/>
      <c r="E3582" s="78"/>
      <c r="F3582" s="78"/>
      <c r="G3582" s="78"/>
      <c r="H3582" s="78"/>
      <c r="I3582" s="78"/>
      <c r="J3582" s="78"/>
      <c r="K3582" s="78"/>
      <c r="L3582" s="78"/>
      <c r="M3582" s="78"/>
      <c r="N3582" s="78"/>
      <c r="O3582" s="78"/>
      <c r="P3582" s="78"/>
      <c r="Q3582" s="55"/>
    </row>
    <row r="3583" spans="1:20" ht="13" x14ac:dyDescent="0.15">
      <c r="B3583" s="78"/>
      <c r="C3583" s="78"/>
      <c r="D3583" s="78"/>
      <c r="E3583" s="78"/>
      <c r="F3583" s="78"/>
      <c r="G3583" s="78"/>
      <c r="H3583" s="78"/>
      <c r="I3583" s="78"/>
      <c r="J3583" s="78"/>
      <c r="K3583" s="78"/>
      <c r="L3583" s="78"/>
      <c r="M3583" s="78"/>
      <c r="N3583" s="78"/>
      <c r="O3583" s="78"/>
      <c r="P3583" s="78"/>
      <c r="Q3583" s="55"/>
    </row>
    <row r="3584" spans="1:20" ht="13" x14ac:dyDescent="0.15">
      <c r="B3584" s="78"/>
      <c r="C3584" s="78"/>
      <c r="D3584" s="78"/>
      <c r="E3584" s="78"/>
      <c r="F3584" s="78"/>
      <c r="G3584" s="78"/>
      <c r="H3584" s="78"/>
      <c r="I3584" s="78"/>
      <c r="J3584" s="78"/>
      <c r="K3584" s="78"/>
      <c r="L3584" s="78"/>
      <c r="M3584" s="78"/>
      <c r="N3584" s="78"/>
      <c r="O3584" s="78"/>
      <c r="P3584" s="78"/>
      <c r="Q3584" s="55"/>
    </row>
    <row r="3585" spans="2:17" ht="13" x14ac:dyDescent="0.15">
      <c r="B3585" s="78"/>
      <c r="C3585" s="78"/>
      <c r="D3585" s="78"/>
      <c r="E3585" s="78"/>
      <c r="F3585" s="78"/>
      <c r="G3585" s="78"/>
      <c r="H3585" s="78"/>
      <c r="I3585" s="78"/>
      <c r="J3585" s="78"/>
      <c r="K3585" s="78"/>
      <c r="L3585" s="78"/>
      <c r="M3585" s="78"/>
      <c r="N3585" s="78"/>
      <c r="O3585" s="78"/>
      <c r="P3585" s="78"/>
      <c r="Q3585" s="55"/>
    </row>
    <row r="3586" spans="2:17" ht="13" x14ac:dyDescent="0.15">
      <c r="B3586" s="78"/>
      <c r="C3586" s="78"/>
      <c r="D3586" s="78"/>
      <c r="E3586" s="78"/>
      <c r="F3586" s="78"/>
      <c r="G3586" s="78"/>
      <c r="H3586" s="78"/>
      <c r="I3586" s="78"/>
      <c r="J3586" s="78"/>
      <c r="K3586" s="78"/>
      <c r="L3586" s="78"/>
      <c r="M3586" s="78"/>
      <c r="N3586" s="78"/>
      <c r="O3586" s="78"/>
      <c r="P3586" s="78"/>
      <c r="Q3586" s="55"/>
    </row>
    <row r="3587" spans="2:17" ht="13" x14ac:dyDescent="0.15">
      <c r="B3587" s="78"/>
      <c r="C3587" s="78"/>
      <c r="D3587" s="78"/>
      <c r="E3587" s="78"/>
      <c r="F3587" s="78"/>
      <c r="G3587" s="78"/>
      <c r="H3587" s="78"/>
      <c r="I3587" s="78"/>
      <c r="J3587" s="78"/>
      <c r="K3587" s="78"/>
      <c r="L3587" s="78"/>
      <c r="M3587" s="78"/>
      <c r="N3587" s="78"/>
      <c r="O3587" s="78"/>
      <c r="P3587" s="78"/>
      <c r="Q3587" s="55"/>
    </row>
    <row r="3588" spans="2:17" ht="13" x14ac:dyDescent="0.15">
      <c r="B3588" s="78"/>
      <c r="C3588" s="78"/>
      <c r="D3588" s="78"/>
      <c r="E3588" s="78"/>
      <c r="F3588" s="78"/>
      <c r="G3588" s="78"/>
      <c r="H3588" s="78"/>
      <c r="I3588" s="78"/>
      <c r="J3588" s="78"/>
      <c r="K3588" s="78"/>
      <c r="L3588" s="78"/>
      <c r="M3588" s="78"/>
      <c r="N3588" s="78"/>
      <c r="O3588" s="78"/>
      <c r="P3588" s="78"/>
      <c r="Q3588" s="55"/>
    </row>
    <row r="3589" spans="2:17" ht="13" x14ac:dyDescent="0.15">
      <c r="B3589" s="78"/>
      <c r="C3589" s="78"/>
      <c r="D3589" s="78"/>
      <c r="E3589" s="78"/>
      <c r="F3589" s="78"/>
      <c r="G3589" s="78"/>
      <c r="H3589" s="78"/>
      <c r="I3589" s="78"/>
      <c r="J3589" s="78"/>
      <c r="K3589" s="78"/>
      <c r="L3589" s="78"/>
      <c r="M3589" s="78"/>
      <c r="N3589" s="78"/>
      <c r="O3589" s="78"/>
      <c r="P3589" s="78"/>
      <c r="Q3589" s="55"/>
    </row>
    <row r="3590" spans="2:17" ht="13" x14ac:dyDescent="0.15">
      <c r="B3590" s="78"/>
      <c r="C3590" s="78"/>
      <c r="D3590" s="78"/>
      <c r="E3590" s="78"/>
      <c r="F3590" s="78"/>
      <c r="G3590" s="78"/>
      <c r="H3590" s="78"/>
      <c r="I3590" s="78"/>
      <c r="J3590" s="78"/>
      <c r="K3590" s="78"/>
      <c r="L3590" s="78"/>
      <c r="M3590" s="78"/>
      <c r="N3590" s="78"/>
      <c r="O3590" s="78"/>
      <c r="P3590" s="78"/>
      <c r="Q3590" s="55"/>
    </row>
    <row r="3591" spans="2:17" ht="13" x14ac:dyDescent="0.15">
      <c r="B3591" s="78"/>
      <c r="C3591" s="78"/>
      <c r="D3591" s="78"/>
      <c r="E3591" s="78"/>
      <c r="F3591" s="78"/>
      <c r="G3591" s="78"/>
      <c r="H3591" s="78"/>
      <c r="I3591" s="78"/>
      <c r="J3591" s="78"/>
      <c r="K3591" s="78"/>
      <c r="L3591" s="78"/>
      <c r="M3591" s="78"/>
      <c r="N3591" s="78"/>
      <c r="O3591" s="78"/>
      <c r="P3591" s="78"/>
      <c r="Q3591" s="55"/>
    </row>
    <row r="3592" spans="2:17" ht="13" x14ac:dyDescent="0.15">
      <c r="B3592" s="78"/>
      <c r="C3592" s="78"/>
      <c r="D3592" s="78"/>
      <c r="E3592" s="78"/>
      <c r="F3592" s="78"/>
      <c r="G3592" s="78"/>
      <c r="H3592" s="78"/>
      <c r="I3592" s="78"/>
      <c r="J3592" s="78"/>
      <c r="K3592" s="78"/>
      <c r="L3592" s="78"/>
      <c r="M3592" s="78"/>
      <c r="N3592" s="78"/>
      <c r="O3592" s="78"/>
      <c r="P3592" s="78"/>
      <c r="Q3592" s="55"/>
    </row>
    <row r="3593" spans="2:17" ht="13" x14ac:dyDescent="0.15">
      <c r="B3593" s="78"/>
      <c r="C3593" s="78"/>
      <c r="D3593" s="78"/>
      <c r="E3593" s="78"/>
      <c r="F3593" s="78"/>
      <c r="G3593" s="78"/>
      <c r="H3593" s="78"/>
      <c r="I3593" s="78"/>
      <c r="J3593" s="78"/>
      <c r="K3593" s="78"/>
      <c r="L3593" s="78"/>
      <c r="M3593" s="78"/>
      <c r="N3593" s="78"/>
      <c r="O3593" s="78"/>
      <c r="P3593" s="78"/>
      <c r="Q3593" s="55"/>
    </row>
    <row r="3594" spans="2:17" ht="13" x14ac:dyDescent="0.15">
      <c r="B3594" s="78"/>
      <c r="C3594" s="78"/>
      <c r="D3594" s="78"/>
      <c r="E3594" s="78"/>
      <c r="F3594" s="78"/>
      <c r="G3594" s="78"/>
      <c r="H3594" s="78"/>
      <c r="I3594" s="78"/>
      <c r="J3594" s="78"/>
      <c r="K3594" s="78"/>
      <c r="L3594" s="78"/>
      <c r="M3594" s="78"/>
      <c r="N3594" s="78"/>
      <c r="O3594" s="78"/>
      <c r="P3594" s="78"/>
      <c r="Q3594" s="55"/>
    </row>
    <row r="3595" spans="2:17" ht="13" x14ac:dyDescent="0.15">
      <c r="B3595" s="78"/>
      <c r="C3595" s="78"/>
      <c r="D3595" s="78"/>
      <c r="E3595" s="78"/>
      <c r="F3595" s="78"/>
      <c r="G3595" s="78"/>
      <c r="H3595" s="78"/>
      <c r="I3595" s="78"/>
      <c r="J3595" s="78"/>
      <c r="K3595" s="78"/>
      <c r="L3595" s="78"/>
      <c r="M3595" s="78"/>
      <c r="N3595" s="78"/>
      <c r="O3595" s="78"/>
      <c r="P3595" s="78"/>
      <c r="Q3595" s="55"/>
    </row>
    <row r="3596" spans="2:17" ht="13" x14ac:dyDescent="0.15">
      <c r="B3596" s="78"/>
      <c r="C3596" s="78"/>
      <c r="D3596" s="78"/>
      <c r="E3596" s="78"/>
      <c r="F3596" s="78"/>
      <c r="G3596" s="78"/>
      <c r="H3596" s="78"/>
      <c r="I3596" s="78"/>
      <c r="J3596" s="78"/>
      <c r="K3596" s="78"/>
      <c r="L3596" s="78"/>
      <c r="M3596" s="78"/>
      <c r="N3596" s="78"/>
      <c r="O3596" s="78"/>
      <c r="P3596" s="78"/>
      <c r="Q3596" s="55"/>
    </row>
    <row r="3597" spans="2:17" ht="13" x14ac:dyDescent="0.15">
      <c r="B3597" s="78"/>
      <c r="C3597" s="78"/>
      <c r="D3597" s="78"/>
      <c r="E3597" s="78"/>
      <c r="F3597" s="78"/>
      <c r="G3597" s="78"/>
      <c r="H3597" s="78"/>
      <c r="I3597" s="78"/>
      <c r="J3597" s="78"/>
      <c r="K3597" s="78"/>
      <c r="L3597" s="78"/>
      <c r="M3597" s="78"/>
      <c r="N3597" s="78"/>
      <c r="O3597" s="78"/>
      <c r="P3597" s="78"/>
      <c r="Q3597" s="55"/>
    </row>
    <row r="3598" spans="2:17" ht="13" x14ac:dyDescent="0.15">
      <c r="B3598" s="78"/>
      <c r="C3598" s="78"/>
      <c r="D3598" s="78"/>
      <c r="E3598" s="78"/>
      <c r="F3598" s="78"/>
      <c r="G3598" s="78"/>
      <c r="H3598" s="78"/>
      <c r="I3598" s="78"/>
      <c r="J3598" s="78"/>
      <c r="K3598" s="78"/>
      <c r="L3598" s="78"/>
      <c r="M3598" s="78"/>
      <c r="N3598" s="78"/>
      <c r="O3598" s="78"/>
      <c r="P3598" s="78"/>
      <c r="Q3598" s="55"/>
    </row>
    <row r="3599" spans="2:17" ht="13" x14ac:dyDescent="0.15">
      <c r="B3599" s="78"/>
      <c r="C3599" s="78"/>
      <c r="D3599" s="78"/>
      <c r="E3599" s="78"/>
      <c r="F3599" s="78"/>
      <c r="G3599" s="78"/>
      <c r="H3599" s="78"/>
      <c r="I3599" s="78"/>
      <c r="J3599" s="78"/>
      <c r="K3599" s="78"/>
      <c r="L3599" s="78"/>
      <c r="M3599" s="78"/>
      <c r="N3599" s="78"/>
      <c r="O3599" s="78"/>
      <c r="P3599" s="78"/>
      <c r="Q3599" s="55"/>
    </row>
    <row r="3600" spans="2:17" ht="13" x14ac:dyDescent="0.15">
      <c r="B3600" s="78"/>
      <c r="C3600" s="78"/>
      <c r="D3600" s="78"/>
      <c r="E3600" s="78"/>
      <c r="F3600" s="78"/>
      <c r="G3600" s="78"/>
      <c r="H3600" s="78"/>
      <c r="I3600" s="78"/>
      <c r="J3600" s="78"/>
      <c r="K3600" s="78"/>
      <c r="L3600" s="78"/>
      <c r="M3600" s="78"/>
      <c r="N3600" s="78"/>
      <c r="O3600" s="78"/>
      <c r="P3600" s="78"/>
      <c r="Q3600" s="55"/>
    </row>
    <row r="3601" spans="2:17" ht="13" x14ac:dyDescent="0.15">
      <c r="B3601" s="78"/>
      <c r="C3601" s="78"/>
      <c r="D3601" s="78"/>
      <c r="E3601" s="78"/>
      <c r="F3601" s="78"/>
      <c r="G3601" s="78"/>
      <c r="H3601" s="78"/>
      <c r="I3601" s="78"/>
      <c r="J3601" s="78"/>
      <c r="K3601" s="78"/>
      <c r="L3601" s="78"/>
      <c r="M3601" s="78"/>
      <c r="N3601" s="78"/>
      <c r="O3601" s="78"/>
      <c r="P3601" s="78"/>
      <c r="Q3601" s="55"/>
    </row>
    <row r="3602" spans="2:17" ht="13" x14ac:dyDescent="0.15">
      <c r="B3602" s="78"/>
      <c r="C3602" s="78"/>
      <c r="D3602" s="78"/>
      <c r="E3602" s="78"/>
      <c r="F3602" s="78"/>
      <c r="G3602" s="78"/>
      <c r="H3602" s="78"/>
      <c r="I3602" s="78"/>
      <c r="J3602" s="78"/>
      <c r="K3602" s="78"/>
      <c r="L3602" s="78"/>
      <c r="M3602" s="78"/>
      <c r="N3602" s="78"/>
      <c r="O3602" s="78"/>
      <c r="P3602" s="78"/>
      <c r="Q3602" s="55"/>
    </row>
    <row r="3603" spans="2:17" ht="13" x14ac:dyDescent="0.15">
      <c r="B3603" s="78"/>
      <c r="C3603" s="78"/>
      <c r="D3603" s="78"/>
      <c r="E3603" s="78"/>
      <c r="F3603" s="78"/>
      <c r="G3603" s="78"/>
      <c r="H3603" s="78"/>
      <c r="I3603" s="78"/>
      <c r="J3603" s="78"/>
      <c r="K3603" s="78"/>
      <c r="L3603" s="78"/>
      <c r="M3603" s="78"/>
      <c r="N3603" s="78"/>
      <c r="O3603" s="78"/>
      <c r="P3603" s="78"/>
      <c r="Q3603" s="55"/>
    </row>
    <row r="3604" spans="2:17" ht="13" x14ac:dyDescent="0.15">
      <c r="B3604" s="78"/>
      <c r="C3604" s="78"/>
      <c r="D3604" s="78"/>
      <c r="E3604" s="78"/>
      <c r="F3604" s="78"/>
      <c r="G3604" s="78"/>
      <c r="H3604" s="78"/>
      <c r="I3604" s="78"/>
      <c r="J3604" s="78"/>
      <c r="K3604" s="78"/>
      <c r="L3604" s="78"/>
      <c r="M3604" s="78"/>
      <c r="N3604" s="78"/>
      <c r="O3604" s="78"/>
      <c r="P3604" s="78"/>
      <c r="Q3604" s="55"/>
    </row>
    <row r="3605" spans="2:17" ht="13" x14ac:dyDescent="0.15">
      <c r="B3605" s="78"/>
      <c r="C3605" s="78"/>
      <c r="D3605" s="78"/>
      <c r="E3605" s="78"/>
      <c r="F3605" s="78"/>
      <c r="G3605" s="78"/>
      <c r="H3605" s="78"/>
      <c r="I3605" s="78"/>
      <c r="J3605" s="78"/>
      <c r="K3605" s="78"/>
      <c r="L3605" s="78"/>
      <c r="M3605" s="78"/>
      <c r="N3605" s="78"/>
      <c r="O3605" s="78"/>
      <c r="P3605" s="78"/>
      <c r="Q3605" s="55"/>
    </row>
    <row r="3606" spans="2:17" ht="13" x14ac:dyDescent="0.15">
      <c r="B3606" s="78"/>
      <c r="C3606" s="78"/>
      <c r="D3606" s="78"/>
      <c r="E3606" s="78"/>
      <c r="F3606" s="78"/>
      <c r="G3606" s="78"/>
      <c r="H3606" s="78"/>
      <c r="I3606" s="78"/>
      <c r="J3606" s="78"/>
      <c r="K3606" s="78"/>
      <c r="L3606" s="78"/>
      <c r="M3606" s="78"/>
      <c r="N3606" s="78"/>
      <c r="O3606" s="78"/>
      <c r="P3606" s="78"/>
      <c r="Q3606" s="55"/>
    </row>
    <row r="3607" spans="2:17" ht="13" x14ac:dyDescent="0.15">
      <c r="B3607" s="78"/>
      <c r="C3607" s="78"/>
      <c r="D3607" s="78"/>
      <c r="E3607" s="78"/>
      <c r="F3607" s="78"/>
      <c r="G3607" s="78"/>
      <c r="H3607" s="78"/>
      <c r="I3607" s="78"/>
      <c r="J3607" s="78"/>
      <c r="K3607" s="78"/>
      <c r="L3607" s="78"/>
      <c r="M3607" s="78"/>
      <c r="N3607" s="78"/>
      <c r="O3607" s="78"/>
      <c r="P3607" s="78"/>
      <c r="Q3607" s="55"/>
    </row>
    <row r="3608" spans="2:17" ht="13" x14ac:dyDescent="0.15">
      <c r="B3608" s="78"/>
      <c r="C3608" s="78"/>
      <c r="D3608" s="78"/>
      <c r="E3608" s="78"/>
      <c r="F3608" s="78"/>
      <c r="G3608" s="78"/>
      <c r="H3608" s="78"/>
      <c r="I3608" s="78"/>
      <c r="J3608" s="78"/>
      <c r="K3608" s="78"/>
      <c r="L3608" s="78"/>
      <c r="M3608" s="78"/>
      <c r="N3608" s="78"/>
      <c r="O3608" s="78"/>
      <c r="P3608" s="78"/>
      <c r="Q3608" s="55"/>
    </row>
    <row r="3609" spans="2:17" ht="13" x14ac:dyDescent="0.15">
      <c r="B3609" s="78"/>
      <c r="C3609" s="78"/>
      <c r="D3609" s="78"/>
      <c r="E3609" s="78"/>
      <c r="F3609" s="78"/>
      <c r="G3609" s="78"/>
      <c r="H3609" s="78"/>
      <c r="I3609" s="78"/>
      <c r="J3609" s="78"/>
      <c r="K3609" s="78"/>
      <c r="L3609" s="78"/>
      <c r="M3609" s="78"/>
      <c r="N3609" s="78"/>
      <c r="O3609" s="78"/>
      <c r="P3609" s="78"/>
      <c r="Q3609" s="55"/>
    </row>
    <row r="3610" spans="2:17" ht="13" x14ac:dyDescent="0.15">
      <c r="B3610" s="78"/>
      <c r="C3610" s="78"/>
      <c r="D3610" s="78"/>
      <c r="E3610" s="78"/>
      <c r="F3610" s="78"/>
      <c r="G3610" s="78"/>
      <c r="H3610" s="78"/>
      <c r="I3610" s="78"/>
      <c r="J3610" s="78"/>
      <c r="K3610" s="78"/>
      <c r="L3610" s="78"/>
      <c r="M3610" s="78"/>
      <c r="N3610" s="78"/>
      <c r="O3610" s="78"/>
      <c r="P3610" s="78"/>
      <c r="Q3610" s="55"/>
    </row>
    <row r="3611" spans="2:17" ht="13" x14ac:dyDescent="0.15">
      <c r="B3611" s="78"/>
      <c r="C3611" s="78"/>
      <c r="D3611" s="78"/>
      <c r="E3611" s="78"/>
      <c r="F3611" s="78"/>
      <c r="G3611" s="78"/>
      <c r="H3611" s="78"/>
      <c r="I3611" s="78"/>
      <c r="J3611" s="78"/>
      <c r="K3611" s="78"/>
      <c r="L3611" s="78"/>
      <c r="M3611" s="78"/>
      <c r="N3611" s="78"/>
      <c r="O3611" s="78"/>
      <c r="P3611" s="78"/>
      <c r="Q3611" s="55"/>
    </row>
    <row r="3612" spans="2:17" ht="13" x14ac:dyDescent="0.15">
      <c r="B3612" s="78"/>
      <c r="C3612" s="78"/>
      <c r="D3612" s="78"/>
      <c r="E3612" s="78"/>
      <c r="F3612" s="78"/>
      <c r="G3612" s="78"/>
      <c r="H3612" s="78"/>
      <c r="I3612" s="78"/>
      <c r="J3612" s="78"/>
      <c r="K3612" s="78"/>
      <c r="L3612" s="78"/>
      <c r="M3612" s="78"/>
      <c r="N3612" s="78"/>
      <c r="O3612" s="78"/>
      <c r="P3612" s="78"/>
      <c r="Q3612" s="55"/>
    </row>
    <row r="3613" spans="2:17" ht="13" x14ac:dyDescent="0.15">
      <c r="B3613" s="78"/>
      <c r="C3613" s="78"/>
      <c r="D3613" s="78"/>
      <c r="E3613" s="78"/>
      <c r="F3613" s="78"/>
      <c r="G3613" s="78"/>
      <c r="H3613" s="78"/>
      <c r="I3613" s="78"/>
      <c r="J3613" s="78"/>
      <c r="K3613" s="78"/>
      <c r="L3613" s="78"/>
      <c r="M3613" s="78"/>
      <c r="N3613" s="78"/>
      <c r="O3613" s="78"/>
      <c r="P3613" s="78"/>
      <c r="Q3613" s="55"/>
    </row>
    <row r="3614" spans="2:17" ht="13" x14ac:dyDescent="0.15">
      <c r="B3614" s="78"/>
      <c r="C3614" s="78"/>
      <c r="D3614" s="78"/>
      <c r="E3614" s="78"/>
      <c r="F3614" s="78"/>
      <c r="G3614" s="78"/>
      <c r="H3614" s="78"/>
      <c r="I3614" s="78"/>
      <c r="J3614" s="78"/>
      <c r="K3614" s="78"/>
      <c r="L3614" s="78"/>
      <c r="M3614" s="78"/>
      <c r="N3614" s="78"/>
      <c r="O3614" s="78"/>
      <c r="P3614" s="78"/>
      <c r="Q3614" s="55"/>
    </row>
    <row r="3615" spans="2:17" ht="13" x14ac:dyDescent="0.15">
      <c r="B3615" s="78"/>
      <c r="C3615" s="78"/>
      <c r="D3615" s="78"/>
      <c r="E3615" s="78"/>
      <c r="F3615" s="78"/>
      <c r="G3615" s="78"/>
      <c r="H3615" s="78"/>
      <c r="I3615" s="78"/>
      <c r="J3615" s="78"/>
      <c r="K3615" s="78"/>
      <c r="L3615" s="78"/>
      <c r="M3615" s="78"/>
      <c r="N3615" s="78"/>
      <c r="O3615" s="78"/>
      <c r="P3615" s="78"/>
      <c r="Q3615" s="55"/>
    </row>
    <row r="3616" spans="2:17" ht="13" x14ac:dyDescent="0.15">
      <c r="B3616" s="78"/>
      <c r="C3616" s="78"/>
      <c r="D3616" s="78"/>
      <c r="E3616" s="78"/>
      <c r="F3616" s="78"/>
      <c r="G3616" s="78"/>
      <c r="H3616" s="78"/>
      <c r="I3616" s="78"/>
      <c r="J3616" s="78"/>
      <c r="K3616" s="78"/>
      <c r="L3616" s="78"/>
      <c r="M3616" s="78"/>
      <c r="N3616" s="78"/>
      <c r="O3616" s="78"/>
      <c r="P3616" s="78"/>
      <c r="Q3616" s="55"/>
    </row>
    <row r="3617" spans="2:17" ht="13" x14ac:dyDescent="0.15">
      <c r="B3617" s="78"/>
      <c r="C3617" s="78"/>
      <c r="D3617" s="78"/>
      <c r="E3617" s="78"/>
      <c r="F3617" s="78"/>
      <c r="G3617" s="78"/>
      <c r="H3617" s="78"/>
      <c r="I3617" s="78"/>
      <c r="J3617" s="78"/>
      <c r="K3617" s="78"/>
      <c r="L3617" s="78"/>
      <c r="M3617" s="78"/>
      <c r="N3617" s="78"/>
      <c r="O3617" s="78"/>
      <c r="P3617" s="78"/>
      <c r="Q3617" s="55"/>
    </row>
    <row r="3618" spans="2:17" ht="13" x14ac:dyDescent="0.15">
      <c r="B3618" s="78"/>
      <c r="C3618" s="78"/>
      <c r="D3618" s="78"/>
      <c r="E3618" s="78"/>
      <c r="F3618" s="78"/>
      <c r="G3618" s="78"/>
      <c r="H3618" s="78"/>
      <c r="I3618" s="78"/>
      <c r="J3618" s="78"/>
      <c r="K3618" s="78"/>
      <c r="L3618" s="78"/>
      <c r="M3618" s="78"/>
      <c r="N3618" s="78"/>
      <c r="O3618" s="78"/>
      <c r="P3618" s="78"/>
      <c r="Q3618" s="55"/>
    </row>
    <row r="3619" spans="2:17" ht="13" x14ac:dyDescent="0.15">
      <c r="B3619" s="78"/>
      <c r="C3619" s="78"/>
      <c r="D3619" s="78"/>
      <c r="E3619" s="78"/>
      <c r="F3619" s="78"/>
      <c r="G3619" s="78"/>
      <c r="H3619" s="78"/>
      <c r="I3619" s="78"/>
      <c r="J3619" s="78"/>
      <c r="K3619" s="78"/>
      <c r="L3619" s="78"/>
      <c r="M3619" s="78"/>
      <c r="N3619" s="78"/>
      <c r="O3619" s="78"/>
      <c r="P3619" s="78"/>
      <c r="Q3619" s="55"/>
    </row>
    <row r="3620" spans="2:17" ht="13" x14ac:dyDescent="0.15">
      <c r="B3620" s="78"/>
      <c r="C3620" s="78"/>
      <c r="D3620" s="78"/>
      <c r="E3620" s="78"/>
      <c r="F3620" s="78"/>
      <c r="G3620" s="78"/>
      <c r="H3620" s="78"/>
      <c r="I3620" s="78"/>
      <c r="J3620" s="78"/>
      <c r="K3620" s="78"/>
      <c r="L3620" s="78"/>
      <c r="M3620" s="78"/>
      <c r="N3620" s="78"/>
      <c r="O3620" s="78"/>
      <c r="P3620" s="78"/>
      <c r="Q3620" s="55"/>
    </row>
    <row r="3621" spans="2:17" ht="13" x14ac:dyDescent="0.15">
      <c r="B3621" s="78"/>
      <c r="C3621" s="78"/>
      <c r="D3621" s="78"/>
      <c r="E3621" s="78"/>
      <c r="F3621" s="78"/>
      <c r="G3621" s="78"/>
      <c r="H3621" s="78"/>
      <c r="I3621" s="78"/>
      <c r="J3621" s="78"/>
      <c r="K3621" s="78"/>
      <c r="L3621" s="78"/>
      <c r="M3621" s="78"/>
      <c r="N3621" s="78"/>
      <c r="O3621" s="78"/>
      <c r="P3621" s="78"/>
      <c r="Q3621" s="55"/>
    </row>
    <row r="3622" spans="2:17" ht="13" x14ac:dyDescent="0.15">
      <c r="B3622" s="78"/>
      <c r="C3622" s="78"/>
      <c r="D3622" s="78"/>
      <c r="E3622" s="78"/>
      <c r="F3622" s="78"/>
      <c r="G3622" s="78"/>
      <c r="H3622" s="78"/>
      <c r="I3622" s="78"/>
      <c r="J3622" s="78"/>
      <c r="K3622" s="78"/>
      <c r="L3622" s="78"/>
      <c r="M3622" s="78"/>
      <c r="N3622" s="78"/>
      <c r="O3622" s="78"/>
      <c r="P3622" s="78"/>
      <c r="Q3622" s="55"/>
    </row>
    <row r="3623" spans="2:17" ht="13" x14ac:dyDescent="0.15">
      <c r="B3623" s="78"/>
      <c r="C3623" s="78"/>
      <c r="D3623" s="78"/>
      <c r="E3623" s="78"/>
      <c r="F3623" s="78"/>
      <c r="G3623" s="78"/>
      <c r="H3623" s="78"/>
      <c r="I3623" s="78"/>
      <c r="J3623" s="78"/>
      <c r="K3623" s="78"/>
      <c r="L3623" s="78"/>
      <c r="M3623" s="78"/>
      <c r="N3623" s="78"/>
      <c r="O3623" s="78"/>
      <c r="P3623" s="78"/>
      <c r="Q3623" s="55"/>
    </row>
    <row r="3624" spans="2:17" ht="13" x14ac:dyDescent="0.15">
      <c r="B3624" s="78"/>
      <c r="C3624" s="78"/>
      <c r="D3624" s="78"/>
      <c r="E3624" s="78"/>
      <c r="F3624" s="78"/>
      <c r="G3624" s="78"/>
      <c r="H3624" s="78"/>
      <c r="I3624" s="78"/>
      <c r="J3624" s="78"/>
      <c r="K3624" s="78"/>
      <c r="L3624" s="78"/>
      <c r="M3624" s="78"/>
      <c r="N3624" s="78"/>
      <c r="O3624" s="78"/>
      <c r="P3624" s="78"/>
      <c r="Q3624" s="55"/>
    </row>
    <row r="3625" spans="2:17" ht="13" x14ac:dyDescent="0.15">
      <c r="B3625" s="78"/>
      <c r="C3625" s="78"/>
      <c r="D3625" s="78"/>
      <c r="E3625" s="78"/>
      <c r="F3625" s="78"/>
      <c r="G3625" s="78"/>
      <c r="H3625" s="78"/>
      <c r="I3625" s="78"/>
      <c r="J3625" s="78"/>
      <c r="K3625" s="78"/>
      <c r="L3625" s="78"/>
      <c r="M3625" s="78"/>
      <c r="N3625" s="78"/>
      <c r="O3625" s="78"/>
      <c r="P3625" s="78"/>
      <c r="Q3625" s="55"/>
    </row>
    <row r="3626" spans="2:17" ht="13" x14ac:dyDescent="0.15">
      <c r="B3626" s="78"/>
      <c r="C3626" s="78"/>
      <c r="D3626" s="78"/>
      <c r="E3626" s="78"/>
      <c r="F3626" s="78"/>
      <c r="G3626" s="78"/>
      <c r="H3626" s="78"/>
      <c r="I3626" s="78"/>
      <c r="J3626" s="78"/>
      <c r="K3626" s="78"/>
      <c r="L3626" s="78"/>
      <c r="M3626" s="78"/>
      <c r="N3626" s="78"/>
      <c r="O3626" s="78"/>
      <c r="P3626" s="78"/>
      <c r="Q3626" s="55"/>
    </row>
    <row r="3627" spans="2:17" ht="13" x14ac:dyDescent="0.15">
      <c r="B3627" s="78"/>
      <c r="C3627" s="78"/>
      <c r="D3627" s="78"/>
      <c r="E3627" s="78"/>
      <c r="F3627" s="78"/>
      <c r="G3627" s="78"/>
      <c r="H3627" s="78"/>
      <c r="I3627" s="78"/>
      <c r="J3627" s="78"/>
      <c r="K3627" s="78"/>
      <c r="L3627" s="78"/>
      <c r="M3627" s="78"/>
      <c r="N3627" s="78"/>
      <c r="O3627" s="78"/>
      <c r="P3627" s="78"/>
      <c r="Q3627" s="55"/>
    </row>
    <row r="3628" spans="2:17" ht="13" x14ac:dyDescent="0.15">
      <c r="B3628" s="78"/>
      <c r="C3628" s="78"/>
      <c r="D3628" s="78"/>
      <c r="E3628" s="78"/>
      <c r="F3628" s="78"/>
      <c r="G3628" s="78"/>
      <c r="H3628" s="78"/>
      <c r="I3628" s="78"/>
      <c r="J3628" s="78"/>
      <c r="K3628" s="78"/>
      <c r="L3628" s="78"/>
      <c r="M3628" s="78"/>
      <c r="N3628" s="78"/>
      <c r="O3628" s="78"/>
      <c r="P3628" s="78"/>
      <c r="Q3628" s="55"/>
    </row>
    <row r="3629" spans="2:17" ht="13" x14ac:dyDescent="0.15">
      <c r="B3629" s="78"/>
      <c r="C3629" s="78"/>
      <c r="D3629" s="78"/>
      <c r="E3629" s="78"/>
      <c r="F3629" s="78"/>
      <c r="G3629" s="78"/>
      <c r="H3629" s="78"/>
      <c r="I3629" s="78"/>
      <c r="J3629" s="78"/>
      <c r="K3629" s="78"/>
      <c r="L3629" s="78"/>
      <c r="M3629" s="78"/>
      <c r="N3629" s="78"/>
      <c r="O3629" s="78"/>
      <c r="P3629" s="78"/>
      <c r="Q3629" s="55"/>
    </row>
    <row r="3630" spans="2:17" ht="13" x14ac:dyDescent="0.15">
      <c r="B3630" s="78"/>
      <c r="C3630" s="78"/>
      <c r="D3630" s="78"/>
      <c r="E3630" s="78"/>
      <c r="F3630" s="78"/>
      <c r="G3630" s="78"/>
      <c r="H3630" s="78"/>
      <c r="I3630" s="78"/>
      <c r="J3630" s="78"/>
      <c r="K3630" s="78"/>
      <c r="L3630" s="78"/>
      <c r="M3630" s="78"/>
      <c r="N3630" s="78"/>
      <c r="O3630" s="78"/>
      <c r="P3630" s="78"/>
      <c r="Q3630" s="55"/>
    </row>
    <row r="3631" spans="2:17" ht="13" x14ac:dyDescent="0.15">
      <c r="B3631" s="78"/>
      <c r="C3631" s="78"/>
      <c r="D3631" s="78"/>
      <c r="E3631" s="78"/>
      <c r="F3631" s="78"/>
      <c r="G3631" s="78"/>
      <c r="H3631" s="78"/>
      <c r="I3631" s="78"/>
      <c r="J3631" s="78"/>
      <c r="K3631" s="78"/>
      <c r="L3631" s="78"/>
      <c r="M3631" s="78"/>
      <c r="N3631" s="78"/>
      <c r="O3631" s="78"/>
      <c r="P3631" s="78"/>
      <c r="Q3631" s="55"/>
    </row>
    <row r="3632" spans="2:17" ht="13" x14ac:dyDescent="0.15">
      <c r="B3632" s="78"/>
      <c r="C3632" s="78"/>
      <c r="D3632" s="78"/>
      <c r="E3632" s="78"/>
      <c r="F3632" s="78"/>
      <c r="G3632" s="78"/>
      <c r="H3632" s="78"/>
      <c r="I3632" s="78"/>
      <c r="J3632" s="78"/>
      <c r="K3632" s="78"/>
      <c r="L3632" s="78"/>
      <c r="M3632" s="78"/>
      <c r="N3632" s="78"/>
      <c r="O3632" s="78"/>
      <c r="P3632" s="78"/>
      <c r="Q3632" s="55"/>
    </row>
    <row r="3633" spans="2:17" ht="13" x14ac:dyDescent="0.15">
      <c r="B3633" s="78"/>
      <c r="C3633" s="78"/>
      <c r="D3633" s="78"/>
      <c r="E3633" s="78"/>
      <c r="F3633" s="78"/>
      <c r="G3633" s="78"/>
      <c r="H3633" s="78"/>
      <c r="I3633" s="78"/>
      <c r="J3633" s="78"/>
      <c r="K3633" s="78"/>
      <c r="L3633" s="78"/>
      <c r="M3633" s="78"/>
      <c r="N3633" s="78"/>
      <c r="O3633" s="78"/>
      <c r="P3633" s="78"/>
      <c r="Q3633" s="55"/>
    </row>
    <row r="3634" spans="2:17" ht="13" x14ac:dyDescent="0.15">
      <c r="B3634" s="78"/>
      <c r="C3634" s="78"/>
      <c r="D3634" s="78"/>
      <c r="E3634" s="78"/>
      <c r="F3634" s="78"/>
      <c r="G3634" s="78"/>
      <c r="H3634" s="78"/>
      <c r="I3634" s="78"/>
      <c r="J3634" s="78"/>
      <c r="K3634" s="78"/>
      <c r="L3634" s="78"/>
      <c r="M3634" s="78"/>
      <c r="N3634" s="78"/>
      <c r="O3634" s="78"/>
      <c r="P3634" s="78"/>
      <c r="Q3634" s="55"/>
    </row>
    <row r="3635" spans="2:17" ht="13" x14ac:dyDescent="0.15">
      <c r="B3635" s="78"/>
      <c r="C3635" s="78"/>
      <c r="D3635" s="78"/>
      <c r="E3635" s="78"/>
      <c r="F3635" s="78"/>
      <c r="G3635" s="78"/>
      <c r="H3635" s="78"/>
      <c r="I3635" s="78"/>
      <c r="J3635" s="78"/>
      <c r="K3635" s="78"/>
      <c r="L3635" s="78"/>
      <c r="M3635" s="78"/>
      <c r="N3635" s="78"/>
      <c r="O3635" s="78"/>
      <c r="P3635" s="78"/>
      <c r="Q3635" s="55"/>
    </row>
    <row r="3636" spans="2:17" ht="13" x14ac:dyDescent="0.15">
      <c r="B3636" s="78"/>
      <c r="C3636" s="78"/>
      <c r="D3636" s="78"/>
      <c r="E3636" s="78"/>
      <c r="F3636" s="78"/>
      <c r="G3636" s="78"/>
      <c r="H3636" s="78"/>
      <c r="I3636" s="78"/>
      <c r="J3636" s="78"/>
      <c r="K3636" s="78"/>
      <c r="L3636" s="78"/>
      <c r="M3636" s="78"/>
      <c r="N3636" s="78"/>
      <c r="O3636" s="78"/>
      <c r="P3636" s="78"/>
      <c r="Q3636" s="55"/>
    </row>
    <row r="3637" spans="2:17" ht="13" x14ac:dyDescent="0.15">
      <c r="B3637" s="78"/>
      <c r="C3637" s="78"/>
      <c r="D3637" s="78"/>
      <c r="E3637" s="78"/>
      <c r="F3637" s="78"/>
      <c r="G3637" s="78"/>
      <c r="H3637" s="78"/>
      <c r="I3637" s="78"/>
      <c r="J3637" s="78"/>
      <c r="K3637" s="78"/>
      <c r="L3637" s="78"/>
      <c r="M3637" s="78"/>
      <c r="N3637" s="78"/>
      <c r="O3637" s="78"/>
      <c r="P3637" s="78"/>
      <c r="Q3637" s="55"/>
    </row>
    <row r="3638" spans="2:17" ht="13" x14ac:dyDescent="0.15">
      <c r="B3638" s="78"/>
      <c r="C3638" s="78"/>
      <c r="D3638" s="78"/>
      <c r="E3638" s="78"/>
      <c r="F3638" s="78"/>
      <c r="G3638" s="78"/>
      <c r="H3638" s="78"/>
      <c r="I3638" s="78"/>
      <c r="J3638" s="78"/>
      <c r="K3638" s="78"/>
      <c r="L3638" s="78"/>
      <c r="M3638" s="78"/>
      <c r="N3638" s="78"/>
      <c r="O3638" s="78"/>
      <c r="P3638" s="78"/>
      <c r="Q3638" s="55"/>
    </row>
    <row r="3639" spans="2:17" ht="13" x14ac:dyDescent="0.15">
      <c r="B3639" s="78"/>
      <c r="C3639" s="78"/>
      <c r="D3639" s="78"/>
      <c r="E3639" s="78"/>
      <c r="F3639" s="78"/>
      <c r="G3639" s="78"/>
      <c r="H3639" s="78"/>
      <c r="I3639" s="78"/>
      <c r="J3639" s="78"/>
      <c r="K3639" s="78"/>
      <c r="L3639" s="78"/>
      <c r="M3639" s="78"/>
      <c r="N3639" s="78"/>
      <c r="O3639" s="78"/>
      <c r="P3639" s="78"/>
      <c r="Q3639" s="55"/>
    </row>
    <row r="3640" spans="2:17" ht="13" x14ac:dyDescent="0.15">
      <c r="B3640" s="78"/>
      <c r="C3640" s="78"/>
      <c r="D3640" s="78"/>
      <c r="E3640" s="78"/>
      <c r="F3640" s="78"/>
      <c r="G3640" s="78"/>
      <c r="H3640" s="78"/>
      <c r="I3640" s="78"/>
      <c r="J3640" s="78"/>
      <c r="K3640" s="78"/>
      <c r="L3640" s="78"/>
      <c r="M3640" s="78"/>
      <c r="N3640" s="78"/>
      <c r="O3640" s="78"/>
      <c r="P3640" s="78"/>
      <c r="Q3640" s="55"/>
    </row>
    <row r="3641" spans="2:17" ht="13" x14ac:dyDescent="0.15">
      <c r="B3641" s="78"/>
      <c r="C3641" s="78"/>
      <c r="D3641" s="78"/>
      <c r="E3641" s="78"/>
      <c r="F3641" s="78"/>
      <c r="G3641" s="78"/>
      <c r="H3641" s="78"/>
      <c r="I3641" s="78"/>
      <c r="J3641" s="78"/>
      <c r="K3641" s="78"/>
      <c r="L3641" s="78"/>
      <c r="M3641" s="78"/>
      <c r="N3641" s="78"/>
      <c r="O3641" s="78"/>
      <c r="P3641" s="78"/>
      <c r="Q3641" s="55"/>
    </row>
    <row r="3642" spans="2:17" ht="13" x14ac:dyDescent="0.15">
      <c r="B3642" s="78"/>
      <c r="C3642" s="78"/>
      <c r="D3642" s="78"/>
      <c r="E3642" s="78"/>
      <c r="F3642" s="78"/>
      <c r="G3642" s="78"/>
      <c r="H3642" s="78"/>
      <c r="I3642" s="78"/>
      <c r="J3642" s="78"/>
      <c r="K3642" s="78"/>
      <c r="L3642" s="78"/>
      <c r="M3642" s="78"/>
      <c r="N3642" s="78"/>
      <c r="O3642" s="78"/>
      <c r="P3642" s="78"/>
      <c r="Q3642" s="55"/>
    </row>
    <row r="3643" spans="2:17" ht="13" x14ac:dyDescent="0.15">
      <c r="B3643" s="78"/>
      <c r="C3643" s="78"/>
      <c r="D3643" s="78"/>
      <c r="E3643" s="78"/>
      <c r="F3643" s="78"/>
      <c r="G3643" s="78"/>
      <c r="H3643" s="78"/>
      <c r="I3643" s="78"/>
      <c r="J3643" s="78"/>
      <c r="K3643" s="78"/>
      <c r="L3643" s="78"/>
      <c r="M3643" s="78"/>
      <c r="N3643" s="78"/>
      <c r="O3643" s="78"/>
      <c r="P3643" s="78"/>
      <c r="Q3643" s="55"/>
    </row>
    <row r="3644" spans="2:17" ht="13" x14ac:dyDescent="0.15">
      <c r="B3644" s="78"/>
      <c r="C3644" s="78"/>
      <c r="D3644" s="78"/>
      <c r="E3644" s="78"/>
      <c r="F3644" s="78"/>
      <c r="G3644" s="78"/>
      <c r="H3644" s="78"/>
      <c r="I3644" s="78"/>
      <c r="J3644" s="78"/>
      <c r="K3644" s="78"/>
      <c r="L3644" s="78"/>
      <c r="M3644" s="78"/>
      <c r="N3644" s="78"/>
      <c r="O3644" s="78"/>
      <c r="P3644" s="78"/>
      <c r="Q3644" s="55"/>
    </row>
    <row r="3645" spans="2:17" ht="13" x14ac:dyDescent="0.15">
      <c r="B3645" s="78"/>
      <c r="C3645" s="78"/>
      <c r="D3645" s="78"/>
      <c r="E3645" s="78"/>
      <c r="F3645" s="78"/>
      <c r="G3645" s="78"/>
      <c r="H3645" s="78"/>
      <c r="I3645" s="78"/>
      <c r="J3645" s="78"/>
      <c r="K3645" s="78"/>
      <c r="L3645" s="78"/>
      <c r="M3645" s="78"/>
      <c r="N3645" s="78"/>
      <c r="O3645" s="78"/>
      <c r="P3645" s="78"/>
      <c r="Q3645" s="55"/>
    </row>
    <row r="3646" spans="2:17" ht="13" x14ac:dyDescent="0.15">
      <c r="B3646" s="78"/>
      <c r="C3646" s="78"/>
      <c r="D3646" s="78"/>
      <c r="E3646" s="78"/>
      <c r="F3646" s="78"/>
      <c r="G3646" s="78"/>
      <c r="H3646" s="78"/>
      <c r="I3646" s="78"/>
      <c r="J3646" s="78"/>
      <c r="K3646" s="78"/>
      <c r="L3646" s="78"/>
      <c r="M3646" s="78"/>
      <c r="N3646" s="78"/>
      <c r="O3646" s="78"/>
      <c r="P3646" s="78"/>
      <c r="Q3646" s="55"/>
    </row>
    <row r="3647" spans="2:17" ht="13" x14ac:dyDescent="0.15">
      <c r="B3647" s="78"/>
      <c r="C3647" s="78"/>
      <c r="D3647" s="78"/>
      <c r="E3647" s="78"/>
      <c r="F3647" s="78"/>
      <c r="G3647" s="78"/>
      <c r="H3647" s="78"/>
      <c r="I3647" s="78"/>
      <c r="J3647" s="78"/>
      <c r="K3647" s="78"/>
      <c r="L3647" s="78"/>
      <c r="M3647" s="78"/>
      <c r="N3647" s="78"/>
      <c r="O3647" s="78"/>
      <c r="P3647" s="78"/>
      <c r="Q3647" s="55"/>
    </row>
    <row r="3648" spans="2:17" ht="13" x14ac:dyDescent="0.15">
      <c r="B3648" s="78"/>
      <c r="C3648" s="78"/>
      <c r="D3648" s="78"/>
      <c r="E3648" s="78"/>
      <c r="F3648" s="78"/>
      <c r="G3648" s="78"/>
      <c r="H3648" s="78"/>
      <c r="I3648" s="78"/>
      <c r="J3648" s="78"/>
      <c r="K3648" s="78"/>
      <c r="L3648" s="78"/>
      <c r="M3648" s="78"/>
      <c r="N3648" s="78"/>
      <c r="O3648" s="78"/>
      <c r="P3648" s="78"/>
      <c r="Q3648" s="55"/>
    </row>
    <row r="3649" spans="2:17" ht="13" x14ac:dyDescent="0.15">
      <c r="B3649" s="78"/>
      <c r="C3649" s="78"/>
      <c r="D3649" s="78"/>
      <c r="E3649" s="78"/>
      <c r="F3649" s="78"/>
      <c r="G3649" s="78"/>
      <c r="H3649" s="78"/>
      <c r="I3649" s="78"/>
      <c r="J3649" s="78"/>
      <c r="K3649" s="78"/>
      <c r="L3649" s="78"/>
      <c r="M3649" s="78"/>
      <c r="N3649" s="78"/>
      <c r="O3649" s="78"/>
      <c r="P3649" s="78"/>
      <c r="Q3649" s="55"/>
    </row>
    <row r="3650" spans="2:17" ht="13" x14ac:dyDescent="0.15">
      <c r="B3650" s="78"/>
      <c r="C3650" s="78"/>
      <c r="D3650" s="78"/>
      <c r="E3650" s="78"/>
      <c r="F3650" s="78"/>
      <c r="G3650" s="78"/>
      <c r="H3650" s="78"/>
      <c r="I3650" s="78"/>
      <c r="J3650" s="78"/>
      <c r="K3650" s="78"/>
      <c r="L3650" s="78"/>
      <c r="M3650" s="78"/>
      <c r="N3650" s="78"/>
      <c r="O3650" s="78"/>
      <c r="P3650" s="78"/>
      <c r="Q3650" s="55"/>
    </row>
    <row r="3651" spans="2:17" ht="13" x14ac:dyDescent="0.15">
      <c r="B3651" s="78"/>
      <c r="C3651" s="78"/>
      <c r="D3651" s="78"/>
      <c r="E3651" s="78"/>
      <c r="F3651" s="78"/>
      <c r="G3651" s="78"/>
      <c r="H3651" s="78"/>
      <c r="I3651" s="78"/>
      <c r="J3651" s="78"/>
      <c r="K3651" s="78"/>
      <c r="L3651" s="78"/>
      <c r="M3651" s="78"/>
      <c r="N3651" s="78"/>
      <c r="O3651" s="78"/>
      <c r="P3651" s="78"/>
      <c r="Q3651" s="55"/>
    </row>
    <row r="3652" spans="2:17" ht="13" x14ac:dyDescent="0.15">
      <c r="B3652" s="78"/>
      <c r="C3652" s="78"/>
      <c r="D3652" s="78"/>
      <c r="E3652" s="78"/>
      <c r="F3652" s="78"/>
      <c r="G3652" s="78"/>
      <c r="H3652" s="78"/>
      <c r="I3652" s="78"/>
      <c r="J3652" s="78"/>
      <c r="K3652" s="78"/>
      <c r="L3652" s="78"/>
      <c r="M3652" s="78"/>
      <c r="N3652" s="78"/>
      <c r="O3652" s="78"/>
      <c r="P3652" s="78"/>
      <c r="Q3652" s="55"/>
    </row>
    <row r="3653" spans="2:17" ht="13" x14ac:dyDescent="0.15">
      <c r="B3653" s="78"/>
      <c r="C3653" s="78"/>
      <c r="D3653" s="78"/>
      <c r="E3653" s="78"/>
      <c r="F3653" s="78"/>
      <c r="G3653" s="78"/>
      <c r="H3653" s="78"/>
      <c r="I3653" s="78"/>
      <c r="J3653" s="78"/>
      <c r="K3653" s="78"/>
      <c r="L3653" s="78"/>
      <c r="M3653" s="78"/>
      <c r="N3653" s="78"/>
      <c r="O3653" s="78"/>
      <c r="P3653" s="78"/>
      <c r="Q3653" s="55"/>
    </row>
    <row r="3654" spans="2:17" ht="13" x14ac:dyDescent="0.15">
      <c r="B3654" s="78"/>
      <c r="C3654" s="78"/>
      <c r="D3654" s="78"/>
      <c r="E3654" s="78"/>
      <c r="F3654" s="78"/>
      <c r="G3654" s="78"/>
      <c r="H3654" s="78"/>
      <c r="I3654" s="78"/>
      <c r="J3654" s="78"/>
      <c r="K3654" s="78"/>
      <c r="L3654" s="78"/>
      <c r="M3654" s="78"/>
      <c r="N3654" s="78"/>
      <c r="O3654" s="78"/>
      <c r="P3654" s="78"/>
      <c r="Q3654" s="55"/>
    </row>
    <row r="3655" spans="2:17" ht="13" x14ac:dyDescent="0.15">
      <c r="B3655" s="78"/>
      <c r="C3655" s="78"/>
      <c r="D3655" s="78"/>
      <c r="E3655" s="78"/>
      <c r="F3655" s="78"/>
      <c r="G3655" s="78"/>
      <c r="H3655" s="78"/>
      <c r="I3655" s="78"/>
      <c r="J3655" s="78"/>
      <c r="K3655" s="78"/>
      <c r="L3655" s="78"/>
      <c r="M3655" s="78"/>
      <c r="N3655" s="78"/>
      <c r="O3655" s="78"/>
      <c r="P3655" s="78"/>
      <c r="Q3655" s="55"/>
    </row>
    <row r="3656" spans="2:17" ht="13" x14ac:dyDescent="0.15">
      <c r="B3656" s="78"/>
      <c r="C3656" s="78"/>
      <c r="D3656" s="78"/>
      <c r="E3656" s="78"/>
      <c r="F3656" s="78"/>
      <c r="G3656" s="78"/>
      <c r="H3656" s="78"/>
      <c r="I3656" s="78"/>
      <c r="J3656" s="78"/>
      <c r="K3656" s="78"/>
      <c r="L3656" s="78"/>
      <c r="M3656" s="78"/>
      <c r="N3656" s="78"/>
      <c r="O3656" s="78"/>
      <c r="P3656" s="78"/>
      <c r="Q3656" s="55"/>
    </row>
    <row r="3657" spans="2:17" ht="13" x14ac:dyDescent="0.15">
      <c r="B3657" s="78"/>
      <c r="C3657" s="78"/>
      <c r="D3657" s="78"/>
      <c r="E3657" s="78"/>
      <c r="F3657" s="78"/>
      <c r="G3657" s="78"/>
      <c r="H3657" s="78"/>
      <c r="I3657" s="78"/>
      <c r="J3657" s="78"/>
      <c r="K3657" s="78"/>
      <c r="L3657" s="78"/>
      <c r="M3657" s="78"/>
      <c r="N3657" s="78"/>
      <c r="O3657" s="78"/>
      <c r="P3657" s="78"/>
      <c r="Q3657" s="55"/>
    </row>
    <row r="3658" spans="2:17" ht="13" x14ac:dyDescent="0.15">
      <c r="B3658" s="78"/>
      <c r="C3658" s="78"/>
      <c r="D3658" s="78"/>
      <c r="E3658" s="78"/>
      <c r="F3658" s="78"/>
      <c r="G3658" s="78"/>
      <c r="H3658" s="78"/>
      <c r="I3658" s="78"/>
      <c r="J3658" s="78"/>
      <c r="K3658" s="78"/>
      <c r="L3658" s="78"/>
      <c r="M3658" s="78"/>
      <c r="N3658" s="78"/>
      <c r="O3658" s="78"/>
      <c r="P3658" s="78"/>
      <c r="Q3658" s="55"/>
    </row>
    <row r="3659" spans="2:17" ht="13" x14ac:dyDescent="0.15">
      <c r="B3659" s="78"/>
      <c r="C3659" s="78"/>
      <c r="D3659" s="78"/>
      <c r="E3659" s="78"/>
      <c r="F3659" s="78"/>
      <c r="G3659" s="78"/>
      <c r="H3659" s="78"/>
      <c r="I3659" s="78"/>
      <c r="J3659" s="78"/>
      <c r="K3659" s="78"/>
      <c r="L3659" s="78"/>
      <c r="M3659" s="78"/>
      <c r="N3659" s="78"/>
      <c r="O3659" s="78"/>
      <c r="P3659" s="78"/>
      <c r="Q3659" s="55"/>
    </row>
    <row r="3660" spans="2:17" ht="13" x14ac:dyDescent="0.15">
      <c r="B3660" s="78"/>
      <c r="C3660" s="78"/>
      <c r="D3660" s="78"/>
      <c r="E3660" s="78"/>
      <c r="F3660" s="78"/>
      <c r="G3660" s="78"/>
      <c r="H3660" s="78"/>
      <c r="I3660" s="78"/>
      <c r="J3660" s="78"/>
      <c r="K3660" s="78"/>
      <c r="L3660" s="78"/>
      <c r="M3660" s="78"/>
      <c r="N3660" s="78"/>
      <c r="O3660" s="78"/>
      <c r="P3660" s="78"/>
      <c r="Q3660" s="55"/>
    </row>
    <row r="3661" spans="2:17" ht="13" x14ac:dyDescent="0.15">
      <c r="B3661" s="78"/>
      <c r="C3661" s="78"/>
      <c r="D3661" s="78"/>
      <c r="E3661" s="78"/>
      <c r="F3661" s="78"/>
      <c r="G3661" s="78"/>
      <c r="H3661" s="78"/>
      <c r="I3661" s="78"/>
      <c r="J3661" s="78"/>
      <c r="K3661" s="78"/>
      <c r="L3661" s="78"/>
      <c r="M3661" s="78"/>
      <c r="N3661" s="78"/>
      <c r="O3661" s="78"/>
      <c r="P3661" s="78"/>
      <c r="Q3661" s="55"/>
    </row>
    <row r="3662" spans="2:17" ht="13" x14ac:dyDescent="0.15">
      <c r="B3662" s="78"/>
      <c r="C3662" s="78"/>
      <c r="D3662" s="78"/>
      <c r="E3662" s="78"/>
      <c r="F3662" s="78"/>
      <c r="G3662" s="78"/>
      <c r="H3662" s="78"/>
      <c r="I3662" s="78"/>
      <c r="J3662" s="78"/>
      <c r="K3662" s="78"/>
      <c r="L3662" s="78"/>
      <c r="M3662" s="78"/>
      <c r="N3662" s="78"/>
      <c r="O3662" s="78"/>
      <c r="P3662" s="78"/>
      <c r="Q3662" s="55"/>
    </row>
    <row r="3663" spans="2:17" ht="13" x14ac:dyDescent="0.15">
      <c r="B3663" s="78"/>
      <c r="C3663" s="78"/>
      <c r="D3663" s="78"/>
      <c r="E3663" s="78"/>
      <c r="F3663" s="78"/>
      <c r="G3663" s="78"/>
      <c r="H3663" s="78"/>
      <c r="I3663" s="78"/>
      <c r="J3663" s="78"/>
      <c r="K3663" s="78"/>
      <c r="L3663" s="78"/>
      <c r="M3663" s="78"/>
      <c r="N3663" s="78"/>
      <c r="O3663" s="78"/>
      <c r="P3663" s="78"/>
      <c r="Q3663" s="55"/>
    </row>
    <row r="3664" spans="2:17" ht="13" x14ac:dyDescent="0.15">
      <c r="B3664" s="78"/>
      <c r="C3664" s="78"/>
      <c r="D3664" s="78"/>
      <c r="E3664" s="78"/>
      <c r="F3664" s="78"/>
      <c r="G3664" s="78"/>
      <c r="H3664" s="78"/>
      <c r="I3664" s="78"/>
      <c r="J3664" s="78"/>
      <c r="K3664" s="78"/>
      <c r="L3664" s="78"/>
      <c r="M3664" s="78"/>
      <c r="N3664" s="78"/>
      <c r="O3664" s="78"/>
      <c r="P3664" s="78"/>
      <c r="Q3664" s="55"/>
    </row>
    <row r="3665" spans="2:17" ht="13" x14ac:dyDescent="0.15">
      <c r="B3665" s="78"/>
      <c r="C3665" s="78"/>
      <c r="D3665" s="78"/>
      <c r="E3665" s="78"/>
      <c r="F3665" s="78"/>
      <c r="G3665" s="78"/>
      <c r="H3665" s="78"/>
      <c r="I3665" s="78"/>
      <c r="J3665" s="78"/>
      <c r="K3665" s="78"/>
      <c r="L3665" s="78"/>
      <c r="M3665" s="78"/>
      <c r="N3665" s="78"/>
      <c r="O3665" s="78"/>
      <c r="P3665" s="78"/>
      <c r="Q3665" s="55"/>
    </row>
    <row r="3666" spans="2:17" ht="13" x14ac:dyDescent="0.15">
      <c r="B3666" s="78"/>
      <c r="C3666" s="78"/>
      <c r="D3666" s="78"/>
      <c r="E3666" s="78"/>
      <c r="F3666" s="78"/>
      <c r="G3666" s="78"/>
      <c r="H3666" s="78"/>
      <c r="I3666" s="78"/>
      <c r="J3666" s="78"/>
      <c r="K3666" s="78"/>
      <c r="L3666" s="78"/>
      <c r="M3666" s="78"/>
      <c r="N3666" s="78"/>
      <c r="O3666" s="78"/>
      <c r="P3666" s="78"/>
      <c r="Q3666" s="55"/>
    </row>
    <row r="3667" spans="2:17" ht="13" x14ac:dyDescent="0.15">
      <c r="B3667" s="78"/>
      <c r="C3667" s="78"/>
      <c r="D3667" s="78"/>
      <c r="E3667" s="78"/>
      <c r="F3667" s="78"/>
      <c r="G3667" s="78"/>
      <c r="H3667" s="78"/>
      <c r="I3667" s="78"/>
      <c r="J3667" s="78"/>
      <c r="K3667" s="78"/>
      <c r="L3667" s="78"/>
      <c r="M3667" s="78"/>
      <c r="N3667" s="78"/>
      <c r="O3667" s="78"/>
      <c r="P3667" s="78"/>
      <c r="Q3667" s="55"/>
    </row>
    <row r="3668" spans="2:17" ht="13" x14ac:dyDescent="0.15">
      <c r="B3668" s="78"/>
      <c r="C3668" s="78"/>
      <c r="D3668" s="78"/>
      <c r="E3668" s="78"/>
      <c r="F3668" s="78"/>
      <c r="G3668" s="78"/>
      <c r="H3668" s="78"/>
      <c r="I3668" s="78"/>
      <c r="J3668" s="78"/>
      <c r="K3668" s="78"/>
      <c r="L3668" s="78"/>
      <c r="M3668" s="78"/>
      <c r="N3668" s="78"/>
      <c r="O3668" s="78"/>
      <c r="P3668" s="78"/>
      <c r="Q3668" s="55"/>
    </row>
    <row r="3669" spans="2:17" ht="13" x14ac:dyDescent="0.15">
      <c r="B3669" s="78"/>
      <c r="C3669" s="78"/>
      <c r="D3669" s="78"/>
      <c r="E3669" s="78"/>
      <c r="F3669" s="78"/>
      <c r="G3669" s="78"/>
      <c r="H3669" s="78"/>
      <c r="I3669" s="78"/>
      <c r="J3669" s="78"/>
      <c r="K3669" s="78"/>
      <c r="L3669" s="78"/>
      <c r="M3669" s="78"/>
      <c r="N3669" s="78"/>
      <c r="O3669" s="78"/>
      <c r="P3669" s="78"/>
      <c r="Q3669" s="55"/>
    </row>
    <row r="3670" spans="2:17" ht="13" x14ac:dyDescent="0.15">
      <c r="B3670" s="78"/>
      <c r="C3670" s="78"/>
      <c r="D3670" s="78"/>
      <c r="E3670" s="78"/>
      <c r="F3670" s="78"/>
      <c r="G3670" s="78"/>
      <c r="H3670" s="78"/>
      <c r="I3670" s="78"/>
      <c r="J3670" s="78"/>
      <c r="K3670" s="78"/>
      <c r="L3670" s="78"/>
      <c r="M3670" s="78"/>
      <c r="N3670" s="78"/>
      <c r="O3670" s="78"/>
      <c r="P3670" s="78"/>
      <c r="Q3670" s="55"/>
    </row>
    <row r="3671" spans="2:17" ht="13" x14ac:dyDescent="0.15">
      <c r="B3671" s="78"/>
      <c r="C3671" s="78"/>
      <c r="D3671" s="78"/>
      <c r="E3671" s="78"/>
      <c r="F3671" s="78"/>
      <c r="G3671" s="78"/>
      <c r="H3671" s="78"/>
      <c r="I3671" s="78"/>
      <c r="J3671" s="78"/>
      <c r="K3671" s="78"/>
      <c r="L3671" s="78"/>
      <c r="M3671" s="78"/>
      <c r="N3671" s="78"/>
      <c r="O3671" s="78"/>
      <c r="P3671" s="78"/>
      <c r="Q3671" s="55"/>
    </row>
    <row r="3672" spans="2:17" ht="13" x14ac:dyDescent="0.15">
      <c r="B3672" s="78"/>
      <c r="C3672" s="78"/>
      <c r="D3672" s="78"/>
      <c r="E3672" s="78"/>
      <c r="F3672" s="78"/>
      <c r="G3672" s="78"/>
      <c r="H3672" s="78"/>
      <c r="I3672" s="78"/>
      <c r="J3672" s="78"/>
      <c r="K3672" s="78"/>
      <c r="L3672" s="78"/>
      <c r="M3672" s="78"/>
      <c r="N3672" s="78"/>
      <c r="O3672" s="78"/>
      <c r="P3672" s="78"/>
      <c r="Q3672" s="55"/>
    </row>
    <row r="3673" spans="2:17" ht="13" x14ac:dyDescent="0.15">
      <c r="B3673" s="78"/>
      <c r="C3673" s="78"/>
      <c r="D3673" s="78"/>
      <c r="E3673" s="78"/>
      <c r="F3673" s="78"/>
      <c r="G3673" s="78"/>
      <c r="H3673" s="78"/>
      <c r="I3673" s="78"/>
      <c r="J3673" s="78"/>
      <c r="K3673" s="78"/>
      <c r="L3673" s="78"/>
      <c r="M3673" s="78"/>
      <c r="N3673" s="78"/>
      <c r="O3673" s="78"/>
      <c r="P3673" s="78"/>
      <c r="Q3673" s="55"/>
    </row>
    <row r="3674" spans="2:17" ht="13" x14ac:dyDescent="0.15">
      <c r="B3674" s="78"/>
      <c r="C3674" s="78"/>
      <c r="D3674" s="78"/>
      <c r="E3674" s="78"/>
      <c r="F3674" s="78"/>
      <c r="G3674" s="78"/>
      <c r="H3674" s="78"/>
      <c r="I3674" s="78"/>
      <c r="J3674" s="78"/>
      <c r="K3674" s="78"/>
      <c r="L3674" s="78"/>
      <c r="M3674" s="78"/>
      <c r="N3674" s="78"/>
      <c r="O3674" s="78"/>
      <c r="P3674" s="78"/>
      <c r="Q3674" s="55"/>
    </row>
    <row r="3675" spans="2:17" ht="13" x14ac:dyDescent="0.15">
      <c r="B3675" s="78"/>
      <c r="C3675" s="78"/>
      <c r="D3675" s="78"/>
      <c r="E3675" s="78"/>
      <c r="F3675" s="78"/>
      <c r="G3675" s="78"/>
      <c r="H3675" s="78"/>
      <c r="I3675" s="78"/>
      <c r="J3675" s="78"/>
      <c r="K3675" s="78"/>
      <c r="L3675" s="78"/>
      <c r="M3675" s="78"/>
      <c r="N3675" s="78"/>
      <c r="O3675" s="78"/>
      <c r="P3675" s="78"/>
      <c r="Q3675" s="55"/>
    </row>
    <row r="3676" spans="2:17" ht="13" x14ac:dyDescent="0.15">
      <c r="B3676" s="78"/>
      <c r="C3676" s="78"/>
      <c r="D3676" s="78"/>
      <c r="E3676" s="78"/>
      <c r="F3676" s="78"/>
      <c r="G3676" s="78"/>
      <c r="H3676" s="78"/>
      <c r="I3676" s="78"/>
      <c r="J3676" s="78"/>
      <c r="K3676" s="78"/>
      <c r="L3676" s="78"/>
      <c r="M3676" s="78"/>
      <c r="N3676" s="78"/>
      <c r="O3676" s="78"/>
      <c r="P3676" s="78"/>
      <c r="Q3676" s="55"/>
    </row>
    <row r="3677" spans="2:17" ht="13" x14ac:dyDescent="0.15">
      <c r="B3677" s="78"/>
      <c r="C3677" s="78"/>
      <c r="D3677" s="78"/>
      <c r="E3677" s="78"/>
      <c r="F3677" s="78"/>
      <c r="G3677" s="78"/>
      <c r="H3677" s="78"/>
      <c r="I3677" s="78"/>
      <c r="J3677" s="78"/>
      <c r="K3677" s="78"/>
      <c r="L3677" s="78"/>
      <c r="M3677" s="78"/>
      <c r="N3677" s="78"/>
      <c r="O3677" s="78"/>
      <c r="P3677" s="78"/>
      <c r="Q3677" s="55"/>
    </row>
    <row r="3678" spans="2:17" ht="13" x14ac:dyDescent="0.15">
      <c r="B3678" s="78"/>
      <c r="C3678" s="78"/>
      <c r="D3678" s="78"/>
      <c r="E3678" s="78"/>
      <c r="F3678" s="78"/>
      <c r="G3678" s="78"/>
      <c r="H3678" s="78"/>
      <c r="I3678" s="78"/>
      <c r="J3678" s="78"/>
      <c r="K3678" s="78"/>
      <c r="L3678" s="78"/>
      <c r="M3678" s="78"/>
      <c r="N3678" s="78"/>
      <c r="O3678" s="78"/>
      <c r="P3678" s="78"/>
      <c r="Q3678" s="55"/>
    </row>
    <row r="3679" spans="2:17" ht="13" x14ac:dyDescent="0.15">
      <c r="B3679" s="78"/>
      <c r="C3679" s="78"/>
      <c r="D3679" s="78"/>
      <c r="E3679" s="78"/>
      <c r="F3679" s="78"/>
      <c r="G3679" s="78"/>
      <c r="H3679" s="78"/>
      <c r="I3679" s="78"/>
      <c r="J3679" s="78"/>
      <c r="K3679" s="78"/>
      <c r="L3679" s="78"/>
      <c r="M3679" s="78"/>
      <c r="N3679" s="78"/>
      <c r="O3679" s="78"/>
      <c r="P3679" s="78"/>
      <c r="Q3679" s="55"/>
    </row>
    <row r="3680" spans="2:17" ht="13" x14ac:dyDescent="0.15">
      <c r="B3680" s="78"/>
      <c r="C3680" s="78"/>
      <c r="D3680" s="78"/>
      <c r="E3680" s="78"/>
      <c r="F3680" s="78"/>
      <c r="G3680" s="78"/>
      <c r="H3680" s="78"/>
      <c r="I3680" s="78"/>
      <c r="J3680" s="78"/>
      <c r="K3680" s="78"/>
      <c r="L3680" s="78"/>
      <c r="M3680" s="78"/>
      <c r="N3680" s="78"/>
      <c r="O3680" s="78"/>
      <c r="P3680" s="78"/>
      <c r="Q3680" s="55"/>
    </row>
    <row r="3681" spans="2:17" ht="13" x14ac:dyDescent="0.15">
      <c r="B3681" s="78"/>
      <c r="C3681" s="78"/>
      <c r="D3681" s="78"/>
      <c r="E3681" s="78"/>
      <c r="F3681" s="78"/>
      <c r="G3681" s="78"/>
      <c r="H3681" s="78"/>
      <c r="I3681" s="78"/>
      <c r="J3681" s="78"/>
      <c r="K3681" s="78"/>
      <c r="L3681" s="78"/>
      <c r="M3681" s="78"/>
      <c r="N3681" s="78"/>
      <c r="O3681" s="78"/>
      <c r="P3681" s="78"/>
      <c r="Q3681" s="55"/>
    </row>
    <row r="3682" spans="2:17" ht="13" x14ac:dyDescent="0.15">
      <c r="B3682" s="78"/>
      <c r="C3682" s="78"/>
      <c r="D3682" s="78"/>
      <c r="E3682" s="78"/>
      <c r="F3682" s="78"/>
      <c r="G3682" s="78"/>
      <c r="H3682" s="78"/>
      <c r="I3682" s="78"/>
      <c r="J3682" s="78"/>
      <c r="K3682" s="78"/>
      <c r="L3682" s="78"/>
      <c r="M3682" s="78"/>
      <c r="N3682" s="78"/>
      <c r="O3682" s="78"/>
      <c r="P3682" s="78"/>
      <c r="Q3682" s="55"/>
    </row>
    <row r="3683" spans="2:17" ht="13" x14ac:dyDescent="0.15">
      <c r="B3683" s="78"/>
      <c r="C3683" s="78"/>
      <c r="D3683" s="78"/>
      <c r="E3683" s="78"/>
      <c r="F3683" s="78"/>
      <c r="G3683" s="78"/>
      <c r="H3683" s="78"/>
      <c r="I3683" s="78"/>
      <c r="J3683" s="78"/>
      <c r="K3683" s="78"/>
      <c r="L3683" s="78"/>
      <c r="M3683" s="78"/>
      <c r="N3683" s="78"/>
      <c r="O3683" s="78"/>
      <c r="P3683" s="78"/>
      <c r="Q3683" s="55"/>
    </row>
    <row r="3684" spans="2:17" ht="13" x14ac:dyDescent="0.15">
      <c r="B3684" s="78"/>
      <c r="C3684" s="78"/>
      <c r="D3684" s="78"/>
      <c r="E3684" s="78"/>
      <c r="F3684" s="78"/>
      <c r="G3684" s="78"/>
      <c r="H3684" s="78"/>
      <c r="I3684" s="78"/>
      <c r="J3684" s="78"/>
      <c r="K3684" s="78"/>
      <c r="L3684" s="78"/>
      <c r="M3684" s="78"/>
      <c r="N3684" s="78"/>
      <c r="O3684" s="78"/>
      <c r="P3684" s="78"/>
      <c r="Q3684" s="55"/>
    </row>
    <row r="3685" spans="2:17" ht="13" x14ac:dyDescent="0.15">
      <c r="B3685" s="78"/>
      <c r="C3685" s="78"/>
      <c r="D3685" s="78"/>
      <c r="E3685" s="78"/>
      <c r="F3685" s="78"/>
      <c r="G3685" s="78"/>
      <c r="H3685" s="78"/>
      <c r="I3685" s="78"/>
      <c r="J3685" s="78"/>
      <c r="K3685" s="78"/>
      <c r="L3685" s="78"/>
      <c r="M3685" s="78"/>
      <c r="N3685" s="78"/>
      <c r="O3685" s="78"/>
      <c r="P3685" s="78"/>
      <c r="Q3685" s="55"/>
    </row>
    <row r="3686" spans="2:17" ht="13" x14ac:dyDescent="0.15">
      <c r="B3686" s="78"/>
      <c r="C3686" s="78"/>
      <c r="D3686" s="78"/>
      <c r="E3686" s="78"/>
      <c r="F3686" s="78"/>
      <c r="G3686" s="78"/>
      <c r="H3686" s="78"/>
      <c r="I3686" s="78"/>
      <c r="J3686" s="78"/>
      <c r="K3686" s="78"/>
      <c r="L3686" s="78"/>
      <c r="M3686" s="78"/>
      <c r="N3686" s="78"/>
      <c r="O3686" s="78"/>
      <c r="P3686" s="78"/>
      <c r="Q3686" s="55"/>
    </row>
    <row r="3687" spans="2:17" ht="13" x14ac:dyDescent="0.15">
      <c r="B3687" s="78"/>
      <c r="C3687" s="78"/>
      <c r="D3687" s="78"/>
      <c r="E3687" s="78"/>
      <c r="F3687" s="78"/>
      <c r="G3687" s="78"/>
      <c r="H3687" s="78"/>
      <c r="I3687" s="78"/>
      <c r="J3687" s="78"/>
      <c r="K3687" s="78"/>
      <c r="L3687" s="78"/>
      <c r="M3687" s="78"/>
      <c r="N3687" s="78"/>
      <c r="O3687" s="78"/>
      <c r="P3687" s="78"/>
      <c r="Q3687" s="55"/>
    </row>
    <row r="3688" spans="2:17" ht="13" x14ac:dyDescent="0.15">
      <c r="B3688" s="78"/>
      <c r="C3688" s="78"/>
      <c r="D3688" s="78"/>
      <c r="E3688" s="78"/>
      <c r="F3688" s="78"/>
      <c r="G3688" s="78"/>
      <c r="H3688" s="78"/>
      <c r="I3688" s="78"/>
      <c r="J3688" s="78"/>
      <c r="K3688" s="78"/>
      <c r="L3688" s="78"/>
      <c r="M3688" s="78"/>
      <c r="N3688" s="78"/>
      <c r="O3688" s="78"/>
      <c r="P3688" s="78"/>
      <c r="Q3688" s="55"/>
    </row>
    <row r="3689" spans="2:17" ht="13" x14ac:dyDescent="0.15">
      <c r="B3689" s="78"/>
      <c r="C3689" s="78"/>
      <c r="D3689" s="78"/>
      <c r="E3689" s="78"/>
      <c r="F3689" s="78"/>
      <c r="G3689" s="78"/>
      <c r="H3689" s="78"/>
      <c r="I3689" s="78"/>
      <c r="J3689" s="78"/>
      <c r="K3689" s="78"/>
      <c r="L3689" s="78"/>
      <c r="M3689" s="78"/>
      <c r="N3689" s="78"/>
      <c r="O3689" s="78"/>
      <c r="P3689" s="78"/>
      <c r="Q3689" s="55"/>
    </row>
    <row r="3690" spans="2:17" ht="13" x14ac:dyDescent="0.15">
      <c r="B3690" s="78"/>
      <c r="C3690" s="78"/>
      <c r="D3690" s="78"/>
      <c r="E3690" s="78"/>
      <c r="F3690" s="78"/>
      <c r="G3690" s="78"/>
      <c r="H3690" s="78"/>
      <c r="I3690" s="78"/>
      <c r="J3690" s="78"/>
      <c r="K3690" s="78"/>
      <c r="L3690" s="78"/>
      <c r="M3690" s="78"/>
      <c r="N3690" s="78"/>
      <c r="O3690" s="78"/>
      <c r="P3690" s="78"/>
      <c r="Q3690" s="55"/>
    </row>
    <row r="3691" spans="2:17" ht="13" x14ac:dyDescent="0.15">
      <c r="B3691" s="78"/>
      <c r="C3691" s="78"/>
      <c r="D3691" s="78"/>
      <c r="E3691" s="78"/>
      <c r="F3691" s="78"/>
      <c r="G3691" s="78"/>
      <c r="H3691" s="78"/>
      <c r="I3691" s="78"/>
      <c r="J3691" s="78"/>
      <c r="K3691" s="78"/>
      <c r="L3691" s="78"/>
      <c r="M3691" s="78"/>
      <c r="N3691" s="78"/>
      <c r="O3691" s="78"/>
      <c r="P3691" s="78"/>
      <c r="Q3691" s="55"/>
    </row>
    <row r="3692" spans="2:17" ht="13" x14ac:dyDescent="0.15">
      <c r="B3692" s="78"/>
      <c r="C3692" s="78"/>
      <c r="D3692" s="78"/>
      <c r="E3692" s="78"/>
      <c r="F3692" s="78"/>
      <c r="G3692" s="78"/>
      <c r="H3692" s="78"/>
      <c r="I3692" s="78"/>
      <c r="J3692" s="78"/>
      <c r="K3692" s="78"/>
      <c r="L3692" s="78"/>
      <c r="M3692" s="78"/>
      <c r="N3692" s="78"/>
      <c r="O3692" s="78"/>
      <c r="P3692" s="78"/>
      <c r="Q3692" s="55"/>
    </row>
    <row r="3693" spans="2:17" ht="13" x14ac:dyDescent="0.15">
      <c r="B3693" s="78"/>
      <c r="C3693" s="78"/>
      <c r="D3693" s="78"/>
      <c r="E3693" s="78"/>
      <c r="F3693" s="78"/>
      <c r="G3693" s="78"/>
      <c r="H3693" s="78"/>
      <c r="I3693" s="78"/>
      <c r="J3693" s="78"/>
      <c r="K3693" s="78"/>
      <c r="L3693" s="78"/>
      <c r="M3693" s="78"/>
      <c r="N3693" s="78"/>
      <c r="O3693" s="78"/>
      <c r="P3693" s="78"/>
      <c r="Q3693" s="55"/>
    </row>
    <row r="3694" spans="2:17" ht="13" x14ac:dyDescent="0.15">
      <c r="B3694" s="78"/>
      <c r="C3694" s="78"/>
      <c r="D3694" s="78"/>
      <c r="E3694" s="78"/>
      <c r="F3694" s="78"/>
      <c r="G3694" s="78"/>
      <c r="H3694" s="78"/>
      <c r="I3694" s="78"/>
      <c r="J3694" s="78"/>
      <c r="K3694" s="78"/>
      <c r="L3694" s="78"/>
      <c r="M3694" s="78"/>
      <c r="N3694" s="78"/>
      <c r="O3694" s="78"/>
      <c r="P3694" s="78"/>
      <c r="Q3694" s="55"/>
    </row>
    <row r="3695" spans="2:17" ht="13" x14ac:dyDescent="0.15">
      <c r="B3695" s="78"/>
      <c r="C3695" s="78"/>
      <c r="D3695" s="78"/>
      <c r="E3695" s="78"/>
      <c r="F3695" s="78"/>
      <c r="G3695" s="78"/>
      <c r="H3695" s="78"/>
      <c r="I3695" s="78"/>
      <c r="J3695" s="78"/>
      <c r="K3695" s="78"/>
      <c r="L3695" s="78"/>
      <c r="M3695" s="78"/>
      <c r="N3695" s="78"/>
      <c r="O3695" s="78"/>
      <c r="P3695" s="78"/>
      <c r="Q3695" s="55"/>
    </row>
    <row r="3696" spans="2:17" ht="13" x14ac:dyDescent="0.15">
      <c r="B3696" s="78"/>
      <c r="C3696" s="78"/>
      <c r="D3696" s="78"/>
      <c r="E3696" s="78"/>
      <c r="F3696" s="78"/>
      <c r="G3696" s="78"/>
      <c r="H3696" s="78"/>
      <c r="I3696" s="78"/>
      <c r="J3696" s="78"/>
      <c r="K3696" s="78"/>
      <c r="L3696" s="78"/>
      <c r="M3696" s="78"/>
      <c r="N3696" s="78"/>
      <c r="O3696" s="78"/>
      <c r="P3696" s="78"/>
      <c r="Q3696" s="55"/>
    </row>
    <row r="3697" spans="2:17" ht="13" x14ac:dyDescent="0.15">
      <c r="B3697" s="78"/>
      <c r="C3697" s="78"/>
      <c r="D3697" s="78"/>
      <c r="E3697" s="78"/>
      <c r="F3697" s="78"/>
      <c r="G3697" s="78"/>
      <c r="H3697" s="78"/>
      <c r="I3697" s="78"/>
      <c r="J3697" s="78"/>
      <c r="K3697" s="78"/>
      <c r="L3697" s="78"/>
      <c r="M3697" s="78"/>
      <c r="N3697" s="78"/>
      <c r="O3697" s="78"/>
      <c r="P3697" s="78"/>
      <c r="Q3697" s="55"/>
    </row>
    <row r="3698" spans="2:17" ht="13" x14ac:dyDescent="0.15">
      <c r="B3698" s="78"/>
      <c r="C3698" s="78"/>
      <c r="D3698" s="78"/>
      <c r="E3698" s="78"/>
      <c r="F3698" s="78"/>
      <c r="G3698" s="78"/>
      <c r="H3698" s="78"/>
      <c r="I3698" s="78"/>
      <c r="J3698" s="78"/>
      <c r="K3698" s="78"/>
      <c r="L3698" s="78"/>
      <c r="M3698" s="78"/>
      <c r="N3698" s="78"/>
      <c r="O3698" s="78"/>
      <c r="P3698" s="78"/>
      <c r="Q3698" s="55"/>
    </row>
    <row r="3699" spans="2:17" ht="13" x14ac:dyDescent="0.15">
      <c r="B3699" s="78"/>
      <c r="C3699" s="78"/>
      <c r="D3699" s="78"/>
      <c r="E3699" s="78"/>
      <c r="F3699" s="78"/>
      <c r="G3699" s="78"/>
      <c r="H3699" s="78"/>
      <c r="I3699" s="78"/>
      <c r="J3699" s="78"/>
      <c r="K3699" s="78"/>
      <c r="L3699" s="78"/>
      <c r="M3699" s="78"/>
      <c r="N3699" s="78"/>
      <c r="O3699" s="78"/>
      <c r="P3699" s="78"/>
      <c r="Q3699" s="55"/>
    </row>
    <row r="3700" spans="2:17" ht="13" x14ac:dyDescent="0.15">
      <c r="B3700" s="78"/>
      <c r="C3700" s="78"/>
      <c r="D3700" s="78"/>
      <c r="E3700" s="78"/>
      <c r="F3700" s="78"/>
      <c r="G3700" s="78"/>
      <c r="H3700" s="78"/>
      <c r="I3700" s="78"/>
      <c r="J3700" s="78"/>
      <c r="K3700" s="78"/>
      <c r="L3700" s="78"/>
      <c r="M3700" s="78"/>
      <c r="N3700" s="78"/>
      <c r="O3700" s="78"/>
      <c r="P3700" s="78"/>
      <c r="Q3700" s="55"/>
    </row>
    <row r="3701" spans="2:17" ht="13" x14ac:dyDescent="0.15">
      <c r="B3701" s="78"/>
      <c r="C3701" s="78"/>
      <c r="D3701" s="78"/>
      <c r="E3701" s="78"/>
      <c r="F3701" s="78"/>
      <c r="G3701" s="78"/>
      <c r="H3701" s="78"/>
      <c r="I3701" s="78"/>
      <c r="J3701" s="78"/>
      <c r="K3701" s="78"/>
      <c r="L3701" s="78"/>
      <c r="M3701" s="78"/>
      <c r="N3701" s="78"/>
      <c r="O3701" s="78"/>
      <c r="P3701" s="78"/>
      <c r="Q3701" s="55"/>
    </row>
    <row r="3702" spans="2:17" ht="13" x14ac:dyDescent="0.15">
      <c r="B3702" s="78"/>
      <c r="C3702" s="78"/>
      <c r="D3702" s="78"/>
      <c r="E3702" s="78"/>
      <c r="F3702" s="78"/>
      <c r="G3702" s="78"/>
      <c r="H3702" s="78"/>
      <c r="I3702" s="78"/>
      <c r="J3702" s="78"/>
      <c r="K3702" s="78"/>
      <c r="L3702" s="78"/>
      <c r="M3702" s="78"/>
      <c r="N3702" s="78"/>
      <c r="O3702" s="78"/>
      <c r="P3702" s="78"/>
      <c r="Q3702" s="55"/>
    </row>
    <row r="3703" spans="2:17" ht="13" x14ac:dyDescent="0.15">
      <c r="B3703" s="78"/>
      <c r="C3703" s="78"/>
      <c r="D3703" s="78"/>
      <c r="E3703" s="78"/>
      <c r="F3703" s="78"/>
      <c r="G3703" s="78"/>
      <c r="H3703" s="78"/>
      <c r="I3703" s="78"/>
      <c r="J3703" s="78"/>
      <c r="K3703" s="78"/>
      <c r="L3703" s="78"/>
      <c r="M3703" s="78"/>
      <c r="N3703" s="78"/>
      <c r="O3703" s="78"/>
      <c r="P3703" s="78"/>
      <c r="Q3703" s="55"/>
    </row>
    <row r="3704" spans="2:17" ht="13" x14ac:dyDescent="0.15">
      <c r="B3704" s="78"/>
      <c r="C3704" s="78"/>
      <c r="D3704" s="78"/>
      <c r="E3704" s="78"/>
      <c r="F3704" s="78"/>
      <c r="G3704" s="78"/>
      <c r="H3704" s="78"/>
      <c r="I3704" s="78"/>
      <c r="J3704" s="78"/>
      <c r="K3704" s="78"/>
      <c r="L3704" s="78"/>
      <c r="M3704" s="78"/>
      <c r="N3704" s="78"/>
      <c r="O3704" s="78"/>
      <c r="P3704" s="78"/>
      <c r="Q3704" s="55"/>
    </row>
    <row r="3705" spans="2:17" ht="13" x14ac:dyDescent="0.15">
      <c r="B3705" s="78"/>
      <c r="C3705" s="78"/>
      <c r="D3705" s="78"/>
      <c r="E3705" s="78"/>
      <c r="F3705" s="78"/>
      <c r="G3705" s="78"/>
      <c r="H3705" s="78"/>
      <c r="I3705" s="78"/>
      <c r="J3705" s="78"/>
      <c r="K3705" s="78"/>
      <c r="L3705" s="78"/>
      <c r="M3705" s="78"/>
      <c r="N3705" s="78"/>
      <c r="O3705" s="78"/>
      <c r="P3705" s="78"/>
      <c r="Q3705" s="55"/>
    </row>
    <row r="3706" spans="2:17" ht="13" x14ac:dyDescent="0.15">
      <c r="B3706" s="78"/>
      <c r="C3706" s="78"/>
      <c r="D3706" s="78"/>
      <c r="E3706" s="78"/>
      <c r="F3706" s="78"/>
      <c r="G3706" s="78"/>
      <c r="H3706" s="78"/>
      <c r="I3706" s="78"/>
      <c r="J3706" s="78"/>
      <c r="K3706" s="78"/>
      <c r="L3706" s="78"/>
      <c r="M3706" s="78"/>
      <c r="N3706" s="78"/>
      <c r="O3706" s="78"/>
      <c r="P3706" s="78"/>
      <c r="Q3706" s="55"/>
    </row>
    <row r="3707" spans="2:17" ht="13" x14ac:dyDescent="0.15">
      <c r="B3707" s="78"/>
      <c r="C3707" s="78"/>
      <c r="D3707" s="78"/>
      <c r="E3707" s="78"/>
      <c r="F3707" s="78"/>
      <c r="G3707" s="78"/>
      <c r="H3707" s="78"/>
      <c r="I3707" s="78"/>
      <c r="J3707" s="78"/>
      <c r="K3707" s="78"/>
      <c r="L3707" s="78"/>
      <c r="M3707" s="78"/>
      <c r="N3707" s="78"/>
      <c r="O3707" s="78"/>
      <c r="P3707" s="78"/>
      <c r="Q3707" s="55"/>
    </row>
    <row r="3708" spans="2:17" ht="13" x14ac:dyDescent="0.15">
      <c r="B3708" s="78"/>
      <c r="C3708" s="78"/>
      <c r="D3708" s="78"/>
      <c r="E3708" s="78"/>
      <c r="F3708" s="78"/>
      <c r="G3708" s="78"/>
      <c r="H3708" s="78"/>
      <c r="I3708" s="78"/>
      <c r="J3708" s="78"/>
      <c r="K3708" s="78"/>
      <c r="L3708" s="78"/>
      <c r="M3708" s="78"/>
      <c r="N3708" s="78"/>
      <c r="O3708" s="78"/>
      <c r="P3708" s="78"/>
      <c r="Q3708" s="55"/>
    </row>
    <row r="3709" spans="2:17" ht="13" x14ac:dyDescent="0.15">
      <c r="B3709" s="78"/>
      <c r="C3709" s="78"/>
      <c r="D3709" s="78"/>
      <c r="E3709" s="78"/>
      <c r="F3709" s="78"/>
      <c r="G3709" s="78"/>
      <c r="H3709" s="78"/>
      <c r="I3709" s="78"/>
      <c r="J3709" s="78"/>
      <c r="K3709" s="78"/>
      <c r="L3709" s="78"/>
      <c r="M3709" s="78"/>
      <c r="N3709" s="78"/>
      <c r="O3709" s="78"/>
      <c r="P3709" s="78"/>
      <c r="Q3709" s="55"/>
    </row>
    <row r="3710" spans="2:17" ht="13" x14ac:dyDescent="0.15">
      <c r="B3710" s="78"/>
      <c r="C3710" s="78"/>
      <c r="D3710" s="78"/>
      <c r="E3710" s="78"/>
      <c r="F3710" s="78"/>
      <c r="G3710" s="78"/>
      <c r="H3710" s="78"/>
      <c r="I3710" s="78"/>
      <c r="J3710" s="78"/>
      <c r="K3710" s="78"/>
      <c r="L3710" s="78"/>
      <c r="M3710" s="78"/>
      <c r="N3710" s="78"/>
      <c r="O3710" s="78"/>
      <c r="P3710" s="78"/>
      <c r="Q3710" s="55"/>
    </row>
    <row r="3711" spans="2:17" ht="13" x14ac:dyDescent="0.15">
      <c r="B3711" s="78"/>
      <c r="C3711" s="78"/>
      <c r="D3711" s="78"/>
      <c r="E3711" s="78"/>
      <c r="F3711" s="78"/>
      <c r="G3711" s="78"/>
      <c r="H3711" s="78"/>
      <c r="I3711" s="78"/>
      <c r="J3711" s="78"/>
      <c r="K3711" s="78"/>
      <c r="L3711" s="78"/>
      <c r="M3711" s="78"/>
      <c r="N3711" s="78"/>
      <c r="O3711" s="78"/>
      <c r="P3711" s="78"/>
      <c r="Q3711" s="55"/>
    </row>
    <row r="3712" spans="2:17" ht="13" x14ac:dyDescent="0.15">
      <c r="B3712" s="78"/>
      <c r="C3712" s="78"/>
      <c r="D3712" s="78"/>
      <c r="E3712" s="78"/>
      <c r="F3712" s="78"/>
      <c r="G3712" s="78"/>
      <c r="H3712" s="78"/>
      <c r="I3712" s="78"/>
      <c r="J3712" s="78"/>
      <c r="K3712" s="78"/>
      <c r="L3712" s="78"/>
      <c r="M3712" s="78"/>
      <c r="N3712" s="78"/>
      <c r="O3712" s="78"/>
      <c r="P3712" s="78"/>
      <c r="Q3712" s="55"/>
    </row>
    <row r="3713" spans="2:17" ht="13" x14ac:dyDescent="0.15">
      <c r="B3713" s="78"/>
      <c r="C3713" s="78"/>
      <c r="D3713" s="78"/>
      <c r="E3713" s="78"/>
      <c r="F3713" s="78"/>
      <c r="G3713" s="78"/>
      <c r="H3713" s="78"/>
      <c r="I3713" s="78"/>
      <c r="J3713" s="78"/>
      <c r="K3713" s="78"/>
      <c r="L3713" s="78"/>
      <c r="M3713" s="78"/>
      <c r="N3713" s="78"/>
      <c r="O3713" s="78"/>
      <c r="P3713" s="78"/>
      <c r="Q3713" s="55"/>
    </row>
    <row r="3714" spans="2:17" ht="13" x14ac:dyDescent="0.15">
      <c r="B3714" s="78"/>
      <c r="C3714" s="78"/>
      <c r="D3714" s="78"/>
      <c r="E3714" s="78"/>
      <c r="F3714" s="78"/>
      <c r="G3714" s="78"/>
      <c r="H3714" s="78"/>
      <c r="I3714" s="78"/>
      <c r="J3714" s="78"/>
      <c r="K3714" s="78"/>
      <c r="L3714" s="78"/>
      <c r="M3714" s="78"/>
      <c r="N3714" s="78"/>
      <c r="O3714" s="78"/>
      <c r="P3714" s="78"/>
      <c r="Q3714" s="55"/>
    </row>
    <row r="3715" spans="2:17" ht="13" x14ac:dyDescent="0.15">
      <c r="B3715" s="78"/>
      <c r="C3715" s="78"/>
      <c r="D3715" s="78"/>
      <c r="E3715" s="78"/>
      <c r="F3715" s="78"/>
      <c r="G3715" s="78"/>
      <c r="H3715" s="78"/>
      <c r="I3715" s="78"/>
      <c r="J3715" s="78"/>
      <c r="K3715" s="78"/>
      <c r="L3715" s="78"/>
      <c r="M3715" s="78"/>
      <c r="N3715" s="78"/>
      <c r="O3715" s="78"/>
      <c r="P3715" s="78"/>
      <c r="Q3715" s="55"/>
    </row>
    <row r="3716" spans="2:17" ht="13" x14ac:dyDescent="0.15">
      <c r="B3716" s="78"/>
      <c r="C3716" s="78"/>
      <c r="D3716" s="78"/>
      <c r="E3716" s="78"/>
      <c r="F3716" s="78"/>
      <c r="G3716" s="78"/>
      <c r="H3716" s="78"/>
      <c r="I3716" s="78"/>
      <c r="J3716" s="78"/>
      <c r="K3716" s="78"/>
      <c r="L3716" s="78"/>
      <c r="M3716" s="78"/>
      <c r="N3716" s="78"/>
      <c r="O3716" s="78"/>
      <c r="P3716" s="78"/>
      <c r="Q3716" s="55"/>
    </row>
    <row r="3717" spans="2:17" ht="13" x14ac:dyDescent="0.15">
      <c r="B3717" s="78"/>
      <c r="C3717" s="78"/>
      <c r="D3717" s="78"/>
      <c r="E3717" s="78"/>
      <c r="F3717" s="78"/>
      <c r="G3717" s="78"/>
      <c r="H3717" s="78"/>
      <c r="I3717" s="78"/>
      <c r="J3717" s="78"/>
      <c r="K3717" s="78"/>
      <c r="L3717" s="78"/>
      <c r="M3717" s="78"/>
      <c r="N3717" s="78"/>
      <c r="O3717" s="78"/>
      <c r="P3717" s="78"/>
      <c r="Q3717" s="55"/>
    </row>
    <row r="3718" spans="2:17" ht="13" x14ac:dyDescent="0.15">
      <c r="B3718" s="78"/>
      <c r="C3718" s="78"/>
      <c r="D3718" s="78"/>
      <c r="E3718" s="78"/>
      <c r="F3718" s="78"/>
      <c r="G3718" s="78"/>
      <c r="H3718" s="78"/>
      <c r="I3718" s="78"/>
      <c r="J3718" s="78"/>
      <c r="K3718" s="78"/>
      <c r="L3718" s="78"/>
      <c r="M3718" s="78"/>
      <c r="N3718" s="78"/>
      <c r="O3718" s="78"/>
      <c r="P3718" s="78"/>
      <c r="Q3718" s="55"/>
    </row>
    <row r="3719" spans="2:17" ht="13" x14ac:dyDescent="0.15">
      <c r="B3719" s="78"/>
      <c r="C3719" s="78"/>
      <c r="D3719" s="78"/>
      <c r="E3719" s="78"/>
      <c r="F3719" s="78"/>
      <c r="G3719" s="78"/>
      <c r="H3719" s="78"/>
      <c r="I3719" s="78"/>
      <c r="J3719" s="78"/>
      <c r="K3719" s="78"/>
      <c r="L3719" s="78"/>
      <c r="M3719" s="78"/>
      <c r="N3719" s="78"/>
      <c r="O3719" s="78"/>
      <c r="P3719" s="78"/>
      <c r="Q3719" s="55"/>
    </row>
    <row r="3720" spans="2:17" ht="13" x14ac:dyDescent="0.15">
      <c r="B3720" s="78"/>
      <c r="C3720" s="78"/>
      <c r="D3720" s="78"/>
      <c r="E3720" s="78"/>
      <c r="F3720" s="78"/>
      <c r="G3720" s="78"/>
      <c r="H3720" s="78"/>
      <c r="I3720" s="78"/>
      <c r="J3720" s="78"/>
      <c r="K3720" s="78"/>
      <c r="L3720" s="78"/>
      <c r="M3720" s="78"/>
      <c r="N3720" s="78"/>
      <c r="O3720" s="78"/>
      <c r="P3720" s="78"/>
      <c r="Q3720" s="55"/>
    </row>
    <row r="3721" spans="2:17" ht="13" x14ac:dyDescent="0.15">
      <c r="B3721" s="78"/>
      <c r="C3721" s="78"/>
      <c r="D3721" s="78"/>
      <c r="E3721" s="78"/>
      <c r="F3721" s="78"/>
      <c r="G3721" s="78"/>
      <c r="H3721" s="78"/>
      <c r="I3721" s="78"/>
      <c r="J3721" s="78"/>
      <c r="K3721" s="78"/>
      <c r="L3721" s="78"/>
      <c r="M3721" s="78"/>
      <c r="N3721" s="78"/>
      <c r="O3721" s="78"/>
      <c r="P3721" s="78"/>
      <c r="Q3721" s="55"/>
    </row>
    <row r="3722" spans="2:17" ht="13" x14ac:dyDescent="0.15">
      <c r="B3722" s="78"/>
      <c r="C3722" s="78"/>
      <c r="D3722" s="78"/>
      <c r="E3722" s="78"/>
      <c r="F3722" s="78"/>
      <c r="G3722" s="78"/>
      <c r="H3722" s="78"/>
      <c r="I3722" s="78"/>
      <c r="J3722" s="78"/>
      <c r="K3722" s="78"/>
      <c r="L3722" s="78"/>
      <c r="M3722" s="78"/>
      <c r="N3722" s="78"/>
      <c r="O3722" s="78"/>
      <c r="P3722" s="78"/>
      <c r="Q3722" s="55"/>
    </row>
    <row r="3723" spans="2:17" ht="13" x14ac:dyDescent="0.15">
      <c r="B3723" s="78"/>
      <c r="C3723" s="78"/>
      <c r="D3723" s="78"/>
      <c r="E3723" s="78"/>
      <c r="F3723" s="78"/>
      <c r="G3723" s="78"/>
      <c r="H3723" s="78"/>
      <c r="I3723" s="78"/>
      <c r="J3723" s="78"/>
      <c r="K3723" s="78"/>
      <c r="L3723" s="78"/>
      <c r="M3723" s="78"/>
      <c r="N3723" s="78"/>
      <c r="O3723" s="78"/>
      <c r="P3723" s="78"/>
      <c r="Q3723" s="55"/>
    </row>
    <row r="3724" spans="2:17" ht="13" x14ac:dyDescent="0.15">
      <c r="B3724" s="78"/>
      <c r="C3724" s="78"/>
      <c r="D3724" s="78"/>
      <c r="E3724" s="78"/>
      <c r="F3724" s="78"/>
      <c r="G3724" s="78"/>
      <c r="H3724" s="78"/>
      <c r="I3724" s="78"/>
      <c r="J3724" s="78"/>
      <c r="K3724" s="78"/>
      <c r="L3724" s="78"/>
      <c r="M3724" s="78"/>
      <c r="N3724" s="78"/>
      <c r="O3724" s="78"/>
      <c r="P3724" s="78"/>
      <c r="Q3724" s="55"/>
    </row>
    <row r="3725" spans="2:17" ht="13" x14ac:dyDescent="0.15">
      <c r="B3725" s="78"/>
      <c r="C3725" s="78"/>
      <c r="D3725" s="78"/>
      <c r="E3725" s="78"/>
      <c r="F3725" s="78"/>
      <c r="G3725" s="78"/>
      <c r="H3725" s="78"/>
      <c r="I3725" s="78"/>
      <c r="J3725" s="78"/>
      <c r="K3725" s="78"/>
      <c r="L3725" s="78"/>
      <c r="M3725" s="78"/>
      <c r="N3725" s="78"/>
      <c r="O3725" s="78"/>
      <c r="P3725" s="78"/>
      <c r="Q3725" s="55"/>
    </row>
    <row r="3726" spans="2:17" ht="13" x14ac:dyDescent="0.15">
      <c r="B3726" s="78"/>
      <c r="C3726" s="78"/>
      <c r="D3726" s="78"/>
      <c r="E3726" s="78"/>
      <c r="F3726" s="78"/>
      <c r="G3726" s="78"/>
      <c r="H3726" s="78"/>
      <c r="I3726" s="78"/>
      <c r="J3726" s="78"/>
      <c r="K3726" s="78"/>
      <c r="L3726" s="78"/>
      <c r="M3726" s="78"/>
      <c r="N3726" s="78"/>
      <c r="O3726" s="78"/>
      <c r="P3726" s="78"/>
      <c r="Q3726" s="55"/>
    </row>
    <row r="3727" spans="2:17" ht="13" x14ac:dyDescent="0.15">
      <c r="B3727" s="78"/>
      <c r="C3727" s="78"/>
      <c r="D3727" s="78"/>
      <c r="E3727" s="78"/>
      <c r="F3727" s="78"/>
      <c r="G3727" s="78"/>
      <c r="H3727" s="78"/>
      <c r="I3727" s="78"/>
      <c r="J3727" s="78"/>
      <c r="K3727" s="78"/>
      <c r="L3727" s="78"/>
      <c r="M3727" s="78"/>
      <c r="N3727" s="78"/>
      <c r="O3727" s="78"/>
      <c r="P3727" s="78"/>
      <c r="Q3727" s="55"/>
    </row>
    <row r="3728" spans="2:17" ht="13" x14ac:dyDescent="0.15">
      <c r="B3728" s="78"/>
      <c r="C3728" s="78"/>
      <c r="D3728" s="78"/>
      <c r="E3728" s="78"/>
      <c r="F3728" s="78"/>
      <c r="G3728" s="78"/>
      <c r="H3728" s="78"/>
      <c r="I3728" s="78"/>
      <c r="J3728" s="78"/>
      <c r="K3728" s="78"/>
      <c r="L3728" s="78"/>
      <c r="M3728" s="78"/>
      <c r="N3728" s="78"/>
      <c r="O3728" s="78"/>
      <c r="P3728" s="78"/>
      <c r="Q3728" s="55"/>
    </row>
    <row r="3729" spans="2:17" ht="13" x14ac:dyDescent="0.15">
      <c r="B3729" s="78"/>
      <c r="C3729" s="78"/>
      <c r="D3729" s="78"/>
      <c r="E3729" s="78"/>
      <c r="F3729" s="78"/>
      <c r="G3729" s="78"/>
      <c r="H3729" s="78"/>
      <c r="I3729" s="78"/>
      <c r="J3729" s="78"/>
      <c r="K3729" s="78"/>
      <c r="L3729" s="78"/>
      <c r="M3729" s="78"/>
      <c r="N3729" s="78"/>
      <c r="O3729" s="78"/>
      <c r="P3729" s="78"/>
      <c r="Q3729" s="55"/>
    </row>
    <row r="3730" spans="2:17" ht="13" x14ac:dyDescent="0.15">
      <c r="B3730" s="78"/>
      <c r="C3730" s="78"/>
      <c r="D3730" s="78"/>
      <c r="E3730" s="78"/>
      <c r="F3730" s="78"/>
      <c r="G3730" s="78"/>
      <c r="H3730" s="78"/>
      <c r="I3730" s="78"/>
      <c r="J3730" s="78"/>
      <c r="K3730" s="78"/>
      <c r="L3730" s="78"/>
      <c r="M3730" s="78"/>
      <c r="N3730" s="78"/>
      <c r="O3730" s="78"/>
      <c r="P3730" s="78"/>
      <c r="Q3730" s="55"/>
    </row>
    <row r="3731" spans="2:17" ht="13" x14ac:dyDescent="0.15">
      <c r="B3731" s="78"/>
      <c r="C3731" s="78"/>
      <c r="D3731" s="78"/>
      <c r="E3731" s="78"/>
      <c r="F3731" s="78"/>
      <c r="G3731" s="78"/>
      <c r="H3731" s="78"/>
      <c r="I3731" s="78"/>
      <c r="J3731" s="78"/>
      <c r="K3731" s="78"/>
      <c r="L3731" s="78"/>
      <c r="M3731" s="78"/>
      <c r="N3731" s="78"/>
      <c r="O3731" s="78"/>
      <c r="P3731" s="78"/>
      <c r="Q3731" s="55"/>
    </row>
    <row r="3732" spans="2:17" ht="13" x14ac:dyDescent="0.15">
      <c r="B3732" s="78"/>
      <c r="C3732" s="78"/>
      <c r="D3732" s="78"/>
      <c r="E3732" s="78"/>
      <c r="F3732" s="78"/>
      <c r="G3732" s="78"/>
      <c r="H3732" s="78"/>
      <c r="I3732" s="78"/>
      <c r="J3732" s="78"/>
      <c r="K3732" s="78"/>
      <c r="L3732" s="78"/>
      <c r="M3732" s="78"/>
      <c r="N3732" s="78"/>
      <c r="O3732" s="78"/>
      <c r="P3732" s="78"/>
      <c r="Q3732" s="55"/>
    </row>
    <row r="3733" spans="2:17" ht="13" x14ac:dyDescent="0.15">
      <c r="B3733" s="78"/>
      <c r="C3733" s="78"/>
      <c r="D3733" s="78"/>
      <c r="E3733" s="78"/>
      <c r="F3733" s="78"/>
      <c r="G3733" s="78"/>
      <c r="H3733" s="78"/>
      <c r="I3733" s="78"/>
      <c r="J3733" s="78"/>
      <c r="K3733" s="78"/>
      <c r="L3733" s="78"/>
      <c r="M3733" s="78"/>
      <c r="N3733" s="78"/>
      <c r="O3733" s="78"/>
      <c r="P3733" s="78"/>
      <c r="Q3733" s="55"/>
    </row>
    <row r="3734" spans="2:17" ht="13" x14ac:dyDescent="0.15">
      <c r="B3734" s="78"/>
      <c r="C3734" s="78"/>
      <c r="D3734" s="78"/>
      <c r="E3734" s="78"/>
      <c r="F3734" s="78"/>
      <c r="G3734" s="78"/>
      <c r="H3734" s="78"/>
      <c r="I3734" s="78"/>
      <c r="J3734" s="78"/>
      <c r="K3734" s="78"/>
      <c r="L3734" s="78"/>
      <c r="M3734" s="78"/>
      <c r="N3734" s="78"/>
      <c r="O3734" s="78"/>
      <c r="P3734" s="78"/>
      <c r="Q3734" s="55"/>
    </row>
    <row r="3735" spans="2:17" ht="13" x14ac:dyDescent="0.15">
      <c r="B3735" s="78"/>
      <c r="C3735" s="78"/>
      <c r="D3735" s="78"/>
      <c r="E3735" s="78"/>
      <c r="F3735" s="78"/>
      <c r="G3735" s="78"/>
      <c r="H3735" s="78"/>
      <c r="I3735" s="78"/>
      <c r="J3735" s="78"/>
      <c r="K3735" s="78"/>
      <c r="L3735" s="78"/>
      <c r="M3735" s="78"/>
      <c r="N3735" s="78"/>
      <c r="O3735" s="78"/>
      <c r="P3735" s="78"/>
      <c r="Q3735" s="55"/>
    </row>
    <row r="3736" spans="2:17" ht="13" x14ac:dyDescent="0.15">
      <c r="B3736" s="78"/>
      <c r="C3736" s="78"/>
      <c r="D3736" s="78"/>
      <c r="E3736" s="78"/>
      <c r="F3736" s="78"/>
      <c r="G3736" s="78"/>
      <c r="H3736" s="78"/>
      <c r="I3736" s="78"/>
      <c r="J3736" s="78"/>
      <c r="K3736" s="78"/>
      <c r="L3736" s="78"/>
      <c r="M3736" s="78"/>
      <c r="N3736" s="78"/>
      <c r="O3736" s="78"/>
      <c r="P3736" s="78"/>
      <c r="Q3736" s="55"/>
    </row>
    <row r="3737" spans="2:17" ht="13" x14ac:dyDescent="0.15">
      <c r="B3737" s="78"/>
      <c r="C3737" s="78"/>
      <c r="D3737" s="78"/>
      <c r="E3737" s="78"/>
      <c r="F3737" s="78"/>
      <c r="G3737" s="78"/>
      <c r="H3737" s="78"/>
      <c r="I3737" s="78"/>
      <c r="J3737" s="78"/>
      <c r="K3737" s="78"/>
      <c r="L3737" s="78"/>
      <c r="M3737" s="78"/>
      <c r="N3737" s="78"/>
      <c r="O3737" s="78"/>
      <c r="P3737" s="78"/>
      <c r="Q3737" s="55"/>
    </row>
    <row r="3738" spans="2:17" ht="13" x14ac:dyDescent="0.15">
      <c r="B3738" s="78"/>
      <c r="C3738" s="78"/>
      <c r="D3738" s="78"/>
      <c r="E3738" s="78"/>
      <c r="F3738" s="78"/>
      <c r="G3738" s="78"/>
      <c r="H3738" s="78"/>
      <c r="I3738" s="78"/>
      <c r="J3738" s="78"/>
      <c r="K3738" s="78"/>
      <c r="L3738" s="78"/>
      <c r="M3738" s="78"/>
      <c r="N3738" s="78"/>
      <c r="O3738" s="78"/>
      <c r="P3738" s="78"/>
      <c r="Q3738" s="55"/>
    </row>
    <row r="3739" spans="2:17" ht="13" x14ac:dyDescent="0.15">
      <c r="B3739" s="78"/>
      <c r="C3739" s="78"/>
      <c r="D3739" s="78"/>
      <c r="E3739" s="78"/>
      <c r="F3739" s="78"/>
      <c r="G3739" s="78"/>
      <c r="H3739" s="78"/>
      <c r="I3739" s="78"/>
      <c r="J3739" s="78"/>
      <c r="K3739" s="78"/>
      <c r="L3739" s="78"/>
      <c r="M3739" s="78"/>
      <c r="N3739" s="78"/>
      <c r="O3739" s="78"/>
      <c r="P3739" s="78"/>
      <c r="Q3739" s="55"/>
    </row>
    <row r="3740" spans="2:17" ht="13" x14ac:dyDescent="0.15">
      <c r="B3740" s="78"/>
      <c r="C3740" s="78"/>
      <c r="D3740" s="78"/>
      <c r="E3740" s="78"/>
      <c r="F3740" s="78"/>
      <c r="G3740" s="78"/>
      <c r="H3740" s="78"/>
      <c r="I3740" s="78"/>
      <c r="J3740" s="78"/>
      <c r="K3740" s="78"/>
      <c r="L3740" s="78"/>
      <c r="M3740" s="78"/>
      <c r="N3740" s="78"/>
      <c r="O3740" s="78"/>
      <c r="P3740" s="78"/>
      <c r="Q3740" s="55"/>
    </row>
    <row r="3741" spans="2:17" ht="13" x14ac:dyDescent="0.15">
      <c r="B3741" s="78"/>
      <c r="C3741" s="78"/>
      <c r="D3741" s="78"/>
      <c r="E3741" s="78"/>
      <c r="F3741" s="78"/>
      <c r="G3741" s="78"/>
      <c r="H3741" s="78"/>
      <c r="I3741" s="78"/>
      <c r="J3741" s="78"/>
      <c r="K3741" s="78"/>
      <c r="L3741" s="78"/>
      <c r="M3741" s="78"/>
      <c r="N3741" s="78"/>
      <c r="O3741" s="78"/>
      <c r="P3741" s="78"/>
      <c r="Q3741" s="55"/>
    </row>
    <row r="3742" spans="2:17" ht="13" x14ac:dyDescent="0.15">
      <c r="B3742" s="78"/>
      <c r="C3742" s="78"/>
      <c r="D3742" s="78"/>
      <c r="E3742" s="78"/>
      <c r="F3742" s="78"/>
      <c r="G3742" s="78"/>
      <c r="H3742" s="78"/>
      <c r="I3742" s="78"/>
      <c r="J3742" s="78"/>
      <c r="K3742" s="78"/>
      <c r="L3742" s="78"/>
      <c r="M3742" s="78"/>
      <c r="N3742" s="78"/>
      <c r="O3742" s="78"/>
      <c r="P3742" s="78"/>
      <c r="Q3742" s="55"/>
    </row>
    <row r="3743" spans="2:17" ht="13" x14ac:dyDescent="0.15">
      <c r="B3743" s="78"/>
      <c r="C3743" s="78"/>
      <c r="D3743" s="78"/>
      <c r="E3743" s="78"/>
      <c r="F3743" s="78"/>
      <c r="G3743" s="78"/>
      <c r="H3743" s="78"/>
      <c r="I3743" s="78"/>
      <c r="J3743" s="78"/>
      <c r="K3743" s="78"/>
      <c r="L3743" s="78"/>
      <c r="M3743" s="78"/>
      <c r="N3743" s="78"/>
      <c r="O3743" s="78"/>
      <c r="P3743" s="78"/>
      <c r="Q3743" s="55"/>
    </row>
    <row r="3744" spans="2:17" ht="13" x14ac:dyDescent="0.15">
      <c r="B3744" s="78"/>
      <c r="C3744" s="78"/>
      <c r="D3744" s="78"/>
      <c r="E3744" s="78"/>
      <c r="F3744" s="78"/>
      <c r="G3744" s="78"/>
      <c r="H3744" s="78"/>
      <c r="I3744" s="78"/>
      <c r="J3744" s="78"/>
      <c r="K3744" s="78"/>
      <c r="L3744" s="78"/>
      <c r="M3744" s="78"/>
      <c r="N3744" s="78"/>
      <c r="O3744" s="78"/>
      <c r="P3744" s="78"/>
      <c r="Q3744" s="55"/>
    </row>
    <row r="3745" spans="2:17" ht="13" x14ac:dyDescent="0.15">
      <c r="B3745" s="78"/>
      <c r="C3745" s="78"/>
      <c r="D3745" s="78"/>
      <c r="E3745" s="78"/>
      <c r="F3745" s="78"/>
      <c r="G3745" s="78"/>
      <c r="H3745" s="78"/>
      <c r="I3745" s="78"/>
      <c r="J3745" s="78"/>
      <c r="K3745" s="78"/>
      <c r="L3745" s="78"/>
      <c r="M3745" s="78"/>
      <c r="N3745" s="78"/>
      <c r="O3745" s="78"/>
      <c r="P3745" s="78"/>
      <c r="Q3745" s="55"/>
    </row>
    <row r="3746" spans="2:17" ht="13" x14ac:dyDescent="0.15">
      <c r="B3746" s="78"/>
      <c r="C3746" s="78"/>
      <c r="D3746" s="78"/>
      <c r="E3746" s="78"/>
      <c r="F3746" s="78"/>
      <c r="G3746" s="78"/>
      <c r="H3746" s="78"/>
      <c r="I3746" s="78"/>
      <c r="J3746" s="78"/>
      <c r="K3746" s="78"/>
      <c r="L3746" s="78"/>
      <c r="M3746" s="78"/>
      <c r="N3746" s="78"/>
      <c r="O3746" s="78"/>
      <c r="P3746" s="78"/>
      <c r="Q3746" s="55"/>
    </row>
    <row r="3747" spans="2:17" ht="13" x14ac:dyDescent="0.15">
      <c r="B3747" s="78"/>
      <c r="C3747" s="78"/>
      <c r="D3747" s="78"/>
      <c r="E3747" s="78"/>
      <c r="F3747" s="78"/>
      <c r="G3747" s="78"/>
      <c r="H3747" s="78"/>
      <c r="I3747" s="78"/>
      <c r="J3747" s="78"/>
      <c r="K3747" s="78"/>
      <c r="L3747" s="78"/>
      <c r="M3747" s="78"/>
      <c r="N3747" s="78"/>
      <c r="O3747" s="78"/>
      <c r="P3747" s="78"/>
      <c r="Q3747" s="55"/>
    </row>
    <row r="3748" spans="2:17" ht="13" x14ac:dyDescent="0.15">
      <c r="B3748" s="78"/>
      <c r="C3748" s="78"/>
      <c r="D3748" s="78"/>
      <c r="E3748" s="78"/>
      <c r="F3748" s="78"/>
      <c r="G3748" s="78"/>
      <c r="H3748" s="78"/>
      <c r="I3748" s="78"/>
      <c r="J3748" s="78"/>
      <c r="K3748" s="78"/>
      <c r="L3748" s="78"/>
      <c r="M3748" s="78"/>
      <c r="N3748" s="78"/>
      <c r="O3748" s="78"/>
      <c r="P3748" s="78"/>
      <c r="Q3748" s="55"/>
    </row>
    <row r="3749" spans="2:17" ht="13" x14ac:dyDescent="0.15">
      <c r="B3749" s="78"/>
      <c r="C3749" s="78"/>
      <c r="D3749" s="78"/>
      <c r="E3749" s="78"/>
      <c r="F3749" s="78"/>
      <c r="G3749" s="78"/>
      <c r="H3749" s="78"/>
      <c r="I3749" s="78"/>
      <c r="J3749" s="78"/>
      <c r="K3749" s="78"/>
      <c r="L3749" s="78"/>
      <c r="M3749" s="78"/>
      <c r="N3749" s="78"/>
      <c r="O3749" s="78"/>
      <c r="P3749" s="78"/>
      <c r="Q3749" s="55"/>
    </row>
    <row r="3750" spans="2:17" ht="13" x14ac:dyDescent="0.15">
      <c r="B3750" s="78"/>
      <c r="C3750" s="78"/>
      <c r="D3750" s="78"/>
      <c r="E3750" s="78"/>
      <c r="F3750" s="78"/>
      <c r="G3750" s="78"/>
      <c r="H3750" s="78"/>
      <c r="I3750" s="78"/>
      <c r="J3750" s="78"/>
      <c r="K3750" s="78"/>
      <c r="L3750" s="78"/>
      <c r="M3750" s="78"/>
      <c r="N3750" s="78"/>
      <c r="O3750" s="78"/>
      <c r="P3750" s="78"/>
      <c r="Q3750" s="55"/>
    </row>
    <row r="3751" spans="2:17" ht="13" x14ac:dyDescent="0.15">
      <c r="B3751" s="78"/>
      <c r="C3751" s="78"/>
      <c r="D3751" s="78"/>
      <c r="E3751" s="78"/>
      <c r="F3751" s="78"/>
      <c r="G3751" s="78"/>
      <c r="H3751" s="78"/>
      <c r="I3751" s="78"/>
      <c r="J3751" s="78"/>
      <c r="K3751" s="78"/>
      <c r="L3751" s="78"/>
      <c r="M3751" s="78"/>
      <c r="N3751" s="78"/>
      <c r="O3751" s="78"/>
      <c r="P3751" s="78"/>
      <c r="Q3751" s="55"/>
    </row>
    <row r="3752" spans="2:17" ht="13" x14ac:dyDescent="0.15">
      <c r="B3752" s="78"/>
      <c r="C3752" s="78"/>
      <c r="D3752" s="78"/>
      <c r="E3752" s="78"/>
      <c r="F3752" s="78"/>
      <c r="G3752" s="78"/>
      <c r="H3752" s="78"/>
      <c r="I3752" s="78"/>
      <c r="J3752" s="78"/>
      <c r="K3752" s="78"/>
      <c r="L3752" s="78"/>
      <c r="M3752" s="78"/>
      <c r="N3752" s="78"/>
      <c r="O3752" s="78"/>
      <c r="P3752" s="78"/>
      <c r="Q3752" s="55"/>
    </row>
    <row r="3753" spans="2:17" ht="13" x14ac:dyDescent="0.15">
      <c r="B3753" s="78"/>
      <c r="C3753" s="78"/>
      <c r="D3753" s="78"/>
      <c r="E3753" s="78"/>
      <c r="F3753" s="78"/>
      <c r="G3753" s="78"/>
      <c r="H3753" s="78"/>
      <c r="I3753" s="78"/>
      <c r="J3753" s="78"/>
      <c r="K3753" s="78"/>
      <c r="L3753" s="78"/>
      <c r="M3753" s="78"/>
      <c r="N3753" s="78"/>
      <c r="O3753" s="78"/>
      <c r="P3753" s="78"/>
      <c r="Q3753" s="55"/>
    </row>
    <row r="3754" spans="2:17" ht="13" x14ac:dyDescent="0.15">
      <c r="B3754" s="78"/>
      <c r="C3754" s="78"/>
      <c r="D3754" s="78"/>
      <c r="E3754" s="78"/>
      <c r="F3754" s="78"/>
      <c r="G3754" s="78"/>
      <c r="H3754" s="78"/>
      <c r="I3754" s="78"/>
      <c r="J3754" s="78"/>
      <c r="K3754" s="78"/>
      <c r="L3754" s="78"/>
      <c r="M3754" s="78"/>
      <c r="N3754" s="78"/>
      <c r="O3754" s="78"/>
      <c r="P3754" s="78"/>
      <c r="Q3754" s="55"/>
    </row>
    <row r="3755" spans="2:17" ht="13" x14ac:dyDescent="0.15">
      <c r="B3755" s="78"/>
      <c r="C3755" s="78"/>
      <c r="D3755" s="78"/>
      <c r="E3755" s="78"/>
      <c r="F3755" s="78"/>
      <c r="G3755" s="78"/>
      <c r="H3755" s="78"/>
      <c r="I3755" s="78"/>
      <c r="J3755" s="78"/>
      <c r="K3755" s="78"/>
      <c r="L3755" s="78"/>
      <c r="M3755" s="78"/>
      <c r="N3755" s="78"/>
      <c r="O3755" s="78"/>
      <c r="P3755" s="78"/>
      <c r="Q3755" s="55"/>
    </row>
    <row r="3756" spans="2:17" ht="13" x14ac:dyDescent="0.15">
      <c r="B3756" s="78"/>
      <c r="C3756" s="78"/>
      <c r="D3756" s="78"/>
      <c r="E3756" s="78"/>
      <c r="F3756" s="78"/>
      <c r="G3756" s="78"/>
      <c r="H3756" s="78"/>
      <c r="I3756" s="78"/>
      <c r="J3756" s="78"/>
      <c r="K3756" s="78"/>
      <c r="L3756" s="78"/>
      <c r="M3756" s="78"/>
      <c r="N3756" s="78"/>
      <c r="O3756" s="78"/>
      <c r="P3756" s="78"/>
      <c r="Q3756" s="55"/>
    </row>
    <row r="3757" spans="2:17" ht="13" x14ac:dyDescent="0.15">
      <c r="B3757" s="78"/>
      <c r="C3757" s="78"/>
      <c r="D3757" s="78"/>
      <c r="E3757" s="78"/>
      <c r="F3757" s="78"/>
      <c r="G3757" s="78"/>
      <c r="H3757" s="78"/>
      <c r="I3757" s="78"/>
      <c r="J3757" s="78"/>
      <c r="K3757" s="78"/>
      <c r="L3757" s="78"/>
      <c r="M3757" s="78"/>
      <c r="N3757" s="78"/>
      <c r="O3757" s="78"/>
      <c r="P3757" s="78"/>
      <c r="Q3757" s="55"/>
    </row>
    <row r="3758" spans="2:17" ht="13" x14ac:dyDescent="0.15">
      <c r="B3758" s="78"/>
      <c r="C3758" s="78"/>
      <c r="D3758" s="78"/>
      <c r="E3758" s="78"/>
      <c r="F3758" s="78"/>
      <c r="G3758" s="78"/>
      <c r="H3758" s="78"/>
      <c r="I3758" s="78"/>
      <c r="J3758" s="78"/>
      <c r="K3758" s="78"/>
      <c r="L3758" s="78"/>
      <c r="M3758" s="78"/>
      <c r="N3758" s="78"/>
      <c r="O3758" s="78"/>
      <c r="P3758" s="78"/>
      <c r="Q3758" s="55"/>
    </row>
    <row r="3759" spans="2:17" ht="13" x14ac:dyDescent="0.15">
      <c r="B3759" s="78"/>
      <c r="C3759" s="78"/>
      <c r="D3759" s="78"/>
      <c r="E3759" s="78"/>
      <c r="F3759" s="78"/>
      <c r="G3759" s="78"/>
      <c r="H3759" s="78"/>
      <c r="I3759" s="78"/>
      <c r="J3759" s="78"/>
      <c r="K3759" s="78"/>
      <c r="L3759" s="78"/>
      <c r="M3759" s="78"/>
      <c r="N3759" s="78"/>
      <c r="O3759" s="78"/>
      <c r="P3759" s="78"/>
      <c r="Q3759" s="55"/>
    </row>
    <row r="3760" spans="2:17" ht="13" x14ac:dyDescent="0.15">
      <c r="B3760" s="78"/>
      <c r="C3760" s="78"/>
      <c r="D3760" s="78"/>
      <c r="E3760" s="78"/>
      <c r="F3760" s="78"/>
      <c r="G3760" s="78"/>
      <c r="H3760" s="78"/>
      <c r="I3760" s="78"/>
      <c r="J3760" s="78"/>
      <c r="K3760" s="78"/>
      <c r="L3760" s="78"/>
      <c r="M3760" s="78"/>
      <c r="N3760" s="78"/>
      <c r="O3760" s="78"/>
      <c r="P3760" s="78"/>
      <c r="Q3760" s="55"/>
    </row>
    <row r="3761" spans="2:17" ht="13" x14ac:dyDescent="0.15">
      <c r="B3761" s="78"/>
      <c r="C3761" s="78"/>
      <c r="D3761" s="78"/>
      <c r="E3761" s="78"/>
      <c r="F3761" s="78"/>
      <c r="G3761" s="78"/>
      <c r="H3761" s="78"/>
      <c r="I3761" s="78"/>
      <c r="J3761" s="78"/>
      <c r="K3761" s="78"/>
      <c r="L3761" s="78"/>
      <c r="M3761" s="78"/>
      <c r="N3761" s="78"/>
      <c r="O3761" s="78"/>
      <c r="P3761" s="78"/>
      <c r="Q3761" s="55"/>
    </row>
    <row r="3762" spans="2:17" ht="13" x14ac:dyDescent="0.15">
      <c r="B3762" s="78"/>
      <c r="C3762" s="78"/>
      <c r="D3762" s="78"/>
      <c r="E3762" s="78"/>
      <c r="F3762" s="78"/>
      <c r="G3762" s="78"/>
      <c r="H3762" s="78"/>
      <c r="I3762" s="78"/>
      <c r="J3762" s="78"/>
      <c r="K3762" s="78"/>
      <c r="L3762" s="78"/>
      <c r="M3762" s="78"/>
      <c r="N3762" s="78"/>
      <c r="O3762" s="78"/>
      <c r="P3762" s="78"/>
      <c r="Q3762" s="55"/>
    </row>
    <row r="3763" spans="2:17" ht="13" x14ac:dyDescent="0.15">
      <c r="B3763" s="78"/>
      <c r="C3763" s="78"/>
      <c r="D3763" s="78"/>
      <c r="E3763" s="78"/>
      <c r="F3763" s="78"/>
      <c r="G3763" s="78"/>
      <c r="H3763" s="78"/>
      <c r="I3763" s="78"/>
      <c r="J3763" s="78"/>
      <c r="K3763" s="78"/>
      <c r="L3763" s="78"/>
      <c r="M3763" s="78"/>
      <c r="N3763" s="78"/>
      <c r="O3763" s="78"/>
      <c r="P3763" s="78"/>
      <c r="Q3763" s="55"/>
    </row>
    <row r="3764" spans="2:17" ht="13" x14ac:dyDescent="0.15">
      <c r="B3764" s="78"/>
      <c r="C3764" s="78"/>
      <c r="D3764" s="78"/>
      <c r="E3764" s="78"/>
      <c r="F3764" s="78"/>
      <c r="G3764" s="78"/>
      <c r="H3764" s="78"/>
      <c r="I3764" s="78"/>
      <c r="J3764" s="78"/>
      <c r="K3764" s="78"/>
      <c r="L3764" s="78"/>
      <c r="M3764" s="78"/>
      <c r="N3764" s="78"/>
      <c r="O3764" s="78"/>
      <c r="P3764" s="78"/>
      <c r="Q3764" s="55"/>
    </row>
    <row r="3765" spans="2:17" ht="13" x14ac:dyDescent="0.15">
      <c r="B3765" s="78"/>
      <c r="C3765" s="78"/>
      <c r="D3765" s="78"/>
      <c r="E3765" s="78"/>
      <c r="F3765" s="78"/>
      <c r="G3765" s="78"/>
      <c r="H3765" s="78"/>
      <c r="I3765" s="78"/>
      <c r="J3765" s="78"/>
      <c r="K3765" s="78"/>
      <c r="L3765" s="78"/>
      <c r="M3765" s="78"/>
      <c r="N3765" s="78"/>
      <c r="O3765" s="78"/>
      <c r="P3765" s="78"/>
      <c r="Q3765" s="55"/>
    </row>
    <row r="3766" spans="2:17" ht="13" x14ac:dyDescent="0.15">
      <c r="B3766" s="78"/>
      <c r="C3766" s="78"/>
      <c r="D3766" s="78"/>
      <c r="E3766" s="78"/>
      <c r="F3766" s="78"/>
      <c r="G3766" s="78"/>
      <c r="H3766" s="78"/>
      <c r="I3766" s="78"/>
      <c r="J3766" s="78"/>
      <c r="K3766" s="78"/>
      <c r="L3766" s="78"/>
      <c r="M3766" s="78"/>
      <c r="N3766" s="78"/>
      <c r="O3766" s="78"/>
      <c r="P3766" s="78"/>
      <c r="Q3766" s="55"/>
    </row>
    <row r="3767" spans="2:17" ht="13" x14ac:dyDescent="0.15">
      <c r="B3767" s="78"/>
      <c r="C3767" s="78"/>
      <c r="D3767" s="78"/>
      <c r="E3767" s="78"/>
      <c r="F3767" s="78"/>
      <c r="G3767" s="78"/>
      <c r="H3767" s="78"/>
      <c r="I3767" s="78"/>
      <c r="J3767" s="78"/>
      <c r="K3767" s="78"/>
      <c r="L3767" s="78"/>
      <c r="M3767" s="78"/>
      <c r="N3767" s="78"/>
      <c r="O3767" s="78"/>
      <c r="P3767" s="78"/>
      <c r="Q3767" s="55"/>
    </row>
    <row r="3768" spans="2:17" ht="13" x14ac:dyDescent="0.15">
      <c r="B3768" s="78"/>
      <c r="C3768" s="78"/>
      <c r="D3768" s="78"/>
      <c r="E3768" s="78"/>
      <c r="F3768" s="78"/>
      <c r="G3768" s="78"/>
      <c r="H3768" s="78"/>
      <c r="I3768" s="78"/>
      <c r="J3768" s="78"/>
      <c r="K3768" s="78"/>
      <c r="L3768" s="78"/>
      <c r="M3768" s="78"/>
      <c r="N3768" s="78"/>
      <c r="O3768" s="78"/>
      <c r="P3768" s="78"/>
      <c r="Q3768" s="55"/>
    </row>
    <row r="3769" spans="2:17" ht="13" x14ac:dyDescent="0.15">
      <c r="B3769" s="78"/>
      <c r="C3769" s="78"/>
      <c r="D3769" s="78"/>
      <c r="E3769" s="78"/>
      <c r="F3769" s="78"/>
      <c r="G3769" s="78"/>
      <c r="H3769" s="78"/>
      <c r="I3769" s="78"/>
      <c r="J3769" s="78"/>
      <c r="K3769" s="78"/>
      <c r="L3769" s="78"/>
      <c r="M3769" s="78"/>
      <c r="N3769" s="78"/>
      <c r="O3769" s="78"/>
      <c r="P3769" s="78"/>
      <c r="Q3769" s="55"/>
    </row>
    <row r="3770" spans="2:17" ht="13" x14ac:dyDescent="0.15">
      <c r="B3770" s="78"/>
      <c r="C3770" s="78"/>
      <c r="D3770" s="78"/>
      <c r="E3770" s="78"/>
      <c r="F3770" s="78"/>
      <c r="G3770" s="78"/>
      <c r="H3770" s="78"/>
      <c r="I3770" s="78"/>
      <c r="J3770" s="78"/>
      <c r="K3770" s="78"/>
      <c r="L3770" s="78"/>
      <c r="M3770" s="78"/>
      <c r="N3770" s="78"/>
      <c r="O3770" s="78"/>
      <c r="P3770" s="78"/>
      <c r="Q3770" s="55"/>
    </row>
    <row r="3771" spans="2:17" ht="13" x14ac:dyDescent="0.15">
      <c r="B3771" s="78"/>
      <c r="C3771" s="78"/>
      <c r="D3771" s="78"/>
      <c r="E3771" s="78"/>
      <c r="F3771" s="78"/>
      <c r="G3771" s="78"/>
      <c r="H3771" s="78"/>
      <c r="I3771" s="78"/>
      <c r="J3771" s="78"/>
      <c r="K3771" s="78"/>
      <c r="L3771" s="78"/>
      <c r="M3771" s="78"/>
      <c r="N3771" s="78"/>
      <c r="O3771" s="78"/>
      <c r="P3771" s="78"/>
      <c r="Q3771" s="55"/>
    </row>
    <row r="3772" spans="2:17" ht="13" x14ac:dyDescent="0.15">
      <c r="B3772" s="78"/>
      <c r="C3772" s="78"/>
      <c r="D3772" s="78"/>
      <c r="E3772" s="78"/>
      <c r="F3772" s="78"/>
      <c r="G3772" s="78"/>
      <c r="H3772" s="78"/>
      <c r="I3772" s="78"/>
      <c r="J3772" s="78"/>
      <c r="K3772" s="78"/>
      <c r="L3772" s="78"/>
      <c r="M3772" s="78"/>
      <c r="N3772" s="78"/>
      <c r="O3772" s="78"/>
      <c r="P3772" s="78"/>
      <c r="Q3772" s="55"/>
    </row>
    <row r="3773" spans="2:17" ht="13" x14ac:dyDescent="0.15">
      <c r="B3773" s="78"/>
      <c r="C3773" s="78"/>
      <c r="D3773" s="78"/>
      <c r="E3773" s="78"/>
      <c r="F3773" s="78"/>
      <c r="G3773" s="78"/>
      <c r="H3773" s="78"/>
      <c r="I3773" s="78"/>
      <c r="J3773" s="78"/>
      <c r="K3773" s="78"/>
      <c r="L3773" s="78"/>
      <c r="M3773" s="78"/>
      <c r="N3773" s="78"/>
      <c r="O3773" s="78"/>
      <c r="P3773" s="78"/>
      <c r="Q3773" s="55"/>
    </row>
    <row r="3774" spans="2:17" ht="13" x14ac:dyDescent="0.15">
      <c r="B3774" s="78"/>
      <c r="C3774" s="78"/>
      <c r="D3774" s="78"/>
      <c r="E3774" s="78"/>
      <c r="F3774" s="78"/>
      <c r="G3774" s="78"/>
      <c r="H3774" s="78"/>
      <c r="I3774" s="78"/>
      <c r="J3774" s="78"/>
      <c r="K3774" s="78"/>
      <c r="L3774" s="78"/>
      <c r="M3774" s="78"/>
      <c r="N3774" s="78"/>
      <c r="O3774" s="78"/>
      <c r="P3774" s="78"/>
      <c r="Q3774" s="55"/>
    </row>
    <row r="3775" spans="2:17" ht="13" x14ac:dyDescent="0.15">
      <c r="B3775" s="78"/>
      <c r="C3775" s="78"/>
      <c r="D3775" s="78"/>
      <c r="E3775" s="78"/>
      <c r="F3775" s="78"/>
      <c r="G3775" s="78"/>
      <c r="H3775" s="78"/>
      <c r="I3775" s="78"/>
      <c r="J3775" s="78"/>
      <c r="K3775" s="78"/>
      <c r="L3775" s="78"/>
      <c r="M3775" s="78"/>
      <c r="N3775" s="78"/>
      <c r="O3775" s="78"/>
      <c r="P3775" s="78"/>
      <c r="Q3775" s="55"/>
    </row>
    <row r="3776" spans="2:17" ht="13" x14ac:dyDescent="0.15">
      <c r="B3776" s="78"/>
      <c r="C3776" s="78"/>
      <c r="D3776" s="78"/>
      <c r="E3776" s="78"/>
      <c r="F3776" s="78"/>
      <c r="G3776" s="78"/>
      <c r="H3776" s="78"/>
      <c r="I3776" s="78"/>
      <c r="J3776" s="78"/>
      <c r="K3776" s="78"/>
      <c r="L3776" s="78"/>
      <c r="M3776" s="78"/>
      <c r="N3776" s="78"/>
      <c r="O3776" s="78"/>
      <c r="P3776" s="78"/>
      <c r="Q3776" s="55"/>
    </row>
    <row r="3777" spans="2:17" ht="13" x14ac:dyDescent="0.15">
      <c r="B3777" s="78"/>
      <c r="C3777" s="78"/>
      <c r="D3777" s="78"/>
      <c r="E3777" s="78"/>
      <c r="F3777" s="78"/>
      <c r="G3777" s="78"/>
      <c r="H3777" s="78"/>
      <c r="I3777" s="78"/>
      <c r="J3777" s="78"/>
      <c r="K3777" s="78"/>
      <c r="L3777" s="78"/>
      <c r="M3777" s="78"/>
      <c r="N3777" s="78"/>
      <c r="O3777" s="78"/>
      <c r="P3777" s="78"/>
      <c r="Q3777" s="55"/>
    </row>
    <row r="3778" spans="2:17" ht="13" x14ac:dyDescent="0.15">
      <c r="B3778" s="78"/>
      <c r="C3778" s="78"/>
      <c r="D3778" s="78"/>
      <c r="E3778" s="78"/>
      <c r="F3778" s="78"/>
      <c r="G3778" s="78"/>
      <c r="H3778" s="78"/>
      <c r="I3778" s="78"/>
      <c r="J3778" s="78"/>
      <c r="K3778" s="78"/>
      <c r="L3778" s="78"/>
      <c r="M3778" s="78"/>
      <c r="N3778" s="78"/>
      <c r="O3778" s="78"/>
      <c r="P3778" s="78"/>
      <c r="Q3778" s="55"/>
    </row>
    <row r="3779" spans="2:17" ht="13" x14ac:dyDescent="0.15">
      <c r="B3779" s="78"/>
      <c r="C3779" s="78"/>
      <c r="D3779" s="78"/>
      <c r="E3779" s="78"/>
      <c r="F3779" s="78"/>
      <c r="G3779" s="78"/>
      <c r="H3779" s="78"/>
      <c r="I3779" s="78"/>
      <c r="J3779" s="78"/>
      <c r="K3779" s="78"/>
      <c r="L3779" s="78"/>
      <c r="M3779" s="78"/>
      <c r="N3779" s="78"/>
      <c r="O3779" s="78"/>
      <c r="P3779" s="78"/>
      <c r="Q3779" s="55"/>
    </row>
    <row r="3780" spans="2:17" ht="13" x14ac:dyDescent="0.15">
      <c r="B3780" s="78"/>
      <c r="C3780" s="78"/>
      <c r="D3780" s="78"/>
      <c r="E3780" s="78"/>
      <c r="F3780" s="78"/>
      <c r="G3780" s="78"/>
      <c r="H3780" s="78"/>
      <c r="I3780" s="78"/>
      <c r="J3780" s="78"/>
      <c r="K3780" s="78"/>
      <c r="L3780" s="78"/>
      <c r="M3780" s="78"/>
      <c r="N3780" s="78"/>
      <c r="O3780" s="78"/>
      <c r="P3780" s="78"/>
      <c r="Q3780" s="55"/>
    </row>
    <row r="3781" spans="2:17" ht="13" x14ac:dyDescent="0.15">
      <c r="B3781" s="78"/>
      <c r="C3781" s="78"/>
      <c r="D3781" s="78"/>
      <c r="E3781" s="78"/>
      <c r="F3781" s="78"/>
      <c r="G3781" s="78"/>
      <c r="H3781" s="78"/>
      <c r="I3781" s="78"/>
      <c r="J3781" s="78"/>
      <c r="K3781" s="78"/>
      <c r="L3781" s="78"/>
      <c r="M3781" s="78"/>
      <c r="N3781" s="78"/>
      <c r="O3781" s="78"/>
      <c r="P3781" s="78"/>
      <c r="Q3781" s="55"/>
    </row>
    <row r="3782" spans="2:17" ht="13" x14ac:dyDescent="0.15">
      <c r="B3782" s="78"/>
      <c r="C3782" s="78"/>
      <c r="D3782" s="78"/>
      <c r="E3782" s="78"/>
      <c r="F3782" s="78"/>
      <c r="G3782" s="78"/>
      <c r="H3782" s="78"/>
      <c r="I3782" s="78"/>
      <c r="J3782" s="78"/>
      <c r="K3782" s="78"/>
      <c r="L3782" s="78"/>
      <c r="M3782" s="78"/>
      <c r="N3782" s="78"/>
      <c r="O3782" s="78"/>
      <c r="P3782" s="78"/>
      <c r="Q3782" s="55"/>
    </row>
    <row r="3783" spans="2:17" ht="13" x14ac:dyDescent="0.15">
      <c r="B3783" s="78"/>
      <c r="C3783" s="78"/>
      <c r="D3783" s="78"/>
      <c r="E3783" s="78"/>
      <c r="F3783" s="78"/>
      <c r="G3783" s="78"/>
      <c r="H3783" s="78"/>
      <c r="I3783" s="78"/>
      <c r="J3783" s="78"/>
      <c r="K3783" s="78"/>
      <c r="L3783" s="78"/>
      <c r="M3783" s="78"/>
      <c r="N3783" s="78"/>
      <c r="O3783" s="78"/>
      <c r="P3783" s="78"/>
      <c r="Q3783" s="55"/>
    </row>
    <row r="3784" spans="2:17" ht="13" x14ac:dyDescent="0.15">
      <c r="B3784" s="78"/>
      <c r="C3784" s="78"/>
      <c r="D3784" s="78"/>
      <c r="E3784" s="78"/>
      <c r="F3784" s="78"/>
      <c r="G3784" s="78"/>
      <c r="H3784" s="78"/>
      <c r="I3784" s="78"/>
      <c r="J3784" s="78"/>
      <c r="K3784" s="78"/>
      <c r="L3784" s="78"/>
      <c r="M3784" s="78"/>
      <c r="N3784" s="78"/>
      <c r="O3784" s="78"/>
      <c r="P3784" s="78"/>
      <c r="Q3784" s="55"/>
    </row>
    <row r="3785" spans="2:17" ht="13" x14ac:dyDescent="0.15">
      <c r="B3785" s="78"/>
      <c r="C3785" s="78"/>
      <c r="D3785" s="78"/>
      <c r="E3785" s="78"/>
      <c r="F3785" s="78"/>
      <c r="G3785" s="78"/>
      <c r="H3785" s="78"/>
      <c r="I3785" s="78"/>
      <c r="J3785" s="78"/>
      <c r="K3785" s="78"/>
      <c r="L3785" s="78"/>
      <c r="M3785" s="78"/>
      <c r="N3785" s="78"/>
      <c r="O3785" s="78"/>
      <c r="P3785" s="78"/>
      <c r="Q3785" s="55"/>
    </row>
    <row r="3786" spans="2:17" ht="13" x14ac:dyDescent="0.15">
      <c r="B3786" s="78"/>
      <c r="C3786" s="78"/>
      <c r="D3786" s="78"/>
      <c r="E3786" s="78"/>
      <c r="F3786" s="78"/>
      <c r="G3786" s="78"/>
      <c r="H3786" s="78"/>
      <c r="I3786" s="78"/>
      <c r="J3786" s="78"/>
      <c r="K3786" s="78"/>
      <c r="L3786" s="78"/>
      <c r="M3786" s="78"/>
      <c r="N3786" s="78"/>
      <c r="O3786" s="78"/>
      <c r="P3786" s="78"/>
      <c r="Q3786" s="55"/>
    </row>
    <row r="3787" spans="2:17" ht="13" x14ac:dyDescent="0.15">
      <c r="B3787" s="78"/>
      <c r="C3787" s="78"/>
      <c r="D3787" s="78"/>
      <c r="E3787" s="78"/>
      <c r="F3787" s="78"/>
      <c r="G3787" s="78"/>
      <c r="H3787" s="78"/>
      <c r="I3787" s="78"/>
      <c r="J3787" s="78"/>
      <c r="K3787" s="78"/>
      <c r="L3787" s="78"/>
      <c r="M3787" s="78"/>
      <c r="N3787" s="78"/>
      <c r="O3787" s="78"/>
      <c r="P3787" s="78"/>
      <c r="Q3787" s="55"/>
    </row>
    <row r="3788" spans="2:17" ht="13" x14ac:dyDescent="0.15">
      <c r="B3788" s="78"/>
      <c r="C3788" s="78"/>
      <c r="D3788" s="78"/>
      <c r="E3788" s="78"/>
      <c r="F3788" s="78"/>
      <c r="G3788" s="78"/>
      <c r="H3788" s="78"/>
      <c r="I3788" s="78"/>
      <c r="J3788" s="78"/>
      <c r="K3788" s="78"/>
      <c r="L3788" s="78"/>
      <c r="M3788" s="78"/>
      <c r="N3788" s="78"/>
      <c r="O3788" s="78"/>
      <c r="P3788" s="78"/>
      <c r="Q3788" s="55"/>
    </row>
    <row r="3789" spans="2:17" ht="13" x14ac:dyDescent="0.15">
      <c r="B3789" s="78"/>
      <c r="C3789" s="78"/>
      <c r="D3789" s="78"/>
      <c r="E3789" s="78"/>
      <c r="F3789" s="78"/>
      <c r="G3789" s="78"/>
      <c r="H3789" s="78"/>
      <c r="I3789" s="78"/>
      <c r="J3789" s="78"/>
      <c r="K3789" s="78"/>
      <c r="L3789" s="78"/>
      <c r="M3789" s="78"/>
      <c r="N3789" s="78"/>
      <c r="O3789" s="78"/>
      <c r="P3789" s="78"/>
      <c r="Q3789" s="55"/>
    </row>
    <row r="3790" spans="2:17" ht="13" x14ac:dyDescent="0.15">
      <c r="B3790" s="78"/>
      <c r="C3790" s="78"/>
      <c r="D3790" s="78"/>
      <c r="E3790" s="78"/>
      <c r="F3790" s="78"/>
      <c r="G3790" s="78"/>
      <c r="H3790" s="78"/>
      <c r="I3790" s="78"/>
      <c r="J3790" s="78"/>
      <c r="K3790" s="78"/>
      <c r="L3790" s="78"/>
      <c r="M3790" s="78"/>
      <c r="N3790" s="78"/>
      <c r="O3790" s="78"/>
      <c r="P3790" s="78"/>
      <c r="Q3790" s="55"/>
    </row>
    <row r="3791" spans="2:17" ht="13" x14ac:dyDescent="0.15">
      <c r="B3791" s="78"/>
      <c r="C3791" s="78"/>
      <c r="D3791" s="78"/>
      <c r="E3791" s="78"/>
      <c r="F3791" s="78"/>
      <c r="G3791" s="78"/>
      <c r="H3791" s="78"/>
      <c r="I3791" s="78"/>
      <c r="J3791" s="78"/>
      <c r="K3791" s="78"/>
      <c r="L3791" s="78"/>
      <c r="M3791" s="78"/>
      <c r="N3791" s="78"/>
      <c r="O3791" s="78"/>
      <c r="P3791" s="78"/>
      <c r="Q3791" s="55"/>
    </row>
    <row r="3792" spans="2:17" ht="13" x14ac:dyDescent="0.15">
      <c r="B3792" s="78"/>
      <c r="C3792" s="78"/>
      <c r="D3792" s="78"/>
      <c r="E3792" s="78"/>
      <c r="F3792" s="78"/>
      <c r="G3792" s="78"/>
      <c r="H3792" s="78"/>
      <c r="I3792" s="78"/>
      <c r="J3792" s="78"/>
      <c r="K3792" s="78"/>
      <c r="L3792" s="78"/>
      <c r="M3792" s="78"/>
      <c r="N3792" s="78"/>
      <c r="O3792" s="78"/>
      <c r="P3792" s="78"/>
      <c r="Q3792" s="55"/>
    </row>
    <row r="3793" spans="2:17" ht="13" x14ac:dyDescent="0.15">
      <c r="B3793" s="78"/>
      <c r="C3793" s="78"/>
      <c r="D3793" s="78"/>
      <c r="E3793" s="78"/>
      <c r="F3793" s="78"/>
      <c r="G3793" s="78"/>
      <c r="H3793" s="78"/>
      <c r="I3793" s="78"/>
      <c r="J3793" s="78"/>
      <c r="K3793" s="78"/>
      <c r="L3793" s="78"/>
      <c r="M3793" s="78"/>
      <c r="N3793" s="78"/>
      <c r="O3793" s="78"/>
      <c r="P3793" s="78"/>
      <c r="Q3793" s="55"/>
    </row>
    <row r="3794" spans="2:17" ht="13" x14ac:dyDescent="0.15">
      <c r="B3794" s="78"/>
      <c r="C3794" s="78"/>
      <c r="D3794" s="78"/>
      <c r="E3794" s="78"/>
      <c r="F3794" s="78"/>
      <c r="G3794" s="78"/>
      <c r="H3794" s="78"/>
      <c r="I3794" s="78"/>
      <c r="J3794" s="78"/>
      <c r="K3794" s="78"/>
      <c r="L3794" s="78"/>
      <c r="M3794" s="78"/>
      <c r="N3794" s="78"/>
      <c r="O3794" s="78"/>
      <c r="P3794" s="78"/>
      <c r="Q3794" s="55"/>
    </row>
    <row r="3795" spans="2:17" ht="13" x14ac:dyDescent="0.15">
      <c r="B3795" s="78"/>
      <c r="C3795" s="78"/>
      <c r="D3795" s="78"/>
      <c r="E3795" s="78"/>
      <c r="F3795" s="78"/>
      <c r="G3795" s="78"/>
      <c r="H3795" s="78"/>
      <c r="I3795" s="78"/>
      <c r="J3795" s="78"/>
      <c r="K3795" s="78"/>
      <c r="L3795" s="78"/>
      <c r="M3795" s="78"/>
      <c r="N3795" s="78"/>
      <c r="O3795" s="78"/>
      <c r="P3795" s="78"/>
      <c r="Q3795" s="55"/>
    </row>
    <row r="3796" spans="2:17" ht="13" x14ac:dyDescent="0.15">
      <c r="B3796" s="78"/>
      <c r="C3796" s="78"/>
      <c r="D3796" s="78"/>
      <c r="E3796" s="78"/>
      <c r="F3796" s="78"/>
      <c r="G3796" s="78"/>
      <c r="H3796" s="78"/>
      <c r="I3796" s="78"/>
      <c r="J3796" s="78"/>
      <c r="K3796" s="78"/>
      <c r="L3796" s="78"/>
      <c r="M3796" s="78"/>
      <c r="N3796" s="78"/>
      <c r="O3796" s="78"/>
      <c r="P3796" s="78"/>
      <c r="Q3796" s="55"/>
    </row>
    <row r="3797" spans="2:17" ht="13" x14ac:dyDescent="0.15">
      <c r="B3797" s="78"/>
      <c r="C3797" s="78"/>
      <c r="D3797" s="78"/>
      <c r="E3797" s="78"/>
      <c r="F3797" s="78"/>
      <c r="G3797" s="78"/>
      <c r="H3797" s="78"/>
      <c r="I3797" s="78"/>
      <c r="J3797" s="78"/>
      <c r="K3797" s="78"/>
      <c r="L3797" s="78"/>
      <c r="M3797" s="78"/>
      <c r="N3797" s="78"/>
      <c r="O3797" s="78"/>
      <c r="P3797" s="78"/>
      <c r="Q3797" s="55"/>
    </row>
    <row r="3798" spans="2:17" ht="13" x14ac:dyDescent="0.15">
      <c r="B3798" s="78"/>
      <c r="C3798" s="78"/>
      <c r="D3798" s="78"/>
      <c r="E3798" s="78"/>
      <c r="F3798" s="78"/>
      <c r="G3798" s="78"/>
      <c r="H3798" s="78"/>
      <c r="I3798" s="78"/>
      <c r="J3798" s="78"/>
      <c r="K3798" s="78"/>
      <c r="L3798" s="78"/>
      <c r="M3798" s="78"/>
      <c r="N3798" s="78"/>
      <c r="O3798" s="78"/>
      <c r="P3798" s="78"/>
      <c r="Q3798" s="55"/>
    </row>
    <row r="3799" spans="2:17" ht="13" x14ac:dyDescent="0.15">
      <c r="B3799" s="78"/>
      <c r="C3799" s="78"/>
      <c r="D3799" s="78"/>
      <c r="E3799" s="78"/>
      <c r="F3799" s="78"/>
      <c r="G3799" s="78"/>
      <c r="H3799" s="78"/>
      <c r="I3799" s="78"/>
      <c r="J3799" s="78"/>
      <c r="K3799" s="78"/>
      <c r="L3799" s="78"/>
      <c r="M3799" s="78"/>
      <c r="N3799" s="78"/>
      <c r="O3799" s="78"/>
      <c r="P3799" s="78"/>
      <c r="Q3799" s="55"/>
    </row>
    <row r="3800" spans="2:17" ht="13" x14ac:dyDescent="0.15">
      <c r="B3800" s="78"/>
      <c r="C3800" s="78"/>
      <c r="D3800" s="78"/>
      <c r="E3800" s="78"/>
      <c r="F3800" s="78"/>
      <c r="G3800" s="78"/>
      <c r="H3800" s="78"/>
      <c r="I3800" s="78"/>
      <c r="J3800" s="78"/>
      <c r="K3800" s="78"/>
      <c r="L3800" s="78"/>
      <c r="M3800" s="78"/>
      <c r="N3800" s="78"/>
      <c r="O3800" s="78"/>
      <c r="P3800" s="78"/>
      <c r="Q3800" s="55"/>
    </row>
    <row r="3801" spans="2:17" ht="13" x14ac:dyDescent="0.15">
      <c r="B3801" s="78"/>
      <c r="C3801" s="78"/>
      <c r="D3801" s="78"/>
      <c r="E3801" s="78"/>
      <c r="F3801" s="78"/>
      <c r="G3801" s="78"/>
      <c r="H3801" s="78"/>
      <c r="I3801" s="78"/>
      <c r="J3801" s="78"/>
      <c r="K3801" s="78"/>
      <c r="L3801" s="78"/>
      <c r="M3801" s="78"/>
      <c r="N3801" s="78"/>
      <c r="O3801" s="78"/>
      <c r="P3801" s="78"/>
      <c r="Q3801" s="55"/>
    </row>
    <row r="3802" spans="2:17" ht="13" x14ac:dyDescent="0.15">
      <c r="B3802" s="78"/>
      <c r="C3802" s="78"/>
      <c r="D3802" s="78"/>
      <c r="E3802" s="78"/>
      <c r="F3802" s="78"/>
      <c r="G3802" s="78"/>
      <c r="H3802" s="78"/>
      <c r="I3802" s="78"/>
      <c r="J3802" s="78"/>
      <c r="K3802" s="78"/>
      <c r="L3802" s="78"/>
      <c r="M3802" s="78"/>
      <c r="N3802" s="78"/>
      <c r="O3802" s="78"/>
      <c r="P3802" s="78"/>
      <c r="Q3802" s="55"/>
    </row>
    <row r="3803" spans="2:17" ht="13" x14ac:dyDescent="0.15">
      <c r="B3803" s="78"/>
      <c r="C3803" s="78"/>
      <c r="D3803" s="78"/>
      <c r="E3803" s="78"/>
      <c r="F3803" s="78"/>
      <c r="G3803" s="78"/>
      <c r="H3803" s="78"/>
      <c r="I3803" s="78"/>
      <c r="J3803" s="78"/>
      <c r="K3803" s="78"/>
      <c r="L3803" s="78"/>
      <c r="M3803" s="78"/>
      <c r="N3803" s="78"/>
      <c r="O3803" s="78"/>
      <c r="P3803" s="78"/>
      <c r="Q3803" s="55"/>
    </row>
    <row r="3804" spans="2:17" ht="13" x14ac:dyDescent="0.15">
      <c r="B3804" s="78"/>
      <c r="C3804" s="78"/>
      <c r="D3804" s="78"/>
      <c r="E3804" s="78"/>
      <c r="F3804" s="78"/>
      <c r="G3804" s="78"/>
      <c r="H3804" s="78"/>
      <c r="I3804" s="78"/>
      <c r="J3804" s="78"/>
      <c r="K3804" s="78"/>
      <c r="L3804" s="78"/>
      <c r="M3804" s="78"/>
      <c r="N3804" s="78"/>
      <c r="O3804" s="78"/>
      <c r="P3804" s="78"/>
      <c r="Q3804" s="55"/>
    </row>
    <row r="3805" spans="2:17" ht="13" x14ac:dyDescent="0.15">
      <c r="B3805" s="78"/>
      <c r="C3805" s="78"/>
      <c r="D3805" s="78"/>
      <c r="E3805" s="78"/>
      <c r="F3805" s="78"/>
      <c r="G3805" s="78"/>
      <c r="H3805" s="78"/>
      <c r="I3805" s="78"/>
      <c r="J3805" s="78"/>
      <c r="K3805" s="78"/>
      <c r="L3805" s="78"/>
      <c r="M3805" s="78"/>
      <c r="N3805" s="78"/>
      <c r="O3805" s="78"/>
      <c r="P3805" s="78"/>
      <c r="Q3805" s="55"/>
    </row>
    <row r="3806" spans="2:17" ht="13" x14ac:dyDescent="0.15">
      <c r="B3806" s="78"/>
      <c r="C3806" s="78"/>
      <c r="D3806" s="78"/>
      <c r="E3806" s="78"/>
      <c r="F3806" s="78"/>
      <c r="G3806" s="78"/>
      <c r="H3806" s="78"/>
      <c r="I3806" s="78"/>
      <c r="J3806" s="78"/>
      <c r="K3806" s="78"/>
      <c r="L3806" s="78"/>
      <c r="M3806" s="78"/>
      <c r="N3806" s="78"/>
      <c r="O3806" s="78"/>
      <c r="P3806" s="78"/>
      <c r="Q3806" s="55"/>
    </row>
    <row r="3807" spans="2:17" ht="13" x14ac:dyDescent="0.15">
      <c r="B3807" s="78"/>
      <c r="C3807" s="78"/>
      <c r="D3807" s="78"/>
      <c r="E3807" s="78"/>
      <c r="F3807" s="78"/>
      <c r="G3807" s="78"/>
      <c r="H3807" s="78"/>
      <c r="I3807" s="78"/>
      <c r="J3807" s="78"/>
      <c r="K3807" s="78"/>
      <c r="L3807" s="78"/>
      <c r="M3807" s="78"/>
      <c r="N3807" s="78"/>
      <c r="O3807" s="78"/>
      <c r="P3807" s="78"/>
      <c r="Q3807" s="55"/>
    </row>
    <row r="3808" spans="2:17" ht="13" x14ac:dyDescent="0.15">
      <c r="B3808" s="78"/>
      <c r="C3808" s="78"/>
      <c r="D3808" s="78"/>
      <c r="E3808" s="78"/>
      <c r="F3808" s="78"/>
      <c r="G3808" s="78"/>
      <c r="H3808" s="78"/>
      <c r="I3808" s="78"/>
      <c r="J3808" s="78"/>
      <c r="K3808" s="78"/>
      <c r="L3808" s="78"/>
      <c r="M3808" s="78"/>
      <c r="N3808" s="78"/>
      <c r="O3808" s="78"/>
      <c r="P3808" s="78"/>
      <c r="Q3808" s="55"/>
    </row>
    <row r="3809" spans="2:17" ht="13" x14ac:dyDescent="0.15">
      <c r="B3809" s="78"/>
      <c r="C3809" s="78"/>
      <c r="D3809" s="78"/>
      <c r="E3809" s="78"/>
      <c r="F3809" s="78"/>
      <c r="G3809" s="78"/>
      <c r="H3809" s="78"/>
      <c r="I3809" s="78"/>
      <c r="J3809" s="78"/>
      <c r="K3809" s="78"/>
      <c r="L3809" s="78"/>
      <c r="M3809" s="78"/>
      <c r="N3809" s="78"/>
      <c r="O3809" s="78"/>
      <c r="P3809" s="78"/>
      <c r="Q3809" s="55"/>
    </row>
    <row r="3810" spans="2:17" ht="13" x14ac:dyDescent="0.15">
      <c r="B3810" s="78"/>
      <c r="C3810" s="78"/>
      <c r="D3810" s="78"/>
      <c r="E3810" s="78"/>
      <c r="F3810" s="78"/>
      <c r="G3810" s="78"/>
      <c r="H3810" s="78"/>
      <c r="I3810" s="78"/>
      <c r="J3810" s="78"/>
      <c r="K3810" s="78"/>
      <c r="L3810" s="78"/>
      <c r="M3810" s="78"/>
      <c r="N3810" s="78"/>
      <c r="O3810" s="78"/>
      <c r="P3810" s="78"/>
      <c r="Q3810" s="55"/>
    </row>
    <row r="3811" spans="2:17" ht="13" x14ac:dyDescent="0.15">
      <c r="B3811" s="78"/>
      <c r="C3811" s="78"/>
      <c r="D3811" s="78"/>
      <c r="E3811" s="78"/>
      <c r="F3811" s="78"/>
      <c r="G3811" s="78"/>
      <c r="H3811" s="78"/>
      <c r="I3811" s="78"/>
      <c r="J3811" s="78"/>
      <c r="K3811" s="78"/>
      <c r="L3811" s="78"/>
      <c r="M3811" s="78"/>
      <c r="N3811" s="78"/>
      <c r="O3811" s="78"/>
      <c r="P3811" s="78"/>
      <c r="Q3811" s="55"/>
    </row>
    <row r="3812" spans="2:17" ht="13" x14ac:dyDescent="0.15">
      <c r="B3812" s="78"/>
      <c r="C3812" s="78"/>
      <c r="D3812" s="78"/>
      <c r="E3812" s="78"/>
      <c r="F3812" s="78"/>
      <c r="G3812" s="78"/>
      <c r="H3812" s="78"/>
      <c r="I3812" s="78"/>
      <c r="J3812" s="78"/>
      <c r="K3812" s="78"/>
      <c r="L3812" s="78"/>
      <c r="M3812" s="78"/>
      <c r="N3812" s="78"/>
      <c r="O3812" s="78"/>
      <c r="P3812" s="78"/>
      <c r="Q3812" s="55"/>
    </row>
    <row r="3813" spans="2:17" ht="13" x14ac:dyDescent="0.15">
      <c r="B3813" s="78"/>
      <c r="C3813" s="78"/>
      <c r="D3813" s="78"/>
      <c r="E3813" s="78"/>
      <c r="F3813" s="78"/>
      <c r="G3813" s="78"/>
      <c r="H3813" s="78"/>
      <c r="I3813" s="78"/>
      <c r="J3813" s="78"/>
      <c r="K3813" s="78"/>
      <c r="L3813" s="78"/>
      <c r="M3813" s="78"/>
      <c r="N3813" s="78"/>
      <c r="O3813" s="78"/>
      <c r="P3813" s="78"/>
      <c r="Q3813" s="55"/>
    </row>
    <row r="3814" spans="2:17" ht="13" x14ac:dyDescent="0.15">
      <c r="B3814" s="78"/>
      <c r="C3814" s="78"/>
      <c r="D3814" s="78"/>
      <c r="E3814" s="78"/>
      <c r="F3814" s="78"/>
      <c r="G3814" s="78"/>
      <c r="H3814" s="78"/>
      <c r="I3814" s="78"/>
      <c r="J3814" s="78"/>
      <c r="K3814" s="78"/>
      <c r="L3814" s="78"/>
      <c r="M3814" s="78"/>
      <c r="N3814" s="78"/>
      <c r="O3814" s="78"/>
      <c r="P3814" s="78"/>
      <c r="Q3814" s="55"/>
    </row>
    <row r="3815" spans="2:17" ht="13" x14ac:dyDescent="0.15">
      <c r="B3815" s="78"/>
      <c r="C3815" s="78"/>
      <c r="D3815" s="78"/>
      <c r="E3815" s="78"/>
      <c r="F3815" s="78"/>
      <c r="G3815" s="78"/>
      <c r="H3815" s="78"/>
      <c r="I3815" s="78"/>
      <c r="J3815" s="78"/>
      <c r="K3815" s="78"/>
      <c r="L3815" s="78"/>
      <c r="M3815" s="78"/>
      <c r="N3815" s="78"/>
      <c r="O3815" s="78"/>
      <c r="P3815" s="78"/>
      <c r="Q3815" s="55"/>
    </row>
    <row r="3816" spans="2:17" ht="13" x14ac:dyDescent="0.15">
      <c r="B3816" s="78"/>
      <c r="C3816" s="78"/>
      <c r="D3816" s="78"/>
      <c r="E3816" s="78"/>
      <c r="F3816" s="78"/>
      <c r="G3816" s="78"/>
      <c r="H3816" s="78"/>
      <c r="I3816" s="78"/>
      <c r="J3816" s="78"/>
      <c r="K3816" s="78"/>
      <c r="L3816" s="78"/>
      <c r="M3816" s="78"/>
      <c r="N3816" s="78"/>
      <c r="O3816" s="78"/>
      <c r="P3816" s="78"/>
      <c r="Q3816" s="55"/>
    </row>
    <row r="3817" spans="2:17" ht="13" x14ac:dyDescent="0.15">
      <c r="B3817" s="78"/>
      <c r="C3817" s="78"/>
      <c r="D3817" s="78"/>
      <c r="E3817" s="78"/>
      <c r="F3817" s="78"/>
      <c r="G3817" s="78"/>
      <c r="H3817" s="78"/>
      <c r="I3817" s="78"/>
      <c r="J3817" s="78"/>
      <c r="K3817" s="78"/>
      <c r="L3817" s="78"/>
      <c r="M3817" s="78"/>
      <c r="N3817" s="78"/>
      <c r="O3817" s="78"/>
      <c r="P3817" s="78"/>
      <c r="Q3817" s="55"/>
    </row>
    <row r="3818" spans="2:17" ht="13" x14ac:dyDescent="0.15">
      <c r="B3818" s="78"/>
      <c r="C3818" s="78"/>
      <c r="D3818" s="78"/>
      <c r="E3818" s="78"/>
      <c r="F3818" s="78"/>
      <c r="G3818" s="78"/>
      <c r="H3818" s="78"/>
      <c r="I3818" s="78"/>
      <c r="J3818" s="78"/>
      <c r="K3818" s="78"/>
      <c r="L3818" s="78"/>
      <c r="M3818" s="78"/>
      <c r="N3818" s="78"/>
      <c r="O3818" s="78"/>
      <c r="P3818" s="78"/>
      <c r="Q3818" s="55"/>
    </row>
    <row r="3819" spans="2:17" ht="13" x14ac:dyDescent="0.15">
      <c r="B3819" s="78"/>
      <c r="C3819" s="78"/>
      <c r="D3819" s="78"/>
      <c r="E3819" s="78"/>
      <c r="F3819" s="78"/>
      <c r="G3819" s="78"/>
      <c r="H3819" s="78"/>
      <c r="I3819" s="78"/>
      <c r="J3819" s="78"/>
      <c r="K3819" s="78"/>
      <c r="L3819" s="78"/>
      <c r="M3819" s="78"/>
      <c r="N3819" s="78"/>
      <c r="O3819" s="78"/>
      <c r="P3819" s="78"/>
      <c r="Q3819" s="55"/>
    </row>
    <row r="3820" spans="2:17" ht="13" x14ac:dyDescent="0.15">
      <c r="B3820" s="78"/>
      <c r="C3820" s="78"/>
      <c r="D3820" s="78"/>
      <c r="E3820" s="78"/>
      <c r="F3820" s="78"/>
      <c r="G3820" s="78"/>
      <c r="H3820" s="78"/>
      <c r="I3820" s="78"/>
      <c r="J3820" s="78"/>
      <c r="K3820" s="78"/>
      <c r="L3820" s="78"/>
      <c r="M3820" s="78"/>
      <c r="N3820" s="78"/>
      <c r="O3820" s="78"/>
      <c r="P3820" s="78"/>
      <c r="Q3820" s="55"/>
    </row>
    <row r="3821" spans="2:17" ht="13" x14ac:dyDescent="0.15">
      <c r="B3821" s="78"/>
      <c r="C3821" s="78"/>
      <c r="D3821" s="78"/>
      <c r="E3821" s="78"/>
      <c r="F3821" s="78"/>
      <c r="G3821" s="78"/>
      <c r="H3821" s="78"/>
      <c r="I3821" s="78"/>
      <c r="J3821" s="78"/>
      <c r="K3821" s="78"/>
      <c r="L3821" s="78"/>
      <c r="M3821" s="78"/>
      <c r="N3821" s="78"/>
      <c r="O3821" s="78"/>
      <c r="P3821" s="78"/>
      <c r="Q3821" s="55"/>
    </row>
    <row r="3822" spans="2:17" ht="13" x14ac:dyDescent="0.15">
      <c r="B3822" s="78"/>
      <c r="C3822" s="78"/>
      <c r="D3822" s="78"/>
      <c r="E3822" s="78"/>
      <c r="F3822" s="78"/>
      <c r="G3822" s="78"/>
      <c r="H3822" s="78"/>
      <c r="I3822" s="78"/>
      <c r="J3822" s="78"/>
      <c r="K3822" s="78"/>
      <c r="L3822" s="78"/>
      <c r="M3822" s="78"/>
      <c r="N3822" s="78"/>
      <c r="O3822" s="78"/>
      <c r="P3822" s="78"/>
      <c r="Q3822" s="55"/>
    </row>
    <row r="3823" spans="2:17" ht="13" x14ac:dyDescent="0.15">
      <c r="B3823" s="78"/>
      <c r="C3823" s="78"/>
      <c r="D3823" s="78"/>
      <c r="E3823" s="78"/>
      <c r="F3823" s="78"/>
      <c r="G3823" s="78"/>
      <c r="H3823" s="78"/>
      <c r="I3823" s="78"/>
      <c r="J3823" s="78"/>
      <c r="K3823" s="78"/>
      <c r="L3823" s="78"/>
      <c r="M3823" s="78"/>
      <c r="N3823" s="78"/>
      <c r="O3823" s="78"/>
      <c r="P3823" s="78"/>
      <c r="Q3823" s="55"/>
    </row>
    <row r="3824" spans="2:17" ht="13" x14ac:dyDescent="0.15">
      <c r="B3824" s="78"/>
      <c r="C3824" s="78"/>
      <c r="D3824" s="78"/>
      <c r="E3824" s="78"/>
      <c r="F3824" s="78"/>
      <c r="G3824" s="78"/>
      <c r="H3824" s="78"/>
      <c r="I3824" s="78"/>
      <c r="J3824" s="78"/>
      <c r="K3824" s="78"/>
      <c r="L3824" s="78"/>
      <c r="M3824" s="78"/>
      <c r="N3824" s="78"/>
      <c r="O3824" s="78"/>
      <c r="P3824" s="78"/>
      <c r="Q3824" s="55"/>
    </row>
    <row r="3825" spans="2:17" ht="13" x14ac:dyDescent="0.15">
      <c r="B3825" s="78"/>
      <c r="C3825" s="78"/>
      <c r="D3825" s="78"/>
      <c r="E3825" s="78"/>
      <c r="F3825" s="78"/>
      <c r="G3825" s="78"/>
      <c r="H3825" s="78"/>
      <c r="I3825" s="78"/>
      <c r="J3825" s="78"/>
      <c r="K3825" s="78"/>
      <c r="L3825" s="78"/>
      <c r="M3825" s="78"/>
      <c r="N3825" s="78"/>
      <c r="O3825" s="78"/>
      <c r="P3825" s="78"/>
      <c r="Q3825" s="55"/>
    </row>
    <row r="3826" spans="2:17" ht="13" x14ac:dyDescent="0.15">
      <c r="B3826" s="78"/>
      <c r="C3826" s="78"/>
      <c r="D3826" s="78"/>
      <c r="E3826" s="78"/>
      <c r="F3826" s="78"/>
      <c r="G3826" s="78"/>
      <c r="H3826" s="78"/>
      <c r="I3826" s="78"/>
      <c r="J3826" s="78"/>
      <c r="K3826" s="78"/>
      <c r="L3826" s="78"/>
      <c r="M3826" s="78"/>
      <c r="N3826" s="78"/>
      <c r="O3826" s="78"/>
      <c r="P3826" s="78"/>
      <c r="Q3826" s="55"/>
    </row>
    <row r="3827" spans="2:17" ht="13" x14ac:dyDescent="0.15">
      <c r="B3827" s="78"/>
      <c r="C3827" s="78"/>
      <c r="D3827" s="78"/>
      <c r="E3827" s="78"/>
      <c r="F3827" s="78"/>
      <c r="G3827" s="78"/>
      <c r="H3827" s="78"/>
      <c r="I3827" s="78"/>
      <c r="J3827" s="78"/>
      <c r="K3827" s="78"/>
      <c r="L3827" s="78"/>
      <c r="M3827" s="78"/>
      <c r="N3827" s="78"/>
      <c r="O3827" s="78"/>
      <c r="P3827" s="78"/>
      <c r="Q3827" s="55"/>
    </row>
    <row r="3828" spans="2:17" ht="13" x14ac:dyDescent="0.15">
      <c r="B3828" s="78"/>
      <c r="C3828" s="78"/>
      <c r="D3828" s="78"/>
      <c r="E3828" s="78"/>
      <c r="F3828" s="78"/>
      <c r="G3828" s="78"/>
      <c r="H3828" s="78"/>
      <c r="I3828" s="78"/>
      <c r="J3828" s="78"/>
      <c r="K3828" s="78"/>
      <c r="L3828" s="78"/>
      <c r="M3828" s="78"/>
      <c r="N3828" s="78"/>
      <c r="O3828" s="78"/>
      <c r="P3828" s="78"/>
      <c r="Q3828" s="55"/>
    </row>
    <row r="3829" spans="2:17" ht="13" x14ac:dyDescent="0.15">
      <c r="B3829" s="78"/>
      <c r="C3829" s="78"/>
      <c r="D3829" s="78"/>
      <c r="E3829" s="78"/>
      <c r="F3829" s="78"/>
      <c r="G3829" s="78"/>
      <c r="H3829" s="78"/>
      <c r="I3829" s="78"/>
      <c r="J3829" s="78"/>
      <c r="K3829" s="78"/>
      <c r="L3829" s="78"/>
      <c r="M3829" s="78"/>
      <c r="N3829" s="78"/>
      <c r="O3829" s="78"/>
      <c r="P3829" s="78"/>
      <c r="Q3829" s="55"/>
    </row>
    <row r="3830" spans="2:17" ht="13" x14ac:dyDescent="0.15">
      <c r="B3830" s="78"/>
      <c r="C3830" s="78"/>
      <c r="D3830" s="78"/>
      <c r="E3830" s="78"/>
      <c r="F3830" s="78"/>
      <c r="G3830" s="78"/>
      <c r="H3830" s="78"/>
      <c r="I3830" s="78"/>
      <c r="J3830" s="78"/>
      <c r="K3830" s="78"/>
      <c r="L3830" s="78"/>
      <c r="M3830" s="78"/>
      <c r="N3830" s="78"/>
      <c r="O3830" s="78"/>
      <c r="P3830" s="78"/>
      <c r="Q3830" s="55"/>
    </row>
    <row r="3831" spans="2:17" ht="13" x14ac:dyDescent="0.15">
      <c r="B3831" s="78"/>
      <c r="C3831" s="78"/>
      <c r="D3831" s="78"/>
      <c r="E3831" s="78"/>
      <c r="F3831" s="78"/>
      <c r="G3831" s="78"/>
      <c r="H3831" s="78"/>
      <c r="I3831" s="78"/>
      <c r="J3831" s="78"/>
      <c r="K3831" s="78"/>
      <c r="L3831" s="78"/>
      <c r="M3831" s="78"/>
      <c r="N3831" s="78"/>
      <c r="O3831" s="78"/>
      <c r="P3831" s="78"/>
      <c r="Q3831" s="55"/>
    </row>
    <row r="3832" spans="2:17" ht="13" x14ac:dyDescent="0.15">
      <c r="B3832" s="78"/>
      <c r="C3832" s="78"/>
      <c r="D3832" s="78"/>
      <c r="E3832" s="78"/>
      <c r="F3832" s="78"/>
      <c r="G3832" s="78"/>
      <c r="H3832" s="78"/>
      <c r="I3832" s="78"/>
      <c r="J3832" s="78"/>
      <c r="K3832" s="78"/>
      <c r="L3832" s="78"/>
      <c r="M3832" s="78"/>
      <c r="N3832" s="78"/>
      <c r="O3832" s="78"/>
      <c r="P3832" s="78"/>
      <c r="Q3832" s="55"/>
    </row>
    <row r="3833" spans="2:17" ht="13" x14ac:dyDescent="0.15">
      <c r="B3833" s="78"/>
      <c r="C3833" s="78"/>
      <c r="D3833" s="78"/>
      <c r="E3833" s="78"/>
      <c r="F3833" s="78"/>
      <c r="G3833" s="78"/>
      <c r="H3833" s="78"/>
      <c r="I3833" s="78"/>
      <c r="J3833" s="78"/>
      <c r="K3833" s="78"/>
      <c r="L3833" s="78"/>
      <c r="M3833" s="78"/>
      <c r="N3833" s="78"/>
      <c r="O3833" s="78"/>
      <c r="P3833" s="78"/>
      <c r="Q3833" s="55"/>
    </row>
    <row r="3834" spans="2:17" ht="13" x14ac:dyDescent="0.15">
      <c r="B3834" s="78"/>
      <c r="C3834" s="78"/>
      <c r="D3834" s="78"/>
      <c r="E3834" s="78"/>
      <c r="F3834" s="78"/>
      <c r="G3834" s="78"/>
      <c r="H3834" s="78"/>
      <c r="I3834" s="78"/>
      <c r="J3834" s="78"/>
      <c r="K3834" s="78"/>
      <c r="L3834" s="78"/>
      <c r="M3834" s="78"/>
      <c r="N3834" s="78"/>
      <c r="O3834" s="78"/>
      <c r="P3834" s="78"/>
      <c r="Q3834" s="55"/>
    </row>
    <row r="3835" spans="2:17" ht="13" x14ac:dyDescent="0.15">
      <c r="B3835" s="78"/>
      <c r="C3835" s="78"/>
      <c r="D3835" s="78"/>
      <c r="E3835" s="78"/>
      <c r="F3835" s="78"/>
      <c r="G3835" s="78"/>
      <c r="H3835" s="78"/>
      <c r="I3835" s="78"/>
      <c r="J3835" s="78"/>
      <c r="K3835" s="78"/>
      <c r="L3835" s="78"/>
      <c r="M3835" s="78"/>
      <c r="N3835" s="78"/>
      <c r="O3835" s="78"/>
      <c r="P3835" s="78"/>
      <c r="Q3835" s="55"/>
    </row>
    <row r="3836" spans="2:17" ht="13" x14ac:dyDescent="0.15">
      <c r="B3836" s="78"/>
      <c r="C3836" s="78"/>
      <c r="D3836" s="78"/>
      <c r="E3836" s="78"/>
      <c r="F3836" s="78"/>
      <c r="G3836" s="78"/>
      <c r="H3836" s="78"/>
      <c r="I3836" s="78"/>
      <c r="J3836" s="78"/>
      <c r="K3836" s="78"/>
      <c r="L3836" s="78"/>
      <c r="M3836" s="78"/>
      <c r="N3836" s="78"/>
      <c r="O3836" s="78"/>
      <c r="P3836" s="78"/>
      <c r="Q3836" s="55"/>
    </row>
    <row r="3837" spans="2:17" ht="13" x14ac:dyDescent="0.15">
      <c r="B3837" s="78"/>
      <c r="C3837" s="78"/>
      <c r="D3837" s="78"/>
      <c r="E3837" s="78"/>
      <c r="F3837" s="78"/>
      <c r="G3837" s="78"/>
      <c r="H3837" s="78"/>
      <c r="I3837" s="78"/>
      <c r="J3837" s="78"/>
      <c r="K3837" s="78"/>
      <c r="L3837" s="78"/>
      <c r="M3837" s="78"/>
      <c r="N3837" s="78"/>
      <c r="O3837" s="78"/>
      <c r="P3837" s="78"/>
      <c r="Q3837" s="55"/>
    </row>
    <row r="3838" spans="2:17" ht="13" x14ac:dyDescent="0.15">
      <c r="B3838" s="78"/>
      <c r="C3838" s="78"/>
      <c r="D3838" s="78"/>
      <c r="E3838" s="78"/>
      <c r="F3838" s="78"/>
      <c r="G3838" s="78"/>
      <c r="H3838" s="78"/>
      <c r="I3838" s="78"/>
      <c r="J3838" s="78"/>
      <c r="K3838" s="78"/>
      <c r="L3838" s="78"/>
      <c r="M3838" s="78"/>
      <c r="N3838" s="78"/>
      <c r="O3838" s="78"/>
      <c r="P3838" s="78"/>
      <c r="Q3838" s="55"/>
    </row>
    <row r="3839" spans="2:17" ht="13" x14ac:dyDescent="0.15">
      <c r="B3839" s="78"/>
      <c r="C3839" s="78"/>
      <c r="D3839" s="78"/>
      <c r="E3839" s="78"/>
      <c r="F3839" s="78"/>
      <c r="G3839" s="78"/>
      <c r="H3839" s="78"/>
      <c r="I3839" s="78"/>
      <c r="J3839" s="78"/>
      <c r="K3839" s="78"/>
      <c r="L3839" s="78"/>
      <c r="M3839" s="78"/>
      <c r="N3839" s="78"/>
      <c r="O3839" s="78"/>
      <c r="P3839" s="78"/>
      <c r="Q3839" s="55"/>
    </row>
    <row r="3840" spans="2:17" ht="13" x14ac:dyDescent="0.15">
      <c r="B3840" s="78"/>
      <c r="C3840" s="78"/>
      <c r="D3840" s="78"/>
      <c r="E3840" s="78"/>
      <c r="F3840" s="78"/>
      <c r="G3840" s="78"/>
      <c r="H3840" s="78"/>
      <c r="I3840" s="78"/>
      <c r="J3840" s="78"/>
      <c r="K3840" s="78"/>
      <c r="L3840" s="78"/>
      <c r="M3840" s="78"/>
      <c r="N3840" s="78"/>
      <c r="O3840" s="78"/>
      <c r="P3840" s="78"/>
      <c r="Q3840" s="55"/>
    </row>
    <row r="3841" spans="2:17" ht="13" x14ac:dyDescent="0.15">
      <c r="B3841" s="78"/>
      <c r="C3841" s="78"/>
      <c r="D3841" s="78"/>
      <c r="E3841" s="78"/>
      <c r="F3841" s="78"/>
      <c r="G3841" s="78"/>
      <c r="H3841" s="78"/>
      <c r="I3841" s="78"/>
      <c r="J3841" s="78"/>
      <c r="K3841" s="78"/>
      <c r="L3841" s="78"/>
      <c r="M3841" s="78"/>
      <c r="N3841" s="78"/>
      <c r="O3841" s="78"/>
      <c r="P3841" s="78"/>
      <c r="Q3841" s="55"/>
    </row>
    <row r="3842" spans="2:17" ht="13" x14ac:dyDescent="0.15">
      <c r="B3842" s="78"/>
      <c r="C3842" s="78"/>
      <c r="D3842" s="78"/>
      <c r="E3842" s="78"/>
      <c r="F3842" s="78"/>
      <c r="G3842" s="78"/>
      <c r="H3842" s="78"/>
      <c r="I3842" s="78"/>
      <c r="J3842" s="78"/>
      <c r="K3842" s="78"/>
      <c r="L3842" s="78"/>
      <c r="M3842" s="78"/>
      <c r="N3842" s="78"/>
      <c r="O3842" s="78"/>
      <c r="P3842" s="78"/>
      <c r="Q3842" s="55"/>
    </row>
    <row r="3843" spans="2:17" ht="13" x14ac:dyDescent="0.15">
      <c r="B3843" s="78"/>
      <c r="C3843" s="78"/>
      <c r="D3843" s="78"/>
      <c r="E3843" s="78"/>
      <c r="F3843" s="78"/>
      <c r="G3843" s="78"/>
      <c r="H3843" s="78"/>
      <c r="I3843" s="78"/>
      <c r="J3843" s="78"/>
      <c r="K3843" s="78"/>
      <c r="L3843" s="78"/>
      <c r="M3843" s="78"/>
      <c r="N3843" s="78"/>
      <c r="O3843" s="78"/>
      <c r="P3843" s="78"/>
      <c r="Q3843" s="55"/>
    </row>
    <row r="3844" spans="2:17" ht="13" x14ac:dyDescent="0.15">
      <c r="B3844" s="78"/>
      <c r="C3844" s="78"/>
      <c r="D3844" s="78"/>
      <c r="E3844" s="78"/>
      <c r="F3844" s="78"/>
      <c r="G3844" s="78"/>
      <c r="H3844" s="78"/>
      <c r="I3844" s="78"/>
      <c r="J3844" s="78"/>
      <c r="K3844" s="78"/>
      <c r="L3844" s="78"/>
      <c r="M3844" s="78"/>
      <c r="N3844" s="78"/>
      <c r="O3844" s="78"/>
      <c r="P3844" s="78"/>
      <c r="Q3844" s="55"/>
    </row>
    <row r="3845" spans="2:17" ht="13" x14ac:dyDescent="0.15">
      <c r="B3845" s="78"/>
      <c r="C3845" s="78"/>
      <c r="D3845" s="78"/>
      <c r="E3845" s="78"/>
      <c r="F3845" s="78"/>
      <c r="G3845" s="78"/>
      <c r="H3845" s="78"/>
      <c r="I3845" s="78"/>
      <c r="J3845" s="78"/>
      <c r="K3845" s="78"/>
      <c r="L3845" s="78"/>
      <c r="M3845" s="78"/>
      <c r="N3845" s="78"/>
      <c r="O3845" s="78"/>
      <c r="P3845" s="78"/>
      <c r="Q3845" s="55"/>
    </row>
    <row r="3846" spans="2:17" ht="13" x14ac:dyDescent="0.15">
      <c r="B3846" s="78"/>
      <c r="C3846" s="78"/>
      <c r="D3846" s="78"/>
      <c r="E3846" s="78"/>
      <c r="F3846" s="78"/>
      <c r="G3846" s="78"/>
      <c r="H3846" s="78"/>
      <c r="I3846" s="78"/>
      <c r="J3846" s="78"/>
      <c r="K3846" s="78"/>
      <c r="L3846" s="78"/>
      <c r="M3846" s="78"/>
      <c r="N3846" s="78"/>
      <c r="O3846" s="78"/>
      <c r="P3846" s="78"/>
      <c r="Q3846" s="55"/>
    </row>
    <row r="3847" spans="2:17" ht="13" x14ac:dyDescent="0.15">
      <c r="B3847" s="78"/>
      <c r="C3847" s="78"/>
      <c r="D3847" s="78"/>
      <c r="E3847" s="78"/>
      <c r="F3847" s="78"/>
      <c r="G3847" s="78"/>
      <c r="H3847" s="78"/>
      <c r="I3847" s="78"/>
      <c r="J3847" s="78"/>
      <c r="K3847" s="78"/>
      <c r="L3847" s="78"/>
      <c r="M3847" s="78"/>
      <c r="N3847" s="78"/>
      <c r="O3847" s="78"/>
      <c r="P3847" s="78"/>
      <c r="Q3847" s="55"/>
    </row>
    <row r="3848" spans="2:17" ht="13" x14ac:dyDescent="0.15">
      <c r="B3848" s="78"/>
      <c r="C3848" s="78"/>
      <c r="D3848" s="78"/>
      <c r="E3848" s="78"/>
      <c r="F3848" s="78"/>
      <c r="G3848" s="78"/>
      <c r="H3848" s="78"/>
      <c r="I3848" s="78"/>
      <c r="J3848" s="78"/>
      <c r="K3848" s="78"/>
      <c r="L3848" s="78"/>
      <c r="M3848" s="78"/>
      <c r="N3848" s="78"/>
      <c r="O3848" s="78"/>
      <c r="P3848" s="78"/>
      <c r="Q3848" s="55"/>
    </row>
    <row r="3849" spans="2:17" ht="13" x14ac:dyDescent="0.15">
      <c r="B3849" s="78"/>
      <c r="C3849" s="78"/>
      <c r="D3849" s="78"/>
      <c r="E3849" s="78"/>
      <c r="F3849" s="78"/>
      <c r="G3849" s="78"/>
      <c r="H3849" s="78"/>
      <c r="I3849" s="78"/>
      <c r="J3849" s="78"/>
      <c r="K3849" s="78"/>
      <c r="L3849" s="78"/>
      <c r="M3849" s="78"/>
      <c r="N3849" s="78"/>
      <c r="O3849" s="78"/>
      <c r="P3849" s="78"/>
      <c r="Q3849" s="55"/>
    </row>
    <row r="3850" spans="2:17" ht="13" x14ac:dyDescent="0.15">
      <c r="B3850" s="78"/>
      <c r="C3850" s="78"/>
      <c r="D3850" s="78"/>
      <c r="E3850" s="78"/>
      <c r="F3850" s="78"/>
      <c r="G3850" s="78"/>
      <c r="H3850" s="78"/>
      <c r="I3850" s="78"/>
      <c r="J3850" s="78"/>
      <c r="K3850" s="78"/>
      <c r="L3850" s="78"/>
      <c r="M3850" s="78"/>
      <c r="N3850" s="78"/>
      <c r="O3850" s="78"/>
      <c r="P3850" s="78"/>
      <c r="Q3850" s="55"/>
    </row>
    <row r="3851" spans="2:17" ht="13" x14ac:dyDescent="0.15">
      <c r="B3851" s="78"/>
      <c r="C3851" s="78"/>
      <c r="D3851" s="78"/>
      <c r="E3851" s="78"/>
      <c r="F3851" s="78"/>
      <c r="G3851" s="78"/>
      <c r="H3851" s="78"/>
      <c r="I3851" s="78"/>
      <c r="J3851" s="78"/>
      <c r="K3851" s="78"/>
      <c r="L3851" s="78"/>
      <c r="M3851" s="78"/>
      <c r="N3851" s="78"/>
      <c r="O3851" s="78"/>
      <c r="P3851" s="78"/>
      <c r="Q3851" s="55"/>
    </row>
    <row r="3852" spans="2:17" ht="13" x14ac:dyDescent="0.15">
      <c r="B3852" s="78"/>
      <c r="C3852" s="78"/>
      <c r="D3852" s="78"/>
      <c r="E3852" s="78"/>
      <c r="F3852" s="78"/>
      <c r="G3852" s="78"/>
      <c r="H3852" s="78"/>
      <c r="I3852" s="78"/>
      <c r="J3852" s="78"/>
      <c r="K3852" s="78"/>
      <c r="L3852" s="78"/>
      <c r="M3852" s="78"/>
      <c r="N3852" s="78"/>
      <c r="O3852" s="78"/>
      <c r="P3852" s="78"/>
      <c r="Q3852" s="55"/>
    </row>
    <row r="3853" spans="2:17" ht="13" x14ac:dyDescent="0.15">
      <c r="B3853" s="78"/>
      <c r="C3853" s="78"/>
      <c r="D3853" s="78"/>
      <c r="E3853" s="78"/>
      <c r="F3853" s="78"/>
      <c r="G3853" s="78"/>
      <c r="H3853" s="78"/>
      <c r="I3853" s="78"/>
      <c r="J3853" s="78"/>
      <c r="K3853" s="78"/>
      <c r="L3853" s="78"/>
      <c r="M3853" s="78"/>
      <c r="N3853" s="78"/>
      <c r="O3853" s="78"/>
      <c r="P3853" s="78"/>
      <c r="Q3853" s="55"/>
    </row>
    <row r="3854" spans="2:17" ht="13" x14ac:dyDescent="0.15">
      <c r="B3854" s="78"/>
      <c r="C3854" s="78"/>
      <c r="D3854" s="78"/>
      <c r="E3854" s="78"/>
      <c r="F3854" s="78"/>
      <c r="G3854" s="78"/>
      <c r="H3854" s="78"/>
      <c r="I3854" s="78"/>
      <c r="J3854" s="78"/>
      <c r="K3854" s="78"/>
      <c r="L3854" s="78"/>
      <c r="M3854" s="78"/>
      <c r="N3854" s="78"/>
      <c r="O3854" s="78"/>
      <c r="P3854" s="78"/>
      <c r="Q3854" s="55"/>
    </row>
    <row r="3855" spans="2:17" ht="13" x14ac:dyDescent="0.15">
      <c r="B3855" s="78"/>
      <c r="C3855" s="78"/>
      <c r="D3855" s="78"/>
      <c r="E3855" s="78"/>
      <c r="F3855" s="78"/>
      <c r="G3855" s="78"/>
      <c r="H3855" s="78"/>
      <c r="I3855" s="78"/>
      <c r="J3855" s="78"/>
      <c r="K3855" s="78"/>
      <c r="L3855" s="78"/>
      <c r="M3855" s="78"/>
      <c r="N3855" s="78"/>
      <c r="O3855" s="78"/>
      <c r="P3855" s="78"/>
      <c r="Q3855" s="55"/>
    </row>
    <row r="3856" spans="2:17" ht="13" x14ac:dyDescent="0.15">
      <c r="B3856" s="78"/>
      <c r="C3856" s="78"/>
      <c r="D3856" s="78"/>
      <c r="E3856" s="78"/>
      <c r="F3856" s="78"/>
      <c r="G3856" s="78"/>
      <c r="H3856" s="78"/>
      <c r="I3856" s="78"/>
      <c r="J3856" s="78"/>
      <c r="K3856" s="78"/>
      <c r="L3856" s="78"/>
      <c r="M3856" s="78"/>
      <c r="N3856" s="78"/>
      <c r="O3856" s="78"/>
      <c r="P3856" s="78"/>
      <c r="Q3856" s="55"/>
    </row>
    <row r="3857" spans="2:17" ht="13" x14ac:dyDescent="0.15">
      <c r="B3857" s="78"/>
      <c r="C3857" s="78"/>
      <c r="D3857" s="78"/>
      <c r="E3857" s="78"/>
      <c r="F3857" s="78"/>
      <c r="G3857" s="78"/>
      <c r="H3857" s="78"/>
      <c r="I3857" s="78"/>
      <c r="J3857" s="78"/>
      <c r="K3857" s="78"/>
      <c r="L3857" s="78"/>
      <c r="M3857" s="78"/>
      <c r="N3857" s="78"/>
      <c r="O3857" s="78"/>
      <c r="P3857" s="78"/>
      <c r="Q3857" s="55"/>
    </row>
    <row r="3858" spans="2:17" ht="13" x14ac:dyDescent="0.15">
      <c r="B3858" s="78"/>
      <c r="C3858" s="78"/>
      <c r="D3858" s="78"/>
      <c r="E3858" s="78"/>
      <c r="F3858" s="78"/>
      <c r="G3858" s="78"/>
      <c r="H3858" s="78"/>
      <c r="I3858" s="78"/>
      <c r="J3858" s="78"/>
      <c r="K3858" s="78"/>
      <c r="L3858" s="78"/>
      <c r="M3858" s="78"/>
      <c r="N3858" s="78"/>
      <c r="O3858" s="78"/>
      <c r="P3858" s="78"/>
      <c r="Q3858" s="55"/>
    </row>
    <row r="3859" spans="2:17" ht="13" x14ac:dyDescent="0.15">
      <c r="B3859" s="78"/>
      <c r="C3859" s="78"/>
      <c r="D3859" s="78"/>
      <c r="E3859" s="78"/>
      <c r="F3859" s="78"/>
      <c r="G3859" s="78"/>
      <c r="H3859" s="78"/>
      <c r="I3859" s="78"/>
      <c r="J3859" s="78"/>
      <c r="K3859" s="78"/>
      <c r="L3859" s="78"/>
      <c r="M3859" s="78"/>
      <c r="N3859" s="78"/>
      <c r="O3859" s="78"/>
      <c r="P3859" s="78"/>
      <c r="Q3859" s="55"/>
    </row>
    <row r="3860" spans="2:17" ht="13" x14ac:dyDescent="0.15">
      <c r="B3860" s="78"/>
      <c r="C3860" s="78"/>
      <c r="D3860" s="78"/>
      <c r="E3860" s="78"/>
      <c r="F3860" s="78"/>
      <c r="G3860" s="78"/>
      <c r="H3860" s="78"/>
      <c r="I3860" s="78"/>
      <c r="J3860" s="78"/>
      <c r="K3860" s="78"/>
      <c r="L3860" s="78"/>
      <c r="M3860" s="78"/>
      <c r="N3860" s="78"/>
      <c r="O3860" s="78"/>
      <c r="P3860" s="78"/>
      <c r="Q3860" s="55"/>
    </row>
    <row r="3861" spans="2:17" ht="13" x14ac:dyDescent="0.15">
      <c r="B3861" s="78"/>
      <c r="C3861" s="78"/>
      <c r="D3861" s="78"/>
      <c r="E3861" s="78"/>
      <c r="F3861" s="78"/>
      <c r="G3861" s="78"/>
      <c r="H3861" s="78"/>
      <c r="I3861" s="78"/>
      <c r="J3861" s="78"/>
      <c r="K3861" s="78"/>
      <c r="L3861" s="78"/>
      <c r="M3861" s="78"/>
      <c r="N3861" s="78"/>
      <c r="O3861" s="78"/>
      <c r="P3861" s="78"/>
      <c r="Q3861" s="55"/>
    </row>
    <row r="3862" spans="2:17" ht="13" x14ac:dyDescent="0.15">
      <c r="B3862" s="78"/>
      <c r="C3862" s="78"/>
      <c r="D3862" s="78"/>
      <c r="E3862" s="78"/>
      <c r="F3862" s="78"/>
      <c r="G3862" s="78"/>
      <c r="H3862" s="78"/>
      <c r="I3862" s="78"/>
      <c r="J3862" s="78"/>
      <c r="K3862" s="78"/>
      <c r="L3862" s="78"/>
      <c r="M3862" s="78"/>
      <c r="N3862" s="78"/>
      <c r="O3862" s="78"/>
      <c r="P3862" s="78"/>
      <c r="Q3862" s="55"/>
    </row>
    <row r="3863" spans="2:17" ht="13" x14ac:dyDescent="0.15">
      <c r="B3863" s="78"/>
      <c r="C3863" s="78"/>
      <c r="D3863" s="78"/>
      <c r="E3863" s="78"/>
      <c r="F3863" s="78"/>
      <c r="G3863" s="78"/>
      <c r="H3863" s="78"/>
      <c r="I3863" s="78"/>
      <c r="J3863" s="78"/>
      <c r="K3863" s="78"/>
      <c r="L3863" s="78"/>
      <c r="M3863" s="78"/>
      <c r="N3863" s="78"/>
      <c r="O3863" s="78"/>
      <c r="P3863" s="78"/>
      <c r="Q3863" s="55"/>
    </row>
    <row r="3864" spans="2:17" ht="13" x14ac:dyDescent="0.15">
      <c r="B3864" s="78"/>
      <c r="C3864" s="78"/>
      <c r="D3864" s="78"/>
      <c r="E3864" s="78"/>
      <c r="F3864" s="78"/>
      <c r="G3864" s="78"/>
      <c r="H3864" s="78"/>
      <c r="I3864" s="78"/>
      <c r="J3864" s="78"/>
      <c r="K3864" s="78"/>
      <c r="L3864" s="78"/>
      <c r="M3864" s="78"/>
      <c r="N3864" s="78"/>
      <c r="O3864" s="78"/>
      <c r="P3864" s="78"/>
      <c r="Q3864" s="55"/>
    </row>
    <row r="3865" spans="2:17" ht="13" x14ac:dyDescent="0.15">
      <c r="B3865" s="78"/>
      <c r="C3865" s="78"/>
      <c r="D3865" s="78"/>
      <c r="E3865" s="78"/>
      <c r="F3865" s="78"/>
      <c r="G3865" s="78"/>
      <c r="H3865" s="78"/>
      <c r="I3865" s="78"/>
      <c r="J3865" s="78"/>
      <c r="K3865" s="78"/>
      <c r="L3865" s="78"/>
      <c r="M3865" s="78"/>
      <c r="N3865" s="78"/>
      <c r="O3865" s="78"/>
      <c r="P3865" s="78"/>
      <c r="Q3865" s="55"/>
    </row>
    <row r="3866" spans="2:17" ht="13" x14ac:dyDescent="0.15">
      <c r="B3866" s="78"/>
      <c r="C3866" s="78"/>
      <c r="D3866" s="78"/>
      <c r="E3866" s="78"/>
      <c r="F3866" s="78"/>
      <c r="G3866" s="78"/>
      <c r="H3866" s="78"/>
      <c r="I3866" s="78"/>
      <c r="J3866" s="78"/>
      <c r="K3866" s="78"/>
      <c r="L3866" s="78"/>
      <c r="M3866" s="78"/>
      <c r="N3866" s="78"/>
      <c r="O3866" s="78"/>
      <c r="P3866" s="78"/>
      <c r="Q3866" s="55"/>
    </row>
    <row r="3867" spans="2:17" ht="13" x14ac:dyDescent="0.15">
      <c r="B3867" s="78"/>
      <c r="C3867" s="78"/>
      <c r="D3867" s="78"/>
      <c r="E3867" s="78"/>
      <c r="F3867" s="78"/>
      <c r="G3867" s="78"/>
      <c r="H3867" s="78"/>
      <c r="I3867" s="78"/>
      <c r="J3867" s="78"/>
      <c r="K3867" s="78"/>
      <c r="L3867" s="78"/>
      <c r="M3867" s="78"/>
      <c r="N3867" s="78"/>
      <c r="O3867" s="78"/>
      <c r="P3867" s="78"/>
      <c r="Q3867" s="55"/>
    </row>
    <row r="3868" spans="2:17" ht="13" x14ac:dyDescent="0.15">
      <c r="B3868" s="78"/>
      <c r="C3868" s="78"/>
      <c r="D3868" s="78"/>
      <c r="E3868" s="78"/>
      <c r="F3868" s="78"/>
      <c r="G3868" s="78"/>
      <c r="H3868" s="78"/>
      <c r="I3868" s="78"/>
      <c r="J3868" s="78"/>
      <c r="K3868" s="78"/>
      <c r="L3868" s="78"/>
      <c r="M3868" s="78"/>
      <c r="N3868" s="78"/>
      <c r="O3868" s="78"/>
      <c r="P3868" s="78"/>
      <c r="Q3868" s="55"/>
    </row>
    <row r="3869" spans="2:17" ht="13" x14ac:dyDescent="0.15">
      <c r="B3869" s="78"/>
      <c r="C3869" s="78"/>
      <c r="D3869" s="78"/>
      <c r="E3869" s="78"/>
      <c r="F3869" s="78"/>
      <c r="G3869" s="78"/>
      <c r="H3869" s="78"/>
      <c r="I3869" s="78"/>
      <c r="J3869" s="78"/>
      <c r="K3869" s="78"/>
      <c r="L3869" s="78"/>
      <c r="M3869" s="78"/>
      <c r="N3869" s="78"/>
      <c r="O3869" s="78"/>
      <c r="P3869" s="78"/>
      <c r="Q3869" s="55"/>
    </row>
    <row r="3870" spans="2:17" ht="13" x14ac:dyDescent="0.15">
      <c r="B3870" s="78"/>
      <c r="C3870" s="78"/>
      <c r="D3870" s="78"/>
      <c r="E3870" s="78"/>
      <c r="F3870" s="78"/>
      <c r="G3870" s="78"/>
      <c r="H3870" s="78"/>
      <c r="I3870" s="78"/>
      <c r="J3870" s="78"/>
      <c r="K3870" s="78"/>
      <c r="L3870" s="78"/>
      <c r="M3870" s="78"/>
      <c r="N3870" s="78"/>
      <c r="O3870" s="78"/>
      <c r="P3870" s="78"/>
      <c r="Q3870" s="55"/>
    </row>
    <row r="3871" spans="2:17" ht="13" x14ac:dyDescent="0.15">
      <c r="B3871" s="78"/>
      <c r="C3871" s="78"/>
      <c r="D3871" s="78"/>
      <c r="E3871" s="78"/>
      <c r="F3871" s="78"/>
      <c r="G3871" s="78"/>
      <c r="H3871" s="78"/>
      <c r="I3871" s="78"/>
      <c r="J3871" s="78"/>
      <c r="K3871" s="78"/>
      <c r="L3871" s="78"/>
      <c r="M3871" s="78"/>
      <c r="N3871" s="78"/>
      <c r="O3871" s="78"/>
      <c r="P3871" s="78"/>
      <c r="Q3871" s="55"/>
    </row>
    <row r="3872" spans="2:17" ht="13" x14ac:dyDescent="0.15">
      <c r="B3872" s="78"/>
      <c r="C3872" s="78"/>
      <c r="D3872" s="78"/>
      <c r="E3872" s="78"/>
      <c r="F3872" s="78"/>
      <c r="G3872" s="78"/>
      <c r="H3872" s="78"/>
      <c r="I3872" s="78"/>
      <c r="J3872" s="78"/>
      <c r="K3872" s="78"/>
      <c r="L3872" s="78"/>
      <c r="M3872" s="78"/>
      <c r="N3872" s="78"/>
      <c r="O3872" s="78"/>
      <c r="P3872" s="78"/>
      <c r="Q3872" s="55"/>
    </row>
    <row r="3873" spans="2:17" ht="13" x14ac:dyDescent="0.15">
      <c r="B3873" s="78"/>
      <c r="C3873" s="78"/>
      <c r="D3873" s="78"/>
      <c r="E3873" s="78"/>
      <c r="F3873" s="78"/>
      <c r="G3873" s="78"/>
      <c r="H3873" s="78"/>
      <c r="I3873" s="78"/>
      <c r="J3873" s="78"/>
      <c r="K3873" s="78"/>
      <c r="L3873" s="78"/>
      <c r="M3873" s="78"/>
      <c r="N3873" s="78"/>
      <c r="O3873" s="78"/>
      <c r="P3873" s="78"/>
      <c r="Q3873" s="55"/>
    </row>
    <row r="3874" spans="2:17" ht="13" x14ac:dyDescent="0.15">
      <c r="B3874" s="78"/>
      <c r="C3874" s="78"/>
      <c r="D3874" s="78"/>
      <c r="E3874" s="78"/>
      <c r="F3874" s="78"/>
      <c r="G3874" s="78"/>
      <c r="H3874" s="78"/>
      <c r="I3874" s="78"/>
      <c r="J3874" s="78"/>
      <c r="K3874" s="78"/>
      <c r="L3874" s="78"/>
      <c r="M3874" s="78"/>
      <c r="N3874" s="78"/>
      <c r="O3874" s="78"/>
      <c r="P3874" s="78"/>
      <c r="Q3874" s="55"/>
    </row>
    <row r="3875" spans="2:17" ht="13" x14ac:dyDescent="0.15">
      <c r="B3875" s="78"/>
      <c r="C3875" s="78"/>
      <c r="D3875" s="78"/>
      <c r="E3875" s="78"/>
      <c r="F3875" s="78"/>
      <c r="G3875" s="78"/>
      <c r="H3875" s="78"/>
      <c r="I3875" s="78"/>
      <c r="J3875" s="78"/>
      <c r="K3875" s="78"/>
      <c r="L3875" s="78"/>
      <c r="M3875" s="78"/>
      <c r="N3875" s="78"/>
      <c r="O3875" s="78"/>
      <c r="P3875" s="78"/>
      <c r="Q3875" s="55"/>
    </row>
    <row r="3876" spans="2:17" ht="13" x14ac:dyDescent="0.15">
      <c r="B3876" s="78"/>
      <c r="C3876" s="78"/>
      <c r="D3876" s="78"/>
      <c r="E3876" s="78"/>
      <c r="F3876" s="78"/>
      <c r="G3876" s="78"/>
      <c r="H3876" s="78"/>
      <c r="I3876" s="78"/>
      <c r="J3876" s="78"/>
      <c r="K3876" s="78"/>
      <c r="L3876" s="78"/>
      <c r="M3876" s="78"/>
      <c r="N3876" s="78"/>
      <c r="O3876" s="78"/>
      <c r="P3876" s="78"/>
      <c r="Q3876" s="55"/>
    </row>
    <row r="3877" spans="2:17" ht="13" x14ac:dyDescent="0.15">
      <c r="B3877" s="78"/>
      <c r="C3877" s="78"/>
      <c r="D3877" s="78"/>
      <c r="E3877" s="78"/>
      <c r="F3877" s="78"/>
      <c r="G3877" s="78"/>
      <c r="H3877" s="78"/>
      <c r="I3877" s="78"/>
      <c r="J3877" s="78"/>
      <c r="K3877" s="78"/>
      <c r="L3877" s="78"/>
      <c r="M3877" s="78"/>
      <c r="N3877" s="78"/>
      <c r="O3877" s="78"/>
      <c r="P3877" s="78"/>
      <c r="Q3877" s="55"/>
    </row>
    <row r="3878" spans="2:17" ht="13" x14ac:dyDescent="0.15">
      <c r="B3878" s="78"/>
      <c r="C3878" s="78"/>
      <c r="D3878" s="78"/>
      <c r="E3878" s="78"/>
      <c r="F3878" s="78"/>
      <c r="G3878" s="78"/>
      <c r="H3878" s="78"/>
      <c r="I3878" s="78"/>
      <c r="J3878" s="78"/>
      <c r="K3878" s="78"/>
      <c r="L3878" s="78"/>
      <c r="M3878" s="78"/>
      <c r="N3878" s="78"/>
      <c r="O3878" s="78"/>
      <c r="P3878" s="78"/>
      <c r="Q3878" s="55"/>
    </row>
    <row r="3879" spans="2:17" ht="13" x14ac:dyDescent="0.15">
      <c r="B3879" s="78"/>
      <c r="C3879" s="78"/>
      <c r="D3879" s="78"/>
      <c r="E3879" s="78"/>
      <c r="F3879" s="78"/>
      <c r="G3879" s="78"/>
      <c r="H3879" s="78"/>
      <c r="I3879" s="78"/>
      <c r="J3879" s="78"/>
      <c r="K3879" s="78"/>
      <c r="L3879" s="78"/>
      <c r="M3879" s="78"/>
      <c r="N3879" s="78"/>
      <c r="O3879" s="78"/>
      <c r="P3879" s="78"/>
      <c r="Q3879" s="55"/>
    </row>
    <row r="3880" spans="2:17" ht="13" x14ac:dyDescent="0.15">
      <c r="B3880" s="78"/>
      <c r="C3880" s="78"/>
      <c r="D3880" s="78"/>
      <c r="E3880" s="78"/>
      <c r="F3880" s="78"/>
      <c r="G3880" s="78"/>
      <c r="H3880" s="78"/>
      <c r="I3880" s="78"/>
      <c r="J3880" s="78"/>
      <c r="K3880" s="78"/>
      <c r="L3880" s="78"/>
      <c r="M3880" s="78"/>
      <c r="N3880" s="78"/>
      <c r="O3880" s="78"/>
      <c r="P3880" s="78"/>
      <c r="Q3880" s="55"/>
    </row>
    <row r="3881" spans="2:17" ht="13" x14ac:dyDescent="0.15">
      <c r="B3881" s="78"/>
      <c r="C3881" s="78"/>
      <c r="D3881" s="78"/>
      <c r="E3881" s="78"/>
      <c r="F3881" s="78"/>
      <c r="G3881" s="78"/>
      <c r="H3881" s="78"/>
      <c r="I3881" s="78"/>
      <c r="J3881" s="78"/>
      <c r="K3881" s="78"/>
      <c r="L3881" s="78"/>
      <c r="M3881" s="78"/>
      <c r="N3881" s="78"/>
      <c r="O3881" s="78"/>
      <c r="P3881" s="78"/>
      <c r="Q3881" s="55"/>
    </row>
    <row r="3882" spans="2:17" ht="13" x14ac:dyDescent="0.15">
      <c r="B3882" s="78"/>
      <c r="C3882" s="78"/>
      <c r="D3882" s="78"/>
      <c r="E3882" s="78"/>
      <c r="F3882" s="78"/>
      <c r="G3882" s="78"/>
      <c r="H3882" s="78"/>
      <c r="I3882" s="78"/>
      <c r="J3882" s="78"/>
      <c r="K3882" s="78"/>
      <c r="L3882" s="78"/>
      <c r="M3882" s="78"/>
      <c r="N3882" s="78"/>
      <c r="O3882" s="78"/>
      <c r="P3882" s="78"/>
      <c r="Q3882" s="55"/>
    </row>
    <row r="3883" spans="2:17" ht="13" x14ac:dyDescent="0.15">
      <c r="B3883" s="78"/>
      <c r="C3883" s="78"/>
      <c r="D3883" s="78"/>
      <c r="E3883" s="78"/>
      <c r="F3883" s="78"/>
      <c r="G3883" s="78"/>
      <c r="H3883" s="78"/>
      <c r="I3883" s="78"/>
      <c r="J3883" s="78"/>
      <c r="K3883" s="78"/>
      <c r="L3883" s="78"/>
      <c r="M3883" s="78"/>
      <c r="N3883" s="78"/>
      <c r="O3883" s="78"/>
      <c r="P3883" s="78"/>
      <c r="Q3883" s="55"/>
    </row>
    <row r="3884" spans="2:17" ht="13" x14ac:dyDescent="0.15">
      <c r="B3884" s="78"/>
      <c r="C3884" s="78"/>
      <c r="D3884" s="78"/>
      <c r="E3884" s="78"/>
      <c r="F3884" s="78"/>
      <c r="G3884" s="78"/>
      <c r="H3884" s="78"/>
      <c r="I3884" s="78"/>
      <c r="J3884" s="78"/>
      <c r="K3884" s="78"/>
      <c r="L3884" s="78"/>
      <c r="M3884" s="78"/>
      <c r="N3884" s="78"/>
      <c r="O3884" s="78"/>
      <c r="P3884" s="78"/>
      <c r="Q3884" s="55"/>
    </row>
    <row r="3885" spans="2:17" ht="13" x14ac:dyDescent="0.15">
      <c r="B3885" s="78"/>
      <c r="C3885" s="78"/>
      <c r="D3885" s="78"/>
      <c r="E3885" s="78"/>
      <c r="F3885" s="78"/>
      <c r="G3885" s="78"/>
      <c r="H3885" s="78"/>
      <c r="I3885" s="78"/>
      <c r="J3885" s="78"/>
      <c r="K3885" s="78"/>
      <c r="L3885" s="78"/>
      <c r="M3885" s="78"/>
      <c r="N3885" s="78"/>
      <c r="O3885" s="78"/>
      <c r="P3885" s="78"/>
      <c r="Q3885" s="55"/>
    </row>
    <row r="3886" spans="2:17" ht="13" x14ac:dyDescent="0.15">
      <c r="B3886" s="78"/>
      <c r="C3886" s="78"/>
      <c r="D3886" s="78"/>
      <c r="E3886" s="78"/>
      <c r="F3886" s="78"/>
      <c r="G3886" s="78"/>
      <c r="H3886" s="78"/>
      <c r="I3886" s="78"/>
      <c r="J3886" s="78"/>
      <c r="K3886" s="78"/>
      <c r="L3886" s="78"/>
      <c r="M3886" s="78"/>
      <c r="N3886" s="78"/>
      <c r="O3886" s="78"/>
      <c r="P3886" s="78"/>
      <c r="Q3886" s="55"/>
    </row>
    <row r="3887" spans="2:17" ht="13" x14ac:dyDescent="0.15">
      <c r="B3887" s="78"/>
      <c r="C3887" s="78"/>
      <c r="D3887" s="78"/>
      <c r="E3887" s="78"/>
      <c r="F3887" s="78"/>
      <c r="G3887" s="78"/>
      <c r="H3887" s="78"/>
      <c r="I3887" s="78"/>
      <c r="J3887" s="78"/>
      <c r="K3887" s="78"/>
      <c r="L3887" s="78"/>
      <c r="M3887" s="78"/>
      <c r="N3887" s="78"/>
      <c r="O3887" s="78"/>
      <c r="P3887" s="78"/>
      <c r="Q3887" s="55"/>
    </row>
    <row r="3888" spans="2:17" ht="13" x14ac:dyDescent="0.15">
      <c r="B3888" s="78"/>
      <c r="C3888" s="78"/>
      <c r="D3888" s="78"/>
      <c r="E3888" s="78"/>
      <c r="F3888" s="78"/>
      <c r="G3888" s="78"/>
      <c r="H3888" s="78"/>
      <c r="I3888" s="78"/>
      <c r="J3888" s="78"/>
      <c r="K3888" s="78"/>
      <c r="L3888" s="78"/>
      <c r="M3888" s="78"/>
      <c r="N3888" s="78"/>
      <c r="O3888" s="78"/>
      <c r="P3888" s="78"/>
      <c r="Q3888" s="55"/>
    </row>
    <row r="3889" spans="2:17" ht="13" x14ac:dyDescent="0.15">
      <c r="B3889" s="78"/>
      <c r="C3889" s="78"/>
      <c r="D3889" s="78"/>
      <c r="E3889" s="78"/>
      <c r="F3889" s="78"/>
      <c r="G3889" s="78"/>
      <c r="H3889" s="78"/>
      <c r="I3889" s="78"/>
      <c r="J3889" s="78"/>
      <c r="K3889" s="78"/>
      <c r="L3889" s="78"/>
      <c r="M3889" s="78"/>
      <c r="N3889" s="78"/>
      <c r="O3889" s="78"/>
      <c r="P3889" s="78"/>
      <c r="Q3889" s="55"/>
    </row>
    <row r="3890" spans="2:17" ht="13" x14ac:dyDescent="0.15">
      <c r="B3890" s="78"/>
      <c r="C3890" s="78"/>
      <c r="D3890" s="78"/>
      <c r="E3890" s="78"/>
      <c r="F3890" s="78"/>
      <c r="G3890" s="78"/>
      <c r="H3890" s="78"/>
      <c r="I3890" s="78"/>
      <c r="J3890" s="78"/>
      <c r="K3890" s="78"/>
      <c r="L3890" s="78"/>
      <c r="M3890" s="78"/>
      <c r="N3890" s="78"/>
      <c r="O3890" s="78"/>
      <c r="P3890" s="78"/>
      <c r="Q3890" s="55"/>
    </row>
    <row r="3891" spans="2:17" ht="13" x14ac:dyDescent="0.15">
      <c r="B3891" s="78"/>
      <c r="C3891" s="78"/>
      <c r="D3891" s="78"/>
      <c r="E3891" s="78"/>
      <c r="F3891" s="78"/>
      <c r="G3891" s="78"/>
      <c r="H3891" s="78"/>
      <c r="I3891" s="78"/>
      <c r="J3891" s="78"/>
      <c r="K3891" s="78"/>
      <c r="L3891" s="78"/>
      <c r="M3891" s="78"/>
      <c r="N3891" s="78"/>
      <c r="O3891" s="78"/>
      <c r="P3891" s="78"/>
      <c r="Q3891" s="55"/>
    </row>
    <row r="3892" spans="2:17" ht="13" x14ac:dyDescent="0.15">
      <c r="B3892" s="78"/>
      <c r="C3892" s="78"/>
      <c r="D3892" s="78"/>
      <c r="E3892" s="78"/>
      <c r="F3892" s="78"/>
      <c r="G3892" s="78"/>
      <c r="H3892" s="78"/>
      <c r="I3892" s="78"/>
      <c r="J3892" s="78"/>
      <c r="K3892" s="78"/>
      <c r="L3892" s="78"/>
      <c r="M3892" s="78"/>
      <c r="N3892" s="78"/>
      <c r="O3892" s="78"/>
      <c r="P3892" s="78"/>
      <c r="Q3892" s="55"/>
    </row>
    <row r="3893" spans="2:17" ht="13" x14ac:dyDescent="0.15">
      <c r="B3893" s="78"/>
      <c r="C3893" s="78"/>
      <c r="D3893" s="78"/>
      <c r="E3893" s="78"/>
      <c r="F3893" s="78"/>
      <c r="G3893" s="78"/>
      <c r="H3893" s="78"/>
      <c r="I3893" s="78"/>
      <c r="J3893" s="78"/>
      <c r="K3893" s="78"/>
      <c r="L3893" s="78"/>
      <c r="M3893" s="78"/>
      <c r="N3893" s="78"/>
      <c r="O3893" s="78"/>
      <c r="P3893" s="78"/>
      <c r="Q3893" s="55"/>
    </row>
    <row r="3894" spans="2:17" ht="13" x14ac:dyDescent="0.15">
      <c r="B3894" s="78"/>
      <c r="C3894" s="78"/>
      <c r="D3894" s="78"/>
      <c r="E3894" s="78"/>
      <c r="F3894" s="78"/>
      <c r="G3894" s="78"/>
      <c r="H3894" s="78"/>
      <c r="I3894" s="78"/>
      <c r="J3894" s="78"/>
      <c r="K3894" s="78"/>
      <c r="L3894" s="78"/>
      <c r="M3894" s="78"/>
      <c r="N3894" s="78"/>
      <c r="O3894" s="78"/>
      <c r="P3894" s="78"/>
      <c r="Q3894" s="55"/>
    </row>
    <row r="3895" spans="2:17" ht="13" x14ac:dyDescent="0.15">
      <c r="B3895" s="78"/>
      <c r="C3895" s="78"/>
      <c r="D3895" s="78"/>
      <c r="E3895" s="78"/>
      <c r="F3895" s="78"/>
      <c r="G3895" s="78"/>
      <c r="H3895" s="78"/>
      <c r="I3895" s="78"/>
      <c r="J3895" s="78"/>
      <c r="K3895" s="78"/>
      <c r="L3895" s="78"/>
      <c r="M3895" s="78"/>
      <c r="N3895" s="78"/>
      <c r="O3895" s="78"/>
      <c r="P3895" s="78"/>
      <c r="Q3895" s="55"/>
    </row>
    <row r="3896" spans="2:17" ht="13" x14ac:dyDescent="0.15">
      <c r="B3896" s="78"/>
      <c r="C3896" s="78"/>
      <c r="D3896" s="78"/>
      <c r="E3896" s="78"/>
      <c r="F3896" s="78"/>
      <c r="G3896" s="78"/>
      <c r="H3896" s="78"/>
      <c r="I3896" s="78"/>
      <c r="J3896" s="78"/>
      <c r="K3896" s="78"/>
      <c r="L3896" s="78"/>
      <c r="M3896" s="78"/>
      <c r="N3896" s="78"/>
      <c r="O3896" s="78"/>
      <c r="P3896" s="78"/>
      <c r="Q3896" s="55"/>
    </row>
    <row r="3897" spans="2:17" ht="13" x14ac:dyDescent="0.15">
      <c r="B3897" s="78"/>
      <c r="C3897" s="78"/>
      <c r="D3897" s="78"/>
      <c r="E3897" s="78"/>
      <c r="F3897" s="78"/>
      <c r="G3897" s="78"/>
      <c r="H3897" s="78"/>
      <c r="I3897" s="78"/>
      <c r="J3897" s="78"/>
      <c r="K3897" s="78"/>
      <c r="L3897" s="78"/>
      <c r="M3897" s="78"/>
      <c r="N3897" s="78"/>
      <c r="O3897" s="78"/>
      <c r="P3897" s="78"/>
      <c r="Q3897" s="55"/>
    </row>
    <row r="3898" spans="2:17" ht="13" x14ac:dyDescent="0.15">
      <c r="B3898" s="78"/>
      <c r="C3898" s="78"/>
      <c r="D3898" s="78"/>
      <c r="E3898" s="78"/>
      <c r="F3898" s="78"/>
      <c r="G3898" s="78"/>
      <c r="H3898" s="78"/>
      <c r="I3898" s="78"/>
      <c r="J3898" s="78"/>
      <c r="K3898" s="78"/>
      <c r="L3898" s="78"/>
      <c r="M3898" s="78"/>
      <c r="N3898" s="78"/>
      <c r="O3898" s="78"/>
      <c r="P3898" s="78"/>
      <c r="Q3898" s="55"/>
    </row>
    <row r="3899" spans="2:17" ht="13" x14ac:dyDescent="0.15">
      <c r="B3899" s="78"/>
      <c r="C3899" s="78"/>
      <c r="D3899" s="78"/>
      <c r="E3899" s="78"/>
      <c r="F3899" s="78"/>
      <c r="G3899" s="78"/>
      <c r="H3899" s="78"/>
      <c r="I3899" s="78"/>
      <c r="J3899" s="78"/>
      <c r="K3899" s="78"/>
      <c r="L3899" s="78"/>
      <c r="M3899" s="78"/>
      <c r="N3899" s="78"/>
      <c r="O3899" s="78"/>
      <c r="P3899" s="78"/>
      <c r="Q3899" s="55"/>
    </row>
    <row r="3900" spans="2:17" ht="13" x14ac:dyDescent="0.15">
      <c r="B3900" s="78"/>
      <c r="C3900" s="78"/>
      <c r="D3900" s="78"/>
      <c r="E3900" s="78"/>
      <c r="F3900" s="78"/>
      <c r="G3900" s="78"/>
      <c r="H3900" s="78"/>
      <c r="I3900" s="78"/>
      <c r="J3900" s="78"/>
      <c r="K3900" s="78"/>
      <c r="L3900" s="78"/>
      <c r="M3900" s="78"/>
      <c r="N3900" s="78"/>
      <c r="O3900" s="78"/>
      <c r="P3900" s="78"/>
      <c r="Q3900" s="55"/>
    </row>
    <row r="3901" spans="2:17" ht="13" x14ac:dyDescent="0.15">
      <c r="B3901" s="78"/>
      <c r="C3901" s="78"/>
      <c r="D3901" s="78"/>
      <c r="E3901" s="78"/>
      <c r="F3901" s="78"/>
      <c r="G3901" s="78"/>
      <c r="H3901" s="78"/>
      <c r="I3901" s="78"/>
      <c r="J3901" s="78"/>
      <c r="K3901" s="78"/>
      <c r="L3901" s="78"/>
      <c r="M3901" s="78"/>
      <c r="N3901" s="78"/>
      <c r="O3901" s="78"/>
      <c r="P3901" s="78"/>
      <c r="Q3901" s="55"/>
    </row>
    <row r="3902" spans="2:17" ht="13" x14ac:dyDescent="0.15">
      <c r="B3902" s="78"/>
      <c r="C3902" s="78"/>
      <c r="D3902" s="78"/>
      <c r="E3902" s="78"/>
      <c r="F3902" s="78"/>
      <c r="G3902" s="78"/>
      <c r="H3902" s="78"/>
      <c r="I3902" s="78"/>
      <c r="J3902" s="78"/>
      <c r="K3902" s="78"/>
      <c r="L3902" s="78"/>
      <c r="M3902" s="78"/>
      <c r="N3902" s="78"/>
      <c r="O3902" s="78"/>
      <c r="P3902" s="78"/>
      <c r="Q3902" s="55"/>
    </row>
    <row r="3903" spans="2:17" ht="13" x14ac:dyDescent="0.15">
      <c r="B3903" s="78"/>
      <c r="C3903" s="78"/>
      <c r="D3903" s="78"/>
      <c r="E3903" s="78"/>
      <c r="F3903" s="78"/>
      <c r="G3903" s="78"/>
      <c r="H3903" s="78"/>
      <c r="I3903" s="78"/>
      <c r="J3903" s="78"/>
      <c r="K3903" s="78"/>
      <c r="L3903" s="78"/>
      <c r="M3903" s="78"/>
      <c r="N3903" s="78"/>
      <c r="O3903" s="78"/>
      <c r="P3903" s="78"/>
      <c r="Q3903" s="55"/>
    </row>
    <row r="3904" spans="2:17" ht="13" x14ac:dyDescent="0.15">
      <c r="B3904" s="78"/>
      <c r="C3904" s="78"/>
      <c r="D3904" s="78"/>
      <c r="E3904" s="78"/>
      <c r="F3904" s="78"/>
      <c r="G3904" s="78"/>
      <c r="H3904" s="78"/>
      <c r="I3904" s="78"/>
      <c r="J3904" s="78"/>
      <c r="K3904" s="78"/>
      <c r="L3904" s="78"/>
      <c r="M3904" s="78"/>
      <c r="N3904" s="78"/>
      <c r="O3904" s="78"/>
      <c r="P3904" s="78"/>
      <c r="Q3904" s="55"/>
    </row>
    <row r="3905" spans="2:17" ht="13" x14ac:dyDescent="0.15">
      <c r="B3905" s="78"/>
      <c r="C3905" s="78"/>
      <c r="D3905" s="78"/>
      <c r="E3905" s="78"/>
      <c r="F3905" s="78"/>
      <c r="G3905" s="78"/>
      <c r="H3905" s="78"/>
      <c r="I3905" s="78"/>
      <c r="J3905" s="78"/>
      <c r="K3905" s="78"/>
      <c r="L3905" s="78"/>
      <c r="M3905" s="78"/>
      <c r="N3905" s="78"/>
      <c r="O3905" s="78"/>
      <c r="P3905" s="78"/>
      <c r="Q3905" s="55"/>
    </row>
    <row r="3906" spans="2:17" ht="13" x14ac:dyDescent="0.15">
      <c r="B3906" s="78"/>
      <c r="C3906" s="78"/>
      <c r="D3906" s="78"/>
      <c r="E3906" s="78"/>
      <c r="F3906" s="78"/>
      <c r="G3906" s="78"/>
      <c r="H3906" s="78"/>
      <c r="I3906" s="78"/>
      <c r="J3906" s="78"/>
      <c r="K3906" s="78"/>
      <c r="L3906" s="78"/>
      <c r="M3906" s="78"/>
      <c r="N3906" s="78"/>
      <c r="O3906" s="78"/>
      <c r="P3906" s="78"/>
      <c r="Q3906" s="55"/>
    </row>
    <row r="3907" spans="2:17" ht="13" x14ac:dyDescent="0.15">
      <c r="B3907" s="78"/>
      <c r="C3907" s="78"/>
      <c r="D3907" s="78"/>
      <c r="E3907" s="78"/>
      <c r="F3907" s="78"/>
      <c r="G3907" s="78"/>
      <c r="H3907" s="78"/>
      <c r="I3907" s="78"/>
      <c r="J3907" s="78"/>
      <c r="K3907" s="78"/>
      <c r="L3907" s="78"/>
      <c r="M3907" s="78"/>
      <c r="N3907" s="78"/>
      <c r="O3907" s="78"/>
      <c r="P3907" s="78"/>
      <c r="Q3907" s="55"/>
    </row>
    <row r="3908" spans="2:17" ht="13" x14ac:dyDescent="0.15">
      <c r="B3908" s="78"/>
      <c r="C3908" s="78"/>
      <c r="D3908" s="78"/>
      <c r="E3908" s="78"/>
      <c r="F3908" s="78"/>
      <c r="G3908" s="78"/>
      <c r="H3908" s="78"/>
      <c r="I3908" s="78"/>
      <c r="J3908" s="78"/>
      <c r="K3908" s="78"/>
      <c r="L3908" s="78"/>
      <c r="M3908" s="78"/>
      <c r="N3908" s="78"/>
      <c r="O3908" s="78"/>
      <c r="P3908" s="78"/>
      <c r="Q3908" s="55"/>
    </row>
    <row r="3909" spans="2:17" ht="13" x14ac:dyDescent="0.15">
      <c r="B3909" s="78"/>
      <c r="C3909" s="78"/>
      <c r="D3909" s="78"/>
      <c r="E3909" s="78"/>
      <c r="F3909" s="78"/>
      <c r="G3909" s="78"/>
      <c r="H3909" s="78"/>
      <c r="I3909" s="78"/>
      <c r="J3909" s="78"/>
      <c r="K3909" s="78"/>
      <c r="L3909" s="78"/>
      <c r="M3909" s="78"/>
      <c r="N3909" s="78"/>
      <c r="O3909" s="78"/>
      <c r="P3909" s="78"/>
      <c r="Q3909" s="55"/>
    </row>
    <row r="3910" spans="2:17" ht="13" x14ac:dyDescent="0.15">
      <c r="B3910" s="78"/>
      <c r="C3910" s="78"/>
      <c r="D3910" s="78"/>
      <c r="E3910" s="78"/>
      <c r="F3910" s="78"/>
      <c r="G3910" s="78"/>
      <c r="H3910" s="78"/>
      <c r="I3910" s="78"/>
      <c r="J3910" s="78"/>
      <c r="K3910" s="78"/>
      <c r="L3910" s="78"/>
      <c r="M3910" s="78"/>
      <c r="N3910" s="78"/>
      <c r="O3910" s="78"/>
      <c r="P3910" s="78"/>
      <c r="Q3910" s="55"/>
    </row>
    <row r="3911" spans="2:17" ht="13" x14ac:dyDescent="0.15">
      <c r="B3911" s="78"/>
      <c r="C3911" s="78"/>
      <c r="D3911" s="78"/>
      <c r="E3911" s="78"/>
      <c r="F3911" s="78"/>
      <c r="G3911" s="78"/>
      <c r="H3911" s="78"/>
      <c r="I3911" s="78"/>
      <c r="J3911" s="78"/>
      <c r="K3911" s="78"/>
      <c r="L3911" s="78"/>
      <c r="M3911" s="78"/>
      <c r="N3911" s="78"/>
      <c r="O3911" s="78"/>
      <c r="P3911" s="78"/>
      <c r="Q3911" s="55"/>
    </row>
    <row r="3912" spans="2:17" ht="13" x14ac:dyDescent="0.15">
      <c r="B3912" s="78"/>
      <c r="C3912" s="78"/>
      <c r="D3912" s="78"/>
      <c r="E3912" s="78"/>
      <c r="F3912" s="78"/>
      <c r="G3912" s="78"/>
      <c r="H3912" s="78"/>
      <c r="I3912" s="78"/>
      <c r="J3912" s="78"/>
      <c r="K3912" s="78"/>
      <c r="L3912" s="78"/>
      <c r="M3912" s="78"/>
      <c r="N3912" s="78"/>
      <c r="O3912" s="78"/>
      <c r="P3912" s="78"/>
      <c r="Q3912" s="55"/>
    </row>
    <row r="3913" spans="2:17" ht="13" x14ac:dyDescent="0.15">
      <c r="B3913" s="78"/>
      <c r="C3913" s="78"/>
      <c r="D3913" s="78"/>
      <c r="E3913" s="78"/>
      <c r="F3913" s="78"/>
      <c r="G3913" s="78"/>
      <c r="H3913" s="78"/>
      <c r="I3913" s="78"/>
      <c r="J3913" s="78"/>
      <c r="K3913" s="78"/>
      <c r="L3913" s="78"/>
      <c r="M3913" s="78"/>
      <c r="N3913" s="78"/>
      <c r="O3913" s="78"/>
      <c r="P3913" s="78"/>
      <c r="Q3913" s="55"/>
    </row>
    <row r="3914" spans="2:17" ht="13" x14ac:dyDescent="0.15">
      <c r="B3914" s="78"/>
      <c r="C3914" s="78"/>
      <c r="D3914" s="78"/>
      <c r="E3914" s="78"/>
      <c r="F3914" s="78"/>
      <c r="G3914" s="78"/>
      <c r="H3914" s="78"/>
      <c r="I3914" s="78"/>
      <c r="J3914" s="78"/>
      <c r="K3914" s="78"/>
      <c r="L3914" s="78"/>
      <c r="M3914" s="78"/>
      <c r="N3914" s="78"/>
      <c r="O3914" s="78"/>
      <c r="P3914" s="78"/>
      <c r="Q3914" s="55"/>
    </row>
    <row r="3915" spans="2:17" ht="13" x14ac:dyDescent="0.15">
      <c r="B3915" s="78"/>
      <c r="C3915" s="78"/>
      <c r="D3915" s="78"/>
      <c r="E3915" s="78"/>
      <c r="F3915" s="78"/>
      <c r="G3915" s="78"/>
      <c r="H3915" s="78"/>
      <c r="I3915" s="78"/>
      <c r="J3915" s="78"/>
      <c r="K3915" s="78"/>
      <c r="L3915" s="78"/>
      <c r="M3915" s="78"/>
      <c r="N3915" s="78"/>
      <c r="O3915" s="78"/>
      <c r="P3915" s="78"/>
      <c r="Q3915" s="55"/>
    </row>
    <row r="3916" spans="2:17" ht="13" x14ac:dyDescent="0.15">
      <c r="B3916" s="78"/>
      <c r="C3916" s="78"/>
      <c r="D3916" s="78"/>
      <c r="E3916" s="78"/>
      <c r="F3916" s="78"/>
      <c r="G3916" s="78"/>
      <c r="H3916" s="78"/>
      <c r="I3916" s="78"/>
      <c r="J3916" s="78"/>
      <c r="K3916" s="78"/>
      <c r="L3916" s="78"/>
      <c r="M3916" s="78"/>
      <c r="N3916" s="78"/>
      <c r="O3916" s="78"/>
      <c r="P3916" s="78"/>
      <c r="Q3916" s="55"/>
    </row>
    <row r="3917" spans="2:17" ht="13" x14ac:dyDescent="0.15">
      <c r="B3917" s="78"/>
      <c r="C3917" s="78"/>
      <c r="D3917" s="78"/>
      <c r="E3917" s="78"/>
      <c r="F3917" s="78"/>
      <c r="G3917" s="78"/>
      <c r="H3917" s="78"/>
      <c r="I3917" s="78"/>
      <c r="J3917" s="78"/>
      <c r="K3917" s="78"/>
      <c r="L3917" s="78"/>
      <c r="M3917" s="78"/>
      <c r="N3917" s="78"/>
      <c r="O3917" s="78"/>
      <c r="P3917" s="78"/>
      <c r="Q3917" s="55"/>
    </row>
    <row r="3918" spans="2:17" ht="13" x14ac:dyDescent="0.15">
      <c r="B3918" s="78"/>
      <c r="C3918" s="78"/>
      <c r="D3918" s="78"/>
      <c r="E3918" s="78"/>
      <c r="F3918" s="78"/>
      <c r="G3918" s="78"/>
      <c r="H3918" s="78"/>
      <c r="I3918" s="78"/>
      <c r="J3918" s="78"/>
      <c r="K3918" s="78"/>
      <c r="L3918" s="78"/>
      <c r="M3918" s="78"/>
      <c r="N3918" s="78"/>
      <c r="O3918" s="78"/>
      <c r="P3918" s="78"/>
      <c r="Q3918" s="55"/>
    </row>
    <row r="3919" spans="2:17" ht="13" x14ac:dyDescent="0.15">
      <c r="B3919" s="78"/>
      <c r="C3919" s="78"/>
      <c r="D3919" s="78"/>
      <c r="E3919" s="78"/>
      <c r="F3919" s="78"/>
      <c r="G3919" s="78"/>
      <c r="H3919" s="78"/>
      <c r="I3919" s="78"/>
      <c r="J3919" s="78"/>
      <c r="K3919" s="78"/>
      <c r="L3919" s="78"/>
      <c r="M3919" s="78"/>
      <c r="N3919" s="78"/>
      <c r="O3919" s="78"/>
      <c r="P3919" s="78"/>
      <c r="Q3919" s="55"/>
    </row>
    <row r="3920" spans="2:17" ht="13" x14ac:dyDescent="0.15">
      <c r="B3920" s="78"/>
      <c r="C3920" s="78"/>
      <c r="D3920" s="78"/>
      <c r="E3920" s="78"/>
      <c r="F3920" s="78"/>
      <c r="G3920" s="78"/>
      <c r="H3920" s="78"/>
      <c r="I3920" s="78"/>
      <c r="J3920" s="78"/>
      <c r="K3920" s="78"/>
      <c r="L3920" s="78"/>
      <c r="M3920" s="78"/>
      <c r="N3920" s="78"/>
      <c r="O3920" s="78"/>
      <c r="P3920" s="78"/>
      <c r="Q3920" s="55"/>
    </row>
    <row r="3921" spans="2:17" ht="13" x14ac:dyDescent="0.15">
      <c r="B3921" s="78"/>
      <c r="C3921" s="78"/>
      <c r="D3921" s="78"/>
      <c r="E3921" s="78"/>
      <c r="F3921" s="78"/>
      <c r="G3921" s="78"/>
      <c r="H3921" s="78"/>
      <c r="I3921" s="78"/>
      <c r="J3921" s="78"/>
      <c r="K3921" s="78"/>
      <c r="L3921" s="78"/>
      <c r="M3921" s="78"/>
      <c r="N3921" s="78"/>
      <c r="O3921" s="78"/>
      <c r="P3921" s="78"/>
      <c r="Q3921" s="55"/>
    </row>
    <row r="3922" spans="2:17" ht="13" x14ac:dyDescent="0.15">
      <c r="B3922" s="78"/>
      <c r="C3922" s="78"/>
      <c r="D3922" s="78"/>
      <c r="E3922" s="78"/>
      <c r="F3922" s="78"/>
      <c r="G3922" s="78"/>
      <c r="H3922" s="78"/>
      <c r="I3922" s="78"/>
      <c r="J3922" s="78"/>
      <c r="K3922" s="78"/>
      <c r="L3922" s="78"/>
      <c r="M3922" s="78"/>
      <c r="N3922" s="78"/>
      <c r="O3922" s="78"/>
      <c r="P3922" s="78"/>
      <c r="Q3922" s="55"/>
    </row>
    <row r="3923" spans="2:17" ht="13" x14ac:dyDescent="0.15">
      <c r="B3923" s="78"/>
      <c r="C3923" s="78"/>
      <c r="D3923" s="78"/>
      <c r="E3923" s="78"/>
      <c r="F3923" s="78"/>
      <c r="G3923" s="78"/>
      <c r="H3923" s="78"/>
      <c r="I3923" s="78"/>
      <c r="J3923" s="78"/>
      <c r="K3923" s="78"/>
      <c r="L3923" s="78"/>
      <c r="M3923" s="78"/>
      <c r="N3923" s="78"/>
      <c r="O3923" s="78"/>
      <c r="P3923" s="78"/>
      <c r="Q3923" s="55"/>
    </row>
    <row r="3924" spans="2:17" ht="13" x14ac:dyDescent="0.15">
      <c r="B3924" s="78"/>
      <c r="C3924" s="78"/>
      <c r="D3924" s="78"/>
      <c r="E3924" s="78"/>
      <c r="F3924" s="78"/>
      <c r="G3924" s="78"/>
      <c r="H3924" s="78"/>
      <c r="I3924" s="78"/>
      <c r="J3924" s="78"/>
      <c r="K3924" s="78"/>
      <c r="L3924" s="78"/>
      <c r="M3924" s="78"/>
      <c r="N3924" s="78"/>
      <c r="O3924" s="78"/>
      <c r="P3924" s="78"/>
      <c r="Q3924" s="55"/>
    </row>
    <row r="3925" spans="2:17" ht="13" x14ac:dyDescent="0.15">
      <c r="B3925" s="78"/>
      <c r="C3925" s="78"/>
      <c r="D3925" s="78"/>
      <c r="E3925" s="78"/>
      <c r="F3925" s="78"/>
      <c r="G3925" s="78"/>
      <c r="H3925" s="78"/>
      <c r="I3925" s="78"/>
      <c r="J3925" s="78"/>
      <c r="K3925" s="78"/>
      <c r="L3925" s="78"/>
      <c r="M3925" s="78"/>
      <c r="N3925" s="78"/>
      <c r="O3925" s="78"/>
      <c r="P3925" s="78"/>
      <c r="Q3925" s="55"/>
    </row>
    <row r="3926" spans="2:17" ht="13" x14ac:dyDescent="0.15">
      <c r="B3926" s="78"/>
      <c r="C3926" s="78"/>
      <c r="D3926" s="78"/>
      <c r="E3926" s="78"/>
      <c r="F3926" s="78"/>
      <c r="G3926" s="78"/>
      <c r="H3926" s="78"/>
      <c r="I3926" s="78"/>
      <c r="J3926" s="78"/>
      <c r="K3926" s="78"/>
      <c r="L3926" s="78"/>
      <c r="M3926" s="78"/>
      <c r="N3926" s="78"/>
      <c r="O3926" s="78"/>
      <c r="P3926" s="78"/>
      <c r="Q3926" s="55"/>
    </row>
    <row r="3927" spans="2:17" ht="13" x14ac:dyDescent="0.15">
      <c r="B3927" s="78"/>
      <c r="C3927" s="78"/>
      <c r="D3927" s="78"/>
      <c r="E3927" s="78"/>
      <c r="F3927" s="78"/>
      <c r="G3927" s="78"/>
      <c r="H3927" s="78"/>
      <c r="I3927" s="78"/>
      <c r="J3927" s="78"/>
      <c r="K3927" s="78"/>
      <c r="L3927" s="78"/>
      <c r="M3927" s="78"/>
      <c r="N3927" s="78"/>
      <c r="O3927" s="78"/>
      <c r="P3927" s="78"/>
      <c r="Q3927" s="55"/>
    </row>
    <row r="3928" spans="2:17" ht="13" x14ac:dyDescent="0.15">
      <c r="B3928" s="78"/>
      <c r="C3928" s="78"/>
      <c r="D3928" s="78"/>
      <c r="E3928" s="78"/>
      <c r="F3928" s="78"/>
      <c r="G3928" s="78"/>
      <c r="H3928" s="78"/>
      <c r="I3928" s="78"/>
      <c r="J3928" s="78"/>
      <c r="K3928" s="78"/>
      <c r="L3928" s="78"/>
      <c r="M3928" s="78"/>
      <c r="N3928" s="78"/>
      <c r="O3928" s="78"/>
      <c r="P3928" s="78"/>
      <c r="Q3928" s="55"/>
    </row>
    <row r="3929" spans="2:17" ht="13" x14ac:dyDescent="0.15">
      <c r="B3929" s="78"/>
      <c r="C3929" s="78"/>
      <c r="D3929" s="78"/>
      <c r="E3929" s="78"/>
      <c r="F3929" s="78"/>
      <c r="G3929" s="78"/>
      <c r="H3929" s="78"/>
      <c r="I3929" s="78"/>
      <c r="J3929" s="78"/>
      <c r="K3929" s="78"/>
      <c r="L3929" s="78"/>
      <c r="M3929" s="78"/>
      <c r="N3929" s="78"/>
      <c r="O3929" s="78"/>
      <c r="P3929" s="78"/>
      <c r="Q3929" s="55"/>
    </row>
    <row r="3930" spans="2:17" ht="13" x14ac:dyDescent="0.15">
      <c r="B3930" s="78"/>
      <c r="C3930" s="78"/>
      <c r="D3930" s="78"/>
      <c r="E3930" s="78"/>
      <c r="F3930" s="78"/>
      <c r="G3930" s="78"/>
      <c r="H3930" s="78"/>
      <c r="I3930" s="78"/>
      <c r="J3930" s="78"/>
      <c r="K3930" s="78"/>
      <c r="L3930" s="78"/>
      <c r="M3930" s="78"/>
      <c r="N3930" s="78"/>
      <c r="O3930" s="78"/>
      <c r="P3930" s="78"/>
      <c r="Q3930" s="55"/>
    </row>
  </sheetData>
  <pageMargins left="0.7" right="0.7" top="0.75" bottom="0.75" header="0.3" footer="0.3"/>
  <pageSetup paperSize="0" scale="49" fitToWidth="0" fitToHeight="0" orientation="landscape" horizontalDpi="0" verticalDpi="0" copies="0"/>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87F9E0-4827-6E4F-9267-102F9891DAAC}">
  <dimension ref="A1:O508"/>
  <sheetViews>
    <sheetView workbookViewId="0"/>
  </sheetViews>
  <sheetFormatPr baseColWidth="10" defaultColWidth="12.796875" defaultRowHeight="12.75" x14ac:dyDescent="0.15"/>
  <cols>
    <col min="1" max="1" width="13.3984375" style="55" bestFit="1" customWidth="1"/>
    <col min="2" max="2" width="32.3984375" style="55" customWidth="1"/>
    <col min="3" max="3" width="22.3984375" style="55" customWidth="1"/>
    <col min="4" max="4" width="37.796875" style="55" customWidth="1"/>
    <col min="5" max="5" width="34" style="55" bestFit="1" customWidth="1"/>
    <col min="6" max="6" width="45.19921875" style="55" bestFit="1" customWidth="1"/>
    <col min="7" max="7" width="18.796875" style="55" bestFit="1" customWidth="1"/>
    <col min="8" max="8" width="14.19921875" style="85" bestFit="1" customWidth="1"/>
    <col min="9" max="9" width="23.59765625" style="78" customWidth="1"/>
    <col min="10" max="10" width="74.3984375" style="74" customWidth="1"/>
    <col min="11" max="11" width="78.3984375" style="74" customWidth="1"/>
    <col min="12" max="12" width="21.19921875" style="55" customWidth="1"/>
    <col min="13" max="13" width="22.3984375" style="55" customWidth="1"/>
    <col min="14" max="14" width="52.796875" style="55" customWidth="1"/>
    <col min="15" max="15" width="100.59765625" style="55" bestFit="1" customWidth="1"/>
    <col min="16" max="16" width="16.3984375" style="55" bestFit="1" customWidth="1"/>
    <col min="17" max="17" width="12.796875" style="55" customWidth="1"/>
    <col min="18" max="16384" width="12.796875" style="55"/>
  </cols>
  <sheetData>
    <row r="1" spans="1:15" ht="19" x14ac:dyDescent="0.2">
      <c r="A1" s="53" t="s">
        <v>6771</v>
      </c>
    </row>
    <row r="2" spans="1:15" ht="13" x14ac:dyDescent="0.15">
      <c r="A2" s="75" t="s">
        <v>6772</v>
      </c>
      <c r="E2" s="69"/>
    </row>
    <row r="3" spans="1:15" ht="13" x14ac:dyDescent="0.15">
      <c r="A3" s="75" t="s">
        <v>6773</v>
      </c>
    </row>
    <row r="4" spans="1:15" ht="28" x14ac:dyDescent="0.15">
      <c r="A4" s="71" t="s">
        <v>316</v>
      </c>
      <c r="B4" s="71" t="s">
        <v>318</v>
      </c>
      <c r="C4" s="71" t="s">
        <v>6769</v>
      </c>
      <c r="D4" s="71" t="s">
        <v>327</v>
      </c>
      <c r="E4" s="71" t="s">
        <v>328</v>
      </c>
      <c r="F4" s="71" t="s">
        <v>329</v>
      </c>
      <c r="G4" s="71" t="s">
        <v>330</v>
      </c>
      <c r="H4" s="86" t="s">
        <v>331</v>
      </c>
      <c r="I4" s="81" t="s">
        <v>332</v>
      </c>
      <c r="J4" s="71" t="s">
        <v>319</v>
      </c>
      <c r="K4" s="71" t="s">
        <v>6774</v>
      </c>
      <c r="L4" s="71" t="s">
        <v>6775</v>
      </c>
      <c r="M4" s="71" t="s">
        <v>6776</v>
      </c>
      <c r="N4" s="71" t="s">
        <v>6777</v>
      </c>
      <c r="O4" s="71" t="s">
        <v>321</v>
      </c>
    </row>
    <row r="5" spans="1:15" s="73" customFormat="1" ht="13" x14ac:dyDescent="0.15">
      <c r="A5" s="78">
        <v>1027081</v>
      </c>
      <c r="B5" s="78" t="s">
        <v>358</v>
      </c>
      <c r="C5" s="78" t="s">
        <v>138</v>
      </c>
      <c r="D5" s="78" t="s">
        <v>138</v>
      </c>
      <c r="E5" s="78" t="s">
        <v>224</v>
      </c>
      <c r="F5" s="78" t="s">
        <v>2271</v>
      </c>
      <c r="G5" s="78" t="s">
        <v>362</v>
      </c>
      <c r="H5" s="77"/>
      <c r="I5" s="55"/>
      <c r="J5" s="74">
        <v>41495</v>
      </c>
      <c r="K5" s="74">
        <v>44301</v>
      </c>
      <c r="L5" s="74"/>
      <c r="M5" s="78" t="s">
        <v>6778</v>
      </c>
      <c r="N5" s="78" t="s">
        <v>6707</v>
      </c>
      <c r="O5" s="73" t="s">
        <v>6779</v>
      </c>
    </row>
    <row r="6" spans="1:15" s="73" customFormat="1" ht="13" x14ac:dyDescent="0.15">
      <c r="A6" s="78">
        <v>1027090</v>
      </c>
      <c r="B6" s="78" t="s">
        <v>358</v>
      </c>
      <c r="C6" s="78" t="s">
        <v>129</v>
      </c>
      <c r="D6" s="78" t="s">
        <v>129</v>
      </c>
      <c r="E6" s="78" t="s">
        <v>201</v>
      </c>
      <c r="F6" s="78" t="s">
        <v>431</v>
      </c>
      <c r="G6" s="78" t="s">
        <v>362</v>
      </c>
      <c r="H6" s="77"/>
      <c r="I6" s="55"/>
      <c r="J6" s="74">
        <v>42107</v>
      </c>
      <c r="K6" s="74">
        <v>44286</v>
      </c>
      <c r="L6" s="74"/>
      <c r="M6" s="78" t="s">
        <v>6778</v>
      </c>
      <c r="N6" s="78" t="s">
        <v>6707</v>
      </c>
      <c r="O6" s="73" t="s">
        <v>6780</v>
      </c>
    </row>
    <row r="7" spans="1:15" s="73" customFormat="1" ht="13" x14ac:dyDescent="0.15">
      <c r="A7" s="78">
        <v>1183032</v>
      </c>
      <c r="B7" s="78" t="s">
        <v>389</v>
      </c>
      <c r="C7" s="78" t="s">
        <v>150</v>
      </c>
      <c r="D7" s="78" t="s">
        <v>150</v>
      </c>
      <c r="E7" s="78" t="s">
        <v>153</v>
      </c>
      <c r="F7" s="78" t="s">
        <v>1331</v>
      </c>
      <c r="G7" s="78" t="s">
        <v>350</v>
      </c>
      <c r="H7" s="77"/>
      <c r="I7" s="55"/>
      <c r="J7" s="74">
        <v>42354</v>
      </c>
      <c r="K7" s="74">
        <v>44455</v>
      </c>
      <c r="L7" s="74"/>
      <c r="M7" s="78" t="s">
        <v>6778</v>
      </c>
      <c r="N7" s="78" t="s">
        <v>6707</v>
      </c>
      <c r="O7" s="73" t="s">
        <v>6781</v>
      </c>
    </row>
    <row r="8" spans="1:15" s="73" customFormat="1" ht="13" x14ac:dyDescent="0.15">
      <c r="A8" s="78">
        <v>1183621</v>
      </c>
      <c r="B8" s="78" t="s">
        <v>373</v>
      </c>
      <c r="C8" s="78" t="s">
        <v>138</v>
      </c>
      <c r="D8" s="78" t="s">
        <v>138</v>
      </c>
      <c r="E8" s="78" t="s">
        <v>183</v>
      </c>
      <c r="F8" s="78" t="s">
        <v>576</v>
      </c>
      <c r="G8" s="78" t="s">
        <v>350</v>
      </c>
      <c r="H8" s="77">
        <v>4</v>
      </c>
      <c r="I8" s="55"/>
      <c r="J8" s="74">
        <v>42389</v>
      </c>
      <c r="K8" s="74">
        <v>44355</v>
      </c>
      <c r="L8" s="74"/>
      <c r="M8" s="78" t="s">
        <v>6778</v>
      </c>
      <c r="N8" s="78" t="s">
        <v>6707</v>
      </c>
      <c r="O8" s="73" t="s">
        <v>360</v>
      </c>
    </row>
    <row r="9" spans="1:15" s="73" customFormat="1" ht="13" x14ac:dyDescent="0.15">
      <c r="A9" s="78">
        <v>1215445</v>
      </c>
      <c r="B9" s="78" t="s">
        <v>358</v>
      </c>
      <c r="C9" s="78" t="s">
        <v>138</v>
      </c>
      <c r="D9" s="78" t="s">
        <v>138</v>
      </c>
      <c r="E9" s="78" t="s">
        <v>266</v>
      </c>
      <c r="F9" s="78" t="s">
        <v>934</v>
      </c>
      <c r="G9" s="78" t="s">
        <v>350</v>
      </c>
      <c r="H9" s="77"/>
      <c r="I9" s="55"/>
      <c r="J9" s="74">
        <v>42355</v>
      </c>
      <c r="K9" s="74">
        <v>44440</v>
      </c>
      <c r="L9" s="74"/>
      <c r="M9" s="78" t="s">
        <v>6778</v>
      </c>
      <c r="N9" s="78" t="s">
        <v>6707</v>
      </c>
      <c r="O9" s="73" t="s">
        <v>6782</v>
      </c>
    </row>
    <row r="10" spans="1:15" s="73" customFormat="1" ht="13" x14ac:dyDescent="0.15">
      <c r="A10" s="78">
        <v>1216657</v>
      </c>
      <c r="B10" s="78" t="s">
        <v>373</v>
      </c>
      <c r="C10" s="78" t="s">
        <v>172</v>
      </c>
      <c r="D10" s="78" t="s">
        <v>172</v>
      </c>
      <c r="E10" s="78" t="s">
        <v>234</v>
      </c>
      <c r="F10" s="78" t="s">
        <v>965</v>
      </c>
      <c r="G10" s="78" t="s">
        <v>362</v>
      </c>
      <c r="H10" s="77">
        <v>2</v>
      </c>
      <c r="I10" s="55"/>
      <c r="J10" s="74">
        <v>42361</v>
      </c>
      <c r="K10" s="74">
        <v>44410</v>
      </c>
      <c r="L10" s="74"/>
      <c r="M10" s="78" t="s">
        <v>6778</v>
      </c>
      <c r="N10" s="78" t="s">
        <v>6707</v>
      </c>
      <c r="O10" s="73" t="s">
        <v>360</v>
      </c>
    </row>
    <row r="11" spans="1:15" s="73" customFormat="1" ht="13" x14ac:dyDescent="0.15">
      <c r="A11" s="78">
        <v>1223635</v>
      </c>
      <c r="B11" s="78" t="s">
        <v>389</v>
      </c>
      <c r="C11" s="78" t="s">
        <v>129</v>
      </c>
      <c r="D11" s="78" t="s">
        <v>129</v>
      </c>
      <c r="E11" s="78" t="s">
        <v>213</v>
      </c>
      <c r="F11" s="78" t="s">
        <v>1020</v>
      </c>
      <c r="G11" s="78" t="s">
        <v>350</v>
      </c>
      <c r="H11" s="77"/>
      <c r="I11" s="55"/>
      <c r="J11" s="74">
        <v>42942</v>
      </c>
      <c r="K11" s="74">
        <v>44407</v>
      </c>
      <c r="L11" s="74"/>
      <c r="M11" s="78" t="s">
        <v>6778</v>
      </c>
      <c r="N11" s="78" t="s">
        <v>6707</v>
      </c>
      <c r="O11" s="73" t="s">
        <v>6783</v>
      </c>
    </row>
    <row r="12" spans="1:15" s="73" customFormat="1" ht="13" x14ac:dyDescent="0.15">
      <c r="A12" s="78">
        <v>1224674</v>
      </c>
      <c r="B12" s="78" t="s">
        <v>373</v>
      </c>
      <c r="C12" s="78" t="s">
        <v>172</v>
      </c>
      <c r="D12" s="78" t="s">
        <v>172</v>
      </c>
      <c r="E12" s="78" t="s">
        <v>247</v>
      </c>
      <c r="F12" s="78" t="s">
        <v>798</v>
      </c>
      <c r="G12" s="78" t="s">
        <v>350</v>
      </c>
      <c r="H12" s="77">
        <v>7</v>
      </c>
      <c r="I12" s="55"/>
      <c r="J12" s="74">
        <v>42411</v>
      </c>
      <c r="K12" s="74">
        <v>44592</v>
      </c>
      <c r="L12" s="74"/>
      <c r="M12" s="78" t="s">
        <v>6778</v>
      </c>
      <c r="N12" s="78" t="s">
        <v>6707</v>
      </c>
      <c r="O12" s="73" t="s">
        <v>360</v>
      </c>
    </row>
    <row r="13" spans="1:15" s="73" customFormat="1" ht="13" x14ac:dyDescent="0.15">
      <c r="A13" s="78">
        <v>1231066</v>
      </c>
      <c r="B13" s="78" t="s">
        <v>373</v>
      </c>
      <c r="C13" s="78" t="s">
        <v>136</v>
      </c>
      <c r="D13" s="78" t="s">
        <v>136</v>
      </c>
      <c r="E13" s="78" t="s">
        <v>174</v>
      </c>
      <c r="F13" s="78" t="s">
        <v>651</v>
      </c>
      <c r="G13" s="78" t="s">
        <v>350</v>
      </c>
      <c r="H13" s="77">
        <v>1</v>
      </c>
      <c r="I13" s="55"/>
      <c r="J13" s="74">
        <v>42417</v>
      </c>
      <c r="K13" s="74">
        <v>44524</v>
      </c>
      <c r="L13" s="74"/>
      <c r="M13" s="78" t="s">
        <v>6778</v>
      </c>
      <c r="N13" s="78" t="s">
        <v>6707</v>
      </c>
      <c r="O13" s="73" t="s">
        <v>360</v>
      </c>
    </row>
    <row r="14" spans="1:15" s="73" customFormat="1" ht="13" x14ac:dyDescent="0.15">
      <c r="A14" s="78">
        <v>1234319</v>
      </c>
      <c r="B14" s="78" t="s">
        <v>373</v>
      </c>
      <c r="C14" s="78" t="s">
        <v>378</v>
      </c>
      <c r="D14" s="78" t="s">
        <v>170</v>
      </c>
      <c r="E14" s="78" t="s">
        <v>231</v>
      </c>
      <c r="F14" s="78" t="s">
        <v>231</v>
      </c>
      <c r="G14" s="78" t="s">
        <v>362</v>
      </c>
      <c r="H14" s="77">
        <v>6</v>
      </c>
      <c r="I14" s="55"/>
      <c r="J14" s="74">
        <v>42534</v>
      </c>
      <c r="K14" s="74">
        <v>44375</v>
      </c>
      <c r="L14" s="74"/>
      <c r="M14" s="78" t="s">
        <v>6778</v>
      </c>
      <c r="N14" s="78" t="s">
        <v>6707</v>
      </c>
      <c r="O14" s="73" t="s">
        <v>360</v>
      </c>
    </row>
    <row r="15" spans="1:15" s="73" customFormat="1" ht="13" x14ac:dyDescent="0.15">
      <c r="A15" s="78">
        <v>1234990</v>
      </c>
      <c r="B15" s="78" t="s">
        <v>373</v>
      </c>
      <c r="C15" s="78" t="s">
        <v>378</v>
      </c>
      <c r="D15" s="78" t="s">
        <v>170</v>
      </c>
      <c r="E15" s="78" t="s">
        <v>222</v>
      </c>
      <c r="F15" s="78" t="s">
        <v>521</v>
      </c>
      <c r="G15" s="78" t="s">
        <v>362</v>
      </c>
      <c r="H15" s="77">
        <v>14</v>
      </c>
      <c r="I15" s="55"/>
      <c r="J15" s="74">
        <v>42857</v>
      </c>
      <c r="K15" s="74">
        <v>44469</v>
      </c>
      <c r="L15" s="74"/>
      <c r="M15" s="78" t="s">
        <v>6778</v>
      </c>
      <c r="N15" s="78" t="s">
        <v>6707</v>
      </c>
      <c r="O15" s="73" t="s">
        <v>360</v>
      </c>
    </row>
    <row r="16" spans="1:15" s="73" customFormat="1" ht="13" x14ac:dyDescent="0.15">
      <c r="A16" s="78">
        <v>1245390</v>
      </c>
      <c r="B16" s="78" t="s">
        <v>373</v>
      </c>
      <c r="C16" s="78" t="s">
        <v>172</v>
      </c>
      <c r="D16" s="78" t="s">
        <v>172</v>
      </c>
      <c r="E16" s="78" t="s">
        <v>173</v>
      </c>
      <c r="F16" s="78" t="s">
        <v>1069</v>
      </c>
      <c r="G16" s="78" t="s">
        <v>350</v>
      </c>
      <c r="H16" s="77">
        <v>2</v>
      </c>
      <c r="I16" s="55"/>
      <c r="J16" s="74">
        <v>42678</v>
      </c>
      <c r="K16" s="74">
        <v>44494</v>
      </c>
      <c r="L16" s="74"/>
      <c r="M16" s="78" t="s">
        <v>6778</v>
      </c>
      <c r="N16" s="78" t="s">
        <v>6707</v>
      </c>
      <c r="O16" s="73" t="s">
        <v>360</v>
      </c>
    </row>
    <row r="17" spans="1:15" s="73" customFormat="1" ht="13" x14ac:dyDescent="0.15">
      <c r="A17" s="78">
        <v>1247386</v>
      </c>
      <c r="B17" s="78" t="s">
        <v>373</v>
      </c>
      <c r="C17" s="78" t="s">
        <v>144</v>
      </c>
      <c r="D17" s="78" t="s">
        <v>144</v>
      </c>
      <c r="E17" s="78" t="s">
        <v>168</v>
      </c>
      <c r="F17" s="78" t="s">
        <v>2110</v>
      </c>
      <c r="G17" s="78" t="s">
        <v>362</v>
      </c>
      <c r="H17" s="77">
        <v>5</v>
      </c>
      <c r="I17" s="55"/>
      <c r="J17" s="74">
        <v>42765</v>
      </c>
      <c r="K17" s="74">
        <v>44592</v>
      </c>
      <c r="L17" s="74"/>
      <c r="M17" s="78" t="s">
        <v>6778</v>
      </c>
      <c r="N17" s="78" t="s">
        <v>6707</v>
      </c>
      <c r="O17" s="73" t="s">
        <v>360</v>
      </c>
    </row>
    <row r="18" spans="1:15" s="73" customFormat="1" ht="13" x14ac:dyDescent="0.15">
      <c r="A18" s="78">
        <v>1247885</v>
      </c>
      <c r="B18" s="78" t="s">
        <v>373</v>
      </c>
      <c r="C18" s="78" t="s">
        <v>144</v>
      </c>
      <c r="D18" s="78" t="s">
        <v>144</v>
      </c>
      <c r="E18" s="78" t="s">
        <v>168</v>
      </c>
      <c r="F18" s="78" t="s">
        <v>913</v>
      </c>
      <c r="G18" s="78" t="s">
        <v>362</v>
      </c>
      <c r="H18" s="77">
        <v>5</v>
      </c>
      <c r="I18" s="55"/>
      <c r="J18" s="74">
        <v>42765</v>
      </c>
      <c r="K18" s="74">
        <v>44592</v>
      </c>
      <c r="L18" s="74"/>
      <c r="M18" s="78" t="s">
        <v>6778</v>
      </c>
      <c r="N18" s="78" t="s">
        <v>6707</v>
      </c>
      <c r="O18" s="73" t="s">
        <v>360</v>
      </c>
    </row>
    <row r="19" spans="1:15" s="73" customFormat="1" ht="13" x14ac:dyDescent="0.15">
      <c r="A19" s="78">
        <v>1249184</v>
      </c>
      <c r="B19" s="78" t="s">
        <v>373</v>
      </c>
      <c r="C19" s="78" t="s">
        <v>142</v>
      </c>
      <c r="D19" s="78" t="s">
        <v>142</v>
      </c>
      <c r="E19" s="78" t="s">
        <v>262</v>
      </c>
      <c r="F19" s="78" t="s">
        <v>523</v>
      </c>
      <c r="G19" s="78" t="s">
        <v>350</v>
      </c>
      <c r="H19" s="77">
        <v>2</v>
      </c>
      <c r="I19" s="55"/>
      <c r="J19" s="74">
        <v>42747</v>
      </c>
      <c r="K19" s="74">
        <v>44571</v>
      </c>
      <c r="L19" s="74"/>
      <c r="M19" s="78" t="s">
        <v>6778</v>
      </c>
      <c r="N19" s="78" t="s">
        <v>6707</v>
      </c>
      <c r="O19" s="73" t="s">
        <v>360</v>
      </c>
    </row>
    <row r="20" spans="1:15" s="73" customFormat="1" ht="13" x14ac:dyDescent="0.15">
      <c r="A20" s="78">
        <v>1254780</v>
      </c>
      <c r="B20" s="78" t="s">
        <v>373</v>
      </c>
      <c r="C20" s="78" t="s">
        <v>142</v>
      </c>
      <c r="D20" s="78" t="s">
        <v>142</v>
      </c>
      <c r="E20" s="78" t="s">
        <v>278</v>
      </c>
      <c r="F20" s="78" t="s">
        <v>1126</v>
      </c>
      <c r="G20" s="78" t="s">
        <v>350</v>
      </c>
      <c r="H20" s="77">
        <v>4</v>
      </c>
      <c r="I20" s="55"/>
      <c r="J20" s="74">
        <v>42933</v>
      </c>
      <c r="K20" s="74">
        <v>44347</v>
      </c>
      <c r="L20" s="74"/>
      <c r="M20" s="78" t="s">
        <v>6778</v>
      </c>
      <c r="N20" s="78" t="s">
        <v>6707</v>
      </c>
      <c r="O20" s="73" t="s">
        <v>360</v>
      </c>
    </row>
    <row r="21" spans="1:15" s="73" customFormat="1" ht="13" x14ac:dyDescent="0.15">
      <c r="A21" s="78">
        <v>1255095</v>
      </c>
      <c r="B21" s="78" t="s">
        <v>373</v>
      </c>
      <c r="C21" s="78" t="s">
        <v>142</v>
      </c>
      <c r="D21" s="78" t="s">
        <v>142</v>
      </c>
      <c r="E21" s="78" t="s">
        <v>262</v>
      </c>
      <c r="F21" s="78" t="s">
        <v>488</v>
      </c>
      <c r="G21" s="78" t="s">
        <v>350</v>
      </c>
      <c r="H21" s="77">
        <v>3</v>
      </c>
      <c r="I21" s="55"/>
      <c r="J21" s="74">
        <v>42920</v>
      </c>
      <c r="K21" s="74">
        <v>44312</v>
      </c>
      <c r="L21" s="74"/>
      <c r="M21" s="78" t="s">
        <v>6778</v>
      </c>
      <c r="N21" s="78" t="s">
        <v>6707</v>
      </c>
      <c r="O21" s="73" t="s">
        <v>360</v>
      </c>
    </row>
    <row r="22" spans="1:15" s="73" customFormat="1" ht="13" x14ac:dyDescent="0.15">
      <c r="A22" s="78">
        <v>1255147</v>
      </c>
      <c r="B22" s="78" t="s">
        <v>373</v>
      </c>
      <c r="C22" s="78" t="s">
        <v>142</v>
      </c>
      <c r="D22" s="78" t="s">
        <v>142</v>
      </c>
      <c r="E22" s="78" t="s">
        <v>252</v>
      </c>
      <c r="F22" s="78" t="s">
        <v>386</v>
      </c>
      <c r="G22" s="78" t="s">
        <v>350</v>
      </c>
      <c r="H22" s="77">
        <v>8</v>
      </c>
      <c r="I22" s="55"/>
      <c r="J22" s="74">
        <v>42915</v>
      </c>
      <c r="K22" s="74">
        <v>44293</v>
      </c>
      <c r="L22" s="74"/>
      <c r="M22" s="78" t="s">
        <v>6778</v>
      </c>
      <c r="N22" s="78" t="s">
        <v>6707</v>
      </c>
      <c r="O22" s="73" t="s">
        <v>360</v>
      </c>
    </row>
    <row r="23" spans="1:15" s="73" customFormat="1" ht="13" x14ac:dyDescent="0.15">
      <c r="A23" s="78">
        <v>1258026</v>
      </c>
      <c r="B23" s="78" t="s">
        <v>373</v>
      </c>
      <c r="C23" s="78" t="s">
        <v>142</v>
      </c>
      <c r="D23" s="78" t="s">
        <v>142</v>
      </c>
      <c r="E23" s="78" t="s">
        <v>141</v>
      </c>
      <c r="F23" s="78" t="s">
        <v>641</v>
      </c>
      <c r="G23" s="78" t="s">
        <v>350</v>
      </c>
      <c r="H23" s="77">
        <v>2</v>
      </c>
      <c r="I23" s="55"/>
      <c r="J23" s="74">
        <v>43002</v>
      </c>
      <c r="K23" s="74">
        <v>44620</v>
      </c>
      <c r="L23" s="74"/>
      <c r="M23" s="78" t="s">
        <v>6778</v>
      </c>
      <c r="N23" s="78" t="s">
        <v>6707</v>
      </c>
      <c r="O23" s="73" t="s">
        <v>360</v>
      </c>
    </row>
    <row r="24" spans="1:15" s="73" customFormat="1" ht="13" x14ac:dyDescent="0.15">
      <c r="A24" s="78">
        <v>1258095</v>
      </c>
      <c r="B24" s="78" t="s">
        <v>373</v>
      </c>
      <c r="C24" s="78" t="s">
        <v>142</v>
      </c>
      <c r="D24" s="78" t="s">
        <v>142</v>
      </c>
      <c r="E24" s="78" t="s">
        <v>262</v>
      </c>
      <c r="F24" s="78" t="s">
        <v>916</v>
      </c>
      <c r="G24" s="78" t="s">
        <v>350</v>
      </c>
      <c r="H24" s="77">
        <v>6</v>
      </c>
      <c r="I24" s="55"/>
      <c r="J24" s="74">
        <v>42950</v>
      </c>
      <c r="K24" s="74">
        <v>44354</v>
      </c>
      <c r="L24" s="74"/>
      <c r="M24" s="78" t="s">
        <v>6778</v>
      </c>
      <c r="N24" s="78" t="s">
        <v>6707</v>
      </c>
      <c r="O24" s="73" t="s">
        <v>360</v>
      </c>
    </row>
    <row r="25" spans="1:15" s="73" customFormat="1" ht="13" x14ac:dyDescent="0.15">
      <c r="A25" s="78">
        <v>1258769</v>
      </c>
      <c r="B25" s="78" t="s">
        <v>479</v>
      </c>
      <c r="C25" s="78" t="s">
        <v>144</v>
      </c>
      <c r="D25" s="78" t="s">
        <v>144</v>
      </c>
      <c r="E25" s="78" t="s">
        <v>209</v>
      </c>
      <c r="F25" s="78" t="s">
        <v>534</v>
      </c>
      <c r="G25" s="78" t="s">
        <v>350</v>
      </c>
      <c r="H25" s="77">
        <v>10</v>
      </c>
      <c r="I25" s="55"/>
      <c r="J25" s="74">
        <v>42943</v>
      </c>
      <c r="K25" s="74">
        <v>44624</v>
      </c>
      <c r="L25" s="74"/>
      <c r="M25" s="78" t="s">
        <v>6778</v>
      </c>
      <c r="N25" s="78" t="s">
        <v>6707</v>
      </c>
      <c r="O25" s="73" t="s">
        <v>360</v>
      </c>
    </row>
    <row r="26" spans="1:15" s="73" customFormat="1" ht="13" x14ac:dyDescent="0.15">
      <c r="A26" s="78">
        <v>1263248</v>
      </c>
      <c r="B26" s="78" t="s">
        <v>373</v>
      </c>
      <c r="C26" s="78" t="s">
        <v>144</v>
      </c>
      <c r="D26" s="78" t="s">
        <v>144</v>
      </c>
      <c r="E26" s="78" t="s">
        <v>261</v>
      </c>
      <c r="F26" s="78" t="s">
        <v>792</v>
      </c>
      <c r="G26" s="78" t="s">
        <v>350</v>
      </c>
      <c r="H26" s="77">
        <v>3</v>
      </c>
      <c r="I26" s="55"/>
      <c r="J26" s="74">
        <v>43122</v>
      </c>
      <c r="K26" s="74">
        <v>44386</v>
      </c>
      <c r="L26" s="74"/>
      <c r="M26" s="78" t="s">
        <v>6778</v>
      </c>
      <c r="N26" s="78" t="s">
        <v>6707</v>
      </c>
      <c r="O26" s="73" t="s">
        <v>360</v>
      </c>
    </row>
    <row r="27" spans="1:15" s="73" customFormat="1" ht="13" x14ac:dyDescent="0.15">
      <c r="A27" s="78">
        <v>1264696</v>
      </c>
      <c r="B27" s="78" t="s">
        <v>373</v>
      </c>
      <c r="C27" s="78" t="s">
        <v>144</v>
      </c>
      <c r="D27" s="78" t="s">
        <v>144</v>
      </c>
      <c r="E27" s="78" t="s">
        <v>236</v>
      </c>
      <c r="F27" s="78" t="s">
        <v>2088</v>
      </c>
      <c r="G27" s="78" t="s">
        <v>350</v>
      </c>
      <c r="H27" s="77">
        <v>2</v>
      </c>
      <c r="I27" s="55"/>
      <c r="J27" s="74">
        <v>43112</v>
      </c>
      <c r="K27" s="74">
        <v>44416</v>
      </c>
      <c r="L27" s="74"/>
      <c r="M27" s="78" t="s">
        <v>6778</v>
      </c>
      <c r="N27" s="78" t="s">
        <v>6713</v>
      </c>
      <c r="O27" s="73" t="s">
        <v>360</v>
      </c>
    </row>
    <row r="28" spans="1:15" s="73" customFormat="1" ht="13" x14ac:dyDescent="0.15">
      <c r="A28" s="78">
        <v>1267025</v>
      </c>
      <c r="B28" s="78" t="s">
        <v>398</v>
      </c>
      <c r="C28" s="78" t="s">
        <v>142</v>
      </c>
      <c r="D28" s="78" t="s">
        <v>142</v>
      </c>
      <c r="E28" s="78" t="s">
        <v>292</v>
      </c>
      <c r="F28" s="78" t="s">
        <v>1052</v>
      </c>
      <c r="G28" s="78" t="s">
        <v>420</v>
      </c>
      <c r="H28" s="77">
        <v>100</v>
      </c>
      <c r="I28" s="55"/>
      <c r="J28" s="74">
        <v>42615</v>
      </c>
      <c r="K28" s="74"/>
      <c r="L28" s="74" t="s">
        <v>6784</v>
      </c>
      <c r="M28" s="78"/>
      <c r="N28" s="78" t="s">
        <v>344</v>
      </c>
      <c r="O28" s="73" t="s">
        <v>1170</v>
      </c>
    </row>
    <row r="29" spans="1:15" s="73" customFormat="1" ht="13" x14ac:dyDescent="0.15">
      <c r="A29" s="78">
        <v>1267402</v>
      </c>
      <c r="B29" s="78" t="s">
        <v>373</v>
      </c>
      <c r="C29" s="78" t="s">
        <v>378</v>
      </c>
      <c r="D29" s="78" t="s">
        <v>170</v>
      </c>
      <c r="E29" s="78" t="s">
        <v>243</v>
      </c>
      <c r="F29" s="78" t="s">
        <v>1786</v>
      </c>
      <c r="G29" s="78" t="s">
        <v>350</v>
      </c>
      <c r="H29" s="77">
        <v>1</v>
      </c>
      <c r="I29" s="55"/>
      <c r="J29" s="74">
        <v>43203</v>
      </c>
      <c r="K29" s="74">
        <v>44246</v>
      </c>
      <c r="L29" s="74"/>
      <c r="M29" s="78" t="s">
        <v>6778</v>
      </c>
      <c r="N29" s="78" t="s">
        <v>6707</v>
      </c>
      <c r="O29" s="73" t="s">
        <v>360</v>
      </c>
    </row>
    <row r="30" spans="1:15" s="73" customFormat="1" ht="13" x14ac:dyDescent="0.15">
      <c r="A30" s="78">
        <v>1271607</v>
      </c>
      <c r="B30" s="78" t="s">
        <v>1493</v>
      </c>
      <c r="C30" s="78" t="s">
        <v>142</v>
      </c>
      <c r="D30" s="78" t="s">
        <v>142</v>
      </c>
      <c r="E30" s="78" t="s">
        <v>262</v>
      </c>
      <c r="F30" s="78" t="s">
        <v>1859</v>
      </c>
      <c r="G30" s="78" t="s">
        <v>350</v>
      </c>
      <c r="H30" s="77">
        <v>5</v>
      </c>
      <c r="I30" s="55"/>
      <c r="J30" s="74">
        <v>43238</v>
      </c>
      <c r="K30" s="74">
        <v>44494</v>
      </c>
      <c r="L30" s="74"/>
      <c r="M30" s="78" t="s">
        <v>6778</v>
      </c>
      <c r="N30" s="78" t="s">
        <v>6707</v>
      </c>
      <c r="O30" s="73" t="s">
        <v>360</v>
      </c>
    </row>
    <row r="31" spans="1:15" s="73" customFormat="1" ht="13" x14ac:dyDescent="0.15">
      <c r="A31" s="78">
        <v>1272209</v>
      </c>
      <c r="B31" s="78" t="s">
        <v>373</v>
      </c>
      <c r="C31" s="78" t="s">
        <v>172</v>
      </c>
      <c r="D31" s="78" t="s">
        <v>172</v>
      </c>
      <c r="E31" s="78" t="s">
        <v>284</v>
      </c>
      <c r="F31" s="78" t="s">
        <v>985</v>
      </c>
      <c r="G31" s="78" t="s">
        <v>350</v>
      </c>
      <c r="H31" s="77">
        <v>5</v>
      </c>
      <c r="I31" s="55"/>
      <c r="J31" s="74">
        <v>43201</v>
      </c>
      <c r="K31" s="74">
        <v>44347</v>
      </c>
      <c r="L31" s="74"/>
      <c r="M31" s="78" t="s">
        <v>6778</v>
      </c>
      <c r="N31" s="78" t="s">
        <v>6707</v>
      </c>
      <c r="O31" s="73" t="s">
        <v>360</v>
      </c>
    </row>
    <row r="32" spans="1:15" s="73" customFormat="1" ht="13" x14ac:dyDescent="0.15">
      <c r="A32" s="78">
        <v>1272827</v>
      </c>
      <c r="B32" s="78" t="s">
        <v>373</v>
      </c>
      <c r="C32" s="78" t="s">
        <v>172</v>
      </c>
      <c r="D32" s="78" t="s">
        <v>172</v>
      </c>
      <c r="E32" s="78" t="s">
        <v>173</v>
      </c>
      <c r="F32" s="78" t="s">
        <v>961</v>
      </c>
      <c r="G32" s="78" t="s">
        <v>350</v>
      </c>
      <c r="H32" s="77">
        <v>8</v>
      </c>
      <c r="I32" s="55"/>
      <c r="J32" s="74">
        <v>43249</v>
      </c>
      <c r="K32" s="74">
        <v>44319</v>
      </c>
      <c r="L32" s="74"/>
      <c r="M32" s="78" t="s">
        <v>6778</v>
      </c>
      <c r="N32" s="78" t="s">
        <v>6707</v>
      </c>
      <c r="O32" s="73" t="s">
        <v>360</v>
      </c>
    </row>
    <row r="33" spans="1:15" s="73" customFormat="1" ht="13" x14ac:dyDescent="0.15">
      <c r="A33" s="78">
        <v>1277449</v>
      </c>
      <c r="B33" s="78" t="s">
        <v>373</v>
      </c>
      <c r="C33" s="78" t="s">
        <v>142</v>
      </c>
      <c r="D33" s="78" t="s">
        <v>142</v>
      </c>
      <c r="E33" s="78" t="s">
        <v>292</v>
      </c>
      <c r="F33" s="78" t="s">
        <v>976</v>
      </c>
      <c r="G33" s="78" t="s">
        <v>350</v>
      </c>
      <c r="H33" s="77">
        <v>5</v>
      </c>
      <c r="I33" s="55"/>
      <c r="J33" s="74">
        <v>43397</v>
      </c>
      <c r="K33" s="74">
        <v>44491</v>
      </c>
      <c r="L33" s="74"/>
      <c r="M33" s="78" t="s">
        <v>6778</v>
      </c>
      <c r="N33" s="78" t="s">
        <v>6707</v>
      </c>
      <c r="O33" s="73" t="s">
        <v>360</v>
      </c>
    </row>
    <row r="34" spans="1:15" s="73" customFormat="1" ht="13" x14ac:dyDescent="0.15">
      <c r="A34" s="78">
        <v>1277597</v>
      </c>
      <c r="B34" s="78" t="s">
        <v>443</v>
      </c>
      <c r="C34" s="78" t="s">
        <v>136</v>
      </c>
      <c r="D34" s="78" t="s">
        <v>136</v>
      </c>
      <c r="E34" s="78" t="s">
        <v>288</v>
      </c>
      <c r="F34" s="78" t="s">
        <v>1388</v>
      </c>
      <c r="G34" s="78" t="s">
        <v>350</v>
      </c>
      <c r="H34" s="77"/>
      <c r="I34" s="55"/>
      <c r="J34" s="74">
        <v>43430</v>
      </c>
      <c r="K34" s="74">
        <v>44519</v>
      </c>
      <c r="L34" s="74"/>
      <c r="M34" s="78" t="s">
        <v>6778</v>
      </c>
      <c r="N34" s="78" t="s">
        <v>6707</v>
      </c>
      <c r="O34" s="73" t="s">
        <v>6785</v>
      </c>
    </row>
    <row r="35" spans="1:15" s="73" customFormat="1" ht="13" x14ac:dyDescent="0.15">
      <c r="A35" s="78">
        <v>1280237</v>
      </c>
      <c r="B35" s="78" t="s">
        <v>373</v>
      </c>
      <c r="C35" s="78" t="s">
        <v>172</v>
      </c>
      <c r="D35" s="78" t="s">
        <v>172</v>
      </c>
      <c r="E35" s="78" t="s">
        <v>212</v>
      </c>
      <c r="F35" s="78" t="s">
        <v>592</v>
      </c>
      <c r="G35" s="78" t="s">
        <v>350</v>
      </c>
      <c r="H35" s="77">
        <v>3</v>
      </c>
      <c r="I35" s="55"/>
      <c r="J35" s="74">
        <v>43374</v>
      </c>
      <c r="K35" s="74">
        <v>44485</v>
      </c>
      <c r="L35" s="74"/>
      <c r="M35" s="78" t="s">
        <v>6778</v>
      </c>
      <c r="N35" s="78" t="s">
        <v>6707</v>
      </c>
      <c r="O35" s="73" t="s">
        <v>360</v>
      </c>
    </row>
    <row r="36" spans="1:15" s="73" customFormat="1" ht="13" x14ac:dyDescent="0.15">
      <c r="A36" s="78">
        <v>2484435</v>
      </c>
      <c r="B36" s="78" t="s">
        <v>373</v>
      </c>
      <c r="C36" s="78" t="s">
        <v>142</v>
      </c>
      <c r="D36" s="78" t="s">
        <v>142</v>
      </c>
      <c r="E36" s="78" t="s">
        <v>278</v>
      </c>
      <c r="F36" s="78" t="s">
        <v>1042</v>
      </c>
      <c r="G36" s="78" t="s">
        <v>350</v>
      </c>
      <c r="H36" s="77">
        <v>3</v>
      </c>
      <c r="I36" s="55"/>
      <c r="J36" s="74">
        <v>43408</v>
      </c>
      <c r="K36" s="74">
        <v>44461</v>
      </c>
      <c r="L36" s="74"/>
      <c r="M36" s="78" t="s">
        <v>6778</v>
      </c>
      <c r="N36" s="78" t="s">
        <v>6707</v>
      </c>
      <c r="O36" s="73" t="s">
        <v>360</v>
      </c>
    </row>
    <row r="37" spans="1:15" s="73" customFormat="1" ht="13" x14ac:dyDescent="0.15">
      <c r="A37" s="78">
        <v>2490697</v>
      </c>
      <c r="B37" s="78" t="s">
        <v>373</v>
      </c>
      <c r="C37" s="78" t="s">
        <v>144</v>
      </c>
      <c r="D37" s="78" t="s">
        <v>144</v>
      </c>
      <c r="E37" s="78" t="s">
        <v>209</v>
      </c>
      <c r="F37" s="78" t="s">
        <v>544</v>
      </c>
      <c r="G37" s="78" t="s">
        <v>350</v>
      </c>
      <c r="H37" s="77">
        <v>2</v>
      </c>
      <c r="I37" s="55"/>
      <c r="J37" s="74">
        <v>43385</v>
      </c>
      <c r="K37" s="74">
        <v>44372</v>
      </c>
      <c r="L37" s="74"/>
      <c r="M37" s="78" t="s">
        <v>6778</v>
      </c>
      <c r="N37" s="78" t="s">
        <v>6707</v>
      </c>
      <c r="O37" s="73" t="s">
        <v>360</v>
      </c>
    </row>
    <row r="38" spans="1:15" s="73" customFormat="1" ht="13" x14ac:dyDescent="0.15">
      <c r="A38" s="78">
        <v>2494881</v>
      </c>
      <c r="B38" s="78" t="s">
        <v>373</v>
      </c>
      <c r="C38" s="78" t="s">
        <v>142</v>
      </c>
      <c r="D38" s="78" t="s">
        <v>142</v>
      </c>
      <c r="E38" s="78" t="s">
        <v>292</v>
      </c>
      <c r="F38" s="78" t="s">
        <v>1052</v>
      </c>
      <c r="G38" s="78" t="s">
        <v>350</v>
      </c>
      <c r="H38" s="77">
        <v>3</v>
      </c>
      <c r="I38" s="55"/>
      <c r="J38" s="74">
        <v>43476</v>
      </c>
      <c r="K38" s="74">
        <v>44467</v>
      </c>
      <c r="L38" s="74"/>
      <c r="M38" s="78" t="s">
        <v>6778</v>
      </c>
      <c r="N38" s="78" t="s">
        <v>6707</v>
      </c>
      <c r="O38" s="73" t="s">
        <v>360</v>
      </c>
    </row>
    <row r="39" spans="1:15" s="73" customFormat="1" ht="13" x14ac:dyDescent="0.15">
      <c r="A39" s="78">
        <v>2496288</v>
      </c>
      <c r="B39" s="78" t="s">
        <v>373</v>
      </c>
      <c r="C39" s="78" t="s">
        <v>142</v>
      </c>
      <c r="D39" s="78" t="s">
        <v>142</v>
      </c>
      <c r="E39" s="78" t="s">
        <v>292</v>
      </c>
      <c r="F39" s="78" t="s">
        <v>976</v>
      </c>
      <c r="G39" s="78" t="s">
        <v>380</v>
      </c>
      <c r="H39" s="77">
        <v>4</v>
      </c>
      <c r="I39" s="55"/>
      <c r="J39" s="74">
        <v>43629</v>
      </c>
      <c r="K39" s="74">
        <v>44435</v>
      </c>
      <c r="L39" s="74"/>
      <c r="M39" s="78" t="s">
        <v>6778</v>
      </c>
      <c r="N39" s="78" t="s">
        <v>6707</v>
      </c>
      <c r="O39" s="73" t="s">
        <v>360</v>
      </c>
    </row>
    <row r="40" spans="1:15" s="73" customFormat="1" ht="13" x14ac:dyDescent="0.15">
      <c r="A40" s="78">
        <v>2497156</v>
      </c>
      <c r="B40" s="78" t="s">
        <v>373</v>
      </c>
      <c r="C40" s="78" t="s">
        <v>142</v>
      </c>
      <c r="D40" s="78" t="s">
        <v>142</v>
      </c>
      <c r="E40" s="78" t="s">
        <v>292</v>
      </c>
      <c r="F40" s="78" t="s">
        <v>1052</v>
      </c>
      <c r="G40" s="78" t="s">
        <v>350</v>
      </c>
      <c r="H40" s="77">
        <v>4</v>
      </c>
      <c r="I40" s="55"/>
      <c r="J40" s="74">
        <v>43483</v>
      </c>
      <c r="K40" s="74">
        <v>44330</v>
      </c>
      <c r="L40" s="74"/>
      <c r="M40" s="78" t="s">
        <v>6778</v>
      </c>
      <c r="N40" s="78" t="s">
        <v>6707</v>
      </c>
      <c r="O40" s="73" t="s">
        <v>360</v>
      </c>
    </row>
    <row r="41" spans="1:15" s="73" customFormat="1" ht="13" x14ac:dyDescent="0.15">
      <c r="A41" s="78">
        <v>2506082</v>
      </c>
      <c r="B41" s="78" t="s">
        <v>373</v>
      </c>
      <c r="C41" s="78" t="s">
        <v>172</v>
      </c>
      <c r="D41" s="78" t="s">
        <v>172</v>
      </c>
      <c r="E41" s="78" t="s">
        <v>173</v>
      </c>
      <c r="F41" s="78" t="s">
        <v>860</v>
      </c>
      <c r="G41" s="78" t="s">
        <v>380</v>
      </c>
      <c r="H41" s="77">
        <v>5</v>
      </c>
      <c r="I41" s="55"/>
      <c r="J41" s="74">
        <v>43447</v>
      </c>
      <c r="K41" s="74">
        <v>44439</v>
      </c>
      <c r="L41" s="74"/>
      <c r="M41" s="78" t="s">
        <v>6778</v>
      </c>
      <c r="N41" s="78" t="s">
        <v>6707</v>
      </c>
      <c r="O41" s="73" t="s">
        <v>360</v>
      </c>
    </row>
    <row r="42" spans="1:15" s="73" customFormat="1" ht="13" x14ac:dyDescent="0.15">
      <c r="A42" s="78">
        <v>2507038</v>
      </c>
      <c r="B42" s="78" t="s">
        <v>1493</v>
      </c>
      <c r="C42" s="78" t="s">
        <v>142</v>
      </c>
      <c r="D42" s="78" t="s">
        <v>142</v>
      </c>
      <c r="E42" s="78" t="s">
        <v>252</v>
      </c>
      <c r="F42" s="78" t="s">
        <v>386</v>
      </c>
      <c r="G42" s="78" t="s">
        <v>350</v>
      </c>
      <c r="H42" s="77">
        <v>18</v>
      </c>
      <c r="I42" s="55"/>
      <c r="J42" s="74">
        <v>43528</v>
      </c>
      <c r="K42" s="74">
        <v>44313</v>
      </c>
      <c r="L42" s="74"/>
      <c r="M42" s="78" t="s">
        <v>6778</v>
      </c>
      <c r="N42" s="78" t="s">
        <v>6707</v>
      </c>
      <c r="O42" s="73" t="s">
        <v>360</v>
      </c>
    </row>
    <row r="43" spans="1:15" s="73" customFormat="1" ht="13" x14ac:dyDescent="0.15">
      <c r="A43" s="78">
        <v>2507391</v>
      </c>
      <c r="B43" s="78" t="s">
        <v>373</v>
      </c>
      <c r="C43" s="78" t="s">
        <v>142</v>
      </c>
      <c r="D43" s="78" t="s">
        <v>142</v>
      </c>
      <c r="E43" s="78" t="s">
        <v>293</v>
      </c>
      <c r="F43" s="78" t="s">
        <v>1060</v>
      </c>
      <c r="G43" s="78" t="s">
        <v>350</v>
      </c>
      <c r="H43" s="77">
        <v>4</v>
      </c>
      <c r="I43" s="55"/>
      <c r="J43" s="74">
        <v>43534</v>
      </c>
      <c r="K43" s="74">
        <v>44417</v>
      </c>
      <c r="L43" s="74"/>
      <c r="M43" s="78" t="s">
        <v>6778</v>
      </c>
      <c r="N43" s="78" t="s">
        <v>6707</v>
      </c>
      <c r="O43" s="73" t="s">
        <v>360</v>
      </c>
    </row>
    <row r="44" spans="1:15" s="73" customFormat="1" ht="13" x14ac:dyDescent="0.15">
      <c r="A44" s="78">
        <v>2516658</v>
      </c>
      <c r="B44" s="78" t="s">
        <v>373</v>
      </c>
      <c r="C44" s="78" t="s">
        <v>378</v>
      </c>
      <c r="D44" s="78" t="s">
        <v>134</v>
      </c>
      <c r="E44" s="78" t="s">
        <v>133</v>
      </c>
      <c r="F44" s="78" t="s">
        <v>1804</v>
      </c>
      <c r="G44" s="78" t="s">
        <v>350</v>
      </c>
      <c r="H44" s="77">
        <v>1</v>
      </c>
      <c r="I44" s="55"/>
      <c r="J44" s="74">
        <v>43707</v>
      </c>
      <c r="K44" s="74">
        <v>44592</v>
      </c>
      <c r="L44" s="74"/>
      <c r="M44" s="78" t="s">
        <v>6778</v>
      </c>
      <c r="N44" s="78" t="s">
        <v>6707</v>
      </c>
      <c r="O44" s="73" t="s">
        <v>360</v>
      </c>
    </row>
    <row r="45" spans="1:15" s="73" customFormat="1" ht="13" x14ac:dyDescent="0.15">
      <c r="A45" s="78">
        <v>2517433</v>
      </c>
      <c r="B45" s="78" t="s">
        <v>373</v>
      </c>
      <c r="C45" s="78" t="s">
        <v>172</v>
      </c>
      <c r="D45" s="78" t="s">
        <v>172</v>
      </c>
      <c r="E45" s="78" t="s">
        <v>173</v>
      </c>
      <c r="F45" s="78" t="s">
        <v>1069</v>
      </c>
      <c r="G45" s="78" t="s">
        <v>350</v>
      </c>
      <c r="H45" s="77">
        <v>4</v>
      </c>
      <c r="I45" s="55"/>
      <c r="J45" s="74">
        <v>43679</v>
      </c>
      <c r="K45" s="74">
        <v>44347</v>
      </c>
      <c r="L45" s="74"/>
      <c r="M45" s="78" t="s">
        <v>6778</v>
      </c>
      <c r="N45" s="78" t="s">
        <v>6707</v>
      </c>
      <c r="O45" s="73" t="s">
        <v>360</v>
      </c>
    </row>
    <row r="46" spans="1:15" s="73" customFormat="1" ht="13" x14ac:dyDescent="0.15">
      <c r="A46" s="78">
        <v>2519084</v>
      </c>
      <c r="B46" s="78" t="s">
        <v>373</v>
      </c>
      <c r="C46" s="78" t="s">
        <v>142</v>
      </c>
      <c r="D46" s="78" t="s">
        <v>142</v>
      </c>
      <c r="E46" s="78" t="s">
        <v>262</v>
      </c>
      <c r="F46" s="78" t="s">
        <v>488</v>
      </c>
      <c r="G46" s="78" t="s">
        <v>350</v>
      </c>
      <c r="H46" s="77">
        <v>3</v>
      </c>
      <c r="I46" s="55"/>
      <c r="J46" s="74">
        <v>43599</v>
      </c>
      <c r="K46" s="74">
        <v>44358</v>
      </c>
      <c r="L46" s="74"/>
      <c r="M46" s="78" t="s">
        <v>6778</v>
      </c>
      <c r="N46" s="78" t="s">
        <v>6707</v>
      </c>
      <c r="O46" s="73" t="s">
        <v>360</v>
      </c>
    </row>
    <row r="47" spans="1:15" s="73" customFormat="1" ht="13" x14ac:dyDescent="0.15">
      <c r="A47" s="78">
        <v>2522361</v>
      </c>
      <c r="B47" s="78" t="s">
        <v>451</v>
      </c>
      <c r="C47" s="78" t="s">
        <v>129</v>
      </c>
      <c r="D47" s="78" t="s">
        <v>129</v>
      </c>
      <c r="E47" s="78" t="s">
        <v>269</v>
      </c>
      <c r="F47" s="78" t="s">
        <v>1951</v>
      </c>
      <c r="G47" s="78" t="s">
        <v>350</v>
      </c>
      <c r="H47" s="77">
        <v>5</v>
      </c>
      <c r="I47" s="55"/>
      <c r="J47" s="74">
        <v>43845</v>
      </c>
      <c r="K47" s="74">
        <v>44340</v>
      </c>
      <c r="L47" s="74"/>
      <c r="M47" s="78" t="s">
        <v>6778</v>
      </c>
      <c r="N47" s="78" t="s">
        <v>6713</v>
      </c>
      <c r="O47" s="73" t="s">
        <v>6719</v>
      </c>
    </row>
    <row r="48" spans="1:15" s="73" customFormat="1" ht="13" x14ac:dyDescent="0.15">
      <c r="A48" s="78">
        <v>2525831</v>
      </c>
      <c r="B48" s="78" t="s">
        <v>373</v>
      </c>
      <c r="C48" s="78" t="s">
        <v>142</v>
      </c>
      <c r="D48" s="78" t="s">
        <v>142</v>
      </c>
      <c r="E48" s="78" t="s">
        <v>282</v>
      </c>
      <c r="F48" s="78" t="s">
        <v>922</v>
      </c>
      <c r="G48" s="78" t="s">
        <v>350</v>
      </c>
      <c r="H48" s="77">
        <v>4</v>
      </c>
      <c r="I48" s="55"/>
      <c r="J48" s="74">
        <v>43622</v>
      </c>
      <c r="K48" s="74">
        <v>44326</v>
      </c>
      <c r="L48" s="74"/>
      <c r="M48" s="78" t="s">
        <v>6778</v>
      </c>
      <c r="N48" s="78" t="s">
        <v>6707</v>
      </c>
      <c r="O48" s="73" t="s">
        <v>360</v>
      </c>
    </row>
    <row r="49" spans="1:15" s="73" customFormat="1" ht="13" x14ac:dyDescent="0.15">
      <c r="A49" s="78">
        <v>2530437</v>
      </c>
      <c r="B49" s="78" t="s">
        <v>373</v>
      </c>
      <c r="C49" s="78" t="s">
        <v>142</v>
      </c>
      <c r="D49" s="78" t="s">
        <v>142</v>
      </c>
      <c r="E49" s="78" t="s">
        <v>265</v>
      </c>
      <c r="F49" s="78" t="s">
        <v>1215</v>
      </c>
      <c r="G49" s="78" t="s">
        <v>350</v>
      </c>
      <c r="H49" s="77">
        <v>3</v>
      </c>
      <c r="I49" s="55"/>
      <c r="J49" s="74">
        <v>43860</v>
      </c>
      <c r="K49" s="74">
        <v>44548</v>
      </c>
      <c r="L49" s="74"/>
      <c r="M49" s="78" t="s">
        <v>6778</v>
      </c>
      <c r="N49" s="78" t="s">
        <v>6707</v>
      </c>
      <c r="O49" s="73" t="s">
        <v>360</v>
      </c>
    </row>
    <row r="50" spans="1:15" s="73" customFormat="1" ht="13" x14ac:dyDescent="0.15">
      <c r="A50" s="78">
        <v>2530801</v>
      </c>
      <c r="B50" s="78" t="s">
        <v>373</v>
      </c>
      <c r="C50" s="78" t="s">
        <v>136</v>
      </c>
      <c r="D50" s="78" t="s">
        <v>136</v>
      </c>
      <c r="E50" s="78" t="s">
        <v>255</v>
      </c>
      <c r="F50" s="78" t="s">
        <v>583</v>
      </c>
      <c r="G50" s="78" t="s">
        <v>350</v>
      </c>
      <c r="H50" s="77">
        <v>8</v>
      </c>
      <c r="I50" s="55"/>
      <c r="J50" s="74">
        <v>43641</v>
      </c>
      <c r="K50" s="74">
        <v>44309</v>
      </c>
      <c r="L50" s="74"/>
      <c r="M50" s="78" t="s">
        <v>6778</v>
      </c>
      <c r="N50" s="78" t="s">
        <v>6707</v>
      </c>
      <c r="O50" s="73" t="s">
        <v>360</v>
      </c>
    </row>
    <row r="51" spans="1:15" s="73" customFormat="1" ht="13" x14ac:dyDescent="0.15">
      <c r="A51" s="78">
        <v>2530975</v>
      </c>
      <c r="B51" s="78" t="s">
        <v>413</v>
      </c>
      <c r="C51" s="78" t="s">
        <v>150</v>
      </c>
      <c r="D51" s="78" t="s">
        <v>150</v>
      </c>
      <c r="E51" s="78" t="s">
        <v>156</v>
      </c>
      <c r="F51" s="78" t="s">
        <v>2094</v>
      </c>
      <c r="G51" s="78" t="s">
        <v>350</v>
      </c>
      <c r="H51" s="77">
        <v>39</v>
      </c>
      <c r="I51" s="55"/>
      <c r="J51" s="74">
        <v>43843</v>
      </c>
      <c r="K51" s="74">
        <v>43711</v>
      </c>
      <c r="L51" s="74"/>
      <c r="M51" s="78" t="s">
        <v>6778</v>
      </c>
      <c r="N51" s="78" t="s">
        <v>6707</v>
      </c>
      <c r="O51" s="73" t="s">
        <v>6786</v>
      </c>
    </row>
    <row r="52" spans="1:15" s="73" customFormat="1" ht="13" x14ac:dyDescent="0.15">
      <c r="A52" s="78">
        <v>2530977</v>
      </c>
      <c r="B52" s="78" t="s">
        <v>373</v>
      </c>
      <c r="C52" s="78" t="s">
        <v>136</v>
      </c>
      <c r="D52" s="78" t="s">
        <v>136</v>
      </c>
      <c r="E52" s="78" t="s">
        <v>165</v>
      </c>
      <c r="F52" s="78" t="s">
        <v>2318</v>
      </c>
      <c r="G52" s="78" t="s">
        <v>362</v>
      </c>
      <c r="H52" s="77">
        <v>6</v>
      </c>
      <c r="I52" s="55"/>
      <c r="J52" s="74">
        <v>43616</v>
      </c>
      <c r="K52" s="74">
        <v>44607</v>
      </c>
      <c r="L52" s="74"/>
      <c r="M52" s="78" t="s">
        <v>6778</v>
      </c>
      <c r="N52" s="78" t="s">
        <v>6707</v>
      </c>
      <c r="O52" s="73" t="s">
        <v>360</v>
      </c>
    </row>
    <row r="53" spans="1:15" s="73" customFormat="1" ht="13" x14ac:dyDescent="0.15">
      <c r="A53" s="78">
        <v>2540092</v>
      </c>
      <c r="B53" s="78" t="s">
        <v>373</v>
      </c>
      <c r="C53" s="78" t="s">
        <v>142</v>
      </c>
      <c r="D53" s="78" t="s">
        <v>142</v>
      </c>
      <c r="E53" s="78" t="s">
        <v>254</v>
      </c>
      <c r="F53" s="78" t="s">
        <v>254</v>
      </c>
      <c r="G53" s="78" t="s">
        <v>350</v>
      </c>
      <c r="H53" s="77">
        <v>3</v>
      </c>
      <c r="I53" s="55"/>
      <c r="J53" s="74">
        <v>44428</v>
      </c>
      <c r="K53" s="74"/>
      <c r="L53" s="74" t="s">
        <v>6784</v>
      </c>
      <c r="M53" s="78"/>
      <c r="N53" s="78" t="s">
        <v>344</v>
      </c>
      <c r="O53" s="73" t="s">
        <v>360</v>
      </c>
    </row>
    <row r="54" spans="1:15" s="73" customFormat="1" ht="13" x14ac:dyDescent="0.15">
      <c r="A54" s="78">
        <v>2548567</v>
      </c>
      <c r="B54" s="78" t="s">
        <v>373</v>
      </c>
      <c r="C54" s="78" t="s">
        <v>142</v>
      </c>
      <c r="D54" s="78" t="s">
        <v>142</v>
      </c>
      <c r="E54" s="78" t="s">
        <v>293</v>
      </c>
      <c r="F54" s="78" t="s">
        <v>1060</v>
      </c>
      <c r="G54" s="78" t="s">
        <v>362</v>
      </c>
      <c r="H54" s="77">
        <v>8</v>
      </c>
      <c r="I54" s="55"/>
      <c r="J54" s="74">
        <v>43739</v>
      </c>
      <c r="K54" s="74">
        <v>44428</v>
      </c>
      <c r="L54" s="74"/>
      <c r="M54" s="78" t="s">
        <v>6778</v>
      </c>
      <c r="N54" s="78" t="s">
        <v>6707</v>
      </c>
      <c r="O54" s="73" t="s">
        <v>360</v>
      </c>
    </row>
    <row r="55" spans="1:15" s="73" customFormat="1" ht="13" x14ac:dyDescent="0.15">
      <c r="A55" s="78">
        <v>2549709</v>
      </c>
      <c r="B55" s="78" t="s">
        <v>373</v>
      </c>
      <c r="C55" s="78" t="s">
        <v>142</v>
      </c>
      <c r="D55" s="78" t="s">
        <v>142</v>
      </c>
      <c r="E55" s="78" t="s">
        <v>293</v>
      </c>
      <c r="F55" s="78" t="s">
        <v>1060</v>
      </c>
      <c r="G55" s="78" t="s">
        <v>362</v>
      </c>
      <c r="H55" s="77">
        <v>4</v>
      </c>
      <c r="I55" s="55"/>
      <c r="J55" s="74">
        <v>43739</v>
      </c>
      <c r="K55" s="74">
        <v>44407</v>
      </c>
      <c r="L55" s="74"/>
      <c r="M55" s="78" t="s">
        <v>6778</v>
      </c>
      <c r="N55" s="78" t="s">
        <v>6707</v>
      </c>
      <c r="O55" s="73" t="s">
        <v>360</v>
      </c>
    </row>
    <row r="56" spans="1:15" s="73" customFormat="1" ht="13" x14ac:dyDescent="0.15">
      <c r="A56" s="78">
        <v>2566231</v>
      </c>
      <c r="B56" s="78" t="s">
        <v>373</v>
      </c>
      <c r="C56" s="78" t="s">
        <v>142</v>
      </c>
      <c r="D56" s="78" t="s">
        <v>142</v>
      </c>
      <c r="E56" s="78" t="s">
        <v>177</v>
      </c>
      <c r="F56" s="78" t="s">
        <v>5872</v>
      </c>
      <c r="G56" s="78" t="s">
        <v>362</v>
      </c>
      <c r="H56" s="77">
        <v>1</v>
      </c>
      <c r="I56" s="55"/>
      <c r="J56" s="74">
        <v>43983</v>
      </c>
      <c r="K56" s="74">
        <v>44550</v>
      </c>
      <c r="L56" s="74"/>
      <c r="M56" s="78" t="s">
        <v>6778</v>
      </c>
      <c r="N56" s="78" t="s">
        <v>6707</v>
      </c>
      <c r="O56" s="73" t="s">
        <v>360</v>
      </c>
    </row>
    <row r="57" spans="1:15" s="73" customFormat="1" ht="13" x14ac:dyDescent="0.15">
      <c r="A57" s="78">
        <v>2567658</v>
      </c>
      <c r="B57" s="78" t="s">
        <v>373</v>
      </c>
      <c r="C57" s="78" t="s">
        <v>142</v>
      </c>
      <c r="D57" s="78" t="s">
        <v>142</v>
      </c>
      <c r="E57" s="78" t="s">
        <v>141</v>
      </c>
      <c r="F57" s="78" t="s">
        <v>1226</v>
      </c>
      <c r="G57" s="78" t="s">
        <v>350</v>
      </c>
      <c r="H57" s="77">
        <v>2</v>
      </c>
      <c r="I57" s="55"/>
      <c r="J57" s="74">
        <v>43992</v>
      </c>
      <c r="K57" s="74">
        <v>44603</v>
      </c>
      <c r="L57" s="74"/>
      <c r="M57" s="78" t="s">
        <v>6778</v>
      </c>
      <c r="N57" s="78" t="s">
        <v>6707</v>
      </c>
      <c r="O57" s="73" t="s">
        <v>360</v>
      </c>
    </row>
    <row r="58" spans="1:15" s="73" customFormat="1" ht="13" x14ac:dyDescent="0.15">
      <c r="A58" s="78">
        <v>2569519</v>
      </c>
      <c r="B58" s="78" t="s">
        <v>373</v>
      </c>
      <c r="C58" s="78" t="s">
        <v>172</v>
      </c>
      <c r="D58" s="78" t="s">
        <v>172</v>
      </c>
      <c r="E58" s="78" t="s">
        <v>214</v>
      </c>
      <c r="F58" s="78" t="s">
        <v>1632</v>
      </c>
      <c r="G58" s="78" t="s">
        <v>350</v>
      </c>
      <c r="H58" s="77">
        <v>5</v>
      </c>
      <c r="I58" s="55"/>
      <c r="J58" s="74">
        <v>43930</v>
      </c>
      <c r="K58" s="74">
        <v>44571</v>
      </c>
      <c r="L58" s="74"/>
      <c r="M58" s="78" t="s">
        <v>6778</v>
      </c>
      <c r="N58" s="78" t="s">
        <v>6707</v>
      </c>
      <c r="O58" s="73" t="s">
        <v>360</v>
      </c>
    </row>
    <row r="59" spans="1:15" s="73" customFormat="1" ht="13" x14ac:dyDescent="0.15">
      <c r="A59" s="78">
        <v>2569652</v>
      </c>
      <c r="B59" s="78" t="s">
        <v>693</v>
      </c>
      <c r="C59" s="78" t="s">
        <v>150</v>
      </c>
      <c r="D59" s="78" t="s">
        <v>150</v>
      </c>
      <c r="E59" s="78" t="s">
        <v>240</v>
      </c>
      <c r="F59" s="78" t="s">
        <v>1784</v>
      </c>
      <c r="G59" s="78" t="s">
        <v>362</v>
      </c>
      <c r="H59" s="77">
        <v>128</v>
      </c>
      <c r="I59" s="55"/>
      <c r="J59" s="74">
        <v>43790</v>
      </c>
      <c r="K59" s="74">
        <v>43999</v>
      </c>
      <c r="L59" s="74"/>
      <c r="M59" s="78" t="s">
        <v>6778</v>
      </c>
      <c r="N59" s="78" t="s">
        <v>6707</v>
      </c>
      <c r="O59" s="73" t="s">
        <v>6787</v>
      </c>
    </row>
    <row r="60" spans="1:15" s="73" customFormat="1" ht="13" x14ac:dyDescent="0.15">
      <c r="A60" s="78">
        <v>2570481</v>
      </c>
      <c r="B60" s="78" t="s">
        <v>373</v>
      </c>
      <c r="C60" s="78" t="s">
        <v>144</v>
      </c>
      <c r="D60" s="78" t="s">
        <v>144</v>
      </c>
      <c r="E60" s="78" t="s">
        <v>209</v>
      </c>
      <c r="F60" s="78" t="s">
        <v>629</v>
      </c>
      <c r="G60" s="78" t="s">
        <v>350</v>
      </c>
      <c r="H60" s="77">
        <v>3</v>
      </c>
      <c r="I60" s="55"/>
      <c r="J60" s="74">
        <v>43970</v>
      </c>
      <c r="K60" s="74">
        <v>44589</v>
      </c>
      <c r="L60" s="74"/>
      <c r="M60" s="78" t="s">
        <v>6778</v>
      </c>
      <c r="N60" s="78" t="s">
        <v>6707</v>
      </c>
      <c r="O60" s="73" t="s">
        <v>360</v>
      </c>
    </row>
    <row r="61" spans="1:15" s="73" customFormat="1" ht="13" x14ac:dyDescent="0.15">
      <c r="A61" s="78">
        <v>2571033</v>
      </c>
      <c r="B61" s="78" t="s">
        <v>373</v>
      </c>
      <c r="C61" s="78" t="s">
        <v>144</v>
      </c>
      <c r="D61" s="78" t="s">
        <v>144</v>
      </c>
      <c r="E61" s="78" t="s">
        <v>209</v>
      </c>
      <c r="F61" s="78" t="s">
        <v>777</v>
      </c>
      <c r="G61" s="78" t="s">
        <v>350</v>
      </c>
      <c r="H61" s="77">
        <v>1</v>
      </c>
      <c r="I61" s="55"/>
      <c r="J61" s="74">
        <v>43945</v>
      </c>
      <c r="K61" s="74">
        <v>44560</v>
      </c>
      <c r="L61" s="74"/>
      <c r="M61" s="78" t="s">
        <v>6778</v>
      </c>
      <c r="N61" s="78" t="s">
        <v>6707</v>
      </c>
      <c r="O61" s="73" t="s">
        <v>360</v>
      </c>
    </row>
    <row r="62" spans="1:15" s="73" customFormat="1" ht="13" x14ac:dyDescent="0.15">
      <c r="A62" s="78">
        <v>2572132</v>
      </c>
      <c r="B62" s="78" t="s">
        <v>373</v>
      </c>
      <c r="C62" s="78" t="s">
        <v>142</v>
      </c>
      <c r="D62" s="78" t="s">
        <v>142</v>
      </c>
      <c r="E62" s="78" t="s">
        <v>272</v>
      </c>
      <c r="F62" s="78" t="s">
        <v>1291</v>
      </c>
      <c r="G62" s="78" t="s">
        <v>350</v>
      </c>
      <c r="H62" s="77">
        <v>3</v>
      </c>
      <c r="I62" s="55"/>
      <c r="J62" s="74">
        <v>43899</v>
      </c>
      <c r="K62" s="74">
        <v>44571</v>
      </c>
      <c r="L62" s="74"/>
      <c r="M62" s="78" t="s">
        <v>6778</v>
      </c>
      <c r="N62" s="78" t="s">
        <v>6707</v>
      </c>
      <c r="O62" s="73" t="s">
        <v>360</v>
      </c>
    </row>
    <row r="63" spans="1:15" s="73" customFormat="1" ht="13" x14ac:dyDescent="0.15">
      <c r="A63" s="78">
        <v>2572812</v>
      </c>
      <c r="B63" s="78" t="s">
        <v>373</v>
      </c>
      <c r="C63" s="78" t="s">
        <v>150</v>
      </c>
      <c r="D63" s="78" t="s">
        <v>150</v>
      </c>
      <c r="E63" s="78" t="s">
        <v>218</v>
      </c>
      <c r="F63" s="78" t="s">
        <v>1086</v>
      </c>
      <c r="G63" s="78" t="s">
        <v>350</v>
      </c>
      <c r="H63" s="77">
        <v>5</v>
      </c>
      <c r="I63" s="55"/>
      <c r="J63" s="74">
        <v>44593</v>
      </c>
      <c r="K63" s="74"/>
      <c r="L63" s="74" t="s">
        <v>6784</v>
      </c>
      <c r="M63" s="78"/>
      <c r="N63" s="78" t="s">
        <v>344</v>
      </c>
      <c r="O63" s="73" t="s">
        <v>360</v>
      </c>
    </row>
    <row r="64" spans="1:15" s="73" customFormat="1" ht="13" x14ac:dyDescent="0.15">
      <c r="A64" s="78">
        <v>2575004</v>
      </c>
      <c r="B64" s="78" t="s">
        <v>373</v>
      </c>
      <c r="C64" s="78" t="s">
        <v>136</v>
      </c>
      <c r="D64" s="78" t="s">
        <v>136</v>
      </c>
      <c r="E64" s="78" t="s">
        <v>185</v>
      </c>
      <c r="F64" s="78" t="s">
        <v>898</v>
      </c>
      <c r="G64" s="78" t="s">
        <v>350</v>
      </c>
      <c r="H64" s="77">
        <v>6</v>
      </c>
      <c r="I64" s="55"/>
      <c r="J64" s="74">
        <v>43921</v>
      </c>
      <c r="K64" s="74">
        <v>44445</v>
      </c>
      <c r="L64" s="74"/>
      <c r="M64" s="78" t="s">
        <v>6778</v>
      </c>
      <c r="N64" s="78" t="s">
        <v>6707</v>
      </c>
      <c r="O64" s="73" t="s">
        <v>360</v>
      </c>
    </row>
    <row r="65" spans="1:15" s="73" customFormat="1" ht="13" x14ac:dyDescent="0.15">
      <c r="A65" s="78">
        <v>2577018</v>
      </c>
      <c r="B65" s="78" t="s">
        <v>373</v>
      </c>
      <c r="C65" s="78" t="s">
        <v>172</v>
      </c>
      <c r="D65" s="78" t="s">
        <v>172</v>
      </c>
      <c r="E65" s="78" t="s">
        <v>173</v>
      </c>
      <c r="F65" s="78" t="s">
        <v>1258</v>
      </c>
      <c r="G65" s="78" t="s">
        <v>350</v>
      </c>
      <c r="H65" s="77">
        <v>3</v>
      </c>
      <c r="I65" s="55"/>
      <c r="J65" s="74">
        <v>43843</v>
      </c>
      <c r="K65" s="74">
        <v>44329</v>
      </c>
      <c r="L65" s="74"/>
      <c r="M65" s="78" t="s">
        <v>6778</v>
      </c>
      <c r="N65" s="78" t="s">
        <v>6707</v>
      </c>
      <c r="O65" s="73" t="s">
        <v>360</v>
      </c>
    </row>
    <row r="66" spans="1:15" s="73" customFormat="1" ht="13" x14ac:dyDescent="0.15">
      <c r="A66" s="78">
        <v>2577036</v>
      </c>
      <c r="B66" s="78" t="s">
        <v>373</v>
      </c>
      <c r="C66" s="78" t="s">
        <v>129</v>
      </c>
      <c r="D66" s="78" t="s">
        <v>129</v>
      </c>
      <c r="E66" s="78" t="s">
        <v>242</v>
      </c>
      <c r="F66" s="78" t="s">
        <v>1192</v>
      </c>
      <c r="G66" s="78" t="s">
        <v>350</v>
      </c>
      <c r="H66" s="77">
        <v>3</v>
      </c>
      <c r="I66" s="55"/>
      <c r="J66" s="74">
        <v>43929</v>
      </c>
      <c r="K66" s="74">
        <v>44500</v>
      </c>
      <c r="L66" s="74"/>
      <c r="M66" s="78" t="s">
        <v>6778</v>
      </c>
      <c r="N66" s="78" t="s">
        <v>6707</v>
      </c>
      <c r="O66" s="73" t="s">
        <v>360</v>
      </c>
    </row>
    <row r="67" spans="1:15" s="73" customFormat="1" ht="13" x14ac:dyDescent="0.15">
      <c r="A67" s="78">
        <v>2579897</v>
      </c>
      <c r="B67" s="78" t="s">
        <v>451</v>
      </c>
      <c r="C67" s="78" t="s">
        <v>172</v>
      </c>
      <c r="D67" s="78" t="s">
        <v>172</v>
      </c>
      <c r="E67" s="78" t="s">
        <v>228</v>
      </c>
      <c r="F67" s="78" t="s">
        <v>423</v>
      </c>
      <c r="G67" s="78" t="s">
        <v>350</v>
      </c>
      <c r="H67" s="77">
        <v>2</v>
      </c>
      <c r="I67" s="55"/>
      <c r="J67" s="74">
        <v>44012</v>
      </c>
      <c r="K67" s="74">
        <v>44562</v>
      </c>
      <c r="L67" s="74"/>
      <c r="M67" s="78" t="s">
        <v>6778</v>
      </c>
      <c r="N67" s="78" t="s">
        <v>6707</v>
      </c>
      <c r="O67" s="73" t="s">
        <v>6727</v>
      </c>
    </row>
    <row r="68" spans="1:15" s="73" customFormat="1" ht="13" x14ac:dyDescent="0.15">
      <c r="A68" s="78">
        <v>2580887</v>
      </c>
      <c r="B68" s="78" t="s">
        <v>373</v>
      </c>
      <c r="C68" s="78" t="s">
        <v>138</v>
      </c>
      <c r="D68" s="78" t="s">
        <v>138</v>
      </c>
      <c r="E68" s="78" t="s">
        <v>224</v>
      </c>
      <c r="F68" s="78" t="s">
        <v>374</v>
      </c>
      <c r="G68" s="78" t="s">
        <v>350</v>
      </c>
      <c r="H68" s="77">
        <v>4</v>
      </c>
      <c r="I68" s="55"/>
      <c r="J68" s="74">
        <v>43964</v>
      </c>
      <c r="K68" s="74">
        <v>44553</v>
      </c>
      <c r="L68" s="74"/>
      <c r="M68" s="78" t="s">
        <v>6778</v>
      </c>
      <c r="N68" s="78" t="s">
        <v>6713</v>
      </c>
      <c r="O68" s="73" t="s">
        <v>360</v>
      </c>
    </row>
    <row r="69" spans="1:15" s="73" customFormat="1" ht="13" x14ac:dyDescent="0.15">
      <c r="A69" s="78">
        <v>2581187</v>
      </c>
      <c r="B69" s="78" t="s">
        <v>373</v>
      </c>
      <c r="C69" s="78" t="s">
        <v>142</v>
      </c>
      <c r="D69" s="78" t="s">
        <v>142</v>
      </c>
      <c r="E69" s="78" t="s">
        <v>249</v>
      </c>
      <c r="F69" s="78" t="s">
        <v>1181</v>
      </c>
      <c r="G69" s="78" t="s">
        <v>350</v>
      </c>
      <c r="H69" s="77">
        <v>4</v>
      </c>
      <c r="I69" s="55"/>
      <c r="J69" s="74">
        <v>44062</v>
      </c>
      <c r="K69" s="74">
        <v>44616</v>
      </c>
      <c r="L69" s="74"/>
      <c r="M69" s="78" t="s">
        <v>6778</v>
      </c>
      <c r="N69" s="78" t="s">
        <v>6707</v>
      </c>
      <c r="O69" s="73" t="s">
        <v>360</v>
      </c>
    </row>
    <row r="70" spans="1:15" s="73" customFormat="1" ht="13" x14ac:dyDescent="0.15">
      <c r="A70" s="78">
        <v>2584728</v>
      </c>
      <c r="B70" s="78" t="s">
        <v>443</v>
      </c>
      <c r="C70" s="78" t="s">
        <v>129</v>
      </c>
      <c r="D70" s="78" t="s">
        <v>129</v>
      </c>
      <c r="E70" s="78" t="s">
        <v>155</v>
      </c>
      <c r="F70" s="78" t="s">
        <v>482</v>
      </c>
      <c r="G70" s="78" t="s">
        <v>350</v>
      </c>
      <c r="H70" s="77"/>
      <c r="I70" s="55"/>
      <c r="J70" s="74">
        <v>43952</v>
      </c>
      <c r="K70" s="74">
        <v>44456</v>
      </c>
      <c r="L70" s="74"/>
      <c r="M70" s="78" t="s">
        <v>6778</v>
      </c>
      <c r="N70" s="78" t="s">
        <v>6707</v>
      </c>
      <c r="O70" s="73" t="s">
        <v>6788</v>
      </c>
    </row>
    <row r="71" spans="1:15" s="73" customFormat="1" ht="13" x14ac:dyDescent="0.15">
      <c r="A71" s="78">
        <v>2585079</v>
      </c>
      <c r="B71" s="78" t="s">
        <v>373</v>
      </c>
      <c r="C71" s="78" t="s">
        <v>144</v>
      </c>
      <c r="D71" s="78" t="s">
        <v>144</v>
      </c>
      <c r="E71" s="78" t="s">
        <v>162</v>
      </c>
      <c r="F71" s="78" t="s">
        <v>516</v>
      </c>
      <c r="G71" s="78" t="s">
        <v>350</v>
      </c>
      <c r="H71" s="77">
        <v>3</v>
      </c>
      <c r="I71" s="55"/>
      <c r="J71" s="74">
        <v>43979</v>
      </c>
      <c r="K71" s="74">
        <v>44571</v>
      </c>
      <c r="L71" s="74"/>
      <c r="M71" s="78" t="s">
        <v>6778</v>
      </c>
      <c r="N71" s="78" t="s">
        <v>6707</v>
      </c>
      <c r="O71" s="73" t="s">
        <v>360</v>
      </c>
    </row>
    <row r="72" spans="1:15" s="73" customFormat="1" ht="13" x14ac:dyDescent="0.15">
      <c r="A72" s="78">
        <v>2589440</v>
      </c>
      <c r="B72" s="78" t="s">
        <v>373</v>
      </c>
      <c r="C72" s="78" t="s">
        <v>378</v>
      </c>
      <c r="D72" s="78" t="s">
        <v>134</v>
      </c>
      <c r="E72" s="78" t="s">
        <v>246</v>
      </c>
      <c r="F72" s="78" t="s">
        <v>246</v>
      </c>
      <c r="G72" s="78" t="s">
        <v>350</v>
      </c>
      <c r="H72" s="77">
        <v>1</v>
      </c>
      <c r="I72" s="55"/>
      <c r="J72" s="74">
        <v>44356</v>
      </c>
      <c r="K72" s="74"/>
      <c r="L72" s="74" t="s">
        <v>6784</v>
      </c>
      <c r="M72" s="78"/>
      <c r="N72" s="78" t="s">
        <v>344</v>
      </c>
      <c r="O72" s="73" t="s">
        <v>360</v>
      </c>
    </row>
    <row r="73" spans="1:15" s="73" customFormat="1" ht="13" x14ac:dyDescent="0.15">
      <c r="A73" s="78">
        <v>2593058</v>
      </c>
      <c r="B73" s="78" t="s">
        <v>389</v>
      </c>
      <c r="C73" s="78" t="s">
        <v>150</v>
      </c>
      <c r="D73" s="78" t="s">
        <v>150</v>
      </c>
      <c r="E73" s="78" t="s">
        <v>153</v>
      </c>
      <c r="F73" s="78" t="s">
        <v>1331</v>
      </c>
      <c r="G73" s="78" t="s">
        <v>350</v>
      </c>
      <c r="H73" s="77"/>
      <c r="I73" s="55"/>
      <c r="J73" s="74">
        <v>44421</v>
      </c>
      <c r="K73" s="74"/>
      <c r="L73" s="74" t="s">
        <v>6784</v>
      </c>
      <c r="M73" s="78"/>
      <c r="N73" s="78" t="s">
        <v>344</v>
      </c>
      <c r="O73" s="73" t="s">
        <v>1876</v>
      </c>
    </row>
    <row r="74" spans="1:15" s="73" customFormat="1" ht="13" x14ac:dyDescent="0.15">
      <c r="A74" s="78">
        <v>2593709</v>
      </c>
      <c r="B74" s="78" t="s">
        <v>373</v>
      </c>
      <c r="C74" s="78" t="s">
        <v>378</v>
      </c>
      <c r="D74" s="78" t="s">
        <v>170</v>
      </c>
      <c r="E74" s="78" t="s">
        <v>222</v>
      </c>
      <c r="F74" s="78" t="s">
        <v>521</v>
      </c>
      <c r="G74" s="78" t="s">
        <v>380</v>
      </c>
      <c r="H74" s="77">
        <v>4</v>
      </c>
      <c r="I74" s="55"/>
      <c r="J74" s="74">
        <v>43966</v>
      </c>
      <c r="K74" s="74">
        <v>44312</v>
      </c>
      <c r="L74" s="74"/>
      <c r="M74" s="78" t="s">
        <v>6778</v>
      </c>
      <c r="N74" s="78" t="s">
        <v>6707</v>
      </c>
      <c r="O74" s="73" t="s">
        <v>360</v>
      </c>
    </row>
    <row r="75" spans="1:15" s="73" customFormat="1" ht="13" x14ac:dyDescent="0.15">
      <c r="A75" s="78">
        <v>2594035</v>
      </c>
      <c r="B75" s="78" t="s">
        <v>373</v>
      </c>
      <c r="C75" s="78" t="s">
        <v>172</v>
      </c>
      <c r="D75" s="78" t="s">
        <v>172</v>
      </c>
      <c r="E75" s="78" t="s">
        <v>214</v>
      </c>
      <c r="F75" s="78" t="s">
        <v>3937</v>
      </c>
      <c r="G75" s="78" t="s">
        <v>380</v>
      </c>
      <c r="H75" s="77">
        <v>6</v>
      </c>
      <c r="I75" s="55"/>
      <c r="J75" s="74">
        <v>43986</v>
      </c>
      <c r="K75" s="74">
        <v>44358</v>
      </c>
      <c r="L75" s="74"/>
      <c r="M75" s="78" t="s">
        <v>6778</v>
      </c>
      <c r="N75" s="78" t="s">
        <v>6707</v>
      </c>
      <c r="O75" s="73" t="s">
        <v>360</v>
      </c>
    </row>
    <row r="76" spans="1:15" s="73" customFormat="1" ht="13" x14ac:dyDescent="0.15">
      <c r="A76" s="78">
        <v>2594775</v>
      </c>
      <c r="B76" s="78" t="s">
        <v>373</v>
      </c>
      <c r="C76" s="78" t="s">
        <v>150</v>
      </c>
      <c r="D76" s="78" t="s">
        <v>150</v>
      </c>
      <c r="E76" s="78" t="s">
        <v>203</v>
      </c>
      <c r="F76" s="78" t="s">
        <v>563</v>
      </c>
      <c r="G76" s="78" t="s">
        <v>350</v>
      </c>
      <c r="H76" s="77">
        <v>4</v>
      </c>
      <c r="I76" s="55"/>
      <c r="J76" s="74">
        <v>44552</v>
      </c>
      <c r="K76" s="74"/>
      <c r="L76" s="74" t="s">
        <v>6784</v>
      </c>
      <c r="M76" s="78"/>
      <c r="N76" s="78" t="s">
        <v>344</v>
      </c>
      <c r="O76" s="73" t="s">
        <v>360</v>
      </c>
    </row>
    <row r="77" spans="1:15" s="73" customFormat="1" ht="13" x14ac:dyDescent="0.15">
      <c r="A77" s="78">
        <v>2596610</v>
      </c>
      <c r="B77" s="78" t="s">
        <v>373</v>
      </c>
      <c r="C77" s="78" t="s">
        <v>150</v>
      </c>
      <c r="D77" s="78" t="s">
        <v>150</v>
      </c>
      <c r="E77" s="78" t="s">
        <v>268</v>
      </c>
      <c r="F77" s="78" t="s">
        <v>1943</v>
      </c>
      <c r="G77" s="78" t="s">
        <v>362</v>
      </c>
      <c r="H77" s="77">
        <v>7</v>
      </c>
      <c r="I77" s="55"/>
      <c r="J77" s="74">
        <v>44057</v>
      </c>
      <c r="K77" s="74">
        <v>44436</v>
      </c>
      <c r="L77" s="74"/>
      <c r="M77" s="78" t="s">
        <v>6778</v>
      </c>
      <c r="N77" s="78" t="s">
        <v>6707</v>
      </c>
      <c r="O77" s="73" t="s">
        <v>360</v>
      </c>
    </row>
    <row r="78" spans="1:15" s="73" customFormat="1" ht="13" x14ac:dyDescent="0.15">
      <c r="A78" s="78">
        <v>2596852</v>
      </c>
      <c r="B78" s="78" t="s">
        <v>373</v>
      </c>
      <c r="C78" s="78" t="s">
        <v>150</v>
      </c>
      <c r="D78" s="78" t="s">
        <v>150</v>
      </c>
      <c r="E78" s="78" t="s">
        <v>268</v>
      </c>
      <c r="F78" s="78" t="s">
        <v>1943</v>
      </c>
      <c r="G78" s="78" t="s">
        <v>362</v>
      </c>
      <c r="H78" s="77">
        <v>7</v>
      </c>
      <c r="I78" s="55"/>
      <c r="J78" s="74">
        <v>44057</v>
      </c>
      <c r="K78" s="74">
        <v>44436</v>
      </c>
      <c r="L78" s="74"/>
      <c r="M78" s="78" t="s">
        <v>6778</v>
      </c>
      <c r="N78" s="78" t="s">
        <v>6707</v>
      </c>
      <c r="O78" s="73" t="s">
        <v>360</v>
      </c>
    </row>
    <row r="79" spans="1:15" s="73" customFormat="1" ht="13" x14ac:dyDescent="0.15">
      <c r="A79" s="78">
        <v>2598804</v>
      </c>
      <c r="B79" s="78" t="s">
        <v>373</v>
      </c>
      <c r="C79" s="78" t="s">
        <v>378</v>
      </c>
      <c r="D79" s="78" t="s">
        <v>134</v>
      </c>
      <c r="E79" s="78" t="s">
        <v>151</v>
      </c>
      <c r="F79" s="78" t="s">
        <v>1921</v>
      </c>
      <c r="G79" s="78" t="s">
        <v>350</v>
      </c>
      <c r="H79" s="77">
        <v>1</v>
      </c>
      <c r="I79" s="55"/>
      <c r="J79" s="74">
        <v>44314</v>
      </c>
      <c r="K79" s="74"/>
      <c r="L79" s="74" t="s">
        <v>6784</v>
      </c>
      <c r="M79" s="78"/>
      <c r="N79" s="78" t="s">
        <v>344</v>
      </c>
      <c r="O79" s="73" t="s">
        <v>360</v>
      </c>
    </row>
    <row r="80" spans="1:15" s="73" customFormat="1" ht="13" x14ac:dyDescent="0.15">
      <c r="A80" s="78">
        <v>2603750</v>
      </c>
      <c r="B80" s="78" t="s">
        <v>373</v>
      </c>
      <c r="C80" s="78" t="s">
        <v>142</v>
      </c>
      <c r="D80" s="78" t="s">
        <v>142</v>
      </c>
      <c r="E80" s="78" t="s">
        <v>292</v>
      </c>
      <c r="F80" s="78" t="s">
        <v>1162</v>
      </c>
      <c r="G80" s="78" t="s">
        <v>350</v>
      </c>
      <c r="H80" s="77">
        <v>3</v>
      </c>
      <c r="I80" s="55"/>
      <c r="J80" s="74">
        <v>44407</v>
      </c>
      <c r="K80" s="74"/>
      <c r="L80" s="74" t="s">
        <v>6784</v>
      </c>
      <c r="M80" s="78"/>
      <c r="N80" s="78" t="s">
        <v>344</v>
      </c>
      <c r="O80" s="73" t="s">
        <v>360</v>
      </c>
    </row>
    <row r="81" spans="1:15" s="73" customFormat="1" ht="13" x14ac:dyDescent="0.15">
      <c r="A81" s="78">
        <v>2605336</v>
      </c>
      <c r="B81" s="78" t="s">
        <v>373</v>
      </c>
      <c r="C81" s="78" t="s">
        <v>150</v>
      </c>
      <c r="D81" s="78" t="s">
        <v>150</v>
      </c>
      <c r="E81" s="78" t="s">
        <v>190</v>
      </c>
      <c r="F81" s="78" t="s">
        <v>1523</v>
      </c>
      <c r="G81" s="78" t="s">
        <v>350</v>
      </c>
      <c r="H81" s="77">
        <v>4</v>
      </c>
      <c r="I81" s="55"/>
      <c r="J81" s="74">
        <v>44301</v>
      </c>
      <c r="K81" s="74"/>
      <c r="L81" s="74" t="s">
        <v>6784</v>
      </c>
      <c r="M81" s="78"/>
      <c r="N81" s="78" t="s">
        <v>344</v>
      </c>
      <c r="O81" s="73" t="s">
        <v>360</v>
      </c>
    </row>
    <row r="82" spans="1:15" s="73" customFormat="1" ht="13" x14ac:dyDescent="0.15">
      <c r="A82" s="78">
        <v>2606467</v>
      </c>
      <c r="B82" s="78" t="s">
        <v>443</v>
      </c>
      <c r="C82" s="78" t="s">
        <v>136</v>
      </c>
      <c r="D82" s="78" t="s">
        <v>136</v>
      </c>
      <c r="E82" s="78" t="s">
        <v>174</v>
      </c>
      <c r="F82" s="78" t="s">
        <v>1975</v>
      </c>
      <c r="G82" s="78" t="s">
        <v>350</v>
      </c>
      <c r="H82" s="77"/>
      <c r="I82" s="55"/>
      <c r="J82" s="74">
        <v>44398</v>
      </c>
      <c r="K82" s="74"/>
      <c r="L82" s="74" t="s">
        <v>6784</v>
      </c>
      <c r="M82" s="78"/>
      <c r="N82" s="78" t="s">
        <v>344</v>
      </c>
      <c r="O82" s="73" t="s">
        <v>1972</v>
      </c>
    </row>
    <row r="83" spans="1:15" s="73" customFormat="1" ht="13" x14ac:dyDescent="0.15">
      <c r="A83" s="78">
        <v>2606502</v>
      </c>
      <c r="B83" s="78" t="s">
        <v>389</v>
      </c>
      <c r="C83" s="78" t="s">
        <v>150</v>
      </c>
      <c r="D83" s="78" t="s">
        <v>150</v>
      </c>
      <c r="E83" s="78" t="s">
        <v>203</v>
      </c>
      <c r="F83" s="78" t="s">
        <v>1263</v>
      </c>
      <c r="G83" s="78" t="s">
        <v>350</v>
      </c>
      <c r="H83" s="77"/>
      <c r="I83" s="55"/>
      <c r="J83" s="74">
        <v>44432</v>
      </c>
      <c r="K83" s="74"/>
      <c r="L83" s="74" t="s">
        <v>6784</v>
      </c>
      <c r="M83" s="78"/>
      <c r="N83" s="78" t="s">
        <v>344</v>
      </c>
      <c r="O83" s="73" t="s">
        <v>1978</v>
      </c>
    </row>
    <row r="84" spans="1:15" s="73" customFormat="1" ht="13" x14ac:dyDescent="0.15">
      <c r="A84" s="78">
        <v>2611027</v>
      </c>
      <c r="B84" s="78" t="s">
        <v>373</v>
      </c>
      <c r="C84" s="78" t="s">
        <v>142</v>
      </c>
      <c r="D84" s="78" t="s">
        <v>142</v>
      </c>
      <c r="E84" s="78" t="s">
        <v>262</v>
      </c>
      <c r="F84" s="78" t="s">
        <v>916</v>
      </c>
      <c r="G84" s="78" t="s">
        <v>350</v>
      </c>
      <c r="H84" s="77">
        <v>10</v>
      </c>
      <c r="I84" s="55"/>
      <c r="J84" s="74">
        <v>44454</v>
      </c>
      <c r="K84" s="74"/>
      <c r="L84" s="74" t="s">
        <v>6784</v>
      </c>
      <c r="M84" s="78"/>
      <c r="N84" s="78" t="s">
        <v>344</v>
      </c>
      <c r="O84" s="73" t="s">
        <v>360</v>
      </c>
    </row>
    <row r="85" spans="1:15" s="73" customFormat="1" ht="13" x14ac:dyDescent="0.15">
      <c r="A85" s="78">
        <v>2611447</v>
      </c>
      <c r="B85" s="78" t="s">
        <v>373</v>
      </c>
      <c r="C85" s="78" t="s">
        <v>150</v>
      </c>
      <c r="D85" s="78" t="s">
        <v>150</v>
      </c>
      <c r="E85" s="78" t="s">
        <v>156</v>
      </c>
      <c r="F85" s="78" t="s">
        <v>1217</v>
      </c>
      <c r="G85" s="78" t="s">
        <v>380</v>
      </c>
      <c r="H85" s="77">
        <v>5</v>
      </c>
      <c r="I85" s="55"/>
      <c r="J85" s="74">
        <v>44349</v>
      </c>
      <c r="K85" s="74"/>
      <c r="L85" s="74" t="s">
        <v>6784</v>
      </c>
      <c r="M85" s="78"/>
      <c r="N85" s="78" t="s">
        <v>344</v>
      </c>
      <c r="O85" s="73" t="s">
        <v>360</v>
      </c>
    </row>
    <row r="86" spans="1:15" s="73" customFormat="1" ht="13" x14ac:dyDescent="0.15">
      <c r="A86" s="78">
        <v>2611536</v>
      </c>
      <c r="B86" s="78" t="s">
        <v>373</v>
      </c>
      <c r="C86" s="78" t="s">
        <v>136</v>
      </c>
      <c r="D86" s="78" t="s">
        <v>136</v>
      </c>
      <c r="E86" s="78" t="s">
        <v>174</v>
      </c>
      <c r="F86" s="78" t="s">
        <v>570</v>
      </c>
      <c r="G86" s="78" t="s">
        <v>350</v>
      </c>
      <c r="H86" s="77">
        <v>5</v>
      </c>
      <c r="I86" s="55"/>
      <c r="J86" s="74">
        <v>44323</v>
      </c>
      <c r="K86" s="74"/>
      <c r="L86" s="74" t="s">
        <v>6784</v>
      </c>
      <c r="M86" s="78"/>
      <c r="N86" s="78" t="s">
        <v>344</v>
      </c>
      <c r="O86" s="73" t="s">
        <v>360</v>
      </c>
    </row>
    <row r="87" spans="1:15" s="73" customFormat="1" ht="13" x14ac:dyDescent="0.15">
      <c r="A87" s="78">
        <v>2611667</v>
      </c>
      <c r="B87" s="78" t="s">
        <v>373</v>
      </c>
      <c r="C87" s="78" t="s">
        <v>144</v>
      </c>
      <c r="D87" s="78" t="s">
        <v>144</v>
      </c>
      <c r="E87" s="78" t="s">
        <v>215</v>
      </c>
      <c r="F87" s="78" t="s">
        <v>1440</v>
      </c>
      <c r="G87" s="78" t="s">
        <v>350</v>
      </c>
      <c r="H87" s="77">
        <v>3</v>
      </c>
      <c r="I87" s="55"/>
      <c r="J87" s="74">
        <v>44166</v>
      </c>
      <c r="K87" s="74">
        <v>44567</v>
      </c>
      <c r="L87" s="74"/>
      <c r="M87" s="78" t="s">
        <v>6778</v>
      </c>
      <c r="N87" s="78" t="s">
        <v>6707</v>
      </c>
      <c r="O87" s="73" t="s">
        <v>360</v>
      </c>
    </row>
    <row r="88" spans="1:15" s="73" customFormat="1" ht="13" x14ac:dyDescent="0.15">
      <c r="A88" s="78">
        <v>2612013</v>
      </c>
      <c r="B88" s="78" t="s">
        <v>373</v>
      </c>
      <c r="C88" s="78" t="s">
        <v>129</v>
      </c>
      <c r="D88" s="78" t="s">
        <v>129</v>
      </c>
      <c r="E88" s="78" t="s">
        <v>139</v>
      </c>
      <c r="F88" s="78" t="s">
        <v>1639</v>
      </c>
      <c r="G88" s="78" t="s">
        <v>350</v>
      </c>
      <c r="H88" s="77">
        <v>4</v>
      </c>
      <c r="I88" s="55"/>
      <c r="J88" s="74">
        <v>44508</v>
      </c>
      <c r="K88" s="74"/>
      <c r="L88" s="74" t="s">
        <v>6784</v>
      </c>
      <c r="M88" s="78"/>
      <c r="N88" s="78" t="s">
        <v>344</v>
      </c>
      <c r="O88" s="73" t="s">
        <v>360</v>
      </c>
    </row>
    <row r="89" spans="1:15" s="73" customFormat="1" ht="13" x14ac:dyDescent="0.15">
      <c r="A89" s="78">
        <v>2612071</v>
      </c>
      <c r="B89" s="78" t="s">
        <v>373</v>
      </c>
      <c r="C89" s="78" t="s">
        <v>144</v>
      </c>
      <c r="D89" s="78" t="s">
        <v>144</v>
      </c>
      <c r="E89" s="78" t="s">
        <v>145</v>
      </c>
      <c r="F89" s="78" t="s">
        <v>484</v>
      </c>
      <c r="G89" s="78" t="s">
        <v>350</v>
      </c>
      <c r="H89" s="77">
        <v>4</v>
      </c>
      <c r="I89" s="55"/>
      <c r="J89" s="74">
        <v>44164</v>
      </c>
      <c r="K89" s="74">
        <v>44537</v>
      </c>
      <c r="L89" s="74"/>
      <c r="M89" s="78" t="s">
        <v>6778</v>
      </c>
      <c r="N89" s="78" t="s">
        <v>6707</v>
      </c>
      <c r="O89" s="73" t="s">
        <v>360</v>
      </c>
    </row>
    <row r="90" spans="1:15" s="73" customFormat="1" ht="13" x14ac:dyDescent="0.15">
      <c r="A90" s="78">
        <v>2612115</v>
      </c>
      <c r="B90" s="78" t="s">
        <v>373</v>
      </c>
      <c r="C90" s="78" t="s">
        <v>142</v>
      </c>
      <c r="D90" s="78" t="s">
        <v>142</v>
      </c>
      <c r="E90" s="78" t="s">
        <v>262</v>
      </c>
      <c r="F90" s="78" t="s">
        <v>1859</v>
      </c>
      <c r="G90" s="78" t="s">
        <v>350</v>
      </c>
      <c r="H90" s="77">
        <v>4</v>
      </c>
      <c r="I90" s="55"/>
      <c r="J90" s="74">
        <v>44447</v>
      </c>
      <c r="K90" s="74"/>
      <c r="L90" s="74" t="s">
        <v>6784</v>
      </c>
      <c r="M90" s="78"/>
      <c r="N90" s="78" t="s">
        <v>344</v>
      </c>
      <c r="O90" s="73" t="s">
        <v>360</v>
      </c>
    </row>
    <row r="91" spans="1:15" s="73" customFormat="1" ht="13" x14ac:dyDescent="0.15">
      <c r="A91" s="78">
        <v>2612347</v>
      </c>
      <c r="B91" s="78" t="s">
        <v>373</v>
      </c>
      <c r="C91" s="78" t="s">
        <v>172</v>
      </c>
      <c r="D91" s="78" t="s">
        <v>172</v>
      </c>
      <c r="E91" s="78" t="s">
        <v>235</v>
      </c>
      <c r="F91" s="78" t="s">
        <v>494</v>
      </c>
      <c r="G91" s="78" t="s">
        <v>350</v>
      </c>
      <c r="H91" s="77">
        <v>2</v>
      </c>
      <c r="I91" s="55"/>
      <c r="J91" s="74">
        <v>44333</v>
      </c>
      <c r="K91" s="74"/>
      <c r="L91" s="74" t="s">
        <v>6784</v>
      </c>
      <c r="M91" s="78"/>
      <c r="N91" s="78" t="s">
        <v>344</v>
      </c>
      <c r="O91" s="73" t="s">
        <v>360</v>
      </c>
    </row>
    <row r="92" spans="1:15" s="73" customFormat="1" ht="13" x14ac:dyDescent="0.15">
      <c r="A92" s="78">
        <v>2613327</v>
      </c>
      <c r="B92" s="78" t="s">
        <v>373</v>
      </c>
      <c r="C92" s="78" t="s">
        <v>142</v>
      </c>
      <c r="D92" s="78" t="s">
        <v>142</v>
      </c>
      <c r="E92" s="78" t="s">
        <v>141</v>
      </c>
      <c r="F92" s="78" t="s">
        <v>864</v>
      </c>
      <c r="G92" s="78" t="s">
        <v>350</v>
      </c>
      <c r="H92" s="77">
        <v>2</v>
      </c>
      <c r="I92" s="55"/>
      <c r="J92" s="74">
        <v>44299</v>
      </c>
      <c r="K92" s="74"/>
      <c r="L92" s="74" t="s">
        <v>6784</v>
      </c>
      <c r="M92" s="78"/>
      <c r="N92" s="78" t="s">
        <v>344</v>
      </c>
      <c r="O92" s="73" t="s">
        <v>360</v>
      </c>
    </row>
    <row r="93" spans="1:15" s="73" customFormat="1" ht="13" x14ac:dyDescent="0.15">
      <c r="A93" s="78">
        <v>2613649</v>
      </c>
      <c r="B93" s="78" t="s">
        <v>373</v>
      </c>
      <c r="C93" s="78" t="s">
        <v>138</v>
      </c>
      <c r="D93" s="78" t="s">
        <v>138</v>
      </c>
      <c r="E93" s="78" t="s">
        <v>183</v>
      </c>
      <c r="F93" s="78" t="s">
        <v>508</v>
      </c>
      <c r="G93" s="78" t="s">
        <v>350</v>
      </c>
      <c r="H93" s="77">
        <v>4</v>
      </c>
      <c r="I93" s="55"/>
      <c r="J93" s="74">
        <v>44298</v>
      </c>
      <c r="K93" s="74"/>
      <c r="L93" s="74" t="s">
        <v>6784</v>
      </c>
      <c r="M93" s="78"/>
      <c r="N93" s="78" t="s">
        <v>344</v>
      </c>
      <c r="O93" s="73" t="s">
        <v>360</v>
      </c>
    </row>
    <row r="94" spans="1:15" s="73" customFormat="1" ht="13" x14ac:dyDescent="0.15">
      <c r="A94" s="78">
        <v>2614070</v>
      </c>
      <c r="B94" s="78" t="s">
        <v>389</v>
      </c>
      <c r="C94" s="78" t="s">
        <v>138</v>
      </c>
      <c r="D94" s="78" t="s">
        <v>138</v>
      </c>
      <c r="E94" s="78" t="s">
        <v>183</v>
      </c>
      <c r="F94" s="78" t="s">
        <v>813</v>
      </c>
      <c r="G94" s="78" t="s">
        <v>350</v>
      </c>
      <c r="H94" s="77"/>
      <c r="I94" s="55"/>
      <c r="J94" s="74">
        <v>44377</v>
      </c>
      <c r="K94" s="74"/>
      <c r="L94" s="74" t="s">
        <v>6784</v>
      </c>
      <c r="M94" s="78"/>
      <c r="N94" s="78" t="s">
        <v>344</v>
      </c>
      <c r="O94" s="73" t="s">
        <v>2002</v>
      </c>
    </row>
    <row r="95" spans="1:15" s="73" customFormat="1" ht="13" x14ac:dyDescent="0.15">
      <c r="A95" s="78">
        <v>2614287</v>
      </c>
      <c r="B95" s="78" t="s">
        <v>451</v>
      </c>
      <c r="C95" s="78" t="s">
        <v>142</v>
      </c>
      <c r="D95" s="78" t="s">
        <v>142</v>
      </c>
      <c r="E95" s="78" t="s">
        <v>278</v>
      </c>
      <c r="F95" s="78" t="s">
        <v>1126</v>
      </c>
      <c r="G95" s="78" t="s">
        <v>350</v>
      </c>
      <c r="H95" s="77">
        <v>5</v>
      </c>
      <c r="I95" s="55"/>
      <c r="J95" s="74">
        <v>44475</v>
      </c>
      <c r="K95" s="74"/>
      <c r="L95" s="74" t="s">
        <v>6784</v>
      </c>
      <c r="M95" s="78"/>
      <c r="N95" s="78" t="s">
        <v>344</v>
      </c>
      <c r="O95" s="73" t="s">
        <v>2007</v>
      </c>
    </row>
    <row r="96" spans="1:15" s="73" customFormat="1" ht="13" x14ac:dyDescent="0.15">
      <c r="A96" s="78">
        <v>2614508</v>
      </c>
      <c r="B96" s="78" t="s">
        <v>373</v>
      </c>
      <c r="C96" s="78" t="s">
        <v>138</v>
      </c>
      <c r="D96" s="78" t="s">
        <v>138</v>
      </c>
      <c r="E96" s="78" t="s">
        <v>183</v>
      </c>
      <c r="F96" s="78" t="s">
        <v>510</v>
      </c>
      <c r="G96" s="78" t="s">
        <v>350</v>
      </c>
      <c r="H96" s="77">
        <v>2</v>
      </c>
      <c r="I96" s="55"/>
      <c r="J96" s="74">
        <v>44298</v>
      </c>
      <c r="K96" s="74"/>
      <c r="L96" s="74" t="s">
        <v>6784</v>
      </c>
      <c r="M96" s="78"/>
      <c r="N96" s="78" t="s">
        <v>344</v>
      </c>
      <c r="O96" s="73" t="s">
        <v>360</v>
      </c>
    </row>
    <row r="97" spans="1:15" s="73" customFormat="1" ht="13" x14ac:dyDescent="0.15">
      <c r="A97" s="78">
        <v>2614738</v>
      </c>
      <c r="B97" s="78" t="s">
        <v>373</v>
      </c>
      <c r="C97" s="78" t="s">
        <v>142</v>
      </c>
      <c r="D97" s="78" t="s">
        <v>142</v>
      </c>
      <c r="E97" s="78" t="s">
        <v>249</v>
      </c>
      <c r="F97" s="78" t="s">
        <v>1318</v>
      </c>
      <c r="G97" s="78" t="s">
        <v>350</v>
      </c>
      <c r="H97" s="77">
        <v>4</v>
      </c>
      <c r="I97" s="55"/>
      <c r="J97" s="74">
        <v>44363</v>
      </c>
      <c r="K97" s="74"/>
      <c r="L97" s="74" t="s">
        <v>6784</v>
      </c>
      <c r="M97" s="78"/>
      <c r="N97" s="78" t="s">
        <v>344</v>
      </c>
      <c r="O97" s="73" t="s">
        <v>360</v>
      </c>
    </row>
    <row r="98" spans="1:15" s="73" customFormat="1" ht="13" x14ac:dyDescent="0.15">
      <c r="A98" s="78">
        <v>2616605</v>
      </c>
      <c r="B98" s="78" t="s">
        <v>373</v>
      </c>
      <c r="C98" s="78" t="s">
        <v>144</v>
      </c>
      <c r="D98" s="78" t="s">
        <v>144</v>
      </c>
      <c r="E98" s="78" t="s">
        <v>209</v>
      </c>
      <c r="F98" s="78" t="s">
        <v>545</v>
      </c>
      <c r="G98" s="78" t="s">
        <v>350</v>
      </c>
      <c r="H98" s="77">
        <v>6</v>
      </c>
      <c r="I98" s="55"/>
      <c r="J98" s="74">
        <v>44286</v>
      </c>
      <c r="K98" s="74"/>
      <c r="L98" s="74" t="s">
        <v>6784</v>
      </c>
      <c r="M98" s="78"/>
      <c r="N98" s="78" t="s">
        <v>344</v>
      </c>
      <c r="O98" s="73" t="s">
        <v>360</v>
      </c>
    </row>
    <row r="99" spans="1:15" s="73" customFormat="1" ht="13" x14ac:dyDescent="0.15">
      <c r="A99" s="78">
        <v>2616993</v>
      </c>
      <c r="B99" s="78" t="s">
        <v>373</v>
      </c>
      <c r="C99" s="78" t="s">
        <v>138</v>
      </c>
      <c r="D99" s="78" t="s">
        <v>138</v>
      </c>
      <c r="E99" s="78" t="s">
        <v>183</v>
      </c>
      <c r="F99" s="78" t="s">
        <v>730</v>
      </c>
      <c r="G99" s="78" t="s">
        <v>350</v>
      </c>
      <c r="H99" s="77">
        <v>3</v>
      </c>
      <c r="I99" s="55"/>
      <c r="J99" s="74">
        <v>44544</v>
      </c>
      <c r="K99" s="74"/>
      <c r="L99" s="74" t="s">
        <v>6784</v>
      </c>
      <c r="M99" s="78"/>
      <c r="N99" s="78" t="s">
        <v>344</v>
      </c>
      <c r="O99" s="73" t="s">
        <v>360</v>
      </c>
    </row>
    <row r="100" spans="1:15" s="73" customFormat="1" ht="13" x14ac:dyDescent="0.15">
      <c r="A100" s="78">
        <v>2617199</v>
      </c>
      <c r="B100" s="78" t="s">
        <v>373</v>
      </c>
      <c r="C100" s="78" t="s">
        <v>142</v>
      </c>
      <c r="D100" s="78" t="s">
        <v>142</v>
      </c>
      <c r="E100" s="78" t="s">
        <v>262</v>
      </c>
      <c r="F100" s="78" t="s">
        <v>949</v>
      </c>
      <c r="G100" s="78" t="s">
        <v>350</v>
      </c>
      <c r="H100" s="77">
        <v>3</v>
      </c>
      <c r="I100" s="55"/>
      <c r="J100" s="74">
        <v>44350</v>
      </c>
      <c r="K100" s="74"/>
      <c r="L100" s="74" t="s">
        <v>6784</v>
      </c>
      <c r="M100" s="78"/>
      <c r="N100" s="78" t="s">
        <v>344</v>
      </c>
      <c r="O100" s="73" t="s">
        <v>360</v>
      </c>
    </row>
    <row r="101" spans="1:15" s="73" customFormat="1" ht="13" x14ac:dyDescent="0.15">
      <c r="A101" s="78">
        <v>2618477</v>
      </c>
      <c r="B101" s="78" t="s">
        <v>373</v>
      </c>
      <c r="C101" s="78" t="s">
        <v>136</v>
      </c>
      <c r="D101" s="78" t="s">
        <v>136</v>
      </c>
      <c r="E101" s="78" t="s">
        <v>288</v>
      </c>
      <c r="F101" s="78" t="s">
        <v>1388</v>
      </c>
      <c r="G101" s="78" t="s">
        <v>350</v>
      </c>
      <c r="H101" s="77">
        <v>1</v>
      </c>
      <c r="I101" s="55"/>
      <c r="J101" s="74">
        <v>44158</v>
      </c>
      <c r="K101" s="74">
        <v>44343</v>
      </c>
      <c r="L101" s="74"/>
      <c r="M101" s="78" t="s">
        <v>6778</v>
      </c>
      <c r="N101" s="78" t="s">
        <v>6707</v>
      </c>
      <c r="O101" s="73" t="s">
        <v>360</v>
      </c>
    </row>
    <row r="102" spans="1:15" s="73" customFormat="1" ht="13" x14ac:dyDescent="0.15">
      <c r="A102" s="78">
        <v>2618526</v>
      </c>
      <c r="B102" s="78" t="s">
        <v>389</v>
      </c>
      <c r="C102" s="78" t="s">
        <v>378</v>
      </c>
      <c r="D102" s="78" t="s">
        <v>170</v>
      </c>
      <c r="E102" s="78" t="s">
        <v>169</v>
      </c>
      <c r="F102" s="78" t="s">
        <v>169</v>
      </c>
      <c r="G102" s="78" t="s">
        <v>350</v>
      </c>
      <c r="H102" s="77"/>
      <c r="I102" s="55"/>
      <c r="J102" s="74">
        <v>44330</v>
      </c>
      <c r="K102" s="74"/>
      <c r="L102" s="74" t="s">
        <v>6784</v>
      </c>
      <c r="M102" s="78"/>
      <c r="N102" s="78" t="s">
        <v>344</v>
      </c>
      <c r="O102" s="73" t="s">
        <v>2034</v>
      </c>
    </row>
    <row r="103" spans="1:15" s="73" customFormat="1" ht="13" x14ac:dyDescent="0.15">
      <c r="A103" s="78">
        <v>2618553</v>
      </c>
      <c r="B103" s="78" t="s">
        <v>373</v>
      </c>
      <c r="C103" s="78" t="s">
        <v>142</v>
      </c>
      <c r="D103" s="78" t="s">
        <v>142</v>
      </c>
      <c r="E103" s="78" t="s">
        <v>141</v>
      </c>
      <c r="F103" s="78" t="s">
        <v>573</v>
      </c>
      <c r="G103" s="78" t="s">
        <v>350</v>
      </c>
      <c r="H103" s="77">
        <v>1</v>
      </c>
      <c r="I103" s="55"/>
      <c r="J103" s="74">
        <v>44329</v>
      </c>
      <c r="K103" s="74"/>
      <c r="L103" s="74" t="s">
        <v>6784</v>
      </c>
      <c r="M103" s="78"/>
      <c r="N103" s="78" t="s">
        <v>344</v>
      </c>
      <c r="O103" s="73" t="s">
        <v>360</v>
      </c>
    </row>
    <row r="104" spans="1:15" s="73" customFormat="1" ht="13" x14ac:dyDescent="0.15">
      <c r="A104" s="78">
        <v>2618702</v>
      </c>
      <c r="B104" s="78" t="s">
        <v>389</v>
      </c>
      <c r="C104" s="78" t="s">
        <v>150</v>
      </c>
      <c r="D104" s="78" t="s">
        <v>150</v>
      </c>
      <c r="E104" s="78" t="s">
        <v>285</v>
      </c>
      <c r="F104" s="78" t="s">
        <v>575</v>
      </c>
      <c r="G104" s="78" t="s">
        <v>350</v>
      </c>
      <c r="H104" s="77"/>
      <c r="I104" s="55"/>
      <c r="J104" s="74">
        <v>44424</v>
      </c>
      <c r="K104" s="74"/>
      <c r="L104" s="74" t="s">
        <v>6784</v>
      </c>
      <c r="M104" s="78"/>
      <c r="N104" s="78" t="s">
        <v>344</v>
      </c>
      <c r="O104" s="73" t="s">
        <v>2038</v>
      </c>
    </row>
    <row r="105" spans="1:15" s="73" customFormat="1" ht="13" x14ac:dyDescent="0.15">
      <c r="A105" s="78">
        <v>2618755</v>
      </c>
      <c r="B105" s="78" t="s">
        <v>373</v>
      </c>
      <c r="C105" s="78" t="s">
        <v>142</v>
      </c>
      <c r="D105" s="78" t="s">
        <v>142</v>
      </c>
      <c r="E105" s="78" t="s">
        <v>141</v>
      </c>
      <c r="F105" s="78" t="s">
        <v>1226</v>
      </c>
      <c r="G105" s="78" t="s">
        <v>350</v>
      </c>
      <c r="H105" s="77">
        <v>3</v>
      </c>
      <c r="I105" s="55"/>
      <c r="J105" s="74">
        <v>44293</v>
      </c>
      <c r="K105" s="74"/>
      <c r="L105" s="74" t="s">
        <v>6784</v>
      </c>
      <c r="M105" s="78"/>
      <c r="N105" s="78" t="s">
        <v>344</v>
      </c>
      <c r="O105" s="73" t="s">
        <v>360</v>
      </c>
    </row>
    <row r="106" spans="1:15" s="73" customFormat="1" ht="13" x14ac:dyDescent="0.15">
      <c r="A106" s="78">
        <v>2619057</v>
      </c>
      <c r="B106" s="78" t="s">
        <v>373</v>
      </c>
      <c r="C106" s="78" t="s">
        <v>150</v>
      </c>
      <c r="D106" s="78" t="s">
        <v>150</v>
      </c>
      <c r="E106" s="78" t="s">
        <v>268</v>
      </c>
      <c r="F106" s="78" t="s">
        <v>1943</v>
      </c>
      <c r="G106" s="78" t="s">
        <v>350</v>
      </c>
      <c r="H106" s="77">
        <v>5</v>
      </c>
      <c r="I106" s="55"/>
      <c r="J106" s="74">
        <v>44432</v>
      </c>
      <c r="K106" s="74"/>
      <c r="L106" s="74" t="s">
        <v>6784</v>
      </c>
      <c r="M106" s="78"/>
      <c r="N106" s="78" t="s">
        <v>344</v>
      </c>
      <c r="O106" s="73" t="s">
        <v>360</v>
      </c>
    </row>
    <row r="107" spans="1:15" s="73" customFormat="1" ht="13" x14ac:dyDescent="0.15">
      <c r="A107" s="78">
        <v>2620184</v>
      </c>
      <c r="B107" s="78" t="s">
        <v>373</v>
      </c>
      <c r="C107" s="78" t="s">
        <v>142</v>
      </c>
      <c r="D107" s="78" t="s">
        <v>142</v>
      </c>
      <c r="E107" s="78" t="s">
        <v>249</v>
      </c>
      <c r="F107" s="78" t="s">
        <v>1181</v>
      </c>
      <c r="G107" s="78" t="s">
        <v>350</v>
      </c>
      <c r="H107" s="77">
        <v>3</v>
      </c>
      <c r="I107" s="55"/>
      <c r="J107" s="74">
        <v>44421</v>
      </c>
      <c r="K107" s="74"/>
      <c r="L107" s="74" t="s">
        <v>6784</v>
      </c>
      <c r="M107" s="78"/>
      <c r="N107" s="78" t="s">
        <v>344</v>
      </c>
      <c r="O107" s="73" t="s">
        <v>360</v>
      </c>
    </row>
    <row r="108" spans="1:15" s="73" customFormat="1" ht="13" x14ac:dyDescent="0.15">
      <c r="A108" s="78">
        <v>2620222</v>
      </c>
      <c r="B108" s="78" t="s">
        <v>373</v>
      </c>
      <c r="C108" s="78" t="s">
        <v>144</v>
      </c>
      <c r="D108" s="78" t="s">
        <v>144</v>
      </c>
      <c r="E108" s="78" t="s">
        <v>145</v>
      </c>
      <c r="F108" s="78" t="s">
        <v>525</v>
      </c>
      <c r="G108" s="78" t="s">
        <v>350</v>
      </c>
      <c r="H108" s="77">
        <v>2</v>
      </c>
      <c r="I108" s="55"/>
      <c r="J108" s="74">
        <v>44391</v>
      </c>
      <c r="K108" s="74"/>
      <c r="L108" s="74" t="s">
        <v>6784</v>
      </c>
      <c r="M108" s="78"/>
      <c r="N108" s="78" t="s">
        <v>344</v>
      </c>
      <c r="O108" s="73" t="s">
        <v>360</v>
      </c>
    </row>
    <row r="109" spans="1:15" s="73" customFormat="1" ht="13" x14ac:dyDescent="0.15">
      <c r="A109" s="78">
        <v>2620366</v>
      </c>
      <c r="B109" s="78" t="s">
        <v>373</v>
      </c>
      <c r="C109" s="78" t="s">
        <v>142</v>
      </c>
      <c r="D109" s="78" t="s">
        <v>142</v>
      </c>
      <c r="E109" s="78" t="s">
        <v>141</v>
      </c>
      <c r="F109" s="78" t="s">
        <v>641</v>
      </c>
      <c r="G109" s="78" t="s">
        <v>350</v>
      </c>
      <c r="H109" s="77">
        <v>1</v>
      </c>
      <c r="I109" s="55"/>
      <c r="J109" s="74">
        <v>44491</v>
      </c>
      <c r="K109" s="74"/>
      <c r="L109" s="74" t="s">
        <v>6784</v>
      </c>
      <c r="M109" s="78"/>
      <c r="N109" s="78" t="s">
        <v>344</v>
      </c>
      <c r="O109" s="73" t="s">
        <v>360</v>
      </c>
    </row>
    <row r="110" spans="1:15" s="73" customFormat="1" ht="13" x14ac:dyDescent="0.15">
      <c r="A110" s="78">
        <v>2620678</v>
      </c>
      <c r="B110" s="78" t="s">
        <v>373</v>
      </c>
      <c r="C110" s="78" t="s">
        <v>142</v>
      </c>
      <c r="D110" s="78" t="s">
        <v>142</v>
      </c>
      <c r="E110" s="78" t="s">
        <v>252</v>
      </c>
      <c r="F110" s="78" t="s">
        <v>503</v>
      </c>
      <c r="G110" s="78" t="s">
        <v>350</v>
      </c>
      <c r="H110" s="77">
        <v>4</v>
      </c>
      <c r="I110" s="55"/>
      <c r="J110" s="74">
        <v>44299</v>
      </c>
      <c r="K110" s="74"/>
      <c r="L110" s="74" t="s">
        <v>6784</v>
      </c>
      <c r="M110" s="78"/>
      <c r="N110" s="78" t="s">
        <v>344</v>
      </c>
      <c r="O110" s="73" t="s">
        <v>360</v>
      </c>
    </row>
    <row r="111" spans="1:15" s="73" customFormat="1" ht="13" x14ac:dyDescent="0.15">
      <c r="A111" s="78">
        <v>2620698</v>
      </c>
      <c r="B111" s="78" t="s">
        <v>373</v>
      </c>
      <c r="C111" s="78" t="s">
        <v>142</v>
      </c>
      <c r="D111" s="78" t="s">
        <v>142</v>
      </c>
      <c r="E111" s="78" t="s">
        <v>262</v>
      </c>
      <c r="F111" s="78" t="s">
        <v>488</v>
      </c>
      <c r="G111" s="78" t="s">
        <v>350</v>
      </c>
      <c r="H111" s="77">
        <v>4</v>
      </c>
      <c r="I111" s="55"/>
      <c r="J111" s="74">
        <v>44287</v>
      </c>
      <c r="K111" s="74"/>
      <c r="L111" s="74" t="s">
        <v>6784</v>
      </c>
      <c r="M111" s="78"/>
      <c r="N111" s="78" t="s">
        <v>344</v>
      </c>
      <c r="O111" s="73" t="s">
        <v>360</v>
      </c>
    </row>
    <row r="112" spans="1:15" s="73" customFormat="1" ht="13" x14ac:dyDescent="0.15">
      <c r="A112" s="78">
        <v>2621119</v>
      </c>
      <c r="B112" s="78" t="s">
        <v>373</v>
      </c>
      <c r="C112" s="78" t="s">
        <v>144</v>
      </c>
      <c r="D112" s="78" t="s">
        <v>144</v>
      </c>
      <c r="E112" s="78" t="s">
        <v>287</v>
      </c>
      <c r="F112" s="78" t="s">
        <v>815</v>
      </c>
      <c r="G112" s="78" t="s">
        <v>350</v>
      </c>
      <c r="H112" s="77">
        <v>1</v>
      </c>
      <c r="I112" s="55"/>
      <c r="J112" s="74">
        <v>44309</v>
      </c>
      <c r="K112" s="74"/>
      <c r="L112" s="74" t="s">
        <v>6784</v>
      </c>
      <c r="M112" s="78"/>
      <c r="N112" s="78" t="s">
        <v>344</v>
      </c>
      <c r="O112" s="73" t="s">
        <v>360</v>
      </c>
    </row>
    <row r="113" spans="1:15" s="73" customFormat="1" ht="13" x14ac:dyDescent="0.15">
      <c r="A113" s="78">
        <v>2621215</v>
      </c>
      <c r="B113" s="78" t="s">
        <v>373</v>
      </c>
      <c r="C113" s="78" t="s">
        <v>138</v>
      </c>
      <c r="D113" s="78" t="s">
        <v>138</v>
      </c>
      <c r="E113" s="78" t="s">
        <v>183</v>
      </c>
      <c r="F113" s="78" t="s">
        <v>2051</v>
      </c>
      <c r="G113" s="78" t="s">
        <v>350</v>
      </c>
      <c r="H113" s="77">
        <v>4</v>
      </c>
      <c r="I113" s="55"/>
      <c r="J113" s="74">
        <v>44287</v>
      </c>
      <c r="K113" s="74"/>
      <c r="L113" s="74" t="s">
        <v>6784</v>
      </c>
      <c r="M113" s="78"/>
      <c r="N113" s="78" t="s">
        <v>344</v>
      </c>
      <c r="O113" s="73" t="s">
        <v>360</v>
      </c>
    </row>
    <row r="114" spans="1:15" s="73" customFormat="1" ht="13" x14ac:dyDescent="0.15">
      <c r="A114" s="78">
        <v>2621322</v>
      </c>
      <c r="B114" s="78" t="s">
        <v>373</v>
      </c>
      <c r="C114" s="78" t="s">
        <v>172</v>
      </c>
      <c r="D114" s="78" t="s">
        <v>172</v>
      </c>
      <c r="E114" s="78" t="s">
        <v>235</v>
      </c>
      <c r="F114" s="78" t="s">
        <v>855</v>
      </c>
      <c r="G114" s="78" t="s">
        <v>350</v>
      </c>
      <c r="H114" s="77">
        <v>1</v>
      </c>
      <c r="I114" s="55"/>
      <c r="J114" s="74">
        <v>44377</v>
      </c>
      <c r="K114" s="74"/>
      <c r="L114" s="74" t="s">
        <v>6784</v>
      </c>
      <c r="M114" s="78"/>
      <c r="N114" s="78" t="s">
        <v>344</v>
      </c>
      <c r="O114" s="73" t="s">
        <v>360</v>
      </c>
    </row>
    <row r="115" spans="1:15" s="73" customFormat="1" ht="13" x14ac:dyDescent="0.15">
      <c r="A115" s="78">
        <v>2621334</v>
      </c>
      <c r="B115" s="78" t="s">
        <v>373</v>
      </c>
      <c r="C115" s="78" t="s">
        <v>144</v>
      </c>
      <c r="D115" s="78" t="s">
        <v>144</v>
      </c>
      <c r="E115" s="78" t="s">
        <v>281</v>
      </c>
      <c r="F115" s="78" t="s">
        <v>725</v>
      </c>
      <c r="G115" s="78" t="s">
        <v>350</v>
      </c>
      <c r="H115" s="77">
        <v>3</v>
      </c>
      <c r="I115" s="55"/>
      <c r="J115" s="74">
        <v>44302</v>
      </c>
      <c r="K115" s="74"/>
      <c r="L115" s="74" t="s">
        <v>6784</v>
      </c>
      <c r="M115" s="78"/>
      <c r="N115" s="78" t="s">
        <v>344</v>
      </c>
      <c r="O115" s="73" t="s">
        <v>360</v>
      </c>
    </row>
    <row r="116" spans="1:15" s="73" customFormat="1" ht="13" x14ac:dyDescent="0.15">
      <c r="A116" s="78">
        <v>2622077</v>
      </c>
      <c r="B116" s="78" t="s">
        <v>373</v>
      </c>
      <c r="C116" s="78" t="s">
        <v>142</v>
      </c>
      <c r="D116" s="78" t="s">
        <v>142</v>
      </c>
      <c r="E116" s="78" t="s">
        <v>278</v>
      </c>
      <c r="F116" s="78" t="s">
        <v>1126</v>
      </c>
      <c r="G116" s="78" t="s">
        <v>350</v>
      </c>
      <c r="H116" s="77">
        <v>4</v>
      </c>
      <c r="I116" s="55"/>
      <c r="J116" s="74">
        <v>44326</v>
      </c>
      <c r="K116" s="74"/>
      <c r="L116" s="74" t="s">
        <v>6784</v>
      </c>
      <c r="M116" s="78"/>
      <c r="N116" s="78" t="s">
        <v>344</v>
      </c>
      <c r="O116" s="73" t="s">
        <v>360</v>
      </c>
    </row>
    <row r="117" spans="1:15" s="73" customFormat="1" ht="13" x14ac:dyDescent="0.15">
      <c r="A117" s="78">
        <v>2622917</v>
      </c>
      <c r="B117" s="78" t="s">
        <v>451</v>
      </c>
      <c r="C117" s="78" t="s">
        <v>129</v>
      </c>
      <c r="D117" s="78" t="s">
        <v>129</v>
      </c>
      <c r="E117" s="78" t="s">
        <v>198</v>
      </c>
      <c r="F117" s="78" t="s">
        <v>1287</v>
      </c>
      <c r="G117" s="78" t="s">
        <v>350</v>
      </c>
      <c r="H117" s="77">
        <v>5</v>
      </c>
      <c r="I117" s="55"/>
      <c r="J117" s="74">
        <v>44376</v>
      </c>
      <c r="K117" s="74"/>
      <c r="L117" s="74" t="s">
        <v>6784</v>
      </c>
      <c r="M117" s="78"/>
      <c r="N117" s="78" t="s">
        <v>344</v>
      </c>
      <c r="O117" s="73" t="s">
        <v>2055</v>
      </c>
    </row>
    <row r="118" spans="1:15" s="73" customFormat="1" ht="13" x14ac:dyDescent="0.15">
      <c r="A118" s="78">
        <v>2623568</v>
      </c>
      <c r="B118" s="78" t="s">
        <v>373</v>
      </c>
      <c r="C118" s="78" t="s">
        <v>142</v>
      </c>
      <c r="D118" s="78" t="s">
        <v>142</v>
      </c>
      <c r="E118" s="78" t="s">
        <v>262</v>
      </c>
      <c r="F118" s="78" t="s">
        <v>949</v>
      </c>
      <c r="G118" s="78" t="s">
        <v>350</v>
      </c>
      <c r="H118" s="77">
        <v>3</v>
      </c>
      <c r="I118" s="55"/>
      <c r="J118" s="74">
        <v>44302</v>
      </c>
      <c r="K118" s="74"/>
      <c r="L118" s="74" t="s">
        <v>6784</v>
      </c>
      <c r="M118" s="78"/>
      <c r="N118" s="78" t="s">
        <v>344</v>
      </c>
      <c r="O118" s="73" t="s">
        <v>360</v>
      </c>
    </row>
    <row r="119" spans="1:15" s="73" customFormat="1" ht="13" x14ac:dyDescent="0.15">
      <c r="A119" s="78">
        <v>2623790</v>
      </c>
      <c r="B119" s="78" t="s">
        <v>373</v>
      </c>
      <c r="C119" s="78" t="s">
        <v>136</v>
      </c>
      <c r="D119" s="78" t="s">
        <v>136</v>
      </c>
      <c r="E119" s="78" t="s">
        <v>255</v>
      </c>
      <c r="F119" s="78" t="s">
        <v>583</v>
      </c>
      <c r="G119" s="78" t="s">
        <v>350</v>
      </c>
      <c r="H119" s="77">
        <v>4</v>
      </c>
      <c r="I119" s="55"/>
      <c r="J119" s="74">
        <v>44308</v>
      </c>
      <c r="K119" s="74"/>
      <c r="L119" s="74" t="s">
        <v>6784</v>
      </c>
      <c r="M119" s="78"/>
      <c r="N119" s="78" t="s">
        <v>344</v>
      </c>
      <c r="O119" s="73" t="s">
        <v>360</v>
      </c>
    </row>
    <row r="120" spans="1:15" s="73" customFormat="1" ht="13" x14ac:dyDescent="0.15">
      <c r="A120" s="78">
        <v>2623791</v>
      </c>
      <c r="B120" s="78" t="s">
        <v>373</v>
      </c>
      <c r="C120" s="78" t="s">
        <v>144</v>
      </c>
      <c r="D120" s="78" t="s">
        <v>144</v>
      </c>
      <c r="E120" s="78" t="s">
        <v>145</v>
      </c>
      <c r="F120" s="78" t="s">
        <v>525</v>
      </c>
      <c r="G120" s="78" t="s">
        <v>350</v>
      </c>
      <c r="H120" s="77">
        <v>1</v>
      </c>
      <c r="I120" s="55"/>
      <c r="J120" s="74">
        <v>44306</v>
      </c>
      <c r="K120" s="74"/>
      <c r="L120" s="74" t="s">
        <v>6784</v>
      </c>
      <c r="M120" s="78"/>
      <c r="N120" s="78" t="s">
        <v>344</v>
      </c>
      <c r="O120" s="73" t="s">
        <v>360</v>
      </c>
    </row>
    <row r="121" spans="1:15" s="73" customFormat="1" ht="13" x14ac:dyDescent="0.15">
      <c r="A121" s="78">
        <v>2623841</v>
      </c>
      <c r="B121" s="78" t="s">
        <v>389</v>
      </c>
      <c r="C121" s="78" t="s">
        <v>150</v>
      </c>
      <c r="D121" s="78" t="s">
        <v>150</v>
      </c>
      <c r="E121" s="78" t="s">
        <v>181</v>
      </c>
      <c r="F121" s="78" t="s">
        <v>2066</v>
      </c>
      <c r="G121" s="78" t="s">
        <v>350</v>
      </c>
      <c r="H121" s="77"/>
      <c r="I121" s="55"/>
      <c r="J121" s="74">
        <v>44544</v>
      </c>
      <c r="K121" s="74"/>
      <c r="L121" s="74" t="s">
        <v>6784</v>
      </c>
      <c r="M121" s="78"/>
      <c r="N121" s="78" t="s">
        <v>344</v>
      </c>
      <c r="O121" s="73" t="s">
        <v>2063</v>
      </c>
    </row>
    <row r="122" spans="1:15" s="73" customFormat="1" ht="13" x14ac:dyDescent="0.15">
      <c r="A122" s="78">
        <v>2623947</v>
      </c>
      <c r="B122" s="78" t="s">
        <v>373</v>
      </c>
      <c r="C122" s="78" t="s">
        <v>142</v>
      </c>
      <c r="D122" s="78" t="s">
        <v>142</v>
      </c>
      <c r="E122" s="78" t="s">
        <v>262</v>
      </c>
      <c r="F122" s="78" t="s">
        <v>916</v>
      </c>
      <c r="G122" s="78" t="s">
        <v>350</v>
      </c>
      <c r="H122" s="77">
        <v>3</v>
      </c>
      <c r="I122" s="55"/>
      <c r="J122" s="74">
        <v>44608</v>
      </c>
      <c r="K122" s="74"/>
      <c r="L122" s="74" t="s">
        <v>6784</v>
      </c>
      <c r="M122" s="78"/>
      <c r="N122" s="78" t="s">
        <v>344</v>
      </c>
      <c r="O122" s="73" t="s">
        <v>360</v>
      </c>
    </row>
    <row r="123" spans="1:15" s="73" customFormat="1" ht="13" x14ac:dyDescent="0.15">
      <c r="A123" s="78">
        <v>2624063</v>
      </c>
      <c r="B123" s="78" t="s">
        <v>373</v>
      </c>
      <c r="C123" s="78" t="s">
        <v>378</v>
      </c>
      <c r="D123" s="78" t="s">
        <v>134</v>
      </c>
      <c r="E123" s="78" t="s">
        <v>180</v>
      </c>
      <c r="F123" s="78" t="s">
        <v>662</v>
      </c>
      <c r="G123" s="78" t="s">
        <v>362</v>
      </c>
      <c r="H123" s="77">
        <v>4</v>
      </c>
      <c r="I123" s="55"/>
      <c r="J123" s="74">
        <v>44305</v>
      </c>
      <c r="K123" s="74"/>
      <c r="L123" s="74" t="s">
        <v>6784</v>
      </c>
      <c r="M123" s="78"/>
      <c r="N123" s="78" t="s">
        <v>344</v>
      </c>
      <c r="O123" s="73" t="s">
        <v>360</v>
      </c>
    </row>
    <row r="124" spans="1:15" s="73" customFormat="1" ht="13" x14ac:dyDescent="0.15">
      <c r="A124" s="78">
        <v>2624155</v>
      </c>
      <c r="B124" s="78" t="s">
        <v>373</v>
      </c>
      <c r="C124" s="78" t="s">
        <v>142</v>
      </c>
      <c r="D124" s="78" t="s">
        <v>142</v>
      </c>
      <c r="E124" s="78" t="s">
        <v>292</v>
      </c>
      <c r="F124" s="78" t="s">
        <v>1052</v>
      </c>
      <c r="G124" s="78" t="s">
        <v>350</v>
      </c>
      <c r="H124" s="77">
        <v>3</v>
      </c>
      <c r="I124" s="55"/>
      <c r="J124" s="74">
        <v>44489</v>
      </c>
      <c r="K124" s="74"/>
      <c r="L124" s="74" t="s">
        <v>6784</v>
      </c>
      <c r="M124" s="78"/>
      <c r="N124" s="78" t="s">
        <v>344</v>
      </c>
      <c r="O124" s="73" t="s">
        <v>360</v>
      </c>
    </row>
    <row r="125" spans="1:15" s="73" customFormat="1" ht="13" x14ac:dyDescent="0.15">
      <c r="A125" s="78">
        <v>2624222</v>
      </c>
      <c r="B125" s="78" t="s">
        <v>373</v>
      </c>
      <c r="C125" s="78" t="s">
        <v>150</v>
      </c>
      <c r="D125" s="78" t="s">
        <v>150</v>
      </c>
      <c r="E125" s="78" t="s">
        <v>203</v>
      </c>
      <c r="F125" s="78" t="s">
        <v>593</v>
      </c>
      <c r="G125" s="78" t="s">
        <v>350</v>
      </c>
      <c r="H125" s="77">
        <v>5</v>
      </c>
      <c r="I125" s="55"/>
      <c r="J125" s="74">
        <v>44400</v>
      </c>
      <c r="K125" s="74"/>
      <c r="L125" s="74" t="s">
        <v>6784</v>
      </c>
      <c r="M125" s="78"/>
      <c r="N125" s="78" t="s">
        <v>344</v>
      </c>
      <c r="O125" s="73" t="s">
        <v>360</v>
      </c>
    </row>
    <row r="126" spans="1:15" s="73" customFormat="1" ht="13" x14ac:dyDescent="0.15">
      <c r="A126" s="78">
        <v>2624578</v>
      </c>
      <c r="B126" s="78" t="s">
        <v>373</v>
      </c>
      <c r="C126" s="78" t="s">
        <v>144</v>
      </c>
      <c r="D126" s="78" t="s">
        <v>144</v>
      </c>
      <c r="E126" s="78" t="s">
        <v>147</v>
      </c>
      <c r="F126" s="78" t="s">
        <v>674</v>
      </c>
      <c r="G126" s="78" t="s">
        <v>350</v>
      </c>
      <c r="H126" s="77">
        <v>2</v>
      </c>
      <c r="I126" s="55"/>
      <c r="J126" s="74">
        <v>44411</v>
      </c>
      <c r="K126" s="74">
        <v>44586</v>
      </c>
      <c r="L126" s="74" t="s">
        <v>6784</v>
      </c>
      <c r="M126" s="78" t="s">
        <v>6778</v>
      </c>
      <c r="N126" s="78" t="s">
        <v>6707</v>
      </c>
      <c r="O126" s="73" t="s">
        <v>360</v>
      </c>
    </row>
    <row r="127" spans="1:15" s="73" customFormat="1" ht="13" x14ac:dyDescent="0.15">
      <c r="A127" s="78">
        <v>2624784</v>
      </c>
      <c r="B127" s="78" t="s">
        <v>373</v>
      </c>
      <c r="C127" s="78" t="s">
        <v>129</v>
      </c>
      <c r="D127" s="78" t="s">
        <v>129</v>
      </c>
      <c r="E127" s="78" t="s">
        <v>179</v>
      </c>
      <c r="F127" s="78" t="s">
        <v>1584</v>
      </c>
      <c r="G127" s="78" t="s">
        <v>350</v>
      </c>
      <c r="H127" s="77">
        <v>4</v>
      </c>
      <c r="I127" s="55"/>
      <c r="J127" s="74">
        <v>44312</v>
      </c>
      <c r="K127" s="74"/>
      <c r="L127" s="74" t="s">
        <v>6784</v>
      </c>
      <c r="M127" s="78"/>
      <c r="N127" s="78" t="s">
        <v>344</v>
      </c>
      <c r="O127" s="73" t="s">
        <v>360</v>
      </c>
    </row>
    <row r="128" spans="1:15" s="73" customFormat="1" ht="13" x14ac:dyDescent="0.15">
      <c r="A128" s="78">
        <v>2624855</v>
      </c>
      <c r="B128" s="78" t="s">
        <v>373</v>
      </c>
      <c r="C128" s="78" t="s">
        <v>129</v>
      </c>
      <c r="D128" s="78" t="s">
        <v>129</v>
      </c>
      <c r="E128" s="78" t="s">
        <v>167</v>
      </c>
      <c r="F128" s="78" t="s">
        <v>553</v>
      </c>
      <c r="G128" s="78" t="s">
        <v>350</v>
      </c>
      <c r="H128" s="77">
        <v>5</v>
      </c>
      <c r="I128" s="55"/>
      <c r="J128" s="74">
        <v>44420</v>
      </c>
      <c r="K128" s="74"/>
      <c r="L128" s="74" t="s">
        <v>6784</v>
      </c>
      <c r="M128" s="78"/>
      <c r="N128" s="78" t="s">
        <v>344</v>
      </c>
      <c r="O128" s="73" t="s">
        <v>360</v>
      </c>
    </row>
    <row r="129" spans="1:15" s="73" customFormat="1" ht="13" x14ac:dyDescent="0.15">
      <c r="A129" s="78">
        <v>2624934</v>
      </c>
      <c r="B129" s="78" t="s">
        <v>373</v>
      </c>
      <c r="C129" s="78" t="s">
        <v>172</v>
      </c>
      <c r="D129" s="78" t="s">
        <v>172</v>
      </c>
      <c r="E129" s="78" t="s">
        <v>173</v>
      </c>
      <c r="F129" s="78" t="s">
        <v>860</v>
      </c>
      <c r="G129" s="78" t="s">
        <v>350</v>
      </c>
      <c r="H129" s="77">
        <v>7</v>
      </c>
      <c r="I129" s="55"/>
      <c r="J129" s="74">
        <v>44328</v>
      </c>
      <c r="K129" s="74"/>
      <c r="L129" s="74" t="s">
        <v>6784</v>
      </c>
      <c r="M129" s="78"/>
      <c r="N129" s="78" t="s">
        <v>344</v>
      </c>
      <c r="O129" s="73" t="s">
        <v>360</v>
      </c>
    </row>
    <row r="130" spans="1:15" s="73" customFormat="1" ht="13" x14ac:dyDescent="0.15">
      <c r="A130" s="78">
        <v>2625170</v>
      </c>
      <c r="B130" s="78" t="s">
        <v>373</v>
      </c>
      <c r="C130" s="78" t="s">
        <v>150</v>
      </c>
      <c r="D130" s="78" t="s">
        <v>150</v>
      </c>
      <c r="E130" s="78" t="s">
        <v>203</v>
      </c>
      <c r="F130" s="78" t="s">
        <v>2078</v>
      </c>
      <c r="G130" s="78" t="s">
        <v>350</v>
      </c>
      <c r="H130" s="77">
        <v>4</v>
      </c>
      <c r="I130" s="55"/>
      <c r="J130" s="74">
        <v>44321</v>
      </c>
      <c r="K130" s="74"/>
      <c r="L130" s="74" t="s">
        <v>6784</v>
      </c>
      <c r="M130" s="78"/>
      <c r="N130" s="78" t="s">
        <v>344</v>
      </c>
      <c r="O130" s="73" t="s">
        <v>360</v>
      </c>
    </row>
    <row r="131" spans="1:15" s="73" customFormat="1" ht="13" x14ac:dyDescent="0.15">
      <c r="A131" s="78">
        <v>2625942</v>
      </c>
      <c r="B131" s="78" t="s">
        <v>373</v>
      </c>
      <c r="C131" s="78" t="s">
        <v>150</v>
      </c>
      <c r="D131" s="78" t="s">
        <v>150</v>
      </c>
      <c r="E131" s="78" t="s">
        <v>285</v>
      </c>
      <c r="F131" s="78" t="s">
        <v>893</v>
      </c>
      <c r="G131" s="78" t="s">
        <v>350</v>
      </c>
      <c r="H131" s="77">
        <v>4</v>
      </c>
      <c r="I131" s="55"/>
      <c r="J131" s="74">
        <v>44327</v>
      </c>
      <c r="K131" s="74"/>
      <c r="L131" s="74" t="s">
        <v>6784</v>
      </c>
      <c r="M131" s="78"/>
      <c r="N131" s="78" t="s">
        <v>344</v>
      </c>
      <c r="O131" s="73" t="s">
        <v>360</v>
      </c>
    </row>
    <row r="132" spans="1:15" s="73" customFormat="1" ht="13" x14ac:dyDescent="0.15">
      <c r="A132" s="78">
        <v>2626053</v>
      </c>
      <c r="B132" s="78" t="s">
        <v>373</v>
      </c>
      <c r="C132" s="78" t="s">
        <v>144</v>
      </c>
      <c r="D132" s="78" t="s">
        <v>144</v>
      </c>
      <c r="E132" s="78" t="s">
        <v>281</v>
      </c>
      <c r="F132" s="78" t="s">
        <v>725</v>
      </c>
      <c r="G132" s="78" t="s">
        <v>380</v>
      </c>
      <c r="H132" s="77">
        <v>2</v>
      </c>
      <c r="I132" s="55"/>
      <c r="J132" s="74">
        <v>44361</v>
      </c>
      <c r="K132" s="74"/>
      <c r="L132" s="74" t="s">
        <v>6784</v>
      </c>
      <c r="M132" s="78"/>
      <c r="N132" s="78" t="s">
        <v>344</v>
      </c>
      <c r="O132" s="73" t="s">
        <v>360</v>
      </c>
    </row>
    <row r="133" spans="1:15" s="73" customFormat="1" ht="13" x14ac:dyDescent="0.15">
      <c r="A133" s="78">
        <v>2626293</v>
      </c>
      <c r="B133" s="78" t="s">
        <v>373</v>
      </c>
      <c r="C133" s="78" t="s">
        <v>142</v>
      </c>
      <c r="D133" s="78" t="s">
        <v>142</v>
      </c>
      <c r="E133" s="78" t="s">
        <v>293</v>
      </c>
      <c r="F133" s="78" t="s">
        <v>1060</v>
      </c>
      <c r="G133" s="78" t="s">
        <v>350</v>
      </c>
      <c r="H133" s="77">
        <v>4</v>
      </c>
      <c r="I133" s="55"/>
      <c r="J133" s="74">
        <v>44417</v>
      </c>
      <c r="K133" s="74"/>
      <c r="L133" s="74" t="s">
        <v>6784</v>
      </c>
      <c r="M133" s="78"/>
      <c r="N133" s="78" t="s">
        <v>344</v>
      </c>
      <c r="O133" s="73" t="s">
        <v>360</v>
      </c>
    </row>
    <row r="134" spans="1:15" s="73" customFormat="1" ht="13" x14ac:dyDescent="0.15">
      <c r="A134" s="78">
        <v>2626458</v>
      </c>
      <c r="B134" s="78" t="s">
        <v>373</v>
      </c>
      <c r="C134" s="78" t="s">
        <v>142</v>
      </c>
      <c r="D134" s="78" t="s">
        <v>142</v>
      </c>
      <c r="E134" s="78" t="s">
        <v>262</v>
      </c>
      <c r="F134" s="78" t="s">
        <v>949</v>
      </c>
      <c r="G134" s="78" t="s">
        <v>350</v>
      </c>
      <c r="H134" s="77">
        <v>3</v>
      </c>
      <c r="I134" s="55"/>
      <c r="J134" s="74">
        <v>44326</v>
      </c>
      <c r="K134" s="74"/>
      <c r="L134" s="74" t="s">
        <v>6784</v>
      </c>
      <c r="M134" s="78"/>
      <c r="N134" s="78" t="s">
        <v>344</v>
      </c>
      <c r="O134" s="73" t="s">
        <v>360</v>
      </c>
    </row>
    <row r="135" spans="1:15" s="73" customFormat="1" ht="13" x14ac:dyDescent="0.15">
      <c r="A135" s="78">
        <v>2627009</v>
      </c>
      <c r="B135" s="78" t="s">
        <v>373</v>
      </c>
      <c r="C135" s="78" t="s">
        <v>172</v>
      </c>
      <c r="D135" s="78" t="s">
        <v>172</v>
      </c>
      <c r="E135" s="78" t="s">
        <v>214</v>
      </c>
      <c r="F135" s="78" t="s">
        <v>1345</v>
      </c>
      <c r="G135" s="78" t="s">
        <v>350</v>
      </c>
      <c r="H135" s="77">
        <v>4</v>
      </c>
      <c r="I135" s="55"/>
      <c r="J135" s="74">
        <v>44426</v>
      </c>
      <c r="K135" s="74"/>
      <c r="L135" s="74" t="s">
        <v>6784</v>
      </c>
      <c r="M135" s="78"/>
      <c r="N135" s="78" t="s">
        <v>344</v>
      </c>
      <c r="O135" s="73" t="s">
        <v>360</v>
      </c>
    </row>
    <row r="136" spans="1:15" s="73" customFormat="1" ht="13" x14ac:dyDescent="0.15">
      <c r="A136" s="78">
        <v>2627028</v>
      </c>
      <c r="B136" s="78" t="s">
        <v>373</v>
      </c>
      <c r="C136" s="78" t="s">
        <v>172</v>
      </c>
      <c r="D136" s="78" t="s">
        <v>172</v>
      </c>
      <c r="E136" s="78" t="s">
        <v>171</v>
      </c>
      <c r="F136" s="78" t="s">
        <v>895</v>
      </c>
      <c r="G136" s="78" t="s">
        <v>350</v>
      </c>
      <c r="H136" s="77">
        <v>3</v>
      </c>
      <c r="I136" s="55"/>
      <c r="J136" s="74">
        <v>44293</v>
      </c>
      <c r="K136" s="74"/>
      <c r="L136" s="74" t="s">
        <v>6784</v>
      </c>
      <c r="M136" s="78"/>
      <c r="N136" s="78" t="s">
        <v>344</v>
      </c>
      <c r="O136" s="73" t="s">
        <v>360</v>
      </c>
    </row>
    <row r="137" spans="1:15" s="73" customFormat="1" ht="13" x14ac:dyDescent="0.15">
      <c r="A137" s="78">
        <v>2627054</v>
      </c>
      <c r="B137" s="78" t="s">
        <v>373</v>
      </c>
      <c r="C137" s="78" t="s">
        <v>142</v>
      </c>
      <c r="D137" s="78" t="s">
        <v>142</v>
      </c>
      <c r="E137" s="78" t="s">
        <v>262</v>
      </c>
      <c r="F137" s="78" t="s">
        <v>488</v>
      </c>
      <c r="G137" s="78" t="s">
        <v>350</v>
      </c>
      <c r="H137" s="77">
        <v>2</v>
      </c>
      <c r="I137" s="55"/>
      <c r="J137" s="74">
        <v>44320</v>
      </c>
      <c r="K137" s="74"/>
      <c r="L137" s="74" t="s">
        <v>6784</v>
      </c>
      <c r="M137" s="78"/>
      <c r="N137" s="78" t="s">
        <v>344</v>
      </c>
      <c r="O137" s="73" t="s">
        <v>360</v>
      </c>
    </row>
    <row r="138" spans="1:15" s="73" customFormat="1" ht="13" x14ac:dyDescent="0.15">
      <c r="A138" s="78">
        <v>2627279</v>
      </c>
      <c r="B138" s="78" t="s">
        <v>443</v>
      </c>
      <c r="C138" s="78" t="s">
        <v>144</v>
      </c>
      <c r="D138" s="78" t="s">
        <v>144</v>
      </c>
      <c r="E138" s="78" t="s">
        <v>263</v>
      </c>
      <c r="F138" s="78" t="s">
        <v>1211</v>
      </c>
      <c r="G138" s="78" t="s">
        <v>350</v>
      </c>
      <c r="H138" s="77"/>
      <c r="I138" s="55"/>
      <c r="J138" s="74">
        <v>44356</v>
      </c>
      <c r="K138" s="74"/>
      <c r="L138" s="74" t="s">
        <v>6784</v>
      </c>
      <c r="M138" s="78"/>
      <c r="N138" s="78" t="s">
        <v>344</v>
      </c>
      <c r="O138" s="73" t="s">
        <v>2085</v>
      </c>
    </row>
    <row r="139" spans="1:15" s="73" customFormat="1" ht="13" x14ac:dyDescent="0.15">
      <c r="A139" s="78">
        <v>2627409</v>
      </c>
      <c r="B139" s="78" t="s">
        <v>373</v>
      </c>
      <c r="C139" s="78" t="s">
        <v>142</v>
      </c>
      <c r="D139" s="78" t="s">
        <v>142</v>
      </c>
      <c r="E139" s="78" t="s">
        <v>195</v>
      </c>
      <c r="F139" s="78" t="s">
        <v>518</v>
      </c>
      <c r="G139" s="78" t="s">
        <v>350</v>
      </c>
      <c r="H139" s="77">
        <v>4</v>
      </c>
      <c r="I139" s="55"/>
      <c r="J139" s="74">
        <v>44369</v>
      </c>
      <c r="K139" s="74"/>
      <c r="L139" s="74" t="s">
        <v>6784</v>
      </c>
      <c r="M139" s="78"/>
      <c r="N139" s="78" t="s">
        <v>344</v>
      </c>
      <c r="O139" s="73" t="s">
        <v>360</v>
      </c>
    </row>
    <row r="140" spans="1:15" s="73" customFormat="1" ht="13" x14ac:dyDescent="0.15">
      <c r="A140" s="78">
        <v>2627737</v>
      </c>
      <c r="B140" s="78" t="s">
        <v>373</v>
      </c>
      <c r="C140" s="78" t="s">
        <v>144</v>
      </c>
      <c r="D140" s="78" t="s">
        <v>144</v>
      </c>
      <c r="E140" s="78" t="s">
        <v>236</v>
      </c>
      <c r="F140" s="78" t="s">
        <v>2088</v>
      </c>
      <c r="G140" s="78" t="s">
        <v>350</v>
      </c>
      <c r="H140" s="77">
        <v>2</v>
      </c>
      <c r="I140" s="55"/>
      <c r="J140" s="74">
        <v>44475</v>
      </c>
      <c r="K140" s="74"/>
      <c r="L140" s="74" t="s">
        <v>6784</v>
      </c>
      <c r="M140" s="78"/>
      <c r="N140" s="78" t="s">
        <v>344</v>
      </c>
      <c r="O140" s="73" t="s">
        <v>360</v>
      </c>
    </row>
    <row r="141" spans="1:15" s="73" customFormat="1" ht="13" x14ac:dyDescent="0.15">
      <c r="A141" s="78">
        <v>2627967</v>
      </c>
      <c r="B141" s="78" t="s">
        <v>373</v>
      </c>
      <c r="C141" s="78" t="s">
        <v>144</v>
      </c>
      <c r="D141" s="78" t="s">
        <v>144</v>
      </c>
      <c r="E141" s="78" t="s">
        <v>209</v>
      </c>
      <c r="F141" s="78" t="s">
        <v>597</v>
      </c>
      <c r="G141" s="78" t="s">
        <v>350</v>
      </c>
      <c r="H141" s="77">
        <v>3</v>
      </c>
      <c r="I141" s="55"/>
      <c r="J141" s="74">
        <v>44380</v>
      </c>
      <c r="K141" s="74"/>
      <c r="L141" s="74" t="s">
        <v>6784</v>
      </c>
      <c r="M141" s="78"/>
      <c r="N141" s="78" t="s">
        <v>344</v>
      </c>
      <c r="O141" s="73" t="s">
        <v>360</v>
      </c>
    </row>
    <row r="142" spans="1:15" s="73" customFormat="1" ht="13" x14ac:dyDescent="0.15">
      <c r="A142" s="78">
        <v>2628010</v>
      </c>
      <c r="B142" s="78" t="s">
        <v>373</v>
      </c>
      <c r="C142" s="78" t="s">
        <v>144</v>
      </c>
      <c r="D142" s="78" t="s">
        <v>144</v>
      </c>
      <c r="E142" s="78" t="s">
        <v>287</v>
      </c>
      <c r="F142" s="78" t="s">
        <v>815</v>
      </c>
      <c r="G142" s="78" t="s">
        <v>350</v>
      </c>
      <c r="H142" s="77">
        <v>1</v>
      </c>
      <c r="I142" s="55"/>
      <c r="J142" s="74">
        <v>44313</v>
      </c>
      <c r="K142" s="74"/>
      <c r="L142" s="74" t="s">
        <v>6784</v>
      </c>
      <c r="M142" s="78"/>
      <c r="N142" s="78" t="s">
        <v>344</v>
      </c>
      <c r="O142" s="73" t="s">
        <v>360</v>
      </c>
    </row>
    <row r="143" spans="1:15" s="73" customFormat="1" ht="13" x14ac:dyDescent="0.15">
      <c r="A143" s="78">
        <v>2628367</v>
      </c>
      <c r="B143" s="78" t="s">
        <v>373</v>
      </c>
      <c r="C143" s="78" t="s">
        <v>129</v>
      </c>
      <c r="D143" s="78" t="s">
        <v>129</v>
      </c>
      <c r="E143" s="78" t="s">
        <v>167</v>
      </c>
      <c r="F143" s="78" t="s">
        <v>866</v>
      </c>
      <c r="G143" s="78" t="s">
        <v>350</v>
      </c>
      <c r="H143" s="77">
        <v>5</v>
      </c>
      <c r="I143" s="55"/>
      <c r="J143" s="74">
        <v>44560</v>
      </c>
      <c r="K143" s="74"/>
      <c r="L143" s="74" t="s">
        <v>6784</v>
      </c>
      <c r="M143" s="78"/>
      <c r="N143" s="78" t="s">
        <v>344</v>
      </c>
      <c r="O143" s="73" t="s">
        <v>360</v>
      </c>
    </row>
    <row r="144" spans="1:15" s="73" customFormat="1" ht="13" x14ac:dyDescent="0.15">
      <c r="A144" s="78">
        <v>2628534</v>
      </c>
      <c r="B144" s="78" t="s">
        <v>373</v>
      </c>
      <c r="C144" s="78" t="s">
        <v>144</v>
      </c>
      <c r="D144" s="78" t="s">
        <v>144</v>
      </c>
      <c r="E144" s="78" t="s">
        <v>147</v>
      </c>
      <c r="F144" s="78" t="s">
        <v>674</v>
      </c>
      <c r="G144" s="78" t="s">
        <v>362</v>
      </c>
      <c r="H144" s="77">
        <v>1</v>
      </c>
      <c r="I144" s="55"/>
      <c r="J144" s="74">
        <v>44307</v>
      </c>
      <c r="K144" s="74"/>
      <c r="L144" s="74" t="s">
        <v>6784</v>
      </c>
      <c r="M144" s="78"/>
      <c r="N144" s="78" t="s">
        <v>344</v>
      </c>
      <c r="O144" s="73" t="s">
        <v>360</v>
      </c>
    </row>
    <row r="145" spans="1:15" s="73" customFormat="1" ht="13" x14ac:dyDescent="0.15">
      <c r="A145" s="78">
        <v>2628612</v>
      </c>
      <c r="B145" s="78" t="s">
        <v>373</v>
      </c>
      <c r="C145" s="78" t="s">
        <v>138</v>
      </c>
      <c r="D145" s="78" t="s">
        <v>138</v>
      </c>
      <c r="E145" s="78" t="s">
        <v>216</v>
      </c>
      <c r="F145" s="78" t="s">
        <v>1968</v>
      </c>
      <c r="G145" s="78" t="s">
        <v>350</v>
      </c>
      <c r="H145" s="77">
        <v>3</v>
      </c>
      <c r="I145" s="55"/>
      <c r="J145" s="74">
        <v>44463</v>
      </c>
      <c r="K145" s="74"/>
      <c r="L145" s="74" t="s">
        <v>6784</v>
      </c>
      <c r="M145" s="78"/>
      <c r="N145" s="78" t="s">
        <v>344</v>
      </c>
      <c r="O145" s="73" t="s">
        <v>360</v>
      </c>
    </row>
    <row r="146" spans="1:15" s="73" customFormat="1" ht="13" x14ac:dyDescent="0.15">
      <c r="A146" s="78">
        <v>2629097</v>
      </c>
      <c r="B146" s="78" t="s">
        <v>373</v>
      </c>
      <c r="C146" s="78" t="s">
        <v>150</v>
      </c>
      <c r="D146" s="78" t="s">
        <v>150</v>
      </c>
      <c r="E146" s="78" t="s">
        <v>237</v>
      </c>
      <c r="F146" s="78" t="s">
        <v>990</v>
      </c>
      <c r="G146" s="78" t="s">
        <v>350</v>
      </c>
      <c r="H146" s="77">
        <v>3</v>
      </c>
      <c r="I146" s="55"/>
      <c r="J146" s="74">
        <v>44295</v>
      </c>
      <c r="K146" s="74"/>
      <c r="L146" s="74" t="s">
        <v>6784</v>
      </c>
      <c r="M146" s="78"/>
      <c r="N146" s="78" t="s">
        <v>344</v>
      </c>
      <c r="O146" s="73" t="s">
        <v>360</v>
      </c>
    </row>
    <row r="147" spans="1:15" s="73" customFormat="1" ht="13" x14ac:dyDescent="0.15">
      <c r="A147" s="78">
        <v>2629230</v>
      </c>
      <c r="B147" s="78" t="s">
        <v>373</v>
      </c>
      <c r="C147" s="78" t="s">
        <v>142</v>
      </c>
      <c r="D147" s="78" t="s">
        <v>142</v>
      </c>
      <c r="E147" s="78" t="s">
        <v>292</v>
      </c>
      <c r="F147" s="78" t="s">
        <v>1162</v>
      </c>
      <c r="G147" s="78" t="s">
        <v>350</v>
      </c>
      <c r="H147" s="77">
        <v>2</v>
      </c>
      <c r="I147" s="55"/>
      <c r="J147" s="74">
        <v>44355</v>
      </c>
      <c r="K147" s="74"/>
      <c r="L147" s="74" t="s">
        <v>6784</v>
      </c>
      <c r="M147" s="78"/>
      <c r="N147" s="78" t="s">
        <v>344</v>
      </c>
      <c r="O147" s="73" t="s">
        <v>360</v>
      </c>
    </row>
    <row r="148" spans="1:15" s="73" customFormat="1" ht="13" x14ac:dyDescent="0.15">
      <c r="A148" s="78">
        <v>2629398</v>
      </c>
      <c r="B148" s="78" t="s">
        <v>373</v>
      </c>
      <c r="C148" s="78" t="s">
        <v>172</v>
      </c>
      <c r="D148" s="78" t="s">
        <v>172</v>
      </c>
      <c r="E148" s="78" t="s">
        <v>235</v>
      </c>
      <c r="F148" s="78" t="s">
        <v>1036</v>
      </c>
      <c r="G148" s="78" t="s">
        <v>350</v>
      </c>
      <c r="H148" s="77">
        <v>1</v>
      </c>
      <c r="I148" s="55"/>
      <c r="J148" s="74">
        <v>44251</v>
      </c>
      <c r="K148" s="74">
        <v>44634</v>
      </c>
      <c r="L148" s="74"/>
      <c r="M148" s="78" t="s">
        <v>6778</v>
      </c>
      <c r="N148" s="78" t="s">
        <v>6707</v>
      </c>
      <c r="O148" s="73" t="s">
        <v>360</v>
      </c>
    </row>
    <row r="149" spans="1:15" s="73" customFormat="1" ht="13" x14ac:dyDescent="0.15">
      <c r="A149" s="78">
        <v>2629861</v>
      </c>
      <c r="B149" s="78" t="s">
        <v>373</v>
      </c>
      <c r="C149" s="78" t="s">
        <v>150</v>
      </c>
      <c r="D149" s="78" t="s">
        <v>150</v>
      </c>
      <c r="E149" s="78" t="s">
        <v>203</v>
      </c>
      <c r="F149" s="78" t="s">
        <v>593</v>
      </c>
      <c r="G149" s="78" t="s">
        <v>350</v>
      </c>
      <c r="H149" s="77">
        <v>4</v>
      </c>
      <c r="I149" s="55"/>
      <c r="J149" s="74">
        <v>44421</v>
      </c>
      <c r="K149" s="74"/>
      <c r="L149" s="74" t="s">
        <v>6784</v>
      </c>
      <c r="M149" s="78"/>
      <c r="N149" s="78" t="s">
        <v>344</v>
      </c>
      <c r="O149" s="73" t="s">
        <v>360</v>
      </c>
    </row>
    <row r="150" spans="1:15" s="73" customFormat="1" ht="13" x14ac:dyDescent="0.15">
      <c r="A150" s="78">
        <v>2629902</v>
      </c>
      <c r="B150" s="78" t="s">
        <v>373</v>
      </c>
      <c r="C150" s="78" t="s">
        <v>378</v>
      </c>
      <c r="D150" s="78" t="s">
        <v>170</v>
      </c>
      <c r="E150" s="78" t="s">
        <v>243</v>
      </c>
      <c r="F150" s="78" t="s">
        <v>1786</v>
      </c>
      <c r="G150" s="78" t="s">
        <v>350</v>
      </c>
      <c r="H150" s="77">
        <v>5</v>
      </c>
      <c r="I150" s="55"/>
      <c r="J150" s="74">
        <v>44343</v>
      </c>
      <c r="K150" s="74"/>
      <c r="L150" s="74" t="s">
        <v>6784</v>
      </c>
      <c r="M150" s="78"/>
      <c r="N150" s="78" t="s">
        <v>344</v>
      </c>
      <c r="O150" s="73" t="s">
        <v>360</v>
      </c>
    </row>
    <row r="151" spans="1:15" s="73" customFormat="1" ht="13" x14ac:dyDescent="0.15">
      <c r="A151" s="78">
        <v>2630055</v>
      </c>
      <c r="B151" s="78" t="s">
        <v>373</v>
      </c>
      <c r="C151" s="78" t="s">
        <v>144</v>
      </c>
      <c r="D151" s="78" t="s">
        <v>144</v>
      </c>
      <c r="E151" s="78" t="s">
        <v>157</v>
      </c>
      <c r="F151" s="78" t="s">
        <v>1462</v>
      </c>
      <c r="G151" s="78" t="s">
        <v>350</v>
      </c>
      <c r="H151" s="77">
        <v>3</v>
      </c>
      <c r="I151" s="55"/>
      <c r="J151" s="74">
        <v>44571</v>
      </c>
      <c r="K151" s="74"/>
      <c r="L151" s="74" t="s">
        <v>6784</v>
      </c>
      <c r="M151" s="78"/>
      <c r="N151" s="78" t="s">
        <v>344</v>
      </c>
      <c r="O151" s="73" t="s">
        <v>360</v>
      </c>
    </row>
    <row r="152" spans="1:15" s="73" customFormat="1" ht="13" x14ac:dyDescent="0.15">
      <c r="A152" s="78">
        <v>2630701</v>
      </c>
      <c r="B152" s="78" t="s">
        <v>373</v>
      </c>
      <c r="C152" s="78" t="s">
        <v>378</v>
      </c>
      <c r="D152" s="78" t="s">
        <v>134</v>
      </c>
      <c r="E152" s="78" t="s">
        <v>251</v>
      </c>
      <c r="F152" s="78" t="s">
        <v>1709</v>
      </c>
      <c r="G152" s="78" t="s">
        <v>350</v>
      </c>
      <c r="H152" s="77">
        <v>2</v>
      </c>
      <c r="I152" s="55"/>
      <c r="J152" s="74">
        <v>44404</v>
      </c>
      <c r="K152" s="74"/>
      <c r="L152" s="74" t="s">
        <v>6784</v>
      </c>
      <c r="M152" s="78"/>
      <c r="N152" s="78" t="s">
        <v>344</v>
      </c>
      <c r="O152" s="73" t="s">
        <v>360</v>
      </c>
    </row>
    <row r="153" spans="1:15" s="73" customFormat="1" ht="13" x14ac:dyDescent="0.15">
      <c r="A153" s="78">
        <v>2630728</v>
      </c>
      <c r="B153" s="78" t="s">
        <v>373</v>
      </c>
      <c r="C153" s="78" t="s">
        <v>378</v>
      </c>
      <c r="D153" s="78" t="s">
        <v>170</v>
      </c>
      <c r="E153" s="78" t="s">
        <v>267</v>
      </c>
      <c r="F153" s="78" t="s">
        <v>477</v>
      </c>
      <c r="G153" s="78" t="s">
        <v>362</v>
      </c>
      <c r="H153" s="77">
        <v>3</v>
      </c>
      <c r="I153" s="55"/>
      <c r="J153" s="74">
        <v>44390</v>
      </c>
      <c r="K153" s="74"/>
      <c r="L153" s="74" t="s">
        <v>6784</v>
      </c>
      <c r="M153" s="78"/>
      <c r="N153" s="78" t="s">
        <v>344</v>
      </c>
      <c r="O153" s="73" t="s">
        <v>360</v>
      </c>
    </row>
    <row r="154" spans="1:15" s="73" customFormat="1" ht="13" x14ac:dyDescent="0.15">
      <c r="A154" s="78">
        <v>2630796</v>
      </c>
      <c r="B154" s="78" t="s">
        <v>373</v>
      </c>
      <c r="C154" s="78" t="s">
        <v>150</v>
      </c>
      <c r="D154" s="78" t="s">
        <v>150</v>
      </c>
      <c r="E154" s="78" t="s">
        <v>203</v>
      </c>
      <c r="F154" s="78" t="s">
        <v>593</v>
      </c>
      <c r="G154" s="78" t="s">
        <v>350</v>
      </c>
      <c r="H154" s="77">
        <v>4</v>
      </c>
      <c r="I154" s="55"/>
      <c r="J154" s="74">
        <v>44593</v>
      </c>
      <c r="K154" s="74"/>
      <c r="L154" s="74" t="s">
        <v>6784</v>
      </c>
      <c r="M154" s="78"/>
      <c r="N154" s="78" t="s">
        <v>344</v>
      </c>
      <c r="O154" s="73" t="s">
        <v>360</v>
      </c>
    </row>
    <row r="155" spans="1:15" s="73" customFormat="1" ht="13" x14ac:dyDescent="0.15">
      <c r="A155" s="78">
        <v>2631136</v>
      </c>
      <c r="B155" s="78" t="s">
        <v>373</v>
      </c>
      <c r="C155" s="78" t="s">
        <v>144</v>
      </c>
      <c r="D155" s="78" t="s">
        <v>144</v>
      </c>
      <c r="E155" s="78" t="s">
        <v>209</v>
      </c>
      <c r="F155" s="78" t="s">
        <v>777</v>
      </c>
      <c r="G155" s="78" t="s">
        <v>350</v>
      </c>
      <c r="H155" s="77">
        <v>2</v>
      </c>
      <c r="I155" s="55"/>
      <c r="J155" s="74">
        <v>44379</v>
      </c>
      <c r="K155" s="74"/>
      <c r="L155" s="74" t="s">
        <v>6784</v>
      </c>
      <c r="M155" s="78"/>
      <c r="N155" s="78" t="s">
        <v>344</v>
      </c>
      <c r="O155" s="73" t="s">
        <v>360</v>
      </c>
    </row>
    <row r="156" spans="1:15" s="73" customFormat="1" ht="13" x14ac:dyDescent="0.15">
      <c r="A156" s="78">
        <v>2631163</v>
      </c>
      <c r="B156" s="78" t="s">
        <v>389</v>
      </c>
      <c r="C156" s="78" t="s">
        <v>129</v>
      </c>
      <c r="D156" s="78" t="s">
        <v>129</v>
      </c>
      <c r="E156" s="78" t="s">
        <v>192</v>
      </c>
      <c r="F156" s="78" t="s">
        <v>1191</v>
      </c>
      <c r="G156" s="78" t="s">
        <v>350</v>
      </c>
      <c r="H156" s="77"/>
      <c r="I156" s="55"/>
      <c r="J156" s="74">
        <v>44340</v>
      </c>
      <c r="K156" s="74"/>
      <c r="L156" s="74" t="s">
        <v>6784</v>
      </c>
      <c r="M156" s="78"/>
      <c r="N156" s="78" t="s">
        <v>344</v>
      </c>
      <c r="O156" s="73" t="s">
        <v>2106</v>
      </c>
    </row>
    <row r="157" spans="1:15" s="73" customFormat="1" ht="13" x14ac:dyDescent="0.15">
      <c r="A157" s="78">
        <v>2631195</v>
      </c>
      <c r="B157" s="78" t="s">
        <v>373</v>
      </c>
      <c r="C157" s="78" t="s">
        <v>150</v>
      </c>
      <c r="D157" s="78" t="s">
        <v>150</v>
      </c>
      <c r="E157" s="78" t="s">
        <v>237</v>
      </c>
      <c r="F157" s="78" t="s">
        <v>990</v>
      </c>
      <c r="G157" s="78" t="s">
        <v>350</v>
      </c>
      <c r="H157" s="77">
        <v>3</v>
      </c>
      <c r="I157" s="55"/>
      <c r="J157" s="74">
        <v>44295</v>
      </c>
      <c r="K157" s="74">
        <v>44606</v>
      </c>
      <c r="L157" s="74" t="s">
        <v>6784</v>
      </c>
      <c r="M157" s="78" t="s">
        <v>6778</v>
      </c>
      <c r="N157" s="78" t="s">
        <v>6707</v>
      </c>
      <c r="O157" s="73" t="s">
        <v>360</v>
      </c>
    </row>
    <row r="158" spans="1:15" s="73" customFormat="1" ht="13" x14ac:dyDescent="0.15">
      <c r="A158" s="78">
        <v>2631221</v>
      </c>
      <c r="B158" s="78" t="s">
        <v>373</v>
      </c>
      <c r="C158" s="78" t="s">
        <v>144</v>
      </c>
      <c r="D158" s="78" t="s">
        <v>144</v>
      </c>
      <c r="E158" s="78" t="s">
        <v>168</v>
      </c>
      <c r="F158" s="78" t="s">
        <v>2110</v>
      </c>
      <c r="G158" s="78" t="s">
        <v>350</v>
      </c>
      <c r="H158" s="77">
        <v>1</v>
      </c>
      <c r="I158" s="55"/>
      <c r="J158" s="74">
        <v>44334</v>
      </c>
      <c r="K158" s="74"/>
      <c r="L158" s="74" t="s">
        <v>6784</v>
      </c>
      <c r="M158" s="78"/>
      <c r="N158" s="78" t="s">
        <v>344</v>
      </c>
      <c r="O158" s="73" t="s">
        <v>360</v>
      </c>
    </row>
    <row r="159" spans="1:15" s="73" customFormat="1" ht="13" x14ac:dyDescent="0.15">
      <c r="A159" s="78">
        <v>2631595</v>
      </c>
      <c r="B159" s="78" t="s">
        <v>373</v>
      </c>
      <c r="C159" s="78" t="s">
        <v>138</v>
      </c>
      <c r="D159" s="78" t="s">
        <v>138</v>
      </c>
      <c r="E159" s="78" t="s">
        <v>159</v>
      </c>
      <c r="F159" s="78" t="s">
        <v>633</v>
      </c>
      <c r="G159" s="78" t="s">
        <v>350</v>
      </c>
      <c r="H159" s="77">
        <v>5</v>
      </c>
      <c r="I159" s="55"/>
      <c r="J159" s="74">
        <v>44333</v>
      </c>
      <c r="K159" s="74"/>
      <c r="L159" s="74" t="s">
        <v>6784</v>
      </c>
      <c r="M159" s="78"/>
      <c r="N159" s="78" t="s">
        <v>344</v>
      </c>
      <c r="O159" s="73" t="s">
        <v>360</v>
      </c>
    </row>
    <row r="160" spans="1:15" s="73" customFormat="1" ht="13" x14ac:dyDescent="0.15">
      <c r="A160" s="78">
        <v>2631690</v>
      </c>
      <c r="B160" s="78" t="s">
        <v>373</v>
      </c>
      <c r="C160" s="78" t="s">
        <v>142</v>
      </c>
      <c r="D160" s="78" t="s">
        <v>142</v>
      </c>
      <c r="E160" s="78" t="s">
        <v>195</v>
      </c>
      <c r="F160" s="78" t="s">
        <v>518</v>
      </c>
      <c r="G160" s="78" t="s">
        <v>350</v>
      </c>
      <c r="H160" s="77">
        <v>3</v>
      </c>
      <c r="I160" s="55"/>
      <c r="J160" s="74">
        <v>44315</v>
      </c>
      <c r="K160" s="74"/>
      <c r="L160" s="74" t="s">
        <v>6784</v>
      </c>
      <c r="M160" s="78"/>
      <c r="N160" s="78" t="s">
        <v>344</v>
      </c>
      <c r="O160" s="73" t="s">
        <v>360</v>
      </c>
    </row>
    <row r="161" spans="1:15" s="73" customFormat="1" ht="13" x14ac:dyDescent="0.15">
      <c r="A161" s="78">
        <v>2631698</v>
      </c>
      <c r="B161" s="78" t="s">
        <v>373</v>
      </c>
      <c r="C161" s="78" t="s">
        <v>142</v>
      </c>
      <c r="D161" s="78" t="s">
        <v>142</v>
      </c>
      <c r="E161" s="78" t="s">
        <v>262</v>
      </c>
      <c r="F161" s="78" t="s">
        <v>1215</v>
      </c>
      <c r="G161" s="78" t="s">
        <v>350</v>
      </c>
      <c r="H161" s="77">
        <v>3</v>
      </c>
      <c r="I161" s="55"/>
      <c r="J161" s="74">
        <v>44501</v>
      </c>
      <c r="K161" s="74"/>
      <c r="L161" s="74" t="s">
        <v>6784</v>
      </c>
      <c r="M161" s="78"/>
      <c r="N161" s="78" t="s">
        <v>344</v>
      </c>
      <c r="O161" s="73" t="s">
        <v>360</v>
      </c>
    </row>
    <row r="162" spans="1:15" s="73" customFormat="1" ht="13" x14ac:dyDescent="0.15">
      <c r="A162" s="78">
        <v>2632092</v>
      </c>
      <c r="B162" s="78" t="s">
        <v>373</v>
      </c>
      <c r="C162" s="78" t="s">
        <v>378</v>
      </c>
      <c r="D162" s="78" t="s">
        <v>134</v>
      </c>
      <c r="E162" s="78" t="s">
        <v>206</v>
      </c>
      <c r="F162" s="78" t="s">
        <v>750</v>
      </c>
      <c r="G162" s="78" t="s">
        <v>350</v>
      </c>
      <c r="H162" s="77">
        <v>2</v>
      </c>
      <c r="I162" s="55"/>
      <c r="J162" s="74">
        <v>44305</v>
      </c>
      <c r="K162" s="74"/>
      <c r="L162" s="74" t="s">
        <v>6784</v>
      </c>
      <c r="M162" s="78"/>
      <c r="N162" s="78" t="s">
        <v>344</v>
      </c>
      <c r="O162" s="73" t="s">
        <v>360</v>
      </c>
    </row>
    <row r="163" spans="1:15" s="73" customFormat="1" ht="13" x14ac:dyDescent="0.15">
      <c r="A163" s="78">
        <v>2632330</v>
      </c>
      <c r="B163" s="78" t="s">
        <v>373</v>
      </c>
      <c r="C163" s="78" t="s">
        <v>138</v>
      </c>
      <c r="D163" s="78" t="s">
        <v>138</v>
      </c>
      <c r="E163" s="78" t="s">
        <v>238</v>
      </c>
      <c r="F163" s="78" t="s">
        <v>238</v>
      </c>
      <c r="G163" s="78" t="s">
        <v>350</v>
      </c>
      <c r="H163" s="77">
        <v>4</v>
      </c>
      <c r="I163" s="55"/>
      <c r="J163" s="74">
        <v>44302</v>
      </c>
      <c r="K163" s="74"/>
      <c r="L163" s="74" t="s">
        <v>6784</v>
      </c>
      <c r="M163" s="78"/>
      <c r="N163" s="78" t="s">
        <v>344</v>
      </c>
      <c r="O163" s="73" t="s">
        <v>360</v>
      </c>
    </row>
    <row r="164" spans="1:15" s="73" customFormat="1" ht="13" x14ac:dyDescent="0.15">
      <c r="A164" s="78">
        <v>2632726</v>
      </c>
      <c r="B164" s="78" t="s">
        <v>373</v>
      </c>
      <c r="C164" s="78" t="s">
        <v>378</v>
      </c>
      <c r="D164" s="78" t="s">
        <v>170</v>
      </c>
      <c r="E164" s="78" t="s">
        <v>184</v>
      </c>
      <c r="F164" s="78" t="s">
        <v>184</v>
      </c>
      <c r="G164" s="78" t="s">
        <v>350</v>
      </c>
      <c r="H164" s="77">
        <v>3</v>
      </c>
      <c r="I164" s="55"/>
      <c r="J164" s="74">
        <v>44521</v>
      </c>
      <c r="K164" s="74"/>
      <c r="L164" s="74" t="s">
        <v>6784</v>
      </c>
      <c r="M164" s="78"/>
      <c r="N164" s="78" t="s">
        <v>344</v>
      </c>
      <c r="O164" s="73" t="s">
        <v>360</v>
      </c>
    </row>
    <row r="165" spans="1:15" s="73" customFormat="1" ht="13" x14ac:dyDescent="0.15">
      <c r="A165" s="78">
        <v>2632727</v>
      </c>
      <c r="B165" s="78" t="s">
        <v>373</v>
      </c>
      <c r="C165" s="78" t="s">
        <v>144</v>
      </c>
      <c r="D165" s="78" t="s">
        <v>144</v>
      </c>
      <c r="E165" s="78" t="s">
        <v>209</v>
      </c>
      <c r="F165" s="78" t="s">
        <v>597</v>
      </c>
      <c r="G165" s="78" t="s">
        <v>362</v>
      </c>
      <c r="H165" s="77">
        <v>2</v>
      </c>
      <c r="I165" s="55"/>
      <c r="J165" s="74">
        <v>44393</v>
      </c>
      <c r="K165" s="74"/>
      <c r="L165" s="74" t="s">
        <v>6784</v>
      </c>
      <c r="M165" s="78"/>
      <c r="N165" s="78" t="s">
        <v>344</v>
      </c>
      <c r="O165" s="73" t="s">
        <v>360</v>
      </c>
    </row>
    <row r="166" spans="1:15" s="73" customFormat="1" ht="13" x14ac:dyDescent="0.15">
      <c r="A166" s="78">
        <v>2632917</v>
      </c>
      <c r="B166" s="78" t="s">
        <v>373</v>
      </c>
      <c r="C166" s="78" t="s">
        <v>136</v>
      </c>
      <c r="D166" s="78" t="s">
        <v>136</v>
      </c>
      <c r="E166" s="78" t="s">
        <v>255</v>
      </c>
      <c r="F166" s="78" t="s">
        <v>757</v>
      </c>
      <c r="G166" s="78" t="s">
        <v>350</v>
      </c>
      <c r="H166" s="77">
        <v>2</v>
      </c>
      <c r="I166" s="55"/>
      <c r="J166" s="74">
        <v>44298</v>
      </c>
      <c r="K166" s="74"/>
      <c r="L166" s="74" t="s">
        <v>6784</v>
      </c>
      <c r="M166" s="78"/>
      <c r="N166" s="78" t="s">
        <v>344</v>
      </c>
      <c r="O166" s="73" t="s">
        <v>360</v>
      </c>
    </row>
    <row r="167" spans="1:15" s="73" customFormat="1" ht="13" x14ac:dyDescent="0.15">
      <c r="A167" s="78">
        <v>2633026</v>
      </c>
      <c r="B167" s="78" t="s">
        <v>373</v>
      </c>
      <c r="C167" s="78" t="s">
        <v>172</v>
      </c>
      <c r="D167" s="78" t="s">
        <v>172</v>
      </c>
      <c r="E167" s="78" t="s">
        <v>235</v>
      </c>
      <c r="F167" s="78" t="s">
        <v>1036</v>
      </c>
      <c r="G167" s="78" t="s">
        <v>350</v>
      </c>
      <c r="H167" s="77">
        <v>1</v>
      </c>
      <c r="I167" s="55"/>
      <c r="J167" s="74">
        <v>44414</v>
      </c>
      <c r="K167" s="74"/>
      <c r="L167" s="74" t="s">
        <v>6784</v>
      </c>
      <c r="M167" s="78"/>
      <c r="N167" s="78" t="s">
        <v>344</v>
      </c>
      <c r="O167" s="73" t="s">
        <v>360</v>
      </c>
    </row>
    <row r="168" spans="1:15" s="73" customFormat="1" ht="13" x14ac:dyDescent="0.15">
      <c r="A168" s="78">
        <v>2633107</v>
      </c>
      <c r="B168" s="78" t="s">
        <v>373</v>
      </c>
      <c r="C168" s="78" t="s">
        <v>150</v>
      </c>
      <c r="D168" s="78" t="s">
        <v>150</v>
      </c>
      <c r="E168" s="78" t="s">
        <v>268</v>
      </c>
      <c r="F168" s="78" t="s">
        <v>1771</v>
      </c>
      <c r="G168" s="78" t="s">
        <v>350</v>
      </c>
      <c r="H168" s="77">
        <v>4</v>
      </c>
      <c r="I168" s="55"/>
      <c r="J168" s="74">
        <v>44398</v>
      </c>
      <c r="K168" s="74"/>
      <c r="L168" s="74" t="s">
        <v>6784</v>
      </c>
      <c r="M168" s="78"/>
      <c r="N168" s="78" t="s">
        <v>344</v>
      </c>
      <c r="O168" s="73" t="s">
        <v>360</v>
      </c>
    </row>
    <row r="169" spans="1:15" s="73" customFormat="1" ht="13" x14ac:dyDescent="0.15">
      <c r="A169" s="78">
        <v>2633117</v>
      </c>
      <c r="B169" s="78" t="s">
        <v>373</v>
      </c>
      <c r="C169" s="78" t="s">
        <v>172</v>
      </c>
      <c r="D169" s="78" t="s">
        <v>172</v>
      </c>
      <c r="E169" s="78" t="s">
        <v>212</v>
      </c>
      <c r="F169" s="78" t="s">
        <v>714</v>
      </c>
      <c r="G169" s="78" t="s">
        <v>350</v>
      </c>
      <c r="H169" s="77">
        <v>3</v>
      </c>
      <c r="I169" s="55"/>
      <c r="J169" s="74">
        <v>44307</v>
      </c>
      <c r="K169" s="74"/>
      <c r="L169" s="74" t="s">
        <v>6784</v>
      </c>
      <c r="M169" s="78"/>
      <c r="N169" s="78" t="s">
        <v>344</v>
      </c>
      <c r="O169" s="73" t="s">
        <v>360</v>
      </c>
    </row>
    <row r="170" spans="1:15" s="73" customFormat="1" ht="13" x14ac:dyDescent="0.15">
      <c r="A170" s="78">
        <v>2633127</v>
      </c>
      <c r="B170" s="78" t="s">
        <v>373</v>
      </c>
      <c r="C170" s="78" t="s">
        <v>142</v>
      </c>
      <c r="D170" s="78" t="s">
        <v>142</v>
      </c>
      <c r="E170" s="78" t="s">
        <v>292</v>
      </c>
      <c r="F170" s="78" t="s">
        <v>976</v>
      </c>
      <c r="G170" s="78" t="s">
        <v>350</v>
      </c>
      <c r="H170" s="77">
        <v>4</v>
      </c>
      <c r="I170" s="55"/>
      <c r="J170" s="74">
        <v>44390</v>
      </c>
      <c r="K170" s="74"/>
      <c r="L170" s="74" t="s">
        <v>6784</v>
      </c>
      <c r="M170" s="78"/>
      <c r="N170" s="78" t="s">
        <v>344</v>
      </c>
      <c r="O170" s="73" t="s">
        <v>360</v>
      </c>
    </row>
    <row r="171" spans="1:15" s="73" customFormat="1" ht="13" x14ac:dyDescent="0.15">
      <c r="A171" s="78">
        <v>2633398</v>
      </c>
      <c r="B171" s="78" t="s">
        <v>373</v>
      </c>
      <c r="C171" s="78" t="s">
        <v>142</v>
      </c>
      <c r="D171" s="78" t="s">
        <v>142</v>
      </c>
      <c r="E171" s="78" t="s">
        <v>272</v>
      </c>
      <c r="F171" s="78" t="s">
        <v>653</v>
      </c>
      <c r="G171" s="78" t="s">
        <v>350</v>
      </c>
      <c r="H171" s="77">
        <v>2</v>
      </c>
      <c r="I171" s="55"/>
      <c r="J171" s="74">
        <v>44407</v>
      </c>
      <c r="K171" s="74"/>
      <c r="L171" s="74" t="s">
        <v>6784</v>
      </c>
      <c r="M171" s="78"/>
      <c r="N171" s="78" t="s">
        <v>344</v>
      </c>
      <c r="O171" s="73" t="s">
        <v>360</v>
      </c>
    </row>
    <row r="172" spans="1:15" s="73" customFormat="1" ht="13" x14ac:dyDescent="0.15">
      <c r="A172" s="78">
        <v>2633410</v>
      </c>
      <c r="B172" s="78" t="s">
        <v>373</v>
      </c>
      <c r="C172" s="78" t="s">
        <v>136</v>
      </c>
      <c r="D172" s="78" t="s">
        <v>136</v>
      </c>
      <c r="E172" s="78" t="s">
        <v>165</v>
      </c>
      <c r="F172" s="78" t="s">
        <v>699</v>
      </c>
      <c r="G172" s="78" t="s">
        <v>380</v>
      </c>
      <c r="H172" s="77">
        <v>3</v>
      </c>
      <c r="I172" s="55"/>
      <c r="J172" s="74">
        <v>44326</v>
      </c>
      <c r="K172" s="74"/>
      <c r="L172" s="74" t="s">
        <v>6784</v>
      </c>
      <c r="M172" s="78"/>
      <c r="N172" s="78" t="s">
        <v>344</v>
      </c>
      <c r="O172" s="73" t="s">
        <v>360</v>
      </c>
    </row>
    <row r="173" spans="1:15" s="73" customFormat="1" ht="13" x14ac:dyDescent="0.15">
      <c r="A173" s="78">
        <v>2633602</v>
      </c>
      <c r="B173" s="78" t="s">
        <v>373</v>
      </c>
      <c r="C173" s="78" t="s">
        <v>378</v>
      </c>
      <c r="D173" s="78" t="s">
        <v>134</v>
      </c>
      <c r="E173" s="78" t="s">
        <v>204</v>
      </c>
      <c r="F173" s="78" t="s">
        <v>1920</v>
      </c>
      <c r="G173" s="78" t="s">
        <v>380</v>
      </c>
      <c r="H173" s="77">
        <v>4</v>
      </c>
      <c r="I173" s="55"/>
      <c r="J173" s="74">
        <v>44287</v>
      </c>
      <c r="K173" s="74"/>
      <c r="L173" s="74" t="s">
        <v>6784</v>
      </c>
      <c r="M173" s="78"/>
      <c r="N173" s="78" t="s">
        <v>344</v>
      </c>
      <c r="O173" s="73" t="s">
        <v>360</v>
      </c>
    </row>
    <row r="174" spans="1:15" s="73" customFormat="1" ht="13" x14ac:dyDescent="0.15">
      <c r="A174" s="78">
        <v>2633617</v>
      </c>
      <c r="B174" s="78" t="s">
        <v>373</v>
      </c>
      <c r="C174" s="78" t="s">
        <v>172</v>
      </c>
      <c r="D174" s="78" t="s">
        <v>172</v>
      </c>
      <c r="E174" s="78" t="s">
        <v>173</v>
      </c>
      <c r="F174" s="78" t="s">
        <v>1069</v>
      </c>
      <c r="G174" s="78" t="s">
        <v>350</v>
      </c>
      <c r="H174" s="77">
        <v>2</v>
      </c>
      <c r="I174" s="55"/>
      <c r="J174" s="74">
        <v>44340</v>
      </c>
      <c r="K174" s="74"/>
      <c r="L174" s="74" t="s">
        <v>6784</v>
      </c>
      <c r="M174" s="78"/>
      <c r="N174" s="78" t="s">
        <v>344</v>
      </c>
      <c r="O174" s="73" t="s">
        <v>360</v>
      </c>
    </row>
    <row r="175" spans="1:15" s="73" customFormat="1" ht="13" x14ac:dyDescent="0.15">
      <c r="A175" s="78">
        <v>2633744</v>
      </c>
      <c r="B175" s="78" t="s">
        <v>373</v>
      </c>
      <c r="C175" s="78" t="s">
        <v>142</v>
      </c>
      <c r="D175" s="78" t="s">
        <v>142</v>
      </c>
      <c r="E175" s="78" t="s">
        <v>293</v>
      </c>
      <c r="F175" s="78" t="s">
        <v>1422</v>
      </c>
      <c r="G175" s="78" t="s">
        <v>350</v>
      </c>
      <c r="H175" s="77">
        <v>3</v>
      </c>
      <c r="I175" s="55"/>
      <c r="J175" s="74">
        <v>44355</v>
      </c>
      <c r="K175" s="74"/>
      <c r="L175" s="74" t="s">
        <v>6784</v>
      </c>
      <c r="M175" s="78"/>
      <c r="N175" s="78" t="s">
        <v>344</v>
      </c>
      <c r="O175" s="73" t="s">
        <v>360</v>
      </c>
    </row>
    <row r="176" spans="1:15" s="73" customFormat="1" ht="13" x14ac:dyDescent="0.15">
      <c r="A176" s="78">
        <v>2633818</v>
      </c>
      <c r="B176" s="78" t="s">
        <v>373</v>
      </c>
      <c r="C176" s="78" t="s">
        <v>144</v>
      </c>
      <c r="D176" s="78" t="s">
        <v>144</v>
      </c>
      <c r="E176" s="78" t="s">
        <v>215</v>
      </c>
      <c r="F176" s="78" t="s">
        <v>655</v>
      </c>
      <c r="G176" s="78" t="s">
        <v>362</v>
      </c>
      <c r="H176" s="77">
        <v>3</v>
      </c>
      <c r="I176" s="55"/>
      <c r="J176" s="74">
        <v>44393</v>
      </c>
      <c r="K176" s="74"/>
      <c r="L176" s="74" t="s">
        <v>6784</v>
      </c>
      <c r="M176" s="78"/>
      <c r="N176" s="78" t="s">
        <v>344</v>
      </c>
      <c r="O176" s="73" t="s">
        <v>360</v>
      </c>
    </row>
    <row r="177" spans="1:15" s="73" customFormat="1" ht="13" x14ac:dyDescent="0.15">
      <c r="A177" s="78">
        <v>2634058</v>
      </c>
      <c r="B177" s="78" t="s">
        <v>373</v>
      </c>
      <c r="C177" s="78" t="s">
        <v>142</v>
      </c>
      <c r="D177" s="78" t="s">
        <v>142</v>
      </c>
      <c r="E177" s="78" t="s">
        <v>141</v>
      </c>
      <c r="F177" s="78" t="s">
        <v>641</v>
      </c>
      <c r="G177" s="78" t="s">
        <v>350</v>
      </c>
      <c r="H177" s="77">
        <v>3</v>
      </c>
      <c r="I177" s="55"/>
      <c r="J177" s="74">
        <v>44398</v>
      </c>
      <c r="K177" s="74">
        <v>44542</v>
      </c>
      <c r="L177" s="74" t="s">
        <v>6784</v>
      </c>
      <c r="M177" s="78" t="s">
        <v>6778</v>
      </c>
      <c r="N177" s="78" t="s">
        <v>6707</v>
      </c>
      <c r="O177" s="73" t="s">
        <v>360</v>
      </c>
    </row>
    <row r="178" spans="1:15" s="73" customFormat="1" ht="13" x14ac:dyDescent="0.15">
      <c r="A178" s="78">
        <v>2634272</v>
      </c>
      <c r="B178" s="78" t="s">
        <v>373</v>
      </c>
      <c r="C178" s="78" t="s">
        <v>144</v>
      </c>
      <c r="D178" s="78" t="s">
        <v>144</v>
      </c>
      <c r="E178" s="78" t="s">
        <v>215</v>
      </c>
      <c r="F178" s="78" t="s">
        <v>655</v>
      </c>
      <c r="G178" s="78" t="s">
        <v>350</v>
      </c>
      <c r="H178" s="77">
        <v>3</v>
      </c>
      <c r="I178" s="55"/>
      <c r="J178" s="74">
        <v>44390</v>
      </c>
      <c r="K178" s="74"/>
      <c r="L178" s="74" t="s">
        <v>6784</v>
      </c>
      <c r="M178" s="78"/>
      <c r="N178" s="78" t="s">
        <v>344</v>
      </c>
      <c r="O178" s="73" t="s">
        <v>360</v>
      </c>
    </row>
    <row r="179" spans="1:15" s="73" customFormat="1" ht="13" x14ac:dyDescent="0.15">
      <c r="A179" s="78">
        <v>2634624</v>
      </c>
      <c r="B179" s="78" t="s">
        <v>373</v>
      </c>
      <c r="C179" s="78" t="s">
        <v>172</v>
      </c>
      <c r="D179" s="78" t="s">
        <v>172</v>
      </c>
      <c r="E179" s="78" t="s">
        <v>212</v>
      </c>
      <c r="F179" s="78" t="s">
        <v>842</v>
      </c>
      <c r="G179" s="78" t="s">
        <v>350</v>
      </c>
      <c r="H179" s="77">
        <v>1</v>
      </c>
      <c r="I179" s="55"/>
      <c r="J179" s="74">
        <v>44336</v>
      </c>
      <c r="K179" s="74"/>
      <c r="L179" s="74" t="s">
        <v>6784</v>
      </c>
      <c r="M179" s="78"/>
      <c r="N179" s="78" t="s">
        <v>344</v>
      </c>
      <c r="O179" s="73" t="s">
        <v>360</v>
      </c>
    </row>
    <row r="180" spans="1:15" s="73" customFormat="1" ht="13" x14ac:dyDescent="0.15">
      <c r="A180" s="78">
        <v>2634633</v>
      </c>
      <c r="B180" s="78" t="s">
        <v>373</v>
      </c>
      <c r="C180" s="78" t="s">
        <v>136</v>
      </c>
      <c r="D180" s="78" t="s">
        <v>136</v>
      </c>
      <c r="E180" s="78" t="s">
        <v>255</v>
      </c>
      <c r="F180" s="78" t="s">
        <v>583</v>
      </c>
      <c r="G180" s="78" t="s">
        <v>350</v>
      </c>
      <c r="H180" s="77">
        <v>2</v>
      </c>
      <c r="I180" s="55"/>
      <c r="J180" s="74">
        <v>44593</v>
      </c>
      <c r="K180" s="74"/>
      <c r="L180" s="74" t="s">
        <v>6784</v>
      </c>
      <c r="M180" s="78"/>
      <c r="N180" s="78" t="s">
        <v>344</v>
      </c>
      <c r="O180" s="73" t="s">
        <v>360</v>
      </c>
    </row>
    <row r="181" spans="1:15" s="73" customFormat="1" ht="13" x14ac:dyDescent="0.15">
      <c r="A181" s="78">
        <v>2634698</v>
      </c>
      <c r="B181" s="78" t="s">
        <v>373</v>
      </c>
      <c r="C181" s="78" t="s">
        <v>142</v>
      </c>
      <c r="D181" s="78" t="s">
        <v>142</v>
      </c>
      <c r="E181" s="78" t="s">
        <v>282</v>
      </c>
      <c r="F181" s="78" t="s">
        <v>1812</v>
      </c>
      <c r="G181" s="78" t="s">
        <v>350</v>
      </c>
      <c r="H181" s="77">
        <v>2</v>
      </c>
      <c r="I181" s="55"/>
      <c r="J181" s="74">
        <v>44353</v>
      </c>
      <c r="K181" s="74"/>
      <c r="L181" s="74" t="s">
        <v>6784</v>
      </c>
      <c r="M181" s="78"/>
      <c r="N181" s="78" t="s">
        <v>344</v>
      </c>
      <c r="O181" s="73" t="s">
        <v>360</v>
      </c>
    </row>
    <row r="182" spans="1:15" s="73" customFormat="1" ht="13" x14ac:dyDescent="0.15">
      <c r="A182" s="78">
        <v>2634720</v>
      </c>
      <c r="B182" s="78" t="s">
        <v>373</v>
      </c>
      <c r="C182" s="78" t="s">
        <v>144</v>
      </c>
      <c r="D182" s="78" t="s">
        <v>144</v>
      </c>
      <c r="E182" s="78" t="s">
        <v>145</v>
      </c>
      <c r="F182" s="78" t="s">
        <v>525</v>
      </c>
      <c r="G182" s="78" t="s">
        <v>350</v>
      </c>
      <c r="H182" s="77">
        <v>2</v>
      </c>
      <c r="I182" s="55"/>
      <c r="J182" s="74">
        <v>44377</v>
      </c>
      <c r="K182" s="74"/>
      <c r="L182" s="74" t="s">
        <v>6784</v>
      </c>
      <c r="M182" s="78"/>
      <c r="N182" s="78" t="s">
        <v>344</v>
      </c>
      <c r="O182" s="73" t="s">
        <v>360</v>
      </c>
    </row>
    <row r="183" spans="1:15" s="73" customFormat="1" ht="13" x14ac:dyDescent="0.15">
      <c r="A183" s="78">
        <v>2634800</v>
      </c>
      <c r="B183" s="78" t="s">
        <v>373</v>
      </c>
      <c r="C183" s="78" t="s">
        <v>144</v>
      </c>
      <c r="D183" s="78" t="s">
        <v>144</v>
      </c>
      <c r="E183" s="78" t="s">
        <v>145</v>
      </c>
      <c r="F183" s="78" t="s">
        <v>525</v>
      </c>
      <c r="G183" s="78" t="s">
        <v>350</v>
      </c>
      <c r="H183" s="77">
        <v>1</v>
      </c>
      <c r="I183" s="55"/>
      <c r="J183" s="74">
        <v>44348</v>
      </c>
      <c r="K183" s="74"/>
      <c r="L183" s="74" t="s">
        <v>6784</v>
      </c>
      <c r="M183" s="78"/>
      <c r="N183" s="78" t="s">
        <v>344</v>
      </c>
      <c r="O183" s="73" t="s">
        <v>360</v>
      </c>
    </row>
    <row r="184" spans="1:15" s="73" customFormat="1" ht="13" x14ac:dyDescent="0.15">
      <c r="A184" s="78">
        <v>2634911</v>
      </c>
      <c r="B184" s="78" t="s">
        <v>373</v>
      </c>
      <c r="C184" s="78" t="s">
        <v>136</v>
      </c>
      <c r="D184" s="78" t="s">
        <v>136</v>
      </c>
      <c r="E184" s="78" t="s">
        <v>705</v>
      </c>
      <c r="F184" s="78" t="s">
        <v>891</v>
      </c>
      <c r="G184" s="78" t="s">
        <v>350</v>
      </c>
      <c r="H184" s="77">
        <v>4</v>
      </c>
      <c r="I184" s="55"/>
      <c r="J184" s="74">
        <v>44404</v>
      </c>
      <c r="K184" s="74"/>
      <c r="L184" s="74" t="s">
        <v>6784</v>
      </c>
      <c r="M184" s="78"/>
      <c r="N184" s="78" t="s">
        <v>344</v>
      </c>
      <c r="O184" s="73" t="s">
        <v>360</v>
      </c>
    </row>
    <row r="185" spans="1:15" s="73" customFormat="1" ht="13" x14ac:dyDescent="0.15">
      <c r="A185" s="78">
        <v>2634929</v>
      </c>
      <c r="B185" s="78" t="s">
        <v>373</v>
      </c>
      <c r="C185" s="78" t="s">
        <v>129</v>
      </c>
      <c r="D185" s="78" t="s">
        <v>129</v>
      </c>
      <c r="E185" s="78" t="s">
        <v>186</v>
      </c>
      <c r="F185" s="78" t="s">
        <v>2125</v>
      </c>
      <c r="G185" s="78" t="s">
        <v>350</v>
      </c>
      <c r="H185" s="77">
        <v>6</v>
      </c>
      <c r="I185" s="55"/>
      <c r="J185" s="74">
        <v>44376</v>
      </c>
      <c r="K185" s="74"/>
      <c r="L185" s="74" t="s">
        <v>6784</v>
      </c>
      <c r="M185" s="78"/>
      <c r="N185" s="78" t="s">
        <v>344</v>
      </c>
      <c r="O185" s="73" t="s">
        <v>360</v>
      </c>
    </row>
    <row r="186" spans="1:15" s="73" customFormat="1" ht="13" x14ac:dyDescent="0.15">
      <c r="A186" s="78">
        <v>2634954</v>
      </c>
      <c r="B186" s="78" t="s">
        <v>373</v>
      </c>
      <c r="C186" s="78" t="s">
        <v>138</v>
      </c>
      <c r="D186" s="78" t="s">
        <v>138</v>
      </c>
      <c r="E186" s="78" t="s">
        <v>183</v>
      </c>
      <c r="F186" s="78" t="s">
        <v>2051</v>
      </c>
      <c r="G186" s="78" t="s">
        <v>350</v>
      </c>
      <c r="H186" s="77">
        <v>4</v>
      </c>
      <c r="I186" s="55"/>
      <c r="J186" s="74">
        <v>44504</v>
      </c>
      <c r="K186" s="74"/>
      <c r="L186" s="74" t="s">
        <v>6784</v>
      </c>
      <c r="M186" s="78"/>
      <c r="N186" s="78" t="s">
        <v>344</v>
      </c>
      <c r="O186" s="73" t="s">
        <v>360</v>
      </c>
    </row>
    <row r="187" spans="1:15" s="73" customFormat="1" ht="13" x14ac:dyDescent="0.15">
      <c r="A187" s="78">
        <v>2635062</v>
      </c>
      <c r="B187" s="78" t="s">
        <v>373</v>
      </c>
      <c r="C187" s="78" t="s">
        <v>172</v>
      </c>
      <c r="D187" s="78" t="s">
        <v>172</v>
      </c>
      <c r="E187" s="78" t="s">
        <v>214</v>
      </c>
      <c r="F187" s="78" t="s">
        <v>790</v>
      </c>
      <c r="G187" s="78" t="s">
        <v>350</v>
      </c>
      <c r="H187" s="77">
        <v>3</v>
      </c>
      <c r="I187" s="55"/>
      <c r="J187" s="74">
        <v>44336</v>
      </c>
      <c r="K187" s="74"/>
      <c r="L187" s="74" t="s">
        <v>6784</v>
      </c>
      <c r="M187" s="78"/>
      <c r="N187" s="78" t="s">
        <v>344</v>
      </c>
      <c r="O187" s="73" t="s">
        <v>360</v>
      </c>
    </row>
    <row r="188" spans="1:15" s="73" customFormat="1" ht="13" x14ac:dyDescent="0.15">
      <c r="A188" s="78">
        <v>2635269</v>
      </c>
      <c r="B188" s="78" t="s">
        <v>373</v>
      </c>
      <c r="C188" s="78" t="s">
        <v>144</v>
      </c>
      <c r="D188" s="78" t="s">
        <v>144</v>
      </c>
      <c r="E188" s="78" t="s">
        <v>215</v>
      </c>
      <c r="F188" s="78" t="s">
        <v>1207</v>
      </c>
      <c r="G188" s="78" t="s">
        <v>350</v>
      </c>
      <c r="H188" s="77">
        <v>5</v>
      </c>
      <c r="I188" s="55"/>
      <c r="J188" s="74">
        <v>44496</v>
      </c>
      <c r="K188" s="74"/>
      <c r="L188" s="74" t="s">
        <v>6784</v>
      </c>
      <c r="M188" s="78"/>
      <c r="N188" s="78" t="s">
        <v>344</v>
      </c>
      <c r="O188" s="73" t="s">
        <v>360</v>
      </c>
    </row>
    <row r="189" spans="1:15" s="73" customFormat="1" ht="13" x14ac:dyDescent="0.15">
      <c r="A189" s="78">
        <v>2635351</v>
      </c>
      <c r="B189" s="78" t="s">
        <v>479</v>
      </c>
      <c r="C189" s="78" t="s">
        <v>144</v>
      </c>
      <c r="D189" s="78" t="s">
        <v>144</v>
      </c>
      <c r="E189" s="78" t="s">
        <v>209</v>
      </c>
      <c r="F189" s="78" t="s">
        <v>544</v>
      </c>
      <c r="G189" s="78" t="s">
        <v>350</v>
      </c>
      <c r="H189" s="77">
        <v>12</v>
      </c>
      <c r="I189" s="55"/>
      <c r="J189" s="74">
        <v>44445</v>
      </c>
      <c r="K189" s="74"/>
      <c r="L189" s="74" t="s">
        <v>6784</v>
      </c>
      <c r="M189" s="78"/>
      <c r="N189" s="78" t="s">
        <v>344</v>
      </c>
      <c r="O189" s="73" t="s">
        <v>360</v>
      </c>
    </row>
    <row r="190" spans="1:15" s="73" customFormat="1" ht="13" x14ac:dyDescent="0.15">
      <c r="A190" s="78">
        <v>2635545</v>
      </c>
      <c r="B190" s="78" t="s">
        <v>389</v>
      </c>
      <c r="C190" s="78" t="s">
        <v>138</v>
      </c>
      <c r="D190" s="78" t="s">
        <v>138</v>
      </c>
      <c r="E190" s="78" t="s">
        <v>183</v>
      </c>
      <c r="F190" s="78" t="s">
        <v>813</v>
      </c>
      <c r="G190" s="78" t="s">
        <v>350</v>
      </c>
      <c r="H190" s="77"/>
      <c r="I190" s="55"/>
      <c r="J190" s="74">
        <v>44383</v>
      </c>
      <c r="K190" s="74"/>
      <c r="L190" s="74" t="s">
        <v>6784</v>
      </c>
      <c r="M190" s="78"/>
      <c r="N190" s="78" t="s">
        <v>344</v>
      </c>
      <c r="O190" s="73" t="s">
        <v>2129</v>
      </c>
    </row>
    <row r="191" spans="1:15" s="73" customFormat="1" ht="13" x14ac:dyDescent="0.15">
      <c r="A191" s="78">
        <v>2635655</v>
      </c>
      <c r="B191" s="78" t="s">
        <v>373</v>
      </c>
      <c r="C191" s="78" t="s">
        <v>136</v>
      </c>
      <c r="D191" s="78" t="s">
        <v>136</v>
      </c>
      <c r="E191" s="78" t="s">
        <v>174</v>
      </c>
      <c r="F191" s="78" t="s">
        <v>1526</v>
      </c>
      <c r="G191" s="78" t="s">
        <v>350</v>
      </c>
      <c r="H191" s="77">
        <v>4</v>
      </c>
      <c r="I191" s="55"/>
      <c r="J191" s="74">
        <v>44560</v>
      </c>
      <c r="K191" s="74"/>
      <c r="L191" s="74" t="s">
        <v>6784</v>
      </c>
      <c r="M191" s="78"/>
      <c r="N191" s="78" t="s">
        <v>344</v>
      </c>
      <c r="O191" s="73" t="s">
        <v>360</v>
      </c>
    </row>
    <row r="192" spans="1:15" s="73" customFormat="1" ht="13" x14ac:dyDescent="0.15">
      <c r="A192" s="78">
        <v>2636024</v>
      </c>
      <c r="B192" s="78" t="s">
        <v>451</v>
      </c>
      <c r="C192" s="78" t="s">
        <v>378</v>
      </c>
      <c r="D192" s="78" t="s">
        <v>170</v>
      </c>
      <c r="E192" s="78" t="s">
        <v>264</v>
      </c>
      <c r="F192" s="78" t="s">
        <v>437</v>
      </c>
      <c r="G192" s="78" t="s">
        <v>350</v>
      </c>
      <c r="H192" s="77">
        <v>3</v>
      </c>
      <c r="I192" s="55"/>
      <c r="J192" s="74">
        <v>44412</v>
      </c>
      <c r="K192" s="74"/>
      <c r="L192" s="74" t="s">
        <v>6784</v>
      </c>
      <c r="M192" s="78"/>
      <c r="N192" s="78" t="s">
        <v>344</v>
      </c>
      <c r="O192" s="73" t="s">
        <v>2134</v>
      </c>
    </row>
    <row r="193" spans="1:15" s="73" customFormat="1" ht="13" x14ac:dyDescent="0.15">
      <c r="A193" s="78">
        <v>2636225</v>
      </c>
      <c r="B193" s="78" t="s">
        <v>373</v>
      </c>
      <c r="C193" s="78" t="s">
        <v>378</v>
      </c>
      <c r="D193" s="78" t="s">
        <v>134</v>
      </c>
      <c r="E193" s="78" t="s">
        <v>158</v>
      </c>
      <c r="F193" s="78" t="s">
        <v>912</v>
      </c>
      <c r="G193" s="78" t="s">
        <v>350</v>
      </c>
      <c r="H193" s="77">
        <v>2</v>
      </c>
      <c r="I193" s="55"/>
      <c r="J193" s="74">
        <v>44553</v>
      </c>
      <c r="K193" s="74"/>
      <c r="L193" s="74" t="s">
        <v>6784</v>
      </c>
      <c r="M193" s="78"/>
      <c r="N193" s="78" t="s">
        <v>344</v>
      </c>
      <c r="O193" s="73" t="s">
        <v>360</v>
      </c>
    </row>
    <row r="194" spans="1:15" s="73" customFormat="1" ht="13" x14ac:dyDescent="0.15">
      <c r="A194" s="78">
        <v>2636494</v>
      </c>
      <c r="B194" s="78" t="s">
        <v>373</v>
      </c>
      <c r="C194" s="78" t="s">
        <v>150</v>
      </c>
      <c r="D194" s="78" t="s">
        <v>150</v>
      </c>
      <c r="E194" s="78" t="s">
        <v>268</v>
      </c>
      <c r="F194" s="78" t="s">
        <v>2140</v>
      </c>
      <c r="G194" s="78" t="s">
        <v>350</v>
      </c>
      <c r="H194" s="77">
        <v>6</v>
      </c>
      <c r="I194" s="55"/>
      <c r="J194" s="74">
        <v>44382</v>
      </c>
      <c r="K194" s="74"/>
      <c r="L194" s="74" t="s">
        <v>6784</v>
      </c>
      <c r="M194" s="78"/>
      <c r="N194" s="78" t="s">
        <v>344</v>
      </c>
      <c r="O194" s="73" t="s">
        <v>360</v>
      </c>
    </row>
    <row r="195" spans="1:15" s="73" customFormat="1" ht="13" x14ac:dyDescent="0.15">
      <c r="A195" s="78">
        <v>2636743</v>
      </c>
      <c r="B195" s="78" t="s">
        <v>373</v>
      </c>
      <c r="C195" s="78" t="s">
        <v>129</v>
      </c>
      <c r="D195" s="78" t="s">
        <v>129</v>
      </c>
      <c r="E195" s="78" t="s">
        <v>191</v>
      </c>
      <c r="F195" s="78" t="s">
        <v>1224</v>
      </c>
      <c r="G195" s="78" t="s">
        <v>350</v>
      </c>
      <c r="H195" s="77">
        <v>3</v>
      </c>
      <c r="I195" s="55"/>
      <c r="J195" s="74">
        <v>44385</v>
      </c>
      <c r="K195" s="74"/>
      <c r="L195" s="74" t="s">
        <v>6784</v>
      </c>
      <c r="M195" s="78"/>
      <c r="N195" s="78" t="s">
        <v>344</v>
      </c>
      <c r="O195" s="73" t="s">
        <v>360</v>
      </c>
    </row>
    <row r="196" spans="1:15" s="73" customFormat="1" ht="13" x14ac:dyDescent="0.15">
      <c r="A196" s="78">
        <v>2636919</v>
      </c>
      <c r="B196" s="78" t="s">
        <v>373</v>
      </c>
      <c r="C196" s="78" t="s">
        <v>144</v>
      </c>
      <c r="D196" s="78" t="s">
        <v>144</v>
      </c>
      <c r="E196" s="78" t="s">
        <v>209</v>
      </c>
      <c r="F196" s="78" t="s">
        <v>597</v>
      </c>
      <c r="G196" s="78" t="s">
        <v>350</v>
      </c>
      <c r="H196" s="77">
        <v>3</v>
      </c>
      <c r="I196" s="55"/>
      <c r="J196" s="74">
        <v>44522</v>
      </c>
      <c r="K196" s="74"/>
      <c r="L196" s="74" t="s">
        <v>6784</v>
      </c>
      <c r="M196" s="78"/>
      <c r="N196" s="78" t="s">
        <v>344</v>
      </c>
      <c r="O196" s="73" t="s">
        <v>360</v>
      </c>
    </row>
    <row r="197" spans="1:15" s="73" customFormat="1" ht="13" x14ac:dyDescent="0.15">
      <c r="A197" s="78">
        <v>2636921</v>
      </c>
      <c r="B197" s="78" t="s">
        <v>373</v>
      </c>
      <c r="C197" s="78" t="s">
        <v>172</v>
      </c>
      <c r="D197" s="78" t="s">
        <v>172</v>
      </c>
      <c r="E197" s="78" t="s">
        <v>173</v>
      </c>
      <c r="F197" s="78" t="s">
        <v>1540</v>
      </c>
      <c r="G197" s="78" t="s">
        <v>380</v>
      </c>
      <c r="H197" s="77">
        <v>1</v>
      </c>
      <c r="I197" s="55"/>
      <c r="J197" s="74">
        <v>44357</v>
      </c>
      <c r="K197" s="74"/>
      <c r="L197" s="74" t="s">
        <v>6784</v>
      </c>
      <c r="M197" s="78"/>
      <c r="N197" s="78" t="s">
        <v>344</v>
      </c>
      <c r="O197" s="73" t="s">
        <v>360</v>
      </c>
    </row>
    <row r="198" spans="1:15" s="73" customFormat="1" ht="13" x14ac:dyDescent="0.15">
      <c r="A198" s="78">
        <v>2636991</v>
      </c>
      <c r="B198" s="78" t="s">
        <v>373</v>
      </c>
      <c r="C198" s="78" t="s">
        <v>142</v>
      </c>
      <c r="D198" s="78" t="s">
        <v>142</v>
      </c>
      <c r="E198" s="78" t="s">
        <v>282</v>
      </c>
      <c r="F198" s="78" t="s">
        <v>1812</v>
      </c>
      <c r="G198" s="78" t="s">
        <v>350</v>
      </c>
      <c r="H198" s="77">
        <v>2</v>
      </c>
      <c r="I198" s="55"/>
      <c r="J198" s="74">
        <v>44434</v>
      </c>
      <c r="K198" s="74"/>
      <c r="L198" s="74" t="s">
        <v>6784</v>
      </c>
      <c r="M198" s="78"/>
      <c r="N198" s="78" t="s">
        <v>344</v>
      </c>
      <c r="O198" s="73" t="s">
        <v>360</v>
      </c>
    </row>
    <row r="199" spans="1:15" s="73" customFormat="1" ht="13" x14ac:dyDescent="0.15">
      <c r="A199" s="78">
        <v>2636996</v>
      </c>
      <c r="B199" s="78" t="s">
        <v>373</v>
      </c>
      <c r="C199" s="78" t="s">
        <v>142</v>
      </c>
      <c r="D199" s="78" t="s">
        <v>142</v>
      </c>
      <c r="E199" s="78" t="s">
        <v>293</v>
      </c>
      <c r="F199" s="78" t="s">
        <v>1280</v>
      </c>
      <c r="G199" s="78" t="s">
        <v>350</v>
      </c>
      <c r="H199" s="77">
        <v>4</v>
      </c>
      <c r="I199" s="55"/>
      <c r="J199" s="74">
        <v>44456</v>
      </c>
      <c r="K199" s="74"/>
      <c r="L199" s="74" t="s">
        <v>6784</v>
      </c>
      <c r="M199" s="78"/>
      <c r="N199" s="78" t="s">
        <v>344</v>
      </c>
      <c r="O199" s="73" t="s">
        <v>360</v>
      </c>
    </row>
    <row r="200" spans="1:15" s="73" customFormat="1" ht="13" x14ac:dyDescent="0.15">
      <c r="A200" s="78">
        <v>2637127</v>
      </c>
      <c r="B200" s="78" t="s">
        <v>373</v>
      </c>
      <c r="C200" s="78" t="s">
        <v>172</v>
      </c>
      <c r="D200" s="78" t="s">
        <v>172</v>
      </c>
      <c r="E200" s="78" t="s">
        <v>212</v>
      </c>
      <c r="F200" s="78" t="s">
        <v>798</v>
      </c>
      <c r="G200" s="78" t="s">
        <v>350</v>
      </c>
      <c r="H200" s="77">
        <v>4</v>
      </c>
      <c r="I200" s="55"/>
      <c r="J200" s="74">
        <v>44315</v>
      </c>
      <c r="K200" s="74"/>
      <c r="L200" s="74" t="s">
        <v>6784</v>
      </c>
      <c r="M200" s="78"/>
      <c r="N200" s="78" t="s">
        <v>344</v>
      </c>
      <c r="O200" s="73" t="s">
        <v>360</v>
      </c>
    </row>
    <row r="201" spans="1:15" s="73" customFormat="1" ht="13" x14ac:dyDescent="0.15">
      <c r="A201" s="78">
        <v>2637131</v>
      </c>
      <c r="B201" s="78" t="s">
        <v>389</v>
      </c>
      <c r="C201" s="78" t="s">
        <v>129</v>
      </c>
      <c r="D201" s="78" t="s">
        <v>129</v>
      </c>
      <c r="E201" s="78" t="s">
        <v>242</v>
      </c>
      <c r="F201" s="78" t="s">
        <v>1519</v>
      </c>
      <c r="G201" s="78" t="s">
        <v>350</v>
      </c>
      <c r="H201" s="77"/>
      <c r="I201" s="55"/>
      <c r="J201" s="74">
        <v>44441</v>
      </c>
      <c r="K201" s="74"/>
      <c r="L201" s="74" t="s">
        <v>6784</v>
      </c>
      <c r="M201" s="78"/>
      <c r="N201" s="78" t="s">
        <v>344</v>
      </c>
      <c r="O201" s="73" t="s">
        <v>2145</v>
      </c>
    </row>
    <row r="202" spans="1:15" s="73" customFormat="1" ht="13" x14ac:dyDescent="0.15">
      <c r="A202" s="78">
        <v>2637140</v>
      </c>
      <c r="B202" s="78" t="s">
        <v>373</v>
      </c>
      <c r="C202" s="78" t="s">
        <v>172</v>
      </c>
      <c r="D202" s="78" t="s">
        <v>172</v>
      </c>
      <c r="E202" s="78" t="s">
        <v>212</v>
      </c>
      <c r="F202" s="78" t="s">
        <v>842</v>
      </c>
      <c r="G202" s="78" t="s">
        <v>350</v>
      </c>
      <c r="H202" s="77">
        <v>1</v>
      </c>
      <c r="I202" s="55"/>
      <c r="J202" s="74">
        <v>44442</v>
      </c>
      <c r="K202" s="74"/>
      <c r="L202" s="74" t="s">
        <v>6784</v>
      </c>
      <c r="M202" s="78"/>
      <c r="N202" s="78" t="s">
        <v>344</v>
      </c>
      <c r="O202" s="73" t="s">
        <v>360</v>
      </c>
    </row>
    <row r="203" spans="1:15" s="73" customFormat="1" ht="13" x14ac:dyDescent="0.15">
      <c r="A203" s="78">
        <v>2637241</v>
      </c>
      <c r="B203" s="78" t="s">
        <v>443</v>
      </c>
      <c r="C203" s="78" t="s">
        <v>138</v>
      </c>
      <c r="D203" s="78" t="s">
        <v>138</v>
      </c>
      <c r="E203" s="78" t="s">
        <v>183</v>
      </c>
      <c r="F203" s="78" t="s">
        <v>616</v>
      </c>
      <c r="G203" s="78" t="s">
        <v>350</v>
      </c>
      <c r="H203" s="77"/>
      <c r="I203" s="55"/>
      <c r="J203" s="74">
        <v>44515</v>
      </c>
      <c r="K203" s="74"/>
      <c r="L203" s="74" t="s">
        <v>6784</v>
      </c>
      <c r="M203" s="78"/>
      <c r="N203" s="78" t="s">
        <v>344</v>
      </c>
      <c r="O203" s="73" t="s">
        <v>2149</v>
      </c>
    </row>
    <row r="204" spans="1:15" s="73" customFormat="1" ht="13" x14ac:dyDescent="0.15">
      <c r="A204" s="78">
        <v>2637397</v>
      </c>
      <c r="B204" s="78" t="s">
        <v>451</v>
      </c>
      <c r="C204" s="78" t="s">
        <v>138</v>
      </c>
      <c r="D204" s="78" t="s">
        <v>138</v>
      </c>
      <c r="E204" s="78" t="s">
        <v>196</v>
      </c>
      <c r="F204" s="78" t="s">
        <v>1368</v>
      </c>
      <c r="G204" s="78" t="s">
        <v>350</v>
      </c>
      <c r="H204" s="77">
        <v>5</v>
      </c>
      <c r="I204" s="55"/>
      <c r="J204" s="74">
        <v>44482</v>
      </c>
      <c r="K204" s="74"/>
      <c r="L204" s="74" t="s">
        <v>6784</v>
      </c>
      <c r="M204" s="78"/>
      <c r="N204" s="78" t="s">
        <v>344</v>
      </c>
      <c r="O204" s="73" t="s">
        <v>2153</v>
      </c>
    </row>
    <row r="205" spans="1:15" s="73" customFormat="1" ht="13" x14ac:dyDescent="0.15">
      <c r="A205" s="78">
        <v>2637521</v>
      </c>
      <c r="B205" s="78" t="s">
        <v>373</v>
      </c>
      <c r="C205" s="78" t="s">
        <v>129</v>
      </c>
      <c r="D205" s="78" t="s">
        <v>129</v>
      </c>
      <c r="E205" s="78" t="s">
        <v>192</v>
      </c>
      <c r="F205" s="78" t="s">
        <v>1191</v>
      </c>
      <c r="G205" s="78" t="s">
        <v>350</v>
      </c>
      <c r="H205" s="77">
        <v>4</v>
      </c>
      <c r="I205" s="55"/>
      <c r="J205" s="74">
        <v>44487</v>
      </c>
      <c r="K205" s="74"/>
      <c r="L205" s="74" t="s">
        <v>6784</v>
      </c>
      <c r="M205" s="78"/>
      <c r="N205" s="78" t="s">
        <v>344</v>
      </c>
      <c r="O205" s="73" t="s">
        <v>360</v>
      </c>
    </row>
    <row r="206" spans="1:15" s="73" customFormat="1" ht="13" x14ac:dyDescent="0.15">
      <c r="A206" s="78">
        <v>2637805</v>
      </c>
      <c r="B206" s="78" t="s">
        <v>373</v>
      </c>
      <c r="C206" s="78" t="s">
        <v>138</v>
      </c>
      <c r="D206" s="78" t="s">
        <v>138</v>
      </c>
      <c r="E206" s="78" t="s">
        <v>273</v>
      </c>
      <c r="F206" s="78" t="s">
        <v>584</v>
      </c>
      <c r="G206" s="78" t="s">
        <v>350</v>
      </c>
      <c r="H206" s="77">
        <v>4</v>
      </c>
      <c r="I206" s="55"/>
      <c r="J206" s="74">
        <v>44348</v>
      </c>
      <c r="K206" s="74"/>
      <c r="L206" s="74" t="s">
        <v>6784</v>
      </c>
      <c r="M206" s="78"/>
      <c r="N206" s="78" t="s">
        <v>344</v>
      </c>
      <c r="O206" s="73" t="s">
        <v>360</v>
      </c>
    </row>
    <row r="207" spans="1:15" s="73" customFormat="1" ht="13" x14ac:dyDescent="0.15">
      <c r="A207" s="78">
        <v>2638148</v>
      </c>
      <c r="B207" s="78" t="s">
        <v>373</v>
      </c>
      <c r="C207" s="78" t="s">
        <v>138</v>
      </c>
      <c r="D207" s="78" t="s">
        <v>138</v>
      </c>
      <c r="E207" s="78" t="s">
        <v>238</v>
      </c>
      <c r="F207" s="78" t="s">
        <v>238</v>
      </c>
      <c r="G207" s="78" t="s">
        <v>350</v>
      </c>
      <c r="H207" s="77">
        <v>3</v>
      </c>
      <c r="I207" s="55"/>
      <c r="J207" s="74">
        <v>44382</v>
      </c>
      <c r="K207" s="74"/>
      <c r="L207" s="74" t="s">
        <v>6784</v>
      </c>
      <c r="M207" s="78"/>
      <c r="N207" s="78" t="s">
        <v>344</v>
      </c>
      <c r="O207" s="73" t="s">
        <v>360</v>
      </c>
    </row>
    <row r="208" spans="1:15" s="73" customFormat="1" ht="13" x14ac:dyDescent="0.15">
      <c r="A208" s="78">
        <v>2638159</v>
      </c>
      <c r="B208" s="78" t="s">
        <v>373</v>
      </c>
      <c r="C208" s="78" t="s">
        <v>138</v>
      </c>
      <c r="D208" s="78" t="s">
        <v>138</v>
      </c>
      <c r="E208" s="78" t="s">
        <v>224</v>
      </c>
      <c r="F208" s="78" t="s">
        <v>374</v>
      </c>
      <c r="G208" s="78" t="s">
        <v>350</v>
      </c>
      <c r="H208" s="77">
        <v>5</v>
      </c>
      <c r="I208" s="55"/>
      <c r="J208" s="74">
        <v>44567</v>
      </c>
      <c r="K208" s="74"/>
      <c r="L208" s="74" t="s">
        <v>6784</v>
      </c>
      <c r="M208" s="78"/>
      <c r="N208" s="78" t="s">
        <v>344</v>
      </c>
      <c r="O208" s="73" t="s">
        <v>360</v>
      </c>
    </row>
    <row r="209" spans="1:15" s="73" customFormat="1" ht="13" x14ac:dyDescent="0.15">
      <c r="A209" s="78">
        <v>2638202</v>
      </c>
      <c r="B209" s="78" t="s">
        <v>373</v>
      </c>
      <c r="C209" s="78" t="s">
        <v>144</v>
      </c>
      <c r="D209" s="78" t="s">
        <v>144</v>
      </c>
      <c r="E209" s="78" t="s">
        <v>281</v>
      </c>
      <c r="F209" s="78" t="s">
        <v>556</v>
      </c>
      <c r="G209" s="78" t="s">
        <v>350</v>
      </c>
      <c r="H209" s="77">
        <v>1</v>
      </c>
      <c r="I209" s="55"/>
      <c r="J209" s="74">
        <v>44407</v>
      </c>
      <c r="K209" s="74"/>
      <c r="L209" s="74" t="s">
        <v>6784</v>
      </c>
      <c r="M209" s="78"/>
      <c r="N209" s="78" t="s">
        <v>344</v>
      </c>
      <c r="O209" s="73" t="s">
        <v>360</v>
      </c>
    </row>
    <row r="210" spans="1:15" s="73" customFormat="1" ht="13" x14ac:dyDescent="0.15">
      <c r="A210" s="78">
        <v>2638239</v>
      </c>
      <c r="B210" s="78" t="s">
        <v>373</v>
      </c>
      <c r="C210" s="78" t="s">
        <v>378</v>
      </c>
      <c r="D210" s="78" t="s">
        <v>134</v>
      </c>
      <c r="E210" s="78" t="s">
        <v>175</v>
      </c>
      <c r="F210" s="78" t="s">
        <v>678</v>
      </c>
      <c r="G210" s="78" t="s">
        <v>350</v>
      </c>
      <c r="H210" s="77">
        <v>2</v>
      </c>
      <c r="I210" s="55"/>
      <c r="J210" s="74">
        <v>44404</v>
      </c>
      <c r="K210" s="74"/>
      <c r="L210" s="74" t="s">
        <v>6784</v>
      </c>
      <c r="M210" s="78"/>
      <c r="N210" s="78" t="s">
        <v>344</v>
      </c>
      <c r="O210" s="73" t="s">
        <v>360</v>
      </c>
    </row>
    <row r="211" spans="1:15" s="73" customFormat="1" ht="13" x14ac:dyDescent="0.15">
      <c r="A211" s="78">
        <v>2638322</v>
      </c>
      <c r="B211" s="78" t="s">
        <v>373</v>
      </c>
      <c r="C211" s="78" t="s">
        <v>378</v>
      </c>
      <c r="D211" s="78" t="s">
        <v>170</v>
      </c>
      <c r="E211" s="78" t="s">
        <v>231</v>
      </c>
      <c r="F211" s="78" t="s">
        <v>231</v>
      </c>
      <c r="G211" s="78" t="s">
        <v>350</v>
      </c>
      <c r="H211" s="77">
        <v>3</v>
      </c>
      <c r="I211" s="55"/>
      <c r="J211" s="74">
        <v>44407</v>
      </c>
      <c r="K211" s="74"/>
      <c r="L211" s="74" t="s">
        <v>6784</v>
      </c>
      <c r="M211" s="78"/>
      <c r="N211" s="78" t="s">
        <v>344</v>
      </c>
      <c r="O211" s="73" t="s">
        <v>360</v>
      </c>
    </row>
    <row r="212" spans="1:15" s="73" customFormat="1" ht="13" x14ac:dyDescent="0.15">
      <c r="A212" s="78">
        <v>2638338</v>
      </c>
      <c r="B212" s="78" t="s">
        <v>451</v>
      </c>
      <c r="C212" s="78" t="s">
        <v>144</v>
      </c>
      <c r="D212" s="78" t="s">
        <v>144</v>
      </c>
      <c r="E212" s="78" t="s">
        <v>209</v>
      </c>
      <c r="F212" s="78" t="s">
        <v>650</v>
      </c>
      <c r="G212" s="78" t="s">
        <v>350</v>
      </c>
      <c r="H212" s="77">
        <v>5</v>
      </c>
      <c r="I212" s="55"/>
      <c r="J212" s="74">
        <v>44389</v>
      </c>
      <c r="K212" s="74"/>
      <c r="L212" s="74" t="s">
        <v>6784</v>
      </c>
      <c r="M212" s="78"/>
      <c r="N212" s="78" t="s">
        <v>344</v>
      </c>
      <c r="O212" s="73" t="s">
        <v>2164</v>
      </c>
    </row>
    <row r="213" spans="1:15" s="73" customFormat="1" ht="13" x14ac:dyDescent="0.15">
      <c r="A213" s="78">
        <v>2638390</v>
      </c>
      <c r="B213" s="78" t="s">
        <v>373</v>
      </c>
      <c r="C213" s="78" t="s">
        <v>144</v>
      </c>
      <c r="D213" s="78" t="s">
        <v>144</v>
      </c>
      <c r="E213" s="78" t="s">
        <v>145</v>
      </c>
      <c r="F213" s="78" t="s">
        <v>525</v>
      </c>
      <c r="G213" s="78" t="s">
        <v>350</v>
      </c>
      <c r="H213" s="77">
        <v>1</v>
      </c>
      <c r="I213" s="55"/>
      <c r="J213" s="74">
        <v>44372</v>
      </c>
      <c r="K213" s="74"/>
      <c r="L213" s="74" t="s">
        <v>6784</v>
      </c>
      <c r="M213" s="78"/>
      <c r="N213" s="78" t="s">
        <v>344</v>
      </c>
      <c r="O213" s="73" t="s">
        <v>360</v>
      </c>
    </row>
    <row r="214" spans="1:15" s="73" customFormat="1" ht="13" x14ac:dyDescent="0.15">
      <c r="A214" s="78">
        <v>2638470</v>
      </c>
      <c r="B214" s="78" t="s">
        <v>373</v>
      </c>
      <c r="C214" s="78" t="s">
        <v>142</v>
      </c>
      <c r="D214" s="78" t="s">
        <v>142</v>
      </c>
      <c r="E214" s="78" t="s">
        <v>262</v>
      </c>
      <c r="F214" s="78" t="s">
        <v>916</v>
      </c>
      <c r="G214" s="78" t="s">
        <v>350</v>
      </c>
      <c r="H214" s="77">
        <v>3</v>
      </c>
      <c r="I214" s="55"/>
      <c r="J214" s="74">
        <v>44314</v>
      </c>
      <c r="K214" s="74"/>
      <c r="L214" s="74" t="s">
        <v>6784</v>
      </c>
      <c r="M214" s="78"/>
      <c r="N214" s="78" t="s">
        <v>344</v>
      </c>
      <c r="O214" s="73" t="s">
        <v>360</v>
      </c>
    </row>
    <row r="215" spans="1:15" s="73" customFormat="1" ht="13" x14ac:dyDescent="0.15">
      <c r="A215" s="78">
        <v>2638487</v>
      </c>
      <c r="B215" s="78" t="s">
        <v>373</v>
      </c>
      <c r="C215" s="78" t="s">
        <v>144</v>
      </c>
      <c r="D215" s="78" t="s">
        <v>144</v>
      </c>
      <c r="E215" s="78" t="s">
        <v>209</v>
      </c>
      <c r="F215" s="78" t="s">
        <v>597</v>
      </c>
      <c r="G215" s="78" t="s">
        <v>350</v>
      </c>
      <c r="H215" s="77">
        <v>4</v>
      </c>
      <c r="I215" s="55"/>
      <c r="J215" s="74">
        <v>44378</v>
      </c>
      <c r="K215" s="74"/>
      <c r="L215" s="74" t="s">
        <v>6784</v>
      </c>
      <c r="M215" s="78"/>
      <c r="N215" s="78" t="s">
        <v>344</v>
      </c>
      <c r="O215" s="73" t="s">
        <v>360</v>
      </c>
    </row>
    <row r="216" spans="1:15" s="73" customFormat="1" ht="13" x14ac:dyDescent="0.15">
      <c r="A216" s="78">
        <v>2638535</v>
      </c>
      <c r="B216" s="78" t="s">
        <v>373</v>
      </c>
      <c r="C216" s="78" t="s">
        <v>144</v>
      </c>
      <c r="D216" s="78" t="s">
        <v>144</v>
      </c>
      <c r="E216" s="78" t="s">
        <v>168</v>
      </c>
      <c r="F216" s="78" t="s">
        <v>913</v>
      </c>
      <c r="G216" s="78" t="s">
        <v>350</v>
      </c>
      <c r="H216" s="77">
        <v>2</v>
      </c>
      <c r="I216" s="55"/>
      <c r="J216" s="74">
        <v>44393</v>
      </c>
      <c r="K216" s="74"/>
      <c r="L216" s="74" t="s">
        <v>6784</v>
      </c>
      <c r="M216" s="78"/>
      <c r="N216" s="78" t="s">
        <v>344</v>
      </c>
      <c r="O216" s="73" t="s">
        <v>360</v>
      </c>
    </row>
    <row r="217" spans="1:15" s="73" customFormat="1" ht="13" x14ac:dyDescent="0.15">
      <c r="A217" s="78">
        <v>2638590</v>
      </c>
      <c r="B217" s="78" t="s">
        <v>373</v>
      </c>
      <c r="C217" s="78" t="s">
        <v>129</v>
      </c>
      <c r="D217" s="78" t="s">
        <v>129</v>
      </c>
      <c r="E217" s="78" t="s">
        <v>194</v>
      </c>
      <c r="F217" s="78" t="s">
        <v>1833</v>
      </c>
      <c r="G217" s="78" t="s">
        <v>350</v>
      </c>
      <c r="H217" s="77">
        <v>7</v>
      </c>
      <c r="I217" s="55"/>
      <c r="J217" s="74">
        <v>44418</v>
      </c>
      <c r="K217" s="74"/>
      <c r="L217" s="74" t="s">
        <v>6784</v>
      </c>
      <c r="M217" s="78"/>
      <c r="N217" s="78" t="s">
        <v>344</v>
      </c>
      <c r="O217" s="73" t="s">
        <v>360</v>
      </c>
    </row>
    <row r="218" spans="1:15" s="73" customFormat="1" ht="13" x14ac:dyDescent="0.15">
      <c r="A218" s="78">
        <v>2638617</v>
      </c>
      <c r="B218" s="78" t="s">
        <v>373</v>
      </c>
      <c r="C218" s="78" t="s">
        <v>136</v>
      </c>
      <c r="D218" s="78" t="s">
        <v>136</v>
      </c>
      <c r="E218" s="78" t="s">
        <v>270</v>
      </c>
      <c r="F218" s="78" t="s">
        <v>2171</v>
      </c>
      <c r="G218" s="78" t="s">
        <v>350</v>
      </c>
      <c r="H218" s="77">
        <v>2</v>
      </c>
      <c r="I218" s="55"/>
      <c r="J218" s="74">
        <v>44550</v>
      </c>
      <c r="K218" s="74"/>
      <c r="L218" s="74" t="s">
        <v>6784</v>
      </c>
      <c r="M218" s="78"/>
      <c r="N218" s="78" t="s">
        <v>344</v>
      </c>
      <c r="O218" s="73" t="s">
        <v>360</v>
      </c>
    </row>
    <row r="219" spans="1:15" s="73" customFormat="1" ht="13" x14ac:dyDescent="0.15">
      <c r="A219" s="78">
        <v>2638736</v>
      </c>
      <c r="B219" s="78" t="s">
        <v>373</v>
      </c>
      <c r="C219" s="78" t="s">
        <v>144</v>
      </c>
      <c r="D219" s="78" t="s">
        <v>144</v>
      </c>
      <c r="E219" s="78" t="s">
        <v>162</v>
      </c>
      <c r="F219" s="78" t="s">
        <v>1502</v>
      </c>
      <c r="G219" s="78" t="s">
        <v>350</v>
      </c>
      <c r="H219" s="77">
        <v>2</v>
      </c>
      <c r="I219" s="55"/>
      <c r="J219" s="74">
        <v>44370</v>
      </c>
      <c r="K219" s="74"/>
      <c r="L219" s="74" t="s">
        <v>6784</v>
      </c>
      <c r="M219" s="78"/>
      <c r="N219" s="78" t="s">
        <v>344</v>
      </c>
      <c r="O219" s="73" t="s">
        <v>360</v>
      </c>
    </row>
    <row r="220" spans="1:15" s="73" customFormat="1" ht="13" x14ac:dyDescent="0.15">
      <c r="A220" s="78">
        <v>2639083</v>
      </c>
      <c r="B220" s="78" t="s">
        <v>373</v>
      </c>
      <c r="C220" s="78" t="s">
        <v>144</v>
      </c>
      <c r="D220" s="78" t="s">
        <v>144</v>
      </c>
      <c r="E220" s="78" t="s">
        <v>261</v>
      </c>
      <c r="F220" s="78" t="s">
        <v>512</v>
      </c>
      <c r="G220" s="78" t="s">
        <v>350</v>
      </c>
      <c r="H220" s="77">
        <v>3</v>
      </c>
      <c r="I220" s="55"/>
      <c r="J220" s="74">
        <v>44469</v>
      </c>
      <c r="K220" s="74"/>
      <c r="L220" s="74" t="s">
        <v>6784</v>
      </c>
      <c r="M220" s="78"/>
      <c r="N220" s="78" t="s">
        <v>344</v>
      </c>
      <c r="O220" s="73" t="s">
        <v>360</v>
      </c>
    </row>
    <row r="221" spans="1:15" s="73" customFormat="1" ht="13" x14ac:dyDescent="0.15">
      <c r="A221" s="78">
        <v>2639538</v>
      </c>
      <c r="B221" s="78" t="s">
        <v>373</v>
      </c>
      <c r="C221" s="78" t="s">
        <v>172</v>
      </c>
      <c r="D221" s="78" t="s">
        <v>172</v>
      </c>
      <c r="E221" s="78" t="s">
        <v>228</v>
      </c>
      <c r="F221" s="78" t="s">
        <v>423</v>
      </c>
      <c r="G221" s="78" t="s">
        <v>350</v>
      </c>
      <c r="H221" s="77">
        <v>3</v>
      </c>
      <c r="I221" s="55"/>
      <c r="J221" s="74">
        <v>44579</v>
      </c>
      <c r="K221" s="74"/>
      <c r="L221" s="74" t="s">
        <v>6784</v>
      </c>
      <c r="M221" s="78"/>
      <c r="N221" s="78" t="s">
        <v>344</v>
      </c>
      <c r="O221" s="73" t="s">
        <v>360</v>
      </c>
    </row>
    <row r="222" spans="1:15" s="73" customFormat="1" ht="13" x14ac:dyDescent="0.15">
      <c r="A222" s="78">
        <v>2639632</v>
      </c>
      <c r="B222" s="78" t="s">
        <v>373</v>
      </c>
      <c r="C222" s="78" t="s">
        <v>138</v>
      </c>
      <c r="D222" s="78" t="s">
        <v>138</v>
      </c>
      <c r="E222" s="78" t="s">
        <v>216</v>
      </c>
      <c r="F222" s="78" t="s">
        <v>1968</v>
      </c>
      <c r="G222" s="78" t="s">
        <v>350</v>
      </c>
      <c r="H222" s="77">
        <v>2</v>
      </c>
      <c r="I222" s="55"/>
      <c r="J222" s="74">
        <v>44431</v>
      </c>
      <c r="K222" s="74"/>
      <c r="L222" s="74" t="s">
        <v>6784</v>
      </c>
      <c r="M222" s="78"/>
      <c r="N222" s="78" t="s">
        <v>344</v>
      </c>
      <c r="O222" s="73" t="s">
        <v>360</v>
      </c>
    </row>
    <row r="223" spans="1:15" s="73" customFormat="1" ht="13" x14ac:dyDescent="0.15">
      <c r="A223" s="78">
        <v>2639649</v>
      </c>
      <c r="B223" s="78" t="s">
        <v>373</v>
      </c>
      <c r="C223" s="78" t="s">
        <v>144</v>
      </c>
      <c r="D223" s="78" t="s">
        <v>144</v>
      </c>
      <c r="E223" s="78" t="s">
        <v>209</v>
      </c>
      <c r="F223" s="78" t="s">
        <v>597</v>
      </c>
      <c r="G223" s="78" t="s">
        <v>350</v>
      </c>
      <c r="H223" s="77">
        <v>2</v>
      </c>
      <c r="I223" s="55"/>
      <c r="J223" s="74">
        <v>44467</v>
      </c>
      <c r="K223" s="74"/>
      <c r="L223" s="74" t="s">
        <v>6784</v>
      </c>
      <c r="M223" s="78"/>
      <c r="N223" s="78" t="s">
        <v>344</v>
      </c>
      <c r="O223" s="73" t="s">
        <v>360</v>
      </c>
    </row>
    <row r="224" spans="1:15" s="73" customFormat="1" ht="13" x14ac:dyDescent="0.15">
      <c r="A224" s="78">
        <v>2640082</v>
      </c>
      <c r="B224" s="78" t="s">
        <v>373</v>
      </c>
      <c r="C224" s="78" t="s">
        <v>138</v>
      </c>
      <c r="D224" s="78" t="s">
        <v>138</v>
      </c>
      <c r="E224" s="78" t="s">
        <v>224</v>
      </c>
      <c r="F224" s="78" t="s">
        <v>2176</v>
      </c>
      <c r="G224" s="78" t="s">
        <v>350</v>
      </c>
      <c r="H224" s="77">
        <v>3</v>
      </c>
      <c r="I224" s="55"/>
      <c r="J224" s="74">
        <v>44336</v>
      </c>
      <c r="K224" s="74"/>
      <c r="L224" s="74" t="s">
        <v>6784</v>
      </c>
      <c r="M224" s="78"/>
      <c r="N224" s="78" t="s">
        <v>344</v>
      </c>
      <c r="O224" s="73" t="s">
        <v>360</v>
      </c>
    </row>
    <row r="225" spans="1:15" s="73" customFormat="1" ht="13" x14ac:dyDescent="0.15">
      <c r="A225" s="78">
        <v>2640099</v>
      </c>
      <c r="B225" s="78" t="s">
        <v>373</v>
      </c>
      <c r="C225" s="78" t="s">
        <v>144</v>
      </c>
      <c r="D225" s="78" t="s">
        <v>144</v>
      </c>
      <c r="E225" s="78" t="s">
        <v>209</v>
      </c>
      <c r="F225" s="78" t="s">
        <v>736</v>
      </c>
      <c r="G225" s="78" t="s">
        <v>350</v>
      </c>
      <c r="H225" s="77">
        <v>3</v>
      </c>
      <c r="I225" s="55"/>
      <c r="J225" s="74">
        <v>44398</v>
      </c>
      <c r="K225" s="74"/>
      <c r="L225" s="74" t="s">
        <v>6784</v>
      </c>
      <c r="M225" s="78"/>
      <c r="N225" s="78" t="s">
        <v>344</v>
      </c>
      <c r="O225" s="73" t="s">
        <v>360</v>
      </c>
    </row>
    <row r="226" spans="1:15" s="73" customFormat="1" ht="13" x14ac:dyDescent="0.15">
      <c r="A226" s="78">
        <v>2640245</v>
      </c>
      <c r="B226" s="78" t="s">
        <v>373</v>
      </c>
      <c r="C226" s="78" t="s">
        <v>144</v>
      </c>
      <c r="D226" s="78" t="s">
        <v>144</v>
      </c>
      <c r="E226" s="78" t="s">
        <v>281</v>
      </c>
      <c r="F226" s="78" t="s">
        <v>725</v>
      </c>
      <c r="G226" s="78" t="s">
        <v>350</v>
      </c>
      <c r="H226" s="77">
        <v>1</v>
      </c>
      <c r="I226" s="55"/>
      <c r="J226" s="74">
        <v>44396</v>
      </c>
      <c r="K226" s="74"/>
      <c r="L226" s="74" t="s">
        <v>6784</v>
      </c>
      <c r="M226" s="78"/>
      <c r="N226" s="78" t="s">
        <v>344</v>
      </c>
      <c r="O226" s="73" t="s">
        <v>360</v>
      </c>
    </row>
    <row r="227" spans="1:15" s="73" customFormat="1" ht="13" x14ac:dyDescent="0.15">
      <c r="A227" s="78">
        <v>2640576</v>
      </c>
      <c r="B227" s="78" t="s">
        <v>451</v>
      </c>
      <c r="C227" s="78" t="s">
        <v>142</v>
      </c>
      <c r="D227" s="78" t="s">
        <v>142</v>
      </c>
      <c r="E227" s="78" t="s">
        <v>272</v>
      </c>
      <c r="F227" s="78" t="s">
        <v>653</v>
      </c>
      <c r="G227" s="78" t="s">
        <v>350</v>
      </c>
      <c r="H227" s="77">
        <v>5</v>
      </c>
      <c r="I227" s="55"/>
      <c r="J227" s="74">
        <v>44468</v>
      </c>
      <c r="K227" s="74"/>
      <c r="L227" s="74" t="s">
        <v>6784</v>
      </c>
      <c r="M227" s="78"/>
      <c r="N227" s="78" t="s">
        <v>344</v>
      </c>
      <c r="O227" s="73" t="s">
        <v>2179</v>
      </c>
    </row>
    <row r="228" spans="1:15" s="73" customFormat="1" ht="13" x14ac:dyDescent="0.15">
      <c r="A228" s="78">
        <v>2640599</v>
      </c>
      <c r="B228" s="78" t="s">
        <v>413</v>
      </c>
      <c r="C228" s="78" t="s">
        <v>138</v>
      </c>
      <c r="D228" s="78" t="s">
        <v>138</v>
      </c>
      <c r="E228" s="78" t="s">
        <v>266</v>
      </c>
      <c r="F228" s="78" t="s">
        <v>1622</v>
      </c>
      <c r="G228" s="78" t="s">
        <v>420</v>
      </c>
      <c r="H228" s="77">
        <v>12</v>
      </c>
      <c r="I228" s="55"/>
      <c r="J228" s="74">
        <v>44455</v>
      </c>
      <c r="K228" s="74"/>
      <c r="L228" s="74" t="s">
        <v>6784</v>
      </c>
      <c r="M228" s="78"/>
      <c r="N228" s="78" t="s">
        <v>344</v>
      </c>
      <c r="O228" s="73" t="s">
        <v>2183</v>
      </c>
    </row>
    <row r="229" spans="1:15" s="73" customFormat="1" ht="13" x14ac:dyDescent="0.15">
      <c r="A229" s="78">
        <v>2641044</v>
      </c>
      <c r="B229" s="78" t="s">
        <v>373</v>
      </c>
      <c r="C229" s="78" t="s">
        <v>378</v>
      </c>
      <c r="D229" s="78" t="s">
        <v>170</v>
      </c>
      <c r="E229" s="78" t="s">
        <v>222</v>
      </c>
      <c r="F229" s="78" t="s">
        <v>2188</v>
      </c>
      <c r="G229" s="78" t="s">
        <v>350</v>
      </c>
      <c r="H229" s="77">
        <v>4</v>
      </c>
      <c r="I229" s="55"/>
      <c r="J229" s="74">
        <v>44522</v>
      </c>
      <c r="K229" s="74"/>
      <c r="L229" s="74" t="s">
        <v>6784</v>
      </c>
      <c r="M229" s="78"/>
      <c r="N229" s="78" t="s">
        <v>344</v>
      </c>
      <c r="O229" s="73" t="s">
        <v>360</v>
      </c>
    </row>
    <row r="230" spans="1:15" s="73" customFormat="1" ht="13" x14ac:dyDescent="0.15">
      <c r="A230" s="78">
        <v>2641449</v>
      </c>
      <c r="B230" s="78" t="s">
        <v>451</v>
      </c>
      <c r="C230" s="78" t="s">
        <v>378</v>
      </c>
      <c r="D230" s="78" t="s">
        <v>134</v>
      </c>
      <c r="E230" s="78" t="s">
        <v>246</v>
      </c>
      <c r="F230" s="78" t="s">
        <v>685</v>
      </c>
      <c r="G230" s="78" t="s">
        <v>350</v>
      </c>
      <c r="H230" s="77">
        <v>5</v>
      </c>
      <c r="I230" s="55"/>
      <c r="J230" s="74">
        <v>44455</v>
      </c>
      <c r="K230" s="74"/>
      <c r="L230" s="74" t="s">
        <v>6784</v>
      </c>
      <c r="M230" s="78"/>
      <c r="N230" s="78" t="s">
        <v>344</v>
      </c>
      <c r="O230" s="73" t="s">
        <v>2189</v>
      </c>
    </row>
    <row r="231" spans="1:15" s="73" customFormat="1" ht="13" x14ac:dyDescent="0.15">
      <c r="A231" s="78">
        <v>2641682</v>
      </c>
      <c r="B231" s="78" t="s">
        <v>373</v>
      </c>
      <c r="C231" s="78" t="s">
        <v>150</v>
      </c>
      <c r="D231" s="78" t="s">
        <v>150</v>
      </c>
      <c r="E231" s="78" t="s">
        <v>203</v>
      </c>
      <c r="F231" s="78" t="s">
        <v>1038</v>
      </c>
      <c r="G231" s="78" t="s">
        <v>362</v>
      </c>
      <c r="H231" s="77">
        <v>4</v>
      </c>
      <c r="I231" s="55"/>
      <c r="J231" s="74">
        <v>44431</v>
      </c>
      <c r="K231" s="74"/>
      <c r="L231" s="74" t="s">
        <v>6784</v>
      </c>
      <c r="M231" s="78"/>
      <c r="N231" s="78" t="s">
        <v>344</v>
      </c>
      <c r="O231" s="73" t="s">
        <v>360</v>
      </c>
    </row>
    <row r="232" spans="1:15" s="73" customFormat="1" ht="13" x14ac:dyDescent="0.15">
      <c r="A232" s="78">
        <v>2641767</v>
      </c>
      <c r="B232" s="78" t="s">
        <v>373</v>
      </c>
      <c r="C232" s="78" t="s">
        <v>144</v>
      </c>
      <c r="D232" s="78" t="s">
        <v>144</v>
      </c>
      <c r="E232" s="78" t="s">
        <v>209</v>
      </c>
      <c r="F232" s="78" t="s">
        <v>555</v>
      </c>
      <c r="G232" s="78" t="s">
        <v>350</v>
      </c>
      <c r="H232" s="77">
        <v>5</v>
      </c>
      <c r="I232" s="55"/>
      <c r="J232" s="74">
        <v>44398</v>
      </c>
      <c r="K232" s="74"/>
      <c r="L232" s="74" t="s">
        <v>6784</v>
      </c>
      <c r="M232" s="78"/>
      <c r="N232" s="78" t="s">
        <v>728</v>
      </c>
      <c r="O232" s="73" t="s">
        <v>360</v>
      </c>
    </row>
    <row r="233" spans="1:15" s="73" customFormat="1" ht="13" x14ac:dyDescent="0.15">
      <c r="A233" s="78">
        <v>2641768</v>
      </c>
      <c r="B233" s="78" t="s">
        <v>373</v>
      </c>
      <c r="C233" s="78" t="s">
        <v>144</v>
      </c>
      <c r="D233" s="78" t="s">
        <v>144</v>
      </c>
      <c r="E233" s="78" t="s">
        <v>271</v>
      </c>
      <c r="F233" s="78" t="s">
        <v>1122</v>
      </c>
      <c r="G233" s="78" t="s">
        <v>350</v>
      </c>
      <c r="H233" s="77">
        <v>4</v>
      </c>
      <c r="I233" s="55"/>
      <c r="J233" s="74">
        <v>44470</v>
      </c>
      <c r="K233" s="74"/>
      <c r="L233" s="74" t="s">
        <v>6784</v>
      </c>
      <c r="M233" s="78"/>
      <c r="N233" s="78" t="s">
        <v>344</v>
      </c>
      <c r="O233" s="73" t="s">
        <v>360</v>
      </c>
    </row>
    <row r="234" spans="1:15" s="73" customFormat="1" ht="13" x14ac:dyDescent="0.15">
      <c r="A234" s="78">
        <v>2641790</v>
      </c>
      <c r="B234" s="78" t="s">
        <v>373</v>
      </c>
      <c r="C234" s="78" t="s">
        <v>144</v>
      </c>
      <c r="D234" s="78" t="s">
        <v>144</v>
      </c>
      <c r="E234" s="78" t="s">
        <v>209</v>
      </c>
      <c r="F234" s="78" t="s">
        <v>474</v>
      </c>
      <c r="G234" s="78" t="s">
        <v>350</v>
      </c>
      <c r="H234" s="77">
        <v>2</v>
      </c>
      <c r="I234" s="55"/>
      <c r="J234" s="74">
        <v>44340</v>
      </c>
      <c r="K234" s="74"/>
      <c r="L234" s="74" t="s">
        <v>6784</v>
      </c>
      <c r="M234" s="78"/>
      <c r="N234" s="78" t="s">
        <v>344</v>
      </c>
      <c r="O234" s="73" t="s">
        <v>360</v>
      </c>
    </row>
    <row r="235" spans="1:15" s="73" customFormat="1" ht="13" x14ac:dyDescent="0.15">
      <c r="A235" s="78">
        <v>2641888</v>
      </c>
      <c r="B235" s="78" t="s">
        <v>373</v>
      </c>
      <c r="C235" s="78" t="s">
        <v>138</v>
      </c>
      <c r="D235" s="78" t="s">
        <v>138</v>
      </c>
      <c r="E235" s="78" t="s">
        <v>224</v>
      </c>
      <c r="F235" s="78" t="s">
        <v>374</v>
      </c>
      <c r="G235" s="78" t="s">
        <v>350</v>
      </c>
      <c r="H235" s="77">
        <v>5</v>
      </c>
      <c r="I235" s="55"/>
      <c r="J235" s="74">
        <v>44567</v>
      </c>
      <c r="K235" s="74"/>
      <c r="L235" s="74" t="s">
        <v>6784</v>
      </c>
      <c r="M235" s="78"/>
      <c r="N235" s="78" t="s">
        <v>344</v>
      </c>
      <c r="O235" s="73" t="s">
        <v>360</v>
      </c>
    </row>
    <row r="236" spans="1:15" s="73" customFormat="1" ht="13" x14ac:dyDescent="0.15">
      <c r="A236" s="78">
        <v>2642297</v>
      </c>
      <c r="B236" s="78" t="s">
        <v>373</v>
      </c>
      <c r="C236" s="78" t="s">
        <v>142</v>
      </c>
      <c r="D236" s="78" t="s">
        <v>142</v>
      </c>
      <c r="E236" s="78" t="s">
        <v>292</v>
      </c>
      <c r="F236" s="78" t="s">
        <v>976</v>
      </c>
      <c r="G236" s="78" t="s">
        <v>350</v>
      </c>
      <c r="H236" s="77">
        <v>3</v>
      </c>
      <c r="I236" s="55"/>
      <c r="J236" s="74">
        <v>44413</v>
      </c>
      <c r="K236" s="74"/>
      <c r="L236" s="74" t="s">
        <v>6784</v>
      </c>
      <c r="M236" s="78"/>
      <c r="N236" s="78" t="s">
        <v>344</v>
      </c>
      <c r="O236" s="73" t="s">
        <v>360</v>
      </c>
    </row>
    <row r="237" spans="1:15" s="73" customFormat="1" ht="13" x14ac:dyDescent="0.15">
      <c r="A237" s="78">
        <v>2642399</v>
      </c>
      <c r="B237" s="78" t="s">
        <v>373</v>
      </c>
      <c r="C237" s="78" t="s">
        <v>142</v>
      </c>
      <c r="D237" s="78" t="s">
        <v>142</v>
      </c>
      <c r="E237" s="78" t="s">
        <v>262</v>
      </c>
      <c r="F237" s="78" t="s">
        <v>618</v>
      </c>
      <c r="G237" s="78" t="s">
        <v>350</v>
      </c>
      <c r="H237" s="77">
        <v>2</v>
      </c>
      <c r="I237" s="55"/>
      <c r="J237" s="74">
        <v>44459</v>
      </c>
      <c r="K237" s="74"/>
      <c r="L237" s="74" t="s">
        <v>6784</v>
      </c>
      <c r="M237" s="78"/>
      <c r="N237" s="78" t="s">
        <v>344</v>
      </c>
      <c r="O237" s="73" t="s">
        <v>360</v>
      </c>
    </row>
    <row r="238" spans="1:15" s="73" customFormat="1" ht="13" x14ac:dyDescent="0.15">
      <c r="A238" s="78">
        <v>2642400</v>
      </c>
      <c r="B238" s="78" t="s">
        <v>373</v>
      </c>
      <c r="C238" s="78" t="s">
        <v>144</v>
      </c>
      <c r="D238" s="78" t="s">
        <v>144</v>
      </c>
      <c r="E238" s="78" t="s">
        <v>209</v>
      </c>
      <c r="F238" s="78" t="s">
        <v>777</v>
      </c>
      <c r="G238" s="78" t="s">
        <v>350</v>
      </c>
      <c r="H238" s="77">
        <v>1</v>
      </c>
      <c r="I238" s="55"/>
      <c r="J238" s="74">
        <v>44404</v>
      </c>
      <c r="K238" s="74"/>
      <c r="L238" s="74" t="s">
        <v>6784</v>
      </c>
      <c r="M238" s="78"/>
      <c r="N238" s="78" t="s">
        <v>344</v>
      </c>
      <c r="O238" s="73" t="s">
        <v>360</v>
      </c>
    </row>
    <row r="239" spans="1:15" s="73" customFormat="1" ht="13" x14ac:dyDescent="0.15">
      <c r="A239" s="78">
        <v>2642401</v>
      </c>
      <c r="B239" s="78" t="s">
        <v>373</v>
      </c>
      <c r="C239" s="78" t="s">
        <v>144</v>
      </c>
      <c r="D239" s="78" t="s">
        <v>144</v>
      </c>
      <c r="E239" s="78" t="s">
        <v>271</v>
      </c>
      <c r="F239" s="78" t="s">
        <v>870</v>
      </c>
      <c r="G239" s="78" t="s">
        <v>350</v>
      </c>
      <c r="H239" s="77">
        <v>4</v>
      </c>
      <c r="I239" s="55"/>
      <c r="J239" s="74">
        <v>44505</v>
      </c>
      <c r="K239" s="74"/>
      <c r="L239" s="74" t="s">
        <v>6784</v>
      </c>
      <c r="M239" s="78"/>
      <c r="N239" s="78" t="s">
        <v>344</v>
      </c>
      <c r="O239" s="73" t="s">
        <v>360</v>
      </c>
    </row>
    <row r="240" spans="1:15" s="73" customFormat="1" ht="13" x14ac:dyDescent="0.15">
      <c r="A240" s="78">
        <v>2642423</v>
      </c>
      <c r="B240" s="78" t="s">
        <v>373</v>
      </c>
      <c r="C240" s="78" t="s">
        <v>144</v>
      </c>
      <c r="D240" s="78" t="s">
        <v>144</v>
      </c>
      <c r="E240" s="78" t="s">
        <v>168</v>
      </c>
      <c r="F240" s="78" t="s">
        <v>913</v>
      </c>
      <c r="G240" s="78" t="s">
        <v>350</v>
      </c>
      <c r="H240" s="77">
        <v>3</v>
      </c>
      <c r="I240" s="55"/>
      <c r="J240" s="74">
        <v>44366</v>
      </c>
      <c r="K240" s="74"/>
      <c r="L240" s="74" t="s">
        <v>6784</v>
      </c>
      <c r="M240" s="78"/>
      <c r="N240" s="78" t="s">
        <v>344</v>
      </c>
      <c r="O240" s="73" t="s">
        <v>360</v>
      </c>
    </row>
    <row r="241" spans="1:15" s="73" customFormat="1" ht="13" x14ac:dyDescent="0.15">
      <c r="A241" s="78">
        <v>2642537</v>
      </c>
      <c r="B241" s="78" t="s">
        <v>373</v>
      </c>
      <c r="C241" s="78" t="s">
        <v>129</v>
      </c>
      <c r="D241" s="78" t="s">
        <v>129</v>
      </c>
      <c r="E241" s="78" t="s">
        <v>213</v>
      </c>
      <c r="F241" s="78" t="s">
        <v>1020</v>
      </c>
      <c r="G241" s="78" t="s">
        <v>350</v>
      </c>
      <c r="H241" s="77">
        <v>6</v>
      </c>
      <c r="I241" s="55"/>
      <c r="J241" s="74">
        <v>44491</v>
      </c>
      <c r="K241" s="74"/>
      <c r="L241" s="74" t="s">
        <v>6784</v>
      </c>
      <c r="M241" s="78"/>
      <c r="N241" s="78" t="s">
        <v>344</v>
      </c>
      <c r="O241" s="73" t="s">
        <v>360</v>
      </c>
    </row>
    <row r="242" spans="1:15" s="73" customFormat="1" ht="13" x14ac:dyDescent="0.15">
      <c r="A242" s="78">
        <v>2642570</v>
      </c>
      <c r="B242" s="78" t="s">
        <v>373</v>
      </c>
      <c r="C242" s="78" t="s">
        <v>172</v>
      </c>
      <c r="D242" s="78" t="s">
        <v>172</v>
      </c>
      <c r="E242" s="78" t="s">
        <v>212</v>
      </c>
      <c r="F242" s="78" t="s">
        <v>842</v>
      </c>
      <c r="G242" s="78" t="s">
        <v>350</v>
      </c>
      <c r="H242" s="77">
        <v>3</v>
      </c>
      <c r="I242" s="55"/>
      <c r="J242" s="74">
        <v>44460</v>
      </c>
      <c r="K242" s="74"/>
      <c r="L242" s="74" t="s">
        <v>6784</v>
      </c>
      <c r="M242" s="78"/>
      <c r="N242" s="78" t="s">
        <v>344</v>
      </c>
      <c r="O242" s="73" t="s">
        <v>360</v>
      </c>
    </row>
    <row r="243" spans="1:15" s="73" customFormat="1" ht="13" x14ac:dyDescent="0.15">
      <c r="A243" s="78">
        <v>2642643</v>
      </c>
      <c r="B243" s="78" t="s">
        <v>373</v>
      </c>
      <c r="C243" s="78" t="s">
        <v>172</v>
      </c>
      <c r="D243" s="78" t="s">
        <v>172</v>
      </c>
      <c r="E243" s="78" t="s">
        <v>173</v>
      </c>
      <c r="F243" s="78" t="s">
        <v>1069</v>
      </c>
      <c r="G243" s="78" t="s">
        <v>380</v>
      </c>
      <c r="H243" s="77">
        <v>4</v>
      </c>
      <c r="I243" s="55"/>
      <c r="J243" s="74">
        <v>44330</v>
      </c>
      <c r="K243" s="74"/>
      <c r="L243" s="74" t="s">
        <v>6784</v>
      </c>
      <c r="M243" s="78"/>
      <c r="N243" s="78" t="s">
        <v>344</v>
      </c>
      <c r="O243" s="73" t="s">
        <v>360</v>
      </c>
    </row>
    <row r="244" spans="1:15" s="73" customFormat="1" ht="13" x14ac:dyDescent="0.15">
      <c r="A244" s="78">
        <v>2642842</v>
      </c>
      <c r="B244" s="78" t="s">
        <v>373</v>
      </c>
      <c r="C244" s="78" t="s">
        <v>136</v>
      </c>
      <c r="D244" s="78" t="s">
        <v>136</v>
      </c>
      <c r="E244" s="78" t="s">
        <v>255</v>
      </c>
      <c r="F244" s="78" t="s">
        <v>583</v>
      </c>
      <c r="G244" s="78" t="s">
        <v>350</v>
      </c>
      <c r="H244" s="77">
        <v>3</v>
      </c>
      <c r="I244" s="55"/>
      <c r="J244" s="74">
        <v>44371</v>
      </c>
      <c r="K244" s="74"/>
      <c r="L244" s="74" t="s">
        <v>6784</v>
      </c>
      <c r="M244" s="78"/>
      <c r="N244" s="78" t="s">
        <v>344</v>
      </c>
      <c r="O244" s="73" t="s">
        <v>360</v>
      </c>
    </row>
    <row r="245" spans="1:15" s="73" customFormat="1" ht="13" x14ac:dyDescent="0.15">
      <c r="A245" s="78">
        <v>2643337</v>
      </c>
      <c r="B245" s="78" t="s">
        <v>443</v>
      </c>
      <c r="C245" s="78" t="s">
        <v>138</v>
      </c>
      <c r="D245" s="78" t="s">
        <v>138</v>
      </c>
      <c r="E245" s="78" t="s">
        <v>273</v>
      </c>
      <c r="F245" s="78" t="s">
        <v>273</v>
      </c>
      <c r="G245" s="78" t="s">
        <v>350</v>
      </c>
      <c r="H245" s="77"/>
      <c r="I245" s="55"/>
      <c r="J245" s="74">
        <v>44576</v>
      </c>
      <c r="K245" s="74"/>
      <c r="L245" s="74" t="s">
        <v>6784</v>
      </c>
      <c r="M245" s="78"/>
      <c r="N245" s="78" t="s">
        <v>344</v>
      </c>
      <c r="O245" s="73" t="s">
        <v>2198</v>
      </c>
    </row>
    <row r="246" spans="1:15" s="73" customFormat="1" ht="13" x14ac:dyDescent="0.15">
      <c r="A246" s="78">
        <v>2643338</v>
      </c>
      <c r="B246" s="78" t="s">
        <v>373</v>
      </c>
      <c r="C246" s="78" t="s">
        <v>144</v>
      </c>
      <c r="D246" s="78" t="s">
        <v>144</v>
      </c>
      <c r="E246" s="78" t="s">
        <v>236</v>
      </c>
      <c r="F246" s="78" t="s">
        <v>2088</v>
      </c>
      <c r="G246" s="78" t="s">
        <v>350</v>
      </c>
      <c r="H246" s="77">
        <v>3</v>
      </c>
      <c r="I246" s="55"/>
      <c r="J246" s="74">
        <v>44481</v>
      </c>
      <c r="K246" s="74"/>
      <c r="L246" s="74" t="s">
        <v>6784</v>
      </c>
      <c r="M246" s="78"/>
      <c r="N246" s="78" t="s">
        <v>344</v>
      </c>
      <c r="O246" s="73" t="s">
        <v>360</v>
      </c>
    </row>
    <row r="247" spans="1:15" s="73" customFormat="1" ht="13" x14ac:dyDescent="0.15">
      <c r="A247" s="78">
        <v>2643361</v>
      </c>
      <c r="B247" s="78" t="s">
        <v>373</v>
      </c>
      <c r="C247" s="78" t="s">
        <v>129</v>
      </c>
      <c r="D247" s="78" t="s">
        <v>129</v>
      </c>
      <c r="E247" s="78" t="s">
        <v>182</v>
      </c>
      <c r="F247" s="78" t="s">
        <v>1660</v>
      </c>
      <c r="G247" s="78" t="s">
        <v>350</v>
      </c>
      <c r="H247" s="77">
        <v>3</v>
      </c>
      <c r="I247" s="55"/>
      <c r="J247" s="74">
        <v>44550</v>
      </c>
      <c r="K247" s="74"/>
      <c r="L247" s="74" t="s">
        <v>6784</v>
      </c>
      <c r="M247" s="78"/>
      <c r="N247" s="78" t="s">
        <v>344</v>
      </c>
      <c r="O247" s="73" t="s">
        <v>360</v>
      </c>
    </row>
    <row r="248" spans="1:15" s="73" customFormat="1" ht="13" x14ac:dyDescent="0.15">
      <c r="A248" s="78">
        <v>2643362</v>
      </c>
      <c r="B248" s="78" t="s">
        <v>373</v>
      </c>
      <c r="C248" s="78" t="s">
        <v>136</v>
      </c>
      <c r="D248" s="78" t="s">
        <v>136</v>
      </c>
      <c r="E248" s="78" t="s">
        <v>255</v>
      </c>
      <c r="F248" s="78" t="s">
        <v>757</v>
      </c>
      <c r="G248" s="78" t="s">
        <v>350</v>
      </c>
      <c r="H248" s="77">
        <v>1</v>
      </c>
      <c r="I248" s="55"/>
      <c r="J248" s="74">
        <v>44488</v>
      </c>
      <c r="K248" s="74"/>
      <c r="L248" s="74" t="s">
        <v>6784</v>
      </c>
      <c r="M248" s="78"/>
      <c r="N248" s="78" t="s">
        <v>344</v>
      </c>
      <c r="O248" s="73" t="s">
        <v>360</v>
      </c>
    </row>
    <row r="249" spans="1:15" s="73" customFormat="1" ht="13" x14ac:dyDescent="0.15">
      <c r="A249" s="78">
        <v>2643390</v>
      </c>
      <c r="B249" s="78" t="s">
        <v>373</v>
      </c>
      <c r="C249" s="78" t="s">
        <v>136</v>
      </c>
      <c r="D249" s="78" t="s">
        <v>136</v>
      </c>
      <c r="E249" s="78" t="s">
        <v>705</v>
      </c>
      <c r="F249" s="78" t="s">
        <v>706</v>
      </c>
      <c r="G249" s="78" t="s">
        <v>350</v>
      </c>
      <c r="H249" s="77">
        <v>2</v>
      </c>
      <c r="I249" s="55"/>
      <c r="J249" s="74">
        <v>44446</v>
      </c>
      <c r="K249" s="74"/>
      <c r="L249" s="74" t="s">
        <v>6784</v>
      </c>
      <c r="M249" s="78"/>
      <c r="N249" s="78" t="s">
        <v>344</v>
      </c>
      <c r="O249" s="73" t="s">
        <v>360</v>
      </c>
    </row>
    <row r="250" spans="1:15" s="73" customFormat="1" ht="13" x14ac:dyDescent="0.15">
      <c r="A250" s="78">
        <v>2643709</v>
      </c>
      <c r="B250" s="78" t="s">
        <v>373</v>
      </c>
      <c r="C250" s="78" t="s">
        <v>138</v>
      </c>
      <c r="D250" s="78" t="s">
        <v>138</v>
      </c>
      <c r="E250" s="78" t="s">
        <v>137</v>
      </c>
      <c r="F250" s="78" t="s">
        <v>137</v>
      </c>
      <c r="G250" s="78" t="s">
        <v>350</v>
      </c>
      <c r="H250" s="77">
        <v>3</v>
      </c>
      <c r="I250" s="55"/>
      <c r="J250" s="74">
        <v>44544</v>
      </c>
      <c r="K250" s="74"/>
      <c r="L250" s="74" t="s">
        <v>6784</v>
      </c>
      <c r="M250" s="78"/>
      <c r="N250" s="78" t="s">
        <v>344</v>
      </c>
      <c r="O250" s="73" t="s">
        <v>360</v>
      </c>
    </row>
    <row r="251" spans="1:15" s="73" customFormat="1" ht="13" x14ac:dyDescent="0.15">
      <c r="A251" s="78">
        <v>2644080</v>
      </c>
      <c r="B251" s="78" t="s">
        <v>413</v>
      </c>
      <c r="C251" s="78" t="s">
        <v>138</v>
      </c>
      <c r="D251" s="78" t="s">
        <v>138</v>
      </c>
      <c r="E251" s="78" t="s">
        <v>183</v>
      </c>
      <c r="F251" s="78" t="s">
        <v>2051</v>
      </c>
      <c r="G251" s="78" t="s">
        <v>350</v>
      </c>
      <c r="H251" s="77">
        <v>20</v>
      </c>
      <c r="I251" s="55"/>
      <c r="J251" s="74">
        <v>44336</v>
      </c>
      <c r="K251" s="74"/>
      <c r="L251" s="74" t="s">
        <v>6784</v>
      </c>
      <c r="M251" s="78"/>
      <c r="N251" s="78" t="s">
        <v>344</v>
      </c>
      <c r="O251" s="73" t="s">
        <v>2207</v>
      </c>
    </row>
    <row r="252" spans="1:15" s="73" customFormat="1" ht="13" x14ac:dyDescent="0.15">
      <c r="A252" s="78">
        <v>2644282</v>
      </c>
      <c r="B252" s="78" t="s">
        <v>373</v>
      </c>
      <c r="C252" s="78" t="s">
        <v>129</v>
      </c>
      <c r="D252" s="78" t="s">
        <v>129</v>
      </c>
      <c r="E252" s="78" t="s">
        <v>275</v>
      </c>
      <c r="F252" s="78" t="s">
        <v>2212</v>
      </c>
      <c r="G252" s="78" t="s">
        <v>362</v>
      </c>
      <c r="H252" s="77">
        <v>5</v>
      </c>
      <c r="I252" s="55"/>
      <c r="J252" s="74">
        <v>44357</v>
      </c>
      <c r="K252" s="74"/>
      <c r="L252" s="74" t="s">
        <v>6784</v>
      </c>
      <c r="M252" s="78"/>
      <c r="N252" s="78" t="s">
        <v>344</v>
      </c>
      <c r="O252" s="73" t="s">
        <v>360</v>
      </c>
    </row>
    <row r="253" spans="1:15" s="73" customFormat="1" ht="13" x14ac:dyDescent="0.15">
      <c r="A253" s="78">
        <v>2644456</v>
      </c>
      <c r="B253" s="78" t="s">
        <v>373</v>
      </c>
      <c r="C253" s="78" t="s">
        <v>138</v>
      </c>
      <c r="D253" s="78" t="s">
        <v>138</v>
      </c>
      <c r="E253" s="78" t="s">
        <v>159</v>
      </c>
      <c r="F253" s="78" t="s">
        <v>1025</v>
      </c>
      <c r="G253" s="78" t="s">
        <v>350</v>
      </c>
      <c r="H253" s="77">
        <v>4</v>
      </c>
      <c r="I253" s="55"/>
      <c r="J253" s="74">
        <v>44456</v>
      </c>
      <c r="K253" s="74"/>
      <c r="L253" s="74" t="s">
        <v>6784</v>
      </c>
      <c r="M253" s="78"/>
      <c r="N253" s="78" t="s">
        <v>344</v>
      </c>
      <c r="O253" s="73" t="s">
        <v>360</v>
      </c>
    </row>
    <row r="254" spans="1:15" s="73" customFormat="1" ht="13" x14ac:dyDescent="0.15">
      <c r="A254" s="78">
        <v>2644474</v>
      </c>
      <c r="B254" s="78" t="s">
        <v>373</v>
      </c>
      <c r="C254" s="78" t="s">
        <v>142</v>
      </c>
      <c r="D254" s="78" t="s">
        <v>142</v>
      </c>
      <c r="E254" s="78" t="s">
        <v>141</v>
      </c>
      <c r="F254" s="78" t="s">
        <v>1226</v>
      </c>
      <c r="G254" s="78" t="s">
        <v>350</v>
      </c>
      <c r="H254" s="77">
        <v>3</v>
      </c>
      <c r="I254" s="55"/>
      <c r="J254" s="74">
        <v>44637</v>
      </c>
      <c r="K254" s="74"/>
      <c r="L254" s="74" t="s">
        <v>6784</v>
      </c>
      <c r="M254" s="78"/>
      <c r="N254" s="78" t="s">
        <v>344</v>
      </c>
      <c r="O254" s="73" t="s">
        <v>360</v>
      </c>
    </row>
    <row r="255" spans="1:15" s="73" customFormat="1" ht="13" x14ac:dyDescent="0.15">
      <c r="A255" s="78">
        <v>2644925</v>
      </c>
      <c r="B255" s="78" t="s">
        <v>373</v>
      </c>
      <c r="C255" s="78" t="s">
        <v>144</v>
      </c>
      <c r="D255" s="78" t="s">
        <v>144</v>
      </c>
      <c r="E255" s="78" t="s">
        <v>209</v>
      </c>
      <c r="F255" s="78" t="s">
        <v>736</v>
      </c>
      <c r="G255" s="78" t="s">
        <v>350</v>
      </c>
      <c r="H255" s="77">
        <v>4</v>
      </c>
      <c r="I255" s="55"/>
      <c r="J255" s="74">
        <v>44509</v>
      </c>
      <c r="K255" s="74"/>
      <c r="L255" s="74" t="s">
        <v>6784</v>
      </c>
      <c r="M255" s="78"/>
      <c r="N255" s="78" t="s">
        <v>344</v>
      </c>
      <c r="O255" s="73" t="s">
        <v>360</v>
      </c>
    </row>
    <row r="256" spans="1:15" s="73" customFormat="1" ht="13" x14ac:dyDescent="0.15">
      <c r="A256" s="78">
        <v>2645038</v>
      </c>
      <c r="B256" s="78" t="s">
        <v>373</v>
      </c>
      <c r="C256" s="78" t="s">
        <v>129</v>
      </c>
      <c r="D256" s="78" t="s">
        <v>129</v>
      </c>
      <c r="E256" s="78" t="s">
        <v>242</v>
      </c>
      <c r="F256" s="78" t="s">
        <v>1192</v>
      </c>
      <c r="G256" s="78" t="s">
        <v>350</v>
      </c>
      <c r="H256" s="77">
        <v>5</v>
      </c>
      <c r="I256" s="55"/>
      <c r="J256" s="74">
        <v>44481</v>
      </c>
      <c r="K256" s="74"/>
      <c r="L256" s="74" t="s">
        <v>6784</v>
      </c>
      <c r="M256" s="78"/>
      <c r="N256" s="78" t="s">
        <v>344</v>
      </c>
      <c r="O256" s="73" t="s">
        <v>360</v>
      </c>
    </row>
    <row r="257" spans="1:15" s="73" customFormat="1" ht="13" x14ac:dyDescent="0.15">
      <c r="A257" s="78">
        <v>2645098</v>
      </c>
      <c r="B257" s="78" t="s">
        <v>373</v>
      </c>
      <c r="C257" s="78" t="s">
        <v>172</v>
      </c>
      <c r="D257" s="78" t="s">
        <v>172</v>
      </c>
      <c r="E257" s="78" t="s">
        <v>228</v>
      </c>
      <c r="F257" s="78" t="s">
        <v>423</v>
      </c>
      <c r="G257" s="78" t="s">
        <v>350</v>
      </c>
      <c r="H257" s="77">
        <v>1</v>
      </c>
      <c r="I257" s="55"/>
      <c r="J257" s="74">
        <v>44505</v>
      </c>
      <c r="K257" s="74"/>
      <c r="L257" s="74" t="s">
        <v>6784</v>
      </c>
      <c r="M257" s="78"/>
      <c r="N257" s="78" t="s">
        <v>344</v>
      </c>
      <c r="O257" s="73" t="s">
        <v>360</v>
      </c>
    </row>
    <row r="258" spans="1:15" s="73" customFormat="1" ht="13" x14ac:dyDescent="0.15">
      <c r="A258" s="78">
        <v>2645163</v>
      </c>
      <c r="B258" s="78" t="s">
        <v>373</v>
      </c>
      <c r="C258" s="78" t="s">
        <v>129</v>
      </c>
      <c r="D258" s="78" t="s">
        <v>129</v>
      </c>
      <c r="E258" s="78" t="s">
        <v>205</v>
      </c>
      <c r="F258" s="78" t="s">
        <v>1312</v>
      </c>
      <c r="G258" s="78" t="s">
        <v>350</v>
      </c>
      <c r="H258" s="77">
        <v>7</v>
      </c>
      <c r="I258" s="55" t="s">
        <v>332</v>
      </c>
      <c r="J258" s="74">
        <v>44426</v>
      </c>
      <c r="K258" s="74"/>
      <c r="L258" s="74" t="s">
        <v>6784</v>
      </c>
      <c r="M258" s="78"/>
      <c r="N258" s="78" t="s">
        <v>344</v>
      </c>
      <c r="O258" s="73" t="s">
        <v>360</v>
      </c>
    </row>
    <row r="259" spans="1:15" s="73" customFormat="1" ht="13" x14ac:dyDescent="0.15">
      <c r="A259" s="78">
        <v>2645184</v>
      </c>
      <c r="B259" s="78" t="s">
        <v>373</v>
      </c>
      <c r="C259" s="78" t="s">
        <v>144</v>
      </c>
      <c r="D259" s="78" t="s">
        <v>144</v>
      </c>
      <c r="E259" s="78" t="s">
        <v>209</v>
      </c>
      <c r="F259" s="78" t="s">
        <v>545</v>
      </c>
      <c r="G259" s="78" t="s">
        <v>350</v>
      </c>
      <c r="H259" s="77">
        <v>4</v>
      </c>
      <c r="I259" s="55"/>
      <c r="J259" s="74">
        <v>44425</v>
      </c>
      <c r="K259" s="74"/>
      <c r="L259" s="74" t="s">
        <v>6784</v>
      </c>
      <c r="M259" s="78"/>
      <c r="N259" s="78" t="s">
        <v>344</v>
      </c>
      <c r="O259" s="73" t="s">
        <v>360</v>
      </c>
    </row>
    <row r="260" spans="1:15" s="73" customFormat="1" ht="13" x14ac:dyDescent="0.15">
      <c r="A260" s="78">
        <v>2645199</v>
      </c>
      <c r="B260" s="78" t="s">
        <v>373</v>
      </c>
      <c r="C260" s="78" t="s">
        <v>150</v>
      </c>
      <c r="D260" s="78" t="s">
        <v>150</v>
      </c>
      <c r="E260" s="78" t="s">
        <v>258</v>
      </c>
      <c r="F260" s="78" t="s">
        <v>2220</v>
      </c>
      <c r="G260" s="78" t="s">
        <v>350</v>
      </c>
      <c r="H260" s="77">
        <v>2</v>
      </c>
      <c r="I260" s="55"/>
      <c r="J260" s="74">
        <v>44449</v>
      </c>
      <c r="K260" s="74"/>
      <c r="L260" s="74" t="s">
        <v>6784</v>
      </c>
      <c r="M260" s="78"/>
      <c r="N260" s="78" t="s">
        <v>344</v>
      </c>
      <c r="O260" s="73" t="s">
        <v>360</v>
      </c>
    </row>
    <row r="261" spans="1:15" s="73" customFormat="1" ht="13" x14ac:dyDescent="0.15">
      <c r="A261" s="78">
        <v>2645281</v>
      </c>
      <c r="B261" s="78" t="s">
        <v>373</v>
      </c>
      <c r="C261" s="78" t="s">
        <v>142</v>
      </c>
      <c r="D261" s="78" t="s">
        <v>142</v>
      </c>
      <c r="E261" s="78" t="s">
        <v>292</v>
      </c>
      <c r="F261" s="78" t="s">
        <v>1052</v>
      </c>
      <c r="G261" s="78" t="s">
        <v>350</v>
      </c>
      <c r="H261" s="77">
        <v>2</v>
      </c>
      <c r="I261" s="55"/>
      <c r="J261" s="74">
        <v>44553</v>
      </c>
      <c r="K261" s="74"/>
      <c r="L261" s="74" t="s">
        <v>6784</v>
      </c>
      <c r="M261" s="78"/>
      <c r="N261" s="78" t="s">
        <v>344</v>
      </c>
      <c r="O261" s="73" t="s">
        <v>360</v>
      </c>
    </row>
    <row r="262" spans="1:15" s="73" customFormat="1" ht="13" x14ac:dyDescent="0.15">
      <c r="A262" s="78">
        <v>2645675</v>
      </c>
      <c r="B262" s="78" t="s">
        <v>373</v>
      </c>
      <c r="C262" s="78" t="s">
        <v>172</v>
      </c>
      <c r="D262" s="78" t="s">
        <v>172</v>
      </c>
      <c r="E262" s="78" t="s">
        <v>212</v>
      </c>
      <c r="F262" s="78" t="s">
        <v>514</v>
      </c>
      <c r="G262" s="78" t="s">
        <v>350</v>
      </c>
      <c r="H262" s="77">
        <v>2</v>
      </c>
      <c r="I262" s="55"/>
      <c r="J262" s="74">
        <v>44428</v>
      </c>
      <c r="K262" s="74"/>
      <c r="L262" s="74" t="s">
        <v>6784</v>
      </c>
      <c r="M262" s="78"/>
      <c r="N262" s="78" t="s">
        <v>344</v>
      </c>
      <c r="O262" s="73" t="s">
        <v>360</v>
      </c>
    </row>
    <row r="263" spans="1:15" s="73" customFormat="1" ht="13" x14ac:dyDescent="0.15">
      <c r="A263" s="78">
        <v>2645688</v>
      </c>
      <c r="B263" s="78" t="s">
        <v>373</v>
      </c>
      <c r="C263" s="78" t="s">
        <v>172</v>
      </c>
      <c r="D263" s="78" t="s">
        <v>172</v>
      </c>
      <c r="E263" s="78" t="s">
        <v>173</v>
      </c>
      <c r="F263" s="78" t="s">
        <v>1540</v>
      </c>
      <c r="G263" s="78" t="s">
        <v>350</v>
      </c>
      <c r="H263" s="77">
        <v>5</v>
      </c>
      <c r="I263" s="55"/>
      <c r="J263" s="74">
        <v>44420</v>
      </c>
      <c r="K263" s="74"/>
      <c r="L263" s="74" t="s">
        <v>6784</v>
      </c>
      <c r="M263" s="78"/>
      <c r="N263" s="78" t="s">
        <v>344</v>
      </c>
      <c r="O263" s="73" t="s">
        <v>360</v>
      </c>
    </row>
    <row r="264" spans="1:15" s="73" customFormat="1" ht="13" x14ac:dyDescent="0.15">
      <c r="A264" s="78">
        <v>2645777</v>
      </c>
      <c r="B264" s="78" t="s">
        <v>468</v>
      </c>
      <c r="C264" s="78" t="s">
        <v>142</v>
      </c>
      <c r="D264" s="78" t="s">
        <v>142</v>
      </c>
      <c r="E264" s="78" t="s">
        <v>293</v>
      </c>
      <c r="F264" s="78" t="s">
        <v>1060</v>
      </c>
      <c r="G264" s="78" t="s">
        <v>380</v>
      </c>
      <c r="H264" s="77"/>
      <c r="I264" s="55"/>
      <c r="J264" s="74">
        <v>44517</v>
      </c>
      <c r="K264" s="74"/>
      <c r="L264" s="74" t="s">
        <v>6784</v>
      </c>
      <c r="M264" s="78"/>
      <c r="N264" s="78" t="s">
        <v>344</v>
      </c>
      <c r="O264" s="73" t="s">
        <v>2223</v>
      </c>
    </row>
    <row r="265" spans="1:15" s="73" customFormat="1" ht="13" x14ac:dyDescent="0.15">
      <c r="A265" s="78">
        <v>2645858</v>
      </c>
      <c r="B265" s="78" t="s">
        <v>373</v>
      </c>
      <c r="C265" s="78" t="s">
        <v>144</v>
      </c>
      <c r="D265" s="78" t="s">
        <v>144</v>
      </c>
      <c r="E265" s="78" t="s">
        <v>209</v>
      </c>
      <c r="F265" s="78" t="s">
        <v>597</v>
      </c>
      <c r="G265" s="78" t="s">
        <v>350</v>
      </c>
      <c r="H265" s="77">
        <v>3</v>
      </c>
      <c r="I265" s="55"/>
      <c r="J265" s="74">
        <v>44446</v>
      </c>
      <c r="K265" s="74"/>
      <c r="L265" s="74" t="s">
        <v>6784</v>
      </c>
      <c r="M265" s="78"/>
      <c r="N265" s="78" t="s">
        <v>344</v>
      </c>
      <c r="O265" s="73" t="s">
        <v>360</v>
      </c>
    </row>
    <row r="266" spans="1:15" s="73" customFormat="1" ht="13" x14ac:dyDescent="0.15">
      <c r="A266" s="78">
        <v>2645878</v>
      </c>
      <c r="B266" s="78" t="s">
        <v>373</v>
      </c>
      <c r="C266" s="78" t="s">
        <v>144</v>
      </c>
      <c r="D266" s="78" t="s">
        <v>144</v>
      </c>
      <c r="E266" s="78" t="s">
        <v>209</v>
      </c>
      <c r="F266" s="78" t="s">
        <v>597</v>
      </c>
      <c r="G266" s="78" t="s">
        <v>350</v>
      </c>
      <c r="H266" s="77">
        <v>2</v>
      </c>
      <c r="I266" s="55"/>
      <c r="J266" s="74">
        <v>44399</v>
      </c>
      <c r="K266" s="74"/>
      <c r="L266" s="74" t="s">
        <v>6784</v>
      </c>
      <c r="M266" s="78"/>
      <c r="N266" s="78" t="s">
        <v>344</v>
      </c>
      <c r="O266" s="73" t="s">
        <v>360</v>
      </c>
    </row>
    <row r="267" spans="1:15" s="73" customFormat="1" ht="13" x14ac:dyDescent="0.15">
      <c r="A267" s="78">
        <v>2645897</v>
      </c>
      <c r="B267" s="78" t="s">
        <v>373</v>
      </c>
      <c r="C267" s="78" t="s">
        <v>172</v>
      </c>
      <c r="D267" s="78" t="s">
        <v>172</v>
      </c>
      <c r="E267" s="78" t="s">
        <v>235</v>
      </c>
      <c r="F267" s="78" t="s">
        <v>855</v>
      </c>
      <c r="G267" s="78" t="s">
        <v>350</v>
      </c>
      <c r="H267" s="77">
        <v>1</v>
      </c>
      <c r="I267" s="55"/>
      <c r="J267" s="74">
        <v>44439</v>
      </c>
      <c r="K267" s="74"/>
      <c r="L267" s="74" t="s">
        <v>6784</v>
      </c>
      <c r="M267" s="78"/>
      <c r="N267" s="78" t="s">
        <v>344</v>
      </c>
      <c r="O267" s="73" t="s">
        <v>360</v>
      </c>
    </row>
    <row r="268" spans="1:15" s="73" customFormat="1" ht="13" x14ac:dyDescent="0.15">
      <c r="A268" s="78">
        <v>2645901</v>
      </c>
      <c r="B268" s="78" t="s">
        <v>373</v>
      </c>
      <c r="C268" s="78" t="s">
        <v>144</v>
      </c>
      <c r="D268" s="78" t="s">
        <v>144</v>
      </c>
      <c r="E268" s="78" t="s">
        <v>147</v>
      </c>
      <c r="F268" s="78" t="s">
        <v>807</v>
      </c>
      <c r="G268" s="78" t="s">
        <v>350</v>
      </c>
      <c r="H268" s="77">
        <v>3</v>
      </c>
      <c r="I268" s="55"/>
      <c r="J268" s="74">
        <v>44452</v>
      </c>
      <c r="K268" s="74"/>
      <c r="L268" s="74" t="s">
        <v>6784</v>
      </c>
      <c r="M268" s="78"/>
      <c r="N268" s="78" t="s">
        <v>344</v>
      </c>
      <c r="O268" s="73" t="s">
        <v>360</v>
      </c>
    </row>
    <row r="269" spans="1:15" s="73" customFormat="1" ht="13" x14ac:dyDescent="0.15">
      <c r="A269" s="78">
        <v>2645906</v>
      </c>
      <c r="B269" s="78" t="s">
        <v>373</v>
      </c>
      <c r="C269" s="78" t="s">
        <v>172</v>
      </c>
      <c r="D269" s="78" t="s">
        <v>172</v>
      </c>
      <c r="E269" s="78" t="s">
        <v>211</v>
      </c>
      <c r="F269" s="78" t="s">
        <v>2228</v>
      </c>
      <c r="G269" s="78" t="s">
        <v>350</v>
      </c>
      <c r="H269" s="77">
        <v>4</v>
      </c>
      <c r="I269" s="55"/>
      <c r="J269" s="74">
        <v>44470</v>
      </c>
      <c r="K269" s="74"/>
      <c r="L269" s="74" t="s">
        <v>6784</v>
      </c>
      <c r="M269" s="78"/>
      <c r="N269" s="78" t="s">
        <v>344</v>
      </c>
      <c r="O269" s="73" t="s">
        <v>360</v>
      </c>
    </row>
    <row r="270" spans="1:15" s="73" customFormat="1" ht="13" x14ac:dyDescent="0.15">
      <c r="A270" s="78">
        <v>2646176</v>
      </c>
      <c r="B270" s="78" t="s">
        <v>373</v>
      </c>
      <c r="C270" s="78" t="s">
        <v>172</v>
      </c>
      <c r="D270" s="78" t="s">
        <v>172</v>
      </c>
      <c r="E270" s="78" t="s">
        <v>173</v>
      </c>
      <c r="F270" s="78" t="s">
        <v>1305</v>
      </c>
      <c r="G270" s="78" t="s">
        <v>350</v>
      </c>
      <c r="H270" s="77">
        <v>3</v>
      </c>
      <c r="I270" s="55"/>
      <c r="J270" s="74">
        <v>44454</v>
      </c>
      <c r="K270" s="74"/>
      <c r="L270" s="74" t="s">
        <v>6784</v>
      </c>
      <c r="M270" s="78"/>
      <c r="N270" s="78" t="s">
        <v>344</v>
      </c>
      <c r="O270" s="73" t="s">
        <v>360</v>
      </c>
    </row>
    <row r="271" spans="1:15" s="73" customFormat="1" ht="13" x14ac:dyDescent="0.15">
      <c r="A271" s="78">
        <v>2646248</v>
      </c>
      <c r="B271" s="78" t="s">
        <v>373</v>
      </c>
      <c r="C271" s="78" t="s">
        <v>144</v>
      </c>
      <c r="D271" s="78" t="s">
        <v>144</v>
      </c>
      <c r="E271" s="78" t="s">
        <v>217</v>
      </c>
      <c r="F271" s="78" t="s">
        <v>384</v>
      </c>
      <c r="G271" s="78" t="s">
        <v>350</v>
      </c>
      <c r="H271" s="77">
        <v>3</v>
      </c>
      <c r="I271" s="55"/>
      <c r="J271" s="74">
        <v>44494</v>
      </c>
      <c r="K271" s="74"/>
      <c r="L271" s="74" t="s">
        <v>6784</v>
      </c>
      <c r="M271" s="78"/>
      <c r="N271" s="78" t="s">
        <v>344</v>
      </c>
      <c r="O271" s="73" t="s">
        <v>360</v>
      </c>
    </row>
    <row r="272" spans="1:15" s="73" customFormat="1" ht="13" x14ac:dyDescent="0.15">
      <c r="A272" s="78">
        <v>2646994</v>
      </c>
      <c r="B272" s="78" t="s">
        <v>389</v>
      </c>
      <c r="C272" s="78" t="s">
        <v>150</v>
      </c>
      <c r="D272" s="78" t="s">
        <v>150</v>
      </c>
      <c r="E272" s="78" t="s">
        <v>203</v>
      </c>
      <c r="F272" s="78" t="s">
        <v>1038</v>
      </c>
      <c r="G272" s="78" t="s">
        <v>350</v>
      </c>
      <c r="H272" s="77"/>
      <c r="I272" s="55"/>
      <c r="J272" s="74">
        <v>44544</v>
      </c>
      <c r="K272" s="74"/>
      <c r="L272" s="74" t="s">
        <v>6784</v>
      </c>
      <c r="M272" s="78"/>
      <c r="N272" s="78" t="s">
        <v>344</v>
      </c>
      <c r="O272" s="73" t="s">
        <v>2230</v>
      </c>
    </row>
    <row r="273" spans="1:15" s="73" customFormat="1" ht="13" x14ac:dyDescent="0.15">
      <c r="A273" s="78">
        <v>2647022</v>
      </c>
      <c r="B273" s="78" t="s">
        <v>373</v>
      </c>
      <c r="C273" s="78" t="s">
        <v>144</v>
      </c>
      <c r="D273" s="78" t="s">
        <v>144</v>
      </c>
      <c r="E273" s="78" t="s">
        <v>209</v>
      </c>
      <c r="F273" s="78" t="s">
        <v>1858</v>
      </c>
      <c r="G273" s="78" t="s">
        <v>350</v>
      </c>
      <c r="H273" s="77">
        <v>4</v>
      </c>
      <c r="I273" s="55"/>
      <c r="J273" s="74">
        <v>44399</v>
      </c>
      <c r="K273" s="74"/>
      <c r="L273" s="74" t="s">
        <v>6784</v>
      </c>
      <c r="M273" s="78"/>
      <c r="N273" s="78" t="s">
        <v>344</v>
      </c>
      <c r="O273" s="73" t="s">
        <v>360</v>
      </c>
    </row>
    <row r="274" spans="1:15" s="73" customFormat="1" ht="13" x14ac:dyDescent="0.15">
      <c r="A274" s="78">
        <v>2647110</v>
      </c>
      <c r="B274" s="78" t="s">
        <v>373</v>
      </c>
      <c r="C274" s="78" t="s">
        <v>142</v>
      </c>
      <c r="D274" s="78" t="s">
        <v>142</v>
      </c>
      <c r="E274" s="78" t="s">
        <v>166</v>
      </c>
      <c r="F274" s="78" t="s">
        <v>1301</v>
      </c>
      <c r="G274" s="78" t="s">
        <v>350</v>
      </c>
      <c r="H274" s="77">
        <v>3</v>
      </c>
      <c r="I274" s="55"/>
      <c r="J274" s="74">
        <v>44544</v>
      </c>
      <c r="K274" s="74"/>
      <c r="L274" s="74" t="s">
        <v>6784</v>
      </c>
      <c r="M274" s="78"/>
      <c r="N274" s="78" t="s">
        <v>344</v>
      </c>
      <c r="O274" s="73" t="s">
        <v>360</v>
      </c>
    </row>
    <row r="275" spans="1:15" s="73" customFormat="1" ht="13" x14ac:dyDescent="0.15">
      <c r="A275" s="78">
        <v>2647153</v>
      </c>
      <c r="B275" s="78" t="s">
        <v>373</v>
      </c>
      <c r="C275" s="78" t="s">
        <v>150</v>
      </c>
      <c r="D275" s="78" t="s">
        <v>150</v>
      </c>
      <c r="E275" s="78" t="s">
        <v>285</v>
      </c>
      <c r="F275" s="78" t="s">
        <v>575</v>
      </c>
      <c r="G275" s="78" t="s">
        <v>380</v>
      </c>
      <c r="H275" s="77">
        <v>6</v>
      </c>
      <c r="I275" s="55"/>
      <c r="J275" s="74">
        <v>44441</v>
      </c>
      <c r="K275" s="74"/>
      <c r="L275" s="74" t="s">
        <v>6784</v>
      </c>
      <c r="M275" s="78"/>
      <c r="N275" s="78" t="s">
        <v>344</v>
      </c>
      <c r="O275" s="73" t="s">
        <v>360</v>
      </c>
    </row>
    <row r="276" spans="1:15" s="73" customFormat="1" ht="13" x14ac:dyDescent="0.15">
      <c r="A276" s="78">
        <v>2647163</v>
      </c>
      <c r="B276" s="78" t="s">
        <v>373</v>
      </c>
      <c r="C276" s="78" t="s">
        <v>129</v>
      </c>
      <c r="D276" s="78" t="s">
        <v>129</v>
      </c>
      <c r="E276" s="78" t="s">
        <v>167</v>
      </c>
      <c r="F276" s="78" t="s">
        <v>2239</v>
      </c>
      <c r="G276" s="78" t="s">
        <v>350</v>
      </c>
      <c r="H276" s="77">
        <v>5</v>
      </c>
      <c r="I276" s="55"/>
      <c r="J276" s="74">
        <v>44551</v>
      </c>
      <c r="K276" s="74"/>
      <c r="L276" s="74" t="s">
        <v>6784</v>
      </c>
      <c r="M276" s="78"/>
      <c r="N276" s="78" t="s">
        <v>344</v>
      </c>
      <c r="O276" s="73" t="s">
        <v>360</v>
      </c>
    </row>
    <row r="277" spans="1:15" s="73" customFormat="1" ht="13" x14ac:dyDescent="0.15">
      <c r="A277" s="78">
        <v>2647514</v>
      </c>
      <c r="B277" s="78" t="s">
        <v>373</v>
      </c>
      <c r="C277" s="78" t="s">
        <v>144</v>
      </c>
      <c r="D277" s="78" t="s">
        <v>144</v>
      </c>
      <c r="E277" s="78" t="s">
        <v>209</v>
      </c>
      <c r="F277" s="78" t="s">
        <v>544</v>
      </c>
      <c r="G277" s="78" t="s">
        <v>350</v>
      </c>
      <c r="H277" s="77">
        <v>2</v>
      </c>
      <c r="I277" s="55"/>
      <c r="J277" s="74">
        <v>44470</v>
      </c>
      <c r="K277" s="74"/>
      <c r="L277" s="74" t="s">
        <v>6784</v>
      </c>
      <c r="M277" s="78"/>
      <c r="N277" s="78" t="s">
        <v>344</v>
      </c>
      <c r="O277" s="73" t="s">
        <v>360</v>
      </c>
    </row>
    <row r="278" spans="1:15" s="73" customFormat="1" ht="13" x14ac:dyDescent="0.15">
      <c r="A278" s="78">
        <v>2647767</v>
      </c>
      <c r="B278" s="78" t="s">
        <v>373</v>
      </c>
      <c r="C278" s="78" t="s">
        <v>129</v>
      </c>
      <c r="D278" s="78" t="s">
        <v>129</v>
      </c>
      <c r="E278" s="78" t="s">
        <v>194</v>
      </c>
      <c r="F278" s="78" t="s">
        <v>1833</v>
      </c>
      <c r="G278" s="78" t="s">
        <v>350</v>
      </c>
      <c r="H278" s="77">
        <v>4</v>
      </c>
      <c r="I278" s="55"/>
      <c r="J278" s="74">
        <v>44498</v>
      </c>
      <c r="K278" s="74"/>
      <c r="L278" s="74" t="s">
        <v>6784</v>
      </c>
      <c r="M278" s="78"/>
      <c r="N278" s="78" t="s">
        <v>344</v>
      </c>
      <c r="O278" s="73" t="s">
        <v>360</v>
      </c>
    </row>
    <row r="279" spans="1:15" s="73" customFormat="1" ht="13" x14ac:dyDescent="0.15">
      <c r="A279" s="78">
        <v>2647770</v>
      </c>
      <c r="B279" s="78" t="s">
        <v>373</v>
      </c>
      <c r="C279" s="78" t="s">
        <v>144</v>
      </c>
      <c r="D279" s="78" t="s">
        <v>144</v>
      </c>
      <c r="E279" s="78" t="s">
        <v>162</v>
      </c>
      <c r="F279" s="78" t="s">
        <v>1502</v>
      </c>
      <c r="G279" s="78" t="s">
        <v>350</v>
      </c>
      <c r="H279" s="77">
        <v>8</v>
      </c>
      <c r="I279" s="55"/>
      <c r="J279" s="74">
        <v>44441</v>
      </c>
      <c r="K279" s="74"/>
      <c r="L279" s="74" t="s">
        <v>6784</v>
      </c>
      <c r="M279" s="78"/>
      <c r="N279" s="78" t="s">
        <v>344</v>
      </c>
      <c r="O279" s="73" t="s">
        <v>360</v>
      </c>
    </row>
    <row r="280" spans="1:15" s="73" customFormat="1" ht="13" x14ac:dyDescent="0.15">
      <c r="A280" s="78">
        <v>2647771</v>
      </c>
      <c r="B280" s="78" t="s">
        <v>451</v>
      </c>
      <c r="C280" s="78" t="s">
        <v>138</v>
      </c>
      <c r="D280" s="78" t="s">
        <v>138</v>
      </c>
      <c r="E280" s="78" t="s">
        <v>273</v>
      </c>
      <c r="F280" s="78" t="s">
        <v>273</v>
      </c>
      <c r="G280" s="78" t="s">
        <v>350</v>
      </c>
      <c r="H280" s="77">
        <v>5</v>
      </c>
      <c r="I280" s="55"/>
      <c r="J280" s="74">
        <v>44537</v>
      </c>
      <c r="K280" s="74"/>
      <c r="L280" s="74" t="s">
        <v>6784</v>
      </c>
      <c r="M280" s="78"/>
      <c r="N280" s="78" t="s">
        <v>344</v>
      </c>
      <c r="O280" s="73" t="s">
        <v>2241</v>
      </c>
    </row>
    <row r="281" spans="1:15" s="73" customFormat="1" ht="13" x14ac:dyDescent="0.15">
      <c r="A281" s="78">
        <v>2647775</v>
      </c>
      <c r="B281" s="78" t="s">
        <v>373</v>
      </c>
      <c r="C281" s="78" t="s">
        <v>129</v>
      </c>
      <c r="D281" s="78" t="s">
        <v>129</v>
      </c>
      <c r="E281" s="78" t="s">
        <v>179</v>
      </c>
      <c r="F281" s="78" t="s">
        <v>1854</v>
      </c>
      <c r="G281" s="78" t="s">
        <v>350</v>
      </c>
      <c r="H281" s="77">
        <v>4</v>
      </c>
      <c r="I281" s="55"/>
      <c r="J281" s="74">
        <v>44515</v>
      </c>
      <c r="K281" s="74"/>
      <c r="L281" s="74" t="s">
        <v>6784</v>
      </c>
      <c r="M281" s="78"/>
      <c r="N281" s="78" t="s">
        <v>344</v>
      </c>
      <c r="O281" s="73" t="s">
        <v>360</v>
      </c>
    </row>
    <row r="282" spans="1:15" s="73" customFormat="1" ht="13" x14ac:dyDescent="0.15">
      <c r="A282" s="78">
        <v>2648027</v>
      </c>
      <c r="B282" s="78" t="s">
        <v>373</v>
      </c>
      <c r="C282" s="78" t="s">
        <v>144</v>
      </c>
      <c r="D282" s="78" t="s">
        <v>144</v>
      </c>
      <c r="E282" s="78" t="s">
        <v>209</v>
      </c>
      <c r="F282" s="78" t="s">
        <v>1858</v>
      </c>
      <c r="G282" s="78" t="s">
        <v>350</v>
      </c>
      <c r="H282" s="77">
        <v>1</v>
      </c>
      <c r="I282" s="55"/>
      <c r="J282" s="74">
        <v>44476</v>
      </c>
      <c r="K282" s="74"/>
      <c r="L282" s="74" t="s">
        <v>6784</v>
      </c>
      <c r="M282" s="78"/>
      <c r="N282" s="78" t="s">
        <v>344</v>
      </c>
      <c r="O282" s="73" t="s">
        <v>360</v>
      </c>
    </row>
    <row r="283" spans="1:15" s="73" customFormat="1" ht="13" x14ac:dyDescent="0.15">
      <c r="A283" s="78">
        <v>2648208</v>
      </c>
      <c r="B283" s="78" t="s">
        <v>373</v>
      </c>
      <c r="C283" s="78" t="s">
        <v>144</v>
      </c>
      <c r="D283" s="78" t="s">
        <v>144</v>
      </c>
      <c r="E283" s="78" t="s">
        <v>209</v>
      </c>
      <c r="F283" s="78" t="s">
        <v>1858</v>
      </c>
      <c r="G283" s="78" t="s">
        <v>350</v>
      </c>
      <c r="H283" s="77">
        <v>1</v>
      </c>
      <c r="I283" s="55"/>
      <c r="J283" s="74">
        <v>44477</v>
      </c>
      <c r="K283" s="74"/>
      <c r="L283" s="74" t="s">
        <v>6784</v>
      </c>
      <c r="M283" s="78"/>
      <c r="N283" s="78" t="s">
        <v>344</v>
      </c>
      <c r="O283" s="73" t="s">
        <v>360</v>
      </c>
    </row>
    <row r="284" spans="1:15" s="73" customFormat="1" ht="13" x14ac:dyDescent="0.15">
      <c r="A284" s="78">
        <v>2648446</v>
      </c>
      <c r="B284" s="78" t="s">
        <v>373</v>
      </c>
      <c r="C284" s="78" t="s">
        <v>142</v>
      </c>
      <c r="D284" s="78" t="s">
        <v>142</v>
      </c>
      <c r="E284" s="78" t="s">
        <v>166</v>
      </c>
      <c r="F284" s="78" t="s">
        <v>1152</v>
      </c>
      <c r="G284" s="78" t="s">
        <v>350</v>
      </c>
      <c r="H284" s="77">
        <v>4</v>
      </c>
      <c r="I284" s="55"/>
      <c r="J284" s="74">
        <v>44455</v>
      </c>
      <c r="K284" s="74"/>
      <c r="L284" s="74" t="s">
        <v>6784</v>
      </c>
      <c r="M284" s="78"/>
      <c r="N284" s="78" t="s">
        <v>344</v>
      </c>
      <c r="O284" s="73" t="s">
        <v>360</v>
      </c>
    </row>
    <row r="285" spans="1:15" s="73" customFormat="1" ht="13" x14ac:dyDescent="0.15">
      <c r="A285" s="78">
        <v>2648508</v>
      </c>
      <c r="B285" s="78" t="s">
        <v>373</v>
      </c>
      <c r="C285" s="78" t="s">
        <v>144</v>
      </c>
      <c r="D285" s="78" t="s">
        <v>144</v>
      </c>
      <c r="E285" s="78" t="s">
        <v>261</v>
      </c>
      <c r="F285" s="78" t="s">
        <v>512</v>
      </c>
      <c r="G285" s="78" t="s">
        <v>350</v>
      </c>
      <c r="H285" s="77">
        <v>3</v>
      </c>
      <c r="I285" s="55"/>
      <c r="J285" s="74">
        <v>44579</v>
      </c>
      <c r="K285" s="74"/>
      <c r="L285" s="74" t="s">
        <v>6784</v>
      </c>
      <c r="M285" s="78"/>
      <c r="N285" s="78" t="s">
        <v>344</v>
      </c>
      <c r="O285" s="73" t="s">
        <v>360</v>
      </c>
    </row>
    <row r="286" spans="1:15" s="73" customFormat="1" ht="13" x14ac:dyDescent="0.15">
      <c r="A286" s="78">
        <v>2648817</v>
      </c>
      <c r="B286" s="78" t="s">
        <v>451</v>
      </c>
      <c r="C286" s="78" t="s">
        <v>144</v>
      </c>
      <c r="D286" s="78" t="s">
        <v>144</v>
      </c>
      <c r="E286" s="78" t="s">
        <v>209</v>
      </c>
      <c r="F286" s="78" t="s">
        <v>629</v>
      </c>
      <c r="G286" s="78" t="s">
        <v>350</v>
      </c>
      <c r="H286" s="77">
        <v>5</v>
      </c>
      <c r="I286" s="55"/>
      <c r="J286" s="74">
        <v>44494</v>
      </c>
      <c r="K286" s="74"/>
      <c r="L286" s="74" t="s">
        <v>6784</v>
      </c>
      <c r="M286" s="78"/>
      <c r="N286" s="78" t="s">
        <v>344</v>
      </c>
      <c r="O286" s="73" t="s">
        <v>2246</v>
      </c>
    </row>
    <row r="287" spans="1:15" s="73" customFormat="1" ht="13" x14ac:dyDescent="0.15">
      <c r="A287" s="78">
        <v>2648868</v>
      </c>
      <c r="B287" s="78" t="s">
        <v>373</v>
      </c>
      <c r="C287" s="78" t="s">
        <v>144</v>
      </c>
      <c r="D287" s="78" t="s">
        <v>144</v>
      </c>
      <c r="E287" s="78" t="s">
        <v>162</v>
      </c>
      <c r="F287" s="78" t="s">
        <v>516</v>
      </c>
      <c r="G287" s="78" t="s">
        <v>350</v>
      </c>
      <c r="H287" s="77">
        <v>5</v>
      </c>
      <c r="I287" s="55"/>
      <c r="J287" s="74">
        <v>44489</v>
      </c>
      <c r="K287" s="74"/>
      <c r="L287" s="74" t="s">
        <v>6784</v>
      </c>
      <c r="M287" s="78"/>
      <c r="N287" s="78" t="s">
        <v>344</v>
      </c>
      <c r="O287" s="73" t="s">
        <v>360</v>
      </c>
    </row>
    <row r="288" spans="1:15" s="73" customFormat="1" ht="13" x14ac:dyDescent="0.15">
      <c r="A288" s="78">
        <v>2649739</v>
      </c>
      <c r="B288" s="78" t="s">
        <v>373</v>
      </c>
      <c r="C288" s="78" t="s">
        <v>144</v>
      </c>
      <c r="D288" s="78" t="s">
        <v>144</v>
      </c>
      <c r="E288" s="78" t="s">
        <v>281</v>
      </c>
      <c r="F288" s="78" t="s">
        <v>725</v>
      </c>
      <c r="G288" s="78" t="s">
        <v>350</v>
      </c>
      <c r="H288" s="77">
        <v>1</v>
      </c>
      <c r="I288" s="55"/>
      <c r="J288" s="74">
        <v>44637</v>
      </c>
      <c r="K288" s="74"/>
      <c r="L288" s="74" t="s">
        <v>6784</v>
      </c>
      <c r="M288" s="78"/>
      <c r="N288" s="78" t="s">
        <v>344</v>
      </c>
      <c r="O288" s="73" t="s">
        <v>360</v>
      </c>
    </row>
    <row r="289" spans="1:15" s="73" customFormat="1" ht="13" x14ac:dyDescent="0.15">
      <c r="A289" s="78">
        <v>2649743</v>
      </c>
      <c r="B289" s="78" t="s">
        <v>373</v>
      </c>
      <c r="C289" s="78" t="s">
        <v>144</v>
      </c>
      <c r="D289" s="78" t="s">
        <v>144</v>
      </c>
      <c r="E289" s="78" t="s">
        <v>281</v>
      </c>
      <c r="F289" s="78" t="s">
        <v>725</v>
      </c>
      <c r="G289" s="78" t="s">
        <v>350</v>
      </c>
      <c r="H289" s="77">
        <v>1</v>
      </c>
      <c r="I289" s="55"/>
      <c r="J289" s="74">
        <v>44637</v>
      </c>
      <c r="K289" s="74"/>
      <c r="L289" s="74" t="s">
        <v>6784</v>
      </c>
      <c r="M289" s="78"/>
      <c r="N289" s="78" t="s">
        <v>344</v>
      </c>
      <c r="O289" s="73" t="s">
        <v>360</v>
      </c>
    </row>
    <row r="290" spans="1:15" s="73" customFormat="1" ht="13" x14ac:dyDescent="0.15">
      <c r="A290" s="78">
        <v>2649745</v>
      </c>
      <c r="B290" s="78" t="s">
        <v>373</v>
      </c>
      <c r="C290" s="78" t="s">
        <v>136</v>
      </c>
      <c r="D290" s="78" t="s">
        <v>136</v>
      </c>
      <c r="E290" s="78" t="s">
        <v>165</v>
      </c>
      <c r="F290" s="78" t="s">
        <v>748</v>
      </c>
      <c r="G290" s="78" t="s">
        <v>350</v>
      </c>
      <c r="H290" s="77">
        <v>1</v>
      </c>
      <c r="I290" s="55"/>
      <c r="J290" s="74">
        <v>44497</v>
      </c>
      <c r="K290" s="74"/>
      <c r="L290" s="74" t="s">
        <v>6784</v>
      </c>
      <c r="M290" s="78"/>
      <c r="N290" s="78" t="s">
        <v>344</v>
      </c>
      <c r="O290" s="73" t="s">
        <v>360</v>
      </c>
    </row>
    <row r="291" spans="1:15" s="73" customFormat="1" ht="13" x14ac:dyDescent="0.15">
      <c r="A291" s="78">
        <v>2649767</v>
      </c>
      <c r="B291" s="78" t="s">
        <v>373</v>
      </c>
      <c r="C291" s="78" t="s">
        <v>129</v>
      </c>
      <c r="D291" s="78" t="s">
        <v>129</v>
      </c>
      <c r="E291" s="78" t="s">
        <v>194</v>
      </c>
      <c r="F291" s="78" t="s">
        <v>1012</v>
      </c>
      <c r="G291" s="78" t="s">
        <v>350</v>
      </c>
      <c r="H291" s="77">
        <v>3</v>
      </c>
      <c r="I291" s="55"/>
      <c r="J291" s="74">
        <v>44582</v>
      </c>
      <c r="K291" s="74"/>
      <c r="L291" s="74" t="s">
        <v>6784</v>
      </c>
      <c r="M291" s="78"/>
      <c r="N291" s="78" t="s">
        <v>344</v>
      </c>
      <c r="O291" s="73" t="s">
        <v>360</v>
      </c>
    </row>
    <row r="292" spans="1:15" s="73" customFormat="1" ht="13" x14ac:dyDescent="0.15">
      <c r="A292" s="78">
        <v>2649772</v>
      </c>
      <c r="B292" s="78" t="s">
        <v>373</v>
      </c>
      <c r="C292" s="78" t="s">
        <v>138</v>
      </c>
      <c r="D292" s="78" t="s">
        <v>138</v>
      </c>
      <c r="E292" s="78" t="s">
        <v>183</v>
      </c>
      <c r="F292" s="78" t="s">
        <v>1500</v>
      </c>
      <c r="G292" s="78" t="s">
        <v>350</v>
      </c>
      <c r="H292" s="77">
        <v>3</v>
      </c>
      <c r="I292" s="55"/>
      <c r="J292" s="74">
        <v>44498</v>
      </c>
      <c r="K292" s="74"/>
      <c r="L292" s="74" t="s">
        <v>6784</v>
      </c>
      <c r="M292" s="78"/>
      <c r="N292" s="78" t="s">
        <v>344</v>
      </c>
      <c r="O292" s="73" t="s">
        <v>360</v>
      </c>
    </row>
    <row r="293" spans="1:15" s="73" customFormat="1" ht="13" x14ac:dyDescent="0.15">
      <c r="A293" s="78">
        <v>2649904</v>
      </c>
      <c r="B293" s="78" t="s">
        <v>373</v>
      </c>
      <c r="C293" s="78" t="s">
        <v>150</v>
      </c>
      <c r="D293" s="78" t="s">
        <v>150</v>
      </c>
      <c r="E293" s="78" t="s">
        <v>190</v>
      </c>
      <c r="F293" s="78" t="s">
        <v>889</v>
      </c>
      <c r="G293" s="78" t="s">
        <v>350</v>
      </c>
      <c r="H293" s="77">
        <v>2</v>
      </c>
      <c r="I293" s="55"/>
      <c r="J293" s="74">
        <v>44545</v>
      </c>
      <c r="K293" s="74"/>
      <c r="L293" s="74" t="s">
        <v>6784</v>
      </c>
      <c r="M293" s="78"/>
      <c r="N293" s="78" t="s">
        <v>344</v>
      </c>
      <c r="O293" s="73" t="s">
        <v>360</v>
      </c>
    </row>
    <row r="294" spans="1:15" s="73" customFormat="1" ht="13" x14ac:dyDescent="0.15">
      <c r="A294" s="78">
        <v>2649926</v>
      </c>
      <c r="B294" s="78" t="s">
        <v>373</v>
      </c>
      <c r="C294" s="78" t="s">
        <v>136</v>
      </c>
      <c r="D294" s="78" t="s">
        <v>136</v>
      </c>
      <c r="E294" s="78" t="s">
        <v>176</v>
      </c>
      <c r="F294" s="78" t="s">
        <v>1832</v>
      </c>
      <c r="G294" s="78" t="s">
        <v>350</v>
      </c>
      <c r="H294" s="77">
        <v>1</v>
      </c>
      <c r="I294" s="55"/>
      <c r="J294" s="74">
        <v>44475</v>
      </c>
      <c r="K294" s="74"/>
      <c r="L294" s="74" t="s">
        <v>6784</v>
      </c>
      <c r="M294" s="78"/>
      <c r="N294" s="78" t="s">
        <v>344</v>
      </c>
      <c r="O294" s="73" t="s">
        <v>360</v>
      </c>
    </row>
    <row r="295" spans="1:15" s="73" customFormat="1" ht="13" x14ac:dyDescent="0.15">
      <c r="A295" s="78">
        <v>2650054</v>
      </c>
      <c r="B295" s="78" t="s">
        <v>373</v>
      </c>
      <c r="C295" s="78" t="s">
        <v>172</v>
      </c>
      <c r="D295" s="78" t="s">
        <v>172</v>
      </c>
      <c r="E295" s="78" t="s">
        <v>228</v>
      </c>
      <c r="F295" s="78" t="s">
        <v>991</v>
      </c>
      <c r="G295" s="78" t="s">
        <v>350</v>
      </c>
      <c r="H295" s="77">
        <v>6</v>
      </c>
      <c r="I295" s="55"/>
      <c r="J295" s="74">
        <v>44480</v>
      </c>
      <c r="K295" s="74"/>
      <c r="L295" s="74" t="s">
        <v>6784</v>
      </c>
      <c r="M295" s="78"/>
      <c r="N295" s="78" t="s">
        <v>344</v>
      </c>
      <c r="O295" s="73" t="s">
        <v>360</v>
      </c>
    </row>
    <row r="296" spans="1:15" s="73" customFormat="1" ht="13" x14ac:dyDescent="0.15">
      <c r="A296" s="78">
        <v>2650092</v>
      </c>
      <c r="B296" s="78" t="s">
        <v>373</v>
      </c>
      <c r="C296" s="78" t="s">
        <v>378</v>
      </c>
      <c r="D296" s="78" t="s">
        <v>170</v>
      </c>
      <c r="E296" s="78" t="s">
        <v>178</v>
      </c>
      <c r="F296" s="78" t="s">
        <v>905</v>
      </c>
      <c r="G296" s="78" t="s">
        <v>350</v>
      </c>
      <c r="H296" s="77">
        <v>1</v>
      </c>
      <c r="I296" s="55"/>
      <c r="J296" s="74">
        <v>44530</v>
      </c>
      <c r="K296" s="74"/>
      <c r="L296" s="74" t="s">
        <v>6784</v>
      </c>
      <c r="M296" s="78"/>
      <c r="N296" s="78" t="s">
        <v>344</v>
      </c>
      <c r="O296" s="73" t="s">
        <v>360</v>
      </c>
    </row>
    <row r="297" spans="1:15" s="73" customFormat="1" ht="13" x14ac:dyDescent="0.15">
      <c r="A297" s="78">
        <v>2650947</v>
      </c>
      <c r="B297" s="78" t="s">
        <v>373</v>
      </c>
      <c r="C297" s="78" t="s">
        <v>136</v>
      </c>
      <c r="D297" s="78" t="s">
        <v>136</v>
      </c>
      <c r="E297" s="78" t="s">
        <v>176</v>
      </c>
      <c r="F297" s="78" t="s">
        <v>526</v>
      </c>
      <c r="G297" s="78" t="s">
        <v>350</v>
      </c>
      <c r="H297" s="77">
        <v>2</v>
      </c>
      <c r="I297" s="55"/>
      <c r="J297" s="74">
        <v>44518</v>
      </c>
      <c r="K297" s="74"/>
      <c r="L297" s="74" t="s">
        <v>6784</v>
      </c>
      <c r="M297" s="78"/>
      <c r="N297" s="78" t="s">
        <v>344</v>
      </c>
      <c r="O297" s="73" t="s">
        <v>360</v>
      </c>
    </row>
    <row r="298" spans="1:15" s="73" customFormat="1" ht="13" x14ac:dyDescent="0.15">
      <c r="A298" s="78">
        <v>2650948</v>
      </c>
      <c r="B298" s="78" t="s">
        <v>373</v>
      </c>
      <c r="C298" s="78" t="s">
        <v>142</v>
      </c>
      <c r="D298" s="78" t="s">
        <v>142</v>
      </c>
      <c r="E298" s="78" t="s">
        <v>272</v>
      </c>
      <c r="F298" s="78" t="s">
        <v>653</v>
      </c>
      <c r="G298" s="78" t="s">
        <v>350</v>
      </c>
      <c r="H298" s="77">
        <v>2</v>
      </c>
      <c r="I298" s="55"/>
      <c r="J298" s="74">
        <v>44525</v>
      </c>
      <c r="K298" s="74"/>
      <c r="L298" s="74" t="s">
        <v>6784</v>
      </c>
      <c r="M298" s="78"/>
      <c r="N298" s="78" t="s">
        <v>344</v>
      </c>
      <c r="O298" s="73" t="s">
        <v>360</v>
      </c>
    </row>
    <row r="299" spans="1:15" s="73" customFormat="1" ht="13" x14ac:dyDescent="0.15">
      <c r="A299" s="78">
        <v>2650950</v>
      </c>
      <c r="B299" s="78" t="s">
        <v>373</v>
      </c>
      <c r="C299" s="78" t="s">
        <v>144</v>
      </c>
      <c r="D299" s="78" t="s">
        <v>144</v>
      </c>
      <c r="E299" s="78" t="s">
        <v>290</v>
      </c>
      <c r="F299" s="78" t="s">
        <v>1099</v>
      </c>
      <c r="G299" s="78" t="s">
        <v>350</v>
      </c>
      <c r="H299" s="77">
        <v>3</v>
      </c>
      <c r="I299" s="55"/>
      <c r="J299" s="74">
        <v>44487</v>
      </c>
      <c r="K299" s="74"/>
      <c r="L299" s="74" t="s">
        <v>6784</v>
      </c>
      <c r="M299" s="78"/>
      <c r="N299" s="78" t="s">
        <v>344</v>
      </c>
      <c r="O299" s="73" t="s">
        <v>360</v>
      </c>
    </row>
    <row r="300" spans="1:15" s="73" customFormat="1" ht="13" x14ac:dyDescent="0.15">
      <c r="A300" s="78">
        <v>2650952</v>
      </c>
      <c r="B300" s="78" t="s">
        <v>373</v>
      </c>
      <c r="C300" s="78" t="s">
        <v>172</v>
      </c>
      <c r="D300" s="78" t="s">
        <v>172</v>
      </c>
      <c r="E300" s="78" t="s">
        <v>234</v>
      </c>
      <c r="F300" s="78" t="s">
        <v>369</v>
      </c>
      <c r="G300" s="78" t="s">
        <v>350</v>
      </c>
      <c r="H300" s="77">
        <v>4</v>
      </c>
      <c r="I300" s="55"/>
      <c r="J300" s="74">
        <v>44470</v>
      </c>
      <c r="K300" s="74"/>
      <c r="L300" s="74" t="s">
        <v>6784</v>
      </c>
      <c r="M300" s="78"/>
      <c r="N300" s="78" t="s">
        <v>344</v>
      </c>
      <c r="O300" s="73" t="s">
        <v>360</v>
      </c>
    </row>
    <row r="301" spans="1:15" s="73" customFormat="1" ht="13" x14ac:dyDescent="0.15">
      <c r="A301" s="78">
        <v>2651004</v>
      </c>
      <c r="B301" s="78" t="s">
        <v>389</v>
      </c>
      <c r="C301" s="78" t="s">
        <v>378</v>
      </c>
      <c r="D301" s="78" t="s">
        <v>134</v>
      </c>
      <c r="E301" s="78" t="s">
        <v>210</v>
      </c>
      <c r="F301" s="78" t="s">
        <v>542</v>
      </c>
      <c r="G301" s="78" t="s">
        <v>350</v>
      </c>
      <c r="H301" s="77"/>
      <c r="I301" s="55"/>
      <c r="J301" s="74">
        <v>44523</v>
      </c>
      <c r="K301" s="74"/>
      <c r="L301" s="74" t="s">
        <v>6784</v>
      </c>
      <c r="M301" s="78"/>
      <c r="N301" s="78" t="s">
        <v>344</v>
      </c>
      <c r="O301" s="73" t="s">
        <v>2258</v>
      </c>
    </row>
    <row r="302" spans="1:15" s="73" customFormat="1" ht="13" x14ac:dyDescent="0.15">
      <c r="A302" s="78">
        <v>2651014</v>
      </c>
      <c r="B302" s="78" t="s">
        <v>451</v>
      </c>
      <c r="C302" s="78" t="s">
        <v>144</v>
      </c>
      <c r="D302" s="78" t="s">
        <v>144</v>
      </c>
      <c r="E302" s="78" t="s">
        <v>209</v>
      </c>
      <c r="F302" s="78" t="s">
        <v>561</v>
      </c>
      <c r="G302" s="78" t="s">
        <v>350</v>
      </c>
      <c r="H302" s="77">
        <v>5</v>
      </c>
      <c r="I302" s="55"/>
      <c r="J302" s="74">
        <v>44577</v>
      </c>
      <c r="K302" s="74"/>
      <c r="L302" s="74" t="s">
        <v>6784</v>
      </c>
      <c r="M302" s="78"/>
      <c r="N302" s="78" t="s">
        <v>344</v>
      </c>
      <c r="O302" s="73" t="s">
        <v>2262</v>
      </c>
    </row>
    <row r="303" spans="1:15" s="73" customFormat="1" ht="13" x14ac:dyDescent="0.15">
      <c r="A303" s="78">
        <v>2651405</v>
      </c>
      <c r="B303" s="78" t="s">
        <v>373</v>
      </c>
      <c r="C303" s="78" t="s">
        <v>378</v>
      </c>
      <c r="D303" s="78" t="s">
        <v>134</v>
      </c>
      <c r="E303" s="78" t="s">
        <v>246</v>
      </c>
      <c r="F303" s="78" t="s">
        <v>1104</v>
      </c>
      <c r="G303" s="78" t="s">
        <v>350</v>
      </c>
      <c r="H303" s="77">
        <v>1</v>
      </c>
      <c r="I303" s="55"/>
      <c r="J303" s="74">
        <v>44540</v>
      </c>
      <c r="K303" s="74"/>
      <c r="L303" s="74" t="s">
        <v>6784</v>
      </c>
      <c r="M303" s="78"/>
      <c r="N303" s="78" t="s">
        <v>344</v>
      </c>
      <c r="O303" s="73" t="s">
        <v>360</v>
      </c>
    </row>
    <row r="304" spans="1:15" s="73" customFormat="1" ht="13" x14ac:dyDescent="0.15">
      <c r="A304" s="78">
        <v>2651501</v>
      </c>
      <c r="B304" s="78" t="s">
        <v>373</v>
      </c>
      <c r="C304" s="78" t="s">
        <v>136</v>
      </c>
      <c r="D304" s="78" t="s">
        <v>136</v>
      </c>
      <c r="E304" s="78" t="s">
        <v>185</v>
      </c>
      <c r="F304" s="78" t="s">
        <v>898</v>
      </c>
      <c r="G304" s="78" t="s">
        <v>350</v>
      </c>
      <c r="H304" s="77">
        <v>3</v>
      </c>
      <c r="I304" s="55"/>
      <c r="J304" s="74">
        <v>44475</v>
      </c>
      <c r="K304" s="74"/>
      <c r="L304" s="74" t="s">
        <v>6784</v>
      </c>
      <c r="M304" s="78"/>
      <c r="N304" s="78" t="s">
        <v>344</v>
      </c>
      <c r="O304" s="73" t="s">
        <v>360</v>
      </c>
    </row>
    <row r="305" spans="1:15" s="73" customFormat="1" ht="13" x14ac:dyDescent="0.15">
      <c r="A305" s="78">
        <v>2651665</v>
      </c>
      <c r="B305" s="78" t="s">
        <v>373</v>
      </c>
      <c r="C305" s="78" t="s">
        <v>138</v>
      </c>
      <c r="D305" s="78" t="s">
        <v>138</v>
      </c>
      <c r="E305" s="78" t="s">
        <v>266</v>
      </c>
      <c r="F305" s="78" t="s">
        <v>1622</v>
      </c>
      <c r="G305" s="78" t="s">
        <v>350</v>
      </c>
      <c r="H305" s="77">
        <v>4</v>
      </c>
      <c r="I305" s="55"/>
      <c r="J305" s="74">
        <v>44453</v>
      </c>
      <c r="K305" s="74"/>
      <c r="L305" s="74" t="s">
        <v>6784</v>
      </c>
      <c r="M305" s="78"/>
      <c r="N305" s="78" t="s">
        <v>344</v>
      </c>
      <c r="O305" s="73" t="s">
        <v>360</v>
      </c>
    </row>
    <row r="306" spans="1:15" s="73" customFormat="1" ht="13" x14ac:dyDescent="0.15">
      <c r="A306" s="78">
        <v>2651753</v>
      </c>
      <c r="B306" s="78" t="s">
        <v>373</v>
      </c>
      <c r="C306" s="78" t="s">
        <v>172</v>
      </c>
      <c r="D306" s="78" t="s">
        <v>172</v>
      </c>
      <c r="E306" s="78" t="s">
        <v>173</v>
      </c>
      <c r="F306" s="78" t="s">
        <v>1540</v>
      </c>
      <c r="G306" s="78" t="s">
        <v>350</v>
      </c>
      <c r="H306" s="77">
        <v>5</v>
      </c>
      <c r="I306" s="55"/>
      <c r="J306" s="74">
        <v>44470</v>
      </c>
      <c r="K306" s="74"/>
      <c r="L306" s="74" t="s">
        <v>6784</v>
      </c>
      <c r="M306" s="78"/>
      <c r="N306" s="78" t="s">
        <v>344</v>
      </c>
      <c r="O306" s="73" t="s">
        <v>360</v>
      </c>
    </row>
    <row r="307" spans="1:15" s="73" customFormat="1" ht="13" x14ac:dyDescent="0.15">
      <c r="A307" s="78">
        <v>2651800</v>
      </c>
      <c r="B307" s="78" t="s">
        <v>373</v>
      </c>
      <c r="C307" s="78" t="s">
        <v>144</v>
      </c>
      <c r="D307" s="78" t="s">
        <v>144</v>
      </c>
      <c r="E307" s="78" t="s">
        <v>217</v>
      </c>
      <c r="F307" s="78" t="s">
        <v>384</v>
      </c>
      <c r="G307" s="78" t="s">
        <v>350</v>
      </c>
      <c r="H307" s="77">
        <v>3</v>
      </c>
      <c r="I307" s="55"/>
      <c r="J307" s="74">
        <v>44494</v>
      </c>
      <c r="K307" s="74"/>
      <c r="L307" s="74" t="s">
        <v>6784</v>
      </c>
      <c r="M307" s="78"/>
      <c r="N307" s="78" t="s">
        <v>344</v>
      </c>
      <c r="O307" s="73" t="s">
        <v>360</v>
      </c>
    </row>
    <row r="308" spans="1:15" s="73" customFormat="1" ht="13" x14ac:dyDescent="0.15">
      <c r="A308" s="78">
        <v>2651802</v>
      </c>
      <c r="B308" s="78" t="s">
        <v>373</v>
      </c>
      <c r="C308" s="78" t="s">
        <v>129</v>
      </c>
      <c r="D308" s="78" t="s">
        <v>129</v>
      </c>
      <c r="E308" s="78" t="s">
        <v>242</v>
      </c>
      <c r="F308" s="78" t="s">
        <v>1519</v>
      </c>
      <c r="G308" s="78" t="s">
        <v>350</v>
      </c>
      <c r="H308" s="77">
        <v>7</v>
      </c>
      <c r="I308" s="55"/>
      <c r="J308" s="74">
        <v>44547</v>
      </c>
      <c r="K308" s="74"/>
      <c r="L308" s="74" t="s">
        <v>6784</v>
      </c>
      <c r="M308" s="78"/>
      <c r="N308" s="78" t="s">
        <v>344</v>
      </c>
      <c r="O308" s="73" t="s">
        <v>360</v>
      </c>
    </row>
    <row r="309" spans="1:15" s="73" customFormat="1" ht="13" x14ac:dyDescent="0.15">
      <c r="A309" s="78">
        <v>2651806</v>
      </c>
      <c r="B309" s="78" t="s">
        <v>373</v>
      </c>
      <c r="C309" s="78" t="s">
        <v>150</v>
      </c>
      <c r="D309" s="78" t="s">
        <v>150</v>
      </c>
      <c r="E309" s="78" t="s">
        <v>203</v>
      </c>
      <c r="F309" s="78" t="s">
        <v>593</v>
      </c>
      <c r="G309" s="78" t="s">
        <v>350</v>
      </c>
      <c r="H309" s="77">
        <v>4</v>
      </c>
      <c r="I309" s="55"/>
      <c r="J309" s="74">
        <v>44525</v>
      </c>
      <c r="K309" s="74"/>
      <c r="L309" s="74" t="s">
        <v>6784</v>
      </c>
      <c r="M309" s="78"/>
      <c r="N309" s="78" t="s">
        <v>344</v>
      </c>
      <c r="O309" s="73" t="s">
        <v>360</v>
      </c>
    </row>
    <row r="310" spans="1:15" s="73" customFormat="1" ht="13" x14ac:dyDescent="0.15">
      <c r="A310" s="78">
        <v>2651807</v>
      </c>
      <c r="B310" s="78" t="s">
        <v>373</v>
      </c>
      <c r="C310" s="78" t="s">
        <v>144</v>
      </c>
      <c r="D310" s="78" t="s">
        <v>144</v>
      </c>
      <c r="E310" s="78" t="s">
        <v>163</v>
      </c>
      <c r="F310" s="78" t="s">
        <v>472</v>
      </c>
      <c r="G310" s="78" t="s">
        <v>350</v>
      </c>
      <c r="H310" s="77">
        <v>4</v>
      </c>
      <c r="I310" s="55"/>
      <c r="J310" s="74">
        <v>44467</v>
      </c>
      <c r="K310" s="74"/>
      <c r="L310" s="74" t="s">
        <v>6784</v>
      </c>
      <c r="M310" s="78"/>
      <c r="N310" s="78" t="s">
        <v>344</v>
      </c>
      <c r="O310" s="73" t="s">
        <v>360</v>
      </c>
    </row>
    <row r="311" spans="1:15" s="73" customFormat="1" ht="13" x14ac:dyDescent="0.15">
      <c r="A311" s="78">
        <v>2651823</v>
      </c>
      <c r="B311" s="78" t="s">
        <v>373</v>
      </c>
      <c r="C311" s="78" t="s">
        <v>142</v>
      </c>
      <c r="D311" s="78" t="s">
        <v>142</v>
      </c>
      <c r="E311" s="78" t="s">
        <v>293</v>
      </c>
      <c r="F311" s="78" t="s">
        <v>1136</v>
      </c>
      <c r="G311" s="78" t="s">
        <v>350</v>
      </c>
      <c r="H311" s="77">
        <v>3</v>
      </c>
      <c r="I311" s="55"/>
      <c r="J311" s="74">
        <v>44475</v>
      </c>
      <c r="K311" s="74"/>
      <c r="L311" s="74" t="s">
        <v>6784</v>
      </c>
      <c r="M311" s="78"/>
      <c r="N311" s="78" t="s">
        <v>344</v>
      </c>
      <c r="O311" s="73" t="s">
        <v>360</v>
      </c>
    </row>
    <row r="312" spans="1:15" s="73" customFormat="1" ht="13" x14ac:dyDescent="0.15">
      <c r="A312" s="78">
        <v>2652096</v>
      </c>
      <c r="B312" s="78" t="s">
        <v>373</v>
      </c>
      <c r="C312" s="78" t="s">
        <v>136</v>
      </c>
      <c r="D312" s="78" t="s">
        <v>136</v>
      </c>
      <c r="E312" s="78" t="s">
        <v>165</v>
      </c>
      <c r="F312" s="78" t="s">
        <v>720</v>
      </c>
      <c r="G312" s="78" t="s">
        <v>350</v>
      </c>
      <c r="H312" s="77">
        <v>4</v>
      </c>
      <c r="I312" s="55"/>
      <c r="J312" s="74">
        <v>44498</v>
      </c>
      <c r="K312" s="74"/>
      <c r="L312" s="74" t="s">
        <v>6784</v>
      </c>
      <c r="M312" s="78"/>
      <c r="N312" s="78" t="s">
        <v>344</v>
      </c>
      <c r="O312" s="73" t="s">
        <v>360</v>
      </c>
    </row>
    <row r="313" spans="1:15" s="73" customFormat="1" ht="13" x14ac:dyDescent="0.15">
      <c r="A313" s="78">
        <v>2652383</v>
      </c>
      <c r="B313" s="78" t="s">
        <v>373</v>
      </c>
      <c r="C313" s="78" t="s">
        <v>138</v>
      </c>
      <c r="D313" s="78" t="s">
        <v>138</v>
      </c>
      <c r="E313" s="78" t="s">
        <v>224</v>
      </c>
      <c r="F313" s="78" t="s">
        <v>2271</v>
      </c>
      <c r="G313" s="78" t="s">
        <v>380</v>
      </c>
      <c r="H313" s="77">
        <v>2</v>
      </c>
      <c r="I313" s="55"/>
      <c r="J313" s="74">
        <v>44440</v>
      </c>
      <c r="K313" s="74"/>
      <c r="L313" s="74" t="s">
        <v>6784</v>
      </c>
      <c r="M313" s="78"/>
      <c r="N313" s="78" t="s">
        <v>344</v>
      </c>
      <c r="O313" s="73" t="s">
        <v>360</v>
      </c>
    </row>
    <row r="314" spans="1:15" s="73" customFormat="1" ht="13" x14ac:dyDescent="0.15">
      <c r="A314" s="78">
        <v>2652468</v>
      </c>
      <c r="B314" s="78" t="s">
        <v>373</v>
      </c>
      <c r="C314" s="78" t="s">
        <v>136</v>
      </c>
      <c r="D314" s="78" t="s">
        <v>136</v>
      </c>
      <c r="E314" s="78" t="s">
        <v>705</v>
      </c>
      <c r="F314" s="78" t="s">
        <v>2273</v>
      </c>
      <c r="G314" s="78" t="s">
        <v>350</v>
      </c>
      <c r="H314" s="77">
        <v>1</v>
      </c>
      <c r="I314" s="55"/>
      <c r="J314" s="74">
        <v>44442</v>
      </c>
      <c r="K314" s="74"/>
      <c r="L314" s="74" t="s">
        <v>6784</v>
      </c>
      <c r="M314" s="78"/>
      <c r="N314" s="78" t="s">
        <v>344</v>
      </c>
      <c r="O314" s="73" t="s">
        <v>360</v>
      </c>
    </row>
    <row r="315" spans="1:15" s="73" customFormat="1" ht="13" x14ac:dyDescent="0.15">
      <c r="A315" s="78">
        <v>2652546</v>
      </c>
      <c r="B315" s="78" t="s">
        <v>373</v>
      </c>
      <c r="C315" s="78" t="s">
        <v>142</v>
      </c>
      <c r="D315" s="78" t="s">
        <v>142</v>
      </c>
      <c r="E315" s="78" t="s">
        <v>249</v>
      </c>
      <c r="F315" s="78" t="s">
        <v>1406</v>
      </c>
      <c r="G315" s="78" t="s">
        <v>350</v>
      </c>
      <c r="H315" s="77">
        <v>4</v>
      </c>
      <c r="I315" s="55"/>
      <c r="J315" s="74">
        <v>44599</v>
      </c>
      <c r="K315" s="74"/>
      <c r="L315" s="74" t="s">
        <v>6784</v>
      </c>
      <c r="M315" s="78"/>
      <c r="N315" s="78" t="s">
        <v>344</v>
      </c>
      <c r="O315" s="73" t="s">
        <v>360</v>
      </c>
    </row>
    <row r="316" spans="1:15" s="73" customFormat="1" ht="13" x14ac:dyDescent="0.15">
      <c r="A316" s="78">
        <v>2652672</v>
      </c>
      <c r="B316" s="78" t="s">
        <v>373</v>
      </c>
      <c r="C316" s="78" t="s">
        <v>172</v>
      </c>
      <c r="D316" s="78" t="s">
        <v>172</v>
      </c>
      <c r="E316" s="78" t="s">
        <v>212</v>
      </c>
      <c r="F316" s="78" t="s">
        <v>883</v>
      </c>
      <c r="G316" s="78" t="s">
        <v>350</v>
      </c>
      <c r="H316" s="77">
        <v>2</v>
      </c>
      <c r="I316" s="55"/>
      <c r="J316" s="74">
        <v>44544</v>
      </c>
      <c r="K316" s="74"/>
      <c r="L316" s="74" t="s">
        <v>6784</v>
      </c>
      <c r="M316" s="78"/>
      <c r="N316" s="78" t="s">
        <v>344</v>
      </c>
      <c r="O316" s="73" t="s">
        <v>360</v>
      </c>
    </row>
    <row r="317" spans="1:15" s="73" customFormat="1" ht="13" x14ac:dyDescent="0.15">
      <c r="A317" s="78">
        <v>2652939</v>
      </c>
      <c r="B317" s="78" t="s">
        <v>373</v>
      </c>
      <c r="C317" s="78" t="s">
        <v>138</v>
      </c>
      <c r="D317" s="78" t="s">
        <v>138</v>
      </c>
      <c r="E317" s="78" t="s">
        <v>266</v>
      </c>
      <c r="F317" s="78" t="s">
        <v>1522</v>
      </c>
      <c r="G317" s="78" t="s">
        <v>350</v>
      </c>
      <c r="H317" s="77">
        <v>5</v>
      </c>
      <c r="I317" s="55"/>
      <c r="J317" s="74">
        <v>44496</v>
      </c>
      <c r="K317" s="74"/>
      <c r="L317" s="74" t="s">
        <v>6784</v>
      </c>
      <c r="M317" s="78"/>
      <c r="N317" s="78" t="s">
        <v>344</v>
      </c>
      <c r="O317" s="73" t="s">
        <v>360</v>
      </c>
    </row>
    <row r="318" spans="1:15" s="73" customFormat="1" ht="13" x14ac:dyDescent="0.15">
      <c r="A318" s="78">
        <v>2652976</v>
      </c>
      <c r="B318" s="78" t="s">
        <v>373</v>
      </c>
      <c r="C318" s="78" t="s">
        <v>144</v>
      </c>
      <c r="D318" s="78" t="s">
        <v>144</v>
      </c>
      <c r="E318" s="78" t="s">
        <v>188</v>
      </c>
      <c r="F318" s="78" t="s">
        <v>188</v>
      </c>
      <c r="G318" s="78" t="s">
        <v>350</v>
      </c>
      <c r="H318" s="77">
        <v>5</v>
      </c>
      <c r="I318" s="55"/>
      <c r="J318" s="74">
        <v>44497</v>
      </c>
      <c r="K318" s="74"/>
      <c r="L318" s="74" t="s">
        <v>6784</v>
      </c>
      <c r="M318" s="78"/>
      <c r="N318" s="78" t="s">
        <v>344</v>
      </c>
      <c r="O318" s="73" t="s">
        <v>360</v>
      </c>
    </row>
    <row r="319" spans="1:15" s="73" customFormat="1" ht="13" x14ac:dyDescent="0.15">
      <c r="A319" s="78">
        <v>2653112</v>
      </c>
      <c r="B319" s="78" t="s">
        <v>373</v>
      </c>
      <c r="C319" s="78" t="s">
        <v>144</v>
      </c>
      <c r="D319" s="78" t="s">
        <v>144</v>
      </c>
      <c r="E319" s="78" t="s">
        <v>209</v>
      </c>
      <c r="F319" s="78" t="s">
        <v>629</v>
      </c>
      <c r="G319" s="78" t="s">
        <v>350</v>
      </c>
      <c r="H319" s="77">
        <v>3</v>
      </c>
      <c r="I319" s="55"/>
      <c r="J319" s="74">
        <v>44601</v>
      </c>
      <c r="K319" s="74"/>
      <c r="L319" s="74" t="s">
        <v>6784</v>
      </c>
      <c r="M319" s="78"/>
      <c r="N319" s="78" t="s">
        <v>344</v>
      </c>
      <c r="O319" s="73" t="s">
        <v>360</v>
      </c>
    </row>
    <row r="320" spans="1:15" s="73" customFormat="1" ht="13" x14ac:dyDescent="0.15">
      <c r="A320" s="78">
        <v>2653207</v>
      </c>
      <c r="B320" s="78" t="s">
        <v>373</v>
      </c>
      <c r="C320" s="78" t="s">
        <v>144</v>
      </c>
      <c r="D320" s="78" t="s">
        <v>144</v>
      </c>
      <c r="E320" s="78" t="s">
        <v>287</v>
      </c>
      <c r="F320" s="78" t="s">
        <v>815</v>
      </c>
      <c r="G320" s="78" t="s">
        <v>350</v>
      </c>
      <c r="H320" s="77">
        <v>1</v>
      </c>
      <c r="I320" s="55"/>
      <c r="J320" s="74">
        <v>44496</v>
      </c>
      <c r="K320" s="74"/>
      <c r="L320" s="74" t="s">
        <v>6784</v>
      </c>
      <c r="M320" s="78"/>
      <c r="N320" s="78" t="s">
        <v>344</v>
      </c>
      <c r="O320" s="73" t="s">
        <v>360</v>
      </c>
    </row>
    <row r="321" spans="1:15" s="73" customFormat="1" ht="13" x14ac:dyDescent="0.15">
      <c r="A321" s="78">
        <v>2653835</v>
      </c>
      <c r="B321" s="78" t="s">
        <v>373</v>
      </c>
      <c r="C321" s="78" t="s">
        <v>378</v>
      </c>
      <c r="D321" s="78" t="s">
        <v>134</v>
      </c>
      <c r="E321" s="78" t="s">
        <v>151</v>
      </c>
      <c r="F321" s="78" t="s">
        <v>862</v>
      </c>
      <c r="G321" s="78" t="s">
        <v>350</v>
      </c>
      <c r="H321" s="77">
        <v>1</v>
      </c>
      <c r="I321" s="55"/>
      <c r="J321" s="74">
        <v>44522</v>
      </c>
      <c r="K321" s="74"/>
      <c r="L321" s="74" t="s">
        <v>6784</v>
      </c>
      <c r="M321" s="78"/>
      <c r="N321" s="78" t="s">
        <v>344</v>
      </c>
      <c r="O321" s="73" t="s">
        <v>360</v>
      </c>
    </row>
    <row r="322" spans="1:15" s="73" customFormat="1" ht="13" x14ac:dyDescent="0.15">
      <c r="A322" s="78">
        <v>2653894</v>
      </c>
      <c r="B322" s="78" t="s">
        <v>373</v>
      </c>
      <c r="C322" s="78" t="s">
        <v>129</v>
      </c>
      <c r="D322" s="78" t="s">
        <v>129</v>
      </c>
      <c r="E322" s="78" t="s">
        <v>152</v>
      </c>
      <c r="F322" s="78" t="s">
        <v>1994</v>
      </c>
      <c r="G322" s="78" t="s">
        <v>350</v>
      </c>
      <c r="H322" s="77">
        <v>4</v>
      </c>
      <c r="I322" s="55"/>
      <c r="J322" s="74">
        <v>44566</v>
      </c>
      <c r="K322" s="74"/>
      <c r="L322" s="74" t="s">
        <v>6784</v>
      </c>
      <c r="M322" s="78"/>
      <c r="N322" s="78" t="s">
        <v>344</v>
      </c>
      <c r="O322" s="73" t="s">
        <v>360</v>
      </c>
    </row>
    <row r="323" spans="1:15" s="73" customFormat="1" ht="13" x14ac:dyDescent="0.15">
      <c r="A323" s="78">
        <v>2654084</v>
      </c>
      <c r="B323" s="78" t="s">
        <v>373</v>
      </c>
      <c r="C323" s="78" t="s">
        <v>378</v>
      </c>
      <c r="D323" s="78" t="s">
        <v>134</v>
      </c>
      <c r="E323" s="78" t="s">
        <v>151</v>
      </c>
      <c r="F323" s="78" t="s">
        <v>862</v>
      </c>
      <c r="G323" s="78" t="s">
        <v>350</v>
      </c>
      <c r="H323" s="77">
        <v>1</v>
      </c>
      <c r="I323" s="55"/>
      <c r="J323" s="74">
        <v>44522</v>
      </c>
      <c r="K323" s="74"/>
      <c r="L323" s="74" t="s">
        <v>6784</v>
      </c>
      <c r="M323" s="78"/>
      <c r="N323" s="78" t="s">
        <v>344</v>
      </c>
      <c r="O323" s="73" t="s">
        <v>360</v>
      </c>
    </row>
    <row r="324" spans="1:15" s="73" customFormat="1" ht="13" x14ac:dyDescent="0.15">
      <c r="A324" s="78">
        <v>2654423</v>
      </c>
      <c r="B324" s="78" t="s">
        <v>373</v>
      </c>
      <c r="C324" s="78" t="s">
        <v>142</v>
      </c>
      <c r="D324" s="78" t="s">
        <v>142</v>
      </c>
      <c r="E324" s="78" t="s">
        <v>278</v>
      </c>
      <c r="F324" s="78" t="s">
        <v>1042</v>
      </c>
      <c r="G324" s="78" t="s">
        <v>350</v>
      </c>
      <c r="H324" s="77">
        <v>3</v>
      </c>
      <c r="I324" s="55"/>
      <c r="J324" s="74">
        <v>44461</v>
      </c>
      <c r="K324" s="74"/>
      <c r="L324" s="74" t="s">
        <v>6784</v>
      </c>
      <c r="M324" s="78"/>
      <c r="N324" s="78" t="s">
        <v>344</v>
      </c>
      <c r="O324" s="73" t="s">
        <v>360</v>
      </c>
    </row>
    <row r="325" spans="1:15" s="73" customFormat="1" ht="13" x14ac:dyDescent="0.15">
      <c r="A325" s="78">
        <v>2654620</v>
      </c>
      <c r="B325" s="78" t="s">
        <v>373</v>
      </c>
      <c r="C325" s="78" t="s">
        <v>129</v>
      </c>
      <c r="D325" s="78" t="s">
        <v>129</v>
      </c>
      <c r="E325" s="78" t="s">
        <v>187</v>
      </c>
      <c r="F325" s="78" t="s">
        <v>2278</v>
      </c>
      <c r="G325" s="78" t="s">
        <v>350</v>
      </c>
      <c r="H325" s="77">
        <v>2</v>
      </c>
      <c r="I325" s="55"/>
      <c r="J325" s="74">
        <v>44456</v>
      </c>
      <c r="K325" s="74"/>
      <c r="L325" s="74" t="s">
        <v>6784</v>
      </c>
      <c r="M325" s="78"/>
      <c r="N325" s="78" t="s">
        <v>344</v>
      </c>
      <c r="O325" s="73" t="s">
        <v>360</v>
      </c>
    </row>
    <row r="326" spans="1:15" s="73" customFormat="1" ht="13" x14ac:dyDescent="0.15">
      <c r="A326" s="78">
        <v>2654713</v>
      </c>
      <c r="B326" s="78" t="s">
        <v>389</v>
      </c>
      <c r="C326" s="78" t="s">
        <v>138</v>
      </c>
      <c r="D326" s="78" t="s">
        <v>138</v>
      </c>
      <c r="E326" s="78" t="s">
        <v>183</v>
      </c>
      <c r="F326" s="78" t="s">
        <v>664</v>
      </c>
      <c r="G326" s="78" t="s">
        <v>350</v>
      </c>
      <c r="H326" s="77"/>
      <c r="I326" s="55"/>
      <c r="J326" s="74">
        <v>44596</v>
      </c>
      <c r="K326" s="74"/>
      <c r="L326" s="74" t="s">
        <v>6784</v>
      </c>
      <c r="M326" s="78"/>
      <c r="N326" s="78" t="s">
        <v>344</v>
      </c>
      <c r="O326" s="73" t="s">
        <v>2280</v>
      </c>
    </row>
    <row r="327" spans="1:15" s="73" customFormat="1" ht="13" x14ac:dyDescent="0.15">
      <c r="A327" s="78">
        <v>2654782</v>
      </c>
      <c r="B327" s="78" t="s">
        <v>373</v>
      </c>
      <c r="C327" s="78" t="s">
        <v>144</v>
      </c>
      <c r="D327" s="78" t="s">
        <v>144</v>
      </c>
      <c r="E327" s="78" t="s">
        <v>209</v>
      </c>
      <c r="F327" s="78" t="s">
        <v>545</v>
      </c>
      <c r="G327" s="78" t="s">
        <v>350</v>
      </c>
      <c r="H327" s="77">
        <v>4</v>
      </c>
      <c r="I327" s="55"/>
      <c r="J327" s="74">
        <v>44501</v>
      </c>
      <c r="K327" s="74"/>
      <c r="L327" s="74" t="s">
        <v>6784</v>
      </c>
      <c r="M327" s="78"/>
      <c r="N327" s="78" t="s">
        <v>344</v>
      </c>
      <c r="O327" s="73" t="s">
        <v>360</v>
      </c>
    </row>
    <row r="328" spans="1:15" s="73" customFormat="1" ht="13" x14ac:dyDescent="0.15">
      <c r="A328" s="78">
        <v>2654867</v>
      </c>
      <c r="B328" s="78" t="s">
        <v>373</v>
      </c>
      <c r="C328" s="78" t="s">
        <v>129</v>
      </c>
      <c r="D328" s="78" t="s">
        <v>129</v>
      </c>
      <c r="E328" s="78" t="s">
        <v>223</v>
      </c>
      <c r="F328" s="78" t="s">
        <v>712</v>
      </c>
      <c r="G328" s="78" t="s">
        <v>350</v>
      </c>
      <c r="H328" s="77">
        <v>4</v>
      </c>
      <c r="I328" s="55"/>
      <c r="J328" s="74">
        <v>44511</v>
      </c>
      <c r="K328" s="74"/>
      <c r="L328" s="74" t="s">
        <v>6784</v>
      </c>
      <c r="M328" s="78"/>
      <c r="N328" s="78" t="s">
        <v>344</v>
      </c>
      <c r="O328" s="73" t="s">
        <v>360</v>
      </c>
    </row>
    <row r="329" spans="1:15" s="73" customFormat="1" ht="13" x14ac:dyDescent="0.15">
      <c r="A329" s="78">
        <v>2654906</v>
      </c>
      <c r="B329" s="78" t="s">
        <v>373</v>
      </c>
      <c r="C329" s="78" t="s">
        <v>150</v>
      </c>
      <c r="D329" s="78" t="s">
        <v>150</v>
      </c>
      <c r="E329" s="78" t="s">
        <v>203</v>
      </c>
      <c r="F329" s="78" t="s">
        <v>593</v>
      </c>
      <c r="G329" s="78" t="s">
        <v>350</v>
      </c>
      <c r="H329" s="77">
        <v>2</v>
      </c>
      <c r="I329" s="55"/>
      <c r="J329" s="74">
        <v>44434</v>
      </c>
      <c r="K329" s="74"/>
      <c r="L329" s="74" t="s">
        <v>6784</v>
      </c>
      <c r="M329" s="78"/>
      <c r="N329" s="78" t="s">
        <v>344</v>
      </c>
      <c r="O329" s="73" t="s">
        <v>360</v>
      </c>
    </row>
    <row r="330" spans="1:15" s="73" customFormat="1" ht="13" x14ac:dyDescent="0.15">
      <c r="A330" s="78">
        <v>2655041</v>
      </c>
      <c r="B330" s="78" t="s">
        <v>373</v>
      </c>
      <c r="C330" s="78" t="s">
        <v>136</v>
      </c>
      <c r="D330" s="78" t="s">
        <v>136</v>
      </c>
      <c r="E330" s="78" t="s">
        <v>288</v>
      </c>
      <c r="F330" s="78" t="s">
        <v>1037</v>
      </c>
      <c r="G330" s="78" t="s">
        <v>350</v>
      </c>
      <c r="H330" s="77">
        <v>3</v>
      </c>
      <c r="I330" s="55"/>
      <c r="J330" s="74">
        <v>44530</v>
      </c>
      <c r="K330" s="74"/>
      <c r="L330" s="74" t="s">
        <v>6784</v>
      </c>
      <c r="M330" s="78"/>
      <c r="N330" s="78" t="s">
        <v>344</v>
      </c>
      <c r="O330" s="73" t="s">
        <v>360</v>
      </c>
    </row>
    <row r="331" spans="1:15" s="73" customFormat="1" ht="13" x14ac:dyDescent="0.15">
      <c r="A331" s="78">
        <v>2655174</v>
      </c>
      <c r="B331" s="78" t="s">
        <v>373</v>
      </c>
      <c r="C331" s="78" t="s">
        <v>138</v>
      </c>
      <c r="D331" s="78" t="s">
        <v>138</v>
      </c>
      <c r="E331" s="78" t="s">
        <v>238</v>
      </c>
      <c r="F331" s="78" t="s">
        <v>238</v>
      </c>
      <c r="G331" s="78" t="s">
        <v>350</v>
      </c>
      <c r="H331" s="77">
        <v>6</v>
      </c>
      <c r="I331" s="55"/>
      <c r="J331" s="74">
        <v>44504</v>
      </c>
      <c r="K331" s="74"/>
      <c r="L331" s="74" t="s">
        <v>6784</v>
      </c>
      <c r="M331" s="78"/>
      <c r="N331" s="78" t="s">
        <v>344</v>
      </c>
      <c r="O331" s="73" t="s">
        <v>360</v>
      </c>
    </row>
    <row r="332" spans="1:15" s="73" customFormat="1" ht="13" x14ac:dyDescent="0.15">
      <c r="A332" s="78">
        <v>2655345</v>
      </c>
      <c r="B332" s="78" t="s">
        <v>373</v>
      </c>
      <c r="C332" s="78" t="s">
        <v>172</v>
      </c>
      <c r="D332" s="78" t="s">
        <v>172</v>
      </c>
      <c r="E332" s="78" t="s">
        <v>171</v>
      </c>
      <c r="F332" s="78" t="s">
        <v>1125</v>
      </c>
      <c r="G332" s="78" t="s">
        <v>350</v>
      </c>
      <c r="H332" s="77">
        <v>3</v>
      </c>
      <c r="I332" s="55"/>
      <c r="J332" s="74">
        <v>44571</v>
      </c>
      <c r="K332" s="74"/>
      <c r="L332" s="74" t="s">
        <v>6784</v>
      </c>
      <c r="M332" s="78"/>
      <c r="N332" s="78" t="s">
        <v>344</v>
      </c>
      <c r="O332" s="73" t="s">
        <v>360</v>
      </c>
    </row>
    <row r="333" spans="1:15" s="73" customFormat="1" ht="13" x14ac:dyDescent="0.15">
      <c r="A333" s="78">
        <v>2655354</v>
      </c>
      <c r="B333" s="78" t="s">
        <v>373</v>
      </c>
      <c r="C333" s="78" t="s">
        <v>142</v>
      </c>
      <c r="D333" s="78" t="s">
        <v>142</v>
      </c>
      <c r="E333" s="78" t="s">
        <v>262</v>
      </c>
      <c r="F333" s="78" t="s">
        <v>523</v>
      </c>
      <c r="G333" s="78" t="s">
        <v>350</v>
      </c>
      <c r="H333" s="77">
        <v>6</v>
      </c>
      <c r="I333" s="55"/>
      <c r="J333" s="74">
        <v>44547</v>
      </c>
      <c r="K333" s="74"/>
      <c r="L333" s="74" t="s">
        <v>6784</v>
      </c>
      <c r="M333" s="78"/>
      <c r="N333" s="78" t="s">
        <v>344</v>
      </c>
      <c r="O333" s="73" t="s">
        <v>360</v>
      </c>
    </row>
    <row r="334" spans="1:15" s="73" customFormat="1" ht="13" x14ac:dyDescent="0.15">
      <c r="A334" s="78">
        <v>2655552</v>
      </c>
      <c r="B334" s="78" t="s">
        <v>373</v>
      </c>
      <c r="C334" s="78" t="s">
        <v>150</v>
      </c>
      <c r="D334" s="78" t="s">
        <v>150</v>
      </c>
      <c r="E334" s="78" t="s">
        <v>268</v>
      </c>
      <c r="F334" s="78" t="s">
        <v>639</v>
      </c>
      <c r="G334" s="78" t="s">
        <v>350</v>
      </c>
      <c r="H334" s="77">
        <v>2</v>
      </c>
      <c r="I334" s="55"/>
      <c r="J334" s="74">
        <v>44522</v>
      </c>
      <c r="K334" s="74">
        <v>44546</v>
      </c>
      <c r="L334" s="74" t="s">
        <v>6784</v>
      </c>
      <c r="M334" s="78" t="s">
        <v>6778</v>
      </c>
      <c r="N334" s="78" t="s">
        <v>6707</v>
      </c>
      <c r="O334" s="73" t="s">
        <v>360</v>
      </c>
    </row>
    <row r="335" spans="1:15" s="73" customFormat="1" ht="13" x14ac:dyDescent="0.15">
      <c r="A335" s="78">
        <v>2656172</v>
      </c>
      <c r="B335" s="78" t="s">
        <v>373</v>
      </c>
      <c r="C335" s="78" t="s">
        <v>142</v>
      </c>
      <c r="D335" s="78" t="s">
        <v>142</v>
      </c>
      <c r="E335" s="78" t="s">
        <v>141</v>
      </c>
      <c r="F335" s="78" t="s">
        <v>660</v>
      </c>
      <c r="G335" s="78" t="s">
        <v>350</v>
      </c>
      <c r="H335" s="77">
        <v>3</v>
      </c>
      <c r="I335" s="55"/>
      <c r="J335" s="74">
        <v>44566</v>
      </c>
      <c r="K335" s="74"/>
      <c r="L335" s="74" t="s">
        <v>6784</v>
      </c>
      <c r="M335" s="78"/>
      <c r="N335" s="78" t="s">
        <v>344</v>
      </c>
      <c r="O335" s="73" t="s">
        <v>360</v>
      </c>
    </row>
    <row r="336" spans="1:15" s="73" customFormat="1" ht="13" x14ac:dyDescent="0.15">
      <c r="A336" s="78">
        <v>2656194</v>
      </c>
      <c r="B336" s="78" t="s">
        <v>373</v>
      </c>
      <c r="C336" s="78" t="s">
        <v>142</v>
      </c>
      <c r="D336" s="78" t="s">
        <v>142</v>
      </c>
      <c r="E336" s="78" t="s">
        <v>292</v>
      </c>
      <c r="F336" s="78" t="s">
        <v>1052</v>
      </c>
      <c r="G336" s="78" t="s">
        <v>350</v>
      </c>
      <c r="H336" s="77">
        <v>5</v>
      </c>
      <c r="I336" s="55"/>
      <c r="J336" s="74">
        <v>44603</v>
      </c>
      <c r="K336" s="74"/>
      <c r="L336" s="74" t="s">
        <v>6784</v>
      </c>
      <c r="M336" s="78"/>
      <c r="N336" s="78" t="s">
        <v>344</v>
      </c>
      <c r="O336" s="73" t="s">
        <v>360</v>
      </c>
    </row>
    <row r="337" spans="1:15" s="73" customFormat="1" ht="13" x14ac:dyDescent="0.15">
      <c r="A337" s="78">
        <v>2656590</v>
      </c>
      <c r="B337" s="78" t="s">
        <v>373</v>
      </c>
      <c r="C337" s="78" t="s">
        <v>378</v>
      </c>
      <c r="D337" s="78" t="s">
        <v>170</v>
      </c>
      <c r="E337" s="78" t="s">
        <v>184</v>
      </c>
      <c r="F337" s="78" t="s">
        <v>676</v>
      </c>
      <c r="G337" s="78" t="s">
        <v>350</v>
      </c>
      <c r="H337" s="77">
        <v>3</v>
      </c>
      <c r="I337" s="55"/>
      <c r="J337" s="74">
        <v>44490</v>
      </c>
      <c r="K337" s="74"/>
      <c r="L337" s="74" t="s">
        <v>6784</v>
      </c>
      <c r="M337" s="78"/>
      <c r="N337" s="78" t="s">
        <v>344</v>
      </c>
      <c r="O337" s="73" t="s">
        <v>360</v>
      </c>
    </row>
    <row r="338" spans="1:15" s="73" customFormat="1" ht="13" x14ac:dyDescent="0.15">
      <c r="A338" s="78">
        <v>2656689</v>
      </c>
      <c r="B338" s="78" t="s">
        <v>373</v>
      </c>
      <c r="C338" s="78" t="s">
        <v>142</v>
      </c>
      <c r="D338" s="78" t="s">
        <v>142</v>
      </c>
      <c r="E338" s="78" t="s">
        <v>262</v>
      </c>
      <c r="F338" s="78" t="s">
        <v>692</v>
      </c>
      <c r="G338" s="78" t="s">
        <v>350</v>
      </c>
      <c r="H338" s="77">
        <v>3</v>
      </c>
      <c r="I338" s="55"/>
      <c r="J338" s="74">
        <v>44522</v>
      </c>
      <c r="K338" s="74"/>
      <c r="L338" s="74" t="s">
        <v>6784</v>
      </c>
      <c r="M338" s="78"/>
      <c r="N338" s="78" t="s">
        <v>344</v>
      </c>
      <c r="O338" s="73" t="s">
        <v>360</v>
      </c>
    </row>
    <row r="339" spans="1:15" s="73" customFormat="1" ht="13" x14ac:dyDescent="0.15">
      <c r="A339" s="78">
        <v>2656731</v>
      </c>
      <c r="B339" s="78" t="s">
        <v>373</v>
      </c>
      <c r="C339" s="78" t="s">
        <v>136</v>
      </c>
      <c r="D339" s="78" t="s">
        <v>136</v>
      </c>
      <c r="E339" s="78" t="s">
        <v>154</v>
      </c>
      <c r="F339" s="78" t="s">
        <v>2290</v>
      </c>
      <c r="G339" s="78" t="s">
        <v>380</v>
      </c>
      <c r="H339" s="77">
        <v>3</v>
      </c>
      <c r="I339" s="55"/>
      <c r="J339" s="74">
        <v>44515</v>
      </c>
      <c r="K339" s="74"/>
      <c r="L339" s="74" t="s">
        <v>6784</v>
      </c>
      <c r="M339" s="78"/>
      <c r="N339" s="78" t="s">
        <v>344</v>
      </c>
      <c r="O339" s="73" t="s">
        <v>360</v>
      </c>
    </row>
    <row r="340" spans="1:15" s="73" customFormat="1" ht="13" x14ac:dyDescent="0.15">
      <c r="A340" s="78">
        <v>2656736</v>
      </c>
      <c r="B340" s="78" t="s">
        <v>373</v>
      </c>
      <c r="C340" s="78" t="s">
        <v>172</v>
      </c>
      <c r="D340" s="78" t="s">
        <v>172</v>
      </c>
      <c r="E340" s="78" t="s">
        <v>228</v>
      </c>
      <c r="F340" s="78" t="s">
        <v>423</v>
      </c>
      <c r="G340" s="78" t="s">
        <v>350</v>
      </c>
      <c r="H340" s="77">
        <v>1</v>
      </c>
      <c r="I340" s="55"/>
      <c r="J340" s="74">
        <v>44546</v>
      </c>
      <c r="K340" s="74"/>
      <c r="L340" s="74" t="s">
        <v>6784</v>
      </c>
      <c r="M340" s="78"/>
      <c r="N340" s="78" t="s">
        <v>344</v>
      </c>
      <c r="O340" s="73" t="s">
        <v>360</v>
      </c>
    </row>
    <row r="341" spans="1:15" s="73" customFormat="1" ht="13" x14ac:dyDescent="0.15">
      <c r="A341" s="78">
        <v>2656902</v>
      </c>
      <c r="B341" s="78" t="s">
        <v>373</v>
      </c>
      <c r="C341" s="78" t="s">
        <v>172</v>
      </c>
      <c r="D341" s="78" t="s">
        <v>172</v>
      </c>
      <c r="E341" s="78" t="s">
        <v>212</v>
      </c>
      <c r="F341" s="78" t="s">
        <v>798</v>
      </c>
      <c r="G341" s="78" t="s">
        <v>350</v>
      </c>
      <c r="H341" s="77">
        <v>3</v>
      </c>
      <c r="I341" s="55"/>
      <c r="J341" s="74">
        <v>44466</v>
      </c>
      <c r="K341" s="74"/>
      <c r="L341" s="74" t="s">
        <v>6784</v>
      </c>
      <c r="M341" s="78"/>
      <c r="N341" s="78" t="s">
        <v>344</v>
      </c>
      <c r="O341" s="73" t="s">
        <v>360</v>
      </c>
    </row>
    <row r="342" spans="1:15" s="73" customFormat="1" ht="13" x14ac:dyDescent="0.15">
      <c r="A342" s="78">
        <v>2657298</v>
      </c>
      <c r="B342" s="78" t="s">
        <v>373</v>
      </c>
      <c r="C342" s="78" t="s">
        <v>144</v>
      </c>
      <c r="D342" s="78" t="s">
        <v>144</v>
      </c>
      <c r="E342" s="78" t="s">
        <v>217</v>
      </c>
      <c r="F342" s="78" t="s">
        <v>384</v>
      </c>
      <c r="G342" s="78" t="s">
        <v>350</v>
      </c>
      <c r="H342" s="77">
        <v>3</v>
      </c>
      <c r="I342" s="55"/>
      <c r="J342" s="74">
        <v>44515</v>
      </c>
      <c r="K342" s="74"/>
      <c r="L342" s="74" t="s">
        <v>6784</v>
      </c>
      <c r="M342" s="78"/>
      <c r="N342" s="78" t="s">
        <v>344</v>
      </c>
      <c r="O342" s="73" t="s">
        <v>360</v>
      </c>
    </row>
    <row r="343" spans="1:15" s="73" customFormat="1" ht="13" x14ac:dyDescent="0.15">
      <c r="A343" s="78">
        <v>2657553</v>
      </c>
      <c r="B343" s="78" t="s">
        <v>373</v>
      </c>
      <c r="C343" s="78" t="s">
        <v>129</v>
      </c>
      <c r="D343" s="78" t="s">
        <v>129</v>
      </c>
      <c r="E343" s="78" t="s">
        <v>139</v>
      </c>
      <c r="F343" s="78" t="s">
        <v>1639</v>
      </c>
      <c r="G343" s="78" t="s">
        <v>350</v>
      </c>
      <c r="H343" s="77">
        <v>3</v>
      </c>
      <c r="I343" s="55"/>
      <c r="J343" s="74">
        <v>44600</v>
      </c>
      <c r="K343" s="74"/>
      <c r="L343" s="74" t="s">
        <v>6784</v>
      </c>
      <c r="M343" s="78"/>
      <c r="N343" s="78" t="s">
        <v>344</v>
      </c>
      <c r="O343" s="73" t="s">
        <v>360</v>
      </c>
    </row>
    <row r="344" spans="1:15" s="73" customFormat="1" ht="13" x14ac:dyDescent="0.15">
      <c r="A344" s="78">
        <v>2657770</v>
      </c>
      <c r="B344" s="78" t="s">
        <v>451</v>
      </c>
      <c r="C344" s="78" t="s">
        <v>172</v>
      </c>
      <c r="D344" s="78" t="s">
        <v>172</v>
      </c>
      <c r="E344" s="78" t="s">
        <v>284</v>
      </c>
      <c r="F344" s="78" t="s">
        <v>986</v>
      </c>
      <c r="G344" s="78" t="s">
        <v>350</v>
      </c>
      <c r="H344" s="77">
        <v>5</v>
      </c>
      <c r="I344" s="55"/>
      <c r="J344" s="74">
        <v>44545</v>
      </c>
      <c r="K344" s="74"/>
      <c r="L344" s="74" t="s">
        <v>6784</v>
      </c>
      <c r="M344" s="78"/>
      <c r="N344" s="78" t="s">
        <v>344</v>
      </c>
      <c r="O344" s="73" t="s">
        <v>2293</v>
      </c>
    </row>
    <row r="345" spans="1:15" s="73" customFormat="1" ht="13" x14ac:dyDescent="0.15">
      <c r="A345" s="78">
        <v>2658895</v>
      </c>
      <c r="B345" s="78" t="s">
        <v>373</v>
      </c>
      <c r="C345" s="78" t="s">
        <v>144</v>
      </c>
      <c r="D345" s="78" t="s">
        <v>144</v>
      </c>
      <c r="E345" s="78" t="s">
        <v>215</v>
      </c>
      <c r="F345" s="78" t="s">
        <v>655</v>
      </c>
      <c r="G345" s="78" t="s">
        <v>350</v>
      </c>
      <c r="H345" s="77">
        <v>2</v>
      </c>
      <c r="I345" s="55"/>
      <c r="J345" s="74">
        <v>44564</v>
      </c>
      <c r="K345" s="74"/>
      <c r="L345" s="74" t="s">
        <v>6784</v>
      </c>
      <c r="M345" s="78"/>
      <c r="N345" s="78" t="s">
        <v>344</v>
      </c>
      <c r="O345" s="73" t="s">
        <v>360</v>
      </c>
    </row>
    <row r="346" spans="1:15" s="73" customFormat="1" ht="13" x14ac:dyDescent="0.15">
      <c r="A346" s="78">
        <v>2659548</v>
      </c>
      <c r="B346" s="78" t="s">
        <v>373</v>
      </c>
      <c r="C346" s="78" t="s">
        <v>144</v>
      </c>
      <c r="D346" s="78" t="s">
        <v>144</v>
      </c>
      <c r="E346" s="78" t="s">
        <v>168</v>
      </c>
      <c r="F346" s="78" t="s">
        <v>901</v>
      </c>
      <c r="G346" s="78" t="s">
        <v>350</v>
      </c>
      <c r="H346" s="77">
        <v>6</v>
      </c>
      <c r="I346" s="55"/>
      <c r="J346" s="74">
        <v>44512</v>
      </c>
      <c r="K346" s="74"/>
      <c r="L346" s="74" t="s">
        <v>6784</v>
      </c>
      <c r="M346" s="78"/>
      <c r="N346" s="78" t="s">
        <v>344</v>
      </c>
      <c r="O346" s="73" t="s">
        <v>360</v>
      </c>
    </row>
    <row r="347" spans="1:15" s="73" customFormat="1" ht="13" x14ac:dyDescent="0.15">
      <c r="A347" s="78">
        <v>2660019</v>
      </c>
      <c r="B347" s="78" t="s">
        <v>451</v>
      </c>
      <c r="C347" s="78" t="s">
        <v>150</v>
      </c>
      <c r="D347" s="78" t="s">
        <v>150</v>
      </c>
      <c r="E347" s="78" t="s">
        <v>268</v>
      </c>
      <c r="F347" s="78" t="s">
        <v>1771</v>
      </c>
      <c r="G347" s="78" t="s">
        <v>350</v>
      </c>
      <c r="H347" s="77">
        <v>5</v>
      </c>
      <c r="I347" s="55"/>
      <c r="J347" s="74">
        <v>44637</v>
      </c>
      <c r="K347" s="74"/>
      <c r="L347" s="74" t="s">
        <v>6784</v>
      </c>
      <c r="M347" s="78"/>
      <c r="N347" s="78" t="s">
        <v>344</v>
      </c>
      <c r="O347" s="73" t="s">
        <v>2298</v>
      </c>
    </row>
    <row r="348" spans="1:15" s="73" customFormat="1" ht="13" x14ac:dyDescent="0.15">
      <c r="A348" s="78">
        <v>2660064</v>
      </c>
      <c r="B348" s="78" t="s">
        <v>373</v>
      </c>
      <c r="C348" s="78" t="s">
        <v>138</v>
      </c>
      <c r="D348" s="78" t="s">
        <v>138</v>
      </c>
      <c r="E348" s="78" t="s">
        <v>224</v>
      </c>
      <c r="F348" s="78" t="s">
        <v>374</v>
      </c>
      <c r="G348" s="78" t="s">
        <v>350</v>
      </c>
      <c r="H348" s="77">
        <v>4</v>
      </c>
      <c r="I348" s="55"/>
      <c r="J348" s="74">
        <v>44554</v>
      </c>
      <c r="K348" s="74"/>
      <c r="L348" s="74" t="s">
        <v>6784</v>
      </c>
      <c r="M348" s="78"/>
      <c r="N348" s="78" t="s">
        <v>344</v>
      </c>
      <c r="O348" s="73" t="s">
        <v>360</v>
      </c>
    </row>
    <row r="349" spans="1:15" s="73" customFormat="1" ht="13" x14ac:dyDescent="0.15">
      <c r="A349" s="78">
        <v>2660251</v>
      </c>
      <c r="B349" s="78" t="s">
        <v>373</v>
      </c>
      <c r="C349" s="78" t="s">
        <v>129</v>
      </c>
      <c r="D349" s="78" t="s">
        <v>129</v>
      </c>
      <c r="E349" s="78" t="s">
        <v>269</v>
      </c>
      <c r="F349" s="78" t="s">
        <v>2304</v>
      </c>
      <c r="G349" s="78" t="s">
        <v>350</v>
      </c>
      <c r="H349" s="77">
        <v>8</v>
      </c>
      <c r="I349" s="55"/>
      <c r="J349" s="74">
        <v>44594</v>
      </c>
      <c r="K349" s="74"/>
      <c r="L349" s="74" t="s">
        <v>6784</v>
      </c>
      <c r="M349" s="78"/>
      <c r="N349" s="78" t="s">
        <v>344</v>
      </c>
      <c r="O349" s="73" t="s">
        <v>360</v>
      </c>
    </row>
    <row r="350" spans="1:15" s="73" customFormat="1" ht="13" x14ac:dyDescent="0.15">
      <c r="A350" s="78">
        <v>2660433</v>
      </c>
      <c r="B350" s="78" t="s">
        <v>373</v>
      </c>
      <c r="C350" s="78" t="s">
        <v>150</v>
      </c>
      <c r="D350" s="78" t="s">
        <v>150</v>
      </c>
      <c r="E350" s="78" t="s">
        <v>218</v>
      </c>
      <c r="F350" s="78" t="s">
        <v>1644</v>
      </c>
      <c r="G350" s="78" t="s">
        <v>350</v>
      </c>
      <c r="H350" s="77">
        <v>5</v>
      </c>
      <c r="I350" s="55"/>
      <c r="J350" s="74">
        <v>44545</v>
      </c>
      <c r="K350" s="74"/>
      <c r="L350" s="74" t="s">
        <v>6784</v>
      </c>
      <c r="M350" s="78"/>
      <c r="N350" s="78" t="s">
        <v>344</v>
      </c>
      <c r="O350" s="73" t="s">
        <v>360</v>
      </c>
    </row>
    <row r="351" spans="1:15" s="73" customFormat="1" ht="13" x14ac:dyDescent="0.15">
      <c r="A351" s="78">
        <v>2660470</v>
      </c>
      <c r="B351" s="78" t="s">
        <v>373</v>
      </c>
      <c r="C351" s="78" t="s">
        <v>172</v>
      </c>
      <c r="D351" s="78" t="s">
        <v>172</v>
      </c>
      <c r="E351" s="78" t="s">
        <v>173</v>
      </c>
      <c r="F351" s="78" t="s">
        <v>2307</v>
      </c>
      <c r="G351" s="78" t="s">
        <v>350</v>
      </c>
      <c r="H351" s="77">
        <v>1</v>
      </c>
      <c r="I351" s="55"/>
      <c r="J351" s="74">
        <v>44533</v>
      </c>
      <c r="K351" s="74"/>
      <c r="L351" s="74" t="s">
        <v>6784</v>
      </c>
      <c r="M351" s="78"/>
      <c r="N351" s="78" t="s">
        <v>344</v>
      </c>
      <c r="O351" s="73" t="s">
        <v>360</v>
      </c>
    </row>
    <row r="352" spans="1:15" s="73" customFormat="1" ht="13" x14ac:dyDescent="0.15">
      <c r="A352" s="78">
        <v>2660603</v>
      </c>
      <c r="B352" s="78" t="s">
        <v>373</v>
      </c>
      <c r="C352" s="78" t="s">
        <v>172</v>
      </c>
      <c r="D352" s="78" t="s">
        <v>172</v>
      </c>
      <c r="E352" s="78" t="s">
        <v>173</v>
      </c>
      <c r="F352" s="78" t="s">
        <v>860</v>
      </c>
      <c r="G352" s="78" t="s">
        <v>350</v>
      </c>
      <c r="H352" s="77">
        <v>3</v>
      </c>
      <c r="I352" s="55"/>
      <c r="J352" s="74">
        <v>44504</v>
      </c>
      <c r="K352" s="74"/>
      <c r="L352" s="74" t="s">
        <v>6784</v>
      </c>
      <c r="M352" s="78"/>
      <c r="N352" s="78" t="s">
        <v>344</v>
      </c>
      <c r="O352" s="73" t="s">
        <v>360</v>
      </c>
    </row>
    <row r="353" spans="1:15" s="73" customFormat="1" ht="13" x14ac:dyDescent="0.15">
      <c r="A353" s="78">
        <v>2660783</v>
      </c>
      <c r="B353" s="78" t="s">
        <v>373</v>
      </c>
      <c r="C353" s="78" t="s">
        <v>172</v>
      </c>
      <c r="D353" s="78" t="s">
        <v>172</v>
      </c>
      <c r="E353" s="78" t="s">
        <v>171</v>
      </c>
      <c r="F353" s="78" t="s">
        <v>895</v>
      </c>
      <c r="G353" s="78" t="s">
        <v>350</v>
      </c>
      <c r="H353" s="77">
        <v>3</v>
      </c>
      <c r="I353" s="55"/>
      <c r="J353" s="74">
        <v>44579</v>
      </c>
      <c r="K353" s="74"/>
      <c r="L353" s="74" t="s">
        <v>6784</v>
      </c>
      <c r="M353" s="78"/>
      <c r="N353" s="78" t="s">
        <v>344</v>
      </c>
      <c r="O353" s="73" t="s">
        <v>360</v>
      </c>
    </row>
    <row r="354" spans="1:15" s="73" customFormat="1" ht="13" x14ac:dyDescent="0.15">
      <c r="A354" s="78">
        <v>2661346</v>
      </c>
      <c r="B354" s="78" t="s">
        <v>373</v>
      </c>
      <c r="C354" s="78" t="s">
        <v>129</v>
      </c>
      <c r="D354" s="78" t="s">
        <v>129</v>
      </c>
      <c r="E354" s="78" t="s">
        <v>275</v>
      </c>
      <c r="F354" s="78" t="s">
        <v>2310</v>
      </c>
      <c r="G354" s="78" t="s">
        <v>350</v>
      </c>
      <c r="H354" s="77">
        <v>4</v>
      </c>
      <c r="I354" s="55"/>
      <c r="J354" s="74">
        <v>44606</v>
      </c>
      <c r="K354" s="74"/>
      <c r="L354" s="74" t="s">
        <v>6784</v>
      </c>
      <c r="M354" s="78"/>
      <c r="N354" s="78" t="s">
        <v>344</v>
      </c>
      <c r="O354" s="73" t="s">
        <v>360</v>
      </c>
    </row>
    <row r="355" spans="1:15" s="73" customFormat="1" ht="13" x14ac:dyDescent="0.15">
      <c r="A355" s="78">
        <v>2661371</v>
      </c>
      <c r="B355" s="78" t="s">
        <v>373</v>
      </c>
      <c r="C355" s="78" t="s">
        <v>150</v>
      </c>
      <c r="D355" s="78" t="s">
        <v>150</v>
      </c>
      <c r="E355" s="78" t="s">
        <v>153</v>
      </c>
      <c r="F355" s="78" t="s">
        <v>1331</v>
      </c>
      <c r="G355" s="78" t="s">
        <v>350</v>
      </c>
      <c r="H355" s="77">
        <v>4</v>
      </c>
      <c r="I355" s="55"/>
      <c r="J355" s="74">
        <v>44585</v>
      </c>
      <c r="K355" s="74"/>
      <c r="L355" s="74" t="s">
        <v>6784</v>
      </c>
      <c r="M355" s="78"/>
      <c r="N355" s="78" t="s">
        <v>344</v>
      </c>
      <c r="O355" s="73" t="s">
        <v>360</v>
      </c>
    </row>
    <row r="356" spans="1:15" s="73" customFormat="1" ht="13" x14ac:dyDescent="0.15">
      <c r="A356" s="78">
        <v>2661512</v>
      </c>
      <c r="B356" s="78" t="s">
        <v>373</v>
      </c>
      <c r="C356" s="78" t="s">
        <v>144</v>
      </c>
      <c r="D356" s="78" t="s">
        <v>144</v>
      </c>
      <c r="E356" s="78" t="s">
        <v>261</v>
      </c>
      <c r="F356" s="78" t="s">
        <v>792</v>
      </c>
      <c r="G356" s="78" t="s">
        <v>350</v>
      </c>
      <c r="H356" s="77">
        <v>1</v>
      </c>
      <c r="I356" s="55"/>
      <c r="J356" s="74">
        <v>44545</v>
      </c>
      <c r="K356" s="74"/>
      <c r="L356" s="74" t="s">
        <v>6784</v>
      </c>
      <c r="M356" s="78"/>
      <c r="N356" s="78" t="s">
        <v>344</v>
      </c>
      <c r="O356" s="73" t="s">
        <v>360</v>
      </c>
    </row>
    <row r="357" spans="1:15" s="73" customFormat="1" ht="13" x14ac:dyDescent="0.15">
      <c r="A357" s="78">
        <v>2661513</v>
      </c>
      <c r="B357" s="78" t="s">
        <v>373</v>
      </c>
      <c r="C357" s="78" t="s">
        <v>172</v>
      </c>
      <c r="D357" s="78" t="s">
        <v>172</v>
      </c>
      <c r="E357" s="78" t="s">
        <v>212</v>
      </c>
      <c r="F357" s="78" t="s">
        <v>714</v>
      </c>
      <c r="G357" s="78" t="s">
        <v>350</v>
      </c>
      <c r="H357" s="77">
        <v>1</v>
      </c>
      <c r="I357" s="55"/>
      <c r="J357" s="74">
        <v>44614</v>
      </c>
      <c r="K357" s="74"/>
      <c r="L357" s="74" t="s">
        <v>6784</v>
      </c>
      <c r="M357" s="78"/>
      <c r="N357" s="78" t="s">
        <v>344</v>
      </c>
      <c r="O357" s="73" t="s">
        <v>360</v>
      </c>
    </row>
    <row r="358" spans="1:15" s="73" customFormat="1" ht="13" x14ac:dyDescent="0.15">
      <c r="A358" s="78">
        <v>2661568</v>
      </c>
      <c r="B358" s="78" t="s">
        <v>373</v>
      </c>
      <c r="C358" s="78" t="s">
        <v>138</v>
      </c>
      <c r="D358" s="78" t="s">
        <v>138</v>
      </c>
      <c r="E358" s="78" t="s">
        <v>196</v>
      </c>
      <c r="F358" s="78" t="s">
        <v>1368</v>
      </c>
      <c r="G358" s="78" t="s">
        <v>350</v>
      </c>
      <c r="H358" s="77">
        <v>5</v>
      </c>
      <c r="I358" s="55"/>
      <c r="J358" s="74">
        <v>44525</v>
      </c>
      <c r="K358" s="74"/>
      <c r="L358" s="74" t="s">
        <v>6784</v>
      </c>
      <c r="M358" s="78"/>
      <c r="N358" s="78" t="s">
        <v>344</v>
      </c>
      <c r="O358" s="73" t="s">
        <v>360</v>
      </c>
    </row>
    <row r="359" spans="1:15" s="73" customFormat="1" ht="13" x14ac:dyDescent="0.15">
      <c r="A359" s="78">
        <v>2661812</v>
      </c>
      <c r="B359" s="78" t="s">
        <v>373</v>
      </c>
      <c r="C359" s="78" t="s">
        <v>138</v>
      </c>
      <c r="D359" s="78" t="s">
        <v>138</v>
      </c>
      <c r="E359" s="78" t="s">
        <v>183</v>
      </c>
      <c r="F359" s="78" t="s">
        <v>576</v>
      </c>
      <c r="G359" s="78" t="s">
        <v>350</v>
      </c>
      <c r="H359" s="77">
        <v>5</v>
      </c>
      <c r="I359" s="55"/>
      <c r="J359" s="74">
        <v>44502</v>
      </c>
      <c r="K359" s="74"/>
      <c r="L359" s="74" t="s">
        <v>6784</v>
      </c>
      <c r="M359" s="78"/>
      <c r="N359" s="78" t="s">
        <v>344</v>
      </c>
      <c r="O359" s="73" t="s">
        <v>360</v>
      </c>
    </row>
    <row r="360" spans="1:15" s="73" customFormat="1" ht="13" x14ac:dyDescent="0.15">
      <c r="A360" s="78">
        <v>2661954</v>
      </c>
      <c r="B360" s="78" t="s">
        <v>389</v>
      </c>
      <c r="C360" s="78" t="s">
        <v>172</v>
      </c>
      <c r="D360" s="78" t="s">
        <v>172</v>
      </c>
      <c r="E360" s="78" t="s">
        <v>235</v>
      </c>
      <c r="F360" s="78" t="s">
        <v>855</v>
      </c>
      <c r="G360" s="78" t="s">
        <v>350</v>
      </c>
      <c r="H360" s="77"/>
      <c r="I360" s="55"/>
      <c r="J360" s="74">
        <v>44614</v>
      </c>
      <c r="K360" s="74"/>
      <c r="L360" s="74" t="s">
        <v>6784</v>
      </c>
      <c r="M360" s="78"/>
      <c r="N360" s="78" t="s">
        <v>344</v>
      </c>
      <c r="O360" s="73" t="s">
        <v>2312</v>
      </c>
    </row>
    <row r="361" spans="1:15" s="73" customFormat="1" ht="13" x14ac:dyDescent="0.15">
      <c r="A361" s="78">
        <v>2661987</v>
      </c>
      <c r="B361" s="78" t="s">
        <v>373</v>
      </c>
      <c r="C361" s="78" t="s">
        <v>138</v>
      </c>
      <c r="D361" s="78" t="s">
        <v>138</v>
      </c>
      <c r="E361" s="78" t="s">
        <v>183</v>
      </c>
      <c r="F361" s="78" t="s">
        <v>2051</v>
      </c>
      <c r="G361" s="78" t="s">
        <v>350</v>
      </c>
      <c r="H361" s="77">
        <v>12</v>
      </c>
      <c r="I361" s="55"/>
      <c r="J361" s="74">
        <v>44603</v>
      </c>
      <c r="K361" s="74"/>
      <c r="L361" s="74" t="s">
        <v>6784</v>
      </c>
      <c r="M361" s="78"/>
      <c r="N361" s="78" t="s">
        <v>344</v>
      </c>
      <c r="O361" s="73" t="s">
        <v>360</v>
      </c>
    </row>
    <row r="362" spans="1:15" s="73" customFormat="1" ht="13" x14ac:dyDescent="0.15">
      <c r="A362" s="78">
        <v>2662095</v>
      </c>
      <c r="B362" s="78" t="s">
        <v>373</v>
      </c>
      <c r="C362" s="78" t="s">
        <v>150</v>
      </c>
      <c r="D362" s="78" t="s">
        <v>150</v>
      </c>
      <c r="E362" s="78" t="s">
        <v>190</v>
      </c>
      <c r="F362" s="78" t="s">
        <v>1703</v>
      </c>
      <c r="G362" s="78" t="s">
        <v>350</v>
      </c>
      <c r="H362" s="77">
        <v>2</v>
      </c>
      <c r="I362" s="55"/>
      <c r="J362" s="74">
        <v>44516</v>
      </c>
      <c r="K362" s="74"/>
      <c r="L362" s="74" t="s">
        <v>6784</v>
      </c>
      <c r="M362" s="78"/>
      <c r="N362" s="78" t="s">
        <v>344</v>
      </c>
      <c r="O362" s="73" t="s">
        <v>360</v>
      </c>
    </row>
    <row r="363" spans="1:15" s="73" customFormat="1" ht="13" x14ac:dyDescent="0.15">
      <c r="A363" s="55">
        <v>2662265</v>
      </c>
      <c r="B363" s="55" t="s">
        <v>373</v>
      </c>
      <c r="C363" s="55" t="s">
        <v>378</v>
      </c>
      <c r="D363" s="55" t="s">
        <v>134</v>
      </c>
      <c r="E363" s="55" t="s">
        <v>246</v>
      </c>
      <c r="F363" s="55" t="s">
        <v>685</v>
      </c>
      <c r="G363" s="55" t="s">
        <v>380</v>
      </c>
      <c r="H363" s="77">
        <v>2</v>
      </c>
      <c r="I363" s="55"/>
      <c r="J363" s="74">
        <v>44525</v>
      </c>
      <c r="K363" s="74"/>
      <c r="L363" s="74" t="s">
        <v>6784</v>
      </c>
      <c r="M363" s="55"/>
      <c r="N363" s="55" t="s">
        <v>344</v>
      </c>
      <c r="O363" s="73" t="s">
        <v>360</v>
      </c>
    </row>
    <row r="364" spans="1:15" s="73" customFormat="1" ht="13" x14ac:dyDescent="0.15">
      <c r="A364" s="55">
        <v>2662427</v>
      </c>
      <c r="B364" s="55" t="s">
        <v>373</v>
      </c>
      <c r="C364" s="55" t="s">
        <v>172</v>
      </c>
      <c r="D364" s="55" t="s">
        <v>172</v>
      </c>
      <c r="E364" s="55" t="s">
        <v>212</v>
      </c>
      <c r="F364" s="55" t="s">
        <v>883</v>
      </c>
      <c r="G364" s="55" t="s">
        <v>350</v>
      </c>
      <c r="H364" s="77">
        <v>3</v>
      </c>
      <c r="I364" s="55"/>
      <c r="J364" s="74">
        <v>44579</v>
      </c>
      <c r="K364" s="74"/>
      <c r="L364" s="74" t="s">
        <v>6784</v>
      </c>
      <c r="M364" s="55"/>
      <c r="N364" s="55" t="s">
        <v>344</v>
      </c>
      <c r="O364" s="73" t="s">
        <v>360</v>
      </c>
    </row>
    <row r="365" spans="1:15" s="73" customFormat="1" ht="13" x14ac:dyDescent="0.15">
      <c r="A365" s="55">
        <v>2662453</v>
      </c>
      <c r="B365" s="55" t="s">
        <v>373</v>
      </c>
      <c r="C365" s="55" t="s">
        <v>129</v>
      </c>
      <c r="D365" s="55" t="s">
        <v>129</v>
      </c>
      <c r="E365" s="55" t="s">
        <v>128</v>
      </c>
      <c r="F365" s="55" t="s">
        <v>1467</v>
      </c>
      <c r="G365" s="55" t="s">
        <v>350</v>
      </c>
      <c r="H365" s="77">
        <v>5</v>
      </c>
      <c r="I365" s="55"/>
      <c r="J365" s="74">
        <v>44580</v>
      </c>
      <c r="K365" s="74"/>
      <c r="L365" s="74" t="s">
        <v>6784</v>
      </c>
      <c r="M365" s="55"/>
      <c r="N365" s="55" t="s">
        <v>344</v>
      </c>
      <c r="O365" s="73" t="s">
        <v>360</v>
      </c>
    </row>
    <row r="366" spans="1:15" s="73" customFormat="1" ht="13" x14ac:dyDescent="0.15">
      <c r="A366" s="55">
        <v>2662751</v>
      </c>
      <c r="B366" s="55" t="s">
        <v>373</v>
      </c>
      <c r="C366" s="55" t="s">
        <v>144</v>
      </c>
      <c r="D366" s="55" t="s">
        <v>144</v>
      </c>
      <c r="E366" s="55" t="s">
        <v>209</v>
      </c>
      <c r="F366" s="55" t="s">
        <v>555</v>
      </c>
      <c r="G366" s="55" t="s">
        <v>350</v>
      </c>
      <c r="H366" s="77">
        <v>1</v>
      </c>
      <c r="I366" s="55"/>
      <c r="J366" s="74">
        <v>44592</v>
      </c>
      <c r="K366" s="74"/>
      <c r="L366" s="74" t="s">
        <v>6784</v>
      </c>
      <c r="M366" s="55"/>
      <c r="N366" s="55" t="s">
        <v>344</v>
      </c>
      <c r="O366" s="73" t="s">
        <v>360</v>
      </c>
    </row>
    <row r="367" spans="1:15" s="73" customFormat="1" ht="13" x14ac:dyDescent="0.15">
      <c r="A367" s="55">
        <v>2662813</v>
      </c>
      <c r="B367" s="55" t="s">
        <v>373</v>
      </c>
      <c r="C367" s="55" t="s">
        <v>144</v>
      </c>
      <c r="D367" s="55" t="s">
        <v>144</v>
      </c>
      <c r="E367" s="55" t="s">
        <v>261</v>
      </c>
      <c r="F367" s="55" t="s">
        <v>792</v>
      </c>
      <c r="G367" s="55" t="s">
        <v>350</v>
      </c>
      <c r="H367" s="77">
        <v>1</v>
      </c>
      <c r="I367" s="55"/>
      <c r="J367" s="74">
        <v>44568</v>
      </c>
      <c r="K367" s="74"/>
      <c r="L367" s="74" t="s">
        <v>6784</v>
      </c>
      <c r="M367" s="55"/>
      <c r="N367" s="55" t="s">
        <v>344</v>
      </c>
      <c r="O367" s="73" t="s">
        <v>360</v>
      </c>
    </row>
    <row r="368" spans="1:15" s="73" customFormat="1" ht="13" x14ac:dyDescent="0.15">
      <c r="A368" s="55">
        <v>2662847</v>
      </c>
      <c r="B368" s="55" t="s">
        <v>373</v>
      </c>
      <c r="C368" s="55" t="s">
        <v>144</v>
      </c>
      <c r="D368" s="55" t="s">
        <v>144</v>
      </c>
      <c r="E368" s="55" t="s">
        <v>261</v>
      </c>
      <c r="F368" s="55" t="s">
        <v>512</v>
      </c>
      <c r="G368" s="55" t="s">
        <v>350</v>
      </c>
      <c r="H368" s="77">
        <v>1</v>
      </c>
      <c r="I368" s="55"/>
      <c r="J368" s="74">
        <v>44554</v>
      </c>
      <c r="K368" s="74"/>
      <c r="L368" s="74" t="s">
        <v>6784</v>
      </c>
      <c r="M368" s="55"/>
      <c r="N368" s="55" t="s">
        <v>344</v>
      </c>
      <c r="O368" s="73" t="s">
        <v>360</v>
      </c>
    </row>
    <row r="369" spans="1:15" s="73" customFormat="1" ht="13" x14ac:dyDescent="0.15">
      <c r="A369" s="55">
        <v>2662998</v>
      </c>
      <c r="B369" s="55" t="s">
        <v>373</v>
      </c>
      <c r="C369" s="55" t="s">
        <v>136</v>
      </c>
      <c r="D369" s="55" t="s">
        <v>136</v>
      </c>
      <c r="E369" s="55" t="s">
        <v>165</v>
      </c>
      <c r="F369" s="55" t="s">
        <v>2318</v>
      </c>
      <c r="G369" s="55" t="s">
        <v>350</v>
      </c>
      <c r="H369" s="77">
        <v>3</v>
      </c>
      <c r="I369" s="55"/>
      <c r="J369" s="74">
        <v>44644</v>
      </c>
      <c r="K369" s="74"/>
      <c r="L369" s="74" t="s">
        <v>6784</v>
      </c>
      <c r="M369" s="55"/>
      <c r="N369" s="55" t="s">
        <v>344</v>
      </c>
      <c r="O369" s="73" t="s">
        <v>360</v>
      </c>
    </row>
    <row r="370" spans="1:15" s="73" customFormat="1" ht="13" x14ac:dyDescent="0.15">
      <c r="A370" s="55">
        <v>2663174</v>
      </c>
      <c r="B370" s="55" t="s">
        <v>373</v>
      </c>
      <c r="C370" s="55" t="s">
        <v>378</v>
      </c>
      <c r="D370" s="55" t="s">
        <v>134</v>
      </c>
      <c r="E370" s="55" t="s">
        <v>294</v>
      </c>
      <c r="F370" s="55" t="s">
        <v>2320</v>
      </c>
      <c r="G370" s="55" t="s">
        <v>350</v>
      </c>
      <c r="H370" s="77">
        <v>3</v>
      </c>
      <c r="I370" s="55"/>
      <c r="J370" s="74">
        <v>44629</v>
      </c>
      <c r="K370" s="74"/>
      <c r="L370" s="74" t="s">
        <v>6784</v>
      </c>
      <c r="M370" s="55"/>
      <c r="N370" s="55" t="s">
        <v>344</v>
      </c>
      <c r="O370" s="73" t="s">
        <v>360</v>
      </c>
    </row>
    <row r="371" spans="1:15" s="73" customFormat="1" ht="13" x14ac:dyDescent="0.15">
      <c r="A371" s="55">
        <v>2663221</v>
      </c>
      <c r="B371" s="55" t="s">
        <v>373</v>
      </c>
      <c r="C371" s="55" t="s">
        <v>144</v>
      </c>
      <c r="D371" s="55" t="s">
        <v>144</v>
      </c>
      <c r="E371" s="55" t="s">
        <v>209</v>
      </c>
      <c r="F371" s="55" t="s">
        <v>555</v>
      </c>
      <c r="G371" s="55" t="s">
        <v>350</v>
      </c>
      <c r="H371" s="77">
        <v>2</v>
      </c>
      <c r="I371" s="55"/>
      <c r="J371" s="74">
        <v>44592</v>
      </c>
      <c r="K371" s="74"/>
      <c r="L371" s="74" t="s">
        <v>6784</v>
      </c>
      <c r="M371" s="55"/>
      <c r="N371" s="55" t="s">
        <v>344</v>
      </c>
      <c r="O371" s="73" t="s">
        <v>360</v>
      </c>
    </row>
    <row r="372" spans="1:15" s="73" customFormat="1" ht="13" x14ac:dyDescent="0.15">
      <c r="A372" s="55">
        <v>2663770</v>
      </c>
      <c r="B372" s="55" t="s">
        <v>373</v>
      </c>
      <c r="C372" s="55" t="s">
        <v>144</v>
      </c>
      <c r="D372" s="55" t="s">
        <v>144</v>
      </c>
      <c r="E372" s="55" t="s">
        <v>157</v>
      </c>
      <c r="F372" s="55" t="s">
        <v>1092</v>
      </c>
      <c r="G372" s="55" t="s">
        <v>350</v>
      </c>
      <c r="H372" s="77">
        <v>3</v>
      </c>
      <c r="I372" s="55"/>
      <c r="J372" s="74">
        <v>44586</v>
      </c>
      <c r="K372" s="74"/>
      <c r="L372" s="74" t="s">
        <v>6784</v>
      </c>
      <c r="M372" s="55"/>
      <c r="N372" s="55" t="s">
        <v>344</v>
      </c>
      <c r="O372" s="73" t="s">
        <v>360</v>
      </c>
    </row>
    <row r="373" spans="1:15" s="73" customFormat="1" ht="13" x14ac:dyDescent="0.15">
      <c r="A373" s="55">
        <v>2663781</v>
      </c>
      <c r="B373" s="55" t="s">
        <v>373</v>
      </c>
      <c r="C373" s="55" t="s">
        <v>150</v>
      </c>
      <c r="D373" s="55" t="s">
        <v>150</v>
      </c>
      <c r="E373" s="55" t="s">
        <v>237</v>
      </c>
      <c r="F373" s="55" t="s">
        <v>404</v>
      </c>
      <c r="G373" s="55" t="s">
        <v>350</v>
      </c>
      <c r="H373" s="77">
        <v>3</v>
      </c>
      <c r="I373" s="55"/>
      <c r="J373" s="74">
        <v>44559</v>
      </c>
      <c r="K373" s="74"/>
      <c r="L373" s="74" t="s">
        <v>6784</v>
      </c>
      <c r="M373" s="55"/>
      <c r="N373" s="55" t="s">
        <v>344</v>
      </c>
      <c r="O373" s="73" t="s">
        <v>360</v>
      </c>
    </row>
    <row r="374" spans="1:15" s="73" customFormat="1" ht="13" x14ac:dyDescent="0.15">
      <c r="A374" s="55">
        <v>2664175</v>
      </c>
      <c r="B374" s="55" t="s">
        <v>373</v>
      </c>
      <c r="C374" s="55" t="s">
        <v>129</v>
      </c>
      <c r="D374" s="55" t="s">
        <v>129</v>
      </c>
      <c r="E374" s="55" t="s">
        <v>128</v>
      </c>
      <c r="F374" s="55" t="s">
        <v>1201</v>
      </c>
      <c r="G374" s="55" t="s">
        <v>350</v>
      </c>
      <c r="H374" s="77">
        <v>3</v>
      </c>
      <c r="I374" s="55"/>
      <c r="J374" s="74">
        <v>44547</v>
      </c>
      <c r="K374" s="74"/>
      <c r="L374" s="74" t="s">
        <v>6784</v>
      </c>
      <c r="M374" s="55"/>
      <c r="N374" s="55" t="s">
        <v>344</v>
      </c>
      <c r="O374" s="73" t="s">
        <v>360</v>
      </c>
    </row>
    <row r="375" spans="1:15" s="73" customFormat="1" ht="13" x14ac:dyDescent="0.15">
      <c r="A375" s="55">
        <v>2664249</v>
      </c>
      <c r="B375" s="55" t="s">
        <v>373</v>
      </c>
      <c r="C375" s="55" t="s">
        <v>150</v>
      </c>
      <c r="D375" s="55" t="s">
        <v>150</v>
      </c>
      <c r="E375" s="55" t="s">
        <v>181</v>
      </c>
      <c r="F375" s="55" t="s">
        <v>2323</v>
      </c>
      <c r="G375" s="55" t="s">
        <v>350</v>
      </c>
      <c r="H375" s="77">
        <v>2</v>
      </c>
      <c r="I375" s="55"/>
      <c r="J375" s="74">
        <v>44551</v>
      </c>
      <c r="K375" s="74"/>
      <c r="L375" s="74" t="s">
        <v>6784</v>
      </c>
      <c r="M375" s="55"/>
      <c r="N375" s="55" t="s">
        <v>344</v>
      </c>
      <c r="O375" s="73" t="s">
        <v>360</v>
      </c>
    </row>
    <row r="376" spans="1:15" s="73" customFormat="1" ht="13" x14ac:dyDescent="0.15">
      <c r="A376" s="55">
        <v>2664326</v>
      </c>
      <c r="B376" s="55" t="s">
        <v>373</v>
      </c>
      <c r="C376" s="55" t="s">
        <v>378</v>
      </c>
      <c r="D376" s="55" t="s">
        <v>134</v>
      </c>
      <c r="E376" s="55" t="s">
        <v>206</v>
      </c>
      <c r="F376" s="55" t="s">
        <v>1655</v>
      </c>
      <c r="G376" s="55" t="s">
        <v>350</v>
      </c>
      <c r="H376" s="77">
        <v>3</v>
      </c>
      <c r="I376" s="55"/>
      <c r="J376" s="74">
        <v>44547</v>
      </c>
      <c r="K376" s="74"/>
      <c r="L376" s="74" t="s">
        <v>6784</v>
      </c>
      <c r="M376" s="55"/>
      <c r="N376" s="55" t="s">
        <v>344</v>
      </c>
      <c r="O376" s="73" t="s">
        <v>360</v>
      </c>
    </row>
    <row r="377" spans="1:15" s="73" customFormat="1" ht="13" x14ac:dyDescent="0.15">
      <c r="A377" s="55">
        <v>2664647</v>
      </c>
      <c r="B377" s="55" t="s">
        <v>443</v>
      </c>
      <c r="C377" s="55" t="s">
        <v>138</v>
      </c>
      <c r="D377" s="55" t="s">
        <v>138</v>
      </c>
      <c r="E377" s="55" t="s">
        <v>183</v>
      </c>
      <c r="F377" s="55" t="s">
        <v>510</v>
      </c>
      <c r="G377" s="55" t="s">
        <v>350</v>
      </c>
      <c r="H377" s="77"/>
      <c r="I377" s="55"/>
      <c r="J377" s="74">
        <v>44645</v>
      </c>
      <c r="K377" s="74"/>
      <c r="L377" s="74" t="s">
        <v>6784</v>
      </c>
      <c r="M377" s="55"/>
      <c r="N377" s="55" t="s">
        <v>344</v>
      </c>
      <c r="O377" s="73" t="s">
        <v>2325</v>
      </c>
    </row>
    <row r="378" spans="1:15" s="73" customFormat="1" ht="13" x14ac:dyDescent="0.15">
      <c r="A378" s="55">
        <v>2664826</v>
      </c>
      <c r="B378" s="55" t="s">
        <v>373</v>
      </c>
      <c r="C378" s="55" t="s">
        <v>144</v>
      </c>
      <c r="D378" s="55" t="s">
        <v>144</v>
      </c>
      <c r="E378" s="55" t="s">
        <v>217</v>
      </c>
      <c r="F378" s="55" t="s">
        <v>2330</v>
      </c>
      <c r="G378" s="55" t="s">
        <v>350</v>
      </c>
      <c r="H378" s="77">
        <v>4</v>
      </c>
      <c r="I378" s="55"/>
      <c r="J378" s="74">
        <v>44622</v>
      </c>
      <c r="K378" s="74"/>
      <c r="L378" s="74" t="s">
        <v>6784</v>
      </c>
      <c r="M378" s="55"/>
      <c r="N378" s="55" t="s">
        <v>344</v>
      </c>
      <c r="O378" s="73" t="s">
        <v>360</v>
      </c>
    </row>
    <row r="379" spans="1:15" s="73" customFormat="1" ht="13" x14ac:dyDescent="0.15">
      <c r="A379" s="55">
        <v>2664861</v>
      </c>
      <c r="B379" s="55" t="s">
        <v>373</v>
      </c>
      <c r="C379" s="55" t="s">
        <v>129</v>
      </c>
      <c r="D379" s="55" t="s">
        <v>129</v>
      </c>
      <c r="E379" s="55" t="s">
        <v>242</v>
      </c>
      <c r="F379" s="55" t="s">
        <v>1519</v>
      </c>
      <c r="G379" s="55" t="s">
        <v>350</v>
      </c>
      <c r="H379" s="77">
        <v>5</v>
      </c>
      <c r="I379" s="55"/>
      <c r="J379" s="74">
        <v>44634</v>
      </c>
      <c r="K379" s="74"/>
      <c r="L379" s="74" t="s">
        <v>6784</v>
      </c>
      <c r="M379" s="55"/>
      <c r="N379" s="55" t="s">
        <v>344</v>
      </c>
      <c r="O379" s="73" t="s">
        <v>360</v>
      </c>
    </row>
    <row r="380" spans="1:15" s="73" customFormat="1" ht="13" x14ac:dyDescent="0.15">
      <c r="A380" s="55">
        <v>2664883</v>
      </c>
      <c r="B380" s="55" t="s">
        <v>373</v>
      </c>
      <c r="C380" s="55" t="s">
        <v>378</v>
      </c>
      <c r="D380" s="55" t="s">
        <v>134</v>
      </c>
      <c r="E380" s="55" t="s">
        <v>204</v>
      </c>
      <c r="F380" s="55" t="s">
        <v>1478</v>
      </c>
      <c r="G380" s="55" t="s">
        <v>380</v>
      </c>
      <c r="H380" s="77">
        <v>1</v>
      </c>
      <c r="I380" s="55"/>
      <c r="J380" s="74">
        <v>44582</v>
      </c>
      <c r="K380" s="74"/>
      <c r="L380" s="74" t="s">
        <v>6784</v>
      </c>
      <c r="M380" s="55"/>
      <c r="N380" s="55" t="s">
        <v>344</v>
      </c>
      <c r="O380" s="73" t="s">
        <v>360</v>
      </c>
    </row>
    <row r="381" spans="1:15" s="73" customFormat="1" ht="13" x14ac:dyDescent="0.15">
      <c r="A381" s="55">
        <v>2665004</v>
      </c>
      <c r="B381" s="55" t="s">
        <v>389</v>
      </c>
      <c r="C381" s="55" t="s">
        <v>138</v>
      </c>
      <c r="D381" s="55" t="s">
        <v>138</v>
      </c>
      <c r="E381" s="55" t="s">
        <v>224</v>
      </c>
      <c r="F381" s="55" t="s">
        <v>374</v>
      </c>
      <c r="G381" s="55" t="s">
        <v>350</v>
      </c>
      <c r="H381" s="77"/>
      <c r="I381" s="55"/>
      <c r="J381" s="74">
        <v>44582</v>
      </c>
      <c r="K381" s="74"/>
      <c r="L381" s="74" t="s">
        <v>6784</v>
      </c>
      <c r="M381" s="55"/>
      <c r="N381" s="55" t="s">
        <v>344</v>
      </c>
      <c r="O381" s="73" t="s">
        <v>2332</v>
      </c>
    </row>
    <row r="382" spans="1:15" s="73" customFormat="1" ht="13" x14ac:dyDescent="0.15">
      <c r="A382" s="55">
        <v>2665204</v>
      </c>
      <c r="B382" s="55" t="s">
        <v>373</v>
      </c>
      <c r="C382" s="55" t="s">
        <v>172</v>
      </c>
      <c r="D382" s="55" t="s">
        <v>172</v>
      </c>
      <c r="E382" s="55" t="s">
        <v>235</v>
      </c>
      <c r="F382" s="55" t="s">
        <v>2338</v>
      </c>
      <c r="G382" s="55" t="s">
        <v>350</v>
      </c>
      <c r="H382" s="77">
        <v>4</v>
      </c>
      <c r="I382" s="55"/>
      <c r="J382" s="74">
        <v>44574</v>
      </c>
      <c r="K382" s="74"/>
      <c r="L382" s="74" t="s">
        <v>6784</v>
      </c>
      <c r="M382" s="55"/>
      <c r="N382" s="55" t="s">
        <v>344</v>
      </c>
      <c r="O382" s="73" t="s">
        <v>360</v>
      </c>
    </row>
    <row r="383" spans="1:15" s="73" customFormat="1" ht="13" x14ac:dyDescent="0.15">
      <c r="A383" s="55">
        <v>2665747</v>
      </c>
      <c r="B383" s="55" t="s">
        <v>373</v>
      </c>
      <c r="C383" s="55" t="s">
        <v>144</v>
      </c>
      <c r="D383" s="55" t="s">
        <v>144</v>
      </c>
      <c r="E383" s="55" t="s">
        <v>209</v>
      </c>
      <c r="F383" s="55" t="s">
        <v>544</v>
      </c>
      <c r="G383" s="55" t="s">
        <v>350</v>
      </c>
      <c r="H383" s="77">
        <v>2</v>
      </c>
      <c r="I383" s="55"/>
      <c r="J383" s="74">
        <v>44593</v>
      </c>
      <c r="K383" s="74"/>
      <c r="L383" s="74" t="s">
        <v>6784</v>
      </c>
      <c r="M383" s="55"/>
      <c r="N383" s="55" t="s">
        <v>344</v>
      </c>
      <c r="O383" s="73" t="s">
        <v>360</v>
      </c>
    </row>
    <row r="384" spans="1:15" s="73" customFormat="1" ht="13" x14ac:dyDescent="0.15">
      <c r="A384" s="55">
        <v>2665860</v>
      </c>
      <c r="B384" s="55" t="s">
        <v>373</v>
      </c>
      <c r="C384" s="55" t="s">
        <v>138</v>
      </c>
      <c r="D384" s="55" t="s">
        <v>138</v>
      </c>
      <c r="E384" s="55" t="s">
        <v>266</v>
      </c>
      <c r="F384" s="55" t="s">
        <v>449</v>
      </c>
      <c r="G384" s="55" t="s">
        <v>350</v>
      </c>
      <c r="H384" s="77">
        <v>3</v>
      </c>
      <c r="I384" s="55"/>
      <c r="J384" s="74">
        <v>44543</v>
      </c>
      <c r="K384" s="74"/>
      <c r="L384" s="74" t="s">
        <v>6784</v>
      </c>
      <c r="M384" s="55"/>
      <c r="N384" s="55" t="s">
        <v>344</v>
      </c>
      <c r="O384" s="73" t="s">
        <v>360</v>
      </c>
    </row>
    <row r="385" spans="1:15" s="73" customFormat="1" ht="13" x14ac:dyDescent="0.15">
      <c r="A385" s="55">
        <v>2666309</v>
      </c>
      <c r="B385" s="55" t="s">
        <v>373</v>
      </c>
      <c r="C385" s="55" t="s">
        <v>150</v>
      </c>
      <c r="D385" s="55" t="s">
        <v>150</v>
      </c>
      <c r="E385" s="55" t="s">
        <v>181</v>
      </c>
      <c r="F385" s="55" t="s">
        <v>937</v>
      </c>
      <c r="G385" s="55" t="s">
        <v>350</v>
      </c>
      <c r="H385" s="77">
        <v>4</v>
      </c>
      <c r="I385" s="55"/>
      <c r="J385" s="74">
        <v>44537</v>
      </c>
      <c r="K385" s="74"/>
      <c r="L385" s="74" t="s">
        <v>6784</v>
      </c>
      <c r="M385" s="55"/>
      <c r="N385" s="55" t="s">
        <v>344</v>
      </c>
      <c r="O385" s="73" t="s">
        <v>360</v>
      </c>
    </row>
    <row r="386" spans="1:15" s="73" customFormat="1" ht="13" x14ac:dyDescent="0.15">
      <c r="A386" s="55">
        <v>2666995</v>
      </c>
      <c r="B386" s="55" t="s">
        <v>373</v>
      </c>
      <c r="C386" s="55" t="s">
        <v>150</v>
      </c>
      <c r="D386" s="55" t="s">
        <v>150</v>
      </c>
      <c r="E386" s="55" t="s">
        <v>190</v>
      </c>
      <c r="F386" s="55" t="s">
        <v>749</v>
      </c>
      <c r="G386" s="55" t="s">
        <v>350</v>
      </c>
      <c r="H386" s="77">
        <v>5</v>
      </c>
      <c r="I386" s="55"/>
      <c r="J386" s="74">
        <v>44518</v>
      </c>
      <c r="K386" s="74"/>
      <c r="L386" s="74" t="s">
        <v>6784</v>
      </c>
      <c r="M386" s="55"/>
      <c r="N386" s="55" t="s">
        <v>344</v>
      </c>
      <c r="O386" s="73" t="s">
        <v>360</v>
      </c>
    </row>
    <row r="387" spans="1:15" s="73" customFormat="1" ht="13" x14ac:dyDescent="0.15">
      <c r="A387" s="55">
        <v>2667363</v>
      </c>
      <c r="B387" s="55" t="s">
        <v>373</v>
      </c>
      <c r="C387" s="55" t="s">
        <v>378</v>
      </c>
      <c r="D387" s="55" t="s">
        <v>134</v>
      </c>
      <c r="E387" s="55" t="s">
        <v>294</v>
      </c>
      <c r="F387" s="55" t="s">
        <v>1983</v>
      </c>
      <c r="G387" s="55" t="s">
        <v>380</v>
      </c>
      <c r="H387" s="77">
        <v>1</v>
      </c>
      <c r="I387" s="55"/>
      <c r="J387" s="74">
        <v>44539</v>
      </c>
      <c r="K387" s="74"/>
      <c r="L387" s="74" t="s">
        <v>6784</v>
      </c>
      <c r="M387" s="55"/>
      <c r="N387" s="55" t="s">
        <v>344</v>
      </c>
      <c r="O387" s="73" t="s">
        <v>360</v>
      </c>
    </row>
    <row r="388" spans="1:15" s="73" customFormat="1" ht="13" x14ac:dyDescent="0.15">
      <c r="A388" s="55">
        <v>2667401</v>
      </c>
      <c r="B388" s="55" t="s">
        <v>373</v>
      </c>
      <c r="C388" s="55" t="s">
        <v>142</v>
      </c>
      <c r="D388" s="55" t="s">
        <v>142</v>
      </c>
      <c r="E388" s="55" t="s">
        <v>252</v>
      </c>
      <c r="F388" s="55" t="s">
        <v>386</v>
      </c>
      <c r="G388" s="55" t="s">
        <v>350</v>
      </c>
      <c r="H388" s="77">
        <v>4</v>
      </c>
      <c r="I388" s="55"/>
      <c r="J388" s="74">
        <v>44613</v>
      </c>
      <c r="K388" s="74"/>
      <c r="L388" s="74" t="s">
        <v>6784</v>
      </c>
      <c r="M388" s="55"/>
      <c r="N388" s="55" t="s">
        <v>344</v>
      </c>
      <c r="O388" s="73" t="s">
        <v>360</v>
      </c>
    </row>
    <row r="389" spans="1:15" s="73" customFormat="1" ht="13" x14ac:dyDescent="0.15">
      <c r="A389" s="55">
        <v>2667592</v>
      </c>
      <c r="B389" s="55" t="s">
        <v>373</v>
      </c>
      <c r="C389" s="55" t="s">
        <v>172</v>
      </c>
      <c r="D389" s="55" t="s">
        <v>172</v>
      </c>
      <c r="E389" s="55" t="s">
        <v>235</v>
      </c>
      <c r="F389" s="55" t="s">
        <v>1396</v>
      </c>
      <c r="G389" s="55" t="s">
        <v>350</v>
      </c>
      <c r="H389" s="77">
        <v>2</v>
      </c>
      <c r="I389" s="55"/>
      <c r="J389" s="74">
        <v>44574</v>
      </c>
      <c r="K389" s="74"/>
      <c r="L389" s="74" t="s">
        <v>6784</v>
      </c>
      <c r="M389" s="55"/>
      <c r="N389" s="55" t="s">
        <v>344</v>
      </c>
      <c r="O389" s="73" t="s">
        <v>360</v>
      </c>
    </row>
    <row r="390" spans="1:15" s="73" customFormat="1" ht="13" x14ac:dyDescent="0.15">
      <c r="A390" s="55">
        <v>2667771</v>
      </c>
      <c r="B390" s="55" t="s">
        <v>373</v>
      </c>
      <c r="C390" s="55" t="s">
        <v>150</v>
      </c>
      <c r="D390" s="55" t="s">
        <v>150</v>
      </c>
      <c r="E390" s="55" t="s">
        <v>190</v>
      </c>
      <c r="F390" s="55" t="s">
        <v>500</v>
      </c>
      <c r="G390" s="55" t="s">
        <v>350</v>
      </c>
      <c r="H390" s="77">
        <v>4</v>
      </c>
      <c r="I390" s="55"/>
      <c r="J390" s="74">
        <v>44651</v>
      </c>
      <c r="K390" s="74"/>
      <c r="L390" s="74" t="s">
        <v>6784</v>
      </c>
      <c r="M390" s="55"/>
      <c r="N390" s="55" t="s">
        <v>344</v>
      </c>
      <c r="O390" s="73" t="s">
        <v>360</v>
      </c>
    </row>
    <row r="391" spans="1:15" s="73" customFormat="1" ht="13" x14ac:dyDescent="0.15">
      <c r="A391" s="55">
        <v>2668575</v>
      </c>
      <c r="B391" s="55" t="s">
        <v>373</v>
      </c>
      <c r="C391" s="55" t="s">
        <v>138</v>
      </c>
      <c r="D391" s="55" t="s">
        <v>138</v>
      </c>
      <c r="E391" s="55" t="s">
        <v>159</v>
      </c>
      <c r="F391" s="55" t="s">
        <v>1025</v>
      </c>
      <c r="G391" s="55" t="s">
        <v>350</v>
      </c>
      <c r="H391" s="77">
        <v>4</v>
      </c>
      <c r="I391" s="55"/>
      <c r="J391" s="74">
        <v>44540</v>
      </c>
      <c r="K391" s="74"/>
      <c r="L391" s="74" t="s">
        <v>6784</v>
      </c>
      <c r="M391" s="55"/>
      <c r="N391" s="55" t="s">
        <v>344</v>
      </c>
      <c r="O391" s="73" t="s">
        <v>360</v>
      </c>
    </row>
    <row r="392" spans="1:15" s="73" customFormat="1" ht="13" x14ac:dyDescent="0.15">
      <c r="A392" s="55">
        <v>2668686</v>
      </c>
      <c r="B392" s="55" t="s">
        <v>373</v>
      </c>
      <c r="C392" s="55" t="s">
        <v>142</v>
      </c>
      <c r="D392" s="55" t="s">
        <v>142</v>
      </c>
      <c r="E392" s="55" t="s">
        <v>254</v>
      </c>
      <c r="F392" s="55" t="s">
        <v>1048</v>
      </c>
      <c r="G392" s="55" t="s">
        <v>350</v>
      </c>
      <c r="H392" s="77">
        <v>3</v>
      </c>
      <c r="I392" s="55"/>
      <c r="J392" s="74">
        <v>44628</v>
      </c>
      <c r="K392" s="74"/>
      <c r="L392" s="74" t="s">
        <v>6784</v>
      </c>
      <c r="M392" s="55"/>
      <c r="N392" s="55" t="s">
        <v>344</v>
      </c>
      <c r="O392" s="73" t="s">
        <v>360</v>
      </c>
    </row>
    <row r="393" spans="1:15" s="73" customFormat="1" ht="13" x14ac:dyDescent="0.15">
      <c r="A393" s="55">
        <v>2668710</v>
      </c>
      <c r="B393" s="55" t="s">
        <v>373</v>
      </c>
      <c r="C393" s="55" t="s">
        <v>378</v>
      </c>
      <c r="D393" s="55" t="s">
        <v>170</v>
      </c>
      <c r="E393" s="55" t="s">
        <v>231</v>
      </c>
      <c r="F393" s="55" t="s">
        <v>231</v>
      </c>
      <c r="G393" s="55" t="s">
        <v>380</v>
      </c>
      <c r="H393" s="77">
        <v>5</v>
      </c>
      <c r="I393" s="55"/>
      <c r="J393" s="74">
        <v>44640</v>
      </c>
      <c r="K393" s="74"/>
      <c r="L393" s="74" t="s">
        <v>6784</v>
      </c>
      <c r="M393" s="55"/>
      <c r="N393" s="55" t="s">
        <v>344</v>
      </c>
      <c r="O393" s="73" t="s">
        <v>360</v>
      </c>
    </row>
    <row r="394" spans="1:15" s="73" customFormat="1" ht="13" x14ac:dyDescent="0.15">
      <c r="A394" s="55">
        <v>2668747</v>
      </c>
      <c r="B394" s="55" t="s">
        <v>373</v>
      </c>
      <c r="C394" s="55" t="s">
        <v>136</v>
      </c>
      <c r="D394" s="55" t="s">
        <v>136</v>
      </c>
      <c r="E394" s="55" t="s">
        <v>185</v>
      </c>
      <c r="F394" s="55" t="s">
        <v>382</v>
      </c>
      <c r="G394" s="55" t="s">
        <v>350</v>
      </c>
      <c r="H394" s="77">
        <v>3</v>
      </c>
      <c r="I394" s="55"/>
      <c r="J394" s="74">
        <v>44574</v>
      </c>
      <c r="K394" s="74"/>
      <c r="L394" s="74" t="s">
        <v>6784</v>
      </c>
      <c r="M394" s="55"/>
      <c r="N394" s="55" t="s">
        <v>344</v>
      </c>
      <c r="O394" s="73" t="s">
        <v>360</v>
      </c>
    </row>
    <row r="395" spans="1:15" s="73" customFormat="1" ht="13" x14ac:dyDescent="0.15">
      <c r="A395" s="55">
        <v>2669259</v>
      </c>
      <c r="B395" s="55" t="s">
        <v>373</v>
      </c>
      <c r="C395" s="55" t="s">
        <v>172</v>
      </c>
      <c r="D395" s="55" t="s">
        <v>172</v>
      </c>
      <c r="E395" s="55" t="s">
        <v>214</v>
      </c>
      <c r="F395" s="55" t="s">
        <v>1426</v>
      </c>
      <c r="G395" s="55" t="s">
        <v>350</v>
      </c>
      <c r="H395" s="77">
        <v>4</v>
      </c>
      <c r="I395" s="55"/>
      <c r="J395" s="74">
        <v>44608</v>
      </c>
      <c r="K395" s="74"/>
      <c r="L395" s="74" t="s">
        <v>6784</v>
      </c>
      <c r="M395" s="55"/>
      <c r="N395" s="55" t="s">
        <v>344</v>
      </c>
      <c r="O395" s="73" t="s">
        <v>360</v>
      </c>
    </row>
    <row r="396" spans="1:15" s="73" customFormat="1" ht="13" x14ac:dyDescent="0.15">
      <c r="A396" s="55">
        <v>2669323</v>
      </c>
      <c r="B396" s="55" t="s">
        <v>373</v>
      </c>
      <c r="C396" s="55" t="s">
        <v>144</v>
      </c>
      <c r="D396" s="55" t="s">
        <v>144</v>
      </c>
      <c r="E396" s="55" t="s">
        <v>215</v>
      </c>
      <c r="F396" s="55" t="s">
        <v>655</v>
      </c>
      <c r="G396" s="55" t="s">
        <v>350</v>
      </c>
      <c r="H396" s="77">
        <v>3</v>
      </c>
      <c r="I396" s="55"/>
      <c r="J396" s="74">
        <v>44595</v>
      </c>
      <c r="K396" s="74"/>
      <c r="L396" s="74" t="s">
        <v>6784</v>
      </c>
      <c r="M396" s="55"/>
      <c r="N396" s="55" t="s">
        <v>344</v>
      </c>
      <c r="O396" s="73" t="s">
        <v>360</v>
      </c>
    </row>
    <row r="397" spans="1:15" s="73" customFormat="1" ht="13" x14ac:dyDescent="0.15">
      <c r="A397" s="55">
        <v>2669971</v>
      </c>
      <c r="B397" s="55" t="s">
        <v>373</v>
      </c>
      <c r="C397" s="55" t="s">
        <v>138</v>
      </c>
      <c r="D397" s="55" t="s">
        <v>138</v>
      </c>
      <c r="E397" s="55" t="s">
        <v>196</v>
      </c>
      <c r="F397" s="55" t="s">
        <v>2347</v>
      </c>
      <c r="G397" s="55" t="s">
        <v>350</v>
      </c>
      <c r="H397" s="77">
        <v>4</v>
      </c>
      <c r="I397" s="55"/>
      <c r="J397" s="74">
        <v>44613</v>
      </c>
      <c r="K397" s="74"/>
      <c r="L397" s="74" t="s">
        <v>6784</v>
      </c>
      <c r="M397" s="55"/>
      <c r="N397" s="55" t="s">
        <v>344</v>
      </c>
      <c r="O397" s="73" t="s">
        <v>360</v>
      </c>
    </row>
    <row r="398" spans="1:15" s="73" customFormat="1" ht="13" x14ac:dyDescent="0.15">
      <c r="A398" s="55">
        <v>2670263</v>
      </c>
      <c r="B398" s="55" t="s">
        <v>373</v>
      </c>
      <c r="C398" s="55" t="s">
        <v>172</v>
      </c>
      <c r="D398" s="55" t="s">
        <v>172</v>
      </c>
      <c r="E398" s="55" t="s">
        <v>235</v>
      </c>
      <c r="F398" s="55" t="s">
        <v>628</v>
      </c>
      <c r="G398" s="55" t="s">
        <v>350</v>
      </c>
      <c r="H398" s="77">
        <v>4</v>
      </c>
      <c r="I398" s="55"/>
      <c r="J398" s="74">
        <v>44638</v>
      </c>
      <c r="K398" s="74"/>
      <c r="L398" s="74" t="s">
        <v>6784</v>
      </c>
      <c r="M398" s="55"/>
      <c r="N398" s="55" t="s">
        <v>344</v>
      </c>
      <c r="O398" s="73" t="s">
        <v>360</v>
      </c>
    </row>
    <row r="399" spans="1:15" s="73" customFormat="1" ht="13" x14ac:dyDescent="0.15">
      <c r="A399" s="55">
        <v>2671361</v>
      </c>
      <c r="B399" s="55" t="s">
        <v>373</v>
      </c>
      <c r="C399" s="55" t="s">
        <v>136</v>
      </c>
      <c r="D399" s="55" t="s">
        <v>136</v>
      </c>
      <c r="E399" s="55" t="s">
        <v>288</v>
      </c>
      <c r="F399" s="55" t="s">
        <v>1388</v>
      </c>
      <c r="G399" s="55" t="s">
        <v>350</v>
      </c>
      <c r="H399" s="77">
        <v>2</v>
      </c>
      <c r="I399" s="55"/>
      <c r="J399" s="74">
        <v>44627</v>
      </c>
      <c r="K399" s="74"/>
      <c r="L399" s="74" t="s">
        <v>6784</v>
      </c>
      <c r="M399" s="55"/>
      <c r="N399" s="55" t="s">
        <v>344</v>
      </c>
      <c r="O399" s="73" t="s">
        <v>360</v>
      </c>
    </row>
    <row r="400" spans="1:15" s="73" customFormat="1" ht="13" x14ac:dyDescent="0.15">
      <c r="A400" s="55">
        <v>2671426</v>
      </c>
      <c r="B400" s="55" t="s">
        <v>373</v>
      </c>
      <c r="C400" s="55" t="s">
        <v>150</v>
      </c>
      <c r="D400" s="55" t="s">
        <v>150</v>
      </c>
      <c r="E400" s="55" t="s">
        <v>218</v>
      </c>
      <c r="F400" s="55" t="s">
        <v>1086</v>
      </c>
      <c r="G400" s="55" t="s">
        <v>350</v>
      </c>
      <c r="H400" s="77">
        <v>4</v>
      </c>
      <c r="I400" s="55"/>
      <c r="J400" s="74">
        <v>44586</v>
      </c>
      <c r="K400" s="74"/>
      <c r="L400" s="74" t="s">
        <v>6784</v>
      </c>
      <c r="M400" s="55"/>
      <c r="N400" s="55" t="s">
        <v>344</v>
      </c>
      <c r="O400" s="73" t="s">
        <v>360</v>
      </c>
    </row>
    <row r="401" spans="1:15" s="73" customFormat="1" ht="13" x14ac:dyDescent="0.15">
      <c r="A401" s="55">
        <v>2671472</v>
      </c>
      <c r="B401" s="55" t="s">
        <v>451</v>
      </c>
      <c r="C401" s="55" t="s">
        <v>144</v>
      </c>
      <c r="D401" s="55" t="s">
        <v>144</v>
      </c>
      <c r="E401" s="55" t="s">
        <v>261</v>
      </c>
      <c r="F401" s="55" t="s">
        <v>792</v>
      </c>
      <c r="G401" s="55" t="s">
        <v>350</v>
      </c>
      <c r="H401" s="77">
        <v>5</v>
      </c>
      <c r="I401" s="55"/>
      <c r="J401" s="74">
        <v>44649</v>
      </c>
      <c r="K401" s="74"/>
      <c r="L401" s="74" t="s">
        <v>6784</v>
      </c>
      <c r="M401" s="55"/>
      <c r="N401" s="55" t="s">
        <v>344</v>
      </c>
      <c r="O401" s="73" t="s">
        <v>2348</v>
      </c>
    </row>
    <row r="402" spans="1:15" s="73" customFormat="1" ht="13" x14ac:dyDescent="0.15">
      <c r="A402" s="55">
        <v>2671651</v>
      </c>
      <c r="B402" s="55" t="s">
        <v>373</v>
      </c>
      <c r="C402" s="55" t="s">
        <v>172</v>
      </c>
      <c r="D402" s="55" t="s">
        <v>172</v>
      </c>
      <c r="E402" s="55" t="s">
        <v>235</v>
      </c>
      <c r="F402" s="55" t="s">
        <v>1355</v>
      </c>
      <c r="G402" s="55" t="s">
        <v>350</v>
      </c>
      <c r="H402" s="77">
        <v>2</v>
      </c>
      <c r="I402" s="55"/>
      <c r="J402" s="74">
        <v>44613</v>
      </c>
      <c r="K402" s="74"/>
      <c r="L402" s="74" t="s">
        <v>6784</v>
      </c>
      <c r="M402" s="55"/>
      <c r="N402" s="55" t="s">
        <v>344</v>
      </c>
      <c r="O402" s="73" t="s">
        <v>360</v>
      </c>
    </row>
    <row r="403" spans="1:15" s="73" customFormat="1" ht="13" x14ac:dyDescent="0.15">
      <c r="A403" s="55">
        <v>2671699</v>
      </c>
      <c r="B403" s="55" t="s">
        <v>413</v>
      </c>
      <c r="C403" s="55" t="s">
        <v>136</v>
      </c>
      <c r="D403" s="55" t="s">
        <v>136</v>
      </c>
      <c r="E403" s="55" t="s">
        <v>176</v>
      </c>
      <c r="F403" s="55" t="s">
        <v>1832</v>
      </c>
      <c r="G403" s="55" t="s">
        <v>350</v>
      </c>
      <c r="H403" s="77">
        <v>22</v>
      </c>
      <c r="I403" s="55"/>
      <c r="J403" s="74">
        <v>44560</v>
      </c>
      <c r="K403" s="74"/>
      <c r="L403" s="74" t="s">
        <v>6784</v>
      </c>
      <c r="M403" s="55"/>
      <c r="N403" s="55" t="s">
        <v>344</v>
      </c>
      <c r="O403" s="73" t="s">
        <v>2352</v>
      </c>
    </row>
    <row r="404" spans="1:15" s="73" customFormat="1" ht="13" x14ac:dyDescent="0.15">
      <c r="A404" s="55">
        <v>2672801</v>
      </c>
      <c r="B404" s="55" t="s">
        <v>373</v>
      </c>
      <c r="C404" s="55" t="s">
        <v>378</v>
      </c>
      <c r="D404" s="55" t="s">
        <v>134</v>
      </c>
      <c r="E404" s="55" t="s">
        <v>206</v>
      </c>
      <c r="F404" s="55" t="s">
        <v>1655</v>
      </c>
      <c r="G404" s="55" t="s">
        <v>350</v>
      </c>
      <c r="H404" s="77">
        <v>6</v>
      </c>
      <c r="I404" s="55"/>
      <c r="J404" s="74">
        <v>44609</v>
      </c>
      <c r="K404" s="74"/>
      <c r="L404" s="74" t="s">
        <v>6784</v>
      </c>
      <c r="M404" s="55"/>
      <c r="N404" s="55" t="s">
        <v>344</v>
      </c>
      <c r="O404" s="73" t="s">
        <v>360</v>
      </c>
    </row>
    <row r="405" spans="1:15" s="73" customFormat="1" ht="13" x14ac:dyDescent="0.15">
      <c r="A405" s="55">
        <v>2672845</v>
      </c>
      <c r="B405" s="55" t="s">
        <v>373</v>
      </c>
      <c r="C405" s="55" t="s">
        <v>144</v>
      </c>
      <c r="D405" s="55" t="s">
        <v>144</v>
      </c>
      <c r="E405" s="55" t="s">
        <v>168</v>
      </c>
      <c r="F405" s="55" t="s">
        <v>913</v>
      </c>
      <c r="G405" s="55" t="s">
        <v>350</v>
      </c>
      <c r="H405" s="77">
        <v>4</v>
      </c>
      <c r="I405" s="55"/>
      <c r="J405" s="74">
        <v>44582</v>
      </c>
      <c r="K405" s="74"/>
      <c r="L405" s="74" t="s">
        <v>6784</v>
      </c>
      <c r="M405" s="55"/>
      <c r="N405" s="55" t="s">
        <v>344</v>
      </c>
      <c r="O405" s="73" t="s">
        <v>360</v>
      </c>
    </row>
    <row r="406" spans="1:15" s="73" customFormat="1" ht="13" x14ac:dyDescent="0.15">
      <c r="A406" s="55">
        <v>2672877</v>
      </c>
      <c r="B406" s="55" t="s">
        <v>373</v>
      </c>
      <c r="C406" s="55" t="s">
        <v>144</v>
      </c>
      <c r="D406" s="55" t="s">
        <v>144</v>
      </c>
      <c r="E406" s="55" t="s">
        <v>168</v>
      </c>
      <c r="F406" s="55" t="s">
        <v>708</v>
      </c>
      <c r="G406" s="55" t="s">
        <v>350</v>
      </c>
      <c r="H406" s="77">
        <v>4</v>
      </c>
      <c r="I406" s="55"/>
      <c r="J406" s="74">
        <v>44622</v>
      </c>
      <c r="K406" s="74"/>
      <c r="L406" s="74" t="s">
        <v>6784</v>
      </c>
      <c r="M406" s="55"/>
      <c r="N406" s="55" t="s">
        <v>344</v>
      </c>
      <c r="O406" s="73" t="s">
        <v>360</v>
      </c>
    </row>
    <row r="407" spans="1:15" s="73" customFormat="1" ht="13" x14ac:dyDescent="0.15">
      <c r="A407" s="55">
        <v>2673201</v>
      </c>
      <c r="B407" s="55" t="s">
        <v>373</v>
      </c>
      <c r="C407" s="55" t="s">
        <v>136</v>
      </c>
      <c r="D407" s="55" t="s">
        <v>136</v>
      </c>
      <c r="E407" s="55" t="s">
        <v>176</v>
      </c>
      <c r="F407" s="55" t="s">
        <v>526</v>
      </c>
      <c r="G407" s="55" t="s">
        <v>380</v>
      </c>
      <c r="H407" s="77">
        <v>1</v>
      </c>
      <c r="I407" s="55"/>
      <c r="J407" s="74">
        <v>44637</v>
      </c>
      <c r="K407" s="74"/>
      <c r="L407" s="74" t="s">
        <v>6784</v>
      </c>
      <c r="M407" s="55"/>
      <c r="N407" s="55" t="s">
        <v>344</v>
      </c>
      <c r="O407" s="73" t="s">
        <v>360</v>
      </c>
    </row>
    <row r="408" spans="1:15" s="73" customFormat="1" ht="13" x14ac:dyDescent="0.15">
      <c r="A408" s="55">
        <v>2673264</v>
      </c>
      <c r="B408" s="55" t="s">
        <v>373</v>
      </c>
      <c r="C408" s="55" t="s">
        <v>138</v>
      </c>
      <c r="D408" s="55" t="s">
        <v>138</v>
      </c>
      <c r="E408" s="55" t="s">
        <v>224</v>
      </c>
      <c r="F408" s="55" t="s">
        <v>374</v>
      </c>
      <c r="G408" s="55" t="s">
        <v>350</v>
      </c>
      <c r="H408" s="77">
        <v>2</v>
      </c>
      <c r="I408" s="55"/>
      <c r="J408" s="74">
        <v>44603</v>
      </c>
      <c r="K408" s="74"/>
      <c r="L408" s="74" t="s">
        <v>6784</v>
      </c>
      <c r="M408" s="55"/>
      <c r="N408" s="55" t="s">
        <v>344</v>
      </c>
      <c r="O408" s="73" t="s">
        <v>360</v>
      </c>
    </row>
    <row r="409" spans="1:15" s="73" customFormat="1" ht="13" x14ac:dyDescent="0.15">
      <c r="A409" s="55">
        <v>2673265</v>
      </c>
      <c r="B409" s="55" t="s">
        <v>373</v>
      </c>
      <c r="C409" s="55" t="s">
        <v>138</v>
      </c>
      <c r="D409" s="55" t="s">
        <v>138</v>
      </c>
      <c r="E409" s="55" t="s">
        <v>224</v>
      </c>
      <c r="F409" s="55" t="s">
        <v>374</v>
      </c>
      <c r="G409" s="55" t="s">
        <v>350</v>
      </c>
      <c r="H409" s="77">
        <v>2</v>
      </c>
      <c r="I409" s="55"/>
      <c r="J409" s="74">
        <v>44603</v>
      </c>
      <c r="K409" s="74"/>
      <c r="L409" s="74" t="s">
        <v>6784</v>
      </c>
      <c r="M409" s="55"/>
      <c r="N409" s="55" t="s">
        <v>344</v>
      </c>
      <c r="O409" s="73" t="s">
        <v>360</v>
      </c>
    </row>
    <row r="410" spans="1:15" s="73" customFormat="1" ht="13" x14ac:dyDescent="0.15">
      <c r="A410" s="55">
        <v>2674176</v>
      </c>
      <c r="B410" s="55" t="s">
        <v>373</v>
      </c>
      <c r="C410" s="55" t="s">
        <v>138</v>
      </c>
      <c r="D410" s="55" t="s">
        <v>138</v>
      </c>
      <c r="E410" s="55" t="s">
        <v>137</v>
      </c>
      <c r="F410" s="55" t="s">
        <v>137</v>
      </c>
      <c r="G410" s="55" t="s">
        <v>350</v>
      </c>
      <c r="H410" s="77">
        <v>1</v>
      </c>
      <c r="I410" s="55"/>
      <c r="J410" s="74">
        <v>44603</v>
      </c>
      <c r="K410" s="74"/>
      <c r="L410" s="74" t="s">
        <v>6784</v>
      </c>
      <c r="M410" s="55"/>
      <c r="N410" s="55" t="s">
        <v>344</v>
      </c>
      <c r="O410" s="73" t="s">
        <v>360</v>
      </c>
    </row>
    <row r="411" spans="1:15" s="73" customFormat="1" ht="13" x14ac:dyDescent="0.15">
      <c r="A411" s="55">
        <v>2674455</v>
      </c>
      <c r="B411" s="55" t="s">
        <v>373</v>
      </c>
      <c r="C411" s="55" t="s">
        <v>144</v>
      </c>
      <c r="D411" s="55" t="s">
        <v>144</v>
      </c>
      <c r="E411" s="55" t="s">
        <v>263</v>
      </c>
      <c r="F411" s="55" t="s">
        <v>263</v>
      </c>
      <c r="G411" s="55" t="s">
        <v>350</v>
      </c>
      <c r="H411" s="77">
        <v>1</v>
      </c>
      <c r="I411" s="55"/>
      <c r="J411" s="74">
        <v>44588</v>
      </c>
      <c r="K411" s="74"/>
      <c r="L411" s="74" t="s">
        <v>6784</v>
      </c>
      <c r="M411" s="55"/>
      <c r="N411" s="55" t="s">
        <v>344</v>
      </c>
      <c r="O411" s="73" t="s">
        <v>360</v>
      </c>
    </row>
    <row r="412" spans="1:15" s="73" customFormat="1" ht="13" x14ac:dyDescent="0.15">
      <c r="A412" s="55">
        <v>2675485</v>
      </c>
      <c r="B412" s="55" t="s">
        <v>373</v>
      </c>
      <c r="C412" s="55" t="s">
        <v>144</v>
      </c>
      <c r="D412" s="55" t="s">
        <v>144</v>
      </c>
      <c r="E412" s="55" t="s">
        <v>250</v>
      </c>
      <c r="F412" s="55" t="s">
        <v>1372</v>
      </c>
      <c r="G412" s="55" t="s">
        <v>362</v>
      </c>
      <c r="H412" s="77">
        <v>3</v>
      </c>
      <c r="I412" s="55"/>
      <c r="J412" s="74">
        <v>44606</v>
      </c>
      <c r="K412" s="74"/>
      <c r="L412" s="74" t="s">
        <v>6784</v>
      </c>
      <c r="M412" s="55"/>
      <c r="N412" s="55" t="s">
        <v>344</v>
      </c>
      <c r="O412" s="73" t="s">
        <v>360</v>
      </c>
    </row>
    <row r="413" spans="1:15" s="73" customFormat="1" ht="13" x14ac:dyDescent="0.15">
      <c r="A413" s="55">
        <v>2676828</v>
      </c>
      <c r="B413" s="55" t="s">
        <v>373</v>
      </c>
      <c r="C413" s="55" t="s">
        <v>378</v>
      </c>
      <c r="D413" s="55" t="s">
        <v>134</v>
      </c>
      <c r="E413" s="55" t="s">
        <v>180</v>
      </c>
      <c r="F413" s="55" t="s">
        <v>1249</v>
      </c>
      <c r="G413" s="55" t="s">
        <v>380</v>
      </c>
      <c r="H413" s="77">
        <v>1</v>
      </c>
      <c r="I413" s="55"/>
      <c r="J413" s="74">
        <v>44644</v>
      </c>
      <c r="K413" s="74"/>
      <c r="L413" s="74" t="s">
        <v>6784</v>
      </c>
      <c r="M413" s="55"/>
      <c r="N413" s="55" t="s">
        <v>344</v>
      </c>
      <c r="O413" s="73" t="s">
        <v>360</v>
      </c>
    </row>
    <row r="414" spans="1:15" s="73" customFormat="1" ht="13" x14ac:dyDescent="0.15">
      <c r="A414" s="55">
        <v>2678551</v>
      </c>
      <c r="B414" s="55" t="s">
        <v>373</v>
      </c>
      <c r="C414" s="55" t="s">
        <v>138</v>
      </c>
      <c r="D414" s="55" t="s">
        <v>138</v>
      </c>
      <c r="E414" s="55" t="s">
        <v>161</v>
      </c>
      <c r="F414" s="55" t="s">
        <v>822</v>
      </c>
      <c r="G414" s="55" t="s">
        <v>350</v>
      </c>
      <c r="H414" s="77">
        <v>2</v>
      </c>
      <c r="I414" s="55"/>
      <c r="J414" s="74">
        <v>44649</v>
      </c>
      <c r="K414" s="74"/>
      <c r="L414" s="74" t="s">
        <v>6784</v>
      </c>
      <c r="M414" s="55"/>
      <c r="N414" s="55" t="s">
        <v>344</v>
      </c>
      <c r="O414" s="73" t="s">
        <v>360</v>
      </c>
    </row>
    <row r="415" spans="1:15" s="73" customFormat="1" ht="13" x14ac:dyDescent="0.15">
      <c r="A415" s="55">
        <v>2679067</v>
      </c>
      <c r="B415" s="55" t="s">
        <v>373</v>
      </c>
      <c r="C415" s="55" t="s">
        <v>172</v>
      </c>
      <c r="D415" s="55" t="s">
        <v>172</v>
      </c>
      <c r="E415" s="55" t="s">
        <v>228</v>
      </c>
      <c r="F415" s="55" t="s">
        <v>459</v>
      </c>
      <c r="G415" s="55" t="s">
        <v>350</v>
      </c>
      <c r="H415" s="77">
        <v>4</v>
      </c>
      <c r="I415" s="55"/>
      <c r="J415" s="74">
        <v>44644</v>
      </c>
      <c r="K415" s="74"/>
      <c r="L415" s="74" t="s">
        <v>6784</v>
      </c>
      <c r="M415" s="55"/>
      <c r="N415" s="55" t="s">
        <v>344</v>
      </c>
      <c r="O415" s="73" t="s">
        <v>360</v>
      </c>
    </row>
    <row r="416" spans="1:15" s="73" customFormat="1" ht="13" x14ac:dyDescent="0.15">
      <c r="A416" s="55" t="s">
        <v>6789</v>
      </c>
      <c r="B416" s="55" t="s">
        <v>373</v>
      </c>
      <c r="C416" s="55" t="s">
        <v>136</v>
      </c>
      <c r="D416" s="55" t="s">
        <v>136</v>
      </c>
      <c r="E416" s="55" t="s">
        <v>174</v>
      </c>
      <c r="F416" s="55" t="s">
        <v>651</v>
      </c>
      <c r="G416" s="55" t="s">
        <v>350</v>
      </c>
      <c r="H416" s="77">
        <v>1</v>
      </c>
      <c r="I416" s="55"/>
      <c r="J416" s="74">
        <v>37300</v>
      </c>
      <c r="K416" s="74">
        <v>44524</v>
      </c>
      <c r="L416" s="74"/>
      <c r="M416" s="55" t="s">
        <v>6778</v>
      </c>
      <c r="N416" s="55" t="s">
        <v>6707</v>
      </c>
      <c r="O416" s="73" t="s">
        <v>360</v>
      </c>
    </row>
    <row r="417" spans="1:15" s="73" customFormat="1" ht="13" x14ac:dyDescent="0.15">
      <c r="A417" s="55" t="s">
        <v>6790</v>
      </c>
      <c r="B417" s="55" t="s">
        <v>373</v>
      </c>
      <c r="C417" s="55" t="s">
        <v>142</v>
      </c>
      <c r="D417" s="55" t="s">
        <v>142</v>
      </c>
      <c r="E417" s="55" t="s">
        <v>262</v>
      </c>
      <c r="F417" s="55" t="s">
        <v>618</v>
      </c>
      <c r="G417" s="55" t="s">
        <v>350</v>
      </c>
      <c r="H417" s="77">
        <v>6</v>
      </c>
      <c r="I417" s="55"/>
      <c r="J417" s="74">
        <v>35800</v>
      </c>
      <c r="K417" s="74">
        <v>44477</v>
      </c>
      <c r="L417" s="74"/>
      <c r="M417" s="55" t="s">
        <v>6778</v>
      </c>
      <c r="N417" s="55" t="s">
        <v>6707</v>
      </c>
      <c r="O417" s="73" t="s">
        <v>360</v>
      </c>
    </row>
    <row r="418" spans="1:15" s="73" customFormat="1" ht="13" x14ac:dyDescent="0.15">
      <c r="A418" s="55" t="s">
        <v>6791</v>
      </c>
      <c r="B418" s="55" t="s">
        <v>413</v>
      </c>
      <c r="C418" s="55" t="s">
        <v>378</v>
      </c>
      <c r="D418" s="55" t="s">
        <v>170</v>
      </c>
      <c r="E418" s="55" t="s">
        <v>178</v>
      </c>
      <c r="F418" s="55" t="s">
        <v>434</v>
      </c>
      <c r="G418" s="55" t="s">
        <v>380</v>
      </c>
      <c r="H418" s="77">
        <v>20</v>
      </c>
      <c r="I418" s="55"/>
      <c r="J418" s="74">
        <v>37300</v>
      </c>
      <c r="K418" s="74">
        <v>44439</v>
      </c>
      <c r="L418" s="74"/>
      <c r="M418" s="55" t="s">
        <v>6778</v>
      </c>
      <c r="N418" s="55" t="s">
        <v>6707</v>
      </c>
      <c r="O418" s="73" t="s">
        <v>6792</v>
      </c>
    </row>
    <row r="419" spans="1:15" s="73" customFormat="1" ht="13" x14ac:dyDescent="0.15">
      <c r="A419" s="55" t="s">
        <v>6734</v>
      </c>
      <c r="B419" s="55" t="s">
        <v>479</v>
      </c>
      <c r="C419" s="55" t="s">
        <v>378</v>
      </c>
      <c r="D419" s="55" t="s">
        <v>134</v>
      </c>
      <c r="E419" s="55" t="s">
        <v>175</v>
      </c>
      <c r="F419" s="55" t="s">
        <v>678</v>
      </c>
      <c r="G419" s="55" t="s">
        <v>350</v>
      </c>
      <c r="H419" s="77">
        <v>32</v>
      </c>
      <c r="I419" s="55"/>
      <c r="J419" s="74">
        <v>35082</v>
      </c>
      <c r="K419" s="74">
        <v>44522</v>
      </c>
      <c r="L419" s="74"/>
      <c r="M419" s="55" t="s">
        <v>6778</v>
      </c>
      <c r="N419" s="55" t="s">
        <v>6707</v>
      </c>
      <c r="O419" s="73" t="s">
        <v>360</v>
      </c>
    </row>
    <row r="420" spans="1:15" s="73" customFormat="1" ht="13" x14ac:dyDescent="0.15">
      <c r="A420" s="55" t="s">
        <v>6735</v>
      </c>
      <c r="B420" s="55" t="s">
        <v>479</v>
      </c>
      <c r="C420" s="55" t="s">
        <v>138</v>
      </c>
      <c r="D420" s="55" t="s">
        <v>138</v>
      </c>
      <c r="E420" s="55" t="s">
        <v>159</v>
      </c>
      <c r="F420" s="55" t="s">
        <v>1025</v>
      </c>
      <c r="G420" s="55" t="s">
        <v>362</v>
      </c>
      <c r="H420" s="77">
        <v>7</v>
      </c>
      <c r="I420" s="55"/>
      <c r="J420" s="74">
        <v>33939</v>
      </c>
      <c r="K420" s="74">
        <v>44500</v>
      </c>
      <c r="L420" s="74"/>
      <c r="M420" s="55" t="s">
        <v>6778</v>
      </c>
      <c r="N420" s="55" t="s">
        <v>6707</v>
      </c>
      <c r="O420" s="73" t="s">
        <v>360</v>
      </c>
    </row>
    <row r="421" spans="1:15" s="73" customFormat="1" ht="13" x14ac:dyDescent="0.15">
      <c r="A421" s="55" t="s">
        <v>6793</v>
      </c>
      <c r="B421" s="55" t="s">
        <v>373</v>
      </c>
      <c r="C421" s="55" t="s">
        <v>144</v>
      </c>
      <c r="D421" s="55" t="s">
        <v>144</v>
      </c>
      <c r="E421" s="55" t="s">
        <v>261</v>
      </c>
      <c r="F421" s="55" t="s">
        <v>512</v>
      </c>
      <c r="G421" s="55" t="s">
        <v>350</v>
      </c>
      <c r="H421" s="77">
        <v>1</v>
      </c>
      <c r="I421" s="55"/>
      <c r="J421" s="74">
        <v>37092</v>
      </c>
      <c r="K421" s="74">
        <v>44287</v>
      </c>
      <c r="L421" s="74"/>
      <c r="M421" s="55" t="s">
        <v>6778</v>
      </c>
      <c r="N421" s="55" t="s">
        <v>6707</v>
      </c>
      <c r="O421" s="73" t="s">
        <v>360</v>
      </c>
    </row>
    <row r="422" spans="1:15" s="73" customFormat="1" ht="13" x14ac:dyDescent="0.15">
      <c r="A422" s="55" t="s">
        <v>6794</v>
      </c>
      <c r="B422" s="55" t="s">
        <v>373</v>
      </c>
      <c r="C422" s="55" t="s">
        <v>144</v>
      </c>
      <c r="D422" s="55" t="s">
        <v>144</v>
      </c>
      <c r="E422" s="55" t="s">
        <v>261</v>
      </c>
      <c r="F422" s="55" t="s">
        <v>792</v>
      </c>
      <c r="G422" s="55" t="s">
        <v>350</v>
      </c>
      <c r="H422" s="77">
        <v>1</v>
      </c>
      <c r="I422" s="55"/>
      <c r="J422" s="74">
        <v>37092</v>
      </c>
      <c r="K422" s="74">
        <v>44314</v>
      </c>
      <c r="L422" s="74"/>
      <c r="M422" s="55" t="s">
        <v>6778</v>
      </c>
      <c r="N422" s="55" t="s">
        <v>6707</v>
      </c>
      <c r="O422" s="73" t="s">
        <v>360</v>
      </c>
    </row>
    <row r="423" spans="1:15" s="73" customFormat="1" ht="13" x14ac:dyDescent="0.15">
      <c r="A423" s="55" t="s">
        <v>6795</v>
      </c>
      <c r="B423" s="55" t="s">
        <v>373</v>
      </c>
      <c r="C423" s="55" t="s">
        <v>144</v>
      </c>
      <c r="D423" s="55" t="s">
        <v>144</v>
      </c>
      <c r="E423" s="55" t="s">
        <v>261</v>
      </c>
      <c r="F423" s="55" t="s">
        <v>792</v>
      </c>
      <c r="G423" s="55" t="s">
        <v>350</v>
      </c>
      <c r="H423" s="77">
        <v>1</v>
      </c>
      <c r="I423" s="55"/>
      <c r="J423" s="74">
        <v>37160</v>
      </c>
      <c r="K423" s="74">
        <v>44287</v>
      </c>
      <c r="L423" s="74"/>
      <c r="M423" s="55" t="s">
        <v>6778</v>
      </c>
      <c r="N423" s="55" t="s">
        <v>6707</v>
      </c>
      <c r="O423" s="73" t="s">
        <v>360</v>
      </c>
    </row>
    <row r="424" spans="1:15" s="73" customFormat="1" ht="13" x14ac:dyDescent="0.15">
      <c r="A424" s="55" t="s">
        <v>6796</v>
      </c>
      <c r="B424" s="55" t="s">
        <v>413</v>
      </c>
      <c r="C424" s="55" t="s">
        <v>144</v>
      </c>
      <c r="D424" s="55" t="s">
        <v>144</v>
      </c>
      <c r="E424" s="55" t="s">
        <v>261</v>
      </c>
      <c r="F424" s="55" t="s">
        <v>512</v>
      </c>
      <c r="G424" s="55" t="s">
        <v>362</v>
      </c>
      <c r="H424" s="77">
        <v>6</v>
      </c>
      <c r="I424" s="55"/>
      <c r="J424" s="74">
        <v>37305</v>
      </c>
      <c r="K424" s="74">
        <v>44399</v>
      </c>
      <c r="L424" s="74"/>
      <c r="M424" s="55" t="s">
        <v>6778</v>
      </c>
      <c r="N424" s="55" t="s">
        <v>6707</v>
      </c>
      <c r="O424" s="73" t="s">
        <v>6797</v>
      </c>
    </row>
    <row r="425" spans="1:15" s="73" customFormat="1" ht="13" x14ac:dyDescent="0.15">
      <c r="A425" s="55" t="s">
        <v>6798</v>
      </c>
      <c r="B425" s="55" t="s">
        <v>413</v>
      </c>
      <c r="C425" s="55" t="s">
        <v>150</v>
      </c>
      <c r="D425" s="55" t="s">
        <v>150</v>
      </c>
      <c r="E425" s="55" t="s">
        <v>203</v>
      </c>
      <c r="F425" s="55" t="s">
        <v>632</v>
      </c>
      <c r="G425" s="55" t="s">
        <v>362</v>
      </c>
      <c r="H425" s="77">
        <v>100</v>
      </c>
      <c r="I425" s="55"/>
      <c r="J425" s="74">
        <v>37305</v>
      </c>
      <c r="K425" s="74">
        <v>44286</v>
      </c>
      <c r="L425" s="74"/>
      <c r="M425" s="55" t="s">
        <v>6778</v>
      </c>
      <c r="N425" s="55" t="s">
        <v>6707</v>
      </c>
      <c r="O425" s="73" t="s">
        <v>6799</v>
      </c>
    </row>
    <row r="426" spans="1:15" s="73" customFormat="1" ht="13" x14ac:dyDescent="0.15">
      <c r="A426" s="55" t="s">
        <v>6800</v>
      </c>
      <c r="B426" s="55" t="s">
        <v>413</v>
      </c>
      <c r="C426" s="55" t="s">
        <v>138</v>
      </c>
      <c r="D426" s="55" t="s">
        <v>138</v>
      </c>
      <c r="E426" s="55" t="s">
        <v>266</v>
      </c>
      <c r="F426" s="55" t="s">
        <v>1622</v>
      </c>
      <c r="G426" s="55" t="s">
        <v>380</v>
      </c>
      <c r="H426" s="77">
        <v>12</v>
      </c>
      <c r="I426" s="55"/>
      <c r="J426" s="74">
        <v>37305</v>
      </c>
      <c r="K426" s="74">
        <v>44308</v>
      </c>
      <c r="L426" s="74"/>
      <c r="M426" s="55" t="s">
        <v>6778</v>
      </c>
      <c r="N426" s="55" t="s">
        <v>6707</v>
      </c>
      <c r="O426" s="73" t="s">
        <v>2183</v>
      </c>
    </row>
    <row r="427" spans="1:15" s="73" customFormat="1" ht="13" x14ac:dyDescent="0.15">
      <c r="A427" s="55" t="s">
        <v>6801</v>
      </c>
      <c r="B427" s="55" t="s">
        <v>373</v>
      </c>
      <c r="C427" s="55" t="s">
        <v>129</v>
      </c>
      <c r="D427" s="55" t="s">
        <v>129</v>
      </c>
      <c r="E427" s="55" t="s">
        <v>242</v>
      </c>
      <c r="F427" s="55" t="s">
        <v>1519</v>
      </c>
      <c r="G427" s="55" t="s">
        <v>350</v>
      </c>
      <c r="H427" s="77">
        <v>5</v>
      </c>
      <c r="I427" s="55"/>
      <c r="J427" s="74">
        <v>35286</v>
      </c>
      <c r="K427" s="74">
        <v>44463</v>
      </c>
      <c r="L427" s="74"/>
      <c r="M427" s="55" t="s">
        <v>6778</v>
      </c>
      <c r="N427" s="55" t="s">
        <v>6707</v>
      </c>
      <c r="O427" s="73" t="s">
        <v>360</v>
      </c>
    </row>
    <row r="428" spans="1:15" s="73" customFormat="1" ht="13" x14ac:dyDescent="0.15">
      <c r="A428" s="55" t="s">
        <v>6802</v>
      </c>
      <c r="B428" s="55" t="s">
        <v>451</v>
      </c>
      <c r="C428" s="55" t="s">
        <v>129</v>
      </c>
      <c r="D428" s="55" t="s">
        <v>129</v>
      </c>
      <c r="E428" s="55" t="s">
        <v>280</v>
      </c>
      <c r="F428" s="55" t="s">
        <v>6803</v>
      </c>
      <c r="G428" s="55" t="s">
        <v>380</v>
      </c>
      <c r="H428" s="77">
        <v>5</v>
      </c>
      <c r="I428" s="55"/>
      <c r="J428" s="74">
        <v>37874</v>
      </c>
      <c r="K428" s="74">
        <v>44469</v>
      </c>
      <c r="L428" s="74"/>
      <c r="M428" s="55" t="s">
        <v>6778</v>
      </c>
      <c r="N428" s="55" t="s">
        <v>6707</v>
      </c>
      <c r="O428" s="73" t="s">
        <v>6804</v>
      </c>
    </row>
    <row r="429" spans="1:15" s="73" customFormat="1" ht="13" x14ac:dyDescent="0.15">
      <c r="A429" s="55" t="s">
        <v>6805</v>
      </c>
      <c r="B429" s="55" t="s">
        <v>373</v>
      </c>
      <c r="C429" s="55" t="s">
        <v>129</v>
      </c>
      <c r="D429" s="55" t="s">
        <v>129</v>
      </c>
      <c r="E429" s="55" t="s">
        <v>131</v>
      </c>
      <c r="F429" s="55" t="s">
        <v>1721</v>
      </c>
      <c r="G429" s="55" t="s">
        <v>380</v>
      </c>
      <c r="H429" s="77">
        <v>6</v>
      </c>
      <c r="I429" s="55"/>
      <c r="J429" s="74">
        <v>38383</v>
      </c>
      <c r="K429" s="74">
        <v>44377</v>
      </c>
      <c r="L429" s="74"/>
      <c r="M429" s="55" t="s">
        <v>6778</v>
      </c>
      <c r="N429" s="55" t="s">
        <v>6707</v>
      </c>
      <c r="O429" s="73" t="s">
        <v>360</v>
      </c>
    </row>
    <row r="430" spans="1:15" ht="13" x14ac:dyDescent="0.15">
      <c r="A430" s="55" t="s">
        <v>6736</v>
      </c>
      <c r="B430" s="55" t="s">
        <v>373</v>
      </c>
      <c r="C430" s="55" t="s">
        <v>136</v>
      </c>
      <c r="D430" s="55" t="s">
        <v>136</v>
      </c>
      <c r="E430" s="55" t="s">
        <v>154</v>
      </c>
      <c r="F430" s="55" t="s">
        <v>1818</v>
      </c>
      <c r="G430" s="55" t="s">
        <v>380</v>
      </c>
      <c r="H430" s="77">
        <v>5</v>
      </c>
      <c r="I430" s="55"/>
      <c r="J430" s="74">
        <v>37726</v>
      </c>
      <c r="K430" s="74">
        <v>44522</v>
      </c>
      <c r="L430" s="74"/>
      <c r="M430" s="55" t="s">
        <v>6778</v>
      </c>
      <c r="N430" s="55" t="s">
        <v>6707</v>
      </c>
      <c r="O430" s="55" t="s">
        <v>360</v>
      </c>
    </row>
    <row r="431" spans="1:15" ht="13" x14ac:dyDescent="0.15">
      <c r="A431" s="55" t="s">
        <v>6737</v>
      </c>
      <c r="B431" s="55" t="s">
        <v>373</v>
      </c>
      <c r="C431" s="55" t="s">
        <v>378</v>
      </c>
      <c r="D431" s="55" t="s">
        <v>170</v>
      </c>
      <c r="E431" s="55" t="s">
        <v>178</v>
      </c>
      <c r="F431" s="55" t="s">
        <v>434</v>
      </c>
      <c r="G431" s="55" t="s">
        <v>380</v>
      </c>
      <c r="H431" s="77">
        <v>4</v>
      </c>
      <c r="I431" s="55"/>
      <c r="J431" s="74">
        <v>37869</v>
      </c>
      <c r="K431" s="74">
        <v>44356</v>
      </c>
      <c r="L431" s="74"/>
      <c r="M431" s="55" t="s">
        <v>6778</v>
      </c>
      <c r="N431" s="55" t="s">
        <v>6707</v>
      </c>
      <c r="O431" s="55" t="s">
        <v>360</v>
      </c>
    </row>
    <row r="432" spans="1:15" ht="13" x14ac:dyDescent="0.15">
      <c r="A432" s="55" t="s">
        <v>6738</v>
      </c>
      <c r="B432" s="55" t="s">
        <v>479</v>
      </c>
      <c r="C432" s="55" t="s">
        <v>378</v>
      </c>
      <c r="D432" s="55" t="s">
        <v>134</v>
      </c>
      <c r="E432" s="55" t="s">
        <v>175</v>
      </c>
      <c r="F432" s="55" t="s">
        <v>678</v>
      </c>
      <c r="G432" s="55" t="s">
        <v>350</v>
      </c>
      <c r="H432" s="77">
        <v>37</v>
      </c>
      <c r="I432" s="55"/>
      <c r="J432" s="74">
        <v>37921</v>
      </c>
      <c r="K432" s="74">
        <v>44522</v>
      </c>
      <c r="L432" s="74"/>
      <c r="M432" s="55" t="s">
        <v>6778</v>
      </c>
      <c r="N432" s="55" t="s">
        <v>6707</v>
      </c>
      <c r="O432" s="55" t="s">
        <v>360</v>
      </c>
    </row>
    <row r="433" spans="1:15" ht="13" x14ac:dyDescent="0.15">
      <c r="A433" s="55" t="s">
        <v>6806</v>
      </c>
      <c r="B433" s="55" t="s">
        <v>373</v>
      </c>
      <c r="C433" s="55" t="s">
        <v>142</v>
      </c>
      <c r="D433" s="55" t="s">
        <v>142</v>
      </c>
      <c r="E433" s="55" t="s">
        <v>278</v>
      </c>
      <c r="F433" s="55" t="s">
        <v>1126</v>
      </c>
      <c r="G433" s="55" t="s">
        <v>380</v>
      </c>
      <c r="H433" s="77">
        <v>4</v>
      </c>
      <c r="I433" s="55"/>
      <c r="J433" s="74">
        <v>37711</v>
      </c>
      <c r="K433" s="74">
        <v>44316</v>
      </c>
      <c r="L433" s="74"/>
      <c r="M433" s="55" t="s">
        <v>6778</v>
      </c>
      <c r="N433" s="55" t="s">
        <v>6707</v>
      </c>
      <c r="O433" s="55" t="s">
        <v>360</v>
      </c>
    </row>
    <row r="434" spans="1:15" ht="13" x14ac:dyDescent="0.15">
      <c r="A434" s="55" t="s">
        <v>6807</v>
      </c>
      <c r="B434" s="55" t="s">
        <v>373</v>
      </c>
      <c r="C434" s="55" t="s">
        <v>172</v>
      </c>
      <c r="D434" s="55" t="s">
        <v>172</v>
      </c>
      <c r="E434" s="55" t="s">
        <v>235</v>
      </c>
      <c r="F434" s="55" t="s">
        <v>628</v>
      </c>
      <c r="G434" s="55" t="s">
        <v>380</v>
      </c>
      <c r="H434" s="77">
        <v>12</v>
      </c>
      <c r="I434" s="55"/>
      <c r="J434" s="74">
        <v>37942</v>
      </c>
      <c r="K434" s="74">
        <v>44585</v>
      </c>
      <c r="L434" s="74"/>
      <c r="M434" s="55" t="s">
        <v>6778</v>
      </c>
      <c r="N434" s="55" t="s">
        <v>6707</v>
      </c>
      <c r="O434" s="55" t="s">
        <v>360</v>
      </c>
    </row>
    <row r="435" spans="1:15" ht="13" x14ac:dyDescent="0.15">
      <c r="A435" s="55" t="s">
        <v>6808</v>
      </c>
      <c r="B435" s="55" t="s">
        <v>413</v>
      </c>
      <c r="C435" s="55" t="s">
        <v>136</v>
      </c>
      <c r="D435" s="55" t="s">
        <v>136</v>
      </c>
      <c r="E435" s="55" t="s">
        <v>239</v>
      </c>
      <c r="F435" s="55" t="s">
        <v>964</v>
      </c>
      <c r="G435" s="55" t="s">
        <v>380</v>
      </c>
      <c r="H435" s="77">
        <v>16</v>
      </c>
      <c r="I435" s="55"/>
      <c r="J435" s="74">
        <v>37518</v>
      </c>
      <c r="K435" s="74">
        <v>44547</v>
      </c>
      <c r="L435" s="74"/>
      <c r="M435" s="55" t="s">
        <v>6778</v>
      </c>
      <c r="N435" s="55" t="s">
        <v>6707</v>
      </c>
      <c r="O435" s="55" t="s">
        <v>6809</v>
      </c>
    </row>
    <row r="436" spans="1:15" ht="13" x14ac:dyDescent="0.15">
      <c r="A436" s="55" t="s">
        <v>6810</v>
      </c>
      <c r="B436" s="55" t="s">
        <v>413</v>
      </c>
      <c r="C436" s="55" t="s">
        <v>172</v>
      </c>
      <c r="D436" s="55" t="s">
        <v>172</v>
      </c>
      <c r="E436" s="55" t="s">
        <v>214</v>
      </c>
      <c r="F436" s="55" t="s">
        <v>3937</v>
      </c>
      <c r="G436" s="55" t="s">
        <v>380</v>
      </c>
      <c r="H436" s="77">
        <v>8</v>
      </c>
      <c r="I436" s="55"/>
      <c r="J436" s="74">
        <v>37533</v>
      </c>
      <c r="K436" s="74">
        <v>44264</v>
      </c>
      <c r="L436" s="74"/>
      <c r="M436" s="55" t="s">
        <v>6778</v>
      </c>
      <c r="N436" s="55" t="s">
        <v>6707</v>
      </c>
      <c r="O436" s="55" t="s">
        <v>6811</v>
      </c>
    </row>
    <row r="437" spans="1:15" ht="13" x14ac:dyDescent="0.15">
      <c r="A437" s="55" t="s">
        <v>6740</v>
      </c>
      <c r="B437" s="55" t="s">
        <v>373</v>
      </c>
      <c r="C437" s="55" t="s">
        <v>150</v>
      </c>
      <c r="D437" s="55" t="s">
        <v>150</v>
      </c>
      <c r="E437" s="55" t="s">
        <v>268</v>
      </c>
      <c r="F437" s="55" t="s">
        <v>2666</v>
      </c>
      <c r="G437" s="55" t="s">
        <v>380</v>
      </c>
      <c r="H437" s="77">
        <v>6</v>
      </c>
      <c r="I437" s="55"/>
      <c r="J437" s="74">
        <v>37904</v>
      </c>
      <c r="K437" s="74">
        <v>44613</v>
      </c>
      <c r="L437" s="74"/>
      <c r="M437" s="55" t="s">
        <v>6778</v>
      </c>
      <c r="N437" s="55" t="s">
        <v>6707</v>
      </c>
      <c r="O437" s="55" t="s">
        <v>360</v>
      </c>
    </row>
    <row r="438" spans="1:15" ht="13" x14ac:dyDescent="0.15">
      <c r="A438" s="55" t="s">
        <v>6812</v>
      </c>
      <c r="B438" s="55" t="s">
        <v>413</v>
      </c>
      <c r="C438" s="55" t="s">
        <v>150</v>
      </c>
      <c r="D438" s="55" t="s">
        <v>150</v>
      </c>
      <c r="E438" s="55" t="s">
        <v>285</v>
      </c>
      <c r="F438" s="55" t="s">
        <v>1902</v>
      </c>
      <c r="G438" s="55" t="s">
        <v>380</v>
      </c>
      <c r="H438" s="77">
        <v>21</v>
      </c>
      <c r="I438" s="55"/>
      <c r="J438" s="74">
        <v>37657</v>
      </c>
      <c r="K438" s="74">
        <v>43756</v>
      </c>
      <c r="L438" s="74"/>
      <c r="M438" s="55" t="s">
        <v>6778</v>
      </c>
      <c r="N438" s="55" t="s">
        <v>6707</v>
      </c>
      <c r="O438" s="55" t="s">
        <v>6813</v>
      </c>
    </row>
    <row r="439" spans="1:15" ht="13" x14ac:dyDescent="0.15">
      <c r="A439" s="55" t="s">
        <v>6814</v>
      </c>
      <c r="B439" s="55" t="s">
        <v>389</v>
      </c>
      <c r="C439" s="55" t="s">
        <v>172</v>
      </c>
      <c r="D439" s="55" t="s">
        <v>172</v>
      </c>
      <c r="E439" s="55" t="s">
        <v>171</v>
      </c>
      <c r="F439" s="55" t="s">
        <v>1125</v>
      </c>
      <c r="G439" s="55" t="s">
        <v>362</v>
      </c>
      <c r="H439" s="77"/>
      <c r="I439" s="55"/>
      <c r="J439" s="74">
        <v>37935</v>
      </c>
      <c r="K439" s="74">
        <v>44572</v>
      </c>
      <c r="L439" s="74"/>
      <c r="M439" s="55" t="s">
        <v>6778</v>
      </c>
      <c r="N439" s="55" t="s">
        <v>6707</v>
      </c>
      <c r="O439" s="55" t="s">
        <v>6815</v>
      </c>
    </row>
    <row r="440" spans="1:15" ht="13" x14ac:dyDescent="0.15">
      <c r="A440" s="55" t="s">
        <v>6816</v>
      </c>
      <c r="B440" s="55" t="s">
        <v>451</v>
      </c>
      <c r="C440" s="55" t="s">
        <v>129</v>
      </c>
      <c r="D440" s="55" t="s">
        <v>129</v>
      </c>
      <c r="E440" s="55" t="s">
        <v>208</v>
      </c>
      <c r="F440" s="55" t="s">
        <v>3178</v>
      </c>
      <c r="G440" s="55" t="s">
        <v>362</v>
      </c>
      <c r="H440" s="77">
        <v>5</v>
      </c>
      <c r="I440" s="55"/>
      <c r="J440" s="74">
        <v>38044</v>
      </c>
      <c r="K440" s="74">
        <v>44602</v>
      </c>
      <c r="L440" s="74"/>
      <c r="M440" s="55" t="s">
        <v>6778</v>
      </c>
      <c r="N440" s="55" t="s">
        <v>6707</v>
      </c>
      <c r="O440" s="55" t="s">
        <v>4060</v>
      </c>
    </row>
    <row r="441" spans="1:15" ht="13" x14ac:dyDescent="0.15">
      <c r="A441" s="55" t="s">
        <v>6817</v>
      </c>
      <c r="B441" s="55" t="s">
        <v>468</v>
      </c>
      <c r="C441" s="55" t="s">
        <v>378</v>
      </c>
      <c r="D441" s="55" t="s">
        <v>170</v>
      </c>
      <c r="E441" s="55" t="s">
        <v>231</v>
      </c>
      <c r="F441" s="55" t="s">
        <v>3128</v>
      </c>
      <c r="G441" s="55" t="s">
        <v>362</v>
      </c>
      <c r="H441" s="77"/>
      <c r="I441" s="55"/>
      <c r="J441" s="74">
        <v>37790</v>
      </c>
      <c r="K441" s="74">
        <v>44470</v>
      </c>
      <c r="L441" s="74"/>
      <c r="M441" s="55" t="s">
        <v>6778</v>
      </c>
      <c r="N441" s="55" t="s">
        <v>6707</v>
      </c>
      <c r="O441" s="55" t="s">
        <v>1884</v>
      </c>
    </row>
    <row r="442" spans="1:15" ht="13" x14ac:dyDescent="0.15">
      <c r="A442" s="55" t="s">
        <v>6818</v>
      </c>
      <c r="B442" s="55" t="s">
        <v>468</v>
      </c>
      <c r="C442" s="55" t="s">
        <v>172</v>
      </c>
      <c r="D442" s="55" t="s">
        <v>172</v>
      </c>
      <c r="E442" s="55" t="s">
        <v>235</v>
      </c>
      <c r="F442" s="55" t="s">
        <v>948</v>
      </c>
      <c r="G442" s="55" t="s">
        <v>362</v>
      </c>
      <c r="H442" s="77"/>
      <c r="I442" s="55"/>
      <c r="J442" s="74">
        <v>37790</v>
      </c>
      <c r="K442" s="74">
        <v>44561</v>
      </c>
      <c r="L442" s="74"/>
      <c r="M442" s="55" t="s">
        <v>6778</v>
      </c>
      <c r="N442" s="55" t="s">
        <v>6707</v>
      </c>
      <c r="O442" s="55" t="s">
        <v>6819</v>
      </c>
    </row>
    <row r="443" spans="1:15" ht="13" x14ac:dyDescent="0.15">
      <c r="A443" s="55" t="s">
        <v>4189</v>
      </c>
      <c r="B443" s="55" t="s">
        <v>398</v>
      </c>
      <c r="C443" s="55" t="s">
        <v>150</v>
      </c>
      <c r="D443" s="55" t="s">
        <v>150</v>
      </c>
      <c r="E443" s="55" t="s">
        <v>153</v>
      </c>
      <c r="F443" s="55" t="s">
        <v>829</v>
      </c>
      <c r="G443" s="55" t="s">
        <v>350</v>
      </c>
      <c r="H443" s="77">
        <v>688</v>
      </c>
      <c r="I443" s="55"/>
      <c r="J443" s="74">
        <v>37819</v>
      </c>
      <c r="L443" s="74" t="s">
        <v>6784</v>
      </c>
      <c r="N443" s="55" t="s">
        <v>344</v>
      </c>
      <c r="O443" s="55" t="s">
        <v>4190</v>
      </c>
    </row>
    <row r="444" spans="1:15" ht="13" x14ac:dyDescent="0.15">
      <c r="A444" s="55" t="s">
        <v>6820</v>
      </c>
      <c r="B444" s="55" t="s">
        <v>398</v>
      </c>
      <c r="C444" s="55" t="s">
        <v>378</v>
      </c>
      <c r="D444" s="55" t="s">
        <v>134</v>
      </c>
      <c r="E444" s="55" t="s">
        <v>151</v>
      </c>
      <c r="F444" s="55" t="s">
        <v>862</v>
      </c>
      <c r="G444" s="55" t="s">
        <v>350</v>
      </c>
      <c r="H444" s="77">
        <v>170</v>
      </c>
      <c r="I444" s="55"/>
      <c r="J444" s="74">
        <v>37823</v>
      </c>
      <c r="L444" s="74"/>
      <c r="M444" s="55" t="s">
        <v>6778</v>
      </c>
      <c r="N444" s="55" t="s">
        <v>344</v>
      </c>
      <c r="O444" s="55" t="s">
        <v>6821</v>
      </c>
    </row>
    <row r="445" spans="1:15" ht="13" x14ac:dyDescent="0.15">
      <c r="A445" s="55" t="s">
        <v>6822</v>
      </c>
      <c r="B445" s="55" t="s">
        <v>468</v>
      </c>
      <c r="C445" s="55" t="s">
        <v>142</v>
      </c>
      <c r="D445" s="55" t="s">
        <v>142</v>
      </c>
      <c r="E445" s="55" t="s">
        <v>177</v>
      </c>
      <c r="F445" s="55" t="s">
        <v>1406</v>
      </c>
      <c r="G445" s="55" t="s">
        <v>362</v>
      </c>
      <c r="H445" s="77"/>
      <c r="I445" s="55"/>
      <c r="J445" s="74">
        <v>37844</v>
      </c>
      <c r="K445" s="74">
        <v>44228</v>
      </c>
      <c r="L445" s="74"/>
      <c r="M445" s="55" t="s">
        <v>6778</v>
      </c>
      <c r="N445" s="55" t="s">
        <v>6707</v>
      </c>
      <c r="O445" s="55" t="s">
        <v>6823</v>
      </c>
    </row>
    <row r="446" spans="1:15" ht="13" x14ac:dyDescent="0.15">
      <c r="A446" s="55" t="s">
        <v>6741</v>
      </c>
      <c r="B446" s="55" t="s">
        <v>479</v>
      </c>
      <c r="C446" s="55" t="s">
        <v>144</v>
      </c>
      <c r="D446" s="55" t="s">
        <v>144</v>
      </c>
      <c r="E446" s="55" t="s">
        <v>250</v>
      </c>
      <c r="F446" s="55" t="s">
        <v>759</v>
      </c>
      <c r="G446" s="55" t="s">
        <v>362</v>
      </c>
      <c r="H446" s="77">
        <v>8</v>
      </c>
      <c r="I446" s="55"/>
      <c r="J446" s="74">
        <v>38202</v>
      </c>
      <c r="K446" s="74">
        <v>44448</v>
      </c>
      <c r="L446" s="74"/>
      <c r="M446" s="55" t="s">
        <v>6778</v>
      </c>
      <c r="N446" s="55" t="s">
        <v>6707</v>
      </c>
      <c r="O446" s="55" t="s">
        <v>360</v>
      </c>
    </row>
    <row r="447" spans="1:15" ht="13" x14ac:dyDescent="0.15">
      <c r="A447" s="55" t="s">
        <v>6824</v>
      </c>
      <c r="B447" s="55" t="s">
        <v>373</v>
      </c>
      <c r="C447" s="55" t="s">
        <v>136</v>
      </c>
      <c r="D447" s="55" t="s">
        <v>136</v>
      </c>
      <c r="E447" s="55" t="s">
        <v>288</v>
      </c>
      <c r="F447" s="55" t="s">
        <v>1037</v>
      </c>
      <c r="G447" s="55" t="s">
        <v>350</v>
      </c>
      <c r="H447" s="77">
        <v>1</v>
      </c>
      <c r="I447" s="55"/>
      <c r="J447" s="74">
        <v>38070</v>
      </c>
      <c r="K447" s="74">
        <v>44585</v>
      </c>
      <c r="L447" s="74"/>
      <c r="M447" s="55" t="s">
        <v>6778</v>
      </c>
      <c r="N447" s="55" t="s">
        <v>6707</v>
      </c>
      <c r="O447" s="55" t="s">
        <v>360</v>
      </c>
    </row>
    <row r="448" spans="1:15" ht="13" x14ac:dyDescent="0.15">
      <c r="A448" s="55" t="s">
        <v>6825</v>
      </c>
      <c r="B448" s="55" t="s">
        <v>693</v>
      </c>
      <c r="C448" s="55" t="s">
        <v>172</v>
      </c>
      <c r="D448" s="55" t="s">
        <v>172</v>
      </c>
      <c r="E448" s="55" t="s">
        <v>173</v>
      </c>
      <c r="F448" s="55" t="s">
        <v>1125</v>
      </c>
      <c r="G448" s="55" t="s">
        <v>362</v>
      </c>
      <c r="H448" s="77">
        <v>8</v>
      </c>
      <c r="I448" s="55"/>
      <c r="J448" s="74">
        <v>38035</v>
      </c>
      <c r="K448" s="74">
        <v>43891</v>
      </c>
      <c r="L448" s="74"/>
      <c r="M448" s="55" t="s">
        <v>6778</v>
      </c>
      <c r="N448" s="55" t="s">
        <v>6707</v>
      </c>
      <c r="O448" s="55" t="s">
        <v>6826</v>
      </c>
    </row>
    <row r="449" spans="1:15" ht="13" x14ac:dyDescent="0.15">
      <c r="A449" s="55" t="s">
        <v>6827</v>
      </c>
      <c r="B449" s="55" t="s">
        <v>398</v>
      </c>
      <c r="C449" s="55" t="s">
        <v>172</v>
      </c>
      <c r="D449" s="55" t="s">
        <v>172</v>
      </c>
      <c r="E449" s="55" t="s">
        <v>214</v>
      </c>
      <c r="F449" s="55" t="s">
        <v>1632</v>
      </c>
      <c r="G449" s="55" t="s">
        <v>420</v>
      </c>
      <c r="H449" s="77">
        <v>50</v>
      </c>
      <c r="I449" s="55"/>
      <c r="J449" s="74">
        <v>38057</v>
      </c>
      <c r="K449" s="74">
        <v>44440</v>
      </c>
      <c r="L449" s="74"/>
      <c r="M449" s="55" t="s">
        <v>6778</v>
      </c>
      <c r="N449" s="55" t="s">
        <v>6707</v>
      </c>
      <c r="O449" s="55" t="s">
        <v>6828</v>
      </c>
    </row>
    <row r="450" spans="1:15" ht="13" x14ac:dyDescent="0.15">
      <c r="A450" s="55" t="s">
        <v>6829</v>
      </c>
      <c r="B450" s="55" t="s">
        <v>373</v>
      </c>
      <c r="C450" s="55" t="s">
        <v>136</v>
      </c>
      <c r="D450" s="55" t="s">
        <v>136</v>
      </c>
      <c r="E450" s="55" t="s">
        <v>255</v>
      </c>
      <c r="F450" s="55" t="s">
        <v>1447</v>
      </c>
      <c r="G450" s="55" t="s">
        <v>350</v>
      </c>
      <c r="H450" s="77">
        <v>5</v>
      </c>
      <c r="I450" s="55"/>
      <c r="J450" s="74">
        <v>38184</v>
      </c>
      <c r="K450" s="74">
        <v>44593</v>
      </c>
      <c r="L450" s="74"/>
      <c r="M450" s="55" t="s">
        <v>6778</v>
      </c>
      <c r="N450" s="55" t="s">
        <v>6707</v>
      </c>
      <c r="O450" s="55" t="s">
        <v>360</v>
      </c>
    </row>
    <row r="451" spans="1:15" ht="13" x14ac:dyDescent="0.15">
      <c r="A451" s="55" t="s">
        <v>6830</v>
      </c>
      <c r="B451" s="55" t="s">
        <v>373</v>
      </c>
      <c r="C451" s="55" t="s">
        <v>138</v>
      </c>
      <c r="D451" s="55" t="s">
        <v>138</v>
      </c>
      <c r="E451" s="55" t="s">
        <v>238</v>
      </c>
      <c r="F451" s="55" t="s">
        <v>238</v>
      </c>
      <c r="G451" s="55" t="s">
        <v>350</v>
      </c>
      <c r="H451" s="77">
        <v>4</v>
      </c>
      <c r="I451" s="55"/>
      <c r="J451" s="74">
        <v>38274</v>
      </c>
      <c r="K451" s="74">
        <v>44324</v>
      </c>
      <c r="L451" s="74"/>
      <c r="M451" s="55" t="s">
        <v>6778</v>
      </c>
      <c r="N451" s="55" t="s">
        <v>6707</v>
      </c>
      <c r="O451" s="55" t="s">
        <v>360</v>
      </c>
    </row>
    <row r="452" spans="1:15" ht="13" x14ac:dyDescent="0.15">
      <c r="A452" s="55" t="s">
        <v>6831</v>
      </c>
      <c r="B452" s="55" t="s">
        <v>373</v>
      </c>
      <c r="C452" s="55" t="s">
        <v>142</v>
      </c>
      <c r="D452" s="55" t="s">
        <v>142</v>
      </c>
      <c r="E452" s="55" t="s">
        <v>252</v>
      </c>
      <c r="F452" s="55" t="s">
        <v>388</v>
      </c>
      <c r="G452" s="55" t="s">
        <v>350</v>
      </c>
      <c r="H452" s="77">
        <v>4</v>
      </c>
      <c r="I452" s="55"/>
      <c r="J452" s="74">
        <v>38271</v>
      </c>
      <c r="K452" s="74">
        <v>44571</v>
      </c>
      <c r="L452" s="74"/>
      <c r="M452" s="55" t="s">
        <v>6778</v>
      </c>
      <c r="N452" s="55" t="s">
        <v>6707</v>
      </c>
      <c r="O452" s="55" t="s">
        <v>360</v>
      </c>
    </row>
    <row r="453" spans="1:15" ht="13" x14ac:dyDescent="0.15">
      <c r="A453" s="55" t="s">
        <v>6742</v>
      </c>
      <c r="B453" s="55" t="s">
        <v>373</v>
      </c>
      <c r="C453" s="55" t="s">
        <v>142</v>
      </c>
      <c r="D453" s="55" t="s">
        <v>142</v>
      </c>
      <c r="E453" s="55" t="s">
        <v>262</v>
      </c>
      <c r="F453" s="55" t="s">
        <v>523</v>
      </c>
      <c r="G453" s="55" t="s">
        <v>350</v>
      </c>
      <c r="H453" s="77">
        <v>3</v>
      </c>
      <c r="I453" s="55"/>
      <c r="J453" s="74">
        <v>38376</v>
      </c>
      <c r="K453" s="74">
        <v>44571</v>
      </c>
      <c r="L453" s="74"/>
      <c r="M453" s="55" t="s">
        <v>6778</v>
      </c>
      <c r="N453" s="55" t="s">
        <v>6707</v>
      </c>
      <c r="O453" s="55" t="s">
        <v>360</v>
      </c>
    </row>
    <row r="454" spans="1:15" ht="13" x14ac:dyDescent="0.15">
      <c r="A454" s="55" t="s">
        <v>6744</v>
      </c>
      <c r="B454" s="55" t="s">
        <v>389</v>
      </c>
      <c r="C454" s="55" t="s">
        <v>144</v>
      </c>
      <c r="D454" s="55" t="s">
        <v>144</v>
      </c>
      <c r="E454" s="55" t="s">
        <v>147</v>
      </c>
      <c r="F454" s="55" t="s">
        <v>674</v>
      </c>
      <c r="G454" s="55" t="s">
        <v>350</v>
      </c>
      <c r="H454" s="77"/>
      <c r="I454" s="55"/>
      <c r="J454" s="74">
        <v>38456</v>
      </c>
      <c r="K454" s="74">
        <v>44576</v>
      </c>
      <c r="L454" s="74"/>
      <c r="M454" s="55" t="s">
        <v>6778</v>
      </c>
      <c r="N454" s="55" t="s">
        <v>6707</v>
      </c>
      <c r="O454" s="55" t="s">
        <v>6745</v>
      </c>
    </row>
    <row r="455" spans="1:15" ht="13" x14ac:dyDescent="0.15">
      <c r="A455" s="55" t="s">
        <v>6749</v>
      </c>
      <c r="B455" s="55" t="s">
        <v>1493</v>
      </c>
      <c r="C455" s="55" t="s">
        <v>144</v>
      </c>
      <c r="D455" s="55" t="s">
        <v>144</v>
      </c>
      <c r="E455" s="55" t="s">
        <v>209</v>
      </c>
      <c r="F455" s="55" t="s">
        <v>629</v>
      </c>
      <c r="G455" s="55" t="s">
        <v>350</v>
      </c>
      <c r="H455" s="77">
        <v>3</v>
      </c>
      <c r="I455" s="55"/>
      <c r="J455" s="74">
        <v>38481</v>
      </c>
      <c r="K455" s="74">
        <v>44358</v>
      </c>
      <c r="L455" s="74"/>
      <c r="M455" s="55" t="s">
        <v>6778</v>
      </c>
      <c r="N455" s="55" t="s">
        <v>6707</v>
      </c>
      <c r="O455" s="55" t="s">
        <v>360</v>
      </c>
    </row>
    <row r="456" spans="1:15" ht="13" x14ac:dyDescent="0.15">
      <c r="A456" s="55" t="s">
        <v>6832</v>
      </c>
      <c r="B456" s="55" t="s">
        <v>443</v>
      </c>
      <c r="C456" s="55" t="s">
        <v>142</v>
      </c>
      <c r="D456" s="55" t="s">
        <v>142</v>
      </c>
      <c r="E456" s="55" t="s">
        <v>195</v>
      </c>
      <c r="F456" s="55" t="s">
        <v>518</v>
      </c>
      <c r="G456" s="55" t="s">
        <v>350</v>
      </c>
      <c r="H456" s="77"/>
      <c r="I456" s="55"/>
      <c r="J456" s="74">
        <v>38798</v>
      </c>
      <c r="K456" s="74">
        <v>44262</v>
      </c>
      <c r="L456" s="74"/>
      <c r="M456" s="55" t="s">
        <v>6778</v>
      </c>
      <c r="N456" s="55" t="s">
        <v>6707</v>
      </c>
      <c r="O456" s="55" t="s">
        <v>6833</v>
      </c>
    </row>
    <row r="457" spans="1:15" ht="13" x14ac:dyDescent="0.15">
      <c r="A457" s="55" t="s">
        <v>6834</v>
      </c>
      <c r="B457" s="55" t="s">
        <v>443</v>
      </c>
      <c r="C457" s="55" t="s">
        <v>136</v>
      </c>
      <c r="D457" s="55" t="s">
        <v>136</v>
      </c>
      <c r="E457" s="55" t="s">
        <v>154</v>
      </c>
      <c r="F457" s="55" t="s">
        <v>1686</v>
      </c>
      <c r="G457" s="55" t="s">
        <v>362</v>
      </c>
      <c r="H457" s="77"/>
      <c r="I457" s="55"/>
      <c r="J457" s="74">
        <v>38845</v>
      </c>
      <c r="K457" s="74">
        <v>44575</v>
      </c>
      <c r="L457" s="74"/>
      <c r="M457" s="55" t="s">
        <v>6778</v>
      </c>
      <c r="N457" s="55" t="s">
        <v>6707</v>
      </c>
      <c r="O457" s="55" t="s">
        <v>6835</v>
      </c>
    </row>
    <row r="458" spans="1:15" ht="13" x14ac:dyDescent="0.15">
      <c r="A458" s="55" t="s">
        <v>6836</v>
      </c>
      <c r="B458" s="55" t="s">
        <v>373</v>
      </c>
      <c r="C458" s="55" t="s">
        <v>144</v>
      </c>
      <c r="D458" s="55" t="s">
        <v>144</v>
      </c>
      <c r="E458" s="55" t="s">
        <v>147</v>
      </c>
      <c r="F458" s="55" t="s">
        <v>387</v>
      </c>
      <c r="G458" s="55" t="s">
        <v>380</v>
      </c>
      <c r="H458" s="77">
        <v>4</v>
      </c>
      <c r="I458" s="55"/>
      <c r="J458" s="74">
        <v>38887</v>
      </c>
      <c r="K458" s="74">
        <v>44417</v>
      </c>
      <c r="L458" s="74"/>
      <c r="M458" s="55" t="s">
        <v>6778</v>
      </c>
      <c r="N458" s="55" t="s">
        <v>6707</v>
      </c>
      <c r="O458" s="55" t="s">
        <v>360</v>
      </c>
    </row>
    <row r="459" spans="1:15" ht="13" x14ac:dyDescent="0.15">
      <c r="A459" s="55" t="s">
        <v>6750</v>
      </c>
      <c r="B459" s="55" t="s">
        <v>373</v>
      </c>
      <c r="C459" s="55" t="s">
        <v>136</v>
      </c>
      <c r="D459" s="55" t="s">
        <v>136</v>
      </c>
      <c r="E459" s="55" t="s">
        <v>174</v>
      </c>
      <c r="F459" s="55" t="s">
        <v>651</v>
      </c>
      <c r="G459" s="55" t="s">
        <v>350</v>
      </c>
      <c r="H459" s="77">
        <v>1</v>
      </c>
      <c r="I459" s="55"/>
      <c r="J459" s="74">
        <v>38950</v>
      </c>
      <c r="K459" s="74">
        <v>44592</v>
      </c>
      <c r="L459" s="74"/>
      <c r="M459" s="55" t="s">
        <v>6778</v>
      </c>
      <c r="N459" s="55" t="s">
        <v>6707</v>
      </c>
      <c r="O459" s="55" t="s">
        <v>360</v>
      </c>
    </row>
    <row r="460" spans="1:15" ht="13" x14ac:dyDescent="0.15">
      <c r="A460" s="55" t="s">
        <v>6837</v>
      </c>
      <c r="B460" s="55" t="s">
        <v>443</v>
      </c>
      <c r="C460" s="55" t="s">
        <v>138</v>
      </c>
      <c r="D460" s="55" t="s">
        <v>138</v>
      </c>
      <c r="E460" s="55" t="s">
        <v>216</v>
      </c>
      <c r="F460" s="55" t="s">
        <v>1918</v>
      </c>
      <c r="G460" s="55" t="s">
        <v>350</v>
      </c>
      <c r="H460" s="77"/>
      <c r="I460" s="55"/>
      <c r="J460" s="74">
        <v>39101</v>
      </c>
      <c r="K460" s="74">
        <v>44600</v>
      </c>
      <c r="L460" s="74"/>
      <c r="M460" s="55" t="s">
        <v>6778</v>
      </c>
      <c r="N460" s="55" t="s">
        <v>6707</v>
      </c>
      <c r="O460" s="55" t="s">
        <v>6838</v>
      </c>
    </row>
    <row r="461" spans="1:15" ht="13" x14ac:dyDescent="0.15">
      <c r="A461" s="55" t="s">
        <v>6839</v>
      </c>
      <c r="B461" s="55" t="s">
        <v>373</v>
      </c>
      <c r="C461" s="55" t="s">
        <v>150</v>
      </c>
      <c r="D461" s="55" t="s">
        <v>150</v>
      </c>
      <c r="E461" s="55" t="s">
        <v>285</v>
      </c>
      <c r="F461" s="55" t="s">
        <v>2001</v>
      </c>
      <c r="G461" s="55" t="s">
        <v>350</v>
      </c>
      <c r="H461" s="77">
        <v>2</v>
      </c>
      <c r="I461" s="55"/>
      <c r="J461" s="74">
        <v>39167</v>
      </c>
      <c r="K461" s="74">
        <v>44333</v>
      </c>
      <c r="L461" s="74"/>
      <c r="M461" s="55" t="s">
        <v>6778</v>
      </c>
      <c r="N461" s="55" t="s">
        <v>6707</v>
      </c>
      <c r="O461" s="55" t="s">
        <v>360</v>
      </c>
    </row>
    <row r="462" spans="1:15" ht="13" x14ac:dyDescent="0.15">
      <c r="A462" s="55" t="s">
        <v>6840</v>
      </c>
      <c r="B462" s="55" t="s">
        <v>479</v>
      </c>
      <c r="C462" s="55" t="s">
        <v>150</v>
      </c>
      <c r="D462" s="55" t="s">
        <v>150</v>
      </c>
      <c r="E462" s="55" t="s">
        <v>268</v>
      </c>
      <c r="F462" s="55" t="s">
        <v>395</v>
      </c>
      <c r="G462" s="55" t="s">
        <v>350</v>
      </c>
      <c r="H462" s="77">
        <v>61</v>
      </c>
      <c r="I462" s="55"/>
      <c r="J462" s="74">
        <v>39542</v>
      </c>
      <c r="K462" s="74">
        <v>44281</v>
      </c>
      <c r="L462" s="74"/>
      <c r="M462" s="55" t="s">
        <v>6778</v>
      </c>
      <c r="N462" s="55" t="s">
        <v>6707</v>
      </c>
      <c r="O462" s="55" t="s">
        <v>360</v>
      </c>
    </row>
    <row r="463" spans="1:15" ht="13" x14ac:dyDescent="0.15">
      <c r="A463" s="55" t="s">
        <v>6841</v>
      </c>
      <c r="B463" s="55" t="s">
        <v>373</v>
      </c>
      <c r="C463" s="55" t="s">
        <v>136</v>
      </c>
      <c r="D463" s="55" t="s">
        <v>136</v>
      </c>
      <c r="E463" s="55" t="s">
        <v>165</v>
      </c>
      <c r="F463" s="55" t="s">
        <v>699</v>
      </c>
      <c r="G463" s="55" t="s">
        <v>380</v>
      </c>
      <c r="H463" s="77">
        <v>5</v>
      </c>
      <c r="I463" s="55"/>
      <c r="J463" s="74">
        <v>39521</v>
      </c>
      <c r="K463" s="74">
        <v>44287</v>
      </c>
      <c r="L463" s="74"/>
      <c r="M463" s="55" t="s">
        <v>6778</v>
      </c>
      <c r="N463" s="55" t="s">
        <v>6707</v>
      </c>
      <c r="O463" s="55" t="s">
        <v>360</v>
      </c>
    </row>
    <row r="464" spans="1:15" ht="13" x14ac:dyDescent="0.15">
      <c r="A464" s="55" t="s">
        <v>6751</v>
      </c>
      <c r="B464" s="55" t="s">
        <v>373</v>
      </c>
      <c r="C464" s="55" t="s">
        <v>142</v>
      </c>
      <c r="D464" s="55" t="s">
        <v>142</v>
      </c>
      <c r="E464" s="55" t="s">
        <v>262</v>
      </c>
      <c r="F464" s="55" t="s">
        <v>1215</v>
      </c>
      <c r="G464" s="55" t="s">
        <v>350</v>
      </c>
      <c r="H464" s="77">
        <v>3</v>
      </c>
      <c r="I464" s="55"/>
      <c r="J464" s="74">
        <v>39547</v>
      </c>
      <c r="K464" s="74">
        <v>44538</v>
      </c>
      <c r="L464" s="74"/>
      <c r="M464" s="55" t="s">
        <v>6778</v>
      </c>
      <c r="N464" s="55" t="s">
        <v>6707</v>
      </c>
      <c r="O464" s="55" t="s">
        <v>360</v>
      </c>
    </row>
    <row r="465" spans="1:15" ht="13" x14ac:dyDescent="0.15">
      <c r="A465" s="55" t="s">
        <v>6842</v>
      </c>
      <c r="B465" s="55" t="s">
        <v>373</v>
      </c>
      <c r="C465" s="55" t="s">
        <v>142</v>
      </c>
      <c r="D465" s="55" t="s">
        <v>142</v>
      </c>
      <c r="E465" s="55" t="s">
        <v>262</v>
      </c>
      <c r="F465" s="55" t="s">
        <v>916</v>
      </c>
      <c r="G465" s="55" t="s">
        <v>350</v>
      </c>
      <c r="H465" s="77">
        <v>3</v>
      </c>
      <c r="I465" s="55"/>
      <c r="J465" s="74">
        <v>39561</v>
      </c>
      <c r="K465" s="74">
        <v>44608</v>
      </c>
      <c r="L465" s="74"/>
      <c r="M465" s="55" t="s">
        <v>6778</v>
      </c>
      <c r="N465" s="55" t="s">
        <v>6707</v>
      </c>
      <c r="O465" s="55" t="s">
        <v>360</v>
      </c>
    </row>
    <row r="466" spans="1:15" ht="13" x14ac:dyDescent="0.15">
      <c r="A466" s="55" t="s">
        <v>6843</v>
      </c>
      <c r="B466" s="55" t="s">
        <v>373</v>
      </c>
      <c r="C466" s="55" t="s">
        <v>142</v>
      </c>
      <c r="D466" s="55" t="s">
        <v>142</v>
      </c>
      <c r="E466" s="55" t="s">
        <v>252</v>
      </c>
      <c r="F466" s="55" t="s">
        <v>503</v>
      </c>
      <c r="G466" s="55" t="s">
        <v>350</v>
      </c>
      <c r="H466" s="77">
        <v>1</v>
      </c>
      <c r="I466" s="55"/>
      <c r="J466" s="74">
        <v>39643</v>
      </c>
      <c r="K466" s="74">
        <v>44508</v>
      </c>
      <c r="L466" s="74"/>
      <c r="M466" s="55" t="s">
        <v>6778</v>
      </c>
      <c r="N466" s="55" t="s">
        <v>6707</v>
      </c>
      <c r="O466" s="55" t="s">
        <v>360</v>
      </c>
    </row>
    <row r="467" spans="1:15" ht="13" x14ac:dyDescent="0.15">
      <c r="A467" s="55" t="s">
        <v>6844</v>
      </c>
      <c r="B467" s="55" t="s">
        <v>373</v>
      </c>
      <c r="C467" s="55" t="s">
        <v>142</v>
      </c>
      <c r="D467" s="55" t="s">
        <v>142</v>
      </c>
      <c r="E467" s="55" t="s">
        <v>252</v>
      </c>
      <c r="F467" s="55" t="s">
        <v>503</v>
      </c>
      <c r="G467" s="55" t="s">
        <v>350</v>
      </c>
      <c r="H467" s="77">
        <v>1</v>
      </c>
      <c r="I467" s="55"/>
      <c r="J467" s="74">
        <v>39643</v>
      </c>
      <c r="K467" s="74">
        <v>44528</v>
      </c>
      <c r="L467" s="74"/>
      <c r="M467" s="55" t="s">
        <v>6778</v>
      </c>
      <c r="N467" s="55" t="s">
        <v>6707</v>
      </c>
      <c r="O467" s="55" t="s">
        <v>360</v>
      </c>
    </row>
    <row r="468" spans="1:15" ht="13" x14ac:dyDescent="0.15">
      <c r="A468" s="55" t="s">
        <v>6752</v>
      </c>
      <c r="B468" s="55" t="s">
        <v>373</v>
      </c>
      <c r="C468" s="55" t="s">
        <v>142</v>
      </c>
      <c r="D468" s="55" t="s">
        <v>142</v>
      </c>
      <c r="E468" s="55" t="s">
        <v>252</v>
      </c>
      <c r="F468" s="55" t="s">
        <v>386</v>
      </c>
      <c r="G468" s="55" t="s">
        <v>350</v>
      </c>
      <c r="H468" s="77">
        <v>1</v>
      </c>
      <c r="I468" s="55"/>
      <c r="J468" s="74">
        <v>39794</v>
      </c>
      <c r="K468" s="74">
        <v>44500</v>
      </c>
      <c r="L468" s="74"/>
      <c r="M468" s="55" t="s">
        <v>6778</v>
      </c>
      <c r="N468" s="55" t="s">
        <v>6707</v>
      </c>
      <c r="O468" s="55" t="s">
        <v>360</v>
      </c>
    </row>
    <row r="469" spans="1:15" ht="13" x14ac:dyDescent="0.15">
      <c r="A469" s="55" t="s">
        <v>6845</v>
      </c>
      <c r="B469" s="55" t="s">
        <v>373</v>
      </c>
      <c r="C469" s="55" t="s">
        <v>142</v>
      </c>
      <c r="D469" s="55" t="s">
        <v>142</v>
      </c>
      <c r="E469" s="55" t="s">
        <v>252</v>
      </c>
      <c r="F469" s="55" t="s">
        <v>386</v>
      </c>
      <c r="G469" s="55" t="s">
        <v>350</v>
      </c>
      <c r="H469" s="77">
        <v>1</v>
      </c>
      <c r="I469" s="55"/>
      <c r="J469" s="74">
        <v>39659</v>
      </c>
      <c r="K469" s="74">
        <v>44362</v>
      </c>
      <c r="L469" s="74"/>
      <c r="M469" s="55" t="s">
        <v>6778</v>
      </c>
      <c r="N469" s="55" t="s">
        <v>6707</v>
      </c>
      <c r="O469" s="55" t="s">
        <v>360</v>
      </c>
    </row>
    <row r="470" spans="1:15" ht="13" x14ac:dyDescent="0.15">
      <c r="A470" s="55" t="s">
        <v>6846</v>
      </c>
      <c r="B470" s="55" t="s">
        <v>373</v>
      </c>
      <c r="C470" s="55" t="s">
        <v>136</v>
      </c>
      <c r="D470" s="55" t="s">
        <v>136</v>
      </c>
      <c r="E470" s="55" t="s">
        <v>256</v>
      </c>
      <c r="F470" s="55" t="s">
        <v>5892</v>
      </c>
      <c r="G470" s="55" t="s">
        <v>350</v>
      </c>
      <c r="H470" s="77">
        <v>3</v>
      </c>
      <c r="I470" s="55"/>
      <c r="J470" s="74">
        <v>39577</v>
      </c>
      <c r="K470" s="74">
        <v>44596</v>
      </c>
      <c r="L470" s="74"/>
      <c r="M470" s="55" t="s">
        <v>6778</v>
      </c>
      <c r="N470" s="55" t="s">
        <v>6707</v>
      </c>
      <c r="O470" s="55" t="s">
        <v>360</v>
      </c>
    </row>
    <row r="471" spans="1:15" ht="13" x14ac:dyDescent="0.15">
      <c r="A471" s="55" t="s">
        <v>6847</v>
      </c>
      <c r="B471" s="55" t="s">
        <v>373</v>
      </c>
      <c r="C471" s="55" t="s">
        <v>172</v>
      </c>
      <c r="D471" s="55" t="s">
        <v>172</v>
      </c>
      <c r="E471" s="55" t="s">
        <v>212</v>
      </c>
      <c r="F471" s="55" t="s">
        <v>592</v>
      </c>
      <c r="G471" s="55" t="s">
        <v>350</v>
      </c>
      <c r="H471" s="77">
        <v>4</v>
      </c>
      <c r="I471" s="55"/>
      <c r="J471" s="74">
        <v>39653</v>
      </c>
      <c r="K471" s="74">
        <v>44265</v>
      </c>
      <c r="L471" s="74"/>
      <c r="M471" s="55" t="s">
        <v>6778</v>
      </c>
      <c r="N471" s="55" t="s">
        <v>6707</v>
      </c>
      <c r="O471" s="55" t="s">
        <v>360</v>
      </c>
    </row>
    <row r="472" spans="1:15" ht="13" x14ac:dyDescent="0.15">
      <c r="A472" s="55" t="s">
        <v>6848</v>
      </c>
      <c r="B472" s="55" t="s">
        <v>373</v>
      </c>
      <c r="C472" s="55" t="s">
        <v>144</v>
      </c>
      <c r="D472" s="55" t="s">
        <v>144</v>
      </c>
      <c r="E472" s="55" t="s">
        <v>162</v>
      </c>
      <c r="F472" s="55" t="s">
        <v>516</v>
      </c>
      <c r="G472" s="55" t="s">
        <v>350</v>
      </c>
      <c r="H472" s="77">
        <v>5</v>
      </c>
      <c r="I472" s="55"/>
      <c r="J472" s="74">
        <v>39731</v>
      </c>
      <c r="K472" s="74">
        <v>44627</v>
      </c>
      <c r="L472" s="74"/>
      <c r="M472" s="55" t="s">
        <v>6778</v>
      </c>
      <c r="N472" s="55" t="s">
        <v>6707</v>
      </c>
      <c r="O472" s="55" t="s">
        <v>360</v>
      </c>
    </row>
    <row r="473" spans="1:15" ht="13" x14ac:dyDescent="0.15">
      <c r="A473" s="55" t="s">
        <v>5163</v>
      </c>
      <c r="B473" s="55" t="s">
        <v>373</v>
      </c>
      <c r="C473" s="55" t="s">
        <v>378</v>
      </c>
      <c r="D473" s="55" t="s">
        <v>134</v>
      </c>
      <c r="E473" s="55" t="s">
        <v>133</v>
      </c>
      <c r="F473" s="55" t="s">
        <v>1804</v>
      </c>
      <c r="G473" s="55" t="s">
        <v>350</v>
      </c>
      <c r="H473" s="77">
        <v>2</v>
      </c>
      <c r="I473" s="55"/>
      <c r="J473" s="74">
        <v>39812</v>
      </c>
      <c r="L473" s="74" t="s">
        <v>6784</v>
      </c>
      <c r="N473" s="55" t="s">
        <v>344</v>
      </c>
      <c r="O473" s="55" t="s">
        <v>360</v>
      </c>
    </row>
    <row r="474" spans="1:15" ht="13" x14ac:dyDescent="0.15">
      <c r="A474" s="55" t="s">
        <v>6849</v>
      </c>
      <c r="B474" s="55" t="s">
        <v>373</v>
      </c>
      <c r="C474" s="55" t="s">
        <v>142</v>
      </c>
      <c r="D474" s="55" t="s">
        <v>142</v>
      </c>
      <c r="E474" s="55" t="s">
        <v>265</v>
      </c>
      <c r="F474" s="55" t="s">
        <v>1215</v>
      </c>
      <c r="G474" s="55" t="s">
        <v>350</v>
      </c>
      <c r="H474" s="77">
        <v>2</v>
      </c>
      <c r="I474" s="55"/>
      <c r="J474" s="74">
        <v>39884</v>
      </c>
      <c r="K474" s="74">
        <v>44470</v>
      </c>
      <c r="L474" s="74"/>
      <c r="M474" s="55" t="s">
        <v>6778</v>
      </c>
      <c r="N474" s="55" t="s">
        <v>6707</v>
      </c>
      <c r="O474" s="55" t="s">
        <v>360</v>
      </c>
    </row>
    <row r="475" spans="1:15" ht="13" x14ac:dyDescent="0.15">
      <c r="A475" s="55" t="s">
        <v>6753</v>
      </c>
      <c r="B475" s="55" t="s">
        <v>373</v>
      </c>
      <c r="C475" s="55" t="s">
        <v>142</v>
      </c>
      <c r="D475" s="55" t="s">
        <v>142</v>
      </c>
      <c r="E475" s="55" t="s">
        <v>262</v>
      </c>
      <c r="F475" s="55" t="s">
        <v>692</v>
      </c>
      <c r="G475" s="55" t="s">
        <v>350</v>
      </c>
      <c r="H475" s="77">
        <v>3</v>
      </c>
      <c r="I475" s="55"/>
      <c r="J475" s="74">
        <v>40014</v>
      </c>
      <c r="K475" s="74">
        <v>44432</v>
      </c>
      <c r="L475" s="74"/>
      <c r="M475" s="55" t="s">
        <v>6778</v>
      </c>
      <c r="N475" s="55" t="s">
        <v>6707</v>
      </c>
      <c r="O475" s="55" t="s">
        <v>360</v>
      </c>
    </row>
    <row r="476" spans="1:15" ht="13" x14ac:dyDescent="0.15">
      <c r="A476" s="55" t="s">
        <v>6850</v>
      </c>
      <c r="B476" s="55" t="s">
        <v>373</v>
      </c>
      <c r="C476" s="55" t="s">
        <v>144</v>
      </c>
      <c r="D476" s="55" t="s">
        <v>144</v>
      </c>
      <c r="E476" s="55" t="s">
        <v>209</v>
      </c>
      <c r="F476" s="55" t="s">
        <v>544</v>
      </c>
      <c r="G476" s="55" t="s">
        <v>350</v>
      </c>
      <c r="H476" s="77">
        <v>5</v>
      </c>
      <c r="I476" s="55"/>
      <c r="J476" s="74">
        <v>40144</v>
      </c>
      <c r="K476" s="74">
        <v>44286</v>
      </c>
      <c r="L476" s="74"/>
      <c r="M476" s="55" t="s">
        <v>6778</v>
      </c>
      <c r="N476" s="55" t="s">
        <v>6707</v>
      </c>
      <c r="O476" s="55" t="s">
        <v>360</v>
      </c>
    </row>
    <row r="477" spans="1:15" ht="13" x14ac:dyDescent="0.15">
      <c r="A477" s="55" t="s">
        <v>6754</v>
      </c>
      <c r="B477" s="55" t="s">
        <v>373</v>
      </c>
      <c r="C477" s="55" t="s">
        <v>138</v>
      </c>
      <c r="D477" s="55" t="s">
        <v>138</v>
      </c>
      <c r="E477" s="55" t="s">
        <v>183</v>
      </c>
      <c r="F477" s="55" t="s">
        <v>616</v>
      </c>
      <c r="G477" s="55" t="s">
        <v>350</v>
      </c>
      <c r="H477" s="77">
        <v>3</v>
      </c>
      <c r="I477" s="55"/>
      <c r="J477" s="74">
        <v>40239</v>
      </c>
      <c r="K477" s="74">
        <v>44435</v>
      </c>
      <c r="L477" s="74"/>
      <c r="M477" s="55" t="s">
        <v>6778</v>
      </c>
      <c r="N477" s="55" t="s">
        <v>6707</v>
      </c>
      <c r="O477" s="55" t="s">
        <v>360</v>
      </c>
    </row>
    <row r="478" spans="1:15" ht="13" x14ac:dyDescent="0.15">
      <c r="A478" s="55" t="s">
        <v>6851</v>
      </c>
      <c r="B478" s="55" t="s">
        <v>373</v>
      </c>
      <c r="C478" s="55" t="s">
        <v>136</v>
      </c>
      <c r="D478" s="55" t="s">
        <v>136</v>
      </c>
      <c r="E478" s="55" t="s">
        <v>255</v>
      </c>
      <c r="F478" s="55" t="s">
        <v>583</v>
      </c>
      <c r="G478" s="55" t="s">
        <v>350</v>
      </c>
      <c r="H478" s="77">
        <v>3</v>
      </c>
      <c r="I478" s="55"/>
      <c r="J478" s="74">
        <v>40365</v>
      </c>
      <c r="K478" s="74">
        <v>44371</v>
      </c>
      <c r="L478" s="74"/>
      <c r="M478" s="55" t="s">
        <v>6778</v>
      </c>
      <c r="N478" s="55" t="s">
        <v>6707</v>
      </c>
      <c r="O478" s="55" t="s">
        <v>360</v>
      </c>
    </row>
    <row r="479" spans="1:15" ht="13" x14ac:dyDescent="0.15">
      <c r="A479" s="55" t="s">
        <v>6755</v>
      </c>
      <c r="B479" s="55" t="s">
        <v>373</v>
      </c>
      <c r="C479" s="55" t="s">
        <v>172</v>
      </c>
      <c r="D479" s="55" t="s">
        <v>172</v>
      </c>
      <c r="E479" s="55" t="s">
        <v>235</v>
      </c>
      <c r="F479" s="55" t="s">
        <v>2338</v>
      </c>
      <c r="G479" s="55" t="s">
        <v>350</v>
      </c>
      <c r="H479" s="77">
        <v>2</v>
      </c>
      <c r="I479" s="55"/>
      <c r="J479" s="74">
        <v>40387</v>
      </c>
      <c r="K479" s="74">
        <v>44440</v>
      </c>
      <c r="L479" s="74"/>
      <c r="M479" s="55" t="s">
        <v>6778</v>
      </c>
      <c r="N479" s="55" t="s">
        <v>6707</v>
      </c>
      <c r="O479" s="55" t="s">
        <v>360</v>
      </c>
    </row>
    <row r="480" spans="1:15" ht="13" x14ac:dyDescent="0.15">
      <c r="A480" s="55" t="s">
        <v>6852</v>
      </c>
      <c r="B480" s="55" t="s">
        <v>373</v>
      </c>
      <c r="C480" s="55" t="s">
        <v>378</v>
      </c>
      <c r="D480" s="55" t="s">
        <v>134</v>
      </c>
      <c r="E480" s="55" t="s">
        <v>204</v>
      </c>
      <c r="F480" s="55" t="s">
        <v>929</v>
      </c>
      <c r="G480" s="55" t="s">
        <v>350</v>
      </c>
      <c r="H480" s="77">
        <v>2</v>
      </c>
      <c r="I480" s="55"/>
      <c r="J480" s="74">
        <v>40736</v>
      </c>
      <c r="K480" s="74">
        <v>44452</v>
      </c>
      <c r="L480" s="74"/>
      <c r="M480" s="55" t="s">
        <v>6778</v>
      </c>
      <c r="N480" s="55" t="s">
        <v>6707</v>
      </c>
      <c r="O480" s="55" t="s">
        <v>360</v>
      </c>
    </row>
    <row r="481" spans="1:15" ht="13" x14ac:dyDescent="0.15">
      <c r="A481" s="55" t="s">
        <v>6853</v>
      </c>
      <c r="B481" s="55" t="s">
        <v>373</v>
      </c>
      <c r="C481" s="55" t="s">
        <v>129</v>
      </c>
      <c r="D481" s="55" t="s">
        <v>129</v>
      </c>
      <c r="E481" s="55" t="s">
        <v>275</v>
      </c>
      <c r="F481" s="55" t="s">
        <v>2212</v>
      </c>
      <c r="G481" s="55" t="s">
        <v>350</v>
      </c>
      <c r="H481" s="77">
        <v>5</v>
      </c>
      <c r="I481" s="55"/>
      <c r="J481" s="74">
        <v>40498</v>
      </c>
      <c r="K481" s="74">
        <v>44357</v>
      </c>
      <c r="L481" s="74"/>
      <c r="M481" s="55" t="s">
        <v>6778</v>
      </c>
      <c r="N481" s="55" t="s">
        <v>6707</v>
      </c>
      <c r="O481" s="55" t="s">
        <v>360</v>
      </c>
    </row>
    <row r="482" spans="1:15" ht="13" x14ac:dyDescent="0.15">
      <c r="A482" s="55" t="s">
        <v>6854</v>
      </c>
      <c r="B482" s="55" t="s">
        <v>373</v>
      </c>
      <c r="C482" s="55" t="s">
        <v>378</v>
      </c>
      <c r="D482" s="55" t="s">
        <v>134</v>
      </c>
      <c r="E482" s="55" t="s">
        <v>210</v>
      </c>
      <c r="F482" s="55" t="s">
        <v>1250</v>
      </c>
      <c r="G482" s="55" t="s">
        <v>350</v>
      </c>
      <c r="H482" s="77">
        <v>3</v>
      </c>
      <c r="I482" s="55"/>
      <c r="J482" s="74">
        <v>40571</v>
      </c>
      <c r="K482" s="74">
        <v>44287</v>
      </c>
      <c r="L482" s="74"/>
      <c r="M482" s="55" t="s">
        <v>6778</v>
      </c>
      <c r="N482" s="55" t="s">
        <v>6707</v>
      </c>
      <c r="O482" s="55" t="s">
        <v>360</v>
      </c>
    </row>
    <row r="483" spans="1:15" ht="13" x14ac:dyDescent="0.15">
      <c r="A483" s="55" t="s">
        <v>6756</v>
      </c>
      <c r="B483" s="55" t="s">
        <v>373</v>
      </c>
      <c r="C483" s="55" t="s">
        <v>378</v>
      </c>
      <c r="D483" s="55" t="s">
        <v>134</v>
      </c>
      <c r="E483" s="55" t="s">
        <v>232</v>
      </c>
      <c r="F483" s="55" t="s">
        <v>491</v>
      </c>
      <c r="G483" s="55" t="s">
        <v>350</v>
      </c>
      <c r="H483" s="77">
        <v>6</v>
      </c>
      <c r="I483" s="55"/>
      <c r="J483" s="74">
        <v>40715</v>
      </c>
      <c r="K483" s="74">
        <v>44354</v>
      </c>
      <c r="L483" s="74"/>
      <c r="M483" s="55" t="s">
        <v>6778</v>
      </c>
      <c r="N483" s="55" t="s">
        <v>6707</v>
      </c>
      <c r="O483" s="55" t="s">
        <v>360</v>
      </c>
    </row>
    <row r="484" spans="1:15" ht="13" x14ac:dyDescent="0.15">
      <c r="A484" s="55" t="s">
        <v>6855</v>
      </c>
      <c r="B484" s="55" t="s">
        <v>373</v>
      </c>
      <c r="C484" s="55" t="s">
        <v>144</v>
      </c>
      <c r="D484" s="55" t="s">
        <v>144</v>
      </c>
      <c r="E484" s="55" t="s">
        <v>217</v>
      </c>
      <c r="F484" s="55" t="s">
        <v>2330</v>
      </c>
      <c r="G484" s="55" t="s">
        <v>350</v>
      </c>
      <c r="H484" s="77">
        <v>6</v>
      </c>
      <c r="I484" s="55"/>
      <c r="J484" s="74">
        <v>40727</v>
      </c>
      <c r="K484" s="74">
        <v>44286</v>
      </c>
      <c r="L484" s="74"/>
      <c r="M484" s="55" t="s">
        <v>6778</v>
      </c>
      <c r="N484" s="55" t="s">
        <v>6707</v>
      </c>
      <c r="O484" s="55" t="s">
        <v>360</v>
      </c>
    </row>
    <row r="485" spans="1:15" ht="13" x14ac:dyDescent="0.15">
      <c r="A485" s="55" t="s">
        <v>6758</v>
      </c>
      <c r="B485" s="55" t="s">
        <v>373</v>
      </c>
      <c r="C485" s="55" t="s">
        <v>144</v>
      </c>
      <c r="D485" s="55" t="s">
        <v>144</v>
      </c>
      <c r="E485" s="55" t="s">
        <v>168</v>
      </c>
      <c r="F485" s="55" t="s">
        <v>2110</v>
      </c>
      <c r="G485" s="55" t="s">
        <v>350</v>
      </c>
      <c r="H485" s="77">
        <v>4</v>
      </c>
      <c r="I485" s="55"/>
      <c r="J485" s="74">
        <v>40884</v>
      </c>
      <c r="K485" s="74">
        <v>44545</v>
      </c>
      <c r="L485" s="74"/>
      <c r="M485" s="55" t="s">
        <v>6778</v>
      </c>
      <c r="N485" s="55" t="s">
        <v>6707</v>
      </c>
      <c r="O485" s="55" t="s">
        <v>360</v>
      </c>
    </row>
    <row r="486" spans="1:15" ht="13" x14ac:dyDescent="0.15">
      <c r="A486" s="55" t="s">
        <v>6856</v>
      </c>
      <c r="B486" s="55" t="s">
        <v>373</v>
      </c>
      <c r="C486" s="55" t="s">
        <v>144</v>
      </c>
      <c r="D486" s="55" t="s">
        <v>144</v>
      </c>
      <c r="E486" s="55" t="s">
        <v>281</v>
      </c>
      <c r="F486" s="55" t="s">
        <v>556</v>
      </c>
      <c r="G486" s="55" t="s">
        <v>380</v>
      </c>
      <c r="H486" s="77">
        <v>2</v>
      </c>
      <c r="I486" s="55"/>
      <c r="J486" s="74">
        <v>41057</v>
      </c>
      <c r="K486" s="74">
        <v>44370</v>
      </c>
      <c r="L486" s="74"/>
      <c r="M486" s="55" t="s">
        <v>6778</v>
      </c>
      <c r="N486" s="55" t="s">
        <v>6707</v>
      </c>
      <c r="O486" s="55" t="s">
        <v>360</v>
      </c>
    </row>
    <row r="487" spans="1:15" ht="13" x14ac:dyDescent="0.15">
      <c r="A487" s="55" t="s">
        <v>6857</v>
      </c>
      <c r="B487" s="55" t="s">
        <v>373</v>
      </c>
      <c r="C487" s="55" t="s">
        <v>136</v>
      </c>
      <c r="D487" s="55" t="s">
        <v>136</v>
      </c>
      <c r="E487" s="55" t="s">
        <v>239</v>
      </c>
      <c r="F487" s="55" t="s">
        <v>964</v>
      </c>
      <c r="G487" s="55" t="s">
        <v>380</v>
      </c>
      <c r="H487" s="77">
        <v>6</v>
      </c>
      <c r="I487" s="55"/>
      <c r="J487" s="74">
        <v>41197</v>
      </c>
      <c r="K487" s="74">
        <v>44363</v>
      </c>
      <c r="L487" s="74"/>
      <c r="M487" s="55" t="s">
        <v>6778</v>
      </c>
      <c r="N487" s="55" t="s">
        <v>6707</v>
      </c>
      <c r="O487" s="55" t="s">
        <v>360</v>
      </c>
    </row>
    <row r="488" spans="1:15" ht="13" x14ac:dyDescent="0.15">
      <c r="A488" s="55" t="s">
        <v>6858</v>
      </c>
      <c r="B488" s="55" t="s">
        <v>373</v>
      </c>
      <c r="C488" s="55" t="s">
        <v>172</v>
      </c>
      <c r="D488" s="55" t="s">
        <v>172</v>
      </c>
      <c r="E488" s="55" t="s">
        <v>228</v>
      </c>
      <c r="F488" s="55" t="s">
        <v>991</v>
      </c>
      <c r="G488" s="55" t="s">
        <v>350</v>
      </c>
      <c r="H488" s="77">
        <v>6</v>
      </c>
      <c r="I488" s="55"/>
      <c r="J488" s="74">
        <v>41220</v>
      </c>
      <c r="K488" s="74">
        <v>44480</v>
      </c>
      <c r="L488" s="74"/>
      <c r="M488" s="55" t="s">
        <v>6778</v>
      </c>
      <c r="N488" s="55" t="s">
        <v>6707</v>
      </c>
      <c r="O488" s="55" t="s">
        <v>360</v>
      </c>
    </row>
    <row r="489" spans="1:15" ht="13" x14ac:dyDescent="0.15">
      <c r="A489" s="55" t="s">
        <v>6759</v>
      </c>
      <c r="B489" s="55" t="s">
        <v>373</v>
      </c>
      <c r="C489" s="55" t="s">
        <v>138</v>
      </c>
      <c r="D489" s="55" t="s">
        <v>138</v>
      </c>
      <c r="E489" s="55" t="s">
        <v>224</v>
      </c>
      <c r="F489" s="55" t="s">
        <v>374</v>
      </c>
      <c r="G489" s="55" t="s">
        <v>350</v>
      </c>
      <c r="H489" s="77">
        <v>4</v>
      </c>
      <c r="I489" s="55"/>
      <c r="J489" s="74">
        <v>41229</v>
      </c>
      <c r="K489" s="74">
        <v>44519</v>
      </c>
      <c r="L489" s="74"/>
      <c r="M489" s="55" t="s">
        <v>6778</v>
      </c>
      <c r="N489" s="55" t="s">
        <v>6707</v>
      </c>
      <c r="O489" s="55" t="s">
        <v>360</v>
      </c>
    </row>
    <row r="490" spans="1:15" ht="13" x14ac:dyDescent="0.15">
      <c r="A490" s="55" t="s">
        <v>6859</v>
      </c>
      <c r="B490" s="55" t="s">
        <v>373</v>
      </c>
      <c r="C490" s="55" t="s">
        <v>136</v>
      </c>
      <c r="D490" s="55" t="s">
        <v>136</v>
      </c>
      <c r="E490" s="55" t="s">
        <v>288</v>
      </c>
      <c r="F490" s="55" t="s">
        <v>1388</v>
      </c>
      <c r="G490" s="55" t="s">
        <v>350</v>
      </c>
      <c r="H490" s="77">
        <v>4</v>
      </c>
      <c r="I490" s="55"/>
      <c r="J490" s="74">
        <v>41128</v>
      </c>
      <c r="K490" s="74">
        <v>44460</v>
      </c>
      <c r="L490" s="74"/>
      <c r="M490" s="55" t="s">
        <v>6778</v>
      </c>
      <c r="N490" s="55" t="s">
        <v>6707</v>
      </c>
      <c r="O490" s="55" t="s">
        <v>360</v>
      </c>
    </row>
    <row r="491" spans="1:15" ht="13" x14ac:dyDescent="0.15">
      <c r="A491" s="55" t="s">
        <v>6860</v>
      </c>
      <c r="B491" s="55" t="s">
        <v>373</v>
      </c>
      <c r="C491" s="55" t="s">
        <v>136</v>
      </c>
      <c r="D491" s="55" t="s">
        <v>136</v>
      </c>
      <c r="E491" s="55" t="s">
        <v>255</v>
      </c>
      <c r="F491" s="55" t="s">
        <v>6861</v>
      </c>
      <c r="G491" s="55" t="s">
        <v>350</v>
      </c>
      <c r="H491" s="77">
        <v>1</v>
      </c>
      <c r="I491" s="55"/>
      <c r="J491" s="74">
        <v>41186</v>
      </c>
      <c r="K491" s="74">
        <v>44505</v>
      </c>
      <c r="L491" s="74"/>
      <c r="M491" s="55" t="s">
        <v>6778</v>
      </c>
      <c r="N491" s="55" t="s">
        <v>6707</v>
      </c>
      <c r="O491" s="55" t="s">
        <v>360</v>
      </c>
    </row>
    <row r="492" spans="1:15" ht="13" x14ac:dyDescent="0.15">
      <c r="A492" s="55" t="s">
        <v>6862</v>
      </c>
      <c r="B492" s="55" t="s">
        <v>373</v>
      </c>
      <c r="C492" s="55" t="s">
        <v>144</v>
      </c>
      <c r="D492" s="55" t="s">
        <v>144</v>
      </c>
      <c r="E492" s="55" t="s">
        <v>236</v>
      </c>
      <c r="F492" s="55" t="s">
        <v>2088</v>
      </c>
      <c r="G492" s="55" t="s">
        <v>350</v>
      </c>
      <c r="H492" s="77">
        <v>2</v>
      </c>
      <c r="I492" s="55"/>
      <c r="J492" s="74">
        <v>41351</v>
      </c>
      <c r="K492" s="74">
        <v>44414</v>
      </c>
      <c r="L492" s="74"/>
      <c r="M492" s="55" t="s">
        <v>6778</v>
      </c>
      <c r="N492" s="55" t="s">
        <v>6707</v>
      </c>
      <c r="O492" s="55" t="s">
        <v>360</v>
      </c>
    </row>
    <row r="493" spans="1:15" ht="13" x14ac:dyDescent="0.15">
      <c r="A493" s="55" t="s">
        <v>6760</v>
      </c>
      <c r="B493" s="55" t="s">
        <v>373</v>
      </c>
      <c r="C493" s="55" t="s">
        <v>142</v>
      </c>
      <c r="D493" s="55" t="s">
        <v>142</v>
      </c>
      <c r="E493" s="55" t="s">
        <v>278</v>
      </c>
      <c r="F493" s="55" t="s">
        <v>1126</v>
      </c>
      <c r="G493" s="55" t="s">
        <v>350</v>
      </c>
      <c r="H493" s="77">
        <v>1</v>
      </c>
      <c r="I493" s="55"/>
      <c r="J493" s="74">
        <v>41297</v>
      </c>
      <c r="K493" s="74">
        <v>44393</v>
      </c>
      <c r="L493" s="74"/>
      <c r="M493" s="55" t="s">
        <v>6778</v>
      </c>
      <c r="N493" s="55" t="s">
        <v>6707</v>
      </c>
      <c r="O493" s="55" t="s">
        <v>360</v>
      </c>
    </row>
    <row r="494" spans="1:15" ht="13" x14ac:dyDescent="0.15">
      <c r="A494" s="55" t="s">
        <v>6761</v>
      </c>
      <c r="B494" s="55" t="s">
        <v>373</v>
      </c>
      <c r="C494" s="55" t="s">
        <v>142</v>
      </c>
      <c r="D494" s="55" t="s">
        <v>142</v>
      </c>
      <c r="E494" s="55" t="s">
        <v>262</v>
      </c>
      <c r="F494" s="55" t="s">
        <v>692</v>
      </c>
      <c r="G494" s="55" t="s">
        <v>350</v>
      </c>
      <c r="H494" s="77">
        <v>2</v>
      </c>
      <c r="I494" s="55"/>
      <c r="J494" s="74">
        <v>41383</v>
      </c>
      <c r="K494" s="74">
        <v>44424</v>
      </c>
      <c r="L494" s="74"/>
      <c r="M494" s="55" t="s">
        <v>6778</v>
      </c>
      <c r="N494" s="55" t="s">
        <v>6707</v>
      </c>
      <c r="O494" s="55" t="s">
        <v>360</v>
      </c>
    </row>
    <row r="495" spans="1:15" ht="13" x14ac:dyDescent="0.15">
      <c r="A495" s="55" t="s">
        <v>6863</v>
      </c>
      <c r="B495" s="55" t="s">
        <v>373</v>
      </c>
      <c r="C495" s="55" t="s">
        <v>172</v>
      </c>
      <c r="D495" s="55" t="s">
        <v>172</v>
      </c>
      <c r="E495" s="55" t="s">
        <v>235</v>
      </c>
      <c r="F495" s="55" t="s">
        <v>494</v>
      </c>
      <c r="G495" s="55" t="s">
        <v>350</v>
      </c>
      <c r="H495" s="77">
        <v>2</v>
      </c>
      <c r="I495" s="55"/>
      <c r="J495" s="74">
        <v>41361</v>
      </c>
      <c r="K495" s="74">
        <v>44443</v>
      </c>
      <c r="L495" s="74"/>
      <c r="M495" s="55" t="s">
        <v>6778</v>
      </c>
      <c r="N495" s="55" t="s">
        <v>6707</v>
      </c>
      <c r="O495" s="55" t="s">
        <v>360</v>
      </c>
    </row>
    <row r="496" spans="1:15" ht="13" x14ac:dyDescent="0.15">
      <c r="A496" s="55" t="s">
        <v>6864</v>
      </c>
      <c r="B496" s="55" t="s">
        <v>373</v>
      </c>
      <c r="C496" s="55" t="s">
        <v>136</v>
      </c>
      <c r="D496" s="55" t="s">
        <v>136</v>
      </c>
      <c r="E496" s="55" t="s">
        <v>174</v>
      </c>
      <c r="F496" s="55" t="s">
        <v>651</v>
      </c>
      <c r="G496" s="55" t="s">
        <v>350</v>
      </c>
      <c r="H496" s="77">
        <v>5</v>
      </c>
      <c r="I496" s="55"/>
      <c r="J496" s="74">
        <v>41492</v>
      </c>
      <c r="K496" s="74">
        <v>44329</v>
      </c>
      <c r="L496" s="74"/>
      <c r="M496" s="55" t="s">
        <v>6778</v>
      </c>
      <c r="N496" s="55" t="s">
        <v>6707</v>
      </c>
      <c r="O496" s="55" t="s">
        <v>360</v>
      </c>
    </row>
    <row r="497" spans="1:15" ht="13" x14ac:dyDescent="0.15">
      <c r="A497" s="55" t="s">
        <v>6865</v>
      </c>
      <c r="B497" s="55" t="s">
        <v>479</v>
      </c>
      <c r="C497" s="55" t="s">
        <v>136</v>
      </c>
      <c r="D497" s="55" t="s">
        <v>136</v>
      </c>
      <c r="E497" s="55" t="s">
        <v>176</v>
      </c>
      <c r="F497" s="55" t="s">
        <v>1832</v>
      </c>
      <c r="G497" s="55" t="s">
        <v>350</v>
      </c>
      <c r="H497" s="77">
        <v>22</v>
      </c>
      <c r="I497" s="55"/>
      <c r="J497" s="74">
        <v>41620</v>
      </c>
      <c r="K497" s="74">
        <v>44522</v>
      </c>
      <c r="L497" s="74"/>
      <c r="M497" s="55" t="s">
        <v>6778</v>
      </c>
      <c r="N497" s="55" t="s">
        <v>6707</v>
      </c>
      <c r="O497" s="55" t="s">
        <v>360</v>
      </c>
    </row>
    <row r="498" spans="1:15" ht="13" x14ac:dyDescent="0.15">
      <c r="A498" s="55" t="s">
        <v>6866</v>
      </c>
      <c r="B498" s="55" t="s">
        <v>373</v>
      </c>
      <c r="C498" s="55" t="s">
        <v>129</v>
      </c>
      <c r="D498" s="55" t="s">
        <v>129</v>
      </c>
      <c r="E498" s="55" t="s">
        <v>182</v>
      </c>
      <c r="F498" s="55" t="s">
        <v>1660</v>
      </c>
      <c r="G498" s="55" t="s">
        <v>350</v>
      </c>
      <c r="H498" s="77">
        <v>3</v>
      </c>
      <c r="I498" s="55"/>
      <c r="J498" s="74">
        <v>41698</v>
      </c>
      <c r="K498" s="74">
        <v>44562</v>
      </c>
      <c r="L498" s="74"/>
      <c r="M498" s="55" t="s">
        <v>6778</v>
      </c>
      <c r="N498" s="55" t="s">
        <v>6707</v>
      </c>
      <c r="O498" s="55" t="s">
        <v>360</v>
      </c>
    </row>
    <row r="499" spans="1:15" ht="13" x14ac:dyDescent="0.15">
      <c r="A499" s="55" t="s">
        <v>6867</v>
      </c>
      <c r="B499" s="55" t="s">
        <v>373</v>
      </c>
      <c r="C499" s="55" t="s">
        <v>142</v>
      </c>
      <c r="D499" s="55" t="s">
        <v>142</v>
      </c>
      <c r="E499" s="55" t="s">
        <v>292</v>
      </c>
      <c r="F499" s="55" t="s">
        <v>976</v>
      </c>
      <c r="G499" s="55" t="s">
        <v>350</v>
      </c>
      <c r="H499" s="77">
        <v>4</v>
      </c>
      <c r="I499" s="55"/>
      <c r="J499" s="74">
        <v>41850</v>
      </c>
      <c r="K499" s="74">
        <v>44643</v>
      </c>
      <c r="L499" s="74"/>
      <c r="M499" s="55" t="s">
        <v>6778</v>
      </c>
      <c r="N499" s="55" t="s">
        <v>6707</v>
      </c>
      <c r="O499" s="55" t="s">
        <v>360</v>
      </c>
    </row>
    <row r="500" spans="1:15" ht="13" x14ac:dyDescent="0.15">
      <c r="A500" s="55" t="s">
        <v>6868</v>
      </c>
      <c r="B500" s="55" t="s">
        <v>373</v>
      </c>
      <c r="C500" s="55" t="s">
        <v>142</v>
      </c>
      <c r="D500" s="55" t="s">
        <v>142</v>
      </c>
      <c r="E500" s="55" t="s">
        <v>262</v>
      </c>
      <c r="F500" s="55" t="s">
        <v>692</v>
      </c>
      <c r="G500" s="55" t="s">
        <v>350</v>
      </c>
      <c r="H500" s="77">
        <v>2</v>
      </c>
      <c r="I500" s="55"/>
      <c r="J500" s="74">
        <v>41675</v>
      </c>
      <c r="K500" s="74">
        <v>44553</v>
      </c>
      <c r="L500" s="74"/>
      <c r="M500" s="55" t="s">
        <v>6778</v>
      </c>
      <c r="N500" s="55" t="s">
        <v>6713</v>
      </c>
      <c r="O500" s="55" t="s">
        <v>360</v>
      </c>
    </row>
    <row r="501" spans="1:15" ht="13" x14ac:dyDescent="0.15">
      <c r="A501" s="55" t="s">
        <v>6762</v>
      </c>
      <c r="B501" s="55" t="s">
        <v>373</v>
      </c>
      <c r="C501" s="55" t="s">
        <v>142</v>
      </c>
      <c r="D501" s="55" t="s">
        <v>142</v>
      </c>
      <c r="E501" s="55" t="s">
        <v>252</v>
      </c>
      <c r="F501" s="55" t="s">
        <v>388</v>
      </c>
      <c r="G501" s="55" t="s">
        <v>350</v>
      </c>
      <c r="H501" s="77">
        <v>2</v>
      </c>
      <c r="I501" s="55"/>
      <c r="J501" s="74">
        <v>41852</v>
      </c>
      <c r="K501" s="74">
        <v>44331</v>
      </c>
      <c r="L501" s="74"/>
      <c r="M501" s="55" t="s">
        <v>6778</v>
      </c>
      <c r="N501" s="55" t="s">
        <v>6707</v>
      </c>
      <c r="O501" s="55" t="s">
        <v>360</v>
      </c>
    </row>
    <row r="502" spans="1:15" ht="13" x14ac:dyDescent="0.15">
      <c r="A502" s="55" t="s">
        <v>6763</v>
      </c>
      <c r="B502" s="55" t="s">
        <v>373</v>
      </c>
      <c r="C502" s="55" t="s">
        <v>378</v>
      </c>
      <c r="D502" s="55" t="s">
        <v>134</v>
      </c>
      <c r="E502" s="55" t="s">
        <v>151</v>
      </c>
      <c r="F502" s="55" t="s">
        <v>1778</v>
      </c>
      <c r="G502" s="55" t="s">
        <v>350</v>
      </c>
      <c r="H502" s="77">
        <v>8</v>
      </c>
      <c r="I502" s="55"/>
      <c r="J502" s="74">
        <v>41933</v>
      </c>
      <c r="K502" s="74">
        <v>44630</v>
      </c>
      <c r="L502" s="74"/>
      <c r="M502" s="55" t="s">
        <v>6778</v>
      </c>
      <c r="N502" s="55" t="s">
        <v>6707</v>
      </c>
      <c r="O502" s="55" t="s">
        <v>360</v>
      </c>
    </row>
    <row r="503" spans="1:15" ht="13" x14ac:dyDescent="0.15">
      <c r="A503" s="55" t="s">
        <v>6869</v>
      </c>
      <c r="B503" s="55" t="s">
        <v>373</v>
      </c>
      <c r="C503" s="55" t="s">
        <v>378</v>
      </c>
      <c r="D503" s="55" t="s">
        <v>134</v>
      </c>
      <c r="E503" s="55" t="s">
        <v>294</v>
      </c>
      <c r="F503" s="55" t="s">
        <v>1983</v>
      </c>
      <c r="G503" s="55" t="s">
        <v>350</v>
      </c>
      <c r="H503" s="77">
        <v>6</v>
      </c>
      <c r="I503" s="55"/>
      <c r="J503" s="74">
        <v>41954</v>
      </c>
      <c r="K503" s="74">
        <v>44469</v>
      </c>
      <c r="L503" s="74"/>
      <c r="M503" s="55" t="s">
        <v>6778</v>
      </c>
      <c r="N503" s="55" t="s">
        <v>6707</v>
      </c>
      <c r="O503" s="55" t="s">
        <v>360</v>
      </c>
    </row>
    <row r="504" spans="1:15" ht="13" x14ac:dyDescent="0.15">
      <c r="A504" s="55" t="s">
        <v>6764</v>
      </c>
      <c r="B504" s="55" t="s">
        <v>373</v>
      </c>
      <c r="C504" s="55" t="s">
        <v>172</v>
      </c>
      <c r="D504" s="55" t="s">
        <v>172</v>
      </c>
      <c r="E504" s="55" t="s">
        <v>212</v>
      </c>
      <c r="F504" s="55" t="s">
        <v>592</v>
      </c>
      <c r="G504" s="55" t="s">
        <v>350</v>
      </c>
      <c r="H504" s="77">
        <v>3</v>
      </c>
      <c r="I504" s="55"/>
      <c r="J504" s="74">
        <v>42083</v>
      </c>
      <c r="K504" s="74">
        <v>44578</v>
      </c>
      <c r="L504" s="74"/>
      <c r="M504" s="55" t="s">
        <v>6778</v>
      </c>
      <c r="N504" s="55" t="s">
        <v>6707</v>
      </c>
      <c r="O504" s="55" t="s">
        <v>360</v>
      </c>
    </row>
    <row r="505" spans="1:15" ht="13" x14ac:dyDescent="0.15">
      <c r="A505" s="55" t="s">
        <v>6870</v>
      </c>
      <c r="B505" s="55" t="s">
        <v>373</v>
      </c>
      <c r="C505" s="55" t="s">
        <v>142</v>
      </c>
      <c r="D505" s="55" t="s">
        <v>142</v>
      </c>
      <c r="E505" s="55" t="s">
        <v>166</v>
      </c>
      <c r="F505" s="55" t="s">
        <v>1476</v>
      </c>
      <c r="G505" s="55" t="s">
        <v>350</v>
      </c>
      <c r="H505" s="77">
        <v>4</v>
      </c>
      <c r="I505" s="55"/>
      <c r="J505" s="74">
        <v>42060</v>
      </c>
      <c r="K505" s="74">
        <v>44435</v>
      </c>
      <c r="L505" s="74"/>
      <c r="M505" s="55" t="s">
        <v>6778</v>
      </c>
      <c r="N505" s="55" t="s">
        <v>6707</v>
      </c>
      <c r="O505" s="55" t="s">
        <v>360</v>
      </c>
    </row>
    <row r="506" spans="1:15" ht="13" x14ac:dyDescent="0.15">
      <c r="A506" s="55" t="s">
        <v>6765</v>
      </c>
      <c r="B506" s="55" t="s">
        <v>373</v>
      </c>
      <c r="C506" s="55" t="s">
        <v>150</v>
      </c>
      <c r="D506" s="55" t="s">
        <v>150</v>
      </c>
      <c r="E506" s="55" t="s">
        <v>285</v>
      </c>
      <c r="F506" s="55" t="s">
        <v>2738</v>
      </c>
      <c r="G506" s="55" t="s">
        <v>350</v>
      </c>
      <c r="H506" s="77">
        <v>5</v>
      </c>
      <c r="I506" s="55"/>
      <c r="J506" s="74">
        <v>42110</v>
      </c>
      <c r="K506" s="74">
        <v>44440</v>
      </c>
      <c r="L506" s="74"/>
      <c r="M506" s="55" t="s">
        <v>6778</v>
      </c>
      <c r="N506" s="55" t="s">
        <v>6707</v>
      </c>
      <c r="O506" s="55" t="s">
        <v>360</v>
      </c>
    </row>
    <row r="507" spans="1:15" ht="13" x14ac:dyDescent="0.15">
      <c r="A507" s="55" t="s">
        <v>6871</v>
      </c>
      <c r="B507" s="55" t="s">
        <v>373</v>
      </c>
      <c r="C507" s="55" t="s">
        <v>378</v>
      </c>
      <c r="D507" s="55" t="s">
        <v>170</v>
      </c>
      <c r="E507" s="55" t="s">
        <v>243</v>
      </c>
      <c r="F507" s="55" t="s">
        <v>1786</v>
      </c>
      <c r="G507" s="55" t="s">
        <v>350</v>
      </c>
      <c r="H507" s="77">
        <v>5</v>
      </c>
      <c r="I507" s="55"/>
      <c r="J507" s="74">
        <v>42285</v>
      </c>
      <c r="K507" s="74">
        <v>44343</v>
      </c>
      <c r="L507" s="74"/>
      <c r="M507" s="55" t="s">
        <v>6778</v>
      </c>
      <c r="N507" s="55" t="s">
        <v>6707</v>
      </c>
      <c r="O507" s="55" t="s">
        <v>360</v>
      </c>
    </row>
    <row r="508" spans="1:15" ht="13" x14ac:dyDescent="0.15">
      <c r="A508" s="55" t="s">
        <v>6872</v>
      </c>
      <c r="B508" s="55" t="s">
        <v>373</v>
      </c>
      <c r="C508" s="55" t="s">
        <v>129</v>
      </c>
      <c r="D508" s="55" t="s">
        <v>129</v>
      </c>
      <c r="E508" s="55" t="s">
        <v>1758</v>
      </c>
      <c r="F508" s="55" t="s">
        <v>2765</v>
      </c>
      <c r="G508" s="55" t="s">
        <v>350</v>
      </c>
      <c r="H508" s="77">
        <v>2</v>
      </c>
      <c r="I508" s="55"/>
      <c r="J508" s="74">
        <v>42187</v>
      </c>
      <c r="K508" s="74">
        <v>44353</v>
      </c>
      <c r="L508" s="74"/>
      <c r="M508" s="55" t="s">
        <v>6778</v>
      </c>
      <c r="N508" s="55" t="s">
        <v>6707</v>
      </c>
      <c r="O508" s="55" t="s">
        <v>360</v>
      </c>
    </row>
  </sheetData>
  <pageMargins left="0.7" right="0.7" top="0.75" bottom="0.75" header="0.3" footer="0.3"/>
  <pageSetup paperSize="0" fitToWidth="0" fitToHeight="0" orientation="portrait" horizontalDpi="0" verticalDpi="0" copies="0"/>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77EC0D-43BF-2840-884E-EAAF9282FABA}">
  <dimension ref="A1:R58"/>
  <sheetViews>
    <sheetView workbookViewId="0"/>
  </sheetViews>
  <sheetFormatPr baseColWidth="10" defaultColWidth="12.796875" defaultRowHeight="13.25" x14ac:dyDescent="0.15"/>
  <cols>
    <col min="1" max="1" width="57" style="55" customWidth="1"/>
    <col min="2" max="2" width="13.796875" style="55" customWidth="1"/>
    <col min="3" max="3" width="23.19921875" style="55" customWidth="1"/>
    <col min="4" max="4" width="20.3984375" style="55" customWidth="1"/>
    <col min="5" max="5" width="27.59765625" style="55" customWidth="1"/>
    <col min="6" max="6" width="60" style="55" customWidth="1"/>
    <col min="7" max="7" width="29.59765625" style="55" customWidth="1"/>
    <col min="8" max="8" width="29.3984375" style="55" customWidth="1"/>
    <col min="9" max="9" width="20.3984375" style="55" customWidth="1"/>
    <col min="10" max="10" width="61.19921875" style="55" customWidth="1"/>
    <col min="11" max="11" width="27.19921875" style="55" customWidth="1"/>
    <col min="12" max="12" width="30.19921875" style="55" customWidth="1"/>
    <col min="13" max="13" width="39.796875" style="55" customWidth="1"/>
    <col min="14" max="14" width="35.3984375" style="55" customWidth="1"/>
    <col min="15" max="15" width="51.59765625" style="55" customWidth="1"/>
    <col min="16" max="16" width="12.796875" style="55" customWidth="1"/>
    <col min="17" max="16384" width="12.796875" style="55"/>
  </cols>
  <sheetData>
    <row r="1" spans="1:18" ht="19" x14ac:dyDescent="0.2">
      <c r="A1" s="53" t="s">
        <v>6873</v>
      </c>
      <c r="B1" s="67"/>
      <c r="C1" s="67"/>
      <c r="D1" s="67"/>
      <c r="E1" s="67"/>
      <c r="F1" s="67"/>
      <c r="G1" s="67"/>
      <c r="H1" s="67"/>
      <c r="I1" s="67"/>
      <c r="J1" s="67"/>
      <c r="K1" s="67"/>
      <c r="L1" s="67"/>
      <c r="M1" s="67"/>
      <c r="N1" s="67"/>
      <c r="O1" s="67"/>
      <c r="P1" s="67"/>
      <c r="Q1" s="67"/>
      <c r="R1" s="67"/>
    </row>
    <row r="2" spans="1:18" ht="13" x14ac:dyDescent="0.15">
      <c r="A2" s="75" t="s">
        <v>6874</v>
      </c>
      <c r="B2" s="67"/>
      <c r="C2" s="67"/>
      <c r="D2" s="67"/>
      <c r="E2" s="67"/>
      <c r="F2" s="67"/>
      <c r="G2" s="67"/>
      <c r="H2" s="67"/>
      <c r="I2" s="67"/>
      <c r="J2" s="67"/>
      <c r="K2" s="67"/>
      <c r="L2" s="67"/>
      <c r="M2" s="67"/>
      <c r="N2" s="67"/>
      <c r="O2" s="67"/>
      <c r="P2" s="67"/>
      <c r="Q2" s="67"/>
      <c r="R2" s="67"/>
    </row>
    <row r="3" spans="1:18" ht="13" x14ac:dyDescent="0.15">
      <c r="A3" s="75" t="s">
        <v>6875</v>
      </c>
      <c r="B3" s="67"/>
      <c r="C3" s="67"/>
      <c r="D3" s="67"/>
      <c r="E3" s="67"/>
      <c r="F3" s="67"/>
      <c r="G3" s="67"/>
      <c r="H3" s="67"/>
      <c r="I3" s="67"/>
      <c r="J3" s="67"/>
      <c r="K3" s="67"/>
      <c r="L3" s="67"/>
      <c r="M3" s="67"/>
      <c r="N3" s="67"/>
      <c r="O3" s="67"/>
      <c r="P3" s="67"/>
      <c r="Q3" s="67"/>
      <c r="R3" s="67"/>
    </row>
    <row r="4" spans="1:18" ht="13" x14ac:dyDescent="0.15">
      <c r="A4" s="75" t="s">
        <v>6876</v>
      </c>
      <c r="B4" s="67"/>
      <c r="C4" s="67"/>
      <c r="D4" s="67"/>
      <c r="E4" s="67"/>
      <c r="F4" s="67"/>
      <c r="G4" s="67"/>
      <c r="H4" s="67"/>
      <c r="I4" s="67"/>
      <c r="J4" s="67"/>
      <c r="K4" s="67"/>
      <c r="L4" s="67"/>
      <c r="M4" s="67"/>
      <c r="N4" s="67"/>
      <c r="O4" s="67"/>
      <c r="P4" s="67"/>
      <c r="Q4" s="67"/>
      <c r="R4" s="67"/>
    </row>
    <row r="5" spans="1:18" ht="15" x14ac:dyDescent="0.15">
      <c r="A5" s="92" t="s">
        <v>6877</v>
      </c>
      <c r="B5" s="67"/>
      <c r="C5" s="67"/>
      <c r="D5" s="67"/>
      <c r="E5" s="67"/>
      <c r="F5" s="67"/>
      <c r="G5" s="67"/>
      <c r="H5" s="67"/>
      <c r="I5" s="67"/>
      <c r="J5" s="67"/>
      <c r="K5" s="67"/>
      <c r="L5" s="67"/>
      <c r="M5" s="67"/>
      <c r="N5" s="67"/>
      <c r="O5" s="67"/>
      <c r="P5" s="67"/>
      <c r="Q5" s="67"/>
      <c r="R5" s="67"/>
    </row>
    <row r="6" spans="1:18" ht="13" x14ac:dyDescent="0.15">
      <c r="A6" s="93" t="s">
        <v>6878</v>
      </c>
      <c r="B6" s="94" t="s">
        <v>6879</v>
      </c>
      <c r="C6" s="94" t="s">
        <v>6880</v>
      </c>
      <c r="D6" s="94" t="s">
        <v>6881</v>
      </c>
      <c r="E6" s="94" t="s">
        <v>6882</v>
      </c>
      <c r="F6" s="94" t="s">
        <v>479</v>
      </c>
      <c r="G6" s="94" t="s">
        <v>6883</v>
      </c>
      <c r="H6" s="94" t="s">
        <v>6884</v>
      </c>
      <c r="I6" s="94" t="s">
        <v>6885</v>
      </c>
      <c r="J6" s="94" t="s">
        <v>6886</v>
      </c>
      <c r="K6" s="94" t="s">
        <v>6887</v>
      </c>
      <c r="L6" s="94" t="s">
        <v>6888</v>
      </c>
      <c r="M6" s="94" t="s">
        <v>6889</v>
      </c>
      <c r="N6" s="94" t="s">
        <v>6890</v>
      </c>
      <c r="O6" s="95" t="s">
        <v>6891</v>
      </c>
      <c r="P6" s="95" t="s">
        <v>6892</v>
      </c>
      <c r="Q6" s="67"/>
      <c r="R6" s="67"/>
    </row>
    <row r="7" spans="1:18" ht="13" x14ac:dyDescent="0.15">
      <c r="A7" s="96">
        <v>44651</v>
      </c>
      <c r="B7" s="97" t="s">
        <v>6893</v>
      </c>
      <c r="C7" s="98">
        <v>2873</v>
      </c>
      <c r="D7" s="98">
        <v>2798</v>
      </c>
      <c r="E7" s="97">
        <v>13</v>
      </c>
      <c r="F7" s="97">
        <v>62</v>
      </c>
      <c r="G7" s="97">
        <v>122</v>
      </c>
      <c r="H7" s="97">
        <v>68</v>
      </c>
      <c r="I7" s="97">
        <v>60</v>
      </c>
      <c r="J7" s="97">
        <v>37</v>
      </c>
      <c r="K7" s="97">
        <v>2</v>
      </c>
      <c r="L7" s="97">
        <v>38</v>
      </c>
      <c r="M7" s="97">
        <v>35</v>
      </c>
      <c r="N7" s="97">
        <v>326</v>
      </c>
      <c r="O7" s="97">
        <v>15</v>
      </c>
      <c r="P7" s="99">
        <v>3576</v>
      </c>
      <c r="Q7" s="67"/>
      <c r="R7" s="67"/>
    </row>
    <row r="8" spans="1:18" ht="13" x14ac:dyDescent="0.15">
      <c r="A8" s="96">
        <v>44439</v>
      </c>
      <c r="B8" s="97" t="s">
        <v>6893</v>
      </c>
      <c r="C8" s="98">
        <v>2776</v>
      </c>
      <c r="D8" s="98">
        <v>2695</v>
      </c>
      <c r="E8" s="97">
        <v>13</v>
      </c>
      <c r="F8" s="97">
        <v>68</v>
      </c>
      <c r="G8" s="97">
        <v>121</v>
      </c>
      <c r="H8" s="97">
        <v>61</v>
      </c>
      <c r="I8" s="97">
        <v>59</v>
      </c>
      <c r="J8" s="97">
        <v>37</v>
      </c>
      <c r="K8" s="97">
        <v>2</v>
      </c>
      <c r="L8" s="97">
        <v>39</v>
      </c>
      <c r="M8" s="97">
        <v>37</v>
      </c>
      <c r="N8" s="97">
        <v>322</v>
      </c>
      <c r="O8" s="97">
        <v>16</v>
      </c>
      <c r="P8" s="99">
        <v>3470</v>
      </c>
      <c r="Q8" s="67"/>
      <c r="R8" s="67"/>
    </row>
    <row r="9" spans="1:18" ht="13" x14ac:dyDescent="0.15">
      <c r="A9" s="96">
        <v>44286</v>
      </c>
      <c r="B9" s="97" t="s">
        <v>6893</v>
      </c>
      <c r="C9" s="98">
        <v>2706</v>
      </c>
      <c r="D9" s="98">
        <v>2624</v>
      </c>
      <c r="E9" s="97">
        <v>13</v>
      </c>
      <c r="F9" s="97">
        <v>69</v>
      </c>
      <c r="G9" s="97">
        <v>126</v>
      </c>
      <c r="H9" s="97">
        <v>59</v>
      </c>
      <c r="I9" s="97">
        <v>60</v>
      </c>
      <c r="J9" s="97">
        <v>39</v>
      </c>
      <c r="K9" s="97">
        <v>2</v>
      </c>
      <c r="L9" s="97">
        <v>38</v>
      </c>
      <c r="M9" s="97">
        <v>37</v>
      </c>
      <c r="N9" s="97">
        <v>317</v>
      </c>
      <c r="O9" s="97">
        <v>18</v>
      </c>
      <c r="P9" s="99">
        <v>3402</v>
      </c>
      <c r="Q9" s="67"/>
      <c r="R9" s="67"/>
    </row>
    <row r="10" spans="1:18" ht="13" x14ac:dyDescent="0.15">
      <c r="A10" s="96">
        <v>44074</v>
      </c>
      <c r="B10" s="97" t="s">
        <v>6893</v>
      </c>
      <c r="C10" s="98">
        <v>2593</v>
      </c>
      <c r="D10" s="98">
        <v>2513</v>
      </c>
      <c r="E10" s="97">
        <v>13</v>
      </c>
      <c r="F10" s="97">
        <v>67</v>
      </c>
      <c r="G10" s="97">
        <v>135</v>
      </c>
      <c r="H10" s="97">
        <v>58</v>
      </c>
      <c r="I10" s="97">
        <v>67</v>
      </c>
      <c r="J10" s="97">
        <v>43</v>
      </c>
      <c r="K10" s="97">
        <v>2</v>
      </c>
      <c r="L10" s="97">
        <v>36</v>
      </c>
      <c r="M10" s="97">
        <v>38</v>
      </c>
      <c r="N10" s="97">
        <v>312</v>
      </c>
      <c r="O10" s="97">
        <v>18</v>
      </c>
      <c r="P10" s="99">
        <v>3302</v>
      </c>
      <c r="Q10" s="67"/>
      <c r="R10" s="67"/>
    </row>
    <row r="11" spans="1:18" ht="13" x14ac:dyDescent="0.15">
      <c r="A11" s="96">
        <v>43921</v>
      </c>
      <c r="B11" s="97" t="s">
        <v>6893</v>
      </c>
      <c r="C11" s="98">
        <v>2460</v>
      </c>
      <c r="D11" s="98">
        <v>2378</v>
      </c>
      <c r="E11" s="97">
        <v>13</v>
      </c>
      <c r="F11" s="97">
        <v>69</v>
      </c>
      <c r="G11" s="97">
        <v>136</v>
      </c>
      <c r="H11" s="97">
        <v>58</v>
      </c>
      <c r="I11" s="97">
        <v>70</v>
      </c>
      <c r="J11" s="97">
        <v>43</v>
      </c>
      <c r="K11" s="97">
        <v>2</v>
      </c>
      <c r="L11" s="97">
        <v>33</v>
      </c>
      <c r="M11" s="97">
        <v>39</v>
      </c>
      <c r="N11" s="97">
        <v>300</v>
      </c>
      <c r="O11" s="97">
        <v>17</v>
      </c>
      <c r="P11" s="99">
        <v>3158</v>
      </c>
      <c r="Q11" s="67"/>
      <c r="R11" s="67"/>
    </row>
    <row r="12" spans="1:18" ht="13" x14ac:dyDescent="0.15">
      <c r="A12" s="96">
        <v>43708</v>
      </c>
      <c r="B12" s="97" t="s">
        <v>6893</v>
      </c>
      <c r="C12" s="98">
        <v>2393</v>
      </c>
      <c r="D12" s="98">
        <v>2313</v>
      </c>
      <c r="E12" s="97">
        <v>15</v>
      </c>
      <c r="F12" s="97">
        <v>64</v>
      </c>
      <c r="G12" s="97">
        <v>137</v>
      </c>
      <c r="H12" s="97">
        <v>51</v>
      </c>
      <c r="I12" s="97">
        <v>73</v>
      </c>
      <c r="J12" s="97">
        <v>44</v>
      </c>
      <c r="K12" s="97">
        <v>3</v>
      </c>
      <c r="L12" s="97">
        <v>32</v>
      </c>
      <c r="M12" s="97">
        <v>43</v>
      </c>
      <c r="N12" s="97">
        <v>301</v>
      </c>
      <c r="O12" s="97">
        <v>16</v>
      </c>
      <c r="P12" s="100">
        <v>3092</v>
      </c>
      <c r="Q12" s="67"/>
      <c r="R12" s="67"/>
    </row>
    <row r="13" spans="1:18" ht="13" x14ac:dyDescent="0.15">
      <c r="A13" s="96">
        <v>43555</v>
      </c>
      <c r="B13" s="97" t="s">
        <v>6893</v>
      </c>
      <c r="C13" s="101">
        <v>2304</v>
      </c>
      <c r="D13" s="101">
        <v>2221</v>
      </c>
      <c r="E13" s="102">
        <v>14</v>
      </c>
      <c r="F13" s="102">
        <v>69</v>
      </c>
      <c r="G13" s="102">
        <v>139</v>
      </c>
      <c r="H13" s="102">
        <v>49</v>
      </c>
      <c r="I13" s="102">
        <v>75</v>
      </c>
      <c r="J13" s="102">
        <v>43</v>
      </c>
      <c r="K13" s="102">
        <v>3</v>
      </c>
      <c r="L13" s="102">
        <v>34</v>
      </c>
      <c r="M13" s="102">
        <v>50</v>
      </c>
      <c r="N13" s="102">
        <v>305</v>
      </c>
      <c r="O13" s="102">
        <v>16</v>
      </c>
      <c r="P13" s="100">
        <v>3018</v>
      </c>
      <c r="Q13" s="67"/>
      <c r="R13" s="67"/>
    </row>
    <row r="14" spans="1:18" ht="13" x14ac:dyDescent="0.15">
      <c r="A14" s="96">
        <v>43373</v>
      </c>
      <c r="B14" s="97" t="s">
        <v>6893</v>
      </c>
      <c r="C14" s="101">
        <v>2254</v>
      </c>
      <c r="D14" s="101">
        <v>2170</v>
      </c>
      <c r="E14" s="102">
        <v>14</v>
      </c>
      <c r="F14" s="102">
        <v>70</v>
      </c>
      <c r="G14" s="102">
        <v>151</v>
      </c>
      <c r="H14" s="102">
        <v>49</v>
      </c>
      <c r="I14" s="102">
        <v>82</v>
      </c>
      <c r="J14" s="102">
        <v>42</v>
      </c>
      <c r="K14" s="102">
        <v>3</v>
      </c>
      <c r="L14" s="102">
        <v>35</v>
      </c>
      <c r="M14" s="102">
        <v>48</v>
      </c>
      <c r="N14" s="102">
        <v>306</v>
      </c>
      <c r="O14" s="102">
        <v>16</v>
      </c>
      <c r="P14" s="100">
        <v>2986</v>
      </c>
      <c r="Q14" s="67"/>
      <c r="R14" s="67"/>
    </row>
    <row r="15" spans="1:18" ht="13" x14ac:dyDescent="0.15">
      <c r="A15" s="96">
        <v>43190</v>
      </c>
      <c r="B15" s="102" t="s">
        <v>6893</v>
      </c>
      <c r="C15" s="101">
        <v>2209</v>
      </c>
      <c r="D15" s="101">
        <v>2124</v>
      </c>
      <c r="E15" s="102">
        <v>14</v>
      </c>
      <c r="F15" s="102">
        <v>71</v>
      </c>
      <c r="G15" s="102">
        <v>154</v>
      </c>
      <c r="H15" s="102">
        <v>43</v>
      </c>
      <c r="I15" s="102">
        <v>81</v>
      </c>
      <c r="J15" s="102">
        <v>42</v>
      </c>
      <c r="K15" s="102">
        <v>3</v>
      </c>
      <c r="L15" s="102">
        <v>35</v>
      </c>
      <c r="M15" s="102">
        <v>48</v>
      </c>
      <c r="N15" s="102">
        <v>308</v>
      </c>
      <c r="O15" s="102">
        <v>18</v>
      </c>
      <c r="P15" s="100">
        <v>2941</v>
      </c>
      <c r="Q15" s="67"/>
      <c r="R15" s="67"/>
    </row>
    <row r="16" spans="1:18" ht="13" x14ac:dyDescent="0.15">
      <c r="A16" s="96">
        <v>43008</v>
      </c>
      <c r="B16" s="102" t="s">
        <v>6893</v>
      </c>
      <c r="C16" s="101">
        <v>2190</v>
      </c>
      <c r="D16" s="101">
        <v>2100</v>
      </c>
      <c r="E16" s="102">
        <v>14</v>
      </c>
      <c r="F16" s="102">
        <v>76</v>
      </c>
      <c r="G16" s="102">
        <v>156</v>
      </c>
      <c r="H16" s="102">
        <v>40</v>
      </c>
      <c r="I16" s="102">
        <v>84</v>
      </c>
      <c r="J16" s="102">
        <v>42</v>
      </c>
      <c r="K16" s="102">
        <v>3</v>
      </c>
      <c r="L16" s="102">
        <v>35</v>
      </c>
      <c r="M16" s="102">
        <v>45</v>
      </c>
      <c r="N16" s="102">
        <v>302</v>
      </c>
      <c r="O16" s="102">
        <v>18</v>
      </c>
      <c r="P16" s="103">
        <v>2915</v>
      </c>
      <c r="Q16" s="67"/>
      <c r="R16" s="67"/>
    </row>
    <row r="17" spans="1:18" ht="13" x14ac:dyDescent="0.15">
      <c r="A17" s="104">
        <v>42825</v>
      </c>
      <c r="B17" s="97" t="s">
        <v>6893</v>
      </c>
      <c r="C17" s="98">
        <v>2145</v>
      </c>
      <c r="D17" s="98">
        <v>2050</v>
      </c>
      <c r="E17" s="98">
        <v>14</v>
      </c>
      <c r="F17" s="98">
        <v>81</v>
      </c>
      <c r="G17" s="98">
        <v>157</v>
      </c>
      <c r="H17" s="98">
        <v>38</v>
      </c>
      <c r="I17" s="98">
        <v>82</v>
      </c>
      <c r="J17" s="98">
        <v>42</v>
      </c>
      <c r="K17" s="98">
        <v>3</v>
      </c>
      <c r="L17" s="98">
        <v>37</v>
      </c>
      <c r="M17" s="98">
        <v>43</v>
      </c>
      <c r="N17" s="98">
        <v>304</v>
      </c>
      <c r="O17" s="98">
        <v>15</v>
      </c>
      <c r="P17" s="99">
        <v>2866</v>
      </c>
      <c r="Q17" s="67"/>
      <c r="R17" s="67"/>
    </row>
    <row r="18" spans="1:18" ht="13" x14ac:dyDescent="0.15">
      <c r="A18" s="105">
        <v>42643</v>
      </c>
      <c r="B18" s="97" t="s">
        <v>6893</v>
      </c>
      <c r="C18" s="98">
        <v>2126</v>
      </c>
      <c r="D18" s="98">
        <v>2030</v>
      </c>
      <c r="E18" s="98">
        <v>14</v>
      </c>
      <c r="F18" s="98">
        <v>82</v>
      </c>
      <c r="G18" s="98">
        <v>164</v>
      </c>
      <c r="H18" s="98">
        <v>38</v>
      </c>
      <c r="I18" s="98">
        <v>76</v>
      </c>
      <c r="J18" s="98">
        <v>38</v>
      </c>
      <c r="K18" s="98">
        <v>3</v>
      </c>
      <c r="L18" s="98">
        <v>36</v>
      </c>
      <c r="M18" s="98">
        <v>44</v>
      </c>
      <c r="N18" s="98">
        <v>307</v>
      </c>
      <c r="O18" s="98">
        <v>13</v>
      </c>
      <c r="P18" s="99">
        <v>2845</v>
      </c>
      <c r="Q18" s="67"/>
      <c r="R18" s="67"/>
    </row>
    <row r="19" spans="1:18" ht="13" x14ac:dyDescent="0.15">
      <c r="A19" s="104">
        <v>42460</v>
      </c>
      <c r="B19" s="106" t="s">
        <v>6893</v>
      </c>
      <c r="C19" s="107">
        <v>2071</v>
      </c>
      <c r="D19" s="107">
        <v>1972</v>
      </c>
      <c r="E19" s="107">
        <v>14</v>
      </c>
      <c r="F19" s="107">
        <v>85</v>
      </c>
      <c r="G19" s="107">
        <v>165</v>
      </c>
      <c r="H19" s="107">
        <v>37</v>
      </c>
      <c r="I19" s="107">
        <v>78</v>
      </c>
      <c r="J19" s="107">
        <v>38</v>
      </c>
      <c r="K19" s="107">
        <v>3</v>
      </c>
      <c r="L19" s="107">
        <v>36</v>
      </c>
      <c r="M19" s="107">
        <v>42</v>
      </c>
      <c r="N19" s="107">
        <v>297</v>
      </c>
      <c r="O19" s="108">
        <v>11</v>
      </c>
      <c r="P19" s="108">
        <v>2778</v>
      </c>
      <c r="Q19" s="67"/>
      <c r="R19" s="67"/>
    </row>
    <row r="20" spans="1:18" ht="13" x14ac:dyDescent="0.15">
      <c r="A20" s="105">
        <v>42277</v>
      </c>
      <c r="B20" s="97" t="s">
        <v>6893</v>
      </c>
      <c r="C20" s="98">
        <v>2065</v>
      </c>
      <c r="D20" s="98">
        <v>1961</v>
      </c>
      <c r="E20" s="98">
        <v>14</v>
      </c>
      <c r="F20" s="98">
        <v>90</v>
      </c>
      <c r="G20" s="98">
        <v>167</v>
      </c>
      <c r="H20" s="98">
        <v>37</v>
      </c>
      <c r="I20" s="98">
        <v>79</v>
      </c>
      <c r="J20" s="98">
        <v>38</v>
      </c>
      <c r="K20" s="98">
        <v>3</v>
      </c>
      <c r="L20" s="98">
        <v>35</v>
      </c>
      <c r="M20" s="98">
        <v>43</v>
      </c>
      <c r="N20" s="98">
        <v>300</v>
      </c>
      <c r="O20" s="99">
        <v>8</v>
      </c>
      <c r="P20" s="99">
        <v>2775</v>
      </c>
      <c r="Q20" s="67"/>
      <c r="R20" s="67"/>
    </row>
    <row r="21" spans="1:18" ht="13" x14ac:dyDescent="0.15">
      <c r="A21" s="109" t="s">
        <v>6894</v>
      </c>
      <c r="B21" s="110" t="s">
        <v>6893</v>
      </c>
      <c r="C21" s="111">
        <v>2074</v>
      </c>
      <c r="D21" s="111">
        <v>1974</v>
      </c>
      <c r="E21" s="111">
        <v>14</v>
      </c>
      <c r="F21" s="111">
        <v>86</v>
      </c>
      <c r="G21" s="111">
        <v>168</v>
      </c>
      <c r="H21" s="111">
        <v>38</v>
      </c>
      <c r="I21" s="111">
        <v>81</v>
      </c>
      <c r="J21" s="111">
        <v>39</v>
      </c>
      <c r="K21" s="111">
        <v>4</v>
      </c>
      <c r="L21" s="111">
        <v>35</v>
      </c>
      <c r="M21" s="111">
        <v>42</v>
      </c>
      <c r="N21" s="111">
        <v>300</v>
      </c>
      <c r="O21" s="112">
        <v>6</v>
      </c>
      <c r="P21" s="112">
        <v>2787</v>
      </c>
      <c r="Q21" s="67"/>
      <c r="R21" s="67"/>
    </row>
    <row r="22" spans="1:18" ht="13" x14ac:dyDescent="0.15">
      <c r="A22" s="104">
        <v>41912</v>
      </c>
      <c r="B22" s="113" t="s">
        <v>6893</v>
      </c>
      <c r="C22" s="114">
        <v>2062</v>
      </c>
      <c r="D22" s="114">
        <v>1964</v>
      </c>
      <c r="E22" s="114">
        <v>15</v>
      </c>
      <c r="F22" s="114">
        <v>83</v>
      </c>
      <c r="G22" s="114">
        <v>180</v>
      </c>
      <c r="H22" s="114">
        <v>43</v>
      </c>
      <c r="I22" s="114">
        <v>86</v>
      </c>
      <c r="J22" s="114">
        <v>40</v>
      </c>
      <c r="K22" s="114">
        <v>4</v>
      </c>
      <c r="L22" s="114">
        <v>36</v>
      </c>
      <c r="M22" s="114">
        <v>44</v>
      </c>
      <c r="N22" s="114">
        <v>303</v>
      </c>
      <c r="O22" s="115" t="s">
        <v>6895</v>
      </c>
      <c r="P22" s="115">
        <v>2798</v>
      </c>
      <c r="Q22" s="67"/>
      <c r="R22" s="67"/>
    </row>
    <row r="23" spans="1:18" ht="13" x14ac:dyDescent="0.15">
      <c r="A23" s="105">
        <v>41729</v>
      </c>
      <c r="B23" s="113" t="s">
        <v>6893</v>
      </c>
      <c r="C23" s="114">
        <v>2057</v>
      </c>
      <c r="D23" s="114">
        <v>1953</v>
      </c>
      <c r="E23" s="114">
        <v>16</v>
      </c>
      <c r="F23" s="114">
        <v>88</v>
      </c>
      <c r="G23" s="114">
        <v>180</v>
      </c>
      <c r="H23" s="114">
        <v>41</v>
      </c>
      <c r="I23" s="114">
        <v>84</v>
      </c>
      <c r="J23" s="114">
        <v>40</v>
      </c>
      <c r="K23" s="114">
        <v>4</v>
      </c>
      <c r="L23" s="114">
        <v>37</v>
      </c>
      <c r="M23" s="114">
        <v>45</v>
      </c>
      <c r="N23" s="114">
        <v>308</v>
      </c>
      <c r="O23" s="115" t="s">
        <v>6895</v>
      </c>
      <c r="P23" s="115">
        <v>2796</v>
      </c>
      <c r="Q23" s="67"/>
      <c r="R23" s="67"/>
    </row>
    <row r="24" spans="1:18" ht="13" x14ac:dyDescent="0.15">
      <c r="A24" s="109" t="s">
        <v>6896</v>
      </c>
      <c r="B24" s="113" t="s">
        <v>6893</v>
      </c>
      <c r="C24" s="114">
        <v>2067</v>
      </c>
      <c r="D24" s="114">
        <v>1952</v>
      </c>
      <c r="E24" s="114">
        <v>16</v>
      </c>
      <c r="F24" s="114">
        <v>99</v>
      </c>
      <c r="G24" s="114">
        <v>183</v>
      </c>
      <c r="H24" s="114">
        <v>43</v>
      </c>
      <c r="I24" s="114">
        <v>79</v>
      </c>
      <c r="J24" s="114">
        <v>42</v>
      </c>
      <c r="K24" s="114">
        <v>4</v>
      </c>
      <c r="L24" s="114">
        <v>37</v>
      </c>
      <c r="M24" s="114">
        <v>41</v>
      </c>
      <c r="N24" s="114">
        <v>311</v>
      </c>
      <c r="O24" s="115" t="s">
        <v>6895</v>
      </c>
      <c r="P24" s="115">
        <v>2807</v>
      </c>
      <c r="Q24" s="67"/>
      <c r="R24" s="67"/>
    </row>
    <row r="25" spans="1:18" ht="13" x14ac:dyDescent="0.15">
      <c r="A25" s="104">
        <v>41364</v>
      </c>
      <c r="B25" s="116" t="s">
        <v>6893</v>
      </c>
      <c r="C25" s="117">
        <v>2050</v>
      </c>
      <c r="D25" s="117">
        <v>1950</v>
      </c>
      <c r="E25" s="117">
        <v>16</v>
      </c>
      <c r="F25" s="117">
        <v>84</v>
      </c>
      <c r="G25" s="117">
        <v>184</v>
      </c>
      <c r="H25" s="117">
        <v>50</v>
      </c>
      <c r="I25" s="117">
        <v>79</v>
      </c>
      <c r="J25" s="117">
        <v>42</v>
      </c>
      <c r="K25" s="117">
        <v>4</v>
      </c>
      <c r="L25" s="117">
        <v>38</v>
      </c>
      <c r="M25" s="117">
        <v>41</v>
      </c>
      <c r="N25" s="117">
        <v>302</v>
      </c>
      <c r="O25" s="118" t="s">
        <v>6895</v>
      </c>
      <c r="P25" s="118">
        <v>3094</v>
      </c>
      <c r="Q25" s="67"/>
      <c r="R25" s="67"/>
    </row>
    <row r="26" spans="1:18" ht="13" x14ac:dyDescent="0.15">
      <c r="A26" s="105">
        <v>41182</v>
      </c>
      <c r="B26" s="113" t="s">
        <v>6893</v>
      </c>
      <c r="C26" s="114">
        <v>2082</v>
      </c>
      <c r="D26" s="114">
        <v>1976</v>
      </c>
      <c r="E26" s="114">
        <v>16</v>
      </c>
      <c r="F26" s="114">
        <v>90</v>
      </c>
      <c r="G26" s="114">
        <v>193</v>
      </c>
      <c r="H26" s="114">
        <v>62</v>
      </c>
      <c r="I26" s="114">
        <v>84</v>
      </c>
      <c r="J26" s="114">
        <v>44</v>
      </c>
      <c r="K26" s="114">
        <v>4</v>
      </c>
      <c r="L26" s="114">
        <v>42</v>
      </c>
      <c r="M26" s="114">
        <v>43</v>
      </c>
      <c r="N26" s="114">
        <v>302</v>
      </c>
      <c r="O26" s="115" t="s">
        <v>6895</v>
      </c>
      <c r="P26" s="115">
        <v>3160</v>
      </c>
      <c r="Q26" s="67"/>
      <c r="R26" s="67"/>
    </row>
    <row r="27" spans="1:18" ht="13" x14ac:dyDescent="0.15">
      <c r="A27" s="119" t="s">
        <v>6897</v>
      </c>
      <c r="B27" s="113" t="s">
        <v>6893</v>
      </c>
      <c r="C27" s="114">
        <v>2090</v>
      </c>
      <c r="D27" s="114">
        <v>1984</v>
      </c>
      <c r="E27" s="114">
        <v>16</v>
      </c>
      <c r="F27" s="114">
        <v>90</v>
      </c>
      <c r="G27" s="114">
        <v>194</v>
      </c>
      <c r="H27" s="114">
        <v>65</v>
      </c>
      <c r="I27" s="114">
        <v>84</v>
      </c>
      <c r="J27" s="114">
        <v>44</v>
      </c>
      <c r="K27" s="114">
        <v>4</v>
      </c>
      <c r="L27" s="114">
        <v>40</v>
      </c>
      <c r="M27" s="114">
        <v>48</v>
      </c>
      <c r="N27" s="114">
        <v>295</v>
      </c>
      <c r="O27" s="115" t="s">
        <v>6895</v>
      </c>
      <c r="P27" s="115">
        <v>3164</v>
      </c>
      <c r="Q27" s="67"/>
      <c r="R27" s="67"/>
    </row>
    <row r="28" spans="1:18" ht="14" thickBot="1" x14ac:dyDescent="0.2">
      <c r="A28" s="105">
        <v>40816</v>
      </c>
      <c r="B28" s="120" t="s">
        <v>6893</v>
      </c>
      <c r="C28" s="121">
        <v>2090</v>
      </c>
      <c r="D28" s="121"/>
      <c r="E28" s="121">
        <v>16</v>
      </c>
      <c r="F28" s="121"/>
      <c r="G28" s="121">
        <v>202</v>
      </c>
      <c r="H28" s="121">
        <v>61</v>
      </c>
      <c r="I28" s="121">
        <v>89</v>
      </c>
      <c r="J28" s="121">
        <v>43</v>
      </c>
      <c r="K28" s="121">
        <v>4</v>
      </c>
      <c r="L28" s="121">
        <v>43</v>
      </c>
      <c r="M28" s="121">
        <v>48</v>
      </c>
      <c r="N28" s="121">
        <v>288</v>
      </c>
      <c r="O28" s="122" t="s">
        <v>6895</v>
      </c>
      <c r="P28" s="122">
        <v>3167</v>
      </c>
      <c r="Q28" s="67"/>
      <c r="R28" s="67"/>
    </row>
    <row r="29" spans="1:18" ht="13" x14ac:dyDescent="0.15">
      <c r="A29" s="123"/>
      <c r="B29" s="124"/>
      <c r="C29" s="125"/>
      <c r="D29" s="125"/>
      <c r="E29" s="125"/>
      <c r="F29" s="125"/>
      <c r="G29" s="125"/>
      <c r="H29" s="125"/>
      <c r="I29" s="125"/>
      <c r="J29" s="125"/>
      <c r="K29" s="125"/>
      <c r="L29" s="125"/>
      <c r="M29" s="125"/>
      <c r="N29" s="125"/>
      <c r="O29" s="125"/>
      <c r="P29" s="125"/>
      <c r="Q29" s="67"/>
      <c r="R29" s="67"/>
    </row>
    <row r="30" spans="1:18" ht="16" thickBot="1" x14ac:dyDescent="0.2">
      <c r="A30" s="92" t="s">
        <v>6898</v>
      </c>
      <c r="B30" s="67"/>
      <c r="C30" s="67"/>
      <c r="D30" s="67"/>
      <c r="E30" s="67"/>
      <c r="F30" s="67"/>
      <c r="G30" s="67"/>
      <c r="H30" s="67"/>
      <c r="I30" s="67"/>
      <c r="J30" s="67"/>
      <c r="Q30" s="67"/>
      <c r="R30" s="67"/>
    </row>
    <row r="31" spans="1:18" ht="14" thickTop="1" x14ac:dyDescent="0.15">
      <c r="A31" s="126" t="s">
        <v>6878</v>
      </c>
      <c r="B31" s="127" t="s">
        <v>6879</v>
      </c>
      <c r="C31" s="127" t="s">
        <v>6880</v>
      </c>
      <c r="D31" s="127" t="s">
        <v>6881</v>
      </c>
      <c r="E31" s="127" t="s">
        <v>6882</v>
      </c>
      <c r="F31" s="127" t="s">
        <v>479</v>
      </c>
      <c r="G31" s="127" t="s">
        <v>6883</v>
      </c>
      <c r="H31" s="127" t="s">
        <v>6884</v>
      </c>
      <c r="I31" s="127" t="s">
        <v>6885</v>
      </c>
      <c r="J31" s="127" t="s">
        <v>6886</v>
      </c>
      <c r="Q31" s="67"/>
      <c r="R31" s="67"/>
    </row>
    <row r="32" spans="1:18" ht="13" x14ac:dyDescent="0.15">
      <c r="A32" s="128">
        <v>44651</v>
      </c>
      <c r="B32" s="110" t="s">
        <v>331</v>
      </c>
      <c r="C32" s="129">
        <v>12898</v>
      </c>
      <c r="D32" s="129">
        <v>11095</v>
      </c>
      <c r="E32" s="110">
        <v>230</v>
      </c>
      <c r="F32" s="129">
        <v>1573</v>
      </c>
      <c r="G32" s="129">
        <v>3522</v>
      </c>
      <c r="H32" s="129">
        <v>371</v>
      </c>
      <c r="I32" s="129">
        <v>9789</v>
      </c>
      <c r="J32" s="130">
        <v>5211</v>
      </c>
      <c r="Q32" s="67"/>
      <c r="R32" s="67"/>
    </row>
    <row r="33" spans="1:18" ht="13" x14ac:dyDescent="0.15">
      <c r="A33" s="128">
        <v>44439</v>
      </c>
      <c r="B33" s="110" t="s">
        <v>331</v>
      </c>
      <c r="C33" s="129">
        <v>12791</v>
      </c>
      <c r="D33" s="129">
        <v>10831</v>
      </c>
      <c r="E33" s="129">
        <v>230</v>
      </c>
      <c r="F33" s="129">
        <v>1730</v>
      </c>
      <c r="G33" s="129">
        <v>3602</v>
      </c>
      <c r="H33" s="129">
        <v>335</v>
      </c>
      <c r="I33" s="129">
        <v>8717</v>
      </c>
      <c r="J33" s="130">
        <v>4734</v>
      </c>
      <c r="Q33" s="67"/>
      <c r="R33" s="67"/>
    </row>
    <row r="34" spans="1:18" ht="13" x14ac:dyDescent="0.15">
      <c r="A34" s="128">
        <v>44286</v>
      </c>
      <c r="B34" s="110" t="s">
        <v>331</v>
      </c>
      <c r="C34" s="129">
        <v>12732</v>
      </c>
      <c r="D34" s="129">
        <v>10708</v>
      </c>
      <c r="E34" s="129">
        <v>231</v>
      </c>
      <c r="F34" s="129">
        <v>1793</v>
      </c>
      <c r="G34" s="129">
        <v>3685</v>
      </c>
      <c r="H34" s="129">
        <v>325</v>
      </c>
      <c r="I34" s="129">
        <v>8887</v>
      </c>
      <c r="J34" s="130">
        <v>5081</v>
      </c>
      <c r="Q34" s="67"/>
      <c r="R34" s="67"/>
    </row>
    <row r="35" spans="1:18" ht="13" x14ac:dyDescent="0.15">
      <c r="A35" s="128">
        <v>44074</v>
      </c>
      <c r="B35" s="110" t="s">
        <v>331</v>
      </c>
      <c r="C35" s="129">
        <v>12575</v>
      </c>
      <c r="D35" s="129">
        <v>10490</v>
      </c>
      <c r="E35" s="129">
        <v>231</v>
      </c>
      <c r="F35" s="129">
        <v>1854</v>
      </c>
      <c r="G35" s="129">
        <v>3892</v>
      </c>
      <c r="H35" s="129">
        <v>316</v>
      </c>
      <c r="I35" s="129">
        <v>9299</v>
      </c>
      <c r="J35" s="130">
        <v>5774</v>
      </c>
      <c r="Q35" s="67"/>
      <c r="R35" s="67"/>
    </row>
    <row r="36" spans="1:18" ht="13" x14ac:dyDescent="0.15">
      <c r="A36" s="131">
        <v>43921</v>
      </c>
      <c r="B36" s="132" t="s">
        <v>331</v>
      </c>
      <c r="C36" s="133">
        <v>12175</v>
      </c>
      <c r="D36" s="133">
        <v>10033</v>
      </c>
      <c r="E36" s="133">
        <v>231</v>
      </c>
      <c r="F36" s="133">
        <v>1911</v>
      </c>
      <c r="G36" s="133">
        <v>3962</v>
      </c>
      <c r="H36" s="133">
        <v>315</v>
      </c>
      <c r="I36" s="133">
        <v>9967</v>
      </c>
      <c r="J36" s="134">
        <v>5774</v>
      </c>
      <c r="Q36" s="67"/>
      <c r="R36" s="67"/>
    </row>
    <row r="37" spans="1:18" ht="13" x14ac:dyDescent="0.15">
      <c r="A37" s="96">
        <v>43708</v>
      </c>
      <c r="B37" s="132" t="s">
        <v>331</v>
      </c>
      <c r="C37" s="135">
        <v>12141</v>
      </c>
      <c r="D37" s="135">
        <v>10136</v>
      </c>
      <c r="E37" s="135">
        <v>240</v>
      </c>
      <c r="F37" s="135">
        <v>1765</v>
      </c>
      <c r="G37" s="135">
        <v>4025</v>
      </c>
      <c r="H37" s="135">
        <v>277</v>
      </c>
      <c r="I37" s="135">
        <v>10044</v>
      </c>
      <c r="J37" s="134">
        <v>6289</v>
      </c>
      <c r="Q37" s="67"/>
      <c r="R37" s="67"/>
    </row>
    <row r="38" spans="1:18" ht="13" x14ac:dyDescent="0.15">
      <c r="A38" s="96">
        <v>43555</v>
      </c>
      <c r="B38" s="132" t="s">
        <v>331</v>
      </c>
      <c r="C38" s="135">
        <v>12035</v>
      </c>
      <c r="D38" s="135">
        <v>9791</v>
      </c>
      <c r="E38" s="135">
        <v>238</v>
      </c>
      <c r="F38" s="135">
        <v>2006</v>
      </c>
      <c r="G38" s="135">
        <v>4034</v>
      </c>
      <c r="H38" s="135">
        <v>268</v>
      </c>
      <c r="I38" s="135">
        <v>10067</v>
      </c>
      <c r="J38" s="136">
        <v>6264</v>
      </c>
      <c r="Q38" s="67"/>
      <c r="R38" s="67"/>
    </row>
    <row r="39" spans="1:18" ht="13" x14ac:dyDescent="0.15">
      <c r="A39" s="96">
        <v>43373</v>
      </c>
      <c r="B39" s="132" t="s">
        <v>331</v>
      </c>
      <c r="C39" s="135">
        <v>11991</v>
      </c>
      <c r="D39" s="135">
        <v>9610</v>
      </c>
      <c r="E39" s="135">
        <v>236</v>
      </c>
      <c r="F39" s="135">
        <v>2145</v>
      </c>
      <c r="G39" s="135">
        <v>4869</v>
      </c>
      <c r="H39" s="135">
        <v>269</v>
      </c>
      <c r="I39" s="135">
        <v>10745</v>
      </c>
      <c r="J39" s="137">
        <v>5588</v>
      </c>
      <c r="Q39" s="67"/>
      <c r="R39" s="67"/>
    </row>
    <row r="40" spans="1:18" ht="13" x14ac:dyDescent="0.15">
      <c r="A40" s="138">
        <v>43190</v>
      </c>
      <c r="B40" s="139" t="s">
        <v>331</v>
      </c>
      <c r="C40" s="140">
        <v>11746</v>
      </c>
      <c r="D40" s="140">
        <v>9430</v>
      </c>
      <c r="E40" s="140">
        <v>234</v>
      </c>
      <c r="F40" s="140">
        <v>2082</v>
      </c>
      <c r="G40" s="140">
        <v>5024</v>
      </c>
      <c r="H40" s="140">
        <v>243</v>
      </c>
      <c r="I40" s="140">
        <v>10663</v>
      </c>
      <c r="J40" s="134">
        <v>5588</v>
      </c>
      <c r="Q40" s="67"/>
      <c r="R40" s="67"/>
    </row>
    <row r="41" spans="1:18" ht="13" x14ac:dyDescent="0.15">
      <c r="A41" s="96">
        <v>43008</v>
      </c>
      <c r="B41" s="141" t="s">
        <v>331</v>
      </c>
      <c r="C41" s="135">
        <v>11741</v>
      </c>
      <c r="D41" s="135">
        <v>9322</v>
      </c>
      <c r="E41" s="135">
        <v>234</v>
      </c>
      <c r="F41" s="135">
        <v>2185</v>
      </c>
      <c r="G41" s="135">
        <v>5347</v>
      </c>
      <c r="H41" s="135">
        <v>233</v>
      </c>
      <c r="I41" s="135">
        <v>11254</v>
      </c>
      <c r="J41" s="134">
        <v>5729</v>
      </c>
      <c r="Q41" s="67"/>
      <c r="R41" s="67"/>
    </row>
    <row r="42" spans="1:18" ht="13" x14ac:dyDescent="0.15">
      <c r="A42" s="142">
        <v>42825</v>
      </c>
      <c r="B42" s="116" t="s">
        <v>331</v>
      </c>
      <c r="C42" s="117">
        <v>11664</v>
      </c>
      <c r="D42" s="117">
        <v>9124</v>
      </c>
      <c r="E42" s="117">
        <v>238</v>
      </c>
      <c r="F42" s="117">
        <v>2302</v>
      </c>
      <c r="G42" s="117">
        <v>5336</v>
      </c>
      <c r="H42" s="117">
        <v>221</v>
      </c>
      <c r="I42" s="117">
        <v>11350</v>
      </c>
      <c r="J42" s="136">
        <v>5926</v>
      </c>
      <c r="Q42" s="67"/>
      <c r="R42" s="67"/>
    </row>
    <row r="43" spans="1:18" ht="13" x14ac:dyDescent="0.15">
      <c r="A43" s="105">
        <v>42643</v>
      </c>
      <c r="B43" s="143" t="s">
        <v>331</v>
      </c>
      <c r="C43" s="144">
        <v>11671</v>
      </c>
      <c r="D43" s="144">
        <v>9049</v>
      </c>
      <c r="E43" s="144">
        <v>233</v>
      </c>
      <c r="F43" s="144">
        <v>2389</v>
      </c>
      <c r="G43" s="144">
        <v>5493</v>
      </c>
      <c r="H43" s="144">
        <v>263</v>
      </c>
      <c r="I43" s="144">
        <v>9942</v>
      </c>
      <c r="J43" s="137">
        <v>5486</v>
      </c>
      <c r="Q43" s="67"/>
      <c r="R43" s="67"/>
    </row>
    <row r="44" spans="1:18" ht="13" x14ac:dyDescent="0.15">
      <c r="A44" s="105">
        <v>42460</v>
      </c>
      <c r="B44" s="113" t="s">
        <v>331</v>
      </c>
      <c r="C44" s="114">
        <v>11639</v>
      </c>
      <c r="D44" s="114">
        <v>8877</v>
      </c>
      <c r="E44" s="114">
        <v>235</v>
      </c>
      <c r="F44" s="114">
        <v>2527</v>
      </c>
      <c r="G44" s="114">
        <v>5529</v>
      </c>
      <c r="H44" s="114">
        <v>255</v>
      </c>
      <c r="I44" s="114">
        <v>10381</v>
      </c>
      <c r="J44" s="145">
        <v>5485</v>
      </c>
      <c r="Q44" s="67"/>
      <c r="R44" s="67"/>
    </row>
    <row r="45" spans="1:18" ht="13" x14ac:dyDescent="0.15">
      <c r="A45" s="105">
        <v>42277</v>
      </c>
      <c r="B45" s="114" t="s">
        <v>331</v>
      </c>
      <c r="C45" s="114">
        <v>11730</v>
      </c>
      <c r="D45" s="114">
        <v>8872</v>
      </c>
      <c r="E45" s="114">
        <v>235</v>
      </c>
      <c r="F45" s="114">
        <v>2623</v>
      </c>
      <c r="G45" s="114">
        <v>5600</v>
      </c>
      <c r="H45" s="114">
        <v>255</v>
      </c>
      <c r="I45" s="114">
        <v>10208</v>
      </c>
      <c r="J45" s="145">
        <v>5614</v>
      </c>
      <c r="Q45" s="67"/>
      <c r="R45" s="67"/>
    </row>
    <row r="46" spans="1:18" ht="13" x14ac:dyDescent="0.15">
      <c r="A46" s="142">
        <v>42094</v>
      </c>
      <c r="B46" s="116" t="s">
        <v>331</v>
      </c>
      <c r="C46" s="117">
        <v>11773</v>
      </c>
      <c r="D46" s="117">
        <v>9097</v>
      </c>
      <c r="E46" s="117">
        <v>235</v>
      </c>
      <c r="F46" s="117">
        <v>2441</v>
      </c>
      <c r="G46" s="117">
        <v>5438</v>
      </c>
      <c r="H46" s="117">
        <v>257</v>
      </c>
      <c r="I46" s="117">
        <v>10699</v>
      </c>
      <c r="J46" s="136">
        <v>4641</v>
      </c>
      <c r="Q46" s="67"/>
      <c r="R46" s="67"/>
    </row>
    <row r="47" spans="1:18" ht="13" x14ac:dyDescent="0.15">
      <c r="A47" s="142">
        <v>41912</v>
      </c>
      <c r="B47" s="116" t="s">
        <v>331</v>
      </c>
      <c r="C47" s="117">
        <v>11603</v>
      </c>
      <c r="D47" s="117">
        <v>9073</v>
      </c>
      <c r="E47" s="117">
        <v>238</v>
      </c>
      <c r="F47" s="117">
        <v>2292</v>
      </c>
      <c r="G47" s="117">
        <v>6059</v>
      </c>
      <c r="H47" s="117">
        <v>294</v>
      </c>
      <c r="I47" s="117">
        <v>11696</v>
      </c>
      <c r="J47" s="136">
        <v>4749</v>
      </c>
      <c r="Q47" s="67"/>
      <c r="R47" s="67"/>
    </row>
    <row r="48" spans="1:18" ht="13" x14ac:dyDescent="0.15">
      <c r="A48" s="142">
        <v>41729</v>
      </c>
      <c r="B48" s="113" t="s">
        <v>331</v>
      </c>
      <c r="C48" s="144">
        <v>11594</v>
      </c>
      <c r="D48" s="144">
        <v>8991</v>
      </c>
      <c r="E48" s="144">
        <v>272</v>
      </c>
      <c r="F48" s="144">
        <v>2331</v>
      </c>
      <c r="G48" s="144">
        <v>5986</v>
      </c>
      <c r="H48" s="144">
        <v>292</v>
      </c>
      <c r="I48" s="144">
        <v>12167</v>
      </c>
      <c r="J48" s="137">
        <v>4749</v>
      </c>
      <c r="Q48" s="67"/>
      <c r="R48" s="67"/>
    </row>
    <row r="49" spans="1:18" ht="13" x14ac:dyDescent="0.15">
      <c r="A49" s="142">
        <v>41547</v>
      </c>
      <c r="B49" s="113" t="s">
        <v>331</v>
      </c>
      <c r="C49" s="114">
        <v>11768</v>
      </c>
      <c r="D49" s="114">
        <v>8988</v>
      </c>
      <c r="E49" s="114">
        <v>276</v>
      </c>
      <c r="F49" s="114">
        <v>2504</v>
      </c>
      <c r="G49" s="114">
        <v>6233</v>
      </c>
      <c r="H49" s="114">
        <v>301</v>
      </c>
      <c r="I49" s="114">
        <v>11590</v>
      </c>
      <c r="J49" s="145">
        <v>4560</v>
      </c>
      <c r="Q49" s="67"/>
      <c r="R49" s="67"/>
    </row>
    <row r="50" spans="1:18" ht="13" x14ac:dyDescent="0.15">
      <c r="A50" s="142">
        <v>41364</v>
      </c>
      <c r="B50" s="116" t="s">
        <v>331</v>
      </c>
      <c r="C50" s="117">
        <v>11781</v>
      </c>
      <c r="D50" s="117">
        <v>9174</v>
      </c>
      <c r="E50" s="117">
        <v>272</v>
      </c>
      <c r="F50" s="117">
        <v>2335</v>
      </c>
      <c r="G50" s="117">
        <v>6240</v>
      </c>
      <c r="H50" s="117">
        <v>343</v>
      </c>
      <c r="I50" s="117">
        <v>11454</v>
      </c>
      <c r="J50" s="136">
        <v>4566</v>
      </c>
      <c r="Q50" s="67"/>
      <c r="R50" s="67"/>
    </row>
    <row r="51" spans="1:18" ht="13" x14ac:dyDescent="0.15">
      <c r="A51" s="142">
        <v>41182</v>
      </c>
      <c r="B51" s="116" t="s">
        <v>331</v>
      </c>
      <c r="C51" s="117">
        <v>11968</v>
      </c>
      <c r="D51" s="117">
        <v>9238</v>
      </c>
      <c r="E51" s="117">
        <v>272</v>
      </c>
      <c r="F51" s="117">
        <v>2458</v>
      </c>
      <c r="G51" s="117">
        <v>6327</v>
      </c>
      <c r="H51" s="117">
        <v>425</v>
      </c>
      <c r="I51" s="117">
        <v>9574</v>
      </c>
      <c r="J51" s="136">
        <v>4177</v>
      </c>
      <c r="Q51" s="67"/>
      <c r="R51" s="67"/>
    </row>
    <row r="52" spans="1:18" ht="13" x14ac:dyDescent="0.15">
      <c r="A52" s="119" t="s">
        <v>6897</v>
      </c>
      <c r="B52" s="113" t="s">
        <v>331</v>
      </c>
      <c r="C52" s="114">
        <v>12046</v>
      </c>
      <c r="D52" s="114">
        <v>9282</v>
      </c>
      <c r="E52" s="114">
        <v>281</v>
      </c>
      <c r="F52" s="114">
        <v>2483</v>
      </c>
      <c r="G52" s="114">
        <v>6328</v>
      </c>
      <c r="H52" s="114">
        <v>429</v>
      </c>
      <c r="I52" s="114">
        <v>9600</v>
      </c>
      <c r="J52" s="145">
        <v>4177</v>
      </c>
      <c r="K52" s="67"/>
      <c r="L52" s="67"/>
      <c r="M52" s="67"/>
      <c r="N52" s="67"/>
      <c r="O52" s="67"/>
      <c r="P52" s="67"/>
      <c r="Q52" s="67"/>
      <c r="R52" s="67"/>
    </row>
    <row r="53" spans="1:18" ht="25.5" customHeight="1" thickBot="1" x14ac:dyDescent="0.2">
      <c r="A53" s="142">
        <v>40816</v>
      </c>
      <c r="B53" s="120" t="s">
        <v>331</v>
      </c>
      <c r="C53" s="121">
        <v>12125</v>
      </c>
      <c r="D53" s="121"/>
      <c r="E53" s="121">
        <v>281</v>
      </c>
      <c r="F53" s="121"/>
      <c r="G53" s="121">
        <v>5355</v>
      </c>
      <c r="H53" s="121">
        <v>417</v>
      </c>
      <c r="I53" s="121">
        <v>10156</v>
      </c>
      <c r="J53" s="146">
        <v>4290</v>
      </c>
      <c r="Q53" s="67"/>
      <c r="R53" s="67"/>
    </row>
    <row r="54" spans="1:18" ht="13" x14ac:dyDescent="0.15">
      <c r="Q54" s="67"/>
      <c r="R54" s="67"/>
    </row>
    <row r="55" spans="1:18" ht="13" x14ac:dyDescent="0.15">
      <c r="Q55" s="67"/>
      <c r="R55" s="67"/>
    </row>
    <row r="56" spans="1:18" ht="13" x14ac:dyDescent="0.15">
      <c r="Q56" s="67"/>
      <c r="R56" s="67"/>
    </row>
    <row r="57" spans="1:18" ht="13" x14ac:dyDescent="0.15">
      <c r="Q57" s="67"/>
      <c r="R57" s="67"/>
    </row>
    <row r="58" spans="1:18" ht="13" x14ac:dyDescent="0.15">
      <c r="A58" s="67"/>
      <c r="B58" s="67"/>
      <c r="C58" s="67"/>
      <c r="D58" s="67"/>
      <c r="E58" s="67"/>
      <c r="F58" s="67"/>
      <c r="G58" s="67"/>
      <c r="H58" s="67"/>
      <c r="I58" s="67"/>
      <c r="J58" s="67"/>
      <c r="K58" s="67"/>
      <c r="L58" s="67"/>
      <c r="M58" s="67"/>
      <c r="N58" s="67"/>
      <c r="O58" s="67"/>
      <c r="P58" s="67"/>
      <c r="Q58" s="67"/>
      <c r="R58" s="67"/>
    </row>
  </sheetData>
  <pageMargins left="0.7" right="0.7" top="0.75" bottom="0.75" header="0.3" footer="0.3"/>
  <pageSetup paperSize="0" scale="68" fitToWidth="0" fitToHeight="0" orientation="landscape" horizontalDpi="0" verticalDpi="0" copies="0"/>
  <tableParts count="2">
    <tablePart r:id="rId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DEA6DD-2AC4-174C-A106-8661F2E1FA48}">
  <dimension ref="A1:H192"/>
  <sheetViews>
    <sheetView workbookViewId="0"/>
  </sheetViews>
  <sheetFormatPr baseColWidth="10" defaultColWidth="13.19921875" defaultRowHeight="13.25" x14ac:dyDescent="0.15"/>
  <cols>
    <col min="1" max="1" width="32.19921875" style="67" bestFit="1" customWidth="1"/>
    <col min="2" max="2" width="30.3984375" style="67" bestFit="1" customWidth="1"/>
    <col min="3" max="3" width="23.59765625" style="67" customWidth="1"/>
    <col min="4" max="4" width="52.59765625" style="67" customWidth="1"/>
    <col min="5" max="6" width="23.59765625" style="67" customWidth="1"/>
    <col min="7" max="10" width="6.19921875" style="67" customWidth="1"/>
    <col min="11" max="11" width="28.59765625" style="67" customWidth="1"/>
    <col min="12" max="12" width="14.19921875" style="67" customWidth="1"/>
    <col min="13" max="22" width="13.19921875" style="67" customWidth="1"/>
    <col min="23" max="30" width="12.796875" style="67" customWidth="1"/>
    <col min="31" max="31" width="13.19921875" style="67" customWidth="1"/>
    <col min="32" max="16384" width="13.19921875" style="67"/>
  </cols>
  <sheetData>
    <row r="1" spans="1:6" s="55" customFormat="1" ht="19" x14ac:dyDescent="0.2">
      <c r="A1" s="147" t="s">
        <v>6899</v>
      </c>
      <c r="B1" s="67"/>
      <c r="C1" s="67"/>
      <c r="D1" s="67"/>
      <c r="E1" s="67"/>
      <c r="F1" s="67"/>
    </row>
    <row r="2" spans="1:6" s="55" customFormat="1" ht="37.25" customHeight="1" x14ac:dyDescent="0.15">
      <c r="A2" s="148" t="s">
        <v>6900</v>
      </c>
      <c r="B2" s="67"/>
      <c r="C2" s="67"/>
      <c r="D2" s="67"/>
      <c r="E2" s="67"/>
      <c r="F2" s="67"/>
    </row>
    <row r="3" spans="1:6" s="55" customFormat="1" ht="15" x14ac:dyDescent="0.15">
      <c r="A3" s="92" t="s">
        <v>6901</v>
      </c>
      <c r="B3" s="67"/>
      <c r="C3" s="67"/>
      <c r="D3" s="67"/>
      <c r="E3" s="67"/>
      <c r="F3" s="149"/>
    </row>
    <row r="4" spans="1:6" s="55" customFormat="1" ht="16" x14ac:dyDescent="0.15">
      <c r="A4" s="150" t="s">
        <v>6902</v>
      </c>
      <c r="B4" s="151" t="s">
        <v>140</v>
      </c>
      <c r="C4" s="151" t="s">
        <v>132</v>
      </c>
      <c r="D4" s="152" t="s">
        <v>130</v>
      </c>
      <c r="E4" s="153" t="s">
        <v>146</v>
      </c>
      <c r="F4" s="67"/>
    </row>
    <row r="5" spans="1:6" s="55" customFormat="1" ht="15" x14ac:dyDescent="0.15">
      <c r="A5" s="154">
        <v>44651</v>
      </c>
      <c r="B5" s="155">
        <v>514</v>
      </c>
      <c r="C5" s="155">
        <v>2116</v>
      </c>
      <c r="D5" s="155">
        <v>590</v>
      </c>
      <c r="E5" s="156">
        <v>89</v>
      </c>
      <c r="F5" s="67"/>
    </row>
    <row r="6" spans="1:6" s="55" customFormat="1" ht="15" x14ac:dyDescent="0.15">
      <c r="A6" s="157">
        <v>44286</v>
      </c>
      <c r="B6" s="155">
        <v>564</v>
      </c>
      <c r="C6" s="155">
        <v>1796</v>
      </c>
      <c r="D6" s="155">
        <v>432</v>
      </c>
      <c r="E6" s="156">
        <v>45</v>
      </c>
      <c r="F6" s="67"/>
    </row>
    <row r="7" spans="1:6" s="55" customFormat="1" ht="15" x14ac:dyDescent="0.15">
      <c r="A7" s="157">
        <v>43921</v>
      </c>
      <c r="B7" s="155">
        <v>574</v>
      </c>
      <c r="C7" s="155">
        <v>1869</v>
      </c>
      <c r="D7" s="155">
        <v>469</v>
      </c>
      <c r="E7" s="156">
        <v>59</v>
      </c>
      <c r="F7" s="67"/>
    </row>
    <row r="8" spans="1:6" s="55" customFormat="1" ht="15" x14ac:dyDescent="0.15">
      <c r="A8" s="157">
        <v>43555</v>
      </c>
      <c r="B8" s="155">
        <v>547</v>
      </c>
      <c r="C8" s="155">
        <v>1758</v>
      </c>
      <c r="D8" s="155">
        <v>430</v>
      </c>
      <c r="E8" s="156">
        <v>60</v>
      </c>
      <c r="F8" s="67"/>
    </row>
    <row r="9" spans="1:6" s="55" customFormat="1" ht="15" x14ac:dyDescent="0.15">
      <c r="A9" s="157">
        <v>43190</v>
      </c>
      <c r="B9" s="155">
        <v>543</v>
      </c>
      <c r="C9" s="155">
        <v>1756</v>
      </c>
      <c r="D9" s="155">
        <v>418</v>
      </c>
      <c r="E9" s="156">
        <v>69</v>
      </c>
      <c r="F9" s="67"/>
    </row>
    <row r="10" spans="1:6" s="55" customFormat="1" ht="15" x14ac:dyDescent="0.15">
      <c r="A10" s="157">
        <v>42825</v>
      </c>
      <c r="B10" s="155">
        <v>550</v>
      </c>
      <c r="C10" s="155">
        <v>1681</v>
      </c>
      <c r="D10" s="155">
        <v>413</v>
      </c>
      <c r="E10" s="156">
        <v>42</v>
      </c>
      <c r="F10" s="67"/>
    </row>
    <row r="11" spans="1:6" s="55" customFormat="1" ht="15" x14ac:dyDescent="0.15">
      <c r="A11" s="157">
        <v>42460</v>
      </c>
      <c r="B11" s="155">
        <v>520</v>
      </c>
      <c r="C11" s="155">
        <v>1604</v>
      </c>
      <c r="D11" s="155">
        <v>487</v>
      </c>
      <c r="E11" s="156">
        <v>33</v>
      </c>
      <c r="F11" s="67"/>
    </row>
    <row r="12" spans="1:6" s="55" customFormat="1" ht="15" x14ac:dyDescent="0.15">
      <c r="A12" s="157">
        <v>42094</v>
      </c>
      <c r="B12" s="155">
        <v>442</v>
      </c>
      <c r="C12" s="155">
        <v>1460</v>
      </c>
      <c r="D12" s="155">
        <v>645</v>
      </c>
      <c r="E12" s="156">
        <v>50</v>
      </c>
      <c r="F12" s="67"/>
    </row>
    <row r="13" spans="1:6" s="55" customFormat="1" ht="15" x14ac:dyDescent="0.15">
      <c r="A13" s="157">
        <v>41729</v>
      </c>
      <c r="B13" s="155">
        <v>475</v>
      </c>
      <c r="C13" s="155">
        <v>1493</v>
      </c>
      <c r="D13" s="155">
        <v>616</v>
      </c>
      <c r="E13" s="156">
        <v>42</v>
      </c>
      <c r="F13" s="67"/>
    </row>
    <row r="14" spans="1:6" s="55" customFormat="1" ht="15" x14ac:dyDescent="0.15">
      <c r="A14" s="157">
        <v>41364</v>
      </c>
      <c r="B14" s="155">
        <v>539</v>
      </c>
      <c r="C14" s="155">
        <v>1355</v>
      </c>
      <c r="D14" s="155">
        <v>544</v>
      </c>
      <c r="E14" s="156">
        <v>98</v>
      </c>
      <c r="F14" s="67"/>
    </row>
    <row r="15" spans="1:6" s="55" customFormat="1" ht="15" x14ac:dyDescent="0.15">
      <c r="A15" s="158">
        <v>40999</v>
      </c>
      <c r="B15" s="159">
        <v>782</v>
      </c>
      <c r="C15" s="159">
        <v>1361</v>
      </c>
      <c r="D15" s="159">
        <v>463</v>
      </c>
      <c r="E15" s="160">
        <v>48</v>
      </c>
      <c r="F15" s="67"/>
    </row>
    <row r="16" spans="1:6" s="55" customFormat="1" ht="13" x14ac:dyDescent="0.15">
      <c r="A16" s="67"/>
      <c r="B16" s="67"/>
      <c r="C16" s="67"/>
      <c r="D16" s="67"/>
      <c r="E16" s="67"/>
      <c r="F16" s="67"/>
    </row>
    <row r="17" spans="1:6" s="55" customFormat="1" ht="15" x14ac:dyDescent="0.15">
      <c r="A17" s="92" t="s">
        <v>6903</v>
      </c>
      <c r="B17" s="161"/>
      <c r="C17" s="161"/>
      <c r="D17" s="161"/>
      <c r="E17" s="161"/>
      <c r="F17" s="161"/>
    </row>
    <row r="18" spans="1:6" s="55" customFormat="1" ht="16" x14ac:dyDescent="0.15">
      <c r="A18" s="150" t="s">
        <v>6902</v>
      </c>
      <c r="B18" s="151" t="s">
        <v>140</v>
      </c>
      <c r="C18" s="151" t="s">
        <v>132</v>
      </c>
      <c r="D18" s="152" t="s">
        <v>130</v>
      </c>
      <c r="E18" s="153" t="s">
        <v>146</v>
      </c>
      <c r="F18" s="67"/>
    </row>
    <row r="19" spans="1:6" s="55" customFormat="1" ht="15" x14ac:dyDescent="0.15">
      <c r="A19" s="157">
        <v>44651</v>
      </c>
      <c r="B19" s="155">
        <v>319</v>
      </c>
      <c r="C19" s="155">
        <v>1722</v>
      </c>
      <c r="D19" s="155">
        <v>551</v>
      </c>
      <c r="E19" s="156">
        <v>74</v>
      </c>
      <c r="F19" s="67"/>
    </row>
    <row r="20" spans="1:6" s="55" customFormat="1" ht="15" x14ac:dyDescent="0.15">
      <c r="A20" s="157">
        <v>44286</v>
      </c>
      <c r="B20" s="155">
        <v>370</v>
      </c>
      <c r="C20" s="155">
        <v>1426</v>
      </c>
      <c r="D20" s="155">
        <v>391</v>
      </c>
      <c r="E20" s="156">
        <v>30</v>
      </c>
      <c r="F20" s="67"/>
    </row>
    <row r="21" spans="1:6" s="55" customFormat="1" ht="15" x14ac:dyDescent="0.15">
      <c r="A21" s="157">
        <v>43921</v>
      </c>
      <c r="B21" s="155">
        <v>373</v>
      </c>
      <c r="C21" s="155">
        <v>1477</v>
      </c>
      <c r="D21" s="155">
        <v>421</v>
      </c>
      <c r="E21" s="156">
        <v>40</v>
      </c>
      <c r="F21" s="67"/>
    </row>
    <row r="22" spans="1:6" s="55" customFormat="1" ht="15" x14ac:dyDescent="0.15">
      <c r="A22" s="157">
        <v>43555</v>
      </c>
      <c r="B22" s="155">
        <v>350</v>
      </c>
      <c r="C22" s="155">
        <v>1378</v>
      </c>
      <c r="D22" s="155">
        <v>363</v>
      </c>
      <c r="E22" s="156">
        <v>32</v>
      </c>
      <c r="F22" s="67"/>
    </row>
    <row r="23" spans="1:6" s="55" customFormat="1" ht="15" x14ac:dyDescent="0.15">
      <c r="A23" s="157">
        <v>43190</v>
      </c>
      <c r="B23" s="155">
        <v>349</v>
      </c>
      <c r="C23" s="155">
        <v>1373</v>
      </c>
      <c r="D23" s="155">
        <v>350</v>
      </c>
      <c r="E23" s="156">
        <v>42</v>
      </c>
      <c r="F23" s="67"/>
    </row>
    <row r="24" spans="1:6" s="55" customFormat="1" ht="15" x14ac:dyDescent="0.15">
      <c r="A24" s="157">
        <v>42825</v>
      </c>
      <c r="B24" s="155">
        <v>368</v>
      </c>
      <c r="C24" s="155">
        <v>1278</v>
      </c>
      <c r="D24" s="155">
        <v>348</v>
      </c>
      <c r="E24" s="156">
        <v>24</v>
      </c>
      <c r="F24" s="67"/>
    </row>
    <row r="25" spans="1:6" s="55" customFormat="1" ht="15" x14ac:dyDescent="0.15">
      <c r="A25" s="157">
        <v>42460</v>
      </c>
      <c r="B25" s="155">
        <v>332</v>
      </c>
      <c r="C25" s="155">
        <v>1228</v>
      </c>
      <c r="D25" s="155">
        <v>403</v>
      </c>
      <c r="E25" s="156">
        <v>18</v>
      </c>
      <c r="F25" s="67"/>
    </row>
    <row r="26" spans="1:6" s="55" customFormat="1" ht="15" x14ac:dyDescent="0.15">
      <c r="A26" s="157">
        <v>42094</v>
      </c>
      <c r="B26" s="155">
        <v>236</v>
      </c>
      <c r="C26" s="155">
        <v>1129</v>
      </c>
      <c r="D26" s="155">
        <v>549</v>
      </c>
      <c r="E26" s="156">
        <v>30</v>
      </c>
      <c r="F26" s="67"/>
    </row>
    <row r="27" spans="1:6" s="55" customFormat="1" ht="15" x14ac:dyDescent="0.15">
      <c r="A27" s="157">
        <v>41729</v>
      </c>
      <c r="B27" s="155">
        <v>259</v>
      </c>
      <c r="C27" s="155">
        <v>1173</v>
      </c>
      <c r="D27" s="155">
        <v>508</v>
      </c>
      <c r="E27" s="156">
        <v>13</v>
      </c>
      <c r="F27" s="67"/>
    </row>
    <row r="28" spans="1:6" s="55" customFormat="1" ht="15" x14ac:dyDescent="0.15">
      <c r="A28" s="157">
        <v>41364</v>
      </c>
      <c r="B28" s="155">
        <v>296</v>
      </c>
      <c r="C28" s="155">
        <v>1056</v>
      </c>
      <c r="D28" s="155">
        <v>434</v>
      </c>
      <c r="E28" s="156">
        <v>76</v>
      </c>
      <c r="F28" s="67"/>
    </row>
    <row r="29" spans="1:6" s="55" customFormat="1" ht="15" x14ac:dyDescent="0.15">
      <c r="A29" s="158">
        <v>40999</v>
      </c>
      <c r="B29" s="159">
        <v>517</v>
      </c>
      <c r="C29" s="159">
        <v>1067</v>
      </c>
      <c r="D29" s="159">
        <v>349</v>
      </c>
      <c r="E29" s="160">
        <v>32</v>
      </c>
      <c r="F29" s="67"/>
    </row>
    <row r="30" spans="1:6" s="55" customFormat="1" ht="15" x14ac:dyDescent="0.15">
      <c r="A30" s="161"/>
      <c r="B30" s="161"/>
      <c r="C30" s="162"/>
      <c r="D30" s="162"/>
      <c r="E30" s="162"/>
      <c r="F30" s="162"/>
    </row>
    <row r="31" spans="1:6" s="55" customFormat="1" ht="15" x14ac:dyDescent="0.15">
      <c r="A31" s="92" t="s">
        <v>6904</v>
      </c>
      <c r="B31" s="161"/>
      <c r="C31" s="161"/>
      <c r="D31" s="161"/>
      <c r="E31" s="161"/>
      <c r="F31" s="161"/>
    </row>
    <row r="32" spans="1:6" s="55" customFormat="1" ht="16" x14ac:dyDescent="0.15">
      <c r="A32" s="150" t="s">
        <v>6902</v>
      </c>
      <c r="B32" s="151" t="s">
        <v>140</v>
      </c>
      <c r="C32" s="151" t="s">
        <v>132</v>
      </c>
      <c r="D32" s="152" t="s">
        <v>130</v>
      </c>
      <c r="E32" s="153" t="s">
        <v>146</v>
      </c>
      <c r="F32" s="67"/>
    </row>
    <row r="33" spans="1:6" s="55" customFormat="1" ht="15" x14ac:dyDescent="0.15">
      <c r="A33" s="157">
        <v>44651</v>
      </c>
      <c r="B33" s="155">
        <v>305</v>
      </c>
      <c r="C33" s="155">
        <v>1677</v>
      </c>
      <c r="D33" s="155">
        <v>538</v>
      </c>
      <c r="E33" s="156">
        <v>72</v>
      </c>
      <c r="F33" s="67"/>
    </row>
    <row r="34" spans="1:6" s="55" customFormat="1" ht="15" x14ac:dyDescent="0.15">
      <c r="A34" s="157">
        <v>44286</v>
      </c>
      <c r="B34" s="155">
        <v>356</v>
      </c>
      <c r="C34" s="155">
        <v>1379</v>
      </c>
      <c r="D34" s="155">
        <v>374</v>
      </c>
      <c r="E34" s="156">
        <v>30</v>
      </c>
      <c r="F34" s="67"/>
    </row>
    <row r="35" spans="1:6" s="55" customFormat="1" ht="15" x14ac:dyDescent="0.15">
      <c r="A35" s="157">
        <v>43921</v>
      </c>
      <c r="B35" s="155">
        <v>360</v>
      </c>
      <c r="C35" s="155">
        <v>1427</v>
      </c>
      <c r="D35" s="155">
        <v>403</v>
      </c>
      <c r="E35" s="156">
        <v>40</v>
      </c>
      <c r="F35" s="67"/>
    </row>
    <row r="36" spans="1:6" s="55" customFormat="1" ht="15" x14ac:dyDescent="0.15">
      <c r="A36" s="157">
        <v>43555</v>
      </c>
      <c r="B36" s="155">
        <v>332</v>
      </c>
      <c r="C36" s="155">
        <v>1328</v>
      </c>
      <c r="D36" s="155">
        <v>348</v>
      </c>
      <c r="E36" s="156">
        <v>30</v>
      </c>
      <c r="F36" s="67"/>
    </row>
    <row r="37" spans="1:6" s="55" customFormat="1" ht="15" x14ac:dyDescent="0.15">
      <c r="A37" s="157">
        <v>43190</v>
      </c>
      <c r="B37" s="155">
        <v>331</v>
      </c>
      <c r="C37" s="155">
        <v>1323</v>
      </c>
      <c r="D37" s="155">
        <v>335</v>
      </c>
      <c r="E37" s="156">
        <v>40</v>
      </c>
      <c r="F37" s="67"/>
    </row>
    <row r="38" spans="1:6" s="55" customFormat="1" ht="15" x14ac:dyDescent="0.15">
      <c r="A38" s="157">
        <v>42825</v>
      </c>
      <c r="B38" s="155">
        <v>346</v>
      </c>
      <c r="C38" s="155">
        <v>1226</v>
      </c>
      <c r="D38" s="155">
        <v>330</v>
      </c>
      <c r="E38" s="156">
        <v>22</v>
      </c>
      <c r="F38" s="67"/>
    </row>
    <row r="39" spans="1:6" s="55" customFormat="1" ht="15" x14ac:dyDescent="0.15">
      <c r="A39" s="157">
        <v>42460</v>
      </c>
      <c r="B39" s="155">
        <v>311</v>
      </c>
      <c r="C39" s="155">
        <v>1181</v>
      </c>
      <c r="D39" s="155">
        <v>376</v>
      </c>
      <c r="E39" s="156">
        <v>16</v>
      </c>
      <c r="F39" s="67"/>
    </row>
    <row r="40" spans="1:6" s="55" customFormat="1" ht="15" x14ac:dyDescent="0.15">
      <c r="A40" s="157">
        <v>42094</v>
      </c>
      <c r="B40" s="155">
        <v>226</v>
      </c>
      <c r="C40" s="155">
        <v>1073</v>
      </c>
      <c r="D40" s="155">
        <v>522</v>
      </c>
      <c r="E40" s="156">
        <v>29</v>
      </c>
      <c r="F40" s="67"/>
    </row>
    <row r="41" spans="1:6" s="55" customFormat="1" ht="15" x14ac:dyDescent="0.15">
      <c r="A41" s="157">
        <v>41729</v>
      </c>
      <c r="B41" s="155">
        <v>239</v>
      </c>
      <c r="C41" s="155">
        <v>1121</v>
      </c>
      <c r="D41" s="155">
        <v>478</v>
      </c>
      <c r="E41" s="156">
        <v>13</v>
      </c>
      <c r="F41" s="67"/>
    </row>
    <row r="42" spans="1:6" s="55" customFormat="1" ht="15" x14ac:dyDescent="0.15">
      <c r="A42" s="157">
        <v>41364</v>
      </c>
      <c r="B42" s="155">
        <v>279</v>
      </c>
      <c r="C42" s="155">
        <v>1000</v>
      </c>
      <c r="D42" s="155">
        <v>414</v>
      </c>
      <c r="E42" s="156">
        <v>73</v>
      </c>
      <c r="F42" s="67"/>
    </row>
    <row r="43" spans="1:6" s="55" customFormat="1" ht="15" x14ac:dyDescent="0.15">
      <c r="A43" s="158">
        <v>40999</v>
      </c>
      <c r="B43" s="159">
        <v>484</v>
      </c>
      <c r="C43" s="159">
        <v>1005</v>
      </c>
      <c r="D43" s="159">
        <v>342</v>
      </c>
      <c r="E43" s="160">
        <v>31</v>
      </c>
      <c r="F43" s="67"/>
    </row>
    <row r="44" spans="1:6" s="55" customFormat="1" ht="15" x14ac:dyDescent="0.15">
      <c r="A44" s="161"/>
      <c r="B44" s="161"/>
      <c r="C44" s="161"/>
      <c r="D44" s="161"/>
      <c r="E44" s="161"/>
      <c r="F44" s="161"/>
    </row>
    <row r="45" spans="1:6" s="55" customFormat="1" ht="15" x14ac:dyDescent="0.15">
      <c r="A45" s="92" t="s">
        <v>6905</v>
      </c>
      <c r="B45" s="161"/>
      <c r="C45" s="161"/>
      <c r="D45" s="161"/>
      <c r="E45" s="161"/>
      <c r="F45" s="161"/>
    </row>
    <row r="46" spans="1:6" s="55" customFormat="1" ht="16" x14ac:dyDescent="0.15">
      <c r="A46" s="150" t="s">
        <v>6902</v>
      </c>
      <c r="B46" s="151" t="s">
        <v>140</v>
      </c>
      <c r="C46" s="151" t="s">
        <v>132</v>
      </c>
      <c r="D46" s="152" t="s">
        <v>130</v>
      </c>
      <c r="E46" s="153" t="s">
        <v>146</v>
      </c>
      <c r="F46" s="67"/>
    </row>
    <row r="47" spans="1:6" s="55" customFormat="1" ht="15" x14ac:dyDescent="0.15">
      <c r="A47" s="157">
        <v>44651</v>
      </c>
      <c r="B47" s="155">
        <v>9</v>
      </c>
      <c r="C47" s="155">
        <v>39</v>
      </c>
      <c r="D47" s="155">
        <v>11</v>
      </c>
      <c r="E47" s="156">
        <v>2</v>
      </c>
      <c r="F47" s="67"/>
    </row>
    <row r="48" spans="1:6" s="55" customFormat="1" ht="15" x14ac:dyDescent="0.15">
      <c r="A48" s="157">
        <v>44286</v>
      </c>
      <c r="B48" s="155">
        <v>12</v>
      </c>
      <c r="C48" s="155">
        <v>40</v>
      </c>
      <c r="D48" s="155">
        <v>13</v>
      </c>
      <c r="E48" s="156">
        <v>0</v>
      </c>
      <c r="F48" s="67"/>
    </row>
    <row r="49" spans="1:6" s="55" customFormat="1" ht="15" x14ac:dyDescent="0.15">
      <c r="A49" s="157">
        <v>43921</v>
      </c>
      <c r="B49" s="155">
        <v>11</v>
      </c>
      <c r="C49" s="155">
        <v>43</v>
      </c>
      <c r="D49" s="155">
        <v>14</v>
      </c>
      <c r="E49" s="156">
        <v>0</v>
      </c>
      <c r="F49" s="67"/>
    </row>
    <row r="50" spans="1:6" s="55" customFormat="1" ht="15" x14ac:dyDescent="0.15">
      <c r="A50" s="157">
        <v>43555</v>
      </c>
      <c r="B50" s="155">
        <v>14</v>
      </c>
      <c r="C50" s="155">
        <v>42</v>
      </c>
      <c r="D50" s="155">
        <v>14</v>
      </c>
      <c r="E50" s="156">
        <v>1</v>
      </c>
      <c r="F50" s="67"/>
    </row>
    <row r="51" spans="1:6" s="55" customFormat="1" ht="15" x14ac:dyDescent="0.15">
      <c r="A51" s="157">
        <v>43190</v>
      </c>
      <c r="B51" s="155">
        <v>14</v>
      </c>
      <c r="C51" s="155">
        <v>42</v>
      </c>
      <c r="D51" s="155">
        <v>14</v>
      </c>
      <c r="E51" s="156">
        <v>1</v>
      </c>
      <c r="F51" s="67"/>
    </row>
    <row r="52" spans="1:6" s="55" customFormat="1" ht="15" x14ac:dyDescent="0.15">
      <c r="A52" s="157">
        <v>42825</v>
      </c>
      <c r="B52" s="155">
        <v>19</v>
      </c>
      <c r="C52" s="155">
        <v>44</v>
      </c>
      <c r="D52" s="155">
        <v>16</v>
      </c>
      <c r="E52" s="156">
        <v>1</v>
      </c>
      <c r="F52" s="67"/>
    </row>
    <row r="53" spans="1:6" s="55" customFormat="1" ht="15" x14ac:dyDescent="0.15">
      <c r="A53" s="157">
        <v>42460</v>
      </c>
      <c r="B53" s="155">
        <v>18</v>
      </c>
      <c r="C53" s="155">
        <v>36</v>
      </c>
      <c r="D53" s="155">
        <v>27</v>
      </c>
      <c r="E53" s="156">
        <v>2</v>
      </c>
      <c r="F53" s="67"/>
    </row>
    <row r="54" spans="1:6" s="55" customFormat="1" ht="15" x14ac:dyDescent="0.15">
      <c r="A54" s="157">
        <v>42094</v>
      </c>
      <c r="B54" s="155">
        <v>9</v>
      </c>
      <c r="C54" s="155">
        <v>45</v>
      </c>
      <c r="D54" s="155">
        <v>25</v>
      </c>
      <c r="E54" s="156">
        <v>1</v>
      </c>
      <c r="F54" s="67"/>
    </row>
    <row r="55" spans="1:6" s="55" customFormat="1" ht="15" x14ac:dyDescent="0.15">
      <c r="A55" s="157">
        <v>41729</v>
      </c>
      <c r="B55" s="155">
        <v>18</v>
      </c>
      <c r="C55" s="155">
        <v>41</v>
      </c>
      <c r="D55" s="155">
        <v>27</v>
      </c>
      <c r="E55" s="156">
        <v>0</v>
      </c>
      <c r="F55" s="67"/>
    </row>
    <row r="56" spans="1:6" s="55" customFormat="1" ht="15" x14ac:dyDescent="0.15">
      <c r="A56" s="157">
        <v>41364</v>
      </c>
      <c r="B56" s="155">
        <v>16</v>
      </c>
      <c r="C56" s="155">
        <v>46</v>
      </c>
      <c r="D56" s="155">
        <v>15</v>
      </c>
      <c r="E56" s="156">
        <v>3</v>
      </c>
      <c r="F56" s="67"/>
    </row>
    <row r="57" spans="1:6" s="55" customFormat="1" ht="15" x14ac:dyDescent="0.15">
      <c r="A57" s="158">
        <v>40999</v>
      </c>
      <c r="B57" s="159">
        <v>31</v>
      </c>
      <c r="C57" s="159">
        <v>50</v>
      </c>
      <c r="D57" s="159">
        <v>5</v>
      </c>
      <c r="E57" s="160">
        <v>1</v>
      </c>
      <c r="F57" s="67"/>
    </row>
    <row r="58" spans="1:6" s="55" customFormat="1" ht="15" x14ac:dyDescent="0.15">
      <c r="A58" s="161"/>
      <c r="B58" s="161"/>
      <c r="C58" s="161"/>
      <c r="D58" s="161"/>
      <c r="E58" s="161"/>
      <c r="F58" s="161"/>
    </row>
    <row r="59" spans="1:6" s="55" customFormat="1" ht="15" x14ac:dyDescent="0.15">
      <c r="A59" s="92" t="s">
        <v>6906</v>
      </c>
      <c r="B59" s="161"/>
      <c r="C59" s="161"/>
      <c r="D59" s="161"/>
      <c r="E59" s="161"/>
      <c r="F59" s="161"/>
    </row>
    <row r="60" spans="1:6" s="55" customFormat="1" ht="16" x14ac:dyDescent="0.15">
      <c r="A60" s="150" t="s">
        <v>6902</v>
      </c>
      <c r="B60" s="151" t="s">
        <v>140</v>
      </c>
      <c r="C60" s="151" t="s">
        <v>132</v>
      </c>
      <c r="D60" s="152" t="s">
        <v>130</v>
      </c>
      <c r="E60" s="163" t="s">
        <v>146</v>
      </c>
      <c r="F60" s="67"/>
    </row>
    <row r="61" spans="1:6" s="55" customFormat="1" ht="15" x14ac:dyDescent="0.15">
      <c r="A61" s="157">
        <v>44651</v>
      </c>
      <c r="B61" s="155">
        <v>5</v>
      </c>
      <c r="C61" s="155">
        <v>6</v>
      </c>
      <c r="D61" s="155">
        <v>2</v>
      </c>
      <c r="E61" s="156">
        <v>0</v>
      </c>
      <c r="F61" s="67"/>
    </row>
    <row r="62" spans="1:6" s="55" customFormat="1" ht="15" x14ac:dyDescent="0.15">
      <c r="A62" s="157">
        <v>44286</v>
      </c>
      <c r="B62" s="155">
        <v>2</v>
      </c>
      <c r="C62" s="155">
        <v>7</v>
      </c>
      <c r="D62" s="155">
        <v>4</v>
      </c>
      <c r="E62" s="156">
        <v>0</v>
      </c>
      <c r="F62" s="67"/>
    </row>
    <row r="63" spans="1:6" s="55" customFormat="1" ht="15" x14ac:dyDescent="0.15">
      <c r="A63" s="157">
        <v>43921</v>
      </c>
      <c r="B63" s="155">
        <v>2</v>
      </c>
      <c r="C63" s="155">
        <v>7</v>
      </c>
      <c r="D63" s="155">
        <v>4</v>
      </c>
      <c r="E63" s="156">
        <v>0</v>
      </c>
      <c r="F63" s="67"/>
    </row>
    <row r="64" spans="1:6" s="55" customFormat="1" ht="15" x14ac:dyDescent="0.15">
      <c r="A64" s="157">
        <v>43555</v>
      </c>
      <c r="B64" s="155">
        <v>4</v>
      </c>
      <c r="C64" s="155">
        <v>8</v>
      </c>
      <c r="D64" s="155">
        <v>1</v>
      </c>
      <c r="E64" s="156">
        <v>1</v>
      </c>
      <c r="F64" s="67"/>
    </row>
    <row r="65" spans="1:6" s="55" customFormat="1" ht="15" x14ac:dyDescent="0.15">
      <c r="A65" s="157">
        <v>43190</v>
      </c>
      <c r="B65" s="155">
        <v>4</v>
      </c>
      <c r="C65" s="155">
        <v>8</v>
      </c>
      <c r="D65" s="155">
        <v>1</v>
      </c>
      <c r="E65" s="156">
        <v>1</v>
      </c>
      <c r="F65" s="67"/>
    </row>
    <row r="66" spans="1:6" s="55" customFormat="1" ht="15" x14ac:dyDescent="0.15">
      <c r="A66" s="157">
        <v>42825</v>
      </c>
      <c r="B66" s="155">
        <v>3</v>
      </c>
      <c r="C66" s="155">
        <v>8</v>
      </c>
      <c r="D66" s="155">
        <v>2</v>
      </c>
      <c r="E66" s="156">
        <v>1</v>
      </c>
      <c r="F66" s="67"/>
    </row>
    <row r="67" spans="1:6" s="55" customFormat="1" ht="15" x14ac:dyDescent="0.15">
      <c r="A67" s="157">
        <v>42460</v>
      </c>
      <c r="B67" s="155">
        <v>3</v>
      </c>
      <c r="C67" s="155">
        <v>11</v>
      </c>
      <c r="D67" s="155">
        <v>0</v>
      </c>
      <c r="E67" s="156">
        <v>0</v>
      </c>
      <c r="F67" s="67"/>
    </row>
    <row r="68" spans="1:6" s="55" customFormat="1" ht="15" x14ac:dyDescent="0.15">
      <c r="A68" s="157">
        <v>42094</v>
      </c>
      <c r="B68" s="155">
        <v>1</v>
      </c>
      <c r="C68" s="155">
        <v>11</v>
      </c>
      <c r="D68" s="155">
        <v>2</v>
      </c>
      <c r="E68" s="156">
        <v>0</v>
      </c>
      <c r="F68" s="67"/>
    </row>
    <row r="69" spans="1:6" s="55" customFormat="1" ht="15" x14ac:dyDescent="0.15">
      <c r="A69" s="157">
        <v>41729</v>
      </c>
      <c r="B69" s="155">
        <v>2</v>
      </c>
      <c r="C69" s="155">
        <v>11</v>
      </c>
      <c r="D69" s="155">
        <v>3</v>
      </c>
      <c r="E69" s="156">
        <v>0</v>
      </c>
      <c r="F69" s="67"/>
    </row>
    <row r="70" spans="1:6" s="55" customFormat="1" ht="15" x14ac:dyDescent="0.15">
      <c r="A70" s="157">
        <v>41364</v>
      </c>
      <c r="B70" s="155">
        <v>1</v>
      </c>
      <c r="C70" s="155">
        <v>10</v>
      </c>
      <c r="D70" s="155">
        <v>5</v>
      </c>
      <c r="E70" s="156">
        <v>0</v>
      </c>
      <c r="F70" s="67"/>
    </row>
    <row r="71" spans="1:6" s="55" customFormat="1" ht="15" x14ac:dyDescent="0.15">
      <c r="A71" s="158">
        <v>40999</v>
      </c>
      <c r="B71" s="159">
        <v>2</v>
      </c>
      <c r="C71" s="159">
        <v>12</v>
      </c>
      <c r="D71" s="159">
        <v>2</v>
      </c>
      <c r="E71" s="160">
        <v>0</v>
      </c>
      <c r="F71" s="67"/>
    </row>
    <row r="72" spans="1:6" s="55" customFormat="1" ht="15" x14ac:dyDescent="0.15">
      <c r="A72" s="161"/>
      <c r="B72" s="161"/>
      <c r="C72" s="161"/>
      <c r="D72" s="161"/>
      <c r="E72" s="161"/>
      <c r="F72" s="161"/>
    </row>
    <row r="73" spans="1:6" s="55" customFormat="1" ht="15" x14ac:dyDescent="0.15">
      <c r="A73" s="92" t="s">
        <v>6907</v>
      </c>
      <c r="B73" s="161"/>
      <c r="C73" s="161"/>
      <c r="D73" s="161"/>
      <c r="E73" s="161"/>
      <c r="F73" s="161"/>
    </row>
    <row r="74" spans="1:6" s="55" customFormat="1" ht="16" x14ac:dyDescent="0.15">
      <c r="A74" s="150" t="s">
        <v>6902</v>
      </c>
      <c r="B74" s="151" t="s">
        <v>140</v>
      </c>
      <c r="C74" s="151" t="s">
        <v>132</v>
      </c>
      <c r="D74" s="152" t="s">
        <v>130</v>
      </c>
      <c r="E74" s="153" t="s">
        <v>146</v>
      </c>
      <c r="F74" s="67"/>
    </row>
    <row r="75" spans="1:6" s="55" customFormat="1" ht="15" x14ac:dyDescent="0.15">
      <c r="A75" s="157">
        <v>44651</v>
      </c>
      <c r="B75" s="155">
        <v>63</v>
      </c>
      <c r="C75" s="155">
        <v>219</v>
      </c>
      <c r="D75" s="155">
        <v>13</v>
      </c>
      <c r="E75" s="156">
        <v>6</v>
      </c>
      <c r="F75" s="67"/>
    </row>
    <row r="76" spans="1:6" s="55" customFormat="1" ht="15" x14ac:dyDescent="0.15">
      <c r="A76" s="157">
        <v>44286</v>
      </c>
      <c r="B76" s="155">
        <v>0</v>
      </c>
      <c r="C76" s="155">
        <v>0</v>
      </c>
      <c r="D76" s="155">
        <v>0</v>
      </c>
      <c r="E76" s="156">
        <v>0</v>
      </c>
      <c r="F76" s="67"/>
    </row>
    <row r="77" spans="1:6" s="55" customFormat="1" ht="15" x14ac:dyDescent="0.15">
      <c r="A77" s="157">
        <v>43921</v>
      </c>
      <c r="B77" s="155">
        <v>54</v>
      </c>
      <c r="C77" s="155">
        <v>213</v>
      </c>
      <c r="D77" s="155">
        <v>16</v>
      </c>
      <c r="E77" s="156">
        <v>5</v>
      </c>
      <c r="F77" s="67"/>
    </row>
    <row r="78" spans="1:6" s="55" customFormat="1" ht="15" x14ac:dyDescent="0.15">
      <c r="A78" s="157">
        <v>43555</v>
      </c>
      <c r="B78" s="155">
        <v>44</v>
      </c>
      <c r="C78" s="155">
        <v>203</v>
      </c>
      <c r="D78" s="155">
        <v>23</v>
      </c>
      <c r="E78" s="156">
        <v>8</v>
      </c>
      <c r="F78" s="67"/>
    </row>
    <row r="79" spans="1:6" s="55" customFormat="1" ht="15" x14ac:dyDescent="0.15">
      <c r="A79" s="157">
        <v>43190</v>
      </c>
      <c r="B79" s="155">
        <v>43</v>
      </c>
      <c r="C79" s="155">
        <v>204</v>
      </c>
      <c r="D79" s="155">
        <v>23</v>
      </c>
      <c r="E79" s="156">
        <v>8</v>
      </c>
      <c r="F79" s="67"/>
    </row>
    <row r="80" spans="1:6" s="55" customFormat="1" ht="15" x14ac:dyDescent="0.15">
      <c r="A80" s="157">
        <v>42825</v>
      </c>
      <c r="B80" s="155">
        <v>36</v>
      </c>
      <c r="C80" s="155">
        <v>209</v>
      </c>
      <c r="D80" s="155">
        <v>29</v>
      </c>
      <c r="E80" s="156">
        <v>2</v>
      </c>
      <c r="F80" s="67"/>
    </row>
    <row r="81" spans="1:6" s="55" customFormat="1" ht="15" x14ac:dyDescent="0.15">
      <c r="A81" s="157">
        <v>42460</v>
      </c>
      <c r="B81" s="155">
        <v>39</v>
      </c>
      <c r="C81" s="155">
        <v>196</v>
      </c>
      <c r="D81" s="155">
        <v>39</v>
      </c>
      <c r="E81" s="156">
        <v>3</v>
      </c>
      <c r="F81" s="67"/>
    </row>
    <row r="82" spans="1:6" s="55" customFormat="1" ht="15" x14ac:dyDescent="0.15">
      <c r="A82" s="157">
        <v>42094</v>
      </c>
      <c r="B82" s="155">
        <v>58</v>
      </c>
      <c r="C82" s="155">
        <v>172</v>
      </c>
      <c r="D82" s="155">
        <v>37</v>
      </c>
      <c r="E82" s="156">
        <v>6</v>
      </c>
      <c r="F82" s="67"/>
    </row>
    <row r="83" spans="1:6" s="55" customFormat="1" ht="15" x14ac:dyDescent="0.15">
      <c r="A83" s="157">
        <v>41729</v>
      </c>
      <c r="B83" s="155">
        <v>73</v>
      </c>
      <c r="C83" s="155">
        <v>151</v>
      </c>
      <c r="D83" s="155">
        <v>46</v>
      </c>
      <c r="E83" s="156">
        <v>8</v>
      </c>
      <c r="F83" s="67"/>
    </row>
    <row r="84" spans="1:6" s="55" customFormat="1" ht="15" x14ac:dyDescent="0.15">
      <c r="A84" s="157">
        <v>41364</v>
      </c>
      <c r="B84" s="155">
        <v>74</v>
      </c>
      <c r="C84" s="155">
        <v>137</v>
      </c>
      <c r="D84" s="155">
        <v>50</v>
      </c>
      <c r="E84" s="156">
        <v>7</v>
      </c>
      <c r="F84" s="67"/>
    </row>
    <row r="85" spans="1:6" s="55" customFormat="1" ht="15" x14ac:dyDescent="0.15">
      <c r="A85" s="158">
        <v>40999</v>
      </c>
      <c r="B85" s="159">
        <v>79</v>
      </c>
      <c r="C85" s="159">
        <v>129</v>
      </c>
      <c r="D85" s="159">
        <v>53</v>
      </c>
      <c r="E85" s="160">
        <v>2</v>
      </c>
      <c r="F85" s="67"/>
    </row>
    <row r="86" spans="1:6" s="55" customFormat="1" ht="15" x14ac:dyDescent="0.15">
      <c r="A86" s="161"/>
      <c r="B86" s="161"/>
      <c r="C86" s="161"/>
      <c r="D86" s="161"/>
      <c r="E86" s="161"/>
      <c r="F86" s="161"/>
    </row>
    <row r="87" spans="1:6" s="55" customFormat="1" ht="15" x14ac:dyDescent="0.15">
      <c r="A87" s="92" t="s">
        <v>6908</v>
      </c>
      <c r="B87" s="161"/>
      <c r="C87" s="161"/>
      <c r="D87" s="161"/>
      <c r="E87" s="161"/>
      <c r="F87" s="161"/>
    </row>
    <row r="88" spans="1:6" s="55" customFormat="1" ht="16" x14ac:dyDescent="0.15">
      <c r="A88" s="150" t="s">
        <v>6902</v>
      </c>
      <c r="B88" s="151" t="s">
        <v>140</v>
      </c>
      <c r="C88" s="151" t="s">
        <v>132</v>
      </c>
      <c r="D88" s="152" t="s">
        <v>130</v>
      </c>
      <c r="E88" s="153" t="s">
        <v>146</v>
      </c>
      <c r="F88" s="67"/>
    </row>
    <row r="89" spans="1:6" s="55" customFormat="1" ht="15" x14ac:dyDescent="0.15">
      <c r="A89" s="157">
        <v>44651</v>
      </c>
      <c r="B89" s="155">
        <v>14</v>
      </c>
      <c r="C89" s="155">
        <v>17</v>
      </c>
      <c r="D89" s="155">
        <v>2</v>
      </c>
      <c r="E89" s="156">
        <v>0</v>
      </c>
      <c r="F89" s="67"/>
    </row>
    <row r="90" spans="1:6" s="55" customFormat="1" ht="15" x14ac:dyDescent="0.15">
      <c r="A90" s="157">
        <v>44286</v>
      </c>
      <c r="B90" s="155">
        <v>0</v>
      </c>
      <c r="C90" s="155">
        <v>0</v>
      </c>
      <c r="D90" s="155">
        <v>0</v>
      </c>
      <c r="E90" s="156">
        <v>0</v>
      </c>
      <c r="F90" s="67"/>
    </row>
    <row r="91" spans="1:6" s="55" customFormat="1" ht="15" x14ac:dyDescent="0.15">
      <c r="A91" s="157">
        <v>43921</v>
      </c>
      <c r="B91" s="155">
        <v>16</v>
      </c>
      <c r="C91" s="155">
        <v>16</v>
      </c>
      <c r="D91" s="155">
        <v>2</v>
      </c>
      <c r="E91" s="156">
        <v>0</v>
      </c>
      <c r="F91" s="67"/>
    </row>
    <row r="92" spans="1:6" s="55" customFormat="1" ht="15" x14ac:dyDescent="0.15">
      <c r="A92" s="157">
        <v>43555</v>
      </c>
      <c r="B92" s="155">
        <v>17</v>
      </c>
      <c r="C92" s="155">
        <v>20</v>
      </c>
      <c r="D92" s="155">
        <v>3</v>
      </c>
      <c r="E92" s="156">
        <v>0</v>
      </c>
      <c r="F92" s="67"/>
    </row>
    <row r="93" spans="1:6" s="55" customFormat="1" ht="15" x14ac:dyDescent="0.15">
      <c r="A93" s="157">
        <v>43190</v>
      </c>
      <c r="B93" s="155">
        <v>18</v>
      </c>
      <c r="C93" s="155">
        <v>19</v>
      </c>
      <c r="D93" s="155">
        <v>3</v>
      </c>
      <c r="E93" s="156">
        <v>0</v>
      </c>
      <c r="F93" s="67"/>
    </row>
    <row r="94" spans="1:6" s="55" customFormat="1" ht="15" x14ac:dyDescent="0.15">
      <c r="A94" s="157">
        <v>42825</v>
      </c>
      <c r="B94" s="155">
        <v>17</v>
      </c>
      <c r="C94" s="155">
        <v>20</v>
      </c>
      <c r="D94" s="155">
        <v>1</v>
      </c>
      <c r="E94" s="156">
        <v>2</v>
      </c>
      <c r="F94" s="67"/>
    </row>
    <row r="95" spans="1:6" s="55" customFormat="1" ht="15" x14ac:dyDescent="0.15">
      <c r="A95" s="157">
        <v>42460</v>
      </c>
      <c r="B95" s="155">
        <v>17</v>
      </c>
      <c r="C95" s="155">
        <v>20</v>
      </c>
      <c r="D95" s="155">
        <v>1</v>
      </c>
      <c r="E95" s="156">
        <v>0</v>
      </c>
      <c r="F95" s="67"/>
    </row>
    <row r="96" spans="1:6" s="55" customFormat="1" ht="15" x14ac:dyDescent="0.15">
      <c r="A96" s="157">
        <v>42094</v>
      </c>
      <c r="B96" s="155">
        <v>16</v>
      </c>
      <c r="C96" s="155">
        <v>18</v>
      </c>
      <c r="D96" s="155">
        <v>4</v>
      </c>
      <c r="E96" s="156">
        <v>0</v>
      </c>
      <c r="F96" s="67"/>
    </row>
    <row r="97" spans="1:6" s="55" customFormat="1" ht="15" x14ac:dyDescent="0.15">
      <c r="A97" s="157">
        <v>41729</v>
      </c>
      <c r="B97" s="155">
        <v>14</v>
      </c>
      <c r="C97" s="155">
        <v>19</v>
      </c>
      <c r="D97" s="155">
        <v>4</v>
      </c>
      <c r="E97" s="156">
        <v>1</v>
      </c>
      <c r="F97" s="67"/>
    </row>
    <row r="98" spans="1:6" s="55" customFormat="1" ht="15" x14ac:dyDescent="0.15">
      <c r="A98" s="157">
        <v>41364</v>
      </c>
      <c r="B98" s="155">
        <v>13</v>
      </c>
      <c r="C98" s="155">
        <v>20</v>
      </c>
      <c r="D98" s="155">
        <v>6</v>
      </c>
      <c r="E98" s="156">
        <v>0</v>
      </c>
      <c r="F98" s="67"/>
    </row>
    <row r="99" spans="1:6" s="55" customFormat="1" ht="15" x14ac:dyDescent="0.15">
      <c r="A99" s="158">
        <v>40999</v>
      </c>
      <c r="B99" s="159">
        <v>13</v>
      </c>
      <c r="C99" s="159">
        <v>17</v>
      </c>
      <c r="D99" s="159">
        <v>12</v>
      </c>
      <c r="E99" s="160">
        <v>2</v>
      </c>
      <c r="F99" s="67"/>
    </row>
    <row r="100" spans="1:6" s="55" customFormat="1" ht="15" x14ac:dyDescent="0.15">
      <c r="A100" s="161"/>
      <c r="B100" s="161"/>
      <c r="C100" s="161"/>
      <c r="D100" s="161"/>
      <c r="E100" s="161"/>
      <c r="F100" s="161"/>
    </row>
    <row r="101" spans="1:6" s="55" customFormat="1" ht="15" x14ac:dyDescent="0.15">
      <c r="A101" s="92" t="s">
        <v>6909</v>
      </c>
      <c r="B101" s="161"/>
      <c r="C101" s="161"/>
      <c r="D101" s="161"/>
      <c r="E101" s="161"/>
      <c r="F101" s="161"/>
    </row>
    <row r="102" spans="1:6" s="55" customFormat="1" ht="16" x14ac:dyDescent="0.15">
      <c r="A102" s="150" t="s">
        <v>6902</v>
      </c>
      <c r="B102" s="151" t="s">
        <v>140</v>
      </c>
      <c r="C102" s="151" t="s">
        <v>132</v>
      </c>
      <c r="D102" s="152" t="s">
        <v>130</v>
      </c>
      <c r="E102" s="153" t="s">
        <v>146</v>
      </c>
      <c r="F102" s="67"/>
    </row>
    <row r="103" spans="1:6" s="55" customFormat="1" ht="15" x14ac:dyDescent="0.15">
      <c r="A103" s="157">
        <v>44651</v>
      </c>
      <c r="B103" s="155">
        <v>54</v>
      </c>
      <c r="C103" s="155">
        <v>52</v>
      </c>
      <c r="D103" s="155">
        <v>10</v>
      </c>
      <c r="E103" s="156">
        <v>2</v>
      </c>
      <c r="F103" s="67"/>
    </row>
    <row r="104" spans="1:6" s="55" customFormat="1" ht="15" x14ac:dyDescent="0.15">
      <c r="A104" s="157">
        <v>44286</v>
      </c>
      <c r="B104" s="155">
        <v>0</v>
      </c>
      <c r="C104" s="155">
        <v>0</v>
      </c>
      <c r="D104" s="155">
        <v>0</v>
      </c>
      <c r="E104" s="156">
        <v>0</v>
      </c>
      <c r="F104" s="67"/>
    </row>
    <row r="105" spans="1:6" s="55" customFormat="1" ht="15" x14ac:dyDescent="0.15">
      <c r="A105" s="157">
        <v>43921</v>
      </c>
      <c r="B105" s="155">
        <v>58</v>
      </c>
      <c r="C105" s="155">
        <v>55</v>
      </c>
      <c r="D105" s="155">
        <v>14</v>
      </c>
      <c r="E105" s="156">
        <v>6</v>
      </c>
      <c r="F105" s="67"/>
    </row>
    <row r="106" spans="1:6" s="55" customFormat="1" ht="15" x14ac:dyDescent="0.15">
      <c r="A106" s="157">
        <v>43555</v>
      </c>
      <c r="B106" s="155">
        <v>69</v>
      </c>
      <c r="C106" s="155">
        <v>56</v>
      </c>
      <c r="D106" s="155">
        <v>20</v>
      </c>
      <c r="E106" s="156">
        <v>4</v>
      </c>
      <c r="F106" s="67"/>
    </row>
    <row r="107" spans="1:6" s="55" customFormat="1" ht="15" x14ac:dyDescent="0.15">
      <c r="A107" s="157">
        <v>43190</v>
      </c>
      <c r="B107" s="155">
        <v>67</v>
      </c>
      <c r="C107" s="155">
        <v>61</v>
      </c>
      <c r="D107" s="155">
        <v>18</v>
      </c>
      <c r="E107" s="156">
        <v>4</v>
      </c>
      <c r="F107" s="67"/>
    </row>
    <row r="108" spans="1:6" s="55" customFormat="1" ht="15" x14ac:dyDescent="0.15">
      <c r="A108" s="157">
        <v>42825</v>
      </c>
      <c r="B108" s="155">
        <v>65</v>
      </c>
      <c r="C108" s="155">
        <v>72</v>
      </c>
      <c r="D108" s="155">
        <v>16</v>
      </c>
      <c r="E108" s="156">
        <v>4</v>
      </c>
      <c r="F108" s="67"/>
    </row>
    <row r="109" spans="1:6" s="55" customFormat="1" ht="15" x14ac:dyDescent="0.15">
      <c r="A109" s="157">
        <v>42460</v>
      </c>
      <c r="B109" s="155">
        <v>71</v>
      </c>
      <c r="C109" s="155">
        <v>72</v>
      </c>
      <c r="D109" s="155">
        <v>19</v>
      </c>
      <c r="E109" s="156">
        <v>3</v>
      </c>
      <c r="F109" s="67"/>
    </row>
    <row r="110" spans="1:6" s="55" customFormat="1" ht="15" x14ac:dyDescent="0.15">
      <c r="A110" s="157">
        <v>42094</v>
      </c>
      <c r="B110" s="155">
        <v>69</v>
      </c>
      <c r="C110" s="155">
        <v>71</v>
      </c>
      <c r="D110" s="155">
        <v>21</v>
      </c>
      <c r="E110" s="156">
        <v>7</v>
      </c>
      <c r="F110" s="67"/>
    </row>
    <row r="111" spans="1:6" s="55" customFormat="1" ht="15" x14ac:dyDescent="0.15">
      <c r="A111" s="157">
        <v>41729</v>
      </c>
      <c r="B111" s="155">
        <v>70</v>
      </c>
      <c r="C111" s="155">
        <v>79</v>
      </c>
      <c r="D111" s="155">
        <v>20</v>
      </c>
      <c r="E111" s="156">
        <v>11</v>
      </c>
      <c r="F111" s="67"/>
    </row>
    <row r="112" spans="1:6" s="55" customFormat="1" ht="15" x14ac:dyDescent="0.15">
      <c r="A112" s="157">
        <v>41364</v>
      </c>
      <c r="B112" s="155">
        <v>93</v>
      </c>
      <c r="C112" s="155">
        <v>65</v>
      </c>
      <c r="D112" s="155">
        <v>20</v>
      </c>
      <c r="E112" s="156">
        <v>6</v>
      </c>
      <c r="F112" s="67"/>
    </row>
    <row r="113" spans="1:6" s="55" customFormat="1" ht="15" x14ac:dyDescent="0.15">
      <c r="A113" s="158">
        <v>40999</v>
      </c>
      <c r="B113" s="159">
        <v>114</v>
      </c>
      <c r="C113" s="159">
        <v>63</v>
      </c>
      <c r="D113" s="159">
        <v>15</v>
      </c>
      <c r="E113" s="160">
        <v>1</v>
      </c>
      <c r="F113" s="67"/>
    </row>
    <row r="114" spans="1:6" s="55" customFormat="1" ht="15" x14ac:dyDescent="0.15">
      <c r="A114" s="161"/>
      <c r="B114" s="161"/>
      <c r="C114" s="161"/>
      <c r="D114" s="161"/>
      <c r="E114" s="161"/>
      <c r="F114" s="161"/>
    </row>
    <row r="115" spans="1:6" s="55" customFormat="1" ht="15" x14ac:dyDescent="0.15">
      <c r="A115" s="92" t="s">
        <v>6910</v>
      </c>
      <c r="B115" s="161"/>
      <c r="C115" s="161"/>
      <c r="D115" s="161"/>
      <c r="E115" s="161"/>
      <c r="F115" s="161"/>
    </row>
    <row r="116" spans="1:6" s="55" customFormat="1" ht="16" x14ac:dyDescent="0.15">
      <c r="A116" s="150" t="s">
        <v>6902</v>
      </c>
      <c r="B116" s="151" t="s">
        <v>140</v>
      </c>
      <c r="C116" s="151" t="s">
        <v>132</v>
      </c>
      <c r="D116" s="152" t="s">
        <v>130</v>
      </c>
      <c r="E116" s="153" t="s">
        <v>146</v>
      </c>
      <c r="F116" s="67"/>
    </row>
    <row r="117" spans="1:6" s="55" customFormat="1" ht="15" x14ac:dyDescent="0.15">
      <c r="A117" s="157">
        <v>44651</v>
      </c>
      <c r="B117" s="155">
        <v>17</v>
      </c>
      <c r="C117" s="155">
        <v>34</v>
      </c>
      <c r="D117" s="155">
        <v>6</v>
      </c>
      <c r="E117" s="156">
        <v>2</v>
      </c>
      <c r="F117" s="67"/>
    </row>
    <row r="118" spans="1:6" s="55" customFormat="1" ht="15" x14ac:dyDescent="0.15">
      <c r="A118" s="157">
        <v>44286</v>
      </c>
      <c r="B118" s="155"/>
      <c r="C118" s="155"/>
      <c r="D118" s="155"/>
      <c r="E118" s="156"/>
      <c r="F118" s="67"/>
    </row>
    <row r="119" spans="1:6" s="55" customFormat="1" ht="15" x14ac:dyDescent="0.15">
      <c r="A119" s="157">
        <v>43921</v>
      </c>
      <c r="B119" s="155">
        <v>20</v>
      </c>
      <c r="C119" s="155">
        <v>37</v>
      </c>
      <c r="D119" s="155">
        <v>4</v>
      </c>
      <c r="E119" s="156">
        <v>7</v>
      </c>
      <c r="F119" s="67"/>
    </row>
    <row r="120" spans="1:6" s="55" customFormat="1" ht="15" x14ac:dyDescent="0.15">
      <c r="A120" s="157">
        <v>43555</v>
      </c>
      <c r="B120" s="155">
        <v>22</v>
      </c>
      <c r="C120" s="155">
        <v>31</v>
      </c>
      <c r="D120" s="155">
        <v>11</v>
      </c>
      <c r="E120" s="156">
        <v>13</v>
      </c>
      <c r="F120" s="67"/>
    </row>
    <row r="121" spans="1:6" s="55" customFormat="1" ht="15" x14ac:dyDescent="0.15">
      <c r="A121" s="157">
        <v>43190</v>
      </c>
      <c r="B121" s="155">
        <v>21</v>
      </c>
      <c r="C121" s="155">
        <v>32</v>
      </c>
      <c r="D121" s="155">
        <v>11</v>
      </c>
      <c r="E121" s="156">
        <v>13</v>
      </c>
      <c r="F121" s="67"/>
    </row>
    <row r="122" spans="1:6" s="55" customFormat="1" ht="15" x14ac:dyDescent="0.15">
      <c r="A122" s="157">
        <v>42825</v>
      </c>
      <c r="B122" s="155">
        <v>15</v>
      </c>
      <c r="C122" s="155">
        <v>41</v>
      </c>
      <c r="D122" s="155">
        <v>12</v>
      </c>
      <c r="E122" s="156">
        <v>8</v>
      </c>
      <c r="F122" s="67"/>
    </row>
    <row r="123" spans="1:6" s="55" customFormat="1" ht="15" x14ac:dyDescent="0.15">
      <c r="A123" s="157">
        <v>42460</v>
      </c>
      <c r="B123" s="155">
        <v>15</v>
      </c>
      <c r="C123" s="155">
        <v>35</v>
      </c>
      <c r="D123" s="155">
        <v>14</v>
      </c>
      <c r="E123" s="156">
        <v>9</v>
      </c>
      <c r="F123" s="67"/>
    </row>
    <row r="124" spans="1:6" s="55" customFormat="1" ht="15" x14ac:dyDescent="0.15">
      <c r="A124" s="157">
        <v>42094</v>
      </c>
      <c r="B124" s="155">
        <v>15</v>
      </c>
      <c r="C124" s="155">
        <v>32</v>
      </c>
      <c r="D124" s="155">
        <v>19</v>
      </c>
      <c r="E124" s="156">
        <v>7</v>
      </c>
      <c r="F124" s="67"/>
    </row>
    <row r="125" spans="1:6" s="55" customFormat="1" ht="15" x14ac:dyDescent="0.15">
      <c r="A125" s="157">
        <v>41729</v>
      </c>
      <c r="B125" s="155">
        <v>13</v>
      </c>
      <c r="C125" s="155">
        <v>29</v>
      </c>
      <c r="D125" s="155">
        <v>18</v>
      </c>
      <c r="E125" s="156">
        <v>8</v>
      </c>
      <c r="F125" s="67"/>
    </row>
    <row r="126" spans="1:6" s="55" customFormat="1" ht="15" x14ac:dyDescent="0.15">
      <c r="A126" s="157">
        <v>41364</v>
      </c>
      <c r="B126" s="155">
        <v>14</v>
      </c>
      <c r="C126" s="155">
        <v>29</v>
      </c>
      <c r="D126" s="155">
        <v>14</v>
      </c>
      <c r="E126" s="156">
        <v>7</v>
      </c>
      <c r="F126" s="67"/>
    </row>
    <row r="127" spans="1:6" s="55" customFormat="1" ht="15" x14ac:dyDescent="0.15">
      <c r="A127" s="158">
        <v>40999</v>
      </c>
      <c r="B127" s="159">
        <v>13</v>
      </c>
      <c r="C127" s="159">
        <v>27</v>
      </c>
      <c r="D127" s="159">
        <v>11</v>
      </c>
      <c r="E127" s="160">
        <v>10</v>
      </c>
      <c r="F127" s="67"/>
    </row>
    <row r="128" spans="1:6" s="55" customFormat="1" ht="15" x14ac:dyDescent="0.15">
      <c r="A128" s="161"/>
      <c r="B128" s="161"/>
      <c r="C128" s="161"/>
      <c r="D128" s="161"/>
      <c r="E128" s="161"/>
      <c r="F128" s="161"/>
    </row>
    <row r="129" spans="1:6" s="55" customFormat="1" ht="15" x14ac:dyDescent="0.15">
      <c r="A129" s="92" t="s">
        <v>6911</v>
      </c>
      <c r="B129" s="161"/>
      <c r="C129" s="161"/>
      <c r="D129" s="161"/>
      <c r="E129" s="161"/>
      <c r="F129" s="161"/>
    </row>
    <row r="130" spans="1:6" s="55" customFormat="1" ht="16" x14ac:dyDescent="0.15">
      <c r="A130" s="150" t="s">
        <v>6902</v>
      </c>
      <c r="B130" s="151" t="s">
        <v>140</v>
      </c>
      <c r="C130" s="151" t="s">
        <v>132</v>
      </c>
      <c r="D130" s="152" t="s">
        <v>130</v>
      </c>
      <c r="E130" s="153" t="s">
        <v>146</v>
      </c>
      <c r="F130" s="67"/>
    </row>
    <row r="131" spans="1:6" s="55" customFormat="1" ht="15" x14ac:dyDescent="0.15">
      <c r="A131" s="157">
        <v>44651</v>
      </c>
      <c r="B131" s="155">
        <v>8</v>
      </c>
      <c r="C131" s="155">
        <v>39</v>
      </c>
      <c r="D131" s="155">
        <v>5</v>
      </c>
      <c r="E131" s="156">
        <v>3</v>
      </c>
      <c r="F131" s="67"/>
    </row>
    <row r="132" spans="1:6" s="55" customFormat="1" ht="15" x14ac:dyDescent="0.15">
      <c r="A132" s="157">
        <v>44286</v>
      </c>
      <c r="B132" s="155"/>
      <c r="C132" s="155"/>
      <c r="D132" s="155"/>
      <c r="E132" s="156"/>
      <c r="F132" s="67"/>
    </row>
    <row r="133" spans="1:6" s="55" customFormat="1" ht="15" x14ac:dyDescent="0.15">
      <c r="A133" s="157">
        <v>43921</v>
      </c>
      <c r="B133" s="155">
        <v>9</v>
      </c>
      <c r="C133" s="155">
        <v>34</v>
      </c>
      <c r="D133" s="155">
        <v>4</v>
      </c>
      <c r="E133" s="156">
        <v>1</v>
      </c>
      <c r="F133" s="67"/>
    </row>
    <row r="134" spans="1:6" s="55" customFormat="1" ht="15" x14ac:dyDescent="0.15">
      <c r="A134" s="157">
        <v>43555</v>
      </c>
      <c r="B134" s="155">
        <v>7</v>
      </c>
      <c r="C134" s="155">
        <v>26</v>
      </c>
      <c r="D134" s="155">
        <v>3</v>
      </c>
      <c r="E134" s="156">
        <v>1</v>
      </c>
      <c r="F134" s="67"/>
    </row>
    <row r="135" spans="1:6" s="55" customFormat="1" ht="15" x14ac:dyDescent="0.15">
      <c r="A135" s="157">
        <v>43190</v>
      </c>
      <c r="B135" s="155">
        <v>7</v>
      </c>
      <c r="C135" s="155">
        <v>26</v>
      </c>
      <c r="D135" s="155">
        <v>3</v>
      </c>
      <c r="E135" s="156">
        <v>1</v>
      </c>
      <c r="F135" s="67"/>
    </row>
    <row r="136" spans="1:6" s="55" customFormat="1" ht="15" x14ac:dyDescent="0.15">
      <c r="A136" s="157">
        <v>42825</v>
      </c>
      <c r="B136" s="155">
        <v>7</v>
      </c>
      <c r="C136" s="155">
        <v>26</v>
      </c>
      <c r="D136" s="155">
        <v>1</v>
      </c>
      <c r="E136" s="156">
        <v>0</v>
      </c>
      <c r="F136" s="67"/>
    </row>
    <row r="137" spans="1:6" s="55" customFormat="1" ht="15" x14ac:dyDescent="0.15">
      <c r="A137" s="157">
        <v>42460</v>
      </c>
      <c r="B137" s="155">
        <v>7</v>
      </c>
      <c r="C137" s="155">
        <v>23</v>
      </c>
      <c r="D137" s="155">
        <v>2</v>
      </c>
      <c r="E137" s="156">
        <v>0</v>
      </c>
      <c r="F137" s="67"/>
    </row>
    <row r="138" spans="1:6" s="55" customFormat="1" ht="15" x14ac:dyDescent="0.15">
      <c r="A138" s="157">
        <v>42094</v>
      </c>
      <c r="B138" s="155">
        <v>10</v>
      </c>
      <c r="C138" s="155">
        <v>15</v>
      </c>
      <c r="D138" s="155">
        <v>5</v>
      </c>
      <c r="E138" s="156">
        <v>0</v>
      </c>
      <c r="F138" s="67"/>
    </row>
    <row r="139" spans="1:6" s="55" customFormat="1" ht="15" x14ac:dyDescent="0.15">
      <c r="A139" s="157">
        <v>41729</v>
      </c>
      <c r="B139" s="155">
        <v>11</v>
      </c>
      <c r="C139" s="155">
        <v>16</v>
      </c>
      <c r="D139" s="155">
        <v>12</v>
      </c>
      <c r="E139" s="156">
        <v>1</v>
      </c>
      <c r="F139" s="67"/>
    </row>
    <row r="140" spans="1:6" s="55" customFormat="1" ht="15" x14ac:dyDescent="0.15">
      <c r="A140" s="157">
        <v>41364</v>
      </c>
      <c r="B140" s="155">
        <v>13</v>
      </c>
      <c r="C140" s="155">
        <v>15</v>
      </c>
      <c r="D140" s="155">
        <v>14</v>
      </c>
      <c r="E140" s="156">
        <v>2</v>
      </c>
      <c r="F140" s="67"/>
    </row>
    <row r="141" spans="1:6" s="55" customFormat="1" ht="15" x14ac:dyDescent="0.15">
      <c r="A141" s="158">
        <v>40999</v>
      </c>
      <c r="B141" s="159">
        <v>13</v>
      </c>
      <c r="C141" s="159">
        <v>20</v>
      </c>
      <c r="D141" s="159">
        <v>17</v>
      </c>
      <c r="E141" s="160">
        <v>0</v>
      </c>
      <c r="F141" s="67"/>
    </row>
    <row r="142" spans="1:6" s="55" customFormat="1" ht="15" x14ac:dyDescent="0.15">
      <c r="A142" s="161"/>
      <c r="B142" s="161"/>
      <c r="C142" s="161"/>
      <c r="D142" s="161"/>
      <c r="E142" s="161"/>
      <c r="F142" s="161"/>
    </row>
    <row r="143" spans="1:6" s="55" customFormat="1" ht="15" x14ac:dyDescent="0.15">
      <c r="A143" s="92" t="s">
        <v>6912</v>
      </c>
      <c r="B143" s="161"/>
      <c r="C143" s="161"/>
      <c r="D143" s="161"/>
      <c r="E143" s="161"/>
      <c r="F143" s="161"/>
    </row>
    <row r="144" spans="1:6" s="55" customFormat="1" ht="16" x14ac:dyDescent="0.15">
      <c r="A144" s="150" t="s">
        <v>6902</v>
      </c>
      <c r="B144" s="151" t="s">
        <v>140</v>
      </c>
      <c r="C144" s="151" t="s">
        <v>132</v>
      </c>
      <c r="D144" s="152" t="s">
        <v>130</v>
      </c>
      <c r="E144" s="153" t="s">
        <v>146</v>
      </c>
      <c r="F144" s="67"/>
    </row>
    <row r="145" spans="1:6" s="55" customFormat="1" ht="15" x14ac:dyDescent="0.15">
      <c r="A145" s="157">
        <v>44651</v>
      </c>
      <c r="B145" s="155">
        <v>16</v>
      </c>
      <c r="C145" s="155">
        <v>10</v>
      </c>
      <c r="D145" s="155">
        <v>2</v>
      </c>
      <c r="E145" s="156"/>
      <c r="F145" s="67"/>
    </row>
    <row r="146" spans="1:6" s="55" customFormat="1" ht="15" x14ac:dyDescent="0.15">
      <c r="A146" s="157">
        <v>44286</v>
      </c>
      <c r="B146" s="155"/>
      <c r="C146" s="155"/>
      <c r="D146" s="155"/>
      <c r="E146" s="156"/>
      <c r="F146" s="67"/>
    </row>
    <row r="147" spans="1:6" s="55" customFormat="1" ht="15" x14ac:dyDescent="0.15">
      <c r="A147" s="157">
        <v>43921</v>
      </c>
      <c r="B147" s="155">
        <v>17</v>
      </c>
      <c r="C147" s="155">
        <v>10</v>
      </c>
      <c r="D147" s="155">
        <v>3</v>
      </c>
      <c r="E147" s="156">
        <v>0</v>
      </c>
      <c r="F147" s="67"/>
    </row>
    <row r="148" spans="1:6" s="55" customFormat="1" ht="15" x14ac:dyDescent="0.15">
      <c r="A148" s="157">
        <v>43555</v>
      </c>
      <c r="B148" s="155">
        <v>15</v>
      </c>
      <c r="C148" s="155">
        <v>16</v>
      </c>
      <c r="D148" s="155">
        <v>3</v>
      </c>
      <c r="E148" s="156">
        <v>0</v>
      </c>
      <c r="F148" s="67"/>
    </row>
    <row r="149" spans="1:6" s="55" customFormat="1" ht="15" x14ac:dyDescent="0.15">
      <c r="A149" s="157">
        <v>43190</v>
      </c>
      <c r="B149" s="155">
        <v>15</v>
      </c>
      <c r="C149" s="155">
        <v>16</v>
      </c>
      <c r="D149" s="155">
        <v>3</v>
      </c>
      <c r="E149" s="156">
        <v>0</v>
      </c>
      <c r="F149" s="67"/>
    </row>
    <row r="150" spans="1:6" s="55" customFormat="1" ht="15" x14ac:dyDescent="0.15">
      <c r="A150" s="157">
        <v>42825</v>
      </c>
      <c r="B150" s="155">
        <v>18</v>
      </c>
      <c r="C150" s="155">
        <v>15</v>
      </c>
      <c r="D150" s="155">
        <v>2</v>
      </c>
      <c r="E150" s="156">
        <v>0</v>
      </c>
      <c r="F150" s="67"/>
    </row>
    <row r="151" spans="1:6" s="55" customFormat="1" ht="15" x14ac:dyDescent="0.15">
      <c r="A151" s="157">
        <v>42460</v>
      </c>
      <c r="B151" s="155">
        <v>16</v>
      </c>
      <c r="C151" s="155">
        <v>16</v>
      </c>
      <c r="D151" s="155">
        <v>2</v>
      </c>
      <c r="E151" s="156">
        <v>0</v>
      </c>
      <c r="F151" s="67"/>
    </row>
    <row r="152" spans="1:6" s="55" customFormat="1" ht="15" x14ac:dyDescent="0.15">
      <c r="A152" s="157">
        <v>42094</v>
      </c>
      <c r="B152" s="155">
        <v>16</v>
      </c>
      <c r="C152" s="155">
        <v>13</v>
      </c>
      <c r="D152" s="155">
        <v>3</v>
      </c>
      <c r="E152" s="156">
        <v>0</v>
      </c>
      <c r="F152" s="67"/>
    </row>
    <row r="153" spans="1:6" s="55" customFormat="1" ht="15" x14ac:dyDescent="0.15">
      <c r="A153" s="157">
        <v>41729</v>
      </c>
      <c r="B153" s="155">
        <v>12</v>
      </c>
      <c r="C153" s="155">
        <v>16</v>
      </c>
      <c r="D153" s="155">
        <v>2</v>
      </c>
      <c r="E153" s="156">
        <v>0</v>
      </c>
      <c r="F153" s="67"/>
    </row>
    <row r="154" spans="1:6" s="55" customFormat="1" ht="15" x14ac:dyDescent="0.15">
      <c r="A154" s="157">
        <v>41364</v>
      </c>
      <c r="B154" s="155">
        <v>14</v>
      </c>
      <c r="C154" s="155">
        <v>19</v>
      </c>
      <c r="D154" s="155">
        <v>1</v>
      </c>
      <c r="E154" s="156">
        <v>0</v>
      </c>
      <c r="F154" s="67"/>
    </row>
    <row r="155" spans="1:6" s="55" customFormat="1" ht="15" x14ac:dyDescent="0.15">
      <c r="A155" s="158">
        <v>40999</v>
      </c>
      <c r="B155" s="159">
        <v>14</v>
      </c>
      <c r="C155" s="159">
        <v>20</v>
      </c>
      <c r="D155" s="159">
        <v>2</v>
      </c>
      <c r="E155" s="160">
        <v>0</v>
      </c>
      <c r="F155" s="67"/>
    </row>
    <row r="156" spans="1:6" s="55" customFormat="1" ht="15" x14ac:dyDescent="0.15">
      <c r="A156" s="161"/>
      <c r="B156" s="161"/>
      <c r="C156" s="161"/>
      <c r="D156" s="161"/>
      <c r="E156" s="161"/>
      <c r="F156" s="161"/>
    </row>
    <row r="157" spans="1:6" s="55" customFormat="1" ht="15" x14ac:dyDescent="0.15">
      <c r="A157" s="92" t="s">
        <v>6913</v>
      </c>
      <c r="B157" s="161"/>
      <c r="C157" s="161"/>
      <c r="D157" s="161"/>
      <c r="E157" s="161"/>
      <c r="F157" s="161"/>
    </row>
    <row r="158" spans="1:6" s="55" customFormat="1" ht="16" x14ac:dyDescent="0.15">
      <c r="A158" s="150" t="s">
        <v>6902</v>
      </c>
      <c r="B158" s="151" t="s">
        <v>140</v>
      </c>
      <c r="C158" s="151" t="s">
        <v>132</v>
      </c>
      <c r="D158" s="152" t="s">
        <v>130</v>
      </c>
      <c r="E158" s="153" t="s">
        <v>146</v>
      </c>
      <c r="F158" s="67"/>
    </row>
    <row r="159" spans="1:6" s="55" customFormat="1" ht="15" x14ac:dyDescent="0.15">
      <c r="A159" s="157">
        <v>44651</v>
      </c>
      <c r="B159" s="155">
        <v>18</v>
      </c>
      <c r="C159" s="155">
        <v>17</v>
      </c>
      <c r="D159" s="155">
        <v>1</v>
      </c>
      <c r="E159" s="156"/>
      <c r="F159" s="67"/>
    </row>
    <row r="160" spans="1:6" s="55" customFormat="1" ht="15" x14ac:dyDescent="0.15">
      <c r="A160" s="157">
        <v>44286</v>
      </c>
      <c r="B160" s="155"/>
      <c r="C160" s="155"/>
      <c r="D160" s="155"/>
      <c r="E160" s="156"/>
      <c r="F160" s="67"/>
    </row>
    <row r="161" spans="1:6" s="55" customFormat="1" ht="15" x14ac:dyDescent="0.15">
      <c r="A161" s="157">
        <v>43921</v>
      </c>
      <c r="B161" s="155">
        <v>21</v>
      </c>
      <c r="C161" s="155">
        <v>18</v>
      </c>
      <c r="D161" s="155">
        <v>3</v>
      </c>
      <c r="E161" s="156">
        <v>0</v>
      </c>
      <c r="F161" s="67"/>
    </row>
    <row r="162" spans="1:6" s="55" customFormat="1" ht="15" x14ac:dyDescent="0.15">
      <c r="A162" s="157">
        <v>43555</v>
      </c>
      <c r="B162" s="155">
        <v>18</v>
      </c>
      <c r="C162" s="155">
        <v>18</v>
      </c>
      <c r="D162" s="155">
        <v>2</v>
      </c>
      <c r="E162" s="156">
        <v>0</v>
      </c>
      <c r="F162" s="67"/>
    </row>
    <row r="163" spans="1:6" s="55" customFormat="1" ht="15" x14ac:dyDescent="0.15">
      <c r="A163" s="157">
        <v>43190</v>
      </c>
      <c r="B163" s="155">
        <v>18</v>
      </c>
      <c r="C163" s="155">
        <v>17</v>
      </c>
      <c r="D163" s="155">
        <v>4</v>
      </c>
      <c r="E163" s="156">
        <v>0</v>
      </c>
      <c r="F163" s="67"/>
    </row>
    <row r="164" spans="1:6" s="55" customFormat="1" ht="15" x14ac:dyDescent="0.15">
      <c r="A164" s="157">
        <v>42825</v>
      </c>
      <c r="B164" s="155">
        <v>19</v>
      </c>
      <c r="C164" s="155">
        <v>14</v>
      </c>
      <c r="D164" s="155">
        <v>4</v>
      </c>
      <c r="E164" s="156">
        <v>1</v>
      </c>
      <c r="F164" s="67"/>
    </row>
    <row r="165" spans="1:6" s="55" customFormat="1" ht="15" x14ac:dyDescent="0.15">
      <c r="A165" s="157">
        <v>42460</v>
      </c>
      <c r="B165" s="155">
        <v>20</v>
      </c>
      <c r="C165" s="155">
        <v>11</v>
      </c>
      <c r="D165" s="155">
        <v>7</v>
      </c>
      <c r="E165" s="156">
        <v>0</v>
      </c>
      <c r="F165" s="67"/>
    </row>
    <row r="166" spans="1:6" s="55" customFormat="1" ht="15" x14ac:dyDescent="0.15">
      <c r="A166" s="157">
        <v>42094</v>
      </c>
      <c r="B166" s="155">
        <v>20</v>
      </c>
      <c r="C166" s="155">
        <v>11</v>
      </c>
      <c r="D166" s="155">
        <v>8</v>
      </c>
      <c r="E166" s="156">
        <v>0</v>
      </c>
      <c r="F166" s="67"/>
    </row>
    <row r="167" spans="1:6" s="55" customFormat="1" ht="15" x14ac:dyDescent="0.15">
      <c r="A167" s="157">
        <v>41729</v>
      </c>
      <c r="B167" s="155">
        <v>23</v>
      </c>
      <c r="C167" s="155">
        <v>10</v>
      </c>
      <c r="D167" s="155">
        <v>6</v>
      </c>
      <c r="E167" s="156">
        <v>0</v>
      </c>
      <c r="F167" s="67"/>
    </row>
    <row r="168" spans="1:6" s="55" customFormat="1" ht="15" x14ac:dyDescent="0.15">
      <c r="A168" s="157">
        <v>41364</v>
      </c>
      <c r="B168" s="155">
        <v>22</v>
      </c>
      <c r="C168" s="155">
        <v>14</v>
      </c>
      <c r="D168" s="155">
        <v>5</v>
      </c>
      <c r="E168" s="156">
        <v>0</v>
      </c>
      <c r="F168" s="67"/>
    </row>
    <row r="169" spans="1:6" s="55" customFormat="1" ht="15" x14ac:dyDescent="0.15">
      <c r="A169" s="158">
        <v>40999</v>
      </c>
      <c r="B169" s="159">
        <v>19</v>
      </c>
      <c r="C169" s="159">
        <v>18</v>
      </c>
      <c r="D169" s="159">
        <v>4</v>
      </c>
      <c r="E169" s="160">
        <v>1</v>
      </c>
      <c r="F169" s="67"/>
    </row>
    <row r="170" spans="1:6" s="55" customFormat="1" ht="15" x14ac:dyDescent="0.15">
      <c r="A170" s="161"/>
      <c r="B170" s="161"/>
      <c r="C170" s="161"/>
      <c r="D170" s="161"/>
      <c r="E170" s="161"/>
      <c r="F170" s="161"/>
    </row>
    <row r="171" spans="1:6" s="55" customFormat="1" ht="15" x14ac:dyDescent="0.15">
      <c r="A171" s="92" t="s">
        <v>6914</v>
      </c>
      <c r="B171" s="161"/>
      <c r="C171" s="161"/>
      <c r="D171" s="161"/>
      <c r="E171" s="161"/>
      <c r="F171" s="161"/>
    </row>
    <row r="172" spans="1:6" s="55" customFormat="1" ht="16" x14ac:dyDescent="0.15">
      <c r="A172" s="150" t="s">
        <v>6902</v>
      </c>
      <c r="B172" s="151" t="s">
        <v>140</v>
      </c>
      <c r="C172" s="151" t="s">
        <v>132</v>
      </c>
      <c r="D172" s="152" t="s">
        <v>130</v>
      </c>
      <c r="E172" s="153" t="s">
        <v>146</v>
      </c>
      <c r="F172" s="67"/>
    </row>
    <row r="173" spans="1:6" s="55" customFormat="1" ht="15" x14ac:dyDescent="0.15">
      <c r="A173" s="157">
        <v>44651</v>
      </c>
      <c r="B173" s="155">
        <v>5</v>
      </c>
      <c r="C173" s="155">
        <v>6</v>
      </c>
      <c r="D173" s="155"/>
      <c r="E173" s="156"/>
      <c r="F173" s="67"/>
    </row>
    <row r="174" spans="1:6" s="55" customFormat="1" ht="15" x14ac:dyDescent="0.15">
      <c r="A174" s="157">
        <v>44286</v>
      </c>
      <c r="B174" s="155"/>
      <c r="C174" s="155"/>
      <c r="D174" s="155"/>
      <c r="E174" s="156"/>
      <c r="F174" s="67"/>
    </row>
    <row r="175" spans="1:6" s="55" customFormat="1" ht="15" x14ac:dyDescent="0.15">
      <c r="A175" s="157">
        <v>43921</v>
      </c>
      <c r="B175" s="155">
        <v>6</v>
      </c>
      <c r="C175" s="155">
        <v>9</v>
      </c>
      <c r="D175" s="155">
        <v>0</v>
      </c>
      <c r="E175" s="156">
        <v>0</v>
      </c>
      <c r="F175" s="67"/>
    </row>
    <row r="176" spans="1:6" s="55" customFormat="1" ht="15" x14ac:dyDescent="0.15">
      <c r="A176" s="157">
        <v>43555</v>
      </c>
      <c r="B176" s="155">
        <v>5</v>
      </c>
      <c r="C176" s="155">
        <v>10</v>
      </c>
      <c r="D176" s="155">
        <v>1</v>
      </c>
      <c r="E176" s="156">
        <v>0</v>
      </c>
      <c r="F176" s="67"/>
    </row>
    <row r="177" spans="1:8" s="55" customFormat="1" ht="15" x14ac:dyDescent="0.15">
      <c r="A177" s="157">
        <v>43190</v>
      </c>
      <c r="B177" s="155">
        <v>5</v>
      </c>
      <c r="C177" s="155">
        <v>8</v>
      </c>
      <c r="D177" s="155">
        <v>1</v>
      </c>
      <c r="E177" s="156">
        <v>0</v>
      </c>
      <c r="F177" s="67"/>
    </row>
    <row r="178" spans="1:8" s="55" customFormat="1" ht="15" x14ac:dyDescent="0.15">
      <c r="A178" s="157">
        <v>42825</v>
      </c>
      <c r="B178" s="155">
        <v>5</v>
      </c>
      <c r="C178" s="155">
        <v>6</v>
      </c>
      <c r="D178" s="155">
        <v>0</v>
      </c>
      <c r="E178" s="156">
        <v>0</v>
      </c>
      <c r="F178" s="67"/>
    </row>
    <row r="179" spans="1:8" s="55" customFormat="1" ht="15" x14ac:dyDescent="0.15">
      <c r="A179" s="157">
        <v>42460</v>
      </c>
      <c r="B179" s="155">
        <v>3</v>
      </c>
      <c r="C179" s="155">
        <v>3</v>
      </c>
      <c r="D179" s="155">
        <v>0</v>
      </c>
      <c r="E179" s="156">
        <v>0</v>
      </c>
      <c r="F179" s="67"/>
    </row>
    <row r="180" spans="1:8" s="55" customFormat="1" ht="15" x14ac:dyDescent="0.15">
      <c r="A180" s="157">
        <v>42094</v>
      </c>
      <c r="B180" s="155">
        <v>2</v>
      </c>
      <c r="C180" s="155">
        <v>2</v>
      </c>
      <c r="D180" s="155">
        <v>0</v>
      </c>
      <c r="E180" s="156">
        <v>0</v>
      </c>
      <c r="F180" s="67"/>
    </row>
    <row r="181" spans="1:8" s="55" customFormat="1" ht="15" x14ac:dyDescent="0.15">
      <c r="A181" s="157">
        <v>41729</v>
      </c>
      <c r="B181" s="155"/>
      <c r="C181" s="155"/>
      <c r="D181" s="155"/>
      <c r="E181" s="156"/>
      <c r="F181" s="67"/>
    </row>
    <row r="182" spans="1:8" s="55" customFormat="1" ht="15" x14ac:dyDescent="0.15">
      <c r="A182" s="157">
        <v>41364</v>
      </c>
      <c r="B182" s="155"/>
      <c r="C182" s="155"/>
      <c r="D182" s="155"/>
      <c r="E182" s="156"/>
      <c r="F182" s="67"/>
    </row>
    <row r="183" spans="1:8" s="55" customFormat="1" ht="15" x14ac:dyDescent="0.15">
      <c r="A183" s="158">
        <v>40999</v>
      </c>
      <c r="B183" s="159"/>
      <c r="C183" s="159"/>
      <c r="D183" s="159"/>
      <c r="E183" s="160"/>
      <c r="F183" s="67"/>
    </row>
    <row r="184" spans="1:8" s="55" customFormat="1" ht="15" x14ac:dyDescent="0.15">
      <c r="A184" s="161"/>
      <c r="B184" s="161"/>
      <c r="C184" s="161"/>
      <c r="D184" s="161"/>
      <c r="E184" s="161"/>
      <c r="F184" s="161"/>
    </row>
    <row r="185" spans="1:8" s="55" customFormat="1" ht="13" x14ac:dyDescent="0.15">
      <c r="A185" s="67"/>
      <c r="B185" s="67"/>
      <c r="C185" s="67"/>
      <c r="D185" s="67"/>
      <c r="E185" s="67"/>
      <c r="F185" s="67"/>
      <c r="G185" s="67"/>
      <c r="H185" s="67"/>
    </row>
    <row r="186" spans="1:8" s="55" customFormat="1" ht="13" x14ac:dyDescent="0.15">
      <c r="A186" s="67"/>
      <c r="B186" s="67"/>
      <c r="C186" s="67"/>
      <c r="D186" s="67"/>
      <c r="E186" s="67"/>
      <c r="F186" s="67"/>
      <c r="G186" s="67"/>
      <c r="H186" s="67"/>
    </row>
    <row r="187" spans="1:8" s="55" customFormat="1" ht="13" x14ac:dyDescent="0.15">
      <c r="A187" s="67"/>
      <c r="B187" s="67"/>
      <c r="C187" s="67"/>
      <c r="D187" s="67"/>
      <c r="E187" s="67"/>
      <c r="F187" s="67"/>
      <c r="G187" s="67"/>
      <c r="H187" s="67"/>
    </row>
    <row r="188" spans="1:8" s="55" customFormat="1" ht="13" x14ac:dyDescent="0.15">
      <c r="A188" s="67"/>
      <c r="B188" s="67"/>
      <c r="C188" s="67"/>
      <c r="D188" s="67"/>
      <c r="E188" s="67"/>
      <c r="F188" s="67"/>
      <c r="G188" s="67"/>
      <c r="H188" s="67"/>
    </row>
    <row r="189" spans="1:8" s="55" customFormat="1" ht="13" x14ac:dyDescent="0.15">
      <c r="A189" s="67"/>
      <c r="B189" s="67"/>
      <c r="C189" s="67"/>
      <c r="D189" s="67"/>
      <c r="E189" s="67"/>
      <c r="F189" s="67"/>
      <c r="G189" s="67"/>
      <c r="H189" s="67"/>
    </row>
    <row r="190" spans="1:8" s="55" customFormat="1" ht="13" x14ac:dyDescent="0.15">
      <c r="A190" s="67"/>
      <c r="B190" s="67"/>
      <c r="C190" s="67"/>
      <c r="D190" s="67"/>
      <c r="E190" s="67"/>
      <c r="F190" s="67"/>
      <c r="G190" s="67"/>
      <c r="H190" s="67"/>
    </row>
    <row r="191" spans="1:8" s="55" customFormat="1" ht="13" x14ac:dyDescent="0.15">
      <c r="A191" s="67"/>
      <c r="B191" s="67"/>
      <c r="C191" s="67"/>
      <c r="D191" s="67"/>
      <c r="E191" s="67"/>
      <c r="F191" s="67"/>
      <c r="G191" s="67"/>
      <c r="H191" s="67"/>
    </row>
    <row r="192" spans="1:8" s="55" customFormat="1" ht="13" x14ac:dyDescent="0.15">
      <c r="A192" s="67"/>
      <c r="B192" s="67"/>
      <c r="C192" s="67"/>
      <c r="D192" s="67"/>
      <c r="E192" s="67"/>
      <c r="F192" s="67"/>
      <c r="G192" s="67"/>
      <c r="H192" s="67"/>
    </row>
  </sheetData>
  <pageMargins left="0.7" right="0.7" top="0.75" bottom="0.75" header="0.3" footer="0.3"/>
  <pageSetup paperSize="0" scale="40" fitToWidth="0" fitToHeight="0" orientation="portrait" horizontalDpi="0" verticalDpi="0" copies="0"/>
  <tableParts count="13">
    <tablePart r:id="rId1"/>
    <tablePart r:id="rId2"/>
    <tablePart r:id="rId3"/>
    <tablePart r:id="rId4"/>
    <tablePart r:id="rId5"/>
    <tablePart r:id="rId6"/>
    <tablePart r:id="rId7"/>
    <tablePart r:id="rId8"/>
    <tablePart r:id="rId9"/>
    <tablePart r:id="rId10"/>
    <tablePart r:id="rId11"/>
    <tablePart r:id="rId12"/>
    <tablePart r:id="rId13"/>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530FAE-E211-A644-8870-2E6CA0B32F44}">
  <dimension ref="A1:AA92"/>
  <sheetViews>
    <sheetView workbookViewId="0"/>
  </sheetViews>
  <sheetFormatPr baseColWidth="10" defaultColWidth="13.19921875" defaultRowHeight="13.25" x14ac:dyDescent="0.15"/>
  <cols>
    <col min="1" max="1" width="27.796875" style="67" customWidth="1"/>
    <col min="2" max="2" width="21.3984375" style="67" customWidth="1"/>
    <col min="3" max="3" width="19.59765625" style="67" customWidth="1"/>
    <col min="4" max="4" width="52.59765625" style="67" customWidth="1"/>
    <col min="5" max="5" width="20.59765625" style="67" customWidth="1"/>
    <col min="6" max="7" width="17.19921875" style="67" customWidth="1"/>
    <col min="8" max="10" width="13.19921875" style="67" customWidth="1"/>
    <col min="11" max="11" width="28.19921875" style="67" bestFit="1" customWidth="1"/>
    <col min="12" max="12" width="11.59765625" style="67" bestFit="1" customWidth="1"/>
    <col min="13" max="13" width="16.59765625" style="67" bestFit="1" customWidth="1"/>
    <col min="14" max="14" width="9.19921875" style="67" bestFit="1" customWidth="1"/>
    <col min="15" max="15" width="13.796875" style="67" bestFit="1" customWidth="1"/>
    <col min="16" max="16" width="15.19921875" style="67" bestFit="1" customWidth="1"/>
    <col min="17" max="22" width="13.19921875" style="67" customWidth="1"/>
    <col min="23" max="23" width="23.19921875" style="67" customWidth="1"/>
    <col min="24" max="24" width="13.19921875" style="67" customWidth="1"/>
    <col min="25" max="16384" width="13.19921875" style="67"/>
  </cols>
  <sheetData>
    <row r="1" spans="1:27" s="55" customFormat="1" ht="19" x14ac:dyDescent="0.2">
      <c r="A1" s="147" t="s">
        <v>6915</v>
      </c>
      <c r="B1" s="67"/>
      <c r="C1" s="67"/>
      <c r="D1" s="67"/>
      <c r="E1" s="67"/>
      <c r="F1" s="67"/>
      <c r="G1" s="67"/>
      <c r="H1" s="67"/>
      <c r="I1" s="67"/>
      <c r="J1" s="67"/>
      <c r="K1" s="67"/>
      <c r="L1" s="67"/>
      <c r="M1" s="67"/>
      <c r="N1" s="67"/>
      <c r="O1" s="67"/>
      <c r="P1" s="67"/>
      <c r="Q1" s="67"/>
      <c r="R1" s="67"/>
      <c r="S1" s="67"/>
      <c r="T1" s="67"/>
      <c r="U1" s="67"/>
      <c r="V1" s="67"/>
      <c r="W1" s="67"/>
      <c r="X1" s="67"/>
      <c r="Y1" s="67"/>
      <c r="Z1" s="67"/>
      <c r="AA1" s="164"/>
    </row>
    <row r="2" spans="1:27" s="55" customFormat="1" ht="34.25" customHeight="1" x14ac:dyDescent="0.15">
      <c r="A2" s="148" t="s">
        <v>6916</v>
      </c>
      <c r="B2" s="67"/>
      <c r="C2" s="165"/>
      <c r="D2" s="67"/>
      <c r="E2" s="67"/>
      <c r="F2" s="67"/>
      <c r="G2" s="67"/>
      <c r="H2" s="67"/>
      <c r="I2" s="67"/>
      <c r="J2" s="67"/>
      <c r="K2" s="67"/>
      <c r="L2" s="67"/>
      <c r="M2" s="67"/>
      <c r="N2" s="67"/>
      <c r="O2" s="67"/>
      <c r="P2" s="67"/>
      <c r="Q2" s="67"/>
      <c r="R2" s="67"/>
      <c r="S2" s="67"/>
      <c r="T2" s="67"/>
      <c r="U2" s="67"/>
      <c r="V2" s="67"/>
      <c r="W2" s="67"/>
      <c r="X2" s="67"/>
      <c r="Y2" s="67"/>
      <c r="Z2" s="67"/>
      <c r="AA2" s="67"/>
    </row>
    <row r="3" spans="1:27" s="55" customFormat="1" ht="15" x14ac:dyDescent="0.15">
      <c r="A3" s="92" t="s">
        <v>6917</v>
      </c>
      <c r="B3" s="161"/>
      <c r="C3" s="166"/>
      <c r="D3" s="161"/>
      <c r="E3" s="161"/>
      <c r="F3" s="67"/>
      <c r="G3" s="67"/>
      <c r="H3" s="67"/>
      <c r="I3" s="67"/>
      <c r="J3" s="67"/>
      <c r="K3" s="67"/>
      <c r="L3" s="67"/>
      <c r="M3" s="67"/>
      <c r="N3" s="67"/>
      <c r="O3" s="67"/>
      <c r="P3" s="67"/>
      <c r="Q3" s="67"/>
      <c r="R3" s="67"/>
      <c r="S3" s="67"/>
      <c r="T3" s="67"/>
      <c r="U3" s="67"/>
      <c r="V3" s="67"/>
      <c r="W3" s="67"/>
      <c r="X3" s="67"/>
      <c r="Y3" s="67"/>
      <c r="Z3" s="67"/>
      <c r="AA3" s="67"/>
    </row>
    <row r="4" spans="1:27" s="55" customFormat="1" ht="16" x14ac:dyDescent="0.15">
      <c r="A4" s="167" t="s">
        <v>6918</v>
      </c>
      <c r="B4" s="151" t="s">
        <v>140</v>
      </c>
      <c r="C4" s="151" t="s">
        <v>132</v>
      </c>
      <c r="D4" s="152" t="s">
        <v>130</v>
      </c>
      <c r="E4" s="153" t="s">
        <v>146</v>
      </c>
      <c r="F4" s="67"/>
      <c r="G4" s="67"/>
      <c r="H4" s="67"/>
      <c r="I4" s="67"/>
      <c r="J4" s="67"/>
      <c r="K4" s="67"/>
      <c r="L4" s="67"/>
      <c r="M4" s="67"/>
      <c r="N4" s="67"/>
      <c r="O4" s="67"/>
      <c r="P4" s="67"/>
      <c r="Q4" s="67"/>
      <c r="R4" s="67"/>
      <c r="S4" s="67"/>
      <c r="T4" s="67"/>
      <c r="U4" s="67"/>
      <c r="V4" s="67"/>
      <c r="W4" s="67"/>
      <c r="X4" s="67"/>
      <c r="Y4" s="67"/>
      <c r="Z4" s="67"/>
      <c r="AA4" s="67"/>
    </row>
    <row r="5" spans="1:27" s="55" customFormat="1" ht="15" x14ac:dyDescent="0.15">
      <c r="A5" s="168" t="s">
        <v>6919</v>
      </c>
      <c r="B5" s="169">
        <v>282</v>
      </c>
      <c r="C5" s="169">
        <v>1611</v>
      </c>
      <c r="D5" s="169">
        <v>536</v>
      </c>
      <c r="E5" s="170">
        <v>217</v>
      </c>
      <c r="F5" s="149"/>
      <c r="G5" s="67"/>
      <c r="H5" s="67"/>
      <c r="I5" s="67"/>
      <c r="J5" s="67"/>
      <c r="K5" s="67"/>
      <c r="L5" s="67"/>
      <c r="M5" s="67"/>
      <c r="N5" s="67"/>
      <c r="O5" s="67"/>
      <c r="P5" s="67"/>
      <c r="Q5" s="67"/>
      <c r="R5" s="67"/>
      <c r="S5" s="67"/>
      <c r="T5" s="67"/>
      <c r="U5" s="67"/>
      <c r="V5" s="67"/>
      <c r="W5" s="67"/>
      <c r="X5" s="67"/>
      <c r="Y5" s="67"/>
      <c r="Z5" s="67"/>
      <c r="AA5" s="67"/>
    </row>
    <row r="6" spans="1:27" s="55" customFormat="1" ht="15" x14ac:dyDescent="0.15">
      <c r="A6" s="168" t="s">
        <v>6920</v>
      </c>
      <c r="B6" s="169">
        <v>0</v>
      </c>
      <c r="C6" s="169">
        <v>0</v>
      </c>
      <c r="D6" s="169">
        <v>0</v>
      </c>
      <c r="E6" s="170">
        <v>0</v>
      </c>
      <c r="F6" s="67"/>
      <c r="G6" s="67"/>
      <c r="H6" s="67"/>
      <c r="I6" s="67"/>
      <c r="J6" s="67"/>
      <c r="K6" s="67"/>
      <c r="L6" s="67"/>
      <c r="M6" s="67"/>
      <c r="N6" s="67"/>
      <c r="O6" s="67"/>
      <c r="P6" s="67"/>
      <c r="Q6" s="67"/>
      <c r="R6" s="67"/>
      <c r="S6" s="67"/>
      <c r="T6" s="67"/>
      <c r="U6" s="67"/>
      <c r="V6" s="67"/>
      <c r="W6" s="67"/>
      <c r="X6" s="67"/>
      <c r="Y6" s="67"/>
      <c r="Z6" s="67"/>
      <c r="AA6" s="67"/>
    </row>
    <row r="7" spans="1:27" s="55" customFormat="1" ht="15" x14ac:dyDescent="0.15">
      <c r="A7" s="168" t="s">
        <v>6921</v>
      </c>
      <c r="B7" s="169">
        <v>359</v>
      </c>
      <c r="C7" s="169">
        <v>1428</v>
      </c>
      <c r="D7" s="169">
        <v>416</v>
      </c>
      <c r="E7" s="170">
        <v>152</v>
      </c>
      <c r="F7" s="67"/>
      <c r="G7" s="67"/>
      <c r="H7" s="67"/>
      <c r="I7" s="67"/>
      <c r="J7" s="67"/>
      <c r="K7" s="67"/>
      <c r="L7" s="67"/>
      <c r="M7" s="67"/>
      <c r="N7" s="67"/>
      <c r="O7" s="67"/>
      <c r="P7" s="67"/>
      <c r="Q7" s="67"/>
      <c r="R7" s="67"/>
      <c r="S7" s="67"/>
      <c r="T7" s="67"/>
      <c r="U7" s="67"/>
      <c r="V7" s="67"/>
      <c r="W7" s="67"/>
      <c r="X7" s="67"/>
      <c r="Y7" s="67"/>
      <c r="Z7" s="67"/>
      <c r="AA7" s="67"/>
    </row>
    <row r="8" spans="1:27" s="55" customFormat="1" ht="15" x14ac:dyDescent="0.15">
      <c r="A8" s="168" t="s">
        <v>6922</v>
      </c>
      <c r="B8" s="169">
        <v>407</v>
      </c>
      <c r="C8" s="169">
        <v>1350</v>
      </c>
      <c r="D8" s="169">
        <v>415</v>
      </c>
      <c r="E8" s="170">
        <v>132</v>
      </c>
      <c r="F8" s="67"/>
      <c r="G8" s="67"/>
      <c r="H8" s="67"/>
      <c r="I8" s="67"/>
      <c r="J8" s="67"/>
      <c r="K8" s="67"/>
      <c r="L8" s="67"/>
      <c r="M8" s="67"/>
      <c r="N8" s="67"/>
      <c r="O8" s="67"/>
      <c r="P8" s="67"/>
      <c r="Q8" s="67"/>
      <c r="R8" s="67"/>
      <c r="S8" s="67"/>
      <c r="T8" s="67"/>
      <c r="U8" s="67"/>
      <c r="V8" s="67"/>
      <c r="W8" s="67"/>
      <c r="X8" s="67"/>
      <c r="Y8" s="67"/>
      <c r="Z8" s="67"/>
      <c r="AA8" s="67"/>
    </row>
    <row r="9" spans="1:27" s="55" customFormat="1" ht="15" x14ac:dyDescent="0.15">
      <c r="A9" s="168" t="s">
        <v>6923</v>
      </c>
      <c r="B9" s="169">
        <v>334</v>
      </c>
      <c r="C9" s="169">
        <v>1365</v>
      </c>
      <c r="D9" s="169">
        <v>369</v>
      </c>
      <c r="E9" s="170">
        <v>153</v>
      </c>
      <c r="F9" s="67"/>
      <c r="G9" s="67"/>
      <c r="H9" s="67"/>
      <c r="I9" s="67"/>
      <c r="J9" s="67"/>
      <c r="K9" s="67"/>
      <c r="L9" s="67"/>
      <c r="M9" s="67"/>
      <c r="N9" s="67"/>
      <c r="O9" s="67"/>
      <c r="P9" s="67"/>
      <c r="Q9" s="67"/>
      <c r="R9" s="67"/>
      <c r="S9" s="67"/>
      <c r="T9" s="67"/>
      <c r="U9" s="67"/>
      <c r="V9" s="67"/>
      <c r="W9" s="67"/>
      <c r="X9" s="67"/>
      <c r="Y9" s="67"/>
      <c r="Z9" s="67"/>
      <c r="AA9" s="67"/>
    </row>
    <row r="10" spans="1:27" s="55" customFormat="1" ht="15" x14ac:dyDescent="0.15">
      <c r="A10" s="168" t="s">
        <v>6924</v>
      </c>
      <c r="B10" s="169">
        <v>356</v>
      </c>
      <c r="C10" s="169">
        <v>1277</v>
      </c>
      <c r="D10" s="169">
        <v>353</v>
      </c>
      <c r="E10" s="170">
        <v>151</v>
      </c>
      <c r="F10" s="67"/>
      <c r="G10" s="67"/>
      <c r="H10" s="67"/>
      <c r="I10" s="67"/>
      <c r="J10" s="67"/>
      <c r="K10" s="67"/>
      <c r="L10" s="67"/>
      <c r="M10" s="67"/>
      <c r="N10" s="67"/>
      <c r="O10" s="67"/>
      <c r="P10" s="67"/>
      <c r="Q10" s="67"/>
      <c r="R10" s="67"/>
      <c r="S10" s="67"/>
      <c r="T10" s="67"/>
      <c r="U10" s="67"/>
      <c r="V10" s="67"/>
      <c r="W10" s="67"/>
      <c r="X10" s="67"/>
      <c r="Y10" s="67"/>
      <c r="Z10" s="67"/>
      <c r="AA10" s="67"/>
    </row>
    <row r="11" spans="1:27" s="55" customFormat="1" ht="15" x14ac:dyDescent="0.15">
      <c r="A11" s="168" t="s">
        <v>6925</v>
      </c>
      <c r="B11" s="169">
        <v>333</v>
      </c>
      <c r="C11" s="169">
        <v>1231</v>
      </c>
      <c r="D11" s="169">
        <v>410</v>
      </c>
      <c r="E11" s="170">
        <v>112</v>
      </c>
      <c r="F11" s="67"/>
      <c r="G11" s="67"/>
      <c r="H11" s="67"/>
      <c r="I11" s="67"/>
      <c r="J11" s="67"/>
      <c r="K11" s="67"/>
      <c r="L11" s="67"/>
      <c r="M11" s="67"/>
      <c r="N11" s="67"/>
      <c r="O11" s="67"/>
      <c r="P11" s="67"/>
      <c r="Q11" s="67"/>
      <c r="R11" s="67"/>
      <c r="S11" s="67"/>
      <c r="T11" s="67"/>
      <c r="U11" s="67"/>
      <c r="V11" s="67"/>
      <c r="W11" s="67"/>
      <c r="X11" s="67"/>
      <c r="Y11" s="67"/>
      <c r="Z11" s="67"/>
      <c r="AA11" s="67"/>
    </row>
    <row r="12" spans="1:27" s="55" customFormat="1" ht="15" x14ac:dyDescent="0.15">
      <c r="A12" s="168" t="s">
        <v>6926</v>
      </c>
      <c r="B12" s="169">
        <v>243</v>
      </c>
      <c r="C12" s="169">
        <v>1127</v>
      </c>
      <c r="D12" s="169">
        <v>568</v>
      </c>
      <c r="E12" s="170">
        <v>197</v>
      </c>
      <c r="F12" s="67"/>
      <c r="G12" s="67"/>
      <c r="H12" s="67"/>
      <c r="I12" s="67"/>
      <c r="J12" s="67"/>
      <c r="K12" s="67"/>
      <c r="L12" s="67"/>
      <c r="M12" s="67"/>
      <c r="N12" s="67"/>
      <c r="O12" s="67"/>
      <c r="P12" s="67"/>
      <c r="Q12" s="67"/>
      <c r="R12" s="67"/>
      <c r="S12" s="67"/>
      <c r="T12" s="67"/>
      <c r="U12" s="67"/>
      <c r="V12" s="67"/>
      <c r="W12" s="67"/>
      <c r="X12" s="67"/>
      <c r="Y12" s="67"/>
      <c r="Z12" s="67"/>
      <c r="AA12" s="67"/>
    </row>
    <row r="13" spans="1:27" s="55" customFormat="1" ht="15" x14ac:dyDescent="0.15">
      <c r="A13" s="168" t="s">
        <v>6927</v>
      </c>
      <c r="B13" s="169">
        <v>259</v>
      </c>
      <c r="C13" s="169">
        <v>1212</v>
      </c>
      <c r="D13" s="169">
        <v>545</v>
      </c>
      <c r="E13" s="170">
        <v>130</v>
      </c>
      <c r="F13" s="67"/>
      <c r="G13" s="67"/>
      <c r="H13" s="67"/>
      <c r="I13" s="67"/>
      <c r="J13" s="67"/>
      <c r="K13" s="67"/>
      <c r="L13" s="67"/>
      <c r="M13" s="67"/>
      <c r="N13" s="67"/>
      <c r="O13" s="67"/>
      <c r="P13" s="67"/>
      <c r="Q13" s="67"/>
      <c r="R13" s="67"/>
      <c r="S13" s="67"/>
      <c r="T13" s="67"/>
      <c r="U13" s="67"/>
      <c r="V13" s="67"/>
      <c r="W13" s="67"/>
      <c r="X13" s="67"/>
      <c r="Y13" s="67"/>
      <c r="Z13" s="67"/>
      <c r="AA13" s="67"/>
    </row>
    <row r="14" spans="1:27" s="55" customFormat="1" ht="15" x14ac:dyDescent="0.15">
      <c r="A14" s="168" t="s">
        <v>6928</v>
      </c>
      <c r="B14" s="169">
        <v>312</v>
      </c>
      <c r="C14" s="169">
        <v>1116</v>
      </c>
      <c r="D14" s="169">
        <v>472</v>
      </c>
      <c r="E14" s="170">
        <v>108</v>
      </c>
      <c r="F14" s="67"/>
      <c r="G14" s="67"/>
      <c r="H14" s="67"/>
      <c r="I14" s="67"/>
      <c r="J14" s="67"/>
      <c r="K14" s="67"/>
      <c r="L14" s="67"/>
      <c r="M14" s="67"/>
      <c r="N14" s="67"/>
      <c r="O14" s="67"/>
      <c r="P14" s="67"/>
      <c r="Q14" s="67"/>
      <c r="R14" s="67"/>
      <c r="S14" s="67"/>
      <c r="T14" s="67"/>
      <c r="U14" s="67"/>
      <c r="V14" s="67"/>
      <c r="W14" s="67"/>
      <c r="X14" s="67"/>
      <c r="Y14" s="67"/>
      <c r="Z14" s="67"/>
      <c r="AA14" s="67"/>
    </row>
    <row r="15" spans="1:27" s="55" customFormat="1" ht="15" x14ac:dyDescent="0.15">
      <c r="A15" s="168" t="s">
        <v>6929</v>
      </c>
      <c r="B15" s="169">
        <v>518</v>
      </c>
      <c r="C15" s="169">
        <v>1088</v>
      </c>
      <c r="D15" s="169">
        <v>346</v>
      </c>
      <c r="E15" s="170">
        <v>46</v>
      </c>
      <c r="F15" s="67"/>
      <c r="G15" s="67"/>
      <c r="H15" s="67"/>
      <c r="I15" s="67"/>
      <c r="J15" s="67"/>
      <c r="K15" s="67"/>
      <c r="L15" s="67"/>
      <c r="M15" s="67"/>
      <c r="N15" s="67"/>
      <c r="O15" s="67"/>
      <c r="P15" s="67"/>
      <c r="Q15" s="67"/>
      <c r="R15" s="67"/>
      <c r="S15" s="67"/>
      <c r="T15" s="67"/>
      <c r="U15" s="171"/>
      <c r="V15" s="67"/>
      <c r="W15" s="67"/>
      <c r="X15" s="67"/>
      <c r="Y15" s="67"/>
      <c r="Z15" s="67"/>
      <c r="AA15" s="67"/>
    </row>
    <row r="16" spans="1:27" s="55" customFormat="1" ht="15" x14ac:dyDescent="0.15">
      <c r="A16" s="168" t="s">
        <v>6930</v>
      </c>
      <c r="B16" s="169">
        <v>341</v>
      </c>
      <c r="C16" s="169">
        <v>1140</v>
      </c>
      <c r="D16" s="169">
        <v>443</v>
      </c>
      <c r="E16" s="170">
        <v>106</v>
      </c>
      <c r="F16" s="67"/>
      <c r="G16" s="67"/>
      <c r="H16" s="67"/>
      <c r="I16" s="67"/>
      <c r="J16" s="67"/>
      <c r="K16" s="67"/>
      <c r="L16" s="67"/>
      <c r="M16" s="67"/>
      <c r="N16" s="67"/>
      <c r="O16" s="67"/>
      <c r="P16" s="67"/>
      <c r="Q16" s="67"/>
      <c r="R16" s="67"/>
      <c r="S16" s="67"/>
      <c r="T16" s="67"/>
      <c r="U16" s="67"/>
      <c r="V16" s="67"/>
      <c r="W16" s="67"/>
      <c r="X16" s="67"/>
      <c r="Y16" s="67"/>
      <c r="Z16" s="67"/>
      <c r="AA16" s="67"/>
    </row>
    <row r="17" spans="1:27" s="55" customFormat="1" ht="15" x14ac:dyDescent="0.15">
      <c r="A17" s="168" t="s">
        <v>6931</v>
      </c>
      <c r="B17" s="169">
        <v>212</v>
      </c>
      <c r="C17" s="169">
        <v>1060</v>
      </c>
      <c r="D17" s="169">
        <v>541</v>
      </c>
      <c r="E17" s="170">
        <v>174</v>
      </c>
      <c r="F17" s="67"/>
      <c r="G17" s="67"/>
      <c r="H17" s="67"/>
      <c r="I17" s="67"/>
      <c r="J17" s="67"/>
      <c r="K17" s="67"/>
      <c r="L17" s="67"/>
      <c r="M17" s="67"/>
      <c r="N17" s="67"/>
      <c r="O17" s="67"/>
      <c r="P17" s="67"/>
      <c r="Q17" s="67"/>
      <c r="R17" s="67"/>
      <c r="S17" s="67"/>
      <c r="T17" s="67"/>
      <c r="U17" s="67"/>
      <c r="V17" s="67"/>
      <c r="W17" s="67"/>
      <c r="X17" s="67"/>
      <c r="Y17" s="67"/>
      <c r="Z17" s="67"/>
      <c r="AA17" s="67"/>
    </row>
    <row r="18" spans="1:27" s="55" customFormat="1" ht="15" x14ac:dyDescent="0.15">
      <c r="A18" s="168" t="s">
        <v>6932</v>
      </c>
      <c r="B18" s="169">
        <v>156</v>
      </c>
      <c r="C18" s="169">
        <v>970</v>
      </c>
      <c r="D18" s="169">
        <v>628</v>
      </c>
      <c r="E18" s="170">
        <v>213</v>
      </c>
      <c r="F18" s="67"/>
      <c r="G18" s="67"/>
      <c r="H18" s="67"/>
      <c r="I18" s="67"/>
      <c r="J18" s="67"/>
      <c r="K18" s="67"/>
      <c r="L18" s="67"/>
      <c r="M18" s="67"/>
      <c r="N18" s="67"/>
      <c r="O18" s="67"/>
      <c r="P18" s="67"/>
      <c r="Q18" s="67"/>
      <c r="R18" s="67"/>
      <c r="S18" s="67"/>
      <c r="T18" s="67"/>
      <c r="U18" s="67"/>
      <c r="V18" s="67"/>
      <c r="W18" s="67"/>
      <c r="X18" s="67"/>
      <c r="Y18" s="67"/>
      <c r="Z18" s="67"/>
      <c r="AA18" s="67"/>
    </row>
    <row r="19" spans="1:27" s="55" customFormat="1" ht="15" x14ac:dyDescent="0.15">
      <c r="A19" s="172" t="s">
        <v>6933</v>
      </c>
      <c r="B19" s="173">
        <v>158</v>
      </c>
      <c r="C19" s="173">
        <v>1031</v>
      </c>
      <c r="D19" s="173">
        <v>523</v>
      </c>
      <c r="E19" s="174">
        <v>223</v>
      </c>
      <c r="F19" s="67"/>
      <c r="G19" s="67"/>
      <c r="H19" s="67"/>
      <c r="I19" s="67"/>
      <c r="J19" s="67"/>
      <c r="K19" s="67"/>
      <c r="L19" s="67"/>
      <c r="M19" s="67"/>
      <c r="N19" s="67"/>
      <c r="O19" s="67"/>
      <c r="P19" s="67"/>
      <c r="Q19" s="67"/>
      <c r="R19" s="67"/>
      <c r="S19" s="67"/>
      <c r="T19" s="67"/>
      <c r="U19" s="67"/>
      <c r="V19" s="67"/>
      <c r="W19" s="67"/>
      <c r="X19" s="67"/>
      <c r="Y19" s="67"/>
      <c r="Z19" s="67"/>
      <c r="AA19" s="67"/>
    </row>
    <row r="20" spans="1:27" s="55" customFormat="1" ht="15" x14ac:dyDescent="0.15">
      <c r="A20" s="161"/>
      <c r="B20" s="161"/>
      <c r="C20" s="161"/>
      <c r="D20" s="162"/>
      <c r="E20" s="162"/>
      <c r="F20" s="175"/>
      <c r="G20" s="175"/>
      <c r="H20" s="67"/>
      <c r="I20" s="67"/>
      <c r="J20" s="67"/>
      <c r="K20" s="67"/>
      <c r="L20" s="67"/>
      <c r="M20" s="67"/>
      <c r="N20" s="67"/>
      <c r="O20" s="67"/>
      <c r="P20" s="67"/>
      <c r="Q20" s="67"/>
      <c r="R20" s="67"/>
      <c r="S20" s="67"/>
      <c r="T20" s="67"/>
      <c r="U20" s="67"/>
      <c r="V20" s="67"/>
      <c r="W20" s="67"/>
      <c r="X20" s="67"/>
      <c r="Y20" s="67"/>
      <c r="Z20" s="67"/>
      <c r="AA20" s="67"/>
    </row>
    <row r="21" spans="1:27" s="55" customFormat="1" ht="20" customHeight="1" x14ac:dyDescent="0.15">
      <c r="A21" s="92" t="s">
        <v>6934</v>
      </c>
      <c r="B21" s="161"/>
      <c r="C21" s="166"/>
      <c r="D21" s="161"/>
      <c r="E21" s="161"/>
      <c r="F21" s="67"/>
      <c r="G21" s="67"/>
      <c r="H21" s="67"/>
      <c r="I21" s="67"/>
      <c r="J21" s="67"/>
      <c r="K21" s="67"/>
      <c r="L21" s="67"/>
      <c r="M21" s="67"/>
      <c r="N21" s="67"/>
      <c r="O21" s="67"/>
      <c r="P21" s="67"/>
      <c r="Q21" s="67"/>
      <c r="R21" s="67"/>
      <c r="S21" s="67"/>
      <c r="T21" s="67"/>
      <c r="U21" s="67"/>
      <c r="V21" s="67"/>
      <c r="W21" s="67"/>
      <c r="X21" s="67"/>
      <c r="Y21" s="67"/>
      <c r="Z21" s="67"/>
      <c r="AA21" s="67"/>
    </row>
    <row r="22" spans="1:27" s="55" customFormat="1" ht="16" x14ac:dyDescent="0.15">
      <c r="A22" s="167" t="s">
        <v>6918</v>
      </c>
      <c r="B22" s="151" t="s">
        <v>140</v>
      </c>
      <c r="C22" s="151" t="s">
        <v>132</v>
      </c>
      <c r="D22" s="152" t="s">
        <v>130</v>
      </c>
      <c r="E22" s="153" t="s">
        <v>146</v>
      </c>
      <c r="F22" s="67"/>
      <c r="G22" s="67"/>
      <c r="H22" s="67"/>
      <c r="I22" s="67"/>
      <c r="J22" s="67"/>
      <c r="K22" s="67"/>
      <c r="L22" s="67"/>
      <c r="M22" s="67"/>
      <c r="N22" s="67"/>
      <c r="O22" s="67"/>
      <c r="P22" s="67"/>
      <c r="Q22" s="67"/>
      <c r="R22" s="67"/>
      <c r="S22" s="67"/>
      <c r="T22" s="67"/>
      <c r="U22" s="67"/>
      <c r="V22" s="67"/>
      <c r="W22" s="67"/>
      <c r="X22" s="67"/>
      <c r="Y22" s="67"/>
      <c r="Z22" s="67"/>
      <c r="AA22" s="67"/>
    </row>
    <row r="23" spans="1:27" s="55" customFormat="1" ht="15" x14ac:dyDescent="0.15">
      <c r="A23" s="168" t="s">
        <v>6919</v>
      </c>
      <c r="B23" s="169">
        <v>270</v>
      </c>
      <c r="C23" s="169">
        <v>1566</v>
      </c>
      <c r="D23" s="169">
        <v>522</v>
      </c>
      <c r="E23" s="170">
        <v>209</v>
      </c>
      <c r="F23" s="67"/>
      <c r="G23" s="149"/>
      <c r="H23" s="67"/>
      <c r="I23" s="67"/>
      <c r="J23" s="67"/>
      <c r="K23" s="67"/>
      <c r="L23" s="67"/>
      <c r="M23" s="67"/>
      <c r="N23" s="67"/>
      <c r="O23" s="67"/>
      <c r="P23" s="67"/>
      <c r="Q23" s="67"/>
      <c r="R23" s="67"/>
      <c r="S23" s="67"/>
      <c r="T23" s="67"/>
      <c r="U23" s="67"/>
      <c r="V23" s="67"/>
      <c r="W23" s="67"/>
      <c r="X23" s="67"/>
      <c r="Y23" s="67"/>
      <c r="Z23" s="67"/>
      <c r="AA23" s="67"/>
    </row>
    <row r="24" spans="1:27" s="55" customFormat="1" ht="15" x14ac:dyDescent="0.15">
      <c r="A24" s="168" t="s">
        <v>6920</v>
      </c>
      <c r="B24" s="169">
        <v>0</v>
      </c>
      <c r="C24" s="169">
        <v>0</v>
      </c>
      <c r="D24" s="169">
        <v>0</v>
      </c>
      <c r="E24" s="170">
        <v>0</v>
      </c>
      <c r="F24" s="67"/>
      <c r="G24" s="67"/>
      <c r="H24" s="67"/>
      <c r="I24" s="67"/>
      <c r="J24" s="67"/>
      <c r="K24" s="67"/>
      <c r="L24" s="67"/>
      <c r="M24" s="67"/>
      <c r="N24" s="67"/>
      <c r="O24" s="67"/>
      <c r="P24" s="67"/>
      <c r="Q24" s="67"/>
      <c r="R24" s="67"/>
      <c r="S24" s="67"/>
      <c r="T24" s="67"/>
      <c r="U24" s="67"/>
      <c r="V24" s="67"/>
      <c r="W24" s="67"/>
      <c r="X24" s="67"/>
      <c r="Y24" s="67"/>
      <c r="Z24" s="67"/>
      <c r="AA24" s="67"/>
    </row>
    <row r="25" spans="1:27" s="55" customFormat="1" ht="15" x14ac:dyDescent="0.15">
      <c r="A25" s="168" t="s">
        <v>6921</v>
      </c>
      <c r="B25" s="169">
        <v>347</v>
      </c>
      <c r="C25" s="169">
        <v>1379</v>
      </c>
      <c r="D25" s="169">
        <v>397</v>
      </c>
      <c r="E25" s="170">
        <v>143</v>
      </c>
      <c r="F25" s="67"/>
      <c r="G25" s="67"/>
      <c r="H25" s="67"/>
      <c r="I25" s="67"/>
      <c r="J25" s="67"/>
      <c r="K25" s="67"/>
      <c r="L25" s="67"/>
      <c r="M25" s="67"/>
      <c r="N25" s="67"/>
      <c r="O25" s="67"/>
      <c r="P25" s="67"/>
      <c r="Q25" s="67"/>
      <c r="R25" s="67"/>
      <c r="S25" s="67"/>
      <c r="T25" s="67"/>
      <c r="U25" s="67"/>
      <c r="V25" s="67"/>
      <c r="W25" s="67"/>
      <c r="X25" s="67"/>
      <c r="Y25" s="67"/>
      <c r="Z25" s="67"/>
      <c r="AA25" s="67"/>
    </row>
    <row r="26" spans="1:27" s="55" customFormat="1" ht="15" x14ac:dyDescent="0.15">
      <c r="A26" s="168" t="s">
        <v>6922</v>
      </c>
      <c r="B26" s="169">
        <v>389</v>
      </c>
      <c r="C26" s="169">
        <v>1311</v>
      </c>
      <c r="D26" s="169">
        <v>392</v>
      </c>
      <c r="E26" s="170">
        <v>120</v>
      </c>
      <c r="F26" s="67"/>
      <c r="G26" s="67"/>
      <c r="H26" s="67"/>
      <c r="I26" s="67"/>
      <c r="J26" s="67"/>
      <c r="K26" s="67"/>
      <c r="L26" s="67"/>
      <c r="M26" s="67"/>
      <c r="N26" s="67"/>
      <c r="O26" s="67"/>
      <c r="P26" s="67"/>
      <c r="Q26" s="67"/>
      <c r="R26" s="67"/>
      <c r="S26" s="67"/>
      <c r="T26" s="67"/>
      <c r="U26" s="67"/>
      <c r="V26" s="67"/>
      <c r="W26" s="67"/>
      <c r="X26" s="67"/>
      <c r="Y26" s="67"/>
      <c r="Z26" s="67"/>
      <c r="AA26" s="67"/>
    </row>
    <row r="27" spans="1:27" s="55" customFormat="1" ht="15" x14ac:dyDescent="0.15">
      <c r="A27" s="168" t="s">
        <v>6923</v>
      </c>
      <c r="B27" s="169">
        <v>316</v>
      </c>
      <c r="C27" s="169">
        <v>1314</v>
      </c>
      <c r="D27" s="169">
        <v>353</v>
      </c>
      <c r="E27" s="170">
        <v>142</v>
      </c>
      <c r="F27" s="67"/>
      <c r="G27" s="67"/>
      <c r="H27" s="67"/>
      <c r="I27" s="67"/>
      <c r="J27" s="67"/>
      <c r="K27" s="67"/>
      <c r="L27" s="67"/>
      <c r="M27" s="67"/>
      <c r="N27" s="67"/>
      <c r="O27" s="67"/>
      <c r="P27" s="67"/>
      <c r="Q27" s="67"/>
      <c r="R27" s="67"/>
      <c r="S27" s="67"/>
      <c r="T27" s="67"/>
      <c r="U27" s="67"/>
      <c r="V27" s="67"/>
      <c r="W27" s="67"/>
      <c r="X27" s="67"/>
      <c r="Y27" s="67"/>
      <c r="Z27" s="67"/>
      <c r="AA27" s="67"/>
    </row>
    <row r="28" spans="1:27" s="55" customFormat="1" ht="15" x14ac:dyDescent="0.15">
      <c r="A28" s="168" t="s">
        <v>6924</v>
      </c>
      <c r="B28" s="169">
        <v>334</v>
      </c>
      <c r="C28" s="169">
        <v>1225</v>
      </c>
      <c r="D28" s="169">
        <v>333</v>
      </c>
      <c r="E28" s="170">
        <v>136</v>
      </c>
      <c r="F28" s="67"/>
      <c r="G28" s="67"/>
      <c r="H28" s="67"/>
      <c r="I28" s="67"/>
      <c r="J28" s="67"/>
      <c r="K28" s="67"/>
      <c r="L28" s="67"/>
      <c r="M28" s="67"/>
      <c r="N28" s="67"/>
      <c r="O28" s="67"/>
      <c r="P28" s="67"/>
      <c r="Q28" s="67"/>
      <c r="R28" s="67"/>
      <c r="S28" s="67"/>
      <c r="T28" s="67"/>
      <c r="U28" s="67"/>
      <c r="V28" s="67"/>
      <c r="W28" s="67"/>
      <c r="X28" s="67"/>
      <c r="Y28" s="67"/>
      <c r="Z28" s="67"/>
      <c r="AA28" s="67"/>
    </row>
    <row r="29" spans="1:27" s="55" customFormat="1" ht="15" x14ac:dyDescent="0.15">
      <c r="A29" s="168" t="s">
        <v>6925</v>
      </c>
      <c r="B29" s="169">
        <v>312</v>
      </c>
      <c r="C29" s="169">
        <v>1182</v>
      </c>
      <c r="D29" s="169">
        <v>382</v>
      </c>
      <c r="E29" s="170">
        <v>99</v>
      </c>
      <c r="F29" s="67"/>
      <c r="G29" s="67"/>
      <c r="H29" s="67"/>
      <c r="I29" s="67"/>
      <c r="J29" s="67"/>
      <c r="K29" s="67"/>
      <c r="L29" s="67"/>
      <c r="M29" s="67"/>
      <c r="N29" s="67"/>
      <c r="O29" s="67"/>
      <c r="P29" s="67"/>
      <c r="Q29" s="67"/>
      <c r="R29" s="67"/>
      <c r="S29" s="67"/>
      <c r="T29" s="67"/>
      <c r="U29" s="67"/>
      <c r="V29" s="67"/>
      <c r="W29" s="67"/>
      <c r="X29" s="67"/>
      <c r="Y29" s="67"/>
      <c r="Z29" s="67"/>
      <c r="AA29" s="67"/>
    </row>
    <row r="30" spans="1:27" s="55" customFormat="1" ht="15" x14ac:dyDescent="0.15">
      <c r="A30" s="168" t="s">
        <v>6926</v>
      </c>
      <c r="B30" s="169">
        <v>232</v>
      </c>
      <c r="C30" s="169">
        <v>1069</v>
      </c>
      <c r="D30" s="169">
        <v>538</v>
      </c>
      <c r="E30" s="170">
        <v>187</v>
      </c>
      <c r="F30" s="67"/>
      <c r="G30" s="67"/>
      <c r="H30" s="67"/>
      <c r="I30" s="67"/>
      <c r="J30" s="67"/>
      <c r="K30" s="67"/>
      <c r="L30" s="67"/>
      <c r="M30" s="67"/>
      <c r="N30" s="67"/>
      <c r="O30" s="67"/>
      <c r="P30" s="67"/>
      <c r="Q30" s="67"/>
      <c r="R30" s="67"/>
      <c r="S30" s="67"/>
      <c r="T30" s="67"/>
      <c r="U30" s="67"/>
      <c r="V30" s="67"/>
      <c r="W30" s="67"/>
      <c r="X30" s="67"/>
      <c r="Y30" s="67"/>
      <c r="Z30" s="67"/>
      <c r="AA30" s="67"/>
    </row>
    <row r="31" spans="1:27" s="55" customFormat="1" ht="15" x14ac:dyDescent="0.15">
      <c r="A31" s="168" t="s">
        <v>6927</v>
      </c>
      <c r="B31" s="169">
        <v>239</v>
      </c>
      <c r="C31" s="169">
        <v>1154</v>
      </c>
      <c r="D31" s="169">
        <v>511</v>
      </c>
      <c r="E31" s="170">
        <v>118</v>
      </c>
      <c r="F31" s="67"/>
      <c r="G31" s="67"/>
      <c r="H31" s="67"/>
      <c r="I31" s="67"/>
      <c r="J31" s="67"/>
      <c r="K31" s="67"/>
      <c r="L31" s="67"/>
      <c r="M31" s="67"/>
      <c r="N31" s="67"/>
      <c r="O31" s="67"/>
      <c r="P31" s="67"/>
      <c r="Q31" s="67"/>
      <c r="R31" s="67"/>
      <c r="S31" s="67"/>
      <c r="T31" s="67"/>
      <c r="U31" s="67"/>
      <c r="V31" s="67"/>
      <c r="W31" s="67"/>
      <c r="X31" s="67"/>
      <c r="Y31" s="67"/>
      <c r="Z31" s="67"/>
      <c r="AA31" s="67"/>
    </row>
    <row r="32" spans="1:27" s="55" customFormat="1" ht="15" x14ac:dyDescent="0.15">
      <c r="A32" s="168" t="s">
        <v>6928</v>
      </c>
      <c r="B32" s="169">
        <v>294</v>
      </c>
      <c r="C32" s="169">
        <v>1059</v>
      </c>
      <c r="D32" s="169">
        <v>450</v>
      </c>
      <c r="E32" s="170">
        <v>102</v>
      </c>
      <c r="F32" s="67"/>
      <c r="G32" s="67"/>
      <c r="H32" s="67"/>
      <c r="I32" s="67"/>
      <c r="J32" s="67"/>
      <c r="K32" s="67"/>
      <c r="L32" s="67"/>
      <c r="M32" s="67"/>
      <c r="N32" s="67"/>
      <c r="O32" s="67"/>
      <c r="P32" s="67"/>
      <c r="Q32" s="67"/>
      <c r="R32" s="67"/>
      <c r="S32" s="67"/>
      <c r="T32" s="67"/>
      <c r="U32" s="67"/>
      <c r="V32" s="67"/>
      <c r="W32" s="67"/>
      <c r="X32" s="67"/>
      <c r="Y32" s="67"/>
      <c r="Z32" s="67"/>
      <c r="AA32" s="67"/>
    </row>
    <row r="33" spans="1:27" s="55" customFormat="1" ht="15" x14ac:dyDescent="0.15">
      <c r="A33" s="168" t="s">
        <v>6929</v>
      </c>
      <c r="B33" s="169">
        <v>485</v>
      </c>
      <c r="C33" s="169">
        <v>1023</v>
      </c>
      <c r="D33" s="169">
        <v>337</v>
      </c>
      <c r="E33" s="170">
        <v>45</v>
      </c>
      <c r="F33" s="67"/>
      <c r="G33" s="67"/>
      <c r="H33" s="67"/>
      <c r="I33" s="67"/>
      <c r="J33" s="67"/>
      <c r="K33" s="67"/>
      <c r="L33" s="67"/>
      <c r="M33" s="67"/>
      <c r="N33" s="67"/>
      <c r="O33" s="67"/>
      <c r="P33" s="67"/>
      <c r="Q33" s="67"/>
      <c r="R33" s="67"/>
      <c r="S33" s="67"/>
      <c r="T33" s="67"/>
      <c r="U33" s="67"/>
      <c r="V33" s="67"/>
      <c r="W33" s="67"/>
      <c r="X33" s="67"/>
      <c r="Y33" s="67"/>
      <c r="Z33" s="67"/>
      <c r="AA33" s="67"/>
    </row>
    <row r="34" spans="1:27" s="55" customFormat="1" ht="15" x14ac:dyDescent="0.15">
      <c r="A34" s="168" t="s">
        <v>6930</v>
      </c>
      <c r="B34" s="169">
        <v>337</v>
      </c>
      <c r="C34" s="169">
        <v>1115</v>
      </c>
      <c r="D34" s="169">
        <v>433</v>
      </c>
      <c r="E34" s="170">
        <v>105</v>
      </c>
      <c r="F34" s="67"/>
      <c r="G34" s="67"/>
      <c r="H34" s="67"/>
      <c r="I34" s="67"/>
      <c r="J34" s="67"/>
      <c r="K34" s="67"/>
      <c r="L34" s="67"/>
      <c r="M34" s="67"/>
      <c r="N34" s="67"/>
      <c r="O34" s="67"/>
      <c r="P34" s="67"/>
      <c r="Q34" s="67"/>
      <c r="R34" s="67"/>
      <c r="S34" s="67"/>
      <c r="T34" s="67"/>
      <c r="U34" s="67"/>
      <c r="V34" s="67"/>
      <c r="W34" s="67"/>
      <c r="X34" s="67"/>
      <c r="Y34" s="67"/>
      <c r="Z34" s="67"/>
      <c r="AA34" s="67"/>
    </row>
    <row r="35" spans="1:27" s="55" customFormat="1" ht="15" x14ac:dyDescent="0.15">
      <c r="A35" s="168" t="s">
        <v>6931</v>
      </c>
      <c r="B35" s="169">
        <v>212</v>
      </c>
      <c r="C35" s="169">
        <v>1040</v>
      </c>
      <c r="D35" s="169">
        <v>531</v>
      </c>
      <c r="E35" s="170">
        <v>168</v>
      </c>
      <c r="F35" s="67"/>
      <c r="G35" s="67"/>
      <c r="H35" s="67"/>
      <c r="I35" s="67"/>
      <c r="J35" s="67"/>
      <c r="K35" s="67"/>
      <c r="L35" s="67"/>
      <c r="M35" s="67"/>
      <c r="N35" s="67"/>
      <c r="O35" s="67"/>
      <c r="P35" s="67"/>
      <c r="Q35" s="67"/>
      <c r="R35" s="67"/>
      <c r="S35" s="67"/>
      <c r="T35" s="67"/>
      <c r="U35" s="67"/>
      <c r="V35" s="67"/>
      <c r="W35" s="67"/>
      <c r="X35" s="67"/>
      <c r="Y35" s="67"/>
      <c r="Z35" s="67"/>
      <c r="AA35" s="67"/>
    </row>
    <row r="36" spans="1:27" s="55" customFormat="1" ht="15" x14ac:dyDescent="0.15">
      <c r="A36" s="168" t="s">
        <v>6932</v>
      </c>
      <c r="B36" s="169">
        <v>155</v>
      </c>
      <c r="C36" s="169">
        <v>955</v>
      </c>
      <c r="D36" s="169">
        <v>619</v>
      </c>
      <c r="E36" s="170">
        <v>211</v>
      </c>
      <c r="F36" s="67"/>
      <c r="G36" s="67"/>
      <c r="H36" s="67"/>
      <c r="I36" s="67"/>
      <c r="J36" s="67"/>
      <c r="K36" s="67"/>
      <c r="L36" s="67"/>
      <c r="M36" s="67"/>
      <c r="N36" s="67"/>
      <c r="O36" s="67"/>
      <c r="P36" s="67"/>
      <c r="Q36" s="67"/>
      <c r="R36" s="67"/>
      <c r="S36" s="67"/>
      <c r="T36" s="67"/>
      <c r="U36" s="67"/>
      <c r="V36" s="67"/>
      <c r="W36" s="67"/>
      <c r="X36" s="67"/>
      <c r="Y36" s="67"/>
      <c r="Z36" s="67"/>
      <c r="AA36" s="67"/>
    </row>
    <row r="37" spans="1:27" s="55" customFormat="1" ht="15" x14ac:dyDescent="0.15">
      <c r="A37" s="172" t="s">
        <v>6933</v>
      </c>
      <c r="B37" s="173">
        <v>157</v>
      </c>
      <c r="C37" s="173">
        <v>1015</v>
      </c>
      <c r="D37" s="173">
        <v>519</v>
      </c>
      <c r="E37" s="174">
        <v>222</v>
      </c>
      <c r="F37" s="67"/>
      <c r="G37" s="67"/>
      <c r="H37" s="67"/>
      <c r="I37" s="67"/>
      <c r="J37" s="67"/>
      <c r="K37" s="67"/>
      <c r="L37" s="67"/>
      <c r="M37" s="67"/>
      <c r="N37" s="67"/>
      <c r="O37" s="67"/>
      <c r="P37" s="67"/>
      <c r="Q37" s="67"/>
      <c r="R37" s="67"/>
      <c r="S37" s="67"/>
      <c r="T37" s="67"/>
      <c r="U37" s="67"/>
      <c r="V37" s="67"/>
      <c r="W37" s="67"/>
      <c r="X37" s="67"/>
      <c r="Y37" s="67"/>
      <c r="Z37" s="67"/>
      <c r="AA37" s="67"/>
    </row>
    <row r="38" spans="1:27" s="55" customFormat="1" ht="15" x14ac:dyDescent="0.15">
      <c r="A38" s="161"/>
      <c r="B38" s="161"/>
      <c r="C38" s="166"/>
      <c r="D38" s="161"/>
      <c r="E38" s="161"/>
      <c r="F38" s="67"/>
      <c r="G38" s="67"/>
      <c r="H38" s="67"/>
      <c r="I38" s="67"/>
      <c r="J38" s="67"/>
      <c r="K38" s="67"/>
      <c r="L38" s="67"/>
      <c r="M38" s="67"/>
      <c r="N38" s="67"/>
      <c r="O38" s="67"/>
      <c r="P38" s="67"/>
      <c r="Q38" s="67"/>
      <c r="R38" s="67"/>
      <c r="S38" s="67"/>
      <c r="T38" s="67"/>
      <c r="U38" s="67"/>
      <c r="V38" s="67"/>
      <c r="W38" s="67"/>
      <c r="X38" s="67"/>
      <c r="Y38" s="67"/>
      <c r="Z38" s="67"/>
      <c r="AA38" s="67"/>
    </row>
    <row r="39" spans="1:27" s="55" customFormat="1" ht="15" x14ac:dyDescent="0.15">
      <c r="A39" s="92" t="s">
        <v>6935</v>
      </c>
      <c r="B39" s="161"/>
      <c r="C39" s="166"/>
      <c r="D39" s="161"/>
      <c r="E39" s="161"/>
      <c r="F39" s="67"/>
      <c r="G39" s="67"/>
      <c r="H39" s="67"/>
      <c r="I39" s="67"/>
      <c r="J39" s="67"/>
      <c r="K39" s="67"/>
      <c r="L39" s="67"/>
      <c r="M39" s="67"/>
      <c r="N39" s="67"/>
      <c r="O39" s="67"/>
      <c r="P39" s="67"/>
      <c r="Q39" s="67"/>
      <c r="R39" s="67"/>
      <c r="S39" s="67"/>
      <c r="T39" s="67"/>
      <c r="U39" s="67"/>
      <c r="V39" s="67"/>
      <c r="W39" s="67"/>
      <c r="X39" s="67"/>
      <c r="Y39" s="67"/>
      <c r="Z39" s="67"/>
      <c r="AA39" s="67"/>
    </row>
    <row r="40" spans="1:27" s="55" customFormat="1" ht="16" x14ac:dyDescent="0.15">
      <c r="A40" s="167" t="s">
        <v>6918</v>
      </c>
      <c r="B40" s="151" t="s">
        <v>140</v>
      </c>
      <c r="C40" s="151" t="s">
        <v>132</v>
      </c>
      <c r="D40" s="152" t="s">
        <v>130</v>
      </c>
      <c r="E40" s="153" t="s">
        <v>146</v>
      </c>
      <c r="F40" s="67"/>
      <c r="G40" s="67"/>
      <c r="H40" s="67"/>
      <c r="I40" s="67"/>
      <c r="J40" s="67"/>
      <c r="K40" s="67"/>
      <c r="L40" s="67"/>
      <c r="M40" s="67"/>
      <c r="N40" s="67"/>
      <c r="O40" s="67"/>
      <c r="P40" s="67"/>
      <c r="Q40" s="67"/>
      <c r="R40" s="67"/>
      <c r="S40" s="67"/>
      <c r="T40" s="67"/>
      <c r="U40" s="67"/>
      <c r="V40" s="67"/>
      <c r="W40" s="67"/>
      <c r="X40" s="67"/>
      <c r="Y40" s="67"/>
      <c r="Z40" s="67"/>
      <c r="AA40" s="67"/>
    </row>
    <row r="41" spans="1:27" s="55" customFormat="1" ht="15" x14ac:dyDescent="0.15">
      <c r="A41" s="168" t="s">
        <v>6919</v>
      </c>
      <c r="B41" s="169">
        <v>8</v>
      </c>
      <c r="C41" s="169">
        <v>40</v>
      </c>
      <c r="D41" s="169">
        <v>12</v>
      </c>
      <c r="E41" s="170">
        <v>7</v>
      </c>
      <c r="F41" s="67"/>
      <c r="G41" s="67"/>
      <c r="H41" s="67"/>
      <c r="I41" s="67"/>
      <c r="J41" s="67"/>
      <c r="K41" s="67"/>
      <c r="L41" s="67"/>
      <c r="M41" s="67"/>
      <c r="N41" s="67"/>
      <c r="O41" s="67"/>
      <c r="P41" s="67"/>
      <c r="Q41" s="67"/>
      <c r="R41" s="67"/>
      <c r="S41" s="67"/>
      <c r="T41" s="67"/>
      <c r="U41" s="67"/>
      <c r="V41" s="67"/>
      <c r="W41" s="67"/>
      <c r="X41" s="67"/>
      <c r="Y41" s="67"/>
      <c r="Z41" s="67"/>
      <c r="AA41" s="67"/>
    </row>
    <row r="42" spans="1:27" s="55" customFormat="1" ht="27.75" customHeight="1" x14ac:dyDescent="0.15">
      <c r="A42" s="168" t="s">
        <v>6920</v>
      </c>
      <c r="B42" s="169">
        <v>0</v>
      </c>
      <c r="C42" s="169">
        <v>0</v>
      </c>
      <c r="D42" s="169">
        <v>0</v>
      </c>
      <c r="E42" s="170">
        <v>0</v>
      </c>
      <c r="F42" s="67"/>
      <c r="G42" s="67"/>
      <c r="H42" s="67"/>
      <c r="I42" s="67"/>
      <c r="J42" s="67"/>
      <c r="K42" s="67"/>
      <c r="L42" s="67"/>
      <c r="M42" s="67"/>
      <c r="N42" s="67"/>
      <c r="O42" s="67"/>
      <c r="P42" s="67"/>
      <c r="Q42" s="67"/>
      <c r="R42" s="67"/>
      <c r="S42" s="67"/>
      <c r="T42" s="67"/>
      <c r="U42" s="67"/>
      <c r="V42" s="67"/>
      <c r="W42" s="67"/>
      <c r="X42" s="67"/>
      <c r="Y42" s="67"/>
      <c r="Z42" s="67"/>
      <c r="AA42" s="67"/>
    </row>
    <row r="43" spans="1:27" s="55" customFormat="1" ht="15" x14ac:dyDescent="0.15">
      <c r="A43" s="168" t="s">
        <v>6921</v>
      </c>
      <c r="B43" s="169">
        <v>10</v>
      </c>
      <c r="C43" s="169">
        <v>42</v>
      </c>
      <c r="D43" s="169">
        <v>15</v>
      </c>
      <c r="E43" s="170">
        <v>5</v>
      </c>
      <c r="F43" s="67"/>
      <c r="G43" s="67"/>
      <c r="H43" s="67"/>
      <c r="I43" s="67"/>
      <c r="J43" s="67"/>
      <c r="K43" s="67"/>
      <c r="L43" s="67"/>
      <c r="M43" s="67"/>
      <c r="N43" s="67"/>
      <c r="O43" s="67"/>
      <c r="P43" s="67"/>
      <c r="Q43" s="67"/>
      <c r="R43" s="67"/>
      <c r="S43" s="67"/>
      <c r="T43" s="67"/>
      <c r="U43" s="67"/>
      <c r="V43" s="67"/>
      <c r="W43" s="67"/>
      <c r="X43" s="67"/>
      <c r="Y43" s="67"/>
      <c r="Z43" s="67"/>
      <c r="AA43" s="67"/>
    </row>
    <row r="44" spans="1:27" s="55" customFormat="1" ht="15" x14ac:dyDescent="0.15">
      <c r="A44" s="168" t="s">
        <v>6922</v>
      </c>
      <c r="B44" s="169">
        <v>16</v>
      </c>
      <c r="C44" s="169">
        <v>32</v>
      </c>
      <c r="D44" s="169">
        <v>19</v>
      </c>
      <c r="E44" s="170">
        <v>12</v>
      </c>
      <c r="F44" s="67"/>
      <c r="G44" s="67"/>
      <c r="H44" s="67"/>
      <c r="I44" s="67"/>
      <c r="J44" s="67"/>
      <c r="K44" s="67"/>
      <c r="L44" s="67"/>
      <c r="M44" s="67"/>
      <c r="N44" s="67"/>
      <c r="O44" s="67"/>
      <c r="P44" s="67"/>
      <c r="Q44" s="67"/>
      <c r="R44" s="67"/>
      <c r="S44" s="67"/>
      <c r="T44" s="67"/>
      <c r="U44" s="67"/>
      <c r="V44" s="67"/>
      <c r="W44" s="67"/>
      <c r="X44" s="67"/>
      <c r="Y44" s="67"/>
      <c r="Z44" s="67"/>
      <c r="AA44" s="67"/>
    </row>
    <row r="45" spans="1:27" s="55" customFormat="1" ht="15" x14ac:dyDescent="0.15">
      <c r="A45" s="168" t="s">
        <v>6923</v>
      </c>
      <c r="B45" s="169">
        <v>14</v>
      </c>
      <c r="C45" s="169">
        <v>43</v>
      </c>
      <c r="D45" s="169">
        <v>15</v>
      </c>
      <c r="E45" s="170">
        <v>11</v>
      </c>
      <c r="F45" s="67"/>
      <c r="G45" s="67"/>
      <c r="H45" s="67"/>
      <c r="I45" s="67"/>
      <c r="J45" s="67"/>
      <c r="K45" s="67"/>
      <c r="L45" s="67"/>
      <c r="M45" s="67"/>
      <c r="N45" s="67"/>
      <c r="O45" s="67"/>
      <c r="P45" s="67"/>
      <c r="Q45" s="67"/>
      <c r="R45" s="67"/>
      <c r="S45" s="67"/>
      <c r="T45" s="67"/>
      <c r="U45" s="67"/>
      <c r="V45" s="67"/>
      <c r="W45" s="67"/>
      <c r="X45" s="67"/>
      <c r="Y45" s="67"/>
      <c r="Z45" s="67"/>
      <c r="AA45" s="67"/>
    </row>
    <row r="46" spans="1:27" s="55" customFormat="1" ht="15" x14ac:dyDescent="0.15">
      <c r="A46" s="168" t="s">
        <v>6924</v>
      </c>
      <c r="B46" s="169">
        <v>19</v>
      </c>
      <c r="C46" s="169">
        <v>44</v>
      </c>
      <c r="D46" s="169">
        <v>18</v>
      </c>
      <c r="E46" s="170">
        <v>13</v>
      </c>
      <c r="F46" s="67"/>
      <c r="G46" s="67"/>
      <c r="H46" s="67"/>
      <c r="I46" s="67"/>
      <c r="J46" s="67"/>
      <c r="K46" s="67"/>
      <c r="L46" s="67"/>
      <c r="M46" s="67"/>
      <c r="N46" s="67"/>
      <c r="O46" s="67"/>
      <c r="P46" s="67"/>
      <c r="Q46" s="67"/>
      <c r="R46" s="67"/>
      <c r="S46" s="67"/>
      <c r="T46" s="67"/>
      <c r="U46" s="67"/>
      <c r="V46" s="67"/>
      <c r="W46" s="67"/>
      <c r="X46" s="67"/>
      <c r="Y46" s="67"/>
      <c r="Z46" s="67"/>
      <c r="AA46" s="67"/>
    </row>
    <row r="47" spans="1:27" s="55" customFormat="1" ht="15" x14ac:dyDescent="0.15">
      <c r="A47" s="168" t="s">
        <v>6925</v>
      </c>
      <c r="B47" s="169">
        <v>18</v>
      </c>
      <c r="C47" s="169">
        <v>37</v>
      </c>
      <c r="D47" s="169">
        <v>28</v>
      </c>
      <c r="E47" s="170">
        <v>13</v>
      </c>
      <c r="F47" s="67"/>
      <c r="G47" s="67"/>
      <c r="H47" s="67"/>
      <c r="I47" s="67"/>
      <c r="J47" s="67"/>
      <c r="K47" s="67"/>
      <c r="L47" s="67"/>
      <c r="M47" s="67"/>
      <c r="N47" s="67"/>
      <c r="O47" s="67"/>
      <c r="P47" s="67"/>
      <c r="Q47" s="67"/>
      <c r="R47" s="67"/>
      <c r="S47" s="67"/>
      <c r="T47" s="67"/>
      <c r="U47" s="67"/>
      <c r="V47" s="67"/>
      <c r="W47" s="67"/>
      <c r="X47" s="67"/>
      <c r="Y47" s="67"/>
      <c r="Z47" s="67"/>
      <c r="AA47" s="67"/>
    </row>
    <row r="48" spans="1:27" s="55" customFormat="1" ht="15" x14ac:dyDescent="0.15">
      <c r="A48" s="168" t="s">
        <v>6926</v>
      </c>
      <c r="B48" s="169">
        <v>10</v>
      </c>
      <c r="C48" s="169">
        <v>46</v>
      </c>
      <c r="D48" s="169">
        <v>26</v>
      </c>
      <c r="E48" s="170">
        <v>10</v>
      </c>
      <c r="F48" s="67"/>
      <c r="G48" s="67"/>
      <c r="H48" s="67"/>
      <c r="I48" s="67"/>
      <c r="J48" s="67"/>
      <c r="K48" s="67"/>
      <c r="L48" s="67"/>
      <c r="M48" s="67"/>
      <c r="N48" s="67"/>
      <c r="O48" s="67"/>
      <c r="P48" s="67"/>
      <c r="Q48" s="67"/>
      <c r="R48" s="67"/>
      <c r="S48" s="67"/>
      <c r="T48" s="67"/>
      <c r="U48" s="67"/>
      <c r="V48" s="67"/>
      <c r="W48" s="67"/>
      <c r="X48" s="67"/>
      <c r="Y48" s="67"/>
      <c r="Z48" s="67"/>
      <c r="AA48" s="67"/>
    </row>
    <row r="49" spans="1:27" s="55" customFormat="1" ht="15" x14ac:dyDescent="0.15">
      <c r="A49" s="168" t="s">
        <v>6927</v>
      </c>
      <c r="B49" s="169">
        <v>18</v>
      </c>
      <c r="C49" s="169">
        <v>44</v>
      </c>
      <c r="D49" s="169">
        <v>30</v>
      </c>
      <c r="E49" s="170">
        <v>9</v>
      </c>
      <c r="F49" s="67"/>
      <c r="G49" s="67"/>
      <c r="H49" s="67"/>
      <c r="I49" s="67"/>
      <c r="J49" s="67"/>
      <c r="K49" s="67"/>
      <c r="L49" s="67"/>
      <c r="M49" s="67"/>
      <c r="N49" s="67"/>
      <c r="O49" s="67"/>
      <c r="P49" s="67"/>
      <c r="Q49" s="67"/>
      <c r="R49" s="67"/>
      <c r="S49" s="67"/>
      <c r="T49" s="67"/>
      <c r="U49" s="67"/>
      <c r="V49" s="67"/>
      <c r="W49" s="67"/>
      <c r="X49" s="67"/>
      <c r="Y49" s="67"/>
      <c r="Z49" s="67"/>
      <c r="AA49" s="67"/>
    </row>
    <row r="50" spans="1:27" s="55" customFormat="1" ht="15" x14ac:dyDescent="0.15">
      <c r="A50" s="168" t="s">
        <v>6928</v>
      </c>
      <c r="B50" s="169">
        <v>16</v>
      </c>
      <c r="C50" s="169">
        <v>46</v>
      </c>
      <c r="D50" s="169">
        <v>16</v>
      </c>
      <c r="E50" s="170">
        <v>6</v>
      </c>
      <c r="F50" s="67"/>
      <c r="G50" s="67"/>
      <c r="H50" s="67"/>
      <c r="I50" s="67"/>
      <c r="J50" s="67"/>
      <c r="K50" s="67"/>
      <c r="L50" s="67"/>
      <c r="M50" s="67"/>
      <c r="N50" s="67"/>
      <c r="O50" s="67"/>
      <c r="P50" s="67"/>
      <c r="Q50" s="67"/>
      <c r="R50" s="67"/>
      <c r="S50" s="67"/>
      <c r="T50" s="67"/>
      <c r="U50" s="67"/>
      <c r="V50" s="67"/>
      <c r="W50" s="67"/>
      <c r="X50" s="67"/>
      <c r="Y50" s="67"/>
      <c r="Z50" s="67"/>
      <c r="AA50" s="67"/>
    </row>
    <row r="51" spans="1:27" s="55" customFormat="1" ht="15" x14ac:dyDescent="0.15">
      <c r="A51" s="168" t="s">
        <v>6929</v>
      </c>
      <c r="B51" s="169">
        <v>31</v>
      </c>
      <c r="C51" s="169">
        <v>52</v>
      </c>
      <c r="D51" s="169">
        <v>5</v>
      </c>
      <c r="E51" s="170">
        <v>1</v>
      </c>
      <c r="F51" s="67"/>
      <c r="G51" s="67"/>
      <c r="H51" s="67"/>
      <c r="I51" s="67"/>
      <c r="J51" s="67"/>
      <c r="K51" s="67"/>
      <c r="L51" s="67"/>
      <c r="M51" s="67"/>
      <c r="N51" s="67"/>
      <c r="O51" s="67"/>
      <c r="P51" s="67"/>
      <c r="Q51" s="67"/>
      <c r="R51" s="67"/>
      <c r="S51" s="67"/>
      <c r="T51" s="67"/>
      <c r="U51" s="67"/>
      <c r="V51" s="67"/>
      <c r="W51" s="67"/>
      <c r="X51" s="67"/>
      <c r="Y51" s="67"/>
      <c r="Z51" s="67"/>
      <c r="AA51" s="67"/>
    </row>
    <row r="52" spans="1:27" s="55" customFormat="1" ht="15" x14ac:dyDescent="0.15">
      <c r="A52" s="168" t="s">
        <v>6930</v>
      </c>
      <c r="B52" s="169">
        <v>2</v>
      </c>
      <c r="C52" s="169">
        <v>13</v>
      </c>
      <c r="D52" s="169">
        <v>8</v>
      </c>
      <c r="E52" s="170">
        <v>1</v>
      </c>
      <c r="F52" s="67"/>
      <c r="G52" s="67"/>
      <c r="H52" s="67"/>
      <c r="I52" s="67"/>
      <c r="J52" s="67"/>
      <c r="K52" s="67"/>
      <c r="L52" s="67"/>
      <c r="M52" s="67"/>
      <c r="N52" s="67"/>
      <c r="O52" s="67"/>
      <c r="P52" s="67"/>
      <c r="Q52" s="67"/>
      <c r="R52" s="67"/>
      <c r="S52" s="67"/>
      <c r="T52" s="67"/>
      <c r="U52" s="67"/>
      <c r="V52" s="67"/>
      <c r="W52" s="67"/>
      <c r="X52" s="67"/>
      <c r="Y52" s="67"/>
      <c r="Z52" s="67"/>
      <c r="AA52" s="67"/>
    </row>
    <row r="53" spans="1:27" s="55" customFormat="1" ht="15" x14ac:dyDescent="0.15">
      <c r="A53" s="168" t="s">
        <v>6931</v>
      </c>
      <c r="B53" s="169">
        <v>0</v>
      </c>
      <c r="C53" s="169">
        <v>8</v>
      </c>
      <c r="D53" s="169">
        <v>6</v>
      </c>
      <c r="E53" s="170">
        <v>5</v>
      </c>
      <c r="F53" s="67"/>
      <c r="G53" s="67"/>
      <c r="H53" s="67"/>
      <c r="I53" s="67"/>
      <c r="J53" s="67"/>
      <c r="K53" s="67"/>
      <c r="L53" s="67"/>
      <c r="M53" s="67"/>
      <c r="N53" s="67"/>
      <c r="O53" s="67"/>
      <c r="P53" s="67"/>
      <c r="Q53" s="67"/>
      <c r="R53" s="67"/>
      <c r="S53" s="67"/>
      <c r="T53" s="67"/>
      <c r="U53" s="67"/>
      <c r="V53" s="67"/>
      <c r="W53" s="67"/>
      <c r="X53" s="67"/>
      <c r="Y53" s="67"/>
      <c r="Z53" s="67"/>
      <c r="AA53" s="67"/>
    </row>
    <row r="54" spans="1:27" s="55" customFormat="1" ht="15" x14ac:dyDescent="0.15">
      <c r="A54" s="168" t="s">
        <v>6932</v>
      </c>
      <c r="B54" s="169">
        <v>0</v>
      </c>
      <c r="C54" s="169">
        <v>4</v>
      </c>
      <c r="D54" s="169">
        <v>4</v>
      </c>
      <c r="E54" s="170">
        <v>1</v>
      </c>
      <c r="F54" s="67"/>
      <c r="G54" s="67"/>
      <c r="H54" s="67"/>
      <c r="I54" s="67"/>
      <c r="J54" s="67"/>
      <c r="K54" s="67"/>
      <c r="L54" s="67"/>
      <c r="M54" s="67"/>
      <c r="N54" s="67"/>
      <c r="O54" s="67"/>
      <c r="P54" s="67"/>
      <c r="Q54" s="67"/>
      <c r="R54" s="67"/>
      <c r="S54" s="67"/>
      <c r="T54" s="67"/>
      <c r="U54" s="67"/>
      <c r="V54" s="67"/>
      <c r="W54" s="67"/>
      <c r="X54" s="67"/>
      <c r="Y54" s="67"/>
      <c r="Z54" s="67"/>
      <c r="AA54" s="67"/>
    </row>
    <row r="55" spans="1:27" s="55" customFormat="1" ht="15" x14ac:dyDescent="0.15">
      <c r="A55" s="172" t="s">
        <v>6933</v>
      </c>
      <c r="B55" s="173">
        <v>0</v>
      </c>
      <c r="C55" s="173">
        <v>2</v>
      </c>
      <c r="D55" s="173">
        <v>0</v>
      </c>
      <c r="E55" s="174">
        <v>0</v>
      </c>
      <c r="F55" s="67"/>
      <c r="G55" s="67"/>
      <c r="H55" s="67"/>
      <c r="I55" s="67"/>
      <c r="J55" s="67"/>
      <c r="K55" s="67"/>
      <c r="L55" s="67"/>
      <c r="M55" s="67"/>
      <c r="N55" s="67"/>
      <c r="O55" s="67"/>
      <c r="P55" s="67"/>
      <c r="Q55" s="67"/>
      <c r="R55" s="67"/>
      <c r="S55" s="67"/>
      <c r="T55" s="67"/>
      <c r="U55" s="67"/>
      <c r="V55" s="67"/>
      <c r="W55" s="67"/>
      <c r="X55" s="67"/>
      <c r="Y55" s="67"/>
      <c r="Z55" s="67"/>
      <c r="AA55" s="67"/>
    </row>
    <row r="56" spans="1:27" s="55" customFormat="1" ht="15" x14ac:dyDescent="0.15">
      <c r="A56" s="161"/>
      <c r="B56" s="161"/>
      <c r="C56" s="166"/>
      <c r="D56" s="161"/>
      <c r="E56" s="161"/>
      <c r="F56" s="67"/>
      <c r="G56" s="67"/>
      <c r="H56" s="67"/>
      <c r="I56" s="67"/>
      <c r="J56" s="67"/>
      <c r="K56" s="67"/>
      <c r="L56" s="67"/>
      <c r="M56" s="67"/>
      <c r="N56" s="67"/>
      <c r="O56" s="67"/>
      <c r="P56" s="67"/>
      <c r="Q56" s="67"/>
      <c r="R56" s="67"/>
      <c r="S56" s="67"/>
      <c r="T56" s="67"/>
      <c r="U56" s="67"/>
      <c r="V56" s="67"/>
      <c r="W56" s="67"/>
      <c r="X56" s="67"/>
      <c r="Y56" s="67"/>
      <c r="Z56" s="67"/>
      <c r="AA56" s="67"/>
    </row>
    <row r="57" spans="1:27" s="55" customFormat="1" ht="15" x14ac:dyDescent="0.15">
      <c r="A57" s="92" t="s">
        <v>6936</v>
      </c>
      <c r="B57" s="161"/>
      <c r="C57" s="166"/>
      <c r="D57" s="161"/>
      <c r="E57" s="161"/>
      <c r="F57" s="67"/>
      <c r="G57" s="67"/>
      <c r="H57" s="67"/>
      <c r="I57" s="67"/>
      <c r="J57" s="67"/>
      <c r="K57" s="67"/>
      <c r="L57" s="67"/>
      <c r="M57" s="67"/>
      <c r="N57" s="67"/>
      <c r="O57" s="67"/>
      <c r="P57" s="67"/>
      <c r="Q57" s="67"/>
      <c r="R57" s="67"/>
      <c r="S57" s="67"/>
      <c r="T57" s="67"/>
      <c r="U57" s="67"/>
      <c r="V57" s="67"/>
      <c r="W57" s="67"/>
      <c r="X57" s="67"/>
      <c r="Y57" s="67"/>
      <c r="Z57" s="67"/>
      <c r="AA57" s="67"/>
    </row>
    <row r="58" spans="1:27" s="55" customFormat="1" ht="16" x14ac:dyDescent="0.15">
      <c r="A58" s="167" t="s">
        <v>6918</v>
      </c>
      <c r="B58" s="151" t="s">
        <v>140</v>
      </c>
      <c r="C58" s="151" t="s">
        <v>132</v>
      </c>
      <c r="D58" s="152" t="s">
        <v>130</v>
      </c>
      <c r="E58" s="153" t="s">
        <v>146</v>
      </c>
      <c r="F58" s="67"/>
      <c r="G58" s="67"/>
      <c r="H58" s="67"/>
      <c r="I58" s="67"/>
      <c r="J58" s="67"/>
      <c r="K58" s="67"/>
      <c r="L58" s="67"/>
      <c r="M58" s="67"/>
      <c r="N58" s="67"/>
      <c r="O58" s="67"/>
      <c r="P58" s="67"/>
      <c r="Q58" s="67"/>
      <c r="R58" s="67"/>
      <c r="S58" s="67"/>
      <c r="T58" s="67"/>
      <c r="U58" s="67"/>
      <c r="V58" s="67"/>
      <c r="W58" s="67"/>
      <c r="X58" s="67"/>
      <c r="Y58" s="67"/>
      <c r="Z58" s="67"/>
      <c r="AA58" s="67"/>
    </row>
    <row r="59" spans="1:27" s="55" customFormat="1" ht="15" x14ac:dyDescent="0.15">
      <c r="A59" s="168" t="s">
        <v>6919</v>
      </c>
      <c r="B59" s="169">
        <v>4</v>
      </c>
      <c r="C59" s="169">
        <v>5</v>
      </c>
      <c r="D59" s="169">
        <v>2</v>
      </c>
      <c r="E59" s="170">
        <v>1</v>
      </c>
      <c r="F59" s="67"/>
      <c r="G59" s="67"/>
      <c r="H59" s="67"/>
      <c r="I59" s="67"/>
      <c r="J59" s="67"/>
      <c r="K59" s="67"/>
      <c r="L59" s="67"/>
      <c r="M59" s="67"/>
      <c r="N59" s="67"/>
      <c r="O59" s="67"/>
      <c r="P59" s="67"/>
      <c r="Q59" s="67"/>
      <c r="R59" s="67"/>
      <c r="S59" s="67"/>
      <c r="T59" s="67"/>
      <c r="U59" s="67"/>
      <c r="V59" s="67"/>
      <c r="W59" s="67"/>
      <c r="X59" s="67"/>
      <c r="Y59" s="67"/>
      <c r="Z59" s="67"/>
      <c r="AA59" s="67"/>
    </row>
    <row r="60" spans="1:27" s="55" customFormat="1" ht="15" x14ac:dyDescent="0.15">
      <c r="A60" s="168" t="s">
        <v>6920</v>
      </c>
      <c r="B60" s="169">
        <v>0</v>
      </c>
      <c r="C60" s="169">
        <v>0</v>
      </c>
      <c r="D60" s="169">
        <v>0</v>
      </c>
      <c r="E60" s="170">
        <v>0</v>
      </c>
      <c r="F60" s="67"/>
      <c r="G60" s="67"/>
      <c r="H60" s="67"/>
      <c r="I60" s="67"/>
      <c r="J60" s="67"/>
      <c r="K60" s="67"/>
      <c r="L60" s="67"/>
      <c r="M60" s="67"/>
      <c r="N60" s="67"/>
      <c r="O60" s="67"/>
      <c r="P60" s="67"/>
      <c r="Q60" s="67"/>
      <c r="R60" s="67"/>
      <c r="S60" s="67"/>
      <c r="T60" s="67"/>
      <c r="U60" s="67"/>
      <c r="V60" s="67"/>
      <c r="W60" s="67"/>
      <c r="X60" s="67"/>
      <c r="Y60" s="67"/>
      <c r="Z60" s="67"/>
      <c r="AA60" s="67"/>
    </row>
    <row r="61" spans="1:27" s="55" customFormat="1" ht="15" x14ac:dyDescent="0.15">
      <c r="A61" s="168" t="s">
        <v>6921</v>
      </c>
      <c r="B61" s="169">
        <v>2</v>
      </c>
      <c r="C61" s="169">
        <v>7</v>
      </c>
      <c r="D61" s="169">
        <v>4</v>
      </c>
      <c r="E61" s="170">
        <v>4</v>
      </c>
      <c r="F61" s="67"/>
      <c r="G61" s="67"/>
      <c r="H61" s="67"/>
      <c r="I61" s="67"/>
      <c r="J61" s="67"/>
      <c r="K61" s="67"/>
      <c r="L61" s="67"/>
      <c r="M61" s="67"/>
      <c r="N61" s="67"/>
      <c r="O61" s="67"/>
      <c r="P61" s="67"/>
      <c r="Q61" s="67"/>
      <c r="R61" s="67"/>
      <c r="S61" s="67"/>
      <c r="T61" s="67"/>
      <c r="U61" s="67"/>
      <c r="V61" s="67"/>
      <c r="W61" s="67"/>
      <c r="X61" s="67"/>
      <c r="Y61" s="67"/>
      <c r="Z61" s="67"/>
      <c r="AA61" s="67"/>
    </row>
    <row r="62" spans="1:27" s="55" customFormat="1" ht="15" x14ac:dyDescent="0.15">
      <c r="A62" s="168" t="s">
        <v>6922</v>
      </c>
      <c r="B62" s="169">
        <v>2</v>
      </c>
      <c r="C62" s="169">
        <v>7</v>
      </c>
      <c r="D62" s="169">
        <v>4</v>
      </c>
      <c r="E62" s="170">
        <v>0</v>
      </c>
      <c r="F62" s="67"/>
      <c r="G62" s="67"/>
      <c r="H62" s="67"/>
      <c r="I62" s="67"/>
      <c r="J62" s="67"/>
      <c r="K62" s="67"/>
      <c r="L62" s="67"/>
      <c r="M62" s="67"/>
      <c r="N62" s="67"/>
      <c r="O62" s="67"/>
      <c r="P62" s="67"/>
      <c r="Q62" s="67"/>
      <c r="R62" s="67"/>
      <c r="S62" s="67"/>
      <c r="T62" s="67"/>
      <c r="U62" s="67"/>
      <c r="V62" s="67"/>
      <c r="W62" s="67"/>
      <c r="X62" s="67"/>
      <c r="Y62" s="67"/>
      <c r="Z62" s="67"/>
      <c r="AA62" s="67"/>
    </row>
    <row r="63" spans="1:27" s="55" customFormat="1" ht="15" x14ac:dyDescent="0.15">
      <c r="A63" s="168" t="s">
        <v>6923</v>
      </c>
      <c r="B63" s="169">
        <v>4</v>
      </c>
      <c r="C63" s="169">
        <v>8</v>
      </c>
      <c r="D63" s="169">
        <v>1</v>
      </c>
      <c r="E63" s="170">
        <v>0</v>
      </c>
      <c r="F63" s="67"/>
      <c r="G63" s="67"/>
      <c r="H63" s="67"/>
      <c r="I63" s="67"/>
      <c r="J63" s="67"/>
      <c r="K63" s="67"/>
      <c r="L63" s="67"/>
      <c r="M63" s="67"/>
      <c r="N63" s="67"/>
      <c r="O63" s="67"/>
      <c r="P63" s="67"/>
      <c r="Q63" s="67"/>
      <c r="R63" s="67"/>
      <c r="S63" s="67"/>
      <c r="T63" s="67"/>
      <c r="U63" s="67"/>
      <c r="V63" s="67"/>
      <c r="W63" s="67"/>
      <c r="X63" s="67"/>
      <c r="Y63" s="67"/>
      <c r="Z63" s="67"/>
      <c r="AA63" s="67"/>
    </row>
    <row r="64" spans="1:27" s="55" customFormat="1" ht="15" x14ac:dyDescent="0.15">
      <c r="A64" s="168" t="s">
        <v>6924</v>
      </c>
      <c r="B64" s="169">
        <v>3</v>
      </c>
      <c r="C64" s="169">
        <v>8</v>
      </c>
      <c r="D64" s="169">
        <v>2</v>
      </c>
      <c r="E64" s="170">
        <v>2</v>
      </c>
      <c r="F64" s="67"/>
      <c r="G64" s="67"/>
      <c r="H64" s="67"/>
      <c r="I64" s="67"/>
      <c r="J64" s="67"/>
      <c r="K64" s="67"/>
      <c r="L64" s="67"/>
      <c r="M64" s="67"/>
      <c r="N64" s="67"/>
      <c r="O64" s="67"/>
      <c r="P64" s="67"/>
      <c r="Q64" s="67"/>
      <c r="R64" s="67"/>
      <c r="S64" s="67"/>
      <c r="T64" s="67"/>
      <c r="U64" s="67"/>
      <c r="V64" s="67"/>
      <c r="W64" s="67"/>
      <c r="X64" s="67"/>
      <c r="Y64" s="67"/>
      <c r="Z64" s="67"/>
      <c r="AA64" s="67"/>
    </row>
    <row r="65" spans="1:27" s="55" customFormat="1" ht="15" x14ac:dyDescent="0.15">
      <c r="A65" s="168" t="s">
        <v>6925</v>
      </c>
      <c r="B65" s="169">
        <v>3</v>
      </c>
      <c r="C65" s="169">
        <v>11</v>
      </c>
      <c r="D65" s="169">
        <v>1</v>
      </c>
      <c r="E65" s="170">
        <v>0</v>
      </c>
      <c r="F65" s="67"/>
      <c r="G65" s="67"/>
      <c r="H65" s="67"/>
      <c r="I65" s="67"/>
      <c r="J65" s="67"/>
      <c r="K65" s="67"/>
      <c r="L65" s="67"/>
      <c r="M65" s="67"/>
      <c r="N65" s="67"/>
      <c r="O65" s="67"/>
      <c r="P65" s="67"/>
      <c r="Q65" s="67"/>
      <c r="R65" s="67"/>
      <c r="S65" s="67"/>
      <c r="T65" s="67"/>
      <c r="U65" s="67"/>
      <c r="V65" s="67"/>
      <c r="W65" s="67"/>
      <c r="X65" s="67"/>
      <c r="Y65" s="67"/>
      <c r="Z65" s="67"/>
      <c r="AA65" s="67"/>
    </row>
    <row r="66" spans="1:27" s="55" customFormat="1" ht="15" x14ac:dyDescent="0.15">
      <c r="A66" s="168" t="s">
        <v>6926</v>
      </c>
      <c r="B66" s="169">
        <v>1</v>
      </c>
      <c r="C66" s="169">
        <v>12</v>
      </c>
      <c r="D66" s="169">
        <v>4</v>
      </c>
      <c r="E66" s="170">
        <v>0</v>
      </c>
      <c r="F66" s="67"/>
      <c r="G66" s="67"/>
      <c r="H66" s="67"/>
      <c r="I66" s="67"/>
      <c r="J66" s="67"/>
      <c r="K66" s="67"/>
      <c r="L66" s="67"/>
      <c r="M66" s="67"/>
      <c r="N66" s="67"/>
      <c r="O66" s="67"/>
      <c r="P66" s="67"/>
      <c r="Q66" s="67"/>
      <c r="R66" s="67"/>
      <c r="S66" s="67"/>
      <c r="T66" s="67"/>
      <c r="U66" s="67"/>
      <c r="V66" s="67"/>
      <c r="W66" s="67"/>
      <c r="X66" s="67"/>
      <c r="Y66" s="67"/>
      <c r="Z66" s="67"/>
      <c r="AA66" s="67"/>
    </row>
    <row r="67" spans="1:27" s="55" customFormat="1" ht="15" x14ac:dyDescent="0.15">
      <c r="A67" s="168" t="s">
        <v>6927</v>
      </c>
      <c r="B67" s="169">
        <v>2</v>
      </c>
      <c r="C67" s="169">
        <v>14</v>
      </c>
      <c r="D67" s="169">
        <v>4</v>
      </c>
      <c r="E67" s="170">
        <v>3</v>
      </c>
      <c r="F67" s="67"/>
      <c r="G67" s="67"/>
      <c r="H67" s="67"/>
      <c r="I67" s="67"/>
      <c r="J67" s="67"/>
      <c r="K67" s="67"/>
      <c r="L67" s="67"/>
      <c r="M67" s="67"/>
      <c r="N67" s="67"/>
      <c r="O67" s="67"/>
      <c r="P67" s="67"/>
      <c r="Q67" s="67"/>
      <c r="R67" s="67"/>
      <c r="S67" s="67"/>
      <c r="T67" s="67"/>
      <c r="U67" s="67"/>
      <c r="V67" s="67"/>
      <c r="W67" s="67"/>
      <c r="X67" s="67"/>
      <c r="Y67" s="67"/>
      <c r="Z67" s="67"/>
      <c r="AA67" s="67"/>
    </row>
    <row r="68" spans="1:27" s="55" customFormat="1" ht="15" x14ac:dyDescent="0.15">
      <c r="A68" s="168" t="s">
        <v>6928</v>
      </c>
      <c r="B68" s="169">
        <v>2</v>
      </c>
      <c r="C68" s="169">
        <v>11</v>
      </c>
      <c r="D68" s="169">
        <v>6</v>
      </c>
      <c r="E68" s="170">
        <v>0</v>
      </c>
      <c r="F68" s="67"/>
      <c r="G68" s="67"/>
      <c r="H68" s="67"/>
      <c r="I68" s="67"/>
      <c r="J68" s="67"/>
      <c r="K68" s="67"/>
      <c r="L68" s="67"/>
      <c r="M68" s="67"/>
      <c r="N68" s="67"/>
      <c r="O68" s="67"/>
      <c r="P68" s="67"/>
      <c r="Q68" s="67"/>
      <c r="R68" s="67"/>
      <c r="S68" s="67"/>
      <c r="T68" s="67"/>
      <c r="U68" s="67"/>
      <c r="V68" s="67"/>
      <c r="W68" s="67"/>
      <c r="X68" s="67"/>
      <c r="Y68" s="67"/>
      <c r="Z68" s="67"/>
      <c r="AA68" s="67"/>
    </row>
    <row r="69" spans="1:27" s="55" customFormat="1" ht="15" x14ac:dyDescent="0.15">
      <c r="A69" s="168" t="s">
        <v>6929</v>
      </c>
      <c r="B69" s="169">
        <v>2</v>
      </c>
      <c r="C69" s="169">
        <v>13</v>
      </c>
      <c r="D69" s="169">
        <v>4</v>
      </c>
      <c r="E69" s="170">
        <v>0</v>
      </c>
      <c r="F69" s="67"/>
      <c r="G69" s="67"/>
      <c r="H69" s="67"/>
      <c r="I69" s="67"/>
      <c r="J69" s="67"/>
      <c r="K69" s="67"/>
      <c r="L69" s="67"/>
      <c r="M69" s="67"/>
      <c r="N69" s="67"/>
      <c r="O69" s="67"/>
      <c r="P69" s="67"/>
      <c r="Q69" s="67"/>
      <c r="R69" s="67"/>
      <c r="S69" s="67"/>
      <c r="T69" s="67"/>
      <c r="U69" s="67"/>
      <c r="V69" s="67"/>
      <c r="W69" s="67"/>
      <c r="X69" s="67"/>
      <c r="Y69" s="67"/>
      <c r="Z69" s="67"/>
      <c r="AA69" s="67"/>
    </row>
    <row r="70" spans="1:27" s="55" customFormat="1" ht="15" x14ac:dyDescent="0.15">
      <c r="A70" s="168" t="s">
        <v>6930</v>
      </c>
      <c r="B70" s="169">
        <v>2</v>
      </c>
      <c r="C70" s="169">
        <v>12</v>
      </c>
      <c r="D70" s="169">
        <v>2</v>
      </c>
      <c r="E70" s="170">
        <v>0</v>
      </c>
      <c r="F70" s="67"/>
      <c r="G70" s="67"/>
      <c r="H70" s="67"/>
      <c r="I70" s="67"/>
      <c r="J70" s="67"/>
      <c r="K70" s="67"/>
      <c r="L70" s="67"/>
      <c r="M70" s="67"/>
      <c r="N70" s="67"/>
      <c r="O70" s="67"/>
      <c r="P70" s="67"/>
      <c r="Q70" s="67"/>
      <c r="R70" s="67"/>
      <c r="S70" s="67"/>
      <c r="T70" s="67"/>
      <c r="U70" s="67"/>
      <c r="V70" s="67"/>
      <c r="W70" s="67"/>
      <c r="X70" s="67"/>
      <c r="Y70" s="67"/>
      <c r="Z70" s="67"/>
      <c r="AA70" s="67"/>
    </row>
    <row r="71" spans="1:27" s="55" customFormat="1" ht="15" x14ac:dyDescent="0.15">
      <c r="A71" s="168" t="s">
        <v>6931</v>
      </c>
      <c r="B71" s="169">
        <v>0</v>
      </c>
      <c r="C71" s="169">
        <v>12</v>
      </c>
      <c r="D71" s="169">
        <v>4</v>
      </c>
      <c r="E71" s="170">
        <v>1</v>
      </c>
      <c r="F71" s="67"/>
      <c r="G71" s="67"/>
      <c r="H71" s="67"/>
      <c r="I71" s="67"/>
      <c r="J71" s="67"/>
      <c r="K71" s="67"/>
      <c r="L71" s="67"/>
      <c r="M71" s="67"/>
      <c r="N71" s="67"/>
      <c r="O71" s="67"/>
      <c r="P71" s="67"/>
      <c r="Q71" s="67"/>
      <c r="R71" s="67"/>
      <c r="S71" s="67"/>
      <c r="T71" s="67"/>
      <c r="U71" s="67"/>
      <c r="V71" s="67"/>
      <c r="W71" s="67"/>
      <c r="X71" s="67"/>
      <c r="Y71" s="67"/>
      <c r="Z71" s="67"/>
      <c r="AA71" s="67"/>
    </row>
    <row r="72" spans="1:27" s="55" customFormat="1" ht="15" x14ac:dyDescent="0.15">
      <c r="A72" s="168" t="s">
        <v>6932</v>
      </c>
      <c r="B72" s="169">
        <v>1</v>
      </c>
      <c r="C72" s="169">
        <v>11</v>
      </c>
      <c r="D72" s="169">
        <v>5</v>
      </c>
      <c r="E72" s="170">
        <v>1</v>
      </c>
      <c r="F72" s="67"/>
      <c r="G72" s="67"/>
      <c r="H72" s="67"/>
      <c r="I72" s="67"/>
      <c r="J72" s="67"/>
      <c r="K72" s="67"/>
      <c r="L72" s="67"/>
      <c r="M72" s="67"/>
      <c r="N72" s="67"/>
      <c r="O72" s="67"/>
      <c r="P72" s="67"/>
      <c r="Q72" s="67"/>
      <c r="R72" s="67"/>
      <c r="S72" s="67"/>
      <c r="T72" s="67"/>
      <c r="U72" s="67"/>
      <c r="V72" s="67"/>
      <c r="W72" s="67"/>
      <c r="X72" s="67"/>
      <c r="Y72" s="67"/>
      <c r="Z72" s="67"/>
      <c r="AA72" s="67"/>
    </row>
    <row r="73" spans="1:27" s="55" customFormat="1" ht="15" x14ac:dyDescent="0.15">
      <c r="A73" s="172" t="s">
        <v>6933</v>
      </c>
      <c r="B73" s="173">
        <v>1</v>
      </c>
      <c r="C73" s="173">
        <v>14</v>
      </c>
      <c r="D73" s="173">
        <v>4</v>
      </c>
      <c r="E73" s="174">
        <v>1</v>
      </c>
      <c r="F73" s="67"/>
      <c r="G73" s="67"/>
      <c r="H73" s="67"/>
      <c r="I73" s="67"/>
      <c r="J73" s="67"/>
      <c r="K73" s="67"/>
      <c r="L73" s="67"/>
      <c r="M73" s="67"/>
      <c r="N73" s="67"/>
      <c r="O73" s="67"/>
      <c r="P73" s="67"/>
      <c r="Q73" s="67"/>
      <c r="R73" s="67"/>
      <c r="S73" s="67"/>
      <c r="T73" s="67"/>
      <c r="U73" s="67"/>
      <c r="V73" s="67"/>
      <c r="W73" s="67"/>
      <c r="X73" s="67"/>
      <c r="Y73" s="67"/>
      <c r="Z73" s="67"/>
      <c r="AA73" s="67"/>
    </row>
    <row r="74" spans="1:27" s="55" customFormat="1" ht="15" x14ac:dyDescent="0.15">
      <c r="A74" s="161"/>
      <c r="B74" s="161"/>
      <c r="C74" s="161"/>
      <c r="D74" s="161"/>
      <c r="E74" s="161"/>
      <c r="F74" s="67"/>
      <c r="G74" s="67"/>
      <c r="H74" s="67"/>
      <c r="I74" s="67"/>
      <c r="J74" s="67"/>
      <c r="K74" s="67"/>
      <c r="L74" s="67"/>
      <c r="M74" s="67"/>
      <c r="N74" s="67"/>
      <c r="O74" s="67"/>
      <c r="P74" s="67"/>
      <c r="Q74" s="67"/>
      <c r="R74" s="67"/>
      <c r="S74" s="67"/>
      <c r="T74" s="67"/>
      <c r="U74" s="67"/>
      <c r="V74" s="67"/>
      <c r="W74" s="67"/>
      <c r="X74" s="67"/>
      <c r="Y74" s="67"/>
      <c r="Z74" s="67"/>
      <c r="AA74" s="67"/>
    </row>
    <row r="75" spans="1:27" s="55" customFormat="1" ht="15" x14ac:dyDescent="0.15">
      <c r="A75" s="92" t="s">
        <v>6937</v>
      </c>
      <c r="B75" s="161"/>
      <c r="C75" s="166"/>
      <c r="D75" s="161"/>
      <c r="E75" s="161"/>
      <c r="F75" s="67"/>
      <c r="G75" s="67"/>
      <c r="H75" s="67"/>
      <c r="I75" s="67"/>
      <c r="J75" s="67"/>
      <c r="K75" s="67"/>
      <c r="L75" s="67"/>
      <c r="M75" s="67"/>
      <c r="N75" s="67"/>
      <c r="O75" s="67"/>
      <c r="P75" s="67"/>
      <c r="Q75" s="67"/>
      <c r="R75" s="67"/>
      <c r="S75" s="67"/>
      <c r="T75" s="67"/>
      <c r="U75" s="67"/>
      <c r="V75" s="67"/>
      <c r="W75" s="67"/>
      <c r="X75" s="67"/>
      <c r="Y75" s="67"/>
      <c r="Z75" s="67"/>
      <c r="AA75" s="67"/>
    </row>
    <row r="76" spans="1:27" s="55" customFormat="1" ht="16" x14ac:dyDescent="0.15">
      <c r="A76" s="167" t="s">
        <v>6918</v>
      </c>
      <c r="B76" s="151" t="s">
        <v>140</v>
      </c>
      <c r="C76" s="151" t="s">
        <v>132</v>
      </c>
      <c r="D76" s="152" t="s">
        <v>130</v>
      </c>
      <c r="E76" s="153" t="s">
        <v>146</v>
      </c>
      <c r="F76" s="67"/>
      <c r="G76" s="67"/>
      <c r="H76" s="67"/>
      <c r="I76" s="67"/>
      <c r="J76" s="67"/>
      <c r="K76" s="67"/>
      <c r="L76" s="67"/>
      <c r="M76" s="67"/>
      <c r="N76" s="67"/>
      <c r="O76" s="67"/>
      <c r="P76" s="67"/>
      <c r="Q76" s="67"/>
      <c r="R76" s="67"/>
      <c r="S76" s="67"/>
      <c r="T76" s="67"/>
      <c r="U76" s="67"/>
      <c r="V76" s="67"/>
      <c r="W76" s="67"/>
      <c r="X76" s="67"/>
      <c r="Y76" s="67"/>
      <c r="Z76" s="67"/>
      <c r="AA76" s="67"/>
    </row>
    <row r="77" spans="1:27" s="55" customFormat="1" ht="15" x14ac:dyDescent="0.15">
      <c r="A77" s="168" t="s">
        <v>6919</v>
      </c>
      <c r="B77" s="169">
        <v>37</v>
      </c>
      <c r="C77" s="169">
        <v>41</v>
      </c>
      <c r="D77" s="169">
        <v>7</v>
      </c>
      <c r="E77" s="170">
        <v>1</v>
      </c>
      <c r="F77" s="67"/>
      <c r="G77" s="149"/>
      <c r="H77" s="67"/>
      <c r="I77" s="67"/>
      <c r="J77" s="67"/>
      <c r="K77" s="67"/>
      <c r="L77" s="67"/>
      <c r="M77" s="67"/>
      <c r="N77" s="67"/>
      <c r="O77" s="67"/>
      <c r="P77" s="67"/>
      <c r="Q77" s="67"/>
      <c r="R77" s="67"/>
      <c r="S77" s="67"/>
      <c r="T77" s="67"/>
      <c r="U77" s="67"/>
      <c r="V77" s="67"/>
      <c r="W77" s="67"/>
      <c r="X77" s="67"/>
      <c r="Y77" s="67"/>
      <c r="Z77" s="67"/>
      <c r="AA77" s="67"/>
    </row>
    <row r="78" spans="1:27" s="55" customFormat="1" ht="15" x14ac:dyDescent="0.15">
      <c r="A78" s="168" t="s">
        <v>6920</v>
      </c>
      <c r="B78" s="169">
        <v>0</v>
      </c>
      <c r="C78" s="169">
        <v>0</v>
      </c>
      <c r="D78" s="169">
        <v>0</v>
      </c>
      <c r="E78" s="170">
        <v>0</v>
      </c>
      <c r="F78" s="67"/>
      <c r="G78" s="67"/>
      <c r="H78" s="67"/>
      <c r="I78" s="67"/>
      <c r="J78" s="67"/>
      <c r="K78" s="67"/>
      <c r="L78" s="67"/>
      <c r="M78" s="67"/>
      <c r="N78" s="67"/>
      <c r="O78" s="67"/>
      <c r="P78" s="67"/>
      <c r="Q78" s="67"/>
      <c r="R78" s="67"/>
      <c r="S78" s="67"/>
      <c r="T78" s="67"/>
      <c r="U78" s="67"/>
      <c r="V78" s="67"/>
      <c r="W78" s="67"/>
      <c r="X78" s="67"/>
      <c r="Y78" s="67"/>
      <c r="Z78" s="67"/>
      <c r="AA78" s="67"/>
    </row>
    <row r="79" spans="1:27" s="55" customFormat="1" ht="15" x14ac:dyDescent="0.15">
      <c r="A79" s="168" t="s">
        <v>6921</v>
      </c>
      <c r="B79" s="169">
        <v>54</v>
      </c>
      <c r="C79" s="169">
        <v>51</v>
      </c>
      <c r="D79" s="169">
        <v>13</v>
      </c>
      <c r="E79" s="170">
        <v>7</v>
      </c>
      <c r="F79" s="67"/>
      <c r="G79" s="67"/>
      <c r="H79" s="176"/>
      <c r="I79" s="176"/>
      <c r="J79" s="176"/>
      <c r="K79" s="176"/>
      <c r="L79" s="67"/>
      <c r="M79" s="67"/>
      <c r="N79" s="67"/>
      <c r="O79" s="67"/>
      <c r="P79" s="67"/>
      <c r="Q79" s="67"/>
      <c r="R79" s="67"/>
      <c r="S79" s="67"/>
      <c r="T79" s="67"/>
      <c r="U79" s="67"/>
      <c r="V79" s="67"/>
      <c r="W79" s="67"/>
      <c r="X79" s="67"/>
      <c r="Y79" s="67"/>
      <c r="Z79" s="67"/>
      <c r="AA79" s="67"/>
    </row>
    <row r="80" spans="1:27" s="55" customFormat="1" ht="15" x14ac:dyDescent="0.15">
      <c r="A80" s="168" t="s">
        <v>6922</v>
      </c>
      <c r="B80" s="169">
        <v>62</v>
      </c>
      <c r="C80" s="169">
        <v>57</v>
      </c>
      <c r="D80" s="169">
        <v>13</v>
      </c>
      <c r="E80" s="170">
        <v>4</v>
      </c>
      <c r="F80" s="67"/>
      <c r="G80" s="67"/>
      <c r="H80" s="67"/>
      <c r="I80" s="67"/>
      <c r="J80" s="67"/>
      <c r="K80" s="67"/>
      <c r="L80" s="67"/>
      <c r="M80" s="67"/>
      <c r="N80" s="67"/>
      <c r="O80" s="67"/>
      <c r="P80" s="67"/>
      <c r="Q80" s="67"/>
      <c r="R80" s="67"/>
      <c r="S80" s="67"/>
      <c r="T80" s="67"/>
      <c r="U80" s="67"/>
      <c r="V80" s="67"/>
      <c r="W80" s="67"/>
      <c r="X80" s="67"/>
      <c r="Y80" s="67"/>
      <c r="Z80" s="67"/>
      <c r="AA80" s="67"/>
    </row>
    <row r="81" spans="1:27" s="55" customFormat="1" ht="15" x14ac:dyDescent="0.15">
      <c r="A81" s="168" t="s">
        <v>6923</v>
      </c>
      <c r="B81" s="169">
        <v>64</v>
      </c>
      <c r="C81" s="169">
        <v>54</v>
      </c>
      <c r="D81" s="169">
        <v>20</v>
      </c>
      <c r="E81" s="170">
        <v>4</v>
      </c>
      <c r="F81" s="67"/>
      <c r="G81" s="67"/>
      <c r="H81" s="67"/>
      <c r="I81" s="67"/>
      <c r="J81" s="67"/>
      <c r="K81" s="67"/>
      <c r="L81" s="67"/>
      <c r="M81" s="67"/>
      <c r="N81" s="67"/>
      <c r="O81" s="67"/>
      <c r="P81" s="67"/>
      <c r="Q81" s="67"/>
      <c r="R81" s="67"/>
      <c r="S81" s="67"/>
      <c r="T81" s="67"/>
      <c r="U81" s="67"/>
      <c r="V81" s="67"/>
      <c r="W81" s="67"/>
      <c r="X81" s="67"/>
      <c r="Y81" s="67"/>
      <c r="Z81" s="67"/>
      <c r="AA81" s="67"/>
    </row>
    <row r="82" spans="1:27" s="55" customFormat="1" ht="15" x14ac:dyDescent="0.15">
      <c r="A82" s="168" t="s">
        <v>6924</v>
      </c>
      <c r="B82" s="169">
        <v>57</v>
      </c>
      <c r="C82" s="169">
        <v>60</v>
      </c>
      <c r="D82" s="169">
        <v>15</v>
      </c>
      <c r="E82" s="170">
        <v>4</v>
      </c>
      <c r="F82" s="67"/>
      <c r="G82" s="67"/>
      <c r="H82" s="67"/>
      <c r="I82" s="67"/>
      <c r="J82" s="67"/>
      <c r="K82" s="67"/>
      <c r="L82" s="67"/>
      <c r="M82" s="67"/>
      <c r="N82" s="67"/>
      <c r="O82" s="67"/>
      <c r="P82" s="67"/>
      <c r="Q82" s="67"/>
      <c r="R82" s="67"/>
      <c r="S82" s="67"/>
      <c r="T82" s="67"/>
      <c r="U82" s="67"/>
      <c r="V82" s="67"/>
      <c r="W82" s="67"/>
      <c r="X82" s="67"/>
      <c r="Y82" s="67"/>
      <c r="Z82" s="67"/>
      <c r="AA82" s="67"/>
    </row>
    <row r="83" spans="1:27" s="55" customFormat="1" ht="15" x14ac:dyDescent="0.15">
      <c r="A83" s="168" t="s">
        <v>6925</v>
      </c>
      <c r="B83" s="169">
        <v>64</v>
      </c>
      <c r="C83" s="169">
        <v>70</v>
      </c>
      <c r="D83" s="169">
        <v>20</v>
      </c>
      <c r="E83" s="170">
        <v>3</v>
      </c>
      <c r="F83" s="67"/>
      <c r="G83" s="67"/>
      <c r="H83" s="67"/>
      <c r="I83" s="67"/>
      <c r="J83" s="67"/>
      <c r="K83" s="67"/>
      <c r="L83" s="67"/>
      <c r="M83" s="67"/>
      <c r="N83" s="67"/>
      <c r="O83" s="67"/>
      <c r="P83" s="67"/>
      <c r="Q83" s="67"/>
      <c r="R83" s="67"/>
      <c r="S83" s="67"/>
      <c r="T83" s="67"/>
      <c r="U83" s="67"/>
      <c r="V83" s="67"/>
      <c r="W83" s="67"/>
      <c r="X83" s="67"/>
      <c r="Y83" s="67"/>
      <c r="Z83" s="67"/>
      <c r="AA83" s="67"/>
    </row>
    <row r="84" spans="1:27" s="55" customFormat="1" ht="15" x14ac:dyDescent="0.15">
      <c r="A84" s="168" t="s">
        <v>6926</v>
      </c>
      <c r="B84" s="169">
        <v>70</v>
      </c>
      <c r="C84" s="169">
        <v>66</v>
      </c>
      <c r="D84" s="169">
        <v>21</v>
      </c>
      <c r="E84" s="170">
        <v>7</v>
      </c>
      <c r="F84" s="67"/>
      <c r="G84" s="67"/>
      <c r="H84" s="67"/>
      <c r="I84" s="67"/>
      <c r="J84" s="67"/>
      <c r="K84" s="67"/>
      <c r="L84" s="67"/>
      <c r="M84" s="67"/>
      <c r="N84" s="67"/>
      <c r="O84" s="67"/>
      <c r="P84" s="67"/>
      <c r="Q84" s="67"/>
      <c r="R84" s="67"/>
      <c r="S84" s="67"/>
      <c r="T84" s="67"/>
      <c r="U84" s="67"/>
      <c r="V84" s="67"/>
      <c r="W84" s="67"/>
      <c r="X84" s="67"/>
      <c r="Y84" s="67"/>
      <c r="Z84" s="67"/>
      <c r="AA84" s="67"/>
    </row>
    <row r="85" spans="1:27" s="55" customFormat="1" ht="15" x14ac:dyDescent="0.15">
      <c r="A85" s="168" t="s">
        <v>6927</v>
      </c>
      <c r="B85" s="169">
        <v>69</v>
      </c>
      <c r="C85" s="169">
        <v>75</v>
      </c>
      <c r="D85" s="169">
        <v>26</v>
      </c>
      <c r="E85" s="170">
        <v>11</v>
      </c>
      <c r="F85" s="67"/>
      <c r="G85" s="67"/>
      <c r="H85" s="67"/>
      <c r="I85" s="67"/>
      <c r="J85" s="67"/>
      <c r="K85" s="67"/>
      <c r="L85" s="67"/>
      <c r="M85" s="67"/>
      <c r="N85" s="67"/>
      <c r="O85" s="67"/>
      <c r="P85" s="67"/>
      <c r="Q85" s="67"/>
      <c r="R85" s="67"/>
      <c r="S85" s="67"/>
      <c r="T85" s="67"/>
      <c r="U85" s="67"/>
      <c r="V85" s="67"/>
      <c r="W85" s="67"/>
      <c r="X85" s="67"/>
      <c r="Y85" s="67"/>
      <c r="Z85" s="67"/>
      <c r="AA85" s="67"/>
    </row>
    <row r="86" spans="1:27" s="55" customFormat="1" ht="15" x14ac:dyDescent="0.15">
      <c r="A86" s="168" t="s">
        <v>6928</v>
      </c>
      <c r="B86" s="169">
        <v>88</v>
      </c>
      <c r="C86" s="169">
        <v>60</v>
      </c>
      <c r="D86" s="169">
        <v>25</v>
      </c>
      <c r="E86" s="170">
        <v>6</v>
      </c>
      <c r="F86" s="67"/>
      <c r="G86" s="67"/>
      <c r="H86" s="67"/>
      <c r="I86" s="67"/>
      <c r="J86" s="67"/>
      <c r="K86" s="67"/>
      <c r="L86" s="67"/>
      <c r="M86" s="67"/>
      <c r="N86" s="67"/>
      <c r="O86" s="67"/>
      <c r="P86" s="67"/>
      <c r="Q86" s="67"/>
      <c r="R86" s="67"/>
      <c r="S86" s="67"/>
      <c r="T86" s="67"/>
      <c r="U86" s="67"/>
      <c r="V86" s="67"/>
      <c r="W86" s="67"/>
      <c r="X86" s="67"/>
      <c r="Y86" s="67"/>
      <c r="Z86" s="67"/>
      <c r="AA86" s="67"/>
    </row>
    <row r="87" spans="1:27" s="55" customFormat="1" ht="15" x14ac:dyDescent="0.15">
      <c r="A87" s="168" t="s">
        <v>6929</v>
      </c>
      <c r="B87" s="169">
        <v>108</v>
      </c>
      <c r="C87" s="169">
        <v>50</v>
      </c>
      <c r="D87" s="169">
        <v>16</v>
      </c>
      <c r="E87" s="170">
        <v>2</v>
      </c>
      <c r="F87" s="67"/>
      <c r="G87" s="67"/>
      <c r="H87" s="67"/>
      <c r="I87" s="67"/>
      <c r="J87" s="67"/>
      <c r="K87" s="67"/>
      <c r="L87" s="67"/>
      <c r="M87" s="67"/>
      <c r="N87" s="67"/>
      <c r="O87" s="67"/>
      <c r="P87" s="67"/>
      <c r="Q87" s="67"/>
      <c r="R87" s="67"/>
      <c r="S87" s="67"/>
      <c r="T87" s="67"/>
      <c r="U87" s="67"/>
      <c r="V87" s="67"/>
      <c r="W87" s="67"/>
      <c r="X87" s="67"/>
      <c r="Y87" s="67"/>
      <c r="Z87" s="67"/>
      <c r="AA87" s="67"/>
    </row>
    <row r="88" spans="1:27" s="55" customFormat="1" ht="15" x14ac:dyDescent="0.15">
      <c r="A88" s="168" t="s">
        <v>6930</v>
      </c>
      <c r="B88" s="169">
        <v>60</v>
      </c>
      <c r="C88" s="169">
        <v>53</v>
      </c>
      <c r="D88" s="169">
        <v>10</v>
      </c>
      <c r="E88" s="170">
        <v>0</v>
      </c>
      <c r="F88" s="67"/>
      <c r="G88" s="67"/>
      <c r="H88" s="67"/>
      <c r="I88" s="67"/>
      <c r="J88" s="67"/>
      <c r="K88" s="67"/>
      <c r="L88" s="67"/>
      <c r="M88" s="67"/>
      <c r="N88" s="67"/>
      <c r="O88" s="67"/>
      <c r="P88" s="67"/>
      <c r="Q88" s="67"/>
      <c r="R88" s="67"/>
      <c r="S88" s="67"/>
      <c r="T88" s="67"/>
      <c r="U88" s="67"/>
      <c r="V88" s="67"/>
      <c r="W88" s="67"/>
      <c r="X88" s="67"/>
      <c r="Y88" s="67"/>
      <c r="Z88" s="67"/>
      <c r="AA88" s="67"/>
    </row>
    <row r="89" spans="1:27" s="55" customFormat="1" ht="15" x14ac:dyDescent="0.15">
      <c r="A89" s="168" t="s">
        <v>6931</v>
      </c>
      <c r="B89" s="169">
        <v>74</v>
      </c>
      <c r="C89" s="169">
        <v>68</v>
      </c>
      <c r="D89" s="169">
        <v>18</v>
      </c>
      <c r="E89" s="170">
        <v>3</v>
      </c>
      <c r="F89" s="67"/>
      <c r="G89" s="67"/>
      <c r="H89" s="67"/>
      <c r="I89" s="67"/>
      <c r="J89" s="67"/>
      <c r="K89" s="67"/>
      <c r="L89" s="67"/>
      <c r="M89" s="67"/>
      <c r="N89" s="67"/>
      <c r="O89" s="67"/>
      <c r="P89" s="67"/>
      <c r="Q89" s="67"/>
      <c r="R89" s="67"/>
      <c r="S89" s="67"/>
      <c r="T89" s="67"/>
      <c r="U89" s="67"/>
      <c r="V89" s="67"/>
      <c r="W89" s="67"/>
      <c r="X89" s="67"/>
      <c r="Y89" s="67"/>
      <c r="Z89" s="67"/>
      <c r="AA89" s="67"/>
    </row>
    <row r="90" spans="1:27" s="55" customFormat="1" ht="15" x14ac:dyDescent="0.15">
      <c r="A90" s="168" t="s">
        <v>6932</v>
      </c>
      <c r="B90" s="169">
        <v>56</v>
      </c>
      <c r="C90" s="169">
        <v>77</v>
      </c>
      <c r="D90" s="169">
        <v>27</v>
      </c>
      <c r="E90" s="170">
        <v>9</v>
      </c>
      <c r="F90" s="67"/>
      <c r="G90" s="67"/>
      <c r="H90" s="67"/>
      <c r="I90" s="67"/>
      <c r="J90" s="67"/>
      <c r="K90" s="67"/>
      <c r="L90" s="67"/>
      <c r="M90" s="67"/>
      <c r="N90" s="67"/>
      <c r="O90" s="67"/>
      <c r="P90" s="67"/>
      <c r="Q90" s="67"/>
      <c r="R90" s="67"/>
      <c r="S90" s="67"/>
      <c r="T90" s="67"/>
      <c r="U90" s="67"/>
      <c r="V90" s="67"/>
      <c r="W90" s="67"/>
      <c r="X90" s="67"/>
      <c r="Y90" s="67"/>
      <c r="Z90" s="67"/>
      <c r="AA90" s="67"/>
    </row>
    <row r="91" spans="1:27" s="55" customFormat="1" ht="15" x14ac:dyDescent="0.15">
      <c r="A91" s="172" t="s">
        <v>6933</v>
      </c>
      <c r="B91" s="173">
        <v>81</v>
      </c>
      <c r="C91" s="173">
        <v>114</v>
      </c>
      <c r="D91" s="173">
        <v>28</v>
      </c>
      <c r="E91" s="174">
        <v>5</v>
      </c>
      <c r="F91" s="67"/>
      <c r="G91" s="67"/>
      <c r="H91" s="67"/>
      <c r="I91" s="67"/>
      <c r="J91" s="67"/>
      <c r="K91" s="67"/>
      <c r="L91" s="67"/>
      <c r="M91" s="67"/>
      <c r="N91" s="67"/>
      <c r="O91" s="67"/>
      <c r="P91" s="67"/>
      <c r="Q91" s="67"/>
      <c r="R91" s="67"/>
      <c r="S91" s="67"/>
      <c r="T91" s="67"/>
      <c r="U91" s="67"/>
      <c r="V91" s="67"/>
      <c r="W91" s="67"/>
      <c r="X91" s="67"/>
      <c r="Y91" s="67"/>
      <c r="Z91" s="67"/>
      <c r="AA91" s="67"/>
    </row>
    <row r="92" spans="1:27" s="55" customFormat="1" ht="15" x14ac:dyDescent="0.15">
      <c r="A92" s="161"/>
      <c r="B92" s="161"/>
      <c r="C92" s="161"/>
      <c r="D92" s="161"/>
      <c r="E92" s="161"/>
      <c r="F92" s="67"/>
      <c r="G92" s="67"/>
      <c r="H92" s="67"/>
      <c r="I92" s="67"/>
      <c r="J92" s="67"/>
      <c r="K92" s="67"/>
      <c r="L92" s="67"/>
      <c r="M92" s="67"/>
      <c r="N92" s="67"/>
      <c r="O92" s="67"/>
      <c r="P92" s="67"/>
      <c r="Q92" s="67"/>
      <c r="R92" s="67"/>
      <c r="S92" s="67"/>
      <c r="T92" s="67"/>
      <c r="U92" s="67"/>
      <c r="V92" s="67"/>
      <c r="W92" s="67"/>
      <c r="X92" s="67"/>
      <c r="Y92" s="67"/>
      <c r="Z92" s="67"/>
      <c r="AA92" s="67"/>
    </row>
  </sheetData>
  <pageMargins left="0.7" right="0.7" top="0.75" bottom="0.75" header="0.3" footer="0.3"/>
  <pageSetup paperSize="0" scale="38" fitToWidth="0" fitToHeight="0" orientation="portrait" horizontalDpi="0" verticalDpi="0" copies="0"/>
  <tableParts count="5">
    <tablePart r:id="rId1"/>
    <tablePart r:id="rId2"/>
    <tablePart r:id="rId3"/>
    <tablePart r:id="rId4"/>
    <tablePart r:id="rId5"/>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6AEAC8-7159-734D-AAFB-94A8C05A1C65}">
  <dimension ref="A1:AL167"/>
  <sheetViews>
    <sheetView workbookViewId="0"/>
  </sheetViews>
  <sheetFormatPr baseColWidth="10" defaultColWidth="13.19921875" defaultRowHeight="13.25" x14ac:dyDescent="0.15"/>
  <cols>
    <col min="1" max="1" width="39.796875" style="55" bestFit="1" customWidth="1"/>
    <col min="2" max="2" width="37.59765625" style="55" bestFit="1" customWidth="1"/>
    <col min="3" max="3" width="47.59765625" style="55" customWidth="1"/>
    <col min="4" max="4" width="25.19921875" style="55" customWidth="1"/>
    <col min="5" max="5" width="87.3984375" style="55" customWidth="1"/>
    <col min="6" max="6" width="56.59765625" style="55" customWidth="1"/>
    <col min="7" max="7" width="66" style="55" customWidth="1"/>
    <col min="8" max="8" width="63.59765625" style="55" customWidth="1"/>
    <col min="9" max="9" width="45.796875" style="55" customWidth="1"/>
    <col min="10" max="10" width="87" style="55" customWidth="1"/>
    <col min="11" max="11" width="68.19921875" style="55" customWidth="1"/>
    <col min="12" max="12" width="61" style="55" customWidth="1"/>
    <col min="13" max="13" width="42.19921875" style="55" customWidth="1"/>
    <col min="14" max="14" width="65.3984375" style="55" customWidth="1"/>
    <col min="15" max="15" width="40" style="55" customWidth="1"/>
    <col min="16" max="16" width="79.796875" style="55" customWidth="1"/>
    <col min="17" max="17" width="42.19921875" style="55" customWidth="1"/>
    <col min="18" max="18" width="89.19921875" style="55" customWidth="1"/>
    <col min="19" max="19" width="42.19921875" style="55" customWidth="1"/>
    <col min="20" max="20" width="60" style="55" customWidth="1"/>
    <col min="21" max="21" width="71" style="55" customWidth="1"/>
    <col min="22" max="22" width="52.19921875" style="55" customWidth="1"/>
    <col min="23" max="23" width="74" style="55" customWidth="1"/>
    <col min="24" max="24" width="62.796875" style="55" customWidth="1"/>
    <col min="25" max="25" width="42.19921875" style="55" customWidth="1"/>
    <col min="26" max="26" width="98.796875" style="55" customWidth="1"/>
    <col min="27" max="27" width="42.19921875" style="55" customWidth="1"/>
    <col min="28" max="28" width="70.3984375" style="55" customWidth="1"/>
    <col min="29" max="29" width="81.3984375" style="55" customWidth="1"/>
    <col min="30" max="30" width="62.59765625" style="55" customWidth="1"/>
    <col min="31" max="31" width="84.3984375" style="55" customWidth="1"/>
    <col min="32" max="32" width="73.19921875" style="55" customWidth="1"/>
    <col min="33" max="33" width="42" style="55" customWidth="1"/>
    <col min="34" max="34" width="43" style="74" customWidth="1"/>
    <col min="35" max="35" width="48.19921875" style="55" customWidth="1"/>
    <col min="36" max="36" width="44.796875" style="55" customWidth="1"/>
    <col min="37" max="37" width="102" style="55" customWidth="1"/>
    <col min="38" max="38" width="95.59765625" style="55" customWidth="1"/>
    <col min="39" max="39" width="13.19921875" style="55" customWidth="1"/>
    <col min="40" max="16384" width="13.19921875" style="55"/>
  </cols>
  <sheetData>
    <row r="1" spans="1:38" ht="19" x14ac:dyDescent="0.2">
      <c r="A1" s="53" t="s">
        <v>6938</v>
      </c>
      <c r="L1" s="177"/>
    </row>
    <row r="2" spans="1:38" ht="15" x14ac:dyDescent="0.15">
      <c r="A2" s="75" t="s">
        <v>6939</v>
      </c>
      <c r="L2" s="177"/>
    </row>
    <row r="3" spans="1:38" ht="15" x14ac:dyDescent="0.15">
      <c r="A3" s="55" t="s">
        <v>6940</v>
      </c>
      <c r="L3" s="177"/>
    </row>
    <row r="4" spans="1:38" ht="13" thickBot="1" x14ac:dyDescent="0.15">
      <c r="A4" s="178" t="s">
        <v>6941</v>
      </c>
      <c r="E4" s="69"/>
      <c r="L4" s="75"/>
    </row>
    <row r="5" spans="1:38" ht="14" customHeight="1" thickBot="1" x14ac:dyDescent="0.15">
      <c r="A5" s="179" t="s">
        <v>6942</v>
      </c>
      <c r="L5" s="75"/>
    </row>
    <row r="6" spans="1:38" ht="28" x14ac:dyDescent="0.15">
      <c r="A6" s="71" t="s">
        <v>120</v>
      </c>
      <c r="B6" s="71" t="s">
        <v>121</v>
      </c>
      <c r="C6" s="71" t="s">
        <v>6943</v>
      </c>
      <c r="D6" s="71" t="s">
        <v>6944</v>
      </c>
      <c r="E6" s="71" t="s">
        <v>6945</v>
      </c>
      <c r="F6" s="71" t="s">
        <v>6946</v>
      </c>
      <c r="G6" s="71" t="s">
        <v>6947</v>
      </c>
      <c r="H6" s="71" t="s">
        <v>6948</v>
      </c>
      <c r="I6" s="71" t="s">
        <v>6949</v>
      </c>
      <c r="J6" s="71" t="s">
        <v>6950</v>
      </c>
      <c r="K6" s="71" t="s">
        <v>6951</v>
      </c>
      <c r="L6" s="71" t="s">
        <v>6952</v>
      </c>
      <c r="M6" s="71" t="s">
        <v>6953</v>
      </c>
      <c r="N6" s="71" t="s">
        <v>6954</v>
      </c>
      <c r="O6" s="71" t="s">
        <v>6955</v>
      </c>
      <c r="P6" s="71" t="s">
        <v>6956</v>
      </c>
      <c r="Q6" s="71" t="s">
        <v>6957</v>
      </c>
      <c r="R6" s="71" t="s">
        <v>6958</v>
      </c>
      <c r="S6" s="71" t="s">
        <v>6959</v>
      </c>
      <c r="T6" s="71" t="s">
        <v>6960</v>
      </c>
      <c r="U6" s="71" t="s">
        <v>6961</v>
      </c>
      <c r="V6" s="71" t="s">
        <v>6962</v>
      </c>
      <c r="W6" s="71" t="s">
        <v>6963</v>
      </c>
      <c r="X6" s="71" t="s">
        <v>6964</v>
      </c>
      <c r="Y6" s="71" t="s">
        <v>6965</v>
      </c>
      <c r="Z6" s="71" t="s">
        <v>6966</v>
      </c>
      <c r="AA6" s="71" t="s">
        <v>6967</v>
      </c>
      <c r="AB6" s="71" t="s">
        <v>6968</v>
      </c>
      <c r="AC6" s="71" t="s">
        <v>6969</v>
      </c>
      <c r="AD6" s="71" t="s">
        <v>6970</v>
      </c>
      <c r="AE6" s="71" t="s">
        <v>6971</v>
      </c>
      <c r="AF6" s="71" t="s">
        <v>6972</v>
      </c>
      <c r="AG6" s="71" t="s">
        <v>6973</v>
      </c>
      <c r="AH6" s="76" t="s">
        <v>6974</v>
      </c>
      <c r="AI6" s="71" t="s">
        <v>6975</v>
      </c>
      <c r="AJ6" s="71" t="s">
        <v>6976</v>
      </c>
      <c r="AK6" s="71" t="s">
        <v>6977</v>
      </c>
      <c r="AL6" s="71" t="s">
        <v>6978</v>
      </c>
    </row>
    <row r="7" spans="1:38" s="73" customFormat="1" ht="13" x14ac:dyDescent="0.15">
      <c r="A7" s="55" t="str">
        <f>IF(B7="","",HYPERLINK("http://reports.ofsted.gov.uk/local-authorities/barking-and-dagenham","Ofsted Local Authority Webpage"))</f>
        <v>Ofsted Local Authority Webpage</v>
      </c>
      <c r="B7" s="55" t="s">
        <v>128</v>
      </c>
      <c r="C7" s="180" t="s">
        <v>129</v>
      </c>
      <c r="D7" s="180" t="s">
        <v>6979</v>
      </c>
      <c r="E7" s="181">
        <v>41117</v>
      </c>
      <c r="F7" s="182" t="s">
        <v>132</v>
      </c>
      <c r="G7" s="183" t="s">
        <v>130</v>
      </c>
      <c r="H7" s="184"/>
      <c r="I7" s="183"/>
      <c r="J7" s="184"/>
      <c r="K7" s="183"/>
      <c r="L7" s="184"/>
      <c r="M7" s="183"/>
      <c r="N7" s="184"/>
      <c r="O7" s="183"/>
      <c r="P7" s="185"/>
      <c r="Q7" s="186"/>
      <c r="R7" s="187">
        <v>41827</v>
      </c>
      <c r="S7" s="188" t="s">
        <v>130</v>
      </c>
      <c r="T7" s="182" t="s">
        <v>130</v>
      </c>
      <c r="U7" s="182" t="s">
        <v>130</v>
      </c>
      <c r="V7" s="182" t="s">
        <v>130</v>
      </c>
      <c r="W7" s="182" t="s">
        <v>130</v>
      </c>
      <c r="X7" s="189" t="s">
        <v>130</v>
      </c>
      <c r="Y7" s="190" t="s">
        <v>130</v>
      </c>
      <c r="Z7" s="184"/>
      <c r="AA7" s="182"/>
      <c r="AB7" s="182"/>
      <c r="AC7" s="182"/>
      <c r="AD7" s="182"/>
      <c r="AE7" s="182"/>
      <c r="AF7" s="189"/>
      <c r="AG7" s="187" t="s">
        <v>304</v>
      </c>
      <c r="AH7" s="191">
        <v>43555</v>
      </c>
      <c r="AI7" s="186" t="s">
        <v>130</v>
      </c>
      <c r="AJ7" s="186" t="s">
        <v>130</v>
      </c>
      <c r="AK7" s="186" t="s">
        <v>130</v>
      </c>
      <c r="AL7" s="192" t="s">
        <v>130</v>
      </c>
    </row>
    <row r="8" spans="1:38" s="73" customFormat="1" ht="13" x14ac:dyDescent="0.15">
      <c r="A8" s="55" t="str">
        <f>IF(B8="","",HYPERLINK("http://reports.ofsted.gov.uk/local-authorities/barnet","Ofsted Local Authority Webpage"))</f>
        <v>Ofsted Local Authority Webpage</v>
      </c>
      <c r="B8" s="55" t="s">
        <v>131</v>
      </c>
      <c r="C8" s="180" t="s">
        <v>129</v>
      </c>
      <c r="D8" s="180" t="s">
        <v>6979</v>
      </c>
      <c r="E8" s="193">
        <v>40963</v>
      </c>
      <c r="F8" s="194" t="s">
        <v>132</v>
      </c>
      <c r="G8" s="195" t="s">
        <v>132</v>
      </c>
      <c r="H8" s="196"/>
      <c r="I8" s="195"/>
      <c r="J8" s="196"/>
      <c r="K8" s="195"/>
      <c r="L8" s="196"/>
      <c r="M8" s="195"/>
      <c r="N8" s="196"/>
      <c r="O8" s="195"/>
      <c r="P8" s="197"/>
      <c r="Q8" s="180"/>
      <c r="R8" s="198">
        <v>42923</v>
      </c>
      <c r="S8" s="194" t="s">
        <v>146</v>
      </c>
      <c r="T8" s="194" t="s">
        <v>146</v>
      </c>
      <c r="U8" s="194" t="s">
        <v>146</v>
      </c>
      <c r="V8" s="194" t="s">
        <v>130</v>
      </c>
      <c r="W8" s="194" t="s">
        <v>130</v>
      </c>
      <c r="X8" s="199" t="s">
        <v>146</v>
      </c>
      <c r="Y8" s="200" t="s">
        <v>146</v>
      </c>
      <c r="Z8" s="196"/>
      <c r="AA8" s="194"/>
      <c r="AB8" s="194"/>
      <c r="AC8" s="194"/>
      <c r="AD8" s="194"/>
      <c r="AE8" s="194"/>
      <c r="AF8" s="199"/>
      <c r="AG8" s="187" t="s">
        <v>304</v>
      </c>
      <c r="AH8" s="201">
        <v>43646</v>
      </c>
      <c r="AI8" s="180" t="s">
        <v>132</v>
      </c>
      <c r="AJ8" s="180" t="s">
        <v>132</v>
      </c>
      <c r="AK8" s="180" t="s">
        <v>132</v>
      </c>
      <c r="AL8" s="202" t="s">
        <v>132</v>
      </c>
    </row>
    <row r="9" spans="1:38" s="73" customFormat="1" ht="13" x14ac:dyDescent="0.15">
      <c r="A9" s="55" t="str">
        <f>IF(B9="","",HYPERLINK("http://reports.ofsted.gov.uk/local-authorities/barnsley","Ofsted Local Authority Webpage"))</f>
        <v>Ofsted Local Authority Webpage</v>
      </c>
      <c r="B9" s="55" t="s">
        <v>133</v>
      </c>
      <c r="C9" s="180" t="s">
        <v>309</v>
      </c>
      <c r="D9" s="180" t="s">
        <v>6980</v>
      </c>
      <c r="E9" s="193">
        <v>41131</v>
      </c>
      <c r="F9" s="194" t="s">
        <v>146</v>
      </c>
      <c r="G9" s="195" t="s">
        <v>130</v>
      </c>
      <c r="H9" s="196"/>
      <c r="I9" s="195"/>
      <c r="J9" s="196"/>
      <c r="K9" s="195"/>
      <c r="L9" s="196"/>
      <c r="M9" s="195"/>
      <c r="N9" s="196"/>
      <c r="O9" s="195"/>
      <c r="P9" s="197"/>
      <c r="Q9" s="180"/>
      <c r="R9" s="198">
        <v>41859</v>
      </c>
      <c r="S9" s="194" t="s">
        <v>130</v>
      </c>
      <c r="T9" s="194" t="s">
        <v>130</v>
      </c>
      <c r="U9" s="194" t="s">
        <v>130</v>
      </c>
      <c r="V9" s="194" t="s">
        <v>130</v>
      </c>
      <c r="W9" s="194" t="s">
        <v>132</v>
      </c>
      <c r="X9" s="199" t="s">
        <v>130</v>
      </c>
      <c r="Y9" s="200" t="s">
        <v>130</v>
      </c>
      <c r="Z9" s="196"/>
      <c r="AA9" s="194"/>
      <c r="AB9" s="194"/>
      <c r="AC9" s="194"/>
      <c r="AD9" s="194"/>
      <c r="AE9" s="194"/>
      <c r="AF9" s="199"/>
      <c r="AG9" s="187" t="s">
        <v>304</v>
      </c>
      <c r="AH9" s="201">
        <v>43422</v>
      </c>
      <c r="AI9" s="180" t="s">
        <v>132</v>
      </c>
      <c r="AJ9" s="180" t="s">
        <v>132</v>
      </c>
      <c r="AK9" s="180" t="s">
        <v>132</v>
      </c>
      <c r="AL9" s="202" t="s">
        <v>132</v>
      </c>
    </row>
    <row r="10" spans="1:38" s="73" customFormat="1" ht="13" x14ac:dyDescent="0.15">
      <c r="A10" s="73" t="str">
        <f>IF(B10="","",HYPERLINK("https://reports.ofsted.gov.uk/provider/44/80427","Ofsted Local Authority Webpage"))</f>
        <v>Ofsted Local Authority Webpage</v>
      </c>
      <c r="B10" s="55" t="s">
        <v>135</v>
      </c>
      <c r="C10" s="194" t="s">
        <v>136</v>
      </c>
      <c r="D10" s="194" t="s">
        <v>6981</v>
      </c>
      <c r="E10" s="193">
        <v>40963</v>
      </c>
      <c r="F10" s="194" t="s">
        <v>130</v>
      </c>
      <c r="G10" s="195" t="s">
        <v>132</v>
      </c>
      <c r="H10" s="196"/>
      <c r="I10" s="195"/>
      <c r="J10" s="196"/>
      <c r="K10" s="195"/>
      <c r="L10" s="203">
        <v>41380</v>
      </c>
      <c r="M10" s="195" t="s">
        <v>130</v>
      </c>
      <c r="N10" s="196"/>
      <c r="O10" s="195"/>
      <c r="P10" s="197"/>
      <c r="Q10" s="180"/>
      <c r="R10" s="198">
        <v>42923</v>
      </c>
      <c r="S10" s="194" t="s">
        <v>132</v>
      </c>
      <c r="T10" s="194" t="s">
        <v>130</v>
      </c>
      <c r="U10" s="194" t="s">
        <v>132</v>
      </c>
      <c r="V10" s="194" t="s">
        <v>140</v>
      </c>
      <c r="W10" s="194" t="s">
        <v>130</v>
      </c>
      <c r="X10" s="199" t="s">
        <v>132</v>
      </c>
      <c r="Y10" s="200" t="s">
        <v>132</v>
      </c>
      <c r="Z10" s="196"/>
      <c r="AA10" s="194"/>
      <c r="AB10" s="194"/>
      <c r="AC10" s="194"/>
      <c r="AD10" s="194"/>
      <c r="AE10" s="194"/>
      <c r="AF10" s="199"/>
      <c r="AG10" s="187" t="s">
        <v>303</v>
      </c>
      <c r="AH10" s="201">
        <v>44670</v>
      </c>
      <c r="AI10" s="180" t="s">
        <v>132</v>
      </c>
      <c r="AJ10" s="180" t="s">
        <v>132</v>
      </c>
      <c r="AK10" s="180" t="s">
        <v>132</v>
      </c>
      <c r="AL10" s="202" t="s">
        <v>132</v>
      </c>
    </row>
    <row r="11" spans="1:38" s="73" customFormat="1" ht="13" x14ac:dyDescent="0.15">
      <c r="A11" s="55" t="str">
        <f>IF(B11="","",HYPERLINK("https://reports.ofsted.gov.uk/provider/44/80428","Ofsted Local Authority Webpage"))</f>
        <v>Ofsted Local Authority Webpage</v>
      </c>
      <c r="B11" s="180" t="s">
        <v>6982</v>
      </c>
      <c r="C11" s="180" t="s">
        <v>138</v>
      </c>
      <c r="D11" s="180" t="s">
        <v>6981</v>
      </c>
      <c r="E11" s="193">
        <v>40977</v>
      </c>
      <c r="F11" s="194" t="s">
        <v>130</v>
      </c>
      <c r="G11" s="195" t="s">
        <v>130</v>
      </c>
      <c r="H11" s="196"/>
      <c r="I11" s="195"/>
      <c r="J11" s="196"/>
      <c r="K11" s="195"/>
      <c r="L11" s="203">
        <v>41320</v>
      </c>
      <c r="M11" s="195" t="s">
        <v>130</v>
      </c>
      <c r="N11" s="196"/>
      <c r="O11" s="195"/>
      <c r="P11" s="197"/>
      <c r="Q11" s="180"/>
      <c r="R11" s="198">
        <v>42832</v>
      </c>
      <c r="S11" s="194" t="s">
        <v>130</v>
      </c>
      <c r="T11" s="194" t="s">
        <v>130</v>
      </c>
      <c r="U11" s="194" t="s">
        <v>130</v>
      </c>
      <c r="V11" s="194" t="s">
        <v>132</v>
      </c>
      <c r="W11" s="194" t="s">
        <v>132</v>
      </c>
      <c r="X11" s="199" t="s">
        <v>130</v>
      </c>
      <c r="Y11" s="200" t="s">
        <v>132</v>
      </c>
      <c r="Z11" s="196"/>
      <c r="AA11" s="194"/>
      <c r="AB11" s="194"/>
      <c r="AC11" s="194"/>
      <c r="AD11" s="194"/>
      <c r="AE11" s="194"/>
      <c r="AF11" s="199"/>
      <c r="AG11" s="187"/>
      <c r="AH11" s="201"/>
      <c r="AI11" s="180"/>
      <c r="AJ11" s="180"/>
      <c r="AK11" s="180"/>
      <c r="AL11" s="202"/>
    </row>
    <row r="12" spans="1:38" s="73" customFormat="1" ht="13" x14ac:dyDescent="0.15">
      <c r="A12" s="55" t="str">
        <f>IF(B12="","",HYPERLINK("http://reports.ofsted.gov.uk/local-authorities/bexley","Ofsted Local Authority Webpage"))</f>
        <v>Ofsted Local Authority Webpage</v>
      </c>
      <c r="B12" s="55" t="s">
        <v>139</v>
      </c>
      <c r="C12" s="180" t="s">
        <v>129</v>
      </c>
      <c r="D12" s="180" t="s">
        <v>6979</v>
      </c>
      <c r="E12" s="193">
        <v>41145</v>
      </c>
      <c r="F12" s="194" t="s">
        <v>146</v>
      </c>
      <c r="G12" s="195" t="s">
        <v>132</v>
      </c>
      <c r="H12" s="196"/>
      <c r="I12" s="195"/>
      <c r="J12" s="196"/>
      <c r="K12" s="195"/>
      <c r="L12" s="196"/>
      <c r="M12" s="195"/>
      <c r="N12" s="196"/>
      <c r="O12" s="195"/>
      <c r="P12" s="197"/>
      <c r="Q12" s="180"/>
      <c r="R12" s="198">
        <v>41782</v>
      </c>
      <c r="S12" s="194" t="s">
        <v>130</v>
      </c>
      <c r="T12" s="194" t="s">
        <v>130</v>
      </c>
      <c r="U12" s="194" t="s">
        <v>130</v>
      </c>
      <c r="V12" s="194" t="s">
        <v>130</v>
      </c>
      <c r="W12" s="194" t="s">
        <v>130</v>
      </c>
      <c r="X12" s="199" t="s">
        <v>130</v>
      </c>
      <c r="Y12" s="200" t="s">
        <v>146</v>
      </c>
      <c r="Z12" s="196"/>
      <c r="AA12" s="194"/>
      <c r="AB12" s="194"/>
      <c r="AC12" s="194"/>
      <c r="AD12" s="194"/>
      <c r="AE12" s="194"/>
      <c r="AF12" s="199"/>
      <c r="AG12" s="187" t="s">
        <v>304</v>
      </c>
      <c r="AH12" s="201">
        <v>43332</v>
      </c>
      <c r="AI12" s="180" t="s">
        <v>140</v>
      </c>
      <c r="AJ12" s="180" t="s">
        <v>140</v>
      </c>
      <c r="AK12" s="180" t="s">
        <v>140</v>
      </c>
      <c r="AL12" s="202" t="s">
        <v>132</v>
      </c>
    </row>
    <row r="13" spans="1:38" s="73" customFormat="1" ht="13" x14ac:dyDescent="0.15">
      <c r="A13" s="55" t="str">
        <f>IF(B13="","",HYPERLINK("http://reports.ofsted.gov.uk/local-authorities/birmingham","Ofsted Local Authority Webpage"))</f>
        <v>Ofsted Local Authority Webpage</v>
      </c>
      <c r="B13" s="55" t="s">
        <v>141</v>
      </c>
      <c r="C13" s="194" t="s">
        <v>142</v>
      </c>
      <c r="D13" s="194" t="s">
        <v>6980</v>
      </c>
      <c r="E13" s="193">
        <v>40375</v>
      </c>
      <c r="F13" s="194" t="s">
        <v>146</v>
      </c>
      <c r="G13" s="195" t="s">
        <v>130</v>
      </c>
      <c r="H13" s="196"/>
      <c r="I13" s="195"/>
      <c r="J13" s="196"/>
      <c r="K13" s="195"/>
      <c r="L13" s="204">
        <v>41201</v>
      </c>
      <c r="M13" s="195" t="s">
        <v>146</v>
      </c>
      <c r="N13" s="196"/>
      <c r="O13" s="195"/>
      <c r="P13" s="197"/>
      <c r="Q13" s="180"/>
      <c r="R13" s="198">
        <v>41782</v>
      </c>
      <c r="S13" s="194" t="s">
        <v>146</v>
      </c>
      <c r="T13" s="194" t="s">
        <v>146</v>
      </c>
      <c r="U13" s="194" t="s">
        <v>146</v>
      </c>
      <c r="V13" s="194" t="s">
        <v>146</v>
      </c>
      <c r="W13" s="194" t="s">
        <v>146</v>
      </c>
      <c r="X13" s="199" t="s">
        <v>146</v>
      </c>
      <c r="Y13" s="200" t="s">
        <v>146</v>
      </c>
      <c r="Z13" s="198">
        <v>42699</v>
      </c>
      <c r="AA13" s="194" t="s">
        <v>146</v>
      </c>
      <c r="AB13" s="194" t="s">
        <v>146</v>
      </c>
      <c r="AC13" s="194" t="s">
        <v>130</v>
      </c>
      <c r="AD13" s="194" t="s">
        <v>130</v>
      </c>
      <c r="AE13" s="194" t="s">
        <v>130</v>
      </c>
      <c r="AF13" s="199" t="s">
        <v>146</v>
      </c>
      <c r="AG13" s="187" t="s">
        <v>304</v>
      </c>
      <c r="AH13" s="201">
        <v>43481</v>
      </c>
      <c r="AI13" s="180" t="s">
        <v>130</v>
      </c>
      <c r="AJ13" s="180" t="s">
        <v>130</v>
      </c>
      <c r="AK13" s="180" t="s">
        <v>130</v>
      </c>
      <c r="AL13" s="202" t="s">
        <v>130</v>
      </c>
    </row>
    <row r="14" spans="1:38" s="73" customFormat="1" ht="13" x14ac:dyDescent="0.15">
      <c r="A14" s="55" t="str">
        <f>IF(B14="","",HYPERLINK("http://reports.ofsted.gov.uk/local-authorities/blackburn-darwen","Ofsted Local Authority Webpage"))</f>
        <v>Ofsted Local Authority Webpage</v>
      </c>
      <c r="B14" s="55" t="s">
        <v>143</v>
      </c>
      <c r="C14" s="180" t="s">
        <v>144</v>
      </c>
      <c r="D14" s="180" t="s">
        <v>6981</v>
      </c>
      <c r="E14" s="193">
        <v>40977</v>
      </c>
      <c r="F14" s="194" t="s">
        <v>132</v>
      </c>
      <c r="G14" s="195" t="s">
        <v>132</v>
      </c>
      <c r="H14" s="196"/>
      <c r="I14" s="195"/>
      <c r="J14" s="196"/>
      <c r="K14" s="195"/>
      <c r="L14" s="196"/>
      <c r="M14" s="195"/>
      <c r="N14" s="196"/>
      <c r="O14" s="195"/>
      <c r="P14" s="197"/>
      <c r="Q14" s="180"/>
      <c r="R14" s="198">
        <v>43077</v>
      </c>
      <c r="S14" s="194" t="s">
        <v>132</v>
      </c>
      <c r="T14" s="194" t="s">
        <v>130</v>
      </c>
      <c r="U14" s="194" t="s">
        <v>132</v>
      </c>
      <c r="V14" s="194" t="s">
        <v>132</v>
      </c>
      <c r="W14" s="194" t="s">
        <v>132</v>
      </c>
      <c r="X14" s="199" t="s">
        <v>132</v>
      </c>
      <c r="Y14" s="200" t="s">
        <v>132</v>
      </c>
      <c r="Z14" s="196"/>
      <c r="AA14" s="194"/>
      <c r="AB14" s="194"/>
      <c r="AC14" s="194"/>
      <c r="AD14" s="194"/>
      <c r="AE14" s="194"/>
      <c r="AF14" s="199"/>
      <c r="AG14" s="187" t="s">
        <v>304</v>
      </c>
      <c r="AH14" s="201">
        <v>44637</v>
      </c>
      <c r="AI14" s="180" t="s">
        <v>130</v>
      </c>
      <c r="AJ14" s="180" t="s">
        <v>130</v>
      </c>
      <c r="AK14" s="180" t="s">
        <v>130</v>
      </c>
      <c r="AL14" s="202" t="s">
        <v>130</v>
      </c>
    </row>
    <row r="15" spans="1:38" s="73" customFormat="1" ht="13" x14ac:dyDescent="0.15">
      <c r="A15" s="55" t="str">
        <f>IF(B15="","",HYPERLINK("http://reports.ofsted.gov.uk/local-authorities/blackpool","Ofsted Local Authority Webpage"))</f>
        <v>Ofsted Local Authority Webpage</v>
      </c>
      <c r="B15" s="55" t="s">
        <v>145</v>
      </c>
      <c r="C15" s="180" t="s">
        <v>144</v>
      </c>
      <c r="D15" s="194" t="s">
        <v>6981</v>
      </c>
      <c r="E15" s="193">
        <v>40151</v>
      </c>
      <c r="F15" s="194" t="s">
        <v>130</v>
      </c>
      <c r="G15" s="195" t="s">
        <v>132</v>
      </c>
      <c r="H15" s="196"/>
      <c r="I15" s="195"/>
      <c r="J15" s="196"/>
      <c r="K15" s="195"/>
      <c r="L15" s="203">
        <v>41103</v>
      </c>
      <c r="M15" s="195" t="s">
        <v>146</v>
      </c>
      <c r="N15" s="196"/>
      <c r="O15" s="195"/>
      <c r="P15" s="197"/>
      <c r="Q15" s="180"/>
      <c r="R15" s="198">
        <v>41890</v>
      </c>
      <c r="S15" s="194" t="s">
        <v>130</v>
      </c>
      <c r="T15" s="194" t="s">
        <v>130</v>
      </c>
      <c r="U15" s="194" t="s">
        <v>130</v>
      </c>
      <c r="V15" s="194" t="s">
        <v>130</v>
      </c>
      <c r="W15" s="194" t="s">
        <v>130</v>
      </c>
      <c r="X15" s="199" t="s">
        <v>130</v>
      </c>
      <c r="Y15" s="200" t="s">
        <v>130</v>
      </c>
      <c r="Z15" s="196"/>
      <c r="AA15" s="194"/>
      <c r="AB15" s="194"/>
      <c r="AC15" s="194"/>
      <c r="AD15" s="194"/>
      <c r="AE15" s="194"/>
      <c r="AF15" s="199"/>
      <c r="AG15" s="187" t="s">
        <v>304</v>
      </c>
      <c r="AH15" s="201">
        <v>43481</v>
      </c>
      <c r="AI15" s="180" t="s">
        <v>146</v>
      </c>
      <c r="AJ15" s="180" t="s">
        <v>146</v>
      </c>
      <c r="AK15" s="180" t="s">
        <v>146</v>
      </c>
      <c r="AL15" s="202" t="s">
        <v>130</v>
      </c>
    </row>
    <row r="16" spans="1:38" s="73" customFormat="1" ht="13" x14ac:dyDescent="0.15">
      <c r="A16" s="55" t="str">
        <f>IF(B16="","",HYPERLINK("http://reports.ofsted.gov.uk/local-authorities/bolton","Ofsted Local Authority Webpage"))</f>
        <v>Ofsted Local Authority Webpage</v>
      </c>
      <c r="B16" s="55" t="s">
        <v>147</v>
      </c>
      <c r="C16" s="180" t="s">
        <v>144</v>
      </c>
      <c r="D16" s="180" t="s">
        <v>6980</v>
      </c>
      <c r="E16" s="193">
        <v>40991</v>
      </c>
      <c r="F16" s="194" t="s">
        <v>132</v>
      </c>
      <c r="G16" s="195" t="s">
        <v>132</v>
      </c>
      <c r="H16" s="196"/>
      <c r="I16" s="195"/>
      <c r="J16" s="196"/>
      <c r="K16" s="195"/>
      <c r="L16" s="196"/>
      <c r="M16" s="195"/>
      <c r="N16" s="196"/>
      <c r="O16" s="195"/>
      <c r="P16" s="197"/>
      <c r="Q16" s="180"/>
      <c r="R16" s="198">
        <v>41719</v>
      </c>
      <c r="S16" s="194" t="s">
        <v>130</v>
      </c>
      <c r="T16" s="194" t="s">
        <v>130</v>
      </c>
      <c r="U16" s="194" t="s">
        <v>132</v>
      </c>
      <c r="V16" s="194" t="s">
        <v>132</v>
      </c>
      <c r="W16" s="194" t="s">
        <v>132</v>
      </c>
      <c r="X16" s="199" t="s">
        <v>130</v>
      </c>
      <c r="Y16" s="200" t="s">
        <v>130</v>
      </c>
      <c r="Z16" s="196"/>
      <c r="AA16" s="194"/>
      <c r="AB16" s="194"/>
      <c r="AC16" s="194"/>
      <c r="AD16" s="194"/>
      <c r="AE16" s="194"/>
      <c r="AF16" s="199"/>
      <c r="AG16" s="187" t="s">
        <v>304</v>
      </c>
      <c r="AH16" s="201">
        <v>43263</v>
      </c>
      <c r="AI16" s="180" t="s">
        <v>132</v>
      </c>
      <c r="AJ16" s="180" t="s">
        <v>132</v>
      </c>
      <c r="AK16" s="180" t="s">
        <v>132</v>
      </c>
      <c r="AL16" s="202" t="s">
        <v>132</v>
      </c>
    </row>
    <row r="17" spans="1:38" s="73" customFormat="1" ht="13" x14ac:dyDescent="0.15">
      <c r="A17" s="55" t="str">
        <f>IF(B17="","",HYPERLINK("https://reports.ofsted.gov.uk/provider/44/839","Ofsted Local Authority Webpage"))</f>
        <v>Ofsted Local Authority Webpage</v>
      </c>
      <c r="B17" s="55" t="s">
        <v>148</v>
      </c>
      <c r="C17" s="194" t="s">
        <v>136</v>
      </c>
      <c r="D17" s="180" t="s">
        <v>6981</v>
      </c>
      <c r="E17" s="193"/>
      <c r="F17" s="194"/>
      <c r="G17" s="195"/>
      <c r="H17" s="196"/>
      <c r="I17" s="195"/>
      <c r="J17" s="196"/>
      <c r="K17" s="195"/>
      <c r="L17" s="196"/>
      <c r="M17" s="195"/>
      <c r="N17" s="196"/>
      <c r="O17" s="195"/>
      <c r="P17" s="197"/>
      <c r="Q17" s="180"/>
      <c r="R17" s="198"/>
      <c r="S17" s="194"/>
      <c r="T17" s="194"/>
      <c r="U17" s="194"/>
      <c r="V17" s="194"/>
      <c r="W17" s="194"/>
      <c r="X17" s="199"/>
      <c r="Y17" s="200"/>
      <c r="Z17" s="196"/>
      <c r="AA17" s="194"/>
      <c r="AB17" s="194"/>
      <c r="AC17" s="194"/>
      <c r="AD17" s="194"/>
      <c r="AE17" s="194"/>
      <c r="AF17" s="199"/>
      <c r="AG17" s="187"/>
      <c r="AH17" s="201"/>
      <c r="AI17" s="180"/>
      <c r="AJ17" s="180"/>
      <c r="AK17" s="180"/>
      <c r="AL17" s="202"/>
    </row>
    <row r="18" spans="1:38" s="73" customFormat="1" ht="13" x14ac:dyDescent="0.15">
      <c r="A18" s="55" t="str">
        <f>IF(B18="","",HYPERLINK("http://reports.ofsted.gov.uk/local-authorities/bracknell-forest","Ofsted Local Authority Webpage"))</f>
        <v>Ofsted Local Authority Webpage</v>
      </c>
      <c r="B18" s="55" t="s">
        <v>149</v>
      </c>
      <c r="C18" s="180" t="s">
        <v>150</v>
      </c>
      <c r="D18" s="180" t="s">
        <v>6981</v>
      </c>
      <c r="E18" s="193">
        <v>40893</v>
      </c>
      <c r="F18" s="194" t="s">
        <v>132</v>
      </c>
      <c r="G18" s="195" t="s">
        <v>132</v>
      </c>
      <c r="H18" s="196"/>
      <c r="I18" s="195"/>
      <c r="J18" s="196"/>
      <c r="K18" s="195"/>
      <c r="L18" s="196"/>
      <c r="M18" s="195"/>
      <c r="N18" s="196"/>
      <c r="O18" s="195"/>
      <c r="P18" s="197"/>
      <c r="Q18" s="180"/>
      <c r="R18" s="198">
        <v>42930</v>
      </c>
      <c r="S18" s="194" t="s">
        <v>132</v>
      </c>
      <c r="T18" s="194" t="s">
        <v>132</v>
      </c>
      <c r="U18" s="194" t="s">
        <v>140</v>
      </c>
      <c r="V18" s="194" t="s">
        <v>140</v>
      </c>
      <c r="W18" s="194" t="s">
        <v>140</v>
      </c>
      <c r="X18" s="199" t="s">
        <v>132</v>
      </c>
      <c r="Y18" s="200" t="s">
        <v>132</v>
      </c>
      <c r="Z18" s="196"/>
      <c r="AA18" s="194"/>
      <c r="AB18" s="194"/>
      <c r="AC18" s="194"/>
      <c r="AD18" s="194"/>
      <c r="AE18" s="194"/>
      <c r="AF18" s="199"/>
      <c r="AG18" s="187"/>
      <c r="AH18" s="201"/>
      <c r="AI18" s="180"/>
      <c r="AJ18" s="180"/>
      <c r="AK18" s="180"/>
      <c r="AL18" s="202"/>
    </row>
    <row r="19" spans="1:38" s="73" customFormat="1" ht="13" x14ac:dyDescent="0.15">
      <c r="A19" s="55" t="str">
        <f>IF(B19="","",HYPERLINK("http://reports.ofsted.gov.uk/local-authorities/bradford","Ofsted Local Authority Webpage"))</f>
        <v>Ofsted Local Authority Webpage</v>
      </c>
      <c r="B19" s="55" t="s">
        <v>151</v>
      </c>
      <c r="C19" s="180" t="s">
        <v>309</v>
      </c>
      <c r="D19" s="180" t="s">
        <v>6980</v>
      </c>
      <c r="E19" s="193">
        <v>41087</v>
      </c>
      <c r="F19" s="194" t="s">
        <v>132</v>
      </c>
      <c r="G19" s="195" t="s">
        <v>132</v>
      </c>
      <c r="H19" s="196"/>
      <c r="I19" s="195"/>
      <c r="J19" s="196"/>
      <c r="K19" s="195"/>
      <c r="L19" s="196"/>
      <c r="M19" s="195"/>
      <c r="N19" s="196"/>
      <c r="O19" s="195"/>
      <c r="P19" s="197"/>
      <c r="Q19" s="180"/>
      <c r="R19" s="198">
        <v>41782</v>
      </c>
      <c r="S19" s="194" t="s">
        <v>130</v>
      </c>
      <c r="T19" s="194" t="s">
        <v>130</v>
      </c>
      <c r="U19" s="194" t="s">
        <v>132</v>
      </c>
      <c r="V19" s="194" t="s">
        <v>132</v>
      </c>
      <c r="W19" s="194" t="s">
        <v>132</v>
      </c>
      <c r="X19" s="199" t="s">
        <v>132</v>
      </c>
      <c r="Y19" s="200" t="s">
        <v>132</v>
      </c>
      <c r="Z19" s="196"/>
      <c r="AA19" s="194"/>
      <c r="AB19" s="194"/>
      <c r="AC19" s="194"/>
      <c r="AD19" s="194"/>
      <c r="AE19" s="194"/>
      <c r="AF19" s="199"/>
      <c r="AG19" s="187" t="s">
        <v>304</v>
      </c>
      <c r="AH19" s="201">
        <v>43401</v>
      </c>
      <c r="AI19" s="180" t="s">
        <v>146</v>
      </c>
      <c r="AJ19" s="180" t="s">
        <v>130</v>
      </c>
      <c r="AK19" s="180" t="s">
        <v>146</v>
      </c>
      <c r="AL19" s="202" t="s">
        <v>130</v>
      </c>
    </row>
    <row r="20" spans="1:38" s="73" customFormat="1" ht="13" x14ac:dyDescent="0.15">
      <c r="A20" s="55" t="str">
        <f>IF(B20="","",HYPERLINK("http://reports.ofsted.gov.uk/local-authorities/brent","Ofsted Local Authority Webpage"))</f>
        <v>Ofsted Local Authority Webpage</v>
      </c>
      <c r="B20" s="55" t="s">
        <v>152</v>
      </c>
      <c r="C20" s="180" t="s">
        <v>129</v>
      </c>
      <c r="D20" s="194" t="s">
        <v>6979</v>
      </c>
      <c r="E20" s="193">
        <v>40865</v>
      </c>
      <c r="F20" s="194" t="s">
        <v>130</v>
      </c>
      <c r="G20" s="195" t="s">
        <v>130</v>
      </c>
      <c r="H20" s="196"/>
      <c r="I20" s="195"/>
      <c r="J20" s="196"/>
      <c r="K20" s="195"/>
      <c r="L20" s="203">
        <v>41243</v>
      </c>
      <c r="M20" s="195" t="s">
        <v>130</v>
      </c>
      <c r="N20" s="196"/>
      <c r="O20" s="195"/>
      <c r="P20" s="197"/>
      <c r="Q20" s="180"/>
      <c r="R20" s="198">
        <v>42338</v>
      </c>
      <c r="S20" s="194" t="s">
        <v>130</v>
      </c>
      <c r="T20" s="194" t="s">
        <v>130</v>
      </c>
      <c r="U20" s="194" t="s">
        <v>130</v>
      </c>
      <c r="V20" s="194" t="s">
        <v>132</v>
      </c>
      <c r="W20" s="194" t="s">
        <v>130</v>
      </c>
      <c r="X20" s="199" t="s">
        <v>130</v>
      </c>
      <c r="Y20" s="200" t="s">
        <v>130</v>
      </c>
      <c r="Z20" s="196"/>
      <c r="AA20" s="194"/>
      <c r="AB20" s="194"/>
      <c r="AC20" s="194"/>
      <c r="AD20" s="194"/>
      <c r="AE20" s="194"/>
      <c r="AF20" s="199"/>
      <c r="AG20" s="187" t="s">
        <v>304</v>
      </c>
      <c r="AH20" s="201">
        <v>43283</v>
      </c>
      <c r="AI20" s="180" t="s">
        <v>132</v>
      </c>
      <c r="AJ20" s="180" t="s">
        <v>132</v>
      </c>
      <c r="AK20" s="180" t="s">
        <v>130</v>
      </c>
      <c r="AL20" s="202" t="s">
        <v>140</v>
      </c>
    </row>
    <row r="21" spans="1:38" s="73" customFormat="1" ht="13" x14ac:dyDescent="0.15">
      <c r="A21" s="55" t="str">
        <f>IF(B21="","",HYPERLINK("http://reports.ofsted.gov.uk/local-authorities/brighton-and-hove","Ofsted Local Authority Webpage"))</f>
        <v>Ofsted Local Authority Webpage</v>
      </c>
      <c r="B21" s="55" t="s">
        <v>153</v>
      </c>
      <c r="C21" s="180" t="s">
        <v>150</v>
      </c>
      <c r="D21" s="180" t="s">
        <v>6981</v>
      </c>
      <c r="E21" s="193">
        <v>40675</v>
      </c>
      <c r="F21" s="194" t="s">
        <v>130</v>
      </c>
      <c r="G21" s="195" t="s">
        <v>130</v>
      </c>
      <c r="H21" s="196"/>
      <c r="I21" s="195"/>
      <c r="J21" s="196"/>
      <c r="K21" s="195"/>
      <c r="L21" s="196"/>
      <c r="M21" s="195"/>
      <c r="N21" s="196"/>
      <c r="O21" s="195"/>
      <c r="P21" s="197"/>
      <c r="Q21" s="180"/>
      <c r="R21" s="198">
        <v>42177</v>
      </c>
      <c r="S21" s="194" t="s">
        <v>130</v>
      </c>
      <c r="T21" s="194" t="s">
        <v>130</v>
      </c>
      <c r="U21" s="194" t="s">
        <v>132</v>
      </c>
      <c r="V21" s="194" t="s">
        <v>132</v>
      </c>
      <c r="W21" s="194" t="s">
        <v>132</v>
      </c>
      <c r="X21" s="199" t="s">
        <v>132</v>
      </c>
      <c r="Y21" s="200" t="s">
        <v>132</v>
      </c>
      <c r="Z21" s="196"/>
      <c r="AA21" s="194"/>
      <c r="AB21" s="194"/>
      <c r="AC21" s="194"/>
      <c r="AD21" s="194"/>
      <c r="AE21" s="194"/>
      <c r="AF21" s="199"/>
      <c r="AG21" s="187" t="s">
        <v>304</v>
      </c>
      <c r="AH21" s="201">
        <v>43333</v>
      </c>
      <c r="AI21" s="180" t="s">
        <v>132</v>
      </c>
      <c r="AJ21" s="180" t="s">
        <v>132</v>
      </c>
      <c r="AK21" s="180" t="s">
        <v>130</v>
      </c>
      <c r="AL21" s="202" t="s">
        <v>132</v>
      </c>
    </row>
    <row r="22" spans="1:38" s="73" customFormat="1" ht="13" x14ac:dyDescent="0.15">
      <c r="A22" s="55" t="str">
        <f>IF(B22="","",HYPERLINK("http://reports.ofsted.gov.uk/local-authorities/bristol-city","Ofsted Local Authority Webpage"))</f>
        <v>Ofsted Local Authority Webpage</v>
      </c>
      <c r="B22" s="55" t="s">
        <v>154</v>
      </c>
      <c r="C22" s="194" t="s">
        <v>136</v>
      </c>
      <c r="D22" s="180" t="s">
        <v>6981</v>
      </c>
      <c r="E22" s="193">
        <v>40322</v>
      </c>
      <c r="F22" s="194" t="s">
        <v>132</v>
      </c>
      <c r="G22" s="195" t="s">
        <v>132</v>
      </c>
      <c r="H22" s="196"/>
      <c r="I22" s="195"/>
      <c r="J22" s="196"/>
      <c r="K22" s="195"/>
      <c r="L22" s="196"/>
      <c r="M22" s="195"/>
      <c r="N22" s="196"/>
      <c r="O22" s="195"/>
      <c r="P22" s="197"/>
      <c r="Q22" s="180"/>
      <c r="R22" s="198">
        <v>41978</v>
      </c>
      <c r="S22" s="194" t="s">
        <v>130</v>
      </c>
      <c r="T22" s="194" t="s">
        <v>130</v>
      </c>
      <c r="U22" s="194" t="s">
        <v>130</v>
      </c>
      <c r="V22" s="194" t="s">
        <v>132</v>
      </c>
      <c r="W22" s="194" t="s">
        <v>146</v>
      </c>
      <c r="X22" s="199" t="s">
        <v>130</v>
      </c>
      <c r="Y22" s="200" t="s">
        <v>130</v>
      </c>
      <c r="Z22" s="196"/>
      <c r="AA22" s="194"/>
      <c r="AB22" s="194"/>
      <c r="AC22" s="194"/>
      <c r="AD22" s="194"/>
      <c r="AE22" s="194"/>
      <c r="AF22" s="199"/>
      <c r="AG22" s="187" t="s">
        <v>304</v>
      </c>
      <c r="AH22" s="201">
        <v>43394</v>
      </c>
      <c r="AI22" s="180" t="s">
        <v>130</v>
      </c>
      <c r="AJ22" s="180" t="s">
        <v>132</v>
      </c>
      <c r="AK22" s="180" t="s">
        <v>130</v>
      </c>
      <c r="AL22" s="202" t="s">
        <v>130</v>
      </c>
    </row>
    <row r="23" spans="1:38" s="73" customFormat="1" ht="13" x14ac:dyDescent="0.15">
      <c r="A23" s="55" t="str">
        <f>IF(B23="","",HYPERLINK("http://reports.ofsted.gov.uk/local-authorities/bromley","Ofsted Local Authority Webpage"))</f>
        <v>Ofsted Local Authority Webpage</v>
      </c>
      <c r="B23" s="55" t="s">
        <v>155</v>
      </c>
      <c r="C23" s="180" t="s">
        <v>129</v>
      </c>
      <c r="D23" s="180" t="s">
        <v>6979</v>
      </c>
      <c r="E23" s="193">
        <v>40322</v>
      </c>
      <c r="F23" s="194" t="s">
        <v>130</v>
      </c>
      <c r="G23" s="195" t="s">
        <v>130</v>
      </c>
      <c r="H23" s="196"/>
      <c r="I23" s="195"/>
      <c r="J23" s="196"/>
      <c r="K23" s="195"/>
      <c r="L23" s="203">
        <v>41138</v>
      </c>
      <c r="M23" s="195" t="s">
        <v>130</v>
      </c>
      <c r="N23" s="196"/>
      <c r="O23" s="195"/>
      <c r="P23" s="197"/>
      <c r="Q23" s="180"/>
      <c r="R23" s="198">
        <v>42548</v>
      </c>
      <c r="S23" s="194" t="s">
        <v>146</v>
      </c>
      <c r="T23" s="194" t="s">
        <v>146</v>
      </c>
      <c r="U23" s="194" t="s">
        <v>146</v>
      </c>
      <c r="V23" s="194" t="s">
        <v>146</v>
      </c>
      <c r="W23" s="194" t="s">
        <v>146</v>
      </c>
      <c r="X23" s="199" t="s">
        <v>146</v>
      </c>
      <c r="Y23" s="200" t="s">
        <v>130</v>
      </c>
      <c r="Z23" s="196"/>
      <c r="AA23" s="194"/>
      <c r="AB23" s="194"/>
      <c r="AC23" s="194"/>
      <c r="AD23" s="194"/>
      <c r="AE23" s="194"/>
      <c r="AF23" s="199"/>
      <c r="AG23" s="187" t="s">
        <v>304</v>
      </c>
      <c r="AH23" s="201">
        <v>43471</v>
      </c>
      <c r="AI23" s="180" t="s">
        <v>132</v>
      </c>
      <c r="AJ23" s="180" t="s">
        <v>140</v>
      </c>
      <c r="AK23" s="180" t="s">
        <v>132</v>
      </c>
      <c r="AL23" s="202" t="s">
        <v>132</v>
      </c>
    </row>
    <row r="24" spans="1:38" s="73" customFormat="1" ht="13" x14ac:dyDescent="0.15">
      <c r="A24" s="55" t="str">
        <f>IF(B24="","",HYPERLINK("http://reports.ofsted.gov.uk/local-authorities/buckinghamshire","Ofsted Local Authority Webpage"))</f>
        <v>Ofsted Local Authority Webpage</v>
      </c>
      <c r="B24" s="55" t="s">
        <v>156</v>
      </c>
      <c r="C24" s="180" t="s">
        <v>150</v>
      </c>
      <c r="D24" s="180" t="s">
        <v>6983</v>
      </c>
      <c r="E24" s="193">
        <v>40567</v>
      </c>
      <c r="F24" s="194" t="s">
        <v>132</v>
      </c>
      <c r="G24" s="195" t="s">
        <v>132</v>
      </c>
      <c r="H24" s="196"/>
      <c r="I24" s="195"/>
      <c r="J24" s="196"/>
      <c r="K24" s="195"/>
      <c r="L24" s="196"/>
      <c r="M24" s="195"/>
      <c r="N24" s="196"/>
      <c r="O24" s="195"/>
      <c r="P24" s="197"/>
      <c r="Q24" s="180"/>
      <c r="R24" s="198">
        <v>41859</v>
      </c>
      <c r="S24" s="194" t="s">
        <v>146</v>
      </c>
      <c r="T24" s="194" t="s">
        <v>146</v>
      </c>
      <c r="U24" s="194" t="s">
        <v>146</v>
      </c>
      <c r="V24" s="194" t="s">
        <v>130</v>
      </c>
      <c r="W24" s="194" t="s">
        <v>130</v>
      </c>
      <c r="X24" s="199" t="s">
        <v>146</v>
      </c>
      <c r="Y24" s="200" t="s">
        <v>146</v>
      </c>
      <c r="Z24" s="203">
        <v>43129</v>
      </c>
      <c r="AA24" s="194" t="s">
        <v>146</v>
      </c>
      <c r="AB24" s="194" t="s">
        <v>146</v>
      </c>
      <c r="AC24" s="194" t="s">
        <v>146</v>
      </c>
      <c r="AD24" s="194" t="s">
        <v>132</v>
      </c>
      <c r="AE24" s="194" t="s">
        <v>130</v>
      </c>
      <c r="AF24" s="199" t="s">
        <v>146</v>
      </c>
      <c r="AG24" s="187" t="s">
        <v>304</v>
      </c>
      <c r="AH24" s="201">
        <v>44602</v>
      </c>
      <c r="AI24" s="180" t="s">
        <v>130</v>
      </c>
      <c r="AJ24" s="180" t="s">
        <v>130</v>
      </c>
      <c r="AK24" s="180" t="s">
        <v>130</v>
      </c>
      <c r="AL24" s="202" t="s">
        <v>130</v>
      </c>
    </row>
    <row r="25" spans="1:38" s="73" customFormat="1" ht="13" x14ac:dyDescent="0.15">
      <c r="A25" s="55" t="str">
        <f>IF(B25="","",HYPERLINK("http://reports.ofsted.gov.uk/local-authorities/bury","Ofsted Local Authority Webpage"))</f>
        <v>Ofsted Local Authority Webpage</v>
      </c>
      <c r="B25" s="55" t="s">
        <v>157</v>
      </c>
      <c r="C25" s="180" t="s">
        <v>144</v>
      </c>
      <c r="D25" s="180" t="s">
        <v>6980</v>
      </c>
      <c r="E25" s="193">
        <v>41073</v>
      </c>
      <c r="F25" s="194" t="s">
        <v>130</v>
      </c>
      <c r="G25" s="195" t="s">
        <v>130</v>
      </c>
      <c r="H25" s="196"/>
      <c r="I25" s="195"/>
      <c r="J25" s="196"/>
      <c r="K25" s="195"/>
      <c r="L25" s="196"/>
      <c r="M25" s="195"/>
      <c r="N25" s="196"/>
      <c r="O25" s="195"/>
      <c r="P25" s="197"/>
      <c r="Q25" s="180"/>
      <c r="R25" s="198">
        <v>42506</v>
      </c>
      <c r="S25" s="194" t="s">
        <v>130</v>
      </c>
      <c r="T25" s="194" t="s">
        <v>132</v>
      </c>
      <c r="U25" s="194" t="s">
        <v>130</v>
      </c>
      <c r="V25" s="194" t="s">
        <v>132</v>
      </c>
      <c r="W25" s="194" t="s">
        <v>130</v>
      </c>
      <c r="X25" s="199" t="s">
        <v>132</v>
      </c>
      <c r="Y25" s="200" t="s">
        <v>132</v>
      </c>
      <c r="Z25" s="196"/>
      <c r="AA25" s="194"/>
      <c r="AB25" s="194"/>
      <c r="AC25" s="194"/>
      <c r="AD25" s="194"/>
      <c r="AE25" s="194"/>
      <c r="AF25" s="199"/>
      <c r="AG25" s="187" t="s">
        <v>304</v>
      </c>
      <c r="AH25" s="201">
        <v>44546</v>
      </c>
      <c r="AI25" s="180" t="s">
        <v>146</v>
      </c>
      <c r="AJ25" s="180" t="s">
        <v>146</v>
      </c>
      <c r="AK25" s="180" t="s">
        <v>146</v>
      </c>
      <c r="AL25" s="202" t="s">
        <v>130</v>
      </c>
    </row>
    <row r="26" spans="1:38" s="73" customFormat="1" ht="13" x14ac:dyDescent="0.15">
      <c r="A26" s="55" t="str">
        <f>IF(B26="","",HYPERLINK("https://reports.ofsted.gov.uk/provider/44/80444","Ofsted Local Authority Webpage"))</f>
        <v>Ofsted Local Authority Webpage</v>
      </c>
      <c r="B26" s="55" t="s">
        <v>158</v>
      </c>
      <c r="C26" s="180" t="s">
        <v>309</v>
      </c>
      <c r="D26" s="180" t="s">
        <v>6980</v>
      </c>
      <c r="E26" s="193">
        <v>40235</v>
      </c>
      <c r="F26" s="194" t="s">
        <v>146</v>
      </c>
      <c r="G26" s="195" t="s">
        <v>130</v>
      </c>
      <c r="H26" s="196"/>
      <c r="I26" s="195"/>
      <c r="J26" s="196"/>
      <c r="K26" s="195"/>
      <c r="L26" s="203">
        <v>41295</v>
      </c>
      <c r="M26" s="195" t="s">
        <v>146</v>
      </c>
      <c r="N26" s="203">
        <v>41481</v>
      </c>
      <c r="O26" s="195" t="s">
        <v>146</v>
      </c>
      <c r="P26" s="197"/>
      <c r="Q26" s="180"/>
      <c r="R26" s="198">
        <v>42083</v>
      </c>
      <c r="S26" s="194" t="s">
        <v>130</v>
      </c>
      <c r="T26" s="194" t="s">
        <v>130</v>
      </c>
      <c r="U26" s="194" t="s">
        <v>130</v>
      </c>
      <c r="V26" s="194" t="s">
        <v>146</v>
      </c>
      <c r="W26" s="194" t="s">
        <v>130</v>
      </c>
      <c r="X26" s="199" t="s">
        <v>130</v>
      </c>
      <c r="Y26" s="200" t="s">
        <v>130</v>
      </c>
      <c r="Z26" s="196"/>
      <c r="AA26" s="194"/>
      <c r="AB26" s="194"/>
      <c r="AC26" s="194"/>
      <c r="AD26" s="194"/>
      <c r="AE26" s="194"/>
      <c r="AF26" s="199"/>
      <c r="AG26" s="187" t="s">
        <v>304</v>
      </c>
      <c r="AH26" s="201">
        <v>43453</v>
      </c>
      <c r="AI26" s="180" t="s">
        <v>132</v>
      </c>
      <c r="AJ26" s="180" t="s">
        <v>132</v>
      </c>
      <c r="AK26" s="180" t="s">
        <v>130</v>
      </c>
      <c r="AL26" s="202" t="s">
        <v>140</v>
      </c>
    </row>
    <row r="27" spans="1:38" s="73" customFormat="1" ht="13" x14ac:dyDescent="0.15">
      <c r="A27" s="55" t="str">
        <f>IF(B27="","",HYPERLINK("http://reports.ofsted.gov.uk/local-authorities/cambridgeshire","Ofsted Local Authority Webpage"))</f>
        <v>Ofsted Local Authority Webpage</v>
      </c>
      <c r="B27" s="55" t="s">
        <v>159</v>
      </c>
      <c r="C27" s="180" t="s">
        <v>138</v>
      </c>
      <c r="D27" s="194" t="s">
        <v>6983</v>
      </c>
      <c r="E27" s="193">
        <v>40109</v>
      </c>
      <c r="F27" s="194" t="s">
        <v>130</v>
      </c>
      <c r="G27" s="195" t="s">
        <v>130</v>
      </c>
      <c r="H27" s="196"/>
      <c r="I27" s="195"/>
      <c r="J27" s="196"/>
      <c r="K27" s="195"/>
      <c r="L27" s="203">
        <v>41201</v>
      </c>
      <c r="M27" s="195" t="s">
        <v>146</v>
      </c>
      <c r="N27" s="196"/>
      <c r="O27" s="195"/>
      <c r="P27" s="197"/>
      <c r="Q27" s="180"/>
      <c r="R27" s="198">
        <v>41859</v>
      </c>
      <c r="S27" s="194" t="s">
        <v>132</v>
      </c>
      <c r="T27" s="194" t="s">
        <v>130</v>
      </c>
      <c r="U27" s="194" t="s">
        <v>132</v>
      </c>
      <c r="V27" s="194" t="s">
        <v>132</v>
      </c>
      <c r="W27" s="194" t="s">
        <v>132</v>
      </c>
      <c r="X27" s="199" t="s">
        <v>132</v>
      </c>
      <c r="Y27" s="200" t="s">
        <v>132</v>
      </c>
      <c r="Z27" s="196"/>
      <c r="AA27" s="194"/>
      <c r="AB27" s="194"/>
      <c r="AC27" s="194"/>
      <c r="AD27" s="194"/>
      <c r="AE27" s="194"/>
      <c r="AF27" s="199"/>
      <c r="AG27" s="187" t="s">
        <v>303</v>
      </c>
      <c r="AH27" s="201">
        <v>43513</v>
      </c>
      <c r="AI27" s="180" t="s">
        <v>130</v>
      </c>
      <c r="AJ27" s="180" t="s">
        <v>132</v>
      </c>
      <c r="AK27" s="180" t="s">
        <v>130</v>
      </c>
      <c r="AL27" s="202" t="s">
        <v>130</v>
      </c>
    </row>
    <row r="28" spans="1:38" s="73" customFormat="1" ht="13" x14ac:dyDescent="0.15">
      <c r="A28" s="55" t="str">
        <f>IF(B28="","",HYPERLINK("https://reports.ofsted.gov.uk/provider/44/80491","Ofsted Local Authority Webpage"))</f>
        <v>Ofsted Local Authority Webpage</v>
      </c>
      <c r="B28" s="55" t="s">
        <v>160</v>
      </c>
      <c r="C28" s="180" t="s">
        <v>129</v>
      </c>
      <c r="D28" s="180" t="s">
        <v>6979</v>
      </c>
      <c r="E28" s="193">
        <v>41009</v>
      </c>
      <c r="F28" s="194" t="s">
        <v>132</v>
      </c>
      <c r="G28" s="195" t="s">
        <v>132</v>
      </c>
      <c r="H28" s="196"/>
      <c r="I28" s="195"/>
      <c r="J28" s="196"/>
      <c r="K28" s="195"/>
      <c r="L28" s="196"/>
      <c r="M28" s="195"/>
      <c r="N28" s="196"/>
      <c r="O28" s="195"/>
      <c r="P28" s="197"/>
      <c r="Q28" s="180"/>
      <c r="R28" s="198">
        <v>43063</v>
      </c>
      <c r="S28" s="194" t="s">
        <v>132</v>
      </c>
      <c r="T28" s="194" t="s">
        <v>132</v>
      </c>
      <c r="U28" s="194" t="s">
        <v>132</v>
      </c>
      <c r="V28" s="194" t="s">
        <v>140</v>
      </c>
      <c r="W28" s="194" t="s">
        <v>132</v>
      </c>
      <c r="X28" s="199" t="s">
        <v>140</v>
      </c>
      <c r="Y28" s="200" t="s">
        <v>140</v>
      </c>
      <c r="Z28" s="196"/>
      <c r="AA28" s="194"/>
      <c r="AB28" s="194"/>
      <c r="AC28" s="194"/>
      <c r="AD28" s="194"/>
      <c r="AE28" s="194"/>
      <c r="AF28" s="199"/>
      <c r="AG28" s="187"/>
      <c r="AH28" s="201"/>
      <c r="AI28" s="180"/>
      <c r="AJ28" s="180"/>
      <c r="AK28" s="180"/>
      <c r="AL28" s="202"/>
    </row>
    <row r="29" spans="1:38" s="73" customFormat="1" ht="13" x14ac:dyDescent="0.15">
      <c r="A29" s="55" t="str">
        <f>IF(B29="","",HYPERLINK("http://reports.ofsted.gov.uk/local-authorities/central-bedfordshire","Ofsted Local Authority Webpage"))</f>
        <v>Ofsted Local Authority Webpage</v>
      </c>
      <c r="B29" s="55" t="s">
        <v>161</v>
      </c>
      <c r="C29" s="180" t="s">
        <v>138</v>
      </c>
      <c r="D29" s="180" t="s">
        <v>6981</v>
      </c>
      <c r="E29" s="193">
        <v>41009</v>
      </c>
      <c r="F29" s="194" t="s">
        <v>132</v>
      </c>
      <c r="G29" s="195" t="s">
        <v>130</v>
      </c>
      <c r="H29" s="196"/>
      <c r="I29" s="195"/>
      <c r="J29" s="196"/>
      <c r="K29" s="195"/>
      <c r="L29" s="196"/>
      <c r="M29" s="195"/>
      <c r="N29" s="196"/>
      <c r="O29" s="195"/>
      <c r="P29" s="197"/>
      <c r="Q29" s="180"/>
      <c r="R29" s="198">
        <v>42972</v>
      </c>
      <c r="S29" s="194" t="s">
        <v>132</v>
      </c>
      <c r="T29" s="194" t="s">
        <v>132</v>
      </c>
      <c r="U29" s="194" t="s">
        <v>130</v>
      </c>
      <c r="V29" s="194" t="s">
        <v>132</v>
      </c>
      <c r="W29" s="194" t="s">
        <v>132</v>
      </c>
      <c r="X29" s="199" t="s">
        <v>132</v>
      </c>
      <c r="Y29" s="200" t="s">
        <v>132</v>
      </c>
      <c r="Z29" s="196"/>
      <c r="AA29" s="194"/>
      <c r="AB29" s="194"/>
      <c r="AC29" s="194"/>
      <c r="AD29" s="194"/>
      <c r="AE29" s="194"/>
      <c r="AF29" s="199"/>
      <c r="AG29" s="187" t="s">
        <v>303</v>
      </c>
      <c r="AH29" s="201">
        <v>44654</v>
      </c>
      <c r="AI29" s="180" t="s">
        <v>132</v>
      </c>
      <c r="AJ29" s="180" t="s">
        <v>132</v>
      </c>
      <c r="AK29" s="180" t="s">
        <v>130</v>
      </c>
      <c r="AL29" s="202" t="s">
        <v>132</v>
      </c>
    </row>
    <row r="30" spans="1:38" s="73" customFormat="1" ht="13" x14ac:dyDescent="0.15">
      <c r="A30" s="55" t="str">
        <f>IF(B30="","",HYPERLINK("https://reports.ofsted.gov.uk/provider/44/80447","Ofsted Local Authority Webpage"))</f>
        <v>Ofsted Local Authority Webpage</v>
      </c>
      <c r="B30" s="55" t="s">
        <v>162</v>
      </c>
      <c r="C30" s="180" t="s">
        <v>144</v>
      </c>
      <c r="D30" s="194" t="s">
        <v>6981</v>
      </c>
      <c r="E30" s="193">
        <v>40767</v>
      </c>
      <c r="F30" s="194" t="s">
        <v>130</v>
      </c>
      <c r="G30" s="195" t="s">
        <v>130</v>
      </c>
      <c r="H30" s="196"/>
      <c r="I30" s="195"/>
      <c r="J30" s="196"/>
      <c r="K30" s="195"/>
      <c r="L30" s="203">
        <v>41387</v>
      </c>
      <c r="M30" s="195" t="s">
        <v>146</v>
      </c>
      <c r="N30" s="196"/>
      <c r="O30" s="195"/>
      <c r="P30" s="197"/>
      <c r="Q30" s="180"/>
      <c r="R30" s="198">
        <v>42262</v>
      </c>
      <c r="S30" s="194" t="s">
        <v>130</v>
      </c>
      <c r="T30" s="194" t="s">
        <v>130</v>
      </c>
      <c r="U30" s="194" t="s">
        <v>130</v>
      </c>
      <c r="V30" s="194" t="s">
        <v>132</v>
      </c>
      <c r="W30" s="194" t="s">
        <v>130</v>
      </c>
      <c r="X30" s="199" t="s">
        <v>130</v>
      </c>
      <c r="Y30" s="200" t="s">
        <v>130</v>
      </c>
      <c r="Z30" s="196"/>
      <c r="AA30" s="194"/>
      <c r="AB30" s="194"/>
      <c r="AC30" s="194"/>
      <c r="AD30" s="194"/>
      <c r="AE30" s="194"/>
      <c r="AF30" s="199"/>
      <c r="AG30" s="187" t="s">
        <v>304</v>
      </c>
      <c r="AH30" s="201">
        <v>43838</v>
      </c>
      <c r="AI30" s="180" t="s">
        <v>130</v>
      </c>
      <c r="AJ30" s="180" t="s">
        <v>130</v>
      </c>
      <c r="AK30" s="180" t="s">
        <v>130</v>
      </c>
      <c r="AL30" s="202" t="s">
        <v>130</v>
      </c>
    </row>
    <row r="31" spans="1:38" s="73" customFormat="1" ht="13" x14ac:dyDescent="0.15">
      <c r="A31" s="73" t="str">
        <f>IF(B31="","",HYPERLINK("http://reports.ofsted.gov.uk/local-authorities/cheshire-west-and-chester","Ofsted Local Authority Webpage"))</f>
        <v>Ofsted Local Authority Webpage</v>
      </c>
      <c r="B31" s="55" t="s">
        <v>163</v>
      </c>
      <c r="C31" s="180" t="s">
        <v>144</v>
      </c>
      <c r="D31" s="194" t="s">
        <v>6981</v>
      </c>
      <c r="E31" s="193">
        <v>40522</v>
      </c>
      <c r="F31" s="194" t="s">
        <v>146</v>
      </c>
      <c r="G31" s="195" t="s">
        <v>130</v>
      </c>
      <c r="H31" s="196"/>
      <c r="I31" s="195"/>
      <c r="J31" s="196"/>
      <c r="K31" s="195"/>
      <c r="L31" s="203">
        <v>41222</v>
      </c>
      <c r="M31" s="195" t="s">
        <v>130</v>
      </c>
      <c r="N31" s="196"/>
      <c r="O31" s="195"/>
      <c r="P31" s="197"/>
      <c r="Q31" s="180"/>
      <c r="R31" s="198">
        <v>42419</v>
      </c>
      <c r="S31" s="194" t="s">
        <v>132</v>
      </c>
      <c r="T31" s="194" t="s">
        <v>132</v>
      </c>
      <c r="U31" s="194" t="s">
        <v>132</v>
      </c>
      <c r="V31" s="194" t="s">
        <v>140</v>
      </c>
      <c r="W31" s="194" t="s">
        <v>132</v>
      </c>
      <c r="X31" s="199" t="s">
        <v>140</v>
      </c>
      <c r="Y31" s="200" t="s">
        <v>132</v>
      </c>
      <c r="Z31" s="196"/>
      <c r="AA31" s="194"/>
      <c r="AB31" s="194"/>
      <c r="AC31" s="194"/>
      <c r="AD31" s="194"/>
      <c r="AE31" s="194"/>
      <c r="AF31" s="199"/>
      <c r="AG31" s="187" t="s">
        <v>303</v>
      </c>
      <c r="AH31" s="201">
        <v>43593</v>
      </c>
      <c r="AI31" s="180" t="s">
        <v>132</v>
      </c>
      <c r="AJ31" s="180" t="s">
        <v>132</v>
      </c>
      <c r="AK31" s="180" t="s">
        <v>132</v>
      </c>
      <c r="AL31" s="202" t="s">
        <v>132</v>
      </c>
    </row>
    <row r="32" spans="1:38" s="73" customFormat="1" ht="13" x14ac:dyDescent="0.15">
      <c r="A32" s="73" t="str">
        <f>IF(B32="","",HYPERLINK("https://reports.ofsted.gov.uk/provider/44/80450","Ofsted Local Authority Webpage"))</f>
        <v>Ofsted Local Authority Webpage</v>
      </c>
      <c r="B32" s="73" t="s">
        <v>164</v>
      </c>
      <c r="C32" s="180" t="s">
        <v>129</v>
      </c>
      <c r="D32" s="180" t="s">
        <v>6979</v>
      </c>
      <c r="E32" s="193">
        <v>41016</v>
      </c>
      <c r="F32" s="194" t="s">
        <v>132</v>
      </c>
      <c r="G32" s="195" t="s">
        <v>132</v>
      </c>
      <c r="H32" s="196"/>
      <c r="I32" s="195"/>
      <c r="J32" s="196"/>
      <c r="K32" s="195"/>
      <c r="L32" s="196"/>
      <c r="M32" s="195"/>
      <c r="N32" s="196"/>
      <c r="O32" s="195"/>
      <c r="P32" s="197"/>
      <c r="Q32" s="180"/>
      <c r="R32" s="198">
        <v>42633</v>
      </c>
      <c r="S32" s="194" t="s">
        <v>132</v>
      </c>
      <c r="T32" s="194" t="s">
        <v>132</v>
      </c>
      <c r="U32" s="194" t="s">
        <v>132</v>
      </c>
      <c r="V32" s="180" t="s">
        <v>6984</v>
      </c>
      <c r="W32" s="194" t="s">
        <v>132</v>
      </c>
      <c r="X32" s="199" t="s">
        <v>140</v>
      </c>
      <c r="Y32" s="200" t="s">
        <v>140</v>
      </c>
      <c r="Z32" s="196"/>
      <c r="AA32" s="194"/>
      <c r="AB32" s="194"/>
      <c r="AC32" s="194"/>
      <c r="AD32" s="194"/>
      <c r="AE32" s="194"/>
      <c r="AF32" s="199"/>
      <c r="AG32" s="187" t="s">
        <v>303</v>
      </c>
      <c r="AH32" s="201">
        <v>43927</v>
      </c>
      <c r="AI32" s="180" t="s">
        <v>140</v>
      </c>
      <c r="AJ32" s="180" t="s">
        <v>140</v>
      </c>
      <c r="AK32" s="180" t="s">
        <v>132</v>
      </c>
      <c r="AL32" s="202" t="s">
        <v>140</v>
      </c>
    </row>
    <row r="33" spans="1:38" s="73" customFormat="1" ht="13" x14ac:dyDescent="0.15">
      <c r="A33" s="73" t="str">
        <f>IF(B33="","",HYPERLINK("http://reports.ofsted.gov.uk/local-authorities/cornwall","Ofsted Local Authority Webpage"))</f>
        <v>Ofsted Local Authority Webpage</v>
      </c>
      <c r="B33" s="55" t="s">
        <v>165</v>
      </c>
      <c r="C33" s="194" t="s">
        <v>136</v>
      </c>
      <c r="D33" s="180" t="s">
        <v>6981</v>
      </c>
      <c r="E33" s="193">
        <v>40109</v>
      </c>
      <c r="F33" s="194" t="s">
        <v>146</v>
      </c>
      <c r="G33" s="195" t="s">
        <v>146</v>
      </c>
      <c r="H33" s="205">
        <v>40599</v>
      </c>
      <c r="I33" s="195" t="s">
        <v>146</v>
      </c>
      <c r="J33" s="205">
        <v>40599</v>
      </c>
      <c r="K33" s="195" t="s">
        <v>130</v>
      </c>
      <c r="L33" s="203">
        <v>41348</v>
      </c>
      <c r="M33" s="195" t="s">
        <v>130</v>
      </c>
      <c r="N33" s="196"/>
      <c r="O33" s="195"/>
      <c r="P33" s="197"/>
      <c r="Q33" s="180"/>
      <c r="R33" s="198">
        <v>42548</v>
      </c>
      <c r="S33" s="194" t="s">
        <v>132</v>
      </c>
      <c r="T33" s="194" t="s">
        <v>130</v>
      </c>
      <c r="U33" s="194" t="s">
        <v>132</v>
      </c>
      <c r="V33" s="194" t="s">
        <v>132</v>
      </c>
      <c r="W33" s="194" t="s">
        <v>132</v>
      </c>
      <c r="X33" s="199" t="s">
        <v>132</v>
      </c>
      <c r="Y33" s="200" t="s">
        <v>130</v>
      </c>
      <c r="Z33" s="196"/>
      <c r="AA33" s="194"/>
      <c r="AB33" s="194"/>
      <c r="AC33" s="194"/>
      <c r="AD33" s="194"/>
      <c r="AE33" s="194"/>
      <c r="AF33" s="199"/>
      <c r="AG33" s="187" t="s">
        <v>303</v>
      </c>
      <c r="AH33" s="201">
        <v>43774</v>
      </c>
      <c r="AI33" s="180" t="s">
        <v>140</v>
      </c>
      <c r="AJ33" s="180" t="s">
        <v>140</v>
      </c>
      <c r="AK33" s="180" t="s">
        <v>132</v>
      </c>
      <c r="AL33" s="202" t="s">
        <v>140</v>
      </c>
    </row>
    <row r="34" spans="1:38" s="73" customFormat="1" ht="13" x14ac:dyDescent="0.15">
      <c r="A34" s="55" t="str">
        <f>IF(B34="","",HYPERLINK("http://reports.ofsted.gov.uk/local-authorities/coventry","Ofsted Local Authority Webpage"))</f>
        <v>Ofsted Local Authority Webpage</v>
      </c>
      <c r="B34" s="55" t="s">
        <v>166</v>
      </c>
      <c r="C34" s="194" t="s">
        <v>142</v>
      </c>
      <c r="D34" s="180" t="s">
        <v>6980</v>
      </c>
      <c r="E34" s="193">
        <v>40675</v>
      </c>
      <c r="F34" s="194" t="s">
        <v>132</v>
      </c>
      <c r="G34" s="195" t="s">
        <v>130</v>
      </c>
      <c r="H34" s="196"/>
      <c r="I34" s="195"/>
      <c r="J34" s="196"/>
      <c r="K34" s="195"/>
      <c r="L34" s="196"/>
      <c r="M34" s="195"/>
      <c r="N34" s="196"/>
      <c r="O34" s="195"/>
      <c r="P34" s="197"/>
      <c r="Q34" s="180"/>
      <c r="R34" s="198">
        <v>41719</v>
      </c>
      <c r="S34" s="194" t="s">
        <v>146</v>
      </c>
      <c r="T34" s="194" t="s">
        <v>146</v>
      </c>
      <c r="U34" s="194" t="s">
        <v>130</v>
      </c>
      <c r="V34" s="194" t="s">
        <v>130</v>
      </c>
      <c r="W34" s="194" t="s">
        <v>130</v>
      </c>
      <c r="X34" s="199" t="s">
        <v>146</v>
      </c>
      <c r="Y34" s="200" t="s">
        <v>146</v>
      </c>
      <c r="Z34" s="198">
        <v>42899</v>
      </c>
      <c r="AA34" s="194" t="s">
        <v>130</v>
      </c>
      <c r="AB34" s="194" t="s">
        <v>130</v>
      </c>
      <c r="AC34" s="194" t="s">
        <v>130</v>
      </c>
      <c r="AD34" s="194" t="s">
        <v>130</v>
      </c>
      <c r="AE34" s="194" t="s">
        <v>132</v>
      </c>
      <c r="AF34" s="199" t="s">
        <v>130</v>
      </c>
      <c r="AG34" s="187"/>
      <c r="AH34" s="201"/>
      <c r="AI34" s="180"/>
      <c r="AJ34" s="180"/>
      <c r="AK34" s="180"/>
      <c r="AL34" s="202"/>
    </row>
    <row r="35" spans="1:38" s="73" customFormat="1" ht="14" x14ac:dyDescent="0.15">
      <c r="A35" s="55" t="str">
        <f>IF(B35="","",HYPERLINK("http://reports.ofsted.gov.uk/local-authorities/croydon","Ofsted Local Authority Webpage"))</f>
        <v>Ofsted Local Authority Webpage</v>
      </c>
      <c r="B35" s="55" t="s">
        <v>167</v>
      </c>
      <c r="C35" s="180" t="s">
        <v>129</v>
      </c>
      <c r="D35" s="206" t="s">
        <v>6979</v>
      </c>
      <c r="E35" s="193">
        <v>41088</v>
      </c>
      <c r="F35" s="194" t="s">
        <v>130</v>
      </c>
      <c r="G35" s="195" t="s">
        <v>130</v>
      </c>
      <c r="H35" s="196"/>
      <c r="I35" s="195"/>
      <c r="J35" s="196"/>
      <c r="K35" s="195"/>
      <c r="L35" s="196"/>
      <c r="M35" s="195"/>
      <c r="N35" s="196"/>
      <c r="O35" s="195"/>
      <c r="P35" s="197"/>
      <c r="Q35" s="180"/>
      <c r="R35" s="203">
        <v>42982</v>
      </c>
      <c r="S35" s="194" t="s">
        <v>146</v>
      </c>
      <c r="T35" s="194" t="s">
        <v>146</v>
      </c>
      <c r="U35" s="194" t="s">
        <v>146</v>
      </c>
      <c r="V35" s="194" t="s">
        <v>130</v>
      </c>
      <c r="W35" s="194" t="s">
        <v>130</v>
      </c>
      <c r="X35" s="199" t="s">
        <v>146</v>
      </c>
      <c r="Y35" s="200" t="s">
        <v>146</v>
      </c>
      <c r="Z35" s="196"/>
      <c r="AA35" s="194"/>
      <c r="AB35" s="194"/>
      <c r="AC35" s="194"/>
      <c r="AD35" s="194"/>
      <c r="AE35" s="194"/>
      <c r="AF35" s="199"/>
      <c r="AG35" s="187" t="s">
        <v>304</v>
      </c>
      <c r="AH35" s="201">
        <v>43905</v>
      </c>
      <c r="AI35" s="180" t="s">
        <v>132</v>
      </c>
      <c r="AJ35" s="180" t="s">
        <v>132</v>
      </c>
      <c r="AK35" s="180" t="s">
        <v>132</v>
      </c>
      <c r="AL35" s="202" t="s">
        <v>130</v>
      </c>
    </row>
    <row r="36" spans="1:38" s="73" customFormat="1" ht="13" x14ac:dyDescent="0.15">
      <c r="A36" s="55" t="str">
        <f>IF(B36="","",HYPERLINK("https://reports.ofsted.gov.uk/provider/44/80457","Ofsted Local Authority Webpage"))</f>
        <v>Ofsted Local Authority Webpage</v>
      </c>
      <c r="B36" s="55" t="s">
        <v>168</v>
      </c>
      <c r="C36" s="180" t="s">
        <v>144</v>
      </c>
      <c r="D36" s="180" t="s">
        <v>6983</v>
      </c>
      <c r="E36" s="193">
        <v>41058</v>
      </c>
      <c r="F36" s="194" t="s">
        <v>146</v>
      </c>
      <c r="G36" s="195" t="s">
        <v>130</v>
      </c>
      <c r="H36" s="196"/>
      <c r="I36" s="195"/>
      <c r="J36" s="196"/>
      <c r="K36" s="195"/>
      <c r="L36" s="203">
        <v>41449</v>
      </c>
      <c r="M36" s="195" t="s">
        <v>146</v>
      </c>
      <c r="N36" s="196"/>
      <c r="O36" s="195"/>
      <c r="P36" s="197"/>
      <c r="Q36" s="180"/>
      <c r="R36" s="198">
        <v>42137</v>
      </c>
      <c r="S36" s="194" t="s">
        <v>146</v>
      </c>
      <c r="T36" s="194" t="s">
        <v>130</v>
      </c>
      <c r="U36" s="194" t="s">
        <v>146</v>
      </c>
      <c r="V36" s="194" t="s">
        <v>130</v>
      </c>
      <c r="W36" s="194" t="s">
        <v>130</v>
      </c>
      <c r="X36" s="199" t="s">
        <v>146</v>
      </c>
      <c r="Y36" s="200" t="s">
        <v>130</v>
      </c>
      <c r="Z36" s="203">
        <v>43129</v>
      </c>
      <c r="AA36" s="194" t="s">
        <v>130</v>
      </c>
      <c r="AB36" s="194" t="s">
        <v>130</v>
      </c>
      <c r="AC36" s="194" t="s">
        <v>130</v>
      </c>
      <c r="AD36" s="194" t="s">
        <v>132</v>
      </c>
      <c r="AE36" s="194" t="s">
        <v>130</v>
      </c>
      <c r="AF36" s="199" t="s">
        <v>132</v>
      </c>
      <c r="AG36" s="187"/>
      <c r="AH36" s="201"/>
      <c r="AI36" s="180"/>
      <c r="AJ36" s="180"/>
      <c r="AK36" s="180"/>
      <c r="AL36" s="202"/>
    </row>
    <row r="37" spans="1:38" s="73" customFormat="1" ht="13" x14ac:dyDescent="0.15">
      <c r="A37" s="55" t="str">
        <f>IF(B37="","",HYPERLINK("http://reports.ofsted.gov.uk/local-authorities/darlington","Ofsted Local Authority Webpage"))</f>
        <v>Ofsted Local Authority Webpage</v>
      </c>
      <c r="B37" s="55" t="s">
        <v>169</v>
      </c>
      <c r="C37" s="180" t="s">
        <v>309</v>
      </c>
      <c r="D37" s="180" t="s">
        <v>6981</v>
      </c>
      <c r="E37" s="193">
        <v>40912</v>
      </c>
      <c r="F37" s="194" t="s">
        <v>130</v>
      </c>
      <c r="G37" s="195" t="s">
        <v>130</v>
      </c>
      <c r="H37" s="196"/>
      <c r="I37" s="195"/>
      <c r="J37" s="196"/>
      <c r="K37" s="195"/>
      <c r="L37" s="196"/>
      <c r="M37" s="195"/>
      <c r="N37" s="196"/>
      <c r="O37" s="195"/>
      <c r="P37" s="197"/>
      <c r="Q37" s="180"/>
      <c r="R37" s="198">
        <v>42248</v>
      </c>
      <c r="S37" s="194" t="s">
        <v>146</v>
      </c>
      <c r="T37" s="194" t="s">
        <v>146</v>
      </c>
      <c r="U37" s="194" t="s">
        <v>130</v>
      </c>
      <c r="V37" s="194" t="s">
        <v>132</v>
      </c>
      <c r="W37" s="194" t="s">
        <v>132</v>
      </c>
      <c r="X37" s="199" t="s">
        <v>146</v>
      </c>
      <c r="Y37" s="200" t="s">
        <v>130</v>
      </c>
      <c r="Z37" s="203">
        <v>43241</v>
      </c>
      <c r="AA37" s="194" t="s">
        <v>130</v>
      </c>
      <c r="AB37" s="194" t="s">
        <v>130</v>
      </c>
      <c r="AC37" s="194" t="s">
        <v>130</v>
      </c>
      <c r="AD37" s="194" t="s">
        <v>132</v>
      </c>
      <c r="AE37" s="194" t="s">
        <v>132</v>
      </c>
      <c r="AF37" s="199" t="s">
        <v>130</v>
      </c>
      <c r="AG37" s="187"/>
      <c r="AH37" s="201"/>
      <c r="AI37" s="180"/>
      <c r="AJ37" s="180"/>
      <c r="AK37" s="180"/>
      <c r="AL37" s="202"/>
    </row>
    <row r="38" spans="1:38" s="73" customFormat="1" ht="13" x14ac:dyDescent="0.15">
      <c r="A38" s="55" t="str">
        <f>IF(B38="","",HYPERLINK("http://reports.ofsted.gov.uk/local-authorities/derby","Ofsted Local Authority Webpage"))</f>
        <v>Ofsted Local Authority Webpage</v>
      </c>
      <c r="B38" s="55" t="s">
        <v>171</v>
      </c>
      <c r="C38" s="180" t="s">
        <v>172</v>
      </c>
      <c r="D38" s="180" t="s">
        <v>6981</v>
      </c>
      <c r="E38" s="193">
        <v>40721</v>
      </c>
      <c r="F38" s="194" t="s">
        <v>130</v>
      </c>
      <c r="G38" s="195" t="s">
        <v>130</v>
      </c>
      <c r="H38" s="196"/>
      <c r="I38" s="195"/>
      <c r="J38" s="196"/>
      <c r="K38" s="195"/>
      <c r="L38" s="203">
        <v>41295</v>
      </c>
      <c r="M38" s="195" t="s">
        <v>132</v>
      </c>
      <c r="N38" s="196"/>
      <c r="O38" s="195"/>
      <c r="P38" s="197"/>
      <c r="Q38" s="180"/>
      <c r="R38" s="198">
        <v>42899</v>
      </c>
      <c r="S38" s="194" t="s">
        <v>132</v>
      </c>
      <c r="T38" s="194" t="s">
        <v>130</v>
      </c>
      <c r="U38" s="194" t="s">
        <v>132</v>
      </c>
      <c r="V38" s="194" t="s">
        <v>132</v>
      </c>
      <c r="W38" s="194" t="s">
        <v>132</v>
      </c>
      <c r="X38" s="199" t="s">
        <v>132</v>
      </c>
      <c r="Y38" s="200" t="s">
        <v>140</v>
      </c>
      <c r="Z38" s="196"/>
      <c r="AA38" s="194"/>
      <c r="AB38" s="194"/>
      <c r="AC38" s="194"/>
      <c r="AD38" s="194"/>
      <c r="AE38" s="194"/>
      <c r="AF38" s="199"/>
      <c r="AG38" s="187"/>
      <c r="AH38" s="201"/>
      <c r="AI38" s="180"/>
      <c r="AJ38" s="180"/>
      <c r="AK38" s="180"/>
      <c r="AL38" s="202"/>
    </row>
    <row r="39" spans="1:38" s="73" customFormat="1" ht="13" x14ac:dyDescent="0.15">
      <c r="A39" s="55" t="str">
        <f>IF(B39="","",HYPERLINK("http://reports.ofsted.gov.uk/local-authorities/derbyshire","Ofsted Local Authority Webpage"))</f>
        <v>Ofsted Local Authority Webpage</v>
      </c>
      <c r="B39" s="55" t="s">
        <v>173</v>
      </c>
      <c r="C39" s="180" t="s">
        <v>172</v>
      </c>
      <c r="D39" s="180" t="s">
        <v>6983</v>
      </c>
      <c r="E39" s="193">
        <v>40669</v>
      </c>
      <c r="F39" s="194" t="s">
        <v>132</v>
      </c>
      <c r="G39" s="195" t="s">
        <v>132</v>
      </c>
      <c r="H39" s="196"/>
      <c r="I39" s="195"/>
      <c r="J39" s="196"/>
      <c r="K39" s="195"/>
      <c r="L39" s="196"/>
      <c r="M39" s="195"/>
      <c r="N39" s="196"/>
      <c r="O39" s="195"/>
      <c r="P39" s="197"/>
      <c r="Q39" s="180"/>
      <c r="R39" s="198">
        <v>41681</v>
      </c>
      <c r="S39" s="207" t="s">
        <v>132</v>
      </c>
      <c r="T39" s="207" t="s">
        <v>132</v>
      </c>
      <c r="U39" s="207" t="s">
        <v>132</v>
      </c>
      <c r="V39" s="207" t="s">
        <v>132</v>
      </c>
      <c r="W39" s="207" t="s">
        <v>132</v>
      </c>
      <c r="X39" s="208" t="s">
        <v>132</v>
      </c>
      <c r="Y39" s="209" t="s">
        <v>130</v>
      </c>
      <c r="Z39" s="210"/>
      <c r="AA39" s="207"/>
      <c r="AB39" s="207"/>
      <c r="AC39" s="207"/>
      <c r="AD39" s="207"/>
      <c r="AE39" s="207"/>
      <c r="AF39" s="208"/>
      <c r="AG39" s="187" t="s">
        <v>303</v>
      </c>
      <c r="AH39" s="201">
        <v>43727</v>
      </c>
      <c r="AI39" s="180" t="s">
        <v>130</v>
      </c>
      <c r="AJ39" s="180" t="s">
        <v>132</v>
      </c>
      <c r="AK39" s="180" t="s">
        <v>130</v>
      </c>
      <c r="AL39" s="202" t="s">
        <v>130</v>
      </c>
    </row>
    <row r="40" spans="1:38" s="73" customFormat="1" ht="13" x14ac:dyDescent="0.15">
      <c r="A40" s="55" t="str">
        <f>IF(B40="","",HYPERLINK("https://reports.ofsted.gov.uk/provider/44/80461","Ofsted Local Authority Webpage"))</f>
        <v>Ofsted Local Authority Webpage</v>
      </c>
      <c r="B40" s="55" t="s">
        <v>174</v>
      </c>
      <c r="C40" s="194" t="s">
        <v>136</v>
      </c>
      <c r="D40" s="180" t="s">
        <v>6983</v>
      </c>
      <c r="E40" s="193">
        <v>40032</v>
      </c>
      <c r="F40" s="194" t="s">
        <v>130</v>
      </c>
      <c r="G40" s="195" t="s">
        <v>132</v>
      </c>
      <c r="H40" s="196"/>
      <c r="I40" s="195"/>
      <c r="J40" s="196"/>
      <c r="K40" s="195"/>
      <c r="L40" s="203">
        <v>41423</v>
      </c>
      <c r="M40" s="195" t="s">
        <v>146</v>
      </c>
      <c r="N40" s="196"/>
      <c r="O40" s="195"/>
      <c r="P40" s="197"/>
      <c r="Q40" s="180"/>
      <c r="R40" s="198">
        <v>42136</v>
      </c>
      <c r="S40" s="194" t="s">
        <v>130</v>
      </c>
      <c r="T40" s="194" t="s">
        <v>130</v>
      </c>
      <c r="U40" s="194" t="s">
        <v>130</v>
      </c>
      <c r="V40" s="194" t="s">
        <v>132</v>
      </c>
      <c r="W40" s="194" t="s">
        <v>146</v>
      </c>
      <c r="X40" s="199" t="s">
        <v>130</v>
      </c>
      <c r="Y40" s="200" t="s">
        <v>146</v>
      </c>
      <c r="Z40" s="196"/>
      <c r="AA40" s="194"/>
      <c r="AB40" s="194"/>
      <c r="AC40" s="194"/>
      <c r="AD40" s="194"/>
      <c r="AE40" s="194"/>
      <c r="AF40" s="199"/>
      <c r="AG40" s="187" t="s">
        <v>304</v>
      </c>
      <c r="AH40" s="201">
        <v>43906</v>
      </c>
      <c r="AI40" s="180" t="s">
        <v>146</v>
      </c>
      <c r="AJ40" s="180" t="s">
        <v>146</v>
      </c>
      <c r="AK40" s="180" t="s">
        <v>130</v>
      </c>
      <c r="AL40" s="202" t="s">
        <v>146</v>
      </c>
    </row>
    <row r="41" spans="1:38" s="73" customFormat="1" ht="13" x14ac:dyDescent="0.15">
      <c r="A41" s="55" t="str">
        <f>IF(B41="","",HYPERLINK("http://reports.ofsted.gov.uk/local-authorities/doncaster","Ofsted Local Authority Webpage"))</f>
        <v>Ofsted Local Authority Webpage</v>
      </c>
      <c r="B41" s="55" t="s">
        <v>175</v>
      </c>
      <c r="C41" s="180" t="s">
        <v>309</v>
      </c>
      <c r="D41" s="180" t="s">
        <v>6980</v>
      </c>
      <c r="E41" s="193">
        <v>40675</v>
      </c>
      <c r="F41" s="194" t="s">
        <v>130</v>
      </c>
      <c r="G41" s="195" t="s">
        <v>130</v>
      </c>
      <c r="H41" s="196"/>
      <c r="I41" s="195"/>
      <c r="J41" s="196"/>
      <c r="K41" s="195"/>
      <c r="L41" s="203">
        <v>41229</v>
      </c>
      <c r="M41" s="195" t="s">
        <v>146</v>
      </c>
      <c r="N41" s="196"/>
      <c r="O41" s="195"/>
      <c r="P41" s="197"/>
      <c r="Q41" s="180"/>
      <c r="R41" s="198">
        <v>42335</v>
      </c>
      <c r="S41" s="194" t="s">
        <v>146</v>
      </c>
      <c r="T41" s="194" t="s">
        <v>146</v>
      </c>
      <c r="U41" s="194" t="s">
        <v>130</v>
      </c>
      <c r="V41" s="194" t="s">
        <v>132</v>
      </c>
      <c r="W41" s="194" t="s">
        <v>130</v>
      </c>
      <c r="X41" s="199" t="s">
        <v>130</v>
      </c>
      <c r="Y41" s="200" t="s">
        <v>130</v>
      </c>
      <c r="Z41" s="203">
        <v>43119</v>
      </c>
      <c r="AA41" s="180" t="s">
        <v>132</v>
      </c>
      <c r="AB41" s="180" t="s">
        <v>132</v>
      </c>
      <c r="AC41" s="180" t="s">
        <v>132</v>
      </c>
      <c r="AD41" s="180" t="s">
        <v>132</v>
      </c>
      <c r="AE41" s="180" t="s">
        <v>132</v>
      </c>
      <c r="AF41" s="211" t="s">
        <v>132</v>
      </c>
      <c r="AG41" s="187" t="s">
        <v>304</v>
      </c>
      <c r="AH41" s="201">
        <v>44658</v>
      </c>
      <c r="AI41" s="180" t="s">
        <v>130</v>
      </c>
      <c r="AJ41" s="180" t="s">
        <v>146</v>
      </c>
      <c r="AK41" s="180" t="s">
        <v>130</v>
      </c>
      <c r="AL41" s="202" t="s">
        <v>130</v>
      </c>
    </row>
    <row r="42" spans="1:38" s="73" customFormat="1" ht="13" x14ac:dyDescent="0.15">
      <c r="A42" s="55" t="str">
        <f>IF(B42="","",HYPERLINK("https://reports.ofsted.gov.uk/provider/44/838","Ofsted Local Authority Webpage"))</f>
        <v>Ofsted Local Authority Webpage</v>
      </c>
      <c r="B42" s="55" t="s">
        <v>176</v>
      </c>
      <c r="C42" s="194" t="s">
        <v>136</v>
      </c>
      <c r="D42" s="180" t="s">
        <v>6981</v>
      </c>
      <c r="E42" s="193">
        <v>40844</v>
      </c>
      <c r="F42" s="194" t="s">
        <v>132</v>
      </c>
      <c r="G42" s="195" t="s">
        <v>132</v>
      </c>
      <c r="H42" s="196"/>
      <c r="I42" s="195"/>
      <c r="J42" s="196"/>
      <c r="K42" s="195"/>
      <c r="L42" s="196"/>
      <c r="M42" s="195"/>
      <c r="N42" s="196"/>
      <c r="O42" s="195"/>
      <c r="P42" s="197"/>
      <c r="Q42" s="180"/>
      <c r="R42" s="198">
        <v>42513</v>
      </c>
      <c r="S42" s="194" t="s">
        <v>130</v>
      </c>
      <c r="T42" s="194" t="s">
        <v>130</v>
      </c>
      <c r="U42" s="194" t="s">
        <v>130</v>
      </c>
      <c r="V42" s="194" t="s">
        <v>132</v>
      </c>
      <c r="W42" s="194" t="s">
        <v>130</v>
      </c>
      <c r="X42" s="199" t="s">
        <v>130</v>
      </c>
      <c r="Y42" s="200" t="s">
        <v>146</v>
      </c>
      <c r="Z42" s="196"/>
      <c r="AA42" s="194"/>
      <c r="AB42" s="194"/>
      <c r="AC42" s="194"/>
      <c r="AD42" s="194"/>
      <c r="AE42" s="194"/>
      <c r="AF42" s="199"/>
      <c r="AG42" s="187" t="s">
        <v>304</v>
      </c>
      <c r="AH42" s="201">
        <v>44518</v>
      </c>
      <c r="AI42" s="180" t="s">
        <v>132</v>
      </c>
      <c r="AJ42" s="180" t="s">
        <v>140</v>
      </c>
      <c r="AK42" s="180" t="s">
        <v>132</v>
      </c>
      <c r="AL42" s="202" t="s">
        <v>132</v>
      </c>
    </row>
    <row r="43" spans="1:38" s="73" customFormat="1" ht="13" x14ac:dyDescent="0.15">
      <c r="A43" s="55" t="str">
        <f>IF(B43="","",HYPERLINK("http://reports.ofsted.gov.uk/local-authorities/dudley","Ofsted Local Authority Webpage"))</f>
        <v>Ofsted Local Authority Webpage</v>
      </c>
      <c r="B43" s="55" t="s">
        <v>177</v>
      </c>
      <c r="C43" s="194" t="s">
        <v>142</v>
      </c>
      <c r="D43" s="180" t="s">
        <v>6980</v>
      </c>
      <c r="E43" s="193">
        <v>40933</v>
      </c>
      <c r="F43" s="194" t="s">
        <v>130</v>
      </c>
      <c r="G43" s="195" t="s">
        <v>132</v>
      </c>
      <c r="H43" s="196"/>
      <c r="I43" s="195"/>
      <c r="J43" s="196"/>
      <c r="K43" s="195"/>
      <c r="L43" s="196"/>
      <c r="M43" s="195"/>
      <c r="N43" s="196"/>
      <c r="O43" s="195"/>
      <c r="P43" s="197"/>
      <c r="Q43" s="180"/>
      <c r="R43" s="198">
        <v>42465</v>
      </c>
      <c r="S43" s="194" t="s">
        <v>146</v>
      </c>
      <c r="T43" s="194" t="s">
        <v>146</v>
      </c>
      <c r="U43" s="194" t="s">
        <v>146</v>
      </c>
      <c r="V43" s="194" t="s">
        <v>146</v>
      </c>
      <c r="W43" s="194" t="s">
        <v>130</v>
      </c>
      <c r="X43" s="199" t="s">
        <v>146</v>
      </c>
      <c r="Y43" s="200" t="s">
        <v>146</v>
      </c>
      <c r="Z43" s="196"/>
      <c r="AA43" s="194"/>
      <c r="AB43" s="194"/>
      <c r="AC43" s="194"/>
      <c r="AD43" s="194"/>
      <c r="AE43" s="194"/>
      <c r="AF43" s="199"/>
      <c r="AG43" s="187" t="s">
        <v>304</v>
      </c>
      <c r="AH43" s="79">
        <v>43443</v>
      </c>
      <c r="AI43" s="180" t="s">
        <v>130</v>
      </c>
      <c r="AJ43" s="180" t="s">
        <v>132</v>
      </c>
      <c r="AK43" s="180" t="s">
        <v>130</v>
      </c>
      <c r="AL43" s="202" t="s">
        <v>132</v>
      </c>
    </row>
    <row r="44" spans="1:38" s="73" customFormat="1" ht="13" x14ac:dyDescent="0.15">
      <c r="A44" s="55" t="str">
        <f>IF(B44="","",HYPERLINK("https://reports.ofsted.gov.uk/provider/44/80465","Ofsted Local Authority Webpage"))</f>
        <v>Ofsted Local Authority Webpage</v>
      </c>
      <c r="B44" s="55" t="s">
        <v>178</v>
      </c>
      <c r="C44" s="180" t="s">
        <v>309</v>
      </c>
      <c r="D44" s="180" t="s">
        <v>6981</v>
      </c>
      <c r="E44" s="193">
        <v>40933</v>
      </c>
      <c r="F44" s="194" t="s">
        <v>140</v>
      </c>
      <c r="G44" s="195" t="s">
        <v>132</v>
      </c>
      <c r="H44" s="196"/>
      <c r="I44" s="195"/>
      <c r="J44" s="196"/>
      <c r="K44" s="195"/>
      <c r="L44" s="196"/>
      <c r="M44" s="195"/>
      <c r="N44" s="196"/>
      <c r="O44" s="195"/>
      <c r="P44" s="197"/>
      <c r="Q44" s="180"/>
      <c r="R44" s="198">
        <v>42506</v>
      </c>
      <c r="S44" s="194" t="s">
        <v>130</v>
      </c>
      <c r="T44" s="194" t="s">
        <v>130</v>
      </c>
      <c r="U44" s="194" t="s">
        <v>130</v>
      </c>
      <c r="V44" s="194" t="s">
        <v>132</v>
      </c>
      <c r="W44" s="194" t="s">
        <v>132</v>
      </c>
      <c r="X44" s="199" t="s">
        <v>130</v>
      </c>
      <c r="Y44" s="200" t="s">
        <v>132</v>
      </c>
      <c r="Z44" s="196"/>
      <c r="AA44" s="194"/>
      <c r="AB44" s="194"/>
      <c r="AC44" s="194"/>
      <c r="AD44" s="194"/>
      <c r="AE44" s="194"/>
      <c r="AF44" s="199"/>
      <c r="AG44" s="187" t="s">
        <v>304</v>
      </c>
      <c r="AH44" s="201">
        <v>43758</v>
      </c>
      <c r="AI44" s="180" t="s">
        <v>130</v>
      </c>
      <c r="AJ44" s="180" t="s">
        <v>130</v>
      </c>
      <c r="AK44" s="180" t="s">
        <v>130</v>
      </c>
      <c r="AL44" s="202" t="s">
        <v>132</v>
      </c>
    </row>
    <row r="45" spans="1:38" s="73" customFormat="1" ht="13" x14ac:dyDescent="0.15">
      <c r="A45" s="55" t="str">
        <f>IF(B45="","",HYPERLINK("https://reports.ofsted.gov.uk/provider/44/80493","Ofsted Local Authority Webpage"))</f>
        <v>Ofsted Local Authority Webpage</v>
      </c>
      <c r="B45" s="55" t="s">
        <v>179</v>
      </c>
      <c r="C45" s="180" t="s">
        <v>129</v>
      </c>
      <c r="D45" s="180" t="s">
        <v>6979</v>
      </c>
      <c r="E45" s="193">
        <v>40721</v>
      </c>
      <c r="F45" s="194" t="s">
        <v>132</v>
      </c>
      <c r="G45" s="195" t="s">
        <v>132</v>
      </c>
      <c r="H45" s="196"/>
      <c r="I45" s="195"/>
      <c r="J45" s="196"/>
      <c r="K45" s="195"/>
      <c r="L45" s="196"/>
      <c r="M45" s="195"/>
      <c r="N45" s="196"/>
      <c r="O45" s="195"/>
      <c r="P45" s="197"/>
      <c r="Q45" s="180"/>
      <c r="R45" s="198">
        <v>42608</v>
      </c>
      <c r="S45" s="194" t="s">
        <v>132</v>
      </c>
      <c r="T45" s="194" t="s">
        <v>132</v>
      </c>
      <c r="U45" s="194" t="s">
        <v>132</v>
      </c>
      <c r="V45" s="194" t="s">
        <v>132</v>
      </c>
      <c r="W45" s="194" t="s">
        <v>140</v>
      </c>
      <c r="X45" s="199" t="s">
        <v>132</v>
      </c>
      <c r="Y45" s="200" t="s">
        <v>130</v>
      </c>
      <c r="Z45" s="196"/>
      <c r="AA45" s="194"/>
      <c r="AB45" s="194"/>
      <c r="AC45" s="194"/>
      <c r="AD45" s="194"/>
      <c r="AE45" s="194"/>
      <c r="AF45" s="199"/>
      <c r="AG45" s="187" t="s">
        <v>303</v>
      </c>
      <c r="AH45" s="201">
        <v>43818</v>
      </c>
      <c r="AI45" s="180" t="s">
        <v>130</v>
      </c>
      <c r="AJ45" s="180" t="s">
        <v>130</v>
      </c>
      <c r="AK45" s="180" t="s">
        <v>130</v>
      </c>
      <c r="AL45" s="202" t="s">
        <v>130</v>
      </c>
    </row>
    <row r="46" spans="1:38" s="73" customFormat="1" ht="13" x14ac:dyDescent="0.15">
      <c r="A46" s="55" t="str">
        <f>IF(B46="","",HYPERLINK("http://reports.ofsted.gov.uk/local-authorities/east-riding-of-yorkshire","Ofsted Local Authority Webpage"))</f>
        <v>Ofsted Local Authority Webpage</v>
      </c>
      <c r="B46" s="55" t="s">
        <v>180</v>
      </c>
      <c r="C46" s="180" t="s">
        <v>309</v>
      </c>
      <c r="D46" s="180" t="s">
        <v>6981</v>
      </c>
      <c r="E46" s="193">
        <v>40893</v>
      </c>
      <c r="F46" s="194" t="s">
        <v>130</v>
      </c>
      <c r="G46" s="195" t="s">
        <v>132</v>
      </c>
      <c r="H46" s="196"/>
      <c r="I46" s="195"/>
      <c r="J46" s="196"/>
      <c r="K46" s="195"/>
      <c r="L46" s="196"/>
      <c r="M46" s="195"/>
      <c r="N46" s="196"/>
      <c r="O46" s="195"/>
      <c r="P46" s="197"/>
      <c r="Q46" s="180"/>
      <c r="R46" s="198">
        <v>42779</v>
      </c>
      <c r="S46" s="194" t="s">
        <v>132</v>
      </c>
      <c r="T46" s="194" t="s">
        <v>132</v>
      </c>
      <c r="U46" s="194" t="s">
        <v>132</v>
      </c>
      <c r="V46" s="194" t="s">
        <v>132</v>
      </c>
      <c r="W46" s="194" t="s">
        <v>140</v>
      </c>
      <c r="X46" s="199" t="s">
        <v>132</v>
      </c>
      <c r="Y46" s="200" t="s">
        <v>132</v>
      </c>
      <c r="Z46" s="196"/>
      <c r="AA46" s="194"/>
      <c r="AB46" s="194"/>
      <c r="AC46" s="194"/>
      <c r="AD46" s="194"/>
      <c r="AE46" s="194"/>
      <c r="AF46" s="199"/>
      <c r="AG46" s="187" t="s">
        <v>303</v>
      </c>
      <c r="AH46" s="201">
        <v>43903</v>
      </c>
      <c r="AI46" s="180" t="s">
        <v>146</v>
      </c>
      <c r="AJ46" s="180" t="s">
        <v>146</v>
      </c>
      <c r="AK46" s="180" t="s">
        <v>146</v>
      </c>
      <c r="AL46" s="202" t="s">
        <v>132</v>
      </c>
    </row>
    <row r="47" spans="1:38" s="73" customFormat="1" ht="13" x14ac:dyDescent="0.15">
      <c r="A47" s="55" t="str">
        <f>IF(B47="","",HYPERLINK("https://reports.ofsted.gov.uk/provider/44/80467","Ofsted Local Authority Webpage"))</f>
        <v>Ofsted Local Authority Webpage</v>
      </c>
      <c r="B47" s="55" t="s">
        <v>181</v>
      </c>
      <c r="C47" s="180" t="s">
        <v>150</v>
      </c>
      <c r="D47" s="180" t="s">
        <v>6983</v>
      </c>
      <c r="E47" s="193">
        <v>40567</v>
      </c>
      <c r="F47" s="194" t="s">
        <v>132</v>
      </c>
      <c r="G47" s="195" t="s">
        <v>132</v>
      </c>
      <c r="H47" s="196"/>
      <c r="I47" s="195"/>
      <c r="J47" s="196"/>
      <c r="K47" s="195"/>
      <c r="L47" s="196"/>
      <c r="M47" s="195"/>
      <c r="N47" s="196"/>
      <c r="O47" s="195"/>
      <c r="P47" s="197"/>
      <c r="Q47" s="180"/>
      <c r="R47" s="198">
        <v>41719</v>
      </c>
      <c r="S47" s="194" t="s">
        <v>132</v>
      </c>
      <c r="T47" s="194" t="s">
        <v>132</v>
      </c>
      <c r="U47" s="194" t="s">
        <v>132</v>
      </c>
      <c r="V47" s="194" t="s">
        <v>140</v>
      </c>
      <c r="W47" s="194" t="s">
        <v>130</v>
      </c>
      <c r="X47" s="199" t="s">
        <v>132</v>
      </c>
      <c r="Y47" s="200" t="s">
        <v>132</v>
      </c>
      <c r="Z47" s="196"/>
      <c r="AA47" s="194"/>
      <c r="AB47" s="194"/>
      <c r="AC47" s="194"/>
      <c r="AD47" s="194"/>
      <c r="AE47" s="194"/>
      <c r="AF47" s="199"/>
      <c r="AG47" s="187" t="s">
        <v>303</v>
      </c>
      <c r="AH47" s="201">
        <v>43347</v>
      </c>
      <c r="AI47" s="180" t="s">
        <v>140</v>
      </c>
      <c r="AJ47" s="180" t="s">
        <v>140</v>
      </c>
      <c r="AK47" s="180" t="s">
        <v>132</v>
      </c>
      <c r="AL47" s="202" t="s">
        <v>140</v>
      </c>
    </row>
    <row r="48" spans="1:38" s="73" customFormat="1" ht="13" x14ac:dyDescent="0.15">
      <c r="A48" s="55" t="str">
        <f>IF(B48="","",HYPERLINK("http://reports.ofsted.gov.uk/local-authorities/enfield","Ofsted Local Authority Webpage"))</f>
        <v>Ofsted Local Authority Webpage</v>
      </c>
      <c r="B48" s="55" t="s">
        <v>182</v>
      </c>
      <c r="C48" s="180" t="s">
        <v>129</v>
      </c>
      <c r="D48" s="180" t="s">
        <v>6979</v>
      </c>
      <c r="E48" s="193">
        <v>40350</v>
      </c>
      <c r="F48" s="194" t="s">
        <v>132</v>
      </c>
      <c r="G48" s="195" t="s">
        <v>132</v>
      </c>
      <c r="H48" s="196"/>
      <c r="I48" s="195"/>
      <c r="J48" s="196"/>
      <c r="K48" s="195"/>
      <c r="L48" s="196"/>
      <c r="M48" s="195"/>
      <c r="N48" s="196"/>
      <c r="O48" s="195"/>
      <c r="P48" s="197"/>
      <c r="Q48" s="180"/>
      <c r="R48" s="203">
        <v>42090</v>
      </c>
      <c r="S48" s="194" t="s">
        <v>132</v>
      </c>
      <c r="T48" s="194" t="s">
        <v>130</v>
      </c>
      <c r="U48" s="194" t="s">
        <v>132</v>
      </c>
      <c r="V48" s="194" t="s">
        <v>132</v>
      </c>
      <c r="W48" s="194" t="s">
        <v>132</v>
      </c>
      <c r="X48" s="199" t="s">
        <v>132</v>
      </c>
      <c r="Y48" s="200" t="s">
        <v>132</v>
      </c>
      <c r="Z48" s="196"/>
      <c r="AA48" s="194"/>
      <c r="AB48" s="194"/>
      <c r="AC48" s="194"/>
      <c r="AD48" s="194"/>
      <c r="AE48" s="194"/>
      <c r="AF48" s="199"/>
      <c r="AG48" s="187" t="s">
        <v>304</v>
      </c>
      <c r="AH48" s="201">
        <v>43569</v>
      </c>
      <c r="AI48" s="180" t="s">
        <v>132</v>
      </c>
      <c r="AJ48" s="180" t="s">
        <v>132</v>
      </c>
      <c r="AK48" s="180" t="s">
        <v>132</v>
      </c>
      <c r="AL48" s="202" t="s">
        <v>132</v>
      </c>
    </row>
    <row r="49" spans="1:38" s="73" customFormat="1" ht="13" x14ac:dyDescent="0.15">
      <c r="A49" s="55" t="str">
        <f>IF(B49="","",HYPERLINK("http://reports.ofsted.gov.uk/local-authorities/essex","Ofsted Local Authority Webpage"))</f>
        <v>Ofsted Local Authority Webpage</v>
      </c>
      <c r="B49" s="55" t="s">
        <v>183</v>
      </c>
      <c r="C49" s="180" t="s">
        <v>138</v>
      </c>
      <c r="D49" s="194" t="s">
        <v>6983</v>
      </c>
      <c r="E49" s="193">
        <v>40396</v>
      </c>
      <c r="F49" s="194" t="s">
        <v>146</v>
      </c>
      <c r="G49" s="195" t="s">
        <v>130</v>
      </c>
      <c r="H49" s="193">
        <v>40815</v>
      </c>
      <c r="I49" s="195" t="s">
        <v>130</v>
      </c>
      <c r="J49" s="196"/>
      <c r="K49" s="195"/>
      <c r="L49" s="196"/>
      <c r="M49" s="195"/>
      <c r="N49" s="196"/>
      <c r="O49" s="195"/>
      <c r="P49" s="197"/>
      <c r="Q49" s="180"/>
      <c r="R49" s="198">
        <v>41719</v>
      </c>
      <c r="S49" s="194" t="s">
        <v>132</v>
      </c>
      <c r="T49" s="194" t="s">
        <v>132</v>
      </c>
      <c r="U49" s="194" t="s">
        <v>132</v>
      </c>
      <c r="V49" s="194" t="s">
        <v>132</v>
      </c>
      <c r="W49" s="194" t="s">
        <v>132</v>
      </c>
      <c r="X49" s="199" t="s">
        <v>132</v>
      </c>
      <c r="Y49" s="200" t="s">
        <v>130</v>
      </c>
      <c r="Z49" s="196"/>
      <c r="AA49" s="194"/>
      <c r="AB49" s="194"/>
      <c r="AC49" s="194"/>
      <c r="AD49" s="194"/>
      <c r="AE49" s="194"/>
      <c r="AF49" s="199"/>
      <c r="AG49" s="187" t="s">
        <v>303</v>
      </c>
      <c r="AH49" s="201">
        <v>43471</v>
      </c>
      <c r="AI49" s="180" t="s">
        <v>140</v>
      </c>
      <c r="AJ49" s="180" t="s">
        <v>140</v>
      </c>
      <c r="AK49" s="180" t="s">
        <v>140</v>
      </c>
      <c r="AL49" s="202" t="s">
        <v>132</v>
      </c>
    </row>
    <row r="50" spans="1:38" s="73" customFormat="1" ht="13" x14ac:dyDescent="0.15">
      <c r="A50" s="55" t="str">
        <f>IF(B50="","",HYPERLINK("http://reports.ofsted.gov.uk/local-authorities/gateshead","Ofsted Local Authority Webpage"))</f>
        <v>Ofsted Local Authority Webpage</v>
      </c>
      <c r="B50" s="55" t="s">
        <v>184</v>
      </c>
      <c r="C50" s="180" t="s">
        <v>309</v>
      </c>
      <c r="D50" s="180" t="s">
        <v>6980</v>
      </c>
      <c r="E50" s="193">
        <v>40613</v>
      </c>
      <c r="F50" s="194" t="s">
        <v>130</v>
      </c>
      <c r="G50" s="195" t="s">
        <v>130</v>
      </c>
      <c r="H50" s="196"/>
      <c r="I50" s="195"/>
      <c r="J50" s="196"/>
      <c r="K50" s="195"/>
      <c r="L50" s="203">
        <v>41373</v>
      </c>
      <c r="M50" s="195" t="s">
        <v>132</v>
      </c>
      <c r="N50" s="196"/>
      <c r="O50" s="195"/>
      <c r="P50" s="197"/>
      <c r="Q50" s="180"/>
      <c r="R50" s="198">
        <v>42440</v>
      </c>
      <c r="S50" s="194" t="s">
        <v>132</v>
      </c>
      <c r="T50" s="194" t="s">
        <v>132</v>
      </c>
      <c r="U50" s="194" t="s">
        <v>132</v>
      </c>
      <c r="V50" s="194" t="s">
        <v>132</v>
      </c>
      <c r="W50" s="194" t="s">
        <v>130</v>
      </c>
      <c r="X50" s="199" t="s">
        <v>132</v>
      </c>
      <c r="Y50" s="200" t="s">
        <v>130</v>
      </c>
      <c r="Z50" s="196"/>
      <c r="AA50" s="194"/>
      <c r="AB50" s="194"/>
      <c r="AC50" s="194"/>
      <c r="AD50" s="194"/>
      <c r="AE50" s="194"/>
      <c r="AF50" s="199"/>
      <c r="AG50" s="187" t="s">
        <v>303</v>
      </c>
      <c r="AH50" s="201">
        <v>43627</v>
      </c>
      <c r="AI50" s="180" t="s">
        <v>132</v>
      </c>
      <c r="AJ50" s="180" t="s">
        <v>132</v>
      </c>
      <c r="AK50" s="180" t="s">
        <v>132</v>
      </c>
      <c r="AL50" s="202" t="s">
        <v>132</v>
      </c>
    </row>
    <row r="51" spans="1:38" s="73" customFormat="1" ht="13" x14ac:dyDescent="0.15">
      <c r="A51" s="55" t="str">
        <f>IF(B51="","",HYPERLINK("http://reports.ofsted.gov.uk/local-authorities/gloucestershire","Ofsted Local Authority Webpage"))</f>
        <v>Ofsted Local Authority Webpage</v>
      </c>
      <c r="B51" s="55" t="s">
        <v>185</v>
      </c>
      <c r="C51" s="194" t="s">
        <v>136</v>
      </c>
      <c r="D51" s="180" t="s">
        <v>6983</v>
      </c>
      <c r="E51" s="198">
        <v>40567</v>
      </c>
      <c r="F51" s="180" t="s">
        <v>146</v>
      </c>
      <c r="G51" s="195" t="s">
        <v>130</v>
      </c>
      <c r="H51" s="193">
        <v>40973</v>
      </c>
      <c r="I51" s="195" t="s">
        <v>130</v>
      </c>
      <c r="J51" s="196"/>
      <c r="K51" s="195"/>
      <c r="L51" s="196"/>
      <c r="M51" s="195"/>
      <c r="N51" s="196"/>
      <c r="O51" s="195"/>
      <c r="P51" s="197"/>
      <c r="Q51" s="180"/>
      <c r="R51" s="198">
        <v>42899</v>
      </c>
      <c r="S51" s="194" t="s">
        <v>146</v>
      </c>
      <c r="T51" s="194" t="s">
        <v>146</v>
      </c>
      <c r="U51" s="194" t="s">
        <v>130</v>
      </c>
      <c r="V51" s="194" t="s">
        <v>132</v>
      </c>
      <c r="W51" s="194" t="s">
        <v>130</v>
      </c>
      <c r="X51" s="199" t="s">
        <v>146</v>
      </c>
      <c r="Y51" s="200" t="s">
        <v>130</v>
      </c>
      <c r="Z51" s="196"/>
      <c r="AA51" s="194"/>
      <c r="AB51" s="194"/>
      <c r="AC51" s="194"/>
      <c r="AD51" s="194"/>
      <c r="AE51" s="194"/>
      <c r="AF51" s="199"/>
      <c r="AG51" s="187" t="s">
        <v>304</v>
      </c>
      <c r="AH51" s="201">
        <v>44651</v>
      </c>
      <c r="AI51" s="180" t="s">
        <v>130</v>
      </c>
      <c r="AJ51" s="180" t="s">
        <v>130</v>
      </c>
      <c r="AK51" s="180" t="s">
        <v>130</v>
      </c>
      <c r="AL51" s="202" t="s">
        <v>130</v>
      </c>
    </row>
    <row r="52" spans="1:38" s="73" customFormat="1" ht="13" x14ac:dyDescent="0.15">
      <c r="A52" s="55" t="str">
        <f>IF(B52="","",HYPERLINK("http://reports.ofsted.gov.uk/local-authorities/greenwich","Ofsted Local Authority Webpage"))</f>
        <v>Ofsted Local Authority Webpage</v>
      </c>
      <c r="B52" s="55" t="s">
        <v>186</v>
      </c>
      <c r="C52" s="180" t="s">
        <v>129</v>
      </c>
      <c r="D52" s="180" t="s">
        <v>6979</v>
      </c>
      <c r="E52" s="193">
        <v>40396</v>
      </c>
      <c r="F52" s="194" t="s">
        <v>130</v>
      </c>
      <c r="G52" s="195" t="s">
        <v>130</v>
      </c>
      <c r="H52" s="196"/>
      <c r="I52" s="195"/>
      <c r="J52" s="196"/>
      <c r="K52" s="195"/>
      <c r="L52" s="203">
        <v>41295</v>
      </c>
      <c r="M52" s="195" t="s">
        <v>132</v>
      </c>
      <c r="N52" s="196"/>
      <c r="O52" s="195"/>
      <c r="P52" s="197"/>
      <c r="Q52" s="180"/>
      <c r="R52" s="198">
        <v>42587</v>
      </c>
      <c r="S52" s="194" t="s">
        <v>132</v>
      </c>
      <c r="T52" s="194" t="s">
        <v>132</v>
      </c>
      <c r="U52" s="194" t="s">
        <v>132</v>
      </c>
      <c r="V52" s="194" t="s">
        <v>132</v>
      </c>
      <c r="W52" s="194" t="s">
        <v>132</v>
      </c>
      <c r="X52" s="199" t="s">
        <v>132</v>
      </c>
      <c r="Y52" s="200" t="s">
        <v>132</v>
      </c>
      <c r="Z52" s="196"/>
      <c r="AA52" s="194"/>
      <c r="AB52" s="194"/>
      <c r="AC52" s="194"/>
      <c r="AD52" s="194"/>
      <c r="AE52" s="194"/>
      <c r="AF52" s="199"/>
      <c r="AG52" s="187" t="s">
        <v>303</v>
      </c>
      <c r="AH52" s="201">
        <v>43857</v>
      </c>
      <c r="AI52" s="180" t="s">
        <v>132</v>
      </c>
      <c r="AJ52" s="180" t="s">
        <v>132</v>
      </c>
      <c r="AK52" s="180" t="s">
        <v>132</v>
      </c>
      <c r="AL52" s="202" t="s">
        <v>132</v>
      </c>
    </row>
    <row r="53" spans="1:38" s="73" customFormat="1" ht="13" x14ac:dyDescent="0.15">
      <c r="A53" s="73" t="str">
        <f>IF(B53="","",HYPERLINK("https://reports.ofsted.gov.uk/provider/44/80496","Ofsted Local Authority Webpage"))</f>
        <v>Ofsted Local Authority Webpage</v>
      </c>
      <c r="B53" s="55" t="s">
        <v>187</v>
      </c>
      <c r="C53" s="180" t="s">
        <v>129</v>
      </c>
      <c r="D53" s="180" t="s">
        <v>6979</v>
      </c>
      <c r="E53" s="193">
        <v>41100</v>
      </c>
      <c r="F53" s="194" t="s">
        <v>132</v>
      </c>
      <c r="G53" s="195" t="s">
        <v>132</v>
      </c>
      <c r="H53" s="196"/>
      <c r="I53" s="195"/>
      <c r="J53" s="196"/>
      <c r="K53" s="195"/>
      <c r="L53" s="196"/>
      <c r="M53" s="195"/>
      <c r="N53" s="196"/>
      <c r="O53" s="195"/>
      <c r="P53" s="197"/>
      <c r="Q53" s="180"/>
      <c r="R53" s="198">
        <v>42633</v>
      </c>
      <c r="S53" s="194" t="s">
        <v>132</v>
      </c>
      <c r="T53" s="194" t="s">
        <v>132</v>
      </c>
      <c r="U53" s="194" t="s">
        <v>132</v>
      </c>
      <c r="V53" s="194" t="s">
        <v>132</v>
      </c>
      <c r="W53" s="194" t="s">
        <v>140</v>
      </c>
      <c r="X53" s="199" t="s">
        <v>132</v>
      </c>
      <c r="Y53" s="200" t="s">
        <v>140</v>
      </c>
      <c r="Z53" s="196"/>
      <c r="AA53" s="194"/>
      <c r="AB53" s="194"/>
      <c r="AC53" s="194"/>
      <c r="AD53" s="194"/>
      <c r="AE53" s="194"/>
      <c r="AF53" s="199"/>
      <c r="AG53" s="187" t="s">
        <v>304</v>
      </c>
      <c r="AH53" s="201">
        <v>43818</v>
      </c>
      <c r="AI53" s="180" t="s">
        <v>130</v>
      </c>
      <c r="AJ53" s="180" t="s">
        <v>130</v>
      </c>
      <c r="AK53" s="180" t="s">
        <v>130</v>
      </c>
      <c r="AL53" s="202" t="s">
        <v>132</v>
      </c>
    </row>
    <row r="54" spans="1:38" s="73" customFormat="1" ht="13" x14ac:dyDescent="0.15">
      <c r="A54" s="55" t="str">
        <f>IF(B54="","",HYPERLINK("http://reports.ofsted.gov.uk/local-authorities/halton","Ofsted Local Authority Webpage"))</f>
        <v>Ofsted Local Authority Webpage</v>
      </c>
      <c r="B54" s="55" t="s">
        <v>188</v>
      </c>
      <c r="C54" s="180" t="s">
        <v>144</v>
      </c>
      <c r="D54" s="180" t="s">
        <v>6981</v>
      </c>
      <c r="E54" s="193">
        <v>40627</v>
      </c>
      <c r="F54" s="194" t="s">
        <v>132</v>
      </c>
      <c r="G54" s="195" t="s">
        <v>132</v>
      </c>
      <c r="H54" s="196"/>
      <c r="I54" s="195"/>
      <c r="J54" s="196"/>
      <c r="K54" s="195"/>
      <c r="L54" s="196"/>
      <c r="M54" s="195"/>
      <c r="N54" s="196"/>
      <c r="O54" s="195"/>
      <c r="P54" s="197"/>
      <c r="Q54" s="180"/>
      <c r="R54" s="198">
        <v>42038</v>
      </c>
      <c r="S54" s="194" t="s">
        <v>130</v>
      </c>
      <c r="T54" s="194" t="s">
        <v>130</v>
      </c>
      <c r="U54" s="194" t="s">
        <v>132</v>
      </c>
      <c r="V54" s="194" t="s">
        <v>132</v>
      </c>
      <c r="W54" s="194" t="s">
        <v>132</v>
      </c>
      <c r="X54" s="199" t="s">
        <v>130</v>
      </c>
      <c r="Y54" s="200" t="s">
        <v>130</v>
      </c>
      <c r="Z54" s="196"/>
      <c r="AA54" s="194"/>
      <c r="AB54" s="194"/>
      <c r="AC54" s="194"/>
      <c r="AD54" s="194"/>
      <c r="AE54" s="194"/>
      <c r="AF54" s="199"/>
      <c r="AG54" s="187" t="s">
        <v>304</v>
      </c>
      <c r="AH54" s="201">
        <v>43935</v>
      </c>
      <c r="AI54" s="180" t="s">
        <v>130</v>
      </c>
      <c r="AJ54" s="180" t="s">
        <v>130</v>
      </c>
      <c r="AK54" s="180" t="s">
        <v>130</v>
      </c>
      <c r="AL54" s="202" t="s">
        <v>130</v>
      </c>
    </row>
    <row r="55" spans="1:38" s="73" customFormat="1" ht="13" x14ac:dyDescent="0.15">
      <c r="A55" s="55" t="str">
        <f>IF(B55="","",HYPERLINK("https://reports.ofsted.gov.uk/provider/44/80497","Ofsted Local Authority Webpage"))</f>
        <v>Ofsted Local Authority Webpage</v>
      </c>
      <c r="B55" s="55" t="s">
        <v>189</v>
      </c>
      <c r="C55" s="180" t="s">
        <v>129</v>
      </c>
      <c r="D55" s="180" t="s">
        <v>6979</v>
      </c>
      <c r="E55" s="193">
        <v>40746</v>
      </c>
      <c r="F55" s="194" t="s">
        <v>132</v>
      </c>
      <c r="G55" s="195" t="s">
        <v>132</v>
      </c>
      <c r="H55" s="196"/>
      <c r="I55" s="195"/>
      <c r="J55" s="196"/>
      <c r="K55" s="195"/>
      <c r="L55" s="196"/>
      <c r="M55" s="195"/>
      <c r="N55" s="196"/>
      <c r="O55" s="195"/>
      <c r="P55" s="197"/>
      <c r="Q55" s="180"/>
      <c r="R55" s="198">
        <v>42458</v>
      </c>
      <c r="S55" s="194" t="s">
        <v>132</v>
      </c>
      <c r="T55" s="194" t="s">
        <v>132</v>
      </c>
      <c r="U55" s="194" t="s">
        <v>132</v>
      </c>
      <c r="V55" s="194" t="s">
        <v>140</v>
      </c>
      <c r="W55" s="194" t="s">
        <v>132</v>
      </c>
      <c r="X55" s="199" t="s">
        <v>140</v>
      </c>
      <c r="Y55" s="200" t="s">
        <v>132</v>
      </c>
      <c r="Z55" s="196"/>
      <c r="AA55" s="194"/>
      <c r="AB55" s="194"/>
      <c r="AC55" s="194"/>
      <c r="AD55" s="194"/>
      <c r="AE55" s="194"/>
      <c r="AF55" s="199"/>
      <c r="AG55" s="187" t="s">
        <v>303</v>
      </c>
      <c r="AH55" s="201">
        <v>43753</v>
      </c>
      <c r="AI55" s="180" t="s">
        <v>132</v>
      </c>
      <c r="AJ55" s="180" t="s">
        <v>132</v>
      </c>
      <c r="AK55" s="180" t="s">
        <v>132</v>
      </c>
      <c r="AL55" s="202" t="s">
        <v>132</v>
      </c>
    </row>
    <row r="56" spans="1:38" s="73" customFormat="1" ht="13" x14ac:dyDescent="0.15">
      <c r="A56" s="55" t="str">
        <f>IF(B56="","",HYPERLINK("http://reports.ofsted.gov.uk/local-authorities/hampshire","Ofsted Local Authority Webpage"))</f>
        <v>Ofsted Local Authority Webpage</v>
      </c>
      <c r="B56" s="55" t="s">
        <v>190</v>
      </c>
      <c r="C56" s="180" t="s">
        <v>150</v>
      </c>
      <c r="D56" s="180" t="s">
        <v>6983</v>
      </c>
      <c r="E56" s="193">
        <v>40767</v>
      </c>
      <c r="F56" s="194" t="s">
        <v>132</v>
      </c>
      <c r="G56" s="195" t="s">
        <v>132</v>
      </c>
      <c r="H56" s="196"/>
      <c r="I56" s="195"/>
      <c r="J56" s="196"/>
      <c r="K56" s="195"/>
      <c r="L56" s="196"/>
      <c r="M56" s="195"/>
      <c r="N56" s="196"/>
      <c r="O56" s="195"/>
      <c r="P56" s="197"/>
      <c r="Q56" s="180"/>
      <c r="R56" s="198">
        <v>41751</v>
      </c>
      <c r="S56" s="194" t="s">
        <v>132</v>
      </c>
      <c r="T56" s="194" t="s">
        <v>132</v>
      </c>
      <c r="U56" s="194" t="s">
        <v>132</v>
      </c>
      <c r="V56" s="194" t="s">
        <v>140</v>
      </c>
      <c r="W56" s="194" t="s">
        <v>132</v>
      </c>
      <c r="X56" s="199" t="s">
        <v>140</v>
      </c>
      <c r="Y56" s="200" t="s">
        <v>132</v>
      </c>
      <c r="Z56" s="196"/>
      <c r="AA56" s="194"/>
      <c r="AB56" s="194"/>
      <c r="AC56" s="194"/>
      <c r="AD56" s="194"/>
      <c r="AE56" s="194"/>
      <c r="AF56" s="199"/>
      <c r="AG56" s="187" t="s">
        <v>303</v>
      </c>
      <c r="AH56" s="201">
        <v>43627</v>
      </c>
      <c r="AI56" s="180" t="s">
        <v>140</v>
      </c>
      <c r="AJ56" s="180" t="s">
        <v>140</v>
      </c>
      <c r="AK56" s="180" t="s">
        <v>140</v>
      </c>
      <c r="AL56" s="202" t="s">
        <v>140</v>
      </c>
    </row>
    <row r="57" spans="1:38" s="73" customFormat="1" ht="13" x14ac:dyDescent="0.15">
      <c r="A57" s="55" t="str">
        <f>IF(B57="","",HYPERLINK("http://reports.ofsted.gov.uk/local-authorities/haringey","Ofsted Local Authority Webpage"))</f>
        <v>Ofsted Local Authority Webpage</v>
      </c>
      <c r="B57" s="55" t="s">
        <v>191</v>
      </c>
      <c r="C57" s="180" t="s">
        <v>129</v>
      </c>
      <c r="D57" s="180" t="s">
        <v>6979</v>
      </c>
      <c r="E57" s="193">
        <v>40599</v>
      </c>
      <c r="F57" s="194" t="s">
        <v>130</v>
      </c>
      <c r="G57" s="195" t="s">
        <v>130</v>
      </c>
      <c r="H57" s="196"/>
      <c r="I57" s="195"/>
      <c r="J57" s="196"/>
      <c r="K57" s="195"/>
      <c r="L57" s="196"/>
      <c r="M57" s="195"/>
      <c r="N57" s="196"/>
      <c r="O57" s="195"/>
      <c r="P57" s="197"/>
      <c r="Q57" s="180"/>
      <c r="R57" s="198">
        <v>41838</v>
      </c>
      <c r="S57" s="194" t="s">
        <v>130</v>
      </c>
      <c r="T57" s="194" t="s">
        <v>130</v>
      </c>
      <c r="U57" s="194" t="s">
        <v>130</v>
      </c>
      <c r="V57" s="194" t="s">
        <v>130</v>
      </c>
      <c r="W57" s="194" t="s">
        <v>130</v>
      </c>
      <c r="X57" s="199" t="s">
        <v>130</v>
      </c>
      <c r="Y57" s="200" t="s">
        <v>130</v>
      </c>
      <c r="Z57" s="196"/>
      <c r="AA57" s="194"/>
      <c r="AB57" s="194"/>
      <c r="AC57" s="194"/>
      <c r="AD57" s="194"/>
      <c r="AE57" s="194"/>
      <c r="AF57" s="199"/>
      <c r="AG57" s="187" t="s">
        <v>304</v>
      </c>
      <c r="AH57" s="201">
        <v>43443</v>
      </c>
      <c r="AI57" s="180" t="s">
        <v>130</v>
      </c>
      <c r="AJ57" s="180" t="s">
        <v>130</v>
      </c>
      <c r="AK57" s="180" t="s">
        <v>130</v>
      </c>
      <c r="AL57" s="202" t="s">
        <v>130</v>
      </c>
    </row>
    <row r="58" spans="1:38" s="73" customFormat="1" ht="13" x14ac:dyDescent="0.15">
      <c r="A58" s="55" t="str">
        <f>IF(B58="","",HYPERLINK("http://reports.ofsted.gov.uk/local-authorities/harrow","Ofsted Local Authority Webpage"))</f>
        <v>Ofsted Local Authority Webpage</v>
      </c>
      <c r="B58" s="55" t="s">
        <v>192</v>
      </c>
      <c r="C58" s="180" t="s">
        <v>129</v>
      </c>
      <c r="D58" s="180" t="s">
        <v>6979</v>
      </c>
      <c r="E58" s="193">
        <v>41087</v>
      </c>
      <c r="F58" s="194" t="s">
        <v>130</v>
      </c>
      <c r="G58" s="195" t="s">
        <v>130</v>
      </c>
      <c r="H58" s="196"/>
      <c r="I58" s="195"/>
      <c r="J58" s="196"/>
      <c r="K58" s="195"/>
      <c r="L58" s="196"/>
      <c r="M58" s="195"/>
      <c r="N58" s="196"/>
      <c r="O58" s="195"/>
      <c r="P58" s="197"/>
      <c r="Q58" s="180"/>
      <c r="R58" s="198">
        <v>42825</v>
      </c>
      <c r="S58" s="194" t="s">
        <v>132</v>
      </c>
      <c r="T58" s="194" t="s">
        <v>130</v>
      </c>
      <c r="U58" s="194" t="s">
        <v>132</v>
      </c>
      <c r="V58" s="194" t="s">
        <v>132</v>
      </c>
      <c r="W58" s="194" t="s">
        <v>132</v>
      </c>
      <c r="X58" s="199" t="s">
        <v>132</v>
      </c>
      <c r="Y58" s="200" t="s">
        <v>130</v>
      </c>
      <c r="Z58" s="196"/>
      <c r="AA58" s="194"/>
      <c r="AB58" s="194"/>
      <c r="AC58" s="194"/>
      <c r="AD58" s="194"/>
      <c r="AE58" s="194"/>
      <c r="AF58" s="199"/>
      <c r="AG58" s="187" t="s">
        <v>303</v>
      </c>
      <c r="AH58" s="201">
        <v>43906</v>
      </c>
      <c r="AI58" s="180" t="s">
        <v>132</v>
      </c>
      <c r="AJ58" s="180" t="s">
        <v>132</v>
      </c>
      <c r="AK58" s="180" t="s">
        <v>132</v>
      </c>
      <c r="AL58" s="202" t="s">
        <v>132</v>
      </c>
    </row>
    <row r="59" spans="1:38" s="73" customFormat="1" ht="13" x14ac:dyDescent="0.15">
      <c r="A59" s="55" t="str">
        <f>IF(B59="","",HYPERLINK("https://reports.ofsted.gov.uk/provider/44/80473","Ofsted Local Authority Webpage"))</f>
        <v>Ofsted Local Authority Webpage</v>
      </c>
      <c r="B59" s="55" t="s">
        <v>193</v>
      </c>
      <c r="C59" s="180" t="s">
        <v>309</v>
      </c>
      <c r="D59" s="194" t="s">
        <v>6981</v>
      </c>
      <c r="E59" s="193">
        <v>40375</v>
      </c>
      <c r="F59" s="194" t="s">
        <v>132</v>
      </c>
      <c r="G59" s="195" t="s">
        <v>132</v>
      </c>
      <c r="H59" s="196"/>
      <c r="I59" s="195"/>
      <c r="J59" s="196"/>
      <c r="K59" s="195"/>
      <c r="L59" s="196"/>
      <c r="M59" s="195"/>
      <c r="N59" s="196"/>
      <c r="O59" s="195"/>
      <c r="P59" s="197"/>
      <c r="Q59" s="180"/>
      <c r="R59" s="198">
        <v>41681</v>
      </c>
      <c r="S59" s="194" t="s">
        <v>132</v>
      </c>
      <c r="T59" s="194" t="s">
        <v>132</v>
      </c>
      <c r="U59" s="194" t="s">
        <v>132</v>
      </c>
      <c r="V59" s="194" t="s">
        <v>132</v>
      </c>
      <c r="W59" s="194" t="s">
        <v>132</v>
      </c>
      <c r="X59" s="199" t="s">
        <v>132</v>
      </c>
      <c r="Y59" s="200" t="s">
        <v>130</v>
      </c>
      <c r="Z59" s="196"/>
      <c r="AA59" s="194"/>
      <c r="AB59" s="194"/>
      <c r="AC59" s="194"/>
      <c r="AD59" s="194"/>
      <c r="AE59" s="194"/>
      <c r="AF59" s="199"/>
      <c r="AG59" s="187" t="s">
        <v>303</v>
      </c>
      <c r="AH59" s="201">
        <v>43340</v>
      </c>
      <c r="AI59" s="180" t="s">
        <v>132</v>
      </c>
      <c r="AJ59" s="180" t="s">
        <v>132</v>
      </c>
      <c r="AK59" s="180" t="s">
        <v>132</v>
      </c>
      <c r="AL59" s="202" t="s">
        <v>140</v>
      </c>
    </row>
    <row r="60" spans="1:38" s="73" customFormat="1" ht="14" x14ac:dyDescent="0.15">
      <c r="A60" s="55" t="str">
        <f>IF(B60="","",HYPERLINK("https://reports.ofsted.gov.uk/provider/44/80500","Ofsted Local Authority Webpage"))</f>
        <v>Ofsted Local Authority Webpage</v>
      </c>
      <c r="B60" s="55" t="s">
        <v>194</v>
      </c>
      <c r="C60" s="180" t="s">
        <v>129</v>
      </c>
      <c r="D60" s="212" t="s">
        <v>6979</v>
      </c>
      <c r="E60" s="193">
        <v>40844</v>
      </c>
      <c r="F60" s="194" t="s">
        <v>130</v>
      </c>
      <c r="G60" s="195" t="s">
        <v>130</v>
      </c>
      <c r="H60" s="196"/>
      <c r="I60" s="195"/>
      <c r="J60" s="196"/>
      <c r="K60" s="195"/>
      <c r="L60" s="203">
        <v>41373</v>
      </c>
      <c r="M60" s="195" t="s">
        <v>130</v>
      </c>
      <c r="N60" s="196"/>
      <c r="O60" s="195"/>
      <c r="P60" s="197"/>
      <c r="Q60" s="180"/>
      <c r="R60" s="198">
        <v>42713</v>
      </c>
      <c r="S60" s="194" t="s">
        <v>130</v>
      </c>
      <c r="T60" s="194" t="s">
        <v>130</v>
      </c>
      <c r="U60" s="194" t="s">
        <v>130</v>
      </c>
      <c r="V60" s="194" t="s">
        <v>130</v>
      </c>
      <c r="W60" s="194" t="s">
        <v>146</v>
      </c>
      <c r="X60" s="199" t="s">
        <v>130</v>
      </c>
      <c r="Y60" s="200" t="s">
        <v>130</v>
      </c>
      <c r="Z60" s="196"/>
      <c r="AA60" s="194"/>
      <c r="AB60" s="194"/>
      <c r="AC60" s="194"/>
      <c r="AD60" s="194"/>
      <c r="AE60" s="194"/>
      <c r="AF60" s="199"/>
      <c r="AG60" s="187" t="s">
        <v>304</v>
      </c>
      <c r="AH60" s="201">
        <v>43304</v>
      </c>
      <c r="AI60" s="180" t="s">
        <v>132</v>
      </c>
      <c r="AJ60" s="180" t="s">
        <v>132</v>
      </c>
      <c r="AK60" s="180" t="s">
        <v>130</v>
      </c>
      <c r="AL60" s="202" t="s">
        <v>132</v>
      </c>
    </row>
    <row r="61" spans="1:38" s="73" customFormat="1" ht="13" x14ac:dyDescent="0.15">
      <c r="A61" s="55" t="str">
        <f>IF(B61="","",HYPERLINK("http://reports.ofsted.gov.uk/local-authorities/herefordshire","Ofsted Local Authority Webpage"))</f>
        <v>Ofsted Local Authority Webpage</v>
      </c>
      <c r="B61" s="55" t="s">
        <v>195</v>
      </c>
      <c r="C61" s="194" t="s">
        <v>142</v>
      </c>
      <c r="D61" s="180" t="s">
        <v>6981</v>
      </c>
      <c r="E61" s="193">
        <v>40473</v>
      </c>
      <c r="F61" s="194" t="s">
        <v>130</v>
      </c>
      <c r="G61" s="195" t="s">
        <v>132</v>
      </c>
      <c r="H61" s="196"/>
      <c r="I61" s="195"/>
      <c r="J61" s="196"/>
      <c r="K61" s="195"/>
      <c r="L61" s="204">
        <v>41201</v>
      </c>
      <c r="M61" s="195" t="s">
        <v>146</v>
      </c>
      <c r="N61" s="196"/>
      <c r="O61" s="195"/>
      <c r="P61" s="197"/>
      <c r="Q61" s="180"/>
      <c r="R61" s="198">
        <v>41820</v>
      </c>
      <c r="S61" s="194" t="s">
        <v>130</v>
      </c>
      <c r="T61" s="194" t="s">
        <v>130</v>
      </c>
      <c r="U61" s="194" t="s">
        <v>130</v>
      </c>
      <c r="V61" s="194" t="s">
        <v>132</v>
      </c>
      <c r="W61" s="194" t="s">
        <v>130</v>
      </c>
      <c r="X61" s="199" t="s">
        <v>130</v>
      </c>
      <c r="Y61" s="200" t="s">
        <v>130</v>
      </c>
      <c r="Z61" s="196"/>
      <c r="AA61" s="194"/>
      <c r="AB61" s="194"/>
      <c r="AC61" s="194"/>
      <c r="AD61" s="194"/>
      <c r="AE61" s="194"/>
      <c r="AF61" s="199"/>
      <c r="AG61" s="187" t="s">
        <v>304</v>
      </c>
      <c r="AH61" s="201">
        <v>43304</v>
      </c>
      <c r="AI61" s="180" t="s">
        <v>130</v>
      </c>
      <c r="AJ61" s="180" t="s">
        <v>146</v>
      </c>
      <c r="AK61" s="180" t="s">
        <v>130</v>
      </c>
      <c r="AL61" s="202" t="s">
        <v>130</v>
      </c>
    </row>
    <row r="62" spans="1:38" s="73" customFormat="1" ht="13" x14ac:dyDescent="0.15">
      <c r="A62" s="55" t="str">
        <f>IF(B62="","",HYPERLINK("http://reports.ofsted.gov.uk/local-authorities/hertfordshire","Ofsted Local Authority Webpage"))</f>
        <v>Ofsted Local Authority Webpage</v>
      </c>
      <c r="B62" s="55" t="s">
        <v>196</v>
      </c>
      <c r="C62" s="180" t="s">
        <v>138</v>
      </c>
      <c r="D62" s="180" t="s">
        <v>6983</v>
      </c>
      <c r="E62" s="193">
        <v>40501</v>
      </c>
      <c r="F62" s="194" t="s">
        <v>130</v>
      </c>
      <c r="G62" s="195" t="s">
        <v>130</v>
      </c>
      <c r="H62" s="196"/>
      <c r="I62" s="195"/>
      <c r="J62" s="196"/>
      <c r="K62" s="195"/>
      <c r="L62" s="203">
        <v>41341</v>
      </c>
      <c r="M62" s="195" t="s">
        <v>130</v>
      </c>
      <c r="N62" s="196"/>
      <c r="O62" s="195"/>
      <c r="P62" s="197"/>
      <c r="Q62" s="180"/>
      <c r="R62" s="198">
        <v>42335</v>
      </c>
      <c r="S62" s="194" t="s">
        <v>132</v>
      </c>
      <c r="T62" s="194" t="s">
        <v>130</v>
      </c>
      <c r="U62" s="194" t="s">
        <v>132</v>
      </c>
      <c r="V62" s="194" t="s">
        <v>132</v>
      </c>
      <c r="W62" s="194" t="s">
        <v>132</v>
      </c>
      <c r="X62" s="199" t="s">
        <v>132</v>
      </c>
      <c r="Y62" s="200" t="s">
        <v>132</v>
      </c>
      <c r="Z62" s="196"/>
      <c r="AA62" s="194"/>
      <c r="AB62" s="194"/>
      <c r="AC62" s="194"/>
      <c r="AD62" s="194"/>
      <c r="AE62" s="194"/>
      <c r="AF62" s="199"/>
      <c r="AG62" s="187" t="s">
        <v>303</v>
      </c>
      <c r="AH62" s="201">
        <v>43422</v>
      </c>
      <c r="AI62" s="180" t="s">
        <v>132</v>
      </c>
      <c r="AJ62" s="180" t="s">
        <v>140</v>
      </c>
      <c r="AK62" s="180" t="s">
        <v>132</v>
      </c>
      <c r="AL62" s="202" t="s">
        <v>132</v>
      </c>
    </row>
    <row r="63" spans="1:38" s="73" customFormat="1" ht="13" x14ac:dyDescent="0.15">
      <c r="A63" s="55" t="str">
        <f>IF(B63="","",HYPERLINK("http://reports.ofsted.gov.uk/local-authorities/hillingdon","Ofsted Local Authority Webpage"))</f>
        <v>Ofsted Local Authority Webpage</v>
      </c>
      <c r="B63" s="55" t="s">
        <v>197</v>
      </c>
      <c r="C63" s="180" t="s">
        <v>129</v>
      </c>
      <c r="D63" s="180" t="s">
        <v>6979</v>
      </c>
      <c r="E63" s="193">
        <v>40151</v>
      </c>
      <c r="F63" s="194" t="s">
        <v>132</v>
      </c>
      <c r="G63" s="195" t="s">
        <v>132</v>
      </c>
      <c r="H63" s="196"/>
      <c r="I63" s="195"/>
      <c r="J63" s="196"/>
      <c r="K63" s="195"/>
      <c r="L63" s="196"/>
      <c r="M63" s="195"/>
      <c r="N63" s="196"/>
      <c r="O63" s="195"/>
      <c r="P63" s="197"/>
      <c r="Q63" s="180"/>
      <c r="R63" s="198">
        <v>41681</v>
      </c>
      <c r="S63" s="194" t="s">
        <v>130</v>
      </c>
      <c r="T63" s="194" t="s">
        <v>130</v>
      </c>
      <c r="U63" s="194" t="s">
        <v>130</v>
      </c>
      <c r="V63" s="194" t="s">
        <v>132</v>
      </c>
      <c r="W63" s="194" t="s">
        <v>130</v>
      </c>
      <c r="X63" s="199" t="s">
        <v>130</v>
      </c>
      <c r="Y63" s="200" t="s">
        <v>130</v>
      </c>
      <c r="Z63" s="196"/>
      <c r="AA63" s="194"/>
      <c r="AB63" s="194"/>
      <c r="AC63" s="194"/>
      <c r="AD63" s="194"/>
      <c r="AE63" s="194"/>
      <c r="AF63" s="199"/>
      <c r="AG63" s="187" t="s">
        <v>304</v>
      </c>
      <c r="AH63" s="201">
        <v>43250</v>
      </c>
      <c r="AI63" s="180" t="s">
        <v>132</v>
      </c>
      <c r="AJ63" s="180" t="s">
        <v>140</v>
      </c>
      <c r="AK63" s="180" t="s">
        <v>132</v>
      </c>
      <c r="AL63" s="202" t="s">
        <v>132</v>
      </c>
    </row>
    <row r="64" spans="1:38" s="73" customFormat="1" ht="13" x14ac:dyDescent="0.15">
      <c r="A64" s="55" t="str">
        <f>IF(B64="","",HYPERLINK("http://reports.ofsted.gov.uk/local-authorities/hounslow","Ofsted Local Authority Webpage"))</f>
        <v>Ofsted Local Authority Webpage</v>
      </c>
      <c r="B64" s="55" t="s">
        <v>198</v>
      </c>
      <c r="C64" s="180" t="s">
        <v>129</v>
      </c>
      <c r="D64" s="180" t="s">
        <v>6979</v>
      </c>
      <c r="E64" s="193">
        <v>40123</v>
      </c>
      <c r="F64" s="194" t="s">
        <v>132</v>
      </c>
      <c r="G64" s="195" t="s">
        <v>132</v>
      </c>
      <c r="H64" s="196"/>
      <c r="I64" s="195"/>
      <c r="J64" s="196"/>
      <c r="K64" s="195"/>
      <c r="L64" s="196"/>
      <c r="M64" s="195"/>
      <c r="N64" s="196"/>
      <c r="O64" s="195"/>
      <c r="P64" s="197"/>
      <c r="Q64" s="180"/>
      <c r="R64" s="198">
        <v>41719</v>
      </c>
      <c r="S64" s="194" t="s">
        <v>130</v>
      </c>
      <c r="T64" s="194" t="s">
        <v>130</v>
      </c>
      <c r="U64" s="194" t="s">
        <v>130</v>
      </c>
      <c r="V64" s="194" t="s">
        <v>130</v>
      </c>
      <c r="W64" s="194" t="s">
        <v>130</v>
      </c>
      <c r="X64" s="199" t="s">
        <v>130</v>
      </c>
      <c r="Y64" s="200" t="s">
        <v>130</v>
      </c>
      <c r="Z64" s="196"/>
      <c r="AA64" s="194"/>
      <c r="AB64" s="194"/>
      <c r="AC64" s="194"/>
      <c r="AD64" s="194"/>
      <c r="AE64" s="194"/>
      <c r="AF64" s="199"/>
      <c r="AG64" s="187" t="s">
        <v>304</v>
      </c>
      <c r="AH64" s="201">
        <v>43415</v>
      </c>
      <c r="AI64" s="180" t="s">
        <v>132</v>
      </c>
      <c r="AJ64" s="180" t="s">
        <v>132</v>
      </c>
      <c r="AK64" s="180" t="s">
        <v>130</v>
      </c>
      <c r="AL64" s="202" t="s">
        <v>132</v>
      </c>
    </row>
    <row r="65" spans="1:38" s="73" customFormat="1" ht="13" x14ac:dyDescent="0.15">
      <c r="A65" s="55" t="str">
        <f>IF(B65="","",HYPERLINK("http://reports.ofsted.gov.uk/local-authorities/isle-of-wight","Ofsted Local Authority Webpage"))</f>
        <v>Ofsted Local Authority Webpage</v>
      </c>
      <c r="B65" s="55" t="s">
        <v>199</v>
      </c>
      <c r="C65" s="180" t="s">
        <v>150</v>
      </c>
      <c r="D65" s="180" t="s">
        <v>6981</v>
      </c>
      <c r="E65" s="193">
        <v>40469</v>
      </c>
      <c r="F65" s="194" t="s">
        <v>130</v>
      </c>
      <c r="G65" s="195" t="s">
        <v>130</v>
      </c>
      <c r="H65" s="196"/>
      <c r="I65" s="195"/>
      <c r="J65" s="196"/>
      <c r="K65" s="195"/>
      <c r="L65" s="203">
        <v>41289</v>
      </c>
      <c r="M65" s="195" t="s">
        <v>146</v>
      </c>
      <c r="N65" s="196"/>
      <c r="O65" s="195"/>
      <c r="P65" s="197"/>
      <c r="Q65" s="180"/>
      <c r="R65" s="198">
        <v>41962</v>
      </c>
      <c r="S65" s="194" t="s">
        <v>130</v>
      </c>
      <c r="T65" s="194" t="s">
        <v>130</v>
      </c>
      <c r="U65" s="194" t="s">
        <v>130</v>
      </c>
      <c r="V65" s="194" t="s">
        <v>130</v>
      </c>
      <c r="W65" s="194" t="s">
        <v>130</v>
      </c>
      <c r="X65" s="199" t="s">
        <v>130</v>
      </c>
      <c r="Y65" s="200" t="s">
        <v>130</v>
      </c>
      <c r="Z65" s="196"/>
      <c r="AA65" s="194"/>
      <c r="AB65" s="194"/>
      <c r="AC65" s="194"/>
      <c r="AD65" s="194"/>
      <c r="AE65" s="194"/>
      <c r="AF65" s="199"/>
      <c r="AG65" s="187" t="s">
        <v>304</v>
      </c>
      <c r="AH65" s="201">
        <v>43471</v>
      </c>
      <c r="AI65" s="180" t="s">
        <v>132</v>
      </c>
      <c r="AJ65" s="180" t="s">
        <v>132</v>
      </c>
      <c r="AK65" s="180" t="s">
        <v>132</v>
      </c>
      <c r="AL65" s="202" t="s">
        <v>132</v>
      </c>
    </row>
    <row r="66" spans="1:38" s="73" customFormat="1" ht="13" x14ac:dyDescent="0.15">
      <c r="A66" s="55" t="str">
        <f>IF(B66="","",HYPERLINK("http://reports.ofsted.gov.uk/local-authorities/isles-of-scilly","Ofsted Local Authority Webpage"))</f>
        <v>Ofsted Local Authority Webpage</v>
      </c>
      <c r="B66" s="55" t="s">
        <v>200</v>
      </c>
      <c r="C66" s="194" t="s">
        <v>136</v>
      </c>
      <c r="D66" s="180" t="s">
        <v>6981</v>
      </c>
      <c r="E66" s="193">
        <v>41093</v>
      </c>
      <c r="F66" s="194" t="s">
        <v>132</v>
      </c>
      <c r="G66" s="202"/>
      <c r="H66" s="197"/>
      <c r="I66" s="202"/>
      <c r="J66" s="197"/>
      <c r="K66" s="202"/>
      <c r="L66" s="196"/>
      <c r="M66" s="195"/>
      <c r="N66" s="196"/>
      <c r="O66" s="195"/>
      <c r="P66" s="197"/>
      <c r="Q66" s="180"/>
      <c r="R66" s="198">
        <v>42548</v>
      </c>
      <c r="S66" s="194" t="s">
        <v>132</v>
      </c>
      <c r="T66" s="194" t="s">
        <v>132</v>
      </c>
      <c r="U66" s="180" t="s">
        <v>6984</v>
      </c>
      <c r="V66" s="180" t="s">
        <v>6984</v>
      </c>
      <c r="W66" s="180" t="s">
        <v>6984</v>
      </c>
      <c r="X66" s="199" t="s">
        <v>132</v>
      </c>
      <c r="Y66" s="200" t="s">
        <v>130</v>
      </c>
      <c r="Z66" s="196"/>
      <c r="AA66" s="194"/>
      <c r="AB66" s="194"/>
      <c r="AC66" s="194"/>
      <c r="AD66" s="194"/>
      <c r="AE66" s="194"/>
      <c r="AF66" s="199"/>
      <c r="AG66" s="187" t="s">
        <v>303</v>
      </c>
      <c r="AH66" s="201">
        <v>43818</v>
      </c>
      <c r="AI66" s="180" t="s">
        <v>132</v>
      </c>
      <c r="AJ66" s="180" t="s">
        <v>140</v>
      </c>
      <c r="AK66" s="180" t="s">
        <v>132</v>
      </c>
      <c r="AL66" s="202" t="s">
        <v>132</v>
      </c>
    </row>
    <row r="67" spans="1:38" s="73" customFormat="1" ht="13" x14ac:dyDescent="0.15">
      <c r="A67" s="55" t="str">
        <f>IF(B67="","",HYPERLINK("http://reports.ofsted.gov.uk/local-authorities/islington","Ofsted Local Authority Webpage"))</f>
        <v>Ofsted Local Authority Webpage</v>
      </c>
      <c r="B67" s="55" t="s">
        <v>201</v>
      </c>
      <c r="C67" s="180" t="s">
        <v>129</v>
      </c>
      <c r="D67" s="180" t="s">
        <v>6979</v>
      </c>
      <c r="E67" s="193">
        <v>40977</v>
      </c>
      <c r="F67" s="194" t="s">
        <v>132</v>
      </c>
      <c r="G67" s="195" t="s">
        <v>132</v>
      </c>
      <c r="H67" s="196"/>
      <c r="I67" s="195"/>
      <c r="J67" s="196"/>
      <c r="K67" s="195"/>
      <c r="L67" s="196"/>
      <c r="M67" s="195"/>
      <c r="N67" s="196"/>
      <c r="O67" s="195"/>
      <c r="P67" s="197"/>
      <c r="Q67" s="180"/>
      <c r="R67" s="198">
        <v>42930</v>
      </c>
      <c r="S67" s="194" t="s">
        <v>132</v>
      </c>
      <c r="T67" s="194" t="s">
        <v>132</v>
      </c>
      <c r="U67" s="194" t="s">
        <v>132</v>
      </c>
      <c r="V67" s="194" t="s">
        <v>132</v>
      </c>
      <c r="W67" s="194" t="s">
        <v>132</v>
      </c>
      <c r="X67" s="199" t="s">
        <v>140</v>
      </c>
      <c r="Y67" s="200" t="s">
        <v>132</v>
      </c>
      <c r="Z67" s="196"/>
      <c r="AA67" s="194"/>
      <c r="AB67" s="194"/>
      <c r="AC67" s="194"/>
      <c r="AD67" s="194"/>
      <c r="AE67" s="194"/>
      <c r="AF67" s="199"/>
      <c r="AG67" s="187" t="s">
        <v>303</v>
      </c>
      <c r="AH67" s="201">
        <v>43936</v>
      </c>
      <c r="AI67" s="180" t="s">
        <v>140</v>
      </c>
      <c r="AJ67" s="180" t="s">
        <v>140</v>
      </c>
      <c r="AK67" s="180" t="s">
        <v>140</v>
      </c>
      <c r="AL67" s="202" t="s">
        <v>132</v>
      </c>
    </row>
    <row r="68" spans="1:38" s="73" customFormat="1" ht="13" x14ac:dyDescent="0.15">
      <c r="A68" s="55" t="str">
        <f>IF(B68="","",HYPERLINK("http://reports.ofsted.gov.uk/local-authorities/kensington-and-chelsea","Ofsted Local Authority Webpage"))</f>
        <v>Ofsted Local Authority Webpage</v>
      </c>
      <c r="B68" s="55" t="s">
        <v>202</v>
      </c>
      <c r="C68" s="180" t="s">
        <v>129</v>
      </c>
      <c r="D68" s="180" t="s">
        <v>6979</v>
      </c>
      <c r="E68" s="193">
        <v>41058</v>
      </c>
      <c r="F68" s="194" t="s">
        <v>132</v>
      </c>
      <c r="G68" s="195" t="s">
        <v>132</v>
      </c>
      <c r="H68" s="196"/>
      <c r="I68" s="195"/>
      <c r="J68" s="196"/>
      <c r="K68" s="195"/>
      <c r="L68" s="196"/>
      <c r="M68" s="195"/>
      <c r="N68" s="196"/>
      <c r="O68" s="195"/>
      <c r="P68" s="197"/>
      <c r="Q68" s="180"/>
      <c r="R68" s="198">
        <v>42458</v>
      </c>
      <c r="S68" s="194" t="s">
        <v>140</v>
      </c>
      <c r="T68" s="194" t="s">
        <v>132</v>
      </c>
      <c r="U68" s="194" t="s">
        <v>140</v>
      </c>
      <c r="V68" s="194" t="s">
        <v>140</v>
      </c>
      <c r="W68" s="194" t="s">
        <v>140</v>
      </c>
      <c r="X68" s="199" t="s">
        <v>140</v>
      </c>
      <c r="Y68" s="200" t="s">
        <v>132</v>
      </c>
      <c r="Z68" s="196"/>
      <c r="AA68" s="194"/>
      <c r="AB68" s="194"/>
      <c r="AC68" s="194"/>
      <c r="AD68" s="194"/>
      <c r="AE68" s="194"/>
      <c r="AF68" s="199"/>
      <c r="AG68" s="187" t="s">
        <v>303</v>
      </c>
      <c r="AH68" s="201">
        <v>43743</v>
      </c>
      <c r="AI68" s="180" t="s">
        <v>140</v>
      </c>
      <c r="AJ68" s="180" t="s">
        <v>140</v>
      </c>
      <c r="AK68" s="180" t="s">
        <v>140</v>
      </c>
      <c r="AL68" s="202" t="s">
        <v>140</v>
      </c>
    </row>
    <row r="69" spans="1:38" s="73" customFormat="1" ht="13" x14ac:dyDescent="0.15">
      <c r="A69" s="55" t="str">
        <f>IF(B69="","",HYPERLINK("https://reports.ofsted.gov.uk/provider/44/80476","Ofsted Local Authority Webpage"))</f>
        <v>Ofsted Local Authority Webpage</v>
      </c>
      <c r="B69" s="55" t="s">
        <v>203</v>
      </c>
      <c r="C69" s="180" t="s">
        <v>150</v>
      </c>
      <c r="D69" s="180" t="s">
        <v>6983</v>
      </c>
      <c r="E69" s="193">
        <v>40501</v>
      </c>
      <c r="F69" s="194" t="s">
        <v>146</v>
      </c>
      <c r="G69" s="195" t="s">
        <v>146</v>
      </c>
      <c r="H69" s="196"/>
      <c r="I69" s="195"/>
      <c r="J69" s="196"/>
      <c r="K69" s="195"/>
      <c r="L69" s="203">
        <v>41289</v>
      </c>
      <c r="M69" s="195" t="s">
        <v>130</v>
      </c>
      <c r="N69" s="196"/>
      <c r="O69" s="195"/>
      <c r="P69" s="198">
        <v>41509</v>
      </c>
      <c r="Q69" s="180" t="s">
        <v>130</v>
      </c>
      <c r="R69" s="198">
        <v>42899</v>
      </c>
      <c r="S69" s="194" t="s">
        <v>132</v>
      </c>
      <c r="T69" s="194" t="s">
        <v>130</v>
      </c>
      <c r="U69" s="194" t="s">
        <v>132</v>
      </c>
      <c r="V69" s="194" t="s">
        <v>132</v>
      </c>
      <c r="W69" s="194" t="s">
        <v>132</v>
      </c>
      <c r="X69" s="199" t="s">
        <v>132</v>
      </c>
      <c r="Y69" s="200" t="s">
        <v>130</v>
      </c>
      <c r="Z69" s="196"/>
      <c r="AA69" s="194"/>
      <c r="AB69" s="194"/>
      <c r="AC69" s="194"/>
      <c r="AD69" s="194"/>
      <c r="AE69" s="194"/>
      <c r="AF69" s="199"/>
      <c r="AG69" s="187"/>
      <c r="AH69" s="201"/>
      <c r="AI69" s="180"/>
      <c r="AJ69" s="180"/>
      <c r="AK69" s="180"/>
      <c r="AL69" s="202"/>
    </row>
    <row r="70" spans="1:38" s="73" customFormat="1" ht="13" x14ac:dyDescent="0.15">
      <c r="A70" s="55" t="str">
        <f>IF(B70="","",HYPERLINK("http://reports.ofsted.gov.uk/local-authorities/kingston-upon-hull","Ofsted Local Authority Webpage"))</f>
        <v>Ofsted Local Authority Webpage</v>
      </c>
      <c r="B70" s="55" t="s">
        <v>312</v>
      </c>
      <c r="C70" s="180" t="s">
        <v>309</v>
      </c>
      <c r="D70" s="180" t="s">
        <v>6981</v>
      </c>
      <c r="E70" s="193">
        <v>40767</v>
      </c>
      <c r="F70" s="194" t="s">
        <v>130</v>
      </c>
      <c r="G70" s="195" t="s">
        <v>130</v>
      </c>
      <c r="H70" s="196"/>
      <c r="I70" s="195"/>
      <c r="J70" s="196"/>
      <c r="K70" s="195"/>
      <c r="L70" s="196"/>
      <c r="M70" s="195"/>
      <c r="N70" s="196"/>
      <c r="O70" s="195"/>
      <c r="P70" s="197"/>
      <c r="Q70" s="180"/>
      <c r="R70" s="198">
        <v>42038</v>
      </c>
      <c r="S70" s="194" t="s">
        <v>130</v>
      </c>
      <c r="T70" s="194" t="s">
        <v>130</v>
      </c>
      <c r="U70" s="194" t="s">
        <v>130</v>
      </c>
      <c r="V70" s="194" t="s">
        <v>130</v>
      </c>
      <c r="W70" s="194" t="s">
        <v>130</v>
      </c>
      <c r="X70" s="199" t="s">
        <v>130</v>
      </c>
      <c r="Y70" s="200" t="s">
        <v>130</v>
      </c>
      <c r="Z70" s="196"/>
      <c r="AA70" s="194"/>
      <c r="AB70" s="194"/>
      <c r="AC70" s="194"/>
      <c r="AD70" s="194"/>
      <c r="AE70" s="194"/>
      <c r="AF70" s="199"/>
      <c r="AG70" s="187" t="s">
        <v>304</v>
      </c>
      <c r="AH70" s="201">
        <v>43597</v>
      </c>
      <c r="AI70" s="180" t="s">
        <v>146</v>
      </c>
      <c r="AJ70" s="180" t="s">
        <v>130</v>
      </c>
      <c r="AK70" s="180" t="s">
        <v>146</v>
      </c>
      <c r="AL70" s="202" t="s">
        <v>130</v>
      </c>
    </row>
    <row r="71" spans="1:38" s="73" customFormat="1" ht="13" x14ac:dyDescent="0.15">
      <c r="A71" s="55" t="str">
        <f>IF(B71="","",HYPERLINK("https://reports.ofsted.gov.uk/provider/44/80545","Ofsted Local Authority Webpage"))</f>
        <v>Ofsted Local Authority Webpage</v>
      </c>
      <c r="B71" s="55" t="s">
        <v>205</v>
      </c>
      <c r="C71" s="180" t="s">
        <v>129</v>
      </c>
      <c r="D71" s="180" t="s">
        <v>6979</v>
      </c>
      <c r="E71" s="193">
        <v>41100</v>
      </c>
      <c r="F71" s="194" t="s">
        <v>146</v>
      </c>
      <c r="G71" s="195" t="s">
        <v>130</v>
      </c>
      <c r="H71" s="196"/>
      <c r="I71" s="195"/>
      <c r="J71" s="196"/>
      <c r="K71" s="195"/>
      <c r="L71" s="203">
        <v>41467</v>
      </c>
      <c r="M71" s="195" t="s">
        <v>146</v>
      </c>
      <c r="N71" s="196"/>
      <c r="O71" s="195"/>
      <c r="P71" s="197"/>
      <c r="Q71" s="180"/>
      <c r="R71" s="198">
        <v>42219</v>
      </c>
      <c r="S71" s="194" t="s">
        <v>132</v>
      </c>
      <c r="T71" s="194" t="s">
        <v>132</v>
      </c>
      <c r="U71" s="194" t="s">
        <v>132</v>
      </c>
      <c r="V71" s="194" t="s">
        <v>132</v>
      </c>
      <c r="W71" s="194" t="s">
        <v>132</v>
      </c>
      <c r="X71" s="199" t="s">
        <v>132</v>
      </c>
      <c r="Y71" s="200" t="s">
        <v>132</v>
      </c>
      <c r="Z71" s="196"/>
      <c r="AA71" s="194"/>
      <c r="AB71" s="194"/>
      <c r="AC71" s="194"/>
      <c r="AD71" s="194"/>
      <c r="AE71" s="194"/>
      <c r="AF71" s="199"/>
      <c r="AG71" s="187" t="s">
        <v>303</v>
      </c>
      <c r="AH71" s="201">
        <v>43818</v>
      </c>
      <c r="AI71" s="180" t="s">
        <v>140</v>
      </c>
      <c r="AJ71" s="180" t="s">
        <v>140</v>
      </c>
      <c r="AK71" s="180" t="s">
        <v>132</v>
      </c>
      <c r="AL71" s="202" t="s">
        <v>140</v>
      </c>
    </row>
    <row r="72" spans="1:38" s="73" customFormat="1" ht="13" x14ac:dyDescent="0.15">
      <c r="A72" s="55" t="str">
        <f>IF(B72="","",HYPERLINK("https://reports.ofsted.gov.uk/provider/44/382","Ofsted Local Authority Webpage"))</f>
        <v>Ofsted Local Authority Webpage</v>
      </c>
      <c r="B72" s="55" t="s">
        <v>206</v>
      </c>
      <c r="C72" s="180" t="s">
        <v>309</v>
      </c>
      <c r="D72" s="180" t="s">
        <v>6980</v>
      </c>
      <c r="E72" s="193">
        <v>40865</v>
      </c>
      <c r="F72" s="194" t="s">
        <v>132</v>
      </c>
      <c r="G72" s="195" t="s">
        <v>132</v>
      </c>
      <c r="H72" s="196"/>
      <c r="I72" s="195"/>
      <c r="J72" s="196"/>
      <c r="K72" s="195"/>
      <c r="L72" s="196"/>
      <c r="M72" s="195"/>
      <c r="N72" s="196"/>
      <c r="O72" s="195"/>
      <c r="P72" s="197"/>
      <c r="Q72" s="180"/>
      <c r="R72" s="198">
        <v>42699</v>
      </c>
      <c r="S72" s="194" t="s">
        <v>146</v>
      </c>
      <c r="T72" s="194" t="s">
        <v>146</v>
      </c>
      <c r="U72" s="194" t="s">
        <v>146</v>
      </c>
      <c r="V72" s="194" t="s">
        <v>130</v>
      </c>
      <c r="W72" s="194" t="s">
        <v>130</v>
      </c>
      <c r="X72" s="199" t="s">
        <v>146</v>
      </c>
      <c r="Y72" s="200" t="s">
        <v>146</v>
      </c>
      <c r="Z72" s="196"/>
      <c r="AA72" s="194"/>
      <c r="AB72" s="194"/>
      <c r="AC72" s="194"/>
      <c r="AD72" s="194"/>
      <c r="AE72" s="194"/>
      <c r="AF72" s="199"/>
      <c r="AG72" s="187" t="s">
        <v>304</v>
      </c>
      <c r="AH72" s="201">
        <v>43681</v>
      </c>
      <c r="AI72" s="180" t="s">
        <v>130</v>
      </c>
      <c r="AJ72" s="180" t="s">
        <v>130</v>
      </c>
      <c r="AK72" s="180" t="s">
        <v>130</v>
      </c>
      <c r="AL72" s="202" t="s">
        <v>130</v>
      </c>
    </row>
    <row r="73" spans="1:38" s="73" customFormat="1" ht="13" x14ac:dyDescent="0.15">
      <c r="A73" s="55" t="str">
        <f>IF(B73="","",HYPERLINK("http://reports.ofsted.gov.uk/local-authorities/knowsley","Ofsted Local Authority Webpage"))</f>
        <v>Ofsted Local Authority Webpage</v>
      </c>
      <c r="B73" s="55" t="s">
        <v>207</v>
      </c>
      <c r="C73" s="180" t="s">
        <v>144</v>
      </c>
      <c r="D73" s="180" t="s">
        <v>6980</v>
      </c>
      <c r="E73" s="193">
        <v>40249</v>
      </c>
      <c r="F73" s="194" t="s">
        <v>132</v>
      </c>
      <c r="G73" s="195" t="s">
        <v>132</v>
      </c>
      <c r="H73" s="196"/>
      <c r="I73" s="195"/>
      <c r="J73" s="196"/>
      <c r="K73" s="195"/>
      <c r="L73" s="196"/>
      <c r="M73" s="195"/>
      <c r="N73" s="196"/>
      <c r="O73" s="195"/>
      <c r="P73" s="197"/>
      <c r="Q73" s="180"/>
      <c r="R73" s="198">
        <v>41820</v>
      </c>
      <c r="S73" s="194" t="s">
        <v>146</v>
      </c>
      <c r="T73" s="194" t="s">
        <v>146</v>
      </c>
      <c r="U73" s="194" t="s">
        <v>130</v>
      </c>
      <c r="V73" s="194" t="s">
        <v>146</v>
      </c>
      <c r="W73" s="194" t="s">
        <v>130</v>
      </c>
      <c r="X73" s="199" t="s">
        <v>146</v>
      </c>
      <c r="Y73" s="200" t="s">
        <v>146</v>
      </c>
      <c r="Z73" s="198">
        <v>42899</v>
      </c>
      <c r="AA73" s="194" t="s">
        <v>130</v>
      </c>
      <c r="AB73" s="194" t="s">
        <v>130</v>
      </c>
      <c r="AC73" s="194" t="s">
        <v>130</v>
      </c>
      <c r="AD73" s="194" t="s">
        <v>132</v>
      </c>
      <c r="AE73" s="194" t="s">
        <v>132</v>
      </c>
      <c r="AF73" s="199" t="s">
        <v>132</v>
      </c>
      <c r="AG73" s="187" t="s">
        <v>304</v>
      </c>
      <c r="AH73" s="201">
        <v>44532</v>
      </c>
      <c r="AI73" s="180" t="s">
        <v>130</v>
      </c>
      <c r="AJ73" s="180" t="s">
        <v>130</v>
      </c>
      <c r="AK73" s="180" t="s">
        <v>130</v>
      </c>
      <c r="AL73" s="202" t="s">
        <v>130</v>
      </c>
    </row>
    <row r="74" spans="1:38" s="73" customFormat="1" ht="13" x14ac:dyDescent="0.15">
      <c r="A74" s="55" t="str">
        <f>IF(B74="","",HYPERLINK("http://reports.ofsted.gov.uk/local-authorities/lambeth","Ofsted Local Authority Webpage"))</f>
        <v>Ofsted Local Authority Webpage</v>
      </c>
      <c r="B74" s="55" t="s">
        <v>208</v>
      </c>
      <c r="C74" s="180" t="s">
        <v>129</v>
      </c>
      <c r="D74" s="180" t="s">
        <v>6979</v>
      </c>
      <c r="E74" s="193">
        <v>41058</v>
      </c>
      <c r="F74" s="194" t="s">
        <v>140</v>
      </c>
      <c r="G74" s="195" t="s">
        <v>140</v>
      </c>
      <c r="H74" s="196"/>
      <c r="I74" s="195"/>
      <c r="J74" s="196"/>
      <c r="K74" s="195"/>
      <c r="L74" s="196"/>
      <c r="M74" s="195"/>
      <c r="N74" s="196"/>
      <c r="O74" s="195"/>
      <c r="P74" s="197"/>
      <c r="Q74" s="180"/>
      <c r="R74" s="198">
        <v>42136</v>
      </c>
      <c r="S74" s="194" t="s">
        <v>146</v>
      </c>
      <c r="T74" s="194" t="s">
        <v>130</v>
      </c>
      <c r="U74" s="194" t="s">
        <v>146</v>
      </c>
      <c r="V74" s="194" t="s">
        <v>146</v>
      </c>
      <c r="W74" s="194" t="s">
        <v>130</v>
      </c>
      <c r="X74" s="199" t="s">
        <v>146</v>
      </c>
      <c r="Y74" s="200" t="s">
        <v>146</v>
      </c>
      <c r="Z74" s="198">
        <v>43229</v>
      </c>
      <c r="AA74" s="194" t="s">
        <v>130</v>
      </c>
      <c r="AB74" s="194" t="s">
        <v>130</v>
      </c>
      <c r="AC74" s="194" t="s">
        <v>130</v>
      </c>
      <c r="AD74" s="194" t="s">
        <v>146</v>
      </c>
      <c r="AE74" s="194" t="s">
        <v>130</v>
      </c>
      <c r="AF74" s="199" t="s">
        <v>130</v>
      </c>
      <c r="AG74" s="187"/>
      <c r="AH74" s="201"/>
      <c r="AI74" s="180"/>
      <c r="AJ74" s="180"/>
      <c r="AK74" s="180"/>
      <c r="AL74" s="202"/>
    </row>
    <row r="75" spans="1:38" s="73" customFormat="1" ht="13" x14ac:dyDescent="0.15">
      <c r="A75" s="55" t="str">
        <f>IF(B75="","",HYPERLINK("https://reports.ofsted.gov.uk/provider/44/80480","Ofsted Local Authority Webpage"))</f>
        <v>Ofsted Local Authority Webpage</v>
      </c>
      <c r="B75" s="55" t="s">
        <v>209</v>
      </c>
      <c r="C75" s="180" t="s">
        <v>144</v>
      </c>
      <c r="D75" s="180" t="s">
        <v>6983</v>
      </c>
      <c r="E75" s="193">
        <v>40977</v>
      </c>
      <c r="F75" s="194" t="s">
        <v>132</v>
      </c>
      <c r="G75" s="195" t="s">
        <v>132</v>
      </c>
      <c r="H75" s="196"/>
      <c r="I75" s="195"/>
      <c r="J75" s="196"/>
      <c r="K75" s="195"/>
      <c r="L75" s="196"/>
      <c r="M75" s="195"/>
      <c r="N75" s="196"/>
      <c r="O75" s="195"/>
      <c r="P75" s="197"/>
      <c r="Q75" s="180"/>
      <c r="R75" s="198">
        <v>42335</v>
      </c>
      <c r="S75" s="194" t="s">
        <v>146</v>
      </c>
      <c r="T75" s="194" t="s">
        <v>146</v>
      </c>
      <c r="U75" s="194" t="s">
        <v>130</v>
      </c>
      <c r="V75" s="194" t="s">
        <v>130</v>
      </c>
      <c r="W75" s="194" t="s">
        <v>146</v>
      </c>
      <c r="X75" s="199" t="s">
        <v>146</v>
      </c>
      <c r="Y75" s="200" t="s">
        <v>132</v>
      </c>
      <c r="Z75" s="213">
        <v>43329</v>
      </c>
      <c r="AA75" s="214" t="s">
        <v>130</v>
      </c>
      <c r="AB75" s="214" t="s">
        <v>130</v>
      </c>
      <c r="AC75" s="214" t="s">
        <v>130</v>
      </c>
      <c r="AD75" s="214" t="s">
        <v>132</v>
      </c>
      <c r="AE75" s="214" t="s">
        <v>130</v>
      </c>
      <c r="AF75" s="215" t="s">
        <v>130</v>
      </c>
      <c r="AG75" s="187"/>
      <c r="AH75" s="201"/>
      <c r="AI75" s="180"/>
      <c r="AJ75" s="180"/>
      <c r="AK75" s="180"/>
      <c r="AL75" s="202"/>
    </row>
    <row r="76" spans="1:38" s="73" customFormat="1" ht="13" x14ac:dyDescent="0.15">
      <c r="A76" s="55" t="str">
        <f>IF(B76="","",HYPERLINK("http://reports.ofsted.gov.uk/local-authorities/leeds","Ofsted Local Authority Webpage"))</f>
        <v>Ofsted Local Authority Webpage</v>
      </c>
      <c r="B76" s="55" t="s">
        <v>210</v>
      </c>
      <c r="C76" s="180" t="s">
        <v>309</v>
      </c>
      <c r="D76" s="180" t="s">
        <v>6980</v>
      </c>
      <c r="E76" s="193">
        <v>40185</v>
      </c>
      <c r="F76" s="194" t="s">
        <v>146</v>
      </c>
      <c r="G76" s="195" t="s">
        <v>130</v>
      </c>
      <c r="H76" s="193">
        <v>40826</v>
      </c>
      <c r="I76" s="195" t="s">
        <v>130</v>
      </c>
      <c r="J76" s="196"/>
      <c r="K76" s="195"/>
      <c r="L76" s="196"/>
      <c r="M76" s="195"/>
      <c r="N76" s="196"/>
      <c r="O76" s="195"/>
      <c r="P76" s="197"/>
      <c r="Q76" s="180"/>
      <c r="R76" s="203">
        <v>42090</v>
      </c>
      <c r="S76" s="194" t="s">
        <v>132</v>
      </c>
      <c r="T76" s="194" t="s">
        <v>132</v>
      </c>
      <c r="U76" s="194" t="s">
        <v>132</v>
      </c>
      <c r="V76" s="194" t="s">
        <v>132</v>
      </c>
      <c r="W76" s="194" t="s">
        <v>132</v>
      </c>
      <c r="X76" s="199" t="s">
        <v>140</v>
      </c>
      <c r="Y76" s="200" t="s">
        <v>132</v>
      </c>
      <c r="Z76" s="196"/>
      <c r="AA76" s="194"/>
      <c r="AB76" s="194"/>
      <c r="AC76" s="194"/>
      <c r="AD76" s="194"/>
      <c r="AE76" s="194"/>
      <c r="AF76" s="199"/>
      <c r="AG76" s="187" t="s">
        <v>303</v>
      </c>
      <c r="AH76" s="201">
        <v>43451</v>
      </c>
      <c r="AI76" s="180" t="s">
        <v>140</v>
      </c>
      <c r="AJ76" s="180" t="s">
        <v>140</v>
      </c>
      <c r="AK76" s="180" t="s">
        <v>140</v>
      </c>
      <c r="AL76" s="202" t="s">
        <v>132</v>
      </c>
    </row>
    <row r="77" spans="1:38" s="73" customFormat="1" ht="13" x14ac:dyDescent="0.15">
      <c r="A77" s="55" t="str">
        <f>IF(B77="","",HYPERLINK("https://reports.ofsted.gov.uk/provider/44/80482","Ofsted Local Authority Webpage"))</f>
        <v>Ofsted Local Authority Webpage</v>
      </c>
      <c r="B77" s="55" t="s">
        <v>211</v>
      </c>
      <c r="C77" s="180" t="s">
        <v>172</v>
      </c>
      <c r="D77" s="180" t="s">
        <v>6981</v>
      </c>
      <c r="E77" s="193">
        <v>40933</v>
      </c>
      <c r="F77" s="194" t="s">
        <v>130</v>
      </c>
      <c r="G77" s="195" t="s">
        <v>132</v>
      </c>
      <c r="H77" s="196"/>
      <c r="I77" s="195"/>
      <c r="J77" s="196"/>
      <c r="K77" s="195"/>
      <c r="L77" s="196"/>
      <c r="M77" s="195"/>
      <c r="N77" s="196"/>
      <c r="O77" s="195"/>
      <c r="P77" s="197"/>
      <c r="Q77" s="180"/>
      <c r="R77" s="203">
        <v>42083</v>
      </c>
      <c r="S77" s="194" t="s">
        <v>146</v>
      </c>
      <c r="T77" s="194" t="s">
        <v>146</v>
      </c>
      <c r="U77" s="194" t="s">
        <v>130</v>
      </c>
      <c r="V77" s="194" t="s">
        <v>132</v>
      </c>
      <c r="W77" s="194" t="s">
        <v>130</v>
      </c>
      <c r="X77" s="199" t="s">
        <v>146</v>
      </c>
      <c r="Y77" s="200" t="s">
        <v>146</v>
      </c>
      <c r="Z77" s="203">
        <v>42982</v>
      </c>
      <c r="AA77" s="194" t="s">
        <v>130</v>
      </c>
      <c r="AB77" s="194" t="s">
        <v>130</v>
      </c>
      <c r="AC77" s="194" t="s">
        <v>130</v>
      </c>
      <c r="AD77" s="194" t="s">
        <v>132</v>
      </c>
      <c r="AE77" s="194" t="s">
        <v>130</v>
      </c>
      <c r="AF77" s="199" t="s">
        <v>132</v>
      </c>
      <c r="AG77" s="187" t="s">
        <v>304</v>
      </c>
      <c r="AH77" s="201">
        <v>44511</v>
      </c>
      <c r="AI77" s="180" t="s">
        <v>132</v>
      </c>
      <c r="AJ77" s="180" t="s">
        <v>132</v>
      </c>
      <c r="AK77" s="180" t="s">
        <v>132</v>
      </c>
      <c r="AL77" s="202" t="s">
        <v>132</v>
      </c>
    </row>
    <row r="78" spans="1:38" s="73" customFormat="1" ht="13" x14ac:dyDescent="0.15">
      <c r="A78" s="55" t="str">
        <f>IF(B78="","",HYPERLINK("http://reports.ofsted.gov.uk/local-authorities/leicestershire","Ofsted Local Authority Webpage"))</f>
        <v>Ofsted Local Authority Webpage</v>
      </c>
      <c r="B78" s="55" t="s">
        <v>212</v>
      </c>
      <c r="C78" s="180" t="s">
        <v>172</v>
      </c>
      <c r="D78" s="180" t="s">
        <v>6983</v>
      </c>
      <c r="E78" s="193">
        <v>41043</v>
      </c>
      <c r="F78" s="194" t="s">
        <v>130</v>
      </c>
      <c r="G78" s="195" t="s">
        <v>132</v>
      </c>
      <c r="H78" s="196"/>
      <c r="I78" s="195"/>
      <c r="J78" s="196"/>
      <c r="K78" s="195"/>
      <c r="L78" s="196"/>
      <c r="M78" s="195"/>
      <c r="N78" s="196"/>
      <c r="O78" s="195"/>
      <c r="P78" s="197"/>
      <c r="Q78" s="180"/>
      <c r="R78" s="198">
        <v>42779</v>
      </c>
      <c r="S78" s="194" t="s">
        <v>130</v>
      </c>
      <c r="T78" s="194" t="s">
        <v>130</v>
      </c>
      <c r="U78" s="194" t="s">
        <v>130</v>
      </c>
      <c r="V78" s="194" t="s">
        <v>130</v>
      </c>
      <c r="W78" s="194" t="s">
        <v>130</v>
      </c>
      <c r="X78" s="199" t="s">
        <v>130</v>
      </c>
      <c r="Y78" s="200" t="s">
        <v>132</v>
      </c>
      <c r="Z78" s="196"/>
      <c r="AA78" s="194"/>
      <c r="AB78" s="194"/>
      <c r="AC78" s="194"/>
      <c r="AD78" s="194"/>
      <c r="AE78" s="194"/>
      <c r="AF78" s="199"/>
      <c r="AG78" s="187" t="s">
        <v>304</v>
      </c>
      <c r="AH78" s="201">
        <v>43772</v>
      </c>
      <c r="AI78" s="180" t="s">
        <v>130</v>
      </c>
      <c r="AJ78" s="180" t="s">
        <v>132</v>
      </c>
      <c r="AK78" s="180" t="s">
        <v>130</v>
      </c>
      <c r="AL78" s="202" t="s">
        <v>132</v>
      </c>
    </row>
    <row r="79" spans="1:38" s="73" customFormat="1" ht="13" x14ac:dyDescent="0.15">
      <c r="A79" s="55" t="str">
        <f>IF(B79="","",HYPERLINK("http://reports.ofsted.gov.uk/local-authorities/lewisham","Ofsted Local Authority Webpage"))</f>
        <v>Ofsted Local Authority Webpage</v>
      </c>
      <c r="B79" s="55" t="s">
        <v>213</v>
      </c>
      <c r="C79" s="180" t="s">
        <v>129</v>
      </c>
      <c r="D79" s="180" t="s">
        <v>6979</v>
      </c>
      <c r="E79" s="193">
        <v>40991</v>
      </c>
      <c r="F79" s="194" t="s">
        <v>140</v>
      </c>
      <c r="G79" s="195" t="s">
        <v>132</v>
      </c>
      <c r="H79" s="196"/>
      <c r="I79" s="195"/>
      <c r="J79" s="196"/>
      <c r="K79" s="195"/>
      <c r="L79" s="196"/>
      <c r="M79" s="195"/>
      <c r="N79" s="196"/>
      <c r="O79" s="195"/>
      <c r="P79" s="197"/>
      <c r="Q79" s="180"/>
      <c r="R79" s="198">
        <v>42389</v>
      </c>
      <c r="S79" s="194" t="s">
        <v>130</v>
      </c>
      <c r="T79" s="194" t="s">
        <v>130</v>
      </c>
      <c r="U79" s="194" t="s">
        <v>132</v>
      </c>
      <c r="V79" s="194" t="s">
        <v>132</v>
      </c>
      <c r="W79" s="194" t="s">
        <v>132</v>
      </c>
      <c r="X79" s="199" t="s">
        <v>130</v>
      </c>
      <c r="Y79" s="200" t="s">
        <v>130</v>
      </c>
      <c r="Z79" s="196"/>
      <c r="AA79" s="194"/>
      <c r="AB79" s="194"/>
      <c r="AC79" s="194"/>
      <c r="AD79" s="194"/>
      <c r="AE79" s="194"/>
      <c r="AF79" s="199"/>
      <c r="AG79" s="187" t="s">
        <v>304</v>
      </c>
      <c r="AH79" s="201">
        <v>43695</v>
      </c>
      <c r="AI79" s="180" t="s">
        <v>130</v>
      </c>
      <c r="AJ79" s="180" t="s">
        <v>130</v>
      </c>
      <c r="AK79" s="180" t="s">
        <v>130</v>
      </c>
      <c r="AL79" s="202" t="s">
        <v>130</v>
      </c>
    </row>
    <row r="80" spans="1:38" s="73" customFormat="1" ht="13" x14ac:dyDescent="0.15">
      <c r="A80" s="55" t="str">
        <f>IF(B80="","",HYPERLINK("https://reports.ofsted.gov.uk/provider/44/80484","Ofsted Local Authority Webpage"))</f>
        <v>Ofsted Local Authority Webpage</v>
      </c>
      <c r="B80" s="55" t="s">
        <v>214</v>
      </c>
      <c r="C80" s="180" t="s">
        <v>172</v>
      </c>
      <c r="D80" s="180" t="s">
        <v>6983</v>
      </c>
      <c r="E80" s="193">
        <v>40350</v>
      </c>
      <c r="F80" s="194" t="s">
        <v>140</v>
      </c>
      <c r="G80" s="195" t="s">
        <v>132</v>
      </c>
      <c r="H80" s="196"/>
      <c r="I80" s="195"/>
      <c r="J80" s="196"/>
      <c r="K80" s="195"/>
      <c r="L80" s="196"/>
      <c r="M80" s="195"/>
      <c r="N80" s="196"/>
      <c r="O80" s="195"/>
      <c r="P80" s="197"/>
      <c r="Q80" s="180"/>
      <c r="R80" s="203">
        <v>42010</v>
      </c>
      <c r="S80" s="194" t="s">
        <v>132</v>
      </c>
      <c r="T80" s="194" t="s">
        <v>132</v>
      </c>
      <c r="U80" s="194" t="s">
        <v>132</v>
      </c>
      <c r="V80" s="194" t="s">
        <v>140</v>
      </c>
      <c r="W80" s="194" t="s">
        <v>132</v>
      </c>
      <c r="X80" s="199" t="s">
        <v>132</v>
      </c>
      <c r="Y80" s="200" t="s">
        <v>132</v>
      </c>
      <c r="Z80" s="196"/>
      <c r="AA80" s="194"/>
      <c r="AB80" s="194"/>
      <c r="AC80" s="194"/>
      <c r="AD80" s="194"/>
      <c r="AE80" s="194"/>
      <c r="AF80" s="199"/>
      <c r="AG80" s="187" t="s">
        <v>303</v>
      </c>
      <c r="AH80" s="201">
        <v>43627</v>
      </c>
      <c r="AI80" s="180" t="s">
        <v>140</v>
      </c>
      <c r="AJ80" s="180" t="s">
        <v>140</v>
      </c>
      <c r="AK80" s="180" t="s">
        <v>132</v>
      </c>
      <c r="AL80" s="202" t="s">
        <v>140</v>
      </c>
    </row>
    <row r="81" spans="1:38" s="73" customFormat="1" ht="13" x14ac:dyDescent="0.15">
      <c r="A81" s="55" t="str">
        <f>IF(B81="","",HYPERLINK("https://reports.ofsted.gov.uk/provider/44/80485","Ofsted Local Authority Webpage"))</f>
        <v>Ofsted Local Authority Webpage</v>
      </c>
      <c r="B81" s="55" t="s">
        <v>215</v>
      </c>
      <c r="C81" s="180" t="s">
        <v>144</v>
      </c>
      <c r="D81" s="180" t="s">
        <v>6980</v>
      </c>
      <c r="E81" s="193">
        <v>40641</v>
      </c>
      <c r="F81" s="194" t="s">
        <v>132</v>
      </c>
      <c r="G81" s="195" t="s">
        <v>132</v>
      </c>
      <c r="H81" s="196"/>
      <c r="I81" s="195"/>
      <c r="J81" s="196"/>
      <c r="K81" s="195"/>
      <c r="L81" s="196"/>
      <c r="M81" s="195"/>
      <c r="N81" s="196"/>
      <c r="O81" s="195"/>
      <c r="P81" s="197"/>
      <c r="Q81" s="180"/>
      <c r="R81" s="198">
        <v>41838</v>
      </c>
      <c r="S81" s="194" t="s">
        <v>130</v>
      </c>
      <c r="T81" s="194" t="s">
        <v>130</v>
      </c>
      <c r="U81" s="194" t="s">
        <v>130</v>
      </c>
      <c r="V81" s="194" t="s">
        <v>130</v>
      </c>
      <c r="W81" s="194" t="s">
        <v>130</v>
      </c>
      <c r="X81" s="199" t="s">
        <v>130</v>
      </c>
      <c r="Y81" s="200" t="s">
        <v>130</v>
      </c>
      <c r="Z81" s="196"/>
      <c r="AA81" s="194"/>
      <c r="AB81" s="194"/>
      <c r="AC81" s="194"/>
      <c r="AD81" s="194"/>
      <c r="AE81" s="194"/>
      <c r="AF81" s="199"/>
      <c r="AG81" s="187" t="s">
        <v>304</v>
      </c>
      <c r="AH81" s="201">
        <v>43283</v>
      </c>
      <c r="AI81" s="180" t="s">
        <v>130</v>
      </c>
      <c r="AJ81" s="180" t="s">
        <v>130</v>
      </c>
      <c r="AK81" s="180" t="s">
        <v>130</v>
      </c>
      <c r="AL81" s="202" t="s">
        <v>130</v>
      </c>
    </row>
    <row r="82" spans="1:38" s="73" customFormat="1" ht="13" x14ac:dyDescent="0.15">
      <c r="A82" s="55" t="str">
        <f>IF(B82="","",HYPERLINK("https://reports.ofsted.gov.uk/provider/44/80520","Ofsted Local Authority Webpage"))</f>
        <v>Ofsted Local Authority Webpage</v>
      </c>
      <c r="B82" s="55" t="s">
        <v>216</v>
      </c>
      <c r="C82" s="180" t="s">
        <v>138</v>
      </c>
      <c r="D82" s="180" t="s">
        <v>6981</v>
      </c>
      <c r="E82" s="193">
        <v>41023</v>
      </c>
      <c r="F82" s="194" t="s">
        <v>132</v>
      </c>
      <c r="G82" s="195" t="s">
        <v>130</v>
      </c>
      <c r="H82" s="196"/>
      <c r="I82" s="195"/>
      <c r="J82" s="196"/>
      <c r="K82" s="195"/>
      <c r="L82" s="196"/>
      <c r="M82" s="195"/>
      <c r="N82" s="196"/>
      <c r="O82" s="195"/>
      <c r="P82" s="197"/>
      <c r="Q82" s="180"/>
      <c r="R82" s="198">
        <v>42458</v>
      </c>
      <c r="S82" s="194" t="s">
        <v>130</v>
      </c>
      <c r="T82" s="194" t="s">
        <v>130</v>
      </c>
      <c r="U82" s="194" t="s">
        <v>130</v>
      </c>
      <c r="V82" s="194" t="s">
        <v>130</v>
      </c>
      <c r="W82" s="194" t="s">
        <v>132</v>
      </c>
      <c r="X82" s="199" t="s">
        <v>130</v>
      </c>
      <c r="Y82" s="200" t="s">
        <v>130</v>
      </c>
      <c r="Z82" s="196"/>
      <c r="AA82" s="194"/>
      <c r="AB82" s="194"/>
      <c r="AC82" s="194"/>
      <c r="AD82" s="194"/>
      <c r="AE82" s="194"/>
      <c r="AF82" s="199"/>
      <c r="AG82" s="187" t="s">
        <v>304</v>
      </c>
      <c r="AH82" s="201">
        <v>43881</v>
      </c>
      <c r="AI82" s="180" t="s">
        <v>146</v>
      </c>
      <c r="AJ82" s="180" t="s">
        <v>130</v>
      </c>
      <c r="AK82" s="180" t="s">
        <v>146</v>
      </c>
      <c r="AL82" s="202" t="s">
        <v>130</v>
      </c>
    </row>
    <row r="83" spans="1:38" s="73" customFormat="1" ht="13" x14ac:dyDescent="0.15">
      <c r="A83" s="55" t="str">
        <f>IF(B83="","",HYPERLINK("http://reports.ofsted.gov.uk/local-authorities/manchester","Ofsted Local Authority Webpage"))</f>
        <v>Ofsted Local Authority Webpage</v>
      </c>
      <c r="B83" s="55" t="s">
        <v>217</v>
      </c>
      <c r="C83" s="180" t="s">
        <v>144</v>
      </c>
      <c r="D83" s="180" t="s">
        <v>6980</v>
      </c>
      <c r="E83" s="193">
        <v>40529</v>
      </c>
      <c r="F83" s="194" t="s">
        <v>130</v>
      </c>
      <c r="G83" s="195" t="s">
        <v>130</v>
      </c>
      <c r="H83" s="196"/>
      <c r="I83" s="195"/>
      <c r="J83" s="196"/>
      <c r="K83" s="195"/>
      <c r="L83" s="196"/>
      <c r="M83" s="195"/>
      <c r="N83" s="196"/>
      <c r="O83" s="195"/>
      <c r="P83" s="197"/>
      <c r="Q83" s="180"/>
      <c r="R83" s="198">
        <v>41883</v>
      </c>
      <c r="S83" s="194" t="s">
        <v>146</v>
      </c>
      <c r="T83" s="194" t="s">
        <v>146</v>
      </c>
      <c r="U83" s="194" t="s">
        <v>130</v>
      </c>
      <c r="V83" s="194" t="s">
        <v>146</v>
      </c>
      <c r="W83" s="194" t="s">
        <v>130</v>
      </c>
      <c r="X83" s="199" t="s">
        <v>146</v>
      </c>
      <c r="Y83" s="200" t="s">
        <v>146</v>
      </c>
      <c r="Z83" s="203">
        <v>43090</v>
      </c>
      <c r="AA83" s="194" t="s">
        <v>130</v>
      </c>
      <c r="AB83" s="194" t="s">
        <v>130</v>
      </c>
      <c r="AC83" s="194" t="s">
        <v>130</v>
      </c>
      <c r="AD83" s="194" t="s">
        <v>132</v>
      </c>
      <c r="AE83" s="194" t="s">
        <v>130</v>
      </c>
      <c r="AF83" s="199" t="s">
        <v>132</v>
      </c>
      <c r="AG83" s="187"/>
      <c r="AH83" s="201"/>
      <c r="AI83" s="180"/>
      <c r="AJ83" s="180"/>
      <c r="AK83" s="180"/>
      <c r="AL83" s="202"/>
    </row>
    <row r="84" spans="1:38" s="73" customFormat="1" ht="13" x14ac:dyDescent="0.15">
      <c r="A84" s="55" t="str">
        <f>IF(B84="","",HYPERLINK("http://reports.ofsted.gov.uk/local-authorities/medway","Ofsted Local Authority Webpage"))</f>
        <v>Ofsted Local Authority Webpage</v>
      </c>
      <c r="B84" s="55" t="s">
        <v>218</v>
      </c>
      <c r="C84" s="180" t="s">
        <v>150</v>
      </c>
      <c r="D84" s="180" t="s">
        <v>6981</v>
      </c>
      <c r="E84" s="193">
        <v>40865</v>
      </c>
      <c r="F84" s="194" t="s">
        <v>130</v>
      </c>
      <c r="G84" s="195" t="s">
        <v>130</v>
      </c>
      <c r="H84" s="196"/>
      <c r="I84" s="195"/>
      <c r="J84" s="196"/>
      <c r="K84" s="195"/>
      <c r="L84" s="203">
        <v>41320</v>
      </c>
      <c r="M84" s="195" t="s">
        <v>146</v>
      </c>
      <c r="N84" s="196"/>
      <c r="O84" s="195"/>
      <c r="P84" s="198">
        <v>41509</v>
      </c>
      <c r="Q84" s="180" t="s">
        <v>146</v>
      </c>
      <c r="R84" s="198">
        <v>42335</v>
      </c>
      <c r="S84" s="194" t="s">
        <v>130</v>
      </c>
      <c r="T84" s="194" t="s">
        <v>130</v>
      </c>
      <c r="U84" s="194" t="s">
        <v>130</v>
      </c>
      <c r="V84" s="194" t="s">
        <v>130</v>
      </c>
      <c r="W84" s="194" t="s">
        <v>132</v>
      </c>
      <c r="X84" s="199" t="s">
        <v>130</v>
      </c>
      <c r="Y84" s="200" t="s">
        <v>130</v>
      </c>
      <c r="Z84" s="196"/>
      <c r="AA84" s="194"/>
      <c r="AB84" s="194"/>
      <c r="AC84" s="194"/>
      <c r="AD84" s="194"/>
      <c r="AE84" s="194"/>
      <c r="AF84" s="199"/>
      <c r="AG84" s="187" t="s">
        <v>304</v>
      </c>
      <c r="AH84" s="201">
        <v>43703</v>
      </c>
      <c r="AI84" s="180" t="s">
        <v>146</v>
      </c>
      <c r="AJ84" s="180" t="s">
        <v>146</v>
      </c>
      <c r="AK84" s="180" t="s">
        <v>146</v>
      </c>
      <c r="AL84" s="202" t="s">
        <v>130</v>
      </c>
    </row>
    <row r="85" spans="1:38" s="73" customFormat="1" ht="13" x14ac:dyDescent="0.15">
      <c r="A85" s="55" t="str">
        <f>IF(B85="","",HYPERLINK("http://reports.ofsted.gov.uk/local-authorities/merton","Ofsted Local Authority Webpage"))</f>
        <v>Ofsted Local Authority Webpage</v>
      </c>
      <c r="B85" s="55" t="s">
        <v>219</v>
      </c>
      <c r="C85" s="180" t="s">
        <v>129</v>
      </c>
      <c r="D85" s="180" t="s">
        <v>6979</v>
      </c>
      <c r="E85" s="193">
        <v>40963</v>
      </c>
      <c r="F85" s="194" t="s">
        <v>132</v>
      </c>
      <c r="G85" s="195" t="s">
        <v>132</v>
      </c>
      <c r="H85" s="196"/>
      <c r="I85" s="195"/>
      <c r="J85" s="196"/>
      <c r="K85" s="195"/>
      <c r="L85" s="196"/>
      <c r="M85" s="195"/>
      <c r="N85" s="196"/>
      <c r="O85" s="195"/>
      <c r="P85" s="197"/>
      <c r="Q85" s="180"/>
      <c r="R85" s="198">
        <v>42972</v>
      </c>
      <c r="S85" s="194" t="s">
        <v>132</v>
      </c>
      <c r="T85" s="194" t="s">
        <v>132</v>
      </c>
      <c r="U85" s="194" t="s">
        <v>132</v>
      </c>
      <c r="V85" s="194" t="s">
        <v>140</v>
      </c>
      <c r="W85" s="194" t="s">
        <v>132</v>
      </c>
      <c r="X85" s="199" t="s">
        <v>140</v>
      </c>
      <c r="Y85" s="200" t="s">
        <v>140</v>
      </c>
      <c r="Z85" s="196"/>
      <c r="AA85" s="194"/>
      <c r="AB85" s="194"/>
      <c r="AC85" s="194"/>
      <c r="AD85" s="194"/>
      <c r="AE85" s="194"/>
      <c r="AF85" s="199"/>
      <c r="AG85" s="187"/>
      <c r="AH85" s="201"/>
      <c r="AI85" s="180"/>
      <c r="AJ85" s="180"/>
      <c r="AK85" s="180"/>
      <c r="AL85" s="202"/>
    </row>
    <row r="86" spans="1:38" s="73" customFormat="1" ht="13" x14ac:dyDescent="0.15">
      <c r="A86" s="55" t="str">
        <f>IF(B86="","",HYPERLINK("http://reports.ofsted.gov.uk/local-authorities/middlesbrough","Ofsted Local Authority Webpage"))</f>
        <v>Ofsted Local Authority Webpage</v>
      </c>
      <c r="B86" s="55" t="s">
        <v>220</v>
      </c>
      <c r="C86" s="180" t="s">
        <v>309</v>
      </c>
      <c r="D86" s="180" t="s">
        <v>6981</v>
      </c>
      <c r="E86" s="193">
        <v>40746</v>
      </c>
      <c r="F86" s="194" t="s">
        <v>130</v>
      </c>
      <c r="G86" s="195" t="s">
        <v>130</v>
      </c>
      <c r="H86" s="196"/>
      <c r="I86" s="195"/>
      <c r="J86" s="196"/>
      <c r="K86" s="195"/>
      <c r="L86" s="196"/>
      <c r="M86" s="195"/>
      <c r="N86" s="196"/>
      <c r="O86" s="195"/>
      <c r="P86" s="197"/>
      <c r="Q86" s="180"/>
      <c r="R86" s="198">
        <v>42419</v>
      </c>
      <c r="S86" s="194" t="s">
        <v>130</v>
      </c>
      <c r="T86" s="194" t="s">
        <v>130</v>
      </c>
      <c r="U86" s="194" t="s">
        <v>130</v>
      </c>
      <c r="V86" s="194" t="s">
        <v>132</v>
      </c>
      <c r="W86" s="194" t="s">
        <v>132</v>
      </c>
      <c r="X86" s="199" t="s">
        <v>130</v>
      </c>
      <c r="Y86" s="200" t="s">
        <v>130</v>
      </c>
      <c r="Z86" s="196"/>
      <c r="AA86" s="194"/>
      <c r="AB86" s="194"/>
      <c r="AC86" s="194"/>
      <c r="AD86" s="194"/>
      <c r="AE86" s="194"/>
      <c r="AF86" s="199"/>
      <c r="AG86" s="187" t="s">
        <v>304</v>
      </c>
      <c r="AH86" s="201">
        <v>43853</v>
      </c>
      <c r="AI86" s="180" t="s">
        <v>146</v>
      </c>
      <c r="AJ86" s="180" t="s">
        <v>146</v>
      </c>
      <c r="AK86" s="180" t="s">
        <v>146</v>
      </c>
      <c r="AL86" s="202" t="s">
        <v>146</v>
      </c>
    </row>
    <row r="87" spans="1:38" s="73" customFormat="1" ht="13" x14ac:dyDescent="0.15">
      <c r="A87" s="55" t="str">
        <f>IF(B87="","",HYPERLINK("https://reports.ofsted.gov.uk/provider/44/80524","Ofsted Local Authority Webpage"))</f>
        <v>Ofsted Local Authority Webpage</v>
      </c>
      <c r="B87" s="55" t="s">
        <v>221</v>
      </c>
      <c r="C87" s="180" t="s">
        <v>150</v>
      </c>
      <c r="D87" s="180" t="s">
        <v>6981</v>
      </c>
      <c r="E87" s="193">
        <v>41145</v>
      </c>
      <c r="F87" s="194" t="s">
        <v>130</v>
      </c>
      <c r="G87" s="195" t="s">
        <v>130</v>
      </c>
      <c r="H87" s="196"/>
      <c r="I87" s="195"/>
      <c r="J87" s="196"/>
      <c r="K87" s="195"/>
      <c r="L87" s="196"/>
      <c r="M87" s="195"/>
      <c r="N87" s="196"/>
      <c r="O87" s="195"/>
      <c r="P87" s="197"/>
      <c r="Q87" s="180"/>
      <c r="R87" s="198">
        <v>42699</v>
      </c>
      <c r="S87" s="194" t="s">
        <v>130</v>
      </c>
      <c r="T87" s="194" t="s">
        <v>130</v>
      </c>
      <c r="U87" s="194" t="s">
        <v>130</v>
      </c>
      <c r="V87" s="194" t="s">
        <v>130</v>
      </c>
      <c r="W87" s="194" t="s">
        <v>130</v>
      </c>
      <c r="X87" s="199" t="s">
        <v>130</v>
      </c>
      <c r="Y87" s="200" t="s">
        <v>130</v>
      </c>
      <c r="Z87" s="196"/>
      <c r="AA87" s="194"/>
      <c r="AB87" s="194"/>
      <c r="AC87" s="194"/>
      <c r="AD87" s="194"/>
      <c r="AE87" s="194"/>
      <c r="AF87" s="199"/>
      <c r="AG87" s="187" t="s">
        <v>304</v>
      </c>
      <c r="AH87" s="201">
        <v>44546</v>
      </c>
      <c r="AI87" s="180" t="s">
        <v>130</v>
      </c>
      <c r="AJ87" s="180" t="s">
        <v>130</v>
      </c>
      <c r="AK87" s="180" t="s">
        <v>130</v>
      </c>
      <c r="AL87" s="202" t="s">
        <v>130</v>
      </c>
    </row>
    <row r="88" spans="1:38" s="73" customFormat="1" ht="13" x14ac:dyDescent="0.15">
      <c r="A88" s="55" t="str">
        <f>IF(B88="","",HYPERLINK("https://reports.ofsted.gov.uk/provider/44/80525","Ofsted Local Authority Webpage"))</f>
        <v>Ofsted Local Authority Webpage</v>
      </c>
      <c r="B88" s="55" t="s">
        <v>222</v>
      </c>
      <c r="C88" s="180" t="s">
        <v>309</v>
      </c>
      <c r="D88" s="180" t="s">
        <v>6980</v>
      </c>
      <c r="E88" s="193">
        <v>40977</v>
      </c>
      <c r="F88" s="194" t="s">
        <v>132</v>
      </c>
      <c r="G88" s="195" t="s">
        <v>132</v>
      </c>
      <c r="H88" s="196"/>
      <c r="I88" s="195"/>
      <c r="J88" s="196"/>
      <c r="K88" s="195"/>
      <c r="L88" s="196"/>
      <c r="M88" s="195"/>
      <c r="N88" s="196"/>
      <c r="O88" s="195"/>
      <c r="P88" s="197"/>
      <c r="Q88" s="180"/>
      <c r="R88" s="198">
        <v>42923</v>
      </c>
      <c r="S88" s="194" t="s">
        <v>130</v>
      </c>
      <c r="T88" s="194" t="s">
        <v>130</v>
      </c>
      <c r="U88" s="194" t="s">
        <v>130</v>
      </c>
      <c r="V88" s="194" t="s">
        <v>132</v>
      </c>
      <c r="W88" s="194" t="s">
        <v>132</v>
      </c>
      <c r="X88" s="199" t="s">
        <v>132</v>
      </c>
      <c r="Y88" s="200" t="s">
        <v>132</v>
      </c>
      <c r="Z88" s="196"/>
      <c r="AA88" s="194"/>
      <c r="AB88" s="194"/>
      <c r="AC88" s="194"/>
      <c r="AD88" s="194"/>
      <c r="AE88" s="194"/>
      <c r="AF88" s="199"/>
      <c r="AG88" s="187" t="s">
        <v>304</v>
      </c>
      <c r="AH88" s="201">
        <v>44592</v>
      </c>
      <c r="AI88" s="180" t="s">
        <v>132</v>
      </c>
      <c r="AJ88" s="180" t="s">
        <v>132</v>
      </c>
      <c r="AK88" s="180" t="s">
        <v>132</v>
      </c>
      <c r="AL88" s="202" t="s">
        <v>132</v>
      </c>
    </row>
    <row r="89" spans="1:38" s="73" customFormat="1" ht="13" x14ac:dyDescent="0.15">
      <c r="A89" s="55" t="str">
        <f>IF(B89="","",HYPERLINK("http://reports.ofsted.gov.uk/local-authorities/newham","Ofsted Local Authority Webpage"))</f>
        <v>Ofsted Local Authority Webpage</v>
      </c>
      <c r="B89" s="55" t="s">
        <v>223</v>
      </c>
      <c r="C89" s="180" t="s">
        <v>129</v>
      </c>
      <c r="D89" s="180" t="s">
        <v>6979</v>
      </c>
      <c r="E89" s="193">
        <v>40933</v>
      </c>
      <c r="F89" s="194" t="s">
        <v>130</v>
      </c>
      <c r="G89" s="195" t="s">
        <v>130</v>
      </c>
      <c r="H89" s="196"/>
      <c r="I89" s="195"/>
      <c r="J89" s="196"/>
      <c r="K89" s="195"/>
      <c r="L89" s="196"/>
      <c r="M89" s="195"/>
      <c r="N89" s="196"/>
      <c r="O89" s="195"/>
      <c r="P89" s="197"/>
      <c r="Q89" s="180"/>
      <c r="R89" s="198">
        <v>41859</v>
      </c>
      <c r="S89" s="194" t="s">
        <v>130</v>
      </c>
      <c r="T89" s="194" t="s">
        <v>130</v>
      </c>
      <c r="U89" s="194" t="s">
        <v>130</v>
      </c>
      <c r="V89" s="194" t="s">
        <v>132</v>
      </c>
      <c r="W89" s="194" t="s">
        <v>132</v>
      </c>
      <c r="X89" s="199" t="s">
        <v>130</v>
      </c>
      <c r="Y89" s="200" t="s">
        <v>132</v>
      </c>
      <c r="Z89" s="196"/>
      <c r="AA89" s="194"/>
      <c r="AB89" s="194"/>
      <c r="AC89" s="194"/>
      <c r="AD89" s="194"/>
      <c r="AE89" s="194"/>
      <c r="AF89" s="199"/>
      <c r="AG89" s="187" t="s">
        <v>304</v>
      </c>
      <c r="AH89" s="201">
        <v>43548</v>
      </c>
      <c r="AI89" s="180" t="s">
        <v>146</v>
      </c>
      <c r="AJ89" s="180" t="s">
        <v>146</v>
      </c>
      <c r="AK89" s="180" t="s">
        <v>130</v>
      </c>
      <c r="AL89" s="202" t="s">
        <v>146</v>
      </c>
    </row>
    <row r="90" spans="1:38" s="73" customFormat="1" ht="13" x14ac:dyDescent="0.15">
      <c r="A90" s="55" t="str">
        <f>IF(B90="","",HYPERLINK("http://reports.ofsted.gov.uk/local-authorities/norfolk","Ofsted Local Authority Webpage"))</f>
        <v>Ofsted Local Authority Webpage</v>
      </c>
      <c r="B90" s="55" t="s">
        <v>224</v>
      </c>
      <c r="C90" s="180" t="s">
        <v>138</v>
      </c>
      <c r="D90" s="180" t="s">
        <v>6983</v>
      </c>
      <c r="E90" s="193">
        <v>40746</v>
      </c>
      <c r="F90" s="194" t="s">
        <v>130</v>
      </c>
      <c r="G90" s="195" t="s">
        <v>130</v>
      </c>
      <c r="H90" s="196"/>
      <c r="I90" s="195"/>
      <c r="J90" s="196"/>
      <c r="K90" s="195"/>
      <c r="L90" s="203">
        <v>41327</v>
      </c>
      <c r="M90" s="195" t="s">
        <v>146</v>
      </c>
      <c r="N90" s="196"/>
      <c r="O90" s="195"/>
      <c r="P90" s="198">
        <v>41502</v>
      </c>
      <c r="Q90" s="180" t="s">
        <v>146</v>
      </c>
      <c r="R90" s="198">
        <v>42296</v>
      </c>
      <c r="S90" s="194" t="s">
        <v>146</v>
      </c>
      <c r="T90" s="194" t="s">
        <v>130</v>
      </c>
      <c r="U90" s="194" t="s">
        <v>146</v>
      </c>
      <c r="V90" s="194" t="s">
        <v>130</v>
      </c>
      <c r="W90" s="194" t="s">
        <v>146</v>
      </c>
      <c r="X90" s="199" t="s">
        <v>130</v>
      </c>
      <c r="Y90" s="200" t="s">
        <v>130</v>
      </c>
      <c r="Z90" s="203">
        <v>43119</v>
      </c>
      <c r="AA90" s="194" t="s">
        <v>130</v>
      </c>
      <c r="AB90" s="194" t="s">
        <v>130</v>
      </c>
      <c r="AC90" s="194" t="s">
        <v>130</v>
      </c>
      <c r="AD90" s="194" t="s">
        <v>140</v>
      </c>
      <c r="AE90" s="194" t="s">
        <v>130</v>
      </c>
      <c r="AF90" s="199" t="s">
        <v>130</v>
      </c>
      <c r="AG90" s="187"/>
      <c r="AH90" s="201"/>
      <c r="AI90" s="180"/>
      <c r="AJ90" s="180"/>
      <c r="AK90" s="180"/>
      <c r="AL90" s="202"/>
    </row>
    <row r="91" spans="1:38" s="73" customFormat="1" ht="13" x14ac:dyDescent="0.15">
      <c r="A91" s="55" t="str">
        <f>IF(B91="","",HYPERLINK("https://reports.ofsted.gov.uk/provider/44/80526","Ofsted Local Authority Webpage"))</f>
        <v>Ofsted Local Authority Webpage</v>
      </c>
      <c r="B91" s="55" t="s">
        <v>225</v>
      </c>
      <c r="C91" s="180" t="s">
        <v>309</v>
      </c>
      <c r="D91" s="180" t="s">
        <v>6981</v>
      </c>
      <c r="E91" s="193">
        <v>41087</v>
      </c>
      <c r="F91" s="194" t="s">
        <v>130</v>
      </c>
      <c r="G91" s="195" t="s">
        <v>132</v>
      </c>
      <c r="H91" s="196"/>
      <c r="I91" s="195"/>
      <c r="J91" s="196"/>
      <c r="K91" s="195"/>
      <c r="L91" s="196"/>
      <c r="M91" s="195"/>
      <c r="N91" s="196"/>
      <c r="O91" s="195"/>
      <c r="P91" s="197"/>
      <c r="Q91" s="180"/>
      <c r="R91" s="198">
        <v>43003</v>
      </c>
      <c r="S91" s="194" t="s">
        <v>132</v>
      </c>
      <c r="T91" s="194" t="s">
        <v>130</v>
      </c>
      <c r="U91" s="194" t="s">
        <v>132</v>
      </c>
      <c r="V91" s="194" t="s">
        <v>132</v>
      </c>
      <c r="W91" s="194" t="s">
        <v>132</v>
      </c>
      <c r="X91" s="199" t="s">
        <v>132</v>
      </c>
      <c r="Y91" s="200" t="s">
        <v>130</v>
      </c>
      <c r="Z91" s="196"/>
      <c r="AA91" s="194"/>
      <c r="AB91" s="194"/>
      <c r="AC91" s="194"/>
      <c r="AD91" s="194"/>
      <c r="AE91" s="194"/>
      <c r="AF91" s="199"/>
      <c r="AG91" s="187" t="s">
        <v>304</v>
      </c>
      <c r="AH91" s="201">
        <v>44525</v>
      </c>
      <c r="AI91" s="180" t="s">
        <v>146</v>
      </c>
      <c r="AJ91" s="180" t="s">
        <v>146</v>
      </c>
      <c r="AK91" s="180" t="s">
        <v>146</v>
      </c>
      <c r="AL91" s="202" t="s">
        <v>146</v>
      </c>
    </row>
    <row r="92" spans="1:38" s="73" customFormat="1" ht="13" x14ac:dyDescent="0.15">
      <c r="A92" s="55" t="str">
        <f>IF(B92="","",HYPERLINK("http://reports.ofsted.gov.uk/local-authorities/north-lincolnshire","Ofsted Local Authority Webpage"))</f>
        <v>Ofsted Local Authority Webpage</v>
      </c>
      <c r="B92" s="55" t="s">
        <v>226</v>
      </c>
      <c r="C92" s="180" t="s">
        <v>309</v>
      </c>
      <c r="D92" s="180" t="s">
        <v>6981</v>
      </c>
      <c r="E92" s="193">
        <v>41073</v>
      </c>
      <c r="F92" s="194" t="s">
        <v>132</v>
      </c>
      <c r="G92" s="195" t="s">
        <v>140</v>
      </c>
      <c r="H92" s="196"/>
      <c r="I92" s="195"/>
      <c r="J92" s="196"/>
      <c r="K92" s="195"/>
      <c r="L92" s="196"/>
      <c r="M92" s="195"/>
      <c r="N92" s="196"/>
      <c r="O92" s="195"/>
      <c r="P92" s="197"/>
      <c r="Q92" s="180"/>
      <c r="R92" s="198">
        <v>42982</v>
      </c>
      <c r="S92" s="194" t="s">
        <v>140</v>
      </c>
      <c r="T92" s="194" t="s">
        <v>132</v>
      </c>
      <c r="U92" s="194" t="s">
        <v>140</v>
      </c>
      <c r="V92" s="194" t="s">
        <v>140</v>
      </c>
      <c r="W92" s="194" t="s">
        <v>140</v>
      </c>
      <c r="X92" s="199" t="s">
        <v>140</v>
      </c>
      <c r="Y92" s="200" t="s">
        <v>140</v>
      </c>
      <c r="Z92" s="196"/>
      <c r="AA92" s="194"/>
      <c r="AB92" s="194"/>
      <c r="AC92" s="194"/>
      <c r="AD92" s="194"/>
      <c r="AE92" s="194"/>
      <c r="AF92" s="199"/>
      <c r="AG92" s="187"/>
      <c r="AH92" s="201"/>
      <c r="AI92" s="180"/>
      <c r="AJ92" s="180"/>
      <c r="AK92" s="180"/>
      <c r="AL92" s="202"/>
    </row>
    <row r="93" spans="1:38" s="73" customFormat="1" ht="13" x14ac:dyDescent="0.15">
      <c r="A93" s="72" t="str">
        <f>HYPERLINK("https://reports.ofsted.gov.uk/provider/44/815","Ofsted Local Authority Webpage")</f>
        <v>Ofsted Local Authority Webpage</v>
      </c>
      <c r="B93" s="55" t="s">
        <v>228</v>
      </c>
      <c r="C93" s="180"/>
      <c r="D93" s="180" t="s">
        <v>6981</v>
      </c>
      <c r="E93" s="193"/>
      <c r="F93" s="194"/>
      <c r="G93" s="195"/>
      <c r="H93" s="196"/>
      <c r="I93" s="195"/>
      <c r="J93" s="196"/>
      <c r="K93" s="195"/>
      <c r="L93" s="196"/>
      <c r="M93" s="195"/>
      <c r="N93" s="196"/>
      <c r="O93" s="195"/>
      <c r="P93" s="197"/>
      <c r="Q93" s="180"/>
      <c r="R93" s="198"/>
      <c r="S93" s="194"/>
      <c r="T93" s="194"/>
      <c r="U93" s="194"/>
      <c r="V93" s="194"/>
      <c r="W93" s="194"/>
      <c r="X93" s="199"/>
      <c r="Y93" s="200"/>
      <c r="Z93" s="196"/>
      <c r="AA93" s="194"/>
      <c r="AB93" s="194"/>
      <c r="AC93" s="194"/>
      <c r="AD93" s="194"/>
      <c r="AE93" s="194"/>
      <c r="AF93" s="199"/>
      <c r="AG93" s="187"/>
      <c r="AH93" s="201"/>
      <c r="AI93" s="180"/>
      <c r="AJ93" s="180"/>
      <c r="AK93" s="180"/>
      <c r="AL93" s="202"/>
    </row>
    <row r="94" spans="1:38" s="73" customFormat="1" ht="13" x14ac:dyDescent="0.15">
      <c r="A94" s="55" t="str">
        <f>IF(B94="","",HYPERLINK("https://reports.ofsted.gov.uk/provider/44/80528","Ofsted Local Authority Webpage"))</f>
        <v>Ofsted Local Authority Webpage</v>
      </c>
      <c r="B94" s="55" t="s">
        <v>230</v>
      </c>
      <c r="C94" s="194" t="s">
        <v>136</v>
      </c>
      <c r="D94" s="180" t="s">
        <v>6981</v>
      </c>
      <c r="E94" s="193">
        <v>41145</v>
      </c>
      <c r="F94" s="194" t="s">
        <v>130</v>
      </c>
      <c r="G94" s="195" t="s">
        <v>132</v>
      </c>
      <c r="H94" s="196"/>
      <c r="I94" s="195"/>
      <c r="J94" s="196"/>
      <c r="K94" s="195"/>
      <c r="L94" s="196"/>
      <c r="M94" s="195"/>
      <c r="N94" s="196"/>
      <c r="O94" s="195"/>
      <c r="P94" s="197"/>
      <c r="Q94" s="180"/>
      <c r="R94" s="198">
        <v>42972</v>
      </c>
      <c r="S94" s="194" t="s">
        <v>130</v>
      </c>
      <c r="T94" s="194" t="s">
        <v>130</v>
      </c>
      <c r="U94" s="194" t="s">
        <v>130</v>
      </c>
      <c r="V94" s="194" t="s">
        <v>132</v>
      </c>
      <c r="W94" s="194" t="s">
        <v>132</v>
      </c>
      <c r="X94" s="199" t="s">
        <v>130</v>
      </c>
      <c r="Y94" s="200" t="s">
        <v>146</v>
      </c>
      <c r="Z94" s="196"/>
      <c r="AA94" s="194"/>
      <c r="AB94" s="194"/>
      <c r="AC94" s="194"/>
      <c r="AD94" s="194"/>
      <c r="AE94" s="194"/>
      <c r="AF94" s="199"/>
      <c r="AG94" s="187" t="s">
        <v>304</v>
      </c>
      <c r="AH94" s="201">
        <v>43991</v>
      </c>
      <c r="AI94" s="180" t="s">
        <v>130</v>
      </c>
      <c r="AJ94" s="180" t="s">
        <v>130</v>
      </c>
      <c r="AK94" s="180" t="s">
        <v>130</v>
      </c>
      <c r="AL94" s="202" t="s">
        <v>132</v>
      </c>
    </row>
    <row r="95" spans="1:38" s="73" customFormat="1" ht="13" x14ac:dyDescent="0.15">
      <c r="A95" s="55" t="str">
        <f>IF(B95="","",HYPERLINK("http://reports.ofsted.gov.uk/local-authorities/north-tyneside","Ofsted Local Authority Webpage"))</f>
        <v>Ofsted Local Authority Webpage</v>
      </c>
      <c r="B95" s="55" t="s">
        <v>231</v>
      </c>
      <c r="C95" s="180" t="s">
        <v>309</v>
      </c>
      <c r="D95" s="194" t="s">
        <v>6980</v>
      </c>
      <c r="E95" s="193">
        <v>41037</v>
      </c>
      <c r="F95" s="194" t="s">
        <v>132</v>
      </c>
      <c r="G95" s="195" t="s">
        <v>132</v>
      </c>
      <c r="H95" s="196"/>
      <c r="I95" s="195"/>
      <c r="J95" s="196"/>
      <c r="K95" s="195"/>
      <c r="L95" s="196"/>
      <c r="M95" s="195"/>
      <c r="N95" s="196"/>
      <c r="O95" s="195"/>
      <c r="P95" s="197"/>
      <c r="Q95" s="180"/>
      <c r="R95" s="198">
        <v>42899</v>
      </c>
      <c r="S95" s="194" t="s">
        <v>132</v>
      </c>
      <c r="T95" s="194" t="s">
        <v>132</v>
      </c>
      <c r="U95" s="194" t="s">
        <v>132</v>
      </c>
      <c r="V95" s="194" t="s">
        <v>132</v>
      </c>
      <c r="W95" s="194" t="s">
        <v>140</v>
      </c>
      <c r="X95" s="199" t="s">
        <v>132</v>
      </c>
      <c r="Y95" s="200" t="s">
        <v>132</v>
      </c>
      <c r="Z95" s="196"/>
      <c r="AA95" s="194"/>
      <c r="AB95" s="194"/>
      <c r="AC95" s="194"/>
      <c r="AD95" s="194"/>
      <c r="AE95" s="194"/>
      <c r="AF95" s="199"/>
      <c r="AG95" s="187" t="s">
        <v>303</v>
      </c>
      <c r="AH95" s="201">
        <v>43936</v>
      </c>
      <c r="AI95" s="180" t="s">
        <v>140</v>
      </c>
      <c r="AJ95" s="180" t="s">
        <v>140</v>
      </c>
      <c r="AK95" s="180" t="s">
        <v>140</v>
      </c>
      <c r="AL95" s="202" t="s">
        <v>132</v>
      </c>
    </row>
    <row r="96" spans="1:38" s="73" customFormat="1" ht="13" x14ac:dyDescent="0.15">
      <c r="A96" s="55" t="str">
        <f>IF(B96="","",HYPERLINK("http://reports.ofsted.gov.uk/local-authorities/north-yorkshire","Ofsted Local Authority Webpage"))</f>
        <v>Ofsted Local Authority Webpage</v>
      </c>
      <c r="B96" s="55" t="s">
        <v>232</v>
      </c>
      <c r="C96" s="180" t="s">
        <v>309</v>
      </c>
      <c r="D96" s="180" t="s">
        <v>6983</v>
      </c>
      <c r="E96" s="193">
        <v>40109</v>
      </c>
      <c r="F96" s="194" t="s">
        <v>130</v>
      </c>
      <c r="G96" s="195" t="s">
        <v>132</v>
      </c>
      <c r="H96" s="196"/>
      <c r="I96" s="195"/>
      <c r="J96" s="196"/>
      <c r="K96" s="195"/>
      <c r="L96" s="203">
        <v>41222</v>
      </c>
      <c r="M96" s="195" t="s">
        <v>130</v>
      </c>
      <c r="N96" s="196"/>
      <c r="O96" s="195"/>
      <c r="P96" s="197"/>
      <c r="Q96" s="180"/>
      <c r="R96" s="198">
        <v>41820</v>
      </c>
      <c r="S96" s="194" t="s">
        <v>132</v>
      </c>
      <c r="T96" s="194" t="s">
        <v>132</v>
      </c>
      <c r="U96" s="194" t="s">
        <v>132</v>
      </c>
      <c r="V96" s="194" t="s">
        <v>132</v>
      </c>
      <c r="W96" s="194" t="s">
        <v>132</v>
      </c>
      <c r="X96" s="199" t="s">
        <v>132</v>
      </c>
      <c r="Y96" s="200" t="s">
        <v>132</v>
      </c>
      <c r="Z96" s="196"/>
      <c r="AA96" s="194"/>
      <c r="AB96" s="194"/>
      <c r="AC96" s="194"/>
      <c r="AD96" s="194"/>
      <c r="AE96" s="194"/>
      <c r="AF96" s="199"/>
      <c r="AG96" s="187" t="s">
        <v>303</v>
      </c>
      <c r="AH96" s="201">
        <v>43318</v>
      </c>
      <c r="AI96" s="180" t="s">
        <v>140</v>
      </c>
      <c r="AJ96" s="180" t="s">
        <v>140</v>
      </c>
      <c r="AK96" s="180" t="s">
        <v>140</v>
      </c>
      <c r="AL96" s="202" t="s">
        <v>140</v>
      </c>
    </row>
    <row r="97" spans="1:38" s="73" customFormat="1" ht="13" x14ac:dyDescent="0.15">
      <c r="A97" s="55" t="str">
        <f>IF(B97="","",HYPERLINK("https://reports.ofsted.gov.uk/provider/44/80532","Ofsted Local Authority Webpage"))</f>
        <v>Ofsted Local Authority Webpage</v>
      </c>
      <c r="B97" s="55" t="s">
        <v>233</v>
      </c>
      <c r="C97" s="180" t="s">
        <v>309</v>
      </c>
      <c r="D97" s="180" t="s">
        <v>6981</v>
      </c>
      <c r="E97" s="193">
        <v>41043</v>
      </c>
      <c r="F97" s="194" t="s">
        <v>140</v>
      </c>
      <c r="G97" s="195" t="s">
        <v>132</v>
      </c>
      <c r="H97" s="196"/>
      <c r="I97" s="195"/>
      <c r="J97" s="196"/>
      <c r="K97" s="195"/>
      <c r="L97" s="196"/>
      <c r="M97" s="195"/>
      <c r="N97" s="196"/>
      <c r="O97" s="195"/>
      <c r="P97" s="197"/>
      <c r="Q97" s="180"/>
      <c r="R97" s="198">
        <v>42474</v>
      </c>
      <c r="S97" s="194" t="s">
        <v>130</v>
      </c>
      <c r="T97" s="194" t="s">
        <v>130</v>
      </c>
      <c r="U97" s="194" t="s">
        <v>130</v>
      </c>
      <c r="V97" s="194" t="s">
        <v>132</v>
      </c>
      <c r="W97" s="194" t="s">
        <v>130</v>
      </c>
      <c r="X97" s="199" t="s">
        <v>130</v>
      </c>
      <c r="Y97" s="200" t="s">
        <v>132</v>
      </c>
      <c r="Z97" s="196"/>
      <c r="AA97" s="194"/>
      <c r="AB97" s="194"/>
      <c r="AC97" s="194"/>
      <c r="AD97" s="194"/>
      <c r="AE97" s="194"/>
      <c r="AF97" s="199"/>
      <c r="AG97" s="187" t="s">
        <v>304</v>
      </c>
      <c r="AH97" s="201">
        <v>43891</v>
      </c>
      <c r="AI97" s="180" t="s">
        <v>132</v>
      </c>
      <c r="AJ97" s="180" t="s">
        <v>132</v>
      </c>
      <c r="AK97" s="180" t="s">
        <v>132</v>
      </c>
      <c r="AL97" s="202" t="s">
        <v>132</v>
      </c>
    </row>
    <row r="98" spans="1:38" s="73" customFormat="1" ht="13" x14ac:dyDescent="0.15">
      <c r="A98" s="55" t="str">
        <f>IF(B98="","",HYPERLINK("http://reports.ofsted.gov.uk/local-authorities/nottingham","Ofsted Local Authority Webpage"))</f>
        <v>Ofsted Local Authority Webpage</v>
      </c>
      <c r="B98" s="55" t="s">
        <v>234</v>
      </c>
      <c r="C98" s="180" t="s">
        <v>172</v>
      </c>
      <c r="D98" s="180" t="s">
        <v>6981</v>
      </c>
      <c r="E98" s="193">
        <v>40567</v>
      </c>
      <c r="F98" s="194" t="s">
        <v>132</v>
      </c>
      <c r="G98" s="195" t="s">
        <v>132</v>
      </c>
      <c r="H98" s="196"/>
      <c r="I98" s="195"/>
      <c r="J98" s="196"/>
      <c r="K98" s="195"/>
      <c r="L98" s="196"/>
      <c r="M98" s="195"/>
      <c r="N98" s="196"/>
      <c r="O98" s="195"/>
      <c r="P98" s="197"/>
      <c r="Q98" s="180"/>
      <c r="R98" s="198">
        <v>41773</v>
      </c>
      <c r="S98" s="194" t="s">
        <v>130</v>
      </c>
      <c r="T98" s="194" t="s">
        <v>130</v>
      </c>
      <c r="U98" s="194" t="s">
        <v>130</v>
      </c>
      <c r="V98" s="194" t="s">
        <v>130</v>
      </c>
      <c r="W98" s="194" t="s">
        <v>130</v>
      </c>
      <c r="X98" s="199" t="s">
        <v>130</v>
      </c>
      <c r="Y98" s="200" t="s">
        <v>130</v>
      </c>
      <c r="Z98" s="196"/>
      <c r="AA98" s="194"/>
      <c r="AB98" s="194"/>
      <c r="AC98" s="194"/>
      <c r="AD98" s="194"/>
      <c r="AE98" s="194"/>
      <c r="AF98" s="199"/>
      <c r="AG98" s="187" t="s">
        <v>304</v>
      </c>
      <c r="AH98" s="201">
        <v>43471</v>
      </c>
      <c r="AI98" s="180" t="s">
        <v>130</v>
      </c>
      <c r="AJ98" s="180" t="s">
        <v>130</v>
      </c>
      <c r="AK98" s="180" t="s">
        <v>130</v>
      </c>
      <c r="AL98" s="202" t="s">
        <v>130</v>
      </c>
    </row>
    <row r="99" spans="1:38" s="73" customFormat="1" ht="13" x14ac:dyDescent="0.15">
      <c r="A99" s="55" t="str">
        <f>IF(B99="","",HYPERLINK("http://reports.ofsted.gov.uk/local-authorities/nottinghamshire","Ofsted Local Authority Webpage"))</f>
        <v>Ofsted Local Authority Webpage</v>
      </c>
      <c r="B99" s="55" t="s">
        <v>235</v>
      </c>
      <c r="C99" s="180" t="s">
        <v>172</v>
      </c>
      <c r="D99" s="180" t="s">
        <v>6983</v>
      </c>
      <c r="E99" s="193">
        <v>40319</v>
      </c>
      <c r="F99" s="194" t="s">
        <v>146</v>
      </c>
      <c r="G99" s="195" t="s">
        <v>130</v>
      </c>
      <c r="H99" s="193">
        <v>40833</v>
      </c>
      <c r="I99" s="195" t="s">
        <v>130</v>
      </c>
      <c r="J99" s="196"/>
      <c r="K99" s="195"/>
      <c r="L99" s="196"/>
      <c r="M99" s="195"/>
      <c r="N99" s="196"/>
      <c r="O99" s="195"/>
      <c r="P99" s="197"/>
      <c r="Q99" s="180"/>
      <c r="R99" s="198">
        <v>42205</v>
      </c>
      <c r="S99" s="194" t="s">
        <v>132</v>
      </c>
      <c r="T99" s="194" t="s">
        <v>132</v>
      </c>
      <c r="U99" s="194" t="s">
        <v>132</v>
      </c>
      <c r="V99" s="194" t="s">
        <v>132</v>
      </c>
      <c r="W99" s="194" t="s">
        <v>130</v>
      </c>
      <c r="X99" s="199" t="s">
        <v>132</v>
      </c>
      <c r="Y99" s="200" t="s">
        <v>132</v>
      </c>
      <c r="Z99" s="196"/>
      <c r="AA99" s="194"/>
      <c r="AB99" s="194"/>
      <c r="AC99" s="194"/>
      <c r="AD99" s="194"/>
      <c r="AE99" s="194"/>
      <c r="AF99" s="199"/>
      <c r="AG99" s="187" t="s">
        <v>304</v>
      </c>
      <c r="AH99" s="201">
        <v>43818</v>
      </c>
      <c r="AI99" s="180" t="s">
        <v>132</v>
      </c>
      <c r="AJ99" s="180" t="s">
        <v>132</v>
      </c>
      <c r="AK99" s="180" t="s">
        <v>130</v>
      </c>
      <c r="AL99" s="202" t="s">
        <v>132</v>
      </c>
    </row>
    <row r="100" spans="1:38" s="73" customFormat="1" ht="13" x14ac:dyDescent="0.15">
      <c r="A100" s="55" t="str">
        <f>IF(B100="","",HYPERLINK("http://reports.ofsted.gov.uk/local-authorities/oldham","Ofsted Local Authority Webpage"))</f>
        <v>Ofsted Local Authority Webpage</v>
      </c>
      <c r="B100" s="55" t="s">
        <v>236</v>
      </c>
      <c r="C100" s="180" t="s">
        <v>144</v>
      </c>
      <c r="D100" s="180" t="s">
        <v>6980</v>
      </c>
      <c r="E100" s="193">
        <v>40963</v>
      </c>
      <c r="F100" s="194" t="s">
        <v>132</v>
      </c>
      <c r="G100" s="195" t="s">
        <v>132</v>
      </c>
      <c r="H100" s="196"/>
      <c r="I100" s="195"/>
      <c r="J100" s="196"/>
      <c r="K100" s="195"/>
      <c r="L100" s="196"/>
      <c r="M100" s="195"/>
      <c r="N100" s="196"/>
      <c r="O100" s="195"/>
      <c r="P100" s="197"/>
      <c r="Q100" s="180"/>
      <c r="R100" s="198">
        <v>42219</v>
      </c>
      <c r="S100" s="194" t="s">
        <v>130</v>
      </c>
      <c r="T100" s="194" t="s">
        <v>130</v>
      </c>
      <c r="U100" s="194" t="s">
        <v>130</v>
      </c>
      <c r="V100" s="194" t="s">
        <v>132</v>
      </c>
      <c r="W100" s="194" t="s">
        <v>130</v>
      </c>
      <c r="X100" s="199" t="s">
        <v>130</v>
      </c>
      <c r="Y100" s="200" t="s">
        <v>130</v>
      </c>
      <c r="Z100" s="196"/>
      <c r="AA100" s="194"/>
      <c r="AB100" s="194"/>
      <c r="AC100" s="194"/>
      <c r="AD100" s="194"/>
      <c r="AE100" s="194"/>
      <c r="AF100" s="199"/>
      <c r="AG100" s="187" t="s">
        <v>304</v>
      </c>
      <c r="AH100" s="201">
        <v>43528</v>
      </c>
      <c r="AI100" s="180" t="s">
        <v>130</v>
      </c>
      <c r="AJ100" s="180" t="s">
        <v>130</v>
      </c>
      <c r="AK100" s="180" t="s">
        <v>130</v>
      </c>
      <c r="AL100" s="202" t="s">
        <v>130</v>
      </c>
    </row>
    <row r="101" spans="1:38" s="73" customFormat="1" ht="13" x14ac:dyDescent="0.15">
      <c r="A101" s="55" t="str">
        <f>IF(B101="","",HYPERLINK("http://reports.ofsted.gov.uk/local-authorities/oxfordshire","Ofsted Local Authority Webpage"))</f>
        <v>Ofsted Local Authority Webpage</v>
      </c>
      <c r="B101" s="55" t="s">
        <v>237</v>
      </c>
      <c r="C101" s="180" t="s">
        <v>150</v>
      </c>
      <c r="D101" s="180" t="s">
        <v>6983</v>
      </c>
      <c r="E101" s="193">
        <v>40669</v>
      </c>
      <c r="F101" s="194" t="s">
        <v>132</v>
      </c>
      <c r="G101" s="195" t="s">
        <v>132</v>
      </c>
      <c r="H101" s="196"/>
      <c r="I101" s="195"/>
      <c r="J101" s="196"/>
      <c r="K101" s="195"/>
      <c r="L101" s="196"/>
      <c r="M101" s="195"/>
      <c r="N101" s="196"/>
      <c r="O101" s="195"/>
      <c r="P101" s="197"/>
      <c r="Q101" s="180"/>
      <c r="R101" s="198">
        <v>41820</v>
      </c>
      <c r="S101" s="194" t="s">
        <v>132</v>
      </c>
      <c r="T101" s="194" t="s">
        <v>132</v>
      </c>
      <c r="U101" s="194" t="s">
        <v>132</v>
      </c>
      <c r="V101" s="194" t="s">
        <v>132</v>
      </c>
      <c r="W101" s="194" t="s">
        <v>132</v>
      </c>
      <c r="X101" s="199" t="s">
        <v>132</v>
      </c>
      <c r="Y101" s="200" t="s">
        <v>132</v>
      </c>
      <c r="Z101" s="196"/>
      <c r="AA101" s="194"/>
      <c r="AB101" s="194"/>
      <c r="AC101" s="194"/>
      <c r="AD101" s="194"/>
      <c r="AE101" s="194"/>
      <c r="AF101" s="199"/>
      <c r="AG101" s="187" t="s">
        <v>303</v>
      </c>
      <c r="AH101" s="201">
        <v>43242</v>
      </c>
      <c r="AI101" s="180" t="s">
        <v>132</v>
      </c>
      <c r="AJ101" s="180" t="s">
        <v>132</v>
      </c>
      <c r="AK101" s="180" t="s">
        <v>130</v>
      </c>
      <c r="AL101" s="202" t="s">
        <v>132</v>
      </c>
    </row>
    <row r="102" spans="1:38" s="73" customFormat="1" ht="13" x14ac:dyDescent="0.15">
      <c r="A102" s="55" t="str">
        <f>IF(B102="","",HYPERLINK("http://reports.ofsted.gov.uk/local-authorities/peterborough","Ofsted Local Authority Webpage"))</f>
        <v>Ofsted Local Authority Webpage</v>
      </c>
      <c r="B102" s="55" t="s">
        <v>238</v>
      </c>
      <c r="C102" s="180" t="s">
        <v>138</v>
      </c>
      <c r="D102" s="180" t="s">
        <v>6981</v>
      </c>
      <c r="E102" s="198">
        <v>40319</v>
      </c>
      <c r="F102" s="180" t="s">
        <v>146</v>
      </c>
      <c r="G102" s="195" t="s">
        <v>132</v>
      </c>
      <c r="H102" s="193">
        <v>40792</v>
      </c>
      <c r="I102" s="195" t="s">
        <v>146</v>
      </c>
      <c r="J102" s="196"/>
      <c r="K102" s="195"/>
      <c r="L102" s="203">
        <v>41341</v>
      </c>
      <c r="M102" s="195" t="s">
        <v>130</v>
      </c>
      <c r="N102" s="196"/>
      <c r="O102" s="195"/>
      <c r="P102" s="197"/>
      <c r="Q102" s="180"/>
      <c r="R102" s="198">
        <v>42265</v>
      </c>
      <c r="S102" s="194" t="s">
        <v>130</v>
      </c>
      <c r="T102" s="194" t="s">
        <v>130</v>
      </c>
      <c r="U102" s="194" t="s">
        <v>130</v>
      </c>
      <c r="V102" s="194" t="s">
        <v>132</v>
      </c>
      <c r="W102" s="194" t="s">
        <v>130</v>
      </c>
      <c r="X102" s="199" t="s">
        <v>130</v>
      </c>
      <c r="Y102" s="200" t="s">
        <v>132</v>
      </c>
      <c r="Z102" s="196"/>
      <c r="AA102" s="194"/>
      <c r="AB102" s="194"/>
      <c r="AC102" s="194"/>
      <c r="AD102" s="194"/>
      <c r="AE102" s="194"/>
      <c r="AF102" s="199"/>
      <c r="AG102" s="187" t="s">
        <v>304</v>
      </c>
      <c r="AH102" s="201">
        <v>43318</v>
      </c>
      <c r="AI102" s="180" t="s">
        <v>132</v>
      </c>
      <c r="AJ102" s="180" t="s">
        <v>132</v>
      </c>
      <c r="AK102" s="180" t="s">
        <v>132</v>
      </c>
      <c r="AL102" s="202" t="s">
        <v>132</v>
      </c>
    </row>
    <row r="103" spans="1:38" s="73" customFormat="1" ht="13" x14ac:dyDescent="0.15">
      <c r="A103" s="55" t="str">
        <f>IF(B103="","",HYPERLINK("http://reports.ofsted.gov.uk/local-authorities/plymouth","Ofsted Local Authority Webpage"))</f>
        <v>Ofsted Local Authority Webpage</v>
      </c>
      <c r="B103" s="55" t="s">
        <v>239</v>
      </c>
      <c r="C103" s="194" t="s">
        <v>136</v>
      </c>
      <c r="D103" s="180" t="s">
        <v>6981</v>
      </c>
      <c r="E103" s="193">
        <v>40319</v>
      </c>
      <c r="F103" s="194" t="s">
        <v>132</v>
      </c>
      <c r="G103" s="195" t="s">
        <v>132</v>
      </c>
      <c r="H103" s="196"/>
      <c r="I103" s="195"/>
      <c r="J103" s="196"/>
      <c r="K103" s="195"/>
      <c r="L103" s="196"/>
      <c r="M103" s="195"/>
      <c r="N103" s="196"/>
      <c r="O103" s="195"/>
      <c r="P103" s="197"/>
      <c r="Q103" s="180"/>
      <c r="R103" s="203">
        <v>42010</v>
      </c>
      <c r="S103" s="194" t="s">
        <v>130</v>
      </c>
      <c r="T103" s="194" t="s">
        <v>130</v>
      </c>
      <c r="U103" s="194" t="s">
        <v>130</v>
      </c>
      <c r="V103" s="194" t="s">
        <v>130</v>
      </c>
      <c r="W103" s="194" t="s">
        <v>130</v>
      </c>
      <c r="X103" s="199" t="s">
        <v>130</v>
      </c>
      <c r="Y103" s="200" t="s">
        <v>130</v>
      </c>
      <c r="Z103" s="196"/>
      <c r="AA103" s="194"/>
      <c r="AB103" s="194"/>
      <c r="AC103" s="194"/>
      <c r="AD103" s="194"/>
      <c r="AE103" s="194"/>
      <c r="AF103" s="199"/>
      <c r="AG103" s="187" t="s">
        <v>304</v>
      </c>
      <c r="AH103" s="201">
        <v>43471</v>
      </c>
      <c r="AI103" s="180" t="s">
        <v>130</v>
      </c>
      <c r="AJ103" s="180" t="s">
        <v>130</v>
      </c>
      <c r="AK103" s="180" t="s">
        <v>130</v>
      </c>
      <c r="AL103" s="202" t="s">
        <v>130</v>
      </c>
    </row>
    <row r="104" spans="1:38" s="73" customFormat="1" ht="13" x14ac:dyDescent="0.15">
      <c r="A104" s="55" t="str">
        <f>IF(B104="","",HYPERLINK("http://reports.ofsted.gov.uk/local-authorities/portsmouth","Ofsted Local Authority Webpage"))</f>
        <v>Ofsted Local Authority Webpage</v>
      </c>
      <c r="B104" s="55" t="s">
        <v>240</v>
      </c>
      <c r="C104" s="180" t="s">
        <v>150</v>
      </c>
      <c r="D104" s="180" t="s">
        <v>6981</v>
      </c>
      <c r="E104" s="193">
        <v>40721</v>
      </c>
      <c r="F104" s="194" t="s">
        <v>130</v>
      </c>
      <c r="G104" s="195" t="s">
        <v>132</v>
      </c>
      <c r="H104" s="196"/>
      <c r="I104" s="195"/>
      <c r="J104" s="196"/>
      <c r="K104" s="195"/>
      <c r="L104" s="196"/>
      <c r="M104" s="195"/>
      <c r="N104" s="196"/>
      <c r="O104" s="195"/>
      <c r="P104" s="197"/>
      <c r="Q104" s="180"/>
      <c r="R104" s="198">
        <v>41883</v>
      </c>
      <c r="S104" s="194" t="s">
        <v>130</v>
      </c>
      <c r="T104" s="194" t="s">
        <v>130</v>
      </c>
      <c r="U104" s="194" t="s">
        <v>132</v>
      </c>
      <c r="V104" s="194" t="s">
        <v>132</v>
      </c>
      <c r="W104" s="194" t="s">
        <v>130</v>
      </c>
      <c r="X104" s="199" t="s">
        <v>132</v>
      </c>
      <c r="Y104" s="200" t="s">
        <v>132</v>
      </c>
      <c r="Z104" s="196"/>
      <c r="AA104" s="194"/>
      <c r="AB104" s="194"/>
      <c r="AC104" s="194"/>
      <c r="AD104" s="194"/>
      <c r="AE104" s="194"/>
      <c r="AF104" s="199"/>
      <c r="AG104" s="187" t="s">
        <v>304</v>
      </c>
      <c r="AH104" s="201">
        <v>43388</v>
      </c>
      <c r="AI104" s="180" t="s">
        <v>132</v>
      </c>
      <c r="AJ104" s="180" t="s">
        <v>132</v>
      </c>
      <c r="AK104" s="180" t="s">
        <v>132</v>
      </c>
      <c r="AL104" s="202" t="s">
        <v>132</v>
      </c>
    </row>
    <row r="105" spans="1:38" s="73" customFormat="1" ht="13" x14ac:dyDescent="0.15">
      <c r="A105" s="55" t="str">
        <f>IF(B105="","",HYPERLINK("http://reports.ofsted.gov.uk/local-authorities/reading","Ofsted Local Authority Webpage"))</f>
        <v>Ofsted Local Authority Webpage</v>
      </c>
      <c r="B105" s="55" t="s">
        <v>241</v>
      </c>
      <c r="C105" s="180" t="s">
        <v>150</v>
      </c>
      <c r="D105" s="180" t="s">
        <v>6981</v>
      </c>
      <c r="E105" s="193">
        <v>40991</v>
      </c>
      <c r="F105" s="194" t="s">
        <v>130</v>
      </c>
      <c r="G105" s="195" t="s">
        <v>130</v>
      </c>
      <c r="H105" s="196"/>
      <c r="I105" s="195"/>
      <c r="J105" s="196"/>
      <c r="K105" s="195"/>
      <c r="L105" s="203">
        <v>41387</v>
      </c>
      <c r="M105" s="195" t="s">
        <v>130</v>
      </c>
      <c r="N105" s="196"/>
      <c r="O105" s="195"/>
      <c r="P105" s="197"/>
      <c r="Q105" s="180"/>
      <c r="R105" s="198">
        <v>42587</v>
      </c>
      <c r="S105" s="194" t="s">
        <v>146</v>
      </c>
      <c r="T105" s="194" t="s">
        <v>146</v>
      </c>
      <c r="U105" s="194" t="s">
        <v>146</v>
      </c>
      <c r="V105" s="194" t="s">
        <v>130</v>
      </c>
      <c r="W105" s="194" t="s">
        <v>130</v>
      </c>
      <c r="X105" s="199" t="s">
        <v>146</v>
      </c>
      <c r="Y105" s="200" t="s">
        <v>130</v>
      </c>
      <c r="Z105" s="196"/>
      <c r="AA105" s="194"/>
      <c r="AB105" s="194"/>
      <c r="AC105" s="194"/>
      <c r="AD105" s="194"/>
      <c r="AE105" s="194"/>
      <c r="AF105" s="199"/>
      <c r="AG105" s="187" t="s">
        <v>304</v>
      </c>
      <c r="AH105" s="201">
        <v>43765</v>
      </c>
      <c r="AI105" s="180" t="s">
        <v>130</v>
      </c>
      <c r="AJ105" s="180" t="s">
        <v>130</v>
      </c>
      <c r="AK105" s="180" t="s">
        <v>130</v>
      </c>
      <c r="AL105" s="202" t="s">
        <v>130</v>
      </c>
    </row>
    <row r="106" spans="1:38" s="73" customFormat="1" ht="13" x14ac:dyDescent="0.15">
      <c r="A106" s="55" t="str">
        <f>IF(B106="","",HYPERLINK("https://reports.ofsted.gov.uk/provider/44/80512","Ofsted Local Authority Webpage"))</f>
        <v>Ofsted Local Authority Webpage</v>
      </c>
      <c r="B106" s="55" t="s">
        <v>242</v>
      </c>
      <c r="C106" s="180" t="s">
        <v>129</v>
      </c>
      <c r="D106" s="180" t="s">
        <v>6979</v>
      </c>
      <c r="E106" s="193">
        <v>40242</v>
      </c>
      <c r="F106" s="194" t="s">
        <v>130</v>
      </c>
      <c r="G106" s="195" t="s">
        <v>130</v>
      </c>
      <c r="H106" s="196"/>
      <c r="I106" s="195"/>
      <c r="J106" s="196"/>
      <c r="K106" s="195"/>
      <c r="L106" s="203">
        <v>41225</v>
      </c>
      <c r="M106" s="195" t="s">
        <v>132</v>
      </c>
      <c r="N106" s="196"/>
      <c r="O106" s="195"/>
      <c r="P106" s="197"/>
      <c r="Q106" s="180"/>
      <c r="R106" s="198">
        <v>42699</v>
      </c>
      <c r="S106" s="194" t="s">
        <v>132</v>
      </c>
      <c r="T106" s="194" t="s">
        <v>132</v>
      </c>
      <c r="U106" s="194" t="s">
        <v>132</v>
      </c>
      <c r="V106" s="194" t="s">
        <v>132</v>
      </c>
      <c r="W106" s="194" t="s">
        <v>130</v>
      </c>
      <c r="X106" s="199" t="s">
        <v>132</v>
      </c>
      <c r="Y106" s="200" t="s">
        <v>132</v>
      </c>
      <c r="Z106" s="196"/>
      <c r="AA106" s="194"/>
      <c r="AB106" s="194"/>
      <c r="AC106" s="194"/>
      <c r="AD106" s="194"/>
      <c r="AE106" s="194"/>
      <c r="AF106" s="199"/>
      <c r="AG106" s="187" t="s">
        <v>303</v>
      </c>
      <c r="AH106" s="201">
        <v>43627</v>
      </c>
      <c r="AI106" s="180" t="s">
        <v>140</v>
      </c>
      <c r="AJ106" s="180" t="s">
        <v>140</v>
      </c>
      <c r="AK106" s="180" t="s">
        <v>140</v>
      </c>
      <c r="AL106" s="202" t="s">
        <v>132</v>
      </c>
    </row>
    <row r="107" spans="1:38" s="73" customFormat="1" ht="13" x14ac:dyDescent="0.15">
      <c r="A107" s="55" t="str">
        <f>IF(B107="","",HYPERLINK("https://reports.ofsted.gov.uk/provider/44/80541","Ofsted Local Authority Webpage"))</f>
        <v>Ofsted Local Authority Webpage</v>
      </c>
      <c r="B107" s="55" t="s">
        <v>243</v>
      </c>
      <c r="C107" s="180" t="s">
        <v>309</v>
      </c>
      <c r="D107" s="180" t="s">
        <v>6981</v>
      </c>
      <c r="E107" s="193">
        <v>41100</v>
      </c>
      <c r="F107" s="194" t="s">
        <v>130</v>
      </c>
      <c r="G107" s="195" t="s">
        <v>132</v>
      </c>
      <c r="H107" s="196"/>
      <c r="I107" s="195"/>
      <c r="J107" s="196"/>
      <c r="K107" s="195"/>
      <c r="L107" s="196"/>
      <c r="M107" s="195"/>
      <c r="N107" s="196"/>
      <c r="O107" s="195"/>
      <c r="P107" s="197"/>
      <c r="Q107" s="180"/>
      <c r="R107" s="198">
        <v>42832</v>
      </c>
      <c r="S107" s="194" t="s">
        <v>130</v>
      </c>
      <c r="T107" s="194" t="s">
        <v>130</v>
      </c>
      <c r="U107" s="194" t="s">
        <v>132</v>
      </c>
      <c r="V107" s="194" t="s">
        <v>132</v>
      </c>
      <c r="W107" s="194" t="s">
        <v>132</v>
      </c>
      <c r="X107" s="199" t="s">
        <v>130</v>
      </c>
      <c r="Y107" s="200" t="s">
        <v>130</v>
      </c>
      <c r="Z107" s="196"/>
      <c r="AA107" s="194"/>
      <c r="AB107" s="194"/>
      <c r="AC107" s="194"/>
      <c r="AD107" s="194"/>
      <c r="AE107" s="194"/>
      <c r="AF107" s="199"/>
      <c r="AG107" s="187"/>
      <c r="AH107" s="201"/>
      <c r="AI107" s="180"/>
      <c r="AJ107" s="180"/>
      <c r="AK107" s="180"/>
      <c r="AL107" s="202"/>
    </row>
    <row r="108" spans="1:38" s="73" customFormat="1" ht="13" x14ac:dyDescent="0.15">
      <c r="A108" s="55" t="str">
        <f>IF(B108="","",HYPERLINK("http://reports.ofsted.gov.uk/local-authorities/richmond-upon-thames","Ofsted Local Authority Webpage"))</f>
        <v>Ofsted Local Authority Webpage</v>
      </c>
      <c r="B108" s="55" t="s">
        <v>244</v>
      </c>
      <c r="C108" s="180" t="s">
        <v>129</v>
      </c>
      <c r="D108" s="180" t="s">
        <v>6979</v>
      </c>
      <c r="E108" s="193">
        <v>41043</v>
      </c>
      <c r="F108" s="194" t="s">
        <v>132</v>
      </c>
      <c r="G108" s="195" t="s">
        <v>132</v>
      </c>
      <c r="H108" s="196"/>
      <c r="I108" s="195"/>
      <c r="J108" s="196"/>
      <c r="K108" s="195"/>
      <c r="L108" s="196"/>
      <c r="M108" s="195"/>
      <c r="N108" s="196"/>
      <c r="O108" s="195"/>
      <c r="P108" s="197"/>
      <c r="Q108" s="180"/>
      <c r="R108" s="198">
        <v>43077</v>
      </c>
      <c r="S108" s="194" t="s">
        <v>132</v>
      </c>
      <c r="T108" s="194" t="s">
        <v>132</v>
      </c>
      <c r="U108" s="194" t="s">
        <v>132</v>
      </c>
      <c r="V108" s="194" t="s">
        <v>132</v>
      </c>
      <c r="W108" s="194" t="s">
        <v>132</v>
      </c>
      <c r="X108" s="199" t="s">
        <v>132</v>
      </c>
      <c r="Y108" s="200" t="s">
        <v>132</v>
      </c>
      <c r="Z108" s="196"/>
      <c r="AA108" s="194"/>
      <c r="AB108" s="194"/>
      <c r="AC108" s="194"/>
      <c r="AD108" s="194"/>
      <c r="AE108" s="194"/>
      <c r="AF108" s="199"/>
      <c r="AG108" s="187" t="s">
        <v>303</v>
      </c>
      <c r="AH108" s="201">
        <v>44638</v>
      </c>
      <c r="AI108" s="180" t="s">
        <v>132</v>
      </c>
      <c r="AJ108" s="180" t="s">
        <v>132</v>
      </c>
      <c r="AK108" s="180" t="s">
        <v>132</v>
      </c>
      <c r="AL108" s="202" t="s">
        <v>132</v>
      </c>
    </row>
    <row r="109" spans="1:38" s="73" customFormat="1" ht="13" x14ac:dyDescent="0.15">
      <c r="A109" s="55" t="str">
        <f>IF(B109="","",HYPERLINK("https://reports.ofsted.gov.uk/provider/44/80542","Ofsted Local Authority Webpage"))</f>
        <v>Ofsted Local Authority Webpage</v>
      </c>
      <c r="B109" s="55" t="s">
        <v>245</v>
      </c>
      <c r="C109" s="180" t="s">
        <v>144</v>
      </c>
      <c r="D109" s="180" t="s">
        <v>6980</v>
      </c>
      <c r="E109" s="193">
        <v>40396</v>
      </c>
      <c r="F109" s="194" t="s">
        <v>130</v>
      </c>
      <c r="G109" s="195" t="s">
        <v>130</v>
      </c>
      <c r="H109" s="196"/>
      <c r="I109" s="195"/>
      <c r="J109" s="196"/>
      <c r="K109" s="195"/>
      <c r="L109" s="203">
        <v>41264</v>
      </c>
      <c r="M109" s="195" t="s">
        <v>146</v>
      </c>
      <c r="N109" s="196"/>
      <c r="O109" s="195"/>
      <c r="P109" s="197"/>
      <c r="Q109" s="180"/>
      <c r="R109" s="198">
        <v>41978</v>
      </c>
      <c r="S109" s="194" t="s">
        <v>130</v>
      </c>
      <c r="T109" s="194" t="s">
        <v>130</v>
      </c>
      <c r="U109" s="194" t="s">
        <v>130</v>
      </c>
      <c r="V109" s="194" t="s">
        <v>130</v>
      </c>
      <c r="W109" s="194" t="s">
        <v>146</v>
      </c>
      <c r="X109" s="199" t="s">
        <v>130</v>
      </c>
      <c r="Y109" s="200" t="s">
        <v>130</v>
      </c>
      <c r="Z109" s="196"/>
      <c r="AA109" s="194"/>
      <c r="AB109" s="194"/>
      <c r="AC109" s="194"/>
      <c r="AD109" s="194"/>
      <c r="AE109" s="194"/>
      <c r="AF109" s="199"/>
      <c r="AG109" s="187" t="s">
        <v>304</v>
      </c>
      <c r="AH109" s="201">
        <v>43171</v>
      </c>
      <c r="AI109" s="180" t="s">
        <v>130</v>
      </c>
      <c r="AJ109" s="180" t="s">
        <v>130</v>
      </c>
      <c r="AK109" s="180" t="s">
        <v>130</v>
      </c>
      <c r="AL109" s="202" t="s">
        <v>132</v>
      </c>
    </row>
    <row r="110" spans="1:38" s="73" customFormat="1" ht="13" x14ac:dyDescent="0.15">
      <c r="A110" s="55" t="str">
        <f>IF(B110="","",HYPERLINK("http://reports.ofsted.gov.uk/local-authorities/rotherham","Ofsted Local Authority Webpage"))</f>
        <v>Ofsted Local Authority Webpage</v>
      </c>
      <c r="B110" s="55" t="s">
        <v>246</v>
      </c>
      <c r="C110" s="180" t="s">
        <v>309</v>
      </c>
      <c r="D110" s="180" t="s">
        <v>6980</v>
      </c>
      <c r="E110" s="193">
        <v>40417</v>
      </c>
      <c r="F110" s="194" t="s">
        <v>130</v>
      </c>
      <c r="G110" s="195" t="s">
        <v>130</v>
      </c>
      <c r="H110" s="196"/>
      <c r="I110" s="195"/>
      <c r="J110" s="196"/>
      <c r="K110" s="195"/>
      <c r="L110" s="203">
        <v>41131</v>
      </c>
      <c r="M110" s="195" t="s">
        <v>130</v>
      </c>
      <c r="N110" s="196"/>
      <c r="O110" s="195"/>
      <c r="P110" s="197"/>
      <c r="Q110" s="180"/>
      <c r="R110" s="198">
        <v>41962</v>
      </c>
      <c r="S110" s="194" t="s">
        <v>146</v>
      </c>
      <c r="T110" s="194" t="s">
        <v>146</v>
      </c>
      <c r="U110" s="194" t="s">
        <v>146</v>
      </c>
      <c r="V110" s="194" t="s">
        <v>130</v>
      </c>
      <c r="W110" s="194" t="s">
        <v>146</v>
      </c>
      <c r="X110" s="199" t="s">
        <v>146</v>
      </c>
      <c r="Y110" s="200" t="s">
        <v>146</v>
      </c>
      <c r="Z110" s="203">
        <v>43129</v>
      </c>
      <c r="AA110" s="180" t="s">
        <v>132</v>
      </c>
      <c r="AB110" s="180" t="s">
        <v>132</v>
      </c>
      <c r="AC110" s="180" t="s">
        <v>130</v>
      </c>
      <c r="AD110" s="180" t="s">
        <v>132</v>
      </c>
      <c r="AE110" s="180" t="s">
        <v>140</v>
      </c>
      <c r="AF110" s="211" t="s">
        <v>132</v>
      </c>
      <c r="AG110" s="187"/>
      <c r="AH110" s="201"/>
      <c r="AI110" s="180"/>
      <c r="AJ110" s="180"/>
      <c r="AK110" s="180"/>
      <c r="AL110" s="202"/>
    </row>
    <row r="111" spans="1:38" s="73" customFormat="1" ht="13" x14ac:dyDescent="0.15">
      <c r="A111" s="55" t="str">
        <f>IF(B111="","",HYPERLINK("http://reports.ofsted.gov.uk/local-authorities/rutland","Ofsted Local Authority Webpage"))</f>
        <v>Ofsted Local Authority Webpage</v>
      </c>
      <c r="B111" s="55" t="s">
        <v>247</v>
      </c>
      <c r="C111" s="180" t="s">
        <v>172</v>
      </c>
      <c r="D111" s="180" t="s">
        <v>6981</v>
      </c>
      <c r="E111" s="193">
        <v>40865</v>
      </c>
      <c r="F111" s="194" t="s">
        <v>130</v>
      </c>
      <c r="G111" s="195" t="s">
        <v>132</v>
      </c>
      <c r="H111" s="196"/>
      <c r="I111" s="195"/>
      <c r="J111" s="196"/>
      <c r="K111" s="195"/>
      <c r="L111" s="203">
        <v>41320</v>
      </c>
      <c r="M111" s="195" t="s">
        <v>130</v>
      </c>
      <c r="N111" s="196"/>
      <c r="O111" s="195"/>
      <c r="P111" s="197"/>
      <c r="Q111" s="180"/>
      <c r="R111" s="198">
        <v>42779</v>
      </c>
      <c r="S111" s="194" t="s">
        <v>130</v>
      </c>
      <c r="T111" s="194" t="s">
        <v>130</v>
      </c>
      <c r="U111" s="194" t="s">
        <v>130</v>
      </c>
      <c r="V111" s="194" t="s">
        <v>130</v>
      </c>
      <c r="W111" s="194" t="s">
        <v>132</v>
      </c>
      <c r="X111" s="199" t="s">
        <v>130</v>
      </c>
      <c r="Y111" s="200" t="s">
        <v>132</v>
      </c>
      <c r="Z111" s="196"/>
      <c r="AA111" s="194"/>
      <c r="AB111" s="194"/>
      <c r="AC111" s="194"/>
      <c r="AD111" s="194"/>
      <c r="AE111" s="194"/>
      <c r="AF111" s="199"/>
      <c r="AG111" s="187" t="s">
        <v>304</v>
      </c>
      <c r="AH111" s="201">
        <v>43935</v>
      </c>
      <c r="AI111" s="180" t="s">
        <v>130</v>
      </c>
      <c r="AJ111" s="180" t="s">
        <v>130</v>
      </c>
      <c r="AK111" s="180" t="s">
        <v>130</v>
      </c>
      <c r="AL111" s="202" t="s">
        <v>130</v>
      </c>
    </row>
    <row r="112" spans="1:38" s="73" customFormat="1" ht="13" x14ac:dyDescent="0.15">
      <c r="A112" s="55" t="str">
        <f>IF(B112="","",HYPERLINK("http://reports.ofsted.gov.uk/local-authorities/salford","Ofsted Local Authority Webpage"))</f>
        <v>Ofsted Local Authority Webpage</v>
      </c>
      <c r="B112" s="55" t="s">
        <v>248</v>
      </c>
      <c r="C112" s="180" t="s">
        <v>144</v>
      </c>
      <c r="D112" s="194" t="s">
        <v>6980</v>
      </c>
      <c r="E112" s="193">
        <v>40350</v>
      </c>
      <c r="F112" s="194" t="s">
        <v>146</v>
      </c>
      <c r="G112" s="195" t="s">
        <v>130</v>
      </c>
      <c r="H112" s="196"/>
      <c r="I112" s="195"/>
      <c r="J112" s="196"/>
      <c r="K112" s="195"/>
      <c r="L112" s="203">
        <v>41225</v>
      </c>
      <c r="M112" s="195" t="s">
        <v>130</v>
      </c>
      <c r="N112" s="196"/>
      <c r="O112" s="195"/>
      <c r="P112" s="197"/>
      <c r="Q112" s="180"/>
      <c r="R112" s="198">
        <v>42177</v>
      </c>
      <c r="S112" s="194" t="s">
        <v>132</v>
      </c>
      <c r="T112" s="194" t="s">
        <v>132</v>
      </c>
      <c r="U112" s="194" t="s">
        <v>132</v>
      </c>
      <c r="V112" s="194" t="s">
        <v>130</v>
      </c>
      <c r="W112" s="194" t="s">
        <v>132</v>
      </c>
      <c r="X112" s="199" t="s">
        <v>132</v>
      </c>
      <c r="Y112" s="200" t="s">
        <v>132</v>
      </c>
      <c r="Z112" s="196"/>
      <c r="AA112" s="194"/>
      <c r="AB112" s="194"/>
      <c r="AC112" s="194"/>
      <c r="AD112" s="194"/>
      <c r="AE112" s="194"/>
      <c r="AF112" s="199"/>
      <c r="AG112" s="187" t="s">
        <v>303</v>
      </c>
      <c r="AH112" s="201">
        <v>43415</v>
      </c>
      <c r="AI112" s="180" t="s">
        <v>132</v>
      </c>
      <c r="AJ112" s="180" t="s">
        <v>132</v>
      </c>
      <c r="AK112" s="180" t="s">
        <v>132</v>
      </c>
      <c r="AL112" s="202" t="s">
        <v>132</v>
      </c>
    </row>
    <row r="113" spans="1:38" s="73" customFormat="1" ht="13" x14ac:dyDescent="0.15">
      <c r="A113" s="55" t="str">
        <f>IF(B113="","",HYPERLINK("http://reports.ofsted.gov.uk/local-authorities/sandwell","Ofsted Local Authority Webpage"))</f>
        <v>Ofsted Local Authority Webpage</v>
      </c>
      <c r="B113" s="55" t="s">
        <v>249</v>
      </c>
      <c r="C113" s="194" t="s">
        <v>142</v>
      </c>
      <c r="D113" s="180" t="s">
        <v>6980</v>
      </c>
      <c r="E113" s="193">
        <v>40191</v>
      </c>
      <c r="F113" s="194" t="s">
        <v>146</v>
      </c>
      <c r="G113" s="195" t="s">
        <v>130</v>
      </c>
      <c r="H113" s="193">
        <v>40959</v>
      </c>
      <c r="I113" s="195" t="s">
        <v>130</v>
      </c>
      <c r="J113" s="196"/>
      <c r="K113" s="195"/>
      <c r="L113" s="203">
        <v>41373</v>
      </c>
      <c r="M113" s="195" t="s">
        <v>146</v>
      </c>
      <c r="N113" s="196"/>
      <c r="O113" s="195"/>
      <c r="P113" s="198">
        <v>41488</v>
      </c>
      <c r="Q113" s="180" t="s">
        <v>146</v>
      </c>
      <c r="R113" s="198">
        <v>42160</v>
      </c>
      <c r="S113" s="194" t="s">
        <v>146</v>
      </c>
      <c r="T113" s="194" t="s">
        <v>146</v>
      </c>
      <c r="U113" s="194" t="s">
        <v>130</v>
      </c>
      <c r="V113" s="194" t="s">
        <v>130</v>
      </c>
      <c r="W113" s="194" t="s">
        <v>130</v>
      </c>
      <c r="X113" s="199" t="s">
        <v>146</v>
      </c>
      <c r="Y113" s="200" t="s">
        <v>146</v>
      </c>
      <c r="Z113" s="203">
        <v>43129</v>
      </c>
      <c r="AA113" s="180" t="s">
        <v>146</v>
      </c>
      <c r="AB113" s="180" t="s">
        <v>146</v>
      </c>
      <c r="AC113" s="180" t="s">
        <v>146</v>
      </c>
      <c r="AD113" s="180" t="s">
        <v>146</v>
      </c>
      <c r="AE113" s="180" t="s">
        <v>130</v>
      </c>
      <c r="AF113" s="211" t="s">
        <v>146</v>
      </c>
      <c r="AG113" s="187"/>
      <c r="AH113" s="201"/>
      <c r="AI113" s="180"/>
      <c r="AJ113" s="180"/>
      <c r="AK113" s="180"/>
      <c r="AL113" s="202"/>
    </row>
    <row r="114" spans="1:38" s="73" customFormat="1" ht="13" x14ac:dyDescent="0.15">
      <c r="A114" s="55" t="str">
        <f>IF(B114="","",HYPERLINK("https://reports.ofsted.gov.uk/provider/44/80550","Ofsted Local Authority Webpage"))</f>
        <v>Ofsted Local Authority Webpage</v>
      </c>
      <c r="B114" s="55" t="s">
        <v>250</v>
      </c>
      <c r="C114" s="180" t="s">
        <v>144</v>
      </c>
      <c r="D114" s="180" t="s">
        <v>6980</v>
      </c>
      <c r="E114" s="193">
        <v>40721</v>
      </c>
      <c r="F114" s="194" t="s">
        <v>130</v>
      </c>
      <c r="G114" s="195" t="s">
        <v>132</v>
      </c>
      <c r="H114" s="196"/>
      <c r="I114" s="195"/>
      <c r="J114" s="196"/>
      <c r="K114" s="195"/>
      <c r="L114" s="196"/>
      <c r="M114" s="195"/>
      <c r="N114" s="196"/>
      <c r="O114" s="195"/>
      <c r="P114" s="197"/>
      <c r="Q114" s="180"/>
      <c r="R114" s="198">
        <v>42548</v>
      </c>
      <c r="S114" s="194" t="s">
        <v>130</v>
      </c>
      <c r="T114" s="194" t="s">
        <v>130</v>
      </c>
      <c r="U114" s="194" t="s">
        <v>130</v>
      </c>
      <c r="V114" s="194" t="s">
        <v>130</v>
      </c>
      <c r="W114" s="194" t="s">
        <v>130</v>
      </c>
      <c r="X114" s="199" t="s">
        <v>130</v>
      </c>
      <c r="Y114" s="200" t="s">
        <v>146</v>
      </c>
      <c r="Z114" s="196"/>
      <c r="AA114" s="194"/>
      <c r="AB114" s="194"/>
      <c r="AC114" s="194"/>
      <c r="AD114" s="194"/>
      <c r="AE114" s="194"/>
      <c r="AF114" s="199"/>
      <c r="AG114" s="187"/>
      <c r="AH114" s="201"/>
      <c r="AI114" s="180"/>
      <c r="AJ114" s="180"/>
      <c r="AK114" s="180"/>
      <c r="AL114" s="202"/>
    </row>
    <row r="115" spans="1:38" s="73" customFormat="1" ht="13" x14ac:dyDescent="0.15">
      <c r="A115" s="55" t="str">
        <f>IF(B115="","",HYPERLINK("https://reports.ofsted.gov.uk/provider/44/80551","Ofsted Local Authority Webpage"))</f>
        <v>Ofsted Local Authority Webpage</v>
      </c>
      <c r="B115" s="55" t="s">
        <v>251</v>
      </c>
      <c r="C115" s="180" t="s">
        <v>309</v>
      </c>
      <c r="D115" s="180" t="s">
        <v>6980</v>
      </c>
      <c r="E115" s="193">
        <v>40498</v>
      </c>
      <c r="F115" s="194" t="s">
        <v>130</v>
      </c>
      <c r="G115" s="195" t="s">
        <v>130</v>
      </c>
      <c r="H115" s="196"/>
      <c r="I115" s="195"/>
      <c r="J115" s="196"/>
      <c r="K115" s="195"/>
      <c r="L115" s="196"/>
      <c r="M115" s="195"/>
      <c r="N115" s="196"/>
      <c r="O115" s="195"/>
      <c r="P115" s="197"/>
      <c r="Q115" s="180"/>
      <c r="R115" s="198">
        <v>41691</v>
      </c>
      <c r="S115" s="194" t="s">
        <v>130</v>
      </c>
      <c r="T115" s="194" t="s">
        <v>132</v>
      </c>
      <c r="U115" s="194" t="s">
        <v>130</v>
      </c>
      <c r="V115" s="194" t="s">
        <v>130</v>
      </c>
      <c r="W115" s="194" t="s">
        <v>132</v>
      </c>
      <c r="X115" s="199" t="s">
        <v>132</v>
      </c>
      <c r="Y115" s="200" t="s">
        <v>132</v>
      </c>
      <c r="Z115" s="196"/>
      <c r="AA115" s="194"/>
      <c r="AB115" s="194"/>
      <c r="AC115" s="194"/>
      <c r="AD115" s="194"/>
      <c r="AE115" s="194"/>
      <c r="AF115" s="199"/>
      <c r="AG115" s="187" t="s">
        <v>304</v>
      </c>
      <c r="AH115" s="201">
        <v>43703</v>
      </c>
      <c r="AI115" s="180" t="s">
        <v>132</v>
      </c>
      <c r="AJ115" s="180" t="s">
        <v>132</v>
      </c>
      <c r="AK115" s="180" t="s">
        <v>130</v>
      </c>
      <c r="AL115" s="202" t="s">
        <v>132</v>
      </c>
    </row>
    <row r="116" spans="1:38" s="73" customFormat="1" ht="13" x14ac:dyDescent="0.15">
      <c r="A116" s="55" t="str">
        <f>IF(B116="","",HYPERLINK("http://reports.ofsted.gov.uk/local-authorities/shropshire","Ofsted Local Authority Webpage"))</f>
        <v>Ofsted Local Authority Webpage</v>
      </c>
      <c r="B116" s="55" t="s">
        <v>252</v>
      </c>
      <c r="C116" s="194" t="s">
        <v>142</v>
      </c>
      <c r="D116" s="180" t="s">
        <v>6981</v>
      </c>
      <c r="E116" s="193">
        <v>40627</v>
      </c>
      <c r="F116" s="194" t="s">
        <v>130</v>
      </c>
      <c r="G116" s="195" t="s">
        <v>132</v>
      </c>
      <c r="H116" s="196"/>
      <c r="I116" s="195"/>
      <c r="J116" s="196"/>
      <c r="K116" s="195"/>
      <c r="L116" s="203">
        <v>41282</v>
      </c>
      <c r="M116" s="195" t="s">
        <v>130</v>
      </c>
      <c r="N116" s="196"/>
      <c r="O116" s="195"/>
      <c r="P116" s="197"/>
      <c r="Q116" s="180"/>
      <c r="R116" s="198">
        <v>43063</v>
      </c>
      <c r="S116" s="194" t="s">
        <v>132</v>
      </c>
      <c r="T116" s="194" t="s">
        <v>132</v>
      </c>
      <c r="U116" s="194" t="s">
        <v>130</v>
      </c>
      <c r="V116" s="194" t="s">
        <v>132</v>
      </c>
      <c r="W116" s="194" t="s">
        <v>130</v>
      </c>
      <c r="X116" s="199" t="s">
        <v>132</v>
      </c>
      <c r="Y116" s="200" t="s">
        <v>132</v>
      </c>
      <c r="Z116" s="196"/>
      <c r="AA116" s="194"/>
      <c r="AB116" s="194"/>
      <c r="AC116" s="194"/>
      <c r="AD116" s="194"/>
      <c r="AE116" s="194"/>
      <c r="AF116" s="199"/>
      <c r="AG116" s="187" t="s">
        <v>303</v>
      </c>
      <c r="AH116" s="201">
        <v>44645</v>
      </c>
      <c r="AI116" s="180" t="s">
        <v>132</v>
      </c>
      <c r="AJ116" s="180" t="s">
        <v>132</v>
      </c>
      <c r="AK116" s="180" t="s">
        <v>130</v>
      </c>
      <c r="AL116" s="202" t="s">
        <v>132</v>
      </c>
    </row>
    <row r="117" spans="1:38" s="73" customFormat="1" ht="13" x14ac:dyDescent="0.15">
      <c r="A117" s="55" t="str">
        <f>IF(B117="","",HYPERLINK("http://reports.ofsted.gov.uk/local-authorities/slough","Ofsted Local Authority Webpage"))</f>
        <v>Ofsted Local Authority Webpage</v>
      </c>
      <c r="B117" s="55" t="s">
        <v>253</v>
      </c>
      <c r="C117" s="180" t="s">
        <v>150</v>
      </c>
      <c r="D117" s="180" t="s">
        <v>6981</v>
      </c>
      <c r="E117" s="193">
        <v>40695</v>
      </c>
      <c r="F117" s="194" t="s">
        <v>146</v>
      </c>
      <c r="G117" s="195" t="s">
        <v>130</v>
      </c>
      <c r="H117" s="196"/>
      <c r="I117" s="195"/>
      <c r="J117" s="196"/>
      <c r="K117" s="195"/>
      <c r="L117" s="196"/>
      <c r="M117" s="195"/>
      <c r="N117" s="196"/>
      <c r="O117" s="195"/>
      <c r="P117" s="197"/>
      <c r="Q117" s="180"/>
      <c r="R117" s="198">
        <v>41681</v>
      </c>
      <c r="S117" s="194" t="s">
        <v>146</v>
      </c>
      <c r="T117" s="194" t="s">
        <v>146</v>
      </c>
      <c r="U117" s="194" t="s">
        <v>146</v>
      </c>
      <c r="V117" s="194" t="s">
        <v>130</v>
      </c>
      <c r="W117" s="194" t="s">
        <v>146</v>
      </c>
      <c r="X117" s="199" t="s">
        <v>146</v>
      </c>
      <c r="Y117" s="200" t="s">
        <v>146</v>
      </c>
      <c r="Z117" s="198">
        <v>42417</v>
      </c>
      <c r="AA117" s="194" t="s">
        <v>146</v>
      </c>
      <c r="AB117" s="194" t="s">
        <v>146</v>
      </c>
      <c r="AC117" s="194" t="s">
        <v>146</v>
      </c>
      <c r="AD117" s="194" t="s">
        <v>130</v>
      </c>
      <c r="AE117" s="194" t="s">
        <v>146</v>
      </c>
      <c r="AF117" s="199" t="s">
        <v>146</v>
      </c>
      <c r="AG117" s="187" t="s">
        <v>304</v>
      </c>
      <c r="AH117" s="201">
        <v>43527</v>
      </c>
      <c r="AI117" s="180" t="s">
        <v>130</v>
      </c>
      <c r="AJ117" s="180" t="s">
        <v>130</v>
      </c>
      <c r="AK117" s="180" t="s">
        <v>130</v>
      </c>
      <c r="AL117" s="202" t="s">
        <v>130</v>
      </c>
    </row>
    <row r="118" spans="1:38" s="73" customFormat="1" ht="13" x14ac:dyDescent="0.15">
      <c r="A118" s="55" t="str">
        <f>IF(B118="","",HYPERLINK("http://reports.ofsted.gov.uk/local-authorities/solihull","Ofsted Local Authority Webpage"))</f>
        <v>Ofsted Local Authority Webpage</v>
      </c>
      <c r="B118" s="55" t="s">
        <v>254</v>
      </c>
      <c r="C118" s="194" t="s">
        <v>142</v>
      </c>
      <c r="D118" s="194" t="s">
        <v>6980</v>
      </c>
      <c r="E118" s="193">
        <v>40921</v>
      </c>
      <c r="F118" s="194" t="s">
        <v>130</v>
      </c>
      <c r="G118" s="195" t="s">
        <v>130</v>
      </c>
      <c r="H118" s="196"/>
      <c r="I118" s="195"/>
      <c r="J118" s="196"/>
      <c r="K118" s="195"/>
      <c r="L118" s="196"/>
      <c r="M118" s="195"/>
      <c r="N118" s="196"/>
      <c r="O118" s="195"/>
      <c r="P118" s="197"/>
      <c r="Q118" s="180"/>
      <c r="R118" s="198">
        <v>42558</v>
      </c>
      <c r="S118" s="194" t="s">
        <v>130</v>
      </c>
      <c r="T118" s="194" t="s">
        <v>130</v>
      </c>
      <c r="U118" s="194" t="s">
        <v>130</v>
      </c>
      <c r="V118" s="194" t="s">
        <v>132</v>
      </c>
      <c r="W118" s="194" t="s">
        <v>130</v>
      </c>
      <c r="X118" s="199" t="s">
        <v>130</v>
      </c>
      <c r="Y118" s="200" t="s">
        <v>132</v>
      </c>
      <c r="Z118" s="196"/>
      <c r="AA118" s="194"/>
      <c r="AB118" s="194"/>
      <c r="AC118" s="194"/>
      <c r="AD118" s="194"/>
      <c r="AE118" s="194"/>
      <c r="AF118" s="199"/>
      <c r="AG118" s="187" t="s">
        <v>304</v>
      </c>
      <c r="AH118" s="201">
        <v>43838</v>
      </c>
      <c r="AI118" s="180" t="s">
        <v>130</v>
      </c>
      <c r="AJ118" s="180" t="s">
        <v>130</v>
      </c>
      <c r="AK118" s="180" t="s">
        <v>130</v>
      </c>
      <c r="AL118" s="202" t="s">
        <v>132</v>
      </c>
    </row>
    <row r="119" spans="1:38" s="73" customFormat="1" ht="13" x14ac:dyDescent="0.15">
      <c r="A119" s="55" t="str">
        <f>IF(B119="","",HYPERLINK("http://reports.ofsted.gov.uk/local-authorities/somerset","Ofsted Local Authority Webpage"))</f>
        <v>Ofsted Local Authority Webpage</v>
      </c>
      <c r="B119" s="55" t="s">
        <v>255</v>
      </c>
      <c r="C119" s="194" t="s">
        <v>136</v>
      </c>
      <c r="D119" s="180" t="s">
        <v>6983</v>
      </c>
      <c r="E119" s="193">
        <v>41073</v>
      </c>
      <c r="F119" s="194" t="s">
        <v>130</v>
      </c>
      <c r="G119" s="195" t="s">
        <v>130</v>
      </c>
      <c r="H119" s="196"/>
      <c r="I119" s="195"/>
      <c r="J119" s="196"/>
      <c r="K119" s="195"/>
      <c r="L119" s="203">
        <v>41491</v>
      </c>
      <c r="M119" s="195" t="s">
        <v>146</v>
      </c>
      <c r="N119" s="196"/>
      <c r="O119" s="195"/>
      <c r="P119" s="197"/>
      <c r="Q119" s="180"/>
      <c r="R119" s="198">
        <v>42090</v>
      </c>
      <c r="S119" s="194" t="s">
        <v>146</v>
      </c>
      <c r="T119" s="194" t="s">
        <v>146</v>
      </c>
      <c r="U119" s="194" t="s">
        <v>146</v>
      </c>
      <c r="V119" s="194" t="s">
        <v>130</v>
      </c>
      <c r="W119" s="194" t="s">
        <v>146</v>
      </c>
      <c r="X119" s="199" t="s">
        <v>146</v>
      </c>
      <c r="Y119" s="200" t="s">
        <v>146</v>
      </c>
      <c r="Z119" s="203">
        <v>43129</v>
      </c>
      <c r="AA119" s="194" t="s">
        <v>130</v>
      </c>
      <c r="AB119" s="194" t="s">
        <v>130</v>
      </c>
      <c r="AC119" s="194" t="s">
        <v>130</v>
      </c>
      <c r="AD119" s="194" t="s">
        <v>132</v>
      </c>
      <c r="AE119" s="194" t="s">
        <v>130</v>
      </c>
      <c r="AF119" s="199" t="s">
        <v>130</v>
      </c>
      <c r="AG119" s="187"/>
      <c r="AH119" s="201"/>
      <c r="AI119" s="180"/>
      <c r="AJ119" s="180"/>
      <c r="AK119" s="180"/>
      <c r="AL119" s="202"/>
    </row>
    <row r="120" spans="1:38" s="73" customFormat="1" ht="14" x14ac:dyDescent="0.15">
      <c r="A120" s="55" t="str">
        <f>IF(B120="","",HYPERLINK("http://reports.ofsted.gov.uk/local-authorities/south-gloucestershire","Ofsted Local Authority Webpage"))</f>
        <v>Ofsted Local Authority Webpage</v>
      </c>
      <c r="B120" s="55" t="s">
        <v>256</v>
      </c>
      <c r="C120" s="194" t="s">
        <v>136</v>
      </c>
      <c r="D120" s="206" t="s">
        <v>6981</v>
      </c>
      <c r="E120" s="193">
        <v>41131</v>
      </c>
      <c r="F120" s="194" t="s">
        <v>130</v>
      </c>
      <c r="G120" s="195" t="s">
        <v>130</v>
      </c>
      <c r="H120" s="196"/>
      <c r="I120" s="195"/>
      <c r="J120" s="196"/>
      <c r="K120" s="195"/>
      <c r="L120" s="196"/>
      <c r="M120" s="195"/>
      <c r="N120" s="196"/>
      <c r="O120" s="195"/>
      <c r="P120" s="197"/>
      <c r="Q120" s="180"/>
      <c r="R120" s="198">
        <v>42779</v>
      </c>
      <c r="S120" s="194" t="s">
        <v>146</v>
      </c>
      <c r="T120" s="194" t="s">
        <v>146</v>
      </c>
      <c r="U120" s="194" t="s">
        <v>130</v>
      </c>
      <c r="V120" s="194" t="s">
        <v>132</v>
      </c>
      <c r="W120" s="194" t="s">
        <v>130</v>
      </c>
      <c r="X120" s="199" t="s">
        <v>146</v>
      </c>
      <c r="Y120" s="200" t="s">
        <v>146</v>
      </c>
      <c r="Z120" s="196"/>
      <c r="AA120" s="194"/>
      <c r="AB120" s="194"/>
      <c r="AC120" s="194"/>
      <c r="AD120" s="194"/>
      <c r="AE120" s="194"/>
      <c r="AF120" s="199"/>
      <c r="AG120" s="187" t="s">
        <v>304</v>
      </c>
      <c r="AH120" s="201">
        <v>43593</v>
      </c>
      <c r="AI120" s="180" t="s">
        <v>130</v>
      </c>
      <c r="AJ120" s="180" t="s">
        <v>130</v>
      </c>
      <c r="AK120" s="180" t="s">
        <v>130</v>
      </c>
      <c r="AL120" s="202" t="s">
        <v>130</v>
      </c>
    </row>
    <row r="121" spans="1:38" s="73" customFormat="1" ht="13" x14ac:dyDescent="0.15">
      <c r="A121" s="55" t="str">
        <f>IF(B121="","",HYPERLINK("http://reports.ofsted.gov.uk/local-authorities/south-tyneside","Ofsted Local Authority Webpage"))</f>
        <v>Ofsted Local Authority Webpage</v>
      </c>
      <c r="B121" s="55" t="s">
        <v>257</v>
      </c>
      <c r="C121" s="180" t="s">
        <v>309</v>
      </c>
      <c r="D121" s="180" t="s">
        <v>6980</v>
      </c>
      <c r="E121" s="193">
        <v>41075</v>
      </c>
      <c r="F121" s="194" t="s">
        <v>130</v>
      </c>
      <c r="G121" s="195" t="s">
        <v>132</v>
      </c>
      <c r="H121" s="196"/>
      <c r="I121" s="195"/>
      <c r="J121" s="196"/>
      <c r="K121" s="195"/>
      <c r="L121" s="203">
        <v>41449</v>
      </c>
      <c r="M121" s="195" t="s">
        <v>130</v>
      </c>
      <c r="N121" s="196"/>
      <c r="O121" s="195"/>
      <c r="P121" s="197"/>
      <c r="Q121" s="180"/>
      <c r="R121" s="198">
        <v>43063</v>
      </c>
      <c r="S121" s="194" t="s">
        <v>132</v>
      </c>
      <c r="T121" s="194" t="s">
        <v>132</v>
      </c>
      <c r="U121" s="194" t="s">
        <v>132</v>
      </c>
      <c r="V121" s="194" t="s">
        <v>140</v>
      </c>
      <c r="W121" s="194" t="s">
        <v>132</v>
      </c>
      <c r="X121" s="199" t="s">
        <v>132</v>
      </c>
      <c r="Y121" s="200" t="s">
        <v>132</v>
      </c>
      <c r="Z121" s="196"/>
      <c r="AA121" s="194"/>
      <c r="AB121" s="194"/>
      <c r="AC121" s="194"/>
      <c r="AD121" s="194"/>
      <c r="AE121" s="194"/>
      <c r="AF121" s="199"/>
      <c r="AG121" s="187"/>
      <c r="AH121" s="201"/>
      <c r="AI121" s="180"/>
      <c r="AJ121" s="180"/>
      <c r="AK121" s="180"/>
      <c r="AL121" s="202"/>
    </row>
    <row r="122" spans="1:38" s="73" customFormat="1" ht="13" x14ac:dyDescent="0.15">
      <c r="A122" s="55" t="str">
        <f>IF(B122="","",HYPERLINK("http://reports.ofsted.gov.uk/local-authorities/southampton","Ofsted Local Authority Webpage"))</f>
        <v>Ofsted Local Authority Webpage</v>
      </c>
      <c r="B122" s="55" t="s">
        <v>258</v>
      </c>
      <c r="C122" s="180" t="s">
        <v>150</v>
      </c>
      <c r="D122" s="180" t="s">
        <v>6981</v>
      </c>
      <c r="E122" s="193">
        <v>41073</v>
      </c>
      <c r="F122" s="194" t="s">
        <v>130</v>
      </c>
      <c r="G122" s="195" t="s">
        <v>130</v>
      </c>
      <c r="H122" s="196"/>
      <c r="I122" s="195"/>
      <c r="J122" s="196"/>
      <c r="K122" s="195"/>
      <c r="L122" s="196"/>
      <c r="M122" s="195"/>
      <c r="N122" s="196"/>
      <c r="O122" s="195"/>
      <c r="P122" s="197"/>
      <c r="Q122" s="180"/>
      <c r="R122" s="198">
        <v>41897</v>
      </c>
      <c r="S122" s="194" t="s">
        <v>130</v>
      </c>
      <c r="T122" s="194" t="s">
        <v>130</v>
      </c>
      <c r="U122" s="194" t="s">
        <v>130</v>
      </c>
      <c r="V122" s="194" t="s">
        <v>130</v>
      </c>
      <c r="W122" s="194" t="s">
        <v>146</v>
      </c>
      <c r="X122" s="199" t="s">
        <v>130</v>
      </c>
      <c r="Y122" s="200" t="s">
        <v>130</v>
      </c>
      <c r="Z122" s="196"/>
      <c r="AA122" s="194"/>
      <c r="AB122" s="194"/>
      <c r="AC122" s="194"/>
      <c r="AD122" s="194"/>
      <c r="AE122" s="194"/>
      <c r="AF122" s="199"/>
      <c r="AG122" s="187" t="s">
        <v>304</v>
      </c>
      <c r="AH122" s="201">
        <v>43838</v>
      </c>
      <c r="AI122" s="180" t="s">
        <v>130</v>
      </c>
      <c r="AJ122" s="180" t="s">
        <v>130</v>
      </c>
      <c r="AK122" s="180" t="s">
        <v>130</v>
      </c>
      <c r="AL122" s="202" t="s">
        <v>130</v>
      </c>
    </row>
    <row r="123" spans="1:38" s="73" customFormat="1" ht="13" x14ac:dyDescent="0.15">
      <c r="A123" s="55" t="str">
        <f>IF(B123="","",HYPERLINK("https://reports.ofsted.gov.uk/provider/44/80559","Ofsted Local Authority Webpage"))</f>
        <v>Ofsted Local Authority Webpage</v>
      </c>
      <c r="B123" s="55" t="s">
        <v>6985</v>
      </c>
      <c r="C123" s="180" t="s">
        <v>138</v>
      </c>
      <c r="D123" s="180" t="s">
        <v>6981</v>
      </c>
      <c r="E123" s="193">
        <v>41117</v>
      </c>
      <c r="F123" s="194" t="s">
        <v>132</v>
      </c>
      <c r="G123" s="195" t="s">
        <v>132</v>
      </c>
      <c r="H123" s="196"/>
      <c r="I123" s="195"/>
      <c r="J123" s="196"/>
      <c r="K123" s="195"/>
      <c r="L123" s="196"/>
      <c r="M123" s="195"/>
      <c r="N123" s="196"/>
      <c r="O123" s="195"/>
      <c r="P123" s="197"/>
      <c r="Q123" s="180"/>
      <c r="R123" s="198">
        <v>42558</v>
      </c>
      <c r="S123" s="194" t="s">
        <v>130</v>
      </c>
      <c r="T123" s="194" t="s">
        <v>130</v>
      </c>
      <c r="U123" s="194" t="s">
        <v>130</v>
      </c>
      <c r="V123" s="194" t="s">
        <v>132</v>
      </c>
      <c r="W123" s="194" t="s">
        <v>132</v>
      </c>
      <c r="X123" s="199" t="s">
        <v>130</v>
      </c>
      <c r="Y123" s="200" t="s">
        <v>130</v>
      </c>
      <c r="Z123" s="196"/>
      <c r="AA123" s="194"/>
      <c r="AB123" s="194"/>
      <c r="AC123" s="194"/>
      <c r="AD123" s="194"/>
      <c r="AE123" s="194"/>
      <c r="AF123" s="199"/>
      <c r="AG123" s="187"/>
      <c r="AH123" s="201"/>
      <c r="AI123" s="180"/>
      <c r="AJ123" s="180"/>
      <c r="AK123" s="180"/>
      <c r="AL123" s="202"/>
    </row>
    <row r="124" spans="1:38" s="73" customFormat="1" ht="13" x14ac:dyDescent="0.15">
      <c r="A124" s="55" t="str">
        <f>IF(B124="","",HYPERLINK("https://reports.ofsted.gov.uk/provider/44/80514","Ofsted Local Authority Webpage"))</f>
        <v>Ofsted Local Authority Webpage</v>
      </c>
      <c r="B124" s="55" t="s">
        <v>260</v>
      </c>
      <c r="C124" s="180" t="s">
        <v>129</v>
      </c>
      <c r="D124" s="180" t="s">
        <v>6979</v>
      </c>
      <c r="E124" s="193">
        <v>41100</v>
      </c>
      <c r="F124" s="194" t="s">
        <v>132</v>
      </c>
      <c r="G124" s="195" t="s">
        <v>132</v>
      </c>
      <c r="H124" s="196"/>
      <c r="I124" s="195"/>
      <c r="J124" s="196"/>
      <c r="K124" s="195"/>
      <c r="L124" s="196"/>
      <c r="M124" s="195"/>
      <c r="N124" s="196"/>
      <c r="O124" s="195"/>
      <c r="P124" s="197"/>
      <c r="Q124" s="180"/>
      <c r="R124" s="198">
        <v>42899</v>
      </c>
      <c r="S124" s="194" t="s">
        <v>132</v>
      </c>
      <c r="T124" s="194" t="s">
        <v>132</v>
      </c>
      <c r="U124" s="194" t="s">
        <v>130</v>
      </c>
      <c r="V124" s="194" t="s">
        <v>140</v>
      </c>
      <c r="W124" s="194" t="s">
        <v>130</v>
      </c>
      <c r="X124" s="199" t="s">
        <v>132</v>
      </c>
      <c r="Y124" s="200" t="s">
        <v>132</v>
      </c>
      <c r="Z124" s="196"/>
      <c r="AA124" s="194"/>
      <c r="AB124" s="194"/>
      <c r="AC124" s="194"/>
      <c r="AD124" s="194"/>
      <c r="AE124" s="194"/>
      <c r="AF124" s="199"/>
      <c r="AG124" s="187"/>
      <c r="AH124" s="201"/>
      <c r="AI124" s="180"/>
      <c r="AJ124" s="180"/>
      <c r="AK124" s="180"/>
      <c r="AL124" s="202"/>
    </row>
    <row r="125" spans="1:38" s="73" customFormat="1" ht="13" x14ac:dyDescent="0.15">
      <c r="A125" s="55" t="str">
        <f>IF(B125="","",HYPERLINK("https://reports.ofsted.gov.uk/provider/44/80560","Ofsted Local Authority Webpage"))</f>
        <v>Ofsted Local Authority Webpage</v>
      </c>
      <c r="B125" s="55" t="s">
        <v>261</v>
      </c>
      <c r="C125" s="180" t="s">
        <v>144</v>
      </c>
      <c r="D125" s="180" t="s">
        <v>6980</v>
      </c>
      <c r="E125" s="193">
        <v>41131</v>
      </c>
      <c r="F125" s="194" t="s">
        <v>132</v>
      </c>
      <c r="G125" s="195" t="s">
        <v>132</v>
      </c>
      <c r="H125" s="196"/>
      <c r="I125" s="195"/>
      <c r="J125" s="196"/>
      <c r="K125" s="195"/>
      <c r="L125" s="196"/>
      <c r="M125" s="195"/>
      <c r="N125" s="196"/>
      <c r="O125" s="195"/>
      <c r="P125" s="197"/>
      <c r="Q125" s="180"/>
      <c r="R125" s="198">
        <v>42024</v>
      </c>
      <c r="S125" s="194" t="s">
        <v>130</v>
      </c>
      <c r="T125" s="194" t="s">
        <v>130</v>
      </c>
      <c r="U125" s="194" t="s">
        <v>130</v>
      </c>
      <c r="V125" s="194" t="s">
        <v>130</v>
      </c>
      <c r="W125" s="194" t="s">
        <v>130</v>
      </c>
      <c r="X125" s="199" t="s">
        <v>130</v>
      </c>
      <c r="Y125" s="200" t="s">
        <v>130</v>
      </c>
      <c r="Z125" s="196"/>
      <c r="AA125" s="194"/>
      <c r="AB125" s="194"/>
      <c r="AC125" s="194"/>
      <c r="AD125" s="194"/>
      <c r="AE125" s="194"/>
      <c r="AF125" s="199"/>
      <c r="AG125" s="187" t="s">
        <v>304</v>
      </c>
      <c r="AH125" s="201">
        <v>43772</v>
      </c>
      <c r="AI125" s="180" t="s">
        <v>146</v>
      </c>
      <c r="AJ125" s="180" t="s">
        <v>130</v>
      </c>
      <c r="AK125" s="180" t="s">
        <v>130</v>
      </c>
      <c r="AL125" s="202" t="s">
        <v>146</v>
      </c>
    </row>
    <row r="126" spans="1:38" s="73" customFormat="1" ht="13" x14ac:dyDescent="0.15">
      <c r="A126" s="55" t="str">
        <f>IF(B126="","",HYPERLINK("https://reports.ofsted.gov.uk/provider/44/80561","Ofsted Local Authority Webpage"))</f>
        <v>Ofsted Local Authority Webpage</v>
      </c>
      <c r="B126" s="55" t="s">
        <v>262</v>
      </c>
      <c r="C126" s="194" t="s">
        <v>142</v>
      </c>
      <c r="D126" s="180" t="s">
        <v>6983</v>
      </c>
      <c r="E126" s="193">
        <v>40032</v>
      </c>
      <c r="F126" s="194" t="s">
        <v>130</v>
      </c>
      <c r="G126" s="195" t="s">
        <v>130</v>
      </c>
      <c r="H126" s="196"/>
      <c r="I126" s="195"/>
      <c r="J126" s="196"/>
      <c r="K126" s="195"/>
      <c r="L126" s="203">
        <v>41257</v>
      </c>
      <c r="M126" s="195" t="s">
        <v>130</v>
      </c>
      <c r="N126" s="196"/>
      <c r="O126" s="195"/>
      <c r="P126" s="197"/>
      <c r="Q126" s="180"/>
      <c r="R126" s="198">
        <v>41719</v>
      </c>
      <c r="S126" s="194" t="s">
        <v>132</v>
      </c>
      <c r="T126" s="194" t="s">
        <v>132</v>
      </c>
      <c r="U126" s="194" t="s">
        <v>132</v>
      </c>
      <c r="V126" s="194" t="s">
        <v>132</v>
      </c>
      <c r="W126" s="194" t="s">
        <v>132</v>
      </c>
      <c r="X126" s="199" t="s">
        <v>132</v>
      </c>
      <c r="Y126" s="200" t="s">
        <v>132</v>
      </c>
      <c r="Z126" s="196"/>
      <c r="AA126" s="194"/>
      <c r="AB126" s="194"/>
      <c r="AC126" s="194"/>
      <c r="AD126" s="194"/>
      <c r="AE126" s="194"/>
      <c r="AF126" s="199"/>
      <c r="AG126" s="187" t="s">
        <v>303</v>
      </c>
      <c r="AH126" s="201">
        <v>43535</v>
      </c>
      <c r="AI126" s="180" t="s">
        <v>132</v>
      </c>
      <c r="AJ126" s="180" t="s">
        <v>132</v>
      </c>
      <c r="AK126" s="180" t="s">
        <v>130</v>
      </c>
      <c r="AL126" s="202" t="s">
        <v>132</v>
      </c>
    </row>
    <row r="127" spans="1:38" s="73" customFormat="1" ht="13" x14ac:dyDescent="0.15">
      <c r="A127" s="55" t="str">
        <f>IF(B127="","",HYPERLINK("http://reports.ofsted.gov.uk/local-authorities/stockport","Ofsted Local Authority Webpage"))</f>
        <v>Ofsted Local Authority Webpage</v>
      </c>
      <c r="B127" s="55" t="s">
        <v>263</v>
      </c>
      <c r="C127" s="180" t="s">
        <v>144</v>
      </c>
      <c r="D127" s="180" t="s">
        <v>6980</v>
      </c>
      <c r="E127" s="193">
        <v>40991</v>
      </c>
      <c r="F127" s="194" t="s">
        <v>130</v>
      </c>
      <c r="G127" s="195" t="s">
        <v>130</v>
      </c>
      <c r="H127" s="196"/>
      <c r="I127" s="195"/>
      <c r="J127" s="196"/>
      <c r="K127" s="195"/>
      <c r="L127" s="196"/>
      <c r="M127" s="195"/>
      <c r="N127" s="196"/>
      <c r="O127" s="195"/>
      <c r="P127" s="197"/>
      <c r="Q127" s="180"/>
      <c r="R127" s="198">
        <v>42972</v>
      </c>
      <c r="S127" s="194" t="s">
        <v>132</v>
      </c>
      <c r="T127" s="194" t="s">
        <v>132</v>
      </c>
      <c r="U127" s="194" t="s">
        <v>132</v>
      </c>
      <c r="V127" s="194" t="s">
        <v>140</v>
      </c>
      <c r="W127" s="194" t="s">
        <v>132</v>
      </c>
      <c r="X127" s="199" t="s">
        <v>132</v>
      </c>
      <c r="Y127" s="200" t="s">
        <v>130</v>
      </c>
      <c r="Z127" s="196"/>
      <c r="AA127" s="194"/>
      <c r="AB127" s="194"/>
      <c r="AC127" s="194"/>
      <c r="AD127" s="194"/>
      <c r="AE127" s="194"/>
      <c r="AF127" s="199"/>
      <c r="AG127" s="187"/>
      <c r="AH127" s="201"/>
      <c r="AI127" s="180"/>
      <c r="AJ127" s="180"/>
      <c r="AK127" s="180"/>
      <c r="AL127" s="202"/>
    </row>
    <row r="128" spans="1:38" s="73" customFormat="1" ht="13" x14ac:dyDescent="0.15">
      <c r="A128" s="55" t="str">
        <f>IF(B128="","",HYPERLINK("https://reports.ofsted.gov.uk/provider/44/80563","Ofsted Local Authority Webpage"))</f>
        <v>Ofsted Local Authority Webpage</v>
      </c>
      <c r="B128" s="55" t="s">
        <v>264</v>
      </c>
      <c r="C128" s="180" t="s">
        <v>309</v>
      </c>
      <c r="D128" s="180" t="s">
        <v>6981</v>
      </c>
      <c r="E128" s="193">
        <v>40473</v>
      </c>
      <c r="F128" s="194" t="s">
        <v>130</v>
      </c>
      <c r="G128" s="195" t="s">
        <v>132</v>
      </c>
      <c r="H128" s="196"/>
      <c r="I128" s="195"/>
      <c r="J128" s="196"/>
      <c r="K128" s="195"/>
      <c r="L128" s="203">
        <v>41320</v>
      </c>
      <c r="M128" s="195" t="s">
        <v>130</v>
      </c>
      <c r="N128" s="196"/>
      <c r="O128" s="195"/>
      <c r="P128" s="197"/>
      <c r="Q128" s="180"/>
      <c r="R128" s="198">
        <v>42587</v>
      </c>
      <c r="S128" s="194" t="s">
        <v>132</v>
      </c>
      <c r="T128" s="194" t="s">
        <v>132</v>
      </c>
      <c r="U128" s="194" t="s">
        <v>130</v>
      </c>
      <c r="V128" s="194" t="s">
        <v>130</v>
      </c>
      <c r="W128" s="194" t="s">
        <v>140</v>
      </c>
      <c r="X128" s="199" t="s">
        <v>132</v>
      </c>
      <c r="Y128" s="200" t="s">
        <v>130</v>
      </c>
      <c r="Z128" s="196"/>
      <c r="AA128" s="194"/>
      <c r="AB128" s="194"/>
      <c r="AC128" s="194"/>
      <c r="AD128" s="194"/>
      <c r="AE128" s="194"/>
      <c r="AF128" s="199"/>
      <c r="AG128" s="187" t="s">
        <v>303</v>
      </c>
      <c r="AH128" s="201">
        <v>43647</v>
      </c>
      <c r="AI128" s="180" t="s">
        <v>130</v>
      </c>
      <c r="AJ128" s="180" t="s">
        <v>130</v>
      </c>
      <c r="AK128" s="180" t="s">
        <v>130</v>
      </c>
      <c r="AL128" s="202" t="s">
        <v>130</v>
      </c>
    </row>
    <row r="129" spans="1:38" s="73" customFormat="1" ht="13" x14ac:dyDescent="0.15">
      <c r="A129" s="55" t="str">
        <f>IF(B129="","",HYPERLINK("http://reports.ofsted.gov.uk/local-authorities/stoke-trent","Ofsted Local Authority Webpage"))</f>
        <v>Ofsted Local Authority Webpage</v>
      </c>
      <c r="B129" s="55" t="s">
        <v>265</v>
      </c>
      <c r="C129" s="194" t="s">
        <v>142</v>
      </c>
      <c r="D129" s="180" t="s">
        <v>6981</v>
      </c>
      <c r="E129" s="193">
        <v>40767</v>
      </c>
      <c r="F129" s="194" t="s">
        <v>130</v>
      </c>
      <c r="G129" s="195" t="s">
        <v>130</v>
      </c>
      <c r="H129" s="196"/>
      <c r="I129" s="195"/>
      <c r="J129" s="196"/>
      <c r="K129" s="195"/>
      <c r="L129" s="196"/>
      <c r="M129" s="195"/>
      <c r="N129" s="196"/>
      <c r="O129" s="195"/>
      <c r="P129" s="197"/>
      <c r="Q129" s="180"/>
      <c r="R129" s="198">
        <v>42226</v>
      </c>
      <c r="S129" s="194" t="s">
        <v>130</v>
      </c>
      <c r="T129" s="194" t="s">
        <v>130</v>
      </c>
      <c r="U129" s="194" t="s">
        <v>130</v>
      </c>
      <c r="V129" s="194" t="s">
        <v>132</v>
      </c>
      <c r="W129" s="194" t="s">
        <v>130</v>
      </c>
      <c r="X129" s="199" t="s">
        <v>130</v>
      </c>
      <c r="Y129" s="200" t="s">
        <v>130</v>
      </c>
      <c r="Z129" s="196"/>
      <c r="AA129" s="194"/>
      <c r="AB129" s="194"/>
      <c r="AC129" s="194"/>
      <c r="AD129" s="194"/>
      <c r="AE129" s="194"/>
      <c r="AF129" s="199"/>
      <c r="AG129" s="187" t="s">
        <v>304</v>
      </c>
      <c r="AH129" s="201">
        <v>43542</v>
      </c>
      <c r="AI129" s="180" t="s">
        <v>146</v>
      </c>
      <c r="AJ129" s="180" t="s">
        <v>146</v>
      </c>
      <c r="AK129" s="180" t="s">
        <v>146</v>
      </c>
      <c r="AL129" s="202" t="s">
        <v>146</v>
      </c>
    </row>
    <row r="130" spans="1:38" s="73" customFormat="1" ht="13" x14ac:dyDescent="0.15">
      <c r="A130" s="55" t="str">
        <f>IF(B130="","",HYPERLINK("http://reports.ofsted.gov.uk/local-authorities/suffolk","Ofsted Local Authority Webpage"))</f>
        <v>Ofsted Local Authority Webpage</v>
      </c>
      <c r="B130" s="55" t="s">
        <v>266</v>
      </c>
      <c r="C130" s="180" t="s">
        <v>138</v>
      </c>
      <c r="D130" s="180" t="s">
        <v>6983</v>
      </c>
      <c r="E130" s="193">
        <v>40522</v>
      </c>
      <c r="F130" s="194" t="s">
        <v>130</v>
      </c>
      <c r="G130" s="195" t="s">
        <v>130</v>
      </c>
      <c r="H130" s="196"/>
      <c r="I130" s="195"/>
      <c r="J130" s="196"/>
      <c r="K130" s="195"/>
      <c r="L130" s="203">
        <v>41437</v>
      </c>
      <c r="M130" s="195" t="s">
        <v>130</v>
      </c>
      <c r="N130" s="196"/>
      <c r="O130" s="195"/>
      <c r="P130" s="197"/>
      <c r="Q130" s="180"/>
      <c r="R130" s="198">
        <v>42411</v>
      </c>
      <c r="S130" s="194" t="s">
        <v>132</v>
      </c>
      <c r="T130" s="194" t="s">
        <v>130</v>
      </c>
      <c r="U130" s="194" t="s">
        <v>132</v>
      </c>
      <c r="V130" s="194" t="s">
        <v>132</v>
      </c>
      <c r="W130" s="194" t="s">
        <v>130</v>
      </c>
      <c r="X130" s="199" t="s">
        <v>132</v>
      </c>
      <c r="Y130" s="200" t="s">
        <v>132</v>
      </c>
      <c r="Z130" s="196"/>
      <c r="AA130" s="194"/>
      <c r="AB130" s="194"/>
      <c r="AC130" s="194"/>
      <c r="AD130" s="194"/>
      <c r="AE130" s="194"/>
      <c r="AF130" s="199"/>
      <c r="AG130" s="187" t="s">
        <v>303</v>
      </c>
      <c r="AH130" s="201">
        <v>43606</v>
      </c>
      <c r="AI130" s="180" t="s">
        <v>140</v>
      </c>
      <c r="AJ130" s="180" t="s">
        <v>140</v>
      </c>
      <c r="AK130" s="180" t="s">
        <v>140</v>
      </c>
      <c r="AL130" s="202" t="s">
        <v>132</v>
      </c>
    </row>
    <row r="131" spans="1:38" s="73" customFormat="1" ht="13" x14ac:dyDescent="0.15">
      <c r="A131" s="55" t="str">
        <f>IF(B131="","",HYPERLINK("http://reports.ofsted.gov.uk/local-authorities/sunderland","Ofsted Local Authority Webpage"))</f>
        <v>Ofsted Local Authority Webpage</v>
      </c>
      <c r="B131" s="55" t="s">
        <v>267</v>
      </c>
      <c r="C131" s="180" t="s">
        <v>309</v>
      </c>
      <c r="D131" s="194" t="s">
        <v>6980</v>
      </c>
      <c r="E131" s="193">
        <v>41009</v>
      </c>
      <c r="F131" s="194" t="s">
        <v>132</v>
      </c>
      <c r="G131" s="195" t="s">
        <v>132</v>
      </c>
      <c r="H131" s="196"/>
      <c r="I131" s="195"/>
      <c r="J131" s="196"/>
      <c r="K131" s="195"/>
      <c r="L131" s="196"/>
      <c r="M131" s="195"/>
      <c r="N131" s="196"/>
      <c r="O131" s="195"/>
      <c r="P131" s="197"/>
      <c r="Q131" s="180"/>
      <c r="R131" s="198">
        <v>42205</v>
      </c>
      <c r="S131" s="194" t="s">
        <v>146</v>
      </c>
      <c r="T131" s="194" t="s">
        <v>146</v>
      </c>
      <c r="U131" s="194" t="s">
        <v>146</v>
      </c>
      <c r="V131" s="194" t="s">
        <v>146</v>
      </c>
      <c r="W131" s="194" t="s">
        <v>146</v>
      </c>
      <c r="X131" s="199" t="s">
        <v>146</v>
      </c>
      <c r="Y131" s="200" t="s">
        <v>146</v>
      </c>
      <c r="Z131" s="213">
        <v>43306</v>
      </c>
      <c r="AA131" s="214" t="s">
        <v>146</v>
      </c>
      <c r="AB131" s="214" t="s">
        <v>146</v>
      </c>
      <c r="AC131" s="214" t="s">
        <v>130</v>
      </c>
      <c r="AD131" s="214" t="s">
        <v>132</v>
      </c>
      <c r="AE131" s="214" t="s">
        <v>130</v>
      </c>
      <c r="AF131" s="215" t="s">
        <v>146</v>
      </c>
      <c r="AG131" s="187" t="s">
        <v>304</v>
      </c>
      <c r="AH131" s="201">
        <v>44427</v>
      </c>
      <c r="AI131" s="180" t="s">
        <v>140</v>
      </c>
      <c r="AJ131" s="180" t="s">
        <v>140</v>
      </c>
      <c r="AK131" s="180" t="s">
        <v>132</v>
      </c>
      <c r="AL131" s="202" t="s">
        <v>140</v>
      </c>
    </row>
    <row r="132" spans="1:38" s="73" customFormat="1" ht="14" x14ac:dyDescent="0.15">
      <c r="A132" s="55" t="str">
        <f>IF(B132="","",HYPERLINK("https://reports.ofsted.gov.uk/provider/44/80567","Ofsted Local Authority Webpage"))</f>
        <v>Ofsted Local Authority Webpage</v>
      </c>
      <c r="B132" s="55" t="s">
        <v>268</v>
      </c>
      <c r="C132" s="180" t="s">
        <v>150</v>
      </c>
      <c r="D132" s="206" t="s">
        <v>6983</v>
      </c>
      <c r="E132" s="193">
        <v>40469</v>
      </c>
      <c r="F132" s="194" t="s">
        <v>130</v>
      </c>
      <c r="G132" s="195" t="s">
        <v>130</v>
      </c>
      <c r="H132" s="196"/>
      <c r="I132" s="195"/>
      <c r="J132" s="196"/>
      <c r="K132" s="195"/>
      <c r="L132" s="203">
        <v>41201</v>
      </c>
      <c r="M132" s="195" t="s">
        <v>130</v>
      </c>
      <c r="N132" s="196"/>
      <c r="O132" s="195"/>
      <c r="P132" s="197"/>
      <c r="Q132" s="180"/>
      <c r="R132" s="198">
        <v>42158</v>
      </c>
      <c r="S132" s="194" t="s">
        <v>146</v>
      </c>
      <c r="T132" s="194" t="s">
        <v>146</v>
      </c>
      <c r="U132" s="194" t="s">
        <v>130</v>
      </c>
      <c r="V132" s="194" t="s">
        <v>132</v>
      </c>
      <c r="W132" s="194" t="s">
        <v>130</v>
      </c>
      <c r="X132" s="199" t="s">
        <v>146</v>
      </c>
      <c r="Y132" s="200" t="s">
        <v>130</v>
      </c>
      <c r="Z132" s="203">
        <v>43236</v>
      </c>
      <c r="AA132" s="194" t="s">
        <v>146</v>
      </c>
      <c r="AB132" s="194" t="s">
        <v>146</v>
      </c>
      <c r="AC132" s="194" t="s">
        <v>130</v>
      </c>
      <c r="AD132" s="194" t="s">
        <v>132</v>
      </c>
      <c r="AE132" s="194" t="s">
        <v>130</v>
      </c>
      <c r="AF132" s="199" t="s">
        <v>146</v>
      </c>
      <c r="AG132" s="187" t="s">
        <v>304</v>
      </c>
      <c r="AH132" s="201">
        <v>44628</v>
      </c>
      <c r="AI132" s="180" t="s">
        <v>130</v>
      </c>
      <c r="AJ132" s="180" t="s">
        <v>130</v>
      </c>
      <c r="AK132" s="180" t="s">
        <v>130</v>
      </c>
      <c r="AL132" s="202" t="s">
        <v>130</v>
      </c>
    </row>
    <row r="133" spans="1:38" s="73" customFormat="1" ht="13" x14ac:dyDescent="0.15">
      <c r="A133" s="55" t="str">
        <f>IF(B133="","",HYPERLINK("https://reports.ofsted.gov.uk/provider/44/80515","Ofsted Local Authority Webpage"))</f>
        <v>Ofsted Local Authority Webpage</v>
      </c>
      <c r="B133" s="55" t="s">
        <v>269</v>
      </c>
      <c r="C133" s="180" t="s">
        <v>129</v>
      </c>
      <c r="D133" s="180" t="s">
        <v>6979</v>
      </c>
      <c r="E133" s="193">
        <v>41058</v>
      </c>
      <c r="F133" s="194" t="s">
        <v>146</v>
      </c>
      <c r="G133" s="195" t="s">
        <v>130</v>
      </c>
      <c r="H133" s="196"/>
      <c r="I133" s="195"/>
      <c r="J133" s="196"/>
      <c r="K133" s="195"/>
      <c r="L133" s="203">
        <v>41449</v>
      </c>
      <c r="M133" s="195" t="s">
        <v>130</v>
      </c>
      <c r="N133" s="196"/>
      <c r="O133" s="195"/>
      <c r="P133" s="197"/>
      <c r="Q133" s="180"/>
      <c r="R133" s="198">
        <v>42779</v>
      </c>
      <c r="S133" s="194" t="s">
        <v>132</v>
      </c>
      <c r="T133" s="194" t="s">
        <v>132</v>
      </c>
      <c r="U133" s="194" t="s">
        <v>132</v>
      </c>
      <c r="V133" s="194" t="s">
        <v>132</v>
      </c>
      <c r="W133" s="194" t="s">
        <v>130</v>
      </c>
      <c r="X133" s="199" t="s">
        <v>132</v>
      </c>
      <c r="Y133" s="200" t="s">
        <v>132</v>
      </c>
      <c r="Z133" s="196"/>
      <c r="AA133" s="194"/>
      <c r="AB133" s="194"/>
      <c r="AC133" s="194"/>
      <c r="AD133" s="194"/>
      <c r="AE133" s="194"/>
      <c r="AF133" s="199"/>
      <c r="AG133" s="187" t="s">
        <v>303</v>
      </c>
      <c r="AH133" s="201">
        <v>44563</v>
      </c>
      <c r="AI133" s="180" t="s">
        <v>132</v>
      </c>
      <c r="AJ133" s="180" t="s">
        <v>140</v>
      </c>
      <c r="AK133" s="180" t="s">
        <v>132</v>
      </c>
      <c r="AL133" s="202" t="s">
        <v>132</v>
      </c>
    </row>
    <row r="134" spans="1:38" s="73" customFormat="1" ht="13" x14ac:dyDescent="0.15">
      <c r="A134" s="55" t="str">
        <f>IF(B134="","",HYPERLINK("http://reports.ofsted.gov.uk/local-authorities/swindon","Ofsted Local Authority Webpage"))</f>
        <v>Ofsted Local Authority Webpage</v>
      </c>
      <c r="B134" s="55" t="s">
        <v>270</v>
      </c>
      <c r="C134" s="194" t="s">
        <v>136</v>
      </c>
      <c r="D134" s="180" t="s">
        <v>6981</v>
      </c>
      <c r="E134" s="193">
        <v>40185</v>
      </c>
      <c r="F134" s="194" t="s">
        <v>132</v>
      </c>
      <c r="G134" s="195" t="s">
        <v>132</v>
      </c>
      <c r="H134" s="196"/>
      <c r="I134" s="195"/>
      <c r="J134" s="196"/>
      <c r="K134" s="195"/>
      <c r="L134" s="196"/>
      <c r="M134" s="195"/>
      <c r="N134" s="196"/>
      <c r="O134" s="195"/>
      <c r="P134" s="197"/>
      <c r="Q134" s="180"/>
      <c r="R134" s="198">
        <v>41782</v>
      </c>
      <c r="S134" s="194" t="s">
        <v>130</v>
      </c>
      <c r="T134" s="194" t="s">
        <v>130</v>
      </c>
      <c r="U134" s="194" t="s">
        <v>130</v>
      </c>
      <c r="V134" s="194" t="s">
        <v>132</v>
      </c>
      <c r="W134" s="194" t="s">
        <v>130</v>
      </c>
      <c r="X134" s="199" t="s">
        <v>130</v>
      </c>
      <c r="Y134" s="200" t="s">
        <v>132</v>
      </c>
      <c r="Z134" s="196"/>
      <c r="AA134" s="194"/>
      <c r="AB134" s="194"/>
      <c r="AC134" s="194"/>
      <c r="AD134" s="194"/>
      <c r="AE134" s="194"/>
      <c r="AF134" s="199"/>
      <c r="AG134" s="187" t="s">
        <v>304</v>
      </c>
      <c r="AH134" s="201">
        <v>43688</v>
      </c>
      <c r="AI134" s="180" t="s">
        <v>132</v>
      </c>
      <c r="AJ134" s="180" t="s">
        <v>132</v>
      </c>
      <c r="AK134" s="180" t="s">
        <v>132</v>
      </c>
      <c r="AL134" s="202" t="s">
        <v>130</v>
      </c>
    </row>
    <row r="135" spans="1:38" s="73" customFormat="1" ht="13" x14ac:dyDescent="0.15">
      <c r="A135" s="55" t="str">
        <f>IF(B135="","",HYPERLINK("http://reports.ofsted.gov.uk/local-authorities/tameside","Ofsted Local Authority Webpage"))</f>
        <v>Ofsted Local Authority Webpage</v>
      </c>
      <c r="B135" s="55" t="s">
        <v>271</v>
      </c>
      <c r="C135" s="180" t="s">
        <v>144</v>
      </c>
      <c r="D135" s="180" t="s">
        <v>6980</v>
      </c>
      <c r="E135" s="193">
        <v>41043</v>
      </c>
      <c r="F135" s="194" t="s">
        <v>130</v>
      </c>
      <c r="G135" s="195" t="s">
        <v>132</v>
      </c>
      <c r="H135" s="196"/>
      <c r="I135" s="195"/>
      <c r="J135" s="196"/>
      <c r="K135" s="195"/>
      <c r="L135" s="196"/>
      <c r="M135" s="195"/>
      <c r="N135" s="196"/>
      <c r="O135" s="195"/>
      <c r="P135" s="197"/>
      <c r="Q135" s="180"/>
      <c r="R135" s="198">
        <v>42713</v>
      </c>
      <c r="S135" s="194" t="s">
        <v>146</v>
      </c>
      <c r="T135" s="194" t="s">
        <v>146</v>
      </c>
      <c r="U135" s="194" t="s">
        <v>130</v>
      </c>
      <c r="V135" s="194" t="s">
        <v>132</v>
      </c>
      <c r="W135" s="194" t="s">
        <v>130</v>
      </c>
      <c r="X135" s="199" t="s">
        <v>146</v>
      </c>
      <c r="Y135" s="200" t="s">
        <v>130</v>
      </c>
      <c r="Z135" s="196"/>
      <c r="AA135" s="194"/>
      <c r="AB135" s="194"/>
      <c r="AC135" s="194"/>
      <c r="AD135" s="194"/>
      <c r="AE135" s="194"/>
      <c r="AF135" s="199"/>
      <c r="AG135" s="187" t="s">
        <v>304</v>
      </c>
      <c r="AH135" s="201">
        <v>43646</v>
      </c>
      <c r="AI135" s="180" t="s">
        <v>130</v>
      </c>
      <c r="AJ135" s="180" t="s">
        <v>130</v>
      </c>
      <c r="AK135" s="180" t="s">
        <v>130</v>
      </c>
      <c r="AL135" s="202" t="s">
        <v>130</v>
      </c>
    </row>
    <row r="136" spans="1:38" s="73" customFormat="1" ht="13" x14ac:dyDescent="0.15">
      <c r="A136" s="55" t="str">
        <f>IF(B136="","",HYPERLINK("http://reports.ofsted.gov.uk/local-authorities/telford-and-wrekin","Ofsted Local Authority Webpage"))</f>
        <v>Ofsted Local Authority Webpage</v>
      </c>
      <c r="B136" s="55" t="s">
        <v>272</v>
      </c>
      <c r="C136" s="194" t="s">
        <v>142</v>
      </c>
      <c r="D136" s="180" t="s">
        <v>6981</v>
      </c>
      <c r="E136" s="193">
        <v>41131</v>
      </c>
      <c r="F136" s="194" t="s">
        <v>130</v>
      </c>
      <c r="G136" s="195" t="s">
        <v>130</v>
      </c>
      <c r="H136" s="196"/>
      <c r="I136" s="195"/>
      <c r="J136" s="196"/>
      <c r="K136" s="195"/>
      <c r="L136" s="196"/>
      <c r="M136" s="195"/>
      <c r="N136" s="196"/>
      <c r="O136" s="195"/>
      <c r="P136" s="197"/>
      <c r="Q136" s="180"/>
      <c r="R136" s="198">
        <v>42608</v>
      </c>
      <c r="S136" s="194" t="s">
        <v>130</v>
      </c>
      <c r="T136" s="194" t="s">
        <v>130</v>
      </c>
      <c r="U136" s="194" t="s">
        <v>130</v>
      </c>
      <c r="V136" s="194" t="s">
        <v>132</v>
      </c>
      <c r="W136" s="194" t="s">
        <v>132</v>
      </c>
      <c r="X136" s="199" t="s">
        <v>130</v>
      </c>
      <c r="Y136" s="200" t="s">
        <v>132</v>
      </c>
      <c r="Z136" s="196"/>
      <c r="AA136" s="194"/>
      <c r="AB136" s="194"/>
      <c r="AC136" s="194"/>
      <c r="AD136" s="194"/>
      <c r="AE136" s="194"/>
      <c r="AF136" s="199"/>
      <c r="AG136" s="187" t="s">
        <v>304</v>
      </c>
      <c r="AH136" s="201">
        <v>43891</v>
      </c>
      <c r="AI136" s="180" t="s">
        <v>140</v>
      </c>
      <c r="AJ136" s="180" t="s">
        <v>140</v>
      </c>
      <c r="AK136" s="180" t="s">
        <v>132</v>
      </c>
      <c r="AL136" s="202" t="s">
        <v>140</v>
      </c>
    </row>
    <row r="137" spans="1:38" s="73" customFormat="1" ht="13" x14ac:dyDescent="0.15">
      <c r="A137" s="55" t="str">
        <f>IF(B137="","",HYPERLINK("https://reports.ofsted.gov.uk/provider/44/80571","Ofsted Local Authority Webpage"))</f>
        <v>Ofsted Local Authority Webpage</v>
      </c>
      <c r="B137" s="55" t="s">
        <v>273</v>
      </c>
      <c r="C137" s="180" t="s">
        <v>138</v>
      </c>
      <c r="D137" s="194" t="s">
        <v>6981</v>
      </c>
      <c r="E137" s="193">
        <v>41117</v>
      </c>
      <c r="F137" s="194" t="s">
        <v>132</v>
      </c>
      <c r="G137" s="195" t="s">
        <v>132</v>
      </c>
      <c r="H137" s="196"/>
      <c r="I137" s="195"/>
      <c r="J137" s="196"/>
      <c r="K137" s="195"/>
      <c r="L137" s="196"/>
      <c r="M137" s="195"/>
      <c r="N137" s="196"/>
      <c r="O137" s="195"/>
      <c r="P137" s="197"/>
      <c r="Q137" s="180"/>
      <c r="R137" s="198">
        <v>42514</v>
      </c>
      <c r="S137" s="194" t="s">
        <v>130</v>
      </c>
      <c r="T137" s="194" t="s">
        <v>130</v>
      </c>
      <c r="U137" s="194" t="s">
        <v>130</v>
      </c>
      <c r="V137" s="194" t="s">
        <v>130</v>
      </c>
      <c r="W137" s="194" t="s">
        <v>130</v>
      </c>
      <c r="X137" s="199" t="s">
        <v>130</v>
      </c>
      <c r="Y137" s="200" t="s">
        <v>132</v>
      </c>
      <c r="Z137" s="196"/>
      <c r="AA137" s="194"/>
      <c r="AB137" s="194"/>
      <c r="AC137" s="194"/>
      <c r="AD137" s="194"/>
      <c r="AE137" s="194"/>
      <c r="AF137" s="199"/>
      <c r="AG137" s="187" t="s">
        <v>304</v>
      </c>
      <c r="AH137" s="201">
        <v>43818</v>
      </c>
      <c r="AI137" s="180" t="s">
        <v>132</v>
      </c>
      <c r="AJ137" s="180" t="s">
        <v>132</v>
      </c>
      <c r="AK137" s="180" t="s">
        <v>132</v>
      </c>
      <c r="AL137" s="202" t="s">
        <v>132</v>
      </c>
    </row>
    <row r="138" spans="1:38" s="73" customFormat="1" ht="13" x14ac:dyDescent="0.15">
      <c r="A138" s="55" t="str">
        <f>IF(B138="","",HYPERLINK("http://reports.ofsted.gov.uk/local-authorities/torbay","Ofsted Local Authority Webpage"))</f>
        <v>Ofsted Local Authority Webpage</v>
      </c>
      <c r="B138" s="55" t="s">
        <v>274</v>
      </c>
      <c r="C138" s="194" t="s">
        <v>136</v>
      </c>
      <c r="D138" s="180" t="s">
        <v>6981</v>
      </c>
      <c r="E138" s="193">
        <v>40473</v>
      </c>
      <c r="F138" s="194" t="s">
        <v>146</v>
      </c>
      <c r="G138" s="195" t="s">
        <v>130</v>
      </c>
      <c r="H138" s="196"/>
      <c r="I138" s="195"/>
      <c r="J138" s="196"/>
      <c r="K138" s="195"/>
      <c r="L138" s="203">
        <v>41373</v>
      </c>
      <c r="M138" s="195" t="s">
        <v>130</v>
      </c>
      <c r="N138" s="196"/>
      <c r="O138" s="195"/>
      <c r="P138" s="197"/>
      <c r="Q138" s="180"/>
      <c r="R138" s="198">
        <v>42374</v>
      </c>
      <c r="S138" s="194" t="s">
        <v>146</v>
      </c>
      <c r="T138" s="194" t="s">
        <v>146</v>
      </c>
      <c r="U138" s="194" t="s">
        <v>130</v>
      </c>
      <c r="V138" s="194" t="s">
        <v>130</v>
      </c>
      <c r="W138" s="194" t="s">
        <v>130</v>
      </c>
      <c r="X138" s="199" t="s">
        <v>146</v>
      </c>
      <c r="Y138" s="200" t="s">
        <v>146</v>
      </c>
      <c r="Z138" s="213">
        <v>43336</v>
      </c>
      <c r="AA138" s="214" t="s">
        <v>146</v>
      </c>
      <c r="AB138" s="214" t="s">
        <v>146</v>
      </c>
      <c r="AC138" s="214" t="s">
        <v>130</v>
      </c>
      <c r="AD138" s="214" t="s">
        <v>132</v>
      </c>
      <c r="AE138" s="214" t="s">
        <v>130</v>
      </c>
      <c r="AF138" s="215" t="s">
        <v>146</v>
      </c>
      <c r="AG138" s="187"/>
      <c r="AH138" s="201"/>
      <c r="AI138" s="180"/>
      <c r="AJ138" s="180"/>
      <c r="AK138" s="180"/>
      <c r="AL138" s="202"/>
    </row>
    <row r="139" spans="1:38" s="73" customFormat="1" ht="13" x14ac:dyDescent="0.15">
      <c r="A139" s="55" t="str">
        <f>IF(B139="","",HYPERLINK("http://reports.ofsted.gov.uk/local-authorities/tower-hamlets","Ofsted Local Authority Webpage"))</f>
        <v>Ofsted Local Authority Webpage</v>
      </c>
      <c r="B139" s="55" t="s">
        <v>275</v>
      </c>
      <c r="C139" s="180" t="s">
        <v>129</v>
      </c>
      <c r="D139" s="180" t="s">
        <v>6979</v>
      </c>
      <c r="E139" s="193">
        <v>41117</v>
      </c>
      <c r="F139" s="194" t="s">
        <v>132</v>
      </c>
      <c r="G139" s="195" t="s">
        <v>132</v>
      </c>
      <c r="H139" s="196"/>
      <c r="I139" s="195"/>
      <c r="J139" s="196"/>
      <c r="K139" s="195"/>
      <c r="L139" s="196"/>
      <c r="M139" s="195"/>
      <c r="N139" s="196"/>
      <c r="O139" s="195"/>
      <c r="P139" s="197"/>
      <c r="Q139" s="180"/>
      <c r="R139" s="198">
        <v>42832</v>
      </c>
      <c r="S139" s="194" t="s">
        <v>146</v>
      </c>
      <c r="T139" s="194" t="s">
        <v>146</v>
      </c>
      <c r="U139" s="194" t="s">
        <v>130</v>
      </c>
      <c r="V139" s="194" t="s">
        <v>130</v>
      </c>
      <c r="W139" s="194" t="s">
        <v>130</v>
      </c>
      <c r="X139" s="199" t="s">
        <v>146</v>
      </c>
      <c r="Y139" s="200" t="s">
        <v>146</v>
      </c>
      <c r="Z139" s="196"/>
      <c r="AA139" s="194"/>
      <c r="AB139" s="194"/>
      <c r="AC139" s="194"/>
      <c r="AD139" s="194"/>
      <c r="AE139" s="194"/>
      <c r="AF139" s="199"/>
      <c r="AG139" s="187" t="s">
        <v>304</v>
      </c>
      <c r="AH139" s="201">
        <v>43667</v>
      </c>
      <c r="AI139" s="180" t="s">
        <v>132</v>
      </c>
      <c r="AJ139" s="180" t="s">
        <v>132</v>
      </c>
      <c r="AK139" s="180" t="s">
        <v>132</v>
      </c>
      <c r="AL139" s="202" t="s">
        <v>132</v>
      </c>
    </row>
    <row r="140" spans="1:38" s="73" customFormat="1" ht="13" x14ac:dyDescent="0.15">
      <c r="A140" s="55" t="str">
        <f>IF(B140="","",HYPERLINK("http://reports.ofsted.gov.uk/local-authorities/trafford","Ofsted Local Authority Webpage"))</f>
        <v>Ofsted Local Authority Webpage</v>
      </c>
      <c r="B140" s="55" t="s">
        <v>276</v>
      </c>
      <c r="C140" s="180" t="s">
        <v>144</v>
      </c>
      <c r="D140" s="180" t="s">
        <v>6980</v>
      </c>
      <c r="E140" s="193">
        <v>40322</v>
      </c>
      <c r="F140" s="194" t="s">
        <v>132</v>
      </c>
      <c r="G140" s="195" t="s">
        <v>132</v>
      </c>
      <c r="H140" s="196"/>
      <c r="I140" s="195"/>
      <c r="J140" s="196"/>
      <c r="K140" s="195"/>
      <c r="L140" s="196"/>
      <c r="M140" s="195"/>
      <c r="N140" s="196"/>
      <c r="O140" s="195"/>
      <c r="P140" s="197"/>
      <c r="Q140" s="180"/>
      <c r="R140" s="198">
        <v>42136</v>
      </c>
      <c r="S140" s="194" t="s">
        <v>132</v>
      </c>
      <c r="T140" s="194" t="s">
        <v>132</v>
      </c>
      <c r="U140" s="194" t="s">
        <v>132</v>
      </c>
      <c r="V140" s="194" t="s">
        <v>132</v>
      </c>
      <c r="W140" s="194" t="s">
        <v>140</v>
      </c>
      <c r="X140" s="199" t="s">
        <v>140</v>
      </c>
      <c r="Y140" s="200" t="s">
        <v>132</v>
      </c>
      <c r="Z140" s="196"/>
      <c r="AA140" s="194"/>
      <c r="AB140" s="194"/>
      <c r="AC140" s="194"/>
      <c r="AD140" s="194"/>
      <c r="AE140" s="194"/>
      <c r="AF140" s="199"/>
      <c r="AG140" s="187" t="s">
        <v>303</v>
      </c>
      <c r="AH140" s="201">
        <v>43593</v>
      </c>
      <c r="AI140" s="180" t="s">
        <v>146</v>
      </c>
      <c r="AJ140" s="180" t="s">
        <v>146</v>
      </c>
      <c r="AK140" s="180" t="s">
        <v>130</v>
      </c>
      <c r="AL140" s="202" t="s">
        <v>130</v>
      </c>
    </row>
    <row r="141" spans="1:38" s="73" customFormat="1" ht="13" x14ac:dyDescent="0.15">
      <c r="A141" s="55" t="str">
        <f>IF(B141="","",HYPERLINK("http://reports.ofsted.gov.uk/local-authorities/wakefield","Ofsted Local Authority Webpage"))</f>
        <v>Ofsted Local Authority Webpage</v>
      </c>
      <c r="B141" s="55" t="s">
        <v>277</v>
      </c>
      <c r="C141" s="180" t="s">
        <v>309</v>
      </c>
      <c r="D141" s="194" t="s">
        <v>6980</v>
      </c>
      <c r="E141" s="193">
        <v>40569</v>
      </c>
      <c r="F141" s="194" t="s">
        <v>130</v>
      </c>
      <c r="G141" s="195" t="s">
        <v>132</v>
      </c>
      <c r="H141" s="196"/>
      <c r="I141" s="195"/>
      <c r="J141" s="196"/>
      <c r="K141" s="195"/>
      <c r="L141" s="203">
        <v>41250</v>
      </c>
      <c r="M141" s="195" t="s">
        <v>130</v>
      </c>
      <c r="N141" s="196"/>
      <c r="O141" s="195"/>
      <c r="P141" s="197"/>
      <c r="Q141" s="180"/>
      <c r="R141" s="198">
        <v>42633</v>
      </c>
      <c r="S141" s="194" t="s">
        <v>130</v>
      </c>
      <c r="T141" s="194" t="s">
        <v>130</v>
      </c>
      <c r="U141" s="194" t="s">
        <v>130</v>
      </c>
      <c r="V141" s="194" t="s">
        <v>132</v>
      </c>
      <c r="W141" s="194" t="s">
        <v>132</v>
      </c>
      <c r="X141" s="199" t="s">
        <v>130</v>
      </c>
      <c r="Y141" s="200" t="s">
        <v>132</v>
      </c>
      <c r="Z141" s="196"/>
      <c r="AA141" s="194"/>
      <c r="AB141" s="194"/>
      <c r="AC141" s="194"/>
      <c r="AD141" s="194"/>
      <c r="AE141" s="194"/>
      <c r="AF141" s="199"/>
      <c r="AG141" s="187" t="s">
        <v>304</v>
      </c>
      <c r="AH141" s="201">
        <v>44566</v>
      </c>
      <c r="AI141" s="180" t="s">
        <v>132</v>
      </c>
      <c r="AJ141" s="180" t="s">
        <v>140</v>
      </c>
      <c r="AK141" s="180" t="s">
        <v>132</v>
      </c>
      <c r="AL141" s="202" t="s">
        <v>132</v>
      </c>
    </row>
    <row r="142" spans="1:38" s="73" customFormat="1" ht="13" x14ac:dyDescent="0.15">
      <c r="A142" s="55" t="str">
        <f>IF(B142="","",HYPERLINK("http://reports.ofsted.gov.uk/local-authorities/walsall","Ofsted Local Authority Webpage"))</f>
        <v>Ofsted Local Authority Webpage</v>
      </c>
      <c r="B142" s="55" t="s">
        <v>278</v>
      </c>
      <c r="C142" s="194" t="s">
        <v>142</v>
      </c>
      <c r="D142" s="180" t="s">
        <v>6980</v>
      </c>
      <c r="E142" s="193">
        <v>41121</v>
      </c>
      <c r="F142" s="194" t="s">
        <v>146</v>
      </c>
      <c r="G142" s="195" t="s">
        <v>130</v>
      </c>
      <c r="H142" s="196"/>
      <c r="I142" s="195"/>
      <c r="J142" s="196"/>
      <c r="K142" s="195"/>
      <c r="L142" s="203">
        <v>41488</v>
      </c>
      <c r="M142" s="195" t="s">
        <v>130</v>
      </c>
      <c r="N142" s="196"/>
      <c r="O142" s="195"/>
      <c r="P142" s="197"/>
      <c r="Q142" s="180"/>
      <c r="R142" s="198">
        <v>42982</v>
      </c>
      <c r="S142" s="194" t="s">
        <v>130</v>
      </c>
      <c r="T142" s="194" t="s">
        <v>130</v>
      </c>
      <c r="U142" s="194" t="s">
        <v>130</v>
      </c>
      <c r="V142" s="194" t="s">
        <v>132</v>
      </c>
      <c r="W142" s="194" t="s">
        <v>130</v>
      </c>
      <c r="X142" s="199" t="s">
        <v>130</v>
      </c>
      <c r="Y142" s="200" t="s">
        <v>130</v>
      </c>
      <c r="Z142" s="196"/>
      <c r="AA142" s="194"/>
      <c r="AB142" s="194"/>
      <c r="AC142" s="194"/>
      <c r="AD142" s="194"/>
      <c r="AE142" s="194"/>
      <c r="AF142" s="199"/>
      <c r="AG142" s="187" t="s">
        <v>304</v>
      </c>
      <c r="AH142" s="201">
        <v>44525</v>
      </c>
      <c r="AI142" s="180" t="s">
        <v>132</v>
      </c>
      <c r="AJ142" s="180" t="s">
        <v>132</v>
      </c>
      <c r="AK142" s="180" t="s">
        <v>130</v>
      </c>
      <c r="AL142" s="202" t="s">
        <v>132</v>
      </c>
    </row>
    <row r="143" spans="1:38" s="73" customFormat="1" ht="13" x14ac:dyDescent="0.15">
      <c r="A143" s="55" t="str">
        <f>IF(B143="","",HYPERLINK("http://reports.ofsted.gov.uk/local-authorities/waltham-forest","Ofsted Local Authority Webpage"))</f>
        <v>Ofsted Local Authority Webpage</v>
      </c>
      <c r="B143" s="55" t="s">
        <v>279</v>
      </c>
      <c r="C143" s="180" t="s">
        <v>129</v>
      </c>
      <c r="D143" s="180" t="s">
        <v>6979</v>
      </c>
      <c r="E143" s="193">
        <v>40844</v>
      </c>
      <c r="F143" s="194" t="s">
        <v>130</v>
      </c>
      <c r="G143" s="195" t="s">
        <v>146</v>
      </c>
      <c r="H143" s="196"/>
      <c r="I143" s="195"/>
      <c r="J143" s="196"/>
      <c r="K143" s="195"/>
      <c r="L143" s="203">
        <v>41320</v>
      </c>
      <c r="M143" s="195" t="s">
        <v>130</v>
      </c>
      <c r="N143" s="196"/>
      <c r="O143" s="195"/>
      <c r="P143" s="197"/>
      <c r="Q143" s="180"/>
      <c r="R143" s="198">
        <v>42024</v>
      </c>
      <c r="S143" s="194" t="s">
        <v>130</v>
      </c>
      <c r="T143" s="194" t="s">
        <v>130</v>
      </c>
      <c r="U143" s="194" t="s">
        <v>130</v>
      </c>
      <c r="V143" s="194" t="s">
        <v>130</v>
      </c>
      <c r="W143" s="194" t="s">
        <v>130</v>
      </c>
      <c r="X143" s="199" t="s">
        <v>130</v>
      </c>
      <c r="Y143" s="200" t="s">
        <v>130</v>
      </c>
      <c r="Z143" s="196"/>
      <c r="AA143" s="194"/>
      <c r="AB143" s="194"/>
      <c r="AC143" s="194"/>
      <c r="AD143" s="194"/>
      <c r="AE143" s="194"/>
      <c r="AF143" s="199"/>
      <c r="AG143" s="187" t="s">
        <v>304</v>
      </c>
      <c r="AH143" s="201">
        <v>43535</v>
      </c>
      <c r="AI143" s="180" t="s">
        <v>132</v>
      </c>
      <c r="AJ143" s="180" t="s">
        <v>140</v>
      </c>
      <c r="AK143" s="180" t="s">
        <v>132</v>
      </c>
      <c r="AL143" s="202" t="s">
        <v>132</v>
      </c>
    </row>
    <row r="144" spans="1:38" s="73" customFormat="1" ht="13" x14ac:dyDescent="0.15">
      <c r="A144" s="55" t="str">
        <f>IF(B144="","",HYPERLINK("http://reports.ofsted.gov.uk/local-authorities/wandsworth","Ofsted Local Authority Webpage"))</f>
        <v>Ofsted Local Authority Webpage</v>
      </c>
      <c r="B144" s="55" t="s">
        <v>280</v>
      </c>
      <c r="C144" s="180" t="s">
        <v>129</v>
      </c>
      <c r="D144" s="180" t="s">
        <v>6979</v>
      </c>
      <c r="E144" s="193">
        <v>41087</v>
      </c>
      <c r="F144" s="194" t="s">
        <v>132</v>
      </c>
      <c r="G144" s="195" t="s">
        <v>132</v>
      </c>
      <c r="H144" s="196"/>
      <c r="I144" s="195"/>
      <c r="J144" s="196"/>
      <c r="K144" s="195"/>
      <c r="L144" s="196"/>
      <c r="M144" s="195"/>
      <c r="N144" s="196"/>
      <c r="O144" s="195"/>
      <c r="P144" s="197"/>
      <c r="Q144" s="180"/>
      <c r="R144" s="198">
        <v>42416</v>
      </c>
      <c r="S144" s="194" t="s">
        <v>146</v>
      </c>
      <c r="T144" s="194" t="s">
        <v>146</v>
      </c>
      <c r="U144" s="194" t="s">
        <v>130</v>
      </c>
      <c r="V144" s="194" t="s">
        <v>130</v>
      </c>
      <c r="W144" s="194" t="s">
        <v>146</v>
      </c>
      <c r="X144" s="199" t="s">
        <v>146</v>
      </c>
      <c r="Y144" s="200" t="s">
        <v>130</v>
      </c>
      <c r="Z144" s="213">
        <v>43301</v>
      </c>
      <c r="AA144" s="214" t="s">
        <v>130</v>
      </c>
      <c r="AB144" s="214" t="s">
        <v>130</v>
      </c>
      <c r="AC144" s="214" t="s">
        <v>130</v>
      </c>
      <c r="AD144" s="214" t="s">
        <v>130</v>
      </c>
      <c r="AE144" s="214" t="s">
        <v>132</v>
      </c>
      <c r="AF144" s="215" t="s">
        <v>130</v>
      </c>
      <c r="AG144" s="187"/>
      <c r="AH144" s="201"/>
      <c r="AI144" s="180"/>
      <c r="AJ144" s="180"/>
      <c r="AK144" s="180"/>
      <c r="AL144" s="202"/>
    </row>
    <row r="145" spans="1:38" s="73" customFormat="1" ht="13" x14ac:dyDescent="0.15">
      <c r="A145" s="55" t="str">
        <f>IF(B145="","",HYPERLINK("https://reports.ofsted.gov.uk/provider/44/80575","Ofsted Local Authority Webpage"))</f>
        <v>Ofsted Local Authority Webpage</v>
      </c>
      <c r="B145" s="55" t="s">
        <v>281</v>
      </c>
      <c r="C145" s="180" t="s">
        <v>144</v>
      </c>
      <c r="D145" s="180" t="s">
        <v>6981</v>
      </c>
      <c r="E145" s="193">
        <v>40123</v>
      </c>
      <c r="F145" s="194" t="s">
        <v>146</v>
      </c>
      <c r="G145" s="195" t="s">
        <v>130</v>
      </c>
      <c r="H145" s="193">
        <v>40599</v>
      </c>
      <c r="I145" s="195" t="s">
        <v>130</v>
      </c>
      <c r="J145" s="193">
        <v>40599</v>
      </c>
      <c r="K145" s="195">
        <v>3</v>
      </c>
      <c r="L145" s="196"/>
      <c r="M145" s="195"/>
      <c r="N145" s="196"/>
      <c r="O145" s="195"/>
      <c r="P145" s="197"/>
      <c r="Q145" s="180"/>
      <c r="R145" s="198">
        <v>42136</v>
      </c>
      <c r="S145" s="194" t="s">
        <v>130</v>
      </c>
      <c r="T145" s="194" t="s">
        <v>130</v>
      </c>
      <c r="U145" s="194" t="s">
        <v>132</v>
      </c>
      <c r="V145" s="194" t="s">
        <v>132</v>
      </c>
      <c r="W145" s="194" t="s">
        <v>132</v>
      </c>
      <c r="X145" s="199" t="s">
        <v>130</v>
      </c>
      <c r="Y145" s="200" t="s">
        <v>130</v>
      </c>
      <c r="Z145" s="196"/>
      <c r="AA145" s="194"/>
      <c r="AB145" s="194"/>
      <c r="AC145" s="194"/>
      <c r="AD145" s="194"/>
      <c r="AE145" s="194"/>
      <c r="AF145" s="199"/>
      <c r="AG145" s="187" t="s">
        <v>304</v>
      </c>
      <c r="AH145" s="201">
        <v>43695</v>
      </c>
      <c r="AI145" s="180" t="s">
        <v>132</v>
      </c>
      <c r="AJ145" s="180" t="s">
        <v>132</v>
      </c>
      <c r="AK145" s="180" t="s">
        <v>132</v>
      </c>
      <c r="AL145" s="202" t="s">
        <v>132</v>
      </c>
    </row>
    <row r="146" spans="1:38" s="73" customFormat="1" ht="13" x14ac:dyDescent="0.15">
      <c r="A146" s="55" t="str">
        <f>IF(B146="","",HYPERLINK("http://reports.ofsted.gov.uk/local-authorities/warwickshire","Ofsted Local Authority Webpage"))</f>
        <v>Ofsted Local Authority Webpage</v>
      </c>
      <c r="B146" s="55" t="s">
        <v>282</v>
      </c>
      <c r="C146" s="194" t="s">
        <v>142</v>
      </c>
      <c r="D146" s="180" t="s">
        <v>6983</v>
      </c>
      <c r="E146" s="193">
        <v>40893</v>
      </c>
      <c r="F146" s="194" t="s">
        <v>132</v>
      </c>
      <c r="G146" s="195" t="s">
        <v>132</v>
      </c>
      <c r="H146" s="196"/>
      <c r="I146" s="195"/>
      <c r="J146" s="196"/>
      <c r="K146" s="195"/>
      <c r="L146" s="196"/>
      <c r="M146" s="195"/>
      <c r="N146" s="196"/>
      <c r="O146" s="195"/>
      <c r="P146" s="197"/>
      <c r="Q146" s="180"/>
      <c r="R146" s="198">
        <v>42930</v>
      </c>
      <c r="S146" s="194" t="s">
        <v>130</v>
      </c>
      <c r="T146" s="194" t="s">
        <v>130</v>
      </c>
      <c r="U146" s="194" t="s">
        <v>130</v>
      </c>
      <c r="V146" s="194" t="s">
        <v>132</v>
      </c>
      <c r="W146" s="194" t="s">
        <v>130</v>
      </c>
      <c r="X146" s="199" t="s">
        <v>130</v>
      </c>
      <c r="Y146" s="200" t="s">
        <v>130</v>
      </c>
      <c r="Z146" s="196"/>
      <c r="AA146" s="194"/>
      <c r="AB146" s="194"/>
      <c r="AC146" s="194"/>
      <c r="AD146" s="194"/>
      <c r="AE146" s="194"/>
      <c r="AF146" s="199"/>
      <c r="AG146" s="187" t="s">
        <v>304</v>
      </c>
      <c r="AH146" s="201">
        <v>44592</v>
      </c>
      <c r="AI146" s="180" t="s">
        <v>132</v>
      </c>
      <c r="AJ146" s="180" t="s">
        <v>132</v>
      </c>
      <c r="AK146" s="180" t="s">
        <v>132</v>
      </c>
      <c r="AL146" s="202" t="s">
        <v>132</v>
      </c>
    </row>
    <row r="147" spans="1:38" s="73" customFormat="1" ht="13" x14ac:dyDescent="0.15">
      <c r="A147" s="55" t="str">
        <f>IF(B147="","",HYPERLINK("https://reports.ofsted.gov.uk/provider/44/80577","Ofsted Local Authority Webpage"))</f>
        <v>Ofsted Local Authority Webpage</v>
      </c>
      <c r="B147" s="55" t="s">
        <v>283</v>
      </c>
      <c r="C147" s="180" t="s">
        <v>150</v>
      </c>
      <c r="D147" s="180" t="s">
        <v>6981</v>
      </c>
      <c r="E147" s="193">
        <v>41145</v>
      </c>
      <c r="F147" s="194" t="s">
        <v>130</v>
      </c>
      <c r="G147" s="195" t="s">
        <v>132</v>
      </c>
      <c r="H147" s="196"/>
      <c r="I147" s="195"/>
      <c r="J147" s="196"/>
      <c r="K147" s="195"/>
      <c r="L147" s="196"/>
      <c r="M147" s="195"/>
      <c r="N147" s="196"/>
      <c r="O147" s="195"/>
      <c r="P147" s="197"/>
      <c r="Q147" s="180"/>
      <c r="R147" s="198">
        <v>42142</v>
      </c>
      <c r="S147" s="194" t="s">
        <v>146</v>
      </c>
      <c r="T147" s="194" t="s">
        <v>146</v>
      </c>
      <c r="U147" s="194" t="s">
        <v>130</v>
      </c>
      <c r="V147" s="194" t="s">
        <v>130</v>
      </c>
      <c r="W147" s="194" t="s">
        <v>130</v>
      </c>
      <c r="X147" s="199" t="s">
        <v>130</v>
      </c>
      <c r="Y147" s="200" t="s">
        <v>130</v>
      </c>
      <c r="Z147" s="198">
        <v>42923</v>
      </c>
      <c r="AA147" s="194" t="s">
        <v>132</v>
      </c>
      <c r="AB147" s="194" t="s">
        <v>130</v>
      </c>
      <c r="AC147" s="194" t="s">
        <v>132</v>
      </c>
      <c r="AD147" s="194" t="s">
        <v>132</v>
      </c>
      <c r="AE147" s="194" t="s">
        <v>132</v>
      </c>
      <c r="AF147" s="199" t="s">
        <v>132</v>
      </c>
      <c r="AG147" s="187"/>
      <c r="AH147" s="201"/>
      <c r="AI147" s="180"/>
      <c r="AJ147" s="180"/>
      <c r="AK147" s="180"/>
      <c r="AL147" s="202"/>
    </row>
    <row r="148" spans="1:38" s="73" customFormat="1" ht="13" x14ac:dyDescent="0.15">
      <c r="A148" s="72" t="str">
        <f>HYPERLINK("https://reports.ofsted.gov.uk/provider/44/80532","Ofsted Local Authority Webpage")</f>
        <v>Ofsted Local Authority Webpage</v>
      </c>
      <c r="B148" s="55" t="s">
        <v>284</v>
      </c>
      <c r="C148" s="180" t="s">
        <v>309</v>
      </c>
      <c r="D148" s="180" t="s">
        <v>6981</v>
      </c>
      <c r="E148" s="193"/>
      <c r="F148" s="194"/>
      <c r="G148" s="195"/>
      <c r="H148" s="196"/>
      <c r="I148" s="195"/>
      <c r="J148" s="196"/>
      <c r="K148" s="195"/>
      <c r="L148" s="196"/>
      <c r="M148" s="195"/>
      <c r="N148" s="196"/>
      <c r="O148" s="195"/>
      <c r="P148" s="197"/>
      <c r="Q148" s="180"/>
      <c r="R148" s="198"/>
      <c r="S148" s="194"/>
      <c r="T148" s="194"/>
      <c r="U148" s="194"/>
      <c r="V148" s="194"/>
      <c r="W148" s="194"/>
      <c r="X148" s="199"/>
      <c r="Y148" s="200"/>
      <c r="Z148" s="198"/>
      <c r="AA148" s="194"/>
      <c r="AB148" s="194"/>
      <c r="AC148" s="194"/>
      <c r="AD148" s="194"/>
      <c r="AE148" s="194"/>
      <c r="AF148" s="199"/>
      <c r="AG148" s="187"/>
      <c r="AH148" s="201"/>
      <c r="AI148" s="180"/>
      <c r="AJ148" s="180"/>
      <c r="AK148" s="180"/>
      <c r="AL148" s="202"/>
    </row>
    <row r="149" spans="1:38" s="73" customFormat="1" ht="13" x14ac:dyDescent="0.15">
      <c r="A149" s="55" t="str">
        <f>IF(B149="","",HYPERLINK("https://reports.ofsted.gov.uk/provider/44/80578","Ofsted Local Authority Webpage"))</f>
        <v>Ofsted Local Authority Webpage</v>
      </c>
      <c r="B149" s="55" t="s">
        <v>285</v>
      </c>
      <c r="C149" s="180" t="s">
        <v>150</v>
      </c>
      <c r="D149" s="180" t="s">
        <v>6983</v>
      </c>
      <c r="E149" s="193">
        <v>40529</v>
      </c>
      <c r="F149" s="194" t="s">
        <v>146</v>
      </c>
      <c r="G149" s="195" t="s">
        <v>130</v>
      </c>
      <c r="H149" s="196"/>
      <c r="I149" s="195"/>
      <c r="J149" s="196"/>
      <c r="K149" s="195"/>
      <c r="L149" s="203">
        <v>41355</v>
      </c>
      <c r="M149" s="195" t="s">
        <v>130</v>
      </c>
      <c r="N149" s="196"/>
      <c r="O149" s="195"/>
      <c r="P149" s="197"/>
      <c r="Q149" s="180"/>
      <c r="R149" s="198">
        <v>42389</v>
      </c>
      <c r="S149" s="194" t="s">
        <v>130</v>
      </c>
      <c r="T149" s="194" t="s">
        <v>130</v>
      </c>
      <c r="U149" s="194" t="s">
        <v>130</v>
      </c>
      <c r="V149" s="194" t="s">
        <v>130</v>
      </c>
      <c r="W149" s="194" t="s">
        <v>130</v>
      </c>
      <c r="X149" s="199" t="s">
        <v>130</v>
      </c>
      <c r="Y149" s="200" t="s">
        <v>130</v>
      </c>
      <c r="Z149" s="196"/>
      <c r="AA149" s="194"/>
      <c r="AB149" s="194"/>
      <c r="AC149" s="194"/>
      <c r="AD149" s="194"/>
      <c r="AE149" s="194"/>
      <c r="AF149" s="199"/>
      <c r="AG149" s="187" t="s">
        <v>304</v>
      </c>
      <c r="AH149" s="201">
        <v>43593</v>
      </c>
      <c r="AI149" s="180" t="s">
        <v>146</v>
      </c>
      <c r="AJ149" s="180" t="s">
        <v>146</v>
      </c>
      <c r="AK149" s="180" t="s">
        <v>146</v>
      </c>
      <c r="AL149" s="202" t="s">
        <v>146</v>
      </c>
    </row>
    <row r="150" spans="1:38" s="73" customFormat="1" ht="13" x14ac:dyDescent="0.15">
      <c r="A150" s="55" t="str">
        <f>IF(B150="","",HYPERLINK("http://reports.ofsted.gov.uk/local-authorities/westminster","Ofsted Local Authority Webpage"))</f>
        <v>Ofsted Local Authority Webpage</v>
      </c>
      <c r="B150" s="55" t="s">
        <v>286</v>
      </c>
      <c r="C150" s="180" t="s">
        <v>129</v>
      </c>
      <c r="D150" s="180" t="s">
        <v>6979</v>
      </c>
      <c r="E150" s="193">
        <v>40844</v>
      </c>
      <c r="F150" s="194" t="s">
        <v>132</v>
      </c>
      <c r="G150" s="195" t="s">
        <v>132</v>
      </c>
      <c r="H150" s="196"/>
      <c r="I150" s="195"/>
      <c r="J150" s="196"/>
      <c r="K150" s="195"/>
      <c r="L150" s="196"/>
      <c r="M150" s="195"/>
      <c r="N150" s="196"/>
      <c r="O150" s="195"/>
      <c r="P150" s="197"/>
      <c r="Q150" s="180"/>
      <c r="R150" s="198">
        <v>42458</v>
      </c>
      <c r="S150" s="194" t="s">
        <v>140</v>
      </c>
      <c r="T150" s="194" t="s">
        <v>132</v>
      </c>
      <c r="U150" s="194" t="s">
        <v>140</v>
      </c>
      <c r="V150" s="194" t="s">
        <v>140</v>
      </c>
      <c r="W150" s="194" t="s">
        <v>132</v>
      </c>
      <c r="X150" s="199" t="s">
        <v>140</v>
      </c>
      <c r="Y150" s="200" t="s">
        <v>132</v>
      </c>
      <c r="Z150" s="196"/>
      <c r="AA150" s="194"/>
      <c r="AB150" s="194"/>
      <c r="AC150" s="194"/>
      <c r="AD150" s="194"/>
      <c r="AE150" s="194"/>
      <c r="AF150" s="199"/>
      <c r="AG150" s="187" t="s">
        <v>303</v>
      </c>
      <c r="AH150" s="201">
        <v>43753</v>
      </c>
      <c r="AI150" s="180" t="s">
        <v>140</v>
      </c>
      <c r="AJ150" s="180" t="s">
        <v>140</v>
      </c>
      <c r="AK150" s="180" t="s">
        <v>140</v>
      </c>
      <c r="AL150" s="202" t="s">
        <v>140</v>
      </c>
    </row>
    <row r="151" spans="1:38" s="73" customFormat="1" ht="13" x14ac:dyDescent="0.15">
      <c r="A151" s="55" t="str">
        <f>IF(B151="","",HYPERLINK("https://reports.ofsted.gov.uk/provider/44/80579","Ofsted Local Authority Webpage"))</f>
        <v>Ofsted Local Authority Webpage</v>
      </c>
      <c r="B151" s="55" t="s">
        <v>287</v>
      </c>
      <c r="C151" s="180" t="s">
        <v>144</v>
      </c>
      <c r="D151" s="180" t="s">
        <v>6980</v>
      </c>
      <c r="E151" s="193">
        <v>41100</v>
      </c>
      <c r="F151" s="194" t="s">
        <v>132</v>
      </c>
      <c r="G151" s="195" t="s">
        <v>132</v>
      </c>
      <c r="H151" s="196"/>
      <c r="I151" s="195"/>
      <c r="J151" s="196"/>
      <c r="K151" s="195"/>
      <c r="L151" s="196"/>
      <c r="M151" s="195"/>
      <c r="N151" s="196"/>
      <c r="O151" s="195"/>
      <c r="P151" s="197"/>
      <c r="Q151" s="180"/>
      <c r="R151" s="198">
        <v>42825</v>
      </c>
      <c r="S151" s="194" t="s">
        <v>132</v>
      </c>
      <c r="T151" s="194" t="s">
        <v>130</v>
      </c>
      <c r="U151" s="194" t="s">
        <v>132</v>
      </c>
      <c r="V151" s="194" t="s">
        <v>140</v>
      </c>
      <c r="W151" s="194" t="s">
        <v>132</v>
      </c>
      <c r="X151" s="199" t="s">
        <v>132</v>
      </c>
      <c r="Y151" s="200" t="s">
        <v>130</v>
      </c>
      <c r="Z151" s="196"/>
      <c r="AA151" s="194"/>
      <c r="AB151" s="194"/>
      <c r="AC151" s="194"/>
      <c r="AD151" s="194"/>
      <c r="AE151" s="194"/>
      <c r="AF151" s="199"/>
      <c r="AG151" s="187"/>
      <c r="AH151" s="201"/>
      <c r="AI151" s="180"/>
      <c r="AJ151" s="180"/>
      <c r="AK151" s="180"/>
      <c r="AL151" s="202"/>
    </row>
    <row r="152" spans="1:38" s="73" customFormat="1" ht="13" x14ac:dyDescent="0.15">
      <c r="A152" s="55" t="str">
        <f>IF(B152="","",HYPERLINK("https://reports.ofsted.gov.uk/provider/44/80580","Ofsted Local Authority Webpage"))</f>
        <v>Ofsted Local Authority Webpage</v>
      </c>
      <c r="B152" s="55" t="s">
        <v>288</v>
      </c>
      <c r="C152" s="194" t="s">
        <v>136</v>
      </c>
      <c r="D152" s="180" t="s">
        <v>6981</v>
      </c>
      <c r="E152" s="193">
        <v>41023</v>
      </c>
      <c r="F152" s="194" t="s">
        <v>146</v>
      </c>
      <c r="G152" s="195" t="s">
        <v>130</v>
      </c>
      <c r="H152" s="196"/>
      <c r="I152" s="195"/>
      <c r="J152" s="196"/>
      <c r="K152" s="195"/>
      <c r="L152" s="203">
        <v>41502</v>
      </c>
      <c r="M152" s="195" t="s">
        <v>130</v>
      </c>
      <c r="N152" s="196"/>
      <c r="O152" s="195"/>
      <c r="P152" s="197"/>
      <c r="Q152" s="180"/>
      <c r="R152" s="198">
        <v>42248</v>
      </c>
      <c r="S152" s="194" t="s">
        <v>130</v>
      </c>
      <c r="T152" s="194" t="s">
        <v>130</v>
      </c>
      <c r="U152" s="194" t="s">
        <v>130</v>
      </c>
      <c r="V152" s="194" t="s">
        <v>130</v>
      </c>
      <c r="W152" s="194" t="s">
        <v>130</v>
      </c>
      <c r="X152" s="199" t="s">
        <v>130</v>
      </c>
      <c r="Y152" s="200" t="s">
        <v>130</v>
      </c>
      <c r="Z152" s="196"/>
      <c r="AA152" s="194"/>
      <c r="AB152" s="194"/>
      <c r="AC152" s="194"/>
      <c r="AD152" s="194"/>
      <c r="AE152" s="194"/>
      <c r="AF152" s="199"/>
      <c r="AG152" s="187" t="s">
        <v>304</v>
      </c>
      <c r="AH152" s="201">
        <v>43667</v>
      </c>
      <c r="AI152" s="180" t="s">
        <v>132</v>
      </c>
      <c r="AJ152" s="180" t="s">
        <v>132</v>
      </c>
      <c r="AK152" s="180" t="s">
        <v>132</v>
      </c>
      <c r="AL152" s="202" t="s">
        <v>132</v>
      </c>
    </row>
    <row r="153" spans="1:38" s="73" customFormat="1" ht="13" x14ac:dyDescent="0.15">
      <c r="A153" s="55" t="str">
        <f>IF(B153="","",HYPERLINK("http://reports.ofsted.gov.uk/local-authorities/windsor-and-maidenhead","Ofsted Local Authority Webpage"))</f>
        <v>Ofsted Local Authority Webpage</v>
      </c>
      <c r="B153" s="55" t="s">
        <v>289</v>
      </c>
      <c r="C153" s="180" t="s">
        <v>150</v>
      </c>
      <c r="D153" s="180" t="s">
        <v>6981</v>
      </c>
      <c r="E153" s="193">
        <v>41029</v>
      </c>
      <c r="F153" s="194" t="s">
        <v>130</v>
      </c>
      <c r="G153" s="195" t="s">
        <v>130</v>
      </c>
      <c r="H153" s="196"/>
      <c r="I153" s="195"/>
      <c r="J153" s="196"/>
      <c r="K153" s="195"/>
      <c r="L153" s="196"/>
      <c r="M153" s="195"/>
      <c r="N153" s="196"/>
      <c r="O153" s="195"/>
      <c r="P153" s="197"/>
      <c r="Q153" s="180"/>
      <c r="R153" s="198">
        <v>42137</v>
      </c>
      <c r="S153" s="194" t="s">
        <v>130</v>
      </c>
      <c r="T153" s="194" t="s">
        <v>130</v>
      </c>
      <c r="U153" s="194" t="s">
        <v>130</v>
      </c>
      <c r="V153" s="194" t="s">
        <v>130</v>
      </c>
      <c r="W153" s="194" t="s">
        <v>130</v>
      </c>
      <c r="X153" s="199" t="s">
        <v>130</v>
      </c>
      <c r="Y153" s="200" t="s">
        <v>130</v>
      </c>
      <c r="Z153" s="196"/>
      <c r="AA153" s="194"/>
      <c r="AB153" s="194"/>
      <c r="AC153" s="194"/>
      <c r="AD153" s="194"/>
      <c r="AE153" s="194"/>
      <c r="AF153" s="199"/>
      <c r="AG153" s="187" t="s">
        <v>304</v>
      </c>
      <c r="AH153" s="201">
        <v>43884</v>
      </c>
      <c r="AI153" s="180" t="s">
        <v>132</v>
      </c>
      <c r="AJ153" s="180" t="s">
        <v>132</v>
      </c>
      <c r="AK153" s="180" t="s">
        <v>132</v>
      </c>
      <c r="AL153" s="202" t="s">
        <v>130</v>
      </c>
    </row>
    <row r="154" spans="1:38" s="73" customFormat="1" ht="13" x14ac:dyDescent="0.15">
      <c r="A154" s="55" t="str">
        <f>IF(B154="","",HYPERLINK("http://reports.ofsted.gov.uk/local-authorities/wirral","Ofsted Local Authority Webpage"))</f>
        <v>Ofsted Local Authority Webpage</v>
      </c>
      <c r="B154" s="55" t="s">
        <v>290</v>
      </c>
      <c r="C154" s="180" t="s">
        <v>144</v>
      </c>
      <c r="D154" s="180" t="s">
        <v>6980</v>
      </c>
      <c r="E154" s="193">
        <v>40613</v>
      </c>
      <c r="F154" s="194" t="s">
        <v>132</v>
      </c>
      <c r="G154" s="195" t="s">
        <v>132</v>
      </c>
      <c r="H154" s="196"/>
      <c r="I154" s="195"/>
      <c r="J154" s="196"/>
      <c r="K154" s="195"/>
      <c r="L154" s="196"/>
      <c r="M154" s="195"/>
      <c r="N154" s="196"/>
      <c r="O154" s="195"/>
      <c r="P154" s="197"/>
      <c r="Q154" s="180"/>
      <c r="R154" s="198">
        <v>42633</v>
      </c>
      <c r="S154" s="194" t="s">
        <v>146</v>
      </c>
      <c r="T154" s="194" t="s">
        <v>146</v>
      </c>
      <c r="U154" s="194" t="s">
        <v>130</v>
      </c>
      <c r="V154" s="194" t="s">
        <v>130</v>
      </c>
      <c r="W154" s="194" t="s">
        <v>146</v>
      </c>
      <c r="X154" s="199" t="s">
        <v>146</v>
      </c>
      <c r="Y154" s="200" t="s">
        <v>146</v>
      </c>
      <c r="Z154" s="196"/>
      <c r="AA154" s="194"/>
      <c r="AB154" s="194"/>
      <c r="AC154" s="194"/>
      <c r="AD154" s="194"/>
      <c r="AE154" s="194"/>
      <c r="AF154" s="199"/>
      <c r="AG154" s="187" t="s">
        <v>304</v>
      </c>
      <c r="AH154" s="201">
        <v>43674</v>
      </c>
      <c r="AI154" s="180" t="s">
        <v>130</v>
      </c>
      <c r="AJ154" s="180" t="s">
        <v>132</v>
      </c>
      <c r="AK154" s="180" t="s">
        <v>130</v>
      </c>
      <c r="AL154" s="202" t="s">
        <v>130</v>
      </c>
    </row>
    <row r="155" spans="1:38" s="73" customFormat="1" ht="13" x14ac:dyDescent="0.15">
      <c r="A155" s="55" t="str">
        <f>IF(B155="","",HYPERLINK("https://reports.ofsted.gov.uk/provider/44/80582","Ofsted Local Authority Webpage"))</f>
        <v>Ofsted Local Authority Webpage</v>
      </c>
      <c r="B155" s="55" t="s">
        <v>291</v>
      </c>
      <c r="C155" s="180" t="s">
        <v>150</v>
      </c>
      <c r="D155" s="180" t="s">
        <v>6981</v>
      </c>
      <c r="E155" s="193">
        <v>40417</v>
      </c>
      <c r="F155" s="194" t="s">
        <v>130</v>
      </c>
      <c r="G155" s="195" t="s">
        <v>130</v>
      </c>
      <c r="H155" s="196"/>
      <c r="I155" s="195"/>
      <c r="J155" s="196"/>
      <c r="K155" s="195"/>
      <c r="L155" s="203">
        <v>41264</v>
      </c>
      <c r="M155" s="195" t="s">
        <v>130</v>
      </c>
      <c r="N155" s="196"/>
      <c r="O155" s="195"/>
      <c r="P155" s="197"/>
      <c r="Q155" s="180"/>
      <c r="R155" s="198">
        <v>42374</v>
      </c>
      <c r="S155" s="194" t="s">
        <v>130</v>
      </c>
      <c r="T155" s="194" t="s">
        <v>130</v>
      </c>
      <c r="U155" s="194" t="s">
        <v>130</v>
      </c>
      <c r="V155" s="194" t="s">
        <v>132</v>
      </c>
      <c r="W155" s="194" t="s">
        <v>130</v>
      </c>
      <c r="X155" s="199" t="s">
        <v>130</v>
      </c>
      <c r="Y155" s="200" t="s">
        <v>130</v>
      </c>
      <c r="Z155" s="196"/>
      <c r="AA155" s="194"/>
      <c r="AB155" s="194"/>
      <c r="AC155" s="194"/>
      <c r="AD155" s="194"/>
      <c r="AE155" s="194"/>
      <c r="AF155" s="199"/>
      <c r="AG155" s="187" t="s">
        <v>304</v>
      </c>
      <c r="AH155" s="201">
        <v>43660</v>
      </c>
      <c r="AI155" s="180" t="s">
        <v>130</v>
      </c>
      <c r="AJ155" s="180" t="s">
        <v>130</v>
      </c>
      <c r="AK155" s="180" t="s">
        <v>130</v>
      </c>
      <c r="AL155" s="202" t="s">
        <v>130</v>
      </c>
    </row>
    <row r="156" spans="1:38" s="73" customFormat="1" ht="13" x14ac:dyDescent="0.15">
      <c r="A156" s="55" t="str">
        <f>IF(B156="","",HYPERLINK("http://reports.ofsted.gov.uk/local-authorities/wolverhampton","Ofsted Local Authority Webpage"))</f>
        <v>Ofsted Local Authority Webpage</v>
      </c>
      <c r="B156" s="55" t="s">
        <v>292</v>
      </c>
      <c r="C156" s="194" t="s">
        <v>142</v>
      </c>
      <c r="D156" s="180" t="s">
        <v>6980</v>
      </c>
      <c r="E156" s="193">
        <v>40746</v>
      </c>
      <c r="F156" s="194" t="s">
        <v>130</v>
      </c>
      <c r="G156" s="195" t="s">
        <v>132</v>
      </c>
      <c r="H156" s="196"/>
      <c r="I156" s="195"/>
      <c r="J156" s="196"/>
      <c r="K156" s="195"/>
      <c r="L156" s="196"/>
      <c r="M156" s="195"/>
      <c r="N156" s="196"/>
      <c r="O156" s="195"/>
      <c r="P156" s="197"/>
      <c r="Q156" s="180"/>
      <c r="R156" s="198">
        <v>42825</v>
      </c>
      <c r="S156" s="194" t="s">
        <v>132</v>
      </c>
      <c r="T156" s="194" t="s">
        <v>130</v>
      </c>
      <c r="U156" s="194" t="s">
        <v>132</v>
      </c>
      <c r="V156" s="194" t="s">
        <v>132</v>
      </c>
      <c r="W156" s="194" t="s">
        <v>132</v>
      </c>
      <c r="X156" s="199" t="s">
        <v>132</v>
      </c>
      <c r="Y156" s="200" t="s">
        <v>130</v>
      </c>
      <c r="Z156" s="196"/>
      <c r="AA156" s="194"/>
      <c r="AB156" s="194"/>
      <c r="AC156" s="194"/>
      <c r="AD156" s="194"/>
      <c r="AE156" s="194"/>
      <c r="AF156" s="199"/>
      <c r="AG156" s="187"/>
      <c r="AH156" s="201"/>
      <c r="AI156" s="180"/>
      <c r="AJ156" s="180"/>
      <c r="AK156" s="180"/>
      <c r="AL156" s="202"/>
    </row>
    <row r="157" spans="1:38" s="73" customFormat="1" ht="13" x14ac:dyDescent="0.15">
      <c r="A157" s="55" t="str">
        <f>IF(B157="","",HYPERLINK("https://reports.ofsted.gov.uk/provider/44/80584","Ofsted Local Authority Webpage"))</f>
        <v>Ofsted Local Authority Webpage</v>
      </c>
      <c r="B157" s="55" t="s">
        <v>293</v>
      </c>
      <c r="C157" s="194" t="s">
        <v>142</v>
      </c>
      <c r="D157" s="180" t="s">
        <v>6983</v>
      </c>
      <c r="E157" s="193">
        <v>40494</v>
      </c>
      <c r="F157" s="194" t="s">
        <v>146</v>
      </c>
      <c r="G157" s="195" t="s">
        <v>130</v>
      </c>
      <c r="H157" s="193">
        <v>41022</v>
      </c>
      <c r="I157" s="195" t="s">
        <v>130</v>
      </c>
      <c r="J157" s="196"/>
      <c r="K157" s="195"/>
      <c r="L157" s="196"/>
      <c r="M157" s="195"/>
      <c r="N157" s="196"/>
      <c r="O157" s="195"/>
      <c r="P157" s="197"/>
      <c r="Q157" s="180"/>
      <c r="R157" s="198">
        <v>42759</v>
      </c>
      <c r="S157" s="194" t="s">
        <v>146</v>
      </c>
      <c r="T157" s="194" t="s">
        <v>146</v>
      </c>
      <c r="U157" s="194" t="s">
        <v>146</v>
      </c>
      <c r="V157" s="194" t="s">
        <v>130</v>
      </c>
      <c r="W157" s="194" t="s">
        <v>146</v>
      </c>
      <c r="X157" s="199" t="s">
        <v>146</v>
      </c>
      <c r="Y157" s="200" t="s">
        <v>130</v>
      </c>
      <c r="Z157" s="196"/>
      <c r="AA157" s="194"/>
      <c r="AB157" s="194"/>
      <c r="AC157" s="194"/>
      <c r="AD157" s="194"/>
      <c r="AE157" s="194"/>
      <c r="AF157" s="199"/>
      <c r="AG157" s="187" t="s">
        <v>304</v>
      </c>
      <c r="AH157" s="201">
        <v>43674</v>
      </c>
      <c r="AI157" s="180" t="s">
        <v>130</v>
      </c>
      <c r="AJ157" s="180" t="s">
        <v>130</v>
      </c>
      <c r="AK157" s="180" t="s">
        <v>130</v>
      </c>
      <c r="AL157" s="202" t="s">
        <v>130</v>
      </c>
    </row>
    <row r="158" spans="1:38" s="73" customFormat="1" ht="13" thickBot="1" x14ac:dyDescent="0.15">
      <c r="A158" s="55" t="str">
        <f>IF(B158="","",HYPERLINK("http://reports.ofsted.gov.uk/local-authorities/york","Ofsted Local Authority Webpage"))</f>
        <v>Ofsted Local Authority Webpage</v>
      </c>
      <c r="B158" s="55" t="s">
        <v>294</v>
      </c>
      <c r="C158" s="180" t="s">
        <v>309</v>
      </c>
      <c r="D158" s="180" t="s">
        <v>6981</v>
      </c>
      <c r="E158" s="216">
        <v>41043</v>
      </c>
      <c r="F158" s="217" t="s">
        <v>132</v>
      </c>
      <c r="G158" s="218" t="s">
        <v>132</v>
      </c>
      <c r="H158" s="219"/>
      <c r="I158" s="218"/>
      <c r="J158" s="219"/>
      <c r="K158" s="218"/>
      <c r="L158" s="219"/>
      <c r="M158" s="218"/>
      <c r="N158" s="220"/>
      <c r="O158" s="221"/>
      <c r="P158" s="219"/>
      <c r="Q158" s="217"/>
      <c r="R158" s="222">
        <v>42773</v>
      </c>
      <c r="S158" s="223" t="s">
        <v>132</v>
      </c>
      <c r="T158" s="223" t="s">
        <v>130</v>
      </c>
      <c r="U158" s="223" t="s">
        <v>132</v>
      </c>
      <c r="V158" s="223" t="s">
        <v>132</v>
      </c>
      <c r="W158" s="223" t="s">
        <v>132</v>
      </c>
      <c r="X158" s="224" t="s">
        <v>132</v>
      </c>
      <c r="Y158" s="225" t="s">
        <v>140</v>
      </c>
      <c r="Z158" s="220"/>
      <c r="AA158" s="223"/>
      <c r="AB158" s="223"/>
      <c r="AC158" s="223"/>
      <c r="AD158" s="223"/>
      <c r="AE158" s="223"/>
      <c r="AF158" s="224"/>
      <c r="AG158" s="187" t="s">
        <v>304</v>
      </c>
      <c r="AH158" s="226">
        <v>44684</v>
      </c>
      <c r="AI158" s="217" t="s">
        <v>130</v>
      </c>
      <c r="AJ158" s="217" t="s">
        <v>130</v>
      </c>
      <c r="AK158" s="217" t="s">
        <v>130</v>
      </c>
      <c r="AL158" s="218" t="s">
        <v>130</v>
      </c>
    </row>
    <row r="159" spans="1:38" s="73" customFormat="1" ht="13" x14ac:dyDescent="0.15">
      <c r="A159" s="55"/>
      <c r="B159" s="55"/>
      <c r="E159" s="227"/>
      <c r="N159" s="214"/>
      <c r="O159" s="214"/>
      <c r="R159" s="79"/>
      <c r="S159" s="214"/>
      <c r="T159" s="214"/>
      <c r="U159" s="214"/>
      <c r="V159" s="214"/>
      <c r="W159" s="214"/>
      <c r="X159" s="214"/>
      <c r="Y159" s="214"/>
      <c r="Z159" s="214"/>
      <c r="AA159" s="214"/>
      <c r="AB159" s="214"/>
      <c r="AC159" s="214"/>
      <c r="AD159" s="214"/>
      <c r="AE159" s="214"/>
      <c r="AF159" s="214"/>
      <c r="AG159" s="79"/>
      <c r="AH159" s="79"/>
    </row>
    <row r="160" spans="1:38" ht="13" thickBot="1" x14ac:dyDescent="0.15"/>
    <row r="161" spans="1:38" ht="14" customHeight="1" thickBot="1" x14ac:dyDescent="0.15">
      <c r="A161" s="179" t="s">
        <v>6986</v>
      </c>
    </row>
    <row r="162" spans="1:38" ht="28" x14ac:dyDescent="0.15">
      <c r="A162" s="71" t="s">
        <v>120</v>
      </c>
      <c r="B162" s="71" t="s">
        <v>121</v>
      </c>
      <c r="C162" s="71" t="s">
        <v>6943</v>
      </c>
      <c r="D162" s="71" t="s">
        <v>6944</v>
      </c>
      <c r="E162" s="71" t="s">
        <v>6945</v>
      </c>
      <c r="F162" s="71" t="s">
        <v>6946</v>
      </c>
      <c r="G162" s="71" t="s">
        <v>6947</v>
      </c>
      <c r="H162" s="71" t="s">
        <v>6948</v>
      </c>
      <c r="I162" s="71" t="s">
        <v>6949</v>
      </c>
      <c r="J162" s="71" t="s">
        <v>6950</v>
      </c>
      <c r="K162" s="71" t="s">
        <v>6951</v>
      </c>
      <c r="L162" s="71" t="s">
        <v>6952</v>
      </c>
      <c r="M162" s="71" t="s">
        <v>6953</v>
      </c>
      <c r="N162" s="71" t="s">
        <v>6954</v>
      </c>
      <c r="O162" s="71" t="s">
        <v>6955</v>
      </c>
      <c r="P162" s="71" t="s">
        <v>6956</v>
      </c>
      <c r="Q162" s="71" t="s">
        <v>6957</v>
      </c>
      <c r="R162" s="71" t="s">
        <v>6958</v>
      </c>
      <c r="S162" s="71" t="s">
        <v>6959</v>
      </c>
      <c r="T162" s="71" t="s">
        <v>6960</v>
      </c>
      <c r="U162" s="71" t="s">
        <v>6961</v>
      </c>
      <c r="V162" s="71" t="s">
        <v>6962</v>
      </c>
      <c r="W162" s="71" t="s">
        <v>6963</v>
      </c>
      <c r="X162" s="71" t="s">
        <v>6964</v>
      </c>
      <c r="Y162" s="71" t="s">
        <v>6965</v>
      </c>
      <c r="Z162" s="71" t="s">
        <v>6966</v>
      </c>
      <c r="AA162" s="71" t="s">
        <v>6967</v>
      </c>
      <c r="AB162" s="71" t="s">
        <v>6968</v>
      </c>
      <c r="AC162" s="71" t="s">
        <v>6969</v>
      </c>
      <c r="AD162" s="71" t="s">
        <v>6970</v>
      </c>
      <c r="AE162" s="71" t="s">
        <v>6971</v>
      </c>
      <c r="AF162" s="71" t="s">
        <v>6972</v>
      </c>
      <c r="AG162" s="71" t="s">
        <v>6973</v>
      </c>
      <c r="AH162" s="76" t="s">
        <v>6974</v>
      </c>
      <c r="AI162" s="71" t="s">
        <v>6975</v>
      </c>
      <c r="AJ162" s="71" t="s">
        <v>6976</v>
      </c>
      <c r="AK162" s="71" t="s">
        <v>6977</v>
      </c>
      <c r="AL162" s="71" t="s">
        <v>6978</v>
      </c>
    </row>
    <row r="163" spans="1:38" s="73" customFormat="1" ht="13" x14ac:dyDescent="0.15">
      <c r="A163" s="55" t="str">
        <f>IF(B163="","",HYPERLINK("https://reports.ofsted.gov.uk/provider/44/80434","Ofsted Local Authority Webpage"))</f>
        <v>Ofsted Local Authority Webpage</v>
      </c>
      <c r="B163" s="180" t="s">
        <v>703</v>
      </c>
      <c r="C163" s="194" t="s">
        <v>136</v>
      </c>
      <c r="D163" s="180" t="s">
        <v>6981</v>
      </c>
      <c r="E163" s="193">
        <v>40641</v>
      </c>
      <c r="F163" s="194" t="s">
        <v>132</v>
      </c>
      <c r="G163" s="195" t="s">
        <v>132</v>
      </c>
      <c r="H163" s="196"/>
      <c r="I163" s="195"/>
      <c r="J163" s="196"/>
      <c r="K163" s="195"/>
      <c r="L163" s="196"/>
      <c r="M163" s="195"/>
      <c r="N163" s="196"/>
      <c r="O163" s="195"/>
      <c r="P163" s="197"/>
      <c r="Q163" s="180"/>
      <c r="R163" s="198">
        <v>41820</v>
      </c>
      <c r="S163" s="194" t="s">
        <v>130</v>
      </c>
      <c r="T163" s="194" t="s">
        <v>130</v>
      </c>
      <c r="U163" s="194" t="s">
        <v>130</v>
      </c>
      <c r="V163" s="194" t="s">
        <v>132</v>
      </c>
      <c r="W163" s="194" t="s">
        <v>130</v>
      </c>
      <c r="X163" s="199" t="s">
        <v>130</v>
      </c>
      <c r="Y163" s="200" t="s">
        <v>130</v>
      </c>
      <c r="Z163" s="196"/>
      <c r="AA163" s="194"/>
      <c r="AB163" s="194"/>
      <c r="AC163" s="194"/>
      <c r="AD163" s="194"/>
      <c r="AE163" s="194"/>
      <c r="AF163" s="199"/>
      <c r="AG163" s="198" t="s">
        <v>6987</v>
      </c>
      <c r="AH163" s="201">
        <v>43336</v>
      </c>
      <c r="AI163" s="180" t="s">
        <v>130</v>
      </c>
      <c r="AJ163" s="180" t="s">
        <v>146</v>
      </c>
      <c r="AK163" s="180" t="s">
        <v>130</v>
      </c>
      <c r="AL163" s="202" t="s">
        <v>130</v>
      </c>
    </row>
    <row r="164" spans="1:38" s="73" customFormat="1" ht="13" x14ac:dyDescent="0.15">
      <c r="A164" s="55" t="str">
        <f>IF(B164="","",HYPERLINK("https://reports.ofsted.gov.uk/provider/44/80463","Ofsted Local Authority Webpage"))</f>
        <v>Ofsted Local Authority Webpage</v>
      </c>
      <c r="B164" s="180" t="s">
        <v>176</v>
      </c>
      <c r="C164" s="194" t="s">
        <v>136</v>
      </c>
      <c r="D164" s="180" t="s">
        <v>6983</v>
      </c>
      <c r="E164" s="193">
        <v>40844</v>
      </c>
      <c r="F164" s="194" t="s">
        <v>132</v>
      </c>
      <c r="G164" s="195" t="s">
        <v>132</v>
      </c>
      <c r="H164" s="196"/>
      <c r="I164" s="195"/>
      <c r="J164" s="196"/>
      <c r="K164" s="195"/>
      <c r="L164" s="196"/>
      <c r="M164" s="195"/>
      <c r="N164" s="196"/>
      <c r="O164" s="195"/>
      <c r="P164" s="197"/>
      <c r="Q164" s="180"/>
      <c r="R164" s="198">
        <v>42513</v>
      </c>
      <c r="S164" s="194" t="s">
        <v>130</v>
      </c>
      <c r="T164" s="194" t="s">
        <v>130</v>
      </c>
      <c r="U164" s="194" t="s">
        <v>130</v>
      </c>
      <c r="V164" s="194" t="s">
        <v>132</v>
      </c>
      <c r="W164" s="194" t="s">
        <v>130</v>
      </c>
      <c r="X164" s="199" t="s">
        <v>130</v>
      </c>
      <c r="Y164" s="200" t="s">
        <v>146</v>
      </c>
      <c r="Z164" s="196"/>
      <c r="AA164" s="194"/>
      <c r="AB164" s="194"/>
      <c r="AC164" s="194"/>
      <c r="AD164" s="194"/>
      <c r="AE164" s="194"/>
      <c r="AF164" s="199"/>
      <c r="AG164" s="198"/>
      <c r="AH164" s="201"/>
      <c r="AI164" s="180"/>
      <c r="AJ164" s="180"/>
      <c r="AK164" s="180"/>
      <c r="AL164" s="202"/>
    </row>
    <row r="165" spans="1:38" s="73" customFormat="1" ht="13" thickBot="1" x14ac:dyDescent="0.15">
      <c r="A165" s="55" t="str">
        <f>IF(B165="","",HYPERLINK("https://reports.ofsted.gov.uk/provider/44/80433","Ofsted Local Authority Webpage"))</f>
        <v>Ofsted Local Authority Webpage</v>
      </c>
      <c r="B165" s="180" t="s">
        <v>2273</v>
      </c>
      <c r="C165" s="194" t="s">
        <v>136</v>
      </c>
      <c r="D165" s="180" t="s">
        <v>6981</v>
      </c>
      <c r="E165" s="216">
        <v>40893</v>
      </c>
      <c r="F165" s="223" t="s">
        <v>132</v>
      </c>
      <c r="G165" s="221" t="s">
        <v>132</v>
      </c>
      <c r="H165" s="220"/>
      <c r="I165" s="221"/>
      <c r="J165" s="220"/>
      <c r="K165" s="221"/>
      <c r="L165" s="220"/>
      <c r="M165" s="221"/>
      <c r="N165" s="220"/>
      <c r="O165" s="221"/>
      <c r="P165" s="219"/>
      <c r="Q165" s="217"/>
      <c r="R165" s="222">
        <v>43063</v>
      </c>
      <c r="S165" s="223" t="s">
        <v>130</v>
      </c>
      <c r="T165" s="223" t="s">
        <v>130</v>
      </c>
      <c r="U165" s="223" t="s">
        <v>130</v>
      </c>
      <c r="V165" s="223" t="s">
        <v>132</v>
      </c>
      <c r="W165" s="223" t="s">
        <v>132</v>
      </c>
      <c r="X165" s="224" t="s">
        <v>130</v>
      </c>
      <c r="Y165" s="225" t="s">
        <v>132</v>
      </c>
      <c r="Z165" s="220"/>
      <c r="AA165" s="223"/>
      <c r="AB165" s="223"/>
      <c r="AC165" s="223"/>
      <c r="AD165" s="223"/>
      <c r="AE165" s="223"/>
      <c r="AF165" s="224"/>
      <c r="AG165" s="222"/>
      <c r="AH165" s="226"/>
      <c r="AI165" s="217"/>
      <c r="AJ165" s="217"/>
      <c r="AK165" s="217"/>
      <c r="AL165" s="218"/>
    </row>
    <row r="166" spans="1:38" ht="13" x14ac:dyDescent="0.15"/>
    <row r="167" spans="1:38" ht="13" x14ac:dyDescent="0.15"/>
  </sheetData>
  <pageMargins left="0.7" right="0.7" top="0.75" bottom="0.75" header="0.3" footer="0.3"/>
  <pageSetup paperSize="0" fitToWidth="0" fitToHeight="0" orientation="portrait" horizontalDpi="0" verticalDpi="0" copies="0"/>
  <tableParts count="2">
    <tablePart r:id="rId1"/>
    <tablePart r:id="rId2"/>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16</vt:i4>
      </vt:variant>
      <vt:variant>
        <vt:lpstr>Named Ranges</vt:lpstr>
      </vt:variant>
      <vt:variant>
        <vt:i4>3</vt:i4>
      </vt:variant>
    </vt:vector>
  </HeadingPairs>
  <TitlesOfParts>
    <vt:vector size="19" baseType="lpstr">
      <vt:lpstr>Cover</vt:lpstr>
      <vt:lpstr>Accessibility</vt:lpstr>
      <vt:lpstr>Contents</vt:lpstr>
      <vt:lpstr>Guidance</vt:lpstr>
      <vt:lpstr>Notes</vt:lpstr>
      <vt:lpstr>Meta-data</vt:lpstr>
      <vt:lpstr>LA_level_at_31_Mar_2022</vt:lpstr>
      <vt:lpstr>LA_level_in_year_2021-22</vt:lpstr>
      <vt:lpstr>Provider_level_at_31_Mar_2022</vt:lpstr>
      <vt:lpstr>Provider_level_in_year_2021-22</vt:lpstr>
      <vt:lpstr>Providers+places_at_31_Mar_2022</vt:lpstr>
      <vt:lpstr>Leavers+Joiners_at_31_Mar_2022</vt:lpstr>
      <vt:lpstr>Providers+places_six_monthly</vt:lpstr>
      <vt:lpstr>Latest_OE_31_Mar_Time_Series</vt:lpstr>
      <vt:lpstr>In_Year_Time_series</vt:lpstr>
      <vt:lpstr>LA_inspections_2009-2022</vt:lpstr>
      <vt:lpstr>InYear</vt:lpstr>
      <vt:lpstr>'Cover'!Print_Area</vt:lpstr>
      <vt:lpstr>SoN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Leonard.Tippetts@ofsted.gov.uk</dc:creator>
  <dc:description/>
  <cp:lastModifiedBy>Author</cp:lastModifiedBy>
  <dcterms:created xsi:type="dcterms:W3CDTF">2014-01-30T10:00:19Z</dcterms:created>
  <dcterms:modified xsi:type="dcterms:W3CDTF">2024-06-12T13:27:21Z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0x0101009C2B7C2BCED2CC498D2131C55000F42700664C2D6AA3A65F4EA8A7A2B528FD15CA</vt:lpwstr>
  </property>
  <property fmtid="{D5CDD505-2E9C-101B-9397-08002B2CF9AE}" pid="3" name="OfstedDepartment">
    <vt:lpwstr/>
  </property>
  <property fmtid="{D5CDD505-2E9C-101B-9397-08002B2CF9AE}" pid="4" name="Directorate">
    <vt:lpwstr/>
  </property>
  <property fmtid="{D5CDD505-2E9C-101B-9397-08002B2CF9AE}" pid="5" name="Team">
    <vt:lpwstr>Please select:</vt:lpwstr>
  </property>
  <property fmtid="{D5CDD505-2E9C-101B-9397-08002B2CF9AE}" pid="6" name="OfstedTeam">
    <vt:lpwstr/>
  </property>
  <property fmtid="{D5CDD505-2E9C-101B-9397-08002B2CF9AE}" pid="7" name="Priority">
    <vt:lpwstr>Medium</vt:lpwstr>
  </property>
  <property fmtid="{D5CDD505-2E9C-101B-9397-08002B2CF9AE}" pid="8" name="DocumentType">
    <vt:lpwstr/>
  </property>
  <property fmtid="{D5CDD505-2E9C-101B-9397-08002B2CF9AE}" pid="9" name="Owner">
    <vt:lpwstr/>
  </property>
  <property fmtid="{D5CDD505-2E9C-101B-9397-08002B2CF9AE}" pid="10" name="Date next review due">
    <vt:filetime>2019-04-17T11:11:45Z</vt:filetime>
  </property>
  <property fmtid="{D5CDD505-2E9C-101B-9397-08002B2CF9AE}" pid="11" name="Doc Type">
    <vt:lpwstr>Please select:</vt:lpwstr>
  </property>
  <property fmtid="{D5CDD505-2E9C-101B-9397-08002B2CF9AE}" pid="12" name="AuthorIds_UIVersion_1">
    <vt:lpwstr>45</vt:lpwstr>
  </property>
</Properties>
</file>